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slicers/slicer1.xml" ContentType="application/vnd.ms-excel.slicer+xml"/>
  <Override PartName="/xl/pivotTables/pivotTable3.xml" ContentType="application/vnd.openxmlformats-officedocument.spreadsheetml.pivotTable+xml"/>
  <Override PartName="/xl/drawings/drawing5.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chomdao/Desktop/CP shrimp farm/PML/"/>
    </mc:Choice>
  </mc:AlternateContent>
  <xr:revisionPtr revIDLastSave="0" documentId="13_ncr:1_{4C6B4D49-F0AD-8347-9967-E0453BB4F66C}" xr6:coauthVersionLast="47" xr6:coauthVersionMax="47" xr10:uidLastSave="{00000000-0000-0000-0000-000000000000}"/>
  <bookViews>
    <workbookView xWindow="0" yWindow="0" windowWidth="28800" windowHeight="18000" activeTab="3" xr2:uid="{00000000-000D-0000-FFFF-FFFF00000000}"/>
  </bookViews>
  <sheets>
    <sheet name="PML เรียง" sheetId="15" state="hidden" r:id="rId1"/>
    <sheet name="Criteria" sheetId="13" state="hidden" r:id="rId2"/>
    <sheet name="PML! weight (2)" sheetId="47" r:id="rId3"/>
    <sheet name="PML! weight" sheetId="43" r:id="rId4"/>
    <sheet name="ปรับตาราง" sheetId="46" r:id="rId5"/>
    <sheet name="PML!" sheetId="19" state="hidden" r:id="rId6"/>
    <sheet name="PML!wa" sheetId="44" state="hidden" r:id="rId7"/>
    <sheet name="PML! ACC" sheetId="37" state="hidden" r:id="rId8"/>
    <sheet name="Sheet13" sheetId="38" state="hidden" r:id="rId9"/>
    <sheet name="Sheet3" sheetId="25" state="hidden" r:id="rId10"/>
    <sheet name="Sheet5" sheetId="24" state="hidden" r:id="rId11"/>
    <sheet name="Sheet2" sheetId="21" state="hidden" r:id="rId12"/>
    <sheet name="Sheet1" sheetId="20" state="hidden" r:id="rId13"/>
    <sheet name="Sheet12" sheetId="45" state="hidden" r:id="rId14"/>
    <sheet name="ผลประหยัด" sheetId="9" r:id="rId15"/>
    <sheet name="Sheet6" sheetId="29" state="hidden" r:id="rId16"/>
    <sheet name="Sheet4" sheetId="26" state="hidden" r:id="rId17"/>
    <sheet name="SR" sheetId="5" r:id="rId18"/>
    <sheet name="ADG" sheetId="7" r:id="rId19"/>
    <sheet name="FCR" sheetId="12" r:id="rId20"/>
    <sheet name="YIELDN" sheetId="33" r:id="rId21"/>
    <sheet name="Sheet8" sheetId="31" state="hidden" r:id="rId22"/>
    <sheet name="Sheet7" sheetId="30" state="hidden" r:id="rId23"/>
    <sheet name="SIZE" sheetId="8" r:id="rId24"/>
    <sheet name="RAW DATA 2023" sheetId="1" r:id="rId25"/>
    <sheet name="FOR YEILD" sheetId="23" state="hidden" r:id="rId26"/>
    <sheet name="ทำตาราง" sheetId="27" state="hidden" r:id="rId27"/>
    <sheet name="STD" sheetId="18" r:id="rId28"/>
    <sheet name="MODEL" sheetId="32" state="hidden" r:id="rId29"/>
    <sheet name="Sheet10" sheetId="35" state="hidden" r:id="rId30"/>
    <sheet name="Range ผลประหยัด" sheetId="16" r:id="rId31"/>
    <sheet name="RANGE SR" sheetId="39" r:id="rId32"/>
    <sheet name="RANGE ADG" sheetId="36" r:id="rId33"/>
    <sheet name="RANGE FCR" sheetId="42" r:id="rId34"/>
    <sheet name="RANGE Yield" sheetId="34" r:id="rId35"/>
    <sheet name="RANGE Size" sheetId="40" r:id="rId36"/>
    <sheet name="YIELD" sheetId="2" state="hidden" r:id="rId37"/>
    <sheet name="วิเคราะห์ Yeild" sheetId="28" state="hidden" r:id="rId38"/>
    <sheet name="PML" sheetId="14" state="hidden" r:id="rId39"/>
  </sheets>
  <definedNames>
    <definedName name="_xlnm._FilterDatabase" localSheetId="18" hidden="1">ADG!$A$9:$M$1297</definedName>
    <definedName name="_xlnm._FilterDatabase" localSheetId="19" hidden="1">FCR!$A$9:$M$1297</definedName>
    <definedName name="_xlnm._FilterDatabase" localSheetId="38" hidden="1">PML!$K$2:$R$40</definedName>
    <definedName name="_xlnm._FilterDatabase" localSheetId="0" hidden="1">'PML เรียง'!$K$2:$R$40</definedName>
    <definedName name="_xlnm._FilterDatabase" localSheetId="5" hidden="1">'PML!'!$M$2:$T$30</definedName>
    <definedName name="_xlnm._FilterDatabase" localSheetId="7" hidden="1">'PML! ACC'!$M$2:$T$30</definedName>
    <definedName name="_xlnm._FilterDatabase" localSheetId="3" hidden="1">'PML! weight'!$M$2:$T$30</definedName>
    <definedName name="_xlnm._FilterDatabase" localSheetId="2" hidden="1">'PML! weight (2)'!$M$2:$T$30</definedName>
    <definedName name="_xlnm._FilterDatabase" localSheetId="6" hidden="1">'PML!wa'!$M$2:$T$30</definedName>
    <definedName name="_xlnm._FilterDatabase" localSheetId="24" hidden="1">'RAW DATA 2023'!$A$2:$BT$1141</definedName>
    <definedName name="_xlnm._FilterDatabase" localSheetId="12" hidden="1">Sheet1!$B$54:$E$61</definedName>
    <definedName name="_xlnm._FilterDatabase" localSheetId="8" hidden="1">Sheet13!$AS$2:$BD$30</definedName>
    <definedName name="_xlnm._FilterDatabase" localSheetId="11" hidden="1">Sheet2!$A$1:$H$16</definedName>
    <definedName name="_xlnm._FilterDatabase" localSheetId="9" hidden="1">Sheet3!$A$30:$H$58</definedName>
    <definedName name="_xlnm._FilterDatabase" localSheetId="10" hidden="1">Sheet5!$A$1:$L$29</definedName>
    <definedName name="_xlnm._FilterDatabase" localSheetId="23" hidden="1">SIZE!$A$9:$I$1297</definedName>
    <definedName name="_xlnm._FilterDatabase" localSheetId="17" hidden="1">SR!$A$9:$M$1297</definedName>
    <definedName name="_xlnm._FilterDatabase" localSheetId="27" hidden="1">STD!$A$2:$G$2</definedName>
    <definedName name="_xlnm._FilterDatabase" localSheetId="36" hidden="1">YIELD!$A$9:$L$821</definedName>
    <definedName name="_xlnm._FilterDatabase" localSheetId="20" hidden="1">YIELDN!$A$9:$P$821</definedName>
    <definedName name="_xlnm._FilterDatabase" localSheetId="26" hidden="1">ทำตาราง!$B$89:$E$93</definedName>
    <definedName name="_xlnm._FilterDatabase" localSheetId="4" hidden="1">ปรับตาราง!$B$63:$M$80</definedName>
    <definedName name="_xlnm._FilterDatabase" localSheetId="14" hidden="1">ผลประหยัด!$A$9:$K$1297</definedName>
    <definedName name="Slicer_Farm">#N/A</definedName>
  </definedNames>
  <calcPr calcId="191029"/>
  <pivotCaches>
    <pivotCache cacheId="42" r:id="rId40"/>
    <pivotCache cacheId="43" r:id="rId41"/>
    <pivotCache cacheId="44" r:id="rId42"/>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43"/>
      </x15:slicerCaches>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10" i="7" l="1"/>
  <c r="F10" i="7"/>
  <c r="J10" i="5"/>
  <c r="F3" i="47"/>
  <c r="AK3" i="47"/>
  <c r="AK4" i="47"/>
  <c r="AK5" i="47"/>
  <c r="AK6" i="47"/>
  <c r="AK7" i="47"/>
  <c r="AK8" i="47"/>
  <c r="AK9" i="47"/>
  <c r="AK10" i="47"/>
  <c r="AK11" i="47"/>
  <c r="AK12" i="47"/>
  <c r="AK13" i="47"/>
  <c r="AK14" i="47"/>
  <c r="AK15" i="47"/>
  <c r="AK16" i="47"/>
  <c r="AK17" i="47"/>
  <c r="AK18" i="47"/>
  <c r="AK19" i="47"/>
  <c r="AK20" i="47"/>
  <c r="AK21" i="47"/>
  <c r="AK22" i="47"/>
  <c r="AK23" i="47"/>
  <c r="AK24" i="47"/>
  <c r="AK25" i="47"/>
  <c r="AK26" i="47"/>
  <c r="AK27" i="47"/>
  <c r="AK28" i="47"/>
  <c r="AK29" i="47"/>
  <c r="AK30" i="47"/>
  <c r="AK31" i="47"/>
  <c r="AK32" i="47"/>
  <c r="AK33" i="47"/>
  <c r="AK34" i="47"/>
  <c r="AK35" i="47"/>
  <c r="AK36" i="47"/>
  <c r="AK37" i="47"/>
  <c r="AK38" i="47"/>
  <c r="AK39" i="47"/>
  <c r="AK40" i="47"/>
  <c r="AK41" i="47"/>
  <c r="AK42" i="47"/>
  <c r="AK43" i="47"/>
  <c r="AK44" i="47"/>
  <c r="AK45" i="47"/>
  <c r="AK46" i="47"/>
  <c r="AK47" i="47"/>
  <c r="AK48" i="47"/>
  <c r="AK2" i="47"/>
  <c r="D30" i="47"/>
  <c r="D29" i="47"/>
  <c r="D28" i="47"/>
  <c r="D27" i="47"/>
  <c r="D26" i="47"/>
  <c r="D25" i="47"/>
  <c r="D24" i="47"/>
  <c r="D23" i="47"/>
  <c r="D22" i="47"/>
  <c r="D21" i="47"/>
  <c r="D20" i="47"/>
  <c r="D19" i="47"/>
  <c r="D18" i="47"/>
  <c r="D17" i="47"/>
  <c r="D16" i="47"/>
  <c r="D15" i="47"/>
  <c r="D14" i="47"/>
  <c r="D13" i="47"/>
  <c r="D12" i="47"/>
  <c r="D11" i="47"/>
  <c r="D10" i="47"/>
  <c r="D9" i="47"/>
  <c r="D8" i="47"/>
  <c r="D7" i="47"/>
  <c r="D6" i="47"/>
  <c r="D5" i="47"/>
  <c r="D4" i="47"/>
  <c r="D3" i="47"/>
  <c r="D3" i="43"/>
  <c r="N60" i="46"/>
  <c r="N64" i="46"/>
  <c r="N65" i="46"/>
  <c r="N66" i="46"/>
  <c r="N67" i="46"/>
  <c r="N68" i="46"/>
  <c r="N69" i="46"/>
  <c r="N70" i="46"/>
  <c r="N71" i="46"/>
  <c r="N72" i="46"/>
  <c r="N73" i="46"/>
  <c r="N74" i="46"/>
  <c r="N75" i="46"/>
  <c r="N76" i="46"/>
  <c r="N77" i="46"/>
  <c r="N78" i="46"/>
  <c r="N79" i="46"/>
  <c r="N80" i="46"/>
  <c r="N55" i="46"/>
  <c r="N56" i="46"/>
  <c r="N57" i="46"/>
  <c r="N58" i="46"/>
  <c r="N59" i="46"/>
  <c r="N54" i="46"/>
  <c r="N53" i="46"/>
  <c r="N50" i="46"/>
  <c r="N48" i="46"/>
  <c r="N47" i="46"/>
  <c r="N46" i="46"/>
  <c r="N45" i="46"/>
  <c r="N44" i="46"/>
  <c r="N49" i="46"/>
  <c r="N51" i="46"/>
  <c r="N52" i="46"/>
  <c r="N43" i="46"/>
  <c r="N24" i="46"/>
  <c r="BT909" i="1"/>
  <c r="BR909" i="1" s="1"/>
  <c r="BS909" i="1"/>
  <c r="BQ909" i="1"/>
  <c r="E909" i="1"/>
  <c r="BT908" i="1"/>
  <c r="BR908" i="1" s="1"/>
  <c r="BS908" i="1"/>
  <c r="BQ908" i="1"/>
  <c r="E908" i="1"/>
  <c r="BT907" i="1"/>
  <c r="BR907" i="1" s="1"/>
  <c r="BS907" i="1"/>
  <c r="BQ907" i="1"/>
  <c r="E907" i="1"/>
  <c r="BT906" i="1"/>
  <c r="BR906" i="1" s="1"/>
  <c r="BS906" i="1"/>
  <c r="BQ906" i="1"/>
  <c r="E906" i="1"/>
  <c r="BT905" i="1"/>
  <c r="BR905" i="1" s="1"/>
  <c r="BS905" i="1"/>
  <c r="BQ905" i="1"/>
  <c r="E905" i="1"/>
  <c r="BT904" i="1"/>
  <c r="BS904" i="1"/>
  <c r="BR904" i="1"/>
  <c r="BQ904" i="1"/>
  <c r="E904" i="1"/>
  <c r="BT903" i="1"/>
  <c r="BR903" i="1" s="1"/>
  <c r="BS903" i="1"/>
  <c r="BQ903" i="1"/>
  <c r="E903" i="1"/>
  <c r="BT902" i="1"/>
  <c r="BS902" i="1"/>
  <c r="BR902" i="1"/>
  <c r="BQ902" i="1"/>
  <c r="E902" i="1"/>
  <c r="BT901" i="1"/>
  <c r="BR901" i="1" s="1"/>
  <c r="BS901" i="1"/>
  <c r="BQ901" i="1"/>
  <c r="E901" i="1"/>
  <c r="BT900" i="1"/>
  <c r="BR900" i="1" s="1"/>
  <c r="BS900" i="1"/>
  <c r="BQ900" i="1"/>
  <c r="E900" i="1"/>
  <c r="BT899" i="1"/>
  <c r="BR899" i="1" s="1"/>
  <c r="BS899" i="1"/>
  <c r="BQ899" i="1"/>
  <c r="E899" i="1"/>
  <c r="BT898" i="1"/>
  <c r="BR898" i="1" s="1"/>
  <c r="BS898" i="1"/>
  <c r="BQ898" i="1"/>
  <c r="E898" i="1"/>
  <c r="BT897" i="1"/>
  <c r="BS897" i="1"/>
  <c r="BR897" i="1"/>
  <c r="BQ897" i="1"/>
  <c r="E897" i="1"/>
  <c r="BT896" i="1"/>
  <c r="BR896" i="1" s="1"/>
  <c r="BS896" i="1"/>
  <c r="BQ896" i="1"/>
  <c r="E896" i="1"/>
  <c r="BT895" i="1"/>
  <c r="BR895" i="1" s="1"/>
  <c r="BS895" i="1"/>
  <c r="BQ895" i="1"/>
  <c r="E895" i="1"/>
  <c r="BT894" i="1"/>
  <c r="BR894" i="1" s="1"/>
  <c r="BS894" i="1"/>
  <c r="BQ894" i="1"/>
  <c r="E894" i="1"/>
  <c r="BT893" i="1"/>
  <c r="BS893" i="1"/>
  <c r="BR893" i="1"/>
  <c r="BQ893" i="1"/>
  <c r="E893" i="1"/>
  <c r="BT892" i="1"/>
  <c r="BR892" i="1" s="1"/>
  <c r="BS892" i="1"/>
  <c r="BQ892" i="1"/>
  <c r="E892" i="1"/>
  <c r="BT891" i="1"/>
  <c r="BR891" i="1" s="1"/>
  <c r="BS891" i="1"/>
  <c r="BQ891" i="1"/>
  <c r="E891" i="1"/>
  <c r="BT890" i="1"/>
  <c r="BR890" i="1" s="1"/>
  <c r="BS890" i="1"/>
  <c r="BQ890" i="1"/>
  <c r="E890" i="1"/>
  <c r="BT889" i="1"/>
  <c r="BR889" i="1" s="1"/>
  <c r="BS889" i="1"/>
  <c r="BQ889" i="1"/>
  <c r="E889" i="1"/>
  <c r="BT888" i="1"/>
  <c r="BR888" i="1" s="1"/>
  <c r="BS888" i="1"/>
  <c r="BQ888" i="1"/>
  <c r="E888" i="1"/>
  <c r="BT887" i="1"/>
  <c r="BR887" i="1" s="1"/>
  <c r="BS887" i="1"/>
  <c r="BQ887" i="1"/>
  <c r="E887" i="1"/>
  <c r="BT886" i="1"/>
  <c r="BS886" i="1"/>
  <c r="BR886" i="1"/>
  <c r="BQ886" i="1"/>
  <c r="E886" i="1"/>
  <c r="BT885" i="1"/>
  <c r="BR885" i="1" s="1"/>
  <c r="BS885" i="1"/>
  <c r="BQ885" i="1"/>
  <c r="E885" i="1"/>
  <c r="BT884" i="1"/>
  <c r="BR884" i="1" s="1"/>
  <c r="BS884" i="1"/>
  <c r="BQ884" i="1"/>
  <c r="E884" i="1"/>
  <c r="BT883" i="1"/>
  <c r="BR883" i="1" s="1"/>
  <c r="BS883" i="1"/>
  <c r="BQ883" i="1"/>
  <c r="E883" i="1"/>
  <c r="BT882" i="1"/>
  <c r="BR882" i="1" s="1"/>
  <c r="BS882" i="1"/>
  <c r="BQ882" i="1"/>
  <c r="E882" i="1"/>
  <c r="BT881" i="1"/>
  <c r="BR881" i="1" s="1"/>
  <c r="BS881" i="1"/>
  <c r="BQ881" i="1"/>
  <c r="E881" i="1"/>
  <c r="BT880" i="1"/>
  <c r="BS880" i="1"/>
  <c r="BR880" i="1"/>
  <c r="BQ880" i="1"/>
  <c r="E880" i="1"/>
  <c r="BT879" i="1"/>
  <c r="BR879" i="1" s="1"/>
  <c r="BS879" i="1"/>
  <c r="BQ879" i="1"/>
  <c r="E879" i="1"/>
  <c r="BT878" i="1"/>
  <c r="BS878" i="1"/>
  <c r="BR878" i="1"/>
  <c r="BQ878" i="1"/>
  <c r="E878" i="1"/>
  <c r="BT877" i="1"/>
  <c r="BR877" i="1" s="1"/>
  <c r="BS877" i="1"/>
  <c r="BQ877" i="1"/>
  <c r="E877" i="1"/>
  <c r="BT876" i="1"/>
  <c r="BR876" i="1" s="1"/>
  <c r="BS876" i="1"/>
  <c r="BQ876" i="1"/>
  <c r="E876" i="1"/>
  <c r="BT875" i="1"/>
  <c r="BR875" i="1" s="1"/>
  <c r="BS875" i="1"/>
  <c r="BQ875" i="1"/>
  <c r="E875" i="1"/>
  <c r="BT874" i="1"/>
  <c r="BR874" i="1" s="1"/>
  <c r="BS874" i="1"/>
  <c r="BQ874" i="1"/>
  <c r="E874" i="1"/>
  <c r="BT873" i="1"/>
  <c r="BR873" i="1" s="1"/>
  <c r="BS873" i="1"/>
  <c r="BQ873" i="1"/>
  <c r="E873" i="1"/>
  <c r="BT872" i="1"/>
  <c r="BR872" i="1" s="1"/>
  <c r="BS872" i="1"/>
  <c r="BQ872" i="1"/>
  <c r="E872" i="1"/>
  <c r="BT871" i="1"/>
  <c r="BR871" i="1" s="1"/>
  <c r="BS871" i="1"/>
  <c r="BQ871" i="1"/>
  <c r="E871" i="1"/>
  <c r="BT870" i="1"/>
  <c r="BR870" i="1" s="1"/>
  <c r="BS870" i="1"/>
  <c r="BQ870" i="1"/>
  <c r="E870" i="1"/>
  <c r="BT869" i="1"/>
  <c r="BR869" i="1" s="1"/>
  <c r="BS869" i="1"/>
  <c r="BQ869" i="1"/>
  <c r="E869" i="1"/>
  <c r="BT868" i="1"/>
  <c r="BR868" i="1" s="1"/>
  <c r="BS868" i="1"/>
  <c r="BQ868" i="1"/>
  <c r="E868" i="1"/>
  <c r="BT867" i="1"/>
  <c r="BS867" i="1"/>
  <c r="BR867" i="1"/>
  <c r="BQ867" i="1"/>
  <c r="E867" i="1"/>
  <c r="BT866" i="1"/>
  <c r="BR866" i="1" s="1"/>
  <c r="BS866" i="1"/>
  <c r="BQ866" i="1"/>
  <c r="E866" i="1"/>
  <c r="BT865" i="1"/>
  <c r="BR865" i="1" s="1"/>
  <c r="BS865" i="1"/>
  <c r="BQ865" i="1"/>
  <c r="E865" i="1"/>
  <c r="BT864" i="1"/>
  <c r="BS864" i="1"/>
  <c r="BR864" i="1"/>
  <c r="BQ864" i="1"/>
  <c r="E864" i="1"/>
  <c r="BT863" i="1"/>
  <c r="BR863" i="1" s="1"/>
  <c r="BS863" i="1"/>
  <c r="BQ863" i="1"/>
  <c r="E863" i="1"/>
  <c r="BT862" i="1"/>
  <c r="BR862" i="1" s="1"/>
  <c r="BS862" i="1"/>
  <c r="BQ862" i="1"/>
  <c r="E862" i="1"/>
  <c r="BT861" i="1"/>
  <c r="BS861" i="1"/>
  <c r="BR861" i="1"/>
  <c r="BQ861" i="1"/>
  <c r="E861" i="1"/>
  <c r="BT860" i="1"/>
  <c r="BR860" i="1" s="1"/>
  <c r="BS860" i="1"/>
  <c r="BQ860" i="1"/>
  <c r="E860" i="1"/>
  <c r="BT859" i="1"/>
  <c r="BR859" i="1" s="1"/>
  <c r="BS859" i="1"/>
  <c r="BQ859" i="1"/>
  <c r="E859" i="1"/>
  <c r="BT858" i="1"/>
  <c r="BR858" i="1" s="1"/>
  <c r="BS858" i="1"/>
  <c r="BQ858" i="1"/>
  <c r="E858" i="1"/>
  <c r="BT857" i="1"/>
  <c r="BR857" i="1" s="1"/>
  <c r="BS857" i="1"/>
  <c r="BQ857" i="1"/>
  <c r="E857" i="1"/>
  <c r="BT856" i="1"/>
  <c r="BR856" i="1" s="1"/>
  <c r="BS856" i="1"/>
  <c r="BQ856" i="1"/>
  <c r="E856" i="1"/>
  <c r="BT855" i="1"/>
  <c r="BR855" i="1" s="1"/>
  <c r="BS855" i="1"/>
  <c r="BQ855" i="1"/>
  <c r="E855" i="1"/>
  <c r="BT854" i="1"/>
  <c r="BS854" i="1"/>
  <c r="BR854" i="1"/>
  <c r="BQ854" i="1"/>
  <c r="E854" i="1"/>
  <c r="BT853" i="1"/>
  <c r="BR853" i="1" s="1"/>
  <c r="BS853" i="1"/>
  <c r="BQ853" i="1"/>
  <c r="E853" i="1"/>
  <c r="BT852" i="1"/>
  <c r="BR852" i="1" s="1"/>
  <c r="BS852" i="1"/>
  <c r="BQ852" i="1"/>
  <c r="E852" i="1"/>
  <c r="BT851" i="1"/>
  <c r="BR851" i="1" s="1"/>
  <c r="BS851" i="1"/>
  <c r="BQ851" i="1"/>
  <c r="E851" i="1"/>
  <c r="BT850" i="1"/>
  <c r="BR850" i="1" s="1"/>
  <c r="BS850" i="1"/>
  <c r="BQ850" i="1"/>
  <c r="E850" i="1"/>
  <c r="BT849" i="1"/>
  <c r="BR849" i="1" s="1"/>
  <c r="BS849" i="1"/>
  <c r="BQ849" i="1"/>
  <c r="E849" i="1"/>
  <c r="BT848" i="1"/>
  <c r="BS848" i="1"/>
  <c r="BR848" i="1"/>
  <c r="BQ848" i="1"/>
  <c r="E848" i="1"/>
  <c r="BT847" i="1"/>
  <c r="BR847" i="1" s="1"/>
  <c r="BS847" i="1"/>
  <c r="BQ847" i="1"/>
  <c r="E847" i="1"/>
  <c r="BT846" i="1"/>
  <c r="BR846" i="1" s="1"/>
  <c r="BS846" i="1"/>
  <c r="BQ846" i="1"/>
  <c r="E846" i="1"/>
  <c r="BT845" i="1"/>
  <c r="BR845" i="1" s="1"/>
  <c r="BS845" i="1"/>
  <c r="BQ845" i="1"/>
  <c r="E845" i="1"/>
  <c r="BT844" i="1"/>
  <c r="BR844" i="1" s="1"/>
  <c r="BS844" i="1"/>
  <c r="BQ844" i="1"/>
  <c r="E844" i="1"/>
  <c r="BT843" i="1"/>
  <c r="BR843" i="1" s="1"/>
  <c r="BS843" i="1"/>
  <c r="BQ843" i="1"/>
  <c r="E843" i="1"/>
  <c r="BT842" i="1"/>
  <c r="BR842" i="1" s="1"/>
  <c r="BS842" i="1"/>
  <c r="BQ842" i="1"/>
  <c r="E842" i="1"/>
  <c r="BT841" i="1"/>
  <c r="BS841" i="1"/>
  <c r="BR841" i="1"/>
  <c r="BQ841" i="1"/>
  <c r="E841" i="1"/>
  <c r="BT840" i="1"/>
  <c r="BS840" i="1"/>
  <c r="BR840" i="1"/>
  <c r="BQ840" i="1"/>
  <c r="E840" i="1"/>
  <c r="BT839" i="1"/>
  <c r="BR839" i="1" s="1"/>
  <c r="BS839" i="1"/>
  <c r="BQ839" i="1"/>
  <c r="E839" i="1"/>
  <c r="BT838" i="1"/>
  <c r="BS838" i="1"/>
  <c r="BR838" i="1"/>
  <c r="BQ838" i="1"/>
  <c r="E838" i="1"/>
  <c r="BT837" i="1"/>
  <c r="BR837" i="1" s="1"/>
  <c r="BS837" i="1"/>
  <c r="BQ837" i="1"/>
  <c r="E837" i="1"/>
  <c r="BT836" i="1"/>
  <c r="BR836" i="1" s="1"/>
  <c r="BS836" i="1"/>
  <c r="BQ836" i="1"/>
  <c r="E836" i="1"/>
  <c r="BT835" i="1"/>
  <c r="BR835" i="1" s="1"/>
  <c r="BS835" i="1"/>
  <c r="BQ835" i="1"/>
  <c r="E835" i="1"/>
  <c r="BT834" i="1"/>
  <c r="BR834" i="1" s="1"/>
  <c r="BS834" i="1"/>
  <c r="BQ834" i="1"/>
  <c r="E834" i="1"/>
  <c r="BT833" i="1"/>
  <c r="BR833" i="1" s="1"/>
  <c r="BS833" i="1"/>
  <c r="BQ833" i="1"/>
  <c r="E833" i="1"/>
  <c r="BT832" i="1"/>
  <c r="BR832" i="1" s="1"/>
  <c r="BS832" i="1"/>
  <c r="BQ832" i="1"/>
  <c r="E832" i="1"/>
  <c r="BT831" i="1"/>
  <c r="BR831" i="1" s="1"/>
  <c r="BS831" i="1"/>
  <c r="BQ831" i="1"/>
  <c r="E831" i="1"/>
  <c r="BT830" i="1"/>
  <c r="BR830" i="1" s="1"/>
  <c r="BS830" i="1"/>
  <c r="BQ830" i="1"/>
  <c r="E830" i="1"/>
  <c r="BT829" i="1"/>
  <c r="BS829" i="1"/>
  <c r="BR829" i="1"/>
  <c r="BQ829" i="1"/>
  <c r="E829" i="1"/>
  <c r="BT828" i="1"/>
  <c r="BR828" i="1" s="1"/>
  <c r="BS828" i="1"/>
  <c r="BQ828" i="1"/>
  <c r="E828" i="1"/>
  <c r="BT827" i="1"/>
  <c r="BR827" i="1" s="1"/>
  <c r="BS827" i="1"/>
  <c r="BQ827" i="1"/>
  <c r="E827" i="1"/>
  <c r="BT826" i="1"/>
  <c r="BR826" i="1" s="1"/>
  <c r="BS826" i="1"/>
  <c r="BQ826" i="1"/>
  <c r="E826" i="1"/>
  <c r="BT825" i="1"/>
  <c r="BR825" i="1" s="1"/>
  <c r="BS825" i="1"/>
  <c r="BQ825" i="1"/>
  <c r="E825" i="1"/>
  <c r="BT824" i="1"/>
  <c r="BR824" i="1" s="1"/>
  <c r="BS824" i="1"/>
  <c r="BQ824" i="1"/>
  <c r="E824" i="1"/>
  <c r="BT823" i="1"/>
  <c r="BR823" i="1" s="1"/>
  <c r="BS823" i="1"/>
  <c r="BQ823" i="1"/>
  <c r="E823" i="1"/>
  <c r="BT822" i="1"/>
  <c r="BS822" i="1"/>
  <c r="BR822" i="1"/>
  <c r="BQ822" i="1"/>
  <c r="E822" i="1"/>
  <c r="BT821" i="1"/>
  <c r="BR821" i="1" s="1"/>
  <c r="BS821" i="1"/>
  <c r="BQ821" i="1"/>
  <c r="E821" i="1"/>
  <c r="BT820" i="1"/>
  <c r="BR820" i="1" s="1"/>
  <c r="BS820" i="1"/>
  <c r="BQ820" i="1"/>
  <c r="E820" i="1"/>
  <c r="BT819" i="1"/>
  <c r="BS819" i="1"/>
  <c r="BR819" i="1"/>
  <c r="BQ819" i="1"/>
  <c r="E819" i="1"/>
  <c r="BT818" i="1"/>
  <c r="BR818" i="1" s="1"/>
  <c r="BS818" i="1"/>
  <c r="BQ818" i="1"/>
  <c r="E818" i="1"/>
  <c r="BT817" i="1"/>
  <c r="BR817" i="1" s="1"/>
  <c r="BS817" i="1"/>
  <c r="BQ817" i="1"/>
  <c r="E817" i="1"/>
  <c r="BT816" i="1"/>
  <c r="BS816" i="1"/>
  <c r="BR816" i="1"/>
  <c r="BQ816" i="1"/>
  <c r="E816" i="1"/>
  <c r="BT815" i="1"/>
  <c r="BR815" i="1" s="1"/>
  <c r="BS815" i="1"/>
  <c r="BQ815" i="1"/>
  <c r="E815" i="1"/>
  <c r="BT814" i="1"/>
  <c r="BS814" i="1"/>
  <c r="BR814" i="1"/>
  <c r="BQ814" i="1"/>
  <c r="E814" i="1"/>
  <c r="BT813" i="1"/>
  <c r="BR813" i="1" s="1"/>
  <c r="BS813" i="1"/>
  <c r="BQ813" i="1"/>
  <c r="E813" i="1"/>
  <c r="BT812" i="1"/>
  <c r="BR812" i="1" s="1"/>
  <c r="BS812" i="1"/>
  <c r="BQ812" i="1"/>
  <c r="E812" i="1"/>
  <c r="BT811" i="1"/>
  <c r="BR811" i="1" s="1"/>
  <c r="BS811" i="1"/>
  <c r="BQ811" i="1"/>
  <c r="E811" i="1"/>
  <c r="BT810" i="1"/>
  <c r="BR810" i="1" s="1"/>
  <c r="BS810" i="1"/>
  <c r="BQ810" i="1"/>
  <c r="E810" i="1"/>
  <c r="BT809" i="1"/>
  <c r="BR809" i="1" s="1"/>
  <c r="BS809" i="1"/>
  <c r="BQ809" i="1"/>
  <c r="E809" i="1"/>
  <c r="BT808" i="1"/>
  <c r="BR808" i="1" s="1"/>
  <c r="BS808" i="1"/>
  <c r="BQ808" i="1"/>
  <c r="E808" i="1"/>
  <c r="BT807" i="1"/>
  <c r="BR807" i="1" s="1"/>
  <c r="BS807" i="1"/>
  <c r="BQ807" i="1"/>
  <c r="E807" i="1"/>
  <c r="BT806" i="1"/>
  <c r="BR806" i="1" s="1"/>
  <c r="BS806" i="1"/>
  <c r="BQ806" i="1"/>
  <c r="E806" i="1"/>
  <c r="BT805" i="1"/>
  <c r="BR805" i="1" s="1"/>
  <c r="BS805" i="1"/>
  <c r="BQ805" i="1"/>
  <c r="E805" i="1"/>
  <c r="BT804" i="1"/>
  <c r="BR804" i="1" s="1"/>
  <c r="BS804" i="1"/>
  <c r="BQ804" i="1"/>
  <c r="E804" i="1"/>
  <c r="BT803" i="1"/>
  <c r="BR803" i="1" s="1"/>
  <c r="BS803" i="1"/>
  <c r="BQ803" i="1"/>
  <c r="E803" i="1"/>
  <c r="BT802" i="1"/>
  <c r="BR802" i="1" s="1"/>
  <c r="BS802" i="1"/>
  <c r="BQ802" i="1"/>
  <c r="E802" i="1"/>
  <c r="BT801" i="1"/>
  <c r="BR801" i="1" s="1"/>
  <c r="BS801" i="1"/>
  <c r="BQ801" i="1"/>
  <c r="E801" i="1"/>
  <c r="BT800" i="1"/>
  <c r="BS800" i="1"/>
  <c r="BR800" i="1"/>
  <c r="BQ800" i="1"/>
  <c r="E800" i="1"/>
  <c r="BT799" i="1"/>
  <c r="BR799" i="1" s="1"/>
  <c r="BS799" i="1"/>
  <c r="BQ799" i="1"/>
  <c r="E799" i="1"/>
  <c r="BT798" i="1"/>
  <c r="BS798" i="1"/>
  <c r="BR798" i="1"/>
  <c r="BQ798" i="1"/>
  <c r="E798" i="1"/>
  <c r="BT797" i="1"/>
  <c r="BR797" i="1" s="1"/>
  <c r="BS797" i="1"/>
  <c r="BQ797" i="1"/>
  <c r="E797" i="1"/>
  <c r="BT796" i="1"/>
  <c r="BR796" i="1" s="1"/>
  <c r="BS796" i="1"/>
  <c r="BQ796" i="1"/>
  <c r="E796" i="1"/>
  <c r="BT795" i="1"/>
  <c r="BR795" i="1" s="1"/>
  <c r="BS795" i="1"/>
  <c r="BQ795" i="1"/>
  <c r="E795" i="1"/>
  <c r="BT794" i="1"/>
  <c r="BR794" i="1" s="1"/>
  <c r="BS794" i="1"/>
  <c r="BQ794" i="1"/>
  <c r="E794" i="1"/>
  <c r="BT793" i="1"/>
  <c r="BR793" i="1" s="1"/>
  <c r="BS793" i="1"/>
  <c r="BQ793" i="1"/>
  <c r="E793" i="1"/>
  <c r="BT792" i="1"/>
  <c r="BR792" i="1" s="1"/>
  <c r="BS792" i="1"/>
  <c r="BQ792" i="1"/>
  <c r="E792" i="1"/>
  <c r="BT791" i="1"/>
  <c r="BR791" i="1" s="1"/>
  <c r="BS791" i="1"/>
  <c r="BQ791" i="1"/>
  <c r="E791" i="1"/>
  <c r="BT790" i="1"/>
  <c r="BR790" i="1" s="1"/>
  <c r="BS790" i="1"/>
  <c r="BQ790" i="1"/>
  <c r="E790" i="1"/>
  <c r="BT789" i="1"/>
  <c r="BR789" i="1" s="1"/>
  <c r="BS789" i="1"/>
  <c r="BQ789" i="1"/>
  <c r="E789" i="1"/>
  <c r="BT788" i="1"/>
  <c r="BR788" i="1" s="1"/>
  <c r="BS788" i="1"/>
  <c r="BQ788" i="1"/>
  <c r="E788" i="1"/>
  <c r="BT787" i="1"/>
  <c r="BS787" i="1"/>
  <c r="BR787" i="1"/>
  <c r="BQ787" i="1"/>
  <c r="E787" i="1"/>
  <c r="BT786" i="1"/>
  <c r="BR786" i="1" s="1"/>
  <c r="BS786" i="1"/>
  <c r="BQ786" i="1"/>
  <c r="E786" i="1"/>
  <c r="BT785" i="1"/>
  <c r="BR785" i="1" s="1"/>
  <c r="BS785" i="1"/>
  <c r="BQ785" i="1"/>
  <c r="E785" i="1"/>
  <c r="BT784" i="1"/>
  <c r="BS784" i="1"/>
  <c r="BR784" i="1"/>
  <c r="BQ784" i="1"/>
  <c r="E784" i="1"/>
  <c r="BT783" i="1"/>
  <c r="BR783" i="1" s="1"/>
  <c r="BS783" i="1"/>
  <c r="BQ783" i="1"/>
  <c r="E783" i="1"/>
  <c r="BT782" i="1"/>
  <c r="BR782" i="1" s="1"/>
  <c r="BS782" i="1"/>
  <c r="BQ782" i="1"/>
  <c r="E782" i="1"/>
  <c r="BT781" i="1"/>
  <c r="BR781" i="1" s="1"/>
  <c r="BS781" i="1"/>
  <c r="BQ781" i="1"/>
  <c r="E781" i="1"/>
  <c r="BT780" i="1"/>
  <c r="BR780" i="1" s="1"/>
  <c r="BS780" i="1"/>
  <c r="BQ780" i="1"/>
  <c r="E780" i="1"/>
  <c r="BT779" i="1"/>
  <c r="BS779" i="1"/>
  <c r="BR779" i="1"/>
  <c r="BQ779" i="1"/>
  <c r="E779" i="1"/>
  <c r="BT778" i="1"/>
  <c r="BR778" i="1" s="1"/>
  <c r="BS778" i="1"/>
  <c r="BQ778" i="1"/>
  <c r="E778" i="1"/>
  <c r="BT777" i="1"/>
  <c r="BR777" i="1" s="1"/>
  <c r="BS777" i="1"/>
  <c r="BQ777" i="1"/>
  <c r="E777" i="1"/>
  <c r="BT776" i="1"/>
  <c r="BS776" i="1"/>
  <c r="BR776" i="1"/>
  <c r="BQ776" i="1"/>
  <c r="E776" i="1"/>
  <c r="BT775" i="1"/>
  <c r="BR775" i="1" s="1"/>
  <c r="BS775" i="1"/>
  <c r="BQ775" i="1"/>
  <c r="E775" i="1"/>
  <c r="BT774" i="1"/>
  <c r="BS774" i="1"/>
  <c r="BR774" i="1"/>
  <c r="BQ774" i="1"/>
  <c r="E774" i="1"/>
  <c r="BT773" i="1"/>
  <c r="BR773" i="1" s="1"/>
  <c r="BS773" i="1"/>
  <c r="BQ773" i="1"/>
  <c r="E773" i="1"/>
  <c r="BT772" i="1"/>
  <c r="BR772" i="1" s="1"/>
  <c r="BS772" i="1"/>
  <c r="BQ772" i="1"/>
  <c r="E772" i="1"/>
  <c r="BT771" i="1"/>
  <c r="BR771" i="1" s="1"/>
  <c r="BS771" i="1"/>
  <c r="BQ771" i="1"/>
  <c r="E771" i="1"/>
  <c r="BT770" i="1"/>
  <c r="BR770" i="1" s="1"/>
  <c r="BS770" i="1"/>
  <c r="BQ770" i="1"/>
  <c r="E770" i="1"/>
  <c r="BT769" i="1"/>
  <c r="BR769" i="1" s="1"/>
  <c r="BS769" i="1"/>
  <c r="BQ769" i="1"/>
  <c r="E769" i="1"/>
  <c r="BT768" i="1"/>
  <c r="BR768" i="1" s="1"/>
  <c r="BS768" i="1"/>
  <c r="BQ768" i="1"/>
  <c r="E768" i="1"/>
  <c r="BT767" i="1"/>
  <c r="BR767" i="1" s="1"/>
  <c r="BS767" i="1"/>
  <c r="BQ767" i="1"/>
  <c r="E767" i="1"/>
  <c r="BT766" i="1"/>
  <c r="BS766" i="1"/>
  <c r="BR766" i="1"/>
  <c r="BQ766" i="1"/>
  <c r="E766" i="1"/>
  <c r="BT765" i="1"/>
  <c r="BR765" i="1" s="1"/>
  <c r="BS765" i="1"/>
  <c r="BQ765" i="1"/>
  <c r="E765" i="1"/>
  <c r="BT764" i="1"/>
  <c r="BR764" i="1" s="1"/>
  <c r="BS764" i="1"/>
  <c r="BQ764" i="1"/>
  <c r="E764" i="1"/>
  <c r="BT763" i="1"/>
  <c r="BS763" i="1"/>
  <c r="BR763" i="1"/>
  <c r="BQ763" i="1"/>
  <c r="E763" i="1"/>
  <c r="BT762" i="1"/>
  <c r="BR762" i="1" s="1"/>
  <c r="BS762" i="1"/>
  <c r="BQ762" i="1"/>
  <c r="E762" i="1"/>
  <c r="BT761" i="1"/>
  <c r="BR761" i="1" s="1"/>
  <c r="BS761" i="1"/>
  <c r="BQ761" i="1"/>
  <c r="E761" i="1"/>
  <c r="BT760" i="1"/>
  <c r="BS760" i="1"/>
  <c r="BR760" i="1"/>
  <c r="BQ760" i="1"/>
  <c r="E760" i="1"/>
  <c r="BT759" i="1"/>
  <c r="BR759" i="1" s="1"/>
  <c r="BS759" i="1"/>
  <c r="BQ759" i="1"/>
  <c r="E759" i="1"/>
  <c r="BT758" i="1"/>
  <c r="BS758" i="1"/>
  <c r="BR758" i="1"/>
  <c r="BQ758" i="1"/>
  <c r="E758" i="1"/>
  <c r="BT757" i="1"/>
  <c r="BR757" i="1" s="1"/>
  <c r="BS757" i="1"/>
  <c r="BQ757" i="1"/>
  <c r="E757" i="1"/>
  <c r="BT756" i="1"/>
  <c r="BR756" i="1" s="1"/>
  <c r="BS756" i="1"/>
  <c r="BQ756" i="1"/>
  <c r="E756" i="1"/>
  <c r="BT755" i="1"/>
  <c r="BR755" i="1" s="1"/>
  <c r="BS755" i="1"/>
  <c r="BQ755" i="1"/>
  <c r="E755" i="1"/>
  <c r="BT754" i="1"/>
  <c r="BR754" i="1" s="1"/>
  <c r="BS754" i="1"/>
  <c r="BQ754" i="1"/>
  <c r="E754" i="1"/>
  <c r="BT753" i="1"/>
  <c r="BR753" i="1" s="1"/>
  <c r="BS753" i="1"/>
  <c r="BQ753" i="1"/>
  <c r="E753" i="1"/>
  <c r="BT752" i="1"/>
  <c r="BS752" i="1"/>
  <c r="BR752" i="1"/>
  <c r="BQ752" i="1"/>
  <c r="E752" i="1"/>
  <c r="BT751" i="1"/>
  <c r="BR751" i="1" s="1"/>
  <c r="BS751" i="1"/>
  <c r="BQ751" i="1"/>
  <c r="E751" i="1"/>
  <c r="BT750" i="1"/>
  <c r="BR750" i="1" s="1"/>
  <c r="BS750" i="1"/>
  <c r="BQ750" i="1"/>
  <c r="E750" i="1"/>
  <c r="BT749" i="1"/>
  <c r="BR749" i="1" s="1"/>
  <c r="BS749" i="1"/>
  <c r="BQ749" i="1"/>
  <c r="E749" i="1"/>
  <c r="BT748" i="1"/>
  <c r="BR748" i="1" s="1"/>
  <c r="BS748" i="1"/>
  <c r="BQ748" i="1"/>
  <c r="E748" i="1"/>
  <c r="BT747" i="1"/>
  <c r="BS747" i="1"/>
  <c r="BR747" i="1"/>
  <c r="BQ747" i="1"/>
  <c r="E747" i="1"/>
  <c r="BT746" i="1"/>
  <c r="BR746" i="1" s="1"/>
  <c r="BS746" i="1"/>
  <c r="BQ746" i="1"/>
  <c r="E746" i="1"/>
  <c r="BT745" i="1"/>
  <c r="BR745" i="1" s="1"/>
  <c r="BS745" i="1"/>
  <c r="BQ745" i="1"/>
  <c r="E745" i="1"/>
  <c r="BT744" i="1"/>
  <c r="BS744" i="1"/>
  <c r="BR744" i="1"/>
  <c r="BQ744" i="1"/>
  <c r="E744" i="1"/>
  <c r="BT743" i="1"/>
  <c r="BR743" i="1" s="1"/>
  <c r="BS743" i="1"/>
  <c r="BQ743" i="1"/>
  <c r="E743" i="1"/>
  <c r="BT742" i="1"/>
  <c r="BR742" i="1" s="1"/>
  <c r="BS742" i="1"/>
  <c r="BQ742" i="1"/>
  <c r="E742" i="1"/>
  <c r="BT741" i="1"/>
  <c r="BR741" i="1" s="1"/>
  <c r="BS741" i="1"/>
  <c r="BQ741" i="1"/>
  <c r="E741" i="1"/>
  <c r="BT740" i="1"/>
  <c r="BR740" i="1" s="1"/>
  <c r="BS740" i="1"/>
  <c r="BQ740" i="1"/>
  <c r="E740" i="1"/>
  <c r="BT739" i="1"/>
  <c r="BR739" i="1" s="1"/>
  <c r="BS739" i="1"/>
  <c r="BQ739" i="1"/>
  <c r="E739" i="1"/>
  <c r="BT738" i="1"/>
  <c r="BR738" i="1" s="1"/>
  <c r="BS738" i="1"/>
  <c r="BQ738" i="1"/>
  <c r="E738" i="1"/>
  <c r="BT737" i="1"/>
  <c r="BS737" i="1"/>
  <c r="BR737" i="1"/>
  <c r="BQ737" i="1"/>
  <c r="E737" i="1"/>
  <c r="BT736" i="1"/>
  <c r="BS736" i="1"/>
  <c r="BR736" i="1"/>
  <c r="BQ736" i="1"/>
  <c r="E736" i="1"/>
  <c r="BT735" i="1"/>
  <c r="BR735" i="1" s="1"/>
  <c r="BS735" i="1"/>
  <c r="BQ735" i="1"/>
  <c r="E735" i="1"/>
  <c r="BT734" i="1"/>
  <c r="BR734" i="1" s="1"/>
  <c r="BS734" i="1"/>
  <c r="BQ734" i="1"/>
  <c r="E734" i="1"/>
  <c r="BT733" i="1"/>
  <c r="BR733" i="1" s="1"/>
  <c r="BS733" i="1"/>
  <c r="BQ733" i="1"/>
  <c r="E733" i="1"/>
  <c r="BT732" i="1"/>
  <c r="BR732" i="1" s="1"/>
  <c r="BS732" i="1"/>
  <c r="BQ732" i="1"/>
  <c r="E732" i="1"/>
  <c r="BT731" i="1"/>
  <c r="BS731" i="1"/>
  <c r="BR731" i="1"/>
  <c r="BQ731" i="1"/>
  <c r="E731" i="1"/>
  <c r="BT730" i="1"/>
  <c r="BR730" i="1" s="1"/>
  <c r="BS730" i="1"/>
  <c r="BQ730" i="1"/>
  <c r="E730" i="1"/>
  <c r="BT729" i="1"/>
  <c r="BR729" i="1" s="1"/>
  <c r="BS729" i="1"/>
  <c r="BQ729" i="1"/>
  <c r="E729" i="1"/>
  <c r="BT728" i="1"/>
  <c r="BR728" i="1" s="1"/>
  <c r="BS728" i="1"/>
  <c r="BQ728" i="1"/>
  <c r="E728" i="1"/>
  <c r="BT727" i="1"/>
  <c r="BR727" i="1" s="1"/>
  <c r="BS727" i="1"/>
  <c r="BQ727" i="1"/>
  <c r="E727" i="1"/>
  <c r="BT726" i="1"/>
  <c r="BR726" i="1" s="1"/>
  <c r="BS726" i="1"/>
  <c r="BQ726" i="1"/>
  <c r="E726" i="1"/>
  <c r="BT725" i="1"/>
  <c r="BR725" i="1" s="1"/>
  <c r="BS725" i="1"/>
  <c r="BQ725" i="1"/>
  <c r="E725" i="1"/>
  <c r="BT724" i="1"/>
  <c r="BR724" i="1" s="1"/>
  <c r="BS724" i="1"/>
  <c r="BQ724" i="1"/>
  <c r="E724" i="1"/>
  <c r="BT723" i="1"/>
  <c r="BR723" i="1" s="1"/>
  <c r="BS723" i="1"/>
  <c r="BQ723" i="1"/>
  <c r="E723" i="1"/>
  <c r="BT722" i="1"/>
  <c r="BR722" i="1" s="1"/>
  <c r="BS722" i="1"/>
  <c r="BQ722" i="1"/>
  <c r="E722" i="1"/>
  <c r="BT721" i="1"/>
  <c r="BS721" i="1"/>
  <c r="BR721" i="1"/>
  <c r="BQ721" i="1"/>
  <c r="E721" i="1"/>
  <c r="BT720" i="1"/>
  <c r="BR720" i="1" s="1"/>
  <c r="BS720" i="1"/>
  <c r="BQ720" i="1"/>
  <c r="E720" i="1"/>
  <c r="BT719" i="1"/>
  <c r="BR719" i="1" s="1"/>
  <c r="BS719" i="1"/>
  <c r="BQ719" i="1"/>
  <c r="E719" i="1"/>
  <c r="BT718" i="1"/>
  <c r="BR718" i="1" s="1"/>
  <c r="BS718" i="1"/>
  <c r="BQ718" i="1"/>
  <c r="E718" i="1"/>
  <c r="BT717" i="1"/>
  <c r="BR717" i="1" s="1"/>
  <c r="BS717" i="1"/>
  <c r="BQ717" i="1"/>
  <c r="E717" i="1"/>
  <c r="BT716" i="1"/>
  <c r="BR716" i="1" s="1"/>
  <c r="BS716" i="1"/>
  <c r="BQ716" i="1"/>
  <c r="E716" i="1"/>
  <c r="BT715" i="1"/>
  <c r="BS715" i="1"/>
  <c r="BR715" i="1"/>
  <c r="BQ715" i="1"/>
  <c r="E715" i="1"/>
  <c r="BT714" i="1"/>
  <c r="BR714" i="1" s="1"/>
  <c r="BS714" i="1"/>
  <c r="BQ714" i="1"/>
  <c r="E714" i="1"/>
  <c r="BT713" i="1"/>
  <c r="BR713" i="1" s="1"/>
  <c r="BS713" i="1"/>
  <c r="BQ713" i="1"/>
  <c r="E713" i="1"/>
  <c r="BT712" i="1"/>
  <c r="BR712" i="1" s="1"/>
  <c r="BS712" i="1"/>
  <c r="BQ712" i="1"/>
  <c r="E712" i="1"/>
  <c r="BT711" i="1"/>
  <c r="BR711" i="1" s="1"/>
  <c r="BS711" i="1"/>
  <c r="BQ711" i="1"/>
  <c r="E711" i="1"/>
  <c r="BT710" i="1"/>
  <c r="BR710" i="1" s="1"/>
  <c r="BS710" i="1"/>
  <c r="BQ710" i="1"/>
  <c r="E710" i="1"/>
  <c r="BT709" i="1"/>
  <c r="BS709" i="1"/>
  <c r="BR709" i="1"/>
  <c r="BQ709" i="1"/>
  <c r="E709" i="1"/>
  <c r="BT708" i="1"/>
  <c r="BR708" i="1" s="1"/>
  <c r="BS708" i="1"/>
  <c r="BQ708" i="1"/>
  <c r="E708" i="1"/>
  <c r="BT707" i="1"/>
  <c r="BS707" i="1"/>
  <c r="BR707" i="1"/>
  <c r="BQ707" i="1"/>
  <c r="E707" i="1"/>
  <c r="BT706" i="1"/>
  <c r="BR706" i="1" s="1"/>
  <c r="BS706" i="1"/>
  <c r="BQ706" i="1"/>
  <c r="E706" i="1"/>
  <c r="BT705" i="1"/>
  <c r="BR705" i="1" s="1"/>
  <c r="BS705" i="1"/>
  <c r="BQ705" i="1"/>
  <c r="E705" i="1"/>
  <c r="BT704" i="1"/>
  <c r="BS704" i="1"/>
  <c r="BR704" i="1"/>
  <c r="BQ704" i="1"/>
  <c r="E704" i="1"/>
  <c r="BT703" i="1"/>
  <c r="BR703" i="1" s="1"/>
  <c r="BS703" i="1"/>
  <c r="BQ703" i="1"/>
  <c r="E703" i="1"/>
  <c r="BT702" i="1"/>
  <c r="BS702" i="1"/>
  <c r="BR702" i="1"/>
  <c r="BQ702" i="1"/>
  <c r="E702" i="1"/>
  <c r="BT701" i="1"/>
  <c r="BR701" i="1" s="1"/>
  <c r="BS701" i="1"/>
  <c r="BQ701" i="1"/>
  <c r="E701" i="1"/>
  <c r="BT700" i="1"/>
  <c r="BR700" i="1" s="1"/>
  <c r="BS700" i="1"/>
  <c r="BQ700" i="1"/>
  <c r="E700" i="1"/>
  <c r="BT699" i="1"/>
  <c r="BR699" i="1" s="1"/>
  <c r="BS699" i="1"/>
  <c r="BQ699" i="1"/>
  <c r="E699" i="1"/>
  <c r="BT698" i="1"/>
  <c r="BR698" i="1" s="1"/>
  <c r="BS698" i="1"/>
  <c r="BQ698" i="1"/>
  <c r="E698" i="1"/>
  <c r="BT697" i="1"/>
  <c r="BS697" i="1"/>
  <c r="BR697" i="1"/>
  <c r="BQ697" i="1"/>
  <c r="E697" i="1"/>
  <c r="BT696" i="1"/>
  <c r="BR696" i="1" s="1"/>
  <c r="BS696" i="1"/>
  <c r="BQ696" i="1"/>
  <c r="E696" i="1"/>
  <c r="BT695" i="1"/>
  <c r="BR695" i="1" s="1"/>
  <c r="BS695" i="1"/>
  <c r="BQ695" i="1"/>
  <c r="E695" i="1"/>
  <c r="BT694" i="1"/>
  <c r="BR694" i="1" s="1"/>
  <c r="BS694" i="1"/>
  <c r="BQ694" i="1"/>
  <c r="E694" i="1"/>
  <c r="BT693" i="1"/>
  <c r="BR693" i="1" s="1"/>
  <c r="BS693" i="1"/>
  <c r="BQ693" i="1"/>
  <c r="E693" i="1"/>
  <c r="BT692" i="1"/>
  <c r="BR692" i="1" s="1"/>
  <c r="BS692" i="1"/>
  <c r="BQ692" i="1"/>
  <c r="E692" i="1"/>
  <c r="BT691" i="1"/>
  <c r="BR691" i="1" s="1"/>
  <c r="BS691" i="1"/>
  <c r="BQ691" i="1"/>
  <c r="E691" i="1"/>
  <c r="BT690" i="1"/>
  <c r="BR690" i="1" s="1"/>
  <c r="BS690" i="1"/>
  <c r="BQ690" i="1"/>
  <c r="E690" i="1"/>
  <c r="BT689" i="1"/>
  <c r="BR689" i="1" s="1"/>
  <c r="BS689" i="1"/>
  <c r="BQ689" i="1"/>
  <c r="E689" i="1"/>
  <c r="BT688" i="1"/>
  <c r="BR688" i="1" s="1"/>
  <c r="BS688" i="1"/>
  <c r="BQ688" i="1"/>
  <c r="E688" i="1"/>
  <c r="BT687" i="1"/>
  <c r="BR687" i="1" s="1"/>
  <c r="BS687" i="1"/>
  <c r="BQ687" i="1"/>
  <c r="E687" i="1"/>
  <c r="BT686" i="1"/>
  <c r="BS686" i="1"/>
  <c r="BR686" i="1"/>
  <c r="BQ686" i="1"/>
  <c r="E686" i="1"/>
  <c r="BT685" i="1"/>
  <c r="BR685" i="1" s="1"/>
  <c r="BS685" i="1"/>
  <c r="BQ685" i="1"/>
  <c r="E685" i="1"/>
  <c r="BT684" i="1"/>
  <c r="BR684" i="1" s="1"/>
  <c r="BS684" i="1"/>
  <c r="BQ684" i="1"/>
  <c r="E684" i="1"/>
  <c r="BT683" i="1"/>
  <c r="BS683" i="1"/>
  <c r="BR683" i="1"/>
  <c r="BQ683" i="1"/>
  <c r="E683" i="1"/>
  <c r="BT682" i="1"/>
  <c r="BR682" i="1" s="1"/>
  <c r="BS682" i="1"/>
  <c r="BQ682" i="1"/>
  <c r="E682" i="1"/>
  <c r="BT681" i="1"/>
  <c r="BR681" i="1" s="1"/>
  <c r="BS681" i="1"/>
  <c r="BQ681" i="1"/>
  <c r="E681" i="1"/>
  <c r="BT680" i="1"/>
  <c r="BS680" i="1"/>
  <c r="BR680" i="1"/>
  <c r="BQ680" i="1"/>
  <c r="E680" i="1"/>
  <c r="BT679" i="1"/>
  <c r="BR679" i="1" s="1"/>
  <c r="BS679" i="1"/>
  <c r="BQ679" i="1"/>
  <c r="E679" i="1"/>
  <c r="BT678" i="1"/>
  <c r="BR678" i="1" s="1"/>
  <c r="BS678" i="1"/>
  <c r="BQ678" i="1"/>
  <c r="E678" i="1"/>
  <c r="BT677" i="1"/>
  <c r="BR677" i="1" s="1"/>
  <c r="BS677" i="1"/>
  <c r="BQ677" i="1"/>
  <c r="E677" i="1"/>
  <c r="BT676" i="1"/>
  <c r="BR676" i="1" s="1"/>
  <c r="BS676" i="1"/>
  <c r="BQ676" i="1"/>
  <c r="E676" i="1"/>
  <c r="BT675" i="1"/>
  <c r="BR675" i="1" s="1"/>
  <c r="BS675" i="1"/>
  <c r="BQ675" i="1"/>
  <c r="E675" i="1"/>
  <c r="BT674" i="1"/>
  <c r="BR674" i="1" s="1"/>
  <c r="BS674" i="1"/>
  <c r="BQ674" i="1"/>
  <c r="E674" i="1"/>
  <c r="BT673" i="1"/>
  <c r="BR673" i="1" s="1"/>
  <c r="BS673" i="1"/>
  <c r="BQ673" i="1"/>
  <c r="E673" i="1"/>
  <c r="BT672" i="1"/>
  <c r="BS672" i="1"/>
  <c r="BR672" i="1"/>
  <c r="BQ672" i="1"/>
  <c r="E672" i="1"/>
  <c r="BT671" i="1"/>
  <c r="BR671" i="1" s="1"/>
  <c r="BS671" i="1"/>
  <c r="BQ671" i="1"/>
  <c r="E671" i="1"/>
  <c r="BT670" i="1"/>
  <c r="BR670" i="1" s="1"/>
  <c r="BS670" i="1"/>
  <c r="BQ670" i="1"/>
  <c r="E670" i="1"/>
  <c r="BT669" i="1"/>
  <c r="BR669" i="1" s="1"/>
  <c r="BS669" i="1"/>
  <c r="BQ669" i="1"/>
  <c r="E669" i="1"/>
  <c r="BT668" i="1"/>
  <c r="BR668" i="1" s="1"/>
  <c r="BS668" i="1"/>
  <c r="BQ668" i="1"/>
  <c r="E668" i="1"/>
  <c r="BT667" i="1"/>
  <c r="BR667" i="1" s="1"/>
  <c r="BS667" i="1"/>
  <c r="BQ667" i="1"/>
  <c r="E667" i="1"/>
  <c r="BT666" i="1"/>
  <c r="BR666" i="1" s="1"/>
  <c r="BS666" i="1"/>
  <c r="BQ666" i="1"/>
  <c r="E666" i="1"/>
  <c r="BT665" i="1"/>
  <c r="BS665" i="1"/>
  <c r="BR665" i="1"/>
  <c r="BQ665" i="1"/>
  <c r="E665" i="1"/>
  <c r="BT664" i="1"/>
  <c r="BR664" i="1" s="1"/>
  <c r="BS664" i="1"/>
  <c r="BQ664" i="1"/>
  <c r="E664" i="1"/>
  <c r="BT663" i="1"/>
  <c r="BR663" i="1" s="1"/>
  <c r="BS663" i="1"/>
  <c r="BQ663" i="1"/>
  <c r="E663" i="1"/>
  <c r="BT662" i="1"/>
  <c r="BR662" i="1" s="1"/>
  <c r="BS662" i="1"/>
  <c r="BQ662" i="1"/>
  <c r="E662" i="1"/>
  <c r="BT661" i="1"/>
  <c r="BR661" i="1" s="1"/>
  <c r="BS661" i="1"/>
  <c r="BQ661" i="1"/>
  <c r="E661" i="1"/>
  <c r="BT660" i="1"/>
  <c r="BR660" i="1" s="1"/>
  <c r="BS660" i="1"/>
  <c r="BQ660" i="1"/>
  <c r="E660" i="1"/>
  <c r="BT659" i="1"/>
  <c r="BR659" i="1" s="1"/>
  <c r="BS659" i="1"/>
  <c r="BQ659" i="1"/>
  <c r="E659" i="1"/>
  <c r="BT658" i="1"/>
  <c r="BR658" i="1" s="1"/>
  <c r="BS658" i="1"/>
  <c r="BQ658" i="1"/>
  <c r="E658" i="1"/>
  <c r="BT657" i="1"/>
  <c r="BR657" i="1" s="1"/>
  <c r="BS657" i="1"/>
  <c r="BQ657" i="1"/>
  <c r="E657" i="1"/>
  <c r="BT656" i="1"/>
  <c r="BR656" i="1" s="1"/>
  <c r="BS656" i="1"/>
  <c r="BQ656" i="1"/>
  <c r="E656" i="1"/>
  <c r="BT655" i="1"/>
  <c r="BR655" i="1" s="1"/>
  <c r="BS655" i="1"/>
  <c r="BQ655" i="1"/>
  <c r="E655" i="1"/>
  <c r="BT654" i="1"/>
  <c r="BR654" i="1" s="1"/>
  <c r="BS654" i="1"/>
  <c r="BQ654" i="1"/>
  <c r="E654" i="1"/>
  <c r="BT653" i="1"/>
  <c r="BS653" i="1"/>
  <c r="BR653" i="1"/>
  <c r="BQ653" i="1"/>
  <c r="E653" i="1"/>
  <c r="BT652" i="1"/>
  <c r="BR652" i="1" s="1"/>
  <c r="BS652" i="1"/>
  <c r="BQ652" i="1"/>
  <c r="E652" i="1"/>
  <c r="BT651" i="1"/>
  <c r="BR651" i="1" s="1"/>
  <c r="BS651" i="1"/>
  <c r="BQ651" i="1"/>
  <c r="E651" i="1"/>
  <c r="BT650" i="1"/>
  <c r="BR650" i="1" s="1"/>
  <c r="BS650" i="1"/>
  <c r="BQ650" i="1"/>
  <c r="E650" i="1"/>
  <c r="BT649" i="1"/>
  <c r="BS649" i="1"/>
  <c r="BR649" i="1"/>
  <c r="BQ649" i="1"/>
  <c r="E649" i="1"/>
  <c r="BT648" i="1"/>
  <c r="BR648" i="1" s="1"/>
  <c r="BS648" i="1"/>
  <c r="BQ648" i="1"/>
  <c r="E648" i="1"/>
  <c r="BT647" i="1"/>
  <c r="BR647" i="1" s="1"/>
  <c r="BS647" i="1"/>
  <c r="BQ647" i="1"/>
  <c r="E647" i="1"/>
  <c r="BT646" i="1"/>
  <c r="BR646" i="1" s="1"/>
  <c r="BS646" i="1"/>
  <c r="BQ646" i="1"/>
  <c r="E646" i="1"/>
  <c r="BT645" i="1"/>
  <c r="BR645" i="1" s="1"/>
  <c r="BS645" i="1"/>
  <c r="BQ645" i="1"/>
  <c r="E645" i="1"/>
  <c r="BT644" i="1"/>
  <c r="BR644" i="1" s="1"/>
  <c r="BS644" i="1"/>
  <c r="BQ644" i="1"/>
  <c r="E644" i="1"/>
  <c r="BT643" i="1"/>
  <c r="BR643" i="1" s="1"/>
  <c r="BS643" i="1"/>
  <c r="BQ643" i="1"/>
  <c r="E643" i="1"/>
  <c r="BT642" i="1"/>
  <c r="BR642" i="1" s="1"/>
  <c r="BS642" i="1"/>
  <c r="BQ642" i="1"/>
  <c r="E642" i="1"/>
  <c r="BT641" i="1"/>
  <c r="BR641" i="1" s="1"/>
  <c r="BS641" i="1"/>
  <c r="BQ641" i="1"/>
  <c r="E641" i="1"/>
  <c r="BT640" i="1"/>
  <c r="BS640" i="1"/>
  <c r="BR640" i="1"/>
  <c r="BQ640" i="1"/>
  <c r="E640" i="1"/>
  <c r="BT639" i="1"/>
  <c r="BR639" i="1" s="1"/>
  <c r="BS639" i="1"/>
  <c r="BQ639" i="1"/>
  <c r="E639" i="1"/>
  <c r="BT638" i="1"/>
  <c r="BR638" i="1" s="1"/>
  <c r="BS638" i="1"/>
  <c r="BQ638" i="1"/>
  <c r="E638" i="1"/>
  <c r="BT637" i="1"/>
  <c r="BR637" i="1" s="1"/>
  <c r="BS637" i="1"/>
  <c r="BQ637" i="1"/>
  <c r="E637" i="1"/>
  <c r="BT636" i="1"/>
  <c r="BR636" i="1" s="1"/>
  <c r="BS636" i="1"/>
  <c r="BQ636" i="1"/>
  <c r="E636" i="1"/>
  <c r="BT635" i="1"/>
  <c r="BR635" i="1" s="1"/>
  <c r="BS635" i="1"/>
  <c r="BQ635" i="1"/>
  <c r="E635" i="1"/>
  <c r="BT634" i="1"/>
  <c r="BR634" i="1" s="1"/>
  <c r="BS634" i="1"/>
  <c r="BQ634" i="1"/>
  <c r="E634" i="1"/>
  <c r="BT633" i="1"/>
  <c r="BR633" i="1" s="1"/>
  <c r="BS633" i="1"/>
  <c r="BQ633" i="1"/>
  <c r="E633" i="1"/>
  <c r="BT632" i="1"/>
  <c r="BS632" i="1"/>
  <c r="BR632" i="1"/>
  <c r="BQ632" i="1"/>
  <c r="E632" i="1"/>
  <c r="BT631" i="1"/>
  <c r="BR631" i="1" s="1"/>
  <c r="BS631" i="1"/>
  <c r="BQ631" i="1"/>
  <c r="E631" i="1"/>
  <c r="BT630" i="1"/>
  <c r="BR630" i="1" s="1"/>
  <c r="BS630" i="1"/>
  <c r="BQ630" i="1"/>
  <c r="E630" i="1"/>
  <c r="BT629" i="1"/>
  <c r="BR629" i="1" s="1"/>
  <c r="BS629" i="1"/>
  <c r="BQ629" i="1"/>
  <c r="E629" i="1"/>
  <c r="BT628" i="1"/>
  <c r="BR628" i="1" s="1"/>
  <c r="BS628" i="1"/>
  <c r="BQ628" i="1"/>
  <c r="E628" i="1"/>
  <c r="BT627" i="1"/>
  <c r="BR627" i="1" s="1"/>
  <c r="BS627" i="1"/>
  <c r="BQ627" i="1"/>
  <c r="E627" i="1"/>
  <c r="BT626" i="1"/>
  <c r="BR626" i="1" s="1"/>
  <c r="BS626" i="1"/>
  <c r="BQ626" i="1"/>
  <c r="E626" i="1"/>
  <c r="BT625" i="1"/>
  <c r="BR625" i="1" s="1"/>
  <c r="BS625" i="1"/>
  <c r="BQ625" i="1"/>
  <c r="E625" i="1"/>
  <c r="BT624" i="1"/>
  <c r="BR624" i="1" s="1"/>
  <c r="BS624" i="1"/>
  <c r="BQ624" i="1"/>
  <c r="E624" i="1"/>
  <c r="BT623" i="1"/>
  <c r="BR623" i="1" s="1"/>
  <c r="BS623" i="1"/>
  <c r="BQ623" i="1"/>
  <c r="E623" i="1"/>
  <c r="BT622" i="1"/>
  <c r="BR622" i="1" s="1"/>
  <c r="BS622" i="1"/>
  <c r="BQ622" i="1"/>
  <c r="E622" i="1"/>
  <c r="BT621" i="1"/>
  <c r="BS621" i="1"/>
  <c r="BR621" i="1"/>
  <c r="BQ621" i="1"/>
  <c r="E621" i="1"/>
  <c r="BT620" i="1"/>
  <c r="BR620" i="1" s="1"/>
  <c r="BS620" i="1"/>
  <c r="BQ620" i="1"/>
  <c r="E620" i="1"/>
  <c r="BT619" i="1"/>
  <c r="BR619" i="1" s="1"/>
  <c r="BS619" i="1"/>
  <c r="BQ619" i="1"/>
  <c r="E619" i="1"/>
  <c r="BT618" i="1"/>
  <c r="BR618" i="1" s="1"/>
  <c r="BS618" i="1"/>
  <c r="BQ618" i="1"/>
  <c r="E618" i="1"/>
  <c r="BT617" i="1"/>
  <c r="BR617" i="1" s="1"/>
  <c r="BS617" i="1"/>
  <c r="BQ617" i="1"/>
  <c r="E617" i="1"/>
  <c r="BT616" i="1"/>
  <c r="BR616" i="1" s="1"/>
  <c r="BS616" i="1"/>
  <c r="BQ616" i="1"/>
  <c r="E616" i="1"/>
  <c r="BT615" i="1"/>
  <c r="BR615" i="1" s="1"/>
  <c r="BS615" i="1"/>
  <c r="BQ615" i="1"/>
  <c r="E615" i="1"/>
  <c r="BT614" i="1"/>
  <c r="BR614" i="1" s="1"/>
  <c r="BS614" i="1"/>
  <c r="BQ614" i="1"/>
  <c r="E614" i="1"/>
  <c r="BT613" i="1"/>
  <c r="BR613" i="1" s="1"/>
  <c r="BS613" i="1"/>
  <c r="BQ613" i="1"/>
  <c r="E613" i="1"/>
  <c r="BT612" i="1"/>
  <c r="BR612" i="1" s="1"/>
  <c r="BS612" i="1"/>
  <c r="BQ612" i="1"/>
  <c r="E612" i="1"/>
  <c r="BT611" i="1"/>
  <c r="BS611" i="1"/>
  <c r="BR611" i="1"/>
  <c r="BQ611" i="1"/>
  <c r="E611" i="1"/>
  <c r="BT610" i="1"/>
  <c r="BR610" i="1" s="1"/>
  <c r="BS610" i="1"/>
  <c r="BQ610" i="1"/>
  <c r="E610" i="1"/>
  <c r="BT609" i="1"/>
  <c r="BR609" i="1" s="1"/>
  <c r="BS609" i="1"/>
  <c r="BQ609" i="1"/>
  <c r="E609" i="1"/>
  <c r="BT608" i="1"/>
  <c r="BS608" i="1"/>
  <c r="BR608" i="1"/>
  <c r="BQ608" i="1"/>
  <c r="E608" i="1"/>
  <c r="BT607" i="1"/>
  <c r="BR607" i="1" s="1"/>
  <c r="BS607" i="1"/>
  <c r="BQ607" i="1"/>
  <c r="E607" i="1"/>
  <c r="BT606" i="1"/>
  <c r="BR606" i="1" s="1"/>
  <c r="BS606" i="1"/>
  <c r="BQ606" i="1"/>
  <c r="E606" i="1"/>
  <c r="BT605" i="1"/>
  <c r="BR605" i="1" s="1"/>
  <c r="BS605" i="1"/>
  <c r="BQ605" i="1"/>
  <c r="E605" i="1"/>
  <c r="BT604" i="1"/>
  <c r="BR604" i="1" s="1"/>
  <c r="BS604" i="1"/>
  <c r="BQ604" i="1"/>
  <c r="E604" i="1"/>
  <c r="BT603" i="1"/>
  <c r="BS603" i="1"/>
  <c r="BR603" i="1"/>
  <c r="BQ603" i="1"/>
  <c r="E603" i="1"/>
  <c r="BT602" i="1"/>
  <c r="BR602" i="1" s="1"/>
  <c r="BS602" i="1"/>
  <c r="BQ602" i="1"/>
  <c r="E602" i="1"/>
  <c r="BT601" i="1"/>
  <c r="BS601" i="1"/>
  <c r="BR601" i="1"/>
  <c r="BQ601" i="1"/>
  <c r="E601" i="1"/>
  <c r="BT600" i="1"/>
  <c r="BR600" i="1" s="1"/>
  <c r="BS600" i="1"/>
  <c r="BQ600" i="1"/>
  <c r="E600" i="1"/>
  <c r="BT599" i="1"/>
  <c r="BR599" i="1" s="1"/>
  <c r="BS599" i="1"/>
  <c r="BQ599" i="1"/>
  <c r="E599" i="1"/>
  <c r="BT598" i="1"/>
  <c r="BR598" i="1" s="1"/>
  <c r="BS598" i="1"/>
  <c r="BQ598" i="1"/>
  <c r="E598" i="1"/>
  <c r="BT597" i="1"/>
  <c r="BR597" i="1" s="1"/>
  <c r="BS597" i="1"/>
  <c r="BQ597" i="1"/>
  <c r="E597" i="1"/>
  <c r="BT596" i="1"/>
  <c r="BR596" i="1" s="1"/>
  <c r="BS596" i="1"/>
  <c r="BQ596" i="1"/>
  <c r="E596" i="1"/>
  <c r="BT595" i="1"/>
  <c r="BR595" i="1" s="1"/>
  <c r="BS595" i="1"/>
  <c r="BQ595" i="1"/>
  <c r="E595" i="1"/>
  <c r="BT594" i="1"/>
  <c r="BR594" i="1" s="1"/>
  <c r="BS594" i="1"/>
  <c r="BQ594" i="1"/>
  <c r="E594" i="1"/>
  <c r="BT593" i="1"/>
  <c r="BR593" i="1" s="1"/>
  <c r="BS593" i="1"/>
  <c r="BQ593" i="1"/>
  <c r="E593" i="1"/>
  <c r="BT592" i="1"/>
  <c r="BR592" i="1" s="1"/>
  <c r="BS592" i="1"/>
  <c r="BQ592" i="1"/>
  <c r="E592" i="1"/>
  <c r="BT591" i="1"/>
  <c r="BR591" i="1" s="1"/>
  <c r="BS591" i="1"/>
  <c r="BQ591" i="1"/>
  <c r="E591" i="1"/>
  <c r="BT590" i="1"/>
  <c r="BR590" i="1" s="1"/>
  <c r="BS590" i="1"/>
  <c r="BQ590" i="1"/>
  <c r="E590" i="1"/>
  <c r="BT589" i="1"/>
  <c r="BR589" i="1" s="1"/>
  <c r="BS589" i="1"/>
  <c r="BQ589" i="1"/>
  <c r="E589" i="1"/>
  <c r="BT588" i="1"/>
  <c r="BR588" i="1" s="1"/>
  <c r="BS588" i="1"/>
  <c r="BQ588" i="1"/>
  <c r="E588" i="1"/>
  <c r="BT587" i="1"/>
  <c r="BS587" i="1"/>
  <c r="BR587" i="1"/>
  <c r="BQ587" i="1"/>
  <c r="E587" i="1"/>
  <c r="BT586" i="1"/>
  <c r="BR586" i="1" s="1"/>
  <c r="BS586" i="1"/>
  <c r="BQ586" i="1"/>
  <c r="E586" i="1"/>
  <c r="BT585" i="1"/>
  <c r="BS585" i="1"/>
  <c r="BR585" i="1"/>
  <c r="BQ585" i="1"/>
  <c r="E585" i="1"/>
  <c r="BT584" i="1"/>
  <c r="BR584" i="1" s="1"/>
  <c r="BS584" i="1"/>
  <c r="BQ584" i="1"/>
  <c r="E584" i="1"/>
  <c r="BT583" i="1"/>
  <c r="BR583" i="1" s="1"/>
  <c r="BS583" i="1"/>
  <c r="BQ583" i="1"/>
  <c r="E583" i="1"/>
  <c r="BT582" i="1"/>
  <c r="BR582" i="1" s="1"/>
  <c r="BS582" i="1"/>
  <c r="BQ582" i="1"/>
  <c r="E582" i="1"/>
  <c r="BT581" i="1"/>
  <c r="BR581" i="1" s="1"/>
  <c r="BS581" i="1"/>
  <c r="BQ581" i="1"/>
  <c r="E581" i="1"/>
  <c r="BT580" i="1"/>
  <c r="BR580" i="1" s="1"/>
  <c r="BS580" i="1"/>
  <c r="BQ580" i="1"/>
  <c r="E580" i="1"/>
  <c r="BT579" i="1"/>
  <c r="BR579" i="1" s="1"/>
  <c r="BS579" i="1"/>
  <c r="BQ579" i="1"/>
  <c r="E579" i="1"/>
  <c r="BT578" i="1"/>
  <c r="BR578" i="1" s="1"/>
  <c r="BS578" i="1"/>
  <c r="BQ578" i="1"/>
  <c r="E578" i="1"/>
  <c r="BT577" i="1"/>
  <c r="BR577" i="1" s="1"/>
  <c r="BS577" i="1"/>
  <c r="BQ577" i="1"/>
  <c r="E577" i="1"/>
  <c r="BT576" i="1"/>
  <c r="BS576" i="1"/>
  <c r="BR576" i="1"/>
  <c r="BQ576" i="1"/>
  <c r="E576" i="1"/>
  <c r="BT575" i="1"/>
  <c r="BR575" i="1" s="1"/>
  <c r="BS575" i="1"/>
  <c r="BQ575" i="1"/>
  <c r="E575" i="1"/>
  <c r="BT574" i="1"/>
  <c r="BR574" i="1" s="1"/>
  <c r="BS574" i="1"/>
  <c r="BQ574" i="1"/>
  <c r="E574" i="1"/>
  <c r="BT573" i="1"/>
  <c r="BR573" i="1" s="1"/>
  <c r="BS573" i="1"/>
  <c r="BQ573" i="1"/>
  <c r="E573" i="1"/>
  <c r="BT572" i="1"/>
  <c r="BR572" i="1" s="1"/>
  <c r="BS572" i="1"/>
  <c r="BQ572" i="1"/>
  <c r="E572" i="1"/>
  <c r="BT571" i="1"/>
  <c r="BR571" i="1" s="1"/>
  <c r="BS571" i="1"/>
  <c r="BQ571" i="1"/>
  <c r="E571" i="1"/>
  <c r="BT570" i="1"/>
  <c r="BR570" i="1" s="1"/>
  <c r="BS570" i="1"/>
  <c r="BQ570" i="1"/>
  <c r="E570" i="1"/>
  <c r="BT569" i="1"/>
  <c r="BR569" i="1" s="1"/>
  <c r="BS569" i="1"/>
  <c r="BQ569" i="1"/>
  <c r="E569" i="1"/>
  <c r="BT568" i="1"/>
  <c r="BR568" i="1" s="1"/>
  <c r="BS568" i="1"/>
  <c r="BQ568" i="1"/>
  <c r="E568" i="1"/>
  <c r="BT567" i="1"/>
  <c r="BR567" i="1" s="1"/>
  <c r="BS567" i="1"/>
  <c r="BQ567" i="1"/>
  <c r="E567" i="1"/>
  <c r="BT566" i="1"/>
  <c r="BR566" i="1" s="1"/>
  <c r="BS566" i="1"/>
  <c r="BQ566" i="1"/>
  <c r="E566" i="1"/>
  <c r="BT565" i="1"/>
  <c r="BR565" i="1" s="1"/>
  <c r="BS565" i="1"/>
  <c r="BQ565" i="1"/>
  <c r="E565" i="1"/>
  <c r="BT564" i="1"/>
  <c r="BR564" i="1" s="1"/>
  <c r="BS564" i="1"/>
  <c r="BQ564" i="1"/>
  <c r="E564" i="1"/>
  <c r="BT563" i="1"/>
  <c r="BR563" i="1" s="1"/>
  <c r="BS563" i="1"/>
  <c r="BQ563" i="1"/>
  <c r="E563" i="1"/>
  <c r="BT562" i="1"/>
  <c r="BR562" i="1" s="1"/>
  <c r="BS562" i="1"/>
  <c r="BQ562" i="1"/>
  <c r="E562" i="1"/>
  <c r="BT561" i="1"/>
  <c r="BS561" i="1"/>
  <c r="BR561" i="1"/>
  <c r="BQ561" i="1"/>
  <c r="E561" i="1"/>
  <c r="BT560" i="1"/>
  <c r="BS560" i="1"/>
  <c r="BR560" i="1"/>
  <c r="BQ560" i="1"/>
  <c r="E560" i="1"/>
  <c r="BT559" i="1"/>
  <c r="BR559" i="1" s="1"/>
  <c r="BS559" i="1"/>
  <c r="BQ559" i="1"/>
  <c r="E559" i="1"/>
  <c r="BT558" i="1"/>
  <c r="BR558" i="1" s="1"/>
  <c r="BS558" i="1"/>
  <c r="BQ558" i="1"/>
  <c r="E558" i="1"/>
  <c r="BT557" i="1"/>
  <c r="BR557" i="1" s="1"/>
  <c r="BS557" i="1"/>
  <c r="BQ557" i="1"/>
  <c r="E557" i="1"/>
  <c r="BT556" i="1"/>
  <c r="BR556" i="1" s="1"/>
  <c r="BS556" i="1"/>
  <c r="BQ556" i="1"/>
  <c r="E556" i="1"/>
  <c r="BT555" i="1"/>
  <c r="BR555" i="1" s="1"/>
  <c r="BS555" i="1"/>
  <c r="BQ555" i="1"/>
  <c r="E555" i="1"/>
  <c r="BT554" i="1"/>
  <c r="BR554" i="1" s="1"/>
  <c r="BS554" i="1"/>
  <c r="BQ554" i="1"/>
  <c r="E554" i="1"/>
  <c r="BT553" i="1"/>
  <c r="BR553" i="1" s="1"/>
  <c r="BS553" i="1"/>
  <c r="BQ553" i="1"/>
  <c r="E553" i="1"/>
  <c r="BT552" i="1"/>
  <c r="BR552" i="1" s="1"/>
  <c r="BS552" i="1"/>
  <c r="BQ552" i="1"/>
  <c r="E552" i="1"/>
  <c r="BT551" i="1"/>
  <c r="BR551" i="1" s="1"/>
  <c r="BS551" i="1"/>
  <c r="BQ551" i="1"/>
  <c r="E551" i="1"/>
  <c r="BT550" i="1"/>
  <c r="BR550" i="1" s="1"/>
  <c r="BS550" i="1"/>
  <c r="BQ550" i="1"/>
  <c r="E550" i="1"/>
  <c r="BT549" i="1"/>
  <c r="BR549" i="1" s="1"/>
  <c r="BS549" i="1"/>
  <c r="BQ549" i="1"/>
  <c r="E549" i="1"/>
  <c r="BT548" i="1"/>
  <c r="BR548" i="1" s="1"/>
  <c r="BS548" i="1"/>
  <c r="BQ548" i="1"/>
  <c r="E548" i="1"/>
  <c r="BT547" i="1"/>
  <c r="BS547" i="1"/>
  <c r="BR547" i="1"/>
  <c r="BQ547" i="1"/>
  <c r="E547" i="1"/>
  <c r="BT546" i="1"/>
  <c r="BR546" i="1" s="1"/>
  <c r="BS546" i="1"/>
  <c r="BQ546" i="1"/>
  <c r="E546" i="1"/>
  <c r="BT545" i="1"/>
  <c r="BR545" i="1" s="1"/>
  <c r="BS545" i="1"/>
  <c r="BQ545" i="1"/>
  <c r="E545" i="1"/>
  <c r="BT544" i="1"/>
  <c r="BS544" i="1"/>
  <c r="BR544" i="1"/>
  <c r="BQ544" i="1"/>
  <c r="E544" i="1"/>
  <c r="BT543" i="1"/>
  <c r="BR543" i="1" s="1"/>
  <c r="BS543" i="1"/>
  <c r="BQ543" i="1"/>
  <c r="E543" i="1"/>
  <c r="BT542" i="1"/>
  <c r="BR542" i="1" s="1"/>
  <c r="BS542" i="1"/>
  <c r="BQ542" i="1"/>
  <c r="E542" i="1"/>
  <c r="BT541" i="1"/>
  <c r="BR541" i="1" s="1"/>
  <c r="BS541" i="1"/>
  <c r="BQ541" i="1"/>
  <c r="E541" i="1"/>
  <c r="BT540" i="1"/>
  <c r="BR540" i="1" s="1"/>
  <c r="BS540" i="1"/>
  <c r="BQ540" i="1"/>
  <c r="E540" i="1"/>
  <c r="BT539" i="1"/>
  <c r="BR539" i="1" s="1"/>
  <c r="BS539" i="1"/>
  <c r="BQ539" i="1"/>
  <c r="E539" i="1"/>
  <c r="BT538" i="1"/>
  <c r="BR538" i="1" s="1"/>
  <c r="BS538" i="1"/>
  <c r="BQ538" i="1"/>
  <c r="E538" i="1"/>
  <c r="BT537" i="1"/>
  <c r="BR537" i="1" s="1"/>
  <c r="BS537" i="1"/>
  <c r="BQ537" i="1"/>
  <c r="E537" i="1"/>
  <c r="BT536" i="1"/>
  <c r="BS536" i="1"/>
  <c r="BR536" i="1"/>
  <c r="BQ536" i="1"/>
  <c r="E536" i="1"/>
  <c r="BT535" i="1"/>
  <c r="BR535" i="1" s="1"/>
  <c r="BS535" i="1"/>
  <c r="BQ535" i="1"/>
  <c r="E535" i="1"/>
  <c r="BT534" i="1"/>
  <c r="BS534" i="1"/>
  <c r="BR534" i="1"/>
  <c r="BQ534" i="1"/>
  <c r="E534" i="1"/>
  <c r="BT533" i="1"/>
  <c r="BR533" i="1" s="1"/>
  <c r="BS533" i="1"/>
  <c r="BQ533" i="1"/>
  <c r="E533" i="1"/>
  <c r="BT532" i="1"/>
  <c r="BR532" i="1" s="1"/>
  <c r="BS532" i="1"/>
  <c r="BQ532" i="1"/>
  <c r="E532" i="1"/>
  <c r="BT531" i="1"/>
  <c r="BR531" i="1" s="1"/>
  <c r="BS531" i="1"/>
  <c r="BQ531" i="1"/>
  <c r="E531" i="1"/>
  <c r="BT530" i="1"/>
  <c r="BS530" i="1"/>
  <c r="BR530" i="1"/>
  <c r="BQ530" i="1"/>
  <c r="E530" i="1"/>
  <c r="BT529" i="1"/>
  <c r="BR529" i="1" s="1"/>
  <c r="BS529" i="1"/>
  <c r="BQ529" i="1"/>
  <c r="E529" i="1"/>
  <c r="BT528" i="1"/>
  <c r="BR528" i="1" s="1"/>
  <c r="BS528" i="1"/>
  <c r="BQ528" i="1"/>
  <c r="E528" i="1"/>
  <c r="BT527" i="1"/>
  <c r="BR527" i="1" s="1"/>
  <c r="BS527" i="1"/>
  <c r="BQ527" i="1"/>
  <c r="E527" i="1"/>
  <c r="BT526" i="1"/>
  <c r="BR526" i="1" s="1"/>
  <c r="BS526" i="1"/>
  <c r="BQ526" i="1"/>
  <c r="E526" i="1"/>
  <c r="BT525" i="1"/>
  <c r="BR525" i="1" s="1"/>
  <c r="BS525" i="1"/>
  <c r="BQ525" i="1"/>
  <c r="E525" i="1"/>
  <c r="BT524" i="1"/>
  <c r="BR524" i="1" s="1"/>
  <c r="BS524" i="1"/>
  <c r="BQ524" i="1"/>
  <c r="E524" i="1"/>
  <c r="BT523" i="1"/>
  <c r="BS523" i="1"/>
  <c r="BR523" i="1"/>
  <c r="BQ523" i="1"/>
  <c r="E523" i="1"/>
  <c r="BT522" i="1"/>
  <c r="BR522" i="1" s="1"/>
  <c r="BS522" i="1"/>
  <c r="BQ522" i="1"/>
  <c r="E522" i="1"/>
  <c r="BT521" i="1"/>
  <c r="BR521" i="1" s="1"/>
  <c r="BS521" i="1"/>
  <c r="BQ521" i="1"/>
  <c r="E521" i="1"/>
  <c r="BT520" i="1"/>
  <c r="BS520" i="1"/>
  <c r="BR520" i="1"/>
  <c r="BQ520" i="1"/>
  <c r="E520" i="1"/>
  <c r="BT519" i="1"/>
  <c r="BR519" i="1" s="1"/>
  <c r="BS519" i="1"/>
  <c r="BQ519" i="1"/>
  <c r="E519" i="1"/>
  <c r="BT518" i="1"/>
  <c r="BR518" i="1" s="1"/>
  <c r="BS518" i="1"/>
  <c r="BQ518" i="1"/>
  <c r="E518" i="1"/>
  <c r="BT517" i="1"/>
  <c r="BR517" i="1" s="1"/>
  <c r="BS517" i="1"/>
  <c r="BQ517" i="1"/>
  <c r="E517" i="1"/>
  <c r="BT516" i="1"/>
  <c r="BR516" i="1" s="1"/>
  <c r="BS516" i="1"/>
  <c r="BQ516" i="1"/>
  <c r="E516" i="1"/>
  <c r="BT515" i="1"/>
  <c r="BR515" i="1" s="1"/>
  <c r="BS515" i="1"/>
  <c r="BQ515" i="1"/>
  <c r="E515" i="1"/>
  <c r="BT514" i="1"/>
  <c r="BS514" i="1"/>
  <c r="BR514" i="1"/>
  <c r="BQ514" i="1"/>
  <c r="E514" i="1"/>
  <c r="BT513" i="1"/>
  <c r="BR513" i="1" s="1"/>
  <c r="BS513" i="1"/>
  <c r="BQ513" i="1"/>
  <c r="E513" i="1"/>
  <c r="BT512" i="1"/>
  <c r="BR512" i="1" s="1"/>
  <c r="BS512" i="1"/>
  <c r="BQ512" i="1"/>
  <c r="E512" i="1"/>
  <c r="BT511" i="1"/>
  <c r="BR511" i="1" s="1"/>
  <c r="BS511" i="1"/>
  <c r="BQ511" i="1"/>
  <c r="E511" i="1"/>
  <c r="BT510" i="1"/>
  <c r="BR510" i="1" s="1"/>
  <c r="BS510" i="1"/>
  <c r="BQ510" i="1"/>
  <c r="E510" i="1"/>
  <c r="BT509" i="1"/>
  <c r="BR509" i="1" s="1"/>
  <c r="BS509" i="1"/>
  <c r="BQ509" i="1"/>
  <c r="E509" i="1"/>
  <c r="BT508" i="1"/>
  <c r="BR508" i="1" s="1"/>
  <c r="BS508" i="1"/>
  <c r="BQ508" i="1"/>
  <c r="E508" i="1"/>
  <c r="BT507" i="1"/>
  <c r="BR507" i="1" s="1"/>
  <c r="BS507" i="1"/>
  <c r="BQ507" i="1"/>
  <c r="E507" i="1"/>
  <c r="BT506" i="1"/>
  <c r="BR506" i="1" s="1"/>
  <c r="BS506" i="1"/>
  <c r="BQ506" i="1"/>
  <c r="E506" i="1"/>
  <c r="BT505" i="1"/>
  <c r="BR505" i="1" s="1"/>
  <c r="BS505" i="1"/>
  <c r="BQ505" i="1"/>
  <c r="E505" i="1"/>
  <c r="BT504" i="1"/>
  <c r="BS504" i="1"/>
  <c r="BR504" i="1"/>
  <c r="BQ504" i="1"/>
  <c r="E504" i="1"/>
  <c r="BT503" i="1"/>
  <c r="BR503" i="1" s="1"/>
  <c r="BS503" i="1"/>
  <c r="BQ503" i="1"/>
  <c r="E503" i="1"/>
  <c r="BT502" i="1"/>
  <c r="BR502" i="1" s="1"/>
  <c r="BS502" i="1"/>
  <c r="BQ502" i="1"/>
  <c r="E502" i="1"/>
  <c r="BT501" i="1"/>
  <c r="BR501" i="1" s="1"/>
  <c r="BS501" i="1"/>
  <c r="BQ501" i="1"/>
  <c r="E501" i="1"/>
  <c r="BT500" i="1"/>
  <c r="BR500" i="1" s="1"/>
  <c r="BS500" i="1"/>
  <c r="BQ500" i="1"/>
  <c r="E500" i="1"/>
  <c r="BT499" i="1"/>
  <c r="BR499" i="1" s="1"/>
  <c r="BS499" i="1"/>
  <c r="BQ499" i="1"/>
  <c r="E499" i="1"/>
  <c r="BT498" i="1"/>
  <c r="BS498" i="1"/>
  <c r="BR498" i="1"/>
  <c r="BQ498" i="1"/>
  <c r="E498" i="1"/>
  <c r="BT497" i="1"/>
  <c r="BR497" i="1" s="1"/>
  <c r="BS497" i="1"/>
  <c r="BQ497" i="1"/>
  <c r="E497" i="1"/>
  <c r="BT496" i="1"/>
  <c r="BS496" i="1"/>
  <c r="BR496" i="1"/>
  <c r="BQ496" i="1"/>
  <c r="E496" i="1"/>
  <c r="BT495" i="1"/>
  <c r="BR495" i="1" s="1"/>
  <c r="BS495" i="1"/>
  <c r="BQ495" i="1"/>
  <c r="E495" i="1"/>
  <c r="BT494" i="1"/>
  <c r="BR494" i="1" s="1"/>
  <c r="BS494" i="1"/>
  <c r="BQ494" i="1"/>
  <c r="E494" i="1"/>
  <c r="BT493" i="1"/>
  <c r="BR493" i="1" s="1"/>
  <c r="BS493" i="1"/>
  <c r="BQ493" i="1"/>
  <c r="E493" i="1"/>
  <c r="BT492" i="1"/>
  <c r="BR492" i="1" s="1"/>
  <c r="BS492" i="1"/>
  <c r="BQ492" i="1"/>
  <c r="E492" i="1"/>
  <c r="BT491" i="1"/>
  <c r="BS491" i="1"/>
  <c r="BR491" i="1"/>
  <c r="BQ491" i="1"/>
  <c r="E491" i="1"/>
  <c r="BT490" i="1"/>
  <c r="BR490" i="1" s="1"/>
  <c r="BS490" i="1"/>
  <c r="BQ490" i="1"/>
  <c r="E490" i="1"/>
  <c r="BT489" i="1"/>
  <c r="BR489" i="1" s="1"/>
  <c r="BS489" i="1"/>
  <c r="BQ489" i="1"/>
  <c r="E489" i="1"/>
  <c r="BT488" i="1"/>
  <c r="BR488" i="1" s="1"/>
  <c r="BS488" i="1"/>
  <c r="BQ488" i="1"/>
  <c r="E488" i="1"/>
  <c r="BT487" i="1"/>
  <c r="BR487" i="1" s="1"/>
  <c r="BS487" i="1"/>
  <c r="BQ487" i="1"/>
  <c r="E487" i="1"/>
  <c r="BT486" i="1"/>
  <c r="BS486" i="1"/>
  <c r="BR486" i="1"/>
  <c r="BQ486" i="1"/>
  <c r="E486" i="1"/>
  <c r="BT485" i="1"/>
  <c r="BR485" i="1" s="1"/>
  <c r="BS485" i="1"/>
  <c r="BQ485" i="1"/>
  <c r="E485" i="1"/>
  <c r="BT484" i="1"/>
  <c r="BR484" i="1" s="1"/>
  <c r="BS484" i="1"/>
  <c r="BQ484" i="1"/>
  <c r="E484" i="1"/>
  <c r="BT483" i="1"/>
  <c r="BR483" i="1" s="1"/>
  <c r="BS483" i="1"/>
  <c r="BQ483" i="1"/>
  <c r="E483" i="1"/>
  <c r="BT482" i="1"/>
  <c r="BS482" i="1"/>
  <c r="BR482" i="1"/>
  <c r="BQ482" i="1"/>
  <c r="E482" i="1"/>
  <c r="BT481" i="1"/>
  <c r="BR481" i="1" s="1"/>
  <c r="BS481" i="1"/>
  <c r="BQ481" i="1"/>
  <c r="E481" i="1"/>
  <c r="BT480" i="1"/>
  <c r="BR480" i="1" s="1"/>
  <c r="BS480" i="1"/>
  <c r="BQ480" i="1"/>
  <c r="E480" i="1"/>
  <c r="BT479" i="1"/>
  <c r="BR479" i="1" s="1"/>
  <c r="BS479" i="1"/>
  <c r="BQ479" i="1"/>
  <c r="E479" i="1"/>
  <c r="BT478" i="1"/>
  <c r="BR478" i="1" s="1"/>
  <c r="BS478" i="1"/>
  <c r="BQ478" i="1"/>
  <c r="E478" i="1"/>
  <c r="BT477" i="1"/>
  <c r="BR477" i="1" s="1"/>
  <c r="BS477" i="1"/>
  <c r="BQ477" i="1"/>
  <c r="E477" i="1"/>
  <c r="BT476" i="1"/>
  <c r="BR476" i="1" s="1"/>
  <c r="BS476" i="1"/>
  <c r="BQ476" i="1"/>
  <c r="E476" i="1"/>
  <c r="BT475" i="1"/>
  <c r="BR475" i="1" s="1"/>
  <c r="BS475" i="1"/>
  <c r="BQ475" i="1"/>
  <c r="E475" i="1"/>
  <c r="BT474" i="1"/>
  <c r="BR474" i="1" s="1"/>
  <c r="BS474" i="1"/>
  <c r="BQ474" i="1"/>
  <c r="E474" i="1"/>
  <c r="BT473" i="1"/>
  <c r="BR473" i="1" s="1"/>
  <c r="BS473" i="1"/>
  <c r="BQ473" i="1"/>
  <c r="E473" i="1"/>
  <c r="BT472" i="1"/>
  <c r="BS472" i="1"/>
  <c r="BR472" i="1"/>
  <c r="BQ472" i="1"/>
  <c r="E472" i="1"/>
  <c r="BT471" i="1"/>
  <c r="BR471" i="1" s="1"/>
  <c r="BS471" i="1"/>
  <c r="BQ471" i="1"/>
  <c r="E471" i="1"/>
  <c r="BT470" i="1"/>
  <c r="BR470" i="1" s="1"/>
  <c r="BS470" i="1"/>
  <c r="BQ470" i="1"/>
  <c r="E470" i="1"/>
  <c r="BT469" i="1"/>
  <c r="BR469" i="1" s="1"/>
  <c r="BS469" i="1"/>
  <c r="BQ469" i="1"/>
  <c r="E469" i="1"/>
  <c r="BT468" i="1"/>
  <c r="BR468" i="1" s="1"/>
  <c r="BS468" i="1"/>
  <c r="BQ468" i="1"/>
  <c r="E468" i="1"/>
  <c r="BT467" i="1"/>
  <c r="BR467" i="1" s="1"/>
  <c r="BS467" i="1"/>
  <c r="BQ467" i="1"/>
  <c r="E467" i="1"/>
  <c r="BT466" i="1"/>
  <c r="BS466" i="1"/>
  <c r="BR466" i="1"/>
  <c r="BQ466" i="1"/>
  <c r="E466" i="1"/>
  <c r="BT465" i="1"/>
  <c r="BR465" i="1" s="1"/>
  <c r="BS465" i="1"/>
  <c r="BQ465" i="1"/>
  <c r="E465" i="1"/>
  <c r="BT464" i="1"/>
  <c r="BR464" i="1" s="1"/>
  <c r="BS464" i="1"/>
  <c r="BQ464" i="1"/>
  <c r="E464" i="1"/>
  <c r="BT463" i="1"/>
  <c r="BR463" i="1" s="1"/>
  <c r="BS463" i="1"/>
  <c r="BQ463" i="1"/>
  <c r="E463" i="1"/>
  <c r="BT462" i="1"/>
  <c r="BR462" i="1" s="1"/>
  <c r="BS462" i="1"/>
  <c r="BQ462" i="1"/>
  <c r="E462" i="1"/>
  <c r="BT461" i="1"/>
  <c r="BS461" i="1"/>
  <c r="BR461" i="1"/>
  <c r="BQ461" i="1"/>
  <c r="E461" i="1"/>
  <c r="BT460" i="1"/>
  <c r="BR460" i="1" s="1"/>
  <c r="BS460" i="1"/>
  <c r="BQ460" i="1"/>
  <c r="E460" i="1"/>
  <c r="BT459" i="1"/>
  <c r="BS459" i="1"/>
  <c r="BR459" i="1"/>
  <c r="BQ459" i="1"/>
  <c r="E459" i="1"/>
  <c r="BT458" i="1"/>
  <c r="BR458" i="1" s="1"/>
  <c r="BS458" i="1"/>
  <c r="BQ458" i="1"/>
  <c r="E458" i="1"/>
  <c r="BT457" i="1"/>
  <c r="BS457" i="1"/>
  <c r="BR457" i="1"/>
  <c r="BQ457" i="1"/>
  <c r="E457" i="1"/>
  <c r="BT456" i="1"/>
  <c r="BR456" i="1" s="1"/>
  <c r="BS456" i="1"/>
  <c r="BQ456" i="1"/>
  <c r="E456" i="1"/>
  <c r="BT455" i="1"/>
  <c r="BR455" i="1" s="1"/>
  <c r="BS455" i="1"/>
  <c r="BQ455" i="1"/>
  <c r="E455" i="1"/>
  <c r="BT454" i="1"/>
  <c r="BR454" i="1" s="1"/>
  <c r="BS454" i="1"/>
  <c r="BQ454" i="1"/>
  <c r="E454" i="1"/>
  <c r="BT453" i="1"/>
  <c r="BR453" i="1" s="1"/>
  <c r="BS453" i="1"/>
  <c r="BQ453" i="1"/>
  <c r="E453" i="1"/>
  <c r="BT452" i="1"/>
  <c r="BR452" i="1" s="1"/>
  <c r="BS452" i="1"/>
  <c r="BQ452" i="1"/>
  <c r="E452" i="1"/>
  <c r="BT451" i="1"/>
  <c r="BR451" i="1" s="1"/>
  <c r="BS451" i="1"/>
  <c r="BQ451" i="1"/>
  <c r="E451" i="1"/>
  <c r="BT450" i="1"/>
  <c r="BR450" i="1" s="1"/>
  <c r="BS450" i="1"/>
  <c r="BQ450" i="1"/>
  <c r="E450" i="1"/>
  <c r="BT449" i="1"/>
  <c r="BR449" i="1" s="1"/>
  <c r="BS449" i="1"/>
  <c r="BQ449" i="1"/>
  <c r="E449" i="1"/>
  <c r="BT448" i="1"/>
  <c r="BS448" i="1"/>
  <c r="BR448" i="1"/>
  <c r="BQ448" i="1"/>
  <c r="E448" i="1"/>
  <c r="BT447" i="1"/>
  <c r="BR447" i="1" s="1"/>
  <c r="BS447" i="1"/>
  <c r="BQ447" i="1"/>
  <c r="E447" i="1"/>
  <c r="BT446" i="1"/>
  <c r="BR446" i="1" s="1"/>
  <c r="BS446" i="1"/>
  <c r="BQ446" i="1"/>
  <c r="E446" i="1"/>
  <c r="BT445" i="1"/>
  <c r="BR445" i="1" s="1"/>
  <c r="BS445" i="1"/>
  <c r="BQ445" i="1"/>
  <c r="E445" i="1"/>
  <c r="BT444" i="1"/>
  <c r="BR444" i="1" s="1"/>
  <c r="BS444" i="1"/>
  <c r="BQ444" i="1"/>
  <c r="E444" i="1"/>
  <c r="BT443" i="1"/>
  <c r="BS443" i="1"/>
  <c r="BR443" i="1"/>
  <c r="BQ443" i="1"/>
  <c r="E443" i="1"/>
  <c r="BT442" i="1"/>
  <c r="BR442" i="1" s="1"/>
  <c r="BS442" i="1"/>
  <c r="BQ442" i="1"/>
  <c r="E442" i="1"/>
  <c r="BT441" i="1"/>
  <c r="BS441" i="1"/>
  <c r="BR441" i="1"/>
  <c r="BQ441" i="1"/>
  <c r="E441" i="1"/>
  <c r="BT440" i="1"/>
  <c r="BR440" i="1" s="1"/>
  <c r="BS440" i="1"/>
  <c r="BQ440" i="1"/>
  <c r="E440" i="1"/>
  <c r="BT439" i="1"/>
  <c r="BR439" i="1" s="1"/>
  <c r="BS439" i="1"/>
  <c r="BQ439" i="1"/>
  <c r="E439" i="1"/>
  <c r="BT438" i="1"/>
  <c r="BR438" i="1" s="1"/>
  <c r="BS438" i="1"/>
  <c r="BQ438" i="1"/>
  <c r="E438" i="1"/>
  <c r="BT437" i="1"/>
  <c r="BR437" i="1" s="1"/>
  <c r="BS437" i="1"/>
  <c r="BQ437" i="1"/>
  <c r="E437" i="1"/>
  <c r="BT436" i="1"/>
  <c r="BR436" i="1" s="1"/>
  <c r="BS436" i="1"/>
  <c r="BQ436" i="1"/>
  <c r="E436" i="1"/>
  <c r="BT435" i="1"/>
  <c r="BR435" i="1" s="1"/>
  <c r="BS435" i="1"/>
  <c r="BQ435" i="1"/>
  <c r="E435" i="1"/>
  <c r="BT434" i="1"/>
  <c r="BR434" i="1" s="1"/>
  <c r="BS434" i="1"/>
  <c r="BQ434" i="1"/>
  <c r="E434" i="1"/>
  <c r="BT433" i="1"/>
  <c r="BR433" i="1" s="1"/>
  <c r="BS433" i="1"/>
  <c r="BQ433" i="1"/>
  <c r="E433" i="1"/>
  <c r="BT432" i="1"/>
  <c r="BR432" i="1" s="1"/>
  <c r="BS432" i="1"/>
  <c r="BQ432" i="1"/>
  <c r="E432" i="1"/>
  <c r="BT431" i="1"/>
  <c r="BR431" i="1" s="1"/>
  <c r="BS431" i="1"/>
  <c r="BQ431" i="1"/>
  <c r="E431" i="1"/>
  <c r="BT430" i="1"/>
  <c r="BR430" i="1" s="1"/>
  <c r="BS430" i="1"/>
  <c r="BQ430" i="1"/>
  <c r="E430" i="1"/>
  <c r="BT429" i="1"/>
  <c r="BR429" i="1" s="1"/>
  <c r="BS429" i="1"/>
  <c r="BQ429" i="1"/>
  <c r="E429" i="1"/>
  <c r="BT428" i="1"/>
  <c r="BR428" i="1" s="1"/>
  <c r="BS428" i="1"/>
  <c r="BQ428" i="1"/>
  <c r="E428" i="1"/>
  <c r="BT427" i="1"/>
  <c r="BR427" i="1" s="1"/>
  <c r="BS427" i="1"/>
  <c r="BQ427" i="1"/>
  <c r="E427" i="1"/>
  <c r="BT426" i="1"/>
  <c r="BR426" i="1" s="1"/>
  <c r="BS426" i="1"/>
  <c r="BQ426" i="1"/>
  <c r="E426" i="1"/>
  <c r="BT425" i="1"/>
  <c r="BR425" i="1" s="1"/>
  <c r="BS425" i="1"/>
  <c r="BQ425" i="1"/>
  <c r="E425" i="1"/>
  <c r="BT424" i="1"/>
  <c r="BS424" i="1"/>
  <c r="BR424" i="1"/>
  <c r="BQ424" i="1"/>
  <c r="E424" i="1"/>
  <c r="BT423" i="1"/>
  <c r="BR423" i="1" s="1"/>
  <c r="BS423" i="1"/>
  <c r="BQ423" i="1"/>
  <c r="E423" i="1"/>
  <c r="BT422" i="1"/>
  <c r="BR422" i="1" s="1"/>
  <c r="BS422" i="1"/>
  <c r="BQ422" i="1"/>
  <c r="E422" i="1"/>
  <c r="BT421" i="1"/>
  <c r="BR421" i="1" s="1"/>
  <c r="BS421" i="1"/>
  <c r="BQ421" i="1"/>
  <c r="E421" i="1"/>
  <c r="BT420" i="1"/>
  <c r="BR420" i="1" s="1"/>
  <c r="BS420" i="1"/>
  <c r="BQ420" i="1"/>
  <c r="E420" i="1"/>
  <c r="BT419" i="1"/>
  <c r="BS419" i="1"/>
  <c r="BR419" i="1"/>
  <c r="BQ419" i="1"/>
  <c r="E419" i="1"/>
  <c r="BT418" i="1"/>
  <c r="BR418" i="1" s="1"/>
  <c r="BS418" i="1"/>
  <c r="BQ418" i="1"/>
  <c r="E418" i="1"/>
  <c r="BT417" i="1"/>
  <c r="BR417" i="1" s="1"/>
  <c r="BS417" i="1"/>
  <c r="BQ417" i="1"/>
  <c r="E417" i="1"/>
  <c r="BT416" i="1"/>
  <c r="BR416" i="1" s="1"/>
  <c r="BS416" i="1"/>
  <c r="BQ416" i="1"/>
  <c r="E416" i="1"/>
  <c r="BT415" i="1"/>
  <c r="BR415" i="1" s="1"/>
  <c r="BS415" i="1"/>
  <c r="BQ415" i="1"/>
  <c r="E415" i="1"/>
  <c r="BT414" i="1"/>
  <c r="BR414" i="1" s="1"/>
  <c r="BS414" i="1"/>
  <c r="BQ414" i="1"/>
  <c r="E414" i="1"/>
  <c r="BT413" i="1"/>
  <c r="BR413" i="1" s="1"/>
  <c r="BS413" i="1"/>
  <c r="BQ413" i="1"/>
  <c r="E413" i="1"/>
  <c r="BT412" i="1"/>
  <c r="BR412" i="1" s="1"/>
  <c r="BS412" i="1"/>
  <c r="BQ412" i="1"/>
  <c r="E412" i="1"/>
  <c r="BT411" i="1"/>
  <c r="BR411" i="1" s="1"/>
  <c r="BS411" i="1"/>
  <c r="BQ411" i="1"/>
  <c r="E411" i="1"/>
  <c r="BT410" i="1"/>
  <c r="BR410" i="1" s="1"/>
  <c r="BS410" i="1"/>
  <c r="BQ410" i="1"/>
  <c r="E410" i="1"/>
  <c r="BT409" i="1"/>
  <c r="BR409" i="1" s="1"/>
  <c r="BS409" i="1"/>
  <c r="BQ409" i="1"/>
  <c r="E409" i="1"/>
  <c r="BT408" i="1"/>
  <c r="BS408" i="1"/>
  <c r="BR408" i="1"/>
  <c r="BQ408" i="1"/>
  <c r="E408" i="1"/>
  <c r="BT407" i="1"/>
  <c r="BR407" i="1" s="1"/>
  <c r="BS407" i="1"/>
  <c r="BQ407" i="1"/>
  <c r="E407" i="1"/>
  <c r="BT406" i="1"/>
  <c r="BR406" i="1" s="1"/>
  <c r="BS406" i="1"/>
  <c r="BQ406" i="1"/>
  <c r="E406" i="1"/>
  <c r="BT405" i="1"/>
  <c r="BR405" i="1" s="1"/>
  <c r="BS405" i="1"/>
  <c r="BQ405" i="1"/>
  <c r="E405" i="1"/>
  <c r="BT404" i="1"/>
  <c r="BR404" i="1" s="1"/>
  <c r="BS404" i="1"/>
  <c r="BQ404" i="1"/>
  <c r="E404" i="1"/>
  <c r="BT403" i="1"/>
  <c r="BR403" i="1" s="1"/>
  <c r="BS403" i="1"/>
  <c r="BQ403" i="1"/>
  <c r="E403" i="1"/>
  <c r="BT402" i="1"/>
  <c r="BR402" i="1" s="1"/>
  <c r="BS402" i="1"/>
  <c r="BQ402" i="1"/>
  <c r="E402" i="1"/>
  <c r="BT401" i="1"/>
  <c r="BR401" i="1" s="1"/>
  <c r="BS401" i="1"/>
  <c r="BQ401" i="1"/>
  <c r="E401" i="1"/>
  <c r="BT400" i="1"/>
  <c r="BS400" i="1"/>
  <c r="BR400" i="1"/>
  <c r="BQ400" i="1"/>
  <c r="E400" i="1"/>
  <c r="BT399" i="1"/>
  <c r="BR399" i="1" s="1"/>
  <c r="BS399" i="1"/>
  <c r="BQ399" i="1"/>
  <c r="E399" i="1"/>
  <c r="BT398" i="1"/>
  <c r="BR398" i="1" s="1"/>
  <c r="BS398" i="1"/>
  <c r="BQ398" i="1"/>
  <c r="E398" i="1"/>
  <c r="BT397" i="1"/>
  <c r="BR397" i="1" s="1"/>
  <c r="BS397" i="1"/>
  <c r="BQ397" i="1"/>
  <c r="E397" i="1"/>
  <c r="BT396" i="1"/>
  <c r="BR396" i="1" s="1"/>
  <c r="BS396" i="1"/>
  <c r="BQ396" i="1"/>
  <c r="E396" i="1"/>
  <c r="BT395" i="1"/>
  <c r="BS395" i="1"/>
  <c r="BR395" i="1"/>
  <c r="BQ395" i="1"/>
  <c r="E395" i="1"/>
  <c r="BT394" i="1"/>
  <c r="BR394" i="1" s="1"/>
  <c r="BS394" i="1"/>
  <c r="BQ394" i="1"/>
  <c r="E394" i="1"/>
  <c r="BT393" i="1"/>
  <c r="BR393" i="1" s="1"/>
  <c r="BS393" i="1"/>
  <c r="BQ393" i="1"/>
  <c r="E393" i="1"/>
  <c r="BT392" i="1"/>
  <c r="BR392" i="1" s="1"/>
  <c r="BS392" i="1"/>
  <c r="BQ392" i="1"/>
  <c r="E392" i="1"/>
  <c r="BT391" i="1"/>
  <c r="BR391" i="1" s="1"/>
  <c r="BS391" i="1"/>
  <c r="BQ391" i="1"/>
  <c r="E391" i="1"/>
  <c r="BT390" i="1"/>
  <c r="BR390" i="1" s="1"/>
  <c r="BS390" i="1"/>
  <c r="BQ390" i="1"/>
  <c r="E390" i="1"/>
  <c r="BT389" i="1"/>
  <c r="BR389" i="1" s="1"/>
  <c r="BS389" i="1"/>
  <c r="BQ389" i="1"/>
  <c r="E389" i="1"/>
  <c r="BT388" i="1"/>
  <c r="BR388" i="1" s="1"/>
  <c r="BS388" i="1"/>
  <c r="BQ388" i="1"/>
  <c r="E388" i="1"/>
  <c r="BT387" i="1"/>
  <c r="BR387" i="1" s="1"/>
  <c r="BS387" i="1"/>
  <c r="BQ387" i="1"/>
  <c r="E387" i="1"/>
  <c r="BT386" i="1"/>
  <c r="BR386" i="1" s="1"/>
  <c r="BS386" i="1"/>
  <c r="BQ386" i="1"/>
  <c r="E386" i="1"/>
  <c r="BT385" i="1"/>
  <c r="BR385" i="1" s="1"/>
  <c r="BS385" i="1"/>
  <c r="BQ385" i="1"/>
  <c r="E385" i="1"/>
  <c r="BT384" i="1"/>
  <c r="BS384" i="1"/>
  <c r="BR384" i="1"/>
  <c r="BQ384" i="1"/>
  <c r="E384" i="1"/>
  <c r="BT383" i="1"/>
  <c r="BR383" i="1" s="1"/>
  <c r="BS383" i="1"/>
  <c r="BQ383" i="1"/>
  <c r="E383" i="1"/>
  <c r="BT382" i="1"/>
  <c r="BS382" i="1"/>
  <c r="BR382" i="1"/>
  <c r="BQ382" i="1"/>
  <c r="E382" i="1"/>
  <c r="BT381" i="1"/>
  <c r="BR381" i="1" s="1"/>
  <c r="BS381" i="1"/>
  <c r="BQ381" i="1"/>
  <c r="E381" i="1"/>
  <c r="BT380" i="1"/>
  <c r="BR380" i="1" s="1"/>
  <c r="BS380" i="1"/>
  <c r="BQ380" i="1"/>
  <c r="E380" i="1"/>
  <c r="BT379" i="1"/>
  <c r="BR379" i="1" s="1"/>
  <c r="BS379" i="1"/>
  <c r="BQ379" i="1"/>
  <c r="E379" i="1"/>
  <c r="BT378" i="1"/>
  <c r="BR378" i="1" s="1"/>
  <c r="BS378" i="1"/>
  <c r="BQ378" i="1"/>
  <c r="E378" i="1"/>
  <c r="BT377" i="1"/>
  <c r="BS377" i="1"/>
  <c r="BR377" i="1"/>
  <c r="BQ377" i="1"/>
  <c r="E377" i="1"/>
  <c r="BT376" i="1"/>
  <c r="BS376" i="1"/>
  <c r="BR376" i="1"/>
  <c r="BQ376" i="1"/>
  <c r="E376" i="1"/>
  <c r="BT375" i="1"/>
  <c r="BR375" i="1" s="1"/>
  <c r="BS375" i="1"/>
  <c r="BQ375" i="1"/>
  <c r="E375" i="1"/>
  <c r="BT374" i="1"/>
  <c r="BR374" i="1" s="1"/>
  <c r="BS374" i="1"/>
  <c r="BQ374" i="1"/>
  <c r="E374" i="1"/>
  <c r="BT373" i="1"/>
  <c r="BR373" i="1" s="1"/>
  <c r="BS373" i="1"/>
  <c r="BQ373" i="1"/>
  <c r="E373" i="1"/>
  <c r="BT372" i="1"/>
  <c r="BR372" i="1" s="1"/>
  <c r="BS372" i="1"/>
  <c r="BQ372" i="1"/>
  <c r="E372" i="1"/>
  <c r="BT371" i="1"/>
  <c r="BR371" i="1" s="1"/>
  <c r="BS371" i="1"/>
  <c r="BQ371" i="1"/>
  <c r="E371" i="1"/>
  <c r="BT370" i="1"/>
  <c r="BR370" i="1" s="1"/>
  <c r="BS370" i="1"/>
  <c r="BQ370" i="1"/>
  <c r="E370" i="1"/>
  <c r="BT369" i="1"/>
  <c r="BS369" i="1"/>
  <c r="BR369" i="1"/>
  <c r="BQ369" i="1"/>
  <c r="E369" i="1"/>
  <c r="BT368" i="1"/>
  <c r="BR368" i="1" s="1"/>
  <c r="BS368" i="1"/>
  <c r="BQ368" i="1"/>
  <c r="E368" i="1"/>
  <c r="BT367" i="1"/>
  <c r="BR367" i="1" s="1"/>
  <c r="BS367" i="1"/>
  <c r="BQ367" i="1"/>
  <c r="E367" i="1"/>
  <c r="BT366" i="1"/>
  <c r="BR366" i="1" s="1"/>
  <c r="BS366" i="1"/>
  <c r="BQ366" i="1"/>
  <c r="E366" i="1"/>
  <c r="BT365" i="1"/>
  <c r="BS365" i="1"/>
  <c r="BR365" i="1"/>
  <c r="BQ365" i="1"/>
  <c r="E365" i="1"/>
  <c r="BT364" i="1"/>
  <c r="BR364" i="1" s="1"/>
  <c r="BS364" i="1"/>
  <c r="BQ364" i="1"/>
  <c r="E364" i="1"/>
  <c r="BT363" i="1"/>
  <c r="BR363" i="1" s="1"/>
  <c r="BS363" i="1"/>
  <c r="BQ363" i="1"/>
  <c r="E363" i="1"/>
  <c r="BT362" i="1"/>
  <c r="BR362" i="1" s="1"/>
  <c r="BS362" i="1"/>
  <c r="BQ362" i="1"/>
  <c r="E362" i="1"/>
  <c r="BT361" i="1"/>
  <c r="BR361" i="1" s="1"/>
  <c r="BS361" i="1"/>
  <c r="BQ361" i="1"/>
  <c r="E361" i="1"/>
  <c r="BT360" i="1"/>
  <c r="BS360" i="1"/>
  <c r="BR360" i="1"/>
  <c r="BQ360" i="1"/>
  <c r="E360" i="1"/>
  <c r="BT359" i="1"/>
  <c r="BR359" i="1" s="1"/>
  <c r="BS359" i="1"/>
  <c r="BQ359" i="1"/>
  <c r="E359" i="1"/>
  <c r="BT358" i="1"/>
  <c r="BS358" i="1"/>
  <c r="BR358" i="1"/>
  <c r="BQ358" i="1"/>
  <c r="E358" i="1"/>
  <c r="BT357" i="1"/>
  <c r="BR357" i="1" s="1"/>
  <c r="BS357" i="1"/>
  <c r="BQ357" i="1"/>
  <c r="E357" i="1"/>
  <c r="BT356" i="1"/>
  <c r="BR356" i="1" s="1"/>
  <c r="BS356" i="1"/>
  <c r="BQ356" i="1"/>
  <c r="E356" i="1"/>
  <c r="BT355" i="1"/>
  <c r="BR355" i="1" s="1"/>
  <c r="BS355" i="1"/>
  <c r="BQ355" i="1"/>
  <c r="E355" i="1"/>
  <c r="BT354" i="1"/>
  <c r="BR354" i="1" s="1"/>
  <c r="BS354" i="1"/>
  <c r="BQ354" i="1"/>
  <c r="E354" i="1"/>
  <c r="BT353" i="1"/>
  <c r="BS353" i="1"/>
  <c r="BR353" i="1"/>
  <c r="BQ353" i="1"/>
  <c r="E353" i="1"/>
  <c r="BT352" i="1"/>
  <c r="BR352" i="1" s="1"/>
  <c r="BS352" i="1"/>
  <c r="BQ352" i="1"/>
  <c r="E352" i="1"/>
  <c r="BT351" i="1"/>
  <c r="BR351" i="1" s="1"/>
  <c r="BS351" i="1"/>
  <c r="BQ351" i="1"/>
  <c r="E351" i="1"/>
  <c r="BT350" i="1"/>
  <c r="BR350" i="1" s="1"/>
  <c r="BS350" i="1"/>
  <c r="BQ350" i="1"/>
  <c r="E350" i="1"/>
  <c r="BT349" i="1"/>
  <c r="BR349" i="1" s="1"/>
  <c r="BS349" i="1"/>
  <c r="BQ349" i="1"/>
  <c r="E349" i="1"/>
  <c r="BT348" i="1"/>
  <c r="BR348" i="1" s="1"/>
  <c r="BS348" i="1"/>
  <c r="BQ348" i="1"/>
  <c r="E348" i="1"/>
  <c r="BT347" i="1"/>
  <c r="BR347" i="1" s="1"/>
  <c r="BS347" i="1"/>
  <c r="BQ347" i="1"/>
  <c r="E347" i="1"/>
  <c r="BT346" i="1"/>
  <c r="BR346" i="1" s="1"/>
  <c r="BS346" i="1"/>
  <c r="BQ346" i="1"/>
  <c r="E346" i="1"/>
  <c r="BT345" i="1"/>
  <c r="BR345" i="1" s="1"/>
  <c r="BS345" i="1"/>
  <c r="BQ345" i="1"/>
  <c r="E345" i="1"/>
  <c r="BT344" i="1"/>
  <c r="BR344" i="1" s="1"/>
  <c r="BS344" i="1"/>
  <c r="BQ344" i="1"/>
  <c r="E344" i="1"/>
  <c r="BT343" i="1"/>
  <c r="BR343" i="1" s="1"/>
  <c r="BS343" i="1"/>
  <c r="BQ343" i="1"/>
  <c r="E343" i="1"/>
  <c r="BT342" i="1"/>
  <c r="BR342" i="1" s="1"/>
  <c r="BS342" i="1"/>
  <c r="BQ342" i="1"/>
  <c r="E342" i="1"/>
  <c r="BT341" i="1"/>
  <c r="BR341" i="1" s="1"/>
  <c r="BS341" i="1"/>
  <c r="BQ341" i="1"/>
  <c r="E341" i="1"/>
  <c r="BT340" i="1"/>
  <c r="BR340" i="1" s="1"/>
  <c r="BS340" i="1"/>
  <c r="BQ340" i="1"/>
  <c r="E340" i="1"/>
  <c r="BT339" i="1"/>
  <c r="BR339" i="1" s="1"/>
  <c r="BS339" i="1"/>
  <c r="BQ339" i="1"/>
  <c r="E339" i="1"/>
  <c r="BT338" i="1"/>
  <c r="BR338" i="1" s="1"/>
  <c r="BS338" i="1"/>
  <c r="BQ338" i="1"/>
  <c r="E338" i="1"/>
  <c r="BT337" i="1"/>
  <c r="BR337" i="1" s="1"/>
  <c r="BS337" i="1"/>
  <c r="BQ337" i="1"/>
  <c r="E337" i="1"/>
  <c r="BT336" i="1"/>
  <c r="BR336" i="1" s="1"/>
  <c r="BS336" i="1"/>
  <c r="BQ336" i="1"/>
  <c r="E336" i="1"/>
  <c r="BT335" i="1"/>
  <c r="BR335" i="1" s="1"/>
  <c r="BS335" i="1"/>
  <c r="BQ335" i="1"/>
  <c r="E335" i="1"/>
  <c r="BT334" i="1"/>
  <c r="BR334" i="1" s="1"/>
  <c r="BS334" i="1"/>
  <c r="BQ334" i="1"/>
  <c r="E334" i="1"/>
  <c r="BT333" i="1"/>
  <c r="BR333" i="1" s="1"/>
  <c r="BS333" i="1"/>
  <c r="BQ333" i="1"/>
  <c r="E333" i="1"/>
  <c r="BT332" i="1"/>
  <c r="BR332" i="1" s="1"/>
  <c r="BS332" i="1"/>
  <c r="BQ332" i="1"/>
  <c r="E332" i="1"/>
  <c r="BT331" i="1"/>
  <c r="BS331" i="1"/>
  <c r="BR331" i="1"/>
  <c r="BQ331" i="1"/>
  <c r="E331" i="1"/>
  <c r="BT330" i="1"/>
  <c r="BS330" i="1"/>
  <c r="BR330" i="1"/>
  <c r="BQ330" i="1"/>
  <c r="E330" i="1"/>
  <c r="BT329" i="1"/>
  <c r="BR329" i="1" s="1"/>
  <c r="BS329" i="1"/>
  <c r="BQ329" i="1"/>
  <c r="E329" i="1"/>
  <c r="BT328" i="1"/>
  <c r="BR328" i="1" s="1"/>
  <c r="BS328" i="1"/>
  <c r="BQ328" i="1"/>
  <c r="E328" i="1"/>
  <c r="BT327" i="1"/>
  <c r="BR327" i="1" s="1"/>
  <c r="BS327" i="1"/>
  <c r="BQ327" i="1"/>
  <c r="E327" i="1"/>
  <c r="BT326" i="1"/>
  <c r="BR326" i="1" s="1"/>
  <c r="BS326" i="1"/>
  <c r="BQ326" i="1"/>
  <c r="E326" i="1"/>
  <c r="BT325" i="1"/>
  <c r="BR325" i="1" s="1"/>
  <c r="BS325" i="1"/>
  <c r="BQ325" i="1"/>
  <c r="E325" i="1"/>
  <c r="BT324" i="1"/>
  <c r="BR324" i="1" s="1"/>
  <c r="BS324" i="1"/>
  <c r="BQ324" i="1"/>
  <c r="E324" i="1"/>
  <c r="BT323" i="1"/>
  <c r="BR323" i="1" s="1"/>
  <c r="BS323" i="1"/>
  <c r="BQ323" i="1"/>
  <c r="E323" i="1"/>
  <c r="BT322" i="1"/>
  <c r="BS322" i="1"/>
  <c r="BR322" i="1"/>
  <c r="BQ322" i="1"/>
  <c r="E322" i="1"/>
  <c r="BT321" i="1"/>
  <c r="BR321" i="1" s="1"/>
  <c r="BS321" i="1"/>
  <c r="BQ321" i="1"/>
  <c r="E321" i="1"/>
  <c r="BT320" i="1"/>
  <c r="BR320" i="1" s="1"/>
  <c r="BS320" i="1"/>
  <c r="BQ320" i="1"/>
  <c r="E320" i="1"/>
  <c r="BT319" i="1"/>
  <c r="BR319" i="1" s="1"/>
  <c r="BS319" i="1"/>
  <c r="BQ319" i="1"/>
  <c r="E319" i="1"/>
  <c r="BT318" i="1"/>
  <c r="BR318" i="1" s="1"/>
  <c r="BS318" i="1"/>
  <c r="BQ318" i="1"/>
  <c r="E318" i="1"/>
  <c r="BT317" i="1"/>
  <c r="BR317" i="1" s="1"/>
  <c r="BS317" i="1"/>
  <c r="BQ317" i="1"/>
  <c r="E317" i="1"/>
  <c r="BT316" i="1"/>
  <c r="BR316" i="1" s="1"/>
  <c r="BS316" i="1"/>
  <c r="BQ316" i="1"/>
  <c r="E316" i="1"/>
  <c r="BT315" i="1"/>
  <c r="BS315" i="1"/>
  <c r="BR315" i="1"/>
  <c r="BQ315" i="1"/>
  <c r="E315" i="1"/>
  <c r="BT314" i="1"/>
  <c r="BR314" i="1" s="1"/>
  <c r="BS314" i="1"/>
  <c r="BQ314" i="1"/>
  <c r="E314" i="1"/>
  <c r="BT313" i="1"/>
  <c r="BS313" i="1"/>
  <c r="BR313" i="1"/>
  <c r="BQ313" i="1"/>
  <c r="E313" i="1"/>
  <c r="BT312" i="1"/>
  <c r="BR312" i="1" s="1"/>
  <c r="BS312" i="1"/>
  <c r="BQ312" i="1"/>
  <c r="E312" i="1"/>
  <c r="BT311" i="1"/>
  <c r="BR311" i="1" s="1"/>
  <c r="BS311" i="1"/>
  <c r="BQ311" i="1"/>
  <c r="E311" i="1"/>
  <c r="BT310" i="1"/>
  <c r="BR310" i="1" s="1"/>
  <c r="BS310" i="1"/>
  <c r="BQ310" i="1"/>
  <c r="E310" i="1"/>
  <c r="BT309" i="1"/>
  <c r="BR309" i="1" s="1"/>
  <c r="BS309" i="1"/>
  <c r="BQ309" i="1"/>
  <c r="E309" i="1"/>
  <c r="BT308" i="1"/>
  <c r="BR308" i="1" s="1"/>
  <c r="BS308" i="1"/>
  <c r="BQ308" i="1"/>
  <c r="E308" i="1"/>
  <c r="BT307" i="1"/>
  <c r="BR307" i="1" s="1"/>
  <c r="BS307" i="1"/>
  <c r="BQ307" i="1"/>
  <c r="E307" i="1"/>
  <c r="BT306" i="1"/>
  <c r="BR306" i="1" s="1"/>
  <c r="BS306" i="1"/>
  <c r="BQ306" i="1"/>
  <c r="E306" i="1"/>
  <c r="BT305" i="1"/>
  <c r="BR305" i="1" s="1"/>
  <c r="BS305" i="1"/>
  <c r="BQ305" i="1"/>
  <c r="E305" i="1"/>
  <c r="BT304" i="1"/>
  <c r="BS304" i="1"/>
  <c r="BR304" i="1"/>
  <c r="BQ304" i="1"/>
  <c r="E304" i="1"/>
  <c r="BT303" i="1"/>
  <c r="BR303" i="1" s="1"/>
  <c r="BS303" i="1"/>
  <c r="BQ303" i="1"/>
  <c r="E303" i="1"/>
  <c r="BT302" i="1"/>
  <c r="BR302" i="1" s="1"/>
  <c r="BS302" i="1"/>
  <c r="BQ302" i="1"/>
  <c r="E302" i="1"/>
  <c r="BT301" i="1"/>
  <c r="BR301" i="1" s="1"/>
  <c r="BS301" i="1"/>
  <c r="BQ301" i="1"/>
  <c r="E301" i="1"/>
  <c r="BT300" i="1"/>
  <c r="BR300" i="1" s="1"/>
  <c r="BS300" i="1"/>
  <c r="BQ300" i="1"/>
  <c r="E300" i="1"/>
  <c r="BT299" i="1"/>
  <c r="BS299" i="1"/>
  <c r="BR299" i="1"/>
  <c r="BQ299" i="1"/>
  <c r="E299" i="1"/>
  <c r="BT298" i="1"/>
  <c r="BR298" i="1" s="1"/>
  <c r="BS298" i="1"/>
  <c r="BQ298" i="1"/>
  <c r="E298" i="1"/>
  <c r="BT297" i="1"/>
  <c r="BR297" i="1" s="1"/>
  <c r="BS297" i="1"/>
  <c r="BQ297" i="1"/>
  <c r="E297" i="1"/>
  <c r="BT296" i="1"/>
  <c r="BR296" i="1" s="1"/>
  <c r="BS296" i="1"/>
  <c r="BQ296" i="1"/>
  <c r="E296" i="1"/>
  <c r="BT295" i="1"/>
  <c r="BR295" i="1" s="1"/>
  <c r="BS295" i="1"/>
  <c r="BQ295" i="1"/>
  <c r="E295" i="1"/>
  <c r="BT294" i="1"/>
  <c r="BS294" i="1"/>
  <c r="BR294" i="1"/>
  <c r="BQ294" i="1"/>
  <c r="E294" i="1"/>
  <c r="BT293" i="1"/>
  <c r="BR293" i="1" s="1"/>
  <c r="BS293" i="1"/>
  <c r="BQ293" i="1"/>
  <c r="E293" i="1"/>
  <c r="BT292" i="1"/>
  <c r="BR292" i="1" s="1"/>
  <c r="BS292" i="1"/>
  <c r="BQ292" i="1"/>
  <c r="E292" i="1"/>
  <c r="BT291" i="1"/>
  <c r="BR291" i="1" s="1"/>
  <c r="BS291" i="1"/>
  <c r="BQ291" i="1"/>
  <c r="E291" i="1"/>
  <c r="BT290" i="1"/>
  <c r="BR290" i="1" s="1"/>
  <c r="BS290" i="1"/>
  <c r="BQ290" i="1"/>
  <c r="E290" i="1"/>
  <c r="BT289" i="1"/>
  <c r="BR289" i="1" s="1"/>
  <c r="BS289" i="1"/>
  <c r="BQ289" i="1"/>
  <c r="E289" i="1"/>
  <c r="BT288" i="1"/>
  <c r="BS288" i="1"/>
  <c r="BR288" i="1"/>
  <c r="BQ288" i="1"/>
  <c r="E288" i="1"/>
  <c r="BT287" i="1"/>
  <c r="BR287" i="1" s="1"/>
  <c r="BS287" i="1"/>
  <c r="BQ287" i="1"/>
  <c r="E287" i="1"/>
  <c r="BT286" i="1"/>
  <c r="BS286" i="1"/>
  <c r="BR286" i="1"/>
  <c r="BQ286" i="1"/>
  <c r="E286" i="1"/>
  <c r="BT285" i="1"/>
  <c r="BR285" i="1" s="1"/>
  <c r="BS285" i="1"/>
  <c r="BQ285" i="1"/>
  <c r="E285" i="1"/>
  <c r="BT284" i="1"/>
  <c r="BR284" i="1" s="1"/>
  <c r="BS284" i="1"/>
  <c r="BQ284" i="1"/>
  <c r="E284" i="1"/>
  <c r="BT283" i="1"/>
  <c r="BR283" i="1" s="1"/>
  <c r="BS283" i="1"/>
  <c r="BQ283" i="1"/>
  <c r="E283" i="1"/>
  <c r="BT282" i="1"/>
  <c r="BR282" i="1" s="1"/>
  <c r="BS282" i="1"/>
  <c r="BQ282" i="1"/>
  <c r="E282" i="1"/>
  <c r="BT281" i="1"/>
  <c r="BS281" i="1"/>
  <c r="BR281" i="1"/>
  <c r="BQ281" i="1"/>
  <c r="E281" i="1"/>
  <c r="BT280" i="1"/>
  <c r="BS280" i="1"/>
  <c r="BR280" i="1"/>
  <c r="BQ280" i="1"/>
  <c r="E280" i="1"/>
  <c r="BT279" i="1"/>
  <c r="BR279" i="1" s="1"/>
  <c r="BS279" i="1"/>
  <c r="BQ279" i="1"/>
  <c r="E279" i="1"/>
  <c r="BT278" i="1"/>
  <c r="BS278" i="1"/>
  <c r="BR278" i="1"/>
  <c r="BQ278" i="1"/>
  <c r="E278" i="1"/>
  <c r="BT277" i="1"/>
  <c r="BR277" i="1" s="1"/>
  <c r="BS277" i="1"/>
  <c r="BQ277" i="1"/>
  <c r="E277" i="1"/>
  <c r="BT276" i="1"/>
  <c r="BR276" i="1" s="1"/>
  <c r="BS276" i="1"/>
  <c r="BQ276" i="1"/>
  <c r="E276" i="1"/>
  <c r="BT275" i="1"/>
  <c r="BR275" i="1" s="1"/>
  <c r="BS275" i="1"/>
  <c r="BQ275" i="1"/>
  <c r="E275" i="1"/>
  <c r="BT274" i="1"/>
  <c r="BR274" i="1" s="1"/>
  <c r="BS274" i="1"/>
  <c r="BQ274" i="1"/>
  <c r="E274" i="1"/>
  <c r="BT273" i="1"/>
  <c r="BR273" i="1" s="1"/>
  <c r="BS273" i="1"/>
  <c r="BQ273" i="1"/>
  <c r="E273" i="1"/>
  <c r="BT272" i="1"/>
  <c r="BR272" i="1" s="1"/>
  <c r="BS272" i="1"/>
  <c r="BQ272" i="1"/>
  <c r="E272" i="1"/>
  <c r="BT271" i="1"/>
  <c r="BR271" i="1" s="1"/>
  <c r="BS271" i="1"/>
  <c r="BQ271" i="1"/>
  <c r="E271" i="1"/>
  <c r="BT270" i="1"/>
  <c r="BR270" i="1" s="1"/>
  <c r="BS270" i="1"/>
  <c r="BQ270" i="1"/>
  <c r="E270" i="1"/>
  <c r="BT269" i="1"/>
  <c r="BR269" i="1" s="1"/>
  <c r="BS269" i="1"/>
  <c r="BQ269" i="1"/>
  <c r="E269" i="1"/>
  <c r="BT268" i="1"/>
  <c r="BR268" i="1" s="1"/>
  <c r="BS268" i="1"/>
  <c r="BQ268" i="1"/>
  <c r="E268" i="1"/>
  <c r="BT267" i="1"/>
  <c r="BR267" i="1" s="1"/>
  <c r="BS267" i="1"/>
  <c r="BQ267" i="1"/>
  <c r="E267" i="1"/>
  <c r="BT266" i="1"/>
  <c r="BR266" i="1" s="1"/>
  <c r="BS266" i="1"/>
  <c r="BQ266" i="1"/>
  <c r="E266" i="1"/>
  <c r="BT265" i="1"/>
  <c r="BS265" i="1"/>
  <c r="BR265" i="1"/>
  <c r="BQ265" i="1"/>
  <c r="E265" i="1"/>
  <c r="BT264" i="1"/>
  <c r="BR264" i="1" s="1"/>
  <c r="BS264" i="1"/>
  <c r="BQ264" i="1"/>
  <c r="E264" i="1"/>
  <c r="BT263" i="1"/>
  <c r="BR263" i="1" s="1"/>
  <c r="BS263" i="1"/>
  <c r="BQ263" i="1"/>
  <c r="E263" i="1"/>
  <c r="BT262" i="1"/>
  <c r="BS262" i="1"/>
  <c r="BR262" i="1"/>
  <c r="BQ262" i="1"/>
  <c r="E262" i="1"/>
  <c r="BT261" i="1"/>
  <c r="BR261" i="1" s="1"/>
  <c r="BS261" i="1"/>
  <c r="BQ261" i="1"/>
  <c r="E261" i="1"/>
  <c r="BT260" i="1"/>
  <c r="BR260" i="1" s="1"/>
  <c r="BS260" i="1"/>
  <c r="BQ260" i="1"/>
  <c r="E260" i="1"/>
  <c r="BT259" i="1"/>
  <c r="BR259" i="1" s="1"/>
  <c r="BS259" i="1"/>
  <c r="BQ259" i="1"/>
  <c r="E259" i="1"/>
  <c r="BT258" i="1"/>
  <c r="BR258" i="1" s="1"/>
  <c r="BS258" i="1"/>
  <c r="BQ258" i="1"/>
  <c r="E258" i="1"/>
  <c r="BT257" i="1"/>
  <c r="BR257" i="1" s="1"/>
  <c r="BS257" i="1"/>
  <c r="BQ257" i="1"/>
  <c r="E257" i="1"/>
  <c r="BT256" i="1"/>
  <c r="BR256" i="1" s="1"/>
  <c r="BS256" i="1"/>
  <c r="BQ256" i="1"/>
  <c r="E256" i="1"/>
  <c r="BT255" i="1"/>
  <c r="BR255" i="1" s="1"/>
  <c r="BS255" i="1"/>
  <c r="BQ255" i="1"/>
  <c r="E255" i="1"/>
  <c r="BT254" i="1"/>
  <c r="BR254" i="1" s="1"/>
  <c r="BS254" i="1"/>
  <c r="BQ254" i="1"/>
  <c r="E254" i="1"/>
  <c r="BT253" i="1"/>
  <c r="BR253" i="1" s="1"/>
  <c r="BS253" i="1"/>
  <c r="BQ253" i="1"/>
  <c r="E253" i="1"/>
  <c r="BT252" i="1"/>
  <c r="BR252" i="1" s="1"/>
  <c r="BS252" i="1"/>
  <c r="BQ252" i="1"/>
  <c r="E252" i="1"/>
  <c r="BT251" i="1"/>
  <c r="BR251" i="1" s="1"/>
  <c r="BS251" i="1"/>
  <c r="BQ251" i="1"/>
  <c r="E251" i="1"/>
  <c r="BT250" i="1"/>
  <c r="BS250" i="1"/>
  <c r="BR250" i="1"/>
  <c r="BQ250" i="1"/>
  <c r="E250" i="1"/>
  <c r="BT249" i="1"/>
  <c r="BR249" i="1" s="1"/>
  <c r="BS249" i="1"/>
  <c r="BQ249" i="1"/>
  <c r="E249" i="1"/>
  <c r="BT248" i="1"/>
  <c r="BR248" i="1" s="1"/>
  <c r="BS248" i="1"/>
  <c r="BQ248" i="1"/>
  <c r="E248" i="1"/>
  <c r="BT247" i="1"/>
  <c r="BR247" i="1" s="1"/>
  <c r="BS247" i="1"/>
  <c r="BQ247" i="1"/>
  <c r="E247" i="1"/>
  <c r="BT246" i="1"/>
  <c r="BR246" i="1" s="1"/>
  <c r="BS246" i="1"/>
  <c r="BQ246" i="1"/>
  <c r="E246" i="1"/>
  <c r="BT245" i="1"/>
  <c r="BS245" i="1"/>
  <c r="BR245" i="1"/>
  <c r="BQ245" i="1"/>
  <c r="E245" i="1"/>
  <c r="BT244" i="1"/>
  <c r="BR244" i="1" s="1"/>
  <c r="BS244" i="1"/>
  <c r="BQ244" i="1"/>
  <c r="E244" i="1"/>
  <c r="BT243" i="1"/>
  <c r="BR243" i="1" s="1"/>
  <c r="BS243" i="1"/>
  <c r="BQ243" i="1"/>
  <c r="E243" i="1"/>
  <c r="BT242" i="1"/>
  <c r="BS242" i="1"/>
  <c r="BR242" i="1"/>
  <c r="BQ242" i="1"/>
  <c r="E242" i="1"/>
  <c r="BT241" i="1"/>
  <c r="BR241" i="1" s="1"/>
  <c r="BS241" i="1"/>
  <c r="BQ241" i="1"/>
  <c r="E241" i="1"/>
  <c r="BT240" i="1"/>
  <c r="BS240" i="1"/>
  <c r="BR240" i="1"/>
  <c r="BQ240" i="1"/>
  <c r="E240" i="1"/>
  <c r="BT239" i="1"/>
  <c r="BR239" i="1" s="1"/>
  <c r="BS239" i="1"/>
  <c r="BQ239" i="1"/>
  <c r="E239" i="1"/>
  <c r="BT238" i="1"/>
  <c r="BS238" i="1"/>
  <c r="BR238" i="1"/>
  <c r="BQ238" i="1"/>
  <c r="E238" i="1"/>
  <c r="BT237" i="1"/>
  <c r="BR237" i="1" s="1"/>
  <c r="BS237" i="1"/>
  <c r="BQ237" i="1"/>
  <c r="E237" i="1"/>
  <c r="BT236" i="1"/>
  <c r="BR236" i="1" s="1"/>
  <c r="BS236" i="1"/>
  <c r="BQ236" i="1"/>
  <c r="E236" i="1"/>
  <c r="BT235" i="1"/>
  <c r="BS235" i="1"/>
  <c r="BR235" i="1"/>
  <c r="BQ235" i="1"/>
  <c r="E235" i="1"/>
  <c r="BT234" i="1"/>
  <c r="BR234" i="1" s="1"/>
  <c r="BS234" i="1"/>
  <c r="BQ234" i="1"/>
  <c r="E234" i="1"/>
  <c r="BT233" i="1"/>
  <c r="BS233" i="1"/>
  <c r="BR233" i="1"/>
  <c r="BQ233" i="1"/>
  <c r="E233" i="1"/>
  <c r="BT232" i="1"/>
  <c r="BR232" i="1" s="1"/>
  <c r="BS232" i="1"/>
  <c r="BQ232" i="1"/>
  <c r="E232" i="1"/>
  <c r="BT231" i="1"/>
  <c r="BS231" i="1"/>
  <c r="BR231" i="1"/>
  <c r="BQ231" i="1"/>
  <c r="E231" i="1"/>
  <c r="BT230" i="1"/>
  <c r="BR230" i="1" s="1"/>
  <c r="BS230" i="1"/>
  <c r="BQ230" i="1"/>
  <c r="E230" i="1"/>
  <c r="BT229" i="1"/>
  <c r="BR229" i="1" s="1"/>
  <c r="BS229" i="1"/>
  <c r="BQ229" i="1"/>
  <c r="E229" i="1"/>
  <c r="BT228" i="1"/>
  <c r="BR228" i="1" s="1"/>
  <c r="BS228" i="1"/>
  <c r="BQ228" i="1"/>
  <c r="E228" i="1"/>
  <c r="BT227" i="1"/>
  <c r="BR227" i="1" s="1"/>
  <c r="BS227" i="1"/>
  <c r="BQ227" i="1"/>
  <c r="E227" i="1"/>
  <c r="BT226" i="1"/>
  <c r="BR226" i="1" s="1"/>
  <c r="BS226" i="1"/>
  <c r="BQ226" i="1"/>
  <c r="E226" i="1"/>
  <c r="BT225" i="1"/>
  <c r="BR225" i="1" s="1"/>
  <c r="BS225" i="1"/>
  <c r="BQ225" i="1"/>
  <c r="E225" i="1"/>
  <c r="BT224" i="1"/>
  <c r="BR224" i="1" s="1"/>
  <c r="BS224" i="1"/>
  <c r="BQ224" i="1"/>
  <c r="E224" i="1"/>
  <c r="BT223" i="1"/>
  <c r="BR223" i="1" s="1"/>
  <c r="BS223" i="1"/>
  <c r="BQ223" i="1"/>
  <c r="E223" i="1"/>
  <c r="BT222" i="1"/>
  <c r="BR222" i="1" s="1"/>
  <c r="BS222" i="1"/>
  <c r="BQ222" i="1"/>
  <c r="E222" i="1"/>
  <c r="BT221" i="1"/>
  <c r="BS221" i="1"/>
  <c r="BR221" i="1"/>
  <c r="BQ221" i="1"/>
  <c r="E221" i="1"/>
  <c r="BT220" i="1"/>
  <c r="BR220" i="1" s="1"/>
  <c r="BS220" i="1"/>
  <c r="BQ220" i="1"/>
  <c r="E220" i="1"/>
  <c r="BT219" i="1"/>
  <c r="BR219" i="1" s="1"/>
  <c r="BS219" i="1"/>
  <c r="BQ219" i="1"/>
  <c r="E219" i="1"/>
  <c r="BT218" i="1"/>
  <c r="BR218" i="1" s="1"/>
  <c r="BS218" i="1"/>
  <c r="BQ218" i="1"/>
  <c r="E218" i="1"/>
  <c r="BT217" i="1"/>
  <c r="BS217" i="1"/>
  <c r="BR217" i="1"/>
  <c r="BQ217" i="1"/>
  <c r="E217" i="1"/>
  <c r="BT216" i="1"/>
  <c r="BR216" i="1" s="1"/>
  <c r="BS216" i="1"/>
  <c r="BQ216" i="1"/>
  <c r="E216" i="1"/>
  <c r="BT215" i="1"/>
  <c r="BR215" i="1" s="1"/>
  <c r="BS215" i="1"/>
  <c r="BQ215" i="1"/>
  <c r="E215" i="1"/>
  <c r="BT214" i="1"/>
  <c r="BR214" i="1" s="1"/>
  <c r="BS214" i="1"/>
  <c r="BQ214" i="1"/>
  <c r="E214" i="1"/>
  <c r="BT213" i="1"/>
  <c r="BR213" i="1" s="1"/>
  <c r="BS213" i="1"/>
  <c r="BQ213" i="1"/>
  <c r="E213" i="1"/>
  <c r="BT212" i="1"/>
  <c r="BR212" i="1" s="1"/>
  <c r="BS212" i="1"/>
  <c r="BQ212" i="1"/>
  <c r="E212" i="1"/>
  <c r="BT211" i="1"/>
  <c r="BR211" i="1" s="1"/>
  <c r="BS211" i="1"/>
  <c r="BQ211" i="1"/>
  <c r="E211" i="1"/>
  <c r="BT210" i="1"/>
  <c r="BR210" i="1" s="1"/>
  <c r="BS210" i="1"/>
  <c r="BQ210" i="1"/>
  <c r="E210" i="1"/>
  <c r="BT209" i="1"/>
  <c r="BR209" i="1" s="1"/>
  <c r="BS209" i="1"/>
  <c r="BQ209" i="1"/>
  <c r="E209" i="1"/>
  <c r="BT208" i="1"/>
  <c r="BR208" i="1" s="1"/>
  <c r="BS208" i="1"/>
  <c r="BQ208" i="1"/>
  <c r="E208" i="1"/>
  <c r="BT207" i="1"/>
  <c r="BR207" i="1" s="1"/>
  <c r="BS207" i="1"/>
  <c r="BQ207" i="1"/>
  <c r="E207" i="1"/>
  <c r="BT206" i="1"/>
  <c r="BR206" i="1" s="1"/>
  <c r="BS206" i="1"/>
  <c r="BQ206" i="1"/>
  <c r="E206" i="1"/>
  <c r="BT205" i="1"/>
  <c r="BS205" i="1"/>
  <c r="BR205" i="1"/>
  <c r="BQ205" i="1"/>
  <c r="E205" i="1"/>
  <c r="BT204" i="1"/>
  <c r="BR204" i="1" s="1"/>
  <c r="BS204" i="1"/>
  <c r="BQ204" i="1"/>
  <c r="E204" i="1"/>
  <c r="BT203" i="1"/>
  <c r="BR203" i="1" s="1"/>
  <c r="BS203" i="1"/>
  <c r="BQ203" i="1"/>
  <c r="E203" i="1"/>
  <c r="BT202" i="1"/>
  <c r="BR202" i="1" s="1"/>
  <c r="BS202" i="1"/>
  <c r="BQ202" i="1"/>
  <c r="E202" i="1"/>
  <c r="BT201" i="1"/>
  <c r="BS201" i="1"/>
  <c r="BR201" i="1"/>
  <c r="BQ201" i="1"/>
  <c r="E201" i="1"/>
  <c r="BT200" i="1"/>
  <c r="BR200" i="1" s="1"/>
  <c r="BS200" i="1"/>
  <c r="BQ200" i="1"/>
  <c r="E200" i="1"/>
  <c r="BT199" i="1"/>
  <c r="BR199" i="1" s="1"/>
  <c r="BS199" i="1"/>
  <c r="BQ199" i="1"/>
  <c r="E199" i="1"/>
  <c r="BT198" i="1"/>
  <c r="BR198" i="1" s="1"/>
  <c r="BS198" i="1"/>
  <c r="BQ198" i="1"/>
  <c r="E198" i="1"/>
  <c r="BT197" i="1"/>
  <c r="BR197" i="1" s="1"/>
  <c r="BS197" i="1"/>
  <c r="BQ197" i="1"/>
  <c r="E197" i="1"/>
  <c r="BT196" i="1"/>
  <c r="BS196" i="1"/>
  <c r="BR196" i="1"/>
  <c r="BQ196" i="1"/>
  <c r="E196" i="1"/>
  <c r="BT195" i="1"/>
  <c r="BR195" i="1" s="1"/>
  <c r="BS195" i="1"/>
  <c r="BQ195" i="1"/>
  <c r="E195" i="1"/>
  <c r="BT194" i="1"/>
  <c r="BR194" i="1" s="1"/>
  <c r="BS194" i="1"/>
  <c r="BQ194" i="1"/>
  <c r="E194" i="1"/>
  <c r="BT193" i="1"/>
  <c r="BS193" i="1"/>
  <c r="BR193" i="1"/>
  <c r="BQ193" i="1"/>
  <c r="E193" i="1"/>
  <c r="BT192" i="1"/>
  <c r="BR192" i="1" s="1"/>
  <c r="BS192" i="1"/>
  <c r="BQ192" i="1"/>
  <c r="E192" i="1"/>
  <c r="BT191" i="1"/>
  <c r="BR191" i="1" s="1"/>
  <c r="BS191" i="1"/>
  <c r="BQ191" i="1"/>
  <c r="E191" i="1"/>
  <c r="BT190" i="1"/>
  <c r="BR190" i="1" s="1"/>
  <c r="BS190" i="1"/>
  <c r="BQ190" i="1"/>
  <c r="E190" i="1"/>
  <c r="BT189" i="1"/>
  <c r="BS189" i="1"/>
  <c r="BR189" i="1"/>
  <c r="BQ189" i="1"/>
  <c r="E189" i="1"/>
  <c r="BT188" i="1"/>
  <c r="BR188" i="1" s="1"/>
  <c r="BS188" i="1"/>
  <c r="BQ188" i="1"/>
  <c r="E188" i="1"/>
  <c r="BT187" i="1"/>
  <c r="BR187" i="1" s="1"/>
  <c r="BS187" i="1"/>
  <c r="BQ187" i="1"/>
  <c r="E187" i="1"/>
  <c r="BT186" i="1"/>
  <c r="BR186" i="1" s="1"/>
  <c r="BS186" i="1"/>
  <c r="BQ186" i="1"/>
  <c r="E186" i="1"/>
  <c r="BT185" i="1"/>
  <c r="BS185" i="1"/>
  <c r="BR185" i="1"/>
  <c r="BQ185" i="1"/>
  <c r="E185" i="1"/>
  <c r="BT184" i="1"/>
  <c r="BR184" i="1" s="1"/>
  <c r="BS184" i="1"/>
  <c r="BQ184" i="1"/>
  <c r="E184" i="1"/>
  <c r="BT183" i="1"/>
  <c r="BR183" i="1" s="1"/>
  <c r="BS183" i="1"/>
  <c r="BQ183" i="1"/>
  <c r="E183" i="1"/>
  <c r="BT182" i="1"/>
  <c r="BR182" i="1" s="1"/>
  <c r="BS182" i="1"/>
  <c r="BQ182" i="1"/>
  <c r="E182" i="1"/>
  <c r="BT181" i="1"/>
  <c r="BR181" i="1" s="1"/>
  <c r="BS181" i="1"/>
  <c r="BQ181" i="1"/>
  <c r="E181" i="1"/>
  <c r="BT180" i="1"/>
  <c r="BS180" i="1"/>
  <c r="BR180" i="1"/>
  <c r="BQ180" i="1"/>
  <c r="E180" i="1"/>
  <c r="BT179" i="1"/>
  <c r="BR179" i="1" s="1"/>
  <c r="BS179" i="1"/>
  <c r="BQ179" i="1"/>
  <c r="E179" i="1"/>
  <c r="BT178" i="1"/>
  <c r="BS178" i="1"/>
  <c r="BR178" i="1"/>
  <c r="BQ178" i="1"/>
  <c r="E178" i="1"/>
  <c r="BT177" i="1"/>
  <c r="BR177" i="1" s="1"/>
  <c r="BS177" i="1"/>
  <c r="BQ177" i="1"/>
  <c r="E177" i="1"/>
  <c r="BT176" i="1"/>
  <c r="BR176" i="1" s="1"/>
  <c r="BS176" i="1"/>
  <c r="BQ176" i="1"/>
  <c r="E176" i="1"/>
  <c r="BT175" i="1"/>
  <c r="BR175" i="1" s="1"/>
  <c r="BS175" i="1"/>
  <c r="BQ175" i="1"/>
  <c r="E175" i="1"/>
  <c r="BT174" i="1"/>
  <c r="BR174" i="1" s="1"/>
  <c r="BS174" i="1"/>
  <c r="BQ174" i="1"/>
  <c r="E174" i="1"/>
  <c r="BT173" i="1"/>
  <c r="BS173" i="1"/>
  <c r="BR173" i="1"/>
  <c r="BQ173" i="1"/>
  <c r="E173" i="1"/>
  <c r="BT172" i="1"/>
  <c r="BR172" i="1" s="1"/>
  <c r="BS172" i="1"/>
  <c r="BQ172" i="1"/>
  <c r="E172" i="1"/>
  <c r="BT171" i="1"/>
  <c r="BR171" i="1" s="1"/>
  <c r="BS171" i="1"/>
  <c r="BQ171" i="1"/>
  <c r="E171" i="1"/>
  <c r="BT170" i="1"/>
  <c r="BS170" i="1"/>
  <c r="BR170" i="1"/>
  <c r="BQ170" i="1"/>
  <c r="E170" i="1"/>
  <c r="BT169" i="1"/>
  <c r="BR169" i="1" s="1"/>
  <c r="BS169" i="1"/>
  <c r="BQ169" i="1"/>
  <c r="E169" i="1"/>
  <c r="BT168" i="1"/>
  <c r="BR168" i="1" s="1"/>
  <c r="BS168" i="1"/>
  <c r="BQ168" i="1"/>
  <c r="E168" i="1"/>
  <c r="BT167" i="1"/>
  <c r="BR167" i="1" s="1"/>
  <c r="BS167" i="1"/>
  <c r="BQ167" i="1"/>
  <c r="E167" i="1"/>
  <c r="BT166" i="1"/>
  <c r="BR166" i="1" s="1"/>
  <c r="BS166" i="1"/>
  <c r="BQ166" i="1"/>
  <c r="E166" i="1"/>
  <c r="BT165" i="1"/>
  <c r="BR165" i="1" s="1"/>
  <c r="BS165" i="1"/>
  <c r="BQ165" i="1"/>
  <c r="E165" i="1"/>
  <c r="BT164" i="1"/>
  <c r="BR164" i="1" s="1"/>
  <c r="BS164" i="1"/>
  <c r="BQ164" i="1"/>
  <c r="E164" i="1"/>
  <c r="BT163" i="1"/>
  <c r="BR163" i="1" s="1"/>
  <c r="BS163" i="1"/>
  <c r="BQ163" i="1"/>
  <c r="E163" i="1"/>
  <c r="BT162" i="1"/>
  <c r="BR162" i="1" s="1"/>
  <c r="BS162" i="1"/>
  <c r="BQ162" i="1"/>
  <c r="E162" i="1"/>
  <c r="BT161" i="1"/>
  <c r="BR161" i="1" s="1"/>
  <c r="BS161" i="1"/>
  <c r="BQ161" i="1"/>
  <c r="E161" i="1"/>
  <c r="BT160" i="1"/>
  <c r="BR160" i="1" s="1"/>
  <c r="BS160" i="1"/>
  <c r="BQ160" i="1"/>
  <c r="E160" i="1"/>
  <c r="BT159" i="1"/>
  <c r="BS159" i="1"/>
  <c r="BR159" i="1"/>
  <c r="BQ159" i="1"/>
  <c r="E159" i="1"/>
  <c r="BT158" i="1"/>
  <c r="BR158" i="1" s="1"/>
  <c r="BS158" i="1"/>
  <c r="BQ158" i="1"/>
  <c r="E158" i="1"/>
  <c r="BT157" i="1"/>
  <c r="BR157" i="1" s="1"/>
  <c r="BS157" i="1"/>
  <c r="BQ157" i="1"/>
  <c r="E157" i="1"/>
  <c r="BT156" i="1"/>
  <c r="BS156" i="1"/>
  <c r="BR156" i="1"/>
  <c r="BQ156" i="1"/>
  <c r="E156" i="1"/>
  <c r="BT155" i="1"/>
  <c r="BR155" i="1" s="1"/>
  <c r="BS155" i="1"/>
  <c r="BQ155" i="1"/>
  <c r="E155" i="1"/>
  <c r="BT154" i="1"/>
  <c r="BS154" i="1"/>
  <c r="BR154" i="1"/>
  <c r="BQ154" i="1"/>
  <c r="E154" i="1"/>
  <c r="BT153" i="1"/>
  <c r="BR153" i="1" s="1"/>
  <c r="BS153" i="1"/>
  <c r="BQ153" i="1"/>
  <c r="E153" i="1"/>
  <c r="BT152" i="1"/>
  <c r="BR152" i="1" s="1"/>
  <c r="BS152" i="1"/>
  <c r="BQ152" i="1"/>
  <c r="E152" i="1"/>
  <c r="BT151" i="1"/>
  <c r="BR151" i="1" s="1"/>
  <c r="BS151" i="1"/>
  <c r="BQ151" i="1"/>
  <c r="E151" i="1"/>
  <c r="BT150" i="1"/>
  <c r="BR150" i="1" s="1"/>
  <c r="BS150" i="1"/>
  <c r="BQ150" i="1"/>
  <c r="E150" i="1"/>
  <c r="BT149" i="1"/>
  <c r="BS149" i="1"/>
  <c r="BR149" i="1"/>
  <c r="BQ149" i="1"/>
  <c r="E149" i="1"/>
  <c r="BT148" i="1"/>
  <c r="BS148" i="1"/>
  <c r="BR148" i="1"/>
  <c r="BQ148" i="1"/>
  <c r="E148" i="1"/>
  <c r="BT147" i="1"/>
  <c r="BR147" i="1" s="1"/>
  <c r="BS147" i="1"/>
  <c r="BQ147" i="1"/>
  <c r="E147" i="1"/>
  <c r="BT146" i="1"/>
  <c r="BR146" i="1" s="1"/>
  <c r="BS146" i="1"/>
  <c r="BQ146" i="1"/>
  <c r="E146" i="1"/>
  <c r="BT145" i="1"/>
  <c r="BR145" i="1" s="1"/>
  <c r="BS145" i="1"/>
  <c r="BQ145" i="1"/>
  <c r="E145" i="1"/>
  <c r="BT144" i="1"/>
  <c r="BR144" i="1" s="1"/>
  <c r="BS144" i="1"/>
  <c r="BQ144" i="1"/>
  <c r="E144" i="1"/>
  <c r="BT143" i="1"/>
  <c r="BR143" i="1" s="1"/>
  <c r="BS143" i="1"/>
  <c r="BQ143" i="1"/>
  <c r="E143" i="1"/>
  <c r="BT142" i="1"/>
  <c r="BR142" i="1" s="1"/>
  <c r="BS142" i="1"/>
  <c r="BQ142" i="1"/>
  <c r="E142" i="1"/>
  <c r="BT141" i="1"/>
  <c r="BR141" i="1" s="1"/>
  <c r="BS141" i="1"/>
  <c r="BQ141" i="1"/>
  <c r="E141" i="1"/>
  <c r="BT140" i="1"/>
  <c r="BR140" i="1" s="1"/>
  <c r="BS140" i="1"/>
  <c r="BQ140" i="1"/>
  <c r="E140" i="1"/>
  <c r="BT139" i="1"/>
  <c r="BR139" i="1" s="1"/>
  <c r="BS139" i="1"/>
  <c r="BQ139" i="1"/>
  <c r="E139" i="1"/>
  <c r="BT138" i="1"/>
  <c r="BR138" i="1" s="1"/>
  <c r="BS138" i="1"/>
  <c r="BQ138" i="1"/>
  <c r="E138" i="1"/>
  <c r="BT137" i="1"/>
  <c r="BS137" i="1"/>
  <c r="BR137" i="1"/>
  <c r="BQ137" i="1"/>
  <c r="E137" i="1"/>
  <c r="BT136" i="1"/>
  <c r="BR136" i="1" s="1"/>
  <c r="BS136" i="1"/>
  <c r="BQ136" i="1"/>
  <c r="E136" i="1"/>
  <c r="BT135" i="1"/>
  <c r="BS135" i="1"/>
  <c r="BR135" i="1"/>
  <c r="BQ135" i="1"/>
  <c r="E135" i="1"/>
  <c r="BT134" i="1"/>
  <c r="BR134" i="1" s="1"/>
  <c r="BS134" i="1"/>
  <c r="BQ134" i="1"/>
  <c r="E134" i="1"/>
  <c r="BT133" i="1"/>
  <c r="BR133" i="1" s="1"/>
  <c r="BS133" i="1"/>
  <c r="BQ133" i="1"/>
  <c r="E133" i="1"/>
  <c r="BT132" i="1"/>
  <c r="BS132" i="1"/>
  <c r="BR132" i="1"/>
  <c r="BQ132" i="1"/>
  <c r="E132" i="1"/>
  <c r="BT131" i="1"/>
  <c r="BR131" i="1" s="1"/>
  <c r="BS131" i="1"/>
  <c r="BQ131" i="1"/>
  <c r="E131" i="1"/>
  <c r="BT130" i="1"/>
  <c r="BS130" i="1"/>
  <c r="BR130" i="1"/>
  <c r="BQ130" i="1"/>
  <c r="E130" i="1"/>
  <c r="BT129" i="1"/>
  <c r="BR129" i="1" s="1"/>
  <c r="BS129" i="1"/>
  <c r="BQ129" i="1"/>
  <c r="E129" i="1"/>
  <c r="BT128" i="1"/>
  <c r="BR128" i="1" s="1"/>
  <c r="BS128" i="1"/>
  <c r="BQ128" i="1"/>
  <c r="E128" i="1"/>
  <c r="BT127" i="1"/>
  <c r="BR127" i="1" s="1"/>
  <c r="BS127" i="1"/>
  <c r="BQ127" i="1"/>
  <c r="E127" i="1"/>
  <c r="BT126" i="1"/>
  <c r="BR126" i="1" s="1"/>
  <c r="BS126" i="1"/>
  <c r="BQ126" i="1"/>
  <c r="E126" i="1"/>
  <c r="BT125" i="1"/>
  <c r="BS125" i="1"/>
  <c r="BR125" i="1"/>
  <c r="BQ125" i="1"/>
  <c r="E125" i="1"/>
  <c r="BT124" i="1"/>
  <c r="BR124" i="1" s="1"/>
  <c r="BS124" i="1"/>
  <c r="BQ124" i="1"/>
  <c r="E124" i="1"/>
  <c r="BT123" i="1"/>
  <c r="BR123" i="1" s="1"/>
  <c r="BS123" i="1"/>
  <c r="BQ123" i="1"/>
  <c r="E123" i="1"/>
  <c r="BT122" i="1"/>
  <c r="BR122" i="1" s="1"/>
  <c r="BS122" i="1"/>
  <c r="BQ122" i="1"/>
  <c r="E122" i="1"/>
  <c r="BT121" i="1"/>
  <c r="BR121" i="1" s="1"/>
  <c r="BS121" i="1"/>
  <c r="BQ121" i="1"/>
  <c r="E121" i="1"/>
  <c r="BT120" i="1"/>
  <c r="BR120" i="1" s="1"/>
  <c r="BS120" i="1"/>
  <c r="BQ120" i="1"/>
  <c r="E120" i="1"/>
  <c r="BT119" i="1"/>
  <c r="BR119" i="1" s="1"/>
  <c r="BS119" i="1"/>
  <c r="BQ119" i="1"/>
  <c r="E119" i="1"/>
  <c r="BT118" i="1"/>
  <c r="BR118" i="1" s="1"/>
  <c r="BS118" i="1"/>
  <c r="BQ118" i="1"/>
  <c r="E118" i="1"/>
  <c r="BT117" i="1"/>
  <c r="BR117" i="1" s="1"/>
  <c r="BS117" i="1"/>
  <c r="BQ117" i="1"/>
  <c r="E117" i="1"/>
  <c r="BT116" i="1"/>
  <c r="BR116" i="1" s="1"/>
  <c r="BS116" i="1"/>
  <c r="BQ116" i="1"/>
  <c r="E116" i="1"/>
  <c r="BT115" i="1"/>
  <c r="BR115" i="1" s="1"/>
  <c r="BS115" i="1"/>
  <c r="BQ115" i="1"/>
  <c r="E115" i="1"/>
  <c r="BT114" i="1"/>
  <c r="BS114" i="1"/>
  <c r="BR114" i="1"/>
  <c r="BQ114" i="1"/>
  <c r="E114" i="1"/>
  <c r="BT113" i="1"/>
  <c r="BS113" i="1"/>
  <c r="BR113" i="1"/>
  <c r="BQ113" i="1"/>
  <c r="E113" i="1"/>
  <c r="BT112" i="1"/>
  <c r="BR112" i="1" s="1"/>
  <c r="BS112" i="1"/>
  <c r="BQ112" i="1"/>
  <c r="E112" i="1"/>
  <c r="BT111" i="1"/>
  <c r="BR111" i="1" s="1"/>
  <c r="BS111" i="1"/>
  <c r="BQ111" i="1"/>
  <c r="E111" i="1"/>
  <c r="BT110" i="1"/>
  <c r="BR110" i="1" s="1"/>
  <c r="BS110" i="1"/>
  <c r="BQ110" i="1"/>
  <c r="E110" i="1"/>
  <c r="BT109" i="1"/>
  <c r="BR109" i="1" s="1"/>
  <c r="BS109" i="1"/>
  <c r="BQ109" i="1"/>
  <c r="E109" i="1"/>
  <c r="BT108" i="1"/>
  <c r="BR108" i="1" s="1"/>
  <c r="BS108" i="1"/>
  <c r="BQ108" i="1"/>
  <c r="E108" i="1"/>
  <c r="BT107" i="1"/>
  <c r="BR107" i="1" s="1"/>
  <c r="BS107" i="1"/>
  <c r="BQ107" i="1"/>
  <c r="E107" i="1"/>
  <c r="BT106" i="1"/>
  <c r="BS106" i="1"/>
  <c r="BR106" i="1"/>
  <c r="BQ106" i="1"/>
  <c r="E106" i="1"/>
  <c r="BT105" i="1"/>
  <c r="BR105" i="1" s="1"/>
  <c r="BS105" i="1"/>
  <c r="BQ105" i="1"/>
  <c r="E105" i="1"/>
  <c r="BT104" i="1"/>
  <c r="BR104" i="1" s="1"/>
  <c r="BS104" i="1"/>
  <c r="BQ104" i="1"/>
  <c r="E104" i="1"/>
  <c r="BT103" i="1"/>
  <c r="BR103" i="1" s="1"/>
  <c r="BS103" i="1"/>
  <c r="BQ103" i="1"/>
  <c r="E103" i="1"/>
  <c r="BT102" i="1"/>
  <c r="BR102" i="1" s="1"/>
  <c r="BS102" i="1"/>
  <c r="BQ102" i="1"/>
  <c r="E102" i="1"/>
  <c r="BT101" i="1"/>
  <c r="BR101" i="1" s="1"/>
  <c r="BS101" i="1"/>
  <c r="BQ101" i="1"/>
  <c r="E101" i="1"/>
  <c r="BT100" i="1"/>
  <c r="BR100" i="1" s="1"/>
  <c r="BS100" i="1"/>
  <c r="BQ100" i="1"/>
  <c r="E100" i="1"/>
  <c r="BT99" i="1"/>
  <c r="BR99" i="1" s="1"/>
  <c r="BS99" i="1"/>
  <c r="BQ99" i="1"/>
  <c r="E99" i="1"/>
  <c r="BT98" i="1"/>
  <c r="BR98" i="1" s="1"/>
  <c r="BS98" i="1"/>
  <c r="BQ98" i="1"/>
  <c r="E98" i="1"/>
  <c r="BT97" i="1"/>
  <c r="BS97" i="1"/>
  <c r="BR97" i="1"/>
  <c r="BQ97" i="1"/>
  <c r="E97" i="1"/>
  <c r="BT96" i="1"/>
  <c r="BR96" i="1" s="1"/>
  <c r="BS96" i="1"/>
  <c r="BQ96" i="1"/>
  <c r="E96" i="1"/>
  <c r="BT95" i="1"/>
  <c r="BR95" i="1" s="1"/>
  <c r="BS95" i="1"/>
  <c r="BQ95" i="1"/>
  <c r="E95" i="1"/>
  <c r="BT94" i="1"/>
  <c r="BR94" i="1" s="1"/>
  <c r="BS94" i="1"/>
  <c r="BQ94" i="1"/>
  <c r="E94" i="1"/>
  <c r="BT93" i="1"/>
  <c r="BR93" i="1" s="1"/>
  <c r="BS93" i="1"/>
  <c r="BQ93" i="1"/>
  <c r="E93" i="1"/>
  <c r="BT92" i="1"/>
  <c r="BR92" i="1" s="1"/>
  <c r="BS92" i="1"/>
  <c r="BQ92" i="1"/>
  <c r="E92" i="1"/>
  <c r="BT91" i="1"/>
  <c r="BR91" i="1" s="1"/>
  <c r="BS91" i="1"/>
  <c r="BQ91" i="1"/>
  <c r="E91" i="1"/>
  <c r="BT90" i="1"/>
  <c r="BS90" i="1"/>
  <c r="BR90" i="1"/>
  <c r="BQ90" i="1"/>
  <c r="E90" i="1"/>
  <c r="BT89" i="1"/>
  <c r="BR89" i="1" s="1"/>
  <c r="BS89" i="1"/>
  <c r="BQ89" i="1"/>
  <c r="E89" i="1"/>
  <c r="BT88" i="1"/>
  <c r="BR88" i="1" s="1"/>
  <c r="BS88" i="1"/>
  <c r="BQ88" i="1"/>
  <c r="E88" i="1"/>
  <c r="BT87" i="1"/>
  <c r="BS87" i="1"/>
  <c r="BR87" i="1"/>
  <c r="BQ87" i="1"/>
  <c r="E87" i="1"/>
  <c r="BT86" i="1"/>
  <c r="BR86" i="1" s="1"/>
  <c r="BS86" i="1"/>
  <c r="BQ86" i="1"/>
  <c r="E86" i="1"/>
  <c r="BT85" i="1"/>
  <c r="BR85" i="1" s="1"/>
  <c r="BS85" i="1"/>
  <c r="BQ85" i="1"/>
  <c r="E85" i="1"/>
  <c r="BT84" i="1"/>
  <c r="BR84" i="1" s="1"/>
  <c r="BS84" i="1"/>
  <c r="BQ84" i="1"/>
  <c r="E84" i="1"/>
  <c r="BT83" i="1"/>
  <c r="BR83" i="1" s="1"/>
  <c r="BS83" i="1"/>
  <c r="BQ83" i="1"/>
  <c r="E83" i="1"/>
  <c r="BT82" i="1"/>
  <c r="BR82" i="1" s="1"/>
  <c r="BS82" i="1"/>
  <c r="BQ82" i="1"/>
  <c r="E82" i="1"/>
  <c r="BT81" i="1"/>
  <c r="BR81" i="1" s="1"/>
  <c r="BS81" i="1"/>
  <c r="BQ81" i="1"/>
  <c r="E81" i="1"/>
  <c r="BT80" i="1"/>
  <c r="BR80" i="1" s="1"/>
  <c r="BS80" i="1"/>
  <c r="BQ80" i="1"/>
  <c r="E80" i="1"/>
  <c r="BT79" i="1"/>
  <c r="BR79" i="1" s="1"/>
  <c r="BS79" i="1"/>
  <c r="BQ79" i="1"/>
  <c r="E79" i="1"/>
  <c r="BT78" i="1"/>
  <c r="BR78" i="1" s="1"/>
  <c r="BS78" i="1"/>
  <c r="BQ78" i="1"/>
  <c r="E78" i="1"/>
  <c r="BT77" i="1"/>
  <c r="BR77" i="1" s="1"/>
  <c r="BS77" i="1"/>
  <c r="BQ77" i="1"/>
  <c r="E77" i="1"/>
  <c r="BT76" i="1"/>
  <c r="BS76" i="1"/>
  <c r="BR76" i="1"/>
  <c r="BQ76" i="1"/>
  <c r="E76" i="1"/>
  <c r="BT75" i="1"/>
  <c r="BR75" i="1" s="1"/>
  <c r="BS75" i="1"/>
  <c r="BQ75" i="1"/>
  <c r="E75" i="1"/>
  <c r="BT74" i="1"/>
  <c r="BR74" i="1" s="1"/>
  <c r="BS74" i="1"/>
  <c r="BQ74" i="1"/>
  <c r="E74" i="1"/>
  <c r="BT73" i="1"/>
  <c r="BS73" i="1"/>
  <c r="BR73" i="1"/>
  <c r="BQ73" i="1"/>
  <c r="E73" i="1"/>
  <c r="BT72" i="1"/>
  <c r="BR72" i="1" s="1"/>
  <c r="BS72" i="1"/>
  <c r="BQ72" i="1"/>
  <c r="E72" i="1"/>
  <c r="BT71" i="1"/>
  <c r="BR71" i="1" s="1"/>
  <c r="BS71" i="1"/>
  <c r="BQ71" i="1"/>
  <c r="E71" i="1"/>
  <c r="BT70" i="1"/>
  <c r="BR70" i="1" s="1"/>
  <c r="BS70" i="1"/>
  <c r="BQ70" i="1"/>
  <c r="E70" i="1"/>
  <c r="BT69" i="1"/>
  <c r="BS69" i="1"/>
  <c r="BR69" i="1"/>
  <c r="BQ69" i="1"/>
  <c r="E69" i="1"/>
  <c r="BT68" i="1"/>
  <c r="BS68" i="1"/>
  <c r="BR68" i="1"/>
  <c r="BQ68" i="1"/>
  <c r="E68" i="1"/>
  <c r="BT67" i="1"/>
  <c r="BR67" i="1" s="1"/>
  <c r="BS67" i="1"/>
  <c r="BQ67" i="1"/>
  <c r="E67" i="1"/>
  <c r="BT66" i="1"/>
  <c r="BS66" i="1"/>
  <c r="BR66" i="1"/>
  <c r="BQ66" i="1"/>
  <c r="E66" i="1"/>
  <c r="BT65" i="1"/>
  <c r="BR65" i="1" s="1"/>
  <c r="BS65" i="1"/>
  <c r="BQ65" i="1"/>
  <c r="E65" i="1"/>
  <c r="BT64" i="1"/>
  <c r="BR64" i="1" s="1"/>
  <c r="BS64" i="1"/>
  <c r="BQ64" i="1"/>
  <c r="E64" i="1"/>
  <c r="BT63" i="1"/>
  <c r="BR63" i="1" s="1"/>
  <c r="BS63" i="1"/>
  <c r="BQ63" i="1"/>
  <c r="E63" i="1"/>
  <c r="BT62" i="1"/>
  <c r="BR62" i="1" s="1"/>
  <c r="BS62" i="1"/>
  <c r="BQ62" i="1"/>
  <c r="E62" i="1"/>
  <c r="BT61" i="1"/>
  <c r="BR61" i="1" s="1"/>
  <c r="BS61" i="1"/>
  <c r="BQ61" i="1"/>
  <c r="E61" i="1"/>
  <c r="BT60" i="1"/>
  <c r="BR60" i="1" s="1"/>
  <c r="BS60" i="1"/>
  <c r="BQ60" i="1"/>
  <c r="E60" i="1"/>
  <c r="BT59" i="1"/>
  <c r="BR59" i="1" s="1"/>
  <c r="BS59" i="1"/>
  <c r="BQ59" i="1"/>
  <c r="E59" i="1"/>
  <c r="BT58" i="1"/>
  <c r="BR58" i="1" s="1"/>
  <c r="BS58" i="1"/>
  <c r="BQ58" i="1"/>
  <c r="E58" i="1"/>
  <c r="BT57" i="1"/>
  <c r="BR57" i="1" s="1"/>
  <c r="BS57" i="1"/>
  <c r="BQ57" i="1"/>
  <c r="E57" i="1"/>
  <c r="BT56" i="1"/>
  <c r="BR56" i="1" s="1"/>
  <c r="BS56" i="1"/>
  <c r="BQ56" i="1"/>
  <c r="E56" i="1"/>
  <c r="BT55" i="1"/>
  <c r="BR55" i="1" s="1"/>
  <c r="BS55" i="1"/>
  <c r="BQ55" i="1"/>
  <c r="E55" i="1"/>
  <c r="BT54" i="1"/>
  <c r="BR54" i="1" s="1"/>
  <c r="BS54" i="1"/>
  <c r="BQ54" i="1"/>
  <c r="E54" i="1"/>
  <c r="BT53" i="1"/>
  <c r="BR53" i="1" s="1"/>
  <c r="BS53" i="1"/>
  <c r="BQ53" i="1"/>
  <c r="E53" i="1"/>
  <c r="BT52" i="1"/>
  <c r="BS52" i="1"/>
  <c r="BR52" i="1"/>
  <c r="BQ52" i="1"/>
  <c r="E52" i="1"/>
  <c r="BT51" i="1"/>
  <c r="BR51" i="1" s="1"/>
  <c r="BS51" i="1"/>
  <c r="BQ51" i="1"/>
  <c r="E51" i="1"/>
  <c r="BT50" i="1"/>
  <c r="BS50" i="1"/>
  <c r="BR50" i="1"/>
  <c r="BQ50" i="1"/>
  <c r="E50" i="1"/>
  <c r="BT49" i="1"/>
  <c r="BR49" i="1" s="1"/>
  <c r="BS49" i="1"/>
  <c r="BQ49" i="1"/>
  <c r="E49" i="1"/>
  <c r="BT48" i="1"/>
  <c r="BR48" i="1" s="1"/>
  <c r="BS48" i="1"/>
  <c r="BQ48" i="1"/>
  <c r="E48" i="1"/>
  <c r="BT47" i="1"/>
  <c r="BS47" i="1"/>
  <c r="BR47" i="1"/>
  <c r="BQ47" i="1"/>
  <c r="E47" i="1"/>
  <c r="BT46" i="1"/>
  <c r="BR46" i="1" s="1"/>
  <c r="BS46" i="1"/>
  <c r="BQ46" i="1"/>
  <c r="E46" i="1"/>
  <c r="BT45" i="1"/>
  <c r="BS45" i="1"/>
  <c r="BR45" i="1"/>
  <c r="BQ45" i="1"/>
  <c r="E45" i="1"/>
  <c r="BT44" i="1"/>
  <c r="BR44" i="1" s="1"/>
  <c r="BS44" i="1"/>
  <c r="BQ44" i="1"/>
  <c r="E44" i="1"/>
  <c r="BT43" i="1"/>
  <c r="BR43" i="1" s="1"/>
  <c r="BS43" i="1"/>
  <c r="BQ43" i="1"/>
  <c r="E43" i="1"/>
  <c r="BT42" i="1"/>
  <c r="BS42" i="1"/>
  <c r="BR42" i="1"/>
  <c r="BQ42" i="1"/>
  <c r="E42" i="1"/>
  <c r="BT41" i="1"/>
  <c r="BR41" i="1" s="1"/>
  <c r="BS41" i="1"/>
  <c r="BQ41" i="1"/>
  <c r="E41" i="1"/>
  <c r="BT40" i="1"/>
  <c r="BR40" i="1" s="1"/>
  <c r="BS40" i="1"/>
  <c r="BQ40" i="1"/>
  <c r="E40" i="1"/>
  <c r="BT39" i="1"/>
  <c r="BR39" i="1" s="1"/>
  <c r="BS39" i="1"/>
  <c r="BQ39" i="1"/>
  <c r="E39" i="1"/>
  <c r="BT38" i="1"/>
  <c r="BR38" i="1" s="1"/>
  <c r="BS38" i="1"/>
  <c r="BQ38" i="1"/>
  <c r="E38" i="1"/>
  <c r="BT37" i="1"/>
  <c r="BR37" i="1" s="1"/>
  <c r="BS37" i="1"/>
  <c r="BQ37" i="1"/>
  <c r="E37" i="1"/>
  <c r="BT36" i="1"/>
  <c r="BR36" i="1" s="1"/>
  <c r="BS36" i="1"/>
  <c r="BQ36" i="1"/>
  <c r="E36" i="1"/>
  <c r="BT35" i="1"/>
  <c r="BR35" i="1" s="1"/>
  <c r="BS35" i="1"/>
  <c r="BQ35" i="1"/>
  <c r="E35" i="1"/>
  <c r="BT34" i="1"/>
  <c r="BR34" i="1" s="1"/>
  <c r="BS34" i="1"/>
  <c r="BQ34" i="1"/>
  <c r="E34" i="1"/>
  <c r="BT33" i="1"/>
  <c r="BR33" i="1" s="1"/>
  <c r="BS33" i="1"/>
  <c r="BQ33" i="1"/>
  <c r="E33" i="1"/>
  <c r="BT32" i="1"/>
  <c r="BR32" i="1" s="1"/>
  <c r="BS32" i="1"/>
  <c r="BQ32" i="1"/>
  <c r="E32" i="1"/>
  <c r="BT31" i="1"/>
  <c r="BR31" i="1" s="1"/>
  <c r="BS31" i="1"/>
  <c r="BQ31" i="1"/>
  <c r="E31" i="1"/>
  <c r="BT30" i="1"/>
  <c r="BR30" i="1" s="1"/>
  <c r="BS30" i="1"/>
  <c r="BQ30" i="1"/>
  <c r="E30" i="1"/>
  <c r="BT29" i="1"/>
  <c r="BR29" i="1" s="1"/>
  <c r="BS29" i="1"/>
  <c r="BQ29" i="1"/>
  <c r="E29" i="1"/>
  <c r="BT28" i="1"/>
  <c r="BS28" i="1"/>
  <c r="BR28" i="1"/>
  <c r="BQ28" i="1"/>
  <c r="E28" i="1"/>
  <c r="BT27" i="1"/>
  <c r="BR27" i="1" s="1"/>
  <c r="BS27" i="1"/>
  <c r="BQ27" i="1"/>
  <c r="E27" i="1"/>
  <c r="BT26" i="1"/>
  <c r="BS26" i="1"/>
  <c r="BR26" i="1"/>
  <c r="BQ26" i="1"/>
  <c r="E26" i="1"/>
  <c r="BT25" i="1"/>
  <c r="BR25" i="1" s="1"/>
  <c r="BS25" i="1"/>
  <c r="BQ25" i="1"/>
  <c r="E25" i="1"/>
  <c r="BT24" i="1"/>
  <c r="BR24" i="1" s="1"/>
  <c r="BS24" i="1"/>
  <c r="BQ24" i="1"/>
  <c r="E24" i="1"/>
  <c r="BT23" i="1"/>
  <c r="BS23" i="1"/>
  <c r="BR23" i="1"/>
  <c r="BQ23" i="1"/>
  <c r="E23" i="1"/>
  <c r="BT22" i="1"/>
  <c r="BR22" i="1" s="1"/>
  <c r="BS22" i="1"/>
  <c r="BQ22" i="1"/>
  <c r="E22" i="1"/>
  <c r="BT21" i="1"/>
  <c r="BS21" i="1"/>
  <c r="BR21" i="1"/>
  <c r="BQ21" i="1"/>
  <c r="E21" i="1"/>
  <c r="BT20" i="1"/>
  <c r="BR20" i="1" s="1"/>
  <c r="BS20" i="1"/>
  <c r="BQ20" i="1"/>
  <c r="E20" i="1"/>
  <c r="BT19" i="1"/>
  <c r="BR19" i="1" s="1"/>
  <c r="BS19" i="1"/>
  <c r="BQ19" i="1"/>
  <c r="E19" i="1"/>
  <c r="BT18" i="1"/>
  <c r="BS18" i="1"/>
  <c r="BR18" i="1"/>
  <c r="BQ18" i="1"/>
  <c r="E18" i="1"/>
  <c r="BT17" i="1"/>
  <c r="BR17" i="1" s="1"/>
  <c r="BS17" i="1"/>
  <c r="BQ17" i="1"/>
  <c r="E17" i="1"/>
  <c r="BT16" i="1"/>
  <c r="BR16" i="1" s="1"/>
  <c r="BS16" i="1"/>
  <c r="BQ16" i="1"/>
  <c r="E16" i="1"/>
  <c r="BT15" i="1"/>
  <c r="BR15" i="1" s="1"/>
  <c r="BS15" i="1"/>
  <c r="BQ15" i="1"/>
  <c r="E15" i="1"/>
  <c r="BT14" i="1"/>
  <c r="BR14" i="1" s="1"/>
  <c r="BS14" i="1"/>
  <c r="BQ14" i="1"/>
  <c r="E14" i="1"/>
  <c r="BT13" i="1"/>
  <c r="BR13" i="1" s="1"/>
  <c r="BS13" i="1"/>
  <c r="BQ13" i="1"/>
  <c r="E13" i="1"/>
  <c r="BT12" i="1"/>
  <c r="BR12" i="1" s="1"/>
  <c r="BS12" i="1"/>
  <c r="BQ12" i="1"/>
  <c r="E12" i="1"/>
  <c r="BT11" i="1"/>
  <c r="BR11" i="1" s="1"/>
  <c r="BS11" i="1"/>
  <c r="BQ11" i="1"/>
  <c r="E11" i="1"/>
  <c r="BT10" i="1"/>
  <c r="BR10" i="1" s="1"/>
  <c r="BS10" i="1"/>
  <c r="BQ10" i="1"/>
  <c r="E10" i="1"/>
  <c r="BT9" i="1"/>
  <c r="BR9" i="1" s="1"/>
  <c r="BS9" i="1"/>
  <c r="BQ9" i="1"/>
  <c r="E9" i="1"/>
  <c r="BT8" i="1"/>
  <c r="BR8" i="1" s="1"/>
  <c r="BS8" i="1"/>
  <c r="BQ8" i="1"/>
  <c r="X4" i="47" s="1"/>
  <c r="E8" i="1"/>
  <c r="BT7" i="1"/>
  <c r="BS7" i="1"/>
  <c r="BR7" i="1"/>
  <c r="BQ7" i="1"/>
  <c r="E7" i="1"/>
  <c r="BT6" i="1"/>
  <c r="BR6" i="1" s="1"/>
  <c r="BS6" i="1"/>
  <c r="BQ6" i="1"/>
  <c r="E6" i="1"/>
  <c r="BT5" i="1"/>
  <c r="BS5" i="1"/>
  <c r="BR5" i="1"/>
  <c r="BQ5" i="1"/>
  <c r="E5" i="1"/>
  <c r="BT4" i="1"/>
  <c r="BR4" i="1" s="1"/>
  <c r="BS4" i="1"/>
  <c r="BQ4" i="1"/>
  <c r="E4" i="1"/>
  <c r="BT3" i="1"/>
  <c r="BR3" i="1" s="1"/>
  <c r="BS3" i="1"/>
  <c r="BQ3" i="1"/>
  <c r="X28" i="47" s="1"/>
  <c r="E3" i="1"/>
  <c r="N29" i="46"/>
  <c r="N33" i="46"/>
  <c r="N31" i="46"/>
  <c r="N34" i="46"/>
  <c r="N30" i="46"/>
  <c r="N37" i="46"/>
  <c r="N36" i="46"/>
  <c r="N26" i="46"/>
  <c r="N35" i="46"/>
  <c r="N32" i="46"/>
  <c r="N27" i="46"/>
  <c r="N25" i="46"/>
  <c r="N28" i="46"/>
  <c r="N6" i="46"/>
  <c r="N7" i="46"/>
  <c r="N8" i="46"/>
  <c r="N9" i="46"/>
  <c r="N10" i="46"/>
  <c r="N11" i="46"/>
  <c r="N12" i="46"/>
  <c r="N13" i="46"/>
  <c r="N14" i="46"/>
  <c r="N15" i="46"/>
  <c r="N16" i="46"/>
  <c r="N17" i="46"/>
  <c r="N18" i="46"/>
  <c r="N19" i="46"/>
  <c r="E119" i="38"/>
  <c r="F119" i="38"/>
  <c r="G119" i="38"/>
  <c r="E120" i="38"/>
  <c r="F120" i="38"/>
  <c r="G120" i="38"/>
  <c r="E121" i="38"/>
  <c r="F121" i="38"/>
  <c r="G121" i="38"/>
  <c r="E122" i="38"/>
  <c r="F122" i="38"/>
  <c r="G122" i="38"/>
  <c r="E123" i="38"/>
  <c r="F123" i="38"/>
  <c r="G123" i="38"/>
  <c r="E124" i="38"/>
  <c r="F124" i="38"/>
  <c r="G124" i="38"/>
  <c r="E125" i="38"/>
  <c r="F125" i="38"/>
  <c r="G125" i="38"/>
  <c r="E126" i="38"/>
  <c r="F126" i="38"/>
  <c r="G126" i="38"/>
  <c r="E127" i="38"/>
  <c r="F127" i="38"/>
  <c r="G127" i="38"/>
  <c r="E128" i="38"/>
  <c r="F128" i="38"/>
  <c r="G128" i="38"/>
  <c r="E129" i="38"/>
  <c r="F129" i="38"/>
  <c r="G129" i="38"/>
  <c r="E130" i="38"/>
  <c r="F130" i="38"/>
  <c r="G130" i="38"/>
  <c r="E131" i="38"/>
  <c r="F131" i="38"/>
  <c r="G131" i="38"/>
  <c r="E132" i="38"/>
  <c r="F132" i="38"/>
  <c r="G132" i="38"/>
  <c r="U8" i="47" l="1"/>
  <c r="U13" i="47"/>
  <c r="W4" i="47"/>
  <c r="W11" i="47"/>
  <c r="U20" i="47"/>
  <c r="U24" i="47"/>
  <c r="U14" i="47"/>
  <c r="W20" i="47"/>
  <c r="V24" i="47"/>
  <c r="U25" i="47"/>
  <c r="V14" i="47"/>
  <c r="X20" i="47"/>
  <c r="W24" i="47"/>
  <c r="X25" i="47"/>
  <c r="U29" i="47"/>
  <c r="U3" i="47"/>
  <c r="V5" i="47"/>
  <c r="V7" i="47"/>
  <c r="V8" i="47"/>
  <c r="V13" i="47"/>
  <c r="W12" i="47"/>
  <c r="W13" i="47"/>
  <c r="U18" i="47"/>
  <c r="V23" i="47"/>
  <c r="W25" i="47"/>
  <c r="X30" i="47"/>
  <c r="U12" i="47"/>
  <c r="V3" i="47"/>
  <c r="W7" i="47"/>
  <c r="W8" i="47"/>
  <c r="W3" i="47"/>
  <c r="X7" i="47"/>
  <c r="X8" i="47"/>
  <c r="X12" i="47"/>
  <c r="X16" i="47"/>
  <c r="V18" i="47"/>
  <c r="U19" i="47"/>
  <c r="X21" i="47"/>
  <c r="X24" i="47"/>
  <c r="V27" i="47"/>
  <c r="V12" i="47"/>
  <c r="W9" i="47"/>
  <c r="X13" i="47"/>
  <c r="W17" i="47"/>
  <c r="U17" i="47"/>
  <c r="W18" i="47"/>
  <c r="V19" i="47"/>
  <c r="V22" i="47"/>
  <c r="V4" i="47"/>
  <c r="X9" i="47"/>
  <c r="X17" i="47"/>
  <c r="W19" i="47"/>
  <c r="X23" i="47"/>
  <c r="V28" i="47"/>
  <c r="W28" i="47"/>
  <c r="U9" i="47"/>
  <c r="U4" i="47"/>
  <c r="X18" i="47"/>
  <c r="V20" i="47"/>
  <c r="U15" i="47"/>
  <c r="U11" i="47"/>
  <c r="X3" i="47"/>
  <c r="U10" i="47"/>
  <c r="V11" i="47"/>
  <c r="U16" i="47"/>
  <c r="W23" i="47"/>
  <c r="X29" i="47"/>
  <c r="V29" i="47"/>
  <c r="X6" i="47"/>
  <c r="W6" i="47"/>
  <c r="U6" i="47"/>
  <c r="U5" i="47"/>
  <c r="V6" i="47"/>
  <c r="U7" i="47"/>
  <c r="V10" i="47"/>
  <c r="X14" i="47"/>
  <c r="W14" i="47"/>
  <c r="V16" i="47"/>
  <c r="X19" i="47"/>
  <c r="U22" i="47"/>
  <c r="U27" i="47"/>
  <c r="W29" i="47"/>
  <c r="W5" i="47"/>
  <c r="W10" i="47"/>
  <c r="V15" i="47"/>
  <c r="W16" i="47"/>
  <c r="U21" i="47"/>
  <c r="U26" i="47"/>
  <c r="X5" i="47"/>
  <c r="X10" i="47"/>
  <c r="W15" i="47"/>
  <c r="V21" i="47"/>
  <c r="U23" i="47"/>
  <c r="V26" i="47"/>
  <c r="X11" i="47"/>
  <c r="X15" i="47"/>
  <c r="W21" i="47"/>
  <c r="W26" i="47"/>
  <c r="X26" i="47"/>
  <c r="X22" i="47"/>
  <c r="W22" i="47"/>
  <c r="W27" i="47"/>
  <c r="X27" i="47"/>
  <c r="U30" i="47"/>
  <c r="V30" i="47"/>
  <c r="V9" i="47"/>
  <c r="V25" i="47"/>
  <c r="U28" i="47"/>
  <c r="W30" i="47"/>
  <c r="V17" i="47"/>
  <c r="C1282" i="8"/>
  <c r="C1283" i="8"/>
  <c r="C1284" i="8"/>
  <c r="C1285" i="8"/>
  <c r="C1286" i="8"/>
  <c r="C1287" i="8"/>
  <c r="C1288" i="8"/>
  <c r="C1289" i="8"/>
  <c r="C1290" i="8"/>
  <c r="C1291" i="8"/>
  <c r="C1292" i="8"/>
  <c r="C1293" i="8"/>
  <c r="C1294" i="8"/>
  <c r="C1295" i="8"/>
  <c r="C1296" i="8"/>
  <c r="C1297"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A10" i="8"/>
  <c r="A11" i="8"/>
  <c r="C11" i="8" s="1"/>
  <c r="A12" i="8"/>
  <c r="C12" i="8" s="1"/>
  <c r="A13" i="8"/>
  <c r="C13" i="8" s="1"/>
  <c r="A14" i="8"/>
  <c r="C14" i="8" s="1"/>
  <c r="A15" i="8"/>
  <c r="C15" i="8" s="1"/>
  <c r="A16" i="8"/>
  <c r="C16" i="8" s="1"/>
  <c r="A17" i="8"/>
  <c r="C17" i="8" s="1"/>
  <c r="A18" i="8"/>
  <c r="C18" i="8" s="1"/>
  <c r="A19" i="8"/>
  <c r="C19" i="8" s="1"/>
  <c r="A20" i="8"/>
  <c r="C20" i="8" s="1"/>
  <c r="A21" i="8"/>
  <c r="C21" i="8" s="1"/>
  <c r="A22" i="8"/>
  <c r="C22" i="8" s="1"/>
  <c r="A23" i="8"/>
  <c r="C23" i="8" s="1"/>
  <c r="A24" i="8"/>
  <c r="C24" i="8" s="1"/>
  <c r="A25" i="8"/>
  <c r="C25" i="8" s="1"/>
  <c r="A26" i="8"/>
  <c r="C26" i="8" s="1"/>
  <c r="A27" i="8"/>
  <c r="C27" i="8" s="1"/>
  <c r="A28" i="8"/>
  <c r="C28" i="8" s="1"/>
  <c r="A29" i="8"/>
  <c r="C29" i="8" s="1"/>
  <c r="A30" i="8"/>
  <c r="C30" i="8" s="1"/>
  <c r="A31" i="8"/>
  <c r="C31" i="8" s="1"/>
  <c r="A32" i="8"/>
  <c r="C32" i="8" s="1"/>
  <c r="A33" i="8"/>
  <c r="C33" i="8" s="1"/>
  <c r="A34" i="8"/>
  <c r="C34" i="8" s="1"/>
  <c r="A35" i="8"/>
  <c r="C35" i="8" s="1"/>
  <c r="A36" i="8"/>
  <c r="C36" i="8" s="1"/>
  <c r="A37" i="8"/>
  <c r="C37" i="8" s="1"/>
  <c r="A38" i="8"/>
  <c r="C38" i="8" s="1"/>
  <c r="A39" i="8"/>
  <c r="C39" i="8" s="1"/>
  <c r="A40" i="8"/>
  <c r="C40" i="8" s="1"/>
  <c r="A41" i="8"/>
  <c r="C41" i="8" s="1"/>
  <c r="A42" i="8"/>
  <c r="C42" i="8" s="1"/>
  <c r="A43" i="8"/>
  <c r="C43" i="8" s="1"/>
  <c r="A44" i="8"/>
  <c r="C44" i="8" s="1"/>
  <c r="A45" i="8"/>
  <c r="C45" i="8" s="1"/>
  <c r="A46" i="8"/>
  <c r="C46" i="8" s="1"/>
  <c r="A47" i="8"/>
  <c r="C47" i="8" s="1"/>
  <c r="A48" i="8"/>
  <c r="C48" i="8" s="1"/>
  <c r="A49" i="8"/>
  <c r="C49" i="8" s="1"/>
  <c r="A50" i="8"/>
  <c r="C50" i="8" s="1"/>
  <c r="A51" i="8"/>
  <c r="C51" i="8" s="1"/>
  <c r="A52" i="8"/>
  <c r="C52" i="8" s="1"/>
  <c r="A53" i="8"/>
  <c r="C53" i="8" s="1"/>
  <c r="A54" i="8"/>
  <c r="C54" i="8" s="1"/>
  <c r="A55" i="8"/>
  <c r="C55" i="8" s="1"/>
  <c r="A56" i="8"/>
  <c r="C56" i="8" s="1"/>
  <c r="A57" i="8"/>
  <c r="C57" i="8" s="1"/>
  <c r="A58" i="8"/>
  <c r="C58" i="8" s="1"/>
  <c r="A59" i="8"/>
  <c r="C59" i="8" s="1"/>
  <c r="A60" i="8"/>
  <c r="C60" i="8" s="1"/>
  <c r="A61" i="8"/>
  <c r="C61" i="8" s="1"/>
  <c r="A62" i="8"/>
  <c r="C62" i="8" s="1"/>
  <c r="A63" i="8"/>
  <c r="C63" i="8" s="1"/>
  <c r="A64" i="8"/>
  <c r="C64" i="8" s="1"/>
  <c r="A65" i="8"/>
  <c r="C65" i="8" s="1"/>
  <c r="A66" i="8"/>
  <c r="C66" i="8" s="1"/>
  <c r="A67" i="8"/>
  <c r="C67" i="8" s="1"/>
  <c r="A68" i="8"/>
  <c r="C68" i="8" s="1"/>
  <c r="A69" i="8"/>
  <c r="C69" i="8" s="1"/>
  <c r="A70" i="8"/>
  <c r="C70" i="8" s="1"/>
  <c r="A71" i="8"/>
  <c r="C71" i="8" s="1"/>
  <c r="A72" i="8"/>
  <c r="C72" i="8" s="1"/>
  <c r="A73" i="8"/>
  <c r="C73" i="8" s="1"/>
  <c r="A74" i="8"/>
  <c r="C74" i="8" s="1"/>
  <c r="A75" i="8"/>
  <c r="C75" i="8" s="1"/>
  <c r="A76" i="8"/>
  <c r="C76" i="8" s="1"/>
  <c r="A77" i="8"/>
  <c r="C77" i="8" s="1"/>
  <c r="A78" i="8"/>
  <c r="C78" i="8" s="1"/>
  <c r="A79" i="8"/>
  <c r="C79" i="8" s="1"/>
  <c r="A80" i="8"/>
  <c r="C80" i="8" s="1"/>
  <c r="A81" i="8"/>
  <c r="C81" i="8" s="1"/>
  <c r="A82" i="8"/>
  <c r="C82" i="8" s="1"/>
  <c r="A83" i="8"/>
  <c r="C83" i="8" s="1"/>
  <c r="A84" i="8"/>
  <c r="C84" i="8" s="1"/>
  <c r="A85" i="8"/>
  <c r="C85" i="8" s="1"/>
  <c r="A86" i="8"/>
  <c r="C86" i="8" s="1"/>
  <c r="A87" i="8"/>
  <c r="C87" i="8" s="1"/>
  <c r="A88" i="8"/>
  <c r="C88" i="8" s="1"/>
  <c r="A89" i="8"/>
  <c r="C89" i="8" s="1"/>
  <c r="A90" i="8"/>
  <c r="C90" i="8" s="1"/>
  <c r="A91" i="8"/>
  <c r="C91" i="8" s="1"/>
  <c r="A92" i="8"/>
  <c r="C92" i="8" s="1"/>
  <c r="A93" i="8"/>
  <c r="C93" i="8" s="1"/>
  <c r="A94" i="8"/>
  <c r="C94" i="8" s="1"/>
  <c r="A95" i="8"/>
  <c r="C95" i="8" s="1"/>
  <c r="A96" i="8"/>
  <c r="C96" i="8" s="1"/>
  <c r="A97" i="8"/>
  <c r="C97" i="8" s="1"/>
  <c r="A98" i="8"/>
  <c r="C98" i="8" s="1"/>
  <c r="A99" i="8"/>
  <c r="C99" i="8" s="1"/>
  <c r="A100" i="8"/>
  <c r="C100" i="8" s="1"/>
  <c r="A101" i="8"/>
  <c r="C101" i="8" s="1"/>
  <c r="A102" i="8"/>
  <c r="C102" i="8" s="1"/>
  <c r="A103" i="8"/>
  <c r="C103" i="8" s="1"/>
  <c r="A104" i="8"/>
  <c r="C104" i="8" s="1"/>
  <c r="A105" i="8"/>
  <c r="C105" i="8" s="1"/>
  <c r="A106" i="8"/>
  <c r="C106" i="8" s="1"/>
  <c r="A107" i="8"/>
  <c r="C107" i="8" s="1"/>
  <c r="A108" i="8"/>
  <c r="C108" i="8" s="1"/>
  <c r="A109" i="8"/>
  <c r="C109" i="8" s="1"/>
  <c r="A110" i="8"/>
  <c r="C110" i="8" s="1"/>
  <c r="A111" i="8"/>
  <c r="C111" i="8" s="1"/>
  <c r="A112" i="8"/>
  <c r="C112" i="8" s="1"/>
  <c r="A113" i="8"/>
  <c r="C113" i="8" s="1"/>
  <c r="A114" i="8"/>
  <c r="C114" i="8" s="1"/>
  <c r="A115" i="8"/>
  <c r="C115" i="8" s="1"/>
  <c r="A116" i="8"/>
  <c r="C116" i="8" s="1"/>
  <c r="A117" i="8"/>
  <c r="C117" i="8" s="1"/>
  <c r="A118" i="8"/>
  <c r="C118" i="8" s="1"/>
  <c r="A119" i="8"/>
  <c r="C119" i="8" s="1"/>
  <c r="A120" i="8"/>
  <c r="C120" i="8" s="1"/>
  <c r="A121" i="8"/>
  <c r="C121" i="8" s="1"/>
  <c r="A122" i="8"/>
  <c r="C122" i="8" s="1"/>
  <c r="A123" i="8"/>
  <c r="C123" i="8" s="1"/>
  <c r="A124" i="8"/>
  <c r="C124" i="8" s="1"/>
  <c r="A125" i="8"/>
  <c r="C125" i="8" s="1"/>
  <c r="A126" i="8"/>
  <c r="C126" i="8" s="1"/>
  <c r="A127" i="8"/>
  <c r="C127" i="8" s="1"/>
  <c r="A128" i="8"/>
  <c r="C128" i="8" s="1"/>
  <c r="A129" i="8"/>
  <c r="C129" i="8" s="1"/>
  <c r="A130" i="8"/>
  <c r="C130" i="8" s="1"/>
  <c r="A131" i="8"/>
  <c r="C131" i="8" s="1"/>
  <c r="A132" i="8"/>
  <c r="C132" i="8" s="1"/>
  <c r="A133" i="8"/>
  <c r="C133" i="8" s="1"/>
  <c r="A134" i="8"/>
  <c r="C134" i="8" s="1"/>
  <c r="A135" i="8"/>
  <c r="C135" i="8" s="1"/>
  <c r="A136" i="8"/>
  <c r="C136" i="8" s="1"/>
  <c r="A137" i="8"/>
  <c r="C137" i="8" s="1"/>
  <c r="A138" i="8"/>
  <c r="C138" i="8" s="1"/>
  <c r="A139" i="8"/>
  <c r="C139" i="8" s="1"/>
  <c r="A140" i="8"/>
  <c r="C140" i="8" s="1"/>
  <c r="A141" i="8"/>
  <c r="C141" i="8" s="1"/>
  <c r="A142" i="8"/>
  <c r="C142" i="8" s="1"/>
  <c r="A143" i="8"/>
  <c r="C143" i="8" s="1"/>
  <c r="A144" i="8"/>
  <c r="C144" i="8" s="1"/>
  <c r="A145" i="8"/>
  <c r="C145" i="8" s="1"/>
  <c r="A146" i="8"/>
  <c r="C146" i="8" s="1"/>
  <c r="A147" i="8"/>
  <c r="C147" i="8" s="1"/>
  <c r="A148" i="8"/>
  <c r="C148" i="8" s="1"/>
  <c r="A149" i="8"/>
  <c r="C149" i="8" s="1"/>
  <c r="A150" i="8"/>
  <c r="C150" i="8" s="1"/>
  <c r="A151" i="8"/>
  <c r="C151" i="8" s="1"/>
  <c r="A152" i="8"/>
  <c r="C152" i="8" s="1"/>
  <c r="A153" i="8"/>
  <c r="C153" i="8" s="1"/>
  <c r="A154" i="8"/>
  <c r="C154" i="8" s="1"/>
  <c r="A155" i="8"/>
  <c r="C155" i="8" s="1"/>
  <c r="A156" i="8"/>
  <c r="C156" i="8" s="1"/>
  <c r="A157" i="8"/>
  <c r="C157" i="8" s="1"/>
  <c r="A158" i="8"/>
  <c r="C158" i="8" s="1"/>
  <c r="A159" i="8"/>
  <c r="C159" i="8" s="1"/>
  <c r="A160" i="8"/>
  <c r="C160" i="8" s="1"/>
  <c r="A161" i="8"/>
  <c r="C161" i="8" s="1"/>
  <c r="A162" i="8"/>
  <c r="C162" i="8" s="1"/>
  <c r="A163" i="8"/>
  <c r="C163" i="8" s="1"/>
  <c r="A164" i="8"/>
  <c r="C164" i="8" s="1"/>
  <c r="A165" i="8"/>
  <c r="C165" i="8" s="1"/>
  <c r="A166" i="8"/>
  <c r="C166" i="8" s="1"/>
  <c r="A167" i="8"/>
  <c r="C167" i="8" s="1"/>
  <c r="A168" i="8"/>
  <c r="C168" i="8" s="1"/>
  <c r="A169" i="8"/>
  <c r="C169" i="8" s="1"/>
  <c r="A170" i="8"/>
  <c r="C170" i="8" s="1"/>
  <c r="A171" i="8"/>
  <c r="C171" i="8" s="1"/>
  <c r="A172" i="8"/>
  <c r="C172" i="8" s="1"/>
  <c r="A173" i="8"/>
  <c r="C173" i="8" s="1"/>
  <c r="A174" i="8"/>
  <c r="C174" i="8" s="1"/>
  <c r="A175" i="8"/>
  <c r="C175" i="8" s="1"/>
  <c r="A176" i="8"/>
  <c r="C176" i="8" s="1"/>
  <c r="A177" i="8"/>
  <c r="C177" i="8" s="1"/>
  <c r="A178" i="8"/>
  <c r="C178" i="8" s="1"/>
  <c r="A179" i="8"/>
  <c r="C179" i="8" s="1"/>
  <c r="A180" i="8"/>
  <c r="C180" i="8" s="1"/>
  <c r="A181" i="8"/>
  <c r="C181" i="8" s="1"/>
  <c r="A182" i="8"/>
  <c r="C182" i="8" s="1"/>
  <c r="A183" i="8"/>
  <c r="C183" i="8" s="1"/>
  <c r="A184" i="8"/>
  <c r="C184" i="8" s="1"/>
  <c r="A185" i="8"/>
  <c r="C185" i="8" s="1"/>
  <c r="A186" i="8"/>
  <c r="C186" i="8" s="1"/>
  <c r="A187" i="8"/>
  <c r="C187" i="8" s="1"/>
  <c r="A188" i="8"/>
  <c r="C188" i="8" s="1"/>
  <c r="A189" i="8"/>
  <c r="C189" i="8" s="1"/>
  <c r="A190" i="8"/>
  <c r="C190" i="8" s="1"/>
  <c r="A191" i="8"/>
  <c r="C191" i="8" s="1"/>
  <c r="A192" i="8"/>
  <c r="C192" i="8" s="1"/>
  <c r="A193" i="8"/>
  <c r="C193" i="8" s="1"/>
  <c r="A194" i="8"/>
  <c r="C194" i="8" s="1"/>
  <c r="A195" i="8"/>
  <c r="C195" i="8" s="1"/>
  <c r="A196" i="8"/>
  <c r="C196" i="8" s="1"/>
  <c r="A197" i="8"/>
  <c r="C197" i="8" s="1"/>
  <c r="A198" i="8"/>
  <c r="C198" i="8" s="1"/>
  <c r="A199" i="8"/>
  <c r="C199" i="8" s="1"/>
  <c r="A200" i="8"/>
  <c r="C200" i="8" s="1"/>
  <c r="A201" i="8"/>
  <c r="C201" i="8" s="1"/>
  <c r="A202" i="8"/>
  <c r="C202" i="8" s="1"/>
  <c r="A203" i="8"/>
  <c r="C203" i="8" s="1"/>
  <c r="A204" i="8"/>
  <c r="C204" i="8" s="1"/>
  <c r="A205" i="8"/>
  <c r="C205" i="8" s="1"/>
  <c r="A206" i="8"/>
  <c r="C206" i="8" s="1"/>
  <c r="A207" i="8"/>
  <c r="C207" i="8" s="1"/>
  <c r="A208" i="8"/>
  <c r="C208" i="8" s="1"/>
  <c r="A209" i="8"/>
  <c r="C209" i="8" s="1"/>
  <c r="A210" i="8"/>
  <c r="C210" i="8" s="1"/>
  <c r="A211" i="8"/>
  <c r="C211" i="8" s="1"/>
  <c r="A212" i="8"/>
  <c r="C212" i="8" s="1"/>
  <c r="A213" i="8"/>
  <c r="C213" i="8" s="1"/>
  <c r="A214" i="8"/>
  <c r="C214" i="8" s="1"/>
  <c r="A215" i="8"/>
  <c r="C215" i="8" s="1"/>
  <c r="A216" i="8"/>
  <c r="C216" i="8" s="1"/>
  <c r="A217" i="8"/>
  <c r="C217" i="8" s="1"/>
  <c r="A218" i="8"/>
  <c r="C218" i="8" s="1"/>
  <c r="A219" i="8"/>
  <c r="C219" i="8" s="1"/>
  <c r="A220" i="8"/>
  <c r="C220" i="8" s="1"/>
  <c r="A221" i="8"/>
  <c r="C221" i="8" s="1"/>
  <c r="A222" i="8"/>
  <c r="C222" i="8" s="1"/>
  <c r="A223" i="8"/>
  <c r="C223" i="8" s="1"/>
  <c r="A224" i="8"/>
  <c r="C224" i="8" s="1"/>
  <c r="A225" i="8"/>
  <c r="C225" i="8" s="1"/>
  <c r="A226" i="8"/>
  <c r="C226" i="8" s="1"/>
  <c r="A227" i="8"/>
  <c r="C227" i="8" s="1"/>
  <c r="A228" i="8"/>
  <c r="C228" i="8" s="1"/>
  <c r="A229" i="8"/>
  <c r="C229" i="8" s="1"/>
  <c r="A230" i="8"/>
  <c r="C230" i="8" s="1"/>
  <c r="A231" i="8"/>
  <c r="C231" i="8" s="1"/>
  <c r="A232" i="8"/>
  <c r="C232" i="8" s="1"/>
  <c r="A233" i="8"/>
  <c r="C233" i="8" s="1"/>
  <c r="A234" i="8"/>
  <c r="C234" i="8" s="1"/>
  <c r="A235" i="8"/>
  <c r="C235" i="8" s="1"/>
  <c r="A236" i="8"/>
  <c r="C236" i="8" s="1"/>
  <c r="A237" i="8"/>
  <c r="C237" i="8" s="1"/>
  <c r="A238" i="8"/>
  <c r="C238" i="8" s="1"/>
  <c r="A239" i="8"/>
  <c r="C239" i="8" s="1"/>
  <c r="A240" i="8"/>
  <c r="C240" i="8" s="1"/>
  <c r="A241" i="8"/>
  <c r="C241" i="8" s="1"/>
  <c r="A242" i="8"/>
  <c r="C242" i="8" s="1"/>
  <c r="A243" i="8"/>
  <c r="C243" i="8" s="1"/>
  <c r="A244" i="8"/>
  <c r="C244" i="8" s="1"/>
  <c r="A245" i="8"/>
  <c r="C245" i="8" s="1"/>
  <c r="A246" i="8"/>
  <c r="C246" i="8" s="1"/>
  <c r="A247" i="8"/>
  <c r="C247" i="8" s="1"/>
  <c r="A248" i="8"/>
  <c r="C248" i="8" s="1"/>
  <c r="A249" i="8"/>
  <c r="C249" i="8" s="1"/>
  <c r="A250" i="8"/>
  <c r="C250" i="8" s="1"/>
  <c r="A251" i="8"/>
  <c r="C251" i="8" s="1"/>
  <c r="A252" i="8"/>
  <c r="C252" i="8" s="1"/>
  <c r="A253" i="8"/>
  <c r="C253" i="8" s="1"/>
  <c r="A254" i="8"/>
  <c r="C254" i="8" s="1"/>
  <c r="A255" i="8"/>
  <c r="C255" i="8" s="1"/>
  <c r="A256" i="8"/>
  <c r="C256" i="8" s="1"/>
  <c r="A257" i="8"/>
  <c r="C257" i="8" s="1"/>
  <c r="A258" i="8"/>
  <c r="C258" i="8" s="1"/>
  <c r="A259" i="8"/>
  <c r="C259" i="8" s="1"/>
  <c r="A260" i="8"/>
  <c r="C260" i="8" s="1"/>
  <c r="A261" i="8"/>
  <c r="C261" i="8" s="1"/>
  <c r="A262" i="8"/>
  <c r="C262" i="8" s="1"/>
  <c r="A263" i="8"/>
  <c r="C263" i="8" s="1"/>
  <c r="A264" i="8"/>
  <c r="C264" i="8" s="1"/>
  <c r="A265" i="8"/>
  <c r="C265" i="8" s="1"/>
  <c r="A266" i="8"/>
  <c r="C266" i="8" s="1"/>
  <c r="A267" i="8"/>
  <c r="C267" i="8" s="1"/>
  <c r="A268" i="8"/>
  <c r="C268" i="8" s="1"/>
  <c r="A269" i="8"/>
  <c r="C269" i="8" s="1"/>
  <c r="A270" i="8"/>
  <c r="C270" i="8" s="1"/>
  <c r="A271" i="8"/>
  <c r="C271" i="8" s="1"/>
  <c r="A272" i="8"/>
  <c r="C272" i="8" s="1"/>
  <c r="A273" i="8"/>
  <c r="C273" i="8" s="1"/>
  <c r="A274" i="8"/>
  <c r="C274" i="8" s="1"/>
  <c r="A275" i="8"/>
  <c r="C275" i="8" s="1"/>
  <c r="A276" i="8"/>
  <c r="C276" i="8" s="1"/>
  <c r="A277" i="8"/>
  <c r="C277" i="8" s="1"/>
  <c r="A278" i="8"/>
  <c r="C278" i="8" s="1"/>
  <c r="A279" i="8"/>
  <c r="C279" i="8" s="1"/>
  <c r="A280" i="8"/>
  <c r="C280" i="8" s="1"/>
  <c r="A281" i="8"/>
  <c r="C281" i="8" s="1"/>
  <c r="A282" i="8"/>
  <c r="C282" i="8" s="1"/>
  <c r="A283" i="8"/>
  <c r="C283" i="8" s="1"/>
  <c r="A284" i="8"/>
  <c r="C284" i="8" s="1"/>
  <c r="A285" i="8"/>
  <c r="C285" i="8" s="1"/>
  <c r="A286" i="8"/>
  <c r="C286" i="8" s="1"/>
  <c r="A287" i="8"/>
  <c r="C287" i="8" s="1"/>
  <c r="A288" i="8"/>
  <c r="C288" i="8" s="1"/>
  <c r="A289" i="8"/>
  <c r="C289" i="8" s="1"/>
  <c r="A290" i="8"/>
  <c r="C290" i="8" s="1"/>
  <c r="A291" i="8"/>
  <c r="C291" i="8" s="1"/>
  <c r="A292" i="8"/>
  <c r="C292" i="8" s="1"/>
  <c r="A293" i="8"/>
  <c r="C293" i="8" s="1"/>
  <c r="A294" i="8"/>
  <c r="C294" i="8" s="1"/>
  <c r="A295" i="8"/>
  <c r="C295" i="8" s="1"/>
  <c r="A296" i="8"/>
  <c r="C296" i="8" s="1"/>
  <c r="A297" i="8"/>
  <c r="C297" i="8" s="1"/>
  <c r="A298" i="8"/>
  <c r="C298" i="8" s="1"/>
  <c r="A299" i="8"/>
  <c r="C299" i="8" s="1"/>
  <c r="A300" i="8"/>
  <c r="C300" i="8" s="1"/>
  <c r="A301" i="8"/>
  <c r="C301" i="8" s="1"/>
  <c r="A302" i="8"/>
  <c r="C302" i="8" s="1"/>
  <c r="A303" i="8"/>
  <c r="C303" i="8" s="1"/>
  <c r="A304" i="8"/>
  <c r="C304" i="8" s="1"/>
  <c r="A305" i="8"/>
  <c r="C305" i="8" s="1"/>
  <c r="A306" i="8"/>
  <c r="C306" i="8" s="1"/>
  <c r="A307" i="8"/>
  <c r="C307" i="8" s="1"/>
  <c r="A308" i="8"/>
  <c r="C308" i="8" s="1"/>
  <c r="A309" i="8"/>
  <c r="C309" i="8" s="1"/>
  <c r="A310" i="8"/>
  <c r="C310" i="8" s="1"/>
  <c r="A311" i="8"/>
  <c r="C311" i="8" s="1"/>
  <c r="A312" i="8"/>
  <c r="C312" i="8" s="1"/>
  <c r="A313" i="8"/>
  <c r="C313" i="8" s="1"/>
  <c r="A314" i="8"/>
  <c r="C314" i="8" s="1"/>
  <c r="A315" i="8"/>
  <c r="C315" i="8" s="1"/>
  <c r="A316" i="8"/>
  <c r="C316" i="8" s="1"/>
  <c r="A317" i="8"/>
  <c r="C317" i="8" s="1"/>
  <c r="A318" i="8"/>
  <c r="C318" i="8" s="1"/>
  <c r="A319" i="8"/>
  <c r="C319" i="8" s="1"/>
  <c r="A320" i="8"/>
  <c r="C320" i="8" s="1"/>
  <c r="A321" i="8"/>
  <c r="C321" i="8" s="1"/>
  <c r="A322" i="8"/>
  <c r="C322" i="8" s="1"/>
  <c r="A323" i="8"/>
  <c r="C323" i="8" s="1"/>
  <c r="A324" i="8"/>
  <c r="C324" i="8" s="1"/>
  <c r="A325" i="8"/>
  <c r="C325" i="8" s="1"/>
  <c r="A326" i="8"/>
  <c r="C326" i="8" s="1"/>
  <c r="A327" i="8"/>
  <c r="C327" i="8" s="1"/>
  <c r="A328" i="8"/>
  <c r="C328" i="8" s="1"/>
  <c r="A329" i="8"/>
  <c r="C329" i="8" s="1"/>
  <c r="A330" i="8"/>
  <c r="C330" i="8" s="1"/>
  <c r="A331" i="8"/>
  <c r="C331" i="8" s="1"/>
  <c r="A332" i="8"/>
  <c r="C332" i="8" s="1"/>
  <c r="A333" i="8"/>
  <c r="C333" i="8" s="1"/>
  <c r="A334" i="8"/>
  <c r="C334" i="8" s="1"/>
  <c r="A335" i="8"/>
  <c r="C335" i="8" s="1"/>
  <c r="A336" i="8"/>
  <c r="C336" i="8" s="1"/>
  <c r="A337" i="8"/>
  <c r="C337" i="8" s="1"/>
  <c r="A338" i="8"/>
  <c r="C338" i="8" s="1"/>
  <c r="A339" i="8"/>
  <c r="C339" i="8" s="1"/>
  <c r="A340" i="8"/>
  <c r="C340" i="8" s="1"/>
  <c r="A341" i="8"/>
  <c r="C341" i="8" s="1"/>
  <c r="A342" i="8"/>
  <c r="C342" i="8" s="1"/>
  <c r="A343" i="8"/>
  <c r="C343" i="8" s="1"/>
  <c r="A344" i="8"/>
  <c r="C344" i="8" s="1"/>
  <c r="A345" i="8"/>
  <c r="C345" i="8" s="1"/>
  <c r="A346" i="8"/>
  <c r="C346" i="8" s="1"/>
  <c r="A347" i="8"/>
  <c r="C347" i="8" s="1"/>
  <c r="A348" i="8"/>
  <c r="C348" i="8" s="1"/>
  <c r="A349" i="8"/>
  <c r="C349" i="8" s="1"/>
  <c r="A350" i="8"/>
  <c r="C350" i="8" s="1"/>
  <c r="A351" i="8"/>
  <c r="C351" i="8" s="1"/>
  <c r="A352" i="8"/>
  <c r="C352" i="8" s="1"/>
  <c r="A353" i="8"/>
  <c r="C353" i="8" s="1"/>
  <c r="A354" i="8"/>
  <c r="C354" i="8" s="1"/>
  <c r="A355" i="8"/>
  <c r="C355" i="8" s="1"/>
  <c r="A356" i="8"/>
  <c r="C356" i="8" s="1"/>
  <c r="A357" i="8"/>
  <c r="C357" i="8" s="1"/>
  <c r="A358" i="8"/>
  <c r="C358" i="8" s="1"/>
  <c r="A359" i="8"/>
  <c r="C359" i="8" s="1"/>
  <c r="A360" i="8"/>
  <c r="C360" i="8" s="1"/>
  <c r="A361" i="8"/>
  <c r="C361" i="8" s="1"/>
  <c r="A362" i="8"/>
  <c r="C362" i="8" s="1"/>
  <c r="A363" i="8"/>
  <c r="C363" i="8" s="1"/>
  <c r="A364" i="8"/>
  <c r="C364" i="8" s="1"/>
  <c r="A365" i="8"/>
  <c r="C365" i="8" s="1"/>
  <c r="A366" i="8"/>
  <c r="C366" i="8" s="1"/>
  <c r="A367" i="8"/>
  <c r="C367" i="8" s="1"/>
  <c r="A368" i="8"/>
  <c r="C368" i="8" s="1"/>
  <c r="A369" i="8"/>
  <c r="C369" i="8" s="1"/>
  <c r="A370" i="8"/>
  <c r="C370" i="8" s="1"/>
  <c r="A371" i="8"/>
  <c r="C371" i="8" s="1"/>
  <c r="A372" i="8"/>
  <c r="C372" i="8" s="1"/>
  <c r="A373" i="8"/>
  <c r="C373" i="8" s="1"/>
  <c r="A374" i="8"/>
  <c r="C374" i="8" s="1"/>
  <c r="A375" i="8"/>
  <c r="C375" i="8" s="1"/>
  <c r="A376" i="8"/>
  <c r="C376" i="8" s="1"/>
  <c r="A377" i="8"/>
  <c r="C377" i="8" s="1"/>
  <c r="A378" i="8"/>
  <c r="C378" i="8" s="1"/>
  <c r="A379" i="8"/>
  <c r="C379" i="8" s="1"/>
  <c r="A380" i="8"/>
  <c r="C380" i="8" s="1"/>
  <c r="A381" i="8"/>
  <c r="C381" i="8" s="1"/>
  <c r="A382" i="8"/>
  <c r="C382" i="8" s="1"/>
  <c r="A383" i="8"/>
  <c r="C383" i="8" s="1"/>
  <c r="A384" i="8"/>
  <c r="C384" i="8" s="1"/>
  <c r="A385" i="8"/>
  <c r="C385" i="8" s="1"/>
  <c r="A386" i="8"/>
  <c r="C386" i="8" s="1"/>
  <c r="A387" i="8"/>
  <c r="C387" i="8" s="1"/>
  <c r="A388" i="8"/>
  <c r="C388" i="8" s="1"/>
  <c r="A389" i="8"/>
  <c r="C389" i="8" s="1"/>
  <c r="A390" i="8"/>
  <c r="C390" i="8" s="1"/>
  <c r="A391" i="8"/>
  <c r="C391" i="8" s="1"/>
  <c r="A392" i="8"/>
  <c r="C392" i="8" s="1"/>
  <c r="A393" i="8"/>
  <c r="C393" i="8" s="1"/>
  <c r="A394" i="8"/>
  <c r="C394" i="8" s="1"/>
  <c r="A395" i="8"/>
  <c r="C395" i="8" s="1"/>
  <c r="A396" i="8"/>
  <c r="C396" i="8" s="1"/>
  <c r="A397" i="8"/>
  <c r="C397" i="8" s="1"/>
  <c r="A398" i="8"/>
  <c r="C398" i="8" s="1"/>
  <c r="A399" i="8"/>
  <c r="C399" i="8" s="1"/>
  <c r="A400" i="8"/>
  <c r="C400" i="8" s="1"/>
  <c r="A401" i="8"/>
  <c r="C401" i="8" s="1"/>
  <c r="A402" i="8"/>
  <c r="C402" i="8" s="1"/>
  <c r="A403" i="8"/>
  <c r="C403" i="8" s="1"/>
  <c r="A404" i="8"/>
  <c r="C404" i="8" s="1"/>
  <c r="A405" i="8"/>
  <c r="C405" i="8" s="1"/>
  <c r="A406" i="8"/>
  <c r="C406" i="8" s="1"/>
  <c r="A407" i="8"/>
  <c r="C407" i="8" s="1"/>
  <c r="A408" i="8"/>
  <c r="C408" i="8" s="1"/>
  <c r="A409" i="8"/>
  <c r="C409" i="8" s="1"/>
  <c r="A410" i="8"/>
  <c r="C410" i="8" s="1"/>
  <c r="A411" i="8"/>
  <c r="C411" i="8" s="1"/>
  <c r="A412" i="8"/>
  <c r="C412" i="8" s="1"/>
  <c r="A413" i="8"/>
  <c r="C413" i="8" s="1"/>
  <c r="A414" i="8"/>
  <c r="C414" i="8" s="1"/>
  <c r="A415" i="8"/>
  <c r="C415" i="8" s="1"/>
  <c r="A416" i="8"/>
  <c r="C416" i="8" s="1"/>
  <c r="A417" i="8"/>
  <c r="C417" i="8" s="1"/>
  <c r="A418" i="8"/>
  <c r="C418" i="8" s="1"/>
  <c r="A419" i="8"/>
  <c r="C419" i="8" s="1"/>
  <c r="A420" i="8"/>
  <c r="C420" i="8" s="1"/>
  <c r="A421" i="8"/>
  <c r="C421" i="8" s="1"/>
  <c r="A422" i="8"/>
  <c r="C422" i="8" s="1"/>
  <c r="A423" i="8"/>
  <c r="C423" i="8" s="1"/>
  <c r="A424" i="8"/>
  <c r="C424" i="8" s="1"/>
  <c r="A425" i="8"/>
  <c r="C425" i="8" s="1"/>
  <c r="A426" i="8"/>
  <c r="C426" i="8" s="1"/>
  <c r="A427" i="8"/>
  <c r="C427" i="8" s="1"/>
  <c r="A428" i="8"/>
  <c r="C428" i="8" s="1"/>
  <c r="A429" i="8"/>
  <c r="C429" i="8" s="1"/>
  <c r="A430" i="8"/>
  <c r="C430" i="8" s="1"/>
  <c r="A431" i="8"/>
  <c r="C431" i="8" s="1"/>
  <c r="A432" i="8"/>
  <c r="C432" i="8" s="1"/>
  <c r="A433" i="8"/>
  <c r="C433" i="8" s="1"/>
  <c r="A434" i="8"/>
  <c r="C434" i="8" s="1"/>
  <c r="A435" i="8"/>
  <c r="C435" i="8" s="1"/>
  <c r="A436" i="8"/>
  <c r="C436" i="8" s="1"/>
  <c r="A437" i="8"/>
  <c r="C437" i="8" s="1"/>
  <c r="A438" i="8"/>
  <c r="C438" i="8" s="1"/>
  <c r="A439" i="8"/>
  <c r="C439" i="8" s="1"/>
  <c r="A440" i="8"/>
  <c r="C440" i="8" s="1"/>
  <c r="A441" i="8"/>
  <c r="C441" i="8" s="1"/>
  <c r="A442" i="8"/>
  <c r="C442" i="8" s="1"/>
  <c r="A443" i="8"/>
  <c r="C443" i="8" s="1"/>
  <c r="A444" i="8"/>
  <c r="C444" i="8" s="1"/>
  <c r="A445" i="8"/>
  <c r="C445" i="8" s="1"/>
  <c r="A446" i="8"/>
  <c r="C446" i="8" s="1"/>
  <c r="A447" i="8"/>
  <c r="C447" i="8" s="1"/>
  <c r="A448" i="8"/>
  <c r="C448" i="8" s="1"/>
  <c r="A449" i="8"/>
  <c r="C449" i="8" s="1"/>
  <c r="A450" i="8"/>
  <c r="C450" i="8" s="1"/>
  <c r="A451" i="8"/>
  <c r="C451" i="8" s="1"/>
  <c r="A452" i="8"/>
  <c r="C452" i="8" s="1"/>
  <c r="A453" i="8"/>
  <c r="C453" i="8" s="1"/>
  <c r="A454" i="8"/>
  <c r="C454" i="8" s="1"/>
  <c r="A455" i="8"/>
  <c r="C455" i="8" s="1"/>
  <c r="A456" i="8"/>
  <c r="C456" i="8" s="1"/>
  <c r="A457" i="8"/>
  <c r="C457" i="8" s="1"/>
  <c r="A458" i="8"/>
  <c r="C458" i="8" s="1"/>
  <c r="A459" i="8"/>
  <c r="C459" i="8" s="1"/>
  <c r="A460" i="8"/>
  <c r="C460" i="8" s="1"/>
  <c r="A461" i="8"/>
  <c r="C461" i="8" s="1"/>
  <c r="A462" i="8"/>
  <c r="C462" i="8" s="1"/>
  <c r="A463" i="8"/>
  <c r="C463" i="8" s="1"/>
  <c r="A464" i="8"/>
  <c r="C464" i="8" s="1"/>
  <c r="A465" i="8"/>
  <c r="C465" i="8" s="1"/>
  <c r="A466" i="8"/>
  <c r="C466" i="8" s="1"/>
  <c r="A467" i="8"/>
  <c r="C467" i="8" s="1"/>
  <c r="A468" i="8"/>
  <c r="C468" i="8" s="1"/>
  <c r="A469" i="8"/>
  <c r="C469" i="8" s="1"/>
  <c r="A470" i="8"/>
  <c r="C470" i="8" s="1"/>
  <c r="A471" i="8"/>
  <c r="C471" i="8" s="1"/>
  <c r="A472" i="8"/>
  <c r="C472" i="8" s="1"/>
  <c r="A473" i="8"/>
  <c r="C473" i="8" s="1"/>
  <c r="A474" i="8"/>
  <c r="C474" i="8" s="1"/>
  <c r="A475" i="8"/>
  <c r="C475" i="8" s="1"/>
  <c r="A476" i="8"/>
  <c r="C476" i="8" s="1"/>
  <c r="A477" i="8"/>
  <c r="C477" i="8" s="1"/>
  <c r="A478" i="8"/>
  <c r="C478" i="8" s="1"/>
  <c r="A479" i="8"/>
  <c r="C479" i="8" s="1"/>
  <c r="A480" i="8"/>
  <c r="C480" i="8" s="1"/>
  <c r="A481" i="8"/>
  <c r="C481" i="8" s="1"/>
  <c r="A482" i="8"/>
  <c r="C482" i="8" s="1"/>
  <c r="A483" i="8"/>
  <c r="C483" i="8" s="1"/>
  <c r="A484" i="8"/>
  <c r="C484" i="8" s="1"/>
  <c r="A485" i="8"/>
  <c r="C485" i="8" s="1"/>
  <c r="A486" i="8"/>
  <c r="C486" i="8" s="1"/>
  <c r="A487" i="8"/>
  <c r="C487" i="8" s="1"/>
  <c r="A488" i="8"/>
  <c r="C488" i="8" s="1"/>
  <c r="A489" i="8"/>
  <c r="C489" i="8" s="1"/>
  <c r="A490" i="8"/>
  <c r="C490" i="8" s="1"/>
  <c r="A491" i="8"/>
  <c r="C491" i="8" s="1"/>
  <c r="A492" i="8"/>
  <c r="C492" i="8" s="1"/>
  <c r="A493" i="8"/>
  <c r="C493" i="8" s="1"/>
  <c r="A494" i="8"/>
  <c r="C494" i="8" s="1"/>
  <c r="A495" i="8"/>
  <c r="C495" i="8" s="1"/>
  <c r="A496" i="8"/>
  <c r="C496" i="8" s="1"/>
  <c r="A497" i="8"/>
  <c r="C497" i="8" s="1"/>
  <c r="A498" i="8"/>
  <c r="C498" i="8" s="1"/>
  <c r="A499" i="8"/>
  <c r="C499" i="8" s="1"/>
  <c r="A500" i="8"/>
  <c r="C500" i="8" s="1"/>
  <c r="A501" i="8"/>
  <c r="C501" i="8" s="1"/>
  <c r="A502" i="8"/>
  <c r="C502" i="8" s="1"/>
  <c r="A503" i="8"/>
  <c r="C503" i="8" s="1"/>
  <c r="A504" i="8"/>
  <c r="C504" i="8" s="1"/>
  <c r="A505" i="8"/>
  <c r="C505" i="8" s="1"/>
  <c r="A506" i="8"/>
  <c r="C506" i="8" s="1"/>
  <c r="A507" i="8"/>
  <c r="C507" i="8" s="1"/>
  <c r="A508" i="8"/>
  <c r="C508" i="8" s="1"/>
  <c r="A509" i="8"/>
  <c r="C509" i="8" s="1"/>
  <c r="A510" i="8"/>
  <c r="C510" i="8" s="1"/>
  <c r="A511" i="8"/>
  <c r="C511" i="8" s="1"/>
  <c r="A512" i="8"/>
  <c r="C512" i="8" s="1"/>
  <c r="A513" i="8"/>
  <c r="C513" i="8" s="1"/>
  <c r="A514" i="8"/>
  <c r="C514" i="8" s="1"/>
  <c r="A515" i="8"/>
  <c r="C515" i="8" s="1"/>
  <c r="A516" i="8"/>
  <c r="C516" i="8" s="1"/>
  <c r="A517" i="8"/>
  <c r="C517" i="8" s="1"/>
  <c r="A518" i="8"/>
  <c r="C518" i="8" s="1"/>
  <c r="A519" i="8"/>
  <c r="C519" i="8" s="1"/>
  <c r="A520" i="8"/>
  <c r="C520" i="8" s="1"/>
  <c r="A521" i="8"/>
  <c r="C521" i="8" s="1"/>
  <c r="A522" i="8"/>
  <c r="C522" i="8" s="1"/>
  <c r="A523" i="8"/>
  <c r="C523" i="8" s="1"/>
  <c r="A524" i="8"/>
  <c r="C524" i="8" s="1"/>
  <c r="A525" i="8"/>
  <c r="C525" i="8" s="1"/>
  <c r="A526" i="8"/>
  <c r="C526" i="8" s="1"/>
  <c r="A527" i="8"/>
  <c r="C527" i="8" s="1"/>
  <c r="A528" i="8"/>
  <c r="C528" i="8" s="1"/>
  <c r="A529" i="8"/>
  <c r="C529" i="8" s="1"/>
  <c r="A530" i="8"/>
  <c r="C530" i="8" s="1"/>
  <c r="A531" i="8"/>
  <c r="C531" i="8" s="1"/>
  <c r="A532" i="8"/>
  <c r="C532" i="8" s="1"/>
  <c r="A533" i="8"/>
  <c r="C533" i="8" s="1"/>
  <c r="A534" i="8"/>
  <c r="C534" i="8" s="1"/>
  <c r="A535" i="8"/>
  <c r="C535" i="8" s="1"/>
  <c r="A536" i="8"/>
  <c r="C536" i="8" s="1"/>
  <c r="A537" i="8"/>
  <c r="C537" i="8" s="1"/>
  <c r="A538" i="8"/>
  <c r="C538" i="8" s="1"/>
  <c r="A539" i="8"/>
  <c r="C539" i="8" s="1"/>
  <c r="A540" i="8"/>
  <c r="C540" i="8" s="1"/>
  <c r="A541" i="8"/>
  <c r="C541" i="8" s="1"/>
  <c r="A542" i="8"/>
  <c r="C542" i="8" s="1"/>
  <c r="A543" i="8"/>
  <c r="C543" i="8" s="1"/>
  <c r="A544" i="8"/>
  <c r="C544" i="8" s="1"/>
  <c r="A545" i="8"/>
  <c r="C545" i="8" s="1"/>
  <c r="A546" i="8"/>
  <c r="C546" i="8" s="1"/>
  <c r="A547" i="8"/>
  <c r="C547" i="8" s="1"/>
  <c r="A548" i="8"/>
  <c r="C548" i="8" s="1"/>
  <c r="A549" i="8"/>
  <c r="C549" i="8" s="1"/>
  <c r="A550" i="8"/>
  <c r="C550" i="8" s="1"/>
  <c r="A551" i="8"/>
  <c r="C551" i="8" s="1"/>
  <c r="A552" i="8"/>
  <c r="C552" i="8" s="1"/>
  <c r="A553" i="8"/>
  <c r="C553" i="8" s="1"/>
  <c r="A554" i="8"/>
  <c r="C554" i="8" s="1"/>
  <c r="A555" i="8"/>
  <c r="C555" i="8" s="1"/>
  <c r="A556" i="8"/>
  <c r="C556" i="8" s="1"/>
  <c r="A557" i="8"/>
  <c r="C557" i="8" s="1"/>
  <c r="A558" i="8"/>
  <c r="C558" i="8" s="1"/>
  <c r="A559" i="8"/>
  <c r="C559" i="8" s="1"/>
  <c r="A560" i="8"/>
  <c r="C560" i="8" s="1"/>
  <c r="A561" i="8"/>
  <c r="C561" i="8" s="1"/>
  <c r="A562" i="8"/>
  <c r="C562" i="8" s="1"/>
  <c r="A563" i="8"/>
  <c r="C563" i="8" s="1"/>
  <c r="A564" i="8"/>
  <c r="C564" i="8" s="1"/>
  <c r="A565" i="8"/>
  <c r="C565" i="8" s="1"/>
  <c r="A566" i="8"/>
  <c r="C566" i="8" s="1"/>
  <c r="A567" i="8"/>
  <c r="C567" i="8" s="1"/>
  <c r="A568" i="8"/>
  <c r="C568" i="8" s="1"/>
  <c r="A569" i="8"/>
  <c r="C569" i="8" s="1"/>
  <c r="A570" i="8"/>
  <c r="C570" i="8" s="1"/>
  <c r="A571" i="8"/>
  <c r="C571" i="8" s="1"/>
  <c r="A572" i="8"/>
  <c r="C572" i="8" s="1"/>
  <c r="A573" i="8"/>
  <c r="C573" i="8" s="1"/>
  <c r="A574" i="8"/>
  <c r="C574" i="8" s="1"/>
  <c r="A575" i="8"/>
  <c r="C575" i="8" s="1"/>
  <c r="A576" i="8"/>
  <c r="C576" i="8" s="1"/>
  <c r="A577" i="8"/>
  <c r="C577" i="8" s="1"/>
  <c r="A578" i="8"/>
  <c r="C578" i="8" s="1"/>
  <c r="A579" i="8"/>
  <c r="C579" i="8" s="1"/>
  <c r="A580" i="8"/>
  <c r="C580" i="8" s="1"/>
  <c r="A581" i="8"/>
  <c r="C581" i="8" s="1"/>
  <c r="A582" i="8"/>
  <c r="C582" i="8" s="1"/>
  <c r="A583" i="8"/>
  <c r="C583" i="8" s="1"/>
  <c r="A584" i="8"/>
  <c r="C584" i="8" s="1"/>
  <c r="A585" i="8"/>
  <c r="C585" i="8" s="1"/>
  <c r="A586" i="8"/>
  <c r="C586" i="8" s="1"/>
  <c r="A587" i="8"/>
  <c r="C587" i="8" s="1"/>
  <c r="A588" i="8"/>
  <c r="C588" i="8" s="1"/>
  <c r="A589" i="8"/>
  <c r="C589" i="8" s="1"/>
  <c r="A590" i="8"/>
  <c r="C590" i="8" s="1"/>
  <c r="A591" i="8"/>
  <c r="C591" i="8" s="1"/>
  <c r="A592" i="8"/>
  <c r="C592" i="8" s="1"/>
  <c r="A593" i="8"/>
  <c r="C593" i="8" s="1"/>
  <c r="A594" i="8"/>
  <c r="C594" i="8" s="1"/>
  <c r="A595" i="8"/>
  <c r="C595" i="8" s="1"/>
  <c r="A596" i="8"/>
  <c r="C596" i="8" s="1"/>
  <c r="A597" i="8"/>
  <c r="C597" i="8" s="1"/>
  <c r="A598" i="8"/>
  <c r="C598" i="8" s="1"/>
  <c r="A599" i="8"/>
  <c r="C599" i="8" s="1"/>
  <c r="A600" i="8"/>
  <c r="C600" i="8" s="1"/>
  <c r="A601" i="8"/>
  <c r="C601" i="8" s="1"/>
  <c r="A602" i="8"/>
  <c r="C602" i="8" s="1"/>
  <c r="A603" i="8"/>
  <c r="C603" i="8" s="1"/>
  <c r="A604" i="8"/>
  <c r="C604" i="8" s="1"/>
  <c r="A605" i="8"/>
  <c r="C605" i="8" s="1"/>
  <c r="A606" i="8"/>
  <c r="C606" i="8" s="1"/>
  <c r="A607" i="8"/>
  <c r="C607" i="8" s="1"/>
  <c r="A608" i="8"/>
  <c r="C608" i="8" s="1"/>
  <c r="A609" i="8"/>
  <c r="C609" i="8" s="1"/>
  <c r="A610" i="8"/>
  <c r="C610" i="8" s="1"/>
  <c r="A611" i="8"/>
  <c r="C611" i="8" s="1"/>
  <c r="A612" i="8"/>
  <c r="C612" i="8" s="1"/>
  <c r="A613" i="8"/>
  <c r="C613" i="8" s="1"/>
  <c r="A614" i="8"/>
  <c r="C614" i="8" s="1"/>
  <c r="A615" i="8"/>
  <c r="C615" i="8" s="1"/>
  <c r="A616" i="8"/>
  <c r="C616" i="8" s="1"/>
  <c r="A617" i="8"/>
  <c r="C617" i="8" s="1"/>
  <c r="A618" i="8"/>
  <c r="C618" i="8" s="1"/>
  <c r="A619" i="8"/>
  <c r="C619" i="8" s="1"/>
  <c r="A620" i="8"/>
  <c r="C620" i="8" s="1"/>
  <c r="A621" i="8"/>
  <c r="C621" i="8" s="1"/>
  <c r="A622" i="8"/>
  <c r="C622" i="8" s="1"/>
  <c r="A623" i="8"/>
  <c r="C623" i="8" s="1"/>
  <c r="A624" i="8"/>
  <c r="C624" i="8" s="1"/>
  <c r="A625" i="8"/>
  <c r="C625" i="8" s="1"/>
  <c r="A626" i="8"/>
  <c r="C626" i="8" s="1"/>
  <c r="A627" i="8"/>
  <c r="C627" i="8" s="1"/>
  <c r="A628" i="8"/>
  <c r="C628" i="8" s="1"/>
  <c r="A629" i="8"/>
  <c r="C629" i="8" s="1"/>
  <c r="A630" i="8"/>
  <c r="C630" i="8" s="1"/>
  <c r="A631" i="8"/>
  <c r="C631" i="8" s="1"/>
  <c r="A632" i="8"/>
  <c r="C632" i="8" s="1"/>
  <c r="A633" i="8"/>
  <c r="C633" i="8" s="1"/>
  <c r="A634" i="8"/>
  <c r="C634" i="8" s="1"/>
  <c r="A635" i="8"/>
  <c r="C635" i="8" s="1"/>
  <c r="A636" i="8"/>
  <c r="C636" i="8" s="1"/>
  <c r="A637" i="8"/>
  <c r="C637" i="8" s="1"/>
  <c r="A638" i="8"/>
  <c r="C638" i="8" s="1"/>
  <c r="A639" i="8"/>
  <c r="C639" i="8" s="1"/>
  <c r="A640" i="8"/>
  <c r="C640" i="8" s="1"/>
  <c r="A641" i="8"/>
  <c r="C641" i="8" s="1"/>
  <c r="A642" i="8"/>
  <c r="C642" i="8" s="1"/>
  <c r="A643" i="8"/>
  <c r="C643" i="8" s="1"/>
  <c r="A644" i="8"/>
  <c r="C644" i="8" s="1"/>
  <c r="A645" i="8"/>
  <c r="C645" i="8" s="1"/>
  <c r="A646" i="8"/>
  <c r="C646" i="8" s="1"/>
  <c r="A647" i="8"/>
  <c r="C647" i="8" s="1"/>
  <c r="A648" i="8"/>
  <c r="C648" i="8" s="1"/>
  <c r="A649" i="8"/>
  <c r="C649" i="8" s="1"/>
  <c r="A650" i="8"/>
  <c r="C650" i="8" s="1"/>
  <c r="A651" i="8"/>
  <c r="C651" i="8" s="1"/>
  <c r="A652" i="8"/>
  <c r="C652" i="8" s="1"/>
  <c r="A653" i="8"/>
  <c r="C653" i="8" s="1"/>
  <c r="A654" i="8"/>
  <c r="C654" i="8" s="1"/>
  <c r="A655" i="8"/>
  <c r="C655" i="8" s="1"/>
  <c r="A656" i="8"/>
  <c r="C656" i="8" s="1"/>
  <c r="A657" i="8"/>
  <c r="C657" i="8" s="1"/>
  <c r="A658" i="8"/>
  <c r="C658" i="8" s="1"/>
  <c r="A659" i="8"/>
  <c r="C659" i="8" s="1"/>
  <c r="A660" i="8"/>
  <c r="C660" i="8" s="1"/>
  <c r="A661" i="8"/>
  <c r="C661" i="8" s="1"/>
  <c r="A662" i="8"/>
  <c r="C662" i="8" s="1"/>
  <c r="A663" i="8"/>
  <c r="C663" i="8" s="1"/>
  <c r="A664" i="8"/>
  <c r="C664" i="8" s="1"/>
  <c r="A665" i="8"/>
  <c r="C665" i="8" s="1"/>
  <c r="A666" i="8"/>
  <c r="C666" i="8" s="1"/>
  <c r="A667" i="8"/>
  <c r="C667" i="8" s="1"/>
  <c r="A668" i="8"/>
  <c r="C668" i="8" s="1"/>
  <c r="A669" i="8"/>
  <c r="C669" i="8" s="1"/>
  <c r="A670" i="8"/>
  <c r="C670" i="8" s="1"/>
  <c r="A671" i="8"/>
  <c r="C671" i="8" s="1"/>
  <c r="A672" i="8"/>
  <c r="C672" i="8" s="1"/>
  <c r="A673" i="8"/>
  <c r="C673" i="8" s="1"/>
  <c r="A674" i="8"/>
  <c r="C674" i="8" s="1"/>
  <c r="A675" i="8"/>
  <c r="C675" i="8" s="1"/>
  <c r="A676" i="8"/>
  <c r="C676" i="8" s="1"/>
  <c r="A677" i="8"/>
  <c r="C677" i="8" s="1"/>
  <c r="A678" i="8"/>
  <c r="C678" i="8" s="1"/>
  <c r="A679" i="8"/>
  <c r="C679" i="8" s="1"/>
  <c r="A680" i="8"/>
  <c r="C680" i="8" s="1"/>
  <c r="A681" i="8"/>
  <c r="C681" i="8" s="1"/>
  <c r="A682" i="8"/>
  <c r="C682" i="8" s="1"/>
  <c r="A683" i="8"/>
  <c r="C683" i="8" s="1"/>
  <c r="A684" i="8"/>
  <c r="C684" i="8" s="1"/>
  <c r="A685" i="8"/>
  <c r="C685" i="8" s="1"/>
  <c r="A686" i="8"/>
  <c r="C686" i="8" s="1"/>
  <c r="A687" i="8"/>
  <c r="C687" i="8" s="1"/>
  <c r="A688" i="8"/>
  <c r="C688" i="8" s="1"/>
  <c r="A689" i="8"/>
  <c r="C689" i="8" s="1"/>
  <c r="A690" i="8"/>
  <c r="C690" i="8" s="1"/>
  <c r="A691" i="8"/>
  <c r="C691" i="8" s="1"/>
  <c r="A692" i="8"/>
  <c r="C692" i="8" s="1"/>
  <c r="A693" i="8"/>
  <c r="C693" i="8" s="1"/>
  <c r="A694" i="8"/>
  <c r="C694" i="8" s="1"/>
  <c r="A695" i="8"/>
  <c r="C695" i="8" s="1"/>
  <c r="A696" i="8"/>
  <c r="C696" i="8" s="1"/>
  <c r="A697" i="8"/>
  <c r="C697" i="8" s="1"/>
  <c r="A698" i="8"/>
  <c r="C698" i="8" s="1"/>
  <c r="A699" i="8"/>
  <c r="C699" i="8" s="1"/>
  <c r="A700" i="8"/>
  <c r="C700" i="8" s="1"/>
  <c r="A701" i="8"/>
  <c r="C701" i="8" s="1"/>
  <c r="A702" i="8"/>
  <c r="C702" i="8" s="1"/>
  <c r="A703" i="8"/>
  <c r="C703" i="8" s="1"/>
  <c r="A704" i="8"/>
  <c r="C704" i="8" s="1"/>
  <c r="A705" i="8"/>
  <c r="C705" i="8" s="1"/>
  <c r="A706" i="8"/>
  <c r="C706" i="8" s="1"/>
  <c r="A707" i="8"/>
  <c r="C707" i="8" s="1"/>
  <c r="A708" i="8"/>
  <c r="C708" i="8" s="1"/>
  <c r="A709" i="8"/>
  <c r="C709" i="8" s="1"/>
  <c r="A710" i="8"/>
  <c r="C710" i="8" s="1"/>
  <c r="A711" i="8"/>
  <c r="C711" i="8" s="1"/>
  <c r="A712" i="8"/>
  <c r="C712" i="8" s="1"/>
  <c r="A713" i="8"/>
  <c r="C713" i="8" s="1"/>
  <c r="A714" i="8"/>
  <c r="C714" i="8" s="1"/>
  <c r="A715" i="8"/>
  <c r="C715" i="8" s="1"/>
  <c r="A716" i="8"/>
  <c r="C716" i="8" s="1"/>
  <c r="A717" i="8"/>
  <c r="C717" i="8" s="1"/>
  <c r="A718" i="8"/>
  <c r="C718" i="8" s="1"/>
  <c r="A719" i="8"/>
  <c r="C719" i="8" s="1"/>
  <c r="A720" i="8"/>
  <c r="C720" i="8" s="1"/>
  <c r="A721" i="8"/>
  <c r="C721" i="8" s="1"/>
  <c r="A722" i="8"/>
  <c r="C722" i="8" s="1"/>
  <c r="A723" i="8"/>
  <c r="C723" i="8" s="1"/>
  <c r="A724" i="8"/>
  <c r="C724" i="8" s="1"/>
  <c r="A725" i="8"/>
  <c r="C725" i="8" s="1"/>
  <c r="A726" i="8"/>
  <c r="C726" i="8" s="1"/>
  <c r="A727" i="8"/>
  <c r="C727" i="8" s="1"/>
  <c r="A728" i="8"/>
  <c r="C728" i="8" s="1"/>
  <c r="A729" i="8"/>
  <c r="C729" i="8" s="1"/>
  <c r="A730" i="8"/>
  <c r="C730" i="8" s="1"/>
  <c r="A731" i="8"/>
  <c r="C731" i="8" s="1"/>
  <c r="A732" i="8"/>
  <c r="C732" i="8" s="1"/>
  <c r="A733" i="8"/>
  <c r="C733" i="8" s="1"/>
  <c r="A734" i="8"/>
  <c r="C734" i="8" s="1"/>
  <c r="A735" i="8"/>
  <c r="C735" i="8" s="1"/>
  <c r="A736" i="8"/>
  <c r="C736" i="8" s="1"/>
  <c r="A737" i="8"/>
  <c r="C737" i="8" s="1"/>
  <c r="A738" i="8"/>
  <c r="C738" i="8" s="1"/>
  <c r="A739" i="8"/>
  <c r="C739" i="8" s="1"/>
  <c r="A740" i="8"/>
  <c r="C740" i="8" s="1"/>
  <c r="A741" i="8"/>
  <c r="C741" i="8" s="1"/>
  <c r="A742" i="8"/>
  <c r="C742" i="8" s="1"/>
  <c r="A743" i="8"/>
  <c r="C743" i="8" s="1"/>
  <c r="A744" i="8"/>
  <c r="C744" i="8" s="1"/>
  <c r="A745" i="8"/>
  <c r="C745" i="8" s="1"/>
  <c r="A746" i="8"/>
  <c r="C746" i="8" s="1"/>
  <c r="A747" i="8"/>
  <c r="C747" i="8" s="1"/>
  <c r="A748" i="8"/>
  <c r="C748" i="8" s="1"/>
  <c r="A749" i="8"/>
  <c r="C749" i="8" s="1"/>
  <c r="A750" i="8"/>
  <c r="C750" i="8" s="1"/>
  <c r="A751" i="8"/>
  <c r="C751" i="8" s="1"/>
  <c r="A752" i="8"/>
  <c r="C752" i="8" s="1"/>
  <c r="A753" i="8"/>
  <c r="C753" i="8" s="1"/>
  <c r="A754" i="8"/>
  <c r="C754" i="8" s="1"/>
  <c r="A755" i="8"/>
  <c r="C755" i="8" s="1"/>
  <c r="A756" i="8"/>
  <c r="C756" i="8" s="1"/>
  <c r="A757" i="8"/>
  <c r="C757" i="8" s="1"/>
  <c r="A758" i="8"/>
  <c r="C758" i="8" s="1"/>
  <c r="A759" i="8"/>
  <c r="C759" i="8" s="1"/>
  <c r="A760" i="8"/>
  <c r="C760" i="8" s="1"/>
  <c r="A761" i="8"/>
  <c r="C761" i="8" s="1"/>
  <c r="A762" i="8"/>
  <c r="C762" i="8" s="1"/>
  <c r="A763" i="8"/>
  <c r="C763" i="8" s="1"/>
  <c r="A764" i="8"/>
  <c r="C764" i="8" s="1"/>
  <c r="A765" i="8"/>
  <c r="C765" i="8" s="1"/>
  <c r="A766" i="8"/>
  <c r="C766" i="8" s="1"/>
  <c r="A767" i="8"/>
  <c r="C767" i="8" s="1"/>
  <c r="A768" i="8"/>
  <c r="C768" i="8" s="1"/>
  <c r="A769" i="8"/>
  <c r="C769" i="8" s="1"/>
  <c r="A770" i="8"/>
  <c r="C770" i="8" s="1"/>
  <c r="A771" i="8"/>
  <c r="C771" i="8" s="1"/>
  <c r="A772" i="8"/>
  <c r="C772" i="8" s="1"/>
  <c r="A773" i="8"/>
  <c r="C773" i="8" s="1"/>
  <c r="A774" i="8"/>
  <c r="C774" i="8" s="1"/>
  <c r="A775" i="8"/>
  <c r="C775" i="8" s="1"/>
  <c r="A776" i="8"/>
  <c r="C776" i="8" s="1"/>
  <c r="A777" i="8"/>
  <c r="C777" i="8" s="1"/>
  <c r="A778" i="8"/>
  <c r="C778" i="8" s="1"/>
  <c r="A779" i="8"/>
  <c r="C779" i="8" s="1"/>
  <c r="A780" i="8"/>
  <c r="C780" i="8" s="1"/>
  <c r="A781" i="8"/>
  <c r="C781" i="8" s="1"/>
  <c r="A782" i="8"/>
  <c r="C782" i="8" s="1"/>
  <c r="A783" i="8"/>
  <c r="C783" i="8" s="1"/>
  <c r="A784" i="8"/>
  <c r="C784" i="8" s="1"/>
  <c r="A785" i="8"/>
  <c r="C785" i="8" s="1"/>
  <c r="A786" i="8"/>
  <c r="C786" i="8" s="1"/>
  <c r="A787" i="8"/>
  <c r="C787" i="8" s="1"/>
  <c r="A788" i="8"/>
  <c r="C788" i="8" s="1"/>
  <c r="A789" i="8"/>
  <c r="C789" i="8" s="1"/>
  <c r="A790" i="8"/>
  <c r="C790" i="8" s="1"/>
  <c r="A791" i="8"/>
  <c r="C791" i="8" s="1"/>
  <c r="A792" i="8"/>
  <c r="C792" i="8" s="1"/>
  <c r="A793" i="8"/>
  <c r="C793" i="8" s="1"/>
  <c r="A794" i="8"/>
  <c r="C794" i="8" s="1"/>
  <c r="A795" i="8"/>
  <c r="C795" i="8" s="1"/>
  <c r="A796" i="8"/>
  <c r="C796" i="8" s="1"/>
  <c r="A797" i="8"/>
  <c r="C797" i="8" s="1"/>
  <c r="A798" i="8"/>
  <c r="C798" i="8" s="1"/>
  <c r="A799" i="8"/>
  <c r="C799" i="8" s="1"/>
  <c r="A800" i="8"/>
  <c r="C800" i="8" s="1"/>
  <c r="A801" i="8"/>
  <c r="C801" i="8" s="1"/>
  <c r="A802" i="8"/>
  <c r="C802" i="8" s="1"/>
  <c r="A803" i="8"/>
  <c r="C803" i="8" s="1"/>
  <c r="A804" i="8"/>
  <c r="C804" i="8" s="1"/>
  <c r="A805" i="8"/>
  <c r="C805" i="8" s="1"/>
  <c r="A806" i="8"/>
  <c r="C806" i="8" s="1"/>
  <c r="A807" i="8"/>
  <c r="C807" i="8" s="1"/>
  <c r="A808" i="8"/>
  <c r="C808" i="8" s="1"/>
  <c r="A809" i="8"/>
  <c r="C809" i="8" s="1"/>
  <c r="A810" i="8"/>
  <c r="C810" i="8" s="1"/>
  <c r="A811" i="8"/>
  <c r="C811" i="8" s="1"/>
  <c r="A812" i="8"/>
  <c r="C812" i="8" s="1"/>
  <c r="A813" i="8"/>
  <c r="C813" i="8" s="1"/>
  <c r="A814" i="8"/>
  <c r="C814" i="8" s="1"/>
  <c r="A815" i="8"/>
  <c r="C815" i="8" s="1"/>
  <c r="A816" i="8"/>
  <c r="C816" i="8" s="1"/>
  <c r="A817" i="8"/>
  <c r="C817" i="8" s="1"/>
  <c r="A818" i="8"/>
  <c r="C818" i="8" s="1"/>
  <c r="A819" i="8"/>
  <c r="C819" i="8" s="1"/>
  <c r="A820" i="8"/>
  <c r="C820" i="8" s="1"/>
  <c r="A821" i="8"/>
  <c r="C821" i="8" s="1"/>
  <c r="A822" i="8"/>
  <c r="A823" i="8"/>
  <c r="A824" i="8"/>
  <c r="A825" i="8"/>
  <c r="A826" i="8"/>
  <c r="A827" i="8"/>
  <c r="A828" i="8"/>
  <c r="A829" i="8"/>
  <c r="A830" i="8"/>
  <c r="A831" i="8"/>
  <c r="A832" i="8"/>
  <c r="A833" i="8"/>
  <c r="A834" i="8"/>
  <c r="A835" i="8"/>
  <c r="A836" i="8"/>
  <c r="A837" i="8"/>
  <c r="A838" i="8"/>
  <c r="A839" i="8"/>
  <c r="A840" i="8"/>
  <c r="A841" i="8"/>
  <c r="A842" i="8"/>
  <c r="A843" i="8"/>
  <c r="A844" i="8"/>
  <c r="A845" i="8"/>
  <c r="A846" i="8"/>
  <c r="A847" i="8"/>
  <c r="A848" i="8"/>
  <c r="A849" i="8"/>
  <c r="A850" i="8"/>
  <c r="A851" i="8"/>
  <c r="A852" i="8"/>
  <c r="A853" i="8"/>
  <c r="A854" i="8"/>
  <c r="A855" i="8"/>
  <c r="A856" i="8"/>
  <c r="A857" i="8"/>
  <c r="A858" i="8"/>
  <c r="A859" i="8"/>
  <c r="A860" i="8"/>
  <c r="A861" i="8"/>
  <c r="A862" i="8"/>
  <c r="A863" i="8"/>
  <c r="A864" i="8"/>
  <c r="A865" i="8"/>
  <c r="A866" i="8"/>
  <c r="A867" i="8"/>
  <c r="A868" i="8"/>
  <c r="A869" i="8"/>
  <c r="A870" i="8"/>
  <c r="A871" i="8"/>
  <c r="A872" i="8"/>
  <c r="A873" i="8"/>
  <c r="A874" i="8"/>
  <c r="A875" i="8"/>
  <c r="A876" i="8"/>
  <c r="A877" i="8"/>
  <c r="A878" i="8"/>
  <c r="A879" i="8"/>
  <c r="A880" i="8"/>
  <c r="A881" i="8"/>
  <c r="A882" i="8"/>
  <c r="A883" i="8"/>
  <c r="A884" i="8"/>
  <c r="A885" i="8"/>
  <c r="A886" i="8"/>
  <c r="A887" i="8"/>
  <c r="A888" i="8"/>
  <c r="A889" i="8"/>
  <c r="A890" i="8"/>
  <c r="A891" i="8"/>
  <c r="A892" i="8"/>
  <c r="A893" i="8"/>
  <c r="A894" i="8"/>
  <c r="A895" i="8"/>
  <c r="A896" i="8"/>
  <c r="A897" i="8"/>
  <c r="A898" i="8"/>
  <c r="A899" i="8"/>
  <c r="A900" i="8"/>
  <c r="A901" i="8"/>
  <c r="A902" i="8"/>
  <c r="A903" i="8"/>
  <c r="A904" i="8"/>
  <c r="A905" i="8"/>
  <c r="A906" i="8"/>
  <c r="A907" i="8"/>
  <c r="A908" i="8"/>
  <c r="A909" i="8"/>
  <c r="A910" i="8"/>
  <c r="A911" i="8"/>
  <c r="A912" i="8"/>
  <c r="A913" i="8"/>
  <c r="A914" i="8"/>
  <c r="A915" i="8"/>
  <c r="A916" i="8"/>
  <c r="A917" i="8"/>
  <c r="A918" i="8"/>
  <c r="A919" i="8"/>
  <c r="A920" i="8"/>
  <c r="A921" i="8"/>
  <c r="A922" i="8"/>
  <c r="A923" i="8"/>
  <c r="A924" i="8"/>
  <c r="A925" i="8"/>
  <c r="A926" i="8"/>
  <c r="A927" i="8"/>
  <c r="A928" i="8"/>
  <c r="A929" i="8"/>
  <c r="A930" i="8"/>
  <c r="A931" i="8"/>
  <c r="A932" i="8"/>
  <c r="A933" i="8"/>
  <c r="A934" i="8"/>
  <c r="A935" i="8"/>
  <c r="A936" i="8"/>
  <c r="A937" i="8"/>
  <c r="A938" i="8"/>
  <c r="A939" i="8"/>
  <c r="A940" i="8"/>
  <c r="A941" i="8"/>
  <c r="A942" i="8"/>
  <c r="A943" i="8"/>
  <c r="A944" i="8"/>
  <c r="A945" i="8"/>
  <c r="A946" i="8"/>
  <c r="A947" i="8"/>
  <c r="A948" i="8"/>
  <c r="A949" i="8"/>
  <c r="A950" i="8"/>
  <c r="A951" i="8"/>
  <c r="A952" i="8"/>
  <c r="A953" i="8"/>
  <c r="A954" i="8"/>
  <c r="A955" i="8"/>
  <c r="A956" i="8"/>
  <c r="A957" i="8"/>
  <c r="A958" i="8"/>
  <c r="A959" i="8"/>
  <c r="A960" i="8"/>
  <c r="A961" i="8"/>
  <c r="A962" i="8"/>
  <c r="A963" i="8"/>
  <c r="A964" i="8"/>
  <c r="A965" i="8"/>
  <c r="A966" i="8"/>
  <c r="A967" i="8"/>
  <c r="A968" i="8"/>
  <c r="A969" i="8"/>
  <c r="A970" i="8"/>
  <c r="A971" i="8"/>
  <c r="A972" i="8"/>
  <c r="A973" i="8"/>
  <c r="A974" i="8"/>
  <c r="A975" i="8"/>
  <c r="A976" i="8"/>
  <c r="A977" i="8"/>
  <c r="A978" i="8"/>
  <c r="A979" i="8"/>
  <c r="A980" i="8"/>
  <c r="A981" i="8"/>
  <c r="A982" i="8"/>
  <c r="A983" i="8"/>
  <c r="A984" i="8"/>
  <c r="A985" i="8"/>
  <c r="A986" i="8"/>
  <c r="A987" i="8"/>
  <c r="A988" i="8"/>
  <c r="A989" i="8"/>
  <c r="A990" i="8"/>
  <c r="A991" i="8"/>
  <c r="A992" i="8"/>
  <c r="A993" i="8"/>
  <c r="A994" i="8"/>
  <c r="A995" i="8"/>
  <c r="A996" i="8"/>
  <c r="A997" i="8"/>
  <c r="A998" i="8"/>
  <c r="A999" i="8"/>
  <c r="A1000" i="8"/>
  <c r="A1001" i="8"/>
  <c r="A1002" i="8"/>
  <c r="A1003" i="8"/>
  <c r="A1004" i="8"/>
  <c r="A1005" i="8"/>
  <c r="A1006" i="8"/>
  <c r="A1007" i="8"/>
  <c r="A1008" i="8"/>
  <c r="A1009" i="8"/>
  <c r="A1010" i="8"/>
  <c r="A1011" i="8"/>
  <c r="A1012" i="8"/>
  <c r="A1013" i="8"/>
  <c r="A1014" i="8"/>
  <c r="A1015" i="8"/>
  <c r="A1016" i="8"/>
  <c r="A1017" i="8"/>
  <c r="A1018" i="8"/>
  <c r="A1019" i="8"/>
  <c r="A1020" i="8"/>
  <c r="A1021" i="8"/>
  <c r="A1022" i="8"/>
  <c r="A1023" i="8"/>
  <c r="A1024" i="8"/>
  <c r="A1025" i="8"/>
  <c r="A1026" i="8"/>
  <c r="A1027" i="8"/>
  <c r="A1028" i="8"/>
  <c r="A1029" i="8"/>
  <c r="A1030" i="8"/>
  <c r="A1031" i="8"/>
  <c r="A1032" i="8"/>
  <c r="A1033" i="8"/>
  <c r="A1034" i="8"/>
  <c r="A1035" i="8"/>
  <c r="A1036" i="8"/>
  <c r="A1037" i="8"/>
  <c r="A1038" i="8"/>
  <c r="A1039" i="8"/>
  <c r="A1040" i="8"/>
  <c r="A1041" i="8"/>
  <c r="A1042" i="8"/>
  <c r="A1043" i="8"/>
  <c r="A1044" i="8"/>
  <c r="A1045" i="8"/>
  <c r="A1046" i="8"/>
  <c r="A1047" i="8"/>
  <c r="A1048" i="8"/>
  <c r="A1049" i="8"/>
  <c r="A1050" i="8"/>
  <c r="A1051" i="8"/>
  <c r="A1052" i="8"/>
  <c r="A1053" i="8"/>
  <c r="A1054" i="8"/>
  <c r="A1055" i="8"/>
  <c r="A1056" i="8"/>
  <c r="A1057" i="8"/>
  <c r="A1058" i="8"/>
  <c r="A1059" i="8"/>
  <c r="A1060" i="8"/>
  <c r="A1061" i="8"/>
  <c r="A1062" i="8"/>
  <c r="A1063" i="8"/>
  <c r="A1064" i="8"/>
  <c r="A1065" i="8"/>
  <c r="A1066" i="8"/>
  <c r="A1067" i="8"/>
  <c r="A1068" i="8"/>
  <c r="A1069" i="8"/>
  <c r="A1070" i="8"/>
  <c r="A1071" i="8"/>
  <c r="A1072" i="8"/>
  <c r="A1073" i="8"/>
  <c r="A1074" i="8"/>
  <c r="A1075" i="8"/>
  <c r="A1076" i="8"/>
  <c r="A1077" i="8"/>
  <c r="A1078" i="8"/>
  <c r="A1079" i="8"/>
  <c r="A1080" i="8"/>
  <c r="A1081" i="8"/>
  <c r="A1082" i="8"/>
  <c r="A1083" i="8"/>
  <c r="A1084" i="8"/>
  <c r="A1085" i="8"/>
  <c r="A1086" i="8"/>
  <c r="A1087" i="8"/>
  <c r="A1088" i="8"/>
  <c r="A1089" i="8"/>
  <c r="A1090" i="8"/>
  <c r="A1091" i="8"/>
  <c r="A1092" i="8"/>
  <c r="A1093" i="8"/>
  <c r="A1094" i="8"/>
  <c r="A1095" i="8"/>
  <c r="A1096" i="8"/>
  <c r="A1097" i="8"/>
  <c r="A1098" i="8"/>
  <c r="A1099" i="8"/>
  <c r="A1100" i="8"/>
  <c r="A1101" i="8"/>
  <c r="A1102" i="8"/>
  <c r="A1103" i="8"/>
  <c r="A1104" i="8"/>
  <c r="A1105" i="8"/>
  <c r="A1106" i="8"/>
  <c r="A1107" i="8"/>
  <c r="A1108" i="8"/>
  <c r="A1109" i="8"/>
  <c r="A1110" i="8"/>
  <c r="A1111" i="8"/>
  <c r="A1112" i="8"/>
  <c r="A1113" i="8"/>
  <c r="A1114" i="8"/>
  <c r="A1115" i="8"/>
  <c r="A1116" i="8"/>
  <c r="A1117" i="8"/>
  <c r="A1118" i="8"/>
  <c r="A1119" i="8"/>
  <c r="A1120" i="8"/>
  <c r="A1121" i="8"/>
  <c r="A1122" i="8"/>
  <c r="A1123" i="8"/>
  <c r="A1124" i="8"/>
  <c r="A1125" i="8"/>
  <c r="A1126" i="8"/>
  <c r="A1127" i="8"/>
  <c r="A1128" i="8"/>
  <c r="A1129" i="8"/>
  <c r="A1130" i="8"/>
  <c r="A1131" i="8"/>
  <c r="A1132" i="8"/>
  <c r="A1133" i="8"/>
  <c r="A1134" i="8"/>
  <c r="A1135" i="8"/>
  <c r="A1136" i="8"/>
  <c r="A1137" i="8"/>
  <c r="A1138" i="8"/>
  <c r="A1139" i="8"/>
  <c r="A1140" i="8"/>
  <c r="A1141" i="8"/>
  <c r="A1142" i="8"/>
  <c r="A1143" i="8"/>
  <c r="A1144" i="8"/>
  <c r="A1145" i="8"/>
  <c r="A1146" i="8"/>
  <c r="A1147" i="8"/>
  <c r="A1148" i="8"/>
  <c r="A1149" i="8"/>
  <c r="A1150" i="8"/>
  <c r="A1151" i="8"/>
  <c r="A1152" i="8"/>
  <c r="A1153" i="8"/>
  <c r="A1154" i="8"/>
  <c r="A1155" i="8"/>
  <c r="A1156" i="8"/>
  <c r="A1157" i="8"/>
  <c r="A1158" i="8"/>
  <c r="A1159" i="8"/>
  <c r="A1160" i="8"/>
  <c r="A1161" i="8"/>
  <c r="A1162" i="8"/>
  <c r="A1163" i="8"/>
  <c r="A1164" i="8"/>
  <c r="A1165" i="8"/>
  <c r="A1166" i="8"/>
  <c r="A1167" i="8"/>
  <c r="A1168" i="8"/>
  <c r="A1169" i="8"/>
  <c r="A1170" i="8"/>
  <c r="A1171" i="8"/>
  <c r="A1172" i="8"/>
  <c r="A1173" i="8"/>
  <c r="A1174" i="8"/>
  <c r="A1175" i="8"/>
  <c r="A1176" i="8"/>
  <c r="A1177" i="8"/>
  <c r="A1178" i="8"/>
  <c r="A1179" i="8"/>
  <c r="A1180" i="8"/>
  <c r="A1181" i="8"/>
  <c r="A1182" i="8"/>
  <c r="A1183" i="8"/>
  <c r="A1184" i="8"/>
  <c r="A1185" i="8"/>
  <c r="A1186" i="8"/>
  <c r="A1187" i="8"/>
  <c r="A1188" i="8"/>
  <c r="A1189" i="8"/>
  <c r="A1190" i="8"/>
  <c r="A1191" i="8"/>
  <c r="A1192" i="8"/>
  <c r="A1193" i="8"/>
  <c r="A1194" i="8"/>
  <c r="A1195" i="8"/>
  <c r="A1196" i="8"/>
  <c r="A1197" i="8"/>
  <c r="A1198" i="8"/>
  <c r="A1199" i="8"/>
  <c r="A1200" i="8"/>
  <c r="A1201" i="8"/>
  <c r="A1202" i="8"/>
  <c r="A1203" i="8"/>
  <c r="A1204" i="8"/>
  <c r="A1205" i="8"/>
  <c r="A1206" i="8"/>
  <c r="A1207" i="8"/>
  <c r="A1208" i="8"/>
  <c r="A1209" i="8"/>
  <c r="A1210" i="8"/>
  <c r="A1211" i="8"/>
  <c r="A1212" i="8"/>
  <c r="A1213" i="8"/>
  <c r="A1214" i="8"/>
  <c r="A1215" i="8"/>
  <c r="A1216" i="8"/>
  <c r="A1217" i="8"/>
  <c r="A1218" i="8"/>
  <c r="A1219" i="8"/>
  <c r="A1220" i="8"/>
  <c r="A1221" i="8"/>
  <c r="A1222" i="8"/>
  <c r="A1223" i="8"/>
  <c r="A1224" i="8"/>
  <c r="A1225" i="8"/>
  <c r="A1226" i="8"/>
  <c r="A1227" i="8"/>
  <c r="A1228" i="8"/>
  <c r="A1229" i="8"/>
  <c r="A1230" i="8"/>
  <c r="A1231" i="8"/>
  <c r="A1232" i="8"/>
  <c r="A1233" i="8"/>
  <c r="A1234" i="8"/>
  <c r="A1235" i="8"/>
  <c r="A1236" i="8"/>
  <c r="A1237" i="8"/>
  <c r="A1238" i="8"/>
  <c r="A1239" i="8"/>
  <c r="A1240" i="8"/>
  <c r="A1241" i="8"/>
  <c r="A1242" i="8"/>
  <c r="A1243" i="8"/>
  <c r="A1244" i="8"/>
  <c r="A1245" i="8"/>
  <c r="A1246" i="8"/>
  <c r="A1247" i="8"/>
  <c r="A1248" i="8"/>
  <c r="A1249" i="8"/>
  <c r="A1250" i="8"/>
  <c r="A1251" i="8"/>
  <c r="A1252" i="8"/>
  <c r="A1253" i="8"/>
  <c r="A1254" i="8"/>
  <c r="A1255" i="8"/>
  <c r="A1256" i="8"/>
  <c r="A1257" i="8"/>
  <c r="A1258" i="8"/>
  <c r="A1259" i="8"/>
  <c r="A1260" i="8"/>
  <c r="A1261" i="8"/>
  <c r="A1262" i="8"/>
  <c r="A1263" i="8"/>
  <c r="A1264" i="8"/>
  <c r="A1265" i="8"/>
  <c r="A1266" i="8"/>
  <c r="A1267" i="8"/>
  <c r="A1268" i="8"/>
  <c r="A1269" i="8"/>
  <c r="A1270" i="8"/>
  <c r="A1271" i="8"/>
  <c r="A1272" i="8"/>
  <c r="A1273" i="8"/>
  <c r="A1274" i="8"/>
  <c r="A1275" i="8"/>
  <c r="A1276" i="8"/>
  <c r="A1277" i="8"/>
  <c r="A1278" i="8"/>
  <c r="A1279" i="8"/>
  <c r="A1280" i="8"/>
  <c r="A1281" i="8"/>
  <c r="B1165" i="33"/>
  <c r="B1166" i="33"/>
  <c r="B1167" i="33"/>
  <c r="B1168" i="33"/>
  <c r="C1168" i="33" s="1"/>
  <c r="B1169" i="33"/>
  <c r="C1169" i="33" s="1"/>
  <c r="B1170" i="33"/>
  <c r="C1170" i="33" s="1"/>
  <c r="B1171" i="33"/>
  <c r="C1171" i="33" s="1"/>
  <c r="B1172" i="33"/>
  <c r="B1173" i="33"/>
  <c r="B1174" i="33"/>
  <c r="B1175" i="33"/>
  <c r="B1176" i="33"/>
  <c r="C1176" i="33" s="1"/>
  <c r="B1177" i="33"/>
  <c r="C1177" i="33" s="1"/>
  <c r="B1178" i="33"/>
  <c r="C1178" i="33" s="1"/>
  <c r="B1179" i="33"/>
  <c r="C1179" i="33" s="1"/>
  <c r="B1180" i="33"/>
  <c r="B1181" i="33"/>
  <c r="B1182" i="33"/>
  <c r="B1183" i="33"/>
  <c r="B1184" i="33"/>
  <c r="C1184" i="33" s="1"/>
  <c r="B1185" i="33"/>
  <c r="C1185" i="33" s="1"/>
  <c r="B1186" i="33"/>
  <c r="C1186" i="33" s="1"/>
  <c r="B1187" i="33"/>
  <c r="C1187" i="33" s="1"/>
  <c r="B1188" i="33"/>
  <c r="B1189" i="33"/>
  <c r="B1190" i="33"/>
  <c r="B1191" i="33"/>
  <c r="B1192" i="33"/>
  <c r="C1192" i="33" s="1"/>
  <c r="B1193" i="33"/>
  <c r="C1193" i="33" s="1"/>
  <c r="B1194" i="33"/>
  <c r="C1194" i="33" s="1"/>
  <c r="B1195" i="33"/>
  <c r="C1195" i="33" s="1"/>
  <c r="B1196" i="33"/>
  <c r="B1197" i="33"/>
  <c r="B1198" i="33"/>
  <c r="B1199" i="33"/>
  <c r="B1200" i="33"/>
  <c r="C1200" i="33" s="1"/>
  <c r="B1201" i="33"/>
  <c r="C1201" i="33" s="1"/>
  <c r="B1202" i="33"/>
  <c r="C1202" i="33" s="1"/>
  <c r="B1203" i="33"/>
  <c r="C1203" i="33" s="1"/>
  <c r="B1204" i="33"/>
  <c r="B1205" i="33"/>
  <c r="B1206" i="33"/>
  <c r="B1207" i="33"/>
  <c r="B1208" i="33"/>
  <c r="C1208" i="33" s="1"/>
  <c r="B1209" i="33"/>
  <c r="C1209" i="33" s="1"/>
  <c r="B1210" i="33"/>
  <c r="C1210" i="33" s="1"/>
  <c r="B1211" i="33"/>
  <c r="C1211" i="33" s="1"/>
  <c r="B1212" i="33"/>
  <c r="B1213" i="33"/>
  <c r="B1214" i="33"/>
  <c r="B1215" i="33"/>
  <c r="B1216" i="33"/>
  <c r="C1216" i="33" s="1"/>
  <c r="B1217" i="33"/>
  <c r="C1217" i="33" s="1"/>
  <c r="B1218" i="33"/>
  <c r="C1218" i="33" s="1"/>
  <c r="B1219" i="33"/>
  <c r="C1219" i="33" s="1"/>
  <c r="B1220" i="33"/>
  <c r="B1221" i="33"/>
  <c r="B25" i="33"/>
  <c r="B26" i="33"/>
  <c r="B27" i="33"/>
  <c r="B28" i="33"/>
  <c r="B29" i="33"/>
  <c r="B30" i="33"/>
  <c r="B31" i="33"/>
  <c r="B32" i="33"/>
  <c r="B33" i="33"/>
  <c r="B34" i="33"/>
  <c r="B35" i="33"/>
  <c r="B36" i="33"/>
  <c r="B37" i="33"/>
  <c r="B38" i="33"/>
  <c r="B39" i="33"/>
  <c r="B40" i="33"/>
  <c r="B41" i="33"/>
  <c r="B42" i="33"/>
  <c r="B43" i="33"/>
  <c r="B44" i="33"/>
  <c r="B45" i="33"/>
  <c r="B46" i="33"/>
  <c r="B47" i="33"/>
  <c r="B48" i="33"/>
  <c r="B49" i="33"/>
  <c r="B50" i="33"/>
  <c r="B51" i="33"/>
  <c r="B52" i="33"/>
  <c r="B53" i="33"/>
  <c r="B54" i="33"/>
  <c r="B55" i="33"/>
  <c r="B56" i="33"/>
  <c r="B57" i="33"/>
  <c r="B58" i="33"/>
  <c r="B59" i="33"/>
  <c r="B60" i="33"/>
  <c r="B61" i="33"/>
  <c r="B62" i="33"/>
  <c r="B63" i="33"/>
  <c r="B64" i="33"/>
  <c r="B65" i="33"/>
  <c r="B66" i="33"/>
  <c r="B67" i="33"/>
  <c r="B68" i="33"/>
  <c r="B69" i="33"/>
  <c r="B70" i="33"/>
  <c r="B71" i="33"/>
  <c r="B72" i="33"/>
  <c r="B73" i="33"/>
  <c r="B74" i="33"/>
  <c r="B75" i="33"/>
  <c r="B76" i="33"/>
  <c r="B77" i="33"/>
  <c r="B78" i="33"/>
  <c r="B79" i="33"/>
  <c r="B80" i="33"/>
  <c r="B81" i="33"/>
  <c r="B82" i="33"/>
  <c r="B83" i="33"/>
  <c r="B84" i="33"/>
  <c r="B85" i="33"/>
  <c r="B86" i="33"/>
  <c r="B87" i="33"/>
  <c r="B88" i="33"/>
  <c r="B89" i="33"/>
  <c r="B90" i="33"/>
  <c r="B91" i="33"/>
  <c r="B92" i="33"/>
  <c r="B93" i="33"/>
  <c r="B94" i="33"/>
  <c r="B95" i="33"/>
  <c r="B96" i="33"/>
  <c r="B97" i="33"/>
  <c r="B98" i="33"/>
  <c r="B99" i="33"/>
  <c r="B100" i="33"/>
  <c r="B101" i="33"/>
  <c r="B102" i="33"/>
  <c r="B103" i="33"/>
  <c r="B104" i="33"/>
  <c r="B105" i="33"/>
  <c r="B106" i="33"/>
  <c r="B107" i="33"/>
  <c r="B108" i="33"/>
  <c r="B109" i="33"/>
  <c r="B110" i="33"/>
  <c r="B111" i="33"/>
  <c r="B112" i="33"/>
  <c r="B113" i="33"/>
  <c r="B114" i="33"/>
  <c r="B115" i="33"/>
  <c r="B116" i="33"/>
  <c r="B117" i="33"/>
  <c r="B118" i="33"/>
  <c r="B119" i="33"/>
  <c r="B120" i="33"/>
  <c r="B121" i="33"/>
  <c r="B122" i="33"/>
  <c r="B123" i="33"/>
  <c r="B124" i="33"/>
  <c r="B125" i="33"/>
  <c r="B126" i="33"/>
  <c r="B127" i="33"/>
  <c r="B128" i="33"/>
  <c r="B129" i="33"/>
  <c r="B130" i="33"/>
  <c r="B131" i="33"/>
  <c r="B132" i="33"/>
  <c r="B133" i="33"/>
  <c r="B134" i="33"/>
  <c r="B135" i="33"/>
  <c r="B136" i="33"/>
  <c r="B137" i="33"/>
  <c r="B138" i="33"/>
  <c r="B139" i="33"/>
  <c r="B140" i="33"/>
  <c r="B141" i="33"/>
  <c r="B142" i="33"/>
  <c r="B143" i="33"/>
  <c r="B144" i="33"/>
  <c r="B145" i="33"/>
  <c r="B146" i="33"/>
  <c r="B147" i="33"/>
  <c r="B148" i="33"/>
  <c r="B149" i="33"/>
  <c r="B150" i="33"/>
  <c r="B151" i="33"/>
  <c r="B152" i="33"/>
  <c r="B153" i="33"/>
  <c r="B154" i="33"/>
  <c r="B155" i="33"/>
  <c r="B156" i="33"/>
  <c r="B157" i="33"/>
  <c r="B158" i="33"/>
  <c r="B159" i="33"/>
  <c r="B160" i="33"/>
  <c r="B161" i="33"/>
  <c r="B162" i="33"/>
  <c r="B163" i="33"/>
  <c r="B164" i="33"/>
  <c r="B165" i="33"/>
  <c r="B166" i="33"/>
  <c r="B167" i="33"/>
  <c r="B168" i="33"/>
  <c r="B169" i="33"/>
  <c r="B170" i="33"/>
  <c r="B171" i="33"/>
  <c r="B172" i="33"/>
  <c r="B173" i="33"/>
  <c r="B174" i="33"/>
  <c r="B175" i="33"/>
  <c r="B176" i="33"/>
  <c r="B177" i="33"/>
  <c r="B178" i="33"/>
  <c r="B179" i="33"/>
  <c r="B180" i="33"/>
  <c r="B181" i="33"/>
  <c r="B182" i="33"/>
  <c r="B183" i="33"/>
  <c r="B184" i="33"/>
  <c r="B185" i="33"/>
  <c r="B186" i="33"/>
  <c r="B187" i="33"/>
  <c r="B188" i="33"/>
  <c r="B189" i="33"/>
  <c r="B190" i="33"/>
  <c r="B191" i="33"/>
  <c r="B192" i="33"/>
  <c r="B193" i="33"/>
  <c r="B194" i="33"/>
  <c r="B195" i="33"/>
  <c r="B196" i="33"/>
  <c r="B197" i="33"/>
  <c r="B198" i="33"/>
  <c r="B199" i="33"/>
  <c r="B200" i="33"/>
  <c r="B201" i="33"/>
  <c r="B202" i="33"/>
  <c r="B203" i="33"/>
  <c r="B204" i="33"/>
  <c r="B205" i="33"/>
  <c r="B206" i="33"/>
  <c r="B207" i="33"/>
  <c r="B208" i="33"/>
  <c r="B209" i="33"/>
  <c r="B210" i="33"/>
  <c r="B211" i="33"/>
  <c r="B212" i="33"/>
  <c r="B213" i="33"/>
  <c r="B214" i="33"/>
  <c r="B215" i="33"/>
  <c r="B216" i="33"/>
  <c r="B217" i="33"/>
  <c r="B218" i="33"/>
  <c r="B219" i="33"/>
  <c r="B220" i="33"/>
  <c r="B221" i="33"/>
  <c r="B222" i="33"/>
  <c r="B223" i="33"/>
  <c r="B224" i="33"/>
  <c r="B225" i="33"/>
  <c r="B226" i="33"/>
  <c r="B227" i="33"/>
  <c r="B228" i="33"/>
  <c r="B229" i="33"/>
  <c r="B230" i="33"/>
  <c r="B231" i="33"/>
  <c r="B232" i="33"/>
  <c r="B233" i="33"/>
  <c r="B234" i="33"/>
  <c r="B235" i="33"/>
  <c r="B236" i="33"/>
  <c r="B237" i="33"/>
  <c r="B238" i="33"/>
  <c r="B239" i="33"/>
  <c r="B240" i="33"/>
  <c r="B241" i="33"/>
  <c r="B242" i="33"/>
  <c r="B243" i="33"/>
  <c r="B244" i="33"/>
  <c r="B245" i="33"/>
  <c r="B246" i="33"/>
  <c r="B247" i="33"/>
  <c r="B248" i="33"/>
  <c r="B249" i="33"/>
  <c r="B250" i="33"/>
  <c r="B251" i="33"/>
  <c r="B252" i="33"/>
  <c r="B253" i="33"/>
  <c r="B254" i="33"/>
  <c r="B255" i="33"/>
  <c r="B256" i="33"/>
  <c r="B257" i="33"/>
  <c r="B258" i="33"/>
  <c r="B259" i="33"/>
  <c r="B260" i="33"/>
  <c r="B261" i="33"/>
  <c r="B262" i="33"/>
  <c r="B263" i="33"/>
  <c r="B264" i="33"/>
  <c r="B265" i="33"/>
  <c r="B266" i="33"/>
  <c r="B267" i="33"/>
  <c r="B268" i="33"/>
  <c r="B269" i="33"/>
  <c r="B270" i="33"/>
  <c r="B271" i="33"/>
  <c r="B272" i="33"/>
  <c r="B273" i="33"/>
  <c r="B274" i="33"/>
  <c r="B275" i="33"/>
  <c r="B276" i="33"/>
  <c r="B277" i="33"/>
  <c r="B278" i="33"/>
  <c r="B279" i="33"/>
  <c r="B280" i="33"/>
  <c r="B281" i="33"/>
  <c r="B282" i="33"/>
  <c r="B283" i="33"/>
  <c r="B284" i="33"/>
  <c r="B285" i="33"/>
  <c r="B286" i="33"/>
  <c r="B287" i="33"/>
  <c r="B288" i="33"/>
  <c r="B289" i="33"/>
  <c r="B290" i="33"/>
  <c r="B291" i="33"/>
  <c r="B292" i="33"/>
  <c r="B293" i="33"/>
  <c r="B294" i="33"/>
  <c r="B295" i="33"/>
  <c r="B296" i="33"/>
  <c r="B297" i="33"/>
  <c r="B298" i="33"/>
  <c r="B299" i="33"/>
  <c r="B300" i="33"/>
  <c r="B301" i="33"/>
  <c r="B302" i="33"/>
  <c r="B303" i="33"/>
  <c r="B304" i="33"/>
  <c r="B305" i="33"/>
  <c r="B306" i="33"/>
  <c r="B307" i="33"/>
  <c r="B308" i="33"/>
  <c r="B309" i="33"/>
  <c r="B310" i="33"/>
  <c r="B311" i="33"/>
  <c r="B312" i="33"/>
  <c r="B313" i="33"/>
  <c r="B314" i="33"/>
  <c r="B315" i="33"/>
  <c r="B316" i="33"/>
  <c r="B317" i="33"/>
  <c r="B318" i="33"/>
  <c r="B319" i="33"/>
  <c r="B320" i="33"/>
  <c r="B321" i="33"/>
  <c r="B322" i="33"/>
  <c r="B323" i="33"/>
  <c r="B324" i="33"/>
  <c r="B325" i="33"/>
  <c r="B326" i="33"/>
  <c r="B327" i="33"/>
  <c r="B328" i="33"/>
  <c r="B329" i="33"/>
  <c r="B330" i="33"/>
  <c r="B331" i="33"/>
  <c r="B332" i="33"/>
  <c r="B333" i="33"/>
  <c r="B334" i="33"/>
  <c r="B335" i="33"/>
  <c r="B336" i="33"/>
  <c r="B337" i="33"/>
  <c r="B338" i="33"/>
  <c r="B339" i="33"/>
  <c r="B340" i="33"/>
  <c r="B341" i="33"/>
  <c r="B342" i="33"/>
  <c r="B343" i="33"/>
  <c r="B344" i="33"/>
  <c r="B345" i="33"/>
  <c r="B346" i="33"/>
  <c r="B347" i="33"/>
  <c r="B348" i="33"/>
  <c r="B349" i="33"/>
  <c r="B350" i="33"/>
  <c r="B351" i="33"/>
  <c r="B352" i="33"/>
  <c r="B353" i="33"/>
  <c r="B354" i="33"/>
  <c r="B355" i="33"/>
  <c r="B356" i="33"/>
  <c r="B357" i="33"/>
  <c r="B358" i="33"/>
  <c r="B359" i="33"/>
  <c r="B360" i="33"/>
  <c r="B361" i="33"/>
  <c r="B362" i="33"/>
  <c r="B363" i="33"/>
  <c r="B364" i="33"/>
  <c r="B365" i="33"/>
  <c r="B366" i="33"/>
  <c r="B367" i="33"/>
  <c r="B368" i="33"/>
  <c r="B369" i="33"/>
  <c r="B370" i="33"/>
  <c r="B371" i="33"/>
  <c r="B372" i="33"/>
  <c r="B373" i="33"/>
  <c r="B374" i="33"/>
  <c r="B375" i="33"/>
  <c r="B376" i="33"/>
  <c r="B377" i="33"/>
  <c r="B378" i="33"/>
  <c r="B379" i="33"/>
  <c r="B380" i="33"/>
  <c r="B381" i="33"/>
  <c r="B382" i="33"/>
  <c r="B383" i="33"/>
  <c r="B384" i="33"/>
  <c r="B385" i="33"/>
  <c r="B386" i="33"/>
  <c r="B387" i="33"/>
  <c r="B388" i="33"/>
  <c r="B389" i="33"/>
  <c r="B390" i="33"/>
  <c r="B391" i="33"/>
  <c r="B392" i="33"/>
  <c r="B393" i="33"/>
  <c r="B394" i="33"/>
  <c r="B395" i="33"/>
  <c r="B396" i="33"/>
  <c r="B397" i="33"/>
  <c r="B398" i="33"/>
  <c r="B399" i="33"/>
  <c r="B400" i="33"/>
  <c r="B401" i="33"/>
  <c r="B402" i="33"/>
  <c r="B403" i="33"/>
  <c r="B404" i="33"/>
  <c r="B405" i="33"/>
  <c r="B406" i="33"/>
  <c r="B407" i="33"/>
  <c r="B408" i="33"/>
  <c r="B409" i="33"/>
  <c r="B410" i="33"/>
  <c r="B411" i="33"/>
  <c r="B412" i="33"/>
  <c r="B413" i="33"/>
  <c r="B414" i="33"/>
  <c r="B415" i="33"/>
  <c r="B416" i="33"/>
  <c r="B417" i="33"/>
  <c r="B418" i="33"/>
  <c r="B419" i="33"/>
  <c r="B420" i="33"/>
  <c r="B421" i="33"/>
  <c r="B422" i="33"/>
  <c r="B423" i="33"/>
  <c r="B424" i="33"/>
  <c r="B425" i="33"/>
  <c r="B426" i="33"/>
  <c r="B427" i="33"/>
  <c r="B428" i="33"/>
  <c r="B429" i="33"/>
  <c r="B430" i="33"/>
  <c r="B431" i="33"/>
  <c r="B432" i="33"/>
  <c r="B433" i="33"/>
  <c r="B434" i="33"/>
  <c r="B435" i="33"/>
  <c r="B436" i="33"/>
  <c r="B437" i="33"/>
  <c r="B438" i="33"/>
  <c r="B439" i="33"/>
  <c r="B440" i="33"/>
  <c r="B441" i="33"/>
  <c r="B442" i="33"/>
  <c r="B443" i="33"/>
  <c r="B444" i="33"/>
  <c r="B445" i="33"/>
  <c r="B446" i="33"/>
  <c r="B447" i="33"/>
  <c r="B448" i="33"/>
  <c r="B449" i="33"/>
  <c r="B450" i="33"/>
  <c r="B451" i="33"/>
  <c r="B452" i="33"/>
  <c r="B453" i="33"/>
  <c r="B454" i="33"/>
  <c r="B455" i="33"/>
  <c r="B456" i="33"/>
  <c r="B457" i="33"/>
  <c r="B458" i="33"/>
  <c r="B459" i="33"/>
  <c r="B460" i="33"/>
  <c r="B461" i="33"/>
  <c r="B462" i="33"/>
  <c r="B463" i="33"/>
  <c r="B464" i="33"/>
  <c r="B465" i="33"/>
  <c r="B466" i="33"/>
  <c r="B467" i="33"/>
  <c r="B468" i="33"/>
  <c r="B469" i="33"/>
  <c r="B470" i="33"/>
  <c r="B471" i="33"/>
  <c r="B472" i="33"/>
  <c r="B473" i="33"/>
  <c r="B474" i="33"/>
  <c r="B475" i="33"/>
  <c r="B476" i="33"/>
  <c r="B477" i="33"/>
  <c r="B478" i="33"/>
  <c r="B479" i="33"/>
  <c r="B480" i="33"/>
  <c r="B481" i="33"/>
  <c r="B482" i="33"/>
  <c r="B483" i="33"/>
  <c r="B484" i="33"/>
  <c r="B485" i="33"/>
  <c r="B486" i="33"/>
  <c r="B487" i="33"/>
  <c r="B488" i="33"/>
  <c r="B489" i="33"/>
  <c r="B490" i="33"/>
  <c r="B491" i="33"/>
  <c r="B492" i="33"/>
  <c r="B493" i="33"/>
  <c r="B494" i="33"/>
  <c r="B495" i="33"/>
  <c r="B496" i="33"/>
  <c r="B497" i="33"/>
  <c r="B498" i="33"/>
  <c r="B499" i="33"/>
  <c r="B500" i="33"/>
  <c r="B501" i="33"/>
  <c r="B502" i="33"/>
  <c r="B503" i="33"/>
  <c r="B504" i="33"/>
  <c r="B505" i="33"/>
  <c r="B506" i="33"/>
  <c r="B507" i="33"/>
  <c r="B508" i="33"/>
  <c r="B509" i="33"/>
  <c r="B510" i="33"/>
  <c r="B511" i="33"/>
  <c r="B512" i="33"/>
  <c r="B513" i="33"/>
  <c r="B514" i="33"/>
  <c r="B515" i="33"/>
  <c r="B516" i="33"/>
  <c r="B517" i="33"/>
  <c r="B518" i="33"/>
  <c r="B519" i="33"/>
  <c r="B520" i="33"/>
  <c r="B521" i="33"/>
  <c r="B522" i="33"/>
  <c r="B523" i="33"/>
  <c r="B524" i="33"/>
  <c r="B525" i="33"/>
  <c r="B526" i="33"/>
  <c r="B527" i="33"/>
  <c r="B528" i="33"/>
  <c r="B529" i="33"/>
  <c r="B530" i="33"/>
  <c r="B531" i="33"/>
  <c r="B532" i="33"/>
  <c r="B533" i="33"/>
  <c r="B534" i="33"/>
  <c r="B535" i="33"/>
  <c r="B536" i="33"/>
  <c r="B537" i="33"/>
  <c r="B538" i="33"/>
  <c r="B539" i="33"/>
  <c r="B540" i="33"/>
  <c r="B541" i="33"/>
  <c r="B542" i="33"/>
  <c r="B543" i="33"/>
  <c r="B544" i="33"/>
  <c r="B545" i="33"/>
  <c r="B546" i="33"/>
  <c r="B547" i="33"/>
  <c r="B548" i="33"/>
  <c r="B549" i="33"/>
  <c r="B550" i="33"/>
  <c r="B551" i="33"/>
  <c r="B552" i="33"/>
  <c r="B553" i="33"/>
  <c r="B554" i="33"/>
  <c r="B555" i="33"/>
  <c r="B556" i="33"/>
  <c r="B557" i="33"/>
  <c r="B558" i="33"/>
  <c r="B559" i="33"/>
  <c r="B560" i="33"/>
  <c r="B561" i="33"/>
  <c r="B562" i="33"/>
  <c r="B563" i="33"/>
  <c r="B564" i="33"/>
  <c r="B565" i="33"/>
  <c r="B566" i="33"/>
  <c r="B567" i="33"/>
  <c r="B568" i="33"/>
  <c r="B569" i="33"/>
  <c r="B570" i="33"/>
  <c r="B571" i="33"/>
  <c r="B572" i="33"/>
  <c r="B573" i="33"/>
  <c r="B574" i="33"/>
  <c r="B575" i="33"/>
  <c r="B576" i="33"/>
  <c r="B577" i="33"/>
  <c r="B578" i="33"/>
  <c r="B579" i="33"/>
  <c r="B580" i="33"/>
  <c r="B581" i="33"/>
  <c r="B582" i="33"/>
  <c r="B583" i="33"/>
  <c r="B584" i="33"/>
  <c r="B585" i="33"/>
  <c r="B586" i="33"/>
  <c r="B587" i="33"/>
  <c r="B588" i="33"/>
  <c r="B589" i="33"/>
  <c r="B590" i="33"/>
  <c r="B591" i="33"/>
  <c r="B592" i="33"/>
  <c r="B593" i="33"/>
  <c r="B594" i="33"/>
  <c r="B595" i="33"/>
  <c r="B596" i="33"/>
  <c r="B597" i="33"/>
  <c r="B598" i="33"/>
  <c r="B599" i="33"/>
  <c r="B600" i="33"/>
  <c r="B601" i="33"/>
  <c r="B602" i="33"/>
  <c r="B603" i="33"/>
  <c r="B604" i="33"/>
  <c r="B605" i="33"/>
  <c r="B606" i="33"/>
  <c r="B607" i="33"/>
  <c r="B608" i="33"/>
  <c r="B609" i="33"/>
  <c r="B610" i="33"/>
  <c r="B611" i="33"/>
  <c r="B612" i="33"/>
  <c r="B613" i="33"/>
  <c r="B614" i="33"/>
  <c r="B615" i="33"/>
  <c r="B616" i="33"/>
  <c r="B617" i="33"/>
  <c r="B618" i="33"/>
  <c r="B619" i="33"/>
  <c r="B620" i="33"/>
  <c r="B621" i="33"/>
  <c r="B622" i="33"/>
  <c r="B623" i="33"/>
  <c r="B624" i="33"/>
  <c r="B625" i="33"/>
  <c r="B626" i="33"/>
  <c r="B627" i="33"/>
  <c r="B628" i="33"/>
  <c r="B629" i="33"/>
  <c r="B630" i="33"/>
  <c r="B631" i="33"/>
  <c r="B632" i="33"/>
  <c r="B633" i="33"/>
  <c r="B634" i="33"/>
  <c r="B635" i="33"/>
  <c r="B636" i="33"/>
  <c r="B637" i="33"/>
  <c r="B638" i="33"/>
  <c r="B639" i="33"/>
  <c r="B640" i="33"/>
  <c r="B641" i="33"/>
  <c r="B642" i="33"/>
  <c r="B643" i="33"/>
  <c r="B644" i="33"/>
  <c r="B645" i="33"/>
  <c r="B646" i="33"/>
  <c r="B647" i="33"/>
  <c r="B648" i="33"/>
  <c r="B649" i="33"/>
  <c r="B650" i="33"/>
  <c r="B651" i="33"/>
  <c r="B652" i="33"/>
  <c r="B653" i="33"/>
  <c r="B654" i="33"/>
  <c r="B655" i="33"/>
  <c r="B656" i="33"/>
  <c r="B657" i="33"/>
  <c r="B658" i="33"/>
  <c r="B659" i="33"/>
  <c r="B660" i="33"/>
  <c r="B661" i="33"/>
  <c r="B662" i="33"/>
  <c r="B663" i="33"/>
  <c r="B664" i="33"/>
  <c r="B665" i="33"/>
  <c r="B666" i="33"/>
  <c r="B667" i="33"/>
  <c r="B668" i="33"/>
  <c r="B669" i="33"/>
  <c r="B670" i="33"/>
  <c r="B671" i="33"/>
  <c r="B672" i="33"/>
  <c r="B673" i="33"/>
  <c r="B674" i="33"/>
  <c r="B675" i="33"/>
  <c r="B676" i="33"/>
  <c r="B677" i="33"/>
  <c r="B678" i="33"/>
  <c r="B679" i="33"/>
  <c r="B680" i="33"/>
  <c r="B681" i="33"/>
  <c r="B682" i="33"/>
  <c r="B683" i="33"/>
  <c r="B684" i="33"/>
  <c r="B685" i="33"/>
  <c r="B686" i="33"/>
  <c r="B687" i="33"/>
  <c r="B688" i="33"/>
  <c r="B689" i="33"/>
  <c r="B690" i="33"/>
  <c r="B691" i="33"/>
  <c r="B692" i="33"/>
  <c r="B693" i="33"/>
  <c r="B694" i="33"/>
  <c r="B695" i="33"/>
  <c r="B696" i="33"/>
  <c r="B697" i="33"/>
  <c r="B698" i="33"/>
  <c r="B699" i="33"/>
  <c r="B700" i="33"/>
  <c r="B701" i="33"/>
  <c r="B702" i="33"/>
  <c r="B703" i="33"/>
  <c r="B704" i="33"/>
  <c r="B705" i="33"/>
  <c r="B706" i="33"/>
  <c r="B707" i="33"/>
  <c r="B708" i="33"/>
  <c r="B709" i="33"/>
  <c r="B710" i="33"/>
  <c r="B711" i="33"/>
  <c r="B712" i="33"/>
  <c r="B713" i="33"/>
  <c r="B714" i="33"/>
  <c r="B715" i="33"/>
  <c r="B716" i="33"/>
  <c r="B717" i="33"/>
  <c r="B718" i="33"/>
  <c r="B719" i="33"/>
  <c r="B720" i="33"/>
  <c r="B721" i="33"/>
  <c r="B722" i="33"/>
  <c r="B723" i="33"/>
  <c r="B724" i="33"/>
  <c r="B725" i="33"/>
  <c r="B726" i="33"/>
  <c r="B727" i="33"/>
  <c r="B728" i="33"/>
  <c r="B729" i="33"/>
  <c r="B730" i="33"/>
  <c r="B731" i="33"/>
  <c r="B732" i="33"/>
  <c r="B733" i="33"/>
  <c r="B734" i="33"/>
  <c r="B735" i="33"/>
  <c r="B736" i="33"/>
  <c r="B737" i="33"/>
  <c r="B738" i="33"/>
  <c r="B739" i="33"/>
  <c r="B740" i="33"/>
  <c r="B741" i="33"/>
  <c r="B742" i="33"/>
  <c r="B743" i="33"/>
  <c r="B744" i="33"/>
  <c r="B745" i="33"/>
  <c r="B746" i="33"/>
  <c r="B747" i="33"/>
  <c r="B748" i="33"/>
  <c r="B749" i="33"/>
  <c r="B750" i="33"/>
  <c r="B751" i="33"/>
  <c r="B752" i="33"/>
  <c r="B753" i="33"/>
  <c r="B754" i="33"/>
  <c r="B755" i="33"/>
  <c r="B756" i="33"/>
  <c r="B757" i="33"/>
  <c r="B758" i="33"/>
  <c r="B759" i="33"/>
  <c r="B760" i="33"/>
  <c r="B761" i="33"/>
  <c r="B762" i="33"/>
  <c r="B763" i="33"/>
  <c r="B764" i="33"/>
  <c r="B765" i="33"/>
  <c r="B766" i="33"/>
  <c r="B767" i="33"/>
  <c r="B768" i="33"/>
  <c r="B769" i="33"/>
  <c r="B770" i="33"/>
  <c r="B771" i="33"/>
  <c r="B772" i="33"/>
  <c r="B773" i="33"/>
  <c r="B774" i="33"/>
  <c r="B775" i="33"/>
  <c r="B776" i="33"/>
  <c r="B777" i="33"/>
  <c r="B778" i="33"/>
  <c r="B779" i="33"/>
  <c r="B780" i="33"/>
  <c r="B781" i="33"/>
  <c r="B782" i="33"/>
  <c r="B783" i="33"/>
  <c r="B784" i="33"/>
  <c r="B785" i="33"/>
  <c r="B786" i="33"/>
  <c r="B787" i="33"/>
  <c r="B788" i="33"/>
  <c r="B789" i="33"/>
  <c r="B790" i="33"/>
  <c r="B791" i="33"/>
  <c r="B792" i="33"/>
  <c r="B793" i="33"/>
  <c r="B794" i="33"/>
  <c r="B795" i="33"/>
  <c r="B796" i="33"/>
  <c r="B797" i="33"/>
  <c r="B798" i="33"/>
  <c r="B799" i="33"/>
  <c r="B800" i="33"/>
  <c r="B801" i="33"/>
  <c r="B802" i="33"/>
  <c r="B803" i="33"/>
  <c r="B804" i="33"/>
  <c r="B805" i="33"/>
  <c r="B806" i="33"/>
  <c r="B807" i="33"/>
  <c r="B808" i="33"/>
  <c r="B809" i="33"/>
  <c r="B810" i="33"/>
  <c r="B811" i="33"/>
  <c r="B812" i="33"/>
  <c r="B813" i="33"/>
  <c r="B814" i="33"/>
  <c r="B815" i="33"/>
  <c r="B816" i="33"/>
  <c r="B817" i="33"/>
  <c r="B818" i="33"/>
  <c r="B819" i="33"/>
  <c r="B820" i="33"/>
  <c r="B821" i="33"/>
  <c r="B822" i="33"/>
  <c r="B823" i="33"/>
  <c r="B824" i="33"/>
  <c r="B825" i="33"/>
  <c r="B826" i="33"/>
  <c r="B827" i="33"/>
  <c r="B828" i="33"/>
  <c r="B829" i="33"/>
  <c r="B830" i="33"/>
  <c r="B831" i="33"/>
  <c r="B832" i="33"/>
  <c r="B833" i="33"/>
  <c r="B834" i="33"/>
  <c r="B835" i="33"/>
  <c r="B836" i="33"/>
  <c r="B837" i="33"/>
  <c r="B838" i="33"/>
  <c r="B839" i="33"/>
  <c r="B840" i="33"/>
  <c r="B841" i="33"/>
  <c r="B842" i="33"/>
  <c r="B843" i="33"/>
  <c r="B844" i="33"/>
  <c r="B845" i="33"/>
  <c r="B846" i="33"/>
  <c r="B847" i="33"/>
  <c r="B848" i="33"/>
  <c r="B849" i="33"/>
  <c r="B850" i="33"/>
  <c r="B851" i="33"/>
  <c r="B852" i="33"/>
  <c r="B853" i="33"/>
  <c r="B854" i="33"/>
  <c r="B855" i="33"/>
  <c r="B856" i="33"/>
  <c r="B857" i="33"/>
  <c r="B858" i="33"/>
  <c r="B859" i="33"/>
  <c r="B860" i="33"/>
  <c r="B861" i="33"/>
  <c r="B862" i="33"/>
  <c r="B863" i="33"/>
  <c r="B864" i="33"/>
  <c r="B865" i="33"/>
  <c r="B866" i="33"/>
  <c r="B867" i="33"/>
  <c r="B868" i="33"/>
  <c r="B869" i="33"/>
  <c r="B870" i="33"/>
  <c r="B871" i="33"/>
  <c r="B872" i="33"/>
  <c r="B873" i="33"/>
  <c r="B874" i="33"/>
  <c r="B875" i="33"/>
  <c r="B876" i="33"/>
  <c r="B877" i="33"/>
  <c r="B878" i="33"/>
  <c r="B879" i="33"/>
  <c r="B880" i="33"/>
  <c r="B881" i="33"/>
  <c r="B882" i="33"/>
  <c r="B883" i="33"/>
  <c r="B884" i="33"/>
  <c r="B885" i="33"/>
  <c r="B886" i="33"/>
  <c r="B887" i="33"/>
  <c r="B888" i="33"/>
  <c r="B889" i="33"/>
  <c r="B890" i="33"/>
  <c r="B891" i="33"/>
  <c r="B892" i="33"/>
  <c r="B893" i="33"/>
  <c r="B894" i="33"/>
  <c r="B895" i="33"/>
  <c r="B896" i="33"/>
  <c r="B897" i="33"/>
  <c r="B898" i="33"/>
  <c r="B899" i="33"/>
  <c r="B900" i="33"/>
  <c r="B901" i="33"/>
  <c r="B902" i="33"/>
  <c r="B903" i="33"/>
  <c r="B904" i="33"/>
  <c r="B905" i="33"/>
  <c r="B906" i="33"/>
  <c r="B907" i="33"/>
  <c r="B908" i="33"/>
  <c r="B909" i="33"/>
  <c r="B910" i="33"/>
  <c r="B911" i="33"/>
  <c r="B912" i="33"/>
  <c r="B913" i="33"/>
  <c r="B914" i="33"/>
  <c r="B915" i="33"/>
  <c r="B916" i="33"/>
  <c r="B917" i="33"/>
  <c r="B918" i="33"/>
  <c r="B919" i="33"/>
  <c r="B920" i="33"/>
  <c r="B921" i="33"/>
  <c r="B922" i="33"/>
  <c r="B923" i="33"/>
  <c r="B924" i="33"/>
  <c r="B925" i="33"/>
  <c r="B926" i="33"/>
  <c r="B927" i="33"/>
  <c r="B928" i="33"/>
  <c r="B929" i="33"/>
  <c r="B930" i="33"/>
  <c r="B931" i="33"/>
  <c r="B932" i="33"/>
  <c r="B933" i="33"/>
  <c r="B934" i="33"/>
  <c r="B935" i="33"/>
  <c r="B936" i="33"/>
  <c r="B937" i="33"/>
  <c r="B938" i="33"/>
  <c r="B939" i="33"/>
  <c r="B940" i="33"/>
  <c r="B941" i="33"/>
  <c r="B942" i="33"/>
  <c r="B943" i="33"/>
  <c r="B944" i="33"/>
  <c r="B945" i="33"/>
  <c r="B946" i="33"/>
  <c r="B947" i="33"/>
  <c r="B948" i="33"/>
  <c r="B949" i="33"/>
  <c r="B950" i="33"/>
  <c r="B951" i="33"/>
  <c r="B952" i="33"/>
  <c r="B953" i="33"/>
  <c r="B954" i="33"/>
  <c r="B955" i="33"/>
  <c r="B956" i="33"/>
  <c r="B957" i="33"/>
  <c r="B958" i="33"/>
  <c r="B959" i="33"/>
  <c r="B960" i="33"/>
  <c r="B961" i="33"/>
  <c r="B962" i="33"/>
  <c r="B963" i="33"/>
  <c r="B964" i="33"/>
  <c r="B965" i="33"/>
  <c r="B966" i="33"/>
  <c r="B967" i="33"/>
  <c r="B968" i="33"/>
  <c r="B969" i="33"/>
  <c r="B970" i="33"/>
  <c r="B971" i="33"/>
  <c r="B972" i="33"/>
  <c r="B973" i="33"/>
  <c r="B974" i="33"/>
  <c r="B975" i="33"/>
  <c r="B976" i="33"/>
  <c r="B977" i="33"/>
  <c r="B978" i="33"/>
  <c r="B979" i="33"/>
  <c r="B980" i="33"/>
  <c r="B981" i="33"/>
  <c r="B982" i="33"/>
  <c r="B983" i="33"/>
  <c r="B984" i="33"/>
  <c r="B985" i="33"/>
  <c r="B986" i="33"/>
  <c r="B987" i="33"/>
  <c r="B988" i="33"/>
  <c r="B989" i="33"/>
  <c r="B990" i="33"/>
  <c r="B991" i="33"/>
  <c r="B992" i="33"/>
  <c r="B993" i="33"/>
  <c r="B994" i="33"/>
  <c r="B995" i="33"/>
  <c r="B996" i="33"/>
  <c r="B997" i="33"/>
  <c r="B998" i="33"/>
  <c r="B999" i="33"/>
  <c r="B1000" i="33"/>
  <c r="B1001" i="33"/>
  <c r="B1002" i="33"/>
  <c r="B1003" i="33"/>
  <c r="B1004" i="33"/>
  <c r="B1005" i="33"/>
  <c r="B1006" i="33"/>
  <c r="B1007" i="33"/>
  <c r="B1008" i="33"/>
  <c r="B1009" i="33"/>
  <c r="B1010" i="33"/>
  <c r="B1011" i="33"/>
  <c r="B1012" i="33"/>
  <c r="B1013" i="33"/>
  <c r="B1014" i="33"/>
  <c r="B1015" i="33"/>
  <c r="B1016" i="33"/>
  <c r="B1017" i="33"/>
  <c r="B1018" i="33"/>
  <c r="B1019" i="33"/>
  <c r="B1020" i="33"/>
  <c r="B1021" i="33"/>
  <c r="B1022" i="33"/>
  <c r="B1023" i="33"/>
  <c r="B1024" i="33"/>
  <c r="B1025" i="33"/>
  <c r="B1026" i="33"/>
  <c r="B1027" i="33"/>
  <c r="B1028" i="33"/>
  <c r="B1029" i="33"/>
  <c r="B1030" i="33"/>
  <c r="B1031" i="33"/>
  <c r="B1032" i="33"/>
  <c r="B1033" i="33"/>
  <c r="B1034" i="33"/>
  <c r="B1035" i="33"/>
  <c r="B1036" i="33"/>
  <c r="B1037" i="33"/>
  <c r="B1038" i="33"/>
  <c r="B1039" i="33"/>
  <c r="B1040" i="33"/>
  <c r="B1041" i="33"/>
  <c r="B1042" i="33"/>
  <c r="B1043" i="33"/>
  <c r="B1044" i="33"/>
  <c r="B1045" i="33"/>
  <c r="B1046" i="33"/>
  <c r="B1047" i="33"/>
  <c r="B1048" i="33"/>
  <c r="B1049" i="33"/>
  <c r="B1050" i="33"/>
  <c r="B1051" i="33"/>
  <c r="B1052" i="33"/>
  <c r="B1053" i="33"/>
  <c r="B1054" i="33"/>
  <c r="B1055" i="33"/>
  <c r="B1056" i="33"/>
  <c r="B1057" i="33"/>
  <c r="B1058" i="33"/>
  <c r="B1059" i="33"/>
  <c r="B1060" i="33"/>
  <c r="B1061" i="33"/>
  <c r="B1062" i="33"/>
  <c r="B1063" i="33"/>
  <c r="B1064" i="33"/>
  <c r="B1065" i="33"/>
  <c r="B1066" i="33"/>
  <c r="B1067" i="33"/>
  <c r="B1068" i="33"/>
  <c r="B1069" i="33"/>
  <c r="B1070" i="33"/>
  <c r="B1071" i="33"/>
  <c r="B1072" i="33"/>
  <c r="B1073" i="33"/>
  <c r="B1074" i="33"/>
  <c r="B1075" i="33"/>
  <c r="B1076" i="33"/>
  <c r="B1077" i="33"/>
  <c r="B1078" i="33"/>
  <c r="B1079" i="33"/>
  <c r="B1080" i="33"/>
  <c r="B1081" i="33"/>
  <c r="B1082" i="33"/>
  <c r="B1083" i="33"/>
  <c r="B1084" i="33"/>
  <c r="B1085" i="33"/>
  <c r="B1086" i="33"/>
  <c r="B1087" i="33"/>
  <c r="B1088" i="33"/>
  <c r="B1089" i="33"/>
  <c r="B1090" i="33"/>
  <c r="B1091" i="33"/>
  <c r="B1092" i="33"/>
  <c r="B1093" i="33"/>
  <c r="B1094" i="33"/>
  <c r="B1095" i="33"/>
  <c r="B1096" i="33"/>
  <c r="B1097" i="33"/>
  <c r="B1098" i="33"/>
  <c r="B1099" i="33"/>
  <c r="B1100" i="33"/>
  <c r="B1101" i="33"/>
  <c r="B1102" i="33"/>
  <c r="B1103" i="33"/>
  <c r="B1104" i="33"/>
  <c r="B1105" i="33"/>
  <c r="B1106" i="33"/>
  <c r="B1107" i="33"/>
  <c r="B1108" i="33"/>
  <c r="B1109" i="33"/>
  <c r="B1110" i="33"/>
  <c r="B1111" i="33"/>
  <c r="B1112" i="33"/>
  <c r="B1113" i="33"/>
  <c r="B1114" i="33"/>
  <c r="B1115" i="33"/>
  <c r="B1116" i="33"/>
  <c r="B1117" i="33"/>
  <c r="B1118" i="33"/>
  <c r="B1119" i="33"/>
  <c r="B1120" i="33"/>
  <c r="B1121" i="33"/>
  <c r="B1122" i="33"/>
  <c r="B1123" i="33"/>
  <c r="B1124" i="33"/>
  <c r="B1125" i="33"/>
  <c r="B1126" i="33"/>
  <c r="B1127" i="33"/>
  <c r="B1128" i="33"/>
  <c r="B1129" i="33"/>
  <c r="B1130" i="33"/>
  <c r="B1131" i="33"/>
  <c r="B1132" i="33"/>
  <c r="B1133" i="33"/>
  <c r="B1134" i="33"/>
  <c r="B1135" i="33"/>
  <c r="B1136" i="33"/>
  <c r="B1137" i="33"/>
  <c r="B1138" i="33"/>
  <c r="B1139" i="33"/>
  <c r="B1140" i="33"/>
  <c r="B1141" i="33"/>
  <c r="B1142" i="33"/>
  <c r="B1143" i="33"/>
  <c r="B1144" i="33"/>
  <c r="B1145" i="33"/>
  <c r="B1146" i="33"/>
  <c r="B1147" i="33"/>
  <c r="B1148" i="33"/>
  <c r="B1149" i="33"/>
  <c r="B1150" i="33"/>
  <c r="B1151" i="33"/>
  <c r="B1152" i="33"/>
  <c r="B1153" i="33"/>
  <c r="B1154" i="33"/>
  <c r="B1155" i="33"/>
  <c r="C1155" i="33" s="1"/>
  <c r="B1156" i="33"/>
  <c r="C1156" i="33" s="1"/>
  <c r="B1157" i="33"/>
  <c r="B1158" i="33"/>
  <c r="B1159" i="33"/>
  <c r="B1160" i="33"/>
  <c r="B1161" i="33"/>
  <c r="B1162" i="33"/>
  <c r="B1163" i="33"/>
  <c r="C1163" i="33" s="1"/>
  <c r="B1164" i="33"/>
  <c r="C1164" i="33" s="1"/>
  <c r="B11" i="33"/>
  <c r="B12" i="33"/>
  <c r="B13" i="33"/>
  <c r="B14" i="33"/>
  <c r="B15" i="33"/>
  <c r="B16" i="33"/>
  <c r="B17" i="33"/>
  <c r="B18" i="33"/>
  <c r="B19" i="33"/>
  <c r="B20" i="33"/>
  <c r="B21" i="33"/>
  <c r="B22" i="33"/>
  <c r="B23" i="33"/>
  <c r="B24" i="33"/>
  <c r="C1149" i="33"/>
  <c r="C1150" i="33"/>
  <c r="C1151" i="33"/>
  <c r="C1152" i="33"/>
  <c r="C1153" i="33"/>
  <c r="C1154" i="33"/>
  <c r="C1157" i="33"/>
  <c r="C1158" i="33"/>
  <c r="C1159" i="33"/>
  <c r="C1160" i="33"/>
  <c r="C1161" i="33"/>
  <c r="C1162" i="33"/>
  <c r="C1165" i="33"/>
  <c r="C1166" i="33"/>
  <c r="C1167" i="33"/>
  <c r="C1172" i="33"/>
  <c r="C1173" i="33"/>
  <c r="C1174" i="33"/>
  <c r="C1175" i="33"/>
  <c r="C1180" i="33"/>
  <c r="C1181" i="33"/>
  <c r="C1182" i="33"/>
  <c r="C1183" i="33"/>
  <c r="C1188" i="33"/>
  <c r="C1189" i="33"/>
  <c r="C1190" i="33"/>
  <c r="C1191" i="33"/>
  <c r="C1196" i="33"/>
  <c r="C1197" i="33"/>
  <c r="C1198" i="33"/>
  <c r="C1199" i="33"/>
  <c r="C1204" i="33"/>
  <c r="C1205" i="33"/>
  <c r="C1206" i="33"/>
  <c r="C1207" i="33"/>
  <c r="C1212" i="33"/>
  <c r="C1213" i="33"/>
  <c r="C1214" i="33"/>
  <c r="C1215" i="33"/>
  <c r="C1220" i="33"/>
  <c r="C1221" i="33"/>
  <c r="B10" i="3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97" i="33"/>
  <c r="A198" i="33"/>
  <c r="A199" i="33"/>
  <c r="A200" i="33"/>
  <c r="A201" i="33"/>
  <c r="A202" i="33"/>
  <c r="A203" i="33"/>
  <c r="A204" i="33"/>
  <c r="A205" i="33"/>
  <c r="A206" i="33"/>
  <c r="A207" i="33"/>
  <c r="A208" i="33"/>
  <c r="A209" i="33"/>
  <c r="A210" i="33"/>
  <c r="A211" i="33"/>
  <c r="A212" i="33"/>
  <c r="A213" i="33"/>
  <c r="A214" i="33"/>
  <c r="A215" i="33"/>
  <c r="A216" i="33"/>
  <c r="A217" i="33"/>
  <c r="A218" i="33"/>
  <c r="A219" i="33"/>
  <c r="A220" i="33"/>
  <c r="A221" i="33"/>
  <c r="A222" i="33"/>
  <c r="A223" i="33"/>
  <c r="A224" i="33"/>
  <c r="A225" i="33"/>
  <c r="A226" i="33"/>
  <c r="A227" i="33"/>
  <c r="A228" i="33"/>
  <c r="A229" i="33"/>
  <c r="A230" i="33"/>
  <c r="A231" i="33"/>
  <c r="A232" i="33"/>
  <c r="A233" i="33"/>
  <c r="A234" i="33"/>
  <c r="A235" i="33"/>
  <c r="A236" i="33"/>
  <c r="A237" i="33"/>
  <c r="A238" i="33"/>
  <c r="A239" i="33"/>
  <c r="A240" i="33"/>
  <c r="A241" i="33"/>
  <c r="A242" i="33"/>
  <c r="A243" i="33"/>
  <c r="A244" i="33"/>
  <c r="A245" i="33"/>
  <c r="A246" i="33"/>
  <c r="A247" i="33"/>
  <c r="A248" i="33"/>
  <c r="A249" i="33"/>
  <c r="A250" i="33"/>
  <c r="A251" i="33"/>
  <c r="A252" i="33"/>
  <c r="A253" i="33"/>
  <c r="A254" i="33"/>
  <c r="A255" i="33"/>
  <c r="A256" i="33"/>
  <c r="A257" i="33"/>
  <c r="A258" i="33"/>
  <c r="A259" i="33"/>
  <c r="A260" i="33"/>
  <c r="A261" i="33"/>
  <c r="A262" i="33"/>
  <c r="A263" i="33"/>
  <c r="A264" i="33"/>
  <c r="A265" i="33"/>
  <c r="A266" i="33"/>
  <c r="A267" i="33"/>
  <c r="A268" i="33"/>
  <c r="A269" i="33"/>
  <c r="A270" i="33"/>
  <c r="A271" i="33"/>
  <c r="A272" i="33"/>
  <c r="A273" i="33"/>
  <c r="A274" i="33"/>
  <c r="A275" i="33"/>
  <c r="A276" i="33"/>
  <c r="A277" i="33"/>
  <c r="A278" i="33"/>
  <c r="A279" i="33"/>
  <c r="A280" i="33"/>
  <c r="A281" i="33"/>
  <c r="A282" i="33"/>
  <c r="A283" i="33"/>
  <c r="A284" i="33"/>
  <c r="A285" i="33"/>
  <c r="A286" i="33"/>
  <c r="A287" i="33"/>
  <c r="A288" i="33"/>
  <c r="A289" i="33"/>
  <c r="A290" i="33"/>
  <c r="A291" i="33"/>
  <c r="A292" i="33"/>
  <c r="A293" i="33"/>
  <c r="A294" i="33"/>
  <c r="A295" i="33"/>
  <c r="A296" i="33"/>
  <c r="A297" i="33"/>
  <c r="A298" i="33"/>
  <c r="A299" i="33"/>
  <c r="A300" i="33"/>
  <c r="A301" i="33"/>
  <c r="A302" i="33"/>
  <c r="A303" i="33"/>
  <c r="A304" i="33"/>
  <c r="A305" i="33"/>
  <c r="A306" i="33"/>
  <c r="A307" i="33"/>
  <c r="A308" i="33"/>
  <c r="A309" i="33"/>
  <c r="A310" i="33"/>
  <c r="A311" i="33"/>
  <c r="A312" i="33"/>
  <c r="A313" i="33"/>
  <c r="A314" i="33"/>
  <c r="A315" i="33"/>
  <c r="A316" i="33"/>
  <c r="A317" i="33"/>
  <c r="A318" i="33"/>
  <c r="A319" i="33"/>
  <c r="A320" i="33"/>
  <c r="A321" i="33"/>
  <c r="A322" i="33"/>
  <c r="A323" i="33"/>
  <c r="A324" i="33"/>
  <c r="A325" i="33"/>
  <c r="A326" i="33"/>
  <c r="A327" i="33"/>
  <c r="A328" i="33"/>
  <c r="A329" i="33"/>
  <c r="A330" i="33"/>
  <c r="A331" i="33"/>
  <c r="A332" i="33"/>
  <c r="A333" i="33"/>
  <c r="A334" i="33"/>
  <c r="A335" i="33"/>
  <c r="A336" i="33"/>
  <c r="A337" i="33"/>
  <c r="A338" i="33"/>
  <c r="A339" i="33"/>
  <c r="A340" i="33"/>
  <c r="A341" i="33"/>
  <c r="A342" i="33"/>
  <c r="A343" i="33"/>
  <c r="A344" i="33"/>
  <c r="A345" i="33"/>
  <c r="A346" i="33"/>
  <c r="A347" i="33"/>
  <c r="A348" i="33"/>
  <c r="A349" i="33"/>
  <c r="A350" i="33"/>
  <c r="A351" i="33"/>
  <c r="A352" i="33"/>
  <c r="A353" i="33"/>
  <c r="A354" i="33"/>
  <c r="A355" i="33"/>
  <c r="A356" i="33"/>
  <c r="A357" i="33"/>
  <c r="A358" i="33"/>
  <c r="A359" i="33"/>
  <c r="A360" i="33"/>
  <c r="A361" i="33"/>
  <c r="A362" i="33"/>
  <c r="A363" i="33"/>
  <c r="A364" i="33"/>
  <c r="A365" i="33"/>
  <c r="A366" i="33"/>
  <c r="A367" i="33"/>
  <c r="A368" i="33"/>
  <c r="A369" i="33"/>
  <c r="A370" i="33"/>
  <c r="A371" i="33"/>
  <c r="A372" i="33"/>
  <c r="A373" i="33"/>
  <c r="A374" i="33"/>
  <c r="A375" i="33"/>
  <c r="A376" i="33"/>
  <c r="A377" i="33"/>
  <c r="A378" i="33"/>
  <c r="A379" i="33"/>
  <c r="A380" i="33"/>
  <c r="A381" i="33"/>
  <c r="A382" i="33"/>
  <c r="A383" i="33"/>
  <c r="A384" i="33"/>
  <c r="A385" i="33"/>
  <c r="A386" i="33"/>
  <c r="A387" i="33"/>
  <c r="A388" i="33"/>
  <c r="A389" i="33"/>
  <c r="A390" i="33"/>
  <c r="A391" i="33"/>
  <c r="A392" i="33"/>
  <c r="A393" i="33"/>
  <c r="A394" i="33"/>
  <c r="A395" i="33"/>
  <c r="A396" i="33"/>
  <c r="A397" i="33"/>
  <c r="A398" i="33"/>
  <c r="A399" i="33"/>
  <c r="A400" i="33"/>
  <c r="A401" i="33"/>
  <c r="A402" i="33"/>
  <c r="A403" i="33"/>
  <c r="A404" i="33"/>
  <c r="A405" i="33"/>
  <c r="A406" i="33"/>
  <c r="A407" i="33"/>
  <c r="A408" i="33"/>
  <c r="A409" i="33"/>
  <c r="A410" i="33"/>
  <c r="A411" i="33"/>
  <c r="A412" i="33"/>
  <c r="A413" i="33"/>
  <c r="A414" i="33"/>
  <c r="A415" i="33"/>
  <c r="A416" i="33"/>
  <c r="A417" i="33"/>
  <c r="A418" i="33"/>
  <c r="A419" i="33"/>
  <c r="A420" i="33"/>
  <c r="A421" i="33"/>
  <c r="A422" i="33"/>
  <c r="A423" i="33"/>
  <c r="A424" i="33"/>
  <c r="A425" i="33"/>
  <c r="A426" i="33"/>
  <c r="A427" i="33"/>
  <c r="A428" i="33"/>
  <c r="A429" i="33"/>
  <c r="A430" i="33"/>
  <c r="A431" i="33"/>
  <c r="A432" i="33"/>
  <c r="A433" i="33"/>
  <c r="A434" i="33"/>
  <c r="A435" i="33"/>
  <c r="A436" i="33"/>
  <c r="A437" i="33"/>
  <c r="A438" i="33"/>
  <c r="A439" i="33"/>
  <c r="A440" i="33"/>
  <c r="A441" i="33"/>
  <c r="A442" i="33"/>
  <c r="A443" i="33"/>
  <c r="A444" i="33"/>
  <c r="A445" i="33"/>
  <c r="A446" i="33"/>
  <c r="A447" i="33"/>
  <c r="A448" i="33"/>
  <c r="A449" i="33"/>
  <c r="A450" i="33"/>
  <c r="A451" i="33"/>
  <c r="A452" i="33"/>
  <c r="A453" i="33"/>
  <c r="A454" i="33"/>
  <c r="A455" i="33"/>
  <c r="A456" i="33"/>
  <c r="A457" i="33"/>
  <c r="A458" i="33"/>
  <c r="A459" i="33"/>
  <c r="A460" i="33"/>
  <c r="A461" i="33"/>
  <c r="A462" i="33"/>
  <c r="A463" i="33"/>
  <c r="A464" i="33"/>
  <c r="A465" i="33"/>
  <c r="A466" i="33"/>
  <c r="A467" i="33"/>
  <c r="A468" i="33"/>
  <c r="A469" i="33"/>
  <c r="A470" i="33"/>
  <c r="A471" i="33"/>
  <c r="A472" i="33"/>
  <c r="A473" i="33"/>
  <c r="A474" i="33"/>
  <c r="A475" i="33"/>
  <c r="A476" i="33"/>
  <c r="A477" i="33"/>
  <c r="A478" i="33"/>
  <c r="A479" i="33"/>
  <c r="A480" i="33"/>
  <c r="A481" i="33"/>
  <c r="A482" i="33"/>
  <c r="A483" i="33"/>
  <c r="A484" i="33"/>
  <c r="A485" i="33"/>
  <c r="A486" i="33"/>
  <c r="A487" i="33"/>
  <c r="A488" i="33"/>
  <c r="A489" i="33"/>
  <c r="A490" i="33"/>
  <c r="A491" i="33"/>
  <c r="A492" i="33"/>
  <c r="A493" i="33"/>
  <c r="A494" i="33"/>
  <c r="A495" i="33"/>
  <c r="A496" i="33"/>
  <c r="A497" i="33"/>
  <c r="A498" i="33"/>
  <c r="A499" i="33"/>
  <c r="A500" i="33"/>
  <c r="A501" i="33"/>
  <c r="A502" i="33"/>
  <c r="A503" i="33"/>
  <c r="A504" i="33"/>
  <c r="A505" i="33"/>
  <c r="A506" i="33"/>
  <c r="A507" i="33"/>
  <c r="A508" i="33"/>
  <c r="A509" i="33"/>
  <c r="A510" i="33"/>
  <c r="A511" i="33"/>
  <c r="A512" i="33"/>
  <c r="A513" i="33"/>
  <c r="A514" i="33"/>
  <c r="A515" i="33"/>
  <c r="A516" i="33"/>
  <c r="A517" i="33"/>
  <c r="A518" i="33"/>
  <c r="A519" i="33"/>
  <c r="A520" i="33"/>
  <c r="A521" i="33"/>
  <c r="A522" i="33"/>
  <c r="A523" i="33"/>
  <c r="A524" i="33"/>
  <c r="A525" i="33"/>
  <c r="A526" i="33"/>
  <c r="A527" i="33"/>
  <c r="A528" i="33"/>
  <c r="A529" i="33"/>
  <c r="A530" i="33"/>
  <c r="A531" i="33"/>
  <c r="A532" i="33"/>
  <c r="A533" i="33"/>
  <c r="A534" i="33"/>
  <c r="A535" i="33"/>
  <c r="A536" i="33"/>
  <c r="A537" i="33"/>
  <c r="A538" i="33"/>
  <c r="A539" i="33"/>
  <c r="A540" i="33"/>
  <c r="A541" i="33"/>
  <c r="A542" i="33"/>
  <c r="A543" i="33"/>
  <c r="A544" i="33"/>
  <c r="A545" i="33"/>
  <c r="A546" i="33"/>
  <c r="A547" i="33"/>
  <c r="A548" i="33"/>
  <c r="A549" i="33"/>
  <c r="A550" i="33"/>
  <c r="A551" i="33"/>
  <c r="A552" i="33"/>
  <c r="A553" i="33"/>
  <c r="A554" i="33"/>
  <c r="A555" i="33"/>
  <c r="A556" i="33"/>
  <c r="A557" i="33"/>
  <c r="A558" i="33"/>
  <c r="A559" i="33"/>
  <c r="A560" i="33"/>
  <c r="A561" i="33"/>
  <c r="A562" i="33"/>
  <c r="A563" i="33"/>
  <c r="A564" i="33"/>
  <c r="A565" i="33"/>
  <c r="A566" i="33"/>
  <c r="A567" i="33"/>
  <c r="A568" i="33"/>
  <c r="A569" i="33"/>
  <c r="A570" i="33"/>
  <c r="A571" i="33"/>
  <c r="A572" i="33"/>
  <c r="A573" i="33"/>
  <c r="A574" i="33"/>
  <c r="A575" i="33"/>
  <c r="A576" i="33"/>
  <c r="A577" i="33"/>
  <c r="A578" i="33"/>
  <c r="A579" i="33"/>
  <c r="A580" i="33"/>
  <c r="A581" i="33"/>
  <c r="A582" i="33"/>
  <c r="A583" i="33"/>
  <c r="A584" i="33"/>
  <c r="A585" i="33"/>
  <c r="A586" i="33"/>
  <c r="A587" i="33"/>
  <c r="A588" i="33"/>
  <c r="A589" i="33"/>
  <c r="A590" i="33"/>
  <c r="A591" i="33"/>
  <c r="A592" i="33"/>
  <c r="A593" i="33"/>
  <c r="A594" i="33"/>
  <c r="A595" i="33"/>
  <c r="A596" i="33"/>
  <c r="A597" i="33"/>
  <c r="A598" i="33"/>
  <c r="A599" i="33"/>
  <c r="A600" i="33"/>
  <c r="A601" i="33"/>
  <c r="A602" i="33"/>
  <c r="A603" i="33"/>
  <c r="A604" i="33"/>
  <c r="A605" i="33"/>
  <c r="A606" i="33"/>
  <c r="A607" i="33"/>
  <c r="A608" i="33"/>
  <c r="A609" i="33"/>
  <c r="A610" i="33"/>
  <c r="A611" i="33"/>
  <c r="A612" i="33"/>
  <c r="A613" i="33"/>
  <c r="A614" i="33"/>
  <c r="A615" i="33"/>
  <c r="A616" i="33"/>
  <c r="A617" i="33"/>
  <c r="A618" i="33"/>
  <c r="A619" i="33"/>
  <c r="A620" i="33"/>
  <c r="A621" i="33"/>
  <c r="A622" i="33"/>
  <c r="A623" i="33"/>
  <c r="A624" i="33"/>
  <c r="A625" i="33"/>
  <c r="A626" i="33"/>
  <c r="A627" i="33"/>
  <c r="A628" i="33"/>
  <c r="A629" i="33"/>
  <c r="A630" i="33"/>
  <c r="A631" i="33"/>
  <c r="A632" i="33"/>
  <c r="A633" i="33"/>
  <c r="A634" i="33"/>
  <c r="A635" i="33"/>
  <c r="A636" i="33"/>
  <c r="A637" i="33"/>
  <c r="A638" i="33"/>
  <c r="A639" i="33"/>
  <c r="A640" i="33"/>
  <c r="A641" i="33"/>
  <c r="A642" i="33"/>
  <c r="A643" i="33"/>
  <c r="A644" i="33"/>
  <c r="A645" i="33"/>
  <c r="A646" i="33"/>
  <c r="A647" i="33"/>
  <c r="A648" i="33"/>
  <c r="A649" i="33"/>
  <c r="A650" i="33"/>
  <c r="A651" i="33"/>
  <c r="A652" i="33"/>
  <c r="A653" i="33"/>
  <c r="A654" i="33"/>
  <c r="A655" i="33"/>
  <c r="A656" i="33"/>
  <c r="A657" i="33"/>
  <c r="A658" i="33"/>
  <c r="A659" i="33"/>
  <c r="A660" i="33"/>
  <c r="A661" i="33"/>
  <c r="A662" i="33"/>
  <c r="A663" i="33"/>
  <c r="A664" i="33"/>
  <c r="A665" i="33"/>
  <c r="A666" i="33"/>
  <c r="A667" i="33"/>
  <c r="A668" i="33"/>
  <c r="A669" i="33"/>
  <c r="A670" i="33"/>
  <c r="A671" i="33"/>
  <c r="A672" i="33"/>
  <c r="A673" i="33"/>
  <c r="A674" i="33"/>
  <c r="A675" i="33"/>
  <c r="A676" i="33"/>
  <c r="A677" i="33"/>
  <c r="A678" i="33"/>
  <c r="A679" i="33"/>
  <c r="A680" i="33"/>
  <c r="A681" i="33"/>
  <c r="A682" i="33"/>
  <c r="A683" i="33"/>
  <c r="A684" i="33"/>
  <c r="A685" i="33"/>
  <c r="A686" i="33"/>
  <c r="A687" i="33"/>
  <c r="A688" i="33"/>
  <c r="A689" i="33"/>
  <c r="A690" i="33"/>
  <c r="A691" i="33"/>
  <c r="A692" i="33"/>
  <c r="A693" i="33"/>
  <c r="A694" i="33"/>
  <c r="A695" i="33"/>
  <c r="A696" i="33"/>
  <c r="A697" i="33"/>
  <c r="A698" i="33"/>
  <c r="A699" i="33"/>
  <c r="A700" i="33"/>
  <c r="A701" i="33"/>
  <c r="A702" i="33"/>
  <c r="A703" i="33"/>
  <c r="A704" i="33"/>
  <c r="A705" i="33"/>
  <c r="A706" i="33"/>
  <c r="A707" i="33"/>
  <c r="A708" i="33"/>
  <c r="A709" i="33"/>
  <c r="A710" i="33"/>
  <c r="A711" i="33"/>
  <c r="A712" i="33"/>
  <c r="A713" i="33"/>
  <c r="A714" i="33"/>
  <c r="A715" i="33"/>
  <c r="A716" i="33"/>
  <c r="A717" i="33"/>
  <c r="A718" i="33"/>
  <c r="A719" i="33"/>
  <c r="A720" i="33"/>
  <c r="A721" i="33"/>
  <c r="A722" i="33"/>
  <c r="A723" i="33"/>
  <c r="A724" i="33"/>
  <c r="A725" i="33"/>
  <c r="A726" i="33"/>
  <c r="A727" i="33"/>
  <c r="A728" i="33"/>
  <c r="A729" i="33"/>
  <c r="A730" i="33"/>
  <c r="A731" i="33"/>
  <c r="A732" i="33"/>
  <c r="A733" i="33"/>
  <c r="A734" i="33"/>
  <c r="A735" i="33"/>
  <c r="A736" i="33"/>
  <c r="A737" i="33"/>
  <c r="A738" i="33"/>
  <c r="A739" i="33"/>
  <c r="A740" i="33"/>
  <c r="A741" i="33"/>
  <c r="A742" i="33"/>
  <c r="A743" i="33"/>
  <c r="A744" i="33"/>
  <c r="A745" i="33"/>
  <c r="A746" i="33"/>
  <c r="A747" i="33"/>
  <c r="A748" i="33"/>
  <c r="A749" i="33"/>
  <c r="A750" i="33"/>
  <c r="A751" i="33"/>
  <c r="A752" i="33"/>
  <c r="A753" i="33"/>
  <c r="A754" i="33"/>
  <c r="A755" i="33"/>
  <c r="A756" i="33"/>
  <c r="A757" i="33"/>
  <c r="A758" i="33"/>
  <c r="A759" i="33"/>
  <c r="A760" i="33"/>
  <c r="A761" i="33"/>
  <c r="A762" i="33"/>
  <c r="A763" i="33"/>
  <c r="A764" i="33"/>
  <c r="A765" i="33"/>
  <c r="A766" i="33"/>
  <c r="A767" i="33"/>
  <c r="A768" i="33"/>
  <c r="A769" i="33"/>
  <c r="A770" i="33"/>
  <c r="A771" i="33"/>
  <c r="A772" i="33"/>
  <c r="A773" i="33"/>
  <c r="A774" i="33"/>
  <c r="A775" i="33"/>
  <c r="A776" i="33"/>
  <c r="A777" i="33"/>
  <c r="A778" i="33"/>
  <c r="A779" i="33"/>
  <c r="A780" i="33"/>
  <c r="A781" i="33"/>
  <c r="A782" i="33"/>
  <c r="A783" i="33"/>
  <c r="A784" i="33"/>
  <c r="A785" i="33"/>
  <c r="A786" i="33"/>
  <c r="A787" i="33"/>
  <c r="A788" i="33"/>
  <c r="A789" i="33"/>
  <c r="A790" i="33"/>
  <c r="A791" i="33"/>
  <c r="A792" i="33"/>
  <c r="A793" i="33"/>
  <c r="A794" i="33"/>
  <c r="A795" i="33"/>
  <c r="A796" i="33"/>
  <c r="A797" i="33"/>
  <c r="A798" i="33"/>
  <c r="A799" i="33"/>
  <c r="A800" i="33"/>
  <c r="A801" i="33"/>
  <c r="A802" i="33"/>
  <c r="A803" i="33"/>
  <c r="A804" i="33"/>
  <c r="A805" i="33"/>
  <c r="A806" i="33"/>
  <c r="A807" i="33"/>
  <c r="A808" i="33"/>
  <c r="A809" i="33"/>
  <c r="A810" i="33"/>
  <c r="A811" i="33"/>
  <c r="A812" i="33"/>
  <c r="A813" i="33"/>
  <c r="A814" i="33"/>
  <c r="A815" i="33"/>
  <c r="A816" i="33"/>
  <c r="A817" i="33"/>
  <c r="A818" i="33"/>
  <c r="A819" i="33"/>
  <c r="A820" i="33"/>
  <c r="A821" i="33"/>
  <c r="A822" i="33"/>
  <c r="A823" i="33"/>
  <c r="A824" i="33"/>
  <c r="A825" i="33"/>
  <c r="A826" i="33"/>
  <c r="A827" i="33"/>
  <c r="A828" i="33"/>
  <c r="A829" i="33"/>
  <c r="C829" i="33" s="1"/>
  <c r="A830" i="33"/>
  <c r="A831" i="33"/>
  <c r="A832" i="33"/>
  <c r="A833" i="33"/>
  <c r="A834" i="33"/>
  <c r="A835" i="33"/>
  <c r="A836" i="33"/>
  <c r="A837" i="33"/>
  <c r="C837" i="33" s="1"/>
  <c r="A838" i="33"/>
  <c r="A839" i="33"/>
  <c r="A840" i="33"/>
  <c r="A841" i="33"/>
  <c r="A842" i="33"/>
  <c r="A843" i="33"/>
  <c r="A844" i="33"/>
  <c r="A845" i="33"/>
  <c r="C845" i="33" s="1"/>
  <c r="A846" i="33"/>
  <c r="A847" i="33"/>
  <c r="A848" i="33"/>
  <c r="A849" i="33"/>
  <c r="A850" i="33"/>
  <c r="A851" i="33"/>
  <c r="A852" i="33"/>
  <c r="A853" i="33"/>
  <c r="C853" i="33" s="1"/>
  <c r="A854" i="33"/>
  <c r="A855" i="33"/>
  <c r="A856" i="33"/>
  <c r="A857" i="33"/>
  <c r="A858" i="33"/>
  <c r="A859" i="33"/>
  <c r="A860" i="33"/>
  <c r="A861" i="33"/>
  <c r="C861" i="33" s="1"/>
  <c r="A862" i="33"/>
  <c r="A863" i="33"/>
  <c r="A864" i="33"/>
  <c r="A865" i="33"/>
  <c r="A866" i="33"/>
  <c r="A867" i="33"/>
  <c r="A868" i="33"/>
  <c r="A869" i="33"/>
  <c r="A870" i="33"/>
  <c r="A871" i="33"/>
  <c r="A872" i="33"/>
  <c r="A873" i="33"/>
  <c r="A874" i="33"/>
  <c r="A875" i="33"/>
  <c r="A876" i="33"/>
  <c r="A877" i="33"/>
  <c r="A878" i="33"/>
  <c r="A879" i="33"/>
  <c r="A880" i="33"/>
  <c r="A881" i="33"/>
  <c r="C881" i="33" s="1"/>
  <c r="A882" i="33"/>
  <c r="A883" i="33"/>
  <c r="A884" i="33"/>
  <c r="A885" i="33"/>
  <c r="A886" i="33"/>
  <c r="A887" i="33"/>
  <c r="A888" i="33"/>
  <c r="A889" i="33"/>
  <c r="A890" i="33"/>
  <c r="A891" i="33"/>
  <c r="A892" i="33"/>
  <c r="A893" i="33"/>
  <c r="A894" i="33"/>
  <c r="A895" i="33"/>
  <c r="A896" i="33"/>
  <c r="A897" i="33"/>
  <c r="A898" i="33"/>
  <c r="A899" i="33"/>
  <c r="A900" i="33"/>
  <c r="A901" i="33"/>
  <c r="A902" i="33"/>
  <c r="A903" i="33"/>
  <c r="A904" i="33"/>
  <c r="A905" i="33"/>
  <c r="A906" i="33"/>
  <c r="A907" i="33"/>
  <c r="A908" i="33"/>
  <c r="A909" i="33"/>
  <c r="A910" i="33"/>
  <c r="A911" i="33"/>
  <c r="A912" i="33"/>
  <c r="A913" i="33"/>
  <c r="A914" i="33"/>
  <c r="A915" i="33"/>
  <c r="A916" i="33"/>
  <c r="A917" i="33"/>
  <c r="A918" i="33"/>
  <c r="A919" i="33"/>
  <c r="A920" i="33"/>
  <c r="A921" i="33"/>
  <c r="A922" i="33"/>
  <c r="A923" i="33"/>
  <c r="A924" i="33"/>
  <c r="A925" i="33"/>
  <c r="C925" i="33" s="1"/>
  <c r="A926" i="33"/>
  <c r="A927" i="33"/>
  <c r="A928" i="33"/>
  <c r="A929" i="33"/>
  <c r="A930" i="33"/>
  <c r="A931" i="33"/>
  <c r="A932" i="33"/>
  <c r="A933" i="33"/>
  <c r="A934" i="33"/>
  <c r="A935" i="33"/>
  <c r="A936" i="33"/>
  <c r="A937" i="33"/>
  <c r="A938" i="33"/>
  <c r="A939" i="33"/>
  <c r="A940" i="33"/>
  <c r="A941" i="33"/>
  <c r="A942" i="33"/>
  <c r="A943" i="33"/>
  <c r="A944" i="33"/>
  <c r="A945" i="33"/>
  <c r="C945" i="33" s="1"/>
  <c r="A946" i="33"/>
  <c r="A947" i="33"/>
  <c r="A948" i="33"/>
  <c r="A949" i="33"/>
  <c r="A950" i="33"/>
  <c r="A951" i="33"/>
  <c r="A952" i="33"/>
  <c r="A953" i="33"/>
  <c r="A954" i="33"/>
  <c r="A955" i="33"/>
  <c r="A956" i="33"/>
  <c r="A957" i="33"/>
  <c r="A958" i="33"/>
  <c r="A959" i="33"/>
  <c r="A960" i="33"/>
  <c r="A961" i="33"/>
  <c r="A962" i="33"/>
  <c r="A963" i="33"/>
  <c r="A964" i="33"/>
  <c r="A965" i="33"/>
  <c r="A966" i="33"/>
  <c r="A967" i="33"/>
  <c r="A968" i="33"/>
  <c r="A969" i="33"/>
  <c r="A970" i="33"/>
  <c r="A971" i="33"/>
  <c r="A972" i="33"/>
  <c r="A973" i="33"/>
  <c r="A974" i="33"/>
  <c r="A975" i="33"/>
  <c r="A976" i="33"/>
  <c r="A977" i="33"/>
  <c r="A978" i="33"/>
  <c r="A979" i="33"/>
  <c r="A980" i="33"/>
  <c r="A981" i="33"/>
  <c r="C981" i="33" s="1"/>
  <c r="A982" i="33"/>
  <c r="A983" i="33"/>
  <c r="A984" i="33"/>
  <c r="A985" i="33"/>
  <c r="A986" i="33"/>
  <c r="A987" i="33"/>
  <c r="A988" i="33"/>
  <c r="A989" i="33"/>
  <c r="A990" i="33"/>
  <c r="A991" i="33"/>
  <c r="A992" i="33"/>
  <c r="A993" i="33"/>
  <c r="A994" i="33"/>
  <c r="A995" i="33"/>
  <c r="A996" i="33"/>
  <c r="A997" i="33"/>
  <c r="A998" i="33"/>
  <c r="A999" i="33"/>
  <c r="A1000" i="33"/>
  <c r="A1001" i="33"/>
  <c r="C1001" i="33" s="1"/>
  <c r="A1002" i="33"/>
  <c r="A1003" i="33"/>
  <c r="A1004" i="33"/>
  <c r="A1005" i="33"/>
  <c r="A1006" i="33"/>
  <c r="A1007" i="33"/>
  <c r="A1008" i="33"/>
  <c r="A1009" i="33"/>
  <c r="A1010" i="33"/>
  <c r="A1011" i="33"/>
  <c r="A1012" i="33"/>
  <c r="A1013" i="33"/>
  <c r="A1014" i="33"/>
  <c r="A1015" i="33"/>
  <c r="A1016" i="33"/>
  <c r="A1017" i="33"/>
  <c r="A1018" i="33"/>
  <c r="A1019" i="33"/>
  <c r="A1020" i="33"/>
  <c r="A1021" i="33"/>
  <c r="A1022" i="33"/>
  <c r="A1023" i="33"/>
  <c r="A1024" i="33"/>
  <c r="A1025" i="33"/>
  <c r="A1026" i="33"/>
  <c r="A1027" i="33"/>
  <c r="A1028" i="33"/>
  <c r="A1029" i="33"/>
  <c r="A1030" i="33"/>
  <c r="A1031" i="33"/>
  <c r="A1032" i="33"/>
  <c r="A1033" i="33"/>
  <c r="A1034" i="33"/>
  <c r="A1035" i="33"/>
  <c r="A1036" i="33"/>
  <c r="A1037" i="33"/>
  <c r="A1038" i="33"/>
  <c r="A1039" i="33"/>
  <c r="A1040" i="33"/>
  <c r="A1041" i="33"/>
  <c r="A1042" i="33"/>
  <c r="A1043" i="33"/>
  <c r="A1044" i="33"/>
  <c r="A1045" i="33"/>
  <c r="A1046" i="33"/>
  <c r="A1047" i="33"/>
  <c r="A1048" i="33"/>
  <c r="A1049" i="33"/>
  <c r="A1050" i="33"/>
  <c r="A1051" i="33"/>
  <c r="A1052" i="33"/>
  <c r="A1053" i="33"/>
  <c r="A1054" i="33"/>
  <c r="A1055" i="33"/>
  <c r="A1056" i="33"/>
  <c r="A1057" i="33"/>
  <c r="A1058" i="33"/>
  <c r="A1059" i="33"/>
  <c r="A1060" i="33"/>
  <c r="A1061" i="33"/>
  <c r="A1062" i="33"/>
  <c r="A1063" i="33"/>
  <c r="A1064" i="33"/>
  <c r="A1065" i="33"/>
  <c r="A1066" i="33"/>
  <c r="A1067" i="33"/>
  <c r="A1068" i="33"/>
  <c r="A1069" i="33"/>
  <c r="A1070" i="33"/>
  <c r="A1071" i="33"/>
  <c r="A1072" i="33"/>
  <c r="A1073" i="33"/>
  <c r="A1074" i="33"/>
  <c r="A1075" i="33"/>
  <c r="A1076" i="33"/>
  <c r="A1077" i="33"/>
  <c r="A1078" i="33"/>
  <c r="A1079" i="33"/>
  <c r="A1080" i="33"/>
  <c r="A1081" i="33"/>
  <c r="A1082" i="33"/>
  <c r="A1083" i="33"/>
  <c r="A1084" i="33"/>
  <c r="A1085" i="33"/>
  <c r="A1086" i="33"/>
  <c r="A1087" i="33"/>
  <c r="A1088" i="33"/>
  <c r="A1089" i="33"/>
  <c r="A1090" i="33"/>
  <c r="A1091" i="33"/>
  <c r="A1092" i="33"/>
  <c r="A1093" i="33"/>
  <c r="A1094" i="33"/>
  <c r="A1095" i="33"/>
  <c r="A1096" i="33"/>
  <c r="A1097" i="33"/>
  <c r="A1098" i="33"/>
  <c r="A1099" i="33"/>
  <c r="A1100" i="33"/>
  <c r="A1101" i="33"/>
  <c r="A1102" i="33"/>
  <c r="A1103" i="33"/>
  <c r="A1104" i="33"/>
  <c r="A1105" i="33"/>
  <c r="A1106" i="33"/>
  <c r="A1107" i="33"/>
  <c r="A1108" i="33"/>
  <c r="A1109" i="33"/>
  <c r="A1110" i="33"/>
  <c r="A1111" i="33"/>
  <c r="A1112" i="33"/>
  <c r="A1113" i="33"/>
  <c r="A1114" i="33"/>
  <c r="A1115" i="33"/>
  <c r="A1116" i="33"/>
  <c r="A1117" i="33"/>
  <c r="A1118" i="33"/>
  <c r="A1119" i="33"/>
  <c r="A1120" i="33"/>
  <c r="A1121" i="33"/>
  <c r="A1122" i="33"/>
  <c r="A1123" i="33"/>
  <c r="A1124" i="33"/>
  <c r="A1125" i="33"/>
  <c r="A1126" i="33"/>
  <c r="A1127" i="33"/>
  <c r="A1128" i="33"/>
  <c r="A1129" i="33"/>
  <c r="A1130" i="33"/>
  <c r="A1131" i="33"/>
  <c r="A1132" i="33"/>
  <c r="A1133" i="33"/>
  <c r="A1134" i="33"/>
  <c r="A1135" i="33"/>
  <c r="A1136" i="33"/>
  <c r="A1137" i="33"/>
  <c r="A1138" i="33"/>
  <c r="A1139" i="33"/>
  <c r="A1140" i="33"/>
  <c r="A1141" i="33"/>
  <c r="A1142" i="33"/>
  <c r="A1143" i="33"/>
  <c r="A1144" i="33"/>
  <c r="A1145" i="33"/>
  <c r="A1146" i="33"/>
  <c r="A1147" i="33"/>
  <c r="A1148" i="33"/>
  <c r="A1149" i="33"/>
  <c r="A1150" i="33"/>
  <c r="A1151" i="33"/>
  <c r="A1152" i="33"/>
  <c r="A1153" i="33"/>
  <c r="A1154" i="33"/>
  <c r="A1155" i="33"/>
  <c r="A1156" i="33"/>
  <c r="A1157" i="33"/>
  <c r="A1158" i="33"/>
  <c r="A1159" i="33"/>
  <c r="A1160" i="33"/>
  <c r="A1161" i="33"/>
  <c r="A1162" i="33"/>
  <c r="A1163" i="33"/>
  <c r="A1164" i="33"/>
  <c r="A1165" i="33"/>
  <c r="A1166" i="33"/>
  <c r="A1167" i="33"/>
  <c r="A1168" i="33"/>
  <c r="A1169" i="33"/>
  <c r="A1170" i="33"/>
  <c r="A1171" i="33"/>
  <c r="A1172" i="33"/>
  <c r="A1173" i="33"/>
  <c r="A1174" i="33"/>
  <c r="A1175" i="33"/>
  <c r="A1176" i="33"/>
  <c r="A1177" i="33"/>
  <c r="A1178" i="33"/>
  <c r="A1179" i="33"/>
  <c r="A1180" i="33"/>
  <c r="A1181" i="33"/>
  <c r="A1182" i="33"/>
  <c r="A1183" i="33"/>
  <c r="A1184" i="33"/>
  <c r="A1185" i="33"/>
  <c r="A1186" i="33"/>
  <c r="A1187" i="33"/>
  <c r="A1188" i="33"/>
  <c r="A1189" i="33"/>
  <c r="A1190" i="33"/>
  <c r="A1191" i="33"/>
  <c r="A1192" i="33"/>
  <c r="A1193" i="33"/>
  <c r="A1194" i="33"/>
  <c r="A1195" i="33"/>
  <c r="A1196" i="33"/>
  <c r="A1197" i="33"/>
  <c r="A1198" i="33"/>
  <c r="A1199" i="33"/>
  <c r="A1200" i="33"/>
  <c r="A1201" i="33"/>
  <c r="A1202" i="33"/>
  <c r="A1203" i="33"/>
  <c r="A1204" i="33"/>
  <c r="A1205" i="33"/>
  <c r="A1206" i="33"/>
  <c r="A1207" i="33"/>
  <c r="A1208" i="33"/>
  <c r="A1209" i="33"/>
  <c r="A1210" i="33"/>
  <c r="A1211" i="33"/>
  <c r="A1212" i="33"/>
  <c r="A1213" i="33"/>
  <c r="A1214" i="33"/>
  <c r="A1215" i="33"/>
  <c r="A1216" i="33"/>
  <c r="A1217" i="33"/>
  <c r="A1218" i="33"/>
  <c r="A1219" i="33"/>
  <c r="A1220" i="33"/>
  <c r="A1221" i="33"/>
  <c r="C1149" i="12"/>
  <c r="C1150" i="12"/>
  <c r="C1151" i="12"/>
  <c r="C1152" i="12"/>
  <c r="C1153" i="12"/>
  <c r="C1154" i="12"/>
  <c r="C1155" i="12"/>
  <c r="C1156" i="12"/>
  <c r="C1157" i="12"/>
  <c r="C1158" i="12"/>
  <c r="C1159" i="12"/>
  <c r="C1160" i="12"/>
  <c r="C1161" i="12"/>
  <c r="C1162" i="12"/>
  <c r="C1163" i="12"/>
  <c r="C1164" i="12"/>
  <c r="C1165" i="12"/>
  <c r="C1166" i="12"/>
  <c r="C1167" i="12"/>
  <c r="C1168" i="12"/>
  <c r="C1169" i="12"/>
  <c r="C1170" i="12"/>
  <c r="C1171" i="12"/>
  <c r="C1172" i="12"/>
  <c r="C1173" i="12"/>
  <c r="C1174" i="12"/>
  <c r="C1175" i="12"/>
  <c r="C1176" i="12"/>
  <c r="C1177" i="12"/>
  <c r="C1178" i="12"/>
  <c r="C1179" i="12"/>
  <c r="C1180" i="12"/>
  <c r="C1181" i="12"/>
  <c r="C1182" i="12"/>
  <c r="C1183" i="12"/>
  <c r="C1184" i="12"/>
  <c r="C1185" i="12"/>
  <c r="C1186" i="12"/>
  <c r="C1187" i="12"/>
  <c r="C1188" i="12"/>
  <c r="C1189" i="12"/>
  <c r="C1190" i="12"/>
  <c r="C1191" i="12"/>
  <c r="C1192" i="12"/>
  <c r="C1193" i="12"/>
  <c r="C1194" i="12"/>
  <c r="C1195" i="12"/>
  <c r="C1196" i="12"/>
  <c r="C1197" i="12"/>
  <c r="C1198" i="12"/>
  <c r="C1199" i="12"/>
  <c r="C1200" i="12"/>
  <c r="C1201" i="12"/>
  <c r="C1202" i="12"/>
  <c r="C1203" i="12"/>
  <c r="C1204" i="12"/>
  <c r="C1205" i="12"/>
  <c r="C1206" i="12"/>
  <c r="C1207" i="12"/>
  <c r="C1208" i="12"/>
  <c r="C1209" i="12"/>
  <c r="C1210" i="12"/>
  <c r="C1211" i="12"/>
  <c r="C1212" i="12"/>
  <c r="C1213" i="12"/>
  <c r="C1214" i="12"/>
  <c r="C1215" i="12"/>
  <c r="C1216" i="12"/>
  <c r="C1217" i="12"/>
  <c r="C1218" i="12"/>
  <c r="C1219" i="12"/>
  <c r="C1220" i="12"/>
  <c r="C1221" i="12"/>
  <c r="C1222" i="12"/>
  <c r="C1223" i="12"/>
  <c r="C1224" i="12"/>
  <c r="C1225" i="12"/>
  <c r="C1226" i="12"/>
  <c r="C1227" i="12"/>
  <c r="C1228" i="12"/>
  <c r="C1229" i="12"/>
  <c r="C1230" i="12"/>
  <c r="C1231" i="12"/>
  <c r="C1232" i="12"/>
  <c r="C1233" i="12"/>
  <c r="C1234" i="12"/>
  <c r="C1235" i="12"/>
  <c r="C1236" i="12"/>
  <c r="C1237" i="12"/>
  <c r="C1238" i="12"/>
  <c r="C1239" i="12"/>
  <c r="C1240" i="12"/>
  <c r="C1241" i="12"/>
  <c r="C1242" i="12"/>
  <c r="C1243" i="12"/>
  <c r="C1244" i="12"/>
  <c r="C1245" i="12"/>
  <c r="C1246" i="12"/>
  <c r="C1247" i="12"/>
  <c r="C1248" i="12"/>
  <c r="C1249" i="12"/>
  <c r="C1250" i="12"/>
  <c r="C1251" i="12"/>
  <c r="C1252" i="12"/>
  <c r="C1253" i="12"/>
  <c r="C1254" i="12"/>
  <c r="C1255" i="12"/>
  <c r="C1256" i="12"/>
  <c r="C1257" i="12"/>
  <c r="C1258" i="12"/>
  <c r="C1259" i="12"/>
  <c r="C1260" i="12"/>
  <c r="C1261" i="12"/>
  <c r="C1262" i="12"/>
  <c r="C1263" i="12"/>
  <c r="C1264" i="12"/>
  <c r="C1265" i="12"/>
  <c r="C1266" i="12"/>
  <c r="C1267" i="12"/>
  <c r="C1268" i="12"/>
  <c r="C1269" i="12"/>
  <c r="C1270" i="12"/>
  <c r="C1271" i="12"/>
  <c r="C1272" i="12"/>
  <c r="C1273" i="12"/>
  <c r="C1274" i="12"/>
  <c r="C1275" i="12"/>
  <c r="C1276" i="12"/>
  <c r="C1277" i="12"/>
  <c r="C1278" i="12"/>
  <c r="C1279" i="12"/>
  <c r="C1280" i="12"/>
  <c r="C1281" i="12"/>
  <c r="C1282" i="12"/>
  <c r="C1283" i="12"/>
  <c r="C1284" i="12"/>
  <c r="C1285" i="12"/>
  <c r="C1286" i="12"/>
  <c r="C1287" i="12"/>
  <c r="C1288" i="12"/>
  <c r="C1289" i="12"/>
  <c r="C1290" i="12"/>
  <c r="C1291" i="12"/>
  <c r="C1292" i="12"/>
  <c r="C1293" i="12"/>
  <c r="C1294" i="12"/>
  <c r="C1295" i="12"/>
  <c r="C1296" i="12"/>
  <c r="C1297"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33" i="12"/>
  <c r="B334" i="12"/>
  <c r="B335" i="12"/>
  <c r="B336" i="12"/>
  <c r="B337" i="12"/>
  <c r="B338" i="12"/>
  <c r="B339" i="12"/>
  <c r="B340" i="12"/>
  <c r="B341" i="12"/>
  <c r="B342" i="12"/>
  <c r="B343" i="12"/>
  <c r="B344" i="12"/>
  <c r="B345" i="12"/>
  <c r="B346" i="12"/>
  <c r="B347" i="12"/>
  <c r="B348" i="12"/>
  <c r="B349" i="12"/>
  <c r="B350" i="12"/>
  <c r="B351" i="12"/>
  <c r="B352" i="12"/>
  <c r="B353" i="12"/>
  <c r="B354" i="12"/>
  <c r="B355" i="12"/>
  <c r="B356" i="12"/>
  <c r="B357" i="12"/>
  <c r="B358" i="12"/>
  <c r="B359" i="12"/>
  <c r="B360" i="12"/>
  <c r="B361" i="12"/>
  <c r="B362" i="12"/>
  <c r="B363" i="12"/>
  <c r="B364" i="12"/>
  <c r="B365" i="12"/>
  <c r="B366" i="12"/>
  <c r="B367" i="12"/>
  <c r="B368" i="12"/>
  <c r="B369" i="12"/>
  <c r="B370" i="12"/>
  <c r="B371" i="12"/>
  <c r="B372" i="12"/>
  <c r="B373" i="12"/>
  <c r="B374" i="12"/>
  <c r="B375" i="12"/>
  <c r="B376" i="12"/>
  <c r="B377" i="12"/>
  <c r="B378" i="12"/>
  <c r="B379" i="12"/>
  <c r="B380" i="12"/>
  <c r="B381" i="12"/>
  <c r="B382" i="12"/>
  <c r="B383" i="12"/>
  <c r="B384" i="12"/>
  <c r="B385" i="12"/>
  <c r="B386" i="12"/>
  <c r="B387" i="12"/>
  <c r="B388" i="12"/>
  <c r="B389" i="12"/>
  <c r="B390" i="12"/>
  <c r="B391" i="12"/>
  <c r="B392" i="12"/>
  <c r="B393" i="12"/>
  <c r="B394" i="12"/>
  <c r="B395" i="12"/>
  <c r="B396" i="12"/>
  <c r="B397" i="12"/>
  <c r="B398" i="12"/>
  <c r="B399" i="12"/>
  <c r="B400" i="12"/>
  <c r="B401" i="12"/>
  <c r="B402" i="12"/>
  <c r="B403" i="12"/>
  <c r="B404" i="12"/>
  <c r="B405" i="12"/>
  <c r="B406" i="12"/>
  <c r="B407" i="12"/>
  <c r="B408" i="12"/>
  <c r="B409" i="12"/>
  <c r="B410" i="12"/>
  <c r="B411" i="12"/>
  <c r="B412" i="12"/>
  <c r="B413" i="12"/>
  <c r="B414" i="12"/>
  <c r="B415" i="12"/>
  <c r="B416" i="12"/>
  <c r="B417" i="12"/>
  <c r="B418" i="12"/>
  <c r="B419" i="12"/>
  <c r="B420" i="12"/>
  <c r="B421" i="12"/>
  <c r="B422" i="12"/>
  <c r="B423" i="12"/>
  <c r="B424" i="12"/>
  <c r="B425" i="12"/>
  <c r="B426" i="12"/>
  <c r="B427" i="12"/>
  <c r="B428" i="12"/>
  <c r="B429" i="12"/>
  <c r="B430" i="12"/>
  <c r="B431" i="12"/>
  <c r="B432" i="12"/>
  <c r="B433" i="12"/>
  <c r="B434" i="12"/>
  <c r="B435" i="12"/>
  <c r="B436" i="12"/>
  <c r="B437" i="12"/>
  <c r="B438" i="12"/>
  <c r="B439" i="12"/>
  <c r="B440" i="12"/>
  <c r="B441" i="12"/>
  <c r="B442" i="12"/>
  <c r="B443" i="12"/>
  <c r="B444" i="12"/>
  <c r="B445" i="12"/>
  <c r="B446" i="12"/>
  <c r="B447" i="12"/>
  <c r="B448" i="12"/>
  <c r="B449" i="12"/>
  <c r="B450" i="12"/>
  <c r="B451" i="12"/>
  <c r="B452" i="12"/>
  <c r="B453" i="12"/>
  <c r="B454" i="12"/>
  <c r="B455" i="12"/>
  <c r="B456" i="12"/>
  <c r="B457" i="12"/>
  <c r="B458" i="12"/>
  <c r="B459" i="12"/>
  <c r="B460" i="12"/>
  <c r="B461" i="12"/>
  <c r="B462" i="12"/>
  <c r="B463" i="12"/>
  <c r="B464" i="12"/>
  <c r="B465" i="12"/>
  <c r="B466" i="12"/>
  <c r="B467" i="12"/>
  <c r="B468" i="12"/>
  <c r="B469" i="12"/>
  <c r="B470" i="12"/>
  <c r="B471" i="12"/>
  <c r="B472" i="12"/>
  <c r="B473" i="12"/>
  <c r="B474" i="12"/>
  <c r="B475" i="12"/>
  <c r="B476" i="12"/>
  <c r="B477" i="12"/>
  <c r="B478" i="12"/>
  <c r="B479" i="12"/>
  <c r="B480" i="12"/>
  <c r="B481" i="12"/>
  <c r="B482" i="12"/>
  <c r="B483" i="12"/>
  <c r="B484" i="12"/>
  <c r="B485" i="12"/>
  <c r="B486" i="12"/>
  <c r="B487" i="12"/>
  <c r="B488" i="12"/>
  <c r="B489" i="12"/>
  <c r="B490" i="12"/>
  <c r="B491" i="12"/>
  <c r="B492" i="12"/>
  <c r="B493" i="12"/>
  <c r="B494" i="12"/>
  <c r="B495" i="12"/>
  <c r="B496" i="12"/>
  <c r="B497" i="12"/>
  <c r="B498" i="12"/>
  <c r="B499" i="12"/>
  <c r="B500" i="12"/>
  <c r="B501" i="12"/>
  <c r="B502" i="12"/>
  <c r="B503" i="12"/>
  <c r="B504" i="12"/>
  <c r="B505" i="12"/>
  <c r="B506" i="12"/>
  <c r="B507" i="12"/>
  <c r="B508" i="12"/>
  <c r="B509" i="12"/>
  <c r="B510" i="12"/>
  <c r="B511" i="12"/>
  <c r="B512" i="12"/>
  <c r="B513" i="12"/>
  <c r="B514" i="12"/>
  <c r="B515" i="12"/>
  <c r="B516" i="12"/>
  <c r="B517" i="12"/>
  <c r="B518" i="12"/>
  <c r="B519" i="12"/>
  <c r="B520" i="12"/>
  <c r="B521" i="12"/>
  <c r="B522" i="12"/>
  <c r="B523" i="12"/>
  <c r="B524" i="12"/>
  <c r="B525" i="12"/>
  <c r="B526" i="12"/>
  <c r="B527" i="12"/>
  <c r="B528" i="12"/>
  <c r="B529" i="12"/>
  <c r="B530" i="12"/>
  <c r="B531" i="12"/>
  <c r="B532" i="12"/>
  <c r="B533" i="12"/>
  <c r="B534" i="12"/>
  <c r="B535" i="12"/>
  <c r="B536" i="12"/>
  <c r="B537" i="12"/>
  <c r="B538" i="12"/>
  <c r="B539" i="12"/>
  <c r="B540" i="12"/>
  <c r="B541" i="12"/>
  <c r="B542" i="12"/>
  <c r="B543" i="12"/>
  <c r="B544" i="12"/>
  <c r="B545" i="12"/>
  <c r="B546" i="12"/>
  <c r="B547" i="12"/>
  <c r="B548" i="12"/>
  <c r="B549" i="12"/>
  <c r="B550" i="12"/>
  <c r="B551" i="12"/>
  <c r="B552" i="12"/>
  <c r="B553" i="12"/>
  <c r="B554" i="12"/>
  <c r="B555" i="12"/>
  <c r="B556" i="12"/>
  <c r="B557" i="12"/>
  <c r="B558" i="12"/>
  <c r="B559" i="12"/>
  <c r="B560" i="12"/>
  <c r="B561" i="12"/>
  <c r="B562" i="12"/>
  <c r="B563" i="12"/>
  <c r="B564" i="12"/>
  <c r="B565" i="12"/>
  <c r="B566" i="12"/>
  <c r="B567" i="12"/>
  <c r="B568" i="12"/>
  <c r="B569" i="12"/>
  <c r="B570" i="12"/>
  <c r="B571" i="12"/>
  <c r="B572" i="12"/>
  <c r="B573" i="12"/>
  <c r="B574" i="12"/>
  <c r="B575" i="12"/>
  <c r="B576" i="12"/>
  <c r="B577" i="12"/>
  <c r="B578" i="12"/>
  <c r="B579" i="12"/>
  <c r="B580" i="12"/>
  <c r="B581" i="12"/>
  <c r="B582" i="12"/>
  <c r="B583" i="12"/>
  <c r="B584" i="12"/>
  <c r="B585" i="12"/>
  <c r="B586" i="12"/>
  <c r="B587" i="12"/>
  <c r="B588" i="12"/>
  <c r="B589" i="12"/>
  <c r="B590" i="12"/>
  <c r="B591" i="12"/>
  <c r="B592" i="12"/>
  <c r="B593" i="12"/>
  <c r="B594" i="12"/>
  <c r="B595" i="12"/>
  <c r="B596" i="12"/>
  <c r="B597" i="12"/>
  <c r="B598" i="12"/>
  <c r="B599" i="12"/>
  <c r="B600" i="12"/>
  <c r="B601" i="12"/>
  <c r="B602" i="12"/>
  <c r="B603" i="12"/>
  <c r="B604" i="12"/>
  <c r="B605" i="12"/>
  <c r="B606" i="12"/>
  <c r="B607" i="12"/>
  <c r="B608" i="12"/>
  <c r="B609" i="12"/>
  <c r="B610" i="12"/>
  <c r="B611" i="12"/>
  <c r="B612" i="12"/>
  <c r="B613" i="12"/>
  <c r="B614" i="12"/>
  <c r="B615" i="12"/>
  <c r="B616" i="12"/>
  <c r="B617" i="12"/>
  <c r="B618" i="12"/>
  <c r="B619" i="12"/>
  <c r="B620" i="12"/>
  <c r="B621" i="12"/>
  <c r="B622" i="12"/>
  <c r="B623" i="12"/>
  <c r="B624" i="12"/>
  <c r="B625" i="12"/>
  <c r="B626" i="12"/>
  <c r="B627" i="12"/>
  <c r="B628" i="12"/>
  <c r="B629" i="12"/>
  <c r="B630" i="12"/>
  <c r="B631" i="12"/>
  <c r="B632" i="12"/>
  <c r="B633" i="12"/>
  <c r="B634" i="12"/>
  <c r="B635" i="12"/>
  <c r="B636" i="12"/>
  <c r="B637" i="12"/>
  <c r="B638" i="12"/>
  <c r="B639" i="12"/>
  <c r="B640" i="12"/>
  <c r="B641" i="12"/>
  <c r="B642" i="12"/>
  <c r="B643" i="12"/>
  <c r="B644" i="12"/>
  <c r="B645" i="12"/>
  <c r="B646" i="12"/>
  <c r="B647" i="12"/>
  <c r="B648" i="12"/>
  <c r="B649" i="12"/>
  <c r="B650" i="12"/>
  <c r="B651" i="12"/>
  <c r="B652" i="12"/>
  <c r="B653" i="12"/>
  <c r="B654" i="12"/>
  <c r="B655" i="12"/>
  <c r="B656" i="12"/>
  <c r="B657" i="12"/>
  <c r="B658" i="12"/>
  <c r="B659" i="12"/>
  <c r="B660" i="12"/>
  <c r="B661" i="12"/>
  <c r="B662" i="12"/>
  <c r="B663" i="12"/>
  <c r="B664" i="12"/>
  <c r="B665" i="12"/>
  <c r="B666" i="12"/>
  <c r="B667" i="12"/>
  <c r="B668" i="12"/>
  <c r="B669" i="12"/>
  <c r="B670" i="12"/>
  <c r="B671" i="12"/>
  <c r="B672" i="12"/>
  <c r="B673" i="12"/>
  <c r="B674" i="12"/>
  <c r="B675" i="12"/>
  <c r="B676" i="12"/>
  <c r="B677" i="12"/>
  <c r="B678" i="12"/>
  <c r="B679" i="12"/>
  <c r="B680" i="12"/>
  <c r="B681" i="12"/>
  <c r="B682" i="12"/>
  <c r="B683" i="12"/>
  <c r="B684" i="12"/>
  <c r="B685" i="12"/>
  <c r="B686" i="12"/>
  <c r="B687" i="12"/>
  <c r="B688" i="12"/>
  <c r="B689" i="12"/>
  <c r="B690" i="12"/>
  <c r="B691" i="12"/>
  <c r="B692" i="12"/>
  <c r="B693" i="12"/>
  <c r="B694" i="12"/>
  <c r="B695" i="12"/>
  <c r="B696" i="12"/>
  <c r="B697" i="12"/>
  <c r="B698" i="12"/>
  <c r="B699" i="12"/>
  <c r="B700" i="12"/>
  <c r="B701" i="12"/>
  <c r="B702" i="12"/>
  <c r="B703" i="12"/>
  <c r="B704" i="12"/>
  <c r="B705" i="12"/>
  <c r="B706" i="12"/>
  <c r="B707" i="12"/>
  <c r="B708" i="12"/>
  <c r="B709" i="12"/>
  <c r="B710" i="12"/>
  <c r="B711" i="12"/>
  <c r="B712" i="12"/>
  <c r="B713" i="12"/>
  <c r="B714" i="12"/>
  <c r="B715" i="12"/>
  <c r="B716" i="12"/>
  <c r="B717" i="12"/>
  <c r="B718" i="12"/>
  <c r="B719" i="12"/>
  <c r="B720" i="12"/>
  <c r="B721" i="12"/>
  <c r="B722" i="12"/>
  <c r="B723" i="12"/>
  <c r="B724" i="12"/>
  <c r="B725" i="12"/>
  <c r="B726" i="12"/>
  <c r="B727" i="12"/>
  <c r="B728" i="12"/>
  <c r="B729" i="12"/>
  <c r="B730" i="12"/>
  <c r="B731" i="12"/>
  <c r="B732" i="12"/>
  <c r="B733" i="12"/>
  <c r="B734" i="12"/>
  <c r="B735" i="12"/>
  <c r="B736" i="12"/>
  <c r="B737" i="12"/>
  <c r="B738" i="12"/>
  <c r="B739" i="12"/>
  <c r="B740" i="12"/>
  <c r="B741" i="12"/>
  <c r="B742" i="12"/>
  <c r="B743" i="12"/>
  <c r="B744" i="12"/>
  <c r="B745" i="12"/>
  <c r="B746" i="12"/>
  <c r="B747" i="12"/>
  <c r="B748" i="12"/>
  <c r="B749" i="12"/>
  <c r="B750" i="12"/>
  <c r="B751" i="12"/>
  <c r="B752" i="12"/>
  <c r="B753" i="12"/>
  <c r="B754" i="12"/>
  <c r="B755" i="12"/>
  <c r="B756" i="12"/>
  <c r="B757" i="12"/>
  <c r="B758" i="12"/>
  <c r="B759" i="12"/>
  <c r="B760" i="12"/>
  <c r="B761" i="12"/>
  <c r="B762" i="12"/>
  <c r="B763" i="12"/>
  <c r="B764" i="12"/>
  <c r="B765" i="12"/>
  <c r="B766" i="12"/>
  <c r="B767" i="12"/>
  <c r="B768" i="12"/>
  <c r="B769" i="12"/>
  <c r="B770" i="12"/>
  <c r="B771" i="12"/>
  <c r="B772" i="12"/>
  <c r="B773" i="12"/>
  <c r="B774" i="12"/>
  <c r="B775" i="12"/>
  <c r="B776" i="12"/>
  <c r="B777" i="12"/>
  <c r="B778" i="12"/>
  <c r="B779" i="12"/>
  <c r="B780" i="12"/>
  <c r="B781" i="12"/>
  <c r="B782" i="12"/>
  <c r="B783" i="12"/>
  <c r="B784" i="12"/>
  <c r="B785" i="12"/>
  <c r="B786" i="12"/>
  <c r="B787" i="12"/>
  <c r="B788" i="12"/>
  <c r="B789" i="12"/>
  <c r="B790" i="12"/>
  <c r="B791" i="12"/>
  <c r="B792" i="12"/>
  <c r="B793" i="12"/>
  <c r="B794" i="12"/>
  <c r="B795" i="12"/>
  <c r="B796" i="12"/>
  <c r="B797" i="12"/>
  <c r="B798" i="12"/>
  <c r="B799" i="12"/>
  <c r="B800" i="12"/>
  <c r="B801" i="12"/>
  <c r="B802" i="12"/>
  <c r="B803" i="12"/>
  <c r="B804" i="12"/>
  <c r="B805" i="12"/>
  <c r="B806" i="12"/>
  <c r="B807" i="12"/>
  <c r="B808" i="12"/>
  <c r="B809" i="12"/>
  <c r="B810" i="12"/>
  <c r="B811" i="12"/>
  <c r="B812" i="12"/>
  <c r="B813" i="12"/>
  <c r="B814" i="12"/>
  <c r="B815" i="12"/>
  <c r="B816" i="12"/>
  <c r="B817" i="12"/>
  <c r="B818" i="12"/>
  <c r="B819" i="12"/>
  <c r="B820" i="12"/>
  <c r="B821" i="12"/>
  <c r="B822" i="12"/>
  <c r="B823" i="12"/>
  <c r="B824" i="12"/>
  <c r="B825" i="12"/>
  <c r="B826" i="12"/>
  <c r="B827" i="12"/>
  <c r="B828" i="12"/>
  <c r="B829" i="12"/>
  <c r="B830" i="12"/>
  <c r="B831" i="12"/>
  <c r="B832" i="12"/>
  <c r="B833" i="12"/>
  <c r="B834" i="12"/>
  <c r="B835" i="12"/>
  <c r="B836" i="12"/>
  <c r="B837" i="12"/>
  <c r="B838" i="12"/>
  <c r="B839" i="12"/>
  <c r="B840" i="12"/>
  <c r="B841" i="12"/>
  <c r="B842" i="12"/>
  <c r="B843" i="12"/>
  <c r="B844" i="12"/>
  <c r="B845" i="12"/>
  <c r="B846" i="12"/>
  <c r="B847" i="12"/>
  <c r="B848" i="12"/>
  <c r="B849" i="12"/>
  <c r="B850" i="12"/>
  <c r="B851" i="12"/>
  <c r="B852" i="12"/>
  <c r="B853" i="12"/>
  <c r="B854" i="12"/>
  <c r="B855" i="12"/>
  <c r="B856" i="12"/>
  <c r="B857" i="12"/>
  <c r="B858" i="12"/>
  <c r="B859" i="12"/>
  <c r="B860" i="12"/>
  <c r="B861" i="12"/>
  <c r="B862" i="12"/>
  <c r="B863" i="12"/>
  <c r="B864" i="12"/>
  <c r="B865" i="12"/>
  <c r="B866" i="12"/>
  <c r="B867" i="12"/>
  <c r="B868" i="12"/>
  <c r="B869" i="12"/>
  <c r="B870" i="12"/>
  <c r="B871" i="12"/>
  <c r="B872" i="12"/>
  <c r="B873" i="12"/>
  <c r="B874" i="12"/>
  <c r="B875" i="12"/>
  <c r="B876" i="12"/>
  <c r="B877" i="12"/>
  <c r="B878" i="12"/>
  <c r="B879" i="12"/>
  <c r="B880" i="12"/>
  <c r="B881" i="12"/>
  <c r="B882" i="12"/>
  <c r="B883" i="12"/>
  <c r="B884" i="12"/>
  <c r="B885" i="12"/>
  <c r="B886" i="12"/>
  <c r="B887" i="12"/>
  <c r="B888" i="12"/>
  <c r="B889" i="12"/>
  <c r="B890" i="12"/>
  <c r="B891" i="12"/>
  <c r="B892" i="12"/>
  <c r="B893" i="12"/>
  <c r="B894" i="12"/>
  <c r="B895" i="12"/>
  <c r="B896" i="12"/>
  <c r="B897" i="12"/>
  <c r="B898" i="12"/>
  <c r="B899" i="12"/>
  <c r="B900" i="12"/>
  <c r="B901" i="12"/>
  <c r="B902" i="12"/>
  <c r="B903" i="12"/>
  <c r="B904" i="12"/>
  <c r="B905" i="12"/>
  <c r="B906" i="12"/>
  <c r="B907" i="12"/>
  <c r="B908" i="12"/>
  <c r="B909" i="12"/>
  <c r="B910" i="12"/>
  <c r="B911" i="12"/>
  <c r="B912" i="12"/>
  <c r="B913" i="12"/>
  <c r="B914" i="12"/>
  <c r="B915" i="12"/>
  <c r="B916" i="12"/>
  <c r="B917" i="12"/>
  <c r="B918" i="12"/>
  <c r="B919" i="12"/>
  <c r="B920" i="12"/>
  <c r="B921" i="12"/>
  <c r="B922" i="12"/>
  <c r="B923" i="12"/>
  <c r="B924" i="12"/>
  <c r="B925" i="12"/>
  <c r="B926" i="12"/>
  <c r="B927" i="12"/>
  <c r="B928" i="12"/>
  <c r="B929" i="12"/>
  <c r="B930" i="12"/>
  <c r="B931" i="12"/>
  <c r="B932" i="12"/>
  <c r="B933" i="12"/>
  <c r="B934" i="12"/>
  <c r="B935" i="12"/>
  <c r="B936" i="12"/>
  <c r="B937" i="12"/>
  <c r="B938" i="12"/>
  <c r="B939" i="12"/>
  <c r="B940" i="12"/>
  <c r="B941" i="12"/>
  <c r="B942" i="12"/>
  <c r="B943" i="12"/>
  <c r="B944" i="12"/>
  <c r="B945" i="12"/>
  <c r="B946" i="12"/>
  <c r="B947" i="12"/>
  <c r="B948" i="12"/>
  <c r="B949" i="12"/>
  <c r="B950" i="12"/>
  <c r="B951" i="12"/>
  <c r="B952" i="12"/>
  <c r="B953" i="12"/>
  <c r="B954" i="12"/>
  <c r="B955" i="12"/>
  <c r="B956" i="12"/>
  <c r="B957" i="12"/>
  <c r="B958" i="12"/>
  <c r="B959" i="12"/>
  <c r="B960" i="12"/>
  <c r="B961" i="12"/>
  <c r="B962" i="12"/>
  <c r="B963" i="12"/>
  <c r="B964" i="12"/>
  <c r="B965" i="12"/>
  <c r="B966" i="12"/>
  <c r="B967" i="12"/>
  <c r="B968" i="12"/>
  <c r="B969" i="12"/>
  <c r="B970" i="12"/>
  <c r="B971" i="12"/>
  <c r="B972" i="12"/>
  <c r="B973" i="12"/>
  <c r="B974" i="12"/>
  <c r="B975" i="12"/>
  <c r="B976" i="12"/>
  <c r="B977" i="12"/>
  <c r="B978" i="12"/>
  <c r="B979" i="12"/>
  <c r="B980" i="12"/>
  <c r="B981" i="12"/>
  <c r="B982" i="12"/>
  <c r="B983" i="12"/>
  <c r="B984" i="12"/>
  <c r="B985" i="12"/>
  <c r="B986" i="12"/>
  <c r="B987" i="12"/>
  <c r="B988" i="12"/>
  <c r="B989" i="12"/>
  <c r="B990" i="12"/>
  <c r="B991" i="12"/>
  <c r="B992" i="12"/>
  <c r="B993" i="12"/>
  <c r="B994" i="12"/>
  <c r="B995" i="12"/>
  <c r="B996" i="12"/>
  <c r="B997" i="12"/>
  <c r="B998" i="12"/>
  <c r="B999" i="12"/>
  <c r="B1000" i="12"/>
  <c r="B1001" i="12"/>
  <c r="B1002" i="12"/>
  <c r="B1003" i="12"/>
  <c r="B1004" i="12"/>
  <c r="B1005" i="12"/>
  <c r="B1006" i="12"/>
  <c r="B1007" i="12"/>
  <c r="B1008" i="12"/>
  <c r="B1009" i="12"/>
  <c r="B1010" i="12"/>
  <c r="B1011" i="12"/>
  <c r="B1012" i="12"/>
  <c r="B1013" i="12"/>
  <c r="B1014" i="12"/>
  <c r="B1015" i="12"/>
  <c r="B1016" i="12"/>
  <c r="B1017" i="12"/>
  <c r="B1018" i="12"/>
  <c r="B1019" i="12"/>
  <c r="B1020" i="12"/>
  <c r="B1021" i="12"/>
  <c r="B1022" i="12"/>
  <c r="B1023" i="12"/>
  <c r="B1024" i="12"/>
  <c r="B1025" i="12"/>
  <c r="B1026" i="12"/>
  <c r="B1027" i="12"/>
  <c r="B1028" i="12"/>
  <c r="B1029" i="12"/>
  <c r="B1030" i="12"/>
  <c r="B1031" i="12"/>
  <c r="B1032" i="12"/>
  <c r="B1033" i="12"/>
  <c r="B1034" i="12"/>
  <c r="B1035" i="12"/>
  <c r="B1036" i="12"/>
  <c r="B1037" i="12"/>
  <c r="B1038" i="12"/>
  <c r="B1039" i="12"/>
  <c r="B1040" i="12"/>
  <c r="B1041" i="12"/>
  <c r="B1042" i="12"/>
  <c r="B1043" i="12"/>
  <c r="B1044" i="12"/>
  <c r="B1045" i="12"/>
  <c r="B1046" i="12"/>
  <c r="B1047" i="12"/>
  <c r="B1048" i="12"/>
  <c r="B1049" i="12"/>
  <c r="B1050" i="12"/>
  <c r="B1051" i="12"/>
  <c r="B1052" i="12"/>
  <c r="B1053" i="12"/>
  <c r="B1054" i="12"/>
  <c r="B1055" i="12"/>
  <c r="B1056" i="12"/>
  <c r="B1057" i="12"/>
  <c r="B1058" i="12"/>
  <c r="B1059" i="12"/>
  <c r="B1060" i="12"/>
  <c r="B1061" i="12"/>
  <c r="B1062" i="12"/>
  <c r="B1063" i="12"/>
  <c r="B1064" i="12"/>
  <c r="B1065" i="12"/>
  <c r="B1066" i="12"/>
  <c r="B1067" i="12"/>
  <c r="B1068" i="12"/>
  <c r="B1069" i="12"/>
  <c r="B1070" i="12"/>
  <c r="B1071" i="12"/>
  <c r="B1072" i="12"/>
  <c r="B1073" i="12"/>
  <c r="B1074" i="12"/>
  <c r="B1075" i="12"/>
  <c r="B1076" i="12"/>
  <c r="B1077" i="12"/>
  <c r="B1078" i="12"/>
  <c r="B1079" i="12"/>
  <c r="B1080" i="12"/>
  <c r="B1081" i="12"/>
  <c r="B1082" i="12"/>
  <c r="B1083" i="12"/>
  <c r="B1084" i="12"/>
  <c r="B1085" i="12"/>
  <c r="B1086" i="12"/>
  <c r="B1087" i="12"/>
  <c r="B1088" i="12"/>
  <c r="B1089" i="12"/>
  <c r="B1090" i="12"/>
  <c r="B1091" i="12"/>
  <c r="B1092" i="12"/>
  <c r="B1093" i="12"/>
  <c r="B1094" i="12"/>
  <c r="B1095" i="12"/>
  <c r="B1096" i="12"/>
  <c r="B1097" i="12"/>
  <c r="B1098" i="12"/>
  <c r="B1099" i="12"/>
  <c r="B1100" i="12"/>
  <c r="B1101" i="12"/>
  <c r="B1102" i="12"/>
  <c r="B1103" i="12"/>
  <c r="B1104" i="12"/>
  <c r="B1105" i="12"/>
  <c r="B1106" i="12"/>
  <c r="B1107" i="12"/>
  <c r="B1108" i="12"/>
  <c r="B1109" i="12"/>
  <c r="B1110" i="12"/>
  <c r="B1111" i="12"/>
  <c r="B1112" i="12"/>
  <c r="B1113" i="12"/>
  <c r="B1114" i="12"/>
  <c r="B1115" i="12"/>
  <c r="B1116" i="12"/>
  <c r="B1117" i="12"/>
  <c r="B1118" i="12"/>
  <c r="B1119" i="12"/>
  <c r="B1120" i="12"/>
  <c r="B1121" i="12"/>
  <c r="B1122" i="12"/>
  <c r="B1123" i="12"/>
  <c r="B1124" i="12"/>
  <c r="B1125" i="12"/>
  <c r="B1126" i="12"/>
  <c r="B1127" i="12"/>
  <c r="B1128" i="12"/>
  <c r="B1129" i="12"/>
  <c r="B1130" i="12"/>
  <c r="B1131" i="12"/>
  <c r="B1132" i="12"/>
  <c r="B1133" i="12"/>
  <c r="B1134" i="12"/>
  <c r="B1135" i="12"/>
  <c r="B1136" i="12"/>
  <c r="B1137" i="12"/>
  <c r="B1138" i="12"/>
  <c r="B1139" i="12"/>
  <c r="B1140" i="12"/>
  <c r="B1141" i="12"/>
  <c r="B1142" i="12"/>
  <c r="B1143" i="12"/>
  <c r="B1144" i="12"/>
  <c r="B1145" i="12"/>
  <c r="B1146" i="12"/>
  <c r="B1147" i="12"/>
  <c r="B1148" i="12"/>
  <c r="B1149" i="12"/>
  <c r="B1150" i="12"/>
  <c r="B1151" i="12"/>
  <c r="B1152" i="12"/>
  <c r="B1153" i="12"/>
  <c r="B1154" i="12"/>
  <c r="B1155" i="12"/>
  <c r="B1156" i="12"/>
  <c r="B1157" i="12"/>
  <c r="B1158" i="12"/>
  <c r="B1159" i="12"/>
  <c r="B1160" i="12"/>
  <c r="B1161" i="12"/>
  <c r="B1162" i="12"/>
  <c r="B1163" i="12"/>
  <c r="B1164" i="12"/>
  <c r="B1165" i="12"/>
  <c r="B1166" i="12"/>
  <c r="B1167" i="12"/>
  <c r="B1168" i="12"/>
  <c r="B1169" i="12"/>
  <c r="B1170" i="12"/>
  <c r="B1171" i="12"/>
  <c r="B1172" i="12"/>
  <c r="B1173" i="12"/>
  <c r="B1174" i="12"/>
  <c r="B1175" i="12"/>
  <c r="B1176" i="12"/>
  <c r="B1177" i="12"/>
  <c r="B1178" i="12"/>
  <c r="B1179" i="12"/>
  <c r="B1180" i="12"/>
  <c r="B1181" i="12"/>
  <c r="B1182" i="12"/>
  <c r="B1183" i="12"/>
  <c r="B1184" i="12"/>
  <c r="B1185" i="12"/>
  <c r="B1186" i="12"/>
  <c r="B1187" i="12"/>
  <c r="B1188" i="12"/>
  <c r="B1189" i="12"/>
  <c r="B1190" i="12"/>
  <c r="B1191" i="12"/>
  <c r="B1192" i="12"/>
  <c r="B1193" i="12"/>
  <c r="B1194" i="12"/>
  <c r="B1195" i="12"/>
  <c r="B1196" i="12"/>
  <c r="B1197" i="12"/>
  <c r="B1198" i="12"/>
  <c r="B1199" i="12"/>
  <c r="B1200" i="12"/>
  <c r="B1201" i="12"/>
  <c r="B1202" i="12"/>
  <c r="B1203" i="12"/>
  <c r="B1204" i="12"/>
  <c r="B1205" i="12"/>
  <c r="B1206" i="12"/>
  <c r="B1207" i="12"/>
  <c r="B1208" i="12"/>
  <c r="B1209" i="12"/>
  <c r="B1210" i="12"/>
  <c r="B1211" i="12"/>
  <c r="B1212" i="12"/>
  <c r="B1213" i="12"/>
  <c r="B1214" i="12"/>
  <c r="B1215" i="12"/>
  <c r="B1216" i="12"/>
  <c r="B1217" i="12"/>
  <c r="B1218" i="12"/>
  <c r="B1219" i="12"/>
  <c r="B1220" i="12"/>
  <c r="B1221" i="12"/>
  <c r="B1222" i="12"/>
  <c r="B1223" i="12"/>
  <c r="B1224" i="12"/>
  <c r="B1225" i="12"/>
  <c r="B1226" i="12"/>
  <c r="B1227" i="12"/>
  <c r="B1228" i="12"/>
  <c r="B1229" i="12"/>
  <c r="B1230" i="12"/>
  <c r="B1231" i="12"/>
  <c r="B1232" i="12"/>
  <c r="B1233" i="12"/>
  <c r="B1234" i="12"/>
  <c r="B1235" i="12"/>
  <c r="B1236" i="12"/>
  <c r="A1012" i="12"/>
  <c r="A1013" i="12"/>
  <c r="A1014" i="12"/>
  <c r="A1015" i="12"/>
  <c r="A1016" i="12"/>
  <c r="C1016" i="12" s="1"/>
  <c r="A1017" i="12"/>
  <c r="A1018" i="12"/>
  <c r="A1019" i="12"/>
  <c r="A1020" i="12"/>
  <c r="A1021" i="12"/>
  <c r="A1022" i="12"/>
  <c r="A1023" i="12"/>
  <c r="A1024" i="12"/>
  <c r="A1025" i="12"/>
  <c r="A1026" i="12"/>
  <c r="A1027" i="12"/>
  <c r="A1028" i="12"/>
  <c r="A1029" i="12"/>
  <c r="A1030" i="12"/>
  <c r="A1031" i="12"/>
  <c r="C1031" i="12" s="1"/>
  <c r="A1032" i="12"/>
  <c r="C1032" i="12" s="1"/>
  <c r="A1033" i="12"/>
  <c r="A1034" i="12"/>
  <c r="A1035" i="12"/>
  <c r="A1036" i="12"/>
  <c r="A1037" i="12"/>
  <c r="A1038" i="12"/>
  <c r="A1039" i="12"/>
  <c r="A1040" i="12"/>
  <c r="C1040" i="12" s="1"/>
  <c r="A1041" i="12"/>
  <c r="A1042" i="12"/>
  <c r="A1043" i="12"/>
  <c r="A1044" i="12"/>
  <c r="A1045" i="12"/>
  <c r="A1046" i="12"/>
  <c r="A1047" i="12"/>
  <c r="A1048" i="12"/>
  <c r="C1048" i="12" s="1"/>
  <c r="A1049" i="12"/>
  <c r="A1050" i="12"/>
  <c r="A1051" i="12"/>
  <c r="A1052" i="12"/>
  <c r="A1053" i="12"/>
  <c r="A1054" i="12"/>
  <c r="A1055" i="12"/>
  <c r="A1056" i="12"/>
  <c r="C1056" i="12" s="1"/>
  <c r="A1057" i="12"/>
  <c r="A1058" i="12"/>
  <c r="A1059" i="12"/>
  <c r="A1060" i="12"/>
  <c r="A1061" i="12"/>
  <c r="A1062" i="12"/>
  <c r="A1063" i="12"/>
  <c r="C1063" i="12" s="1"/>
  <c r="A1064" i="12"/>
  <c r="C1064" i="12" s="1"/>
  <c r="A1065" i="12"/>
  <c r="A1066" i="12"/>
  <c r="A1067" i="12"/>
  <c r="A1068" i="12"/>
  <c r="A1069" i="12"/>
  <c r="A1070" i="12"/>
  <c r="A1071" i="12"/>
  <c r="A1072" i="12"/>
  <c r="A1073" i="12"/>
  <c r="A1074" i="12"/>
  <c r="A1075" i="12"/>
  <c r="A1076" i="12"/>
  <c r="A1077" i="12"/>
  <c r="A1078" i="12"/>
  <c r="A1079" i="12"/>
  <c r="A1080" i="12"/>
  <c r="C1080" i="12" s="1"/>
  <c r="A1081" i="12"/>
  <c r="A1082" i="12"/>
  <c r="A1083" i="12"/>
  <c r="A1084" i="12"/>
  <c r="A1085" i="12"/>
  <c r="A1086" i="12"/>
  <c r="A1087" i="12"/>
  <c r="A1088" i="12"/>
  <c r="A1089" i="12"/>
  <c r="A1090" i="12"/>
  <c r="A1091" i="12"/>
  <c r="A1092" i="12"/>
  <c r="A1093" i="12"/>
  <c r="A1094" i="12"/>
  <c r="A1095" i="12"/>
  <c r="A1096" i="12"/>
  <c r="C1096" i="12" s="1"/>
  <c r="A1097" i="12"/>
  <c r="A1098" i="12"/>
  <c r="A1099" i="12"/>
  <c r="A1100" i="12"/>
  <c r="A1101" i="12"/>
  <c r="A1102" i="12"/>
  <c r="A1103" i="12"/>
  <c r="A1104" i="12"/>
  <c r="A1105" i="12"/>
  <c r="A1106" i="12"/>
  <c r="A1107" i="12"/>
  <c r="A1108" i="12"/>
  <c r="A1109" i="12"/>
  <c r="A1110" i="12"/>
  <c r="A1111" i="12"/>
  <c r="C1111" i="12" s="1"/>
  <c r="A1112" i="12"/>
  <c r="C1112" i="12" s="1"/>
  <c r="A1113" i="12"/>
  <c r="A1114" i="12"/>
  <c r="A1115" i="12"/>
  <c r="A1116" i="12"/>
  <c r="A1117" i="12"/>
  <c r="A1118" i="12"/>
  <c r="A1119" i="12"/>
  <c r="A1120" i="12"/>
  <c r="C1120" i="12" s="1"/>
  <c r="A1121" i="12"/>
  <c r="A1122" i="12"/>
  <c r="A1123" i="12"/>
  <c r="A1124" i="12"/>
  <c r="A1125" i="12"/>
  <c r="A1126" i="12"/>
  <c r="A1127" i="12"/>
  <c r="C1127" i="12" s="1"/>
  <c r="A1128" i="12"/>
  <c r="C1128" i="12" s="1"/>
  <c r="A1129" i="12"/>
  <c r="A1130" i="12"/>
  <c r="A1131" i="12"/>
  <c r="A1132" i="12"/>
  <c r="A1133" i="12"/>
  <c r="A1134" i="12"/>
  <c r="A1135" i="12"/>
  <c r="A1136" i="12"/>
  <c r="A1137" i="12"/>
  <c r="A1138" i="12"/>
  <c r="A1139" i="12"/>
  <c r="A1140" i="12"/>
  <c r="A1141" i="12"/>
  <c r="A1142" i="12"/>
  <c r="A1143" i="12"/>
  <c r="A1144" i="12"/>
  <c r="C1144" i="12" s="1"/>
  <c r="A1145" i="12"/>
  <c r="A1146" i="12"/>
  <c r="A1147" i="12"/>
  <c r="A1148" i="12"/>
  <c r="A1149" i="12"/>
  <c r="A1150" i="12"/>
  <c r="A1151" i="12"/>
  <c r="A1152" i="12"/>
  <c r="A1153" i="12"/>
  <c r="A1154" i="12"/>
  <c r="A1155" i="12"/>
  <c r="A1156" i="12"/>
  <c r="A1157" i="12"/>
  <c r="A1158" i="12"/>
  <c r="A1159" i="12"/>
  <c r="A1160" i="12"/>
  <c r="A1161" i="12"/>
  <c r="A1162" i="12"/>
  <c r="A1163" i="12"/>
  <c r="A1164" i="12"/>
  <c r="A1165" i="12"/>
  <c r="A1166" i="12"/>
  <c r="A1167" i="12"/>
  <c r="A1168" i="12"/>
  <c r="A1169" i="12"/>
  <c r="A1170" i="12"/>
  <c r="A1171" i="12"/>
  <c r="A1172" i="12"/>
  <c r="A1173" i="12"/>
  <c r="A1174" i="12"/>
  <c r="A1175" i="12"/>
  <c r="A1176" i="12"/>
  <c r="A1177" i="12"/>
  <c r="A1178" i="12"/>
  <c r="A1179" i="12"/>
  <c r="A1180" i="12"/>
  <c r="A1181" i="12"/>
  <c r="A1182" i="12"/>
  <c r="A1183" i="12"/>
  <c r="A1184" i="12"/>
  <c r="A1185" i="12"/>
  <c r="A1186" i="12"/>
  <c r="A1187" i="12"/>
  <c r="A1188" i="12"/>
  <c r="A1189" i="12"/>
  <c r="A1190" i="12"/>
  <c r="A1191" i="12"/>
  <c r="A1192" i="12"/>
  <c r="A1193" i="12"/>
  <c r="A1194" i="12"/>
  <c r="A1195" i="12"/>
  <c r="A1196" i="12"/>
  <c r="A1197" i="12"/>
  <c r="A1198" i="12"/>
  <c r="A1199" i="12"/>
  <c r="A1200" i="12"/>
  <c r="A1201" i="12"/>
  <c r="A1202" i="12"/>
  <c r="A1203" i="12"/>
  <c r="A1204" i="12"/>
  <c r="A1205" i="12"/>
  <c r="A1206" i="12"/>
  <c r="A1207" i="12"/>
  <c r="A1208" i="12"/>
  <c r="A1209" i="12"/>
  <c r="A1210" i="12"/>
  <c r="A1211" i="12"/>
  <c r="A1212" i="12"/>
  <c r="A1213" i="12"/>
  <c r="A1214" i="12"/>
  <c r="A1215" i="12"/>
  <c r="A1216" i="12"/>
  <c r="A1217" i="12"/>
  <c r="A1218" i="12"/>
  <c r="A1219" i="12"/>
  <c r="A1220" i="12"/>
  <c r="A1221" i="12"/>
  <c r="A1222" i="12"/>
  <c r="A1223" i="12"/>
  <c r="A1224" i="12"/>
  <c r="A1225" i="12"/>
  <c r="A1226" i="12"/>
  <c r="A1227" i="12"/>
  <c r="A1228" i="12"/>
  <c r="A1229" i="12"/>
  <c r="A1230" i="12"/>
  <c r="A1231" i="12"/>
  <c r="A1232" i="12"/>
  <c r="A1233" i="12"/>
  <c r="A1234" i="12"/>
  <c r="A1235" i="12"/>
  <c r="A1236" i="12"/>
  <c r="A1237" i="12"/>
  <c r="A1238" i="12"/>
  <c r="A1239" i="12"/>
  <c r="A1240" i="12"/>
  <c r="A1241" i="12"/>
  <c r="A1242" i="12"/>
  <c r="A1243" i="12"/>
  <c r="A1244" i="12"/>
  <c r="A1245" i="12"/>
  <c r="A1246" i="12"/>
  <c r="A1247" i="12"/>
  <c r="A1248" i="12"/>
  <c r="A1249" i="12"/>
  <c r="A1250" i="12"/>
  <c r="A1251" i="12"/>
  <c r="A1252" i="12"/>
  <c r="A1253" i="12"/>
  <c r="A1254" i="12"/>
  <c r="A1255" i="12"/>
  <c r="A1256" i="12"/>
  <c r="A1257" i="12"/>
  <c r="A1258" i="12"/>
  <c r="A1259" i="12"/>
  <c r="A1260" i="12"/>
  <c r="A1261" i="12"/>
  <c r="A1262" i="12"/>
  <c r="A1263" i="12"/>
  <c r="A1264" i="12"/>
  <c r="A1265" i="12"/>
  <c r="A1266" i="12"/>
  <c r="A1267" i="12"/>
  <c r="A1268" i="12"/>
  <c r="A1269" i="12"/>
  <c r="A1270" i="12"/>
  <c r="A1271" i="12"/>
  <c r="A1272" i="12"/>
  <c r="A1273" i="12"/>
  <c r="A1274" i="12"/>
  <c r="A1275" i="12"/>
  <c r="A1276" i="12"/>
  <c r="A1277" i="12"/>
  <c r="A1278" i="12"/>
  <c r="A1279" i="12"/>
  <c r="A1280" i="12"/>
  <c r="A1281" i="12"/>
  <c r="A1282" i="12"/>
  <c r="A1283" i="12"/>
  <c r="A1284" i="12"/>
  <c r="A1285" i="12"/>
  <c r="A1286"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86" i="12"/>
  <c r="A87" i="12"/>
  <c r="A88" i="12"/>
  <c r="A89" i="12"/>
  <c r="A90" i="12"/>
  <c r="A91" i="12"/>
  <c r="A92" i="12"/>
  <c r="A93" i="12"/>
  <c r="A94" i="12"/>
  <c r="A95" i="12"/>
  <c r="A96" i="12"/>
  <c r="A97" i="12"/>
  <c r="A98" i="12"/>
  <c r="A99" i="12"/>
  <c r="A100" i="12"/>
  <c r="A101" i="12"/>
  <c r="A102" i="12"/>
  <c r="A103" i="12"/>
  <c r="A104" i="12"/>
  <c r="A105" i="12"/>
  <c r="A106" i="12"/>
  <c r="A107" i="12"/>
  <c r="A108" i="12"/>
  <c r="A109" i="12"/>
  <c r="A110" i="12"/>
  <c r="A111" i="12"/>
  <c r="A112" i="12"/>
  <c r="A113" i="12"/>
  <c r="A114" i="12"/>
  <c r="A115" i="12"/>
  <c r="A116" i="12"/>
  <c r="A117" i="12"/>
  <c r="A118" i="12"/>
  <c r="A119" i="12"/>
  <c r="A120" i="12"/>
  <c r="A121" i="12"/>
  <c r="A122" i="12"/>
  <c r="A123" i="12"/>
  <c r="A124" i="12"/>
  <c r="A125" i="12"/>
  <c r="A126" i="12"/>
  <c r="A127" i="12"/>
  <c r="A128" i="12"/>
  <c r="A129" i="12"/>
  <c r="A130" i="12"/>
  <c r="A131" i="12"/>
  <c r="A132" i="12"/>
  <c r="A133" i="12"/>
  <c r="A134" i="12"/>
  <c r="A135" i="12"/>
  <c r="A136" i="12"/>
  <c r="A137" i="12"/>
  <c r="A138" i="12"/>
  <c r="A139" i="12"/>
  <c r="A140" i="12"/>
  <c r="A141" i="12"/>
  <c r="A142" i="12"/>
  <c r="A143" i="12"/>
  <c r="A144" i="12"/>
  <c r="A145" i="12"/>
  <c r="A146" i="12"/>
  <c r="A147" i="12"/>
  <c r="A148" i="12"/>
  <c r="A149" i="12"/>
  <c r="A150" i="12"/>
  <c r="A151" i="12"/>
  <c r="A152" i="12"/>
  <c r="A153" i="12"/>
  <c r="A154" i="12"/>
  <c r="A155" i="12"/>
  <c r="A156" i="12"/>
  <c r="A157" i="12"/>
  <c r="A158" i="12"/>
  <c r="A159" i="12"/>
  <c r="A160" i="12"/>
  <c r="A161" i="12"/>
  <c r="A162" i="12"/>
  <c r="A163" i="12"/>
  <c r="A164" i="12"/>
  <c r="A165" i="12"/>
  <c r="A166" i="12"/>
  <c r="A167" i="12"/>
  <c r="A168" i="12"/>
  <c r="A169" i="12"/>
  <c r="A170" i="12"/>
  <c r="A171" i="12"/>
  <c r="A172" i="12"/>
  <c r="A173" i="12"/>
  <c r="A174" i="12"/>
  <c r="A175" i="12"/>
  <c r="A176" i="12"/>
  <c r="A177" i="12"/>
  <c r="A178" i="12"/>
  <c r="A179" i="12"/>
  <c r="A180" i="12"/>
  <c r="A181" i="12"/>
  <c r="A182" i="12"/>
  <c r="A183" i="12"/>
  <c r="A184" i="12"/>
  <c r="A185" i="12"/>
  <c r="A186" i="12"/>
  <c r="A187" i="12"/>
  <c r="A188" i="12"/>
  <c r="A189" i="12"/>
  <c r="A190" i="12"/>
  <c r="A191" i="12"/>
  <c r="A192" i="12"/>
  <c r="A193" i="12"/>
  <c r="A194" i="12"/>
  <c r="A195" i="12"/>
  <c r="A196" i="12"/>
  <c r="A197" i="12"/>
  <c r="A198" i="12"/>
  <c r="A199" i="12"/>
  <c r="A200" i="12"/>
  <c r="A201" i="12"/>
  <c r="A202" i="12"/>
  <c r="A203" i="12"/>
  <c r="A204" i="12"/>
  <c r="A205" i="12"/>
  <c r="A206" i="12"/>
  <c r="A207" i="12"/>
  <c r="A208" i="12"/>
  <c r="A209" i="12"/>
  <c r="A210" i="12"/>
  <c r="A211" i="12"/>
  <c r="A212" i="12"/>
  <c r="A213" i="12"/>
  <c r="A214" i="12"/>
  <c r="A215" i="12"/>
  <c r="A216" i="12"/>
  <c r="A217" i="12"/>
  <c r="A218" i="12"/>
  <c r="A219" i="12"/>
  <c r="A220" i="12"/>
  <c r="A221" i="12"/>
  <c r="A222" i="12"/>
  <c r="A223" i="12"/>
  <c r="A224" i="12"/>
  <c r="A225" i="12"/>
  <c r="A226" i="12"/>
  <c r="A227" i="12"/>
  <c r="A228" i="12"/>
  <c r="A229" i="12"/>
  <c r="A230" i="12"/>
  <c r="A231" i="12"/>
  <c r="A232" i="12"/>
  <c r="A233" i="12"/>
  <c r="A234" i="12"/>
  <c r="A235" i="12"/>
  <c r="A236" i="12"/>
  <c r="A237" i="12"/>
  <c r="A238" i="12"/>
  <c r="A239" i="12"/>
  <c r="A240" i="12"/>
  <c r="A241" i="12"/>
  <c r="A242" i="12"/>
  <c r="A243" i="12"/>
  <c r="A244" i="12"/>
  <c r="A245" i="12"/>
  <c r="A246" i="12"/>
  <c r="A247" i="12"/>
  <c r="A248" i="12"/>
  <c r="A249" i="12"/>
  <c r="A250" i="12"/>
  <c r="A251" i="12"/>
  <c r="A252" i="12"/>
  <c r="A253" i="12"/>
  <c r="A254" i="12"/>
  <c r="A255" i="12"/>
  <c r="A256" i="12"/>
  <c r="A257" i="12"/>
  <c r="A258" i="12"/>
  <c r="A259" i="12"/>
  <c r="A260" i="12"/>
  <c r="A261" i="12"/>
  <c r="A262" i="12"/>
  <c r="A263" i="12"/>
  <c r="A264" i="12"/>
  <c r="A265" i="12"/>
  <c r="A266" i="12"/>
  <c r="A267" i="12"/>
  <c r="A268" i="12"/>
  <c r="A269" i="12"/>
  <c r="A270" i="12"/>
  <c r="A271" i="12"/>
  <c r="A272" i="12"/>
  <c r="A273" i="12"/>
  <c r="A274" i="12"/>
  <c r="A275" i="12"/>
  <c r="A276" i="12"/>
  <c r="A277" i="12"/>
  <c r="A278" i="12"/>
  <c r="A279" i="12"/>
  <c r="A280" i="12"/>
  <c r="A281" i="12"/>
  <c r="A282" i="12"/>
  <c r="A283" i="12"/>
  <c r="A284" i="12"/>
  <c r="A285" i="12"/>
  <c r="A286" i="12"/>
  <c r="A287" i="12"/>
  <c r="A288" i="12"/>
  <c r="A289" i="12"/>
  <c r="A290" i="12"/>
  <c r="A291" i="12"/>
  <c r="A292" i="12"/>
  <c r="A293" i="12"/>
  <c r="A294" i="12"/>
  <c r="A295" i="12"/>
  <c r="A296" i="12"/>
  <c r="A297" i="12"/>
  <c r="A298" i="12"/>
  <c r="A299" i="12"/>
  <c r="A300" i="12"/>
  <c r="A301" i="12"/>
  <c r="A302" i="12"/>
  <c r="A303" i="12"/>
  <c r="A304" i="12"/>
  <c r="A305" i="12"/>
  <c r="A306" i="12"/>
  <c r="A307" i="12"/>
  <c r="A308" i="12"/>
  <c r="A309" i="12"/>
  <c r="A310" i="12"/>
  <c r="A311" i="12"/>
  <c r="A312" i="12"/>
  <c r="A313" i="12"/>
  <c r="A314" i="12"/>
  <c r="A315" i="12"/>
  <c r="A316" i="12"/>
  <c r="A317" i="12"/>
  <c r="A318" i="12"/>
  <c r="A319" i="12"/>
  <c r="A320" i="12"/>
  <c r="A321" i="12"/>
  <c r="A322" i="12"/>
  <c r="A323" i="12"/>
  <c r="A324" i="12"/>
  <c r="A325" i="12"/>
  <c r="A326" i="12"/>
  <c r="A327" i="12"/>
  <c r="A328" i="12"/>
  <c r="A329" i="12"/>
  <c r="A330" i="12"/>
  <c r="A331" i="12"/>
  <c r="A332" i="12"/>
  <c r="A333" i="12"/>
  <c r="A334" i="12"/>
  <c r="A335" i="12"/>
  <c r="A336" i="12"/>
  <c r="A337" i="12"/>
  <c r="A338" i="12"/>
  <c r="A339" i="12"/>
  <c r="A340" i="12"/>
  <c r="A341" i="12"/>
  <c r="A342" i="12"/>
  <c r="A343" i="12"/>
  <c r="A344" i="12"/>
  <c r="A345" i="12"/>
  <c r="A346" i="12"/>
  <c r="A347" i="12"/>
  <c r="A348" i="12"/>
  <c r="A349" i="12"/>
  <c r="A350" i="12"/>
  <c r="A351" i="12"/>
  <c r="A352" i="12"/>
  <c r="A353" i="12"/>
  <c r="A354" i="12"/>
  <c r="A355" i="12"/>
  <c r="A356" i="12"/>
  <c r="A357" i="12"/>
  <c r="A358" i="12"/>
  <c r="A359" i="12"/>
  <c r="A360" i="12"/>
  <c r="A361" i="12"/>
  <c r="A362" i="12"/>
  <c r="A363" i="12"/>
  <c r="A364" i="12"/>
  <c r="A365" i="12"/>
  <c r="A366" i="12"/>
  <c r="A367" i="12"/>
  <c r="A368" i="12"/>
  <c r="A369" i="12"/>
  <c r="A370" i="12"/>
  <c r="A371" i="12"/>
  <c r="A372" i="12"/>
  <c r="A373" i="12"/>
  <c r="A374" i="12"/>
  <c r="A375" i="12"/>
  <c r="A376" i="12"/>
  <c r="A377" i="12"/>
  <c r="A378" i="12"/>
  <c r="A379" i="12"/>
  <c r="A380" i="12"/>
  <c r="A381" i="12"/>
  <c r="A382" i="12"/>
  <c r="A383" i="12"/>
  <c r="A384" i="12"/>
  <c r="A385" i="12"/>
  <c r="A386" i="12"/>
  <c r="A387" i="12"/>
  <c r="A388" i="12"/>
  <c r="A389" i="12"/>
  <c r="A390" i="12"/>
  <c r="A391" i="12"/>
  <c r="A392" i="12"/>
  <c r="A393" i="12"/>
  <c r="A394" i="12"/>
  <c r="A395" i="12"/>
  <c r="A396" i="12"/>
  <c r="A397" i="12"/>
  <c r="A398" i="12"/>
  <c r="A399" i="12"/>
  <c r="A400" i="12"/>
  <c r="A401" i="12"/>
  <c r="A402" i="12"/>
  <c r="A403" i="12"/>
  <c r="A404" i="12"/>
  <c r="A405" i="12"/>
  <c r="A406" i="12"/>
  <c r="A407" i="12"/>
  <c r="A408" i="12"/>
  <c r="A409" i="12"/>
  <c r="A410" i="12"/>
  <c r="A411" i="12"/>
  <c r="A412" i="12"/>
  <c r="A413" i="12"/>
  <c r="A414" i="12"/>
  <c r="A415" i="12"/>
  <c r="A416" i="12"/>
  <c r="A417" i="12"/>
  <c r="A418" i="12"/>
  <c r="A419" i="12"/>
  <c r="A420" i="12"/>
  <c r="A421" i="12"/>
  <c r="A422" i="12"/>
  <c r="A423" i="12"/>
  <c r="A424" i="12"/>
  <c r="A425" i="12"/>
  <c r="A426" i="12"/>
  <c r="A427" i="12"/>
  <c r="A428" i="12"/>
  <c r="A429" i="12"/>
  <c r="A430" i="12"/>
  <c r="A431" i="12"/>
  <c r="A432" i="12"/>
  <c r="A433" i="12"/>
  <c r="A434" i="12"/>
  <c r="A435" i="12"/>
  <c r="A436" i="12"/>
  <c r="A437" i="12"/>
  <c r="A438" i="12"/>
  <c r="A439" i="12"/>
  <c r="A440" i="12"/>
  <c r="A441" i="12"/>
  <c r="A442" i="12"/>
  <c r="A443" i="12"/>
  <c r="A444" i="12"/>
  <c r="A445" i="12"/>
  <c r="A446" i="12"/>
  <c r="A447" i="12"/>
  <c r="A448" i="12"/>
  <c r="A449" i="12"/>
  <c r="A450" i="12"/>
  <c r="A451" i="12"/>
  <c r="A452" i="12"/>
  <c r="A453" i="12"/>
  <c r="A454" i="12"/>
  <c r="A455" i="12"/>
  <c r="A456" i="12"/>
  <c r="A457" i="12"/>
  <c r="A458" i="12"/>
  <c r="A459" i="12"/>
  <c r="A460" i="12"/>
  <c r="A461" i="12"/>
  <c r="A462" i="12"/>
  <c r="A463" i="12"/>
  <c r="A464" i="12"/>
  <c r="A465" i="12"/>
  <c r="A466" i="12"/>
  <c r="A467" i="12"/>
  <c r="A468" i="12"/>
  <c r="A469" i="12"/>
  <c r="A470" i="12"/>
  <c r="A471" i="12"/>
  <c r="A472" i="12"/>
  <c r="A473" i="12"/>
  <c r="A474" i="12"/>
  <c r="A475" i="12"/>
  <c r="A476" i="12"/>
  <c r="A477" i="12"/>
  <c r="A478" i="12"/>
  <c r="A479" i="12"/>
  <c r="A480" i="12"/>
  <c r="A481" i="12"/>
  <c r="A482" i="12"/>
  <c r="A483" i="12"/>
  <c r="A484" i="12"/>
  <c r="A485" i="12"/>
  <c r="A486" i="12"/>
  <c r="A487" i="12"/>
  <c r="A488" i="12"/>
  <c r="A489" i="12"/>
  <c r="A490" i="12"/>
  <c r="A491" i="12"/>
  <c r="A492" i="12"/>
  <c r="A493" i="12"/>
  <c r="A494" i="12"/>
  <c r="A495" i="12"/>
  <c r="A496" i="12"/>
  <c r="A497" i="12"/>
  <c r="A498" i="12"/>
  <c r="A499" i="12"/>
  <c r="A500" i="12"/>
  <c r="A501" i="12"/>
  <c r="A502" i="12"/>
  <c r="A503" i="12"/>
  <c r="A504" i="12"/>
  <c r="A505" i="12"/>
  <c r="A506" i="12"/>
  <c r="A507" i="12"/>
  <c r="A508" i="12"/>
  <c r="A509" i="12"/>
  <c r="A510" i="12"/>
  <c r="A511" i="12"/>
  <c r="A512" i="12"/>
  <c r="A513" i="12"/>
  <c r="A514" i="12"/>
  <c r="A515" i="12"/>
  <c r="A516" i="12"/>
  <c r="A517" i="12"/>
  <c r="A518" i="12"/>
  <c r="A519" i="12"/>
  <c r="A520" i="12"/>
  <c r="A521" i="12"/>
  <c r="A522" i="12"/>
  <c r="A523" i="12"/>
  <c r="A524" i="12"/>
  <c r="A525" i="12"/>
  <c r="A526" i="12"/>
  <c r="A527" i="12"/>
  <c r="A528" i="12"/>
  <c r="A529" i="12"/>
  <c r="A530" i="12"/>
  <c r="A531" i="12"/>
  <c r="A532" i="12"/>
  <c r="A533" i="12"/>
  <c r="A534" i="12"/>
  <c r="A535" i="12"/>
  <c r="A536" i="12"/>
  <c r="A537" i="12"/>
  <c r="A538" i="12"/>
  <c r="A539" i="12"/>
  <c r="A540" i="12"/>
  <c r="A541" i="12"/>
  <c r="A542" i="12"/>
  <c r="A543" i="12"/>
  <c r="A544" i="12"/>
  <c r="A545" i="12"/>
  <c r="A546" i="12"/>
  <c r="A547" i="12"/>
  <c r="A548" i="12"/>
  <c r="A549" i="12"/>
  <c r="A550" i="12"/>
  <c r="A551" i="12"/>
  <c r="A552" i="12"/>
  <c r="A553" i="12"/>
  <c r="A554" i="12"/>
  <c r="A555" i="12"/>
  <c r="A556" i="12"/>
  <c r="A557" i="12"/>
  <c r="A558" i="12"/>
  <c r="A559" i="12"/>
  <c r="A560" i="12"/>
  <c r="A561" i="12"/>
  <c r="A562" i="12"/>
  <c r="A563" i="12"/>
  <c r="A564" i="12"/>
  <c r="A565" i="12"/>
  <c r="A566" i="12"/>
  <c r="A567" i="12"/>
  <c r="A568" i="12"/>
  <c r="A569" i="12"/>
  <c r="A570" i="12"/>
  <c r="A571" i="12"/>
  <c r="A572" i="12"/>
  <c r="A573" i="12"/>
  <c r="A574" i="12"/>
  <c r="A575" i="12"/>
  <c r="A576" i="12"/>
  <c r="A577" i="12"/>
  <c r="A578" i="12"/>
  <c r="A579" i="12"/>
  <c r="A580" i="12"/>
  <c r="A581" i="12"/>
  <c r="A582" i="12"/>
  <c r="A583" i="12"/>
  <c r="A584" i="12"/>
  <c r="A585" i="12"/>
  <c r="A586" i="12"/>
  <c r="A587" i="12"/>
  <c r="A588" i="12"/>
  <c r="A589" i="12"/>
  <c r="A590" i="12"/>
  <c r="A591" i="12"/>
  <c r="A592" i="12"/>
  <c r="A593" i="12"/>
  <c r="A594" i="12"/>
  <c r="A595" i="12"/>
  <c r="A596" i="12"/>
  <c r="A597" i="12"/>
  <c r="A598" i="12"/>
  <c r="A599" i="12"/>
  <c r="A600" i="12"/>
  <c r="A601" i="12"/>
  <c r="A602" i="12"/>
  <c r="A603" i="12"/>
  <c r="A604" i="12"/>
  <c r="A605" i="12"/>
  <c r="A606" i="12"/>
  <c r="A607" i="12"/>
  <c r="A608" i="12"/>
  <c r="A609" i="12"/>
  <c r="A610" i="12"/>
  <c r="A611" i="12"/>
  <c r="A612" i="12"/>
  <c r="A613" i="12"/>
  <c r="A614" i="12"/>
  <c r="A615" i="12"/>
  <c r="A616" i="12"/>
  <c r="A617" i="12"/>
  <c r="A618" i="12"/>
  <c r="A619" i="12"/>
  <c r="A620" i="12"/>
  <c r="A621" i="12"/>
  <c r="A622" i="12"/>
  <c r="A623" i="12"/>
  <c r="A624" i="12"/>
  <c r="A625" i="12"/>
  <c r="A626" i="12"/>
  <c r="A627" i="12"/>
  <c r="A628" i="12"/>
  <c r="A629" i="12"/>
  <c r="A630" i="12"/>
  <c r="A631" i="12"/>
  <c r="A632" i="12"/>
  <c r="A633" i="12"/>
  <c r="A634" i="12"/>
  <c r="A635" i="12"/>
  <c r="A636" i="12"/>
  <c r="A637" i="12"/>
  <c r="A638" i="12"/>
  <c r="A639" i="12"/>
  <c r="A640" i="12"/>
  <c r="A641" i="12"/>
  <c r="A642" i="12"/>
  <c r="A643" i="12"/>
  <c r="A644" i="12"/>
  <c r="A645" i="12"/>
  <c r="A646" i="12"/>
  <c r="A647" i="12"/>
  <c r="A648" i="12"/>
  <c r="A649" i="12"/>
  <c r="A650" i="12"/>
  <c r="A651" i="12"/>
  <c r="A652" i="12"/>
  <c r="A653" i="12"/>
  <c r="A654" i="12"/>
  <c r="A655" i="12"/>
  <c r="A656" i="12"/>
  <c r="A657" i="12"/>
  <c r="A658" i="12"/>
  <c r="A659" i="12"/>
  <c r="A660" i="12"/>
  <c r="A661" i="12"/>
  <c r="A662" i="12"/>
  <c r="A663" i="12"/>
  <c r="A664" i="12"/>
  <c r="A665" i="12"/>
  <c r="A666" i="12"/>
  <c r="A667" i="12"/>
  <c r="A668" i="12"/>
  <c r="A669" i="12"/>
  <c r="A670" i="12"/>
  <c r="A671" i="12"/>
  <c r="A672" i="12"/>
  <c r="A673" i="12"/>
  <c r="A674" i="12"/>
  <c r="A675" i="12"/>
  <c r="A676" i="12"/>
  <c r="A677" i="12"/>
  <c r="A678" i="12"/>
  <c r="A679" i="12"/>
  <c r="A680" i="12"/>
  <c r="A681" i="12"/>
  <c r="A682" i="12"/>
  <c r="A683" i="12"/>
  <c r="A684" i="12"/>
  <c r="A685" i="12"/>
  <c r="A686" i="12"/>
  <c r="A687" i="12"/>
  <c r="A688" i="12"/>
  <c r="A689" i="12"/>
  <c r="A690" i="12"/>
  <c r="A691" i="12"/>
  <c r="A692" i="12"/>
  <c r="A693" i="12"/>
  <c r="A694" i="12"/>
  <c r="A695" i="12"/>
  <c r="A696" i="12"/>
  <c r="A697" i="12"/>
  <c r="A698" i="12"/>
  <c r="A699" i="12"/>
  <c r="A700" i="12"/>
  <c r="A701" i="12"/>
  <c r="A702" i="12"/>
  <c r="A703" i="12"/>
  <c r="A704" i="12"/>
  <c r="A705" i="12"/>
  <c r="A706" i="12"/>
  <c r="A707" i="12"/>
  <c r="A708" i="12"/>
  <c r="A709" i="12"/>
  <c r="A710" i="12"/>
  <c r="A711" i="12"/>
  <c r="A712" i="12"/>
  <c r="A713" i="12"/>
  <c r="A714" i="12"/>
  <c r="A715" i="12"/>
  <c r="A716" i="12"/>
  <c r="A717" i="12"/>
  <c r="A718" i="12"/>
  <c r="A719" i="12"/>
  <c r="A720" i="12"/>
  <c r="A721" i="12"/>
  <c r="A722" i="12"/>
  <c r="A723" i="12"/>
  <c r="A724" i="12"/>
  <c r="A725" i="12"/>
  <c r="A726" i="12"/>
  <c r="A727" i="12"/>
  <c r="A728" i="12"/>
  <c r="A729" i="12"/>
  <c r="A730" i="12"/>
  <c r="A731" i="12"/>
  <c r="A732" i="12"/>
  <c r="A733" i="12"/>
  <c r="A734" i="12"/>
  <c r="A735" i="12"/>
  <c r="A736" i="12"/>
  <c r="A737" i="12"/>
  <c r="A738" i="12"/>
  <c r="A739" i="12"/>
  <c r="A740" i="12"/>
  <c r="A741" i="12"/>
  <c r="A742" i="12"/>
  <c r="A743" i="12"/>
  <c r="A744" i="12"/>
  <c r="A745" i="12"/>
  <c r="A746" i="12"/>
  <c r="A747" i="12"/>
  <c r="A748" i="12"/>
  <c r="A749" i="12"/>
  <c r="A750" i="12"/>
  <c r="A751" i="12"/>
  <c r="A752" i="12"/>
  <c r="A753" i="12"/>
  <c r="A754" i="12"/>
  <c r="A755" i="12"/>
  <c r="A756" i="12"/>
  <c r="A757" i="12"/>
  <c r="A758" i="12"/>
  <c r="A759" i="12"/>
  <c r="A760" i="12"/>
  <c r="A761" i="12"/>
  <c r="A762" i="12"/>
  <c r="A763" i="12"/>
  <c r="A764" i="12"/>
  <c r="A765" i="12"/>
  <c r="A766" i="12"/>
  <c r="A767" i="12"/>
  <c r="A768" i="12"/>
  <c r="A769" i="12"/>
  <c r="A770" i="12"/>
  <c r="A771" i="12"/>
  <c r="A772" i="12"/>
  <c r="A773" i="12"/>
  <c r="A774" i="12"/>
  <c r="A775" i="12"/>
  <c r="A776" i="12"/>
  <c r="A777" i="12"/>
  <c r="A778" i="12"/>
  <c r="A779" i="12"/>
  <c r="A780" i="12"/>
  <c r="A781" i="12"/>
  <c r="A782" i="12"/>
  <c r="A783" i="12"/>
  <c r="A784" i="12"/>
  <c r="A785" i="12"/>
  <c r="A786" i="12"/>
  <c r="A787" i="12"/>
  <c r="A788" i="12"/>
  <c r="A789" i="12"/>
  <c r="A790" i="12"/>
  <c r="A791" i="12"/>
  <c r="A792" i="12"/>
  <c r="A793" i="12"/>
  <c r="A794" i="12"/>
  <c r="A795" i="12"/>
  <c r="A796" i="12"/>
  <c r="A797" i="12"/>
  <c r="A798" i="12"/>
  <c r="A799" i="12"/>
  <c r="A800" i="12"/>
  <c r="A801" i="12"/>
  <c r="A802" i="12"/>
  <c r="A803" i="12"/>
  <c r="A804" i="12"/>
  <c r="A805" i="12"/>
  <c r="A806" i="12"/>
  <c r="A807" i="12"/>
  <c r="A808" i="12"/>
  <c r="A809" i="12"/>
  <c r="A810" i="12"/>
  <c r="A811" i="12"/>
  <c r="A812" i="12"/>
  <c r="A813" i="12"/>
  <c r="A814" i="12"/>
  <c r="A815" i="12"/>
  <c r="A816" i="12"/>
  <c r="A817" i="12"/>
  <c r="A818" i="12"/>
  <c r="A819" i="12"/>
  <c r="A820" i="12"/>
  <c r="A821" i="12"/>
  <c r="A822" i="12"/>
  <c r="A823" i="12"/>
  <c r="A824" i="12"/>
  <c r="A825" i="12"/>
  <c r="A826" i="12"/>
  <c r="A827" i="12"/>
  <c r="A828" i="12"/>
  <c r="A829" i="12"/>
  <c r="A830" i="12"/>
  <c r="A831" i="12"/>
  <c r="A832" i="12"/>
  <c r="A833" i="12"/>
  <c r="A834" i="12"/>
  <c r="A835" i="12"/>
  <c r="A836" i="12"/>
  <c r="A837" i="12"/>
  <c r="A838" i="12"/>
  <c r="A839" i="12"/>
  <c r="A840" i="12"/>
  <c r="A841" i="12"/>
  <c r="A842" i="12"/>
  <c r="A843" i="12"/>
  <c r="A844" i="12"/>
  <c r="A845" i="12"/>
  <c r="C845" i="12" s="1"/>
  <c r="A846" i="12"/>
  <c r="A847" i="12"/>
  <c r="A848" i="12"/>
  <c r="A849" i="12"/>
  <c r="A850" i="12"/>
  <c r="A851" i="12"/>
  <c r="A852" i="12"/>
  <c r="C852" i="12" s="1"/>
  <c r="A853" i="12"/>
  <c r="A854" i="12"/>
  <c r="A855" i="12"/>
  <c r="A856" i="12"/>
  <c r="A857" i="12"/>
  <c r="A858" i="12"/>
  <c r="A859" i="12"/>
  <c r="A860" i="12"/>
  <c r="A861" i="12"/>
  <c r="A862" i="12"/>
  <c r="A863" i="12"/>
  <c r="A864" i="12"/>
  <c r="A865" i="12"/>
  <c r="A866" i="12"/>
  <c r="A867" i="12"/>
  <c r="A868" i="12"/>
  <c r="A869" i="12"/>
  <c r="A870" i="12"/>
  <c r="A871" i="12"/>
  <c r="A872" i="12"/>
  <c r="A873" i="12"/>
  <c r="A874" i="12"/>
  <c r="A875" i="12"/>
  <c r="A876" i="12"/>
  <c r="C876" i="12" s="1"/>
  <c r="A877" i="12"/>
  <c r="A878" i="12"/>
  <c r="A879" i="12"/>
  <c r="A880" i="12"/>
  <c r="A881" i="12"/>
  <c r="A882" i="12"/>
  <c r="A883" i="12"/>
  <c r="A884" i="12"/>
  <c r="A885" i="12"/>
  <c r="C885" i="12" s="1"/>
  <c r="A886" i="12"/>
  <c r="A887" i="12"/>
  <c r="A888" i="12"/>
  <c r="A889" i="12"/>
  <c r="A890" i="12"/>
  <c r="A891" i="12"/>
  <c r="A892" i="12"/>
  <c r="A893" i="12"/>
  <c r="A894" i="12"/>
  <c r="A895" i="12"/>
  <c r="A896" i="12"/>
  <c r="A897" i="12"/>
  <c r="A898" i="12"/>
  <c r="A899" i="12"/>
  <c r="A900" i="12"/>
  <c r="A901" i="12"/>
  <c r="C901" i="12" s="1"/>
  <c r="A902" i="12"/>
  <c r="A903" i="12"/>
  <c r="A904" i="12"/>
  <c r="A905" i="12"/>
  <c r="A906" i="12"/>
  <c r="A907" i="12"/>
  <c r="A908" i="12"/>
  <c r="A909" i="12"/>
  <c r="A910" i="12"/>
  <c r="A911" i="12"/>
  <c r="A912" i="12"/>
  <c r="A913" i="12"/>
  <c r="A914" i="12"/>
  <c r="A915" i="12"/>
  <c r="A916" i="12"/>
  <c r="A917" i="12"/>
  <c r="A918" i="12"/>
  <c r="A919" i="12"/>
  <c r="A920" i="12"/>
  <c r="A921" i="12"/>
  <c r="A922" i="12"/>
  <c r="A923" i="12"/>
  <c r="A924" i="12"/>
  <c r="A925" i="12"/>
  <c r="A926" i="12"/>
  <c r="A927" i="12"/>
  <c r="A928" i="12"/>
  <c r="A929" i="12"/>
  <c r="A930" i="12"/>
  <c r="A931" i="12"/>
  <c r="A932" i="12"/>
  <c r="A933" i="12"/>
  <c r="A934" i="12"/>
  <c r="A935" i="12"/>
  <c r="A936" i="12"/>
  <c r="A937" i="12"/>
  <c r="A938" i="12"/>
  <c r="A939" i="12"/>
  <c r="A940" i="12"/>
  <c r="C940" i="12" s="1"/>
  <c r="A941" i="12"/>
  <c r="A942" i="12"/>
  <c r="A943" i="12"/>
  <c r="A944" i="12"/>
  <c r="A945" i="12"/>
  <c r="A946" i="12"/>
  <c r="A947" i="12"/>
  <c r="A948" i="12"/>
  <c r="A949" i="12"/>
  <c r="A950" i="12"/>
  <c r="A951" i="12"/>
  <c r="A952" i="12"/>
  <c r="A953" i="12"/>
  <c r="A954" i="12"/>
  <c r="A955" i="12"/>
  <c r="A956" i="12"/>
  <c r="C956" i="12" s="1"/>
  <c r="A957" i="12"/>
  <c r="A958" i="12"/>
  <c r="A959" i="12"/>
  <c r="A960" i="12"/>
  <c r="A961" i="12"/>
  <c r="A962" i="12"/>
  <c r="A963" i="12"/>
  <c r="A964" i="12"/>
  <c r="A965" i="12"/>
  <c r="A966" i="12"/>
  <c r="A967" i="12"/>
  <c r="A968" i="12"/>
  <c r="A969" i="12"/>
  <c r="A970" i="12"/>
  <c r="A971" i="12"/>
  <c r="A972" i="12"/>
  <c r="C972" i="12" s="1"/>
  <c r="A973" i="12"/>
  <c r="A974" i="12"/>
  <c r="A975" i="12"/>
  <c r="A976" i="12"/>
  <c r="A977" i="12"/>
  <c r="A978" i="12"/>
  <c r="A979" i="12"/>
  <c r="A980" i="12"/>
  <c r="A981" i="12"/>
  <c r="A982" i="12"/>
  <c r="A983" i="12"/>
  <c r="A984" i="12"/>
  <c r="A985" i="12"/>
  <c r="A986" i="12"/>
  <c r="A987" i="12"/>
  <c r="A988" i="12"/>
  <c r="A989" i="12"/>
  <c r="A990" i="12"/>
  <c r="A991" i="12"/>
  <c r="A992" i="12"/>
  <c r="A993" i="12"/>
  <c r="A994" i="12"/>
  <c r="A995" i="12"/>
  <c r="A996" i="12"/>
  <c r="A997" i="12"/>
  <c r="A998" i="12"/>
  <c r="A999" i="12"/>
  <c r="A1000" i="12"/>
  <c r="A1001" i="12"/>
  <c r="A1002" i="12"/>
  <c r="A1003" i="12"/>
  <c r="A1004" i="12"/>
  <c r="C1004" i="12" s="1"/>
  <c r="A1005" i="12"/>
  <c r="A1006" i="12"/>
  <c r="A1007" i="12"/>
  <c r="A1008" i="12"/>
  <c r="A1009" i="12"/>
  <c r="A1010" i="12"/>
  <c r="A1011" i="12"/>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C834" i="7" s="1"/>
  <c r="A835" i="7"/>
  <c r="A836" i="7"/>
  <c r="A837" i="7"/>
  <c r="A838" i="7"/>
  <c r="A839" i="7"/>
  <c r="A840" i="7"/>
  <c r="A841" i="7"/>
  <c r="A842" i="7"/>
  <c r="A843" i="7"/>
  <c r="A844" i="7"/>
  <c r="A845" i="7"/>
  <c r="A846" i="7"/>
  <c r="A847" i="7"/>
  <c r="A848" i="7"/>
  <c r="A849" i="7"/>
  <c r="A850" i="7"/>
  <c r="C850" i="7" s="1"/>
  <c r="A851" i="7"/>
  <c r="A852" i="7"/>
  <c r="A853" i="7"/>
  <c r="A854" i="7"/>
  <c r="A855" i="7"/>
  <c r="A856" i="7"/>
  <c r="A857" i="7"/>
  <c r="A858" i="7"/>
  <c r="A859" i="7"/>
  <c r="A860" i="7"/>
  <c r="A861" i="7"/>
  <c r="A862" i="7"/>
  <c r="A863" i="7"/>
  <c r="A864" i="7"/>
  <c r="A865" i="7"/>
  <c r="A866" i="7"/>
  <c r="C866" i="7" s="1"/>
  <c r="A867" i="7"/>
  <c r="A868" i="7"/>
  <c r="A869" i="7"/>
  <c r="A870" i="7"/>
  <c r="A871" i="7"/>
  <c r="A872" i="7"/>
  <c r="A873" i="7"/>
  <c r="A874" i="7"/>
  <c r="A875" i="7"/>
  <c r="A876" i="7"/>
  <c r="A877" i="7"/>
  <c r="A878" i="7"/>
  <c r="A879" i="7"/>
  <c r="A880" i="7"/>
  <c r="A881" i="7"/>
  <c r="A882" i="7"/>
  <c r="C882" i="7" s="1"/>
  <c r="A883" i="7"/>
  <c r="A884" i="7"/>
  <c r="A885" i="7"/>
  <c r="A886" i="7"/>
  <c r="A887" i="7"/>
  <c r="A888" i="7"/>
  <c r="A889" i="7"/>
  <c r="A890" i="7"/>
  <c r="A891" i="7"/>
  <c r="A892" i="7"/>
  <c r="A893" i="7"/>
  <c r="A894" i="7"/>
  <c r="A895" i="7"/>
  <c r="A896" i="7"/>
  <c r="A897" i="7"/>
  <c r="A898" i="7"/>
  <c r="C898" i="7" s="1"/>
  <c r="A899" i="7"/>
  <c r="A900" i="7"/>
  <c r="A901" i="7"/>
  <c r="A902" i="7"/>
  <c r="A903" i="7"/>
  <c r="A904" i="7"/>
  <c r="A905" i="7"/>
  <c r="A906" i="7"/>
  <c r="A907" i="7"/>
  <c r="A908" i="7"/>
  <c r="A909" i="7"/>
  <c r="A910" i="7"/>
  <c r="A911" i="7"/>
  <c r="A912" i="7"/>
  <c r="A913" i="7"/>
  <c r="A914" i="7"/>
  <c r="C914" i="7" s="1"/>
  <c r="A915" i="7"/>
  <c r="A916" i="7"/>
  <c r="A917" i="7"/>
  <c r="A918" i="7"/>
  <c r="A919" i="7"/>
  <c r="A920" i="7"/>
  <c r="A921" i="7"/>
  <c r="A922" i="7"/>
  <c r="A923" i="7"/>
  <c r="A924" i="7"/>
  <c r="A925" i="7"/>
  <c r="A926" i="7"/>
  <c r="A927" i="7"/>
  <c r="A928" i="7"/>
  <c r="A929" i="7"/>
  <c r="A930" i="7"/>
  <c r="C930" i="7" s="1"/>
  <c r="A931" i="7"/>
  <c r="A932" i="7"/>
  <c r="A933" i="7"/>
  <c r="A934" i="7"/>
  <c r="A935" i="7"/>
  <c r="A936" i="7"/>
  <c r="A937" i="7"/>
  <c r="A938" i="7"/>
  <c r="A939" i="7"/>
  <c r="A940" i="7"/>
  <c r="A941" i="7"/>
  <c r="A942" i="7"/>
  <c r="A943" i="7"/>
  <c r="A944" i="7"/>
  <c r="A945" i="7"/>
  <c r="A946" i="7"/>
  <c r="C946" i="7" s="1"/>
  <c r="A947" i="7"/>
  <c r="A948" i="7"/>
  <c r="A949" i="7"/>
  <c r="A950" i="7"/>
  <c r="A951" i="7"/>
  <c r="A952" i="7"/>
  <c r="A953" i="7"/>
  <c r="A954" i="7"/>
  <c r="A955" i="7"/>
  <c r="A956" i="7"/>
  <c r="A957" i="7"/>
  <c r="A958" i="7"/>
  <c r="A959" i="7"/>
  <c r="A960" i="7"/>
  <c r="A961" i="7"/>
  <c r="A962" i="7"/>
  <c r="C962" i="7" s="1"/>
  <c r="A963" i="7"/>
  <c r="A964" i="7"/>
  <c r="A965" i="7"/>
  <c r="A966" i="7"/>
  <c r="A967" i="7"/>
  <c r="A968" i="7"/>
  <c r="A969" i="7"/>
  <c r="A970" i="7"/>
  <c r="A971" i="7"/>
  <c r="A972" i="7"/>
  <c r="A973" i="7"/>
  <c r="A974" i="7"/>
  <c r="A975" i="7"/>
  <c r="A976" i="7"/>
  <c r="A977" i="7"/>
  <c r="A978" i="7"/>
  <c r="C978" i="7" s="1"/>
  <c r="A979" i="7"/>
  <c r="A980" i="7"/>
  <c r="A981" i="7"/>
  <c r="A982" i="7"/>
  <c r="A983" i="7"/>
  <c r="A984" i="7"/>
  <c r="A985" i="7"/>
  <c r="A986" i="7"/>
  <c r="A987" i="7"/>
  <c r="A988" i="7"/>
  <c r="A989" i="7"/>
  <c r="A990" i="7"/>
  <c r="A991" i="7"/>
  <c r="A992" i="7"/>
  <c r="A993" i="7"/>
  <c r="A994" i="7"/>
  <c r="C994" i="7" s="1"/>
  <c r="A995" i="7"/>
  <c r="A996" i="7"/>
  <c r="A997" i="7"/>
  <c r="A998" i="7"/>
  <c r="A999" i="7"/>
  <c r="A1000" i="7"/>
  <c r="A1001" i="7"/>
  <c r="A1002" i="7"/>
  <c r="A1003" i="7"/>
  <c r="A1004" i="7"/>
  <c r="A1005" i="7"/>
  <c r="A1006" i="7"/>
  <c r="A1007" i="7"/>
  <c r="A1008" i="7"/>
  <c r="A1009" i="7"/>
  <c r="A1010" i="7"/>
  <c r="C1010" i="7" s="1"/>
  <c r="A1011" i="7"/>
  <c r="A1012" i="7"/>
  <c r="A1013" i="7"/>
  <c r="A1014" i="7"/>
  <c r="A1015" i="7"/>
  <c r="A1016" i="7"/>
  <c r="A1017" i="7"/>
  <c r="A1018" i="7"/>
  <c r="A1019" i="7"/>
  <c r="A1020" i="7"/>
  <c r="A1021" i="7"/>
  <c r="A1022" i="7"/>
  <c r="A1023" i="7"/>
  <c r="A1024" i="7"/>
  <c r="A1025" i="7"/>
  <c r="A1026" i="7"/>
  <c r="C1026" i="7" s="1"/>
  <c r="A1027" i="7"/>
  <c r="A1028" i="7"/>
  <c r="A1029" i="7"/>
  <c r="A1030" i="7"/>
  <c r="A1031" i="7"/>
  <c r="A1032" i="7"/>
  <c r="A1033" i="7"/>
  <c r="A1034" i="7"/>
  <c r="A1035" i="7"/>
  <c r="A1036" i="7"/>
  <c r="A1037" i="7"/>
  <c r="A1038" i="7"/>
  <c r="A1039" i="7"/>
  <c r="A1040" i="7"/>
  <c r="A1041" i="7"/>
  <c r="A1042" i="7"/>
  <c r="C1042" i="7" s="1"/>
  <c r="A1043" i="7"/>
  <c r="A1044" i="7"/>
  <c r="A1045" i="7"/>
  <c r="A1046" i="7"/>
  <c r="A1047" i="7"/>
  <c r="A1048" i="7"/>
  <c r="A1049" i="7"/>
  <c r="A1050" i="7"/>
  <c r="A1051" i="7"/>
  <c r="A1052" i="7"/>
  <c r="A1053" i="7"/>
  <c r="A1054" i="7"/>
  <c r="A1055" i="7"/>
  <c r="A1056" i="7"/>
  <c r="A1057" i="7"/>
  <c r="A1058" i="7"/>
  <c r="C1058" i="7" s="1"/>
  <c r="A1059" i="7"/>
  <c r="A1060" i="7"/>
  <c r="A1061" i="7"/>
  <c r="A1062" i="7"/>
  <c r="A1063" i="7"/>
  <c r="A1064" i="7"/>
  <c r="A1065" i="7"/>
  <c r="A1066" i="7"/>
  <c r="A1067" i="7"/>
  <c r="A1068" i="7"/>
  <c r="A1069" i="7"/>
  <c r="A1070" i="7"/>
  <c r="A1071" i="7"/>
  <c r="A1072" i="7"/>
  <c r="A1073" i="7"/>
  <c r="A1074" i="7"/>
  <c r="C1074" i="7" s="1"/>
  <c r="A1075" i="7"/>
  <c r="A1076" i="7"/>
  <c r="A1077" i="7"/>
  <c r="A1078" i="7"/>
  <c r="A1079" i="7"/>
  <c r="A1080" i="7"/>
  <c r="A1081" i="7"/>
  <c r="A1082" i="7"/>
  <c r="A1083" i="7"/>
  <c r="A1084" i="7"/>
  <c r="A1085" i="7"/>
  <c r="A1086" i="7"/>
  <c r="A1087" i="7"/>
  <c r="A1088" i="7"/>
  <c r="A1089" i="7"/>
  <c r="A1090" i="7"/>
  <c r="C1090" i="7" s="1"/>
  <c r="A1091" i="7"/>
  <c r="A1092" i="7"/>
  <c r="A1093" i="7"/>
  <c r="A1094" i="7"/>
  <c r="A1095" i="7"/>
  <c r="A1096" i="7"/>
  <c r="A1097" i="7"/>
  <c r="A1098" i="7"/>
  <c r="A1099" i="7"/>
  <c r="A1100" i="7"/>
  <c r="A1101" i="7"/>
  <c r="A1102" i="7"/>
  <c r="A1103" i="7"/>
  <c r="A1104" i="7"/>
  <c r="A1105" i="7"/>
  <c r="A1106" i="7"/>
  <c r="C1106" i="7" s="1"/>
  <c r="A1107" i="7"/>
  <c r="A1108" i="7"/>
  <c r="A1109" i="7"/>
  <c r="A1110" i="7"/>
  <c r="A1111" i="7"/>
  <c r="A1112" i="7"/>
  <c r="A1113" i="7"/>
  <c r="A1114" i="7"/>
  <c r="A1115" i="7"/>
  <c r="A1116" i="7"/>
  <c r="A1117" i="7"/>
  <c r="A1118" i="7"/>
  <c r="A1119" i="7"/>
  <c r="A1120" i="7"/>
  <c r="A1121" i="7"/>
  <c r="A1122" i="7"/>
  <c r="C1122" i="7" s="1"/>
  <c r="A1123" i="7"/>
  <c r="A1124" i="7"/>
  <c r="A1125" i="7"/>
  <c r="A1126" i="7"/>
  <c r="A1127" i="7"/>
  <c r="A1128" i="7"/>
  <c r="A1129" i="7"/>
  <c r="A1130" i="7"/>
  <c r="A1131" i="7"/>
  <c r="A1132" i="7"/>
  <c r="A1133" i="7"/>
  <c r="A1134" i="7"/>
  <c r="A1135" i="7"/>
  <c r="A1136" i="7"/>
  <c r="A1137" i="7"/>
  <c r="A1138" i="7"/>
  <c r="C1138" i="7" s="1"/>
  <c r="A1139" i="7"/>
  <c r="A1140" i="7"/>
  <c r="A1141" i="7"/>
  <c r="A1142" i="7"/>
  <c r="A1143" i="7"/>
  <c r="A1144" i="7"/>
  <c r="A1145" i="7"/>
  <c r="A1146" i="7"/>
  <c r="A1147" i="7"/>
  <c r="A1148" i="7"/>
  <c r="A1149" i="7"/>
  <c r="A1150" i="7"/>
  <c r="A1151" i="7"/>
  <c r="A1152" i="7"/>
  <c r="A1153" i="7"/>
  <c r="A1154" i="7"/>
  <c r="A1155" i="7"/>
  <c r="B1149" i="5"/>
  <c r="B1150" i="5"/>
  <c r="B1151" i="5"/>
  <c r="B1152" i="5"/>
  <c r="B1153" i="5"/>
  <c r="B1154" i="5"/>
  <c r="B1155" i="5"/>
  <c r="B1156" i="5"/>
  <c r="B1157" i="5"/>
  <c r="B1158" i="5"/>
  <c r="B1159" i="5"/>
  <c r="B1160" i="5"/>
  <c r="B1161" i="5"/>
  <c r="B1162" i="5"/>
  <c r="B1163" i="5"/>
  <c r="B1164" i="5"/>
  <c r="B1165" i="5"/>
  <c r="B1166" i="5"/>
  <c r="B1167" i="5"/>
  <c r="B1168" i="5"/>
  <c r="B1169" i="5"/>
  <c r="C1169" i="5" s="1"/>
  <c r="B1170" i="5"/>
  <c r="B1171" i="5"/>
  <c r="B1172" i="5"/>
  <c r="B1173" i="5"/>
  <c r="B1174" i="5"/>
  <c r="B1175" i="5"/>
  <c r="B1176" i="5"/>
  <c r="B1177" i="5"/>
  <c r="C1177" i="5" s="1"/>
  <c r="B1178" i="5"/>
  <c r="B1179" i="5"/>
  <c r="B1180" i="5"/>
  <c r="B1181" i="5"/>
  <c r="B1182" i="5"/>
  <c r="B1183" i="5"/>
  <c r="B1184" i="5"/>
  <c r="B1185" i="5"/>
  <c r="C1185" i="5" s="1"/>
  <c r="B1186" i="5"/>
  <c r="B1187" i="5"/>
  <c r="B1188" i="5"/>
  <c r="B1189" i="5"/>
  <c r="B1190" i="5"/>
  <c r="B1191" i="5"/>
  <c r="B1192" i="5"/>
  <c r="B1193" i="5"/>
  <c r="C1193" i="5" s="1"/>
  <c r="B1194" i="5"/>
  <c r="B1195" i="5"/>
  <c r="B1196" i="5"/>
  <c r="B1197" i="5"/>
  <c r="B1198" i="5"/>
  <c r="B1199" i="5"/>
  <c r="B1200" i="5"/>
  <c r="B1201" i="5"/>
  <c r="C1201" i="5" s="1"/>
  <c r="B1202" i="5"/>
  <c r="B1203" i="5"/>
  <c r="B1204" i="5"/>
  <c r="B1205" i="5"/>
  <c r="B1206" i="5"/>
  <c r="B1207" i="5"/>
  <c r="B1208" i="5"/>
  <c r="B1209" i="5"/>
  <c r="C1209" i="5" s="1"/>
  <c r="B1210" i="5"/>
  <c r="B1211" i="5"/>
  <c r="B1212" i="5"/>
  <c r="B1213" i="5"/>
  <c r="B1214" i="5"/>
  <c r="B1215" i="5"/>
  <c r="B1216" i="5"/>
  <c r="B1217" i="5"/>
  <c r="C1217" i="5" s="1"/>
  <c r="B1218" i="5"/>
  <c r="B1219" i="5"/>
  <c r="B1220" i="5"/>
  <c r="B1221" i="5"/>
  <c r="B1222" i="5"/>
  <c r="B1223" i="5"/>
  <c r="B1224" i="5"/>
  <c r="B1225" i="5"/>
  <c r="C1225" i="5" s="1"/>
  <c r="B1226" i="5"/>
  <c r="B1227" i="5"/>
  <c r="B1228" i="5"/>
  <c r="B1229" i="5"/>
  <c r="B1230" i="5"/>
  <c r="B1231" i="5"/>
  <c r="B1232" i="5"/>
  <c r="B1233" i="5"/>
  <c r="C1233" i="5" s="1"/>
  <c r="B1234" i="5"/>
  <c r="B1235" i="5"/>
  <c r="B1236" i="5"/>
  <c r="B1237" i="5"/>
  <c r="B1238" i="5"/>
  <c r="B1239" i="5"/>
  <c r="B1240" i="5"/>
  <c r="B1241" i="5"/>
  <c r="C1241" i="5" s="1"/>
  <c r="B1242" i="5"/>
  <c r="B1243" i="5"/>
  <c r="B1244" i="5"/>
  <c r="B1245" i="5"/>
  <c r="B1246" i="5"/>
  <c r="B1247" i="5"/>
  <c r="B1248" i="5"/>
  <c r="B1249" i="5"/>
  <c r="C1249" i="5" s="1"/>
  <c r="B1250" i="5"/>
  <c r="B1251" i="5"/>
  <c r="B1252" i="5"/>
  <c r="B1253" i="5"/>
  <c r="B1254" i="5"/>
  <c r="B1255" i="5"/>
  <c r="B1256" i="5"/>
  <c r="B1257" i="5"/>
  <c r="C1257" i="5" s="1"/>
  <c r="B1258" i="5"/>
  <c r="B1259" i="5"/>
  <c r="B1260" i="5"/>
  <c r="B1261" i="5"/>
  <c r="B1262" i="5"/>
  <c r="B1263" i="5"/>
  <c r="B1264" i="5"/>
  <c r="B1265" i="5"/>
  <c r="C1265" i="5" s="1"/>
  <c r="B1266" i="5"/>
  <c r="B1267" i="5"/>
  <c r="B1268" i="5"/>
  <c r="B1269" i="5"/>
  <c r="B1270" i="5"/>
  <c r="B1271" i="5"/>
  <c r="B1272" i="5"/>
  <c r="B1273" i="5"/>
  <c r="C1273" i="5" s="1"/>
  <c r="B1274" i="5"/>
  <c r="B1275" i="5"/>
  <c r="B1276" i="5"/>
  <c r="B1277" i="5"/>
  <c r="B1278" i="5"/>
  <c r="B1279" i="5"/>
  <c r="B1280" i="5"/>
  <c r="B1281" i="5"/>
  <c r="C1281" i="5" s="1"/>
  <c r="B1282" i="5"/>
  <c r="B1283" i="5"/>
  <c r="B1284" i="5"/>
  <c r="B1285" i="5"/>
  <c r="B1286" i="5"/>
  <c r="B1287" i="5"/>
  <c r="B1288" i="5"/>
  <c r="B1289" i="5"/>
  <c r="C1289" i="5" s="1"/>
  <c r="B1290" i="5"/>
  <c r="B1291" i="5"/>
  <c r="B1292" i="5"/>
  <c r="B1293" i="5"/>
  <c r="B1294" i="5"/>
  <c r="B1295" i="5"/>
  <c r="B1296" i="5"/>
  <c r="B1297" i="5"/>
  <c r="C1297" i="5" s="1"/>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C1149" i="5"/>
  <c r="C1150" i="5"/>
  <c r="C1151" i="5"/>
  <c r="C1152" i="5"/>
  <c r="C1153" i="5"/>
  <c r="C1154" i="5"/>
  <c r="C1155" i="5"/>
  <c r="C1156" i="5"/>
  <c r="C1157" i="5"/>
  <c r="C1158" i="5"/>
  <c r="C1159" i="5"/>
  <c r="C1160" i="5"/>
  <c r="C1161" i="5"/>
  <c r="C1162" i="5"/>
  <c r="C1163" i="5"/>
  <c r="C1164" i="5"/>
  <c r="C1165" i="5"/>
  <c r="C1166" i="5"/>
  <c r="C1167" i="5"/>
  <c r="C1168" i="5"/>
  <c r="C1170" i="5"/>
  <c r="C1171" i="5"/>
  <c r="C1172" i="5"/>
  <c r="C1173" i="5"/>
  <c r="C1174" i="5"/>
  <c r="C1175" i="5"/>
  <c r="C1176" i="5"/>
  <c r="C1178" i="5"/>
  <c r="C1179" i="5"/>
  <c r="C1180" i="5"/>
  <c r="C1181" i="5"/>
  <c r="C1182" i="5"/>
  <c r="C1183" i="5"/>
  <c r="C1184" i="5"/>
  <c r="C1186" i="5"/>
  <c r="C1187" i="5"/>
  <c r="C1188" i="5"/>
  <c r="C1189" i="5"/>
  <c r="C1190" i="5"/>
  <c r="C1191" i="5"/>
  <c r="C1192" i="5"/>
  <c r="C1194" i="5"/>
  <c r="C1195" i="5"/>
  <c r="C1196" i="5"/>
  <c r="C1197" i="5"/>
  <c r="C1198" i="5"/>
  <c r="C1199" i="5"/>
  <c r="C1200" i="5"/>
  <c r="C1202" i="5"/>
  <c r="C1203" i="5"/>
  <c r="C1204" i="5"/>
  <c r="C1205" i="5"/>
  <c r="C1206" i="5"/>
  <c r="C1207" i="5"/>
  <c r="C1208" i="5"/>
  <c r="C1210" i="5"/>
  <c r="C1211" i="5"/>
  <c r="C1212" i="5"/>
  <c r="C1213" i="5"/>
  <c r="C1214" i="5"/>
  <c r="C1215" i="5"/>
  <c r="C1216" i="5"/>
  <c r="C1218" i="5"/>
  <c r="C1219" i="5"/>
  <c r="C1220" i="5"/>
  <c r="C1221" i="5"/>
  <c r="C1222" i="5"/>
  <c r="C1223" i="5"/>
  <c r="C1224" i="5"/>
  <c r="C1226" i="5"/>
  <c r="C1227" i="5"/>
  <c r="C1228" i="5"/>
  <c r="C1229" i="5"/>
  <c r="C1230" i="5"/>
  <c r="C1231" i="5"/>
  <c r="C1232" i="5"/>
  <c r="C1234" i="5"/>
  <c r="C1235" i="5"/>
  <c r="C1236" i="5"/>
  <c r="C1237" i="5"/>
  <c r="C1238" i="5"/>
  <c r="C1239" i="5"/>
  <c r="C1240" i="5"/>
  <c r="C1242" i="5"/>
  <c r="C1243" i="5"/>
  <c r="C1244" i="5"/>
  <c r="C1245" i="5"/>
  <c r="C1246" i="5"/>
  <c r="C1247" i="5"/>
  <c r="C1248" i="5"/>
  <c r="C1250" i="5"/>
  <c r="C1251" i="5"/>
  <c r="C1252" i="5"/>
  <c r="C1253" i="5"/>
  <c r="C1254" i="5"/>
  <c r="C1255" i="5"/>
  <c r="C1256" i="5"/>
  <c r="C1258" i="5"/>
  <c r="C1259" i="5"/>
  <c r="C1260" i="5"/>
  <c r="C1261" i="5"/>
  <c r="C1262" i="5"/>
  <c r="C1263" i="5"/>
  <c r="C1264" i="5"/>
  <c r="C1266" i="5"/>
  <c r="C1267" i="5"/>
  <c r="C1268" i="5"/>
  <c r="C1269" i="5"/>
  <c r="C1270" i="5"/>
  <c r="C1271" i="5"/>
  <c r="C1272" i="5"/>
  <c r="C1274" i="5"/>
  <c r="C1275" i="5"/>
  <c r="C1276" i="5"/>
  <c r="C1277" i="5"/>
  <c r="C1278" i="5"/>
  <c r="C1279" i="5"/>
  <c r="C1280" i="5"/>
  <c r="C1282" i="5"/>
  <c r="C1283" i="5"/>
  <c r="C1284" i="5"/>
  <c r="C1285" i="5"/>
  <c r="C1286" i="5"/>
  <c r="C1287" i="5"/>
  <c r="C1288" i="5"/>
  <c r="C1290" i="5"/>
  <c r="C1291" i="5"/>
  <c r="C1292" i="5"/>
  <c r="C1293" i="5"/>
  <c r="C1294" i="5"/>
  <c r="C1295" i="5"/>
  <c r="C1296"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C823" i="5" s="1"/>
  <c r="B824" i="5"/>
  <c r="B825" i="5"/>
  <c r="B826" i="5"/>
  <c r="B827" i="5"/>
  <c r="B828" i="5"/>
  <c r="B829" i="5"/>
  <c r="B830" i="5"/>
  <c r="B831" i="5"/>
  <c r="C831" i="5" s="1"/>
  <c r="F831" i="5" s="1"/>
  <c r="H831" i="5" s="1"/>
  <c r="B832" i="5"/>
  <c r="B833" i="5"/>
  <c r="B834" i="5"/>
  <c r="B835" i="5"/>
  <c r="B836" i="5"/>
  <c r="B837" i="5"/>
  <c r="B838" i="5"/>
  <c r="B839" i="5"/>
  <c r="C839" i="5" s="1"/>
  <c r="B840" i="5"/>
  <c r="B841" i="5"/>
  <c r="B842" i="5"/>
  <c r="B843" i="5"/>
  <c r="B844" i="5"/>
  <c r="B845" i="5"/>
  <c r="B846" i="5"/>
  <c r="B847" i="5"/>
  <c r="B848" i="5"/>
  <c r="B849" i="5"/>
  <c r="B850" i="5"/>
  <c r="B851" i="5"/>
  <c r="B852" i="5"/>
  <c r="B853" i="5"/>
  <c r="B854" i="5"/>
  <c r="B855" i="5"/>
  <c r="C855" i="5" s="1"/>
  <c r="B856" i="5"/>
  <c r="B857" i="5"/>
  <c r="B858" i="5"/>
  <c r="B859" i="5"/>
  <c r="B860" i="5"/>
  <c r="B861" i="5"/>
  <c r="B862" i="5"/>
  <c r="B863" i="5"/>
  <c r="C863" i="5" s="1"/>
  <c r="F863" i="5" s="1"/>
  <c r="H863" i="5" s="1"/>
  <c r="B864" i="5"/>
  <c r="B865" i="5"/>
  <c r="B866" i="5"/>
  <c r="B867" i="5"/>
  <c r="B868" i="5"/>
  <c r="B869" i="5"/>
  <c r="B870" i="5"/>
  <c r="B871" i="5"/>
  <c r="C871" i="5" s="1"/>
  <c r="B872" i="5"/>
  <c r="B873" i="5"/>
  <c r="B874" i="5"/>
  <c r="B875" i="5"/>
  <c r="B876" i="5"/>
  <c r="B877" i="5"/>
  <c r="B878" i="5"/>
  <c r="B879" i="5"/>
  <c r="B880" i="5"/>
  <c r="B881" i="5"/>
  <c r="B882" i="5"/>
  <c r="B883" i="5"/>
  <c r="B884" i="5"/>
  <c r="B885" i="5"/>
  <c r="B886" i="5"/>
  <c r="B887" i="5"/>
  <c r="C887" i="5" s="1"/>
  <c r="B888" i="5"/>
  <c r="B889" i="5"/>
  <c r="B890" i="5"/>
  <c r="B891" i="5"/>
  <c r="B892" i="5"/>
  <c r="B893" i="5"/>
  <c r="B894" i="5"/>
  <c r="B895" i="5"/>
  <c r="C895" i="5" s="1"/>
  <c r="F895" i="5" s="1"/>
  <c r="H895" i="5" s="1"/>
  <c r="B896" i="5"/>
  <c r="B897" i="5"/>
  <c r="B898" i="5"/>
  <c r="B899" i="5"/>
  <c r="B900" i="5"/>
  <c r="B901" i="5"/>
  <c r="B902" i="5"/>
  <c r="B903" i="5"/>
  <c r="C903" i="5" s="1"/>
  <c r="B904" i="5"/>
  <c r="B905" i="5"/>
  <c r="B906" i="5"/>
  <c r="B907" i="5"/>
  <c r="B908" i="5"/>
  <c r="B909" i="5"/>
  <c r="B910" i="5"/>
  <c r="B911" i="5"/>
  <c r="B912" i="5"/>
  <c r="B913" i="5"/>
  <c r="B914" i="5"/>
  <c r="B915" i="5"/>
  <c r="B916" i="5"/>
  <c r="B917" i="5"/>
  <c r="B918" i="5"/>
  <c r="B919" i="5"/>
  <c r="C919" i="5" s="1"/>
  <c r="B920" i="5"/>
  <c r="B921" i="5"/>
  <c r="B922" i="5"/>
  <c r="B923" i="5"/>
  <c r="B924" i="5"/>
  <c r="B925" i="5"/>
  <c r="B926" i="5"/>
  <c r="B927" i="5"/>
  <c r="C927" i="5" s="1"/>
  <c r="F927" i="5" s="1"/>
  <c r="H927" i="5" s="1"/>
  <c r="B928" i="5"/>
  <c r="B929" i="5"/>
  <c r="B930" i="5"/>
  <c r="B931" i="5"/>
  <c r="B932" i="5"/>
  <c r="B933" i="5"/>
  <c r="B934" i="5"/>
  <c r="B935" i="5"/>
  <c r="C935" i="5" s="1"/>
  <c r="B936" i="5"/>
  <c r="B937" i="5"/>
  <c r="B938" i="5"/>
  <c r="B939" i="5"/>
  <c r="B940" i="5"/>
  <c r="B941" i="5"/>
  <c r="B942" i="5"/>
  <c r="B943" i="5"/>
  <c r="B944" i="5"/>
  <c r="B945" i="5"/>
  <c r="B946" i="5"/>
  <c r="B947" i="5"/>
  <c r="B948" i="5"/>
  <c r="B949" i="5"/>
  <c r="B950" i="5"/>
  <c r="B951" i="5"/>
  <c r="C951" i="5" s="1"/>
  <c r="B952" i="5"/>
  <c r="B953" i="5"/>
  <c r="B954" i="5"/>
  <c r="B955" i="5"/>
  <c r="B956" i="5"/>
  <c r="B957" i="5"/>
  <c r="B958" i="5"/>
  <c r="B959" i="5"/>
  <c r="C959" i="5" s="1"/>
  <c r="F959" i="5" s="1"/>
  <c r="H959" i="5" s="1"/>
  <c r="B960" i="5"/>
  <c r="B961" i="5"/>
  <c r="B962" i="5"/>
  <c r="B963" i="5"/>
  <c r="B964" i="5"/>
  <c r="B965" i="5"/>
  <c r="B966" i="5"/>
  <c r="B967" i="5"/>
  <c r="C967" i="5" s="1"/>
  <c r="B968" i="5"/>
  <c r="B969" i="5"/>
  <c r="B970" i="5"/>
  <c r="B971" i="5"/>
  <c r="B972" i="5"/>
  <c r="B973" i="5"/>
  <c r="B974" i="5"/>
  <c r="B975" i="5"/>
  <c r="B976" i="5"/>
  <c r="B977" i="5"/>
  <c r="B978" i="5"/>
  <c r="B979" i="5"/>
  <c r="B980" i="5"/>
  <c r="B981" i="5"/>
  <c r="B982" i="5"/>
  <c r="B983" i="5"/>
  <c r="C983" i="5" s="1"/>
  <c r="B984" i="5"/>
  <c r="B985" i="5"/>
  <c r="B986" i="5"/>
  <c r="B987" i="5"/>
  <c r="B988" i="5"/>
  <c r="B989" i="5"/>
  <c r="B990" i="5"/>
  <c r="B991" i="5"/>
  <c r="C991" i="5" s="1"/>
  <c r="F991" i="5" s="1"/>
  <c r="H991" i="5" s="1"/>
  <c r="B992" i="5"/>
  <c r="B993" i="5"/>
  <c r="B994" i="5"/>
  <c r="B995" i="5"/>
  <c r="B996" i="5"/>
  <c r="B997" i="5"/>
  <c r="B998" i="5"/>
  <c r="B999" i="5"/>
  <c r="C999" i="5" s="1"/>
  <c r="B1000" i="5"/>
  <c r="B1001" i="5"/>
  <c r="B1002" i="5"/>
  <c r="B1003" i="5"/>
  <c r="B1004" i="5"/>
  <c r="B1005" i="5"/>
  <c r="B1006" i="5"/>
  <c r="B1007" i="5"/>
  <c r="B1008" i="5"/>
  <c r="B1009" i="5"/>
  <c r="B1010" i="5"/>
  <c r="B1011" i="5"/>
  <c r="B1012" i="5"/>
  <c r="B1013" i="5"/>
  <c r="B1014" i="5"/>
  <c r="B1015" i="5"/>
  <c r="C1015" i="5" s="1"/>
  <c r="B1016" i="5"/>
  <c r="B1017" i="5"/>
  <c r="B1018" i="5"/>
  <c r="B1019" i="5"/>
  <c r="B1020" i="5"/>
  <c r="B1021" i="5"/>
  <c r="B1022" i="5"/>
  <c r="B1023" i="5"/>
  <c r="C1023" i="5" s="1"/>
  <c r="F1023" i="5" s="1"/>
  <c r="H1023" i="5" s="1"/>
  <c r="B1024" i="5"/>
  <c r="B1025" i="5"/>
  <c r="B1026" i="5"/>
  <c r="B1027" i="5"/>
  <c r="B1028" i="5"/>
  <c r="B1029" i="5"/>
  <c r="B1030" i="5"/>
  <c r="B1031" i="5"/>
  <c r="C1031" i="5" s="1"/>
  <c r="B1032" i="5"/>
  <c r="B1033" i="5"/>
  <c r="B1034" i="5"/>
  <c r="B1035" i="5"/>
  <c r="B1036" i="5"/>
  <c r="B1037" i="5"/>
  <c r="B1038" i="5"/>
  <c r="B1039" i="5"/>
  <c r="B1040" i="5"/>
  <c r="B1041" i="5"/>
  <c r="B1042" i="5"/>
  <c r="B1043" i="5"/>
  <c r="B1044" i="5"/>
  <c r="B1045" i="5"/>
  <c r="B1046" i="5"/>
  <c r="B1047" i="5"/>
  <c r="C1047" i="5" s="1"/>
  <c r="B1048" i="5"/>
  <c r="B1049" i="5"/>
  <c r="B1050" i="5"/>
  <c r="B1051" i="5"/>
  <c r="B1052" i="5"/>
  <c r="B1053" i="5"/>
  <c r="B1054" i="5"/>
  <c r="B1055" i="5"/>
  <c r="C1055" i="5" s="1"/>
  <c r="F1055" i="5" s="1"/>
  <c r="H1055" i="5" s="1"/>
  <c r="B1056" i="5"/>
  <c r="B1057" i="5"/>
  <c r="B1058" i="5"/>
  <c r="B1059" i="5"/>
  <c r="B1060" i="5"/>
  <c r="B1061" i="5"/>
  <c r="B1062" i="5"/>
  <c r="B1063" i="5"/>
  <c r="C1063" i="5" s="1"/>
  <c r="B1064" i="5"/>
  <c r="B1065" i="5"/>
  <c r="B1066" i="5"/>
  <c r="B1067" i="5"/>
  <c r="B1068" i="5"/>
  <c r="B1069" i="5"/>
  <c r="B1070" i="5"/>
  <c r="B1071" i="5"/>
  <c r="B1072" i="5"/>
  <c r="B1073" i="5"/>
  <c r="B1074" i="5"/>
  <c r="B1075" i="5"/>
  <c r="B1076" i="5"/>
  <c r="B1077" i="5"/>
  <c r="B1078" i="5"/>
  <c r="B1079" i="5"/>
  <c r="C1079" i="5" s="1"/>
  <c r="B1080" i="5"/>
  <c r="B1081" i="5"/>
  <c r="B1082" i="5"/>
  <c r="B1083" i="5"/>
  <c r="B1084" i="5"/>
  <c r="B1085" i="5"/>
  <c r="B1086" i="5"/>
  <c r="B1087" i="5"/>
  <c r="C1087" i="5" s="1"/>
  <c r="F1087" i="5" s="1"/>
  <c r="H1087" i="5" s="1"/>
  <c r="B1088" i="5"/>
  <c r="B1089" i="5"/>
  <c r="B1090" i="5"/>
  <c r="B1091" i="5"/>
  <c r="B1092" i="5"/>
  <c r="B1093" i="5"/>
  <c r="B1094" i="5"/>
  <c r="B1095" i="5"/>
  <c r="C1095" i="5" s="1"/>
  <c r="B1096" i="5"/>
  <c r="B1097" i="5"/>
  <c r="B1098" i="5"/>
  <c r="B1099" i="5"/>
  <c r="B1100" i="5"/>
  <c r="B1101" i="5"/>
  <c r="B1102" i="5"/>
  <c r="B1103" i="5"/>
  <c r="B1104" i="5"/>
  <c r="B1105" i="5"/>
  <c r="B1106" i="5"/>
  <c r="B1107" i="5"/>
  <c r="B1108" i="5"/>
  <c r="B1109" i="5"/>
  <c r="B1110" i="5"/>
  <c r="B1111" i="5"/>
  <c r="C1111" i="5" s="1"/>
  <c r="B1112" i="5"/>
  <c r="B1113" i="5"/>
  <c r="B1114" i="5"/>
  <c r="B1115" i="5"/>
  <c r="B1116" i="5"/>
  <c r="B1117" i="5"/>
  <c r="B1118" i="5"/>
  <c r="B1119" i="5"/>
  <c r="C1119" i="5" s="1"/>
  <c r="F1119" i="5" s="1"/>
  <c r="H1119" i="5" s="1"/>
  <c r="B1120" i="5"/>
  <c r="B1121" i="5"/>
  <c r="B1122" i="5"/>
  <c r="B1123" i="5"/>
  <c r="B1124" i="5"/>
  <c r="B1125" i="5"/>
  <c r="B1126" i="5"/>
  <c r="B1127" i="5"/>
  <c r="C1127" i="5" s="1"/>
  <c r="B1128" i="5"/>
  <c r="B1129" i="5"/>
  <c r="B1130" i="5"/>
  <c r="B1131" i="5"/>
  <c r="B1132" i="5"/>
  <c r="B1133" i="5"/>
  <c r="B1134" i="5"/>
  <c r="B1135" i="5"/>
  <c r="B1136" i="5"/>
  <c r="B1137" i="5"/>
  <c r="B1138" i="5"/>
  <c r="B1139" i="5"/>
  <c r="B1140" i="5"/>
  <c r="B1141" i="5"/>
  <c r="B1142" i="5"/>
  <c r="B1143" i="5"/>
  <c r="C1143" i="5" s="1"/>
  <c r="B1144" i="5"/>
  <c r="B1145" i="5"/>
  <c r="B1146" i="5"/>
  <c r="B1147" i="5"/>
  <c r="B1148"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C828" i="5" s="1"/>
  <c r="A829" i="5"/>
  <c r="A830" i="5"/>
  <c r="A831" i="5"/>
  <c r="A832" i="5"/>
  <c r="A833" i="5"/>
  <c r="A834" i="5"/>
  <c r="A835" i="5"/>
  <c r="A836" i="5"/>
  <c r="C836" i="5" s="1"/>
  <c r="G836" i="5" s="1"/>
  <c r="A837" i="5"/>
  <c r="A838" i="5"/>
  <c r="A839" i="5"/>
  <c r="A840" i="5"/>
  <c r="A841" i="5"/>
  <c r="A842" i="5"/>
  <c r="A843" i="5"/>
  <c r="A844" i="5"/>
  <c r="C844" i="5" s="1"/>
  <c r="A845" i="5"/>
  <c r="A846" i="5"/>
  <c r="A847" i="5"/>
  <c r="A848" i="5"/>
  <c r="A849" i="5"/>
  <c r="A850" i="5"/>
  <c r="A851" i="5"/>
  <c r="A852" i="5"/>
  <c r="C852" i="5" s="1"/>
  <c r="A853" i="5"/>
  <c r="A854" i="5"/>
  <c r="A855" i="5"/>
  <c r="A856" i="5"/>
  <c r="A857" i="5"/>
  <c r="A858" i="5"/>
  <c r="A859" i="5"/>
  <c r="A860" i="5"/>
  <c r="C860" i="5" s="1"/>
  <c r="A861" i="5"/>
  <c r="A862" i="5"/>
  <c r="A863" i="5"/>
  <c r="A864" i="5"/>
  <c r="A865" i="5"/>
  <c r="A866" i="5"/>
  <c r="A867" i="5"/>
  <c r="A868" i="5"/>
  <c r="C868" i="5" s="1"/>
  <c r="K868" i="5" s="1"/>
  <c r="A869" i="5"/>
  <c r="A870" i="5"/>
  <c r="A871" i="5"/>
  <c r="A872" i="5"/>
  <c r="A873" i="5"/>
  <c r="A874" i="5"/>
  <c r="A875" i="5"/>
  <c r="A876" i="5"/>
  <c r="C876" i="5" s="1"/>
  <c r="A877" i="5"/>
  <c r="A878" i="5"/>
  <c r="A879" i="5"/>
  <c r="A880" i="5"/>
  <c r="A881" i="5"/>
  <c r="A882" i="5"/>
  <c r="A883" i="5"/>
  <c r="A884" i="5"/>
  <c r="C884" i="5" s="1"/>
  <c r="A885" i="5"/>
  <c r="A886" i="5"/>
  <c r="A887" i="5"/>
  <c r="A888" i="5"/>
  <c r="A889" i="5"/>
  <c r="A890" i="5"/>
  <c r="A891" i="5"/>
  <c r="A892" i="5"/>
  <c r="C892" i="5" s="1"/>
  <c r="A893" i="5"/>
  <c r="A894" i="5"/>
  <c r="A895" i="5"/>
  <c r="A896" i="5"/>
  <c r="A897" i="5"/>
  <c r="A898" i="5"/>
  <c r="A899" i="5"/>
  <c r="A900" i="5"/>
  <c r="C900" i="5" s="1"/>
  <c r="A901" i="5"/>
  <c r="A902" i="5"/>
  <c r="A903" i="5"/>
  <c r="A904" i="5"/>
  <c r="A905" i="5"/>
  <c r="A906" i="5"/>
  <c r="A907" i="5"/>
  <c r="A908" i="5"/>
  <c r="C908" i="5" s="1"/>
  <c r="A909" i="5"/>
  <c r="A910" i="5"/>
  <c r="A911" i="5"/>
  <c r="A912" i="5"/>
  <c r="A913" i="5"/>
  <c r="A914" i="5"/>
  <c r="A915" i="5"/>
  <c r="A916" i="5"/>
  <c r="C916" i="5" s="1"/>
  <c r="A917" i="5"/>
  <c r="A918" i="5"/>
  <c r="A919" i="5"/>
  <c r="A920" i="5"/>
  <c r="A921" i="5"/>
  <c r="A922" i="5"/>
  <c r="A923" i="5"/>
  <c r="A924" i="5"/>
  <c r="C924" i="5" s="1"/>
  <c r="A925" i="5"/>
  <c r="A926" i="5"/>
  <c r="A927" i="5"/>
  <c r="A928" i="5"/>
  <c r="A929" i="5"/>
  <c r="A930" i="5"/>
  <c r="A931" i="5"/>
  <c r="A932" i="5"/>
  <c r="C932" i="5" s="1"/>
  <c r="A933" i="5"/>
  <c r="A934" i="5"/>
  <c r="A935" i="5"/>
  <c r="A936" i="5"/>
  <c r="A937" i="5"/>
  <c r="A938" i="5"/>
  <c r="A939" i="5"/>
  <c r="A940" i="5"/>
  <c r="C940" i="5" s="1"/>
  <c r="A941" i="5"/>
  <c r="A942" i="5"/>
  <c r="A943" i="5"/>
  <c r="A944" i="5"/>
  <c r="A945" i="5"/>
  <c r="A946" i="5"/>
  <c r="A947" i="5"/>
  <c r="A948" i="5"/>
  <c r="C948" i="5" s="1"/>
  <c r="A949" i="5"/>
  <c r="A950" i="5"/>
  <c r="A951" i="5"/>
  <c r="A952" i="5"/>
  <c r="A953" i="5"/>
  <c r="A954" i="5"/>
  <c r="A955" i="5"/>
  <c r="A956" i="5"/>
  <c r="C956" i="5" s="1"/>
  <c r="A957" i="5"/>
  <c r="A958" i="5"/>
  <c r="A959" i="5"/>
  <c r="A960" i="5"/>
  <c r="A961" i="5"/>
  <c r="A962" i="5"/>
  <c r="A963" i="5"/>
  <c r="A964" i="5"/>
  <c r="C964" i="5" s="1"/>
  <c r="K964" i="5" s="1"/>
  <c r="A965" i="5"/>
  <c r="A966" i="5"/>
  <c r="A967" i="5"/>
  <c r="A968" i="5"/>
  <c r="A969" i="5"/>
  <c r="A970" i="5"/>
  <c r="A971" i="5"/>
  <c r="A972" i="5"/>
  <c r="C972" i="5" s="1"/>
  <c r="A973" i="5"/>
  <c r="A974" i="5"/>
  <c r="A975" i="5"/>
  <c r="A976" i="5"/>
  <c r="A977" i="5"/>
  <c r="A978" i="5"/>
  <c r="A979" i="5"/>
  <c r="A980" i="5"/>
  <c r="C980" i="5" s="1"/>
  <c r="A981" i="5"/>
  <c r="A982" i="5"/>
  <c r="A983" i="5"/>
  <c r="A984" i="5"/>
  <c r="A985" i="5"/>
  <c r="A986" i="5"/>
  <c r="A987" i="5"/>
  <c r="A988" i="5"/>
  <c r="C988" i="5" s="1"/>
  <c r="A989" i="5"/>
  <c r="A990" i="5"/>
  <c r="A991" i="5"/>
  <c r="A992" i="5"/>
  <c r="A993" i="5"/>
  <c r="A994" i="5"/>
  <c r="A995" i="5"/>
  <c r="A996" i="5"/>
  <c r="C996" i="5" s="1"/>
  <c r="A997" i="5"/>
  <c r="A998" i="5"/>
  <c r="A999" i="5"/>
  <c r="A1000" i="5"/>
  <c r="A1001" i="5"/>
  <c r="A1002" i="5"/>
  <c r="A1003" i="5"/>
  <c r="A1004" i="5"/>
  <c r="C1004" i="5" s="1"/>
  <c r="A1005" i="5"/>
  <c r="A1006" i="5"/>
  <c r="A1007" i="5"/>
  <c r="A1008" i="5"/>
  <c r="A1009" i="5"/>
  <c r="A1010" i="5"/>
  <c r="A1011" i="5"/>
  <c r="A1012" i="5"/>
  <c r="C1012" i="5" s="1"/>
  <c r="A1013" i="5"/>
  <c r="A1014" i="5"/>
  <c r="A1015" i="5"/>
  <c r="A1016" i="5"/>
  <c r="A1017" i="5"/>
  <c r="A1018" i="5"/>
  <c r="A1019" i="5"/>
  <c r="A1020" i="5"/>
  <c r="C1020" i="5" s="1"/>
  <c r="A1021" i="5"/>
  <c r="A1022" i="5"/>
  <c r="A1023" i="5"/>
  <c r="A1024" i="5"/>
  <c r="A1025" i="5"/>
  <c r="A1026" i="5"/>
  <c r="A1027" i="5"/>
  <c r="A1028" i="5"/>
  <c r="C1028" i="5" s="1"/>
  <c r="K1028" i="5" s="1"/>
  <c r="A1029" i="5"/>
  <c r="A1030" i="5"/>
  <c r="A1031" i="5"/>
  <c r="A1032" i="5"/>
  <c r="A1033" i="5"/>
  <c r="A1034" i="5"/>
  <c r="A1035" i="5"/>
  <c r="A1036" i="5"/>
  <c r="C1036" i="5" s="1"/>
  <c r="A1037" i="5"/>
  <c r="A1038" i="5"/>
  <c r="A1039" i="5"/>
  <c r="A1040" i="5"/>
  <c r="A1041" i="5"/>
  <c r="A1042" i="5"/>
  <c r="A1043" i="5"/>
  <c r="A1044" i="5"/>
  <c r="C1044" i="5" s="1"/>
  <c r="A1045" i="5"/>
  <c r="A1046" i="5"/>
  <c r="A1047" i="5"/>
  <c r="A1048" i="5"/>
  <c r="A1049" i="5"/>
  <c r="A1050" i="5"/>
  <c r="A1051" i="5"/>
  <c r="A1052" i="5"/>
  <c r="C1052" i="5" s="1"/>
  <c r="A1053" i="5"/>
  <c r="A1054" i="5"/>
  <c r="A1055" i="5"/>
  <c r="A1056" i="5"/>
  <c r="A1057" i="5"/>
  <c r="A1058" i="5"/>
  <c r="A1059" i="5"/>
  <c r="A1060" i="5"/>
  <c r="C1060" i="5" s="1"/>
  <c r="K1060" i="5" s="1"/>
  <c r="A1061" i="5"/>
  <c r="A1062" i="5"/>
  <c r="A1063" i="5"/>
  <c r="A1064" i="5"/>
  <c r="A1065" i="5"/>
  <c r="A1066" i="5"/>
  <c r="A1067" i="5"/>
  <c r="A1068" i="5"/>
  <c r="C1068" i="5" s="1"/>
  <c r="A1069" i="5"/>
  <c r="A1070" i="5"/>
  <c r="A1071" i="5"/>
  <c r="A1072" i="5"/>
  <c r="A1073" i="5"/>
  <c r="A1074" i="5"/>
  <c r="A1075" i="5"/>
  <c r="A1076" i="5"/>
  <c r="C1076" i="5" s="1"/>
  <c r="A1077" i="5"/>
  <c r="A1078" i="5"/>
  <c r="A1079" i="5"/>
  <c r="A1080" i="5"/>
  <c r="A1081" i="5"/>
  <c r="A1082" i="5"/>
  <c r="A1083" i="5"/>
  <c r="A1084" i="5"/>
  <c r="C1084" i="5" s="1"/>
  <c r="A1085" i="5"/>
  <c r="A1086" i="5"/>
  <c r="A1087" i="5"/>
  <c r="A1088" i="5"/>
  <c r="A1089" i="5"/>
  <c r="A1090" i="5"/>
  <c r="A1091" i="5"/>
  <c r="A1092" i="5"/>
  <c r="C1092" i="5" s="1"/>
  <c r="A1093" i="5"/>
  <c r="A1094" i="5"/>
  <c r="A1095" i="5"/>
  <c r="A1096" i="5"/>
  <c r="A1097" i="5"/>
  <c r="A1098" i="5"/>
  <c r="A1099" i="5"/>
  <c r="A1100" i="5"/>
  <c r="C1100" i="5" s="1"/>
  <c r="A1101" i="5"/>
  <c r="A1102" i="5"/>
  <c r="A1103" i="5"/>
  <c r="A1104" i="5"/>
  <c r="A1105" i="5"/>
  <c r="A1106" i="5"/>
  <c r="A1107" i="5"/>
  <c r="A1108" i="5"/>
  <c r="C1108" i="5" s="1"/>
  <c r="A1109" i="5"/>
  <c r="A1110" i="5"/>
  <c r="A1111" i="5"/>
  <c r="A1112" i="5"/>
  <c r="A1113" i="5"/>
  <c r="A1114" i="5"/>
  <c r="A1115" i="5"/>
  <c r="A1116" i="5"/>
  <c r="C1116" i="5" s="1"/>
  <c r="A1117" i="5"/>
  <c r="A1118" i="5"/>
  <c r="A1119" i="5"/>
  <c r="A1120" i="5"/>
  <c r="A1121" i="5"/>
  <c r="A1122" i="5"/>
  <c r="A1123" i="5"/>
  <c r="A1124" i="5"/>
  <c r="C1124" i="5" s="1"/>
  <c r="K1124" i="5" s="1"/>
  <c r="A1125" i="5"/>
  <c r="A1126" i="5"/>
  <c r="A1127" i="5"/>
  <c r="A1128" i="5"/>
  <c r="A1129" i="5"/>
  <c r="A1130" i="5"/>
  <c r="A1131" i="5"/>
  <c r="A1132" i="5"/>
  <c r="C1132" i="5" s="1"/>
  <c r="A1133" i="5"/>
  <c r="A1134" i="5"/>
  <c r="A1135" i="5"/>
  <c r="A1136" i="5"/>
  <c r="A1137" i="5"/>
  <c r="A1138" i="5"/>
  <c r="A1139" i="5"/>
  <c r="A1140" i="5"/>
  <c r="C1140" i="5" s="1"/>
  <c r="A1141" i="5"/>
  <c r="A1142" i="5"/>
  <c r="A1143" i="5"/>
  <c r="A1144" i="5"/>
  <c r="A1145" i="5"/>
  <c r="A1146" i="5"/>
  <c r="A1147" i="5"/>
  <c r="A1148" i="5"/>
  <c r="C1148" i="5" s="1"/>
  <c r="A1149" i="5"/>
  <c r="A1150" i="5"/>
  <c r="A1151" i="5"/>
  <c r="A1152" i="5"/>
  <c r="B1208" i="9"/>
  <c r="B1209" i="9"/>
  <c r="B1210" i="9"/>
  <c r="B1211" i="9"/>
  <c r="B1212" i="9"/>
  <c r="B1213" i="9"/>
  <c r="B1214" i="9"/>
  <c r="B1215" i="9"/>
  <c r="B1216" i="9"/>
  <c r="B1217" i="9"/>
  <c r="B1218" i="9"/>
  <c r="B1219" i="9"/>
  <c r="B1220" i="9"/>
  <c r="B1221" i="9"/>
  <c r="B1222" i="9"/>
  <c r="B1223" i="9"/>
  <c r="B1224" i="9"/>
  <c r="B1225" i="9"/>
  <c r="B1226" i="9"/>
  <c r="B1227" i="9"/>
  <c r="B1228" i="9"/>
  <c r="B1229" i="9"/>
  <c r="B1230" i="9"/>
  <c r="B1231" i="9"/>
  <c r="C1231" i="9" s="1"/>
  <c r="B1232" i="9"/>
  <c r="B1233" i="9"/>
  <c r="B1234" i="9"/>
  <c r="B1235" i="9"/>
  <c r="B1236" i="9"/>
  <c r="B1237" i="9"/>
  <c r="B1238" i="9"/>
  <c r="B1239" i="9"/>
  <c r="C1239" i="9" s="1"/>
  <c r="B1240" i="9"/>
  <c r="B1241" i="9"/>
  <c r="B1242" i="9"/>
  <c r="B1243" i="9"/>
  <c r="B1244" i="9"/>
  <c r="C1244" i="9" s="1"/>
  <c r="B1245" i="9"/>
  <c r="B1246" i="9"/>
  <c r="B1247" i="9"/>
  <c r="C1247" i="9" s="1"/>
  <c r="B1248" i="9"/>
  <c r="B1249" i="9"/>
  <c r="B1250" i="9"/>
  <c r="B1251" i="9"/>
  <c r="B1252" i="9"/>
  <c r="C1252" i="9" s="1"/>
  <c r="B1253" i="9"/>
  <c r="B1254" i="9"/>
  <c r="B1255" i="9"/>
  <c r="C1255" i="9" s="1"/>
  <c r="B1256" i="9"/>
  <c r="B1257" i="9"/>
  <c r="B1258" i="9"/>
  <c r="B1259" i="9"/>
  <c r="B1260" i="9"/>
  <c r="C1260" i="9" s="1"/>
  <c r="B1261" i="9"/>
  <c r="B1262" i="9"/>
  <c r="B1263" i="9"/>
  <c r="C1263" i="9" s="1"/>
  <c r="B1264" i="9"/>
  <c r="B1265" i="9"/>
  <c r="B1266" i="9"/>
  <c r="B1267" i="9"/>
  <c r="B1268" i="9"/>
  <c r="C1268" i="9" s="1"/>
  <c r="B1269" i="9"/>
  <c r="B1270" i="9"/>
  <c r="B1271" i="9"/>
  <c r="C1271" i="9" s="1"/>
  <c r="B1272" i="9"/>
  <c r="B1273" i="9"/>
  <c r="B1274" i="9"/>
  <c r="B1275" i="9"/>
  <c r="B1276" i="9"/>
  <c r="C1276" i="9" s="1"/>
  <c r="B1277" i="9"/>
  <c r="B1278" i="9"/>
  <c r="B1279" i="9"/>
  <c r="C1279" i="9" s="1"/>
  <c r="B1280" i="9"/>
  <c r="B1281" i="9"/>
  <c r="B1282" i="9"/>
  <c r="B1283" i="9"/>
  <c r="B1284" i="9"/>
  <c r="C1284" i="9" s="1"/>
  <c r="B1285" i="9"/>
  <c r="B1286" i="9"/>
  <c r="B1287" i="9"/>
  <c r="C1287" i="9" s="1"/>
  <c r="B1288" i="9"/>
  <c r="B1289" i="9"/>
  <c r="B1290" i="9"/>
  <c r="B1291" i="9"/>
  <c r="B1292" i="9"/>
  <c r="C1292" i="9" s="1"/>
  <c r="B1293" i="9"/>
  <c r="B1294" i="9"/>
  <c r="B1295" i="9"/>
  <c r="C1295" i="9" s="1"/>
  <c r="B1296" i="9"/>
  <c r="B1297" i="9"/>
  <c r="A1227" i="9"/>
  <c r="A1228" i="9"/>
  <c r="C1228" i="9" s="1"/>
  <c r="A1229" i="9"/>
  <c r="C1229" i="9" s="1"/>
  <c r="A1230" i="9"/>
  <c r="C1230" i="9" s="1"/>
  <c r="A1231" i="9"/>
  <c r="A1232" i="9"/>
  <c r="C1232" i="9" s="1"/>
  <c r="A1233" i="9"/>
  <c r="A1234" i="9"/>
  <c r="A1235" i="9"/>
  <c r="A1236" i="9"/>
  <c r="C1236" i="9" s="1"/>
  <c r="A1237" i="9"/>
  <c r="C1237" i="9" s="1"/>
  <c r="A1238" i="9"/>
  <c r="C1238" i="9" s="1"/>
  <c r="A1239" i="9"/>
  <c r="A1240" i="9"/>
  <c r="C1240" i="9" s="1"/>
  <c r="A1241" i="9"/>
  <c r="C1175" i="9"/>
  <c r="C1185" i="9"/>
  <c r="C1207" i="9"/>
  <c r="C1217" i="9"/>
  <c r="C1227" i="9"/>
  <c r="C1233" i="9"/>
  <c r="C1234" i="9"/>
  <c r="C1235" i="9"/>
  <c r="C1241" i="9"/>
  <c r="C1242" i="9"/>
  <c r="C1243" i="9"/>
  <c r="C1245" i="9"/>
  <c r="C1246" i="9"/>
  <c r="C1248" i="9"/>
  <c r="C1249" i="9"/>
  <c r="C1250" i="9"/>
  <c r="C1251" i="9"/>
  <c r="C1253" i="9"/>
  <c r="C1254" i="9"/>
  <c r="C1256" i="9"/>
  <c r="C1257" i="9"/>
  <c r="C1258" i="9"/>
  <c r="C1259" i="9"/>
  <c r="C1261" i="9"/>
  <c r="C1262" i="9"/>
  <c r="C1264" i="9"/>
  <c r="C1265" i="9"/>
  <c r="C1266" i="9"/>
  <c r="C1267" i="9"/>
  <c r="C1269" i="9"/>
  <c r="C1270" i="9"/>
  <c r="C1272" i="9"/>
  <c r="C1273" i="9"/>
  <c r="C1274" i="9"/>
  <c r="C1275" i="9"/>
  <c r="C1277" i="9"/>
  <c r="C1278" i="9"/>
  <c r="C1280" i="9"/>
  <c r="C1281" i="9"/>
  <c r="C1282" i="9"/>
  <c r="C1283" i="9"/>
  <c r="C1285" i="9"/>
  <c r="C1286" i="9"/>
  <c r="C1288" i="9"/>
  <c r="C1289" i="9"/>
  <c r="C1290" i="9"/>
  <c r="C1291" i="9"/>
  <c r="C1293" i="9"/>
  <c r="C1294" i="9"/>
  <c r="C1296" i="9"/>
  <c r="C1297" i="9"/>
  <c r="B263" i="9"/>
  <c r="B271" i="9"/>
  <c r="B272" i="9"/>
  <c r="B265" i="9"/>
  <c r="B266" i="9"/>
  <c r="B257" i="9"/>
  <c r="B247" i="9"/>
  <c r="B258" i="9"/>
  <c r="B248" i="9"/>
  <c r="B267" i="9"/>
  <c r="B249" i="9"/>
  <c r="B250" i="9"/>
  <c r="B261" i="9"/>
  <c r="B262" i="9"/>
  <c r="B251" i="9"/>
  <c r="B273" i="9"/>
  <c r="B264" i="9"/>
  <c r="B252" i="9"/>
  <c r="B259" i="9"/>
  <c r="B268" i="9"/>
  <c r="B269" i="9"/>
  <c r="B260" i="9"/>
  <c r="B253" i="9"/>
  <c r="B254" i="9"/>
  <c r="B255" i="9"/>
  <c r="B256" i="9"/>
  <c r="B83" i="9"/>
  <c r="B76" i="9"/>
  <c r="B84" i="9"/>
  <c r="B74" i="9"/>
  <c r="B75" i="9"/>
  <c r="B82" i="9"/>
  <c r="B80" i="9"/>
  <c r="B81" i="9"/>
  <c r="B79" i="9"/>
  <c r="B78" i="9"/>
  <c r="B77" i="9"/>
  <c r="B474" i="9"/>
  <c r="B513" i="9"/>
  <c r="B479" i="9"/>
  <c r="B480" i="9"/>
  <c r="B481" i="9"/>
  <c r="B518" i="9"/>
  <c r="B508" i="9"/>
  <c r="B509" i="9"/>
  <c r="B519" i="9"/>
  <c r="B490" i="9"/>
  <c r="B469" i="9"/>
  <c r="B503" i="9"/>
  <c r="B496" i="9"/>
  <c r="B497" i="9"/>
  <c r="B491" i="9"/>
  <c r="B492" i="9"/>
  <c r="B486" i="9"/>
  <c r="B487" i="9"/>
  <c r="B516" i="9"/>
  <c r="B470" i="9"/>
  <c r="B471" i="9"/>
  <c r="B475" i="9"/>
  <c r="B510" i="9"/>
  <c r="B482" i="9"/>
  <c r="B476" i="9"/>
  <c r="B493" i="9"/>
  <c r="B511" i="9"/>
  <c r="B477" i="9"/>
  <c r="B478" i="9"/>
  <c r="B498" i="9"/>
  <c r="B504" i="9"/>
  <c r="B505" i="9"/>
  <c r="B506" i="9"/>
  <c r="B520" i="9"/>
  <c r="B507" i="9"/>
  <c r="B521" i="9"/>
  <c r="B488" i="9"/>
  <c r="B522" i="9"/>
  <c r="B514" i="9"/>
  <c r="B483" i="9"/>
  <c r="B499" i="9"/>
  <c r="B515" i="9"/>
  <c r="B494" i="9"/>
  <c r="B484" i="9"/>
  <c r="B500" i="9"/>
  <c r="B501" i="9"/>
  <c r="B495" i="9"/>
  <c r="B472" i="9"/>
  <c r="B489" i="9"/>
  <c r="B473" i="9"/>
  <c r="B517" i="9"/>
  <c r="B502" i="9"/>
  <c r="B485" i="9"/>
  <c r="B512" i="9"/>
  <c r="B563" i="9"/>
  <c r="B564" i="9"/>
  <c r="B565" i="9"/>
  <c r="B566" i="9"/>
  <c r="B567" i="9"/>
  <c r="B568" i="9"/>
  <c r="B569" i="9"/>
  <c r="B570" i="9"/>
  <c r="B571" i="9"/>
  <c r="B572" i="9"/>
  <c r="B687" i="9"/>
  <c r="B648" i="9"/>
  <c r="B649" i="9"/>
  <c r="B688" i="9"/>
  <c r="B689" i="9"/>
  <c r="B549" i="9"/>
  <c r="B650" i="9"/>
  <c r="B651" i="9"/>
  <c r="B637" i="9"/>
  <c r="B652" i="9"/>
  <c r="B653" i="9"/>
  <c r="B690" i="9"/>
  <c r="B638" i="9"/>
  <c r="B654" i="9"/>
  <c r="B655" i="9"/>
  <c r="B656" i="9"/>
  <c r="B609" i="9"/>
  <c r="B610" i="9"/>
  <c r="B611" i="9"/>
  <c r="B691" i="9"/>
  <c r="B612" i="9"/>
  <c r="B639" i="9"/>
  <c r="B640" i="9"/>
  <c r="B657" i="9"/>
  <c r="B641" i="9"/>
  <c r="B613" i="9"/>
  <c r="B642" i="9"/>
  <c r="B692" i="9"/>
  <c r="B614" i="9"/>
  <c r="B550" i="9"/>
  <c r="B551" i="9"/>
  <c r="B552" i="9"/>
  <c r="B693" i="9"/>
  <c r="B694" i="9"/>
  <c r="B747" i="9"/>
  <c r="B748" i="9"/>
  <c r="B749" i="9"/>
  <c r="B750" i="9"/>
  <c r="B751" i="9"/>
  <c r="B752" i="9"/>
  <c r="B753" i="9"/>
  <c r="B695" i="9"/>
  <c r="B553" i="9"/>
  <c r="B696" i="9"/>
  <c r="B658" i="9"/>
  <c r="B659" i="9"/>
  <c r="B660" i="9"/>
  <c r="B643" i="9"/>
  <c r="B661" i="9"/>
  <c r="B662" i="9"/>
  <c r="B697" i="9"/>
  <c r="B663" i="9"/>
  <c r="B754" i="9"/>
  <c r="B664" i="9"/>
  <c r="B665" i="9"/>
  <c r="B554" i="9"/>
  <c r="B698" i="9"/>
  <c r="B666" i="9"/>
  <c r="B699" i="9"/>
  <c r="B700" i="9"/>
  <c r="B755" i="9"/>
  <c r="B756" i="9"/>
  <c r="B667" i="9"/>
  <c r="B555" i="9"/>
  <c r="B668" i="9"/>
  <c r="B556" i="9"/>
  <c r="B701" i="9"/>
  <c r="B702" i="9"/>
  <c r="B703" i="9"/>
  <c r="B704" i="9"/>
  <c r="B587" i="9"/>
  <c r="B588" i="9"/>
  <c r="B589" i="9"/>
  <c r="B590" i="9"/>
  <c r="B591" i="9"/>
  <c r="B598" i="9"/>
  <c r="B599" i="9"/>
  <c r="B600" i="9"/>
  <c r="B601" i="9"/>
  <c r="B592" i="9"/>
  <c r="B615" i="9"/>
  <c r="B616" i="9"/>
  <c r="B557" i="9"/>
  <c r="B617" i="9"/>
  <c r="B618" i="9"/>
  <c r="B619" i="9"/>
  <c r="B620" i="9"/>
  <c r="B621" i="9"/>
  <c r="B622" i="9"/>
  <c r="B623" i="9"/>
  <c r="B558" i="9"/>
  <c r="B559" i="9"/>
  <c r="B560" i="9"/>
  <c r="B573" i="9"/>
  <c r="B728" i="9"/>
  <c r="B729" i="9"/>
  <c r="B730" i="9"/>
  <c r="B705" i="9"/>
  <c r="B706" i="9"/>
  <c r="B707" i="9"/>
  <c r="B708" i="9"/>
  <c r="B574" i="9"/>
  <c r="B575" i="9"/>
  <c r="B576" i="9"/>
  <c r="B577" i="9"/>
  <c r="B757" i="9"/>
  <c r="B758" i="9"/>
  <c r="B578" i="9"/>
  <c r="B709" i="9"/>
  <c r="B579" i="9"/>
  <c r="B628" i="9"/>
  <c r="B580" i="9"/>
  <c r="B581" i="9"/>
  <c r="B582" i="9"/>
  <c r="B759" i="9"/>
  <c r="B561" i="9"/>
  <c r="B583" i="9"/>
  <c r="B629" i="9"/>
  <c r="B584" i="9"/>
  <c r="B669" i="9"/>
  <c r="B760" i="9"/>
  <c r="B562" i="9"/>
  <c r="B585" i="9"/>
  <c r="B644" i="9"/>
  <c r="B670" i="9"/>
  <c r="B761" i="9"/>
  <c r="B762" i="9"/>
  <c r="B671" i="9"/>
  <c r="B630" i="9"/>
  <c r="B672" i="9"/>
  <c r="B586" i="9"/>
  <c r="B624" i="9"/>
  <c r="B645" i="9"/>
  <c r="B625" i="9"/>
  <c r="B631" i="9"/>
  <c r="B646" i="9"/>
  <c r="B632" i="9"/>
  <c r="B673" i="9"/>
  <c r="B674" i="9"/>
  <c r="B763" i="9"/>
  <c r="B675" i="9"/>
  <c r="B764" i="9"/>
  <c r="B626" i="9"/>
  <c r="B647" i="9"/>
  <c r="B765" i="9"/>
  <c r="B602" i="9"/>
  <c r="B603" i="9"/>
  <c r="B633" i="9"/>
  <c r="B766" i="9"/>
  <c r="B676" i="9"/>
  <c r="B627" i="9"/>
  <c r="B593" i="9"/>
  <c r="B604" i="9"/>
  <c r="B677" i="9"/>
  <c r="B678" i="9"/>
  <c r="B710" i="9"/>
  <c r="B679" i="9"/>
  <c r="B711" i="9"/>
  <c r="B680" i="9"/>
  <c r="B712" i="9"/>
  <c r="B713" i="9"/>
  <c r="B739" i="9"/>
  <c r="B714" i="9"/>
  <c r="B715" i="9"/>
  <c r="B605" i="9"/>
  <c r="B731" i="9"/>
  <c r="B681" i="9"/>
  <c r="B716" i="9"/>
  <c r="B717" i="9"/>
  <c r="B718" i="9"/>
  <c r="B682" i="9"/>
  <c r="B683" i="9"/>
  <c r="B634" i="9"/>
  <c r="B606" i="9"/>
  <c r="B732" i="9"/>
  <c r="B719" i="9"/>
  <c r="B635" i="9"/>
  <c r="B607" i="9"/>
  <c r="B636" i="9"/>
  <c r="B684" i="9"/>
  <c r="B608" i="9"/>
  <c r="B720" i="9"/>
  <c r="B733" i="9"/>
  <c r="B734" i="9"/>
  <c r="B721" i="9"/>
  <c r="B685" i="9"/>
  <c r="B722" i="9"/>
  <c r="B735" i="9"/>
  <c r="B736" i="9"/>
  <c r="B686" i="9"/>
  <c r="B737" i="9"/>
  <c r="B740" i="9"/>
  <c r="B723" i="9"/>
  <c r="B724" i="9"/>
  <c r="B741" i="9"/>
  <c r="B738" i="9"/>
  <c r="B742" i="9"/>
  <c r="B743" i="9"/>
  <c r="B725" i="9"/>
  <c r="B726" i="9"/>
  <c r="B594" i="9"/>
  <c r="B727" i="9"/>
  <c r="B744" i="9"/>
  <c r="B745" i="9"/>
  <c r="B595" i="9"/>
  <c r="B596" i="9"/>
  <c r="B746" i="9"/>
  <c r="B597" i="9"/>
  <c r="B133" i="9"/>
  <c r="B138" i="9"/>
  <c r="B139" i="9"/>
  <c r="B140" i="9"/>
  <c r="B141" i="9"/>
  <c r="B132" i="9"/>
  <c r="B137" i="9"/>
  <c r="B135" i="9"/>
  <c r="B136" i="9"/>
  <c r="B134" i="9"/>
  <c r="B131" i="9"/>
  <c r="B376" i="9"/>
  <c r="B374" i="9"/>
  <c r="B377" i="9"/>
  <c r="B349" i="9"/>
  <c r="B350" i="9"/>
  <c r="B351" i="9"/>
  <c r="B363" i="9"/>
  <c r="B356" i="9"/>
  <c r="B378" i="9"/>
  <c r="B371" i="9"/>
  <c r="B364" i="9"/>
  <c r="B352" i="9"/>
  <c r="B372" i="9"/>
  <c r="B365" i="9"/>
  <c r="B361" i="9"/>
  <c r="B366" i="9"/>
  <c r="B353" i="9"/>
  <c r="B380" i="9"/>
  <c r="B375" i="9"/>
  <c r="B381" i="9"/>
  <c r="B382" i="9"/>
  <c r="B379" i="9"/>
  <c r="B354" i="9"/>
  <c r="B373" i="9"/>
  <c r="B357" i="9"/>
  <c r="B355" i="9"/>
  <c r="B347" i="9"/>
  <c r="B358" i="9"/>
  <c r="B359" i="9"/>
  <c r="B360" i="9"/>
  <c r="B367" i="9"/>
  <c r="B368" i="9"/>
  <c r="B348" i="9"/>
  <c r="B370" i="9"/>
  <c r="B362" i="9"/>
  <c r="B369" i="9"/>
  <c r="B467" i="9"/>
  <c r="B468" i="9"/>
  <c r="B450" i="9"/>
  <c r="B451" i="9"/>
  <c r="B465" i="9"/>
  <c r="B452" i="9"/>
  <c r="B462" i="9"/>
  <c r="B455" i="9"/>
  <c r="B453" i="9"/>
  <c r="B460" i="9"/>
  <c r="B454" i="9"/>
  <c r="B457" i="9"/>
  <c r="B466" i="9"/>
  <c r="B461" i="9"/>
  <c r="B458" i="9"/>
  <c r="B456" i="9"/>
  <c r="B463" i="9"/>
  <c r="B459" i="9"/>
  <c r="B464" i="9"/>
  <c r="B449" i="9"/>
  <c r="B770" i="9"/>
  <c r="B771" i="9"/>
  <c r="B772" i="9"/>
  <c r="B773" i="9"/>
  <c r="B774" i="9"/>
  <c r="B768" i="9"/>
  <c r="B775" i="9"/>
  <c r="B776" i="9"/>
  <c r="B769" i="9"/>
  <c r="B777" i="9"/>
  <c r="B767" i="9"/>
  <c r="B282" i="9"/>
  <c r="B283" i="9"/>
  <c r="B284" i="9"/>
  <c r="B275" i="9"/>
  <c r="B281" i="9"/>
  <c r="B285" i="9"/>
  <c r="B278" i="9"/>
  <c r="B276" i="9"/>
  <c r="B286" i="9"/>
  <c r="B279" i="9"/>
  <c r="B274" i="9"/>
  <c r="B280" i="9"/>
  <c r="B277" i="9"/>
  <c r="B178" i="9"/>
  <c r="B173" i="9"/>
  <c r="B174" i="9"/>
  <c r="B177" i="9"/>
  <c r="B175" i="9"/>
  <c r="B171" i="9"/>
  <c r="B176" i="9"/>
  <c r="B179" i="9"/>
  <c r="B169" i="9"/>
  <c r="B170" i="9"/>
  <c r="B172" i="9"/>
  <c r="B142" i="9"/>
  <c r="B143" i="9"/>
  <c r="B144" i="9"/>
  <c r="B159" i="9"/>
  <c r="B153" i="9"/>
  <c r="B145" i="9"/>
  <c r="B146" i="9"/>
  <c r="B147" i="9"/>
  <c r="B154" i="9"/>
  <c r="B157" i="9"/>
  <c r="B160" i="9"/>
  <c r="B158" i="9"/>
  <c r="B148" i="9"/>
  <c r="B149" i="9"/>
  <c r="B155" i="9"/>
  <c r="B150" i="9"/>
  <c r="B161" i="9"/>
  <c r="B162" i="9"/>
  <c r="B163" i="9"/>
  <c r="B151" i="9"/>
  <c r="B156" i="9"/>
  <c r="B164" i="9"/>
  <c r="B152" i="9"/>
  <c r="B165" i="9"/>
  <c r="B166" i="9"/>
  <c r="B168" i="9"/>
  <c r="B167" i="9"/>
  <c r="B810" i="9"/>
  <c r="B778" i="9"/>
  <c r="B782" i="9"/>
  <c r="B783" i="9"/>
  <c r="B784" i="9"/>
  <c r="B797" i="9"/>
  <c r="B809" i="9"/>
  <c r="B798" i="9"/>
  <c r="B799" i="9"/>
  <c r="B781" i="9"/>
  <c r="B787" i="9"/>
  <c r="B788" i="9"/>
  <c r="B789" i="9"/>
  <c r="B790" i="9"/>
  <c r="B791" i="9"/>
  <c r="B792" i="9"/>
  <c r="B793" i="9"/>
  <c r="B794" i="9"/>
  <c r="B795" i="9"/>
  <c r="B785" i="9"/>
  <c r="B796" i="9"/>
  <c r="B786" i="9"/>
  <c r="B801" i="9"/>
  <c r="B779" i="9"/>
  <c r="B802" i="9"/>
  <c r="B803" i="9"/>
  <c r="B804" i="9"/>
  <c r="B805" i="9"/>
  <c r="B806" i="9"/>
  <c r="B807" i="9"/>
  <c r="B808" i="9"/>
  <c r="B800" i="9"/>
  <c r="B780" i="9"/>
  <c r="B24" i="9"/>
  <c r="B32" i="9"/>
  <c r="B29" i="9"/>
  <c r="B33" i="9"/>
  <c r="B25" i="9"/>
  <c r="B26" i="9"/>
  <c r="B27" i="9"/>
  <c r="B30" i="9"/>
  <c r="B31" i="9"/>
  <c r="B28" i="9"/>
  <c r="B94" i="9"/>
  <c r="B88" i="9"/>
  <c r="B97" i="9"/>
  <c r="B87" i="9"/>
  <c r="B85" i="9"/>
  <c r="B86" i="9"/>
  <c r="B98" i="9"/>
  <c r="B95" i="9"/>
  <c r="B96" i="9"/>
  <c r="B89" i="9"/>
  <c r="B93" i="9"/>
  <c r="B90" i="9"/>
  <c r="B91" i="9"/>
  <c r="B99" i="9"/>
  <c r="B92" i="9"/>
  <c r="B100" i="9"/>
  <c r="B101" i="9"/>
  <c r="B59" i="9"/>
  <c r="B72" i="9"/>
  <c r="B61" i="9"/>
  <c r="B69" i="9"/>
  <c r="B34" i="9"/>
  <c r="B62" i="9"/>
  <c r="B48" i="9"/>
  <c r="B51" i="9"/>
  <c r="B35" i="9"/>
  <c r="B49" i="9"/>
  <c r="B52" i="9"/>
  <c r="B63" i="9"/>
  <c r="B36" i="9"/>
  <c r="B64" i="9"/>
  <c r="B56" i="9"/>
  <c r="B65" i="9"/>
  <c r="B42" i="9"/>
  <c r="B66" i="9"/>
  <c r="B37" i="9"/>
  <c r="B50" i="9"/>
  <c r="B57" i="9"/>
  <c r="B39" i="9"/>
  <c r="B40" i="9"/>
  <c r="B43" i="9"/>
  <c r="B41" i="9"/>
  <c r="B44" i="9"/>
  <c r="B58" i="9"/>
  <c r="B53" i="9"/>
  <c r="B54" i="9"/>
  <c r="B67" i="9"/>
  <c r="B45" i="9"/>
  <c r="B46" i="9"/>
  <c r="B60" i="9"/>
  <c r="B47" i="9"/>
  <c r="B70" i="9"/>
  <c r="B71" i="9"/>
  <c r="B68" i="9"/>
  <c r="B55" i="9"/>
  <c r="B38" i="9"/>
  <c r="B73" i="9"/>
  <c r="B544" i="9"/>
  <c r="B540" i="9"/>
  <c r="B535" i="9"/>
  <c r="B536" i="9"/>
  <c r="B537" i="9"/>
  <c r="B545" i="9"/>
  <c r="B543" i="9"/>
  <c r="B534" i="9"/>
  <c r="B546" i="9"/>
  <c r="B547" i="9"/>
  <c r="B548" i="9"/>
  <c r="B541" i="9"/>
  <c r="B538" i="9"/>
  <c r="B542" i="9"/>
  <c r="B539" i="9"/>
  <c r="B326" i="9"/>
  <c r="B321" i="9"/>
  <c r="B327" i="9"/>
  <c r="B322" i="9"/>
  <c r="B315" i="9"/>
  <c r="B316" i="9"/>
  <c r="B323" i="9"/>
  <c r="B317" i="9"/>
  <c r="B324" i="9"/>
  <c r="B319" i="9"/>
  <c r="B318" i="9"/>
  <c r="B325" i="9"/>
  <c r="B320" i="9"/>
  <c r="B331" i="9"/>
  <c r="B328" i="9"/>
  <c r="B329" i="9"/>
  <c r="B330" i="9"/>
  <c r="B244" i="9"/>
  <c r="B245" i="9"/>
  <c r="B229" i="9"/>
  <c r="B239" i="9"/>
  <c r="B240" i="9"/>
  <c r="B231" i="9"/>
  <c r="B232" i="9"/>
  <c r="B236" i="9"/>
  <c r="B233" i="9"/>
  <c r="B225" i="9"/>
  <c r="B237" i="9"/>
  <c r="B241" i="9"/>
  <c r="B242" i="9"/>
  <c r="B230" i="9"/>
  <c r="B234" i="9"/>
  <c r="B238" i="9"/>
  <c r="B235" i="9"/>
  <c r="B226" i="9"/>
  <c r="B243" i="9"/>
  <c r="B246" i="9"/>
  <c r="B227" i="9"/>
  <c r="B228" i="9"/>
  <c r="B301" i="9"/>
  <c r="B306" i="9"/>
  <c r="B290" i="9"/>
  <c r="B310" i="9"/>
  <c r="B291" i="9"/>
  <c r="B311" i="9"/>
  <c r="B292" i="9"/>
  <c r="B307" i="9"/>
  <c r="B293" i="9"/>
  <c r="B294" i="9"/>
  <c r="B313" i="9"/>
  <c r="B302" i="9"/>
  <c r="B303" i="9"/>
  <c r="B295" i="9"/>
  <c r="B296" i="9"/>
  <c r="B297" i="9"/>
  <c r="B298" i="9"/>
  <c r="B304" i="9"/>
  <c r="B299" i="9"/>
  <c r="B287" i="9"/>
  <c r="B288" i="9"/>
  <c r="B312" i="9"/>
  <c r="B314" i="9"/>
  <c r="B289" i="9"/>
  <c r="B308" i="9"/>
  <c r="B300" i="9"/>
  <c r="B309" i="9"/>
  <c r="B305" i="9"/>
  <c r="B195" i="9"/>
  <c r="B196" i="9"/>
  <c r="B190" i="9"/>
  <c r="B193" i="9"/>
  <c r="B180" i="9"/>
  <c r="B187" i="9"/>
  <c r="B183" i="9"/>
  <c r="B188" i="9"/>
  <c r="B184" i="9"/>
  <c r="B194" i="9"/>
  <c r="B181" i="9"/>
  <c r="B182" i="9"/>
  <c r="B191" i="9"/>
  <c r="B185" i="9"/>
  <c r="B192" i="9"/>
  <c r="B186" i="9"/>
  <c r="B189" i="9"/>
  <c r="B896" i="9"/>
  <c r="B892" i="9"/>
  <c r="B894" i="9"/>
  <c r="B893" i="9"/>
  <c r="B891" i="9"/>
  <c r="B895" i="9"/>
  <c r="B114" i="9"/>
  <c r="B124" i="9"/>
  <c r="B123" i="9"/>
  <c r="B125" i="9"/>
  <c r="B126" i="9"/>
  <c r="B121" i="9"/>
  <c r="B122" i="9"/>
  <c r="B127" i="9"/>
  <c r="B128" i="9"/>
  <c r="B115" i="9"/>
  <c r="B116" i="9"/>
  <c r="B129" i="9"/>
  <c r="B119" i="9"/>
  <c r="B130" i="9"/>
  <c r="B120" i="9"/>
  <c r="B117" i="9"/>
  <c r="B118" i="9"/>
  <c r="B911" i="9"/>
  <c r="B903" i="9"/>
  <c r="B898" i="9"/>
  <c r="B906" i="9"/>
  <c r="B914" i="9"/>
  <c r="B907" i="9"/>
  <c r="B915" i="9"/>
  <c r="B899" i="9"/>
  <c r="B908" i="9"/>
  <c r="B904" i="9"/>
  <c r="B901" i="9"/>
  <c r="B900" i="9"/>
  <c r="B916" i="9"/>
  <c r="B905" i="9"/>
  <c r="B912" i="9"/>
  <c r="B902" i="9"/>
  <c r="B909" i="9"/>
  <c r="B910" i="9"/>
  <c r="B913" i="9"/>
  <c r="B897" i="9"/>
  <c r="B113" i="9"/>
  <c r="B102" i="9"/>
  <c r="B109" i="9"/>
  <c r="B105" i="9"/>
  <c r="B104" i="9"/>
  <c r="B107" i="9"/>
  <c r="B110" i="9"/>
  <c r="B111" i="9"/>
  <c r="B103" i="9"/>
  <c r="B112" i="9"/>
  <c r="B106" i="9"/>
  <c r="B108" i="9"/>
  <c r="B337" i="9"/>
  <c r="B338" i="9"/>
  <c r="B343" i="9"/>
  <c r="B339" i="9"/>
  <c r="B332" i="9"/>
  <c r="B340" i="9"/>
  <c r="B333" i="9"/>
  <c r="B341" i="9"/>
  <c r="B334" i="9"/>
  <c r="B335" i="9"/>
  <c r="B342" i="9"/>
  <c r="B345" i="9"/>
  <c r="B336" i="9"/>
  <c r="B344" i="9"/>
  <c r="B346" i="9"/>
  <c r="B889" i="9"/>
  <c r="B887" i="9"/>
  <c r="B890" i="9"/>
  <c r="B888" i="9"/>
  <c r="B886" i="9"/>
  <c r="B878" i="9"/>
  <c r="B879" i="9"/>
  <c r="B881" i="9"/>
  <c r="B882" i="9"/>
  <c r="B883" i="9"/>
  <c r="B884" i="9"/>
  <c r="B880" i="9"/>
  <c r="B885" i="9"/>
  <c r="B15" i="9"/>
  <c r="B16" i="9"/>
  <c r="B10" i="9"/>
  <c r="B22" i="9"/>
  <c r="B18" i="9"/>
  <c r="B23" i="9"/>
  <c r="B11" i="9"/>
  <c r="B17" i="9"/>
  <c r="B13" i="9"/>
  <c r="B12" i="9"/>
  <c r="B14" i="9"/>
  <c r="B19" i="9"/>
  <c r="B20" i="9"/>
  <c r="B21" i="9"/>
  <c r="B876" i="9"/>
  <c r="B853" i="9"/>
  <c r="B872" i="9"/>
  <c r="B875" i="9"/>
  <c r="B860" i="9"/>
  <c r="B854" i="9"/>
  <c r="B855" i="9"/>
  <c r="B861" i="9"/>
  <c r="B868" i="9"/>
  <c r="B877" i="9"/>
  <c r="B866" i="9"/>
  <c r="B867" i="9"/>
  <c r="B862" i="9"/>
  <c r="B865" i="9"/>
  <c r="B863" i="9"/>
  <c r="B849" i="9"/>
  <c r="B864" i="9"/>
  <c r="B873" i="9"/>
  <c r="B874" i="9"/>
  <c r="B856" i="9"/>
  <c r="B869" i="9"/>
  <c r="B870" i="9"/>
  <c r="B857" i="9"/>
  <c r="B871" i="9"/>
  <c r="B858" i="9"/>
  <c r="B859" i="9"/>
  <c r="B850" i="9"/>
  <c r="B851" i="9"/>
  <c r="B852" i="9"/>
  <c r="B219" i="9"/>
  <c r="B220" i="9"/>
  <c r="B215" i="9"/>
  <c r="B221" i="9"/>
  <c r="B205" i="9"/>
  <c r="B222" i="9"/>
  <c r="B203" i="9"/>
  <c r="B223" i="9"/>
  <c r="B206" i="9"/>
  <c r="B224" i="9"/>
  <c r="B204" i="9"/>
  <c r="B207" i="9"/>
  <c r="B212" i="9"/>
  <c r="B208" i="9"/>
  <c r="B216" i="9"/>
  <c r="B213" i="9"/>
  <c r="B214" i="9"/>
  <c r="B211" i="9"/>
  <c r="B197" i="9"/>
  <c r="B209" i="9"/>
  <c r="B217" i="9"/>
  <c r="B218" i="9"/>
  <c r="B198" i="9"/>
  <c r="B199" i="9"/>
  <c r="B200" i="9"/>
  <c r="B201" i="9"/>
  <c r="B202" i="9"/>
  <c r="B210" i="9"/>
  <c r="B425" i="9"/>
  <c r="B426" i="9"/>
  <c r="B427" i="9"/>
  <c r="B428" i="9"/>
  <c r="B424" i="9"/>
  <c r="B429" i="9"/>
  <c r="B437" i="9"/>
  <c r="B438" i="9"/>
  <c r="B439" i="9"/>
  <c r="B440" i="9"/>
  <c r="B441" i="9"/>
  <c r="B442" i="9"/>
  <c r="B443" i="9"/>
  <c r="B433" i="9"/>
  <c r="B444" i="9"/>
  <c r="B445" i="9"/>
  <c r="B446" i="9"/>
  <c r="B434" i="9"/>
  <c r="B447" i="9"/>
  <c r="B430" i="9"/>
  <c r="B431" i="9"/>
  <c r="B435" i="9"/>
  <c r="B436" i="9"/>
  <c r="B432" i="9"/>
  <c r="B448" i="9"/>
  <c r="B815" i="9"/>
  <c r="B843" i="9"/>
  <c r="B844" i="9"/>
  <c r="B819" i="9"/>
  <c r="B833" i="9"/>
  <c r="B845" i="9"/>
  <c r="B846" i="9"/>
  <c r="B837" i="9"/>
  <c r="B847" i="9"/>
  <c r="B848" i="9"/>
  <c r="B842" i="9"/>
  <c r="B822" i="9"/>
  <c r="B820" i="9"/>
  <c r="B828" i="9"/>
  <c r="B821" i="9"/>
  <c r="B811" i="9"/>
  <c r="B823" i="9"/>
  <c r="B829" i="9"/>
  <c r="B812" i="9"/>
  <c r="B830" i="9"/>
  <c r="B824" i="9"/>
  <c r="B838" i="9"/>
  <c r="B818" i="9"/>
  <c r="B839" i="9"/>
  <c r="B834" i="9"/>
  <c r="B832" i="9"/>
  <c r="B816" i="9"/>
  <c r="B825" i="9"/>
  <c r="B817" i="9"/>
  <c r="B813" i="9"/>
  <c r="B814" i="9"/>
  <c r="B826" i="9"/>
  <c r="B827" i="9"/>
  <c r="B831" i="9"/>
  <c r="B835" i="9"/>
  <c r="B840" i="9"/>
  <c r="B836" i="9"/>
  <c r="B841" i="9"/>
  <c r="B386" i="9"/>
  <c r="B414" i="9"/>
  <c r="B410" i="9"/>
  <c r="B387" i="9"/>
  <c r="B388" i="9"/>
  <c r="B411" i="9"/>
  <c r="B423" i="9"/>
  <c r="B412" i="9"/>
  <c r="B399" i="9"/>
  <c r="B396" i="9"/>
  <c r="B419" i="9"/>
  <c r="B383" i="9"/>
  <c r="B401" i="9"/>
  <c r="B394" i="9"/>
  <c r="B395" i="9"/>
  <c r="B415" i="9"/>
  <c r="B402" i="9"/>
  <c r="B403" i="9"/>
  <c r="B404" i="9"/>
  <c r="B405" i="9"/>
  <c r="B406" i="9"/>
  <c r="B407" i="9"/>
  <c r="B408" i="9"/>
  <c r="B400" i="9"/>
  <c r="B416" i="9"/>
  <c r="B390" i="9"/>
  <c r="B420" i="9"/>
  <c r="B409" i="9"/>
  <c r="B391" i="9"/>
  <c r="B389" i="9"/>
  <c r="B392" i="9"/>
  <c r="B417" i="9"/>
  <c r="B393" i="9"/>
  <c r="B413" i="9"/>
  <c r="B418" i="9"/>
  <c r="B384" i="9"/>
  <c r="B385" i="9"/>
  <c r="B421" i="9"/>
  <c r="B397" i="9"/>
  <c r="B398" i="9"/>
  <c r="B422" i="9"/>
  <c r="B523" i="9"/>
  <c r="B525" i="9"/>
  <c r="B530" i="9"/>
  <c r="B531" i="9"/>
  <c r="B524" i="9"/>
  <c r="B532" i="9"/>
  <c r="B529" i="9"/>
  <c r="B526" i="9"/>
  <c r="B527" i="9"/>
  <c r="B528" i="9"/>
  <c r="B533" i="9"/>
  <c r="B917" i="9"/>
  <c r="B918" i="9"/>
  <c r="B919" i="9"/>
  <c r="B920" i="9"/>
  <c r="B921" i="9"/>
  <c r="B922" i="9"/>
  <c r="B923" i="9"/>
  <c r="B924" i="9"/>
  <c r="B925" i="9"/>
  <c r="B926" i="9"/>
  <c r="B927" i="9"/>
  <c r="B928" i="9"/>
  <c r="B929" i="9"/>
  <c r="B930" i="9"/>
  <c r="B931" i="9"/>
  <c r="B932" i="9"/>
  <c r="B933" i="9"/>
  <c r="B934" i="9"/>
  <c r="B935" i="9"/>
  <c r="B936" i="9"/>
  <c r="B937" i="9"/>
  <c r="B938" i="9"/>
  <c r="B939" i="9"/>
  <c r="B940" i="9"/>
  <c r="B941" i="9"/>
  <c r="B942" i="9"/>
  <c r="B943" i="9"/>
  <c r="B944" i="9"/>
  <c r="B945" i="9"/>
  <c r="B946" i="9"/>
  <c r="B947" i="9"/>
  <c r="B948" i="9"/>
  <c r="B949" i="9"/>
  <c r="B950" i="9"/>
  <c r="B951" i="9"/>
  <c r="B952" i="9"/>
  <c r="B953" i="9"/>
  <c r="B954" i="9"/>
  <c r="B955" i="9"/>
  <c r="B956" i="9"/>
  <c r="B957" i="9"/>
  <c r="B958" i="9"/>
  <c r="B959" i="9"/>
  <c r="B960" i="9"/>
  <c r="B961" i="9"/>
  <c r="B962" i="9"/>
  <c r="B963" i="9"/>
  <c r="B964" i="9"/>
  <c r="B965" i="9"/>
  <c r="B966" i="9"/>
  <c r="B967" i="9"/>
  <c r="B968" i="9"/>
  <c r="B969" i="9"/>
  <c r="B970" i="9"/>
  <c r="B971" i="9"/>
  <c r="B972" i="9"/>
  <c r="B973" i="9"/>
  <c r="B974" i="9"/>
  <c r="B975" i="9"/>
  <c r="B976" i="9"/>
  <c r="B977" i="9"/>
  <c r="B978" i="9"/>
  <c r="B979" i="9"/>
  <c r="B980" i="9"/>
  <c r="B981" i="9"/>
  <c r="B982" i="9"/>
  <c r="B983" i="9"/>
  <c r="B984" i="9"/>
  <c r="B985" i="9"/>
  <c r="B986" i="9"/>
  <c r="B987" i="9"/>
  <c r="B988" i="9"/>
  <c r="B989" i="9"/>
  <c r="B990" i="9"/>
  <c r="B991" i="9"/>
  <c r="B992" i="9"/>
  <c r="B993" i="9"/>
  <c r="B994" i="9"/>
  <c r="B995" i="9"/>
  <c r="B996" i="9"/>
  <c r="B997" i="9"/>
  <c r="B998" i="9"/>
  <c r="B999" i="9"/>
  <c r="B1000" i="9"/>
  <c r="B1001" i="9"/>
  <c r="B1002" i="9"/>
  <c r="B1003" i="9"/>
  <c r="B1004" i="9"/>
  <c r="B1005" i="9"/>
  <c r="B1006" i="9"/>
  <c r="B1007" i="9"/>
  <c r="B1008" i="9"/>
  <c r="B1009" i="9"/>
  <c r="B1010" i="9"/>
  <c r="B1011" i="9"/>
  <c r="B1012" i="9"/>
  <c r="B1013" i="9"/>
  <c r="B1014" i="9"/>
  <c r="B1015" i="9"/>
  <c r="B1016" i="9"/>
  <c r="B1017" i="9"/>
  <c r="B1018" i="9"/>
  <c r="B1019" i="9"/>
  <c r="B1020" i="9"/>
  <c r="B1021" i="9"/>
  <c r="B1022" i="9"/>
  <c r="B1023" i="9"/>
  <c r="B1024" i="9"/>
  <c r="B1025" i="9"/>
  <c r="B1026" i="9"/>
  <c r="B1027" i="9"/>
  <c r="B1028" i="9"/>
  <c r="B1029" i="9"/>
  <c r="B1030" i="9"/>
  <c r="B1031" i="9"/>
  <c r="B1032" i="9"/>
  <c r="B1033" i="9"/>
  <c r="B1034" i="9"/>
  <c r="B1035" i="9"/>
  <c r="B1036" i="9"/>
  <c r="B1037" i="9"/>
  <c r="B1038" i="9"/>
  <c r="B1039" i="9"/>
  <c r="B1040" i="9"/>
  <c r="B1041" i="9"/>
  <c r="B1042" i="9"/>
  <c r="B1043" i="9"/>
  <c r="B1044" i="9"/>
  <c r="B1045" i="9"/>
  <c r="B1046" i="9"/>
  <c r="B1047" i="9"/>
  <c r="B1048" i="9"/>
  <c r="B1049" i="9"/>
  <c r="B1050" i="9"/>
  <c r="B1051" i="9"/>
  <c r="B1052" i="9"/>
  <c r="B1053" i="9"/>
  <c r="B1054" i="9"/>
  <c r="B1055" i="9"/>
  <c r="B1056" i="9"/>
  <c r="B1057" i="9"/>
  <c r="B1058" i="9"/>
  <c r="B1059" i="9"/>
  <c r="B1060" i="9"/>
  <c r="B1061" i="9"/>
  <c r="B1062" i="9"/>
  <c r="B1063" i="9"/>
  <c r="B1064" i="9"/>
  <c r="B1065" i="9"/>
  <c r="B1066" i="9"/>
  <c r="B1067" i="9"/>
  <c r="B1068" i="9"/>
  <c r="B1069" i="9"/>
  <c r="B1070" i="9"/>
  <c r="B1071" i="9"/>
  <c r="B1072" i="9"/>
  <c r="B1073" i="9"/>
  <c r="B1074" i="9"/>
  <c r="B1075" i="9"/>
  <c r="B1076" i="9"/>
  <c r="B1077" i="9"/>
  <c r="B1078" i="9"/>
  <c r="B1079" i="9"/>
  <c r="B1080" i="9"/>
  <c r="B1081" i="9"/>
  <c r="B1082" i="9"/>
  <c r="B1083" i="9"/>
  <c r="B1084" i="9"/>
  <c r="B1085" i="9"/>
  <c r="B1086" i="9"/>
  <c r="B1087" i="9"/>
  <c r="B1088" i="9"/>
  <c r="B1089" i="9"/>
  <c r="B1090" i="9"/>
  <c r="B1091" i="9"/>
  <c r="B1092" i="9"/>
  <c r="B1093" i="9"/>
  <c r="B1094" i="9"/>
  <c r="B1095" i="9"/>
  <c r="B1096" i="9"/>
  <c r="B1097" i="9"/>
  <c r="B1098" i="9"/>
  <c r="B1099" i="9"/>
  <c r="B1100" i="9"/>
  <c r="B1101" i="9"/>
  <c r="B1102" i="9"/>
  <c r="B1103" i="9"/>
  <c r="B1104" i="9"/>
  <c r="B1105" i="9"/>
  <c r="B1106" i="9"/>
  <c r="B1107" i="9"/>
  <c r="B1108" i="9"/>
  <c r="B1109" i="9"/>
  <c r="B1110" i="9"/>
  <c r="B1111" i="9"/>
  <c r="B1112" i="9"/>
  <c r="B1113" i="9"/>
  <c r="B1114" i="9"/>
  <c r="B1115" i="9"/>
  <c r="B1116" i="9"/>
  <c r="B1117" i="9"/>
  <c r="B1118" i="9"/>
  <c r="B1119" i="9"/>
  <c r="B1120" i="9"/>
  <c r="B1121" i="9"/>
  <c r="B1122" i="9"/>
  <c r="B1123" i="9"/>
  <c r="B1124" i="9"/>
  <c r="B1125" i="9"/>
  <c r="B1126" i="9"/>
  <c r="B1127" i="9"/>
  <c r="B1128" i="9"/>
  <c r="B1129" i="9"/>
  <c r="B1130" i="9"/>
  <c r="B1131" i="9"/>
  <c r="B1132" i="9"/>
  <c r="B1133" i="9"/>
  <c r="B1134" i="9"/>
  <c r="B1135" i="9"/>
  <c r="B1136" i="9"/>
  <c r="B1137" i="9"/>
  <c r="B1138" i="9"/>
  <c r="B1139" i="9"/>
  <c r="B1140" i="9"/>
  <c r="B1141" i="9"/>
  <c r="B1142" i="9"/>
  <c r="B1143" i="9"/>
  <c r="B1144" i="9"/>
  <c r="B1145" i="9"/>
  <c r="B1146" i="9"/>
  <c r="B1147" i="9"/>
  <c r="B1148" i="9"/>
  <c r="B1149" i="9"/>
  <c r="B1150" i="9"/>
  <c r="B1151" i="9"/>
  <c r="B1152" i="9"/>
  <c r="B1153" i="9"/>
  <c r="B1154" i="9"/>
  <c r="B1155" i="9"/>
  <c r="B1156" i="9"/>
  <c r="B1157" i="9"/>
  <c r="B1158" i="9"/>
  <c r="B1159" i="9"/>
  <c r="B1160" i="9"/>
  <c r="B1161" i="9"/>
  <c r="B1162" i="9"/>
  <c r="B1163" i="9"/>
  <c r="B1164" i="9"/>
  <c r="B1165" i="9"/>
  <c r="B1166" i="9"/>
  <c r="B1167" i="9"/>
  <c r="B1168" i="9"/>
  <c r="B1169" i="9"/>
  <c r="B1170" i="9"/>
  <c r="B1171" i="9"/>
  <c r="B1172" i="9"/>
  <c r="B1173" i="9"/>
  <c r="B1174" i="9"/>
  <c r="B1175" i="9"/>
  <c r="B1176" i="9"/>
  <c r="B1177" i="9"/>
  <c r="B1178" i="9"/>
  <c r="B1179" i="9"/>
  <c r="B1180" i="9"/>
  <c r="B1181" i="9"/>
  <c r="B1182" i="9"/>
  <c r="B1183" i="9"/>
  <c r="B1184" i="9"/>
  <c r="B1185" i="9"/>
  <c r="B1186" i="9"/>
  <c r="B1187" i="9"/>
  <c r="B1188" i="9"/>
  <c r="B1189" i="9"/>
  <c r="B1190" i="9"/>
  <c r="B1191" i="9"/>
  <c r="B1192" i="9"/>
  <c r="B1193" i="9"/>
  <c r="B1194" i="9"/>
  <c r="B1195" i="9"/>
  <c r="B1196" i="9"/>
  <c r="B1197" i="9"/>
  <c r="B1198" i="9"/>
  <c r="B1199" i="9"/>
  <c r="B1200" i="9"/>
  <c r="B1201" i="9"/>
  <c r="B1202" i="9"/>
  <c r="B1203" i="9"/>
  <c r="B1204" i="9"/>
  <c r="B1205" i="9"/>
  <c r="B1206" i="9"/>
  <c r="B1207" i="9"/>
  <c r="B270" i="9"/>
  <c r="A270" i="9"/>
  <c r="A263" i="9"/>
  <c r="A271" i="9"/>
  <c r="A272" i="9"/>
  <c r="A265" i="9"/>
  <c r="A266" i="9"/>
  <c r="A257" i="9"/>
  <c r="A247" i="9"/>
  <c r="A258" i="9"/>
  <c r="A248" i="9"/>
  <c r="A267" i="9"/>
  <c r="A249" i="9"/>
  <c r="A250" i="9"/>
  <c r="A261" i="9"/>
  <c r="A262" i="9"/>
  <c r="A251" i="9"/>
  <c r="A273" i="9"/>
  <c r="A264" i="9"/>
  <c r="A252" i="9"/>
  <c r="A259" i="9"/>
  <c r="A268" i="9"/>
  <c r="A269" i="9"/>
  <c r="A260" i="9"/>
  <c r="A253" i="9"/>
  <c r="A254" i="9"/>
  <c r="A255" i="9"/>
  <c r="A256" i="9"/>
  <c r="A83" i="9"/>
  <c r="A76" i="9"/>
  <c r="A84" i="9"/>
  <c r="A74" i="9"/>
  <c r="A75" i="9"/>
  <c r="A82" i="9"/>
  <c r="A80" i="9"/>
  <c r="A81" i="9"/>
  <c r="A79" i="9"/>
  <c r="A78" i="9"/>
  <c r="A77" i="9"/>
  <c r="A474" i="9"/>
  <c r="A513" i="9"/>
  <c r="A479" i="9"/>
  <c r="A480" i="9"/>
  <c r="A481" i="9"/>
  <c r="A518" i="9"/>
  <c r="A508" i="9"/>
  <c r="A509" i="9"/>
  <c r="A519" i="9"/>
  <c r="A490" i="9"/>
  <c r="A469" i="9"/>
  <c r="A503" i="9"/>
  <c r="A496" i="9"/>
  <c r="A497" i="9"/>
  <c r="A491" i="9"/>
  <c r="A492" i="9"/>
  <c r="A486" i="9"/>
  <c r="A487" i="9"/>
  <c r="A516" i="9"/>
  <c r="A470" i="9"/>
  <c r="A471" i="9"/>
  <c r="A475" i="9"/>
  <c r="A510" i="9"/>
  <c r="A482" i="9"/>
  <c r="A476" i="9"/>
  <c r="A493" i="9"/>
  <c r="A511" i="9"/>
  <c r="A477" i="9"/>
  <c r="A478" i="9"/>
  <c r="A498" i="9"/>
  <c r="A504" i="9"/>
  <c r="A505" i="9"/>
  <c r="A506" i="9"/>
  <c r="A520" i="9"/>
  <c r="A507" i="9"/>
  <c r="A521" i="9"/>
  <c r="A488" i="9"/>
  <c r="A522" i="9"/>
  <c r="A514" i="9"/>
  <c r="A483" i="9"/>
  <c r="A499" i="9"/>
  <c r="A515" i="9"/>
  <c r="A494" i="9"/>
  <c r="A484" i="9"/>
  <c r="A500" i="9"/>
  <c r="A501" i="9"/>
  <c r="A495" i="9"/>
  <c r="A472" i="9"/>
  <c r="A489" i="9"/>
  <c r="A473" i="9"/>
  <c r="A517" i="9"/>
  <c r="A502" i="9"/>
  <c r="A485" i="9"/>
  <c r="A512" i="9"/>
  <c r="A563" i="9"/>
  <c r="A564" i="9"/>
  <c r="A565" i="9"/>
  <c r="A566" i="9"/>
  <c r="A567" i="9"/>
  <c r="A568" i="9"/>
  <c r="A569" i="9"/>
  <c r="A570" i="9"/>
  <c r="A571" i="9"/>
  <c r="A572" i="9"/>
  <c r="A687" i="9"/>
  <c r="A648" i="9"/>
  <c r="A649" i="9"/>
  <c r="A688" i="9"/>
  <c r="A689" i="9"/>
  <c r="A549" i="9"/>
  <c r="A650" i="9"/>
  <c r="A651" i="9"/>
  <c r="A637" i="9"/>
  <c r="A652" i="9"/>
  <c r="A653" i="9"/>
  <c r="A690" i="9"/>
  <c r="A638" i="9"/>
  <c r="A654" i="9"/>
  <c r="A655" i="9"/>
  <c r="A656" i="9"/>
  <c r="A609" i="9"/>
  <c r="A610" i="9"/>
  <c r="A611" i="9"/>
  <c r="A691" i="9"/>
  <c r="A612" i="9"/>
  <c r="A639" i="9"/>
  <c r="A640" i="9"/>
  <c r="A657" i="9"/>
  <c r="A641" i="9"/>
  <c r="A613" i="9"/>
  <c r="A642" i="9"/>
  <c r="A692" i="9"/>
  <c r="A614" i="9"/>
  <c r="A550" i="9"/>
  <c r="A551" i="9"/>
  <c r="A552" i="9"/>
  <c r="A693" i="9"/>
  <c r="A694" i="9"/>
  <c r="A747" i="9"/>
  <c r="A748" i="9"/>
  <c r="A749" i="9"/>
  <c r="A750" i="9"/>
  <c r="A751" i="9"/>
  <c r="A752" i="9"/>
  <c r="A753" i="9"/>
  <c r="A695" i="9"/>
  <c r="A553" i="9"/>
  <c r="A696" i="9"/>
  <c r="A658" i="9"/>
  <c r="A659" i="9"/>
  <c r="A660" i="9"/>
  <c r="A643" i="9"/>
  <c r="A661" i="9"/>
  <c r="A662" i="9"/>
  <c r="A697" i="9"/>
  <c r="A663" i="9"/>
  <c r="A754" i="9"/>
  <c r="A664" i="9"/>
  <c r="A665" i="9"/>
  <c r="A554" i="9"/>
  <c r="A698" i="9"/>
  <c r="A666" i="9"/>
  <c r="A699" i="9"/>
  <c r="A700" i="9"/>
  <c r="A755" i="9"/>
  <c r="A756" i="9"/>
  <c r="A667" i="9"/>
  <c r="A555" i="9"/>
  <c r="A668" i="9"/>
  <c r="A556" i="9"/>
  <c r="A701" i="9"/>
  <c r="A702" i="9"/>
  <c r="A703" i="9"/>
  <c r="A704" i="9"/>
  <c r="A587" i="9"/>
  <c r="A588" i="9"/>
  <c r="A589" i="9"/>
  <c r="A590" i="9"/>
  <c r="A591" i="9"/>
  <c r="A598" i="9"/>
  <c r="A599" i="9"/>
  <c r="A600" i="9"/>
  <c r="A601" i="9"/>
  <c r="A592" i="9"/>
  <c r="A615" i="9"/>
  <c r="A616" i="9"/>
  <c r="A557" i="9"/>
  <c r="A617" i="9"/>
  <c r="A618" i="9"/>
  <c r="A619" i="9"/>
  <c r="A620" i="9"/>
  <c r="A621" i="9"/>
  <c r="A622" i="9"/>
  <c r="A623" i="9"/>
  <c r="A558" i="9"/>
  <c r="A559" i="9"/>
  <c r="A560" i="9"/>
  <c r="A573" i="9"/>
  <c r="A728" i="9"/>
  <c r="A729" i="9"/>
  <c r="A730" i="9"/>
  <c r="A705" i="9"/>
  <c r="A706" i="9"/>
  <c r="A707" i="9"/>
  <c r="A708" i="9"/>
  <c r="A574" i="9"/>
  <c r="A575" i="9"/>
  <c r="A576" i="9"/>
  <c r="A577" i="9"/>
  <c r="A757" i="9"/>
  <c r="A758" i="9"/>
  <c r="A578" i="9"/>
  <c r="A709" i="9"/>
  <c r="A579" i="9"/>
  <c r="A628" i="9"/>
  <c r="A580" i="9"/>
  <c r="A581" i="9"/>
  <c r="A582" i="9"/>
  <c r="A759" i="9"/>
  <c r="A561" i="9"/>
  <c r="A583" i="9"/>
  <c r="A629" i="9"/>
  <c r="A584" i="9"/>
  <c r="A669" i="9"/>
  <c r="A760" i="9"/>
  <c r="A562" i="9"/>
  <c r="A585" i="9"/>
  <c r="A644" i="9"/>
  <c r="A670" i="9"/>
  <c r="A761" i="9"/>
  <c r="A762" i="9"/>
  <c r="A671" i="9"/>
  <c r="A630" i="9"/>
  <c r="A672" i="9"/>
  <c r="A586" i="9"/>
  <c r="A624" i="9"/>
  <c r="A645" i="9"/>
  <c r="A625" i="9"/>
  <c r="A631" i="9"/>
  <c r="A646" i="9"/>
  <c r="A632" i="9"/>
  <c r="A673" i="9"/>
  <c r="A674" i="9"/>
  <c r="A763" i="9"/>
  <c r="A675" i="9"/>
  <c r="A764" i="9"/>
  <c r="A626" i="9"/>
  <c r="A647" i="9"/>
  <c r="A765" i="9"/>
  <c r="A602" i="9"/>
  <c r="A603" i="9"/>
  <c r="A633" i="9"/>
  <c r="A766" i="9"/>
  <c r="A676" i="9"/>
  <c r="A627" i="9"/>
  <c r="A593" i="9"/>
  <c r="A604" i="9"/>
  <c r="A677" i="9"/>
  <c r="A678" i="9"/>
  <c r="A710" i="9"/>
  <c r="A679" i="9"/>
  <c r="A711" i="9"/>
  <c r="A680" i="9"/>
  <c r="A712" i="9"/>
  <c r="A713" i="9"/>
  <c r="A739" i="9"/>
  <c r="A714" i="9"/>
  <c r="A715" i="9"/>
  <c r="A605" i="9"/>
  <c r="A731" i="9"/>
  <c r="A681" i="9"/>
  <c r="A716" i="9"/>
  <c r="A717" i="9"/>
  <c r="A718" i="9"/>
  <c r="A682" i="9"/>
  <c r="A683" i="9"/>
  <c r="A634" i="9"/>
  <c r="A606" i="9"/>
  <c r="A732" i="9"/>
  <c r="A719" i="9"/>
  <c r="A635" i="9"/>
  <c r="A607" i="9"/>
  <c r="A636" i="9"/>
  <c r="A684" i="9"/>
  <c r="A608" i="9"/>
  <c r="A720" i="9"/>
  <c r="A733" i="9"/>
  <c r="A734" i="9"/>
  <c r="A721" i="9"/>
  <c r="A685" i="9"/>
  <c r="A722" i="9"/>
  <c r="A735" i="9"/>
  <c r="A736" i="9"/>
  <c r="A686" i="9"/>
  <c r="A737" i="9"/>
  <c r="A740" i="9"/>
  <c r="A723" i="9"/>
  <c r="A724" i="9"/>
  <c r="A741" i="9"/>
  <c r="A738" i="9"/>
  <c r="A742" i="9"/>
  <c r="A743" i="9"/>
  <c r="A725" i="9"/>
  <c r="A726" i="9"/>
  <c r="A594" i="9"/>
  <c r="A727" i="9"/>
  <c r="A744" i="9"/>
  <c r="A745" i="9"/>
  <c r="A595" i="9"/>
  <c r="A596" i="9"/>
  <c r="A746" i="9"/>
  <c r="A597" i="9"/>
  <c r="A133" i="9"/>
  <c r="A138" i="9"/>
  <c r="A139" i="9"/>
  <c r="A140" i="9"/>
  <c r="A141" i="9"/>
  <c r="A132" i="9"/>
  <c r="A137" i="9"/>
  <c r="A135" i="9"/>
  <c r="A136" i="9"/>
  <c r="A134" i="9"/>
  <c r="A131" i="9"/>
  <c r="A376" i="9"/>
  <c r="A374" i="9"/>
  <c r="A377" i="9"/>
  <c r="A349" i="9"/>
  <c r="A350" i="9"/>
  <c r="A351" i="9"/>
  <c r="A363" i="9"/>
  <c r="A356" i="9"/>
  <c r="A378" i="9"/>
  <c r="A371" i="9"/>
  <c r="A364" i="9"/>
  <c r="A352" i="9"/>
  <c r="A372" i="9"/>
  <c r="A365" i="9"/>
  <c r="A361" i="9"/>
  <c r="A366" i="9"/>
  <c r="A353" i="9"/>
  <c r="A380" i="9"/>
  <c r="A375" i="9"/>
  <c r="A381" i="9"/>
  <c r="A382" i="9"/>
  <c r="A379" i="9"/>
  <c r="A354" i="9"/>
  <c r="A373" i="9"/>
  <c r="A357" i="9"/>
  <c r="A355" i="9"/>
  <c r="A347" i="9"/>
  <c r="A358" i="9"/>
  <c r="A359" i="9"/>
  <c r="A360" i="9"/>
  <c r="A367" i="9"/>
  <c r="A368" i="9"/>
  <c r="A348" i="9"/>
  <c r="A370" i="9"/>
  <c r="A362" i="9"/>
  <c r="A369" i="9"/>
  <c r="A467" i="9"/>
  <c r="A468" i="9"/>
  <c r="A450" i="9"/>
  <c r="A451" i="9"/>
  <c r="A465" i="9"/>
  <c r="A452" i="9"/>
  <c r="A462" i="9"/>
  <c r="A455" i="9"/>
  <c r="A453" i="9"/>
  <c r="A460" i="9"/>
  <c r="A454" i="9"/>
  <c r="A457" i="9"/>
  <c r="A466" i="9"/>
  <c r="A461" i="9"/>
  <c r="A458" i="9"/>
  <c r="A456" i="9"/>
  <c r="A463" i="9"/>
  <c r="A459" i="9"/>
  <c r="A464" i="9"/>
  <c r="A449" i="9"/>
  <c r="A770" i="9"/>
  <c r="A771" i="9"/>
  <c r="A772" i="9"/>
  <c r="A773" i="9"/>
  <c r="A774" i="9"/>
  <c r="A768" i="9"/>
  <c r="A775" i="9"/>
  <c r="A776" i="9"/>
  <c r="A769" i="9"/>
  <c r="A777" i="9"/>
  <c r="A767" i="9"/>
  <c r="A282" i="9"/>
  <c r="A283" i="9"/>
  <c r="A284" i="9"/>
  <c r="A275" i="9"/>
  <c r="A281" i="9"/>
  <c r="A285" i="9"/>
  <c r="A278" i="9"/>
  <c r="A276" i="9"/>
  <c r="A286" i="9"/>
  <c r="A279" i="9"/>
  <c r="A274" i="9"/>
  <c r="A280" i="9"/>
  <c r="A277" i="9"/>
  <c r="A178" i="9"/>
  <c r="A173" i="9"/>
  <c r="A174" i="9"/>
  <c r="A177" i="9"/>
  <c r="A175" i="9"/>
  <c r="A171" i="9"/>
  <c r="A176" i="9"/>
  <c r="A179" i="9"/>
  <c r="A169" i="9"/>
  <c r="A170" i="9"/>
  <c r="A172" i="9"/>
  <c r="A142" i="9"/>
  <c r="A143" i="9"/>
  <c r="A144" i="9"/>
  <c r="A159" i="9"/>
  <c r="A153" i="9"/>
  <c r="A145" i="9"/>
  <c r="A146" i="9"/>
  <c r="A147" i="9"/>
  <c r="A154" i="9"/>
  <c r="A157" i="9"/>
  <c r="A160" i="9"/>
  <c r="A158" i="9"/>
  <c r="A148" i="9"/>
  <c r="A149" i="9"/>
  <c r="A155" i="9"/>
  <c r="A150" i="9"/>
  <c r="A161" i="9"/>
  <c r="A162" i="9"/>
  <c r="A163" i="9"/>
  <c r="A151" i="9"/>
  <c r="A156" i="9"/>
  <c r="A164" i="9"/>
  <c r="A152" i="9"/>
  <c r="A165" i="9"/>
  <c r="A166" i="9"/>
  <c r="A168" i="9"/>
  <c r="A167" i="9"/>
  <c r="A810" i="9"/>
  <c r="A778" i="9"/>
  <c r="A782" i="9"/>
  <c r="A783" i="9"/>
  <c r="A784" i="9"/>
  <c r="A797" i="9"/>
  <c r="A809" i="9"/>
  <c r="A798" i="9"/>
  <c r="A799" i="9"/>
  <c r="A781" i="9"/>
  <c r="A787" i="9"/>
  <c r="A788" i="9"/>
  <c r="A789" i="9"/>
  <c r="A790" i="9"/>
  <c r="A791" i="9"/>
  <c r="A792" i="9"/>
  <c r="A793" i="9"/>
  <c r="A794" i="9"/>
  <c r="A795" i="9"/>
  <c r="A785" i="9"/>
  <c r="A796" i="9"/>
  <c r="A786" i="9"/>
  <c r="A801" i="9"/>
  <c r="A779" i="9"/>
  <c r="A802" i="9"/>
  <c r="A803" i="9"/>
  <c r="A804" i="9"/>
  <c r="A805" i="9"/>
  <c r="A806" i="9"/>
  <c r="A807" i="9"/>
  <c r="A808" i="9"/>
  <c r="A800" i="9"/>
  <c r="A780" i="9"/>
  <c r="A24" i="9"/>
  <c r="A32" i="9"/>
  <c r="A29" i="9"/>
  <c r="A33" i="9"/>
  <c r="A25" i="9"/>
  <c r="A26" i="9"/>
  <c r="A27" i="9"/>
  <c r="A30" i="9"/>
  <c r="A31" i="9"/>
  <c r="A28" i="9"/>
  <c r="A94" i="9"/>
  <c r="A88" i="9"/>
  <c r="A97" i="9"/>
  <c r="A87" i="9"/>
  <c r="A85" i="9"/>
  <c r="A86" i="9"/>
  <c r="A98" i="9"/>
  <c r="A95" i="9"/>
  <c r="A96" i="9"/>
  <c r="A89" i="9"/>
  <c r="A93" i="9"/>
  <c r="A90" i="9"/>
  <c r="A91" i="9"/>
  <c r="A99" i="9"/>
  <c r="A92" i="9"/>
  <c r="A100" i="9"/>
  <c r="A101" i="9"/>
  <c r="A59" i="9"/>
  <c r="A72" i="9"/>
  <c r="A61" i="9"/>
  <c r="A69" i="9"/>
  <c r="A34" i="9"/>
  <c r="A62" i="9"/>
  <c r="A48" i="9"/>
  <c r="A51" i="9"/>
  <c r="A35" i="9"/>
  <c r="A49" i="9"/>
  <c r="A52" i="9"/>
  <c r="A63" i="9"/>
  <c r="A36" i="9"/>
  <c r="A64" i="9"/>
  <c r="A56" i="9"/>
  <c r="A65" i="9"/>
  <c r="A42" i="9"/>
  <c r="A66" i="9"/>
  <c r="A37" i="9"/>
  <c r="A50" i="9"/>
  <c r="A57" i="9"/>
  <c r="A39" i="9"/>
  <c r="A40" i="9"/>
  <c r="A43" i="9"/>
  <c r="A41" i="9"/>
  <c r="A44" i="9"/>
  <c r="A58" i="9"/>
  <c r="A53" i="9"/>
  <c r="A54" i="9"/>
  <c r="A67" i="9"/>
  <c r="A45" i="9"/>
  <c r="A46" i="9"/>
  <c r="A60" i="9"/>
  <c r="A47" i="9"/>
  <c r="A70" i="9"/>
  <c r="A71" i="9"/>
  <c r="A68" i="9"/>
  <c r="A55" i="9"/>
  <c r="A38" i="9"/>
  <c r="A73" i="9"/>
  <c r="A544" i="9"/>
  <c r="A540" i="9"/>
  <c r="A535" i="9"/>
  <c r="A536" i="9"/>
  <c r="A537" i="9"/>
  <c r="A545" i="9"/>
  <c r="A543" i="9"/>
  <c r="A534" i="9"/>
  <c r="A546" i="9"/>
  <c r="A547" i="9"/>
  <c r="A548" i="9"/>
  <c r="A541" i="9"/>
  <c r="A538" i="9"/>
  <c r="A542" i="9"/>
  <c r="A539" i="9"/>
  <c r="A326" i="9"/>
  <c r="A321" i="9"/>
  <c r="A327" i="9"/>
  <c r="A322" i="9"/>
  <c r="A315" i="9"/>
  <c r="A316" i="9"/>
  <c r="A323" i="9"/>
  <c r="A317" i="9"/>
  <c r="A324" i="9"/>
  <c r="A319" i="9"/>
  <c r="A318" i="9"/>
  <c r="A325" i="9"/>
  <c r="A320" i="9"/>
  <c r="A331" i="9"/>
  <c r="A328" i="9"/>
  <c r="A329" i="9"/>
  <c r="A330" i="9"/>
  <c r="A244" i="9"/>
  <c r="A245" i="9"/>
  <c r="A229" i="9"/>
  <c r="A239" i="9"/>
  <c r="A240" i="9"/>
  <c r="A231" i="9"/>
  <c r="A232" i="9"/>
  <c r="A236" i="9"/>
  <c r="A233" i="9"/>
  <c r="A225" i="9"/>
  <c r="A237" i="9"/>
  <c r="A241" i="9"/>
  <c r="A242" i="9"/>
  <c r="A230" i="9"/>
  <c r="A234" i="9"/>
  <c r="A238" i="9"/>
  <c r="A235" i="9"/>
  <c r="A226" i="9"/>
  <c r="A243" i="9"/>
  <c r="A246" i="9"/>
  <c r="A227" i="9"/>
  <c r="A228" i="9"/>
  <c r="A301" i="9"/>
  <c r="A306" i="9"/>
  <c r="A290" i="9"/>
  <c r="A310" i="9"/>
  <c r="A291" i="9"/>
  <c r="A311" i="9"/>
  <c r="A292" i="9"/>
  <c r="A307" i="9"/>
  <c r="A293" i="9"/>
  <c r="A294" i="9"/>
  <c r="A313" i="9"/>
  <c r="A302" i="9"/>
  <c r="A303" i="9"/>
  <c r="A295" i="9"/>
  <c r="A296" i="9"/>
  <c r="A297" i="9"/>
  <c r="A298" i="9"/>
  <c r="A304" i="9"/>
  <c r="A299" i="9"/>
  <c r="A287" i="9"/>
  <c r="A288" i="9"/>
  <c r="A312" i="9"/>
  <c r="A314" i="9"/>
  <c r="A289" i="9"/>
  <c r="A308" i="9"/>
  <c r="A300" i="9"/>
  <c r="A309" i="9"/>
  <c r="A305" i="9"/>
  <c r="A195" i="9"/>
  <c r="A196" i="9"/>
  <c r="A190" i="9"/>
  <c r="A193" i="9"/>
  <c r="A180" i="9"/>
  <c r="A187" i="9"/>
  <c r="A183" i="9"/>
  <c r="A188" i="9"/>
  <c r="A184" i="9"/>
  <c r="A194" i="9"/>
  <c r="A181" i="9"/>
  <c r="A182" i="9"/>
  <c r="A191" i="9"/>
  <c r="A185" i="9"/>
  <c r="A192" i="9"/>
  <c r="A186" i="9"/>
  <c r="A189" i="9"/>
  <c r="A896" i="9"/>
  <c r="A892" i="9"/>
  <c r="A894" i="9"/>
  <c r="A893" i="9"/>
  <c r="A891" i="9"/>
  <c r="A895" i="9"/>
  <c r="A114" i="9"/>
  <c r="A124" i="9"/>
  <c r="A123" i="9"/>
  <c r="A125" i="9"/>
  <c r="A126" i="9"/>
  <c r="A121" i="9"/>
  <c r="A122" i="9"/>
  <c r="A127" i="9"/>
  <c r="A128" i="9"/>
  <c r="A115" i="9"/>
  <c r="A116" i="9"/>
  <c r="A129" i="9"/>
  <c r="A119" i="9"/>
  <c r="A130" i="9"/>
  <c r="A120" i="9"/>
  <c r="A117" i="9"/>
  <c r="A118" i="9"/>
  <c r="A911" i="9"/>
  <c r="A903" i="9"/>
  <c r="A898" i="9"/>
  <c r="A906" i="9"/>
  <c r="A914" i="9"/>
  <c r="A907" i="9"/>
  <c r="A915" i="9"/>
  <c r="A899" i="9"/>
  <c r="A908" i="9"/>
  <c r="A904" i="9"/>
  <c r="A901" i="9"/>
  <c r="A900" i="9"/>
  <c r="A916" i="9"/>
  <c r="A905" i="9"/>
  <c r="A912" i="9"/>
  <c r="A902" i="9"/>
  <c r="A909" i="9"/>
  <c r="A910" i="9"/>
  <c r="A913" i="9"/>
  <c r="A897" i="9"/>
  <c r="A113" i="9"/>
  <c r="A102" i="9"/>
  <c r="A109" i="9"/>
  <c r="A105" i="9"/>
  <c r="A104" i="9"/>
  <c r="A107" i="9"/>
  <c r="A110" i="9"/>
  <c r="A111" i="9"/>
  <c r="A103" i="9"/>
  <c r="A112" i="9"/>
  <c r="A106" i="9"/>
  <c r="A108" i="9"/>
  <c r="A337" i="9"/>
  <c r="A338" i="9"/>
  <c r="A343" i="9"/>
  <c r="A339" i="9"/>
  <c r="A332" i="9"/>
  <c r="A340" i="9"/>
  <c r="A333" i="9"/>
  <c r="A341" i="9"/>
  <c r="A334" i="9"/>
  <c r="A335" i="9"/>
  <c r="A342" i="9"/>
  <c r="A345" i="9"/>
  <c r="A336" i="9"/>
  <c r="A344" i="9"/>
  <c r="A346" i="9"/>
  <c r="A889" i="9"/>
  <c r="A887" i="9"/>
  <c r="A890" i="9"/>
  <c r="A888" i="9"/>
  <c r="A886" i="9"/>
  <c r="A878" i="9"/>
  <c r="A879" i="9"/>
  <c r="A881" i="9"/>
  <c r="A882" i="9"/>
  <c r="A883" i="9"/>
  <c r="A884" i="9"/>
  <c r="A880" i="9"/>
  <c r="A885" i="9"/>
  <c r="A15" i="9"/>
  <c r="A16" i="9"/>
  <c r="A10" i="9"/>
  <c r="A22" i="9"/>
  <c r="A18" i="9"/>
  <c r="A23" i="9"/>
  <c r="A11" i="9"/>
  <c r="A17" i="9"/>
  <c r="A13" i="9"/>
  <c r="A12" i="9"/>
  <c r="A14" i="9"/>
  <c r="A19" i="9"/>
  <c r="A20" i="9"/>
  <c r="A21" i="9"/>
  <c r="A876" i="9"/>
  <c r="A853" i="9"/>
  <c r="A872" i="9"/>
  <c r="A875" i="9"/>
  <c r="A860" i="9"/>
  <c r="A854" i="9"/>
  <c r="A855" i="9"/>
  <c r="A861" i="9"/>
  <c r="A868" i="9"/>
  <c r="A877" i="9"/>
  <c r="A866" i="9"/>
  <c r="A867" i="9"/>
  <c r="A862" i="9"/>
  <c r="A865" i="9"/>
  <c r="A863" i="9"/>
  <c r="A849" i="9"/>
  <c r="A864" i="9"/>
  <c r="A873" i="9"/>
  <c r="A874" i="9"/>
  <c r="A856" i="9"/>
  <c r="A869" i="9"/>
  <c r="A870" i="9"/>
  <c r="A857" i="9"/>
  <c r="A871" i="9"/>
  <c r="A858" i="9"/>
  <c r="A859" i="9"/>
  <c r="A850" i="9"/>
  <c r="A851" i="9"/>
  <c r="A852" i="9"/>
  <c r="A219" i="9"/>
  <c r="A220" i="9"/>
  <c r="A215" i="9"/>
  <c r="A221" i="9"/>
  <c r="A205" i="9"/>
  <c r="A222" i="9"/>
  <c r="A203" i="9"/>
  <c r="A223" i="9"/>
  <c r="A206" i="9"/>
  <c r="A224" i="9"/>
  <c r="A204" i="9"/>
  <c r="A207" i="9"/>
  <c r="A212" i="9"/>
  <c r="A208" i="9"/>
  <c r="A216" i="9"/>
  <c r="A213" i="9"/>
  <c r="A214" i="9"/>
  <c r="A211" i="9"/>
  <c r="A197" i="9"/>
  <c r="A209" i="9"/>
  <c r="A217" i="9"/>
  <c r="A218" i="9"/>
  <c r="A198" i="9"/>
  <c r="A199" i="9"/>
  <c r="A200" i="9"/>
  <c r="A201" i="9"/>
  <c r="A202" i="9"/>
  <c r="A210" i="9"/>
  <c r="A425" i="9"/>
  <c r="A426" i="9"/>
  <c r="A427" i="9"/>
  <c r="A428" i="9"/>
  <c r="A424" i="9"/>
  <c r="A429" i="9"/>
  <c r="A437" i="9"/>
  <c r="A438" i="9"/>
  <c r="A439" i="9"/>
  <c r="A440" i="9"/>
  <c r="A441" i="9"/>
  <c r="A442" i="9"/>
  <c r="A443" i="9"/>
  <c r="A433" i="9"/>
  <c r="A444" i="9"/>
  <c r="A445" i="9"/>
  <c r="A446" i="9"/>
  <c r="A434" i="9"/>
  <c r="A447" i="9"/>
  <c r="A430" i="9"/>
  <c r="A431" i="9"/>
  <c r="A435" i="9"/>
  <c r="A436" i="9"/>
  <c r="A432" i="9"/>
  <c r="A448" i="9"/>
  <c r="A815" i="9"/>
  <c r="A843" i="9"/>
  <c r="A844" i="9"/>
  <c r="A819" i="9"/>
  <c r="A833" i="9"/>
  <c r="A845" i="9"/>
  <c r="A846" i="9"/>
  <c r="A837" i="9"/>
  <c r="A847" i="9"/>
  <c r="A848" i="9"/>
  <c r="A842" i="9"/>
  <c r="A822" i="9"/>
  <c r="A820" i="9"/>
  <c r="A828" i="9"/>
  <c r="A821" i="9"/>
  <c r="A811" i="9"/>
  <c r="A823" i="9"/>
  <c r="A829" i="9"/>
  <c r="A812" i="9"/>
  <c r="A830" i="9"/>
  <c r="A824" i="9"/>
  <c r="A838" i="9"/>
  <c r="A818" i="9"/>
  <c r="A839" i="9"/>
  <c r="A834" i="9"/>
  <c r="A832" i="9"/>
  <c r="A816" i="9"/>
  <c r="A825" i="9"/>
  <c r="A817" i="9"/>
  <c r="A813" i="9"/>
  <c r="A814" i="9"/>
  <c r="A826" i="9"/>
  <c r="A827" i="9"/>
  <c r="A831" i="9"/>
  <c r="A835" i="9"/>
  <c r="A840" i="9"/>
  <c r="A836" i="9"/>
  <c r="A841" i="9"/>
  <c r="A386" i="9"/>
  <c r="A414" i="9"/>
  <c r="A410" i="9"/>
  <c r="A387" i="9"/>
  <c r="A388" i="9"/>
  <c r="A411" i="9"/>
  <c r="A423" i="9"/>
  <c r="A412" i="9"/>
  <c r="A399" i="9"/>
  <c r="A396" i="9"/>
  <c r="A419" i="9"/>
  <c r="A383" i="9"/>
  <c r="A401" i="9"/>
  <c r="A394" i="9"/>
  <c r="A395" i="9"/>
  <c r="A415" i="9"/>
  <c r="A402" i="9"/>
  <c r="A403" i="9"/>
  <c r="A404" i="9"/>
  <c r="A405" i="9"/>
  <c r="A406" i="9"/>
  <c r="A407" i="9"/>
  <c r="A408" i="9"/>
  <c r="A400" i="9"/>
  <c r="A416" i="9"/>
  <c r="A390" i="9"/>
  <c r="A420" i="9"/>
  <c r="A409" i="9"/>
  <c r="A391" i="9"/>
  <c r="A389" i="9"/>
  <c r="A392" i="9"/>
  <c r="A417" i="9"/>
  <c r="A393" i="9"/>
  <c r="A413" i="9"/>
  <c r="A418" i="9"/>
  <c r="A384" i="9"/>
  <c r="A385" i="9"/>
  <c r="A421" i="9"/>
  <c r="A397" i="9"/>
  <c r="A398" i="9"/>
  <c r="A422" i="9"/>
  <c r="A523" i="9"/>
  <c r="A525" i="9"/>
  <c r="A530" i="9"/>
  <c r="A531" i="9"/>
  <c r="A524" i="9"/>
  <c r="A532" i="9"/>
  <c r="A529" i="9"/>
  <c r="A526" i="9"/>
  <c r="A527" i="9"/>
  <c r="A528" i="9"/>
  <c r="A533"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1007" i="9"/>
  <c r="A1008" i="9"/>
  <c r="A1009" i="9"/>
  <c r="A1010" i="9"/>
  <c r="A1011" i="9"/>
  <c r="A1012" i="9"/>
  <c r="A1013" i="9"/>
  <c r="A1014" i="9"/>
  <c r="A1015" i="9"/>
  <c r="A1016" i="9"/>
  <c r="A1017" i="9"/>
  <c r="A1018" i="9"/>
  <c r="A1019" i="9"/>
  <c r="A1020" i="9"/>
  <c r="A1021" i="9"/>
  <c r="A1022" i="9"/>
  <c r="A1023" i="9"/>
  <c r="A1024" i="9"/>
  <c r="A1025" i="9"/>
  <c r="A1026" i="9"/>
  <c r="A1027" i="9"/>
  <c r="A1028" i="9"/>
  <c r="A1029" i="9"/>
  <c r="A1030" i="9"/>
  <c r="A1031" i="9"/>
  <c r="A1032" i="9"/>
  <c r="A1033" i="9"/>
  <c r="A1034" i="9"/>
  <c r="A1035" i="9"/>
  <c r="A1036" i="9"/>
  <c r="A1037" i="9"/>
  <c r="A1038" i="9"/>
  <c r="A1039" i="9"/>
  <c r="A1040" i="9"/>
  <c r="A1041" i="9"/>
  <c r="A1042" i="9"/>
  <c r="A1043" i="9"/>
  <c r="A1044" i="9"/>
  <c r="A1045" i="9"/>
  <c r="A1046" i="9"/>
  <c r="A1047" i="9"/>
  <c r="A1048" i="9"/>
  <c r="A1049" i="9"/>
  <c r="A1050" i="9"/>
  <c r="A1051" i="9"/>
  <c r="A1052" i="9"/>
  <c r="A1053" i="9"/>
  <c r="A1054" i="9"/>
  <c r="A1055" i="9"/>
  <c r="A1056" i="9"/>
  <c r="A1057" i="9"/>
  <c r="A1058" i="9"/>
  <c r="A1059" i="9"/>
  <c r="A1060" i="9"/>
  <c r="A1061" i="9"/>
  <c r="A1062" i="9"/>
  <c r="A1063" i="9"/>
  <c r="A1064" i="9"/>
  <c r="A1065" i="9"/>
  <c r="A1066" i="9"/>
  <c r="A1067" i="9"/>
  <c r="A1068" i="9"/>
  <c r="A1069" i="9"/>
  <c r="A1070" i="9"/>
  <c r="A1071" i="9"/>
  <c r="A1072" i="9"/>
  <c r="A1073" i="9"/>
  <c r="A1074" i="9"/>
  <c r="A1075" i="9"/>
  <c r="A1076" i="9"/>
  <c r="A1077" i="9"/>
  <c r="A1078" i="9"/>
  <c r="A1079" i="9"/>
  <c r="A1080" i="9"/>
  <c r="A1081" i="9"/>
  <c r="A1082" i="9"/>
  <c r="A1083" i="9"/>
  <c r="A1084" i="9"/>
  <c r="A1085" i="9"/>
  <c r="A1086" i="9"/>
  <c r="A1087" i="9"/>
  <c r="A1088" i="9"/>
  <c r="A1089" i="9"/>
  <c r="A1090" i="9"/>
  <c r="A1091" i="9"/>
  <c r="A1092" i="9"/>
  <c r="A1093" i="9"/>
  <c r="A1094" i="9"/>
  <c r="A1095" i="9"/>
  <c r="A1096" i="9"/>
  <c r="A1097" i="9"/>
  <c r="A1098" i="9"/>
  <c r="A1099" i="9"/>
  <c r="A1100" i="9"/>
  <c r="A1101" i="9"/>
  <c r="A1102" i="9"/>
  <c r="A1103" i="9"/>
  <c r="A1104" i="9"/>
  <c r="A1105" i="9"/>
  <c r="A1106" i="9"/>
  <c r="A1107" i="9"/>
  <c r="A1108" i="9"/>
  <c r="A1109" i="9"/>
  <c r="A1110" i="9"/>
  <c r="A1111" i="9"/>
  <c r="A1112" i="9"/>
  <c r="A1113" i="9"/>
  <c r="A1114" i="9"/>
  <c r="A1115" i="9"/>
  <c r="A1116" i="9"/>
  <c r="A1117" i="9"/>
  <c r="A1118" i="9"/>
  <c r="A1119" i="9"/>
  <c r="A1120" i="9"/>
  <c r="A1121" i="9"/>
  <c r="A1122" i="9"/>
  <c r="A1123" i="9"/>
  <c r="A1124" i="9"/>
  <c r="A1125" i="9"/>
  <c r="A1126" i="9"/>
  <c r="A1127" i="9"/>
  <c r="A1128" i="9"/>
  <c r="A1129" i="9"/>
  <c r="A1130" i="9"/>
  <c r="A1131" i="9"/>
  <c r="A1132" i="9"/>
  <c r="A1133" i="9"/>
  <c r="A1134" i="9"/>
  <c r="A1135" i="9"/>
  <c r="A1136" i="9"/>
  <c r="A1137" i="9"/>
  <c r="A1138" i="9"/>
  <c r="A1139" i="9"/>
  <c r="A1140" i="9"/>
  <c r="A1141" i="9"/>
  <c r="A1142" i="9"/>
  <c r="A1143" i="9"/>
  <c r="A1144" i="9"/>
  <c r="A1145" i="9"/>
  <c r="A1146" i="9"/>
  <c r="A1147" i="9"/>
  <c r="A1148" i="9"/>
  <c r="A1149" i="9"/>
  <c r="C1149" i="9" s="1"/>
  <c r="A1150" i="9"/>
  <c r="C1150" i="9" s="1"/>
  <c r="A1151" i="9"/>
  <c r="C1151" i="9" s="1"/>
  <c r="A1152" i="9"/>
  <c r="A1153" i="9"/>
  <c r="A1154" i="9"/>
  <c r="C1154" i="9" s="1"/>
  <c r="A1155" i="9"/>
  <c r="C1155" i="9" s="1"/>
  <c r="A1156" i="9"/>
  <c r="A1157" i="9"/>
  <c r="C1157" i="9" s="1"/>
  <c r="A1158" i="9"/>
  <c r="C1158" i="9" s="1"/>
  <c r="A1159" i="9"/>
  <c r="C1159" i="9" s="1"/>
  <c r="A1160" i="9"/>
  <c r="C1160" i="9" s="1"/>
  <c r="A1161" i="9"/>
  <c r="C1161" i="9" s="1"/>
  <c r="A1162" i="9"/>
  <c r="C1162" i="9" s="1"/>
  <c r="A1163" i="9"/>
  <c r="C1163" i="9" s="1"/>
  <c r="A1164" i="9"/>
  <c r="A1165" i="9"/>
  <c r="C1165" i="9" s="1"/>
  <c r="A1166" i="9"/>
  <c r="C1166" i="9" s="1"/>
  <c r="A1167" i="9"/>
  <c r="C1167" i="9" s="1"/>
  <c r="A1168" i="9"/>
  <c r="C1168" i="9" s="1"/>
  <c r="A1169" i="9"/>
  <c r="C1169" i="9" s="1"/>
  <c r="A1170" i="9"/>
  <c r="C1170" i="9" s="1"/>
  <c r="A1171" i="9"/>
  <c r="C1171" i="9" s="1"/>
  <c r="A1172" i="9"/>
  <c r="A1173" i="9"/>
  <c r="C1173" i="9" s="1"/>
  <c r="A1174" i="9"/>
  <c r="C1174" i="9" s="1"/>
  <c r="A1175" i="9"/>
  <c r="A1176" i="9"/>
  <c r="C1176" i="9" s="1"/>
  <c r="A1177" i="9"/>
  <c r="C1177" i="9" s="1"/>
  <c r="A1178" i="9"/>
  <c r="C1178" i="9" s="1"/>
  <c r="A1179" i="9"/>
  <c r="C1179" i="9" s="1"/>
  <c r="A1180" i="9"/>
  <c r="A1181" i="9"/>
  <c r="C1181" i="9" s="1"/>
  <c r="A1182" i="9"/>
  <c r="C1182" i="9" s="1"/>
  <c r="A1183" i="9"/>
  <c r="C1183" i="9" s="1"/>
  <c r="A1184" i="9"/>
  <c r="C1184" i="9" s="1"/>
  <c r="A1185" i="9"/>
  <c r="A1186" i="9"/>
  <c r="C1186" i="9" s="1"/>
  <c r="A1187" i="9"/>
  <c r="C1187" i="9" s="1"/>
  <c r="A1188" i="9"/>
  <c r="A1189" i="9"/>
  <c r="C1189" i="9" s="1"/>
  <c r="A1190" i="9"/>
  <c r="C1190" i="9" s="1"/>
  <c r="A1191" i="9"/>
  <c r="C1191" i="9" s="1"/>
  <c r="A1192" i="9"/>
  <c r="C1192" i="9" s="1"/>
  <c r="A1193" i="9"/>
  <c r="C1193" i="9" s="1"/>
  <c r="A1194" i="9"/>
  <c r="C1194" i="9" s="1"/>
  <c r="A1195" i="9"/>
  <c r="C1195" i="9" s="1"/>
  <c r="A1196" i="9"/>
  <c r="A1197" i="9"/>
  <c r="C1197" i="9" s="1"/>
  <c r="A1198" i="9"/>
  <c r="C1198" i="9" s="1"/>
  <c r="A1199" i="9"/>
  <c r="C1199" i="9" s="1"/>
  <c r="A1200" i="9"/>
  <c r="C1200" i="9" s="1"/>
  <c r="A1201" i="9"/>
  <c r="C1201" i="9" s="1"/>
  <c r="A1202" i="9"/>
  <c r="C1202" i="9" s="1"/>
  <c r="A1203" i="9"/>
  <c r="C1203" i="9" s="1"/>
  <c r="A1204" i="9"/>
  <c r="A1205" i="9"/>
  <c r="C1205" i="9" s="1"/>
  <c r="A1206" i="9"/>
  <c r="C1206" i="9" s="1"/>
  <c r="A1207" i="9"/>
  <c r="A1208" i="9"/>
  <c r="C1208" i="9" s="1"/>
  <c r="A1209" i="9"/>
  <c r="C1209" i="9" s="1"/>
  <c r="A1210" i="9"/>
  <c r="C1210" i="9" s="1"/>
  <c r="A1211" i="9"/>
  <c r="C1211" i="9" s="1"/>
  <c r="A1212" i="9"/>
  <c r="C1212" i="9" s="1"/>
  <c r="A1213" i="9"/>
  <c r="C1213" i="9" s="1"/>
  <c r="A1214" i="9"/>
  <c r="C1214" i="9" s="1"/>
  <c r="A1215" i="9"/>
  <c r="C1215" i="9" s="1"/>
  <c r="A1216" i="9"/>
  <c r="C1216" i="9" s="1"/>
  <c r="A1217" i="9"/>
  <c r="A1218" i="9"/>
  <c r="C1218" i="9" s="1"/>
  <c r="A1219" i="9"/>
  <c r="C1219" i="9" s="1"/>
  <c r="A1220" i="9"/>
  <c r="C1220" i="9" s="1"/>
  <c r="A1221" i="9"/>
  <c r="C1221" i="9" s="1"/>
  <c r="A1222" i="9"/>
  <c r="C1222" i="9" s="1"/>
  <c r="A1223" i="9"/>
  <c r="C1223" i="9" s="1"/>
  <c r="A1224" i="9"/>
  <c r="C1224" i="9" s="1"/>
  <c r="A1225" i="9"/>
  <c r="C1225" i="9" s="1"/>
  <c r="A1226" i="9"/>
  <c r="C1226" i="9" s="1"/>
  <c r="C1141" i="7" l="1"/>
  <c r="C1133" i="7"/>
  <c r="C1117" i="7"/>
  <c r="C1109" i="7"/>
  <c r="C1101" i="7"/>
  <c r="C1085" i="7"/>
  <c r="C1077" i="7"/>
  <c r="C1069" i="7"/>
  <c r="C1053" i="7"/>
  <c r="C1045" i="7"/>
  <c r="C1037" i="7"/>
  <c r="C1021" i="7"/>
  <c r="C1013" i="7"/>
  <c r="C1005" i="7"/>
  <c r="C989" i="7"/>
  <c r="C981" i="7"/>
  <c r="C973" i="7"/>
  <c r="C957" i="7"/>
  <c r="C949" i="7"/>
  <c r="C941" i="7"/>
  <c r="C925" i="7"/>
  <c r="C917" i="7"/>
  <c r="C909" i="7"/>
  <c r="C893" i="7"/>
  <c r="C885" i="7"/>
  <c r="C877" i="7"/>
  <c r="C861" i="7"/>
  <c r="C853" i="7"/>
  <c r="C845" i="7"/>
  <c r="C829" i="7"/>
  <c r="C1006" i="12"/>
  <c r="C990" i="12"/>
  <c r="C974" i="12"/>
  <c r="C958" i="12"/>
  <c r="C1139" i="5"/>
  <c r="C1115" i="5"/>
  <c r="C1091" i="5"/>
  <c r="C1067" i="5"/>
  <c r="C1051" i="5"/>
  <c r="C1011" i="5"/>
  <c r="C979" i="5"/>
  <c r="C955" i="5"/>
  <c r="C931" i="5"/>
  <c r="C899" i="5"/>
  <c r="C875" i="5"/>
  <c r="C843" i="5"/>
  <c r="C1130" i="33"/>
  <c r="C946" i="33"/>
  <c r="C1131" i="5"/>
  <c r="C1107" i="5"/>
  <c r="C1083" i="5"/>
  <c r="C1059" i="5"/>
  <c r="C1035" i="5"/>
  <c r="C1027" i="5"/>
  <c r="C1003" i="5"/>
  <c r="C987" i="5"/>
  <c r="C971" i="5"/>
  <c r="C947" i="5"/>
  <c r="C923" i="5"/>
  <c r="C907" i="5"/>
  <c r="C883" i="5"/>
  <c r="C859" i="5"/>
  <c r="C827" i="5"/>
  <c r="C874" i="33"/>
  <c r="C1147" i="5"/>
  <c r="C1123" i="5"/>
  <c r="C1099" i="5"/>
  <c r="C1075" i="5"/>
  <c r="C1043" i="5"/>
  <c r="C1019" i="5"/>
  <c r="C995" i="5"/>
  <c r="C963" i="5"/>
  <c r="C939" i="5"/>
  <c r="C915" i="5"/>
  <c r="C891" i="5"/>
  <c r="C867" i="5"/>
  <c r="C851" i="5"/>
  <c r="C835" i="5"/>
  <c r="C1142" i="12"/>
  <c r="C1134" i="12"/>
  <c r="C1126" i="12"/>
  <c r="C1118" i="12"/>
  <c r="C1110" i="12"/>
  <c r="C1094" i="12"/>
  <c r="C1078" i="12"/>
  <c r="C1070" i="12"/>
  <c r="C1062" i="12"/>
  <c r="C1054" i="12"/>
  <c r="C1046" i="12"/>
  <c r="C1030" i="12"/>
  <c r="C1014" i="12"/>
  <c r="C1088" i="33"/>
  <c r="C904" i="33"/>
  <c r="C840" i="33"/>
  <c r="C1204" i="9"/>
  <c r="C1196" i="9"/>
  <c r="C1188" i="9"/>
  <c r="C1180" i="9"/>
  <c r="C1172" i="9"/>
  <c r="C1164" i="9"/>
  <c r="C1156" i="9"/>
  <c r="C1152" i="9"/>
  <c r="C1153" i="9"/>
  <c r="C1142" i="9"/>
  <c r="C1126" i="9"/>
  <c r="C1086" i="9"/>
  <c r="C1078" i="9"/>
  <c r="C982" i="9"/>
  <c r="C966" i="9"/>
  <c r="C934" i="9"/>
  <c r="C822" i="9"/>
  <c r="C1137" i="9"/>
  <c r="C1113" i="9"/>
  <c r="C1097" i="9"/>
  <c r="C1073" i="9"/>
  <c r="C1057" i="9"/>
  <c r="C1041" i="9"/>
  <c r="C1025" i="9"/>
  <c r="D1025" i="9" s="1"/>
  <c r="E1025" i="9" s="1"/>
  <c r="C1017" i="9"/>
  <c r="C1001" i="9"/>
  <c r="C985" i="9"/>
  <c r="C977" i="9"/>
  <c r="C961" i="9"/>
  <c r="C945" i="9"/>
  <c r="C937" i="9"/>
  <c r="C921" i="9"/>
  <c r="D921" i="9" s="1"/>
  <c r="E921" i="9" s="1"/>
  <c r="C422" i="9"/>
  <c r="C402" i="9"/>
  <c r="C386" i="9"/>
  <c r="C818" i="9"/>
  <c r="C846" i="9"/>
  <c r="C1145" i="9"/>
  <c r="D1145" i="9" s="1"/>
  <c r="E1145" i="9" s="1"/>
  <c r="C1129" i="9"/>
  <c r="D1129" i="9" s="1"/>
  <c r="E1129" i="9" s="1"/>
  <c r="C1121" i="9"/>
  <c r="D1121" i="9" s="1"/>
  <c r="E1121" i="9" s="1"/>
  <c r="C1105" i="9"/>
  <c r="C1089" i="9"/>
  <c r="C1081" i="9"/>
  <c r="D1081" i="9" s="1"/>
  <c r="E1081" i="9" s="1"/>
  <c r="C1065" i="9"/>
  <c r="C1049" i="9"/>
  <c r="C1033" i="9"/>
  <c r="C1009" i="9"/>
  <c r="F1009" i="9" s="1"/>
  <c r="C993" i="9"/>
  <c r="C969" i="9"/>
  <c r="C953" i="9"/>
  <c r="C929" i="9"/>
  <c r="C526" i="9"/>
  <c r="D526" i="9" s="1"/>
  <c r="E526" i="9" s="1"/>
  <c r="C393" i="9"/>
  <c r="C416" i="9"/>
  <c r="C399" i="9"/>
  <c r="C814" i="9"/>
  <c r="C821" i="9"/>
  <c r="C432" i="9"/>
  <c r="C1148" i="12"/>
  <c r="C1140" i="12"/>
  <c r="C1132" i="12"/>
  <c r="C1092" i="12"/>
  <c r="C1084" i="12"/>
  <c r="C1076" i="12"/>
  <c r="C1068" i="12"/>
  <c r="C1028" i="12"/>
  <c r="C1020" i="12"/>
  <c r="C1012" i="12"/>
  <c r="C1142" i="33"/>
  <c r="C1134" i="33"/>
  <c r="C1126" i="33"/>
  <c r="C1118" i="33"/>
  <c r="C1110" i="33"/>
  <c r="C1102" i="33"/>
  <c r="C1086" i="33"/>
  <c r="C1078" i="33"/>
  <c r="C1070" i="33"/>
  <c r="C1062" i="33"/>
  <c r="C1054" i="33"/>
  <c r="C1046" i="33"/>
  <c r="C1038" i="33"/>
  <c r="C1022" i="33"/>
  <c r="C1014" i="33"/>
  <c r="C1006" i="33"/>
  <c r="C998" i="33"/>
  <c r="C990" i="33"/>
  <c r="C982" i="33"/>
  <c r="C974" i="33"/>
  <c r="C958" i="33"/>
  <c r="C950" i="33"/>
  <c r="C942" i="33"/>
  <c r="C934" i="33"/>
  <c r="C926" i="33"/>
  <c r="C918" i="33"/>
  <c r="C910" i="33"/>
  <c r="C894" i="33"/>
  <c r="C886" i="33"/>
  <c r="C878" i="33"/>
  <c r="C870" i="33"/>
  <c r="C862" i="33"/>
  <c r="C854" i="33"/>
  <c r="C846" i="33"/>
  <c r="C830" i="33"/>
  <c r="C822" i="33"/>
  <c r="C905" i="33"/>
  <c r="C841" i="33"/>
  <c r="C1146" i="9"/>
  <c r="C1138" i="9"/>
  <c r="C1130" i="9"/>
  <c r="C1122" i="9"/>
  <c r="C1114" i="9"/>
  <c r="C1106" i="9"/>
  <c r="C1098" i="9"/>
  <c r="C1090" i="9"/>
  <c r="C1082" i="9"/>
  <c r="C1074" i="9"/>
  <c r="C1066" i="9"/>
  <c r="C1058" i="9"/>
  <c r="C1050" i="9"/>
  <c r="C1042" i="9"/>
  <c r="C1034" i="9"/>
  <c r="C1026" i="9"/>
  <c r="C1018" i="9"/>
  <c r="C1010" i="9"/>
  <c r="C1002" i="9"/>
  <c r="C994" i="9"/>
  <c r="C909" i="5"/>
  <c r="C901" i="5"/>
  <c r="C893" i="5"/>
  <c r="C885" i="5"/>
  <c r="C877" i="5"/>
  <c r="C869" i="5"/>
  <c r="C861" i="5"/>
  <c r="C853" i="5"/>
  <c r="C845" i="5"/>
  <c r="C837" i="5"/>
  <c r="C829" i="5"/>
  <c r="C916" i="7"/>
  <c r="C908" i="7"/>
  <c r="C900" i="7"/>
  <c r="C892" i="7"/>
  <c r="C884" i="7"/>
  <c r="C876" i="7"/>
  <c r="C868" i="7"/>
  <c r="C860" i="7"/>
  <c r="C852" i="7"/>
  <c r="C844" i="7"/>
  <c r="C836" i="7"/>
  <c r="C828" i="7"/>
  <c r="C1146" i="12"/>
  <c r="C1138" i="12"/>
  <c r="C1130" i="12"/>
  <c r="C1122" i="12"/>
  <c r="C1114" i="12"/>
  <c r="C1098" i="12"/>
  <c r="C1090" i="12"/>
  <c r="C1082" i="12"/>
  <c r="C1074" i="12"/>
  <c r="C1066" i="12"/>
  <c r="C1058" i="12"/>
  <c r="C1050" i="12"/>
  <c r="C1034" i="12"/>
  <c r="C1026" i="12"/>
  <c r="C1018" i="12"/>
  <c r="C896" i="33"/>
  <c r="C864" i="33"/>
  <c r="C832" i="33"/>
  <c r="C1142" i="5"/>
  <c r="F1142" i="5" s="1"/>
  <c r="H1142" i="5" s="1"/>
  <c r="C1134" i="5"/>
  <c r="C1126" i="5"/>
  <c r="F1126" i="5" s="1"/>
  <c r="H1126" i="5" s="1"/>
  <c r="C1118" i="5"/>
  <c r="C1110" i="5"/>
  <c r="F1110" i="5" s="1"/>
  <c r="H1110" i="5" s="1"/>
  <c r="C1102" i="5"/>
  <c r="C1094" i="5"/>
  <c r="F1094" i="5" s="1"/>
  <c r="H1094" i="5" s="1"/>
  <c r="C1086" i="5"/>
  <c r="C1078" i="5"/>
  <c r="F1078" i="5" s="1"/>
  <c r="H1078" i="5" s="1"/>
  <c r="C1070" i="5"/>
  <c r="C1062" i="5"/>
  <c r="F1062" i="5" s="1"/>
  <c r="H1062" i="5" s="1"/>
  <c r="C1054" i="5"/>
  <c r="C1046" i="5"/>
  <c r="F1046" i="5" s="1"/>
  <c r="H1046" i="5" s="1"/>
  <c r="C1038" i="5"/>
  <c r="C1030" i="5"/>
  <c r="F1030" i="5" s="1"/>
  <c r="H1030" i="5" s="1"/>
  <c r="C1022" i="5"/>
  <c r="C1014" i="5"/>
  <c r="F1014" i="5" s="1"/>
  <c r="H1014" i="5" s="1"/>
  <c r="C1006" i="5"/>
  <c r="C998" i="5"/>
  <c r="F998" i="5" s="1"/>
  <c r="H998" i="5" s="1"/>
  <c r="C990" i="5"/>
  <c r="C982" i="5"/>
  <c r="F982" i="5" s="1"/>
  <c r="H982" i="5" s="1"/>
  <c r="C974" i="5"/>
  <c r="C966" i="5"/>
  <c r="F966" i="5" s="1"/>
  <c r="H966" i="5" s="1"/>
  <c r="C958" i="5"/>
  <c r="C950" i="5"/>
  <c r="F950" i="5" s="1"/>
  <c r="H950" i="5" s="1"/>
  <c r="C942" i="5"/>
  <c r="C934" i="5"/>
  <c r="F934" i="5" s="1"/>
  <c r="H934" i="5" s="1"/>
  <c r="C926" i="5"/>
  <c r="C918" i="5"/>
  <c r="F918" i="5" s="1"/>
  <c r="H918" i="5" s="1"/>
  <c r="C411" i="9"/>
  <c r="C825" i="9"/>
  <c r="C1145" i="5"/>
  <c r="C1137" i="5"/>
  <c r="F1137" i="5" s="1"/>
  <c r="H1137" i="5" s="1"/>
  <c r="C1129" i="5"/>
  <c r="C1121" i="5"/>
  <c r="C1113" i="5"/>
  <c r="C1105" i="5"/>
  <c r="K1105" i="5" s="1"/>
  <c r="C1097" i="5"/>
  <c r="C1089" i="5"/>
  <c r="C1081" i="5"/>
  <c r="C1073" i="5"/>
  <c r="K1073" i="5" s="1"/>
  <c r="C1065" i="5"/>
  <c r="C1057" i="5"/>
  <c r="C1049" i="5"/>
  <c r="C1041" i="5"/>
  <c r="K1041" i="5" s="1"/>
  <c r="C1033" i="5"/>
  <c r="C1025" i="5"/>
  <c r="F1025" i="5" s="1"/>
  <c r="H1025" i="5" s="1"/>
  <c r="C1017" i="5"/>
  <c r="C1009" i="5"/>
  <c r="F1009" i="5" s="1"/>
  <c r="H1009" i="5" s="1"/>
  <c r="C1001" i="5"/>
  <c r="C993" i="5"/>
  <c r="C985" i="5"/>
  <c r="C977" i="5"/>
  <c r="K977" i="5" s="1"/>
  <c r="C969" i="5"/>
  <c r="C961" i="5"/>
  <c r="C953" i="5"/>
  <c r="C945" i="5"/>
  <c r="K945" i="5" s="1"/>
  <c r="C937" i="5"/>
  <c r="C929" i="5"/>
  <c r="C921" i="5"/>
  <c r="C913" i="5"/>
  <c r="K913" i="5" s="1"/>
  <c r="C905" i="5"/>
  <c r="C897" i="5"/>
  <c r="F897" i="5" s="1"/>
  <c r="H897" i="5" s="1"/>
  <c r="C889" i="5"/>
  <c r="C881" i="5"/>
  <c r="K881" i="5" s="1"/>
  <c r="C873" i="5"/>
  <c r="C865" i="5"/>
  <c r="C857" i="5"/>
  <c r="C849" i="5"/>
  <c r="K849" i="5" s="1"/>
  <c r="C841" i="5"/>
  <c r="C833" i="5"/>
  <c r="K833" i="5" s="1"/>
  <c r="C825" i="5"/>
  <c r="C1009" i="12"/>
  <c r="C1001" i="12"/>
  <c r="C993" i="12"/>
  <c r="C985" i="12"/>
  <c r="C953" i="12"/>
  <c r="C937" i="12"/>
  <c r="C921" i="12"/>
  <c r="C889" i="12"/>
  <c r="C841" i="12"/>
  <c r="C833" i="12"/>
  <c r="C825" i="12"/>
  <c r="C912" i="12"/>
  <c r="C840" i="12"/>
  <c r="L840" i="12" s="1"/>
  <c r="C832" i="12"/>
  <c r="C1135" i="33"/>
  <c r="C1127" i="33"/>
  <c r="C1119" i="33"/>
  <c r="C1111" i="33"/>
  <c r="C1095" i="33"/>
  <c r="C1087" i="33"/>
  <c r="C1071" i="33"/>
  <c r="C1063" i="33"/>
  <c r="C1055" i="33"/>
  <c r="C1047" i="33"/>
  <c r="C1031" i="33"/>
  <c r="C1023" i="33"/>
  <c r="C1007" i="33"/>
  <c r="C999" i="33"/>
  <c r="C991" i="33"/>
  <c r="C983" i="33"/>
  <c r="C967" i="33"/>
  <c r="C959" i="33"/>
  <c r="C943" i="33"/>
  <c r="C935" i="33"/>
  <c r="C927" i="33"/>
  <c r="C919" i="33"/>
  <c r="C903" i="33"/>
  <c r="C895" i="33"/>
  <c r="C879" i="33"/>
  <c r="C871" i="33"/>
  <c r="C863" i="33"/>
  <c r="C855" i="33"/>
  <c r="C839" i="33"/>
  <c r="C831" i="33"/>
  <c r="C1137" i="33"/>
  <c r="C1129" i="33"/>
  <c r="C1073" i="33"/>
  <c r="C1065" i="33"/>
  <c r="C1033" i="33"/>
  <c r="C1009" i="33"/>
  <c r="C969" i="33"/>
  <c r="C937" i="33"/>
  <c r="C1143" i="12"/>
  <c r="C1095" i="12"/>
  <c r="C1079" i="12"/>
  <c r="C1047" i="12"/>
  <c r="C1015" i="12"/>
  <c r="C1120" i="33"/>
  <c r="C1096" i="33"/>
  <c r="C1056" i="33"/>
  <c r="C1032" i="33"/>
  <c r="C1024" i="33"/>
  <c r="C992" i="33"/>
  <c r="C968" i="33"/>
  <c r="C960" i="33"/>
  <c r="C928" i="33"/>
  <c r="C1094" i="9"/>
  <c r="C1141" i="9"/>
  <c r="C1133" i="9"/>
  <c r="C1125" i="9"/>
  <c r="C1117" i="9"/>
  <c r="C1109" i="9"/>
  <c r="C1101" i="9"/>
  <c r="C1093" i="9"/>
  <c r="C1085" i="9"/>
  <c r="C1077" i="9"/>
  <c r="C1069" i="9"/>
  <c r="C1061" i="9"/>
  <c r="C1053" i="9"/>
  <c r="C1045" i="9"/>
  <c r="C1037" i="9"/>
  <c r="C1029" i="9"/>
  <c r="C1021" i="9"/>
  <c r="C1013" i="9"/>
  <c r="C1005" i="9"/>
  <c r="C997" i="9"/>
  <c r="C989" i="9"/>
  <c r="C981" i="9"/>
  <c r="C973" i="9"/>
  <c r="C965" i="9"/>
  <c r="C957" i="9"/>
  <c r="C949" i="9"/>
  <c r="C941" i="9"/>
  <c r="C933" i="9"/>
  <c r="C925" i="9"/>
  <c r="C917" i="9"/>
  <c r="C992" i="12"/>
  <c r="C976" i="12"/>
  <c r="C1093" i="12"/>
  <c r="C1077" i="12"/>
  <c r="C1029" i="12"/>
  <c r="C1147" i="9"/>
  <c r="C1107" i="9"/>
  <c r="C1091" i="9"/>
  <c r="C1083" i="9"/>
  <c r="C1043" i="9"/>
  <c r="C998" i="9"/>
  <c r="C1141" i="5"/>
  <c r="C1133" i="5"/>
  <c r="F1133" i="5" s="1"/>
  <c r="H1133" i="5" s="1"/>
  <c r="C1125" i="5"/>
  <c r="C1117" i="5"/>
  <c r="F1117" i="5" s="1"/>
  <c r="H1117" i="5" s="1"/>
  <c r="C1109" i="5"/>
  <c r="C1101" i="5"/>
  <c r="F1101" i="5" s="1"/>
  <c r="H1101" i="5" s="1"/>
  <c r="C1093" i="5"/>
  <c r="C1085" i="5"/>
  <c r="F1085" i="5" s="1"/>
  <c r="H1085" i="5" s="1"/>
  <c r="C1077" i="5"/>
  <c r="C1069" i="5"/>
  <c r="F1069" i="5" s="1"/>
  <c r="H1069" i="5" s="1"/>
  <c r="C1061" i="5"/>
  <c r="C1053" i="5"/>
  <c r="F1053" i="5" s="1"/>
  <c r="H1053" i="5" s="1"/>
  <c r="C1045" i="5"/>
  <c r="C1037" i="5"/>
  <c r="F1037" i="5" s="1"/>
  <c r="H1037" i="5" s="1"/>
  <c r="C1029" i="5"/>
  <c r="C1021" i="5"/>
  <c r="F1021" i="5" s="1"/>
  <c r="H1021" i="5" s="1"/>
  <c r="C1013" i="5"/>
  <c r="C1005" i="5"/>
  <c r="F1005" i="5" s="1"/>
  <c r="H1005" i="5" s="1"/>
  <c r="C997" i="5"/>
  <c r="C989" i="5"/>
  <c r="F989" i="5" s="1"/>
  <c r="H989" i="5" s="1"/>
  <c r="C981" i="5"/>
  <c r="C973" i="5"/>
  <c r="F973" i="5" s="1"/>
  <c r="H973" i="5" s="1"/>
  <c r="C965" i="5"/>
  <c r="C957" i="5"/>
  <c r="F957" i="5" s="1"/>
  <c r="H957" i="5" s="1"/>
  <c r="C949" i="5"/>
  <c r="C941" i="5"/>
  <c r="F941" i="5" s="1"/>
  <c r="H941" i="5" s="1"/>
  <c r="C933" i="5"/>
  <c r="C925" i="5"/>
  <c r="F925" i="5" s="1"/>
  <c r="H925" i="5" s="1"/>
  <c r="C917" i="5"/>
  <c r="C1148" i="7"/>
  <c r="C1140" i="7"/>
  <c r="C1132" i="7"/>
  <c r="C1124" i="7"/>
  <c r="C1116" i="7"/>
  <c r="G1116" i="7" s="1"/>
  <c r="C1108" i="7"/>
  <c r="C1100" i="7"/>
  <c r="C1092" i="7"/>
  <c r="C1084" i="7"/>
  <c r="C1076" i="7"/>
  <c r="C1068" i="7"/>
  <c r="C1060" i="7"/>
  <c r="C1052" i="7"/>
  <c r="G1052" i="7" s="1"/>
  <c r="C1044" i="7"/>
  <c r="C1036" i="7"/>
  <c r="C1028" i="7"/>
  <c r="C1020" i="7"/>
  <c r="C1012" i="7"/>
  <c r="C1004" i="7"/>
  <c r="C996" i="7"/>
  <c r="C988" i="7"/>
  <c r="G988" i="7" s="1"/>
  <c r="C980" i="7"/>
  <c r="C972" i="7"/>
  <c r="C964" i="7"/>
  <c r="C956" i="7"/>
  <c r="C948" i="7"/>
  <c r="C940" i="7"/>
  <c r="C932" i="7"/>
  <c r="C924" i="7"/>
  <c r="G924" i="7" s="1"/>
  <c r="C1005" i="12"/>
  <c r="C989" i="12"/>
  <c r="C949" i="12"/>
  <c r="C917" i="12"/>
  <c r="C1147" i="7"/>
  <c r="C1139" i="7"/>
  <c r="C1131" i="7"/>
  <c r="C1115" i="7"/>
  <c r="F1115" i="7" s="1"/>
  <c r="H1115" i="7" s="1"/>
  <c r="C1107" i="7"/>
  <c r="C1099" i="7"/>
  <c r="K1099" i="7" s="1"/>
  <c r="C1083" i="7"/>
  <c r="C1075" i="7"/>
  <c r="C1067" i="7"/>
  <c r="C1137" i="12"/>
  <c r="C1129" i="12"/>
  <c r="C1121" i="12"/>
  <c r="C1113" i="12"/>
  <c r="C1073" i="12"/>
  <c r="C1065" i="12"/>
  <c r="C1057" i="12"/>
  <c r="C1049" i="12"/>
  <c r="C407" i="9"/>
  <c r="C421" i="9"/>
  <c r="C431" i="9"/>
  <c r="G431" i="9" s="1"/>
  <c r="C894" i="12"/>
  <c r="C854" i="12"/>
  <c r="C830" i="12"/>
  <c r="C822" i="12"/>
  <c r="C910" i="5"/>
  <c r="C902" i="5"/>
  <c r="F902" i="5" s="1"/>
  <c r="H902" i="5" s="1"/>
  <c r="C894" i="5"/>
  <c r="C886" i="5"/>
  <c r="F886" i="5" s="1"/>
  <c r="H886" i="5" s="1"/>
  <c r="C878" i="5"/>
  <c r="C870" i="5"/>
  <c r="F870" i="5" s="1"/>
  <c r="H870" i="5" s="1"/>
  <c r="C862" i="5"/>
  <c r="C854" i="5"/>
  <c r="F854" i="5" s="1"/>
  <c r="H854" i="5" s="1"/>
  <c r="C846" i="5"/>
  <c r="C838" i="5"/>
  <c r="G838" i="5" s="1"/>
  <c r="C830" i="5"/>
  <c r="C822" i="5"/>
  <c r="F822" i="5" s="1"/>
  <c r="H822" i="5" s="1"/>
  <c r="C531" i="9"/>
  <c r="C385" i="9"/>
  <c r="C391" i="9"/>
  <c r="C406" i="9"/>
  <c r="C401" i="9"/>
  <c r="C388" i="9"/>
  <c r="C835" i="9"/>
  <c r="C816" i="9"/>
  <c r="J816" i="9" s="1"/>
  <c r="C812" i="9"/>
  <c r="C842" i="9"/>
  <c r="C844" i="9"/>
  <c r="C873" i="33"/>
  <c r="D1105" i="9"/>
  <c r="E1105" i="9" s="1"/>
  <c r="D1073" i="9"/>
  <c r="E1073" i="9" s="1"/>
  <c r="D977" i="9"/>
  <c r="E977" i="9" s="1"/>
  <c r="D846" i="9"/>
  <c r="E846" i="9" s="1"/>
  <c r="G835" i="5"/>
  <c r="D1089" i="9"/>
  <c r="E1089" i="9" s="1"/>
  <c r="D985" i="9"/>
  <c r="E985" i="9" s="1"/>
  <c r="D814" i="9"/>
  <c r="E814" i="9" s="1"/>
  <c r="C1144" i="9"/>
  <c r="D1144" i="9" s="1"/>
  <c r="E1144" i="9" s="1"/>
  <c r="C1136" i="9"/>
  <c r="D1136" i="9" s="1"/>
  <c r="E1136" i="9" s="1"/>
  <c r="C1120" i="9"/>
  <c r="D1120" i="9" s="1"/>
  <c r="E1120" i="9" s="1"/>
  <c r="C1104" i="9"/>
  <c r="D1104" i="9" s="1"/>
  <c r="E1104" i="9" s="1"/>
  <c r="C1096" i="9"/>
  <c r="D1096" i="9" s="1"/>
  <c r="E1096" i="9" s="1"/>
  <c r="C1080" i="9"/>
  <c r="D1080" i="9" s="1"/>
  <c r="E1080" i="9" s="1"/>
  <c r="C1064" i="9"/>
  <c r="D1064" i="9" s="1"/>
  <c r="E1064" i="9" s="1"/>
  <c r="C1048" i="9"/>
  <c r="D1048" i="9" s="1"/>
  <c r="E1048" i="9" s="1"/>
  <c r="C1032" i="9"/>
  <c r="C1016" i="9"/>
  <c r="D1016" i="9" s="1"/>
  <c r="E1016" i="9" s="1"/>
  <c r="C1000" i="9"/>
  <c r="F1000" i="9" s="1"/>
  <c r="C984" i="9"/>
  <c r="D984" i="9" s="1"/>
  <c r="E984" i="9" s="1"/>
  <c r="C968" i="9"/>
  <c r="F968" i="9" s="1"/>
  <c r="C960" i="9"/>
  <c r="D960" i="9" s="1"/>
  <c r="E960" i="9" s="1"/>
  <c r="C944" i="9"/>
  <c r="C928" i="9"/>
  <c r="F928" i="9" s="1"/>
  <c r="C529" i="9"/>
  <c r="D529" i="9" s="1"/>
  <c r="E529" i="9" s="1"/>
  <c r="C398" i="9"/>
  <c r="F398" i="9" s="1"/>
  <c r="C400" i="9"/>
  <c r="D400" i="9" s="1"/>
  <c r="E400" i="9" s="1"/>
  <c r="C412" i="9"/>
  <c r="D412" i="9" s="1"/>
  <c r="E412" i="9" s="1"/>
  <c r="C841" i="9"/>
  <c r="F841" i="9" s="1"/>
  <c r="C838" i="9"/>
  <c r="D838" i="9" s="1"/>
  <c r="E838" i="9" s="1"/>
  <c r="C828" i="9"/>
  <c r="J828" i="9" s="1"/>
  <c r="C845" i="9"/>
  <c r="F845" i="9" s="1"/>
  <c r="G1131" i="5"/>
  <c r="G1067" i="5"/>
  <c r="G955" i="5"/>
  <c r="G907" i="5"/>
  <c r="C1079" i="9"/>
  <c r="D1079" i="9" s="1"/>
  <c r="E1079" i="9" s="1"/>
  <c r="C1055" i="9"/>
  <c r="C1031" i="9"/>
  <c r="C1015" i="9"/>
  <c r="C991" i="9"/>
  <c r="F991" i="9" s="1"/>
  <c r="C967" i="9"/>
  <c r="J967" i="9" s="1"/>
  <c r="C943" i="9"/>
  <c r="C919" i="9"/>
  <c r="G919" i="9" s="1"/>
  <c r="C392" i="9"/>
  <c r="C423" i="9"/>
  <c r="F423" i="9" s="1"/>
  <c r="C824" i="9"/>
  <c r="G824" i="9" s="1"/>
  <c r="C435" i="9"/>
  <c r="F1086" i="9"/>
  <c r="C1062" i="9"/>
  <c r="F1062" i="9" s="1"/>
  <c r="C1038" i="9"/>
  <c r="F1038" i="9" s="1"/>
  <c r="C1022" i="9"/>
  <c r="F1022" i="9" s="1"/>
  <c r="C1006" i="9"/>
  <c r="C990" i="9"/>
  <c r="C1148" i="9"/>
  <c r="C1140" i="9"/>
  <c r="C1132" i="9"/>
  <c r="C1124" i="9"/>
  <c r="J1124" i="9" s="1"/>
  <c r="C1116" i="9"/>
  <c r="C1108" i="9"/>
  <c r="C1100" i="9"/>
  <c r="C1092" i="9"/>
  <c r="C1084" i="9"/>
  <c r="C1076" i="9"/>
  <c r="C1068" i="9"/>
  <c r="C1060" i="9"/>
  <c r="J1060" i="9" s="1"/>
  <c r="C1052" i="9"/>
  <c r="C1044" i="9"/>
  <c r="G1044" i="9" s="1"/>
  <c r="C1036" i="9"/>
  <c r="C1028" i="9"/>
  <c r="J1028" i="9" s="1"/>
  <c r="C1020" i="9"/>
  <c r="C1012" i="9"/>
  <c r="C1004" i="9"/>
  <c r="C996" i="9"/>
  <c r="J996" i="9" s="1"/>
  <c r="C988" i="9"/>
  <c r="D988" i="9" s="1"/>
  <c r="E988" i="9" s="1"/>
  <c r="C980" i="9"/>
  <c r="G980" i="9" s="1"/>
  <c r="C972" i="9"/>
  <c r="C964" i="9"/>
  <c r="C956" i="9"/>
  <c r="C948" i="9"/>
  <c r="C1135" i="5"/>
  <c r="F1135" i="5" s="1"/>
  <c r="H1135" i="5" s="1"/>
  <c r="C1103" i="5"/>
  <c r="F1103" i="5" s="1"/>
  <c r="H1103" i="5" s="1"/>
  <c r="C1071" i="5"/>
  <c r="F1071" i="5" s="1"/>
  <c r="H1071" i="5" s="1"/>
  <c r="C1039" i="5"/>
  <c r="F1039" i="5" s="1"/>
  <c r="H1039" i="5" s="1"/>
  <c r="C1007" i="5"/>
  <c r="F1007" i="5" s="1"/>
  <c r="H1007" i="5" s="1"/>
  <c r="C975" i="5"/>
  <c r="F975" i="5" s="1"/>
  <c r="H975" i="5" s="1"/>
  <c r="C943" i="5"/>
  <c r="F943" i="5" s="1"/>
  <c r="H943" i="5" s="1"/>
  <c r="C911" i="5"/>
  <c r="F911" i="5" s="1"/>
  <c r="H911" i="5" s="1"/>
  <c r="C879" i="5"/>
  <c r="F879" i="5" s="1"/>
  <c r="H879" i="5" s="1"/>
  <c r="C847" i="5"/>
  <c r="F847" i="5" s="1"/>
  <c r="H847" i="5" s="1"/>
  <c r="G1099" i="5"/>
  <c r="G1035" i="5"/>
  <c r="G1003" i="5"/>
  <c r="G971" i="5"/>
  <c r="G939" i="5"/>
  <c r="C1143" i="9"/>
  <c r="D1143" i="9" s="1"/>
  <c r="E1143" i="9" s="1"/>
  <c r="C1135" i="9"/>
  <c r="D1135" i="9" s="1"/>
  <c r="E1135" i="9" s="1"/>
  <c r="C1127" i="9"/>
  <c r="D1127" i="9" s="1"/>
  <c r="E1127" i="9" s="1"/>
  <c r="C1119" i="9"/>
  <c r="C1111" i="9"/>
  <c r="D1111" i="9" s="1"/>
  <c r="E1111" i="9" s="1"/>
  <c r="C1103" i="9"/>
  <c r="D1103" i="9" s="1"/>
  <c r="E1103" i="9" s="1"/>
  <c r="C1095" i="9"/>
  <c r="D1095" i="9" s="1"/>
  <c r="E1095" i="9" s="1"/>
  <c r="C1071" i="9"/>
  <c r="C1047" i="9"/>
  <c r="C1023" i="9"/>
  <c r="C999" i="9"/>
  <c r="C975" i="9"/>
  <c r="C951" i="9"/>
  <c r="J951" i="9" s="1"/>
  <c r="C927" i="9"/>
  <c r="F927" i="9" s="1"/>
  <c r="C397" i="9"/>
  <c r="F397" i="9" s="1"/>
  <c r="C395" i="9"/>
  <c r="F395" i="9" s="1"/>
  <c r="C817" i="9"/>
  <c r="F817" i="9" s="1"/>
  <c r="C833" i="9"/>
  <c r="F1142" i="9"/>
  <c r="F1126" i="9"/>
  <c r="C1134" i="9"/>
  <c r="F1134" i="9" s="1"/>
  <c r="C1118" i="9"/>
  <c r="F1118" i="9" s="1"/>
  <c r="C1102" i="9"/>
  <c r="F1102" i="9" s="1"/>
  <c r="C1054" i="9"/>
  <c r="F1054" i="9" s="1"/>
  <c r="C1014" i="9"/>
  <c r="G1014" i="9" s="1"/>
  <c r="F1147" i="9"/>
  <c r="F1083" i="9"/>
  <c r="D1137" i="9"/>
  <c r="E1137" i="9" s="1"/>
  <c r="D1097" i="9"/>
  <c r="E1097" i="9" s="1"/>
  <c r="D1041" i="9"/>
  <c r="E1041" i="9" s="1"/>
  <c r="F1001" i="9"/>
  <c r="D961" i="9"/>
  <c r="E961" i="9" s="1"/>
  <c r="F416" i="9"/>
  <c r="D818" i="9"/>
  <c r="E818" i="9" s="1"/>
  <c r="C1128" i="9"/>
  <c r="D1128" i="9" s="1"/>
  <c r="E1128" i="9" s="1"/>
  <c r="C1112" i="9"/>
  <c r="D1112" i="9" s="1"/>
  <c r="E1112" i="9" s="1"/>
  <c r="C1088" i="9"/>
  <c r="D1088" i="9" s="1"/>
  <c r="E1088" i="9" s="1"/>
  <c r="C1072" i="9"/>
  <c r="D1072" i="9" s="1"/>
  <c r="E1072" i="9" s="1"/>
  <c r="C1056" i="9"/>
  <c r="C1040" i="9"/>
  <c r="D1040" i="9" s="1"/>
  <c r="E1040" i="9" s="1"/>
  <c r="C1024" i="9"/>
  <c r="D1024" i="9" s="1"/>
  <c r="E1024" i="9" s="1"/>
  <c r="C1008" i="9"/>
  <c r="C992" i="9"/>
  <c r="F992" i="9" s="1"/>
  <c r="C976" i="9"/>
  <c r="D976" i="9" s="1"/>
  <c r="E976" i="9" s="1"/>
  <c r="C952" i="9"/>
  <c r="D952" i="9" s="1"/>
  <c r="E952" i="9" s="1"/>
  <c r="C936" i="9"/>
  <c r="F936" i="9" s="1"/>
  <c r="C920" i="9"/>
  <c r="G920" i="9" s="1"/>
  <c r="C417" i="9"/>
  <c r="D417" i="9" s="1"/>
  <c r="E417" i="9" s="1"/>
  <c r="C415" i="9"/>
  <c r="F415" i="9" s="1"/>
  <c r="C813" i="9"/>
  <c r="G813" i="9" s="1"/>
  <c r="C436" i="9"/>
  <c r="D436" i="9" s="1"/>
  <c r="E436" i="9" s="1"/>
  <c r="G1147" i="5"/>
  <c r="G1115" i="5"/>
  <c r="G1083" i="5"/>
  <c r="G1051" i="5"/>
  <c r="G1019" i="5"/>
  <c r="G987" i="5"/>
  <c r="G923" i="5"/>
  <c r="G891" i="5"/>
  <c r="G883" i="5"/>
  <c r="G875" i="5"/>
  <c r="C1087" i="9"/>
  <c r="D1087" i="9" s="1"/>
  <c r="E1087" i="9" s="1"/>
  <c r="C1063" i="9"/>
  <c r="C1039" i="9"/>
  <c r="C1007" i="9"/>
  <c r="J1007" i="9" s="1"/>
  <c r="C983" i="9"/>
  <c r="F983" i="9" s="1"/>
  <c r="C959" i="9"/>
  <c r="F959" i="9" s="1"/>
  <c r="C935" i="9"/>
  <c r="J935" i="9" s="1"/>
  <c r="C532" i="9"/>
  <c r="G532" i="9" s="1"/>
  <c r="C408" i="9"/>
  <c r="C836" i="9"/>
  <c r="C820" i="9"/>
  <c r="G820" i="9" s="1"/>
  <c r="F1078" i="9"/>
  <c r="C1110" i="9"/>
  <c r="F1110" i="9" s="1"/>
  <c r="C1070" i="9"/>
  <c r="F1070" i="9" s="1"/>
  <c r="C1046" i="9"/>
  <c r="F1046" i="9" s="1"/>
  <c r="C1030" i="9"/>
  <c r="F1030" i="9" s="1"/>
  <c r="C950" i="9"/>
  <c r="C918" i="9"/>
  <c r="D1199" i="5"/>
  <c r="E1199" i="5" s="1"/>
  <c r="C974" i="9"/>
  <c r="F974" i="9" s="1"/>
  <c r="C958" i="9"/>
  <c r="J958" i="9" s="1"/>
  <c r="C942" i="9"/>
  <c r="J942" i="9" s="1"/>
  <c r="C926" i="9"/>
  <c r="C524" i="9"/>
  <c r="F524" i="9" s="1"/>
  <c r="C389" i="9"/>
  <c r="F389" i="9" s="1"/>
  <c r="C394" i="9"/>
  <c r="F394" i="9" s="1"/>
  <c r="C840" i="9"/>
  <c r="G840" i="9" s="1"/>
  <c r="C830" i="9"/>
  <c r="F830" i="9" s="1"/>
  <c r="C819" i="9"/>
  <c r="F819" i="9" s="1"/>
  <c r="C1010" i="12"/>
  <c r="D1010" i="12" s="1"/>
  <c r="E1010" i="12" s="1"/>
  <c r="C1002" i="12"/>
  <c r="F1002" i="12" s="1"/>
  <c r="H1002" i="12" s="1"/>
  <c r="C994" i="12"/>
  <c r="G994" i="12" s="1"/>
  <c r="C962" i="12"/>
  <c r="C930" i="12"/>
  <c r="C898" i="12"/>
  <c r="F898" i="12" s="1"/>
  <c r="H898" i="12" s="1"/>
  <c r="C882" i="12"/>
  <c r="L882" i="12" s="1"/>
  <c r="C850" i="12"/>
  <c r="L850" i="12" s="1"/>
  <c r="C842" i="12"/>
  <c r="D842" i="12" s="1"/>
  <c r="E842" i="12" s="1"/>
  <c r="C834" i="12"/>
  <c r="L834" i="12" s="1"/>
  <c r="C826" i="12"/>
  <c r="L826" i="12" s="1"/>
  <c r="C1119" i="12"/>
  <c r="C1055" i="12"/>
  <c r="C1039" i="12"/>
  <c r="L1039" i="12" s="1"/>
  <c r="C940" i="9"/>
  <c r="C932" i="9"/>
  <c r="D932" i="9" s="1"/>
  <c r="E932" i="9" s="1"/>
  <c r="C924" i="9"/>
  <c r="D924" i="9" s="1"/>
  <c r="E924" i="9" s="1"/>
  <c r="C533" i="9"/>
  <c r="C530" i="9"/>
  <c r="D530" i="9" s="1"/>
  <c r="E530" i="9" s="1"/>
  <c r="C384" i="9"/>
  <c r="C409" i="9"/>
  <c r="D409" i="9" s="1"/>
  <c r="E409" i="9" s="1"/>
  <c r="C405" i="9"/>
  <c r="F405" i="9" s="1"/>
  <c r="C383" i="9"/>
  <c r="J383" i="9" s="1"/>
  <c r="C387" i="9"/>
  <c r="D387" i="9" s="1"/>
  <c r="E387" i="9" s="1"/>
  <c r="C831" i="9"/>
  <c r="J831" i="9" s="1"/>
  <c r="C832" i="9"/>
  <c r="C829" i="9"/>
  <c r="D829" i="9" s="1"/>
  <c r="E829" i="9" s="1"/>
  <c r="C848" i="9"/>
  <c r="C843" i="9"/>
  <c r="D843" i="9" s="1"/>
  <c r="E843" i="9" s="1"/>
  <c r="C1139" i="9"/>
  <c r="G1139" i="9" s="1"/>
  <c r="C1131" i="9"/>
  <c r="J1131" i="9" s="1"/>
  <c r="C1123" i="9"/>
  <c r="G1123" i="9" s="1"/>
  <c r="C1115" i="9"/>
  <c r="F1115" i="9" s="1"/>
  <c r="C1099" i="9"/>
  <c r="F1099" i="9" s="1"/>
  <c r="C1075" i="9"/>
  <c r="D1075" i="9" s="1"/>
  <c r="E1075" i="9" s="1"/>
  <c r="C1067" i="9"/>
  <c r="F1067" i="9" s="1"/>
  <c r="C1059" i="9"/>
  <c r="C1051" i="9"/>
  <c r="F1051" i="9" s="1"/>
  <c r="C1035" i="9"/>
  <c r="F1035" i="9" s="1"/>
  <c r="C1059" i="7"/>
  <c r="K1059" i="7" s="1"/>
  <c r="C1051" i="7"/>
  <c r="D1051" i="7" s="1"/>
  <c r="E1051" i="7" s="1"/>
  <c r="C1043" i="7"/>
  <c r="K1043" i="7" s="1"/>
  <c r="C1035" i="7"/>
  <c r="F1035" i="7" s="1"/>
  <c r="H1035" i="7" s="1"/>
  <c r="C1027" i="7"/>
  <c r="C1019" i="7"/>
  <c r="C1011" i="7"/>
  <c r="F1011" i="7" s="1"/>
  <c r="H1011" i="7" s="1"/>
  <c r="C1003" i="7"/>
  <c r="G1003" i="7" s="1"/>
  <c r="C995" i="7"/>
  <c r="K995" i="7" s="1"/>
  <c r="C987" i="7"/>
  <c r="K987" i="7" s="1"/>
  <c r="C979" i="7"/>
  <c r="F979" i="7" s="1"/>
  <c r="H979" i="7" s="1"/>
  <c r="C971" i="7"/>
  <c r="F971" i="7" s="1"/>
  <c r="H971" i="7" s="1"/>
  <c r="C963" i="7"/>
  <c r="C955" i="7"/>
  <c r="C947" i="7"/>
  <c r="F947" i="7" s="1"/>
  <c r="H947" i="7" s="1"/>
  <c r="C939" i="7"/>
  <c r="K939" i="7" s="1"/>
  <c r="C931" i="7"/>
  <c r="G931" i="7" s="1"/>
  <c r="C923" i="7"/>
  <c r="K923" i="7" s="1"/>
  <c r="C915" i="7"/>
  <c r="F915" i="7" s="1"/>
  <c r="H915" i="7" s="1"/>
  <c r="C907" i="7"/>
  <c r="G907" i="7" s="1"/>
  <c r="C899" i="7"/>
  <c r="C891" i="7"/>
  <c r="C883" i="7"/>
  <c r="F883" i="7" s="1"/>
  <c r="H883" i="7" s="1"/>
  <c r="C875" i="7"/>
  <c r="G875" i="7" s="1"/>
  <c r="C867" i="7"/>
  <c r="F867" i="7" s="1"/>
  <c r="H867" i="7" s="1"/>
  <c r="C859" i="7"/>
  <c r="G859" i="7" s="1"/>
  <c r="C851" i="7"/>
  <c r="F851" i="7" s="1"/>
  <c r="H851" i="7" s="1"/>
  <c r="C843" i="7"/>
  <c r="F843" i="7" s="1"/>
  <c r="H843" i="7" s="1"/>
  <c r="C835" i="7"/>
  <c r="C827" i="7"/>
  <c r="C1138" i="33"/>
  <c r="J1138" i="33" s="1"/>
  <c r="C1066" i="33"/>
  <c r="J1066" i="33" s="1"/>
  <c r="C1034" i="33"/>
  <c r="O1034" i="33" s="1"/>
  <c r="C906" i="33"/>
  <c r="N906" i="33" s="1"/>
  <c r="C882" i="33"/>
  <c r="D882" i="33" s="1"/>
  <c r="E882" i="33" s="1"/>
  <c r="C1133" i="12"/>
  <c r="L1133" i="12" s="1"/>
  <c r="C1117" i="12"/>
  <c r="C1101" i="12"/>
  <c r="C1085" i="12"/>
  <c r="K1085" i="12" s="1"/>
  <c r="C1069" i="12"/>
  <c r="G1069" i="12" s="1"/>
  <c r="C1053" i="12"/>
  <c r="K1053" i="12" s="1"/>
  <c r="C1037" i="12"/>
  <c r="F1037" i="12" s="1"/>
  <c r="H1037" i="12" s="1"/>
  <c r="C1021" i="12"/>
  <c r="K1021" i="12" s="1"/>
  <c r="C986" i="9"/>
  <c r="J986" i="9" s="1"/>
  <c r="C978" i="9"/>
  <c r="C970" i="9"/>
  <c r="C962" i="9"/>
  <c r="J962" i="9" s="1"/>
  <c r="C954" i="9"/>
  <c r="J954" i="9" s="1"/>
  <c r="C946" i="9"/>
  <c r="D946" i="9" s="1"/>
  <c r="E946" i="9" s="1"/>
  <c r="C938" i="9"/>
  <c r="F938" i="9" s="1"/>
  <c r="C930" i="9"/>
  <c r="J930" i="9" s="1"/>
  <c r="C922" i="9"/>
  <c r="D922" i="9" s="1"/>
  <c r="E922" i="9" s="1"/>
  <c r="C527" i="9"/>
  <c r="C523" i="9"/>
  <c r="C413" i="9"/>
  <c r="D413" i="9" s="1"/>
  <c r="E413" i="9" s="1"/>
  <c r="C390" i="9"/>
  <c r="G390" i="9" s="1"/>
  <c r="C403" i="9"/>
  <c r="J403" i="9" s="1"/>
  <c r="C396" i="9"/>
  <c r="D396" i="9" s="1"/>
  <c r="E396" i="9" s="1"/>
  <c r="C414" i="9"/>
  <c r="J414" i="9" s="1"/>
  <c r="C826" i="9"/>
  <c r="D826" i="9" s="1"/>
  <c r="E826" i="9" s="1"/>
  <c r="C839" i="9"/>
  <c r="C811" i="9"/>
  <c r="C837" i="9"/>
  <c r="G837" i="9" s="1"/>
  <c r="C448" i="9"/>
  <c r="G448" i="9" s="1"/>
  <c r="K1141" i="5"/>
  <c r="F1141" i="5"/>
  <c r="H1141" i="5" s="1"/>
  <c r="D1141" i="5"/>
  <c r="E1141" i="5" s="1"/>
  <c r="G1141" i="5"/>
  <c r="F1125" i="5"/>
  <c r="H1125" i="5" s="1"/>
  <c r="K1125" i="5"/>
  <c r="D1125" i="5"/>
  <c r="E1125" i="5" s="1"/>
  <c r="G1125" i="5"/>
  <c r="K1109" i="5"/>
  <c r="F1109" i="5"/>
  <c r="H1109" i="5" s="1"/>
  <c r="D1109" i="5"/>
  <c r="E1109" i="5" s="1"/>
  <c r="G1109" i="5"/>
  <c r="F1093" i="5"/>
  <c r="H1093" i="5" s="1"/>
  <c r="K1093" i="5"/>
  <c r="D1093" i="5"/>
  <c r="E1093" i="5" s="1"/>
  <c r="G1093" i="5"/>
  <c r="K1085" i="5"/>
  <c r="K1077" i="5"/>
  <c r="F1077" i="5"/>
  <c r="H1077" i="5" s="1"/>
  <c r="D1077" i="5"/>
  <c r="E1077" i="5" s="1"/>
  <c r="G1077" i="5"/>
  <c r="F1061" i="5"/>
  <c r="H1061" i="5" s="1"/>
  <c r="K1061" i="5"/>
  <c r="D1061" i="5"/>
  <c r="E1061" i="5" s="1"/>
  <c r="G1061" i="5"/>
  <c r="K1045" i="5"/>
  <c r="F1045" i="5"/>
  <c r="H1045" i="5" s="1"/>
  <c r="D1045" i="5"/>
  <c r="E1045" i="5" s="1"/>
  <c r="G1045" i="5"/>
  <c r="F1029" i="5"/>
  <c r="H1029" i="5" s="1"/>
  <c r="K1029" i="5"/>
  <c r="D1029" i="5"/>
  <c r="E1029" i="5" s="1"/>
  <c r="G1029" i="5"/>
  <c r="G1021" i="5"/>
  <c r="K1013" i="5"/>
  <c r="F1013" i="5"/>
  <c r="H1013" i="5" s="1"/>
  <c r="D1013" i="5"/>
  <c r="E1013" i="5" s="1"/>
  <c r="G1013" i="5"/>
  <c r="K1005" i="5"/>
  <c r="D1005" i="5"/>
  <c r="E1005" i="5" s="1"/>
  <c r="G1005" i="5"/>
  <c r="F997" i="5"/>
  <c r="H997" i="5" s="1"/>
  <c r="K997" i="5"/>
  <c r="D997" i="5"/>
  <c r="E997" i="5" s="1"/>
  <c r="G997" i="5"/>
  <c r="K981" i="5"/>
  <c r="F981" i="5"/>
  <c r="H981" i="5" s="1"/>
  <c r="D981" i="5"/>
  <c r="E981" i="5" s="1"/>
  <c r="G981" i="5"/>
  <c r="K973" i="5"/>
  <c r="F965" i="5"/>
  <c r="H965" i="5" s="1"/>
  <c r="K965" i="5"/>
  <c r="D965" i="5"/>
  <c r="E965" i="5" s="1"/>
  <c r="G965" i="5"/>
  <c r="G957" i="5"/>
  <c r="K949" i="5"/>
  <c r="F949" i="5"/>
  <c r="H949" i="5" s="1"/>
  <c r="D949" i="5"/>
  <c r="E949" i="5" s="1"/>
  <c r="G949" i="5"/>
  <c r="G941" i="5"/>
  <c r="F933" i="5"/>
  <c r="H933" i="5" s="1"/>
  <c r="K933" i="5"/>
  <c r="D933" i="5"/>
  <c r="E933" i="5" s="1"/>
  <c r="G933" i="5"/>
  <c r="K925" i="5"/>
  <c r="K917" i="5"/>
  <c r="F917" i="5"/>
  <c r="H917" i="5" s="1"/>
  <c r="D917" i="5"/>
  <c r="E917" i="5" s="1"/>
  <c r="G917" i="5"/>
  <c r="F909" i="5"/>
  <c r="H909" i="5" s="1"/>
  <c r="K909" i="5"/>
  <c r="D909" i="5"/>
  <c r="E909" i="5" s="1"/>
  <c r="G909" i="5"/>
  <c r="F901" i="5"/>
  <c r="H901" i="5" s="1"/>
  <c r="K901" i="5"/>
  <c r="D901" i="5"/>
  <c r="E901" i="5" s="1"/>
  <c r="G901" i="5"/>
  <c r="F893" i="5"/>
  <c r="H893" i="5" s="1"/>
  <c r="K893" i="5"/>
  <c r="D893" i="5"/>
  <c r="E893" i="5" s="1"/>
  <c r="G893" i="5"/>
  <c r="K885" i="5"/>
  <c r="F885" i="5"/>
  <c r="H885" i="5" s="1"/>
  <c r="G885" i="5"/>
  <c r="D885" i="5"/>
  <c r="E885" i="5" s="1"/>
  <c r="G877" i="5"/>
  <c r="F877" i="5"/>
  <c r="H877" i="5" s="1"/>
  <c r="K877" i="5"/>
  <c r="D877" i="5"/>
  <c r="E877" i="5" s="1"/>
  <c r="G869" i="5"/>
  <c r="F869" i="5"/>
  <c r="H869" i="5" s="1"/>
  <c r="K869" i="5"/>
  <c r="D869" i="5"/>
  <c r="E869" i="5" s="1"/>
  <c r="G861" i="5"/>
  <c r="F861" i="5"/>
  <c r="H861" i="5" s="1"/>
  <c r="K861" i="5"/>
  <c r="D861" i="5"/>
  <c r="E861" i="5" s="1"/>
  <c r="K853" i="5"/>
  <c r="F853" i="5"/>
  <c r="H853" i="5" s="1"/>
  <c r="D853" i="5"/>
  <c r="E853" i="5" s="1"/>
  <c r="G853" i="5"/>
  <c r="F845" i="5"/>
  <c r="H845" i="5" s="1"/>
  <c r="K845" i="5"/>
  <c r="G845" i="5"/>
  <c r="D845" i="5"/>
  <c r="E845" i="5" s="1"/>
  <c r="F837" i="5"/>
  <c r="H837" i="5" s="1"/>
  <c r="K837" i="5"/>
  <c r="D837" i="5"/>
  <c r="E837" i="5" s="1"/>
  <c r="G837" i="5"/>
  <c r="F829" i="5"/>
  <c r="H829" i="5" s="1"/>
  <c r="K829" i="5"/>
  <c r="G829" i="5"/>
  <c r="D829" i="5"/>
  <c r="E829" i="5" s="1"/>
  <c r="K1143" i="5"/>
  <c r="G1143" i="5"/>
  <c r="F1143" i="5"/>
  <c r="H1143" i="5" s="1"/>
  <c r="D1143" i="5"/>
  <c r="E1143" i="5" s="1"/>
  <c r="K1127" i="5"/>
  <c r="G1127" i="5"/>
  <c r="F1127" i="5"/>
  <c r="H1127" i="5" s="1"/>
  <c r="D1127" i="5"/>
  <c r="E1127" i="5" s="1"/>
  <c r="K1111" i="5"/>
  <c r="G1111" i="5"/>
  <c r="F1111" i="5"/>
  <c r="H1111" i="5" s="1"/>
  <c r="D1111" i="5"/>
  <c r="E1111" i="5" s="1"/>
  <c r="K1095" i="5"/>
  <c r="G1095" i="5"/>
  <c r="F1095" i="5"/>
  <c r="H1095" i="5" s="1"/>
  <c r="D1095" i="5"/>
  <c r="E1095" i="5" s="1"/>
  <c r="K1079" i="5"/>
  <c r="G1079" i="5"/>
  <c r="F1079" i="5"/>
  <c r="H1079" i="5" s="1"/>
  <c r="D1079" i="5"/>
  <c r="E1079" i="5" s="1"/>
  <c r="K1063" i="5"/>
  <c r="G1063" i="5"/>
  <c r="F1063" i="5"/>
  <c r="H1063" i="5" s="1"/>
  <c r="D1063" i="5"/>
  <c r="E1063" i="5" s="1"/>
  <c r="K1047" i="5"/>
  <c r="G1047" i="5"/>
  <c r="F1047" i="5"/>
  <c r="H1047" i="5" s="1"/>
  <c r="D1047" i="5"/>
  <c r="E1047" i="5" s="1"/>
  <c r="K1031" i="5"/>
  <c r="G1031" i="5"/>
  <c r="F1031" i="5"/>
  <c r="H1031" i="5" s="1"/>
  <c r="D1031" i="5"/>
  <c r="E1031" i="5" s="1"/>
  <c r="K1015" i="5"/>
  <c r="G1015" i="5"/>
  <c r="F1015" i="5"/>
  <c r="H1015" i="5" s="1"/>
  <c r="D1015" i="5"/>
  <c r="E1015" i="5" s="1"/>
  <c r="K999" i="5"/>
  <c r="G999" i="5"/>
  <c r="F999" i="5"/>
  <c r="H999" i="5" s="1"/>
  <c r="D999" i="5"/>
  <c r="E999" i="5" s="1"/>
  <c r="K983" i="5"/>
  <c r="G983" i="5"/>
  <c r="F983" i="5"/>
  <c r="H983" i="5" s="1"/>
  <c r="D983" i="5"/>
  <c r="E983" i="5" s="1"/>
  <c r="K967" i="5"/>
  <c r="G967" i="5"/>
  <c r="F967" i="5"/>
  <c r="H967" i="5" s="1"/>
  <c r="D967" i="5"/>
  <c r="E967" i="5" s="1"/>
  <c r="K951" i="5"/>
  <c r="G951" i="5"/>
  <c r="F951" i="5"/>
  <c r="H951" i="5" s="1"/>
  <c r="D951" i="5"/>
  <c r="E951" i="5" s="1"/>
  <c r="K935" i="5"/>
  <c r="G935" i="5"/>
  <c r="F935" i="5"/>
  <c r="H935" i="5" s="1"/>
  <c r="D935" i="5"/>
  <c r="E935" i="5" s="1"/>
  <c r="K919" i="5"/>
  <c r="G919" i="5"/>
  <c r="F919" i="5"/>
  <c r="H919" i="5" s="1"/>
  <c r="D919" i="5"/>
  <c r="E919" i="5" s="1"/>
  <c r="K903" i="5"/>
  <c r="G903" i="5"/>
  <c r="F903" i="5"/>
  <c r="H903" i="5" s="1"/>
  <c r="D903" i="5"/>
  <c r="E903" i="5" s="1"/>
  <c r="K887" i="5"/>
  <c r="G887" i="5"/>
  <c r="F887" i="5"/>
  <c r="H887" i="5" s="1"/>
  <c r="D887" i="5"/>
  <c r="E887" i="5" s="1"/>
  <c r="K871" i="5"/>
  <c r="F871" i="5"/>
  <c r="H871" i="5" s="1"/>
  <c r="D871" i="5"/>
  <c r="E871" i="5" s="1"/>
  <c r="G871" i="5"/>
  <c r="K855" i="5"/>
  <c r="F855" i="5"/>
  <c r="H855" i="5" s="1"/>
  <c r="D855" i="5"/>
  <c r="E855" i="5" s="1"/>
  <c r="G855" i="5"/>
  <c r="K839" i="5"/>
  <c r="G839" i="5"/>
  <c r="F839" i="5"/>
  <c r="H839" i="5" s="1"/>
  <c r="D839" i="5"/>
  <c r="E839" i="5" s="1"/>
  <c r="K823" i="5"/>
  <c r="G823" i="5"/>
  <c r="F823" i="5"/>
  <c r="H823" i="5" s="1"/>
  <c r="D823" i="5"/>
  <c r="E823" i="5" s="1"/>
  <c r="G1134" i="5"/>
  <c r="F1134" i="5"/>
  <c r="H1134" i="5" s="1"/>
  <c r="D1134" i="5"/>
  <c r="E1134" i="5" s="1"/>
  <c r="K1134" i="5"/>
  <c r="K1118" i="5"/>
  <c r="G1118" i="5"/>
  <c r="F1118" i="5"/>
  <c r="H1118" i="5" s="1"/>
  <c r="D1118" i="5"/>
  <c r="E1118" i="5" s="1"/>
  <c r="G1102" i="5"/>
  <c r="K1102" i="5"/>
  <c r="F1102" i="5"/>
  <c r="H1102" i="5" s="1"/>
  <c r="D1102" i="5"/>
  <c r="E1102" i="5" s="1"/>
  <c r="K1086" i="5"/>
  <c r="G1086" i="5"/>
  <c r="F1086" i="5"/>
  <c r="H1086" i="5" s="1"/>
  <c r="D1086" i="5"/>
  <c r="E1086" i="5" s="1"/>
  <c r="G1070" i="5"/>
  <c r="K1070" i="5"/>
  <c r="F1070" i="5"/>
  <c r="H1070" i="5" s="1"/>
  <c r="D1070" i="5"/>
  <c r="E1070" i="5" s="1"/>
  <c r="K1054" i="5"/>
  <c r="G1054" i="5"/>
  <c r="F1054" i="5"/>
  <c r="H1054" i="5" s="1"/>
  <c r="D1054" i="5"/>
  <c r="E1054" i="5" s="1"/>
  <c r="G1038" i="5"/>
  <c r="F1038" i="5"/>
  <c r="H1038" i="5" s="1"/>
  <c r="K1038" i="5"/>
  <c r="D1038" i="5"/>
  <c r="E1038" i="5" s="1"/>
  <c r="K1022" i="5"/>
  <c r="G1022" i="5"/>
  <c r="F1022" i="5"/>
  <c r="H1022" i="5" s="1"/>
  <c r="D1022" i="5"/>
  <c r="E1022" i="5" s="1"/>
  <c r="G1006" i="5"/>
  <c r="K1006" i="5"/>
  <c r="F1006" i="5"/>
  <c r="H1006" i="5" s="1"/>
  <c r="D1006" i="5"/>
  <c r="E1006" i="5" s="1"/>
  <c r="K990" i="5"/>
  <c r="G990" i="5"/>
  <c r="F990" i="5"/>
  <c r="H990" i="5" s="1"/>
  <c r="D990" i="5"/>
  <c r="E990" i="5" s="1"/>
  <c r="G974" i="5"/>
  <c r="F974" i="5"/>
  <c r="H974" i="5" s="1"/>
  <c r="D974" i="5"/>
  <c r="E974" i="5" s="1"/>
  <c r="K974" i="5"/>
  <c r="K958" i="5"/>
  <c r="G958" i="5"/>
  <c r="F958" i="5"/>
  <c r="H958" i="5" s="1"/>
  <c r="D958" i="5"/>
  <c r="E958" i="5" s="1"/>
  <c r="G942" i="5"/>
  <c r="F942" i="5"/>
  <c r="H942" i="5" s="1"/>
  <c r="K942" i="5"/>
  <c r="D942" i="5"/>
  <c r="E942" i="5" s="1"/>
  <c r="K926" i="5"/>
  <c r="G926" i="5"/>
  <c r="F926" i="5"/>
  <c r="H926" i="5" s="1"/>
  <c r="D926" i="5"/>
  <c r="E926" i="5" s="1"/>
  <c r="G910" i="5"/>
  <c r="K910" i="5"/>
  <c r="F910" i="5"/>
  <c r="H910" i="5" s="1"/>
  <c r="D910" i="5"/>
  <c r="E910" i="5" s="1"/>
  <c r="K894" i="5"/>
  <c r="G894" i="5"/>
  <c r="F894" i="5"/>
  <c r="H894" i="5" s="1"/>
  <c r="D894" i="5"/>
  <c r="E894" i="5" s="1"/>
  <c r="G878" i="5"/>
  <c r="F878" i="5"/>
  <c r="H878" i="5" s="1"/>
  <c r="D878" i="5"/>
  <c r="E878" i="5" s="1"/>
  <c r="K878" i="5"/>
  <c r="K862" i="5"/>
  <c r="F862" i="5"/>
  <c r="H862" i="5" s="1"/>
  <c r="D862" i="5"/>
  <c r="E862" i="5" s="1"/>
  <c r="G862" i="5"/>
  <c r="G846" i="5"/>
  <c r="K846" i="5"/>
  <c r="F846" i="5"/>
  <c r="H846" i="5" s="1"/>
  <c r="D846" i="5"/>
  <c r="E846" i="5" s="1"/>
  <c r="K830" i="5"/>
  <c r="G830" i="5"/>
  <c r="F830" i="5"/>
  <c r="H830" i="5" s="1"/>
  <c r="D830" i="5"/>
  <c r="E830" i="5" s="1"/>
  <c r="F966" i="9"/>
  <c r="G822" i="9"/>
  <c r="C1146" i="5"/>
  <c r="C1098" i="5"/>
  <c r="C1082" i="5"/>
  <c r="C1074" i="5"/>
  <c r="C1058" i="5"/>
  <c r="C1042" i="5"/>
  <c r="C1026" i="5"/>
  <c r="C1010" i="5"/>
  <c r="C994" i="5"/>
  <c r="C978" i="5"/>
  <c r="C962" i="5"/>
  <c r="C946" i="5"/>
  <c r="C930" i="5"/>
  <c r="C914" i="5"/>
  <c r="C898" i="5"/>
  <c r="C882" i="5"/>
  <c r="C866" i="5"/>
  <c r="C850" i="5"/>
  <c r="C834" i="5"/>
  <c r="F1255" i="5"/>
  <c r="H1255" i="5" s="1"/>
  <c r="G1246" i="5"/>
  <c r="F1191" i="5"/>
  <c r="H1191" i="5" s="1"/>
  <c r="G1182" i="5"/>
  <c r="F1148" i="5"/>
  <c r="H1148" i="5" s="1"/>
  <c r="K1148" i="5"/>
  <c r="F1132" i="5"/>
  <c r="H1132" i="5" s="1"/>
  <c r="K1132" i="5"/>
  <c r="F1116" i="5"/>
  <c r="H1116" i="5" s="1"/>
  <c r="K1116" i="5"/>
  <c r="F1100" i="5"/>
  <c r="H1100" i="5" s="1"/>
  <c r="K1100" i="5"/>
  <c r="F1084" i="5"/>
  <c r="H1084" i="5" s="1"/>
  <c r="K1084" i="5"/>
  <c r="F1068" i="5"/>
  <c r="H1068" i="5" s="1"/>
  <c r="K1068" i="5"/>
  <c r="F1052" i="5"/>
  <c r="H1052" i="5" s="1"/>
  <c r="K1052" i="5"/>
  <c r="F1036" i="5"/>
  <c r="H1036" i="5" s="1"/>
  <c r="K1036" i="5"/>
  <c r="F1020" i="5"/>
  <c r="H1020" i="5" s="1"/>
  <c r="K1020" i="5"/>
  <c r="F1004" i="5"/>
  <c r="H1004" i="5" s="1"/>
  <c r="K1004" i="5"/>
  <c r="F988" i="5"/>
  <c r="H988" i="5" s="1"/>
  <c r="K988" i="5"/>
  <c r="F972" i="5"/>
  <c r="H972" i="5" s="1"/>
  <c r="K972" i="5"/>
  <c r="F956" i="5"/>
  <c r="H956" i="5" s="1"/>
  <c r="K956" i="5"/>
  <c r="F940" i="5"/>
  <c r="H940" i="5" s="1"/>
  <c r="K940" i="5"/>
  <c r="F924" i="5"/>
  <c r="H924" i="5" s="1"/>
  <c r="K924" i="5"/>
  <c r="F908" i="5"/>
  <c r="H908" i="5" s="1"/>
  <c r="K908" i="5"/>
  <c r="F892" i="5"/>
  <c r="H892" i="5" s="1"/>
  <c r="K892" i="5"/>
  <c r="F876" i="5"/>
  <c r="H876" i="5" s="1"/>
  <c r="K876" i="5"/>
  <c r="G876" i="5"/>
  <c r="G860" i="5"/>
  <c r="F860" i="5"/>
  <c r="H860" i="5" s="1"/>
  <c r="K860" i="5"/>
  <c r="F844" i="5"/>
  <c r="H844" i="5" s="1"/>
  <c r="K844" i="5"/>
  <c r="F828" i="5"/>
  <c r="H828" i="5" s="1"/>
  <c r="K828" i="5"/>
  <c r="D1183" i="5"/>
  <c r="E1183" i="5" s="1"/>
  <c r="D1140" i="5"/>
  <c r="E1140" i="5" s="1"/>
  <c r="D1124" i="5"/>
  <c r="E1124" i="5" s="1"/>
  <c r="D1108" i="5"/>
  <c r="E1108" i="5" s="1"/>
  <c r="D1092" i="5"/>
  <c r="E1092" i="5" s="1"/>
  <c r="D1076" i="5"/>
  <c r="E1076" i="5" s="1"/>
  <c r="D1060" i="5"/>
  <c r="E1060" i="5" s="1"/>
  <c r="D1044" i="5"/>
  <c r="E1044" i="5" s="1"/>
  <c r="D1028" i="5"/>
  <c r="E1028" i="5" s="1"/>
  <c r="D1012" i="5"/>
  <c r="E1012" i="5" s="1"/>
  <c r="D996" i="5"/>
  <c r="E996" i="5" s="1"/>
  <c r="D980" i="5"/>
  <c r="E980" i="5" s="1"/>
  <c r="D964" i="5"/>
  <c r="E964" i="5" s="1"/>
  <c r="D948" i="5"/>
  <c r="E948" i="5" s="1"/>
  <c r="D932" i="5"/>
  <c r="E932" i="5" s="1"/>
  <c r="D916" i="5"/>
  <c r="E916" i="5" s="1"/>
  <c r="D900" i="5"/>
  <c r="E900" i="5" s="1"/>
  <c r="D884" i="5"/>
  <c r="E884" i="5" s="1"/>
  <c r="D868" i="5"/>
  <c r="E868" i="5" s="1"/>
  <c r="D852" i="5"/>
  <c r="E852" i="5" s="1"/>
  <c r="D836" i="5"/>
  <c r="E836" i="5" s="1"/>
  <c r="F838" i="5"/>
  <c r="H838" i="5" s="1"/>
  <c r="G844" i="5"/>
  <c r="G825" i="5"/>
  <c r="F1148" i="9"/>
  <c r="J1140" i="9"/>
  <c r="F1132" i="9"/>
  <c r="F1116" i="9"/>
  <c r="J1108" i="9"/>
  <c r="F1100" i="9"/>
  <c r="J1092" i="9"/>
  <c r="F1084" i="9"/>
  <c r="J1076" i="9"/>
  <c r="F1068" i="9"/>
  <c r="F1052" i="9"/>
  <c r="J1044" i="9"/>
  <c r="D1036" i="9"/>
  <c r="E1036" i="9" s="1"/>
  <c r="D1020" i="9"/>
  <c r="E1020" i="9" s="1"/>
  <c r="J1012" i="9"/>
  <c r="D972" i="9"/>
  <c r="E972" i="9" s="1"/>
  <c r="J964" i="9"/>
  <c r="D956" i="9"/>
  <c r="E956" i="9" s="1"/>
  <c r="J948" i="9"/>
  <c r="D1290" i="9"/>
  <c r="E1290" i="9" s="1"/>
  <c r="D1282" i="9"/>
  <c r="E1282" i="9" s="1"/>
  <c r="D1119" i="9"/>
  <c r="E1119" i="9" s="1"/>
  <c r="F1094" i="9"/>
  <c r="F982" i="9"/>
  <c r="F950" i="9"/>
  <c r="G421" i="9"/>
  <c r="F825" i="9"/>
  <c r="C1138" i="5"/>
  <c r="C1130" i="5"/>
  <c r="C1122" i="5"/>
  <c r="C1114" i="5"/>
  <c r="C1106" i="5"/>
  <c r="C1090" i="5"/>
  <c r="C1066" i="5"/>
  <c r="C1050" i="5"/>
  <c r="C1034" i="5"/>
  <c r="C1018" i="5"/>
  <c r="C1002" i="5"/>
  <c r="C986" i="5"/>
  <c r="C970" i="5"/>
  <c r="C954" i="5"/>
  <c r="C938" i="5"/>
  <c r="C922" i="5"/>
  <c r="C906" i="5"/>
  <c r="C890" i="5"/>
  <c r="C874" i="5"/>
  <c r="C858" i="5"/>
  <c r="C842" i="5"/>
  <c r="C826" i="5"/>
  <c r="C1027" i="9"/>
  <c r="G1027" i="9" s="1"/>
  <c r="C1019" i="9"/>
  <c r="F1019" i="9" s="1"/>
  <c r="C1011" i="9"/>
  <c r="D1011" i="9" s="1"/>
  <c r="E1011" i="9" s="1"/>
  <c r="C1003" i="9"/>
  <c r="G1003" i="9" s="1"/>
  <c r="C995" i="9"/>
  <c r="G995" i="9" s="1"/>
  <c r="C987" i="9"/>
  <c r="J987" i="9" s="1"/>
  <c r="C979" i="9"/>
  <c r="D979" i="9" s="1"/>
  <c r="E979" i="9" s="1"/>
  <c r="C971" i="9"/>
  <c r="J971" i="9" s="1"/>
  <c r="C963" i="9"/>
  <c r="D963" i="9" s="1"/>
  <c r="E963" i="9" s="1"/>
  <c r="C955" i="9"/>
  <c r="F955" i="9" s="1"/>
  <c r="C947" i="9"/>
  <c r="F947" i="9" s="1"/>
  <c r="C939" i="9"/>
  <c r="F939" i="9" s="1"/>
  <c r="C931" i="9"/>
  <c r="D931" i="9" s="1"/>
  <c r="E931" i="9" s="1"/>
  <c r="C923" i="9"/>
  <c r="G923" i="9" s="1"/>
  <c r="C528" i="9"/>
  <c r="F528" i="9" s="1"/>
  <c r="C525" i="9"/>
  <c r="D525" i="9" s="1"/>
  <c r="E525" i="9" s="1"/>
  <c r="C418" i="9"/>
  <c r="D418" i="9" s="1"/>
  <c r="E418" i="9" s="1"/>
  <c r="C420" i="9"/>
  <c r="G420" i="9" s="1"/>
  <c r="C404" i="9"/>
  <c r="D404" i="9" s="1"/>
  <c r="E404" i="9" s="1"/>
  <c r="C419" i="9"/>
  <c r="G419" i="9" s="1"/>
  <c r="C410" i="9"/>
  <c r="J410" i="9" s="1"/>
  <c r="C827" i="9"/>
  <c r="G827" i="9" s="1"/>
  <c r="C834" i="9"/>
  <c r="D834" i="9" s="1"/>
  <c r="E834" i="9" s="1"/>
  <c r="C823" i="9"/>
  <c r="D823" i="9" s="1"/>
  <c r="E823" i="9" s="1"/>
  <c r="C847" i="9"/>
  <c r="J847" i="9" s="1"/>
  <c r="C815" i="9"/>
  <c r="G815" i="9" s="1"/>
  <c r="D1297" i="9"/>
  <c r="E1297" i="9" s="1"/>
  <c r="D1289" i="9"/>
  <c r="E1289" i="9" s="1"/>
  <c r="D1281" i="9"/>
  <c r="E1281" i="9" s="1"/>
  <c r="D1273" i="9"/>
  <c r="E1273" i="9" s="1"/>
  <c r="D1265" i="9"/>
  <c r="E1265" i="9" s="1"/>
  <c r="D1257" i="9"/>
  <c r="E1257" i="9" s="1"/>
  <c r="D1249" i="9"/>
  <c r="E1249" i="9" s="1"/>
  <c r="G1241" i="9"/>
  <c r="G1233" i="9"/>
  <c r="G1225" i="9"/>
  <c r="G1217" i="9"/>
  <c r="G1209" i="9"/>
  <c r="D1201" i="9"/>
  <c r="E1201" i="9" s="1"/>
  <c r="D1193" i="9"/>
  <c r="E1193" i="9" s="1"/>
  <c r="D1185" i="9"/>
  <c r="E1185" i="9" s="1"/>
  <c r="D1169" i="9"/>
  <c r="E1169" i="9" s="1"/>
  <c r="D1161" i="9"/>
  <c r="E1161" i="9" s="1"/>
  <c r="D1153" i="9"/>
  <c r="E1153" i="9" s="1"/>
  <c r="K1145" i="5"/>
  <c r="D1145" i="5"/>
  <c r="E1145" i="5" s="1"/>
  <c r="G1145" i="5"/>
  <c r="D1137" i="5"/>
  <c r="E1137" i="5" s="1"/>
  <c r="G1137" i="5"/>
  <c r="K1129" i="5"/>
  <c r="D1129" i="5"/>
  <c r="E1129" i="5" s="1"/>
  <c r="G1129" i="5"/>
  <c r="K1121" i="5"/>
  <c r="D1121" i="5"/>
  <c r="E1121" i="5" s="1"/>
  <c r="G1121" i="5"/>
  <c r="K1113" i="5"/>
  <c r="D1113" i="5"/>
  <c r="E1113" i="5" s="1"/>
  <c r="G1113" i="5"/>
  <c r="D1105" i="5"/>
  <c r="E1105" i="5" s="1"/>
  <c r="G1105" i="5"/>
  <c r="K1097" i="5"/>
  <c r="D1097" i="5"/>
  <c r="E1097" i="5" s="1"/>
  <c r="G1097" i="5"/>
  <c r="K1089" i="5"/>
  <c r="D1089" i="5"/>
  <c r="E1089" i="5" s="1"/>
  <c r="G1089" i="5"/>
  <c r="K1081" i="5"/>
  <c r="D1081" i="5"/>
  <c r="E1081" i="5" s="1"/>
  <c r="G1081" i="5"/>
  <c r="D1073" i="5"/>
  <c r="E1073" i="5" s="1"/>
  <c r="G1073" i="5"/>
  <c r="K1065" i="5"/>
  <c r="D1065" i="5"/>
  <c r="E1065" i="5" s="1"/>
  <c r="G1065" i="5"/>
  <c r="K1057" i="5"/>
  <c r="D1057" i="5"/>
  <c r="G1057" i="5"/>
  <c r="K1049" i="5"/>
  <c r="D1049" i="5"/>
  <c r="E1049" i="5" s="1"/>
  <c r="G1049" i="5"/>
  <c r="G1041" i="5"/>
  <c r="K1033" i="5"/>
  <c r="D1033" i="5"/>
  <c r="E1033" i="5" s="1"/>
  <c r="G1033" i="5"/>
  <c r="K1025" i="5"/>
  <c r="D1025" i="5"/>
  <c r="E1025" i="5" s="1"/>
  <c r="G1025" i="5"/>
  <c r="K1017" i="5"/>
  <c r="D1017" i="5"/>
  <c r="E1017" i="5" s="1"/>
  <c r="G1017" i="5"/>
  <c r="D1009" i="5"/>
  <c r="E1009" i="5" s="1"/>
  <c r="G1009" i="5"/>
  <c r="K1001" i="5"/>
  <c r="D1001" i="5"/>
  <c r="E1001" i="5" s="1"/>
  <c r="G1001" i="5"/>
  <c r="K993" i="5"/>
  <c r="D993" i="5"/>
  <c r="E993" i="5" s="1"/>
  <c r="G993" i="5"/>
  <c r="K985" i="5"/>
  <c r="D985" i="5"/>
  <c r="E985" i="5" s="1"/>
  <c r="G985" i="5"/>
  <c r="K969" i="5"/>
  <c r="D969" i="5"/>
  <c r="E969" i="5" s="1"/>
  <c r="G969" i="5"/>
  <c r="K961" i="5"/>
  <c r="D961" i="5"/>
  <c r="E961" i="5" s="1"/>
  <c r="G961" i="5"/>
  <c r="K953" i="5"/>
  <c r="D953" i="5"/>
  <c r="E953" i="5" s="1"/>
  <c r="G953" i="5"/>
  <c r="D945" i="5"/>
  <c r="E945" i="5" s="1"/>
  <c r="G945" i="5"/>
  <c r="K937" i="5"/>
  <c r="D937" i="5"/>
  <c r="E937" i="5" s="1"/>
  <c r="G937" i="5"/>
  <c r="K929" i="5"/>
  <c r="D929" i="5"/>
  <c r="E929" i="5" s="1"/>
  <c r="G929" i="5"/>
  <c r="K921" i="5"/>
  <c r="D921" i="5"/>
  <c r="E921" i="5" s="1"/>
  <c r="G921" i="5"/>
  <c r="K905" i="5"/>
  <c r="D905" i="5"/>
  <c r="E905" i="5" s="1"/>
  <c r="G905" i="5"/>
  <c r="K897" i="5"/>
  <c r="D897" i="5"/>
  <c r="E897" i="5" s="1"/>
  <c r="G897" i="5"/>
  <c r="K889" i="5"/>
  <c r="D889" i="5"/>
  <c r="E889" i="5" s="1"/>
  <c r="K873" i="5"/>
  <c r="D873" i="5"/>
  <c r="E873" i="5" s="1"/>
  <c r="K865" i="5"/>
  <c r="D865" i="5"/>
  <c r="E865" i="5" s="1"/>
  <c r="K857" i="5"/>
  <c r="D857" i="5"/>
  <c r="E857" i="5" s="1"/>
  <c r="G857" i="5"/>
  <c r="D849" i="5"/>
  <c r="E849" i="5" s="1"/>
  <c r="K841" i="5"/>
  <c r="D841" i="5"/>
  <c r="E841" i="5" s="1"/>
  <c r="G841" i="5"/>
  <c r="K825" i="5"/>
  <c r="D825" i="5"/>
  <c r="E825" i="5" s="1"/>
  <c r="D1152" i="5"/>
  <c r="E1152" i="5" s="1"/>
  <c r="D1119" i="5"/>
  <c r="E1119" i="5" s="1"/>
  <c r="D1103" i="5"/>
  <c r="E1103" i="5" s="1"/>
  <c r="D1087" i="5"/>
  <c r="E1087" i="5" s="1"/>
  <c r="D1071" i="5"/>
  <c r="E1071" i="5" s="1"/>
  <c r="D1055" i="5"/>
  <c r="E1055" i="5" s="1"/>
  <c r="D1023" i="5"/>
  <c r="E1023" i="5" s="1"/>
  <c r="D1007" i="5"/>
  <c r="E1007" i="5" s="1"/>
  <c r="D991" i="5"/>
  <c r="E991" i="5" s="1"/>
  <c r="D959" i="5"/>
  <c r="E959" i="5" s="1"/>
  <c r="D943" i="5"/>
  <c r="E943" i="5" s="1"/>
  <c r="D927" i="5"/>
  <c r="E927" i="5" s="1"/>
  <c r="D911" i="5"/>
  <c r="E911" i="5" s="1"/>
  <c r="D895" i="5"/>
  <c r="E895" i="5" s="1"/>
  <c r="D863" i="5"/>
  <c r="E863" i="5" s="1"/>
  <c r="D831" i="5"/>
  <c r="E831" i="5" s="1"/>
  <c r="F1121" i="5"/>
  <c r="H1121" i="5" s="1"/>
  <c r="F1105" i="5"/>
  <c r="H1105" i="5" s="1"/>
  <c r="F1089" i="5"/>
  <c r="H1089" i="5" s="1"/>
  <c r="F1073" i="5"/>
  <c r="H1073" i="5" s="1"/>
  <c r="F1057" i="5"/>
  <c r="H1057" i="5" s="1"/>
  <c r="F993" i="5"/>
  <c r="H993" i="5" s="1"/>
  <c r="F977" i="5"/>
  <c r="H977" i="5" s="1"/>
  <c r="F961" i="5"/>
  <c r="H961" i="5" s="1"/>
  <c r="F945" i="5"/>
  <c r="H945" i="5" s="1"/>
  <c r="F929" i="5"/>
  <c r="H929" i="5" s="1"/>
  <c r="F865" i="5"/>
  <c r="H865" i="5" s="1"/>
  <c r="F833" i="5"/>
  <c r="H833" i="5" s="1"/>
  <c r="G1150" i="5"/>
  <c r="G917" i="7"/>
  <c r="F1074" i="9"/>
  <c r="G1296" i="9"/>
  <c r="G1288" i="9"/>
  <c r="G1280" i="9"/>
  <c r="G1272" i="9"/>
  <c r="G1264" i="9"/>
  <c r="G1256" i="9"/>
  <c r="G1248" i="9"/>
  <c r="G1240" i="9"/>
  <c r="G1232" i="9"/>
  <c r="J1224" i="9"/>
  <c r="J1216" i="9"/>
  <c r="J1208" i="9"/>
  <c r="D1200" i="9"/>
  <c r="E1200" i="9" s="1"/>
  <c r="D1192" i="9"/>
  <c r="E1192" i="9" s="1"/>
  <c r="D1184" i="9"/>
  <c r="E1184" i="9" s="1"/>
  <c r="D1176" i="9"/>
  <c r="E1176" i="9" s="1"/>
  <c r="D1168" i="9"/>
  <c r="E1168" i="9" s="1"/>
  <c r="D1160" i="9"/>
  <c r="E1160" i="9" s="1"/>
  <c r="D1152" i="9"/>
  <c r="E1152" i="9" s="1"/>
  <c r="K1142" i="5"/>
  <c r="G1142" i="5"/>
  <c r="I1142" i="5" s="1"/>
  <c r="J1142" i="5" s="1"/>
  <c r="K1126" i="5"/>
  <c r="G1126" i="5"/>
  <c r="K1110" i="5"/>
  <c r="G1110" i="5"/>
  <c r="I1110" i="5" s="1"/>
  <c r="J1110" i="5" s="1"/>
  <c r="K1094" i="5"/>
  <c r="G1094" i="5"/>
  <c r="I1094" i="5" s="1"/>
  <c r="J1094" i="5" s="1"/>
  <c r="K1078" i="5"/>
  <c r="G1078" i="5"/>
  <c r="I1078" i="5" s="1"/>
  <c r="J1078" i="5" s="1"/>
  <c r="K1062" i="5"/>
  <c r="G1062" i="5"/>
  <c r="K1046" i="5"/>
  <c r="G1046" i="5"/>
  <c r="I1046" i="5" s="1"/>
  <c r="J1046" i="5" s="1"/>
  <c r="K1030" i="5"/>
  <c r="G1030" i="5"/>
  <c r="I1030" i="5" s="1"/>
  <c r="J1030" i="5" s="1"/>
  <c r="K1014" i="5"/>
  <c r="G1014" i="5"/>
  <c r="I1014" i="5" s="1"/>
  <c r="J1014" i="5" s="1"/>
  <c r="K998" i="5"/>
  <c r="G998" i="5"/>
  <c r="K982" i="5"/>
  <c r="G982" i="5"/>
  <c r="I982" i="5" s="1"/>
  <c r="J982" i="5" s="1"/>
  <c r="K966" i="5"/>
  <c r="G966" i="5"/>
  <c r="K950" i="5"/>
  <c r="G950" i="5"/>
  <c r="I950" i="5" s="1"/>
  <c r="J950" i="5" s="1"/>
  <c r="K934" i="5"/>
  <c r="G934" i="5"/>
  <c r="K918" i="5"/>
  <c r="G918" i="5"/>
  <c r="I918" i="5" s="1"/>
  <c r="J918" i="5" s="1"/>
  <c r="K902" i="5"/>
  <c r="G902" i="5"/>
  <c r="G870" i="5"/>
  <c r="K870" i="5"/>
  <c r="K838" i="5"/>
  <c r="D1151" i="5"/>
  <c r="E1151" i="5" s="1"/>
  <c r="F1238" i="5"/>
  <c r="H1238" i="5" s="1"/>
  <c r="G1148" i="5"/>
  <c r="G1132" i="5"/>
  <c r="G1116" i="5"/>
  <c r="G1100" i="5"/>
  <c r="G1084" i="5"/>
  <c r="G1068" i="5"/>
  <c r="G1052" i="5"/>
  <c r="G1036" i="5"/>
  <c r="G1020" i="5"/>
  <c r="G1004" i="5"/>
  <c r="G988" i="5"/>
  <c r="G972" i="5"/>
  <c r="G956" i="5"/>
  <c r="G940" i="5"/>
  <c r="G924" i="5"/>
  <c r="G908" i="5"/>
  <c r="G892" i="5"/>
  <c r="G873" i="5"/>
  <c r="J1295" i="9"/>
  <c r="J1287" i="9"/>
  <c r="J1279" i="9"/>
  <c r="J1271" i="9"/>
  <c r="J1263" i="9"/>
  <c r="J1255" i="9"/>
  <c r="J1247" i="9"/>
  <c r="G1239" i="9"/>
  <c r="G1231" i="9"/>
  <c r="F1223" i="9"/>
  <c r="F1215" i="9"/>
  <c r="D1207" i="9"/>
  <c r="E1207" i="9" s="1"/>
  <c r="D1199" i="9"/>
  <c r="E1199" i="9" s="1"/>
  <c r="G1191" i="9"/>
  <c r="G1183" i="9"/>
  <c r="D1175" i="9"/>
  <c r="E1175" i="9" s="1"/>
  <c r="F1167" i="9"/>
  <c r="D1159" i="9"/>
  <c r="E1159" i="9" s="1"/>
  <c r="D1151" i="9"/>
  <c r="E1151" i="9" s="1"/>
  <c r="D1296" i="5"/>
  <c r="E1296" i="5" s="1"/>
  <c r="D1150" i="5"/>
  <c r="E1150" i="5" s="1"/>
  <c r="F1152" i="5"/>
  <c r="H1152" i="5" s="1"/>
  <c r="F1147" i="7"/>
  <c r="H1147" i="7" s="1"/>
  <c r="D1147" i="7"/>
  <c r="E1147" i="7" s="1"/>
  <c r="G1147" i="7"/>
  <c r="K1147" i="7"/>
  <c r="F1139" i="7"/>
  <c r="H1139" i="7" s="1"/>
  <c r="D1139" i="7"/>
  <c r="K1139" i="7"/>
  <c r="G1139" i="7"/>
  <c r="F1131" i="7"/>
  <c r="H1131" i="7" s="1"/>
  <c r="D1131" i="7"/>
  <c r="E1131" i="7" s="1"/>
  <c r="K1131" i="7"/>
  <c r="G1131" i="7"/>
  <c r="F1107" i="7"/>
  <c r="H1107" i="7" s="1"/>
  <c r="D1107" i="7"/>
  <c r="E1107" i="7" s="1"/>
  <c r="K1107" i="7"/>
  <c r="G1107" i="7"/>
  <c r="F1099" i="7"/>
  <c r="H1099" i="7" s="1"/>
  <c r="D1099" i="7"/>
  <c r="E1099" i="7" s="1"/>
  <c r="G1099" i="7"/>
  <c r="F1083" i="7"/>
  <c r="H1083" i="7" s="1"/>
  <c r="D1083" i="7"/>
  <c r="E1083" i="7" s="1"/>
  <c r="K1083" i="7"/>
  <c r="G1083" i="7"/>
  <c r="F1075" i="7"/>
  <c r="H1075" i="7" s="1"/>
  <c r="D1075" i="7"/>
  <c r="E1075" i="7" s="1"/>
  <c r="K1075" i="7"/>
  <c r="G1075" i="7"/>
  <c r="F1067" i="7"/>
  <c r="H1067" i="7" s="1"/>
  <c r="D1067" i="7"/>
  <c r="K1067" i="7"/>
  <c r="G1067" i="7"/>
  <c r="F1122" i="9"/>
  <c r="F1026" i="9"/>
  <c r="F1294" i="9"/>
  <c r="F1286" i="9"/>
  <c r="F1278" i="9"/>
  <c r="F1270" i="9"/>
  <c r="F1262" i="9"/>
  <c r="F1254" i="9"/>
  <c r="F1246" i="9"/>
  <c r="J1238" i="9"/>
  <c r="J1230" i="9"/>
  <c r="F1222" i="9"/>
  <c r="D1214" i="9"/>
  <c r="E1214" i="9" s="1"/>
  <c r="J1206" i="9"/>
  <c r="F1198" i="9"/>
  <c r="J1190" i="9"/>
  <c r="F1182" i="9"/>
  <c r="F1174" i="9"/>
  <c r="J1166" i="9"/>
  <c r="J1158" i="9"/>
  <c r="F1150" i="9"/>
  <c r="K1140" i="5"/>
  <c r="F1140" i="5"/>
  <c r="H1140" i="5" s="1"/>
  <c r="F1124" i="5"/>
  <c r="H1124" i="5" s="1"/>
  <c r="K1108" i="5"/>
  <c r="F1108" i="5"/>
  <c r="H1108" i="5" s="1"/>
  <c r="F1092" i="5"/>
  <c r="H1092" i="5" s="1"/>
  <c r="K1076" i="5"/>
  <c r="F1076" i="5"/>
  <c r="H1076" i="5" s="1"/>
  <c r="F1060" i="5"/>
  <c r="H1060" i="5" s="1"/>
  <c r="K1044" i="5"/>
  <c r="F1044" i="5"/>
  <c r="H1044" i="5" s="1"/>
  <c r="F1028" i="5"/>
  <c r="H1028" i="5" s="1"/>
  <c r="K1012" i="5"/>
  <c r="F1012" i="5"/>
  <c r="H1012" i="5" s="1"/>
  <c r="F996" i="5"/>
  <c r="H996" i="5" s="1"/>
  <c r="K980" i="5"/>
  <c r="F980" i="5"/>
  <c r="H980" i="5" s="1"/>
  <c r="F964" i="5"/>
  <c r="H964" i="5" s="1"/>
  <c r="K948" i="5"/>
  <c r="F948" i="5"/>
  <c r="H948" i="5" s="1"/>
  <c r="F932" i="5"/>
  <c r="H932" i="5" s="1"/>
  <c r="K916" i="5"/>
  <c r="F916" i="5"/>
  <c r="H916" i="5" s="1"/>
  <c r="F900" i="5"/>
  <c r="H900" i="5" s="1"/>
  <c r="K884" i="5"/>
  <c r="F884" i="5"/>
  <c r="H884" i="5" s="1"/>
  <c r="G868" i="5"/>
  <c r="F868" i="5"/>
  <c r="H868" i="5" s="1"/>
  <c r="K852" i="5"/>
  <c r="F852" i="5"/>
  <c r="H852" i="5" s="1"/>
  <c r="G852" i="5"/>
  <c r="F836" i="5"/>
  <c r="H836" i="5" s="1"/>
  <c r="D1280" i="5"/>
  <c r="E1280" i="5" s="1"/>
  <c r="D1148" i="5"/>
  <c r="E1148" i="5" s="1"/>
  <c r="D1132" i="5"/>
  <c r="E1132" i="5" s="1"/>
  <c r="D1116" i="5"/>
  <c r="E1116" i="5" s="1"/>
  <c r="D1100" i="5"/>
  <c r="E1100" i="5" s="1"/>
  <c r="D1084" i="5"/>
  <c r="E1084" i="5" s="1"/>
  <c r="D1068" i="5"/>
  <c r="E1068" i="5" s="1"/>
  <c r="D1052" i="5"/>
  <c r="E1052" i="5" s="1"/>
  <c r="D1036" i="5"/>
  <c r="E1036" i="5" s="1"/>
  <c r="D1020" i="5"/>
  <c r="E1020" i="5" s="1"/>
  <c r="D1004" i="5"/>
  <c r="E1004" i="5" s="1"/>
  <c r="D988" i="5"/>
  <c r="E988" i="5" s="1"/>
  <c r="D972" i="5"/>
  <c r="E972" i="5" s="1"/>
  <c r="D956" i="5"/>
  <c r="E956" i="5" s="1"/>
  <c r="D940" i="5"/>
  <c r="E940" i="5" s="1"/>
  <c r="D924" i="5"/>
  <c r="E924" i="5" s="1"/>
  <c r="D908" i="5"/>
  <c r="E908" i="5" s="1"/>
  <c r="D892" i="5"/>
  <c r="E892" i="5" s="1"/>
  <c r="D876" i="5"/>
  <c r="E876" i="5" s="1"/>
  <c r="D860" i="5"/>
  <c r="E860" i="5" s="1"/>
  <c r="D844" i="5"/>
  <c r="E844" i="5" s="1"/>
  <c r="D828" i="5"/>
  <c r="E828" i="5" s="1"/>
  <c r="F1151" i="5"/>
  <c r="H1151" i="5" s="1"/>
  <c r="G889" i="5"/>
  <c r="K932" i="5"/>
  <c r="F1138" i="9"/>
  <c r="F1106" i="9"/>
  <c r="D1010" i="9"/>
  <c r="E1010" i="9" s="1"/>
  <c r="K1295" i="5"/>
  <c r="D1286" i="5"/>
  <c r="E1286" i="5" s="1"/>
  <c r="D1240" i="5"/>
  <c r="E1240" i="5" s="1"/>
  <c r="G1231" i="5"/>
  <c r="F1222" i="5"/>
  <c r="H1222" i="5" s="1"/>
  <c r="F1195" i="5"/>
  <c r="H1195" i="5" s="1"/>
  <c r="G1186" i="5"/>
  <c r="D1176" i="5"/>
  <c r="E1176" i="5" s="1"/>
  <c r="G1167" i="5"/>
  <c r="F1159" i="5"/>
  <c r="H1159" i="5" s="1"/>
  <c r="K1151" i="5"/>
  <c r="K1119" i="5"/>
  <c r="G1119" i="5"/>
  <c r="I1119" i="5" s="1"/>
  <c r="J1119" i="5" s="1"/>
  <c r="K1103" i="5"/>
  <c r="G1103" i="5"/>
  <c r="K1087" i="5"/>
  <c r="G1087" i="5"/>
  <c r="I1087" i="5" s="1"/>
  <c r="J1087" i="5" s="1"/>
  <c r="K1055" i="5"/>
  <c r="G1055" i="5"/>
  <c r="I1055" i="5" s="1"/>
  <c r="J1055" i="5" s="1"/>
  <c r="K1039" i="5"/>
  <c r="G1039" i="5"/>
  <c r="I1039" i="5" s="1"/>
  <c r="J1039" i="5" s="1"/>
  <c r="K1023" i="5"/>
  <c r="G1023" i="5"/>
  <c r="I1023" i="5" s="1"/>
  <c r="J1023" i="5" s="1"/>
  <c r="K1007" i="5"/>
  <c r="G1007" i="5"/>
  <c r="K991" i="5"/>
  <c r="G991" i="5"/>
  <c r="I991" i="5" s="1"/>
  <c r="J991" i="5" s="1"/>
  <c r="K975" i="5"/>
  <c r="G975" i="5"/>
  <c r="K959" i="5"/>
  <c r="G959" i="5"/>
  <c r="I959" i="5" s="1"/>
  <c r="J959" i="5" s="1"/>
  <c r="K943" i="5"/>
  <c r="G943" i="5"/>
  <c r="K927" i="5"/>
  <c r="G927" i="5"/>
  <c r="I927" i="5" s="1"/>
  <c r="J927" i="5" s="1"/>
  <c r="K911" i="5"/>
  <c r="G911" i="5"/>
  <c r="I911" i="5" s="1"/>
  <c r="J911" i="5" s="1"/>
  <c r="K895" i="5"/>
  <c r="G895" i="5"/>
  <c r="I895" i="5" s="1"/>
  <c r="J895" i="5" s="1"/>
  <c r="K863" i="5"/>
  <c r="K831" i="5"/>
  <c r="G831" i="5"/>
  <c r="I831" i="5" s="1"/>
  <c r="J831" i="5" s="1"/>
  <c r="D1200" i="5"/>
  <c r="E1200" i="5" s="1"/>
  <c r="F1145" i="5"/>
  <c r="H1145" i="5" s="1"/>
  <c r="F1129" i="5"/>
  <c r="H1129" i="5" s="1"/>
  <c r="F1113" i="5"/>
  <c r="H1113" i="5" s="1"/>
  <c r="F1097" i="5"/>
  <c r="H1097" i="5" s="1"/>
  <c r="F1081" i="5"/>
  <c r="H1081" i="5" s="1"/>
  <c r="F1065" i="5"/>
  <c r="H1065" i="5" s="1"/>
  <c r="F1049" i="5"/>
  <c r="H1049" i="5" s="1"/>
  <c r="F1033" i="5"/>
  <c r="H1033" i="5" s="1"/>
  <c r="F1017" i="5"/>
  <c r="H1017" i="5" s="1"/>
  <c r="F1001" i="5"/>
  <c r="H1001" i="5" s="1"/>
  <c r="F985" i="5"/>
  <c r="H985" i="5" s="1"/>
  <c r="F969" i="5"/>
  <c r="H969" i="5" s="1"/>
  <c r="F953" i="5"/>
  <c r="H953" i="5" s="1"/>
  <c r="F937" i="5"/>
  <c r="H937" i="5" s="1"/>
  <c r="F921" i="5"/>
  <c r="H921" i="5" s="1"/>
  <c r="F905" i="5"/>
  <c r="H905" i="5" s="1"/>
  <c r="F889" i="5"/>
  <c r="H889" i="5" s="1"/>
  <c r="F873" i="5"/>
  <c r="H873" i="5" s="1"/>
  <c r="F857" i="5"/>
  <c r="H857" i="5" s="1"/>
  <c r="F841" i="5"/>
  <c r="H841" i="5" s="1"/>
  <c r="F825" i="5"/>
  <c r="H825" i="5" s="1"/>
  <c r="G884" i="5"/>
  <c r="G865" i="5"/>
  <c r="K1092" i="5"/>
  <c r="K836" i="5"/>
  <c r="C1145" i="7"/>
  <c r="C1137" i="7"/>
  <c r="C1129" i="7"/>
  <c r="C1121" i="7"/>
  <c r="C1113" i="7"/>
  <c r="C1105" i="7"/>
  <c r="C1097" i="7"/>
  <c r="C1089" i="7"/>
  <c r="C1081" i="7"/>
  <c r="C1073" i="7"/>
  <c r="C1065" i="7"/>
  <c r="C1057" i="7"/>
  <c r="C1049" i="7"/>
  <c r="C1041" i="7"/>
  <c r="C1033" i="7"/>
  <c r="C1025" i="7"/>
  <c r="C1017" i="7"/>
  <c r="C1009" i="7"/>
  <c r="C1001" i="7"/>
  <c r="C993" i="7"/>
  <c r="C985" i="7"/>
  <c r="C977" i="7"/>
  <c r="C969" i="7"/>
  <c r="C961" i="7"/>
  <c r="C953" i="7"/>
  <c r="C945" i="7"/>
  <c r="C937" i="7"/>
  <c r="C929" i="7"/>
  <c r="C921" i="7"/>
  <c r="C913" i="7"/>
  <c r="C905" i="7"/>
  <c r="C897" i="7"/>
  <c r="C889" i="7"/>
  <c r="C881" i="7"/>
  <c r="C873" i="7"/>
  <c r="C865" i="7"/>
  <c r="C857" i="7"/>
  <c r="C849" i="7"/>
  <c r="C841" i="7"/>
  <c r="C833" i="7"/>
  <c r="C825" i="7"/>
  <c r="D1035" i="7"/>
  <c r="E1035" i="7" s="1"/>
  <c r="K1035" i="7"/>
  <c r="G1035" i="7"/>
  <c r="F1027" i="7"/>
  <c r="H1027" i="7" s="1"/>
  <c r="D1027" i="7"/>
  <c r="E1027" i="7" s="1"/>
  <c r="K1027" i="7"/>
  <c r="G1027" i="7"/>
  <c r="F1019" i="7"/>
  <c r="H1019" i="7" s="1"/>
  <c r="D1019" i="7"/>
  <c r="E1019" i="7" s="1"/>
  <c r="G1019" i="7"/>
  <c r="K1019" i="7"/>
  <c r="K1003" i="7"/>
  <c r="D971" i="7"/>
  <c r="E971" i="7" s="1"/>
  <c r="G971" i="7"/>
  <c r="K971" i="7"/>
  <c r="F963" i="7"/>
  <c r="H963" i="7" s="1"/>
  <c r="D963" i="7"/>
  <c r="E963" i="7" s="1"/>
  <c r="K963" i="7"/>
  <c r="G963" i="7"/>
  <c r="F955" i="7"/>
  <c r="H955" i="7" s="1"/>
  <c r="D955" i="7"/>
  <c r="E955" i="7" s="1"/>
  <c r="K955" i="7"/>
  <c r="G955" i="7"/>
  <c r="F907" i="7"/>
  <c r="H907" i="7" s="1"/>
  <c r="D907" i="7"/>
  <c r="E907" i="7" s="1"/>
  <c r="K907" i="7"/>
  <c r="F899" i="7"/>
  <c r="H899" i="7" s="1"/>
  <c r="D899" i="7"/>
  <c r="E899" i="7" s="1"/>
  <c r="K899" i="7"/>
  <c r="G899" i="7"/>
  <c r="F891" i="7"/>
  <c r="H891" i="7" s="1"/>
  <c r="D891" i="7"/>
  <c r="E891" i="7" s="1"/>
  <c r="K891" i="7"/>
  <c r="G891" i="7"/>
  <c r="G883" i="7"/>
  <c r="F875" i="7"/>
  <c r="H875" i="7" s="1"/>
  <c r="D875" i="7"/>
  <c r="E875" i="7" s="1"/>
  <c r="K875" i="7"/>
  <c r="F859" i="7"/>
  <c r="H859" i="7" s="1"/>
  <c r="D859" i="7"/>
  <c r="E859" i="7" s="1"/>
  <c r="D843" i="7"/>
  <c r="E843" i="7" s="1"/>
  <c r="K843" i="7"/>
  <c r="G843" i="7"/>
  <c r="F835" i="7"/>
  <c r="H835" i="7" s="1"/>
  <c r="D835" i="7"/>
  <c r="E835" i="7" s="1"/>
  <c r="K835" i="7"/>
  <c r="G835" i="7"/>
  <c r="F827" i="7"/>
  <c r="H827" i="7" s="1"/>
  <c r="D827" i="7"/>
  <c r="E827" i="7" s="1"/>
  <c r="K827" i="7"/>
  <c r="G827" i="7"/>
  <c r="G1045" i="7"/>
  <c r="F1058" i="9"/>
  <c r="D1002" i="9"/>
  <c r="E1002" i="9" s="1"/>
  <c r="F1292" i="9"/>
  <c r="F1284" i="9"/>
  <c r="F1276" i="9"/>
  <c r="G1294" i="5"/>
  <c r="F1285" i="5"/>
  <c r="H1285" i="5" s="1"/>
  <c r="F1239" i="5"/>
  <c r="H1239" i="5" s="1"/>
  <c r="G1230" i="5"/>
  <c r="D1194" i="5"/>
  <c r="E1194" i="5" s="1"/>
  <c r="F1175" i="5"/>
  <c r="H1175" i="5" s="1"/>
  <c r="G1166" i="5"/>
  <c r="F1158" i="5"/>
  <c r="H1158" i="5" s="1"/>
  <c r="K1150" i="5"/>
  <c r="D1142" i="5"/>
  <c r="E1142" i="5" s="1"/>
  <c r="D1126" i="5"/>
  <c r="E1126" i="5" s="1"/>
  <c r="D1110" i="5"/>
  <c r="E1110" i="5" s="1"/>
  <c r="D1094" i="5"/>
  <c r="E1094" i="5" s="1"/>
  <c r="D1078" i="5"/>
  <c r="E1078" i="5" s="1"/>
  <c r="D1062" i="5"/>
  <c r="E1062" i="5" s="1"/>
  <c r="D1046" i="5"/>
  <c r="E1046" i="5" s="1"/>
  <c r="D1030" i="5"/>
  <c r="E1030" i="5" s="1"/>
  <c r="D998" i="5"/>
  <c r="E998" i="5" s="1"/>
  <c r="D982" i="5"/>
  <c r="E982" i="5" s="1"/>
  <c r="D966" i="5"/>
  <c r="E966" i="5" s="1"/>
  <c r="D950" i="5"/>
  <c r="E950" i="5" s="1"/>
  <c r="D934" i="5"/>
  <c r="E934" i="5" s="1"/>
  <c r="D918" i="5"/>
  <c r="E918" i="5" s="1"/>
  <c r="D902" i="5"/>
  <c r="E902" i="5" s="1"/>
  <c r="D854" i="5"/>
  <c r="E854" i="5" s="1"/>
  <c r="D838" i="5"/>
  <c r="E838" i="5" s="1"/>
  <c r="G1140" i="5"/>
  <c r="G1124" i="5"/>
  <c r="G1108" i="5"/>
  <c r="G1092" i="5"/>
  <c r="G1076" i="5"/>
  <c r="G1060" i="5"/>
  <c r="G1044" i="5"/>
  <c r="G1028" i="5"/>
  <c r="G1012" i="5"/>
  <c r="G996" i="5"/>
  <c r="G980" i="5"/>
  <c r="G964" i="5"/>
  <c r="G948" i="5"/>
  <c r="G932" i="5"/>
  <c r="G916" i="5"/>
  <c r="G900" i="5"/>
  <c r="G828" i="5"/>
  <c r="K996" i="5"/>
  <c r="F1151" i="8"/>
  <c r="G1151" i="8" s="1"/>
  <c r="H1151" i="8" s="1"/>
  <c r="F1161" i="8"/>
  <c r="G1161" i="8" s="1"/>
  <c r="H1161" i="8" s="1"/>
  <c r="F1173" i="8"/>
  <c r="G1173" i="8" s="1"/>
  <c r="H1173" i="8" s="1"/>
  <c r="F1183" i="8"/>
  <c r="G1183" i="8" s="1"/>
  <c r="H1183" i="8" s="1"/>
  <c r="F1193" i="8"/>
  <c r="G1193" i="8" s="1"/>
  <c r="H1193" i="8" s="1"/>
  <c r="F1205" i="8"/>
  <c r="G1205" i="8" s="1"/>
  <c r="H1205" i="8" s="1"/>
  <c r="F1215" i="8"/>
  <c r="G1215" i="8" s="1"/>
  <c r="H1215" i="8" s="1"/>
  <c r="F1225" i="8"/>
  <c r="G1225" i="8" s="1"/>
  <c r="H1225" i="8" s="1"/>
  <c r="F1237" i="8"/>
  <c r="G1237" i="8" s="1"/>
  <c r="H1237" i="8" s="1"/>
  <c r="F1247" i="8"/>
  <c r="G1247" i="8" s="1"/>
  <c r="H1247" i="8" s="1"/>
  <c r="F1257" i="8"/>
  <c r="G1257" i="8" s="1"/>
  <c r="H1257" i="8" s="1"/>
  <c r="F1269" i="8"/>
  <c r="G1269" i="8" s="1"/>
  <c r="H1269" i="8" s="1"/>
  <c r="F1279" i="8"/>
  <c r="G1279" i="8" s="1"/>
  <c r="H1279" i="8" s="1"/>
  <c r="F1288" i="8"/>
  <c r="G1288" i="8" s="1"/>
  <c r="H1288" i="8" s="1"/>
  <c r="F1152" i="8"/>
  <c r="G1152" i="8" s="1"/>
  <c r="H1152" i="8" s="1"/>
  <c r="F1164" i="8"/>
  <c r="G1164" i="8" s="1"/>
  <c r="H1164" i="8" s="1"/>
  <c r="F1174" i="8"/>
  <c r="G1174" i="8" s="1"/>
  <c r="H1174" i="8" s="1"/>
  <c r="F1184" i="8"/>
  <c r="G1184" i="8" s="1"/>
  <c r="H1184" i="8" s="1"/>
  <c r="F1196" i="8"/>
  <c r="G1196" i="8" s="1"/>
  <c r="H1196" i="8" s="1"/>
  <c r="F1206" i="8"/>
  <c r="G1206" i="8" s="1"/>
  <c r="H1206" i="8" s="1"/>
  <c r="F1216" i="8"/>
  <c r="G1216" i="8" s="1"/>
  <c r="H1216" i="8" s="1"/>
  <c r="F1228" i="8"/>
  <c r="G1228" i="8" s="1"/>
  <c r="H1228" i="8" s="1"/>
  <c r="F1238" i="8"/>
  <c r="G1238" i="8" s="1"/>
  <c r="H1238" i="8" s="1"/>
  <c r="F1248" i="8"/>
  <c r="G1248" i="8" s="1"/>
  <c r="H1248" i="8" s="1"/>
  <c r="F1260" i="8"/>
  <c r="G1260" i="8" s="1"/>
  <c r="H1260" i="8" s="1"/>
  <c r="F1270" i="8"/>
  <c r="G1270" i="8" s="1"/>
  <c r="H1270" i="8" s="1"/>
  <c r="F1280" i="8"/>
  <c r="G1280" i="8" s="1"/>
  <c r="H1280" i="8" s="1"/>
  <c r="F1290" i="8"/>
  <c r="G1290" i="8" s="1"/>
  <c r="H1290" i="8" s="1"/>
  <c r="F1153" i="8"/>
  <c r="G1153" i="8" s="1"/>
  <c r="H1153" i="8" s="1"/>
  <c r="F1165" i="8"/>
  <c r="G1165" i="8" s="1"/>
  <c r="H1165" i="8" s="1"/>
  <c r="F1175" i="8"/>
  <c r="G1175" i="8" s="1"/>
  <c r="H1175" i="8" s="1"/>
  <c r="F1185" i="8"/>
  <c r="G1185" i="8" s="1"/>
  <c r="H1185" i="8" s="1"/>
  <c r="F1197" i="8"/>
  <c r="G1197" i="8" s="1"/>
  <c r="H1197" i="8" s="1"/>
  <c r="F1207" i="8"/>
  <c r="G1207" i="8" s="1"/>
  <c r="H1207" i="8" s="1"/>
  <c r="F1217" i="8"/>
  <c r="G1217" i="8" s="1"/>
  <c r="H1217" i="8" s="1"/>
  <c r="F1229" i="8"/>
  <c r="G1229" i="8" s="1"/>
  <c r="H1229" i="8" s="1"/>
  <c r="F1239" i="8"/>
  <c r="G1239" i="8" s="1"/>
  <c r="H1239" i="8" s="1"/>
  <c r="F1249" i="8"/>
  <c r="G1249" i="8" s="1"/>
  <c r="H1249" i="8" s="1"/>
  <c r="F1261" i="8"/>
  <c r="G1261" i="8" s="1"/>
  <c r="H1261" i="8" s="1"/>
  <c r="F1271" i="8"/>
  <c r="G1271" i="8" s="1"/>
  <c r="H1271" i="8" s="1"/>
  <c r="F1156" i="8"/>
  <c r="G1156" i="8" s="1"/>
  <c r="H1156" i="8" s="1"/>
  <c r="F1169" i="8"/>
  <c r="G1169" i="8" s="1"/>
  <c r="H1169" i="8" s="1"/>
  <c r="F1189" i="8"/>
  <c r="G1189" i="8" s="1"/>
  <c r="H1189" i="8" s="1"/>
  <c r="F1204" i="8"/>
  <c r="G1204" i="8" s="1"/>
  <c r="H1204" i="8" s="1"/>
  <c r="F1222" i="8"/>
  <c r="G1222" i="8" s="1"/>
  <c r="H1222" i="8" s="1"/>
  <c r="F1240" i="8"/>
  <c r="G1240" i="8" s="1"/>
  <c r="H1240" i="8" s="1"/>
  <c r="F1255" i="8"/>
  <c r="G1255" i="8" s="1"/>
  <c r="H1255" i="8" s="1"/>
  <c r="F1273" i="8"/>
  <c r="G1273" i="8" s="1"/>
  <c r="H1273" i="8" s="1"/>
  <c r="F1286" i="8"/>
  <c r="G1286" i="8" s="1"/>
  <c r="H1286" i="8" s="1"/>
  <c r="D1150" i="8"/>
  <c r="E1150" i="8" s="1"/>
  <c r="D1160" i="8"/>
  <c r="E1160" i="8" s="1"/>
  <c r="D1172" i="8"/>
  <c r="E1172" i="8" s="1"/>
  <c r="D1182" i="8"/>
  <c r="E1182" i="8" s="1"/>
  <c r="D1192" i="8"/>
  <c r="E1192" i="8" s="1"/>
  <c r="D1204" i="8"/>
  <c r="E1204" i="8" s="1"/>
  <c r="D1214" i="8"/>
  <c r="E1214" i="8" s="1"/>
  <c r="D1224" i="8"/>
  <c r="E1224" i="8" s="1"/>
  <c r="D1236" i="8"/>
  <c r="E1236" i="8" s="1"/>
  <c r="D1246" i="8"/>
  <c r="E1246" i="8" s="1"/>
  <c r="D1256" i="8"/>
  <c r="E1256" i="8" s="1"/>
  <c r="D1268" i="8"/>
  <c r="E1268" i="8" s="1"/>
  <c r="D1278" i="8"/>
  <c r="E1278" i="8" s="1"/>
  <c r="D1287" i="8"/>
  <c r="E1287" i="8" s="1"/>
  <c r="F1157" i="8"/>
  <c r="G1157" i="8" s="1"/>
  <c r="H1157" i="8" s="1"/>
  <c r="F1172" i="8"/>
  <c r="G1172" i="8" s="1"/>
  <c r="H1172" i="8" s="1"/>
  <c r="F1190" i="8"/>
  <c r="G1190" i="8" s="1"/>
  <c r="H1190" i="8" s="1"/>
  <c r="F1208" i="8"/>
  <c r="G1208" i="8" s="1"/>
  <c r="H1208" i="8" s="1"/>
  <c r="F1223" i="8"/>
  <c r="G1223" i="8" s="1"/>
  <c r="H1223" i="8" s="1"/>
  <c r="F1241" i="8"/>
  <c r="G1241" i="8" s="1"/>
  <c r="H1241" i="8" s="1"/>
  <c r="F1256" i="8"/>
  <c r="G1256" i="8" s="1"/>
  <c r="H1256" i="8" s="1"/>
  <c r="F1276" i="8"/>
  <c r="G1276" i="8" s="1"/>
  <c r="H1276" i="8" s="1"/>
  <c r="F1287" i="8"/>
  <c r="G1287" i="8" s="1"/>
  <c r="H1287" i="8" s="1"/>
  <c r="D1151" i="8"/>
  <c r="E1151" i="8" s="1"/>
  <c r="D1161" i="8"/>
  <c r="E1161" i="8" s="1"/>
  <c r="D1173" i="8"/>
  <c r="E1173" i="8" s="1"/>
  <c r="D1183" i="8"/>
  <c r="E1183" i="8" s="1"/>
  <c r="D1193" i="8"/>
  <c r="E1193" i="8" s="1"/>
  <c r="D1205" i="8"/>
  <c r="E1205" i="8" s="1"/>
  <c r="D1215" i="8"/>
  <c r="E1215" i="8" s="1"/>
  <c r="D1225" i="8"/>
  <c r="E1225" i="8" s="1"/>
  <c r="D1237" i="8"/>
  <c r="E1237" i="8" s="1"/>
  <c r="D1247" i="8"/>
  <c r="E1247" i="8" s="1"/>
  <c r="D1257" i="8"/>
  <c r="E1257" i="8" s="1"/>
  <c r="D1269" i="8"/>
  <c r="E1269" i="8" s="1"/>
  <c r="D1279" i="8"/>
  <c r="E1279" i="8" s="1"/>
  <c r="D1288" i="8"/>
  <c r="E1288" i="8" s="1"/>
  <c r="F1158" i="8"/>
  <c r="G1158" i="8" s="1"/>
  <c r="H1158" i="8" s="1"/>
  <c r="F1176" i="8"/>
  <c r="G1176" i="8" s="1"/>
  <c r="H1176" i="8" s="1"/>
  <c r="F1191" i="8"/>
  <c r="G1191" i="8" s="1"/>
  <c r="H1191" i="8" s="1"/>
  <c r="F1209" i="8"/>
  <c r="G1209" i="8" s="1"/>
  <c r="H1209" i="8" s="1"/>
  <c r="F1224" i="8"/>
  <c r="G1224" i="8" s="1"/>
  <c r="H1224" i="8" s="1"/>
  <c r="F1244" i="8"/>
  <c r="G1244" i="8" s="1"/>
  <c r="H1244" i="8" s="1"/>
  <c r="F1262" i="8"/>
  <c r="G1262" i="8" s="1"/>
  <c r="H1262" i="8" s="1"/>
  <c r="F1277" i="8"/>
  <c r="G1277" i="8" s="1"/>
  <c r="H1277" i="8" s="1"/>
  <c r="F1291" i="8"/>
  <c r="G1291" i="8" s="1"/>
  <c r="H1291" i="8" s="1"/>
  <c r="D1152" i="8"/>
  <c r="E1152" i="8" s="1"/>
  <c r="D1164" i="8"/>
  <c r="E1164" i="8" s="1"/>
  <c r="D1174" i="8"/>
  <c r="E1174" i="8" s="1"/>
  <c r="D1184" i="8"/>
  <c r="E1184" i="8" s="1"/>
  <c r="D1196" i="8"/>
  <c r="E1196" i="8" s="1"/>
  <c r="D1206" i="8"/>
  <c r="E1206" i="8" s="1"/>
  <c r="D1216" i="8"/>
  <c r="E1216" i="8" s="1"/>
  <c r="D1228" i="8"/>
  <c r="E1228" i="8" s="1"/>
  <c r="D1238" i="8"/>
  <c r="E1238" i="8" s="1"/>
  <c r="D1248" i="8"/>
  <c r="E1248" i="8" s="1"/>
  <c r="D1260" i="8"/>
  <c r="E1260" i="8" s="1"/>
  <c r="D1270" i="8"/>
  <c r="E1270" i="8" s="1"/>
  <c r="D1280" i="8"/>
  <c r="E1280" i="8" s="1"/>
  <c r="D1290" i="8"/>
  <c r="E1290" i="8" s="1"/>
  <c r="F1159" i="8"/>
  <c r="G1159" i="8" s="1"/>
  <c r="H1159" i="8" s="1"/>
  <c r="F1177" i="8"/>
  <c r="G1177" i="8" s="1"/>
  <c r="H1177" i="8" s="1"/>
  <c r="F1192" i="8"/>
  <c r="G1192" i="8" s="1"/>
  <c r="H1192" i="8" s="1"/>
  <c r="F1212" i="8"/>
  <c r="G1212" i="8" s="1"/>
  <c r="H1212" i="8" s="1"/>
  <c r="F1160" i="8"/>
  <c r="G1160" i="8" s="1"/>
  <c r="H1160" i="8" s="1"/>
  <c r="F1180" i="8"/>
  <c r="G1180" i="8" s="1"/>
  <c r="H1180" i="8" s="1"/>
  <c r="F1166" i="8"/>
  <c r="G1166" i="8" s="1"/>
  <c r="H1166" i="8" s="1"/>
  <c r="F1181" i="8"/>
  <c r="G1181" i="8" s="1"/>
  <c r="H1181" i="8" s="1"/>
  <c r="F1199" i="8"/>
  <c r="G1199" i="8" s="1"/>
  <c r="H1199" i="8" s="1"/>
  <c r="F1214" i="8"/>
  <c r="G1214" i="8" s="1"/>
  <c r="H1214" i="8" s="1"/>
  <c r="F1232" i="8"/>
  <c r="G1232" i="8" s="1"/>
  <c r="H1232" i="8" s="1"/>
  <c r="F1149" i="8"/>
  <c r="G1149" i="8" s="1"/>
  <c r="H1149" i="8" s="1"/>
  <c r="F1167" i="8"/>
  <c r="G1167" i="8" s="1"/>
  <c r="H1167" i="8" s="1"/>
  <c r="F1182" i="8"/>
  <c r="G1182" i="8" s="1"/>
  <c r="H1182" i="8" s="1"/>
  <c r="F1200" i="8"/>
  <c r="G1200" i="8" s="1"/>
  <c r="H1200" i="8" s="1"/>
  <c r="F1220" i="8"/>
  <c r="G1220" i="8" s="1"/>
  <c r="H1220" i="8" s="1"/>
  <c r="F1233" i="8"/>
  <c r="G1233" i="8" s="1"/>
  <c r="H1233" i="8" s="1"/>
  <c r="F1150" i="8"/>
  <c r="G1150" i="8" s="1"/>
  <c r="H1150" i="8" s="1"/>
  <c r="F1168" i="8"/>
  <c r="G1168" i="8" s="1"/>
  <c r="H1168" i="8" s="1"/>
  <c r="F1188" i="8"/>
  <c r="G1188" i="8" s="1"/>
  <c r="H1188" i="8" s="1"/>
  <c r="F1201" i="8"/>
  <c r="G1201" i="8" s="1"/>
  <c r="H1201" i="8" s="1"/>
  <c r="F1221" i="8"/>
  <c r="G1221" i="8" s="1"/>
  <c r="H1221" i="8" s="1"/>
  <c r="F1236" i="8"/>
  <c r="G1236" i="8" s="1"/>
  <c r="H1236" i="8" s="1"/>
  <c r="F1254" i="8"/>
  <c r="G1254" i="8" s="1"/>
  <c r="H1254" i="8" s="1"/>
  <c r="F1272" i="8"/>
  <c r="G1272" i="8" s="1"/>
  <c r="H1272" i="8" s="1"/>
  <c r="F1284" i="8"/>
  <c r="G1284" i="8" s="1"/>
  <c r="H1284" i="8" s="1"/>
  <c r="D1149" i="8"/>
  <c r="E1149" i="8" s="1"/>
  <c r="D1159" i="8"/>
  <c r="E1159" i="8" s="1"/>
  <c r="D1169" i="8"/>
  <c r="E1169" i="8" s="1"/>
  <c r="D1181" i="8"/>
  <c r="E1181" i="8" s="1"/>
  <c r="F1231" i="8"/>
  <c r="G1231" i="8" s="1"/>
  <c r="H1231" i="8" s="1"/>
  <c r="F1268" i="8"/>
  <c r="G1268" i="8" s="1"/>
  <c r="H1268" i="8" s="1"/>
  <c r="F1296" i="8"/>
  <c r="G1296" i="8" s="1"/>
  <c r="H1296" i="8" s="1"/>
  <c r="D1168" i="8"/>
  <c r="E1168" i="8" s="1"/>
  <c r="D1190" i="8"/>
  <c r="E1190" i="8" s="1"/>
  <c r="D1208" i="8"/>
  <c r="E1208" i="8" s="1"/>
  <c r="D1223" i="8"/>
  <c r="E1223" i="8" s="1"/>
  <c r="D1241" i="8"/>
  <c r="E1241" i="8" s="1"/>
  <c r="D1261" i="8"/>
  <c r="E1261" i="8" s="1"/>
  <c r="D1276" i="8"/>
  <c r="E1276" i="8" s="1"/>
  <c r="D1292" i="8"/>
  <c r="E1292" i="8" s="1"/>
  <c r="F1245" i="8"/>
  <c r="G1245" i="8" s="1"/>
  <c r="H1245" i="8" s="1"/>
  <c r="F1278" i="8"/>
  <c r="G1278" i="8" s="1"/>
  <c r="H1278" i="8" s="1"/>
  <c r="D1153" i="8"/>
  <c r="E1153" i="8" s="1"/>
  <c r="D1175" i="8"/>
  <c r="E1175" i="8" s="1"/>
  <c r="D1191" i="8"/>
  <c r="E1191" i="8" s="1"/>
  <c r="D1209" i="8"/>
  <c r="E1209" i="8" s="1"/>
  <c r="D1229" i="8"/>
  <c r="E1229" i="8" s="1"/>
  <c r="D1244" i="8"/>
  <c r="E1244" i="8" s="1"/>
  <c r="D1262" i="8"/>
  <c r="E1262" i="8" s="1"/>
  <c r="D1277" i="8"/>
  <c r="E1277" i="8" s="1"/>
  <c r="D1294" i="8"/>
  <c r="E1294" i="8" s="1"/>
  <c r="F1246" i="8"/>
  <c r="G1246" i="8" s="1"/>
  <c r="H1246" i="8" s="1"/>
  <c r="F1281" i="8"/>
  <c r="G1281" i="8" s="1"/>
  <c r="H1281" i="8" s="1"/>
  <c r="D1156" i="8"/>
  <c r="E1156" i="8" s="1"/>
  <c r="D1176" i="8"/>
  <c r="E1176" i="8" s="1"/>
  <c r="D1197" i="8"/>
  <c r="E1197" i="8" s="1"/>
  <c r="D1212" i="8"/>
  <c r="E1212" i="8" s="1"/>
  <c r="D1230" i="8"/>
  <c r="E1230" i="8" s="1"/>
  <c r="D1245" i="8"/>
  <c r="E1245" i="8" s="1"/>
  <c r="D1263" i="8"/>
  <c r="E1263" i="8" s="1"/>
  <c r="D1281" i="8"/>
  <c r="E1281" i="8" s="1"/>
  <c r="D1295" i="8"/>
  <c r="E1295" i="8" s="1"/>
  <c r="F1252" i="8"/>
  <c r="G1252" i="8" s="1"/>
  <c r="H1252" i="8" s="1"/>
  <c r="F1282" i="8"/>
  <c r="G1282" i="8" s="1"/>
  <c r="H1282" i="8" s="1"/>
  <c r="D1157" i="8"/>
  <c r="E1157" i="8" s="1"/>
  <c r="F1253" i="8"/>
  <c r="G1253" i="8" s="1"/>
  <c r="H1253" i="8" s="1"/>
  <c r="F1283" i="8"/>
  <c r="G1283" i="8" s="1"/>
  <c r="H1283" i="8" s="1"/>
  <c r="D1158" i="8"/>
  <c r="E1158" i="8" s="1"/>
  <c r="F1198" i="8"/>
  <c r="G1198" i="8" s="1"/>
  <c r="H1198" i="8" s="1"/>
  <c r="F1263" i="8"/>
  <c r="G1263" i="8" s="1"/>
  <c r="H1263" i="8" s="1"/>
  <c r="F1292" i="8"/>
  <c r="G1292" i="8" s="1"/>
  <c r="H1292" i="8" s="1"/>
  <c r="D1165" i="8"/>
  <c r="E1165" i="8" s="1"/>
  <c r="F1213" i="8"/>
  <c r="G1213" i="8" s="1"/>
  <c r="H1213" i="8" s="1"/>
  <c r="F1264" i="8"/>
  <c r="G1264" i="8" s="1"/>
  <c r="H1264" i="8" s="1"/>
  <c r="F1294" i="8"/>
  <c r="G1294" i="8" s="1"/>
  <c r="H1294" i="8" s="1"/>
  <c r="D1166" i="8"/>
  <c r="E1166" i="8" s="1"/>
  <c r="F1230" i="8"/>
  <c r="G1230" i="8" s="1"/>
  <c r="H1230" i="8" s="1"/>
  <c r="F1265" i="8"/>
  <c r="G1265" i="8" s="1"/>
  <c r="H1265" i="8" s="1"/>
  <c r="F1295" i="8"/>
  <c r="G1295" i="8" s="1"/>
  <c r="H1295" i="8" s="1"/>
  <c r="D1167" i="8"/>
  <c r="E1167" i="8" s="1"/>
  <c r="D1189" i="8"/>
  <c r="E1189" i="8" s="1"/>
  <c r="D1207" i="8"/>
  <c r="E1207" i="8" s="1"/>
  <c r="D1222" i="8"/>
  <c r="E1222" i="8" s="1"/>
  <c r="D1240" i="8"/>
  <c r="E1240" i="8" s="1"/>
  <c r="D1255" i="8"/>
  <c r="E1255" i="8" s="1"/>
  <c r="D1273" i="8"/>
  <c r="E1273" i="8" s="1"/>
  <c r="D1291" i="8"/>
  <c r="E1291" i="8" s="1"/>
  <c r="D1188" i="8"/>
  <c r="E1188" i="8" s="1"/>
  <c r="D1221" i="8"/>
  <c r="E1221" i="8" s="1"/>
  <c r="D1254" i="8"/>
  <c r="E1254" i="8" s="1"/>
  <c r="D1286" i="8"/>
  <c r="E1286" i="8" s="1"/>
  <c r="D1198" i="8"/>
  <c r="E1198" i="8" s="1"/>
  <c r="D1231" i="8"/>
  <c r="E1231" i="8" s="1"/>
  <c r="D1264" i="8"/>
  <c r="E1264" i="8" s="1"/>
  <c r="D1296" i="8"/>
  <c r="E1296" i="8" s="1"/>
  <c r="D1199" i="8"/>
  <c r="E1199" i="8" s="1"/>
  <c r="D1232" i="8"/>
  <c r="E1232" i="8" s="1"/>
  <c r="D1265" i="8"/>
  <c r="E1265" i="8" s="1"/>
  <c r="D1200" i="8"/>
  <c r="E1200" i="8" s="1"/>
  <c r="D1233" i="8"/>
  <c r="E1233" i="8" s="1"/>
  <c r="D1271" i="8"/>
  <c r="E1271" i="8" s="1"/>
  <c r="D1201" i="8"/>
  <c r="E1201" i="8" s="1"/>
  <c r="D1239" i="8"/>
  <c r="E1239" i="8" s="1"/>
  <c r="D1272" i="8"/>
  <c r="E1272" i="8" s="1"/>
  <c r="D1177" i="8"/>
  <c r="E1177" i="8" s="1"/>
  <c r="D1213" i="8"/>
  <c r="E1213" i="8" s="1"/>
  <c r="D1249" i="8"/>
  <c r="E1249" i="8" s="1"/>
  <c r="D1282" i="8"/>
  <c r="E1282" i="8" s="1"/>
  <c r="D1180" i="8"/>
  <c r="E1180" i="8" s="1"/>
  <c r="D1217" i="8"/>
  <c r="E1217" i="8" s="1"/>
  <c r="D1252" i="8"/>
  <c r="E1252" i="8" s="1"/>
  <c r="D1283" i="8"/>
  <c r="E1283" i="8" s="1"/>
  <c r="D1185" i="8"/>
  <c r="E1185" i="8" s="1"/>
  <c r="D1220" i="8"/>
  <c r="E1220" i="8" s="1"/>
  <c r="D1253" i="8"/>
  <c r="E1253" i="8" s="1"/>
  <c r="D1284" i="8"/>
  <c r="E1284" i="8" s="1"/>
  <c r="O1152" i="33"/>
  <c r="O1160" i="33"/>
  <c r="O1168" i="33"/>
  <c r="O1176" i="33"/>
  <c r="O1184" i="33"/>
  <c r="O1192" i="33"/>
  <c r="O1200" i="33"/>
  <c r="O1208" i="33"/>
  <c r="O1216" i="33"/>
  <c r="N1152" i="33"/>
  <c r="N1160" i="33"/>
  <c r="N1168" i="33"/>
  <c r="N1176" i="33"/>
  <c r="N1184" i="33"/>
  <c r="N1192" i="33"/>
  <c r="N1200" i="33"/>
  <c r="N1208" i="33"/>
  <c r="N1216" i="33"/>
  <c r="O1153" i="33"/>
  <c r="O1161" i="33"/>
  <c r="O1169" i="33"/>
  <c r="O1177" i="33"/>
  <c r="O1185" i="33"/>
  <c r="O1193" i="33"/>
  <c r="O1201" i="33"/>
  <c r="O1209" i="33"/>
  <c r="O1217" i="33"/>
  <c r="O1150" i="33"/>
  <c r="O1158" i="33"/>
  <c r="O1166" i="33"/>
  <c r="O1174" i="33"/>
  <c r="O1182" i="33"/>
  <c r="O1190" i="33"/>
  <c r="O1198" i="33"/>
  <c r="O1206" i="33"/>
  <c r="O1214" i="33"/>
  <c r="N1150" i="33"/>
  <c r="N1158" i="33"/>
  <c r="N1166" i="33"/>
  <c r="N1174" i="33"/>
  <c r="N1182" i="33"/>
  <c r="N1190" i="33"/>
  <c r="N1198" i="33"/>
  <c r="N1206" i="33"/>
  <c r="N1214" i="33"/>
  <c r="O1162" i="33"/>
  <c r="O1173" i="33"/>
  <c r="O1187" i="33"/>
  <c r="O1199" i="33"/>
  <c r="O1212" i="33"/>
  <c r="N1151" i="33"/>
  <c r="N1162" i="33"/>
  <c r="N1172" i="33"/>
  <c r="N1183" i="33"/>
  <c r="N1194" i="33"/>
  <c r="N1204" i="33"/>
  <c r="N1215" i="33"/>
  <c r="J1150" i="33"/>
  <c r="J1158" i="33"/>
  <c r="J1166" i="33"/>
  <c r="J1174" i="33"/>
  <c r="J1182" i="33"/>
  <c r="J1190" i="33"/>
  <c r="J1198" i="33"/>
  <c r="J1206" i="33"/>
  <c r="J1214" i="33"/>
  <c r="O1156" i="33"/>
  <c r="O1170" i="33"/>
  <c r="O1181" i="33"/>
  <c r="O1195" i="33"/>
  <c r="O1207" i="33"/>
  <c r="O1220" i="33"/>
  <c r="O1157" i="33"/>
  <c r="O1171" i="33"/>
  <c r="O1183" i="33"/>
  <c r="O1196" i="33"/>
  <c r="O1210" i="33"/>
  <c r="O1221" i="33"/>
  <c r="O1159" i="33"/>
  <c r="O1172" i="33"/>
  <c r="O1186" i="33"/>
  <c r="O1197" i="33"/>
  <c r="O1211" i="33"/>
  <c r="N1149" i="33"/>
  <c r="N1161" i="33"/>
  <c r="N1171" i="33"/>
  <c r="N1181" i="33"/>
  <c r="N1193" i="33"/>
  <c r="N1203" i="33"/>
  <c r="N1213" i="33"/>
  <c r="J1149" i="33"/>
  <c r="J1157" i="33"/>
  <c r="J1165" i="33"/>
  <c r="J1173" i="33"/>
  <c r="J1181" i="33"/>
  <c r="J1189" i="33"/>
  <c r="J1197" i="33"/>
  <c r="J1205" i="33"/>
  <c r="J1213" i="33"/>
  <c r="J1221" i="33"/>
  <c r="O1167" i="33"/>
  <c r="O1194" i="33"/>
  <c r="O1219" i="33"/>
  <c r="N1155" i="33"/>
  <c r="N1169" i="33"/>
  <c r="N1185" i="33"/>
  <c r="N1197" i="33"/>
  <c r="N1211" i="33"/>
  <c r="J1159" i="33"/>
  <c r="J1169" i="33"/>
  <c r="J1179" i="33"/>
  <c r="J1191" i="33"/>
  <c r="J1201" i="33"/>
  <c r="J1211" i="33"/>
  <c r="O1149" i="33"/>
  <c r="O1175" i="33"/>
  <c r="O1202" i="33"/>
  <c r="N1156" i="33"/>
  <c r="N1170" i="33"/>
  <c r="N1186" i="33"/>
  <c r="N1199" i="33"/>
  <c r="N1212" i="33"/>
  <c r="O1151" i="33"/>
  <c r="O1178" i="33"/>
  <c r="O1203" i="33"/>
  <c r="N1157" i="33"/>
  <c r="N1173" i="33"/>
  <c r="N1187" i="33"/>
  <c r="N1201" i="33"/>
  <c r="N1217" i="33"/>
  <c r="O1163" i="33"/>
  <c r="O1188" i="33"/>
  <c r="O1164" i="33"/>
  <c r="O1189" i="33"/>
  <c r="O1165" i="33"/>
  <c r="O1191" i="33"/>
  <c r="O1218" i="33"/>
  <c r="N1154" i="33"/>
  <c r="N1167" i="33"/>
  <c r="N1180" i="33"/>
  <c r="N1196" i="33"/>
  <c r="N1210" i="33"/>
  <c r="J1156" i="33"/>
  <c r="J1168" i="33"/>
  <c r="J1178" i="33"/>
  <c r="O1205" i="33"/>
  <c r="N1177" i="33"/>
  <c r="N1205" i="33"/>
  <c r="J1152" i="33"/>
  <c r="J1164" i="33"/>
  <c r="J1180" i="33"/>
  <c r="J1193" i="33"/>
  <c r="J1204" i="33"/>
  <c r="J1217" i="33"/>
  <c r="G1155" i="33"/>
  <c r="H1155" i="33" s="1"/>
  <c r="G1163" i="33"/>
  <c r="H1163" i="33" s="1"/>
  <c r="G1171" i="33"/>
  <c r="H1171" i="33" s="1"/>
  <c r="G1179" i="33"/>
  <c r="H1179" i="33" s="1"/>
  <c r="G1187" i="33"/>
  <c r="H1187" i="33" s="1"/>
  <c r="G1195" i="33"/>
  <c r="H1195" i="33" s="1"/>
  <c r="G1203" i="33"/>
  <c r="H1203" i="33" s="1"/>
  <c r="G1211" i="33"/>
  <c r="H1211" i="33" s="1"/>
  <c r="G1219" i="33"/>
  <c r="H1219" i="33" s="1"/>
  <c r="F1155" i="33"/>
  <c r="I1155" i="33" s="1"/>
  <c r="F1163" i="33"/>
  <c r="I1163" i="33" s="1"/>
  <c r="F1171" i="33"/>
  <c r="I1171" i="33" s="1"/>
  <c r="F1179" i="33"/>
  <c r="I1179" i="33" s="1"/>
  <c r="F1187" i="33"/>
  <c r="I1187" i="33" s="1"/>
  <c r="F1195" i="33"/>
  <c r="I1195" i="33" s="1"/>
  <c r="F1203" i="33"/>
  <c r="I1203" i="33" s="1"/>
  <c r="F1211" i="33"/>
  <c r="I1211" i="33" s="1"/>
  <c r="F1219" i="33"/>
  <c r="I1219" i="33" s="1"/>
  <c r="O1213" i="33"/>
  <c r="N1178" i="33"/>
  <c r="N1207" i="33"/>
  <c r="J1153" i="33"/>
  <c r="J1167" i="33"/>
  <c r="J1183" i="33"/>
  <c r="J1194" i="33"/>
  <c r="J1207" i="33"/>
  <c r="J1218" i="33"/>
  <c r="G1156" i="33"/>
  <c r="H1156" i="33" s="1"/>
  <c r="G1164" i="33"/>
  <c r="H1164" i="33" s="1"/>
  <c r="G1172" i="33"/>
  <c r="H1172" i="33" s="1"/>
  <c r="G1180" i="33"/>
  <c r="H1180" i="33" s="1"/>
  <c r="G1188" i="33"/>
  <c r="H1188" i="33" s="1"/>
  <c r="G1196" i="33"/>
  <c r="H1196" i="33" s="1"/>
  <c r="G1204" i="33"/>
  <c r="H1204" i="33" s="1"/>
  <c r="G1212" i="33"/>
  <c r="H1212" i="33" s="1"/>
  <c r="G1220" i="33"/>
  <c r="H1220" i="33" s="1"/>
  <c r="F1156" i="33"/>
  <c r="I1156" i="33" s="1"/>
  <c r="F1164" i="33"/>
  <c r="I1164" i="33" s="1"/>
  <c r="F1172" i="33"/>
  <c r="I1172" i="33" s="1"/>
  <c r="F1180" i="33"/>
  <c r="I1180" i="33" s="1"/>
  <c r="F1188" i="33"/>
  <c r="I1188" i="33" s="1"/>
  <c r="F1196" i="33"/>
  <c r="I1196" i="33" s="1"/>
  <c r="F1204" i="33"/>
  <c r="I1204" i="33" s="1"/>
  <c r="F1212" i="33"/>
  <c r="I1212" i="33" s="1"/>
  <c r="F1220" i="33"/>
  <c r="I1220" i="33" s="1"/>
  <c r="O1215" i="33"/>
  <c r="N1153" i="33"/>
  <c r="N1179" i="33"/>
  <c r="N1209" i="33"/>
  <c r="J1154" i="33"/>
  <c r="J1170" i="33"/>
  <c r="J1184" i="33"/>
  <c r="J1195" i="33"/>
  <c r="J1208" i="33"/>
  <c r="J1219" i="33"/>
  <c r="G1149" i="33"/>
  <c r="H1149" i="33" s="1"/>
  <c r="G1157" i="33"/>
  <c r="H1157" i="33" s="1"/>
  <c r="G1165" i="33"/>
  <c r="H1165" i="33" s="1"/>
  <c r="G1173" i="33"/>
  <c r="H1173" i="33" s="1"/>
  <c r="G1181" i="33"/>
  <c r="H1181" i="33" s="1"/>
  <c r="G1189" i="33"/>
  <c r="H1189" i="33" s="1"/>
  <c r="G1197" i="33"/>
  <c r="H1197" i="33" s="1"/>
  <c r="G1205" i="33"/>
  <c r="H1205" i="33" s="1"/>
  <c r="G1213" i="33"/>
  <c r="H1213" i="33" s="1"/>
  <c r="G1221" i="33"/>
  <c r="H1221" i="33" s="1"/>
  <c r="F1149" i="33"/>
  <c r="I1149" i="33" s="1"/>
  <c r="F1157" i="33"/>
  <c r="I1157" i="33" s="1"/>
  <c r="F1165" i="33"/>
  <c r="I1165" i="33" s="1"/>
  <c r="F1173" i="33"/>
  <c r="I1173" i="33" s="1"/>
  <c r="F1181" i="33"/>
  <c r="I1181" i="33" s="1"/>
  <c r="F1189" i="33"/>
  <c r="I1189" i="33" s="1"/>
  <c r="F1197" i="33"/>
  <c r="I1197" i="33" s="1"/>
  <c r="F1205" i="33"/>
  <c r="I1205" i="33" s="1"/>
  <c r="F1213" i="33"/>
  <c r="I1213" i="33" s="1"/>
  <c r="F1221" i="33"/>
  <c r="I1221" i="33" s="1"/>
  <c r="O1179" i="33"/>
  <c r="N1164" i="33"/>
  <c r="N1191" i="33"/>
  <c r="N1220" i="33"/>
  <c r="O1180" i="33"/>
  <c r="N1165" i="33"/>
  <c r="N1195" i="33"/>
  <c r="N1221" i="33"/>
  <c r="O1154" i="33"/>
  <c r="N1175" i="33"/>
  <c r="J1172" i="33"/>
  <c r="J1192" i="33"/>
  <c r="J1212" i="33"/>
  <c r="G1160" i="33"/>
  <c r="H1160" i="33" s="1"/>
  <c r="G1174" i="33"/>
  <c r="H1174" i="33" s="1"/>
  <c r="G1185" i="33"/>
  <c r="H1185" i="33" s="1"/>
  <c r="G1199" i="33"/>
  <c r="H1199" i="33" s="1"/>
  <c r="G1210" i="33"/>
  <c r="H1210" i="33" s="1"/>
  <c r="F1158" i="33"/>
  <c r="I1158" i="33" s="1"/>
  <c r="F1169" i="33"/>
  <c r="I1169" i="33" s="1"/>
  <c r="F1183" i="33"/>
  <c r="I1183" i="33" s="1"/>
  <c r="F1194" i="33"/>
  <c r="I1194" i="33" s="1"/>
  <c r="F1208" i="33"/>
  <c r="I1208" i="33" s="1"/>
  <c r="D1155" i="33"/>
  <c r="E1155" i="33" s="1"/>
  <c r="D1163" i="33"/>
  <c r="E1163" i="33" s="1"/>
  <c r="D1171" i="33"/>
  <c r="E1171" i="33" s="1"/>
  <c r="D1179" i="33"/>
  <c r="E1179" i="33" s="1"/>
  <c r="D1187" i="33"/>
  <c r="E1187" i="33" s="1"/>
  <c r="D1195" i="33"/>
  <c r="E1195" i="33" s="1"/>
  <c r="D1203" i="33"/>
  <c r="E1203" i="33" s="1"/>
  <c r="D1211" i="33"/>
  <c r="E1211" i="33" s="1"/>
  <c r="D1219" i="33"/>
  <c r="E1219" i="33" s="1"/>
  <c r="O1155" i="33"/>
  <c r="N1188" i="33"/>
  <c r="J1151" i="33"/>
  <c r="J1175" i="33"/>
  <c r="J1196" i="33"/>
  <c r="J1215" i="33"/>
  <c r="G1150" i="33"/>
  <c r="H1150" i="33" s="1"/>
  <c r="G1161" i="33"/>
  <c r="H1161" i="33" s="1"/>
  <c r="G1175" i="33"/>
  <c r="H1175" i="33" s="1"/>
  <c r="G1186" i="33"/>
  <c r="H1186" i="33" s="1"/>
  <c r="G1200" i="33"/>
  <c r="H1200" i="33" s="1"/>
  <c r="G1214" i="33"/>
  <c r="H1214" i="33" s="1"/>
  <c r="F1159" i="33"/>
  <c r="I1159" i="33" s="1"/>
  <c r="F1170" i="33"/>
  <c r="I1170" i="33" s="1"/>
  <c r="F1184" i="33"/>
  <c r="I1184" i="33" s="1"/>
  <c r="F1198" i="33"/>
  <c r="I1198" i="33" s="1"/>
  <c r="F1209" i="33"/>
  <c r="I1209" i="33" s="1"/>
  <c r="D1156" i="33"/>
  <c r="E1156" i="33" s="1"/>
  <c r="D1164" i="33"/>
  <c r="E1164" i="33" s="1"/>
  <c r="D1172" i="33"/>
  <c r="E1172" i="33" s="1"/>
  <c r="D1180" i="33"/>
  <c r="E1180" i="33" s="1"/>
  <c r="D1188" i="33"/>
  <c r="E1188" i="33" s="1"/>
  <c r="D1196" i="33"/>
  <c r="E1196" i="33" s="1"/>
  <c r="D1204" i="33"/>
  <c r="E1204" i="33" s="1"/>
  <c r="D1212" i="33"/>
  <c r="E1212" i="33" s="1"/>
  <c r="D1220" i="33"/>
  <c r="E1220" i="33" s="1"/>
  <c r="O1204" i="33"/>
  <c r="N1189" i="33"/>
  <c r="J1155" i="33"/>
  <c r="J1176" i="33"/>
  <c r="J1199" i="33"/>
  <c r="J1216" i="33"/>
  <c r="G1151" i="33"/>
  <c r="H1151" i="33" s="1"/>
  <c r="G1162" i="33"/>
  <c r="H1162" i="33" s="1"/>
  <c r="G1176" i="33"/>
  <c r="H1176" i="33" s="1"/>
  <c r="G1190" i="33"/>
  <c r="H1190" i="33" s="1"/>
  <c r="G1201" i="33"/>
  <c r="H1201" i="33" s="1"/>
  <c r="G1215" i="33"/>
  <c r="H1215" i="33" s="1"/>
  <c r="F1160" i="33"/>
  <c r="I1160" i="33" s="1"/>
  <c r="F1174" i="33"/>
  <c r="I1174" i="33" s="1"/>
  <c r="F1185" i="33"/>
  <c r="I1185" i="33" s="1"/>
  <c r="F1199" i="33"/>
  <c r="I1199" i="33" s="1"/>
  <c r="F1210" i="33"/>
  <c r="I1210" i="33" s="1"/>
  <c r="D1149" i="33"/>
  <c r="E1149" i="33" s="1"/>
  <c r="D1157" i="33"/>
  <c r="E1157" i="33" s="1"/>
  <c r="D1165" i="33"/>
  <c r="E1165" i="33" s="1"/>
  <c r="D1173" i="33"/>
  <c r="E1173" i="33" s="1"/>
  <c r="D1181" i="33"/>
  <c r="E1181" i="33" s="1"/>
  <c r="D1189" i="33"/>
  <c r="E1189" i="33" s="1"/>
  <c r="D1197" i="33"/>
  <c r="E1197" i="33" s="1"/>
  <c r="D1205" i="33"/>
  <c r="E1205" i="33" s="1"/>
  <c r="D1213" i="33"/>
  <c r="E1213" i="33" s="1"/>
  <c r="D1221" i="33"/>
  <c r="E1221" i="33" s="1"/>
  <c r="N1218" i="33"/>
  <c r="J1161" i="33"/>
  <c r="J1185" i="33"/>
  <c r="J1202" i="33"/>
  <c r="N1219" i="33"/>
  <c r="J1162" i="33"/>
  <c r="J1186" i="33"/>
  <c r="J1203" i="33"/>
  <c r="K1203" i="33" s="1"/>
  <c r="M1203" i="33" s="1"/>
  <c r="G1154" i="33"/>
  <c r="H1154" i="33" s="1"/>
  <c r="G1168" i="33"/>
  <c r="H1168" i="33" s="1"/>
  <c r="G1182" i="33"/>
  <c r="H1182" i="33" s="1"/>
  <c r="G1193" i="33"/>
  <c r="H1193" i="33" s="1"/>
  <c r="G1207" i="33"/>
  <c r="H1207" i="33" s="1"/>
  <c r="G1218" i="33"/>
  <c r="H1218" i="33" s="1"/>
  <c r="F1152" i="33"/>
  <c r="I1152" i="33" s="1"/>
  <c r="F1166" i="33"/>
  <c r="I1166" i="33" s="1"/>
  <c r="F1177" i="33"/>
  <c r="I1177" i="33" s="1"/>
  <c r="F1191" i="33"/>
  <c r="I1191" i="33" s="1"/>
  <c r="F1202" i="33"/>
  <c r="I1202" i="33" s="1"/>
  <c r="F1216" i="33"/>
  <c r="I1216" i="33" s="1"/>
  <c r="N1159" i="33"/>
  <c r="J1163" i="33"/>
  <c r="J1187" i="33"/>
  <c r="J1209" i="33"/>
  <c r="G1158" i="33"/>
  <c r="H1158" i="33" s="1"/>
  <c r="G1169" i="33"/>
  <c r="H1169" i="33" s="1"/>
  <c r="G1183" i="33"/>
  <c r="H1183" i="33" s="1"/>
  <c r="G1194" i="33"/>
  <c r="H1194" i="33" s="1"/>
  <c r="G1208" i="33"/>
  <c r="H1208" i="33" s="1"/>
  <c r="F1153" i="33"/>
  <c r="I1153" i="33" s="1"/>
  <c r="F1167" i="33"/>
  <c r="I1167" i="33" s="1"/>
  <c r="F1178" i="33"/>
  <c r="I1178" i="33" s="1"/>
  <c r="F1192" i="33"/>
  <c r="I1192" i="33" s="1"/>
  <c r="F1206" i="33"/>
  <c r="I1206" i="33" s="1"/>
  <c r="F1217" i="33"/>
  <c r="I1217" i="33" s="1"/>
  <c r="N1163" i="33"/>
  <c r="J1171" i="33"/>
  <c r="J1188" i="33"/>
  <c r="J1210" i="33"/>
  <c r="G1159" i="33"/>
  <c r="H1159" i="33" s="1"/>
  <c r="G1170" i="33"/>
  <c r="H1170" i="33" s="1"/>
  <c r="G1184" i="33"/>
  <c r="H1184" i="33" s="1"/>
  <c r="G1198" i="33"/>
  <c r="H1198" i="33" s="1"/>
  <c r="G1209" i="33"/>
  <c r="H1209" i="33" s="1"/>
  <c r="F1154" i="33"/>
  <c r="I1154" i="33" s="1"/>
  <c r="F1168" i="33"/>
  <c r="I1168" i="33" s="1"/>
  <c r="F1182" i="33"/>
  <c r="I1182" i="33" s="1"/>
  <c r="F1193" i="33"/>
  <c r="I1193" i="33" s="1"/>
  <c r="F1207" i="33"/>
  <c r="I1207" i="33" s="1"/>
  <c r="F1218" i="33"/>
  <c r="I1218" i="33" s="1"/>
  <c r="D1154" i="33"/>
  <c r="E1154" i="33" s="1"/>
  <c r="D1162" i="33"/>
  <c r="E1162" i="33" s="1"/>
  <c r="D1170" i="33"/>
  <c r="E1170" i="33" s="1"/>
  <c r="D1178" i="33"/>
  <c r="E1178" i="33" s="1"/>
  <c r="D1186" i="33"/>
  <c r="E1186" i="33" s="1"/>
  <c r="D1194" i="33"/>
  <c r="E1194" i="33" s="1"/>
  <c r="D1202" i="33"/>
  <c r="E1202" i="33" s="1"/>
  <c r="D1210" i="33"/>
  <c r="E1210" i="33" s="1"/>
  <c r="D1218" i="33"/>
  <c r="E1218" i="33" s="1"/>
  <c r="J1200" i="33"/>
  <c r="G1152" i="33"/>
  <c r="H1152" i="33" s="1"/>
  <c r="G1202" i="33"/>
  <c r="H1202" i="33" s="1"/>
  <c r="F1161" i="33"/>
  <c r="I1161" i="33" s="1"/>
  <c r="F1214" i="33"/>
  <c r="I1214" i="33" s="1"/>
  <c r="D1161" i="33"/>
  <c r="E1161" i="33" s="1"/>
  <c r="D1177" i="33"/>
  <c r="E1177" i="33" s="1"/>
  <c r="D1193" i="33"/>
  <c r="E1193" i="33" s="1"/>
  <c r="D1209" i="33"/>
  <c r="E1209" i="33" s="1"/>
  <c r="L1155" i="12"/>
  <c r="L1163" i="12"/>
  <c r="L1171" i="12"/>
  <c r="L1179" i="12"/>
  <c r="L1187" i="12"/>
  <c r="L1195" i="12"/>
  <c r="L1203" i="12"/>
  <c r="L1211" i="12"/>
  <c r="L1219" i="12"/>
  <c r="L1227" i="12"/>
  <c r="L1235" i="12"/>
  <c r="L1243" i="12"/>
  <c r="L1251" i="12"/>
  <c r="L1259" i="12"/>
  <c r="L1267" i="12"/>
  <c r="L1275" i="12"/>
  <c r="L1283" i="12"/>
  <c r="L1291" i="12"/>
  <c r="K1151" i="12"/>
  <c r="K1159" i="12"/>
  <c r="K1167" i="12"/>
  <c r="K1175" i="12"/>
  <c r="K1183" i="12"/>
  <c r="K1191" i="12"/>
  <c r="K1199" i="12"/>
  <c r="K1207" i="12"/>
  <c r="K1215" i="12"/>
  <c r="K1223" i="12"/>
  <c r="K1231" i="12"/>
  <c r="K1239" i="12"/>
  <c r="J1220" i="33"/>
  <c r="G1153" i="33"/>
  <c r="H1153" i="33" s="1"/>
  <c r="G1206" i="33"/>
  <c r="H1206" i="33" s="1"/>
  <c r="F1162" i="33"/>
  <c r="I1162" i="33" s="1"/>
  <c r="F1215" i="33"/>
  <c r="I1215" i="33" s="1"/>
  <c r="D1150" i="33"/>
  <c r="E1150" i="33" s="1"/>
  <c r="D1166" i="33"/>
  <c r="E1166" i="33" s="1"/>
  <c r="D1182" i="33"/>
  <c r="E1182" i="33" s="1"/>
  <c r="D1198" i="33"/>
  <c r="E1198" i="33" s="1"/>
  <c r="D1214" i="33"/>
  <c r="E1214" i="33" s="1"/>
  <c r="L1156" i="12"/>
  <c r="L1164" i="12"/>
  <c r="L1172" i="12"/>
  <c r="L1180" i="12"/>
  <c r="L1188" i="12"/>
  <c r="L1196" i="12"/>
  <c r="L1204" i="12"/>
  <c r="L1212" i="12"/>
  <c r="L1220" i="12"/>
  <c r="L1228" i="12"/>
  <c r="L1236" i="12"/>
  <c r="L1244" i="12"/>
  <c r="L1252" i="12"/>
  <c r="L1260" i="12"/>
  <c r="L1268" i="12"/>
  <c r="L1276" i="12"/>
  <c r="L1284" i="12"/>
  <c r="L1292" i="12"/>
  <c r="K1152" i="12"/>
  <c r="K1160" i="12"/>
  <c r="K1168" i="12"/>
  <c r="K1176" i="12"/>
  <c r="K1184" i="12"/>
  <c r="K1192" i="12"/>
  <c r="K1200" i="12"/>
  <c r="K1208" i="12"/>
  <c r="K1216" i="12"/>
  <c r="K1224" i="12"/>
  <c r="K1232" i="12"/>
  <c r="K1240" i="12"/>
  <c r="K1248" i="12"/>
  <c r="K1256" i="12"/>
  <c r="K1264" i="12"/>
  <c r="K1272" i="12"/>
  <c r="K1280" i="12"/>
  <c r="K1288" i="12"/>
  <c r="K1296" i="12"/>
  <c r="G1166" i="33"/>
  <c r="H1166" i="33" s="1"/>
  <c r="G1216" i="33"/>
  <c r="H1216" i="33" s="1"/>
  <c r="F1175" i="33"/>
  <c r="I1175" i="33" s="1"/>
  <c r="D1151" i="33"/>
  <c r="E1151" i="33" s="1"/>
  <c r="D1167" i="33"/>
  <c r="E1167" i="33" s="1"/>
  <c r="D1183" i="33"/>
  <c r="E1183" i="33" s="1"/>
  <c r="D1199" i="33"/>
  <c r="E1199" i="33" s="1"/>
  <c r="D1215" i="33"/>
  <c r="E1215" i="33" s="1"/>
  <c r="L1149" i="12"/>
  <c r="L1157" i="12"/>
  <c r="L1165" i="12"/>
  <c r="L1173" i="12"/>
  <c r="L1181" i="12"/>
  <c r="L1189" i="12"/>
  <c r="L1197" i="12"/>
  <c r="L1205" i="12"/>
  <c r="L1213" i="12"/>
  <c r="L1221" i="12"/>
  <c r="L1229" i="12"/>
  <c r="L1237" i="12"/>
  <c r="L1245" i="12"/>
  <c r="L1253" i="12"/>
  <c r="L1261" i="12"/>
  <c r="L1269" i="12"/>
  <c r="L1277" i="12"/>
  <c r="L1285" i="12"/>
  <c r="L1293" i="12"/>
  <c r="K1153" i="12"/>
  <c r="K1161" i="12"/>
  <c r="K1169" i="12"/>
  <c r="K1177" i="12"/>
  <c r="K1185" i="12"/>
  <c r="K1193" i="12"/>
  <c r="K1201" i="12"/>
  <c r="K1209" i="12"/>
  <c r="K1217" i="12"/>
  <c r="K1225" i="12"/>
  <c r="K1233" i="12"/>
  <c r="K1241" i="12"/>
  <c r="K1249" i="12"/>
  <c r="K1257" i="12"/>
  <c r="K1265" i="12"/>
  <c r="K1273" i="12"/>
  <c r="K1281" i="12"/>
  <c r="K1289" i="12"/>
  <c r="K1297" i="12"/>
  <c r="N1202" i="33"/>
  <c r="G1014" i="33"/>
  <c r="H1014" i="33" s="1"/>
  <c r="G1167" i="33"/>
  <c r="H1167" i="33" s="1"/>
  <c r="G1217" i="33"/>
  <c r="H1217" i="33" s="1"/>
  <c r="F870" i="33"/>
  <c r="F1126" i="33"/>
  <c r="F1176" i="33"/>
  <c r="I1176" i="33" s="1"/>
  <c r="G1178" i="33"/>
  <c r="H1178" i="33" s="1"/>
  <c r="F1190" i="33"/>
  <c r="I1190" i="33" s="1"/>
  <c r="D871" i="33"/>
  <c r="D1158" i="33"/>
  <c r="E1158" i="33" s="1"/>
  <c r="D1174" i="33"/>
  <c r="E1174" i="33" s="1"/>
  <c r="D1190" i="33"/>
  <c r="E1190" i="33" s="1"/>
  <c r="D1206" i="33"/>
  <c r="E1206" i="33" s="1"/>
  <c r="J1160" i="33"/>
  <c r="G1191" i="33"/>
  <c r="H1191" i="33" s="1"/>
  <c r="F894" i="33"/>
  <c r="F1150" i="33"/>
  <c r="I1150" i="33" s="1"/>
  <c r="F1200" i="33"/>
  <c r="I1200" i="33" s="1"/>
  <c r="D894" i="33"/>
  <c r="E894" i="33" s="1"/>
  <c r="D958" i="33"/>
  <c r="E958" i="33" s="1"/>
  <c r="D1159" i="33"/>
  <c r="E1159" i="33" s="1"/>
  <c r="D1175" i="33"/>
  <c r="E1175" i="33" s="1"/>
  <c r="D1191" i="33"/>
  <c r="E1191" i="33" s="1"/>
  <c r="D1207" i="33"/>
  <c r="E1207" i="33" s="1"/>
  <c r="J1177" i="33"/>
  <c r="K1177" i="33" s="1"/>
  <c r="M1177" i="33" s="1"/>
  <c r="G1192" i="33"/>
  <c r="H1192" i="33" s="1"/>
  <c r="F1151" i="33"/>
  <c r="I1151" i="33" s="1"/>
  <c r="F1201" i="33"/>
  <c r="I1201" i="33" s="1"/>
  <c r="D1160" i="33"/>
  <c r="E1160" i="33" s="1"/>
  <c r="D1176" i="33"/>
  <c r="E1176" i="33" s="1"/>
  <c r="D1192" i="33"/>
  <c r="E1192" i="33" s="1"/>
  <c r="D1208" i="33"/>
  <c r="E1208" i="33" s="1"/>
  <c r="L1154" i="12"/>
  <c r="L1162" i="12"/>
  <c r="L1170" i="12"/>
  <c r="L1178" i="12"/>
  <c r="L1186" i="12"/>
  <c r="L1194" i="12"/>
  <c r="L1202" i="12"/>
  <c r="L1210" i="12"/>
  <c r="L1218" i="12"/>
  <c r="L1226" i="12"/>
  <c r="L1234" i="12"/>
  <c r="L1242" i="12"/>
  <c r="L1250" i="12"/>
  <c r="L1258" i="12"/>
  <c r="L1266" i="12"/>
  <c r="L1274" i="12"/>
  <c r="L1282" i="12"/>
  <c r="L1290" i="12"/>
  <c r="K1150" i="12"/>
  <c r="K1158" i="12"/>
  <c r="K1166" i="12"/>
  <c r="K1174" i="12"/>
  <c r="K1182" i="12"/>
  <c r="K1190" i="12"/>
  <c r="K1198" i="12"/>
  <c r="K1206" i="12"/>
  <c r="K1214" i="12"/>
  <c r="K1222" i="12"/>
  <c r="K1230" i="12"/>
  <c r="K1238" i="12"/>
  <c r="K1246" i="12"/>
  <c r="K1254" i="12"/>
  <c r="K1262" i="12"/>
  <c r="K1270" i="12"/>
  <c r="K1278" i="12"/>
  <c r="K1286" i="12"/>
  <c r="K1294" i="12"/>
  <c r="G871" i="33"/>
  <c r="D1201" i="33"/>
  <c r="E1201" i="33" s="1"/>
  <c r="L1152" i="12"/>
  <c r="L1168" i="12"/>
  <c r="L1184" i="12"/>
  <c r="L1200" i="12"/>
  <c r="L1216" i="12"/>
  <c r="L1232" i="12"/>
  <c r="L1248" i="12"/>
  <c r="L1264" i="12"/>
  <c r="L1280" i="12"/>
  <c r="L1296" i="12"/>
  <c r="K1156" i="12"/>
  <c r="K1172" i="12"/>
  <c r="K1188" i="12"/>
  <c r="K1204" i="12"/>
  <c r="K1220" i="12"/>
  <c r="K1236" i="12"/>
  <c r="K1251" i="12"/>
  <c r="K1263" i="12"/>
  <c r="K1276" i="12"/>
  <c r="K1290" i="12"/>
  <c r="D1152" i="33"/>
  <c r="E1152" i="33" s="1"/>
  <c r="D1216" i="33"/>
  <c r="E1216" i="33" s="1"/>
  <c r="L1153" i="12"/>
  <c r="L1169" i="12"/>
  <c r="L1185" i="12"/>
  <c r="L1201" i="12"/>
  <c r="L1217" i="12"/>
  <c r="L1233" i="12"/>
  <c r="L1249" i="12"/>
  <c r="L1265" i="12"/>
  <c r="L1281" i="12"/>
  <c r="L1297" i="12"/>
  <c r="K1157" i="12"/>
  <c r="K1173" i="12"/>
  <c r="K1189" i="12"/>
  <c r="K1205" i="12"/>
  <c r="K1221" i="12"/>
  <c r="K1237" i="12"/>
  <c r="K1252" i="12"/>
  <c r="K1266" i="12"/>
  <c r="K1277" i="12"/>
  <c r="K1291" i="12"/>
  <c r="G974" i="33"/>
  <c r="F983" i="33"/>
  <c r="D1086" i="33"/>
  <c r="E1086" i="33" s="1"/>
  <c r="D1153" i="33"/>
  <c r="E1153" i="33" s="1"/>
  <c r="D1217" i="33"/>
  <c r="E1217" i="33" s="1"/>
  <c r="D863" i="33"/>
  <c r="E863" i="33" s="1"/>
  <c r="D1168" i="33"/>
  <c r="E1168" i="33" s="1"/>
  <c r="F1086" i="33"/>
  <c r="D950" i="33"/>
  <c r="E950" i="33" s="1"/>
  <c r="D1169" i="33"/>
  <c r="E1169" i="33" s="1"/>
  <c r="D1184" i="33"/>
  <c r="E1184" i="33" s="1"/>
  <c r="G1177" i="33"/>
  <c r="H1177" i="33" s="1"/>
  <c r="F1186" i="33"/>
  <c r="I1186" i="33" s="1"/>
  <c r="D886" i="33"/>
  <c r="E886" i="33" s="1"/>
  <c r="D1185" i="33"/>
  <c r="E1185" i="33" s="1"/>
  <c r="L1150" i="12"/>
  <c r="L1166" i="12"/>
  <c r="L1182" i="12"/>
  <c r="L1198" i="12"/>
  <c r="L1214" i="12"/>
  <c r="L1230" i="12"/>
  <c r="L1246" i="12"/>
  <c r="L1262" i="12"/>
  <c r="L1278" i="12"/>
  <c r="L1294" i="12"/>
  <c r="K1154" i="12"/>
  <c r="K1170" i="12"/>
  <c r="K1186" i="12"/>
  <c r="K1202" i="12"/>
  <c r="K1218" i="12"/>
  <c r="K1234" i="12"/>
  <c r="K1247" i="12"/>
  <c r="K1260" i="12"/>
  <c r="K1274" i="12"/>
  <c r="K1285" i="12"/>
  <c r="L1158" i="12"/>
  <c r="L1177" i="12"/>
  <c r="L1207" i="12"/>
  <c r="L1231" i="12"/>
  <c r="L1256" i="12"/>
  <c r="L1286" i="12"/>
  <c r="K1164" i="12"/>
  <c r="K1194" i="12"/>
  <c r="K1213" i="12"/>
  <c r="K1243" i="12"/>
  <c r="K1261" i="12"/>
  <c r="K1283" i="12"/>
  <c r="G1155" i="12"/>
  <c r="G1163" i="12"/>
  <c r="G1171" i="12"/>
  <c r="G1179" i="12"/>
  <c r="G1187" i="12"/>
  <c r="G1195" i="12"/>
  <c r="G1203" i="12"/>
  <c r="G1211" i="12"/>
  <c r="G1219" i="12"/>
  <c r="G1227" i="12"/>
  <c r="G1235" i="12"/>
  <c r="G1243" i="12"/>
  <c r="G1251" i="12"/>
  <c r="G1259" i="12"/>
  <c r="G1267" i="12"/>
  <c r="G1275" i="12"/>
  <c r="G1283" i="12"/>
  <c r="G1291" i="12"/>
  <c r="F1151" i="12"/>
  <c r="H1151" i="12" s="1"/>
  <c r="F1159" i="12"/>
  <c r="H1159" i="12" s="1"/>
  <c r="F1167" i="12"/>
  <c r="H1167" i="12" s="1"/>
  <c r="F1175" i="12"/>
  <c r="H1175" i="12" s="1"/>
  <c r="F1183" i="12"/>
  <c r="H1183" i="12" s="1"/>
  <c r="F1191" i="12"/>
  <c r="H1191" i="12" s="1"/>
  <c r="F1199" i="12"/>
  <c r="H1199" i="12" s="1"/>
  <c r="F1207" i="12"/>
  <c r="H1207" i="12" s="1"/>
  <c r="F1215" i="12"/>
  <c r="H1215" i="12" s="1"/>
  <c r="F1223" i="12"/>
  <c r="H1223" i="12" s="1"/>
  <c r="F1231" i="12"/>
  <c r="H1231" i="12" s="1"/>
  <c r="F1239" i="12"/>
  <c r="H1239" i="12" s="1"/>
  <c r="F1247" i="12"/>
  <c r="H1247" i="12" s="1"/>
  <c r="F1255" i="12"/>
  <c r="H1255" i="12" s="1"/>
  <c r="F1263" i="12"/>
  <c r="H1263" i="12" s="1"/>
  <c r="F1271" i="12"/>
  <c r="H1271" i="12" s="1"/>
  <c r="F1279" i="12"/>
  <c r="H1279" i="12" s="1"/>
  <c r="F1287" i="12"/>
  <c r="H1287" i="12" s="1"/>
  <c r="F1295" i="12"/>
  <c r="H1295" i="12" s="1"/>
  <c r="D1151" i="12"/>
  <c r="E1151" i="12" s="1"/>
  <c r="D1159" i="12"/>
  <c r="E1159" i="12" s="1"/>
  <c r="D1167" i="12"/>
  <c r="E1167" i="12" s="1"/>
  <c r="D1175" i="12"/>
  <c r="E1175" i="12" s="1"/>
  <c r="D1183" i="12"/>
  <c r="E1183" i="12" s="1"/>
  <c r="D1191" i="12"/>
  <c r="E1191" i="12" s="1"/>
  <c r="D1199" i="12"/>
  <c r="E1199" i="12" s="1"/>
  <c r="D1207" i="12"/>
  <c r="E1207" i="12" s="1"/>
  <c r="D1215" i="12"/>
  <c r="E1215" i="12" s="1"/>
  <c r="D1223" i="12"/>
  <c r="E1223" i="12" s="1"/>
  <c r="D1231" i="12"/>
  <c r="E1231" i="12" s="1"/>
  <c r="D1239" i="12"/>
  <c r="E1239" i="12" s="1"/>
  <c r="D1247" i="12"/>
  <c r="E1247" i="12" s="1"/>
  <c r="D1255" i="12"/>
  <c r="E1255" i="12" s="1"/>
  <c r="D1263" i="12"/>
  <c r="E1263" i="12" s="1"/>
  <c r="D1271" i="12"/>
  <c r="E1271" i="12" s="1"/>
  <c r="D1279" i="12"/>
  <c r="E1279" i="12" s="1"/>
  <c r="D1287" i="12"/>
  <c r="E1287" i="12" s="1"/>
  <c r="D1295" i="12"/>
  <c r="E1295" i="12" s="1"/>
  <c r="L1159" i="12"/>
  <c r="L1183" i="12"/>
  <c r="L1208" i="12"/>
  <c r="L1238" i="12"/>
  <c r="L1257" i="12"/>
  <c r="L1287" i="12"/>
  <c r="K1165" i="12"/>
  <c r="K1195" i="12"/>
  <c r="K1219" i="12"/>
  <c r="K1244" i="12"/>
  <c r="K1267" i="12"/>
  <c r="K1284" i="12"/>
  <c r="G1156" i="12"/>
  <c r="G1164" i="12"/>
  <c r="G1172" i="12"/>
  <c r="G1180" i="12"/>
  <c r="G1188" i="12"/>
  <c r="G1196" i="12"/>
  <c r="G1204" i="12"/>
  <c r="G1212" i="12"/>
  <c r="G1220" i="12"/>
  <c r="G1228" i="12"/>
  <c r="G1236" i="12"/>
  <c r="G1244" i="12"/>
  <c r="G1252" i="12"/>
  <c r="G1260" i="12"/>
  <c r="G1268" i="12"/>
  <c r="G1276" i="12"/>
  <c r="G1284" i="12"/>
  <c r="G1292" i="12"/>
  <c r="F1152" i="12"/>
  <c r="H1152" i="12" s="1"/>
  <c r="F1160" i="12"/>
  <c r="H1160" i="12" s="1"/>
  <c r="F1168" i="12"/>
  <c r="H1168" i="12" s="1"/>
  <c r="F1176" i="12"/>
  <c r="H1176" i="12" s="1"/>
  <c r="F1184" i="12"/>
  <c r="H1184" i="12" s="1"/>
  <c r="F1192" i="12"/>
  <c r="H1192" i="12" s="1"/>
  <c r="F1200" i="12"/>
  <c r="H1200" i="12" s="1"/>
  <c r="F1208" i="12"/>
  <c r="H1208" i="12" s="1"/>
  <c r="F1216" i="12"/>
  <c r="H1216" i="12" s="1"/>
  <c r="F1224" i="12"/>
  <c r="H1224" i="12" s="1"/>
  <c r="D905" i="33"/>
  <c r="E905" i="33" s="1"/>
  <c r="L1160" i="12"/>
  <c r="L1190" i="12"/>
  <c r="L1209" i="12"/>
  <c r="L1239" i="12"/>
  <c r="L1263" i="12"/>
  <c r="L1288" i="12"/>
  <c r="K1171" i="12"/>
  <c r="K1196" i="12"/>
  <c r="K1226" i="12"/>
  <c r="K1245" i="12"/>
  <c r="K1268" i="12"/>
  <c r="K1287" i="12"/>
  <c r="G1149" i="12"/>
  <c r="G1157" i="12"/>
  <c r="G1165" i="12"/>
  <c r="G1173" i="12"/>
  <c r="G1181" i="12"/>
  <c r="G1189" i="12"/>
  <c r="G1197" i="12"/>
  <c r="G1205" i="12"/>
  <c r="G1213" i="12"/>
  <c r="G1221" i="12"/>
  <c r="G1229" i="12"/>
  <c r="G1237" i="12"/>
  <c r="G1245" i="12"/>
  <c r="G1253" i="12"/>
  <c r="G1261" i="12"/>
  <c r="G1269" i="12"/>
  <c r="G1277" i="12"/>
  <c r="G1285" i="12"/>
  <c r="G1293" i="12"/>
  <c r="F1153" i="12"/>
  <c r="H1153" i="12" s="1"/>
  <c r="F1161" i="12"/>
  <c r="H1161" i="12" s="1"/>
  <c r="F1169" i="12"/>
  <c r="H1169" i="12" s="1"/>
  <c r="F1177" i="12"/>
  <c r="H1177" i="12" s="1"/>
  <c r="F1185" i="12"/>
  <c r="H1185" i="12" s="1"/>
  <c r="F1193" i="12"/>
  <c r="H1193" i="12" s="1"/>
  <c r="F1201" i="12"/>
  <c r="H1201" i="12" s="1"/>
  <c r="F1209" i="12"/>
  <c r="H1209" i="12" s="1"/>
  <c r="F1217" i="12"/>
  <c r="H1217" i="12" s="1"/>
  <c r="F1225" i="12"/>
  <c r="H1225" i="12" s="1"/>
  <c r="F1233" i="12"/>
  <c r="H1233" i="12" s="1"/>
  <c r="F1241" i="12"/>
  <c r="H1241" i="12" s="1"/>
  <c r="F1249" i="12"/>
  <c r="H1249" i="12" s="1"/>
  <c r="F1257" i="12"/>
  <c r="H1257" i="12" s="1"/>
  <c r="F1265" i="12"/>
  <c r="H1265" i="12" s="1"/>
  <c r="F1273" i="12"/>
  <c r="H1273" i="12" s="1"/>
  <c r="F1281" i="12"/>
  <c r="H1281" i="12" s="1"/>
  <c r="F1289" i="12"/>
  <c r="H1289" i="12" s="1"/>
  <c r="F1297" i="12"/>
  <c r="H1297" i="12" s="1"/>
  <c r="L1161" i="12"/>
  <c r="L1191" i="12"/>
  <c r="L1215" i="12"/>
  <c r="L1240" i="12"/>
  <c r="L1270" i="12"/>
  <c r="L1289" i="12"/>
  <c r="K1178" i="12"/>
  <c r="K1197" i="12"/>
  <c r="K1227" i="12"/>
  <c r="K1250" i="12"/>
  <c r="K1269" i="12"/>
  <c r="L1167" i="12"/>
  <c r="L1192" i="12"/>
  <c r="L1222" i="12"/>
  <c r="L1241" i="12"/>
  <c r="L1271" i="12"/>
  <c r="L1295" i="12"/>
  <c r="K1149" i="12"/>
  <c r="K1179" i="12"/>
  <c r="K1203" i="12"/>
  <c r="K1228" i="12"/>
  <c r="K1253" i="12"/>
  <c r="K1271" i="12"/>
  <c r="K1293" i="12"/>
  <c r="L1174" i="12"/>
  <c r="L1193" i="12"/>
  <c r="L1223" i="12"/>
  <c r="L1247" i="12"/>
  <c r="L1272" i="12"/>
  <c r="K1155" i="12"/>
  <c r="K1180" i="12"/>
  <c r="K1210" i="12"/>
  <c r="K1229" i="12"/>
  <c r="K1255" i="12"/>
  <c r="K1275" i="12"/>
  <c r="K1295" i="12"/>
  <c r="F830" i="33"/>
  <c r="D1200" i="33"/>
  <c r="E1200" i="33" s="1"/>
  <c r="L1175" i="12"/>
  <c r="L1199" i="12"/>
  <c r="L1224" i="12"/>
  <c r="L1254" i="12"/>
  <c r="L1273" i="12"/>
  <c r="K1162" i="12"/>
  <c r="K1181" i="12"/>
  <c r="K1211" i="12"/>
  <c r="K1235" i="12"/>
  <c r="K1258" i="12"/>
  <c r="K1279" i="12"/>
  <c r="L1151" i="12"/>
  <c r="L1176" i="12"/>
  <c r="L1206" i="12"/>
  <c r="L1225" i="12"/>
  <c r="L1255" i="12"/>
  <c r="L1279" i="12"/>
  <c r="K1163" i="12"/>
  <c r="K1187" i="12"/>
  <c r="K1212" i="12"/>
  <c r="K1242" i="12"/>
  <c r="K1259" i="12"/>
  <c r="K1282" i="12"/>
  <c r="G1154" i="12"/>
  <c r="G1162" i="12"/>
  <c r="G1170" i="12"/>
  <c r="G1178" i="12"/>
  <c r="G1186" i="12"/>
  <c r="G1194" i="12"/>
  <c r="G1202" i="12"/>
  <c r="G1210" i="12"/>
  <c r="G1218" i="12"/>
  <c r="G1226" i="12"/>
  <c r="G1234" i="12"/>
  <c r="G1242" i="12"/>
  <c r="G1250" i="12"/>
  <c r="G1258" i="12"/>
  <c r="G1266" i="12"/>
  <c r="G1274" i="12"/>
  <c r="G1282" i="12"/>
  <c r="G1290" i="12"/>
  <c r="F1150" i="12"/>
  <c r="H1150" i="12" s="1"/>
  <c r="F1158" i="12"/>
  <c r="H1158" i="12" s="1"/>
  <c r="F1166" i="12"/>
  <c r="H1166" i="12" s="1"/>
  <c r="F1174" i="12"/>
  <c r="H1174" i="12" s="1"/>
  <c r="F1182" i="12"/>
  <c r="H1182" i="12" s="1"/>
  <c r="F1190" i="12"/>
  <c r="H1190" i="12" s="1"/>
  <c r="F1198" i="12"/>
  <c r="H1198" i="12" s="1"/>
  <c r="F1206" i="12"/>
  <c r="H1206" i="12" s="1"/>
  <c r="F1214" i="12"/>
  <c r="H1214" i="12" s="1"/>
  <c r="F1222" i="12"/>
  <c r="H1222" i="12" s="1"/>
  <c r="F1230" i="12"/>
  <c r="H1230" i="12" s="1"/>
  <c r="F1238" i="12"/>
  <c r="H1238" i="12" s="1"/>
  <c r="F1246" i="12"/>
  <c r="H1246" i="12" s="1"/>
  <c r="F1254" i="12"/>
  <c r="H1254" i="12" s="1"/>
  <c r="F1262" i="12"/>
  <c r="H1262" i="12" s="1"/>
  <c r="F1270" i="12"/>
  <c r="H1270" i="12" s="1"/>
  <c r="F1278" i="12"/>
  <c r="H1278" i="12" s="1"/>
  <c r="F1286" i="12"/>
  <c r="H1286" i="12" s="1"/>
  <c r="G1159" i="12"/>
  <c r="G1175" i="12"/>
  <c r="G1191" i="12"/>
  <c r="G1207" i="12"/>
  <c r="G1223" i="12"/>
  <c r="G1239" i="12"/>
  <c r="G1255" i="12"/>
  <c r="G1271" i="12"/>
  <c r="G1287" i="12"/>
  <c r="F1163" i="12"/>
  <c r="H1163" i="12" s="1"/>
  <c r="F1179" i="12"/>
  <c r="H1179" i="12" s="1"/>
  <c r="F1195" i="12"/>
  <c r="H1195" i="12" s="1"/>
  <c r="F1211" i="12"/>
  <c r="H1211" i="12" s="1"/>
  <c r="F1227" i="12"/>
  <c r="F1240" i="12"/>
  <c r="H1240" i="12" s="1"/>
  <c r="F1252" i="12"/>
  <c r="H1252" i="12" s="1"/>
  <c r="F1266" i="12"/>
  <c r="H1266" i="12" s="1"/>
  <c r="F1277" i="12"/>
  <c r="F1291" i="12"/>
  <c r="H1291" i="12" s="1"/>
  <c r="D1152" i="12"/>
  <c r="E1152" i="12" s="1"/>
  <c r="D1161" i="12"/>
  <c r="E1161" i="12" s="1"/>
  <c r="D1170" i="12"/>
  <c r="E1170" i="12" s="1"/>
  <c r="D1179" i="12"/>
  <c r="E1179" i="12" s="1"/>
  <c r="D1188" i="12"/>
  <c r="E1188" i="12" s="1"/>
  <c r="D1197" i="12"/>
  <c r="E1197" i="12" s="1"/>
  <c r="D1206" i="12"/>
  <c r="E1206" i="12" s="1"/>
  <c r="D1216" i="12"/>
  <c r="E1216" i="12" s="1"/>
  <c r="D1225" i="12"/>
  <c r="E1225" i="12" s="1"/>
  <c r="D1234" i="12"/>
  <c r="E1234" i="12" s="1"/>
  <c r="D1243" i="12"/>
  <c r="E1243" i="12" s="1"/>
  <c r="D1252" i="12"/>
  <c r="E1252" i="12" s="1"/>
  <c r="D1261" i="12"/>
  <c r="E1261" i="12" s="1"/>
  <c r="D1270" i="12"/>
  <c r="E1270" i="12" s="1"/>
  <c r="D1280" i="12"/>
  <c r="E1280" i="12" s="1"/>
  <c r="D1289" i="12"/>
  <c r="E1289" i="12" s="1"/>
  <c r="G1160" i="12"/>
  <c r="G1176" i="12"/>
  <c r="G1192" i="12"/>
  <c r="G1208" i="12"/>
  <c r="G1224" i="12"/>
  <c r="G1240" i="12"/>
  <c r="G1256" i="12"/>
  <c r="G1272" i="12"/>
  <c r="G1288" i="12"/>
  <c r="F1164" i="12"/>
  <c r="H1164" i="12" s="1"/>
  <c r="F1180" i="12"/>
  <c r="H1180" i="12" s="1"/>
  <c r="F1196" i="12"/>
  <c r="H1196" i="12" s="1"/>
  <c r="F1212" i="12"/>
  <c r="F1228" i="12"/>
  <c r="H1228" i="12" s="1"/>
  <c r="F1242" i="12"/>
  <c r="H1242" i="12" s="1"/>
  <c r="F1253" i="12"/>
  <c r="H1253" i="12" s="1"/>
  <c r="F1267" i="12"/>
  <c r="H1267" i="12" s="1"/>
  <c r="F1280" i="12"/>
  <c r="H1280" i="12" s="1"/>
  <c r="F1292" i="12"/>
  <c r="H1292" i="12" s="1"/>
  <c r="D1153" i="12"/>
  <c r="E1153" i="12" s="1"/>
  <c r="D1162" i="12"/>
  <c r="E1162" i="12" s="1"/>
  <c r="D1171" i="12"/>
  <c r="E1171" i="12" s="1"/>
  <c r="D1180" i="12"/>
  <c r="E1180" i="12" s="1"/>
  <c r="D1189" i="12"/>
  <c r="E1189" i="12" s="1"/>
  <c r="D1198" i="12"/>
  <c r="E1198" i="12" s="1"/>
  <c r="D1208" i="12"/>
  <c r="E1208" i="12" s="1"/>
  <c r="D1217" i="12"/>
  <c r="E1217" i="12" s="1"/>
  <c r="D1226" i="12"/>
  <c r="E1226" i="12" s="1"/>
  <c r="D1235" i="12"/>
  <c r="E1235" i="12" s="1"/>
  <c r="D1244" i="12"/>
  <c r="E1244" i="12" s="1"/>
  <c r="D1253" i="12"/>
  <c r="E1253" i="12" s="1"/>
  <c r="D1262" i="12"/>
  <c r="E1262" i="12" s="1"/>
  <c r="D1272" i="12"/>
  <c r="E1272" i="12" s="1"/>
  <c r="D1281" i="12"/>
  <c r="E1281" i="12" s="1"/>
  <c r="D1290" i="12"/>
  <c r="E1290" i="12" s="1"/>
  <c r="G1161" i="12"/>
  <c r="G1177" i="12"/>
  <c r="G1193" i="12"/>
  <c r="G1209" i="12"/>
  <c r="G1225" i="12"/>
  <c r="G1241" i="12"/>
  <c r="G1257" i="12"/>
  <c r="G1273" i="12"/>
  <c r="G1289" i="12"/>
  <c r="F1149" i="12"/>
  <c r="H1149" i="12" s="1"/>
  <c r="F1165" i="12"/>
  <c r="H1165" i="12" s="1"/>
  <c r="F1181" i="12"/>
  <c r="H1181" i="12" s="1"/>
  <c r="F1197" i="12"/>
  <c r="H1197" i="12" s="1"/>
  <c r="F1213" i="12"/>
  <c r="H1213" i="12" s="1"/>
  <c r="F1229" i="12"/>
  <c r="H1229" i="12" s="1"/>
  <c r="F1243" i="12"/>
  <c r="H1243" i="12" s="1"/>
  <c r="F1256" i="12"/>
  <c r="H1256" i="12" s="1"/>
  <c r="F1268" i="12"/>
  <c r="H1268" i="12" s="1"/>
  <c r="F1282" i="12"/>
  <c r="H1282" i="12" s="1"/>
  <c r="F1293" i="12"/>
  <c r="H1293" i="12" s="1"/>
  <c r="D1154" i="12"/>
  <c r="E1154" i="12" s="1"/>
  <c r="D1163" i="12"/>
  <c r="E1163" i="12" s="1"/>
  <c r="D1172" i="12"/>
  <c r="E1172" i="12" s="1"/>
  <c r="D1181" i="12"/>
  <c r="E1181" i="12" s="1"/>
  <c r="D1190" i="12"/>
  <c r="E1190" i="12" s="1"/>
  <c r="D1200" i="12"/>
  <c r="E1200" i="12" s="1"/>
  <c r="D1209" i="12"/>
  <c r="E1209" i="12" s="1"/>
  <c r="D1218" i="12"/>
  <c r="E1218" i="12" s="1"/>
  <c r="D1227" i="12"/>
  <c r="E1227" i="12" s="1"/>
  <c r="D1236" i="12"/>
  <c r="E1236" i="12" s="1"/>
  <c r="D1245" i="12"/>
  <c r="E1245" i="12" s="1"/>
  <c r="D1254" i="12"/>
  <c r="E1254" i="12" s="1"/>
  <c r="D1264" i="12"/>
  <c r="E1264" i="12" s="1"/>
  <c r="D1273" i="12"/>
  <c r="E1273" i="12" s="1"/>
  <c r="D1282" i="12"/>
  <c r="E1282" i="12" s="1"/>
  <c r="D1291" i="12"/>
  <c r="E1291" i="12" s="1"/>
  <c r="G1150" i="12"/>
  <c r="G1166" i="12"/>
  <c r="G1182" i="12"/>
  <c r="G1198" i="12"/>
  <c r="G1214" i="12"/>
  <c r="G1230" i="12"/>
  <c r="G1246" i="12"/>
  <c r="G1262" i="12"/>
  <c r="G1278" i="12"/>
  <c r="G1151" i="12"/>
  <c r="G1167" i="12"/>
  <c r="G1183" i="12"/>
  <c r="G1199" i="12"/>
  <c r="G1215" i="12"/>
  <c r="G1231" i="12"/>
  <c r="G1247" i="12"/>
  <c r="G1263" i="12"/>
  <c r="G1279" i="12"/>
  <c r="G1295" i="12"/>
  <c r="G1152" i="12"/>
  <c r="G1168" i="12"/>
  <c r="G1184" i="12"/>
  <c r="G1200" i="12"/>
  <c r="G1216" i="12"/>
  <c r="G1232" i="12"/>
  <c r="G1248" i="12"/>
  <c r="G1264" i="12"/>
  <c r="G1280" i="12"/>
  <c r="G1296" i="12"/>
  <c r="K1292" i="12"/>
  <c r="G1153" i="12"/>
  <c r="G1169" i="12"/>
  <c r="G1185" i="12"/>
  <c r="G1201" i="12"/>
  <c r="G1217" i="12"/>
  <c r="G1233" i="12"/>
  <c r="G1249" i="12"/>
  <c r="G1265" i="12"/>
  <c r="G1281" i="12"/>
  <c r="G1297" i="12"/>
  <c r="G1158" i="12"/>
  <c r="G1174" i="12"/>
  <c r="G1190" i="12"/>
  <c r="G1206" i="12"/>
  <c r="G1222" i="12"/>
  <c r="G1238" i="12"/>
  <c r="G1254" i="12"/>
  <c r="G1270" i="12"/>
  <c r="G1286" i="12"/>
  <c r="F1162" i="12"/>
  <c r="H1162" i="12" s="1"/>
  <c r="F1178" i="12"/>
  <c r="H1178" i="12" s="1"/>
  <c r="F1194" i="12"/>
  <c r="H1194" i="12" s="1"/>
  <c r="F1210" i="12"/>
  <c r="H1210" i="12" s="1"/>
  <c r="F1226" i="12"/>
  <c r="H1226" i="12" s="1"/>
  <c r="F1237" i="12"/>
  <c r="H1237" i="12" s="1"/>
  <c r="F1251" i="12"/>
  <c r="H1251" i="12" s="1"/>
  <c r="F1264" i="12"/>
  <c r="H1264" i="12" s="1"/>
  <c r="F1276" i="12"/>
  <c r="H1276" i="12" s="1"/>
  <c r="F1290" i="12"/>
  <c r="H1290" i="12" s="1"/>
  <c r="D1150" i="12"/>
  <c r="E1150" i="12" s="1"/>
  <c r="D1160" i="12"/>
  <c r="E1160" i="12" s="1"/>
  <c r="D1169" i="12"/>
  <c r="E1169" i="12" s="1"/>
  <c r="D1178" i="12"/>
  <c r="E1178" i="12" s="1"/>
  <c r="D1187" i="12"/>
  <c r="E1187" i="12" s="1"/>
  <c r="D1196" i="12"/>
  <c r="E1196" i="12" s="1"/>
  <c r="D1205" i="12"/>
  <c r="E1205" i="12" s="1"/>
  <c r="D1214" i="12"/>
  <c r="E1214" i="12" s="1"/>
  <c r="D1224" i="12"/>
  <c r="E1224" i="12" s="1"/>
  <c r="D1233" i="12"/>
  <c r="E1233" i="12" s="1"/>
  <c r="D1242" i="12"/>
  <c r="E1242" i="12" s="1"/>
  <c r="D1251" i="12"/>
  <c r="E1251" i="12" s="1"/>
  <c r="D1260" i="12"/>
  <c r="E1260" i="12" s="1"/>
  <c r="D1269" i="12"/>
  <c r="E1269" i="12" s="1"/>
  <c r="D1278" i="12"/>
  <c r="E1278" i="12" s="1"/>
  <c r="D1288" i="12"/>
  <c r="E1288" i="12" s="1"/>
  <c r="D1297" i="12"/>
  <c r="E1297" i="12" s="1"/>
  <c r="F1156" i="12"/>
  <c r="H1156" i="12" s="1"/>
  <c r="F1188" i="12"/>
  <c r="H1188" i="12" s="1"/>
  <c r="F1220" i="12"/>
  <c r="F1248" i="12"/>
  <c r="H1248" i="12" s="1"/>
  <c r="F1274" i="12"/>
  <c r="H1274" i="12" s="1"/>
  <c r="D1157" i="12"/>
  <c r="E1157" i="12" s="1"/>
  <c r="D1176" i="12"/>
  <c r="E1176" i="12" s="1"/>
  <c r="D1194" i="12"/>
  <c r="E1194" i="12" s="1"/>
  <c r="D1212" i="12"/>
  <c r="E1212" i="12" s="1"/>
  <c r="D1230" i="12"/>
  <c r="E1230" i="12" s="1"/>
  <c r="D1249" i="12"/>
  <c r="E1249" i="12" s="1"/>
  <c r="D1267" i="12"/>
  <c r="E1267" i="12" s="1"/>
  <c r="D1285" i="12"/>
  <c r="E1285" i="12" s="1"/>
  <c r="K1151" i="7"/>
  <c r="K1159" i="7"/>
  <c r="K1167" i="7"/>
  <c r="K1175" i="7"/>
  <c r="K1183" i="7"/>
  <c r="K1191" i="7"/>
  <c r="K1199" i="7"/>
  <c r="K1207" i="7"/>
  <c r="K1215" i="7"/>
  <c r="K1223" i="7"/>
  <c r="K1231" i="7"/>
  <c r="K1239" i="7"/>
  <c r="K1247" i="7"/>
  <c r="K1255" i="7"/>
  <c r="K1263" i="7"/>
  <c r="K1271" i="7"/>
  <c r="K1279" i="7"/>
  <c r="K1287" i="7"/>
  <c r="K1295" i="7"/>
  <c r="G1151" i="7"/>
  <c r="G1159" i="7"/>
  <c r="G1167" i="7"/>
  <c r="G1175" i="7"/>
  <c r="G1183" i="7"/>
  <c r="G1191" i="7"/>
  <c r="G1199" i="7"/>
  <c r="G1207" i="7"/>
  <c r="G1215" i="7"/>
  <c r="G1223" i="7"/>
  <c r="G1231" i="7"/>
  <c r="G1239" i="7"/>
  <c r="G1247" i="7"/>
  <c r="G1255" i="7"/>
  <c r="G1263" i="7"/>
  <c r="G1271" i="7"/>
  <c r="G1279" i="7"/>
  <c r="G1287" i="7"/>
  <c r="G1295" i="7"/>
  <c r="F1155" i="7"/>
  <c r="H1155" i="7" s="1"/>
  <c r="F1163" i="7"/>
  <c r="H1163" i="7" s="1"/>
  <c r="F1171" i="7"/>
  <c r="H1171" i="7" s="1"/>
  <c r="F1179" i="7"/>
  <c r="H1179" i="7" s="1"/>
  <c r="F1187" i="7"/>
  <c r="H1187" i="7" s="1"/>
  <c r="F1195" i="7"/>
  <c r="H1195" i="7" s="1"/>
  <c r="F1203" i="7"/>
  <c r="H1203" i="7" s="1"/>
  <c r="F1211" i="7"/>
  <c r="H1211" i="7" s="1"/>
  <c r="F1219" i="7"/>
  <c r="H1219" i="7" s="1"/>
  <c r="F1227" i="7"/>
  <c r="H1227" i="7" s="1"/>
  <c r="F1235" i="7"/>
  <c r="H1235" i="7" s="1"/>
  <c r="F1243" i="7"/>
  <c r="H1243" i="7" s="1"/>
  <c r="F1251" i="7"/>
  <c r="H1251" i="7" s="1"/>
  <c r="F1259" i="7"/>
  <c r="H1259" i="7" s="1"/>
  <c r="F1267" i="7"/>
  <c r="H1267" i="7" s="1"/>
  <c r="F1275" i="7"/>
  <c r="H1275" i="7" s="1"/>
  <c r="F1283" i="7"/>
  <c r="H1283" i="7" s="1"/>
  <c r="F1291" i="7"/>
  <c r="H1291" i="7" s="1"/>
  <c r="D1155" i="7"/>
  <c r="E1155" i="7" s="1"/>
  <c r="D1163" i="7"/>
  <c r="E1163" i="7" s="1"/>
  <c r="D1171" i="7"/>
  <c r="E1171" i="7" s="1"/>
  <c r="D1179" i="7"/>
  <c r="E1179" i="7" s="1"/>
  <c r="D1187" i="7"/>
  <c r="E1187" i="7" s="1"/>
  <c r="D1195" i="7"/>
  <c r="E1195" i="7" s="1"/>
  <c r="D1203" i="7"/>
  <c r="E1203" i="7" s="1"/>
  <c r="D1211" i="7"/>
  <c r="E1211" i="7" s="1"/>
  <c r="D1219" i="7"/>
  <c r="E1219" i="7" s="1"/>
  <c r="D1227" i="7"/>
  <c r="E1227" i="7" s="1"/>
  <c r="D1235" i="7"/>
  <c r="E1235" i="7" s="1"/>
  <c r="D1243" i="7"/>
  <c r="E1243" i="7" s="1"/>
  <c r="D1251" i="7"/>
  <c r="E1251" i="7" s="1"/>
  <c r="D1259" i="7"/>
  <c r="E1259" i="7" s="1"/>
  <c r="D1267" i="7"/>
  <c r="E1267" i="7" s="1"/>
  <c r="D1275" i="7"/>
  <c r="E1275" i="7" s="1"/>
  <c r="D1283" i="7"/>
  <c r="E1283" i="7" s="1"/>
  <c r="D1291" i="7"/>
  <c r="E1291" i="7" s="1"/>
  <c r="F1157" i="12"/>
  <c r="H1157" i="12" s="1"/>
  <c r="F1189" i="12"/>
  <c r="F1221" i="12"/>
  <c r="H1221" i="12" s="1"/>
  <c r="F1250" i="12"/>
  <c r="F1275" i="12"/>
  <c r="H1275" i="12" s="1"/>
  <c r="D1158" i="12"/>
  <c r="E1158" i="12" s="1"/>
  <c r="D1177" i="12"/>
  <c r="E1177" i="12" s="1"/>
  <c r="D1195" i="12"/>
  <c r="E1195" i="12" s="1"/>
  <c r="D1213" i="12"/>
  <c r="E1213" i="12" s="1"/>
  <c r="D1232" i="12"/>
  <c r="E1232" i="12" s="1"/>
  <c r="D1250" i="12"/>
  <c r="E1250" i="12" s="1"/>
  <c r="D1268" i="12"/>
  <c r="E1268" i="12" s="1"/>
  <c r="D1286" i="12"/>
  <c r="E1286" i="12" s="1"/>
  <c r="K1152" i="7"/>
  <c r="K1160" i="7"/>
  <c r="K1168" i="7"/>
  <c r="K1176" i="7"/>
  <c r="K1184" i="7"/>
  <c r="K1192" i="7"/>
  <c r="K1200" i="7"/>
  <c r="K1208" i="7"/>
  <c r="K1216" i="7"/>
  <c r="K1224" i="7"/>
  <c r="K1232" i="7"/>
  <c r="K1240" i="7"/>
  <c r="K1248" i="7"/>
  <c r="K1256" i="7"/>
  <c r="K1264" i="7"/>
  <c r="K1272" i="7"/>
  <c r="K1280" i="7"/>
  <c r="K1288" i="7"/>
  <c r="K1296" i="7"/>
  <c r="G1152" i="7"/>
  <c r="G1160" i="7"/>
  <c r="G1168" i="7"/>
  <c r="G1176" i="7"/>
  <c r="G1184" i="7"/>
  <c r="G1192" i="7"/>
  <c r="G1200" i="7"/>
  <c r="G1208" i="7"/>
  <c r="G1216" i="7"/>
  <c r="G1224" i="7"/>
  <c r="G1232" i="7"/>
  <c r="G1240" i="7"/>
  <c r="G1248" i="7"/>
  <c r="G1256" i="7"/>
  <c r="G1264" i="7"/>
  <c r="G1272" i="7"/>
  <c r="G1280" i="7"/>
  <c r="G1288" i="7"/>
  <c r="G1296" i="7"/>
  <c r="F1156" i="7"/>
  <c r="H1156" i="7" s="1"/>
  <c r="F1164" i="7"/>
  <c r="H1164" i="7" s="1"/>
  <c r="F1172" i="7"/>
  <c r="H1172" i="7" s="1"/>
  <c r="F1180" i="7"/>
  <c r="H1180" i="7" s="1"/>
  <c r="F1188" i="7"/>
  <c r="H1188" i="7" s="1"/>
  <c r="F1196" i="7"/>
  <c r="H1196" i="7" s="1"/>
  <c r="F1204" i="7"/>
  <c r="H1204" i="7" s="1"/>
  <c r="F1212" i="7"/>
  <c r="H1212" i="7" s="1"/>
  <c r="F1220" i="7"/>
  <c r="H1220" i="7" s="1"/>
  <c r="F1228" i="7"/>
  <c r="H1228" i="7" s="1"/>
  <c r="F1236" i="7"/>
  <c r="H1236" i="7" s="1"/>
  <c r="F1244" i="7"/>
  <c r="H1244" i="7" s="1"/>
  <c r="F1252" i="7"/>
  <c r="H1252" i="7" s="1"/>
  <c r="F1260" i="7"/>
  <c r="H1260" i="7" s="1"/>
  <c r="F1268" i="7"/>
  <c r="H1268" i="7" s="1"/>
  <c r="F1276" i="7"/>
  <c r="H1276" i="7" s="1"/>
  <c r="F1284" i="7"/>
  <c r="H1284" i="7" s="1"/>
  <c r="F1292" i="7"/>
  <c r="H1292" i="7" s="1"/>
  <c r="D1156" i="7"/>
  <c r="E1156" i="7" s="1"/>
  <c r="D1164" i="7"/>
  <c r="E1164" i="7" s="1"/>
  <c r="D1172" i="7"/>
  <c r="E1172" i="7" s="1"/>
  <c r="D1180" i="7"/>
  <c r="E1180" i="7" s="1"/>
  <c r="D1188" i="7"/>
  <c r="E1188" i="7" s="1"/>
  <c r="D1196" i="7"/>
  <c r="E1196" i="7" s="1"/>
  <c r="D1204" i="7"/>
  <c r="E1204" i="7" s="1"/>
  <c r="D1212" i="7"/>
  <c r="E1212" i="7" s="1"/>
  <c r="D1220" i="7"/>
  <c r="E1220" i="7" s="1"/>
  <c r="D1228" i="7"/>
  <c r="E1228" i="7" s="1"/>
  <c r="D1236" i="7"/>
  <c r="E1236" i="7" s="1"/>
  <c r="D1244" i="7"/>
  <c r="E1244" i="7" s="1"/>
  <c r="D1252" i="7"/>
  <c r="E1252" i="7" s="1"/>
  <c r="D1260" i="7"/>
  <c r="E1260" i="7" s="1"/>
  <c r="D1268" i="7"/>
  <c r="E1268" i="7" s="1"/>
  <c r="D1276" i="7"/>
  <c r="E1276" i="7" s="1"/>
  <c r="D1284" i="7"/>
  <c r="E1284" i="7" s="1"/>
  <c r="D1292" i="7"/>
  <c r="E1292" i="7" s="1"/>
  <c r="F1170" i="12"/>
  <c r="H1170" i="12" s="1"/>
  <c r="F1202" i="12"/>
  <c r="H1202" i="12" s="1"/>
  <c r="F1232" i="12"/>
  <c r="H1232" i="12" s="1"/>
  <c r="F1258" i="12"/>
  <c r="H1258" i="12" s="1"/>
  <c r="F1283" i="12"/>
  <c r="H1283" i="12" s="1"/>
  <c r="D1164" i="12"/>
  <c r="E1164" i="12" s="1"/>
  <c r="D1182" i="12"/>
  <c r="E1182" i="12" s="1"/>
  <c r="D1201" i="12"/>
  <c r="E1201" i="12" s="1"/>
  <c r="D1219" i="12"/>
  <c r="E1219" i="12" s="1"/>
  <c r="D1237" i="12"/>
  <c r="E1237" i="12" s="1"/>
  <c r="D1256" i="12"/>
  <c r="E1256" i="12" s="1"/>
  <c r="D1274" i="12"/>
  <c r="E1274" i="12" s="1"/>
  <c r="D1292" i="12"/>
  <c r="E1292" i="12" s="1"/>
  <c r="K1153" i="7"/>
  <c r="K1161" i="7"/>
  <c r="K1169" i="7"/>
  <c r="K1177" i="7"/>
  <c r="K1185" i="7"/>
  <c r="K1193" i="7"/>
  <c r="K1201" i="7"/>
  <c r="K1209" i="7"/>
  <c r="K1217" i="7"/>
  <c r="K1225" i="7"/>
  <c r="K1233" i="7"/>
  <c r="K1241" i="7"/>
  <c r="K1249" i="7"/>
  <c r="K1257" i="7"/>
  <c r="K1265" i="7"/>
  <c r="K1273" i="7"/>
  <c r="K1281" i="7"/>
  <c r="K1289" i="7"/>
  <c r="K1297" i="7"/>
  <c r="G1153" i="7"/>
  <c r="G1161" i="7"/>
  <c r="G1169" i="7"/>
  <c r="G1177" i="7"/>
  <c r="G1185" i="7"/>
  <c r="G1193" i="7"/>
  <c r="G1201" i="7"/>
  <c r="G1209" i="7"/>
  <c r="G1217" i="7"/>
  <c r="G1225" i="7"/>
  <c r="G1233" i="7"/>
  <c r="G1241" i="7"/>
  <c r="G1249" i="7"/>
  <c r="G1257" i="7"/>
  <c r="G1265" i="7"/>
  <c r="G1273" i="7"/>
  <c r="G1281" i="7"/>
  <c r="G1289" i="7"/>
  <c r="G1297" i="7"/>
  <c r="F1149" i="7"/>
  <c r="H1149" i="7" s="1"/>
  <c r="F1157" i="7"/>
  <c r="H1157" i="7" s="1"/>
  <c r="F1165" i="7"/>
  <c r="H1165" i="7" s="1"/>
  <c r="F1173" i="7"/>
  <c r="H1173" i="7" s="1"/>
  <c r="F1181" i="7"/>
  <c r="H1181" i="7" s="1"/>
  <c r="F1189" i="7"/>
  <c r="H1189" i="7" s="1"/>
  <c r="F1197" i="7"/>
  <c r="H1197" i="7" s="1"/>
  <c r="F1205" i="7"/>
  <c r="H1205" i="7" s="1"/>
  <c r="F1213" i="7"/>
  <c r="H1213" i="7" s="1"/>
  <c r="F1221" i="7"/>
  <c r="H1221" i="7" s="1"/>
  <c r="F1229" i="7"/>
  <c r="H1229" i="7" s="1"/>
  <c r="F1237" i="7"/>
  <c r="H1237" i="7" s="1"/>
  <c r="F1245" i="7"/>
  <c r="H1245" i="7" s="1"/>
  <c r="F1253" i="7"/>
  <c r="H1253" i="7" s="1"/>
  <c r="F1261" i="7"/>
  <c r="H1261" i="7" s="1"/>
  <c r="F1269" i="7"/>
  <c r="H1269" i="7" s="1"/>
  <c r="F1277" i="7"/>
  <c r="H1277" i="7" s="1"/>
  <c r="F1285" i="7"/>
  <c r="H1285" i="7" s="1"/>
  <c r="F1293" i="7"/>
  <c r="H1293" i="7" s="1"/>
  <c r="D1149" i="7"/>
  <c r="E1149" i="7" s="1"/>
  <c r="D1157" i="7"/>
  <c r="E1157" i="7" s="1"/>
  <c r="D1165" i="7"/>
  <c r="E1165" i="7" s="1"/>
  <c r="D1173" i="7"/>
  <c r="E1173" i="7" s="1"/>
  <c r="D1181" i="7"/>
  <c r="E1181" i="7" s="1"/>
  <c r="D1189" i="7"/>
  <c r="E1189" i="7" s="1"/>
  <c r="D1197" i="7"/>
  <c r="E1197" i="7" s="1"/>
  <c r="D1205" i="7"/>
  <c r="E1205" i="7" s="1"/>
  <c r="D1213" i="7"/>
  <c r="E1213" i="7" s="1"/>
  <c r="D1221" i="7"/>
  <c r="E1221" i="7" s="1"/>
  <c r="D1229" i="7"/>
  <c r="E1229" i="7" s="1"/>
  <c r="D1237" i="7"/>
  <c r="E1237" i="7" s="1"/>
  <c r="D1245" i="7"/>
  <c r="E1245" i="7" s="1"/>
  <c r="D1253" i="7"/>
  <c r="E1253" i="7" s="1"/>
  <c r="D1261" i="7"/>
  <c r="E1261" i="7" s="1"/>
  <c r="D1269" i="7"/>
  <c r="E1269" i="7" s="1"/>
  <c r="D1277" i="7"/>
  <c r="E1277" i="7" s="1"/>
  <c r="D1285" i="7"/>
  <c r="E1285" i="7" s="1"/>
  <c r="D1293" i="7"/>
  <c r="E1293" i="7" s="1"/>
  <c r="F1171" i="12"/>
  <c r="H1171" i="12" s="1"/>
  <c r="F1203" i="12"/>
  <c r="H1203" i="12" s="1"/>
  <c r="F1234" i="12"/>
  <c r="H1234" i="12" s="1"/>
  <c r="F1259" i="12"/>
  <c r="H1259" i="12" s="1"/>
  <c r="F1284" i="12"/>
  <c r="H1284" i="12" s="1"/>
  <c r="D1165" i="12"/>
  <c r="E1165" i="12" s="1"/>
  <c r="D1184" i="12"/>
  <c r="E1184" i="12" s="1"/>
  <c r="D1202" i="12"/>
  <c r="E1202" i="12" s="1"/>
  <c r="D1220" i="12"/>
  <c r="E1220" i="12" s="1"/>
  <c r="D1238" i="12"/>
  <c r="E1238" i="12" s="1"/>
  <c r="D1257" i="12"/>
  <c r="E1257" i="12" s="1"/>
  <c r="D1275" i="12"/>
  <c r="E1275" i="12" s="1"/>
  <c r="D1293" i="12"/>
  <c r="E1293" i="12" s="1"/>
  <c r="F1172" i="12"/>
  <c r="F1204" i="12"/>
  <c r="H1204" i="12" s="1"/>
  <c r="F1235" i="12"/>
  <c r="H1235" i="12" s="1"/>
  <c r="F1260" i="12"/>
  <c r="F1285" i="12"/>
  <c r="H1285" i="12" s="1"/>
  <c r="D1166" i="12"/>
  <c r="E1166" i="12" s="1"/>
  <c r="D1185" i="12"/>
  <c r="E1185" i="12" s="1"/>
  <c r="D1203" i="12"/>
  <c r="E1203" i="12" s="1"/>
  <c r="D1221" i="12"/>
  <c r="E1221" i="12" s="1"/>
  <c r="D1240" i="12"/>
  <c r="E1240" i="12" s="1"/>
  <c r="D1258" i="12"/>
  <c r="E1258" i="12" s="1"/>
  <c r="D1276" i="12"/>
  <c r="E1276" i="12" s="1"/>
  <c r="D1294" i="12"/>
  <c r="E1294" i="12" s="1"/>
  <c r="F1173" i="12"/>
  <c r="H1173" i="12" s="1"/>
  <c r="F1205" i="12"/>
  <c r="F1236" i="12"/>
  <c r="H1236" i="12" s="1"/>
  <c r="F1261" i="12"/>
  <c r="H1261" i="12" s="1"/>
  <c r="F1288" i="12"/>
  <c r="D1149" i="12"/>
  <c r="E1149" i="12" s="1"/>
  <c r="D1168" i="12"/>
  <c r="E1168" i="12" s="1"/>
  <c r="D1186" i="12"/>
  <c r="E1186" i="12" s="1"/>
  <c r="D1204" i="12"/>
  <c r="E1204" i="12" s="1"/>
  <c r="D1222" i="12"/>
  <c r="E1222" i="12" s="1"/>
  <c r="D1241" i="12"/>
  <c r="E1241" i="12" s="1"/>
  <c r="D1259" i="12"/>
  <c r="E1259" i="12" s="1"/>
  <c r="D1277" i="12"/>
  <c r="E1277" i="12" s="1"/>
  <c r="D1296" i="12"/>
  <c r="E1296" i="12" s="1"/>
  <c r="G1294" i="12"/>
  <c r="F1154" i="12"/>
  <c r="H1154" i="12" s="1"/>
  <c r="F1186" i="12"/>
  <c r="H1186" i="12" s="1"/>
  <c r="F1218" i="12"/>
  <c r="H1218" i="12" s="1"/>
  <c r="F1244" i="12"/>
  <c r="H1244" i="12" s="1"/>
  <c r="F1269" i="12"/>
  <c r="H1269" i="12" s="1"/>
  <c r="F1294" i="12"/>
  <c r="H1294" i="12" s="1"/>
  <c r="D1155" i="12"/>
  <c r="E1155" i="12" s="1"/>
  <c r="D1173" i="12"/>
  <c r="E1173" i="12" s="1"/>
  <c r="D1192" i="12"/>
  <c r="E1192" i="12" s="1"/>
  <c r="D1210" i="12"/>
  <c r="E1210" i="12" s="1"/>
  <c r="D1228" i="12"/>
  <c r="E1228" i="12" s="1"/>
  <c r="D1246" i="12"/>
  <c r="E1246" i="12" s="1"/>
  <c r="D1265" i="12"/>
  <c r="E1265" i="12" s="1"/>
  <c r="D1283" i="12"/>
  <c r="E1283" i="12" s="1"/>
  <c r="F1155" i="12"/>
  <c r="F1187" i="12"/>
  <c r="H1187" i="12" s="1"/>
  <c r="F1219" i="12"/>
  <c r="H1219" i="12" s="1"/>
  <c r="F1245" i="12"/>
  <c r="H1245" i="12" s="1"/>
  <c r="F1272" i="12"/>
  <c r="H1272" i="12" s="1"/>
  <c r="F1296" i="12"/>
  <c r="H1296" i="12" s="1"/>
  <c r="D1156" i="12"/>
  <c r="E1156" i="12" s="1"/>
  <c r="D1174" i="12"/>
  <c r="E1174" i="12" s="1"/>
  <c r="D1193" i="12"/>
  <c r="E1193" i="12" s="1"/>
  <c r="D1211" i="12"/>
  <c r="E1211" i="12" s="1"/>
  <c r="D1229" i="12"/>
  <c r="E1229" i="12" s="1"/>
  <c r="D1248" i="12"/>
  <c r="E1248" i="12" s="1"/>
  <c r="D1266" i="12"/>
  <c r="E1266" i="12" s="1"/>
  <c r="D1284" i="12"/>
  <c r="E1284" i="12" s="1"/>
  <c r="K1150" i="7"/>
  <c r="K1158" i="7"/>
  <c r="K1166" i="7"/>
  <c r="K1174" i="7"/>
  <c r="K1182" i="7"/>
  <c r="K1190" i="7"/>
  <c r="K1198" i="7"/>
  <c r="K1206" i="7"/>
  <c r="K1214" i="7"/>
  <c r="K1222" i="7"/>
  <c r="K1230" i="7"/>
  <c r="K1238" i="7"/>
  <c r="K1246" i="7"/>
  <c r="K1254" i="7"/>
  <c r="K1262" i="7"/>
  <c r="K1270" i="7"/>
  <c r="K1278" i="7"/>
  <c r="K1286" i="7"/>
  <c r="K1294" i="7"/>
  <c r="G1150" i="7"/>
  <c r="G1158" i="7"/>
  <c r="G1166" i="7"/>
  <c r="G1174" i="7"/>
  <c r="G1182" i="7"/>
  <c r="G1190" i="7"/>
  <c r="G1198" i="7"/>
  <c r="G1206" i="7"/>
  <c r="G1214" i="7"/>
  <c r="G1222" i="7"/>
  <c r="G1230" i="7"/>
  <c r="G1238" i="7"/>
  <c r="G1246" i="7"/>
  <c r="G1254" i="7"/>
  <c r="G1262" i="7"/>
  <c r="G1270" i="7"/>
  <c r="G1278" i="7"/>
  <c r="G1286" i="7"/>
  <c r="G1294" i="7"/>
  <c r="F1154" i="7"/>
  <c r="H1154" i="7" s="1"/>
  <c r="F1162" i="7"/>
  <c r="H1162" i="7" s="1"/>
  <c r="F1170" i="7"/>
  <c r="H1170" i="7" s="1"/>
  <c r="F1178" i="7"/>
  <c r="H1178" i="7" s="1"/>
  <c r="F1186" i="7"/>
  <c r="H1186" i="7" s="1"/>
  <c r="F1194" i="7"/>
  <c r="H1194" i="7" s="1"/>
  <c r="F1202" i="7"/>
  <c r="H1202" i="7" s="1"/>
  <c r="F1210" i="7"/>
  <c r="H1210" i="7" s="1"/>
  <c r="F1218" i="7"/>
  <c r="H1218" i="7" s="1"/>
  <c r="F1226" i="7"/>
  <c r="H1226" i="7" s="1"/>
  <c r="F1234" i="7"/>
  <c r="H1234" i="7" s="1"/>
  <c r="F1242" i="7"/>
  <c r="H1242" i="7" s="1"/>
  <c r="F1250" i="7"/>
  <c r="H1250" i="7" s="1"/>
  <c r="F1258" i="7"/>
  <c r="H1258" i="7" s="1"/>
  <c r="F1266" i="7"/>
  <c r="H1266" i="7" s="1"/>
  <c r="F1274" i="7"/>
  <c r="H1274" i="7" s="1"/>
  <c r="F1282" i="7"/>
  <c r="H1282" i="7" s="1"/>
  <c r="F1290" i="7"/>
  <c r="H1290" i="7" s="1"/>
  <c r="D1154" i="7"/>
  <c r="E1154" i="7" s="1"/>
  <c r="D1162" i="7"/>
  <c r="E1162" i="7" s="1"/>
  <c r="D1170" i="7"/>
  <c r="E1170" i="7" s="1"/>
  <c r="D1178" i="7"/>
  <c r="E1178" i="7" s="1"/>
  <c r="D1186" i="7"/>
  <c r="E1186" i="7" s="1"/>
  <c r="D1194" i="7"/>
  <c r="E1194" i="7" s="1"/>
  <c r="D1202" i="7"/>
  <c r="E1202" i="7" s="1"/>
  <c r="D1210" i="7"/>
  <c r="E1210" i="7" s="1"/>
  <c r="D1218" i="7"/>
  <c r="E1218" i="7" s="1"/>
  <c r="D1226" i="7"/>
  <c r="E1226" i="7" s="1"/>
  <c r="D1234" i="7"/>
  <c r="E1234" i="7" s="1"/>
  <c r="D1242" i="7"/>
  <c r="E1242" i="7" s="1"/>
  <c r="D1250" i="7"/>
  <c r="E1250" i="7" s="1"/>
  <c r="D1258" i="7"/>
  <c r="E1258" i="7" s="1"/>
  <c r="D1266" i="7"/>
  <c r="E1266" i="7" s="1"/>
  <c r="D1274" i="7"/>
  <c r="E1274" i="7" s="1"/>
  <c r="D1282" i="7"/>
  <c r="E1282" i="7" s="1"/>
  <c r="D1290" i="7"/>
  <c r="E1290" i="7" s="1"/>
  <c r="K1164" i="7"/>
  <c r="K1180" i="7"/>
  <c r="K1196" i="7"/>
  <c r="K1212" i="7"/>
  <c r="K1228" i="7"/>
  <c r="K1244" i="7"/>
  <c r="K1260" i="7"/>
  <c r="K1276" i="7"/>
  <c r="K1292" i="7"/>
  <c r="G1164" i="7"/>
  <c r="G1180" i="7"/>
  <c r="G1196" i="7"/>
  <c r="G1212" i="7"/>
  <c r="G1228" i="7"/>
  <c r="I1228" i="7" s="1"/>
  <c r="J1228" i="7" s="1"/>
  <c r="G1244" i="7"/>
  <c r="G1260" i="7"/>
  <c r="G1276" i="7"/>
  <c r="G1292" i="7"/>
  <c r="F1152" i="7"/>
  <c r="H1152" i="7" s="1"/>
  <c r="F1168" i="7"/>
  <c r="H1168" i="7" s="1"/>
  <c r="F1184" i="7"/>
  <c r="H1184" i="7" s="1"/>
  <c r="F1200" i="7"/>
  <c r="H1200" i="7" s="1"/>
  <c r="F1216" i="7"/>
  <c r="H1216" i="7" s="1"/>
  <c r="F1232" i="7"/>
  <c r="H1232" i="7" s="1"/>
  <c r="F1248" i="7"/>
  <c r="H1248" i="7" s="1"/>
  <c r="F1264" i="7"/>
  <c r="H1264" i="7" s="1"/>
  <c r="F1280" i="7"/>
  <c r="H1280" i="7" s="1"/>
  <c r="F1296" i="7"/>
  <c r="H1296" i="7" s="1"/>
  <c r="D1160" i="7"/>
  <c r="E1160" i="7" s="1"/>
  <c r="D1176" i="7"/>
  <c r="E1176" i="7" s="1"/>
  <c r="D1192" i="7"/>
  <c r="E1192" i="7" s="1"/>
  <c r="D1208" i="7"/>
  <c r="E1208" i="7" s="1"/>
  <c r="D1224" i="7"/>
  <c r="E1224" i="7" s="1"/>
  <c r="D1240" i="7"/>
  <c r="E1240" i="7" s="1"/>
  <c r="D1256" i="7"/>
  <c r="E1256" i="7" s="1"/>
  <c r="D1272" i="7"/>
  <c r="E1272" i="7" s="1"/>
  <c r="D1288" i="7"/>
  <c r="E1288" i="7" s="1"/>
  <c r="K1149" i="7"/>
  <c r="K1165" i="7"/>
  <c r="K1181" i="7"/>
  <c r="K1197" i="7"/>
  <c r="K1213" i="7"/>
  <c r="K1229" i="7"/>
  <c r="K1245" i="7"/>
  <c r="K1261" i="7"/>
  <c r="K1277" i="7"/>
  <c r="K1293" i="7"/>
  <c r="G1149" i="7"/>
  <c r="G1165" i="7"/>
  <c r="G1181" i="7"/>
  <c r="G1197" i="7"/>
  <c r="G1213" i="7"/>
  <c r="I1213" i="7" s="1"/>
  <c r="J1213" i="7" s="1"/>
  <c r="G1229" i="7"/>
  <c r="G1245" i="7"/>
  <c r="G1261" i="7"/>
  <c r="G1277" i="7"/>
  <c r="G1293" i="7"/>
  <c r="F1153" i="7"/>
  <c r="H1153" i="7" s="1"/>
  <c r="F1169" i="7"/>
  <c r="H1169" i="7" s="1"/>
  <c r="F1185" i="7"/>
  <c r="H1185" i="7" s="1"/>
  <c r="F1201" i="7"/>
  <c r="H1201" i="7" s="1"/>
  <c r="F1217" i="7"/>
  <c r="H1217" i="7" s="1"/>
  <c r="F1233" i="7"/>
  <c r="H1233" i="7" s="1"/>
  <c r="F1249" i="7"/>
  <c r="H1249" i="7" s="1"/>
  <c r="F1265" i="7"/>
  <c r="H1265" i="7" s="1"/>
  <c r="F1281" i="7"/>
  <c r="H1281" i="7" s="1"/>
  <c r="F1297" i="7"/>
  <c r="H1297" i="7" s="1"/>
  <c r="D1161" i="7"/>
  <c r="E1161" i="7" s="1"/>
  <c r="D1177" i="7"/>
  <c r="E1177" i="7" s="1"/>
  <c r="D1193" i="7"/>
  <c r="E1193" i="7" s="1"/>
  <c r="D1209" i="7"/>
  <c r="E1209" i="7" s="1"/>
  <c r="D1225" i="7"/>
  <c r="E1225" i="7" s="1"/>
  <c r="D1241" i="7"/>
  <c r="E1241" i="7" s="1"/>
  <c r="D1257" i="7"/>
  <c r="E1257" i="7" s="1"/>
  <c r="D1273" i="7"/>
  <c r="E1273" i="7" s="1"/>
  <c r="D1289" i="7"/>
  <c r="E1289" i="7" s="1"/>
  <c r="K1154" i="7"/>
  <c r="K1170" i="7"/>
  <c r="K1186" i="7"/>
  <c r="K1202" i="7"/>
  <c r="K1218" i="7"/>
  <c r="K1234" i="7"/>
  <c r="K1250" i="7"/>
  <c r="K1266" i="7"/>
  <c r="K1282" i="7"/>
  <c r="G1154" i="7"/>
  <c r="G1170" i="7"/>
  <c r="I1170" i="7" s="1"/>
  <c r="J1170" i="7" s="1"/>
  <c r="G1186" i="7"/>
  <c r="G1202" i="7"/>
  <c r="G1218" i="7"/>
  <c r="G1234" i="7"/>
  <c r="G1250" i="7"/>
  <c r="G1266" i="7"/>
  <c r="G1282" i="7"/>
  <c r="F1158" i="7"/>
  <c r="H1158" i="7" s="1"/>
  <c r="F1174" i="7"/>
  <c r="H1174" i="7" s="1"/>
  <c r="F1190" i="7"/>
  <c r="H1190" i="7" s="1"/>
  <c r="F1206" i="7"/>
  <c r="H1206" i="7" s="1"/>
  <c r="F1222" i="7"/>
  <c r="H1222" i="7" s="1"/>
  <c r="F1238" i="7"/>
  <c r="H1238" i="7" s="1"/>
  <c r="F1254" i="7"/>
  <c r="H1254" i="7" s="1"/>
  <c r="F1270" i="7"/>
  <c r="H1270" i="7" s="1"/>
  <c r="F1286" i="7"/>
  <c r="H1286" i="7" s="1"/>
  <c r="D1150" i="7"/>
  <c r="E1150" i="7" s="1"/>
  <c r="D1166" i="7"/>
  <c r="E1166" i="7" s="1"/>
  <c r="D1182" i="7"/>
  <c r="E1182" i="7" s="1"/>
  <c r="D1198" i="7"/>
  <c r="E1198" i="7" s="1"/>
  <c r="D1214" i="7"/>
  <c r="E1214" i="7" s="1"/>
  <c r="D1230" i="7"/>
  <c r="E1230" i="7" s="1"/>
  <c r="D1246" i="7"/>
  <c r="E1246" i="7" s="1"/>
  <c r="D1262" i="7"/>
  <c r="E1262" i="7" s="1"/>
  <c r="D1278" i="7"/>
  <c r="E1278" i="7" s="1"/>
  <c r="D1294" i="7"/>
  <c r="E1294" i="7" s="1"/>
  <c r="K1155" i="7"/>
  <c r="K1171" i="7"/>
  <c r="K1187" i="7"/>
  <c r="K1203" i="7"/>
  <c r="K1219" i="7"/>
  <c r="K1235" i="7"/>
  <c r="K1251" i="7"/>
  <c r="K1267" i="7"/>
  <c r="K1283" i="7"/>
  <c r="K1156" i="7"/>
  <c r="K1172" i="7"/>
  <c r="K1188" i="7"/>
  <c r="K1204" i="7"/>
  <c r="K1220" i="7"/>
  <c r="K1236" i="7"/>
  <c r="K1252" i="7"/>
  <c r="K1268" i="7"/>
  <c r="K1284" i="7"/>
  <c r="K1157" i="7"/>
  <c r="K1173" i="7"/>
  <c r="K1189" i="7"/>
  <c r="K1205" i="7"/>
  <c r="K1221" i="7"/>
  <c r="K1237" i="7"/>
  <c r="K1253" i="7"/>
  <c r="K1269" i="7"/>
  <c r="K1285" i="7"/>
  <c r="K1162" i="7"/>
  <c r="K1178" i="7"/>
  <c r="K1194" i="7"/>
  <c r="K1210" i="7"/>
  <c r="K1226" i="7"/>
  <c r="K1242" i="7"/>
  <c r="K1258" i="7"/>
  <c r="K1274" i="7"/>
  <c r="K1290" i="7"/>
  <c r="G1162" i="7"/>
  <c r="I1162" i="7" s="1"/>
  <c r="J1162" i="7" s="1"/>
  <c r="G1178" i="7"/>
  <c r="G1194" i="7"/>
  <c r="G1210" i="7"/>
  <c r="G1226" i="7"/>
  <c r="G1242" i="7"/>
  <c r="G1258" i="7"/>
  <c r="G1274" i="7"/>
  <c r="G1290" i="7"/>
  <c r="I1290" i="7" s="1"/>
  <c r="J1290" i="7" s="1"/>
  <c r="F1150" i="7"/>
  <c r="H1150" i="7" s="1"/>
  <c r="F1166" i="7"/>
  <c r="H1166" i="7" s="1"/>
  <c r="F1182" i="7"/>
  <c r="H1182" i="7" s="1"/>
  <c r="F1198" i="7"/>
  <c r="H1198" i="7" s="1"/>
  <c r="F1214" i="7"/>
  <c r="H1214" i="7" s="1"/>
  <c r="F1230" i="7"/>
  <c r="H1230" i="7" s="1"/>
  <c r="F1246" i="7"/>
  <c r="H1246" i="7" s="1"/>
  <c r="F1262" i="7"/>
  <c r="H1262" i="7" s="1"/>
  <c r="F1278" i="7"/>
  <c r="H1278" i="7" s="1"/>
  <c r="F1294" i="7"/>
  <c r="H1294" i="7" s="1"/>
  <c r="D1158" i="7"/>
  <c r="E1158" i="7" s="1"/>
  <c r="D1174" i="7"/>
  <c r="E1174" i="7" s="1"/>
  <c r="D1190" i="7"/>
  <c r="E1190" i="7" s="1"/>
  <c r="D1206" i="7"/>
  <c r="E1206" i="7" s="1"/>
  <c r="D1222" i="7"/>
  <c r="E1222" i="7" s="1"/>
  <c r="D1238" i="7"/>
  <c r="E1238" i="7" s="1"/>
  <c r="D1254" i="7"/>
  <c r="E1254" i="7" s="1"/>
  <c r="D1270" i="7"/>
  <c r="E1270" i="7" s="1"/>
  <c r="D1286" i="7"/>
  <c r="E1286" i="7" s="1"/>
  <c r="K1163" i="7"/>
  <c r="K1291" i="7"/>
  <c r="G1173" i="7"/>
  <c r="G1205" i="7"/>
  <c r="G1237" i="7"/>
  <c r="G1269" i="7"/>
  <c r="F1177" i="7"/>
  <c r="H1177" i="7" s="1"/>
  <c r="F1209" i="7"/>
  <c r="H1209" i="7" s="1"/>
  <c r="F1241" i="7"/>
  <c r="H1241" i="7" s="1"/>
  <c r="F1273" i="7"/>
  <c r="H1273" i="7" s="1"/>
  <c r="D1153" i="7"/>
  <c r="E1153" i="7" s="1"/>
  <c r="D1185" i="7"/>
  <c r="E1185" i="7" s="1"/>
  <c r="D1217" i="7"/>
  <c r="E1217" i="7" s="1"/>
  <c r="D1249" i="7"/>
  <c r="E1249" i="7" s="1"/>
  <c r="D1281" i="7"/>
  <c r="E1281" i="7" s="1"/>
  <c r="K1159" i="5"/>
  <c r="G1200" i="5"/>
  <c r="D1166" i="5"/>
  <c r="E1166" i="5" s="1"/>
  <c r="D1232" i="5"/>
  <c r="E1232" i="5" s="1"/>
  <c r="K1179" i="7"/>
  <c r="G1179" i="7"/>
  <c r="G1211" i="7"/>
  <c r="G1243" i="7"/>
  <c r="G1275" i="7"/>
  <c r="F1151" i="7"/>
  <c r="H1151" i="7" s="1"/>
  <c r="F1183" i="7"/>
  <c r="H1183" i="7" s="1"/>
  <c r="F1215" i="7"/>
  <c r="H1215" i="7" s="1"/>
  <c r="F1247" i="7"/>
  <c r="H1247" i="7" s="1"/>
  <c r="F1279" i="7"/>
  <c r="H1279" i="7" s="1"/>
  <c r="D1159" i="7"/>
  <c r="E1159" i="7" s="1"/>
  <c r="D1191" i="7"/>
  <c r="E1191" i="7" s="1"/>
  <c r="D1223" i="7"/>
  <c r="E1223" i="7" s="1"/>
  <c r="D1255" i="7"/>
  <c r="E1255" i="7" s="1"/>
  <c r="D1287" i="7"/>
  <c r="E1287" i="7" s="1"/>
  <c r="G1248" i="5"/>
  <c r="D1167" i="5"/>
  <c r="E1167" i="5" s="1"/>
  <c r="D1248" i="5"/>
  <c r="E1248" i="5" s="1"/>
  <c r="K1195" i="7"/>
  <c r="G1155" i="7"/>
  <c r="G1187" i="7"/>
  <c r="G1219" i="7"/>
  <c r="G1251" i="7"/>
  <c r="G1283" i="7"/>
  <c r="F1159" i="7"/>
  <c r="H1159" i="7" s="1"/>
  <c r="F1191" i="7"/>
  <c r="H1191" i="7" s="1"/>
  <c r="F1223" i="7"/>
  <c r="H1223" i="7" s="1"/>
  <c r="F1255" i="7"/>
  <c r="H1255" i="7" s="1"/>
  <c r="F1287" i="7"/>
  <c r="H1287" i="7" s="1"/>
  <c r="D1167" i="7"/>
  <c r="E1167" i="7" s="1"/>
  <c r="D1199" i="7"/>
  <c r="E1199" i="7" s="1"/>
  <c r="D1231" i="7"/>
  <c r="E1231" i="7" s="1"/>
  <c r="D1263" i="7"/>
  <c r="E1263" i="7" s="1"/>
  <c r="D1295" i="7"/>
  <c r="E1295" i="7" s="1"/>
  <c r="G1264" i="5"/>
  <c r="F1150" i="5"/>
  <c r="H1150" i="5" s="1"/>
  <c r="D1168" i="5"/>
  <c r="E1168" i="5" s="1"/>
  <c r="D1264" i="5"/>
  <c r="E1264" i="5" s="1"/>
  <c r="K1211" i="7"/>
  <c r="G1156" i="7"/>
  <c r="G1188" i="7"/>
  <c r="G1220" i="7"/>
  <c r="G1252" i="7"/>
  <c r="G1284" i="7"/>
  <c r="F1160" i="7"/>
  <c r="H1160" i="7" s="1"/>
  <c r="F1192" i="7"/>
  <c r="H1192" i="7" s="1"/>
  <c r="F1224" i="7"/>
  <c r="H1224" i="7" s="1"/>
  <c r="F1256" i="7"/>
  <c r="H1256" i="7" s="1"/>
  <c r="F1288" i="7"/>
  <c r="H1288" i="7" s="1"/>
  <c r="D1168" i="7"/>
  <c r="E1168" i="7" s="1"/>
  <c r="D1200" i="7"/>
  <c r="E1200" i="7" s="1"/>
  <c r="D1232" i="7"/>
  <c r="E1232" i="7" s="1"/>
  <c r="D1264" i="7"/>
  <c r="E1264" i="7" s="1"/>
  <c r="D1296" i="7"/>
  <c r="E1296" i="7" s="1"/>
  <c r="K1227" i="7"/>
  <c r="G1157" i="7"/>
  <c r="G1189" i="7"/>
  <c r="G1221" i="7"/>
  <c r="G1253" i="7"/>
  <c r="G1285" i="7"/>
  <c r="F1161" i="7"/>
  <c r="H1161" i="7" s="1"/>
  <c r="F1193" i="7"/>
  <c r="H1193" i="7" s="1"/>
  <c r="F1225" i="7"/>
  <c r="H1225" i="7" s="1"/>
  <c r="F1257" i="7"/>
  <c r="H1257" i="7" s="1"/>
  <c r="F1289" i="7"/>
  <c r="H1289" i="7" s="1"/>
  <c r="D1169" i="7"/>
  <c r="E1169" i="7" s="1"/>
  <c r="D1201" i="7"/>
  <c r="E1201" i="7" s="1"/>
  <c r="D1233" i="7"/>
  <c r="E1233" i="7" s="1"/>
  <c r="D1265" i="7"/>
  <c r="E1265" i="7" s="1"/>
  <c r="D1297" i="7"/>
  <c r="E1297" i="7" s="1"/>
  <c r="K829" i="7"/>
  <c r="K1243" i="7"/>
  <c r="G1163" i="7"/>
  <c r="G1195" i="7"/>
  <c r="G1227" i="7"/>
  <c r="I1227" i="7" s="1"/>
  <c r="J1227" i="7" s="1"/>
  <c r="G1259" i="7"/>
  <c r="G1291" i="7"/>
  <c r="F1167" i="7"/>
  <c r="H1167" i="7" s="1"/>
  <c r="F1199" i="7"/>
  <c r="H1199" i="7" s="1"/>
  <c r="F1231" i="7"/>
  <c r="H1231" i="7" s="1"/>
  <c r="F1263" i="7"/>
  <c r="H1263" i="7" s="1"/>
  <c r="F1295" i="7"/>
  <c r="H1295" i="7" s="1"/>
  <c r="D1175" i="7"/>
  <c r="E1175" i="7" s="1"/>
  <c r="D1207" i="7"/>
  <c r="E1207" i="7" s="1"/>
  <c r="D1239" i="7"/>
  <c r="E1239" i="7" s="1"/>
  <c r="D1271" i="7"/>
  <c r="E1271" i="7" s="1"/>
  <c r="K1259" i="7"/>
  <c r="G1171" i="7"/>
  <c r="G1203" i="7"/>
  <c r="G1235" i="7"/>
  <c r="G1267" i="7"/>
  <c r="F1175" i="7"/>
  <c r="H1175" i="7" s="1"/>
  <c r="F1207" i="7"/>
  <c r="H1207" i="7" s="1"/>
  <c r="F1239" i="7"/>
  <c r="H1239" i="7" s="1"/>
  <c r="F1271" i="7"/>
  <c r="H1271" i="7" s="1"/>
  <c r="D1151" i="7"/>
  <c r="E1151" i="7" s="1"/>
  <c r="D1183" i="7"/>
  <c r="E1183" i="7" s="1"/>
  <c r="D1215" i="7"/>
  <c r="E1215" i="7" s="1"/>
  <c r="D1247" i="7"/>
  <c r="E1247" i="7" s="1"/>
  <c r="D1279" i="7"/>
  <c r="E1279" i="7" s="1"/>
  <c r="K1275" i="7"/>
  <c r="G1172" i="7"/>
  <c r="G1204" i="7"/>
  <c r="I1204" i="7" s="1"/>
  <c r="J1204" i="7" s="1"/>
  <c r="G1236" i="7"/>
  <c r="G1268" i="7"/>
  <c r="F1176" i="7"/>
  <c r="H1176" i="7" s="1"/>
  <c r="F1208" i="7"/>
  <c r="H1208" i="7" s="1"/>
  <c r="F1240" i="7"/>
  <c r="H1240" i="7" s="1"/>
  <c r="F1272" i="7"/>
  <c r="H1272" i="7" s="1"/>
  <c r="D1152" i="7"/>
  <c r="E1152" i="7" s="1"/>
  <c r="D1184" i="7"/>
  <c r="E1184" i="7" s="1"/>
  <c r="D1216" i="7"/>
  <c r="E1216" i="7" s="1"/>
  <c r="D1248" i="7"/>
  <c r="E1248" i="7" s="1"/>
  <c r="D1280" i="7"/>
  <c r="E1280" i="7" s="1"/>
  <c r="K1152" i="5"/>
  <c r="G1184" i="5"/>
  <c r="D1153" i="5"/>
  <c r="E1153" i="5" s="1"/>
  <c r="D1216" i="5"/>
  <c r="E1216" i="5" s="1"/>
  <c r="F1291" i="9"/>
  <c r="F1283" i="9"/>
  <c r="F1275" i="9"/>
  <c r="F1267" i="9"/>
  <c r="F1259" i="9"/>
  <c r="F1251" i="9"/>
  <c r="F1243" i="9"/>
  <c r="J1235" i="9"/>
  <c r="J1227" i="9"/>
  <c r="D1219" i="9"/>
  <c r="E1219" i="9" s="1"/>
  <c r="D1211" i="9"/>
  <c r="E1211" i="9" s="1"/>
  <c r="F1195" i="9"/>
  <c r="G1179" i="9"/>
  <c r="F1147" i="5"/>
  <c r="H1147" i="5" s="1"/>
  <c r="D1147" i="5"/>
  <c r="E1147" i="5" s="1"/>
  <c r="K1147" i="5"/>
  <c r="F1139" i="5"/>
  <c r="H1139" i="5" s="1"/>
  <c r="D1139" i="5"/>
  <c r="E1139" i="5" s="1"/>
  <c r="K1139" i="5"/>
  <c r="F1131" i="5"/>
  <c r="H1131" i="5" s="1"/>
  <c r="K1131" i="5"/>
  <c r="D1131" i="5"/>
  <c r="E1131" i="5" s="1"/>
  <c r="F1123" i="5"/>
  <c r="H1123" i="5" s="1"/>
  <c r="D1123" i="5"/>
  <c r="E1123" i="5" s="1"/>
  <c r="K1123" i="5"/>
  <c r="F1115" i="5"/>
  <c r="H1115" i="5" s="1"/>
  <c r="D1115" i="5"/>
  <c r="E1115" i="5" s="1"/>
  <c r="K1115" i="5"/>
  <c r="F1107" i="5"/>
  <c r="H1107" i="5" s="1"/>
  <c r="D1107" i="5"/>
  <c r="E1107" i="5" s="1"/>
  <c r="K1107" i="5"/>
  <c r="F1099" i="5"/>
  <c r="H1099" i="5" s="1"/>
  <c r="K1099" i="5"/>
  <c r="D1099" i="5"/>
  <c r="E1099" i="5" s="1"/>
  <c r="F1091" i="5"/>
  <c r="H1091" i="5" s="1"/>
  <c r="D1091" i="5"/>
  <c r="E1091" i="5" s="1"/>
  <c r="K1091" i="5"/>
  <c r="F1083" i="5"/>
  <c r="H1083" i="5" s="1"/>
  <c r="D1083" i="5"/>
  <c r="E1083" i="5" s="1"/>
  <c r="K1083" i="5"/>
  <c r="F1075" i="5"/>
  <c r="H1075" i="5" s="1"/>
  <c r="D1075" i="5"/>
  <c r="E1075" i="5" s="1"/>
  <c r="K1075" i="5"/>
  <c r="F1067" i="5"/>
  <c r="H1067" i="5" s="1"/>
  <c r="K1067" i="5"/>
  <c r="D1067" i="5"/>
  <c r="E1067" i="5" s="1"/>
  <c r="F1059" i="5"/>
  <c r="H1059" i="5" s="1"/>
  <c r="D1059" i="5"/>
  <c r="E1059" i="5" s="1"/>
  <c r="K1059" i="5"/>
  <c r="F1051" i="5"/>
  <c r="H1051" i="5" s="1"/>
  <c r="D1051" i="5"/>
  <c r="E1051" i="5" s="1"/>
  <c r="K1051" i="5"/>
  <c r="F1043" i="5"/>
  <c r="H1043" i="5" s="1"/>
  <c r="D1043" i="5"/>
  <c r="E1043" i="5" s="1"/>
  <c r="K1043" i="5"/>
  <c r="F1035" i="5"/>
  <c r="H1035" i="5" s="1"/>
  <c r="K1035" i="5"/>
  <c r="D1035" i="5"/>
  <c r="E1035" i="5" s="1"/>
  <c r="F1027" i="5"/>
  <c r="H1027" i="5" s="1"/>
  <c r="D1027" i="5"/>
  <c r="E1027" i="5" s="1"/>
  <c r="K1027" i="5"/>
  <c r="F1019" i="5"/>
  <c r="H1019" i="5" s="1"/>
  <c r="D1019" i="5"/>
  <c r="E1019" i="5" s="1"/>
  <c r="K1019" i="5"/>
  <c r="F1011" i="5"/>
  <c r="H1011" i="5" s="1"/>
  <c r="D1011" i="5"/>
  <c r="E1011" i="5" s="1"/>
  <c r="K1011" i="5"/>
  <c r="F1003" i="5"/>
  <c r="H1003" i="5" s="1"/>
  <c r="K1003" i="5"/>
  <c r="D1003" i="5"/>
  <c r="E1003" i="5" s="1"/>
  <c r="F995" i="5"/>
  <c r="H995" i="5" s="1"/>
  <c r="D995" i="5"/>
  <c r="E995" i="5" s="1"/>
  <c r="K995" i="5"/>
  <c r="F987" i="5"/>
  <c r="H987" i="5" s="1"/>
  <c r="D987" i="5"/>
  <c r="E987" i="5" s="1"/>
  <c r="K987" i="5"/>
  <c r="F979" i="5"/>
  <c r="H979" i="5" s="1"/>
  <c r="D979" i="5"/>
  <c r="E979" i="5" s="1"/>
  <c r="K979" i="5"/>
  <c r="F971" i="5"/>
  <c r="H971" i="5" s="1"/>
  <c r="K971" i="5"/>
  <c r="D971" i="5"/>
  <c r="E971" i="5" s="1"/>
  <c r="F963" i="5"/>
  <c r="H963" i="5" s="1"/>
  <c r="D963" i="5"/>
  <c r="E963" i="5" s="1"/>
  <c r="K963" i="5"/>
  <c r="F955" i="5"/>
  <c r="H955" i="5" s="1"/>
  <c r="D955" i="5"/>
  <c r="E955" i="5" s="1"/>
  <c r="K955" i="5"/>
  <c r="F947" i="5"/>
  <c r="H947" i="5" s="1"/>
  <c r="D947" i="5"/>
  <c r="E947" i="5" s="1"/>
  <c r="K947" i="5"/>
  <c r="F939" i="5"/>
  <c r="H939" i="5" s="1"/>
  <c r="K939" i="5"/>
  <c r="D939" i="5"/>
  <c r="E939" i="5" s="1"/>
  <c r="F931" i="5"/>
  <c r="H931" i="5" s="1"/>
  <c r="D931" i="5"/>
  <c r="E931" i="5" s="1"/>
  <c r="K931" i="5"/>
  <c r="F923" i="5"/>
  <c r="H923" i="5" s="1"/>
  <c r="D923" i="5"/>
  <c r="E923" i="5" s="1"/>
  <c r="K923" i="5"/>
  <c r="F915" i="5"/>
  <c r="H915" i="5" s="1"/>
  <c r="D915" i="5"/>
  <c r="E915" i="5" s="1"/>
  <c r="K915" i="5"/>
  <c r="F907" i="5"/>
  <c r="H907" i="5" s="1"/>
  <c r="K907" i="5"/>
  <c r="D907" i="5"/>
  <c r="E907" i="5" s="1"/>
  <c r="F899" i="5"/>
  <c r="H899" i="5" s="1"/>
  <c r="D899" i="5"/>
  <c r="E899" i="5" s="1"/>
  <c r="K899" i="5"/>
  <c r="F891" i="5"/>
  <c r="H891" i="5" s="1"/>
  <c r="D891" i="5"/>
  <c r="E891" i="5" s="1"/>
  <c r="K891" i="5"/>
  <c r="F883" i="5"/>
  <c r="H883" i="5" s="1"/>
  <c r="D883" i="5"/>
  <c r="E883" i="5" s="1"/>
  <c r="K883" i="5"/>
  <c r="F875" i="5"/>
  <c r="H875" i="5" s="1"/>
  <c r="K875" i="5"/>
  <c r="D875" i="5"/>
  <c r="E875" i="5" s="1"/>
  <c r="F867" i="5"/>
  <c r="H867" i="5" s="1"/>
  <c r="D867" i="5"/>
  <c r="E867" i="5" s="1"/>
  <c r="K867" i="5"/>
  <c r="G867" i="5"/>
  <c r="G859" i="5"/>
  <c r="F859" i="5"/>
  <c r="H859" i="5" s="1"/>
  <c r="D859" i="5"/>
  <c r="E859" i="5" s="1"/>
  <c r="K859" i="5"/>
  <c r="F851" i="5"/>
  <c r="H851" i="5" s="1"/>
  <c r="G851" i="5"/>
  <c r="D851" i="5"/>
  <c r="E851" i="5" s="1"/>
  <c r="K851" i="5"/>
  <c r="F843" i="5"/>
  <c r="H843" i="5" s="1"/>
  <c r="K843" i="5"/>
  <c r="G843" i="5"/>
  <c r="D843" i="5"/>
  <c r="E843" i="5" s="1"/>
  <c r="F835" i="5"/>
  <c r="H835" i="5" s="1"/>
  <c r="D835" i="5"/>
  <c r="E835" i="5" s="1"/>
  <c r="K835" i="5"/>
  <c r="F827" i="5"/>
  <c r="H827" i="5" s="1"/>
  <c r="D827" i="5"/>
  <c r="E827" i="5" s="1"/>
  <c r="K827" i="5"/>
  <c r="F1293" i="5"/>
  <c r="H1293" i="5" s="1"/>
  <c r="D1256" i="5"/>
  <c r="E1256" i="5" s="1"/>
  <c r="G1247" i="5"/>
  <c r="D1238" i="5"/>
  <c r="E1238" i="5" s="1"/>
  <c r="G1202" i="5"/>
  <c r="D1192" i="5"/>
  <c r="E1192" i="5" s="1"/>
  <c r="G1183" i="5"/>
  <c r="F1174" i="5"/>
  <c r="H1174" i="5" s="1"/>
  <c r="K1149" i="5"/>
  <c r="D1184" i="5"/>
  <c r="E1184" i="5" s="1"/>
  <c r="G1139" i="5"/>
  <c r="G1123" i="5"/>
  <c r="G1107" i="5"/>
  <c r="G1091" i="5"/>
  <c r="G1075" i="5"/>
  <c r="G1059" i="5"/>
  <c r="G1043" i="5"/>
  <c r="I1043" i="5" s="1"/>
  <c r="J1043" i="5" s="1"/>
  <c r="G1027" i="5"/>
  <c r="G1011" i="5"/>
  <c r="G995" i="5"/>
  <c r="G979" i="5"/>
  <c r="G963" i="5"/>
  <c r="G947" i="5"/>
  <c r="G931" i="5"/>
  <c r="G915" i="5"/>
  <c r="G899" i="5"/>
  <c r="G881" i="5"/>
  <c r="G863" i="5"/>
  <c r="I863" i="5" s="1"/>
  <c r="J863" i="5" s="1"/>
  <c r="G827" i="5"/>
  <c r="K900" i="5"/>
  <c r="D1274" i="9"/>
  <c r="E1274" i="9" s="1"/>
  <c r="D1266" i="9"/>
  <c r="E1266" i="9" s="1"/>
  <c r="D1258" i="9"/>
  <c r="E1258" i="9" s="1"/>
  <c r="D1250" i="9"/>
  <c r="E1250" i="9" s="1"/>
  <c r="D1242" i="9"/>
  <c r="E1242" i="9" s="1"/>
  <c r="G1234" i="9"/>
  <c r="D1226" i="9"/>
  <c r="E1226" i="9" s="1"/>
  <c r="D1218" i="9"/>
  <c r="E1218" i="9" s="1"/>
  <c r="D1210" i="9"/>
  <c r="E1210" i="9" s="1"/>
  <c r="F1202" i="9"/>
  <c r="F1186" i="9"/>
  <c r="F1154" i="9"/>
  <c r="G1296" i="5"/>
  <c r="K1287" i="5"/>
  <c r="G1278" i="5"/>
  <c r="G1232" i="5"/>
  <c r="F1223" i="5"/>
  <c r="H1223" i="5" s="1"/>
  <c r="G1214" i="5"/>
  <c r="D1178" i="5"/>
  <c r="E1178" i="5" s="1"/>
  <c r="G1168" i="5"/>
  <c r="D1160" i="5"/>
  <c r="E1160" i="5" s="1"/>
  <c r="G1152" i="5"/>
  <c r="C1144" i="5"/>
  <c r="C1136" i="5"/>
  <c r="C1128" i="5"/>
  <c r="C1120" i="5"/>
  <c r="C1112" i="5"/>
  <c r="C1104" i="5"/>
  <c r="C1096" i="5"/>
  <c r="C1088" i="5"/>
  <c r="C1080" i="5"/>
  <c r="C1072" i="5"/>
  <c r="C1064" i="5"/>
  <c r="C1056" i="5"/>
  <c r="C1048" i="5"/>
  <c r="C1040" i="5"/>
  <c r="C1032" i="5"/>
  <c r="C1024" i="5"/>
  <c r="C1016" i="5"/>
  <c r="C1008" i="5"/>
  <c r="C1000" i="5"/>
  <c r="C992" i="5"/>
  <c r="C984" i="5"/>
  <c r="C976" i="5"/>
  <c r="C968" i="5"/>
  <c r="C960" i="5"/>
  <c r="C952" i="5"/>
  <c r="C944" i="5"/>
  <c r="C936" i="5"/>
  <c r="C928" i="5"/>
  <c r="C920" i="5"/>
  <c r="C912" i="5"/>
  <c r="C904" i="5"/>
  <c r="C896" i="5"/>
  <c r="C888" i="5"/>
  <c r="C880" i="5"/>
  <c r="C872" i="5"/>
  <c r="C864" i="5"/>
  <c r="C856" i="5"/>
  <c r="C848" i="5"/>
  <c r="C840" i="5"/>
  <c r="C832" i="5"/>
  <c r="C824" i="5"/>
  <c r="F1148" i="7"/>
  <c r="H1148" i="7" s="1"/>
  <c r="D1148" i="7"/>
  <c r="E1148" i="7" s="1"/>
  <c r="K1148" i="7"/>
  <c r="G1148" i="7"/>
  <c r="F1132" i="7"/>
  <c r="H1132" i="7" s="1"/>
  <c r="D1132" i="7"/>
  <c r="E1132" i="7" s="1"/>
  <c r="K1132" i="7"/>
  <c r="G1132" i="7"/>
  <c r="F1116" i="7"/>
  <c r="H1116" i="7" s="1"/>
  <c r="D1116" i="7"/>
  <c r="E1116" i="7" s="1"/>
  <c r="K1116" i="7"/>
  <c r="F1100" i="7"/>
  <c r="H1100" i="7" s="1"/>
  <c r="D1100" i="7"/>
  <c r="E1100" i="7" s="1"/>
  <c r="K1100" i="7"/>
  <c r="G1100" i="7"/>
  <c r="F1084" i="7"/>
  <c r="H1084" i="7" s="1"/>
  <c r="D1084" i="7"/>
  <c r="E1084" i="7" s="1"/>
  <c r="K1084" i="7"/>
  <c r="G1084" i="7"/>
  <c r="F1068" i="7"/>
  <c r="H1068" i="7" s="1"/>
  <c r="D1068" i="7"/>
  <c r="E1068" i="7" s="1"/>
  <c r="K1068" i="7"/>
  <c r="G1068" i="7"/>
  <c r="F1052" i="7"/>
  <c r="H1052" i="7" s="1"/>
  <c r="D1052" i="7"/>
  <c r="E1052" i="7" s="1"/>
  <c r="K1052" i="7"/>
  <c r="F1036" i="7"/>
  <c r="H1036" i="7" s="1"/>
  <c r="D1036" i="7"/>
  <c r="E1036" i="7" s="1"/>
  <c r="K1036" i="7"/>
  <c r="G1036" i="7"/>
  <c r="F1020" i="7"/>
  <c r="H1020" i="7" s="1"/>
  <c r="D1020" i="7"/>
  <c r="E1020" i="7" s="1"/>
  <c r="K1020" i="7"/>
  <c r="G1020" i="7"/>
  <c r="F1004" i="7"/>
  <c r="H1004" i="7" s="1"/>
  <c r="D1004" i="7"/>
  <c r="E1004" i="7" s="1"/>
  <c r="K1004" i="7"/>
  <c r="G1004" i="7"/>
  <c r="F988" i="7"/>
  <c r="H988" i="7" s="1"/>
  <c r="D988" i="7"/>
  <c r="E988" i="7" s="1"/>
  <c r="K988" i="7"/>
  <c r="F972" i="7"/>
  <c r="H972" i="7" s="1"/>
  <c r="D972" i="7"/>
  <c r="E972" i="7" s="1"/>
  <c r="K972" i="7"/>
  <c r="G972" i="7"/>
  <c r="F956" i="7"/>
  <c r="H956" i="7" s="1"/>
  <c r="D956" i="7"/>
  <c r="E956" i="7" s="1"/>
  <c r="K956" i="7"/>
  <c r="G956" i="7"/>
  <c r="F940" i="7"/>
  <c r="H940" i="7" s="1"/>
  <c r="D940" i="7"/>
  <c r="E940" i="7" s="1"/>
  <c r="K940" i="7"/>
  <c r="G940" i="7"/>
  <c r="F924" i="7"/>
  <c r="H924" i="7" s="1"/>
  <c r="D924" i="7"/>
  <c r="E924" i="7" s="1"/>
  <c r="K924" i="7"/>
  <c r="F908" i="7"/>
  <c r="H908" i="7" s="1"/>
  <c r="D908" i="7"/>
  <c r="E908" i="7" s="1"/>
  <c r="K908" i="7"/>
  <c r="G908" i="7"/>
  <c r="F892" i="7"/>
  <c r="H892" i="7" s="1"/>
  <c r="D892" i="7"/>
  <c r="E892" i="7" s="1"/>
  <c r="K892" i="7"/>
  <c r="G892" i="7"/>
  <c r="F876" i="7"/>
  <c r="H876" i="7" s="1"/>
  <c r="D876" i="7"/>
  <c r="E876" i="7" s="1"/>
  <c r="K876" i="7"/>
  <c r="G876" i="7"/>
  <c r="F860" i="7"/>
  <c r="H860" i="7" s="1"/>
  <c r="D860" i="7"/>
  <c r="E860" i="7" s="1"/>
  <c r="K860" i="7"/>
  <c r="G860" i="7"/>
  <c r="F844" i="7"/>
  <c r="H844" i="7" s="1"/>
  <c r="D844" i="7"/>
  <c r="E844" i="7" s="1"/>
  <c r="K844" i="7"/>
  <c r="G844" i="7"/>
  <c r="F828" i="7"/>
  <c r="H828" i="7" s="1"/>
  <c r="D828" i="7"/>
  <c r="E828" i="7" s="1"/>
  <c r="K828" i="7"/>
  <c r="G828" i="7"/>
  <c r="F1124" i="7"/>
  <c r="H1124" i="7" s="1"/>
  <c r="D1124" i="7"/>
  <c r="E1124" i="7" s="1"/>
  <c r="K1124" i="7"/>
  <c r="G1124" i="7"/>
  <c r="F1092" i="7"/>
  <c r="H1092" i="7" s="1"/>
  <c r="D1092" i="7"/>
  <c r="E1092" i="7" s="1"/>
  <c r="K1092" i="7"/>
  <c r="G1092" i="7"/>
  <c r="F1060" i="7"/>
  <c r="H1060" i="7" s="1"/>
  <c r="D1060" i="7"/>
  <c r="E1060" i="7" s="1"/>
  <c r="K1060" i="7"/>
  <c r="G1060" i="7"/>
  <c r="F1028" i="7"/>
  <c r="H1028" i="7" s="1"/>
  <c r="D1028" i="7"/>
  <c r="E1028" i="7" s="1"/>
  <c r="K1028" i="7"/>
  <c r="G1028" i="7"/>
  <c r="F996" i="7"/>
  <c r="H996" i="7" s="1"/>
  <c r="D996" i="7"/>
  <c r="E996" i="7" s="1"/>
  <c r="K996" i="7"/>
  <c r="G996" i="7"/>
  <c r="F964" i="7"/>
  <c r="H964" i="7" s="1"/>
  <c r="D964" i="7"/>
  <c r="E964" i="7" s="1"/>
  <c r="K964" i="7"/>
  <c r="G964" i="7"/>
  <c r="F932" i="7"/>
  <c r="H932" i="7" s="1"/>
  <c r="D932" i="7"/>
  <c r="E932" i="7" s="1"/>
  <c r="K932" i="7"/>
  <c r="G932" i="7"/>
  <c r="F900" i="7"/>
  <c r="H900" i="7" s="1"/>
  <c r="D900" i="7"/>
  <c r="E900" i="7" s="1"/>
  <c r="K900" i="7"/>
  <c r="G900" i="7"/>
  <c r="F868" i="7"/>
  <c r="H868" i="7" s="1"/>
  <c r="D868" i="7"/>
  <c r="E868" i="7" s="1"/>
  <c r="K868" i="7"/>
  <c r="G868" i="7"/>
  <c r="F836" i="7"/>
  <c r="H836" i="7" s="1"/>
  <c r="D836" i="7"/>
  <c r="E836" i="7" s="1"/>
  <c r="K836" i="7"/>
  <c r="G836" i="7"/>
  <c r="L1005" i="12"/>
  <c r="G1005" i="12"/>
  <c r="K1005" i="12"/>
  <c r="D1005" i="12"/>
  <c r="E1005" i="12" s="1"/>
  <c r="F1005" i="12"/>
  <c r="H1005" i="12" s="1"/>
  <c r="C1123" i="7"/>
  <c r="C1091" i="7"/>
  <c r="F1138" i="7"/>
  <c r="H1138" i="7" s="1"/>
  <c r="D1138" i="7"/>
  <c r="E1138" i="7" s="1"/>
  <c r="K1138" i="7"/>
  <c r="G1138" i="7"/>
  <c r="F1122" i="7"/>
  <c r="H1122" i="7" s="1"/>
  <c r="D1122" i="7"/>
  <c r="E1122" i="7" s="1"/>
  <c r="K1122" i="7"/>
  <c r="G1122" i="7"/>
  <c r="F1106" i="7"/>
  <c r="H1106" i="7" s="1"/>
  <c r="D1106" i="7"/>
  <c r="E1106" i="7" s="1"/>
  <c r="K1106" i="7"/>
  <c r="G1106" i="7"/>
  <c r="F1090" i="7"/>
  <c r="H1090" i="7" s="1"/>
  <c r="D1090" i="7"/>
  <c r="E1090" i="7" s="1"/>
  <c r="K1090" i="7"/>
  <c r="G1090" i="7"/>
  <c r="F1074" i="7"/>
  <c r="H1074" i="7" s="1"/>
  <c r="D1074" i="7"/>
  <c r="E1074" i="7" s="1"/>
  <c r="K1074" i="7"/>
  <c r="G1074" i="7"/>
  <c r="F1058" i="7"/>
  <c r="H1058" i="7" s="1"/>
  <c r="D1058" i="7"/>
  <c r="E1058" i="7" s="1"/>
  <c r="K1058" i="7"/>
  <c r="G1058" i="7"/>
  <c r="F1042" i="7"/>
  <c r="H1042" i="7" s="1"/>
  <c r="D1042" i="7"/>
  <c r="E1042" i="7" s="1"/>
  <c r="K1042" i="7"/>
  <c r="G1042" i="7"/>
  <c r="F1026" i="7"/>
  <c r="H1026" i="7" s="1"/>
  <c r="D1026" i="7"/>
  <c r="E1026" i="7" s="1"/>
  <c r="K1026" i="7"/>
  <c r="G1026" i="7"/>
  <c r="F1010" i="7"/>
  <c r="H1010" i="7" s="1"/>
  <c r="D1010" i="7"/>
  <c r="E1010" i="7" s="1"/>
  <c r="K1010" i="7"/>
  <c r="G1010" i="7"/>
  <c r="F994" i="7"/>
  <c r="H994" i="7" s="1"/>
  <c r="D994" i="7"/>
  <c r="E994" i="7" s="1"/>
  <c r="K994" i="7"/>
  <c r="G994" i="7"/>
  <c r="F978" i="7"/>
  <c r="H978" i="7" s="1"/>
  <c r="D978" i="7"/>
  <c r="E978" i="7" s="1"/>
  <c r="K978" i="7"/>
  <c r="G978" i="7"/>
  <c r="F962" i="7"/>
  <c r="H962" i="7" s="1"/>
  <c r="D962" i="7"/>
  <c r="E962" i="7" s="1"/>
  <c r="K962" i="7"/>
  <c r="G962" i="7"/>
  <c r="F946" i="7"/>
  <c r="H946" i="7" s="1"/>
  <c r="D946" i="7"/>
  <c r="E946" i="7" s="1"/>
  <c r="K946" i="7"/>
  <c r="G946" i="7"/>
  <c r="F930" i="7"/>
  <c r="H930" i="7" s="1"/>
  <c r="D930" i="7"/>
  <c r="E930" i="7" s="1"/>
  <c r="G930" i="7"/>
  <c r="K930" i="7"/>
  <c r="F914" i="7"/>
  <c r="H914" i="7" s="1"/>
  <c r="D914" i="7"/>
  <c r="E914" i="7" s="1"/>
  <c r="G914" i="7"/>
  <c r="K914" i="7"/>
  <c r="F898" i="7"/>
  <c r="H898" i="7" s="1"/>
  <c r="D898" i="7"/>
  <c r="E898" i="7" s="1"/>
  <c r="K898" i="7"/>
  <c r="G898" i="7"/>
  <c r="F882" i="7"/>
  <c r="H882" i="7" s="1"/>
  <c r="D882" i="7"/>
  <c r="E882" i="7" s="1"/>
  <c r="K882" i="7"/>
  <c r="G882" i="7"/>
  <c r="F866" i="7"/>
  <c r="H866" i="7" s="1"/>
  <c r="D866" i="7"/>
  <c r="E866" i="7" s="1"/>
  <c r="G866" i="7"/>
  <c r="K866" i="7"/>
  <c r="F850" i="7"/>
  <c r="H850" i="7" s="1"/>
  <c r="D850" i="7"/>
  <c r="E850" i="7" s="1"/>
  <c r="G850" i="7"/>
  <c r="K850" i="7"/>
  <c r="F834" i="7"/>
  <c r="H834" i="7" s="1"/>
  <c r="D834" i="7"/>
  <c r="E834" i="7" s="1"/>
  <c r="K834" i="7"/>
  <c r="G834" i="7"/>
  <c r="E1139" i="7"/>
  <c r="F1141" i="7"/>
  <c r="H1141" i="7" s="1"/>
  <c r="D1141" i="7"/>
  <c r="E1141" i="7" s="1"/>
  <c r="K1141" i="7"/>
  <c r="F1109" i="7"/>
  <c r="H1109" i="7" s="1"/>
  <c r="D1109" i="7"/>
  <c r="E1109" i="7" s="1"/>
  <c r="K1109" i="7"/>
  <c r="F1077" i="7"/>
  <c r="H1077" i="7" s="1"/>
  <c r="D1077" i="7"/>
  <c r="E1077" i="7" s="1"/>
  <c r="K1077" i="7"/>
  <c r="F1045" i="7"/>
  <c r="H1045" i="7" s="1"/>
  <c r="D1045" i="7"/>
  <c r="E1045" i="7" s="1"/>
  <c r="K1045" i="7"/>
  <c r="F1013" i="7"/>
  <c r="H1013" i="7" s="1"/>
  <c r="D1013" i="7"/>
  <c r="E1013" i="7" s="1"/>
  <c r="K1013" i="7"/>
  <c r="F981" i="7"/>
  <c r="H981" i="7" s="1"/>
  <c r="D981" i="7"/>
  <c r="E981" i="7" s="1"/>
  <c r="K981" i="7"/>
  <c r="F949" i="7"/>
  <c r="H949" i="7" s="1"/>
  <c r="D949" i="7"/>
  <c r="E949" i="7" s="1"/>
  <c r="K949" i="7"/>
  <c r="F917" i="7"/>
  <c r="H917" i="7" s="1"/>
  <c r="D917" i="7"/>
  <c r="E917" i="7" s="1"/>
  <c r="K917" i="7"/>
  <c r="F885" i="7"/>
  <c r="H885" i="7" s="1"/>
  <c r="D885" i="7"/>
  <c r="E885" i="7" s="1"/>
  <c r="K885" i="7"/>
  <c r="F853" i="7"/>
  <c r="H853" i="7" s="1"/>
  <c r="D853" i="7"/>
  <c r="E853" i="7" s="1"/>
  <c r="K853" i="7"/>
  <c r="G1077" i="7"/>
  <c r="G949" i="7"/>
  <c r="D1241" i="5"/>
  <c r="E1241" i="5" s="1"/>
  <c r="D1225" i="5"/>
  <c r="E1225" i="5" s="1"/>
  <c r="D1209" i="5"/>
  <c r="E1209" i="5" s="1"/>
  <c r="D1193" i="5"/>
  <c r="E1193" i="5" s="1"/>
  <c r="D1177" i="5"/>
  <c r="E1177" i="5" s="1"/>
  <c r="C1144" i="7"/>
  <c r="C1136" i="7"/>
  <c r="C1128" i="7"/>
  <c r="C1120" i="7"/>
  <c r="C1112" i="7"/>
  <c r="C1104" i="7"/>
  <c r="C1096" i="7"/>
  <c r="C1088" i="7"/>
  <c r="C1080" i="7"/>
  <c r="C1072" i="7"/>
  <c r="C1064" i="7"/>
  <c r="C1056" i="7"/>
  <c r="C1048" i="7"/>
  <c r="C1040" i="7"/>
  <c r="C1032" i="7"/>
  <c r="C1024" i="7"/>
  <c r="C1016" i="7"/>
  <c r="C1008" i="7"/>
  <c r="C1000" i="7"/>
  <c r="C992" i="7"/>
  <c r="C984" i="7"/>
  <c r="C976" i="7"/>
  <c r="C968" i="7"/>
  <c r="C960" i="7"/>
  <c r="C952" i="7"/>
  <c r="C944" i="7"/>
  <c r="C936" i="7"/>
  <c r="C928" i="7"/>
  <c r="C920" i="7"/>
  <c r="C912" i="7"/>
  <c r="C904" i="7"/>
  <c r="C896" i="7"/>
  <c r="C888" i="7"/>
  <c r="C880" i="7"/>
  <c r="C872" i="7"/>
  <c r="C864" i="7"/>
  <c r="C856" i="7"/>
  <c r="C848" i="7"/>
  <c r="C840" i="7"/>
  <c r="C832" i="7"/>
  <c r="C824" i="7"/>
  <c r="F1140" i="7"/>
  <c r="H1140" i="7" s="1"/>
  <c r="D1140" i="7"/>
  <c r="E1140" i="7" s="1"/>
  <c r="K1140" i="7"/>
  <c r="G1140" i="7"/>
  <c r="F1108" i="7"/>
  <c r="H1108" i="7" s="1"/>
  <c r="D1108" i="7"/>
  <c r="E1108" i="7" s="1"/>
  <c r="K1108" i="7"/>
  <c r="G1108" i="7"/>
  <c r="F1076" i="7"/>
  <c r="H1076" i="7" s="1"/>
  <c r="D1076" i="7"/>
  <c r="E1076" i="7" s="1"/>
  <c r="K1076" i="7"/>
  <c r="G1076" i="7"/>
  <c r="F1044" i="7"/>
  <c r="H1044" i="7" s="1"/>
  <c r="D1044" i="7"/>
  <c r="E1044" i="7" s="1"/>
  <c r="K1044" i="7"/>
  <c r="G1044" i="7"/>
  <c r="F1012" i="7"/>
  <c r="H1012" i="7" s="1"/>
  <c r="D1012" i="7"/>
  <c r="E1012" i="7" s="1"/>
  <c r="K1012" i="7"/>
  <c r="G1012" i="7"/>
  <c r="F980" i="7"/>
  <c r="H980" i="7" s="1"/>
  <c r="D980" i="7"/>
  <c r="E980" i="7" s="1"/>
  <c r="K980" i="7"/>
  <c r="G980" i="7"/>
  <c r="F948" i="7"/>
  <c r="H948" i="7" s="1"/>
  <c r="D948" i="7"/>
  <c r="E948" i="7" s="1"/>
  <c r="K948" i="7"/>
  <c r="G948" i="7"/>
  <c r="F916" i="7"/>
  <c r="H916" i="7" s="1"/>
  <c r="D916" i="7"/>
  <c r="E916" i="7" s="1"/>
  <c r="K916" i="7"/>
  <c r="G916" i="7"/>
  <c r="F884" i="7"/>
  <c r="H884" i="7" s="1"/>
  <c r="D884" i="7"/>
  <c r="E884" i="7" s="1"/>
  <c r="K884" i="7"/>
  <c r="G884" i="7"/>
  <c r="F852" i="7"/>
  <c r="H852" i="7" s="1"/>
  <c r="D852" i="7"/>
  <c r="E852" i="7" s="1"/>
  <c r="K852" i="7"/>
  <c r="G852" i="7"/>
  <c r="F1293" i="9"/>
  <c r="F1277" i="9"/>
  <c r="F1269" i="9"/>
  <c r="F1245" i="9"/>
  <c r="D1272" i="5"/>
  <c r="E1272" i="5" s="1"/>
  <c r="K1263" i="5"/>
  <c r="F1254" i="5"/>
  <c r="H1254" i="5" s="1"/>
  <c r="D1208" i="5"/>
  <c r="E1208" i="5" s="1"/>
  <c r="G1199" i="5"/>
  <c r="F1190" i="5"/>
  <c r="H1190" i="5" s="1"/>
  <c r="C1143" i="7"/>
  <c r="C1135" i="7"/>
  <c r="C1127" i="7"/>
  <c r="C1119" i="7"/>
  <c r="C1111" i="7"/>
  <c r="C1103" i="7"/>
  <c r="C1095" i="7"/>
  <c r="C1087" i="7"/>
  <c r="C1079" i="7"/>
  <c r="C1071" i="7"/>
  <c r="C1063" i="7"/>
  <c r="C1055" i="7"/>
  <c r="C1047" i="7"/>
  <c r="C1039" i="7"/>
  <c r="C1031" i="7"/>
  <c r="C1023" i="7"/>
  <c r="C1015" i="7"/>
  <c r="C1007" i="7"/>
  <c r="C999" i="7"/>
  <c r="C991" i="7"/>
  <c r="C983" i="7"/>
  <c r="C975" i="7"/>
  <c r="C967" i="7"/>
  <c r="C959" i="7"/>
  <c r="C951" i="7"/>
  <c r="C943" i="7"/>
  <c r="C935" i="7"/>
  <c r="C927" i="7"/>
  <c r="C919" i="7"/>
  <c r="C911" i="7"/>
  <c r="C903" i="7"/>
  <c r="C895" i="7"/>
  <c r="C887" i="7"/>
  <c r="C879" i="7"/>
  <c r="C871" i="7"/>
  <c r="C863" i="7"/>
  <c r="C855" i="7"/>
  <c r="C847" i="7"/>
  <c r="C839" i="7"/>
  <c r="C831" i="7"/>
  <c r="C823" i="7"/>
  <c r="E1067" i="7"/>
  <c r="G1109" i="7"/>
  <c r="G981" i="7"/>
  <c r="G853" i="7"/>
  <c r="F1268" i="9"/>
  <c r="F1260" i="9"/>
  <c r="F1252" i="9"/>
  <c r="F1244" i="9"/>
  <c r="J1236" i="9"/>
  <c r="J1228" i="9"/>
  <c r="F1220" i="9"/>
  <c r="F1212" i="9"/>
  <c r="J1204" i="9"/>
  <c r="F1196" i="9"/>
  <c r="J1180" i="9"/>
  <c r="J1172" i="9"/>
  <c r="F1164" i="9"/>
  <c r="J1156" i="9"/>
  <c r="G1280" i="5"/>
  <c r="K1271" i="5"/>
  <c r="G1262" i="5"/>
  <c r="G1216" i="5"/>
  <c r="F1207" i="5"/>
  <c r="H1207" i="5" s="1"/>
  <c r="G1198" i="5"/>
  <c r="D1162" i="5"/>
  <c r="E1162" i="5" s="1"/>
  <c r="G1154" i="5"/>
  <c r="E1057" i="5"/>
  <c r="C1142" i="7"/>
  <c r="C1134" i="7"/>
  <c r="C1126" i="7"/>
  <c r="C1118" i="7"/>
  <c r="C1110" i="7"/>
  <c r="C1102" i="7"/>
  <c r="C1094" i="7"/>
  <c r="C1086" i="7"/>
  <c r="C1078" i="7"/>
  <c r="C1070" i="7"/>
  <c r="C1062" i="7"/>
  <c r="C1054" i="7"/>
  <c r="C1046" i="7"/>
  <c r="C1038" i="7"/>
  <c r="C1030" i="7"/>
  <c r="C1022" i="7"/>
  <c r="C1014" i="7"/>
  <c r="C1006" i="7"/>
  <c r="C998" i="7"/>
  <c r="C990" i="7"/>
  <c r="C982" i="7"/>
  <c r="C974" i="7"/>
  <c r="C966" i="7"/>
  <c r="C958" i="7"/>
  <c r="C950" i="7"/>
  <c r="C942" i="7"/>
  <c r="C934" i="7"/>
  <c r="C926" i="7"/>
  <c r="C918" i="7"/>
  <c r="C910" i="7"/>
  <c r="C902" i="7"/>
  <c r="C894" i="7"/>
  <c r="C886" i="7"/>
  <c r="C878" i="7"/>
  <c r="C870" i="7"/>
  <c r="C862" i="7"/>
  <c r="C854" i="7"/>
  <c r="C846" i="7"/>
  <c r="C838" i="7"/>
  <c r="C830" i="7"/>
  <c r="C822" i="7"/>
  <c r="D1288" i="5"/>
  <c r="E1288" i="5" s="1"/>
  <c r="K1279" i="5"/>
  <c r="D1270" i="5"/>
  <c r="E1270" i="5" s="1"/>
  <c r="D1224" i="5"/>
  <c r="E1224" i="5" s="1"/>
  <c r="G1215" i="5"/>
  <c r="F1206" i="5"/>
  <c r="H1206" i="5" s="1"/>
  <c r="G1170" i="5"/>
  <c r="D1161" i="5"/>
  <c r="E1161" i="5" s="1"/>
  <c r="G1153" i="5"/>
  <c r="F1133" i="7"/>
  <c r="H1133" i="7" s="1"/>
  <c r="D1133" i="7"/>
  <c r="E1133" i="7" s="1"/>
  <c r="K1133" i="7"/>
  <c r="G1133" i="7"/>
  <c r="F1117" i="7"/>
  <c r="H1117" i="7" s="1"/>
  <c r="D1117" i="7"/>
  <c r="E1117" i="7" s="1"/>
  <c r="K1117" i="7"/>
  <c r="G1117" i="7"/>
  <c r="F1101" i="7"/>
  <c r="H1101" i="7" s="1"/>
  <c r="D1101" i="7"/>
  <c r="E1101" i="7" s="1"/>
  <c r="K1101" i="7"/>
  <c r="G1101" i="7"/>
  <c r="F1085" i="7"/>
  <c r="H1085" i="7" s="1"/>
  <c r="D1085" i="7"/>
  <c r="E1085" i="7" s="1"/>
  <c r="K1085" i="7"/>
  <c r="G1085" i="7"/>
  <c r="F1069" i="7"/>
  <c r="H1069" i="7" s="1"/>
  <c r="D1069" i="7"/>
  <c r="E1069" i="7" s="1"/>
  <c r="K1069" i="7"/>
  <c r="G1069" i="7"/>
  <c r="F1053" i="7"/>
  <c r="H1053" i="7" s="1"/>
  <c r="D1053" i="7"/>
  <c r="E1053" i="7" s="1"/>
  <c r="K1053" i="7"/>
  <c r="G1053" i="7"/>
  <c r="F1037" i="7"/>
  <c r="H1037" i="7" s="1"/>
  <c r="D1037" i="7"/>
  <c r="E1037" i="7" s="1"/>
  <c r="K1037" i="7"/>
  <c r="G1037" i="7"/>
  <c r="F1021" i="7"/>
  <c r="H1021" i="7" s="1"/>
  <c r="D1021" i="7"/>
  <c r="E1021" i="7" s="1"/>
  <c r="K1021" i="7"/>
  <c r="G1021" i="7"/>
  <c r="F1005" i="7"/>
  <c r="H1005" i="7" s="1"/>
  <c r="D1005" i="7"/>
  <c r="E1005" i="7" s="1"/>
  <c r="K1005" i="7"/>
  <c r="G1005" i="7"/>
  <c r="F989" i="7"/>
  <c r="H989" i="7" s="1"/>
  <c r="D989" i="7"/>
  <c r="E989" i="7" s="1"/>
  <c r="K989" i="7"/>
  <c r="G989" i="7"/>
  <c r="F973" i="7"/>
  <c r="H973" i="7" s="1"/>
  <c r="D973" i="7"/>
  <c r="E973" i="7" s="1"/>
  <c r="K973" i="7"/>
  <c r="G973" i="7"/>
  <c r="F957" i="7"/>
  <c r="H957" i="7" s="1"/>
  <c r="D957" i="7"/>
  <c r="E957" i="7" s="1"/>
  <c r="K957" i="7"/>
  <c r="G957" i="7"/>
  <c r="F941" i="7"/>
  <c r="H941" i="7" s="1"/>
  <c r="D941" i="7"/>
  <c r="E941" i="7" s="1"/>
  <c r="K941" i="7"/>
  <c r="G941" i="7"/>
  <c r="F925" i="7"/>
  <c r="H925" i="7" s="1"/>
  <c r="D925" i="7"/>
  <c r="E925" i="7" s="1"/>
  <c r="G925" i="7"/>
  <c r="K925" i="7"/>
  <c r="F909" i="7"/>
  <c r="H909" i="7" s="1"/>
  <c r="D909" i="7"/>
  <c r="E909" i="7" s="1"/>
  <c r="G909" i="7"/>
  <c r="K909" i="7"/>
  <c r="F893" i="7"/>
  <c r="H893" i="7" s="1"/>
  <c r="D893" i="7"/>
  <c r="E893" i="7" s="1"/>
  <c r="G893" i="7"/>
  <c r="F877" i="7"/>
  <c r="H877" i="7" s="1"/>
  <c r="D877" i="7"/>
  <c r="E877" i="7" s="1"/>
  <c r="K877" i="7"/>
  <c r="G877" i="7"/>
  <c r="F861" i="7"/>
  <c r="H861" i="7" s="1"/>
  <c r="D861" i="7"/>
  <c r="E861" i="7" s="1"/>
  <c r="G861" i="7"/>
  <c r="K861" i="7"/>
  <c r="F845" i="7"/>
  <c r="H845" i="7" s="1"/>
  <c r="D845" i="7"/>
  <c r="E845" i="7" s="1"/>
  <c r="G845" i="7"/>
  <c r="K845" i="7"/>
  <c r="F829" i="7"/>
  <c r="H829" i="7" s="1"/>
  <c r="D829" i="7"/>
  <c r="E829" i="7" s="1"/>
  <c r="G829" i="7"/>
  <c r="C1125" i="7"/>
  <c r="C1093" i="7"/>
  <c r="C1061" i="7"/>
  <c r="C1029" i="7"/>
  <c r="C997" i="7"/>
  <c r="C965" i="7"/>
  <c r="C933" i="7"/>
  <c r="C901" i="7"/>
  <c r="C869" i="7"/>
  <c r="C837" i="7"/>
  <c r="G1141" i="7"/>
  <c r="G1013" i="7"/>
  <c r="G885" i="7"/>
  <c r="K893" i="7"/>
  <c r="L989" i="12"/>
  <c r="K989" i="12"/>
  <c r="G989" i="12"/>
  <c r="F989" i="12"/>
  <c r="H989" i="12" s="1"/>
  <c r="D989" i="12"/>
  <c r="E989" i="12" s="1"/>
  <c r="F949" i="12"/>
  <c r="H949" i="12" s="1"/>
  <c r="L917" i="12"/>
  <c r="K917" i="12"/>
  <c r="G917" i="12"/>
  <c r="F917" i="12"/>
  <c r="D917" i="12"/>
  <c r="E917" i="12" s="1"/>
  <c r="L901" i="12"/>
  <c r="K901" i="12"/>
  <c r="G901" i="12"/>
  <c r="D901" i="12"/>
  <c r="E901" i="12" s="1"/>
  <c r="F901" i="12"/>
  <c r="H901" i="12" s="1"/>
  <c r="F885" i="12"/>
  <c r="H885" i="12" s="1"/>
  <c r="L845" i="12"/>
  <c r="G845" i="12"/>
  <c r="K845" i="12"/>
  <c r="F845" i="12"/>
  <c r="H845" i="12" s="1"/>
  <c r="D845" i="12"/>
  <c r="D1138" i="12"/>
  <c r="E1138" i="12" s="1"/>
  <c r="F1122" i="12"/>
  <c r="H1122" i="12" s="1"/>
  <c r="F1090" i="12"/>
  <c r="H1090" i="12" s="1"/>
  <c r="D1082" i="12"/>
  <c r="E1082" i="12" s="1"/>
  <c r="D1058" i="12"/>
  <c r="E1058" i="12" s="1"/>
  <c r="F1026" i="12"/>
  <c r="H1026" i="12" s="1"/>
  <c r="C1146" i="7"/>
  <c r="C1130" i="7"/>
  <c r="C1114" i="7"/>
  <c r="C1098" i="7"/>
  <c r="C1082" i="7"/>
  <c r="C1066" i="7"/>
  <c r="C1050" i="7"/>
  <c r="C1034" i="7"/>
  <c r="C1018" i="7"/>
  <c r="C1002" i="7"/>
  <c r="C986" i="7"/>
  <c r="C970" i="7"/>
  <c r="C954" i="7"/>
  <c r="C938" i="7"/>
  <c r="C922" i="7"/>
  <c r="C906" i="7"/>
  <c r="C890" i="7"/>
  <c r="C874" i="7"/>
  <c r="C858" i="7"/>
  <c r="C842" i="7"/>
  <c r="C826" i="7"/>
  <c r="L972" i="12"/>
  <c r="G972" i="12"/>
  <c r="K972" i="12"/>
  <c r="F972" i="12"/>
  <c r="H972" i="12" s="1"/>
  <c r="D972" i="12"/>
  <c r="E972" i="12" s="1"/>
  <c r="L956" i="12"/>
  <c r="G956" i="12"/>
  <c r="K956" i="12"/>
  <c r="F956" i="12"/>
  <c r="H956" i="12" s="1"/>
  <c r="D956" i="12"/>
  <c r="E956" i="12" s="1"/>
  <c r="F852" i="12"/>
  <c r="H852" i="12" s="1"/>
  <c r="D1137" i="12"/>
  <c r="E1137" i="12" s="1"/>
  <c r="D1113" i="12"/>
  <c r="E1113" i="12" s="1"/>
  <c r="D1065" i="12"/>
  <c r="E1065" i="12" s="1"/>
  <c r="D1057" i="12"/>
  <c r="E1057" i="12" s="1"/>
  <c r="K1120" i="12"/>
  <c r="L1120" i="12"/>
  <c r="F1120" i="12"/>
  <c r="H1120" i="12" s="1"/>
  <c r="G1120" i="12"/>
  <c r="D1120" i="12"/>
  <c r="E1120" i="12" s="1"/>
  <c r="K1056" i="12"/>
  <c r="L1056" i="12"/>
  <c r="F1056" i="12"/>
  <c r="H1056" i="12" s="1"/>
  <c r="G1056" i="12"/>
  <c r="D1056" i="12"/>
  <c r="E1056" i="12" s="1"/>
  <c r="K1040" i="12"/>
  <c r="L1040" i="12"/>
  <c r="F1040" i="12"/>
  <c r="H1040" i="12" s="1"/>
  <c r="G1040" i="12"/>
  <c r="D1040" i="12"/>
  <c r="E1040" i="12" s="1"/>
  <c r="D1094" i="12"/>
  <c r="E1094" i="12" s="1"/>
  <c r="F1010" i="12"/>
  <c r="H1010" i="12" s="1"/>
  <c r="D1002" i="12"/>
  <c r="E1002" i="12" s="1"/>
  <c r="F994" i="12"/>
  <c r="H994" i="12" s="1"/>
  <c r="L962" i="12"/>
  <c r="K962" i="12"/>
  <c r="G962" i="12"/>
  <c r="D962" i="12"/>
  <c r="E962" i="12" s="1"/>
  <c r="F962" i="12"/>
  <c r="H962" i="12" s="1"/>
  <c r="D930" i="12"/>
  <c r="E930" i="12" s="1"/>
  <c r="L898" i="12"/>
  <c r="G882" i="12"/>
  <c r="F882" i="12"/>
  <c r="D882" i="12"/>
  <c r="E882" i="12" s="1"/>
  <c r="G834" i="12"/>
  <c r="D834" i="12"/>
  <c r="E834" i="12" s="1"/>
  <c r="K1119" i="12"/>
  <c r="F1119" i="12"/>
  <c r="H1119" i="12" s="1"/>
  <c r="D1119" i="12"/>
  <c r="E1119" i="12" s="1"/>
  <c r="L1119" i="12"/>
  <c r="G1119" i="12"/>
  <c r="K1055" i="12"/>
  <c r="F1055" i="12"/>
  <c r="H1055" i="12" s="1"/>
  <c r="D1055" i="12"/>
  <c r="E1055" i="12" s="1"/>
  <c r="L1055" i="12"/>
  <c r="G1055" i="12"/>
  <c r="F1039" i="12"/>
  <c r="H1039" i="12" s="1"/>
  <c r="D1039" i="12"/>
  <c r="E1039" i="12" s="1"/>
  <c r="D1046" i="12"/>
  <c r="E1046" i="12" s="1"/>
  <c r="D1009" i="12"/>
  <c r="E1009" i="12" s="1"/>
  <c r="D1001" i="12"/>
  <c r="E1001" i="12" s="1"/>
  <c r="D985" i="12"/>
  <c r="E985" i="12" s="1"/>
  <c r="K953" i="12"/>
  <c r="F953" i="12"/>
  <c r="H953" i="12" s="1"/>
  <c r="L953" i="12"/>
  <c r="G953" i="12"/>
  <c r="D953" i="12"/>
  <c r="E953" i="12" s="1"/>
  <c r="K937" i="12"/>
  <c r="F937" i="12"/>
  <c r="H937" i="12" s="1"/>
  <c r="L937" i="12"/>
  <c r="G937" i="12"/>
  <c r="D937" i="12"/>
  <c r="E937" i="12" s="1"/>
  <c r="D921" i="12"/>
  <c r="E921" i="12" s="1"/>
  <c r="K889" i="12"/>
  <c r="F889" i="12"/>
  <c r="H889" i="12" s="1"/>
  <c r="L889" i="12"/>
  <c r="G889" i="12"/>
  <c r="D889" i="12"/>
  <c r="E889" i="12" s="1"/>
  <c r="K825" i="12"/>
  <c r="F825" i="12"/>
  <c r="H825" i="12" s="1"/>
  <c r="L825" i="12"/>
  <c r="G825" i="12"/>
  <c r="D825" i="12"/>
  <c r="E825" i="12" s="1"/>
  <c r="K1134" i="12"/>
  <c r="L1134" i="12"/>
  <c r="F1134" i="12"/>
  <c r="H1134" i="12" s="1"/>
  <c r="D1134" i="12"/>
  <c r="E1134" i="12" s="1"/>
  <c r="G1134" i="12"/>
  <c r="K1118" i="12"/>
  <c r="L1118" i="12"/>
  <c r="F1118" i="12"/>
  <c r="H1118" i="12" s="1"/>
  <c r="G1118" i="12"/>
  <c r="D1118" i="12"/>
  <c r="E1118" i="12" s="1"/>
  <c r="K1070" i="12"/>
  <c r="L1070" i="12"/>
  <c r="F1070" i="12"/>
  <c r="H1070" i="12" s="1"/>
  <c r="D1070" i="12"/>
  <c r="E1070" i="12" s="1"/>
  <c r="G1070" i="12"/>
  <c r="K1054" i="12"/>
  <c r="L1054" i="12"/>
  <c r="F1054" i="12"/>
  <c r="H1054" i="12" s="1"/>
  <c r="G1054" i="12"/>
  <c r="D1054" i="12"/>
  <c r="E1054" i="12" s="1"/>
  <c r="K992" i="12"/>
  <c r="L992" i="12"/>
  <c r="F992" i="12"/>
  <c r="H992" i="12" s="1"/>
  <c r="G992" i="12"/>
  <c r="D992" i="12"/>
  <c r="E992" i="12" s="1"/>
  <c r="L1093" i="12"/>
  <c r="K1093" i="12"/>
  <c r="G1093" i="12"/>
  <c r="F1093" i="12"/>
  <c r="H1093" i="12" s="1"/>
  <c r="D1093" i="12"/>
  <c r="E1093" i="12" s="1"/>
  <c r="L1077" i="12"/>
  <c r="K1077" i="12"/>
  <c r="G1077" i="12"/>
  <c r="D1077" i="12"/>
  <c r="E1077" i="12" s="1"/>
  <c r="F1077" i="12"/>
  <c r="H1077" i="12" s="1"/>
  <c r="L1029" i="12"/>
  <c r="K1029" i="12"/>
  <c r="G1029" i="12"/>
  <c r="D1029" i="12"/>
  <c r="E1029" i="12" s="1"/>
  <c r="F1029" i="12"/>
  <c r="H1029" i="12" s="1"/>
  <c r="C1007" i="12"/>
  <c r="C999" i="12"/>
  <c r="C991" i="12"/>
  <c r="C983" i="12"/>
  <c r="C975" i="12"/>
  <c r="C967" i="12"/>
  <c r="C959" i="12"/>
  <c r="C951" i="12"/>
  <c r="C943" i="12"/>
  <c r="C935" i="12"/>
  <c r="C927" i="12"/>
  <c r="C919" i="12"/>
  <c r="C911" i="12"/>
  <c r="C903" i="12"/>
  <c r="C895" i="12"/>
  <c r="C887" i="12"/>
  <c r="C879" i="12"/>
  <c r="C871" i="12"/>
  <c r="C863" i="12"/>
  <c r="C855" i="12"/>
  <c r="C847" i="12"/>
  <c r="C839" i="12"/>
  <c r="C831" i="12"/>
  <c r="C823" i="12"/>
  <c r="D1028" i="12"/>
  <c r="E1028" i="12" s="1"/>
  <c r="K1133" i="12"/>
  <c r="D1133" i="12"/>
  <c r="E1133" i="12" s="1"/>
  <c r="F1133" i="12"/>
  <c r="H1133" i="12" s="1"/>
  <c r="L1117" i="12"/>
  <c r="K1117" i="12"/>
  <c r="G1117" i="12"/>
  <c r="F1117" i="12"/>
  <c r="H1117" i="12" s="1"/>
  <c r="D1117" i="12"/>
  <c r="E1117" i="12" s="1"/>
  <c r="L1101" i="12"/>
  <c r="G1101" i="12"/>
  <c r="K1101" i="12"/>
  <c r="F1101" i="12"/>
  <c r="H1101" i="12" s="1"/>
  <c r="D1101" i="12"/>
  <c r="E1101" i="12" s="1"/>
  <c r="D1069" i="12"/>
  <c r="E1069" i="12" s="1"/>
  <c r="F1069" i="12"/>
  <c r="H1069" i="12" s="1"/>
  <c r="L1053" i="12"/>
  <c r="G1053" i="12"/>
  <c r="K1037" i="12"/>
  <c r="D1064" i="12"/>
  <c r="E1064" i="12" s="1"/>
  <c r="K1006" i="12"/>
  <c r="L1006" i="12"/>
  <c r="F1006" i="12"/>
  <c r="D1006" i="12"/>
  <c r="E1006" i="12" s="1"/>
  <c r="G1006" i="12"/>
  <c r="K990" i="12"/>
  <c r="L990" i="12"/>
  <c r="F990" i="12"/>
  <c r="H990" i="12" s="1"/>
  <c r="G990" i="12"/>
  <c r="D990" i="12"/>
  <c r="E990" i="12" s="1"/>
  <c r="K974" i="12"/>
  <c r="L974" i="12"/>
  <c r="F974" i="12"/>
  <c r="H974" i="12" s="1"/>
  <c r="G974" i="12"/>
  <c r="D974" i="12"/>
  <c r="E974" i="12" s="1"/>
  <c r="K854" i="12"/>
  <c r="L854" i="12"/>
  <c r="F854" i="12"/>
  <c r="H854" i="12" s="1"/>
  <c r="G854" i="12"/>
  <c r="D854" i="12"/>
  <c r="E854" i="12" s="1"/>
  <c r="K976" i="12"/>
  <c r="L976" i="12"/>
  <c r="F976" i="12"/>
  <c r="H976" i="12" s="1"/>
  <c r="G976" i="12"/>
  <c r="C968" i="12"/>
  <c r="C960" i="12"/>
  <c r="C952" i="12"/>
  <c r="K912" i="12"/>
  <c r="L912" i="12"/>
  <c r="F912" i="12"/>
  <c r="H912" i="12" s="1"/>
  <c r="G912" i="12"/>
  <c r="C904" i="12"/>
  <c r="C896" i="12"/>
  <c r="C888" i="12"/>
  <c r="C848" i="12"/>
  <c r="K840" i="12"/>
  <c r="F840" i="12"/>
  <c r="H840" i="12" s="1"/>
  <c r="G840" i="12"/>
  <c r="D840" i="12"/>
  <c r="E840" i="12" s="1"/>
  <c r="K832" i="12"/>
  <c r="L832" i="12"/>
  <c r="F832" i="12"/>
  <c r="H832" i="12" s="1"/>
  <c r="D832" i="12"/>
  <c r="E832" i="12" s="1"/>
  <c r="G832" i="12"/>
  <c r="C824" i="12"/>
  <c r="C1102" i="12"/>
  <c r="C1086" i="12"/>
  <c r="C1038" i="12"/>
  <c r="C1022" i="12"/>
  <c r="C973" i="12"/>
  <c r="C954" i="12"/>
  <c r="C936" i="12"/>
  <c r="C918" i="12"/>
  <c r="C900" i="12"/>
  <c r="C881" i="12"/>
  <c r="L1148" i="12"/>
  <c r="G1148" i="12"/>
  <c r="K1148" i="12"/>
  <c r="F1148" i="12"/>
  <c r="H1148" i="12" s="1"/>
  <c r="L1140" i="12"/>
  <c r="K1140" i="12"/>
  <c r="G1140" i="12"/>
  <c r="L1132" i="12"/>
  <c r="G1132" i="12"/>
  <c r="K1132" i="12"/>
  <c r="F1132" i="12"/>
  <c r="H1132" i="12" s="1"/>
  <c r="D1132" i="12"/>
  <c r="E1132" i="12" s="1"/>
  <c r="C1124" i="12"/>
  <c r="C1116" i="12"/>
  <c r="C1108" i="12"/>
  <c r="C1100" i="12"/>
  <c r="L1092" i="12"/>
  <c r="K1092" i="12"/>
  <c r="G1092" i="12"/>
  <c r="L1084" i="12"/>
  <c r="G1084" i="12"/>
  <c r="K1084" i="12"/>
  <c r="F1084" i="12"/>
  <c r="H1084" i="12" s="1"/>
  <c r="L1076" i="12"/>
  <c r="K1076" i="12"/>
  <c r="G1076" i="12"/>
  <c r="L1068" i="12"/>
  <c r="G1068" i="12"/>
  <c r="K1068" i="12"/>
  <c r="F1068" i="12"/>
  <c r="H1068" i="12" s="1"/>
  <c r="D1068" i="12"/>
  <c r="E1068" i="12" s="1"/>
  <c r="C1060" i="12"/>
  <c r="C1052" i="12"/>
  <c r="C1044" i="12"/>
  <c r="C1036" i="12"/>
  <c r="L1028" i="12"/>
  <c r="K1028" i="12"/>
  <c r="G1028" i="12"/>
  <c r="L1020" i="12"/>
  <c r="G1020" i="12"/>
  <c r="K1020" i="12"/>
  <c r="F1020" i="12"/>
  <c r="H1020" i="12" s="1"/>
  <c r="L1012" i="12"/>
  <c r="K1012" i="12"/>
  <c r="G1012" i="12"/>
  <c r="C880" i="12"/>
  <c r="C862" i="12"/>
  <c r="C844" i="12"/>
  <c r="F1058" i="12"/>
  <c r="H1058" i="12" s="1"/>
  <c r="F930" i="12"/>
  <c r="H930" i="12" s="1"/>
  <c r="K958" i="12"/>
  <c r="L958" i="12"/>
  <c r="F958" i="12"/>
  <c r="H958" i="12" s="1"/>
  <c r="G958" i="12"/>
  <c r="D958" i="12"/>
  <c r="E958" i="12" s="1"/>
  <c r="C950" i="12"/>
  <c r="C942" i="12"/>
  <c r="C934" i="12"/>
  <c r="K894" i="12"/>
  <c r="L894" i="12"/>
  <c r="F894" i="12"/>
  <c r="H894" i="12" s="1"/>
  <c r="G894" i="12"/>
  <c r="D894" i="12"/>
  <c r="E894" i="12" s="1"/>
  <c r="C886" i="12"/>
  <c r="C878" i="12"/>
  <c r="C870" i="12"/>
  <c r="K830" i="12"/>
  <c r="L830" i="12"/>
  <c r="F830" i="12"/>
  <c r="H830" i="12" s="1"/>
  <c r="G830" i="12"/>
  <c r="D830" i="12"/>
  <c r="E830" i="12" s="1"/>
  <c r="K822" i="12"/>
  <c r="L822" i="12"/>
  <c r="F822" i="12"/>
  <c r="H822" i="12" s="1"/>
  <c r="D822" i="12"/>
  <c r="E822" i="12" s="1"/>
  <c r="G822" i="12"/>
  <c r="C1147" i="12"/>
  <c r="C1139" i="12"/>
  <c r="C1131" i="12"/>
  <c r="C1123" i="12"/>
  <c r="C1115" i="12"/>
  <c r="C1107" i="12"/>
  <c r="C1099" i="12"/>
  <c r="C1091" i="12"/>
  <c r="C1083" i="12"/>
  <c r="C1075" i="12"/>
  <c r="C1067" i="12"/>
  <c r="C1059" i="12"/>
  <c r="C1051" i="12"/>
  <c r="C1043" i="12"/>
  <c r="C1035" i="12"/>
  <c r="C1027" i="12"/>
  <c r="C1019" i="12"/>
  <c r="K1144" i="12"/>
  <c r="F1144" i="12"/>
  <c r="H1144" i="12" s="1"/>
  <c r="L1144" i="12"/>
  <c r="G1144" i="12"/>
  <c r="D1144" i="12"/>
  <c r="E1144" i="12" s="1"/>
  <c r="K1128" i="12"/>
  <c r="L1128" i="12"/>
  <c r="F1128" i="12"/>
  <c r="H1128" i="12" s="1"/>
  <c r="G1128" i="12"/>
  <c r="K1112" i="12"/>
  <c r="F1112" i="12"/>
  <c r="H1112" i="12" s="1"/>
  <c r="L1112" i="12"/>
  <c r="G1112" i="12"/>
  <c r="K1096" i="12"/>
  <c r="F1096" i="12"/>
  <c r="H1096" i="12" s="1"/>
  <c r="L1096" i="12"/>
  <c r="G1096" i="12"/>
  <c r="D1096" i="12"/>
  <c r="E1096" i="12" s="1"/>
  <c r="K1080" i="12"/>
  <c r="L1080" i="12"/>
  <c r="F1080" i="12"/>
  <c r="H1080" i="12" s="1"/>
  <c r="G1080" i="12"/>
  <c r="D1080" i="12"/>
  <c r="E1080" i="12" s="1"/>
  <c r="K1064" i="12"/>
  <c r="F1064" i="12"/>
  <c r="H1064" i="12" s="1"/>
  <c r="L1064" i="12"/>
  <c r="G1064" i="12"/>
  <c r="K1048" i="12"/>
  <c r="F1048" i="12"/>
  <c r="H1048" i="12" s="1"/>
  <c r="L1048" i="12"/>
  <c r="G1048" i="12"/>
  <c r="K1032" i="12"/>
  <c r="F1032" i="12"/>
  <c r="H1032" i="12" s="1"/>
  <c r="L1032" i="12"/>
  <c r="G1032" i="12"/>
  <c r="D1032" i="12"/>
  <c r="E1032" i="12" s="1"/>
  <c r="K1016" i="12"/>
  <c r="F1016" i="12"/>
  <c r="H1016" i="12" s="1"/>
  <c r="L1016" i="12"/>
  <c r="G1016" i="12"/>
  <c r="D1016" i="12"/>
  <c r="E1016" i="12" s="1"/>
  <c r="C1000" i="12"/>
  <c r="C984" i="12"/>
  <c r="C966" i="12"/>
  <c r="C948" i="12"/>
  <c r="C929" i="12"/>
  <c r="C893" i="12"/>
  <c r="C874" i="12"/>
  <c r="C856" i="12"/>
  <c r="C838" i="12"/>
  <c r="D1076" i="12"/>
  <c r="E1076" i="12" s="1"/>
  <c r="D912" i="12"/>
  <c r="E912" i="12" s="1"/>
  <c r="L949" i="12"/>
  <c r="K949" i="12"/>
  <c r="G949" i="12"/>
  <c r="D949" i="12"/>
  <c r="E949" i="12" s="1"/>
  <c r="C941" i="12"/>
  <c r="C933" i="12"/>
  <c r="C925" i="12"/>
  <c r="L885" i="12"/>
  <c r="K885" i="12"/>
  <c r="G885" i="12"/>
  <c r="D885" i="12"/>
  <c r="E885" i="12" s="1"/>
  <c r="C877" i="12"/>
  <c r="C869" i="12"/>
  <c r="C861" i="12"/>
  <c r="E845" i="12"/>
  <c r="L1146" i="12"/>
  <c r="K1146" i="12"/>
  <c r="G1146" i="12"/>
  <c r="F1146" i="12"/>
  <c r="H1146" i="12" s="1"/>
  <c r="L1138" i="12"/>
  <c r="K1138" i="12"/>
  <c r="G1138" i="12"/>
  <c r="L1130" i="12"/>
  <c r="K1130" i="12"/>
  <c r="G1130" i="12"/>
  <c r="F1130" i="12"/>
  <c r="H1130" i="12" s="1"/>
  <c r="L1122" i="12"/>
  <c r="K1122" i="12"/>
  <c r="G1122" i="12"/>
  <c r="L1114" i="12"/>
  <c r="K1114" i="12"/>
  <c r="G1114" i="12"/>
  <c r="F1114" i="12"/>
  <c r="H1114" i="12" s="1"/>
  <c r="D1114" i="12"/>
  <c r="E1114" i="12" s="1"/>
  <c r="L1098" i="12"/>
  <c r="K1098" i="12"/>
  <c r="G1098" i="12"/>
  <c r="D1098" i="12"/>
  <c r="E1098" i="12" s="1"/>
  <c r="F1098" i="12"/>
  <c r="H1098" i="12" s="1"/>
  <c r="L1090" i="12"/>
  <c r="K1090" i="12"/>
  <c r="G1090" i="12"/>
  <c r="D1090" i="12"/>
  <c r="E1090" i="12" s="1"/>
  <c r="L1082" i="12"/>
  <c r="K1082" i="12"/>
  <c r="G1082" i="12"/>
  <c r="F1082" i="12"/>
  <c r="H1082" i="12" s="1"/>
  <c r="L1074" i="12"/>
  <c r="K1074" i="12"/>
  <c r="G1074" i="12"/>
  <c r="L1066" i="12"/>
  <c r="K1066" i="12"/>
  <c r="G1066" i="12"/>
  <c r="F1066" i="12"/>
  <c r="H1066" i="12" s="1"/>
  <c r="L1058" i="12"/>
  <c r="K1058" i="12"/>
  <c r="G1058" i="12"/>
  <c r="L1050" i="12"/>
  <c r="K1050" i="12"/>
  <c r="G1050" i="12"/>
  <c r="F1050" i="12"/>
  <c r="D1050" i="12"/>
  <c r="E1050" i="12" s="1"/>
  <c r="L1034" i="12"/>
  <c r="K1034" i="12"/>
  <c r="G1034" i="12"/>
  <c r="D1034" i="12"/>
  <c r="E1034" i="12" s="1"/>
  <c r="F1034" i="12"/>
  <c r="H1034" i="12" s="1"/>
  <c r="L1026" i="12"/>
  <c r="K1026" i="12"/>
  <c r="G1026" i="12"/>
  <c r="D1026" i="12"/>
  <c r="E1026" i="12" s="1"/>
  <c r="L1018" i="12"/>
  <c r="K1018" i="12"/>
  <c r="G1018" i="12"/>
  <c r="F1018" i="12"/>
  <c r="H1018" i="12" s="1"/>
  <c r="K1143" i="12"/>
  <c r="F1143" i="12"/>
  <c r="H1143" i="12" s="1"/>
  <c r="D1143" i="12"/>
  <c r="E1143" i="12" s="1"/>
  <c r="L1143" i="12"/>
  <c r="G1143" i="12"/>
  <c r="K1127" i="12"/>
  <c r="F1127" i="12"/>
  <c r="H1127" i="12" s="1"/>
  <c r="D1127" i="12"/>
  <c r="E1127" i="12" s="1"/>
  <c r="L1127" i="12"/>
  <c r="G1127" i="12"/>
  <c r="K1111" i="12"/>
  <c r="F1111" i="12"/>
  <c r="H1111" i="12" s="1"/>
  <c r="D1111" i="12"/>
  <c r="E1111" i="12" s="1"/>
  <c r="L1111" i="12"/>
  <c r="G1111" i="12"/>
  <c r="K1095" i="12"/>
  <c r="F1095" i="12"/>
  <c r="H1095" i="12" s="1"/>
  <c r="D1095" i="12"/>
  <c r="E1095" i="12" s="1"/>
  <c r="L1095" i="12"/>
  <c r="G1095" i="12"/>
  <c r="K1079" i="12"/>
  <c r="L1079" i="12"/>
  <c r="F1079" i="12"/>
  <c r="H1079" i="12" s="1"/>
  <c r="D1079" i="12"/>
  <c r="E1079" i="12" s="1"/>
  <c r="G1079" i="12"/>
  <c r="K1063" i="12"/>
  <c r="F1063" i="12"/>
  <c r="H1063" i="12" s="1"/>
  <c r="D1063" i="12"/>
  <c r="E1063" i="12" s="1"/>
  <c r="L1063" i="12"/>
  <c r="G1063" i="12"/>
  <c r="K1047" i="12"/>
  <c r="F1047" i="12"/>
  <c r="H1047" i="12" s="1"/>
  <c r="D1047" i="12"/>
  <c r="E1047" i="12" s="1"/>
  <c r="L1047" i="12"/>
  <c r="G1047" i="12"/>
  <c r="K1031" i="12"/>
  <c r="F1031" i="12"/>
  <c r="H1031" i="12" s="1"/>
  <c r="D1031" i="12"/>
  <c r="E1031" i="12" s="1"/>
  <c r="L1031" i="12"/>
  <c r="G1031" i="12"/>
  <c r="K1015" i="12"/>
  <c r="F1015" i="12"/>
  <c r="H1015" i="12" s="1"/>
  <c r="D1015" i="12"/>
  <c r="E1015" i="12" s="1"/>
  <c r="L1015" i="12"/>
  <c r="G1015" i="12"/>
  <c r="C965" i="12"/>
  <c r="C946" i="12"/>
  <c r="C928" i="12"/>
  <c r="C910" i="12"/>
  <c r="C892" i="12"/>
  <c r="C873" i="12"/>
  <c r="C837" i="12"/>
  <c r="D1148" i="12"/>
  <c r="D1130" i="12"/>
  <c r="E1130" i="12" s="1"/>
  <c r="D1112" i="12"/>
  <c r="E1112" i="12" s="1"/>
  <c r="D1020" i="12"/>
  <c r="E1020" i="12" s="1"/>
  <c r="F1140" i="12"/>
  <c r="H1140" i="12" s="1"/>
  <c r="F1076" i="12"/>
  <c r="H1076" i="12" s="1"/>
  <c r="F1012" i="12"/>
  <c r="H1012" i="12" s="1"/>
  <c r="L1004" i="12"/>
  <c r="G1004" i="12"/>
  <c r="K1004" i="12"/>
  <c r="F1004" i="12"/>
  <c r="H1004" i="12" s="1"/>
  <c r="D1004" i="12"/>
  <c r="E1004" i="12" s="1"/>
  <c r="C996" i="12"/>
  <c r="C988" i="12"/>
  <c r="C980" i="12"/>
  <c r="L940" i="12"/>
  <c r="G940" i="12"/>
  <c r="K940" i="12"/>
  <c r="F940" i="12"/>
  <c r="H940" i="12" s="1"/>
  <c r="D940" i="12"/>
  <c r="E940" i="12" s="1"/>
  <c r="C932" i="12"/>
  <c r="C924" i="12"/>
  <c r="C916" i="12"/>
  <c r="L876" i="12"/>
  <c r="G876" i="12"/>
  <c r="K876" i="12"/>
  <c r="F876" i="12"/>
  <c r="H876" i="12" s="1"/>
  <c r="D876" i="12"/>
  <c r="E876" i="12" s="1"/>
  <c r="C868" i="12"/>
  <c r="C860" i="12"/>
  <c r="L852" i="12"/>
  <c r="K852" i="12"/>
  <c r="G852" i="12"/>
  <c r="D852" i="12"/>
  <c r="C1145" i="12"/>
  <c r="K1137" i="12"/>
  <c r="L1137" i="12"/>
  <c r="F1137" i="12"/>
  <c r="H1137" i="12" s="1"/>
  <c r="G1137" i="12"/>
  <c r="K1129" i="12"/>
  <c r="L1129" i="12"/>
  <c r="F1129" i="12"/>
  <c r="H1129" i="12" s="1"/>
  <c r="G1129" i="12"/>
  <c r="K1121" i="12"/>
  <c r="L1121" i="12"/>
  <c r="F1121" i="12"/>
  <c r="H1121" i="12" s="1"/>
  <c r="G1121" i="12"/>
  <c r="K1113" i="12"/>
  <c r="F1113" i="12"/>
  <c r="H1113" i="12" s="1"/>
  <c r="L1113" i="12"/>
  <c r="G1113" i="12"/>
  <c r="K1073" i="12"/>
  <c r="L1073" i="12"/>
  <c r="F1073" i="12"/>
  <c r="H1073" i="12" s="1"/>
  <c r="G1073" i="12"/>
  <c r="K1065" i="12"/>
  <c r="F1065" i="12"/>
  <c r="H1065" i="12" s="1"/>
  <c r="L1065" i="12"/>
  <c r="G1065" i="12"/>
  <c r="K1057" i="12"/>
  <c r="L1057" i="12"/>
  <c r="F1057" i="12"/>
  <c r="H1057" i="12" s="1"/>
  <c r="G1057" i="12"/>
  <c r="K1049" i="12"/>
  <c r="L1049" i="12"/>
  <c r="F1049" i="12"/>
  <c r="H1049" i="12" s="1"/>
  <c r="G1049" i="12"/>
  <c r="K1142" i="12"/>
  <c r="L1142" i="12"/>
  <c r="F1142" i="12"/>
  <c r="H1142" i="12" s="1"/>
  <c r="D1142" i="12"/>
  <c r="E1142" i="12" s="1"/>
  <c r="G1142" i="12"/>
  <c r="K1126" i="12"/>
  <c r="L1126" i="12"/>
  <c r="F1126" i="12"/>
  <c r="H1126" i="12" s="1"/>
  <c r="D1126" i="12"/>
  <c r="E1126" i="12" s="1"/>
  <c r="G1126" i="12"/>
  <c r="K1110" i="12"/>
  <c r="L1110" i="12"/>
  <c r="F1110" i="12"/>
  <c r="H1110" i="12" s="1"/>
  <c r="G1110" i="12"/>
  <c r="K1094" i="12"/>
  <c r="L1094" i="12"/>
  <c r="F1094" i="12"/>
  <c r="H1094" i="12" s="1"/>
  <c r="G1094" i="12"/>
  <c r="K1078" i="12"/>
  <c r="L1078" i="12"/>
  <c r="F1078" i="12"/>
  <c r="H1078" i="12" s="1"/>
  <c r="D1078" i="12"/>
  <c r="E1078" i="12" s="1"/>
  <c r="G1078" i="12"/>
  <c r="K1062" i="12"/>
  <c r="L1062" i="12"/>
  <c r="F1062" i="12"/>
  <c r="H1062" i="12" s="1"/>
  <c r="D1062" i="12"/>
  <c r="E1062" i="12" s="1"/>
  <c r="G1062" i="12"/>
  <c r="K1046" i="12"/>
  <c r="L1046" i="12"/>
  <c r="F1046" i="12"/>
  <c r="H1046" i="12" s="1"/>
  <c r="G1046" i="12"/>
  <c r="K1030" i="12"/>
  <c r="L1030" i="12"/>
  <c r="F1030" i="12"/>
  <c r="H1030" i="12" s="1"/>
  <c r="G1030" i="12"/>
  <c r="K1014" i="12"/>
  <c r="L1014" i="12"/>
  <c r="F1014" i="12"/>
  <c r="H1014" i="12" s="1"/>
  <c r="D1014" i="12"/>
  <c r="E1014" i="12" s="1"/>
  <c r="G1014" i="12"/>
  <c r="C998" i="12"/>
  <c r="C982" i="12"/>
  <c r="C964" i="12"/>
  <c r="C945" i="12"/>
  <c r="C909" i="12"/>
  <c r="C890" i="12"/>
  <c r="C872" i="12"/>
  <c r="C836" i="12"/>
  <c r="D1129" i="12"/>
  <c r="E1129" i="12" s="1"/>
  <c r="D1110" i="12"/>
  <c r="E1110" i="12" s="1"/>
  <c r="D1092" i="12"/>
  <c r="E1092" i="12" s="1"/>
  <c r="D1074" i="12"/>
  <c r="E1074" i="12" s="1"/>
  <c r="E1148" i="12"/>
  <c r="E852" i="12"/>
  <c r="C1011" i="12"/>
  <c r="C1003" i="12"/>
  <c r="C995" i="12"/>
  <c r="C987" i="12"/>
  <c r="C979" i="12"/>
  <c r="C971" i="12"/>
  <c r="C963" i="12"/>
  <c r="C955" i="12"/>
  <c r="C947" i="12"/>
  <c r="C939" i="12"/>
  <c r="C931" i="12"/>
  <c r="C923" i="12"/>
  <c r="C915" i="12"/>
  <c r="C907" i="12"/>
  <c r="C899" i="12"/>
  <c r="C891" i="12"/>
  <c r="C883" i="12"/>
  <c r="C875" i="12"/>
  <c r="C867" i="12"/>
  <c r="C859" i="12"/>
  <c r="C851" i="12"/>
  <c r="C843" i="12"/>
  <c r="C835" i="12"/>
  <c r="C827" i="12"/>
  <c r="C1141" i="12"/>
  <c r="C1125" i="12"/>
  <c r="C1109" i="12"/>
  <c r="C1061" i="12"/>
  <c r="C1045" i="12"/>
  <c r="C1013" i="12"/>
  <c r="C997" i="12"/>
  <c r="C981" i="12"/>
  <c r="C944" i="12"/>
  <c r="C926" i="12"/>
  <c r="C908" i="12"/>
  <c r="C853" i="12"/>
  <c r="D1146" i="12"/>
  <c r="E1146" i="12" s="1"/>
  <c r="D1128" i="12"/>
  <c r="E1128" i="12" s="1"/>
  <c r="D1073" i="12"/>
  <c r="E1073" i="12" s="1"/>
  <c r="D1018" i="12"/>
  <c r="E1018" i="12" s="1"/>
  <c r="F1138" i="12"/>
  <c r="H1138" i="12" s="1"/>
  <c r="F1074" i="12"/>
  <c r="H1074" i="12" s="1"/>
  <c r="K1002" i="12"/>
  <c r="G1002" i="12"/>
  <c r="L994" i="12"/>
  <c r="K994" i="12"/>
  <c r="C986" i="12"/>
  <c r="C978" i="12"/>
  <c r="C970" i="12"/>
  <c r="L930" i="12"/>
  <c r="K930" i="12"/>
  <c r="G930" i="12"/>
  <c r="C922" i="12"/>
  <c r="C914" i="12"/>
  <c r="C906" i="12"/>
  <c r="C866" i="12"/>
  <c r="C858" i="12"/>
  <c r="L842" i="12"/>
  <c r="K842" i="12"/>
  <c r="C1136" i="12"/>
  <c r="C1104" i="12"/>
  <c r="C1088" i="12"/>
  <c r="C1072" i="12"/>
  <c r="C1024" i="12"/>
  <c r="C1008" i="12"/>
  <c r="C957" i="12"/>
  <c r="C938" i="12"/>
  <c r="C920" i="12"/>
  <c r="C902" i="12"/>
  <c r="C884" i="12"/>
  <c r="C865" i="12"/>
  <c r="C829" i="12"/>
  <c r="D1140" i="12"/>
  <c r="E1140" i="12" s="1"/>
  <c r="D1122" i="12"/>
  <c r="E1122" i="12" s="1"/>
  <c r="D1049" i="12"/>
  <c r="E1049" i="12" s="1"/>
  <c r="D1030" i="12"/>
  <c r="E1030" i="12" s="1"/>
  <c r="D1012" i="12"/>
  <c r="E1012" i="12" s="1"/>
  <c r="D976" i="12"/>
  <c r="E976" i="12" s="1"/>
  <c r="K1009" i="12"/>
  <c r="L1009" i="12"/>
  <c r="F1009" i="12"/>
  <c r="H1009" i="12" s="1"/>
  <c r="G1009" i="12"/>
  <c r="K1001" i="12"/>
  <c r="L1001" i="12"/>
  <c r="F1001" i="12"/>
  <c r="H1001" i="12" s="1"/>
  <c r="G1001" i="12"/>
  <c r="K993" i="12"/>
  <c r="L993" i="12"/>
  <c r="F993" i="12"/>
  <c r="H993" i="12" s="1"/>
  <c r="G993" i="12"/>
  <c r="K985" i="12"/>
  <c r="F985" i="12"/>
  <c r="H985" i="12" s="1"/>
  <c r="L985" i="12"/>
  <c r="G985" i="12"/>
  <c r="C977" i="12"/>
  <c r="C969" i="12"/>
  <c r="C961" i="12"/>
  <c r="K921" i="12"/>
  <c r="F921" i="12"/>
  <c r="H921" i="12" s="1"/>
  <c r="L921" i="12"/>
  <c r="G921" i="12"/>
  <c r="C913" i="12"/>
  <c r="C905" i="12"/>
  <c r="C897" i="12"/>
  <c r="C857" i="12"/>
  <c r="C849" i="12"/>
  <c r="K841" i="12"/>
  <c r="F841" i="12"/>
  <c r="H841" i="12" s="1"/>
  <c r="L841" i="12"/>
  <c r="D841" i="12"/>
  <c r="E841" i="12" s="1"/>
  <c r="G841" i="12"/>
  <c r="K833" i="12"/>
  <c r="L833" i="12"/>
  <c r="F833" i="12"/>
  <c r="H833" i="12" s="1"/>
  <c r="D833" i="12"/>
  <c r="E833" i="12" s="1"/>
  <c r="G833" i="12"/>
  <c r="C1135" i="12"/>
  <c r="C1103" i="12"/>
  <c r="C1087" i="12"/>
  <c r="C1071" i="12"/>
  <c r="C1023" i="12"/>
  <c r="C864" i="12"/>
  <c r="C846" i="12"/>
  <c r="C828" i="12"/>
  <c r="D1121" i="12"/>
  <c r="E1121" i="12" s="1"/>
  <c r="D1084" i="12"/>
  <c r="E1084" i="12" s="1"/>
  <c r="D1066" i="12"/>
  <c r="E1066" i="12" s="1"/>
  <c r="D1048" i="12"/>
  <c r="E1048" i="12" s="1"/>
  <c r="D993" i="12"/>
  <c r="E993" i="12" s="1"/>
  <c r="F1092" i="12"/>
  <c r="H1092" i="12" s="1"/>
  <c r="F1028" i="12"/>
  <c r="H1028" i="12" s="1"/>
  <c r="C1105" i="12"/>
  <c r="C1097" i="12"/>
  <c r="C1089" i="12"/>
  <c r="C1081" i="12"/>
  <c r="C1041" i="12"/>
  <c r="C1033" i="12"/>
  <c r="C1025" i="12"/>
  <c r="C1017" i="12"/>
  <c r="O981" i="33"/>
  <c r="J981" i="33"/>
  <c r="G981" i="33"/>
  <c r="F981" i="33"/>
  <c r="N981" i="33"/>
  <c r="D981" i="33"/>
  <c r="E981" i="33" s="1"/>
  <c r="O925" i="33"/>
  <c r="N925" i="33"/>
  <c r="J925" i="33"/>
  <c r="G925" i="33"/>
  <c r="H925" i="33" s="1"/>
  <c r="F925" i="33"/>
  <c r="D925" i="33"/>
  <c r="E925" i="33" s="1"/>
  <c r="D1066" i="33"/>
  <c r="E1066" i="33" s="1"/>
  <c r="C1106" i="12"/>
  <c r="C1042" i="12"/>
  <c r="N874" i="33"/>
  <c r="O874" i="33"/>
  <c r="F874" i="33"/>
  <c r="G874" i="33"/>
  <c r="H874" i="33" s="1"/>
  <c r="J874" i="33"/>
  <c r="D874" i="33"/>
  <c r="E874" i="33" s="1"/>
  <c r="O840" i="33"/>
  <c r="N840" i="33"/>
  <c r="G840" i="33"/>
  <c r="H840" i="33" s="1"/>
  <c r="F840" i="33"/>
  <c r="J840" i="33"/>
  <c r="D840" i="33"/>
  <c r="E840" i="33" s="1"/>
  <c r="O1120" i="33"/>
  <c r="N1120" i="33"/>
  <c r="J1120" i="33"/>
  <c r="F1120" i="33"/>
  <c r="G1120" i="33"/>
  <c r="H1120" i="33" s="1"/>
  <c r="D1120" i="33"/>
  <c r="E1120" i="33" s="1"/>
  <c r="O1096" i="33"/>
  <c r="N1096" i="33"/>
  <c r="J1096" i="33"/>
  <c r="G1096" i="33"/>
  <c r="F1096" i="33"/>
  <c r="D1096" i="33"/>
  <c r="E1096" i="33" s="1"/>
  <c r="O1056" i="33"/>
  <c r="N1056" i="33"/>
  <c r="J1056" i="33"/>
  <c r="F1056" i="33"/>
  <c r="G1056" i="33"/>
  <c r="D1056" i="33"/>
  <c r="E1056" i="33" s="1"/>
  <c r="O1032" i="33"/>
  <c r="N1032" i="33"/>
  <c r="G1032" i="33"/>
  <c r="F1032" i="33"/>
  <c r="J1032" i="33"/>
  <c r="D1032" i="33"/>
  <c r="E1032" i="33" s="1"/>
  <c r="O1024" i="33"/>
  <c r="N1024" i="33"/>
  <c r="D1024" i="33"/>
  <c r="E1024" i="33" s="1"/>
  <c r="J1024" i="33"/>
  <c r="F1024" i="33"/>
  <c r="G1024" i="33"/>
  <c r="H1024" i="33" s="1"/>
  <c r="O992" i="33"/>
  <c r="N992" i="33"/>
  <c r="J992" i="33"/>
  <c r="F992" i="33"/>
  <c r="G992" i="33"/>
  <c r="D992" i="33"/>
  <c r="E992" i="33" s="1"/>
  <c r="O968" i="33"/>
  <c r="N968" i="33"/>
  <c r="J968" i="33"/>
  <c r="G968" i="33"/>
  <c r="H968" i="33" s="1"/>
  <c r="F968" i="33"/>
  <c r="D968" i="33"/>
  <c r="E968" i="33" s="1"/>
  <c r="O960" i="33"/>
  <c r="N960" i="33"/>
  <c r="J960" i="33"/>
  <c r="F960" i="33"/>
  <c r="D960" i="33"/>
  <c r="E960" i="33" s="1"/>
  <c r="G960" i="33"/>
  <c r="H960" i="33" s="1"/>
  <c r="O928" i="33"/>
  <c r="N928" i="33"/>
  <c r="F928" i="33"/>
  <c r="J928" i="33"/>
  <c r="G928" i="33"/>
  <c r="H928" i="33" s="1"/>
  <c r="D928" i="33"/>
  <c r="E928" i="33" s="1"/>
  <c r="O896" i="33"/>
  <c r="N896" i="33"/>
  <c r="F896" i="33"/>
  <c r="J896" i="33"/>
  <c r="G896" i="33"/>
  <c r="D896" i="33"/>
  <c r="E896" i="33" s="1"/>
  <c r="D864" i="33"/>
  <c r="E864" i="33" s="1"/>
  <c r="O832" i="33"/>
  <c r="N832" i="33"/>
  <c r="J832" i="33"/>
  <c r="D832" i="33"/>
  <c r="E832" i="33" s="1"/>
  <c r="F832" i="33"/>
  <c r="G832" i="33"/>
  <c r="O1088" i="33"/>
  <c r="N1088" i="33"/>
  <c r="J1088" i="33"/>
  <c r="D1088" i="33"/>
  <c r="F1088" i="33"/>
  <c r="G1088" i="33"/>
  <c r="O1031" i="33"/>
  <c r="J1031" i="33"/>
  <c r="N1031" i="33"/>
  <c r="F1031" i="33"/>
  <c r="G1031" i="33"/>
  <c r="H1031" i="33" s="1"/>
  <c r="D1031" i="33"/>
  <c r="O873" i="33"/>
  <c r="N873" i="33"/>
  <c r="J873" i="33"/>
  <c r="G873" i="33"/>
  <c r="F873" i="33"/>
  <c r="D873" i="33"/>
  <c r="E873" i="33" s="1"/>
  <c r="O839" i="33"/>
  <c r="J839" i="33"/>
  <c r="N839" i="33"/>
  <c r="F839" i="33"/>
  <c r="G839" i="33"/>
  <c r="D839" i="33"/>
  <c r="E839" i="33" s="1"/>
  <c r="D1135" i="33"/>
  <c r="E1135" i="33" s="1"/>
  <c r="J1127" i="33"/>
  <c r="N1127" i="33"/>
  <c r="O1127" i="33"/>
  <c r="F1127" i="33"/>
  <c r="D1127" i="33"/>
  <c r="E1127" i="33" s="1"/>
  <c r="G1127" i="33"/>
  <c r="N1119" i="33"/>
  <c r="O1119" i="33"/>
  <c r="J1119" i="33"/>
  <c r="F1119" i="33"/>
  <c r="G1119" i="33"/>
  <c r="H1119" i="33" s="1"/>
  <c r="D1119" i="33"/>
  <c r="E1119" i="33" s="1"/>
  <c r="D1111" i="33"/>
  <c r="E1111" i="33" s="1"/>
  <c r="J1063" i="33"/>
  <c r="N1063" i="33"/>
  <c r="O1063" i="33"/>
  <c r="D1063" i="33"/>
  <c r="E1063" i="33" s="1"/>
  <c r="F1063" i="33"/>
  <c r="G1063" i="33"/>
  <c r="N1055" i="33"/>
  <c r="O1055" i="33"/>
  <c r="J1055" i="33"/>
  <c r="F1055" i="33"/>
  <c r="G1055" i="33"/>
  <c r="D1055" i="33"/>
  <c r="E1055" i="33" s="1"/>
  <c r="D1047" i="33"/>
  <c r="E1047" i="33" s="1"/>
  <c r="E1031" i="33"/>
  <c r="J999" i="33"/>
  <c r="N999" i="33"/>
  <c r="O999" i="33"/>
  <c r="F999" i="33"/>
  <c r="G999" i="33"/>
  <c r="H999" i="33" s="1"/>
  <c r="D999" i="33"/>
  <c r="E999" i="33" s="1"/>
  <c r="N991" i="33"/>
  <c r="O991" i="33"/>
  <c r="J991" i="33"/>
  <c r="F991" i="33"/>
  <c r="G991" i="33"/>
  <c r="J935" i="33"/>
  <c r="O935" i="33"/>
  <c r="N935" i="33"/>
  <c r="F935" i="33"/>
  <c r="D935" i="33"/>
  <c r="E935" i="33" s="1"/>
  <c r="G935" i="33"/>
  <c r="N927" i="33"/>
  <c r="O927" i="33"/>
  <c r="J927" i="33"/>
  <c r="F927" i="33"/>
  <c r="G927" i="33"/>
  <c r="D927" i="33"/>
  <c r="E927" i="33" s="1"/>
  <c r="F919" i="33"/>
  <c r="D1142" i="33"/>
  <c r="E1142" i="33" s="1"/>
  <c r="J1087" i="33"/>
  <c r="O1087" i="33"/>
  <c r="N1087" i="33"/>
  <c r="G1087" i="33"/>
  <c r="D1087" i="33"/>
  <c r="E1087" i="33" s="1"/>
  <c r="F1087" i="33"/>
  <c r="N959" i="33"/>
  <c r="J959" i="33"/>
  <c r="O959" i="33"/>
  <c r="G959" i="33"/>
  <c r="H959" i="33" s="1"/>
  <c r="F959" i="33"/>
  <c r="D959" i="33"/>
  <c r="E959" i="33" s="1"/>
  <c r="O904" i="33"/>
  <c r="N904" i="33"/>
  <c r="G904" i="33"/>
  <c r="F904" i="33"/>
  <c r="J904" i="33"/>
  <c r="D904" i="33"/>
  <c r="E904" i="33" s="1"/>
  <c r="N1130" i="33"/>
  <c r="O1130" i="33"/>
  <c r="F1130" i="33"/>
  <c r="J1130" i="33"/>
  <c r="G1130" i="33"/>
  <c r="D1130" i="33"/>
  <c r="E1130" i="33" s="1"/>
  <c r="O903" i="33"/>
  <c r="J903" i="33"/>
  <c r="N903" i="33"/>
  <c r="F903" i="33"/>
  <c r="G903" i="33"/>
  <c r="H903" i="33" s="1"/>
  <c r="D903" i="33"/>
  <c r="E903" i="33" s="1"/>
  <c r="C1141" i="33"/>
  <c r="C1133" i="33"/>
  <c r="C1125" i="33"/>
  <c r="C1117" i="33"/>
  <c r="C1101" i="33"/>
  <c r="C1093" i="33"/>
  <c r="C1085" i="33"/>
  <c r="C1077" i="33"/>
  <c r="C1069" i="33"/>
  <c r="C1061" i="33"/>
  <c r="C1045" i="33"/>
  <c r="C1037" i="33"/>
  <c r="C1029" i="33"/>
  <c r="C1021" i="33"/>
  <c r="C1013" i="33"/>
  <c r="C1005" i="33"/>
  <c r="C997" i="33"/>
  <c r="C989" i="33"/>
  <c r="C973" i="33"/>
  <c r="C965" i="33"/>
  <c r="C957" i="33"/>
  <c r="C949" i="33"/>
  <c r="C941" i="33"/>
  <c r="C933" i="33"/>
  <c r="C917" i="33"/>
  <c r="C909" i="33"/>
  <c r="C901" i="33"/>
  <c r="C893" i="33"/>
  <c r="C885" i="33"/>
  <c r="C877" i="33"/>
  <c r="C869" i="33"/>
  <c r="N845" i="33"/>
  <c r="J845" i="33"/>
  <c r="G845" i="33"/>
  <c r="F845" i="33"/>
  <c r="D845" i="33"/>
  <c r="E845" i="33" s="1"/>
  <c r="O845" i="33"/>
  <c r="N837" i="33"/>
  <c r="O837" i="33"/>
  <c r="J837" i="33"/>
  <c r="G837" i="33"/>
  <c r="F837" i="33"/>
  <c r="D837" i="33"/>
  <c r="E837" i="33" s="1"/>
  <c r="O1129" i="33"/>
  <c r="N1129" i="33"/>
  <c r="J1129" i="33"/>
  <c r="G1129" i="33"/>
  <c r="F1129" i="33"/>
  <c r="D1129" i="33"/>
  <c r="E1129" i="33" s="1"/>
  <c r="N829" i="33"/>
  <c r="D991" i="33"/>
  <c r="E991" i="33" s="1"/>
  <c r="O1073" i="33"/>
  <c r="N1073" i="33"/>
  <c r="J1073" i="33"/>
  <c r="G1073" i="33"/>
  <c r="F1073" i="33"/>
  <c r="D1073" i="33"/>
  <c r="E1073" i="33" s="1"/>
  <c r="O1001" i="33"/>
  <c r="N1001" i="33"/>
  <c r="J1001" i="33"/>
  <c r="G1001" i="33"/>
  <c r="F1001" i="33"/>
  <c r="D1001" i="33"/>
  <c r="E1001" i="33" s="1"/>
  <c r="O946" i="33"/>
  <c r="N946" i="33"/>
  <c r="J946" i="33"/>
  <c r="F946" i="33"/>
  <c r="G946" i="33"/>
  <c r="H946" i="33" s="1"/>
  <c r="D946" i="33"/>
  <c r="E946" i="33" s="1"/>
  <c r="O861" i="33"/>
  <c r="N861" i="33"/>
  <c r="J861" i="33"/>
  <c r="G861" i="33"/>
  <c r="F861" i="33"/>
  <c r="D861" i="33"/>
  <c r="E861" i="33" s="1"/>
  <c r="O1054" i="33"/>
  <c r="N1054" i="33"/>
  <c r="J1054" i="33"/>
  <c r="D1054" i="33"/>
  <c r="G1054" i="33"/>
  <c r="H1054" i="33" s="1"/>
  <c r="F1054" i="33"/>
  <c r="O945" i="33"/>
  <c r="N945" i="33"/>
  <c r="J945" i="33"/>
  <c r="G945" i="33"/>
  <c r="D945" i="33"/>
  <c r="E945" i="33" s="1"/>
  <c r="F945" i="33"/>
  <c r="G886" i="33"/>
  <c r="D1138" i="33"/>
  <c r="E1138" i="33" s="1"/>
  <c r="G1138" i="33"/>
  <c r="O1066" i="33"/>
  <c r="F1066" i="33"/>
  <c r="O882" i="33"/>
  <c r="F882" i="33"/>
  <c r="N882" i="33"/>
  <c r="C1109" i="33"/>
  <c r="C1053" i="33"/>
  <c r="O982" i="33"/>
  <c r="N982" i="33"/>
  <c r="J982" i="33"/>
  <c r="G982" i="33"/>
  <c r="F982" i="33"/>
  <c r="D982" i="33"/>
  <c r="E982" i="33" s="1"/>
  <c r="O1137" i="33"/>
  <c r="J1137" i="33"/>
  <c r="N1137" i="33"/>
  <c r="G1137" i="33"/>
  <c r="F1137" i="33"/>
  <c r="D1137" i="33"/>
  <c r="E1137" i="33" s="1"/>
  <c r="O1065" i="33"/>
  <c r="N1065" i="33"/>
  <c r="J1065" i="33"/>
  <c r="G1065" i="33"/>
  <c r="F1065" i="33"/>
  <c r="D1065" i="33"/>
  <c r="E1065" i="33" s="1"/>
  <c r="O1009" i="33"/>
  <c r="N1009" i="33"/>
  <c r="J1009" i="33"/>
  <c r="G1009" i="33"/>
  <c r="F1009" i="33"/>
  <c r="D1009" i="33"/>
  <c r="E1009" i="33" s="1"/>
  <c r="D969" i="33"/>
  <c r="E969" i="33" s="1"/>
  <c r="O937" i="33"/>
  <c r="N937" i="33"/>
  <c r="J937" i="33"/>
  <c r="G937" i="33"/>
  <c r="H937" i="33" s="1"/>
  <c r="F937" i="33"/>
  <c r="D937" i="33"/>
  <c r="E937" i="33" s="1"/>
  <c r="O990" i="33"/>
  <c r="N990" i="33"/>
  <c r="J990" i="33"/>
  <c r="G990" i="33"/>
  <c r="H990" i="33" s="1"/>
  <c r="F990" i="33"/>
  <c r="D990" i="33"/>
  <c r="E990" i="33" s="1"/>
  <c r="O918" i="33"/>
  <c r="N918" i="33"/>
  <c r="J918" i="33"/>
  <c r="G918" i="33"/>
  <c r="H918" i="33" s="1"/>
  <c r="F918" i="33"/>
  <c r="I918" i="33" s="1"/>
  <c r="D918" i="33"/>
  <c r="E918" i="33" s="1"/>
  <c r="O854" i="33"/>
  <c r="N854" i="33"/>
  <c r="J854" i="33"/>
  <c r="G854" i="33"/>
  <c r="H854" i="33" s="1"/>
  <c r="F854" i="33"/>
  <c r="D854" i="33"/>
  <c r="E854" i="33" s="1"/>
  <c r="O1095" i="33"/>
  <c r="N1095" i="33"/>
  <c r="J1095" i="33"/>
  <c r="F1095" i="33"/>
  <c r="G1095" i="33"/>
  <c r="D1095" i="33"/>
  <c r="E1095" i="33" s="1"/>
  <c r="O1023" i="33"/>
  <c r="J1023" i="33"/>
  <c r="N1023" i="33"/>
  <c r="G1023" i="33"/>
  <c r="H1023" i="33" s="1"/>
  <c r="D1023" i="33"/>
  <c r="E1023" i="33" s="1"/>
  <c r="F1023" i="33"/>
  <c r="G950" i="33"/>
  <c r="O881" i="33"/>
  <c r="N881" i="33"/>
  <c r="J881" i="33"/>
  <c r="G881" i="33"/>
  <c r="H881" i="33" s="1"/>
  <c r="D881" i="33"/>
  <c r="E881" i="33" s="1"/>
  <c r="F881" i="33"/>
  <c r="O853" i="33"/>
  <c r="J853" i="33"/>
  <c r="N853" i="33"/>
  <c r="G853" i="33"/>
  <c r="H853" i="33" s="1"/>
  <c r="F853" i="33"/>
  <c r="D853" i="33"/>
  <c r="E853" i="33" s="1"/>
  <c r="O1033" i="33"/>
  <c r="N1033" i="33"/>
  <c r="J1033" i="33"/>
  <c r="D1033" i="33"/>
  <c r="E1033" i="33" s="1"/>
  <c r="G1033" i="33"/>
  <c r="O969" i="33"/>
  <c r="N969" i="33"/>
  <c r="J969" i="33"/>
  <c r="G969" i="33"/>
  <c r="H969" i="33" s="1"/>
  <c r="F969" i="33"/>
  <c r="O905" i="33"/>
  <c r="N905" i="33"/>
  <c r="J905" i="33"/>
  <c r="G905" i="33"/>
  <c r="F905" i="33"/>
  <c r="O841" i="33"/>
  <c r="N841" i="33"/>
  <c r="J841" i="33"/>
  <c r="G841" i="33"/>
  <c r="H841" i="33" s="1"/>
  <c r="D841" i="33"/>
  <c r="E841" i="33" s="1"/>
  <c r="F841" i="33"/>
  <c r="O864" i="33"/>
  <c r="N864" i="33"/>
  <c r="J864" i="33"/>
  <c r="F864" i="33"/>
  <c r="G864" i="33"/>
  <c r="H864" i="33" s="1"/>
  <c r="F1033" i="33"/>
  <c r="C1146" i="33"/>
  <c r="C1122" i="33"/>
  <c r="C1114" i="33"/>
  <c r="C1106" i="33"/>
  <c r="C1098" i="33"/>
  <c r="C1090" i="33"/>
  <c r="C1082" i="33"/>
  <c r="C1058" i="33"/>
  <c r="C1050" i="33"/>
  <c r="C1042" i="33"/>
  <c r="N1034" i="33"/>
  <c r="G1034" i="33"/>
  <c r="F1034" i="33"/>
  <c r="C1026" i="33"/>
  <c r="C1018" i="33"/>
  <c r="C994" i="33"/>
  <c r="C986" i="33"/>
  <c r="C978" i="33"/>
  <c r="C970" i="33"/>
  <c r="C962" i="33"/>
  <c r="C954" i="33"/>
  <c r="C930" i="33"/>
  <c r="C922" i="33"/>
  <c r="C914" i="33"/>
  <c r="F906" i="33"/>
  <c r="C898" i="33"/>
  <c r="C890" i="33"/>
  <c r="C866" i="33"/>
  <c r="C858" i="33"/>
  <c r="C850" i="33"/>
  <c r="C842" i="33"/>
  <c r="C834" i="33"/>
  <c r="C826" i="33"/>
  <c r="O1118" i="33"/>
  <c r="N1118" i="33"/>
  <c r="J1118" i="33"/>
  <c r="G1118" i="33"/>
  <c r="H1118" i="33" s="1"/>
  <c r="F1118" i="33"/>
  <c r="D1118" i="33"/>
  <c r="O1046" i="33"/>
  <c r="N1046" i="33"/>
  <c r="J1046" i="33"/>
  <c r="G1046" i="33"/>
  <c r="F1046" i="33"/>
  <c r="D1046" i="33"/>
  <c r="E1046" i="33" s="1"/>
  <c r="C1010" i="33"/>
  <c r="C938" i="33"/>
  <c r="G1078" i="33"/>
  <c r="O967" i="33"/>
  <c r="J967" i="33"/>
  <c r="F967" i="33"/>
  <c r="N967" i="33"/>
  <c r="G967" i="33"/>
  <c r="H967" i="33" s="1"/>
  <c r="D967" i="33"/>
  <c r="E967" i="33" s="1"/>
  <c r="N895" i="33"/>
  <c r="O895" i="33"/>
  <c r="J895" i="33"/>
  <c r="G895" i="33"/>
  <c r="F895" i="33"/>
  <c r="D895" i="33"/>
  <c r="E895" i="33" s="1"/>
  <c r="J831" i="33"/>
  <c r="O831" i="33"/>
  <c r="D831" i="33"/>
  <c r="E831" i="33" s="1"/>
  <c r="G831" i="33"/>
  <c r="N831" i="33"/>
  <c r="F831" i="33"/>
  <c r="C1128" i="33"/>
  <c r="C1064" i="33"/>
  <c r="C1000" i="33"/>
  <c r="C936" i="33"/>
  <c r="C872" i="33"/>
  <c r="O1110" i="33"/>
  <c r="N1110" i="33"/>
  <c r="J1110" i="33"/>
  <c r="G1110" i="33"/>
  <c r="F1110" i="33"/>
  <c r="D1110" i="33"/>
  <c r="E1110" i="33" s="1"/>
  <c r="C1074" i="33"/>
  <c r="C1002" i="33"/>
  <c r="O926" i="33"/>
  <c r="N926" i="33"/>
  <c r="J926" i="33"/>
  <c r="G926" i="33"/>
  <c r="H926" i="33" s="1"/>
  <c r="F926" i="33"/>
  <c r="I926" i="33" s="1"/>
  <c r="D926" i="33"/>
  <c r="E926" i="33" s="1"/>
  <c r="O862" i="33"/>
  <c r="N862" i="33"/>
  <c r="J862" i="33"/>
  <c r="G862" i="33"/>
  <c r="H862" i="33" s="1"/>
  <c r="F862" i="33"/>
  <c r="D862" i="33"/>
  <c r="E862" i="33" s="1"/>
  <c r="O1134" i="33"/>
  <c r="N1134" i="33"/>
  <c r="J1134" i="33"/>
  <c r="F1134" i="33"/>
  <c r="G1134" i="33"/>
  <c r="O1126" i="33"/>
  <c r="N1126" i="33"/>
  <c r="J1126" i="33"/>
  <c r="G1126" i="33"/>
  <c r="E1118" i="33"/>
  <c r="O1102" i="33"/>
  <c r="N1102" i="33"/>
  <c r="J1102" i="33"/>
  <c r="F1102" i="33"/>
  <c r="O1070" i="33"/>
  <c r="N1070" i="33"/>
  <c r="J1070" i="33"/>
  <c r="D1070" i="33"/>
  <c r="E1070" i="33" s="1"/>
  <c r="F1070" i="33"/>
  <c r="G1070" i="33"/>
  <c r="O1062" i="33"/>
  <c r="N1062" i="33"/>
  <c r="J1062" i="33"/>
  <c r="D1062" i="33"/>
  <c r="E1062" i="33" s="1"/>
  <c r="G1062" i="33"/>
  <c r="E1054" i="33"/>
  <c r="O1038" i="33"/>
  <c r="N1038" i="33"/>
  <c r="J1038" i="33"/>
  <c r="F1038" i="33"/>
  <c r="O1006" i="33"/>
  <c r="N1006" i="33"/>
  <c r="J1006" i="33"/>
  <c r="D1006" i="33"/>
  <c r="E1006" i="33" s="1"/>
  <c r="F1006" i="33"/>
  <c r="G1006" i="33"/>
  <c r="O998" i="33"/>
  <c r="N998" i="33"/>
  <c r="J998" i="33"/>
  <c r="G998" i="33"/>
  <c r="H998" i="33" s="1"/>
  <c r="D998" i="33"/>
  <c r="E998" i="33" s="1"/>
  <c r="O974" i="33"/>
  <c r="N974" i="33"/>
  <c r="J974" i="33"/>
  <c r="D974" i="33"/>
  <c r="E974" i="33" s="1"/>
  <c r="F974" i="33"/>
  <c r="O942" i="33"/>
  <c r="N942" i="33"/>
  <c r="J942" i="33"/>
  <c r="D942" i="33"/>
  <c r="E942" i="33" s="1"/>
  <c r="F942" i="33"/>
  <c r="G942" i="33"/>
  <c r="H942" i="33" s="1"/>
  <c r="O934" i="33"/>
  <c r="N934" i="33"/>
  <c r="J934" i="33"/>
  <c r="G934" i="33"/>
  <c r="H934" i="33" s="1"/>
  <c r="D934" i="33"/>
  <c r="E934" i="33" s="1"/>
  <c r="O910" i="33"/>
  <c r="N910" i="33"/>
  <c r="J910" i="33"/>
  <c r="D910" i="33"/>
  <c r="E910" i="33" s="1"/>
  <c r="F910" i="33"/>
  <c r="O878" i="33"/>
  <c r="N878" i="33"/>
  <c r="J878" i="33"/>
  <c r="D878" i="33"/>
  <c r="E878" i="33" s="1"/>
  <c r="F878" i="33"/>
  <c r="G878" i="33"/>
  <c r="O870" i="33"/>
  <c r="N870" i="33"/>
  <c r="J870" i="33"/>
  <c r="G870" i="33"/>
  <c r="D870" i="33"/>
  <c r="E870" i="33" s="1"/>
  <c r="O846" i="33"/>
  <c r="N846" i="33"/>
  <c r="J846" i="33"/>
  <c r="D846" i="33"/>
  <c r="E846" i="33" s="1"/>
  <c r="F846" i="33"/>
  <c r="C1097" i="33"/>
  <c r="N863" i="33"/>
  <c r="O863" i="33"/>
  <c r="J863" i="33"/>
  <c r="F863" i="33"/>
  <c r="G863" i="33"/>
  <c r="F998" i="33"/>
  <c r="G1142" i="33"/>
  <c r="H1142" i="33" s="1"/>
  <c r="D1038" i="33"/>
  <c r="E1038" i="33" s="1"/>
  <c r="F1047" i="33"/>
  <c r="G1038" i="33"/>
  <c r="D1126" i="33"/>
  <c r="E1126" i="33" s="1"/>
  <c r="F934" i="33"/>
  <c r="I934" i="33" s="1"/>
  <c r="C1144" i="8"/>
  <c r="C1136" i="8"/>
  <c r="C1128" i="8"/>
  <c r="C1120" i="8"/>
  <c r="C1112" i="8"/>
  <c r="C1104" i="8"/>
  <c r="C1096" i="8"/>
  <c r="C1088" i="8"/>
  <c r="C1080" i="8"/>
  <c r="C1072" i="8"/>
  <c r="C1064" i="8"/>
  <c r="C1056" i="8"/>
  <c r="C1048" i="8"/>
  <c r="C1040" i="8"/>
  <c r="C1032" i="8"/>
  <c r="C1024" i="8"/>
  <c r="C1016" i="8"/>
  <c r="C1008" i="8"/>
  <c r="C1000" i="8"/>
  <c r="C992" i="8"/>
  <c r="C984" i="8"/>
  <c r="C976" i="8"/>
  <c r="C968" i="8"/>
  <c r="C960" i="8"/>
  <c r="C952" i="8"/>
  <c r="C944" i="8"/>
  <c r="C936" i="8"/>
  <c r="C928" i="8"/>
  <c r="C920" i="8"/>
  <c r="C912" i="8"/>
  <c r="C904" i="8"/>
  <c r="C896" i="8"/>
  <c r="C888" i="8"/>
  <c r="C880" i="8"/>
  <c r="C872" i="8"/>
  <c r="C864" i="8"/>
  <c r="C856" i="8"/>
  <c r="C848" i="8"/>
  <c r="C840" i="8"/>
  <c r="C832" i="8"/>
  <c r="C824" i="8"/>
  <c r="C1145" i="33"/>
  <c r="C1121" i="33"/>
  <c r="C1113" i="33"/>
  <c r="C1089" i="33"/>
  <c r="C1081" i="33"/>
  <c r="C1057" i="33"/>
  <c r="C1049" i="33"/>
  <c r="C1025" i="33"/>
  <c r="C1017" i="33"/>
  <c r="C993" i="33"/>
  <c r="C985" i="33"/>
  <c r="C961" i="33"/>
  <c r="C953" i="33"/>
  <c r="C929" i="33"/>
  <c r="C921" i="33"/>
  <c r="C897" i="33"/>
  <c r="C889" i="33"/>
  <c r="C865" i="33"/>
  <c r="C857" i="33"/>
  <c r="C833" i="33"/>
  <c r="C825" i="33"/>
  <c r="O1086" i="33"/>
  <c r="N1086" i="33"/>
  <c r="J1086" i="33"/>
  <c r="G1086" i="33"/>
  <c r="O1022" i="33"/>
  <c r="N1022" i="33"/>
  <c r="J1022" i="33"/>
  <c r="G1022" i="33"/>
  <c r="H1022" i="33" s="1"/>
  <c r="O958" i="33"/>
  <c r="N958" i="33"/>
  <c r="J958" i="33"/>
  <c r="G958" i="33"/>
  <c r="H958" i="33" s="1"/>
  <c r="O894" i="33"/>
  <c r="N894" i="33"/>
  <c r="J894" i="33"/>
  <c r="G894" i="33"/>
  <c r="O830" i="33"/>
  <c r="N830" i="33"/>
  <c r="J830" i="33"/>
  <c r="G830" i="33"/>
  <c r="H830" i="33" s="1"/>
  <c r="D830" i="33"/>
  <c r="E830" i="33" s="1"/>
  <c r="D1102" i="33"/>
  <c r="E1102" i="33" s="1"/>
  <c r="E1007" i="33"/>
  <c r="F1022" i="33"/>
  <c r="G910" i="33"/>
  <c r="C1144" i="33"/>
  <c r="C1136" i="33"/>
  <c r="C1112" i="33"/>
  <c r="C1104" i="33"/>
  <c r="E1088" i="33"/>
  <c r="C1080" i="33"/>
  <c r="C1072" i="33"/>
  <c r="C1048" i="33"/>
  <c r="C1040" i="33"/>
  <c r="C1016" i="33"/>
  <c r="C1008" i="33"/>
  <c r="C984" i="33"/>
  <c r="C976" i="33"/>
  <c r="C952" i="33"/>
  <c r="C944" i="33"/>
  <c r="C920" i="33"/>
  <c r="C912" i="33"/>
  <c r="C888" i="33"/>
  <c r="C880" i="33"/>
  <c r="C856" i="33"/>
  <c r="C848" i="33"/>
  <c r="C824" i="33"/>
  <c r="C1105" i="33"/>
  <c r="C1041" i="33"/>
  <c r="C977" i="33"/>
  <c r="C913" i="33"/>
  <c r="N871" i="33"/>
  <c r="J871" i="33"/>
  <c r="O871" i="33"/>
  <c r="F871" i="33"/>
  <c r="C849" i="33"/>
  <c r="J829" i="33"/>
  <c r="O829" i="33"/>
  <c r="G829" i="33"/>
  <c r="F829" i="33"/>
  <c r="D829" i="33"/>
  <c r="E829" i="33" s="1"/>
  <c r="D1134" i="33"/>
  <c r="E1134" i="33" s="1"/>
  <c r="F1062" i="33"/>
  <c r="C1143" i="33"/>
  <c r="O1135" i="33"/>
  <c r="J1135" i="33"/>
  <c r="N1135" i="33"/>
  <c r="G1135" i="33"/>
  <c r="F1135" i="33"/>
  <c r="N1111" i="33"/>
  <c r="O1111" i="33"/>
  <c r="G1111" i="33"/>
  <c r="J1111" i="33"/>
  <c r="C1103" i="33"/>
  <c r="C1079" i="33"/>
  <c r="O1071" i="33"/>
  <c r="J1071" i="33"/>
  <c r="N1071" i="33"/>
  <c r="G1071" i="33"/>
  <c r="D1071" i="33"/>
  <c r="E1071" i="33" s="1"/>
  <c r="F1071" i="33"/>
  <c r="O1047" i="33"/>
  <c r="N1047" i="33"/>
  <c r="G1047" i="33"/>
  <c r="J1047" i="33"/>
  <c r="C1039" i="33"/>
  <c r="C1015" i="33"/>
  <c r="O1007" i="33"/>
  <c r="N1007" i="33"/>
  <c r="G1007" i="33"/>
  <c r="D1007" i="33"/>
  <c r="F1007" i="33"/>
  <c r="J1007" i="33"/>
  <c r="O983" i="33"/>
  <c r="N983" i="33"/>
  <c r="J983" i="33"/>
  <c r="G983" i="33"/>
  <c r="D983" i="33"/>
  <c r="E983" i="33" s="1"/>
  <c r="C975" i="33"/>
  <c r="C951" i="33"/>
  <c r="O943" i="33"/>
  <c r="N943" i="33"/>
  <c r="G943" i="33"/>
  <c r="D943" i="33"/>
  <c r="E943" i="33" s="1"/>
  <c r="F943" i="33"/>
  <c r="J943" i="33"/>
  <c r="O919" i="33"/>
  <c r="N919" i="33"/>
  <c r="J919" i="33"/>
  <c r="G919" i="33"/>
  <c r="H919" i="33" s="1"/>
  <c r="D919" i="33"/>
  <c r="E919" i="33" s="1"/>
  <c r="C911" i="33"/>
  <c r="C887" i="33"/>
  <c r="O879" i="33"/>
  <c r="N879" i="33"/>
  <c r="J879" i="33"/>
  <c r="G879" i="33"/>
  <c r="H879" i="33" s="1"/>
  <c r="D879" i="33"/>
  <c r="E879" i="33" s="1"/>
  <c r="F879" i="33"/>
  <c r="E871" i="33"/>
  <c r="O855" i="33"/>
  <c r="J855" i="33"/>
  <c r="G855" i="33"/>
  <c r="H855" i="33" s="1"/>
  <c r="N855" i="33"/>
  <c r="D855" i="33"/>
  <c r="E855" i="33" s="1"/>
  <c r="O1142" i="33"/>
  <c r="N1142" i="33"/>
  <c r="J1142" i="33"/>
  <c r="F1142" i="33"/>
  <c r="O1078" i="33"/>
  <c r="N1078" i="33"/>
  <c r="J1078" i="33"/>
  <c r="F1078" i="33"/>
  <c r="D1078" i="33"/>
  <c r="E1078" i="33" s="1"/>
  <c r="O1014" i="33"/>
  <c r="N1014" i="33"/>
  <c r="J1014" i="33"/>
  <c r="F1014" i="33"/>
  <c r="I1014" i="33" s="1"/>
  <c r="D1014" i="33"/>
  <c r="E1014" i="33" s="1"/>
  <c r="O950" i="33"/>
  <c r="N950" i="33"/>
  <c r="J950" i="33"/>
  <c r="F950" i="33"/>
  <c r="O886" i="33"/>
  <c r="N886" i="33"/>
  <c r="J886" i="33"/>
  <c r="F886" i="33"/>
  <c r="O822" i="33"/>
  <c r="N822" i="33"/>
  <c r="J822" i="33"/>
  <c r="D822" i="33"/>
  <c r="E822" i="33" s="1"/>
  <c r="G822" i="33"/>
  <c r="H822" i="33" s="1"/>
  <c r="F822" i="33"/>
  <c r="I822" i="33" s="1"/>
  <c r="C1147" i="33"/>
  <c r="C1139" i="33"/>
  <c r="C1131" i="33"/>
  <c r="C1123" i="33"/>
  <c r="C1115" i="33"/>
  <c r="C1107" i="33"/>
  <c r="C1099" i="33"/>
  <c r="C1091" i="33"/>
  <c r="C1083" i="33"/>
  <c r="C1075" i="33"/>
  <c r="C1067" i="33"/>
  <c r="C1059" i="33"/>
  <c r="C1051" i="33"/>
  <c r="C1043" i="33"/>
  <c r="C1035" i="33"/>
  <c r="C1027" i="33"/>
  <c r="C1019" i="33"/>
  <c r="C1011" i="33"/>
  <c r="C1003" i="33"/>
  <c r="C995" i="33"/>
  <c r="C987" i="33"/>
  <c r="C979" i="33"/>
  <c r="C971" i="33"/>
  <c r="C963" i="33"/>
  <c r="C955" i="33"/>
  <c r="C947" i="33"/>
  <c r="C939" i="33"/>
  <c r="C931" i="33"/>
  <c r="C923" i="33"/>
  <c r="C915" i="33"/>
  <c r="C907" i="33"/>
  <c r="C899" i="33"/>
  <c r="C891" i="33"/>
  <c r="C883" i="33"/>
  <c r="C875" i="33"/>
  <c r="C867" i="33"/>
  <c r="C859" i="33"/>
  <c r="C851" i="33"/>
  <c r="C843" i="33"/>
  <c r="C835" i="33"/>
  <c r="C827" i="33"/>
  <c r="D1022" i="33"/>
  <c r="E1022" i="33" s="1"/>
  <c r="F1111" i="33"/>
  <c r="F958" i="33"/>
  <c r="I958" i="33" s="1"/>
  <c r="F855" i="33"/>
  <c r="G1102" i="33"/>
  <c r="G846" i="33"/>
  <c r="H846" i="33" s="1"/>
  <c r="C823" i="33"/>
  <c r="C1148" i="33"/>
  <c r="C1140" i="33"/>
  <c r="C1132" i="33"/>
  <c r="C1124" i="33"/>
  <c r="C1116" i="33"/>
  <c r="C1108" i="33"/>
  <c r="C1100" i="33"/>
  <c r="C1092" i="33"/>
  <c r="C1084" i="33"/>
  <c r="C1076" i="33"/>
  <c r="C1068" i="33"/>
  <c r="C1060" i="33"/>
  <c r="C1052" i="33"/>
  <c r="C1044" i="33"/>
  <c r="C1036" i="33"/>
  <c r="C1028" i="33"/>
  <c r="C1020" i="33"/>
  <c r="C1012" i="33"/>
  <c r="C1004" i="33"/>
  <c r="C996" i="33"/>
  <c r="C988" i="33"/>
  <c r="C980" i="33"/>
  <c r="C972" i="33"/>
  <c r="C964" i="33"/>
  <c r="C956" i="33"/>
  <c r="C948" i="33"/>
  <c r="C940" i="33"/>
  <c r="C932" i="33"/>
  <c r="C924" i="33"/>
  <c r="C916" i="33"/>
  <c r="C908" i="33"/>
  <c r="C900" i="33"/>
  <c r="C892" i="33"/>
  <c r="C884" i="33"/>
  <c r="C876" i="33"/>
  <c r="C868" i="33"/>
  <c r="C860" i="33"/>
  <c r="C852" i="33"/>
  <c r="C844" i="33"/>
  <c r="C836" i="33"/>
  <c r="C828" i="33"/>
  <c r="C1145" i="8"/>
  <c r="C1137" i="8"/>
  <c r="C1129" i="8"/>
  <c r="C1121" i="8"/>
  <c r="C1113" i="8"/>
  <c r="C1105" i="8"/>
  <c r="C1097" i="8"/>
  <c r="C1089" i="8"/>
  <c r="C1081" i="8"/>
  <c r="C1073" i="8"/>
  <c r="C1065" i="8"/>
  <c r="C1057" i="8"/>
  <c r="C1049" i="8"/>
  <c r="C1041" i="8"/>
  <c r="C1033" i="8"/>
  <c r="C1025" i="8"/>
  <c r="C1017" i="8"/>
  <c r="C1009" i="8"/>
  <c r="C1001" i="8"/>
  <c r="C993" i="8"/>
  <c r="C985" i="8"/>
  <c r="C977" i="8"/>
  <c r="C969" i="8"/>
  <c r="C961" i="8"/>
  <c r="C953" i="8"/>
  <c r="C945" i="8"/>
  <c r="C937" i="8"/>
  <c r="C929" i="8"/>
  <c r="C921" i="8"/>
  <c r="C913" i="8"/>
  <c r="C905" i="8"/>
  <c r="C897" i="8"/>
  <c r="C889" i="8"/>
  <c r="C881" i="8"/>
  <c r="C873" i="8"/>
  <c r="C865" i="8"/>
  <c r="C857" i="8"/>
  <c r="C849" i="8"/>
  <c r="C841" i="8"/>
  <c r="C833" i="8"/>
  <c r="C825" i="8"/>
  <c r="C1094" i="33"/>
  <c r="C1030" i="33"/>
  <c r="C966" i="33"/>
  <c r="C902" i="33"/>
  <c r="C838" i="33"/>
  <c r="C847" i="33"/>
  <c r="C1143" i="8"/>
  <c r="C1135" i="8"/>
  <c r="C1127" i="8"/>
  <c r="C1119" i="8"/>
  <c r="C1111" i="8"/>
  <c r="C1103" i="8"/>
  <c r="C1095" i="8"/>
  <c r="C1087" i="8"/>
  <c r="C1079" i="8"/>
  <c r="C1071" i="8"/>
  <c r="C1063" i="8"/>
  <c r="C1055" i="8"/>
  <c r="C1047" i="8"/>
  <c r="C1039" i="8"/>
  <c r="C1031" i="8"/>
  <c r="C1023" i="8"/>
  <c r="C1015" i="8"/>
  <c r="C1007" i="8"/>
  <c r="C999" i="8"/>
  <c r="C991" i="8"/>
  <c r="C983" i="8"/>
  <c r="C975" i="8"/>
  <c r="C967" i="8"/>
  <c r="C959" i="8"/>
  <c r="C951" i="8"/>
  <c r="C943" i="8"/>
  <c r="C935" i="8"/>
  <c r="C927" i="8"/>
  <c r="C919" i="8"/>
  <c r="C911" i="8"/>
  <c r="C903" i="8"/>
  <c r="C895" i="8"/>
  <c r="C887" i="8"/>
  <c r="C879" i="8"/>
  <c r="C871" i="8"/>
  <c r="C863" i="8"/>
  <c r="C855" i="8"/>
  <c r="C847" i="8"/>
  <c r="C839" i="8"/>
  <c r="C831" i="8"/>
  <c r="C823" i="8"/>
  <c r="C1142" i="8"/>
  <c r="C1134" i="8"/>
  <c r="C1126" i="8"/>
  <c r="C1118" i="8"/>
  <c r="C1110" i="8"/>
  <c r="C1102" i="8"/>
  <c r="C1094" i="8"/>
  <c r="C1086" i="8"/>
  <c r="C1078" i="8"/>
  <c r="C1070" i="8"/>
  <c r="C1062" i="8"/>
  <c r="C1054" i="8"/>
  <c r="C1046" i="8"/>
  <c r="C1038" i="8"/>
  <c r="C1030" i="8"/>
  <c r="C1022" i="8"/>
  <c r="C1014" i="8"/>
  <c r="C1006" i="8"/>
  <c r="C998" i="8"/>
  <c r="C990" i="8"/>
  <c r="C982" i="8"/>
  <c r="C974" i="8"/>
  <c r="C966" i="8"/>
  <c r="C958" i="8"/>
  <c r="C950" i="8"/>
  <c r="C942" i="8"/>
  <c r="C934" i="8"/>
  <c r="C926" i="8"/>
  <c r="C918" i="8"/>
  <c r="C910" i="8"/>
  <c r="C902" i="8"/>
  <c r="C894" i="8"/>
  <c r="C886" i="8"/>
  <c r="C878" i="8"/>
  <c r="C870" i="8"/>
  <c r="C862" i="8"/>
  <c r="C854" i="8"/>
  <c r="C846" i="8"/>
  <c r="C838" i="8"/>
  <c r="C830" i="8"/>
  <c r="C822" i="8"/>
  <c r="C1146" i="8"/>
  <c r="C1138" i="8"/>
  <c r="C1130" i="8"/>
  <c r="C1122" i="8"/>
  <c r="C1114" i="8"/>
  <c r="C1106" i="8"/>
  <c r="C1098" i="8"/>
  <c r="C1090" i="8"/>
  <c r="C1082" i="8"/>
  <c r="C1074" i="8"/>
  <c r="C1066" i="8"/>
  <c r="C1058" i="8"/>
  <c r="C1050" i="8"/>
  <c r="C1042" i="8"/>
  <c r="C1034" i="8"/>
  <c r="C1026" i="8"/>
  <c r="C1018" i="8"/>
  <c r="C1010" i="8"/>
  <c r="C1002" i="8"/>
  <c r="C994" i="8"/>
  <c r="C986" i="8"/>
  <c r="C978" i="8"/>
  <c r="C970" i="8"/>
  <c r="C962" i="8"/>
  <c r="C954" i="8"/>
  <c r="C946" i="8"/>
  <c r="C938" i="8"/>
  <c r="C930" i="8"/>
  <c r="C922" i="8"/>
  <c r="C914" i="8"/>
  <c r="C906" i="8"/>
  <c r="C898" i="8"/>
  <c r="C890" i="8"/>
  <c r="C882" i="8"/>
  <c r="C874" i="8"/>
  <c r="C866" i="8"/>
  <c r="C858" i="8"/>
  <c r="C850" i="8"/>
  <c r="C842" i="8"/>
  <c r="C834" i="8"/>
  <c r="C826" i="8"/>
  <c r="C1141" i="8"/>
  <c r="C1133" i="8"/>
  <c r="C1125" i="8"/>
  <c r="C1117" i="8"/>
  <c r="C1109" i="8"/>
  <c r="C1101" i="8"/>
  <c r="C1093" i="8"/>
  <c r="C1085" i="8"/>
  <c r="C1077" i="8"/>
  <c r="C1069" i="8"/>
  <c r="C1061" i="8"/>
  <c r="C1053" i="8"/>
  <c r="C1045" i="8"/>
  <c r="C1037" i="8"/>
  <c r="C1029" i="8"/>
  <c r="C1021" i="8"/>
  <c r="C1013" i="8"/>
  <c r="C1005" i="8"/>
  <c r="C997" i="8"/>
  <c r="C989" i="8"/>
  <c r="C981" i="8"/>
  <c r="C973" i="8"/>
  <c r="C965" i="8"/>
  <c r="C957" i="8"/>
  <c r="C949" i="8"/>
  <c r="C941" i="8"/>
  <c r="C933" i="8"/>
  <c r="C925" i="8"/>
  <c r="C917" i="8"/>
  <c r="C909" i="8"/>
  <c r="C901" i="8"/>
  <c r="C893" i="8"/>
  <c r="C885" i="8"/>
  <c r="C877" i="8"/>
  <c r="C869" i="8"/>
  <c r="C861" i="8"/>
  <c r="C853" i="8"/>
  <c r="C845" i="8"/>
  <c r="C837" i="8"/>
  <c r="C829" i="8"/>
  <c r="C1148" i="8"/>
  <c r="C1140" i="8"/>
  <c r="C1132" i="8"/>
  <c r="C1124" i="8"/>
  <c r="C1116" i="8"/>
  <c r="C1108" i="8"/>
  <c r="C1100" i="8"/>
  <c r="C1092" i="8"/>
  <c r="C1084" i="8"/>
  <c r="C1076" i="8"/>
  <c r="C1068" i="8"/>
  <c r="C1060" i="8"/>
  <c r="C1052" i="8"/>
  <c r="C1044" i="8"/>
  <c r="C1036" i="8"/>
  <c r="C1028" i="8"/>
  <c r="C1020" i="8"/>
  <c r="C1012" i="8"/>
  <c r="C1004" i="8"/>
  <c r="C996" i="8"/>
  <c r="C988" i="8"/>
  <c r="C980" i="8"/>
  <c r="C972" i="8"/>
  <c r="C964" i="8"/>
  <c r="C956" i="8"/>
  <c r="C948" i="8"/>
  <c r="C940" i="8"/>
  <c r="C932" i="8"/>
  <c r="C924" i="8"/>
  <c r="C916" i="8"/>
  <c r="C908" i="8"/>
  <c r="C900" i="8"/>
  <c r="C892" i="8"/>
  <c r="C884" i="8"/>
  <c r="C876" i="8"/>
  <c r="C868" i="8"/>
  <c r="C860" i="8"/>
  <c r="C852" i="8"/>
  <c r="C844" i="8"/>
  <c r="C836" i="8"/>
  <c r="C828" i="8"/>
  <c r="C1147" i="8"/>
  <c r="C1139" i="8"/>
  <c r="C1131" i="8"/>
  <c r="C1123" i="8"/>
  <c r="C1115" i="8"/>
  <c r="C1107" i="8"/>
  <c r="C1099" i="8"/>
  <c r="C1091" i="8"/>
  <c r="C1083" i="8"/>
  <c r="C1075" i="8"/>
  <c r="C1067" i="8"/>
  <c r="C1059" i="8"/>
  <c r="C1051" i="8"/>
  <c r="C1043" i="8"/>
  <c r="C1035" i="8"/>
  <c r="C1027" i="8"/>
  <c r="C1019" i="8"/>
  <c r="C1011" i="8"/>
  <c r="C1003" i="8"/>
  <c r="C995" i="8"/>
  <c r="C987" i="8"/>
  <c r="C979" i="8"/>
  <c r="C971" i="8"/>
  <c r="C963" i="8"/>
  <c r="C955" i="8"/>
  <c r="C947" i="8"/>
  <c r="C939" i="8"/>
  <c r="C931" i="8"/>
  <c r="C923" i="8"/>
  <c r="C915" i="8"/>
  <c r="C907" i="8"/>
  <c r="C899" i="8"/>
  <c r="C891" i="8"/>
  <c r="C883" i="8"/>
  <c r="C875" i="8"/>
  <c r="C867" i="8"/>
  <c r="C859" i="8"/>
  <c r="C851" i="8"/>
  <c r="C843" i="8"/>
  <c r="C835" i="8"/>
  <c r="C827" i="8"/>
  <c r="F1275" i="8"/>
  <c r="G1275" i="8" s="1"/>
  <c r="H1275" i="8" s="1"/>
  <c r="F1267" i="8"/>
  <c r="G1267" i="8" s="1"/>
  <c r="H1267" i="8" s="1"/>
  <c r="F1259" i="8"/>
  <c r="G1259" i="8" s="1"/>
  <c r="H1259" i="8" s="1"/>
  <c r="F1274" i="8"/>
  <c r="G1274" i="8" s="1"/>
  <c r="H1274" i="8" s="1"/>
  <c r="F1266" i="8"/>
  <c r="G1266" i="8" s="1"/>
  <c r="H1266" i="8" s="1"/>
  <c r="F1258" i="8"/>
  <c r="G1258" i="8" s="1"/>
  <c r="H1258" i="8" s="1"/>
  <c r="F1250" i="8"/>
  <c r="G1250" i="8" s="1"/>
  <c r="H1250" i="8" s="1"/>
  <c r="F1251" i="8"/>
  <c r="G1251" i="8" s="1"/>
  <c r="H1251" i="8" s="1"/>
  <c r="F1243" i="8"/>
  <c r="G1243" i="8" s="1"/>
  <c r="H1243" i="8" s="1"/>
  <c r="F1235" i="8"/>
  <c r="G1235" i="8" s="1"/>
  <c r="H1235" i="8" s="1"/>
  <c r="F1227" i="8"/>
  <c r="G1227" i="8" s="1"/>
  <c r="H1227" i="8" s="1"/>
  <c r="F1219" i="8"/>
  <c r="G1219" i="8" s="1"/>
  <c r="H1219" i="8" s="1"/>
  <c r="F1211" i="8"/>
  <c r="G1211" i="8" s="1"/>
  <c r="H1211" i="8" s="1"/>
  <c r="F1203" i="8"/>
  <c r="G1203" i="8" s="1"/>
  <c r="H1203" i="8" s="1"/>
  <c r="F1195" i="8"/>
  <c r="G1195" i="8" s="1"/>
  <c r="H1195" i="8" s="1"/>
  <c r="F1187" i="8"/>
  <c r="G1187" i="8" s="1"/>
  <c r="H1187" i="8" s="1"/>
  <c r="F1179" i="8"/>
  <c r="G1179" i="8" s="1"/>
  <c r="H1179" i="8" s="1"/>
  <c r="F1171" i="8"/>
  <c r="G1171" i="8" s="1"/>
  <c r="H1171" i="8" s="1"/>
  <c r="F1163" i="8"/>
  <c r="G1163" i="8" s="1"/>
  <c r="H1163" i="8" s="1"/>
  <c r="F1242" i="8"/>
  <c r="G1242" i="8" s="1"/>
  <c r="H1242" i="8" s="1"/>
  <c r="F1234" i="8"/>
  <c r="G1234" i="8" s="1"/>
  <c r="H1234" i="8" s="1"/>
  <c r="F1226" i="8"/>
  <c r="G1226" i="8" s="1"/>
  <c r="H1226" i="8" s="1"/>
  <c r="F1218" i="8"/>
  <c r="G1218" i="8" s="1"/>
  <c r="H1218" i="8" s="1"/>
  <c r="F1210" i="8"/>
  <c r="G1210" i="8" s="1"/>
  <c r="H1210" i="8" s="1"/>
  <c r="F1202" i="8"/>
  <c r="G1202" i="8" s="1"/>
  <c r="H1202" i="8" s="1"/>
  <c r="F1194" i="8"/>
  <c r="G1194" i="8" s="1"/>
  <c r="H1194" i="8" s="1"/>
  <c r="F1186" i="8"/>
  <c r="G1186" i="8" s="1"/>
  <c r="H1186" i="8" s="1"/>
  <c r="F1178" i="8"/>
  <c r="G1178" i="8" s="1"/>
  <c r="H1178" i="8" s="1"/>
  <c r="F1170" i="8"/>
  <c r="G1170" i="8" s="1"/>
  <c r="H1170" i="8" s="1"/>
  <c r="F1162" i="8"/>
  <c r="G1162" i="8" s="1"/>
  <c r="H1162" i="8" s="1"/>
  <c r="F1293" i="8"/>
  <c r="G1293" i="8" s="1"/>
  <c r="H1293" i="8" s="1"/>
  <c r="D1297" i="8"/>
  <c r="E1297" i="8" s="1"/>
  <c r="D1289" i="8"/>
  <c r="E1289" i="8" s="1"/>
  <c r="F1155" i="8"/>
  <c r="G1155" i="8" s="1"/>
  <c r="H1155" i="8" s="1"/>
  <c r="F1154" i="8"/>
  <c r="G1154" i="8" s="1"/>
  <c r="H1154" i="8" s="1"/>
  <c r="F1285" i="8"/>
  <c r="G1285" i="8" s="1"/>
  <c r="H1285" i="8" s="1"/>
  <c r="D1270" i="9"/>
  <c r="E1270" i="9" s="1"/>
  <c r="F1020" i="9"/>
  <c r="D1263" i="9"/>
  <c r="E1263" i="9" s="1"/>
  <c r="D1086" i="9"/>
  <c r="E1086" i="9" s="1"/>
  <c r="F1180" i="9"/>
  <c r="F984" i="9"/>
  <c r="F820" i="9"/>
  <c r="D1212" i="9"/>
  <c r="E1212" i="9" s="1"/>
  <c r="D1068" i="9"/>
  <c r="E1068" i="9" s="1"/>
  <c r="J1064" i="9"/>
  <c r="D1060" i="9"/>
  <c r="E1060" i="9" s="1"/>
  <c r="G1204" i="9"/>
  <c r="D1191" i="9"/>
  <c r="E1191" i="9" s="1"/>
  <c r="D1052" i="9"/>
  <c r="E1052" i="9" s="1"/>
  <c r="D936" i="9"/>
  <c r="E936" i="9" s="1"/>
  <c r="D813" i="9"/>
  <c r="E813" i="9" s="1"/>
  <c r="F964" i="9"/>
  <c r="G1140" i="9"/>
  <c r="D1110" i="9"/>
  <c r="E1110" i="9" s="1"/>
  <c r="D845" i="9"/>
  <c r="E845" i="9" s="1"/>
  <c r="G1108" i="9"/>
  <c r="D1295" i="9"/>
  <c r="E1295" i="9" s="1"/>
  <c r="D1183" i="9"/>
  <c r="E1183" i="9" s="1"/>
  <c r="G948" i="9"/>
  <c r="D1286" i="9"/>
  <c r="E1286" i="9" s="1"/>
  <c r="D1094" i="9"/>
  <c r="E1094" i="9" s="1"/>
  <c r="F1036" i="9"/>
  <c r="G529" i="9"/>
  <c r="D1230" i="9"/>
  <c r="E1230" i="9" s="1"/>
  <c r="D1166" i="9"/>
  <c r="E1166" i="9" s="1"/>
  <c r="G1166" i="9"/>
  <c r="D1287" i="9"/>
  <c r="E1287" i="9" s="1"/>
  <c r="D1222" i="9"/>
  <c r="E1222" i="9" s="1"/>
  <c r="D1190" i="9"/>
  <c r="E1190" i="9" s="1"/>
  <c r="D1142" i="9"/>
  <c r="E1142" i="9" s="1"/>
  <c r="D1118" i="9"/>
  <c r="E1118" i="9" s="1"/>
  <c r="G1151" i="9"/>
  <c r="J1167" i="9"/>
  <c r="D1158" i="9"/>
  <c r="E1158" i="9" s="1"/>
  <c r="D1206" i="9"/>
  <c r="E1206" i="9" s="1"/>
  <c r="D1182" i="9"/>
  <c r="E1182" i="9" s="1"/>
  <c r="D1254" i="9"/>
  <c r="E1254" i="9" s="1"/>
  <c r="D1102" i="9"/>
  <c r="E1102" i="9" s="1"/>
  <c r="F948" i="9"/>
  <c r="G1076" i="9"/>
  <c r="D1247" i="9"/>
  <c r="E1247" i="9" s="1"/>
  <c r="D1198" i="9"/>
  <c r="E1198" i="9" s="1"/>
  <c r="D1174" i="9"/>
  <c r="E1174" i="9" s="1"/>
  <c r="D1150" i="9"/>
  <c r="E1150" i="9" s="1"/>
  <c r="D1126" i="9"/>
  <c r="E1126" i="9" s="1"/>
  <c r="D1078" i="9"/>
  <c r="E1078" i="9" s="1"/>
  <c r="D1000" i="9"/>
  <c r="E1000" i="9" s="1"/>
  <c r="F1238" i="9"/>
  <c r="G1190" i="9"/>
  <c r="G828" i="9"/>
  <c r="D1246" i="9"/>
  <c r="E1246" i="9" s="1"/>
  <c r="D1167" i="9"/>
  <c r="E1167" i="9" s="1"/>
  <c r="D1070" i="9"/>
  <c r="E1070" i="9" s="1"/>
  <c r="D996" i="9"/>
  <c r="E996" i="9" s="1"/>
  <c r="D920" i="9"/>
  <c r="E920" i="9" s="1"/>
  <c r="G1167" i="9"/>
  <c r="G1012" i="9"/>
  <c r="F1285" i="9"/>
  <c r="D1285" i="9"/>
  <c r="E1285" i="9" s="1"/>
  <c r="J1237" i="9"/>
  <c r="D1237" i="9"/>
  <c r="E1237" i="9" s="1"/>
  <c r="J1229" i="9"/>
  <c r="F1229" i="9"/>
  <c r="F1221" i="9"/>
  <c r="G1221" i="9"/>
  <c r="F1213" i="9"/>
  <c r="G1213" i="9"/>
  <c r="D1213" i="9"/>
  <c r="E1213" i="9" s="1"/>
  <c r="J1205" i="9"/>
  <c r="F1205" i="9"/>
  <c r="G1205" i="9"/>
  <c r="D1205" i="9"/>
  <c r="E1205" i="9" s="1"/>
  <c r="J1197" i="9"/>
  <c r="F1197" i="9"/>
  <c r="D1197" i="9"/>
  <c r="E1197" i="9" s="1"/>
  <c r="G1197" i="9"/>
  <c r="G1189" i="9"/>
  <c r="J1189" i="9"/>
  <c r="F1189" i="9"/>
  <c r="D1189" i="9"/>
  <c r="E1189" i="9" s="1"/>
  <c r="J1173" i="9"/>
  <c r="G1173" i="9"/>
  <c r="F1173" i="9"/>
  <c r="D1173" i="9"/>
  <c r="E1173" i="9" s="1"/>
  <c r="J1165" i="9"/>
  <c r="F1165" i="9"/>
  <c r="G1165" i="9"/>
  <c r="D1165" i="9"/>
  <c r="E1165" i="9" s="1"/>
  <c r="J1157" i="9"/>
  <c r="G1157" i="9"/>
  <c r="F1157" i="9"/>
  <c r="D1157" i="9"/>
  <c r="E1157" i="9" s="1"/>
  <c r="J1149" i="9"/>
  <c r="G1149" i="9"/>
  <c r="F1149" i="9"/>
  <c r="D1149" i="9"/>
  <c r="E1149" i="9" s="1"/>
  <c r="J1141" i="9"/>
  <c r="F1141" i="9"/>
  <c r="D1141" i="9"/>
  <c r="E1141" i="9" s="1"/>
  <c r="G1141" i="9"/>
  <c r="J1133" i="9"/>
  <c r="G1133" i="9"/>
  <c r="F1133" i="9"/>
  <c r="D1133" i="9"/>
  <c r="E1133" i="9" s="1"/>
  <c r="J1125" i="9"/>
  <c r="F1125" i="9"/>
  <c r="G1125" i="9"/>
  <c r="D1125" i="9"/>
  <c r="E1125" i="9" s="1"/>
  <c r="J1117" i="9"/>
  <c r="G1117" i="9"/>
  <c r="F1117" i="9"/>
  <c r="D1117" i="9"/>
  <c r="E1117" i="9" s="1"/>
  <c r="J1109" i="9"/>
  <c r="F1109" i="9"/>
  <c r="D1109" i="9"/>
  <c r="E1109" i="9" s="1"/>
  <c r="G1109" i="9"/>
  <c r="J1101" i="9"/>
  <c r="G1101" i="9"/>
  <c r="F1101" i="9"/>
  <c r="D1101" i="9"/>
  <c r="E1101" i="9" s="1"/>
  <c r="J1093" i="9"/>
  <c r="F1093" i="9"/>
  <c r="G1093" i="9"/>
  <c r="D1093" i="9"/>
  <c r="E1093" i="9" s="1"/>
  <c r="J1085" i="9"/>
  <c r="G1085" i="9"/>
  <c r="F1085" i="9"/>
  <c r="D1085" i="9"/>
  <c r="E1085" i="9" s="1"/>
  <c r="J1077" i="9"/>
  <c r="F1077" i="9"/>
  <c r="D1077" i="9"/>
  <c r="E1077" i="9" s="1"/>
  <c r="G1077" i="9"/>
  <c r="J1069" i="9"/>
  <c r="G1069" i="9"/>
  <c r="F1069" i="9"/>
  <c r="J1061" i="9"/>
  <c r="F1061" i="9"/>
  <c r="G1061" i="9"/>
  <c r="J1053" i="9"/>
  <c r="D1053" i="9"/>
  <c r="E1053" i="9" s="1"/>
  <c r="G1053" i="9"/>
  <c r="F1053" i="9"/>
  <c r="J1045" i="9"/>
  <c r="D1045" i="9"/>
  <c r="E1045" i="9" s="1"/>
  <c r="F1045" i="9"/>
  <c r="G1045" i="9"/>
  <c r="J1037" i="9"/>
  <c r="D1037" i="9"/>
  <c r="E1037" i="9" s="1"/>
  <c r="G1037" i="9"/>
  <c r="F1037" i="9"/>
  <c r="J1029" i="9"/>
  <c r="D1029" i="9"/>
  <c r="E1029" i="9" s="1"/>
  <c r="F1029" i="9"/>
  <c r="G1029" i="9"/>
  <c r="J1021" i="9"/>
  <c r="D1021" i="9"/>
  <c r="E1021" i="9" s="1"/>
  <c r="G1021" i="9"/>
  <c r="F1021" i="9"/>
  <c r="J1013" i="9"/>
  <c r="D1013" i="9"/>
  <c r="E1013" i="9" s="1"/>
  <c r="F1013" i="9"/>
  <c r="G1013" i="9"/>
  <c r="J1005" i="9"/>
  <c r="D1005" i="9"/>
  <c r="E1005" i="9" s="1"/>
  <c r="G1005" i="9"/>
  <c r="F1005" i="9"/>
  <c r="J997" i="9"/>
  <c r="F997" i="9"/>
  <c r="D997" i="9"/>
  <c r="E997" i="9" s="1"/>
  <c r="G997" i="9"/>
  <c r="J989" i="9"/>
  <c r="D989" i="9"/>
  <c r="E989" i="9" s="1"/>
  <c r="G989" i="9"/>
  <c r="F989" i="9"/>
  <c r="J981" i="9"/>
  <c r="D981" i="9"/>
  <c r="E981" i="9" s="1"/>
  <c r="F981" i="9"/>
  <c r="G981" i="9"/>
  <c r="J973" i="9"/>
  <c r="D973" i="9"/>
  <c r="E973" i="9" s="1"/>
  <c r="G973" i="9"/>
  <c r="J965" i="9"/>
  <c r="D965" i="9"/>
  <c r="E965" i="9" s="1"/>
  <c r="G965" i="9"/>
  <c r="J957" i="9"/>
  <c r="D957" i="9"/>
  <c r="E957" i="9" s="1"/>
  <c r="G957" i="9"/>
  <c r="F957" i="9"/>
  <c r="J949" i="9"/>
  <c r="D949" i="9"/>
  <c r="E949" i="9" s="1"/>
  <c r="F949" i="9"/>
  <c r="G949" i="9"/>
  <c r="J941" i="9"/>
  <c r="D941" i="9"/>
  <c r="E941" i="9" s="1"/>
  <c r="G941" i="9"/>
  <c r="F941" i="9"/>
  <c r="J933" i="9"/>
  <c r="G933" i="9"/>
  <c r="F933" i="9"/>
  <c r="D933" i="9"/>
  <c r="E933" i="9" s="1"/>
  <c r="J925" i="9"/>
  <c r="D925" i="9"/>
  <c r="E925" i="9" s="1"/>
  <c r="F925" i="9"/>
  <c r="G925" i="9"/>
  <c r="J917" i="9"/>
  <c r="G917" i="9"/>
  <c r="D917" i="9"/>
  <c r="E917" i="9" s="1"/>
  <c r="J531" i="9"/>
  <c r="G531" i="9"/>
  <c r="D531" i="9"/>
  <c r="E531" i="9" s="1"/>
  <c r="F531" i="9"/>
  <c r="J385" i="9"/>
  <c r="G385" i="9"/>
  <c r="D385" i="9"/>
  <c r="E385" i="9" s="1"/>
  <c r="F385" i="9"/>
  <c r="J391" i="9"/>
  <c r="D391" i="9"/>
  <c r="E391" i="9" s="1"/>
  <c r="F391" i="9"/>
  <c r="J406" i="9"/>
  <c r="G406" i="9"/>
  <c r="D406" i="9"/>
  <c r="E406" i="9" s="1"/>
  <c r="F406" i="9"/>
  <c r="J401" i="9"/>
  <c r="D401" i="9"/>
  <c r="E401" i="9" s="1"/>
  <c r="F401" i="9"/>
  <c r="G401" i="9"/>
  <c r="J388" i="9"/>
  <c r="G388" i="9"/>
  <c r="D388" i="9"/>
  <c r="E388" i="9" s="1"/>
  <c r="F388" i="9"/>
  <c r="J835" i="9"/>
  <c r="F835" i="9"/>
  <c r="D835" i="9"/>
  <c r="E835" i="9" s="1"/>
  <c r="G835" i="9"/>
  <c r="G816" i="9"/>
  <c r="D816" i="9"/>
  <c r="E816" i="9" s="1"/>
  <c r="F816" i="9"/>
  <c r="G812" i="9"/>
  <c r="D812" i="9"/>
  <c r="E812" i="9" s="1"/>
  <c r="J812" i="9"/>
  <c r="F812" i="9"/>
  <c r="G842" i="9"/>
  <c r="J842" i="9"/>
  <c r="D842" i="9"/>
  <c r="E842" i="9" s="1"/>
  <c r="F842" i="9"/>
  <c r="J844" i="9"/>
  <c r="D844" i="9"/>
  <c r="E844" i="9" s="1"/>
  <c r="G844" i="9"/>
  <c r="D1061" i="9"/>
  <c r="E1061" i="9" s="1"/>
  <c r="D1293" i="9"/>
  <c r="E1293" i="9" s="1"/>
  <c r="J1195" i="9"/>
  <c r="D1195" i="9"/>
  <c r="E1195" i="9" s="1"/>
  <c r="G1195" i="9"/>
  <c r="J1163" i="9"/>
  <c r="G1163" i="9"/>
  <c r="D1163" i="9"/>
  <c r="E1163" i="9" s="1"/>
  <c r="G528" i="9"/>
  <c r="D1069" i="9"/>
  <c r="E1069" i="9" s="1"/>
  <c r="D1269" i="9"/>
  <c r="E1269" i="9" s="1"/>
  <c r="D1221" i="9"/>
  <c r="E1221" i="9" s="1"/>
  <c r="F1163" i="9"/>
  <c r="D1220" i="9"/>
  <c r="E1220" i="9" s="1"/>
  <c r="F844" i="9"/>
  <c r="G391" i="9"/>
  <c r="F973" i="9"/>
  <c r="J1202" i="9"/>
  <c r="G1202" i="9"/>
  <c r="D1202" i="9"/>
  <c r="E1202" i="9" s="1"/>
  <c r="J1194" i="9"/>
  <c r="G1194" i="9"/>
  <c r="D1194" i="9"/>
  <c r="E1194" i="9" s="1"/>
  <c r="F1194" i="9"/>
  <c r="J1186" i="9"/>
  <c r="G1186" i="9"/>
  <c r="D1186" i="9"/>
  <c r="E1186" i="9" s="1"/>
  <c r="J1178" i="9"/>
  <c r="G1178" i="9"/>
  <c r="D1178" i="9"/>
  <c r="E1178" i="9" s="1"/>
  <c r="F1178" i="9"/>
  <c r="J1170" i="9"/>
  <c r="G1170" i="9"/>
  <c r="D1170" i="9"/>
  <c r="E1170" i="9" s="1"/>
  <c r="J1162" i="9"/>
  <c r="G1162" i="9"/>
  <c r="D1162" i="9"/>
  <c r="E1162" i="9" s="1"/>
  <c r="F1162" i="9"/>
  <c r="J1154" i="9"/>
  <c r="G1154" i="9"/>
  <c r="D1154" i="9"/>
  <c r="E1154" i="9" s="1"/>
  <c r="J1146" i="9"/>
  <c r="G1146" i="9"/>
  <c r="D1146" i="9"/>
  <c r="E1146" i="9" s="1"/>
  <c r="F1146" i="9"/>
  <c r="J1138" i="9"/>
  <c r="G1138" i="9"/>
  <c r="D1138" i="9"/>
  <c r="E1138" i="9" s="1"/>
  <c r="J1130" i="9"/>
  <c r="G1130" i="9"/>
  <c r="D1130" i="9"/>
  <c r="E1130" i="9" s="1"/>
  <c r="F1130" i="9"/>
  <c r="J1122" i="9"/>
  <c r="G1122" i="9"/>
  <c r="D1122" i="9"/>
  <c r="E1122" i="9" s="1"/>
  <c r="J1114" i="9"/>
  <c r="G1114" i="9"/>
  <c r="D1114" i="9"/>
  <c r="E1114" i="9" s="1"/>
  <c r="F1114" i="9"/>
  <c r="J1106" i="9"/>
  <c r="G1106" i="9"/>
  <c r="D1106" i="9"/>
  <c r="E1106" i="9" s="1"/>
  <c r="J1098" i="9"/>
  <c r="G1098" i="9"/>
  <c r="D1098" i="9"/>
  <c r="E1098" i="9" s="1"/>
  <c r="F1098" i="9"/>
  <c r="J1090" i="9"/>
  <c r="G1090" i="9"/>
  <c r="D1090" i="9"/>
  <c r="E1090" i="9" s="1"/>
  <c r="G1082" i="9"/>
  <c r="D1082" i="9"/>
  <c r="E1082" i="9" s="1"/>
  <c r="J1082" i="9"/>
  <c r="F1082" i="9"/>
  <c r="J1074" i="9"/>
  <c r="G1074" i="9"/>
  <c r="D1074" i="9"/>
  <c r="E1074" i="9" s="1"/>
  <c r="J1066" i="9"/>
  <c r="G1066" i="9"/>
  <c r="D1066" i="9"/>
  <c r="E1066" i="9" s="1"/>
  <c r="F1066" i="9"/>
  <c r="J1058" i="9"/>
  <c r="G1058" i="9"/>
  <c r="D1058" i="9"/>
  <c r="E1058" i="9" s="1"/>
  <c r="J1050" i="9"/>
  <c r="G1050" i="9"/>
  <c r="F1050" i="9"/>
  <c r="J1042" i="9"/>
  <c r="G1042" i="9"/>
  <c r="D1042" i="9"/>
  <c r="E1042" i="9" s="1"/>
  <c r="J1034" i="9"/>
  <c r="G1034" i="9"/>
  <c r="F1034" i="9"/>
  <c r="D1034" i="9"/>
  <c r="E1034" i="9" s="1"/>
  <c r="J1026" i="9"/>
  <c r="G1026" i="9"/>
  <c r="D1026" i="9"/>
  <c r="E1026" i="9" s="1"/>
  <c r="J1018" i="9"/>
  <c r="G1018" i="9"/>
  <c r="D1018" i="9"/>
  <c r="E1018" i="9" s="1"/>
  <c r="F1018" i="9"/>
  <c r="J1010" i="9"/>
  <c r="F1010" i="9"/>
  <c r="G1010" i="9"/>
  <c r="J1002" i="9"/>
  <c r="F1002" i="9"/>
  <c r="G1002" i="9"/>
  <c r="F994" i="9"/>
  <c r="G994" i="9"/>
  <c r="D994" i="9"/>
  <c r="E994" i="9" s="1"/>
  <c r="J994" i="9"/>
  <c r="G986" i="9"/>
  <c r="J978" i="9"/>
  <c r="F978" i="9"/>
  <c r="G978" i="9"/>
  <c r="D978" i="9"/>
  <c r="E978" i="9" s="1"/>
  <c r="J970" i="9"/>
  <c r="F970" i="9"/>
  <c r="G970" i="9"/>
  <c r="D970" i="9"/>
  <c r="E970" i="9" s="1"/>
  <c r="G962" i="9"/>
  <c r="D962" i="9"/>
  <c r="E962" i="9" s="1"/>
  <c r="J946" i="9"/>
  <c r="F946" i="9"/>
  <c r="G946" i="9"/>
  <c r="G930" i="9"/>
  <c r="D930" i="9"/>
  <c r="E930" i="9" s="1"/>
  <c r="J922" i="9"/>
  <c r="F922" i="9"/>
  <c r="G922" i="9"/>
  <c r="J527" i="9"/>
  <c r="F527" i="9"/>
  <c r="G527" i="9"/>
  <c r="D527" i="9"/>
  <c r="E527" i="9" s="1"/>
  <c r="J523" i="9"/>
  <c r="F523" i="9"/>
  <c r="G523" i="9"/>
  <c r="D523" i="9"/>
  <c r="E523" i="9" s="1"/>
  <c r="D414" i="9"/>
  <c r="E414" i="9" s="1"/>
  <c r="J826" i="9"/>
  <c r="F826" i="9"/>
  <c r="G826" i="9"/>
  <c r="J839" i="9"/>
  <c r="F839" i="9"/>
  <c r="G839" i="9"/>
  <c r="D839" i="9"/>
  <c r="E839" i="9" s="1"/>
  <c r="J811" i="9"/>
  <c r="F811" i="9"/>
  <c r="G811" i="9"/>
  <c r="D811" i="9"/>
  <c r="E811" i="9" s="1"/>
  <c r="D1245" i="9"/>
  <c r="E1245" i="9" s="1"/>
  <c r="D1050" i="9"/>
  <c r="E1050" i="9" s="1"/>
  <c r="F1179" i="9"/>
  <c r="F1090" i="9"/>
  <c r="F965" i="9"/>
  <c r="F917" i="9"/>
  <c r="F1261" i="9"/>
  <c r="D1261" i="9"/>
  <c r="E1261" i="9" s="1"/>
  <c r="F1253" i="9"/>
  <c r="D1253" i="9"/>
  <c r="E1253" i="9" s="1"/>
  <c r="F1181" i="9"/>
  <c r="G1181" i="9"/>
  <c r="D1181" i="9"/>
  <c r="E1181" i="9" s="1"/>
  <c r="J1181" i="9"/>
  <c r="J1203" i="9"/>
  <c r="G1203" i="9"/>
  <c r="F1203" i="9"/>
  <c r="D1203" i="9"/>
  <c r="E1203" i="9" s="1"/>
  <c r="J1187" i="9"/>
  <c r="G1187" i="9"/>
  <c r="F1187" i="9"/>
  <c r="D1187" i="9"/>
  <c r="E1187" i="9" s="1"/>
  <c r="D1179" i="9"/>
  <c r="E1179" i="9" s="1"/>
  <c r="J1179" i="9"/>
  <c r="J1171" i="9"/>
  <c r="G1171" i="9"/>
  <c r="F1171" i="9"/>
  <c r="D1171" i="9"/>
  <c r="E1171" i="9" s="1"/>
  <c r="J1155" i="9"/>
  <c r="G1155" i="9"/>
  <c r="F1155" i="9"/>
  <c r="D1155" i="9"/>
  <c r="E1155" i="9" s="1"/>
  <c r="J1147" i="9"/>
  <c r="D1147" i="9"/>
  <c r="E1147" i="9" s="1"/>
  <c r="G1147" i="9"/>
  <c r="H1147" i="9" s="1"/>
  <c r="I1147" i="9" s="1"/>
  <c r="J1139" i="9"/>
  <c r="F1139" i="9"/>
  <c r="D1139" i="9"/>
  <c r="E1139" i="9" s="1"/>
  <c r="F1123" i="9"/>
  <c r="H1123" i="9" s="1"/>
  <c r="I1123" i="9" s="1"/>
  <c r="D1123" i="9"/>
  <c r="E1123" i="9" s="1"/>
  <c r="J1115" i="9"/>
  <c r="J1107" i="9"/>
  <c r="F1107" i="9"/>
  <c r="D1107" i="9"/>
  <c r="E1107" i="9" s="1"/>
  <c r="G1107" i="9"/>
  <c r="J1099" i="9"/>
  <c r="D1099" i="9"/>
  <c r="E1099" i="9" s="1"/>
  <c r="G1099" i="9"/>
  <c r="J1091" i="9"/>
  <c r="F1091" i="9"/>
  <c r="D1091" i="9"/>
  <c r="E1091" i="9" s="1"/>
  <c r="J1083" i="9"/>
  <c r="D1083" i="9"/>
  <c r="E1083" i="9" s="1"/>
  <c r="G1083" i="9"/>
  <c r="H1083" i="9" s="1"/>
  <c r="I1083" i="9" s="1"/>
  <c r="J1075" i="9"/>
  <c r="F1075" i="9"/>
  <c r="J1067" i="9"/>
  <c r="G1067" i="9"/>
  <c r="H1067" i="9" s="1"/>
  <c r="I1067" i="9" s="1"/>
  <c r="D1067" i="9"/>
  <c r="E1067" i="9" s="1"/>
  <c r="J1059" i="9"/>
  <c r="F1059" i="9"/>
  <c r="D1059" i="9"/>
  <c r="E1059" i="9" s="1"/>
  <c r="J1043" i="9"/>
  <c r="F1043" i="9"/>
  <c r="D1043" i="9"/>
  <c r="E1043" i="9" s="1"/>
  <c r="G1043" i="9"/>
  <c r="F1011" i="9"/>
  <c r="G1011" i="9"/>
  <c r="J1003" i="9"/>
  <c r="F987" i="9"/>
  <c r="G947" i="9"/>
  <c r="H947" i="9" s="1"/>
  <c r="I947" i="9" s="1"/>
  <c r="G939" i="9"/>
  <c r="D939" i="9"/>
  <c r="E939" i="9" s="1"/>
  <c r="F923" i="9"/>
  <c r="D419" i="9"/>
  <c r="E419" i="9" s="1"/>
  <c r="F410" i="9"/>
  <c r="G834" i="9"/>
  <c r="F823" i="9"/>
  <c r="G1091" i="9"/>
  <c r="J1201" i="9"/>
  <c r="G1201" i="9"/>
  <c r="F1201" i="9"/>
  <c r="J1193" i="9"/>
  <c r="G1193" i="9"/>
  <c r="F1193" i="9"/>
  <c r="J1185" i="9"/>
  <c r="G1185" i="9"/>
  <c r="F1185" i="9"/>
  <c r="J1177" i="9"/>
  <c r="G1177" i="9"/>
  <c r="F1177" i="9"/>
  <c r="J1169" i="9"/>
  <c r="G1169" i="9"/>
  <c r="F1169" i="9"/>
  <c r="G1161" i="9"/>
  <c r="J1161" i="9"/>
  <c r="F1161" i="9"/>
  <c r="J1153" i="9"/>
  <c r="G1153" i="9"/>
  <c r="F1153" i="9"/>
  <c r="G1145" i="9"/>
  <c r="J1145" i="9"/>
  <c r="F1145" i="9"/>
  <c r="J1137" i="9"/>
  <c r="G1137" i="9"/>
  <c r="F1137" i="9"/>
  <c r="J1129" i="9"/>
  <c r="G1129" i="9"/>
  <c r="F1129" i="9"/>
  <c r="J1121" i="9"/>
  <c r="G1121" i="9"/>
  <c r="F1121" i="9"/>
  <c r="G1113" i="9"/>
  <c r="J1113" i="9"/>
  <c r="F1113" i="9"/>
  <c r="J1105" i="9"/>
  <c r="G1105" i="9"/>
  <c r="F1105" i="9"/>
  <c r="J1097" i="9"/>
  <c r="G1097" i="9"/>
  <c r="F1097" i="9"/>
  <c r="J1089" i="9"/>
  <c r="G1089" i="9"/>
  <c r="F1089" i="9"/>
  <c r="G1081" i="9"/>
  <c r="F1081" i="9"/>
  <c r="J1081" i="9"/>
  <c r="J1073" i="9"/>
  <c r="G1073" i="9"/>
  <c r="F1073" i="9"/>
  <c r="J1065" i="9"/>
  <c r="G1065" i="9"/>
  <c r="F1065" i="9"/>
  <c r="D1065" i="9"/>
  <c r="E1065" i="9" s="1"/>
  <c r="J1057" i="9"/>
  <c r="G1057" i="9"/>
  <c r="F1057" i="9"/>
  <c r="D1057" i="9"/>
  <c r="E1057" i="9" s="1"/>
  <c r="J1049" i="9"/>
  <c r="G1049" i="9"/>
  <c r="F1049" i="9"/>
  <c r="J1041" i="9"/>
  <c r="G1041" i="9"/>
  <c r="F1041" i="9"/>
  <c r="J1033" i="9"/>
  <c r="G1033" i="9"/>
  <c r="F1033" i="9"/>
  <c r="D1033" i="9"/>
  <c r="E1033" i="9" s="1"/>
  <c r="J1025" i="9"/>
  <c r="G1025" i="9"/>
  <c r="F1025" i="9"/>
  <c r="J1017" i="9"/>
  <c r="G1017" i="9"/>
  <c r="F1017" i="9"/>
  <c r="D1017" i="9"/>
  <c r="E1017" i="9" s="1"/>
  <c r="J1009" i="9"/>
  <c r="G1009" i="9"/>
  <c r="D1009" i="9"/>
  <c r="E1009" i="9" s="1"/>
  <c r="J1001" i="9"/>
  <c r="G1001" i="9"/>
  <c r="H1001" i="9" s="1"/>
  <c r="I1001" i="9" s="1"/>
  <c r="D1001" i="9"/>
  <c r="E1001" i="9" s="1"/>
  <c r="J993" i="9"/>
  <c r="G993" i="9"/>
  <c r="F993" i="9"/>
  <c r="D993" i="9"/>
  <c r="E993" i="9" s="1"/>
  <c r="J985" i="9"/>
  <c r="G985" i="9"/>
  <c r="F985" i="9"/>
  <c r="J977" i="9"/>
  <c r="G977" i="9"/>
  <c r="F977" i="9"/>
  <c r="J969" i="9"/>
  <c r="G969" i="9"/>
  <c r="F969" i="9"/>
  <c r="D969" i="9"/>
  <c r="E969" i="9" s="1"/>
  <c r="G961" i="9"/>
  <c r="F961" i="9"/>
  <c r="J961" i="9"/>
  <c r="J953" i="9"/>
  <c r="G953" i="9"/>
  <c r="F953" i="9"/>
  <c r="D953" i="9"/>
  <c r="E953" i="9" s="1"/>
  <c r="G945" i="9"/>
  <c r="F945" i="9"/>
  <c r="D945" i="9"/>
  <c r="E945" i="9" s="1"/>
  <c r="J945" i="9"/>
  <c r="J937" i="9"/>
  <c r="G937" i="9"/>
  <c r="F937" i="9"/>
  <c r="D937" i="9"/>
  <c r="E937" i="9" s="1"/>
  <c r="J929" i="9"/>
  <c r="D929" i="9"/>
  <c r="E929" i="9" s="1"/>
  <c r="F929" i="9"/>
  <c r="J921" i="9"/>
  <c r="G921" i="9"/>
  <c r="F921" i="9"/>
  <c r="F526" i="9"/>
  <c r="J526" i="9"/>
  <c r="G526" i="9"/>
  <c r="J422" i="9"/>
  <c r="G422" i="9"/>
  <c r="D422" i="9"/>
  <c r="E422" i="9" s="1"/>
  <c r="F422" i="9"/>
  <c r="J393" i="9"/>
  <c r="F393" i="9"/>
  <c r="G393" i="9"/>
  <c r="J416" i="9"/>
  <c r="G416" i="9"/>
  <c r="H416" i="9" s="1"/>
  <c r="I416" i="9" s="1"/>
  <c r="D416" i="9"/>
  <c r="E416" i="9" s="1"/>
  <c r="J402" i="9"/>
  <c r="G402" i="9"/>
  <c r="F402" i="9"/>
  <c r="D402" i="9"/>
  <c r="E402" i="9" s="1"/>
  <c r="J399" i="9"/>
  <c r="G399" i="9"/>
  <c r="F399" i="9"/>
  <c r="D399" i="9"/>
  <c r="E399" i="9" s="1"/>
  <c r="J386" i="9"/>
  <c r="F386" i="9"/>
  <c r="D386" i="9"/>
  <c r="E386" i="9" s="1"/>
  <c r="G386" i="9"/>
  <c r="J814" i="9"/>
  <c r="G814" i="9"/>
  <c r="F814" i="9"/>
  <c r="J818" i="9"/>
  <c r="G818" i="9"/>
  <c r="F818" i="9"/>
  <c r="J821" i="9"/>
  <c r="G821" i="9"/>
  <c r="F821" i="9"/>
  <c r="D821" i="9"/>
  <c r="E821" i="9" s="1"/>
  <c r="J846" i="9"/>
  <c r="F846" i="9"/>
  <c r="G846" i="9"/>
  <c r="J432" i="9"/>
  <c r="G432" i="9"/>
  <c r="D432" i="9"/>
  <c r="E432" i="9" s="1"/>
  <c r="F432" i="9"/>
  <c r="D1277" i="9"/>
  <c r="E1277" i="9" s="1"/>
  <c r="D1177" i="9"/>
  <c r="E1177" i="9" s="1"/>
  <c r="D1113" i="9"/>
  <c r="E1113" i="9" s="1"/>
  <c r="D1049" i="9"/>
  <c r="E1049" i="9" s="1"/>
  <c r="D986" i="9"/>
  <c r="E986" i="9" s="1"/>
  <c r="D393" i="9"/>
  <c r="E393" i="9" s="1"/>
  <c r="F1170" i="9"/>
  <c r="F1042" i="9"/>
  <c r="G1059" i="9"/>
  <c r="G929" i="9"/>
  <c r="J1196" i="9"/>
  <c r="G1196" i="9"/>
  <c r="J1188" i="9"/>
  <c r="G1188" i="9"/>
  <c r="J1164" i="9"/>
  <c r="G1164" i="9"/>
  <c r="J1148" i="9"/>
  <c r="G1148" i="9"/>
  <c r="J1132" i="9"/>
  <c r="G1132" i="9"/>
  <c r="H1132" i="9" s="1"/>
  <c r="I1132" i="9" s="1"/>
  <c r="J1116" i="9"/>
  <c r="G1116" i="9"/>
  <c r="J1100" i="9"/>
  <c r="G1100" i="9"/>
  <c r="H1100" i="9" s="1"/>
  <c r="I1100" i="9" s="1"/>
  <c r="J1084" i="9"/>
  <c r="G1084" i="9"/>
  <c r="J1068" i="9"/>
  <c r="G1068" i="9"/>
  <c r="H1068" i="9" s="1"/>
  <c r="I1068" i="9" s="1"/>
  <c r="J1052" i="9"/>
  <c r="G1052" i="9"/>
  <c r="J1036" i="9"/>
  <c r="G1036" i="9"/>
  <c r="J1020" i="9"/>
  <c r="G1020" i="9"/>
  <c r="J1004" i="9"/>
  <c r="G1004" i="9"/>
  <c r="F1004" i="9"/>
  <c r="J988" i="9"/>
  <c r="G988" i="9"/>
  <c r="F988" i="9"/>
  <c r="J980" i="9"/>
  <c r="F980" i="9"/>
  <c r="J972" i="9"/>
  <c r="G972" i="9"/>
  <c r="F972" i="9"/>
  <c r="J956" i="9"/>
  <c r="G956" i="9"/>
  <c r="J940" i="9"/>
  <c r="G940" i="9"/>
  <c r="F940" i="9"/>
  <c r="J932" i="9"/>
  <c r="J533" i="9"/>
  <c r="G533" i="9"/>
  <c r="F533" i="9"/>
  <c r="F530" i="9"/>
  <c r="G384" i="9"/>
  <c r="J384" i="9"/>
  <c r="F384" i="9"/>
  <c r="J409" i="9"/>
  <c r="G409" i="9"/>
  <c r="F409" i="9"/>
  <c r="F383" i="9"/>
  <c r="G387" i="9"/>
  <c r="J387" i="9"/>
  <c r="F387" i="9"/>
  <c r="J832" i="9"/>
  <c r="G832" i="9"/>
  <c r="F832" i="9"/>
  <c r="F829" i="9"/>
  <c r="G848" i="9"/>
  <c r="J848" i="9"/>
  <c r="F848" i="9"/>
  <c r="J843" i="9"/>
  <c r="G843" i="9"/>
  <c r="F843" i="9"/>
  <c r="D1294" i="9"/>
  <c r="E1294" i="9" s="1"/>
  <c r="D1271" i="9"/>
  <c r="E1271" i="9" s="1"/>
  <c r="D1224" i="9"/>
  <c r="E1224" i="9" s="1"/>
  <c r="D1208" i="9"/>
  <c r="E1208" i="9" s="1"/>
  <c r="D1062" i="9"/>
  <c r="E1062" i="9" s="1"/>
  <c r="D1012" i="9"/>
  <c r="E1012" i="9" s="1"/>
  <c r="D948" i="9"/>
  <c r="E948" i="9" s="1"/>
  <c r="D405" i="9"/>
  <c r="E405" i="9" s="1"/>
  <c r="F1166" i="9"/>
  <c r="G1172" i="9"/>
  <c r="J1222" i="9"/>
  <c r="J1200" i="9"/>
  <c r="G1200" i="9"/>
  <c r="F1200" i="9"/>
  <c r="J1192" i="9"/>
  <c r="G1192" i="9"/>
  <c r="F1192" i="9"/>
  <c r="J1184" i="9"/>
  <c r="G1184" i="9"/>
  <c r="F1184" i="9"/>
  <c r="J1176" i="9"/>
  <c r="G1176" i="9"/>
  <c r="F1176" i="9"/>
  <c r="J1168" i="9"/>
  <c r="G1168" i="9"/>
  <c r="F1168" i="9"/>
  <c r="J1160" i="9"/>
  <c r="G1160" i="9"/>
  <c r="F1160" i="9"/>
  <c r="J1152" i="9"/>
  <c r="G1152" i="9"/>
  <c r="F1152" i="9"/>
  <c r="J1144" i="9"/>
  <c r="G1144" i="9"/>
  <c r="F1144" i="9"/>
  <c r="G1136" i="9"/>
  <c r="J1136" i="9"/>
  <c r="F1136" i="9"/>
  <c r="J1128" i="9"/>
  <c r="G1120" i="9"/>
  <c r="F1120" i="9"/>
  <c r="J1112" i="9"/>
  <c r="G1112" i="9"/>
  <c r="F1112" i="9"/>
  <c r="J1104" i="9"/>
  <c r="G1104" i="9"/>
  <c r="F1104" i="9"/>
  <c r="J1096" i="9"/>
  <c r="G1096" i="9"/>
  <c r="F1096" i="9"/>
  <c r="J1088" i="9"/>
  <c r="G1088" i="9"/>
  <c r="F1088" i="9"/>
  <c r="J1080" i="9"/>
  <c r="G1080" i="9"/>
  <c r="F1080" i="9"/>
  <c r="J1072" i="9"/>
  <c r="G1072" i="9"/>
  <c r="F1072" i="9"/>
  <c r="G1064" i="9"/>
  <c r="F1064" i="9"/>
  <c r="G1056" i="9"/>
  <c r="J1056" i="9"/>
  <c r="F1056" i="9"/>
  <c r="J1048" i="9"/>
  <c r="G1048" i="9"/>
  <c r="F1048" i="9"/>
  <c r="J1040" i="9"/>
  <c r="G1040" i="9"/>
  <c r="F1040" i="9"/>
  <c r="G1032" i="9"/>
  <c r="F1032" i="9"/>
  <c r="J1032" i="9"/>
  <c r="G1024" i="9"/>
  <c r="F1024" i="9"/>
  <c r="G1016" i="9"/>
  <c r="J1016" i="9"/>
  <c r="F1016" i="9"/>
  <c r="J1008" i="9"/>
  <c r="G1008" i="9"/>
  <c r="F1008" i="9"/>
  <c r="J1000" i="9"/>
  <c r="G1000" i="9"/>
  <c r="H1000" i="9" s="1"/>
  <c r="I1000" i="9" s="1"/>
  <c r="J992" i="9"/>
  <c r="G992" i="9"/>
  <c r="J984" i="9"/>
  <c r="G984" i="9"/>
  <c r="G976" i="9"/>
  <c r="F976" i="9"/>
  <c r="J968" i="9"/>
  <c r="G968" i="9"/>
  <c r="H968" i="9" s="1"/>
  <c r="I968" i="9" s="1"/>
  <c r="J960" i="9"/>
  <c r="G960" i="9"/>
  <c r="F960" i="9"/>
  <c r="G952" i="9"/>
  <c r="F952" i="9"/>
  <c r="J944" i="9"/>
  <c r="G944" i="9"/>
  <c r="F944" i="9"/>
  <c r="J936" i="9"/>
  <c r="G936" i="9"/>
  <c r="H936" i="9" s="1"/>
  <c r="I936" i="9" s="1"/>
  <c r="J928" i="9"/>
  <c r="G928" i="9"/>
  <c r="H928" i="9" s="1"/>
  <c r="I928" i="9" s="1"/>
  <c r="J920" i="9"/>
  <c r="F920" i="9"/>
  <c r="H920" i="9" s="1"/>
  <c r="I920" i="9" s="1"/>
  <c r="J529" i="9"/>
  <c r="F529" i="9"/>
  <c r="J398" i="9"/>
  <c r="J417" i="9"/>
  <c r="G417" i="9"/>
  <c r="J400" i="9"/>
  <c r="G400" i="9"/>
  <c r="F400" i="9"/>
  <c r="J415" i="9"/>
  <c r="J412" i="9"/>
  <c r="J841" i="9"/>
  <c r="G841" i="9"/>
  <c r="H841" i="9" s="1"/>
  <c r="I841" i="9" s="1"/>
  <c r="J813" i="9"/>
  <c r="F813" i="9"/>
  <c r="H813" i="9" s="1"/>
  <c r="I813" i="9" s="1"/>
  <c r="J838" i="9"/>
  <c r="G838" i="9"/>
  <c r="F838" i="9"/>
  <c r="J845" i="9"/>
  <c r="G845" i="9"/>
  <c r="H845" i="9" s="1"/>
  <c r="I845" i="9" s="1"/>
  <c r="J436" i="9"/>
  <c r="F436" i="9"/>
  <c r="G436" i="9"/>
  <c r="D1262" i="9"/>
  <c r="E1262" i="9" s="1"/>
  <c r="D1238" i="9"/>
  <c r="E1238" i="9" s="1"/>
  <c r="D1216" i="9"/>
  <c r="E1216" i="9" s="1"/>
  <c r="D1204" i="9"/>
  <c r="E1204" i="9" s="1"/>
  <c r="D1196" i="9"/>
  <c r="E1196" i="9" s="1"/>
  <c r="D1188" i="9"/>
  <c r="E1188" i="9" s="1"/>
  <c r="D1180" i="9"/>
  <c r="E1180" i="9" s="1"/>
  <c r="D1172" i="9"/>
  <c r="E1172" i="9" s="1"/>
  <c r="D1164" i="9"/>
  <c r="E1164" i="9" s="1"/>
  <c r="D1156" i="9"/>
  <c r="E1156" i="9" s="1"/>
  <c r="D1148" i="9"/>
  <c r="E1148" i="9" s="1"/>
  <c r="D1140" i="9"/>
  <c r="E1140" i="9" s="1"/>
  <c r="D1132" i="9"/>
  <c r="E1132" i="9" s="1"/>
  <c r="D1124" i="9"/>
  <c r="E1124" i="9" s="1"/>
  <c r="D1116" i="9"/>
  <c r="E1116" i="9" s="1"/>
  <c r="D1108" i="9"/>
  <c r="E1108" i="9" s="1"/>
  <c r="D1100" i="9"/>
  <c r="E1100" i="9" s="1"/>
  <c r="D1092" i="9"/>
  <c r="E1092" i="9" s="1"/>
  <c r="D1084" i="9"/>
  <c r="E1084" i="9" s="1"/>
  <c r="D1076" i="9"/>
  <c r="E1076" i="9" s="1"/>
  <c r="D1044" i="9"/>
  <c r="E1044" i="9" s="1"/>
  <c r="D1008" i="9"/>
  <c r="E1008" i="9" s="1"/>
  <c r="D980" i="9"/>
  <c r="E980" i="9" s="1"/>
  <c r="D944" i="9"/>
  <c r="E944" i="9" s="1"/>
  <c r="D533" i="9"/>
  <c r="E533" i="9" s="1"/>
  <c r="D832" i="9"/>
  <c r="E832" i="9" s="1"/>
  <c r="F1206" i="9"/>
  <c r="F1190" i="9"/>
  <c r="F1158" i="9"/>
  <c r="F996" i="9"/>
  <c r="F417" i="9"/>
  <c r="G1222" i="9"/>
  <c r="G1158" i="9"/>
  <c r="J1120" i="9"/>
  <c r="J1207" i="9"/>
  <c r="F1207" i="9"/>
  <c r="G1207" i="9"/>
  <c r="J1199" i="9"/>
  <c r="F1199" i="9"/>
  <c r="G1199" i="9"/>
  <c r="J1191" i="9"/>
  <c r="F1191" i="9"/>
  <c r="J1183" i="9"/>
  <c r="F1183" i="9"/>
  <c r="J1175" i="9"/>
  <c r="F1175" i="9"/>
  <c r="G1175" i="9"/>
  <c r="J1159" i="9"/>
  <c r="G1159" i="9"/>
  <c r="F1159" i="9"/>
  <c r="J1151" i="9"/>
  <c r="F1151" i="9"/>
  <c r="J1143" i="9"/>
  <c r="F1143" i="9"/>
  <c r="G1143" i="9"/>
  <c r="J1135" i="9"/>
  <c r="F1135" i="9"/>
  <c r="G1135" i="9"/>
  <c r="J1119" i="9"/>
  <c r="F1119" i="9"/>
  <c r="G1119" i="9"/>
  <c r="J1111" i="9"/>
  <c r="F1111" i="9"/>
  <c r="G1111" i="9"/>
  <c r="J1103" i="9"/>
  <c r="F1103" i="9"/>
  <c r="G1103" i="9"/>
  <c r="J1095" i="9"/>
  <c r="F1095" i="9"/>
  <c r="G1095" i="9"/>
  <c r="J1087" i="9"/>
  <c r="F1087" i="9"/>
  <c r="G1087" i="9"/>
  <c r="J1079" i="9"/>
  <c r="F1079" i="9"/>
  <c r="G1079" i="9"/>
  <c r="J1071" i="9"/>
  <c r="F1071" i="9"/>
  <c r="G1071" i="9"/>
  <c r="D1071" i="9"/>
  <c r="E1071" i="9" s="1"/>
  <c r="J1063" i="9"/>
  <c r="F1063" i="9"/>
  <c r="D1063" i="9"/>
  <c r="E1063" i="9" s="1"/>
  <c r="G1063" i="9"/>
  <c r="J1055" i="9"/>
  <c r="F1055" i="9"/>
  <c r="G1055" i="9"/>
  <c r="D1055" i="9"/>
  <c r="E1055" i="9" s="1"/>
  <c r="J1047" i="9"/>
  <c r="F1047" i="9"/>
  <c r="D1047" i="9"/>
  <c r="E1047" i="9" s="1"/>
  <c r="G1047" i="9"/>
  <c r="J1039" i="9"/>
  <c r="F1039" i="9"/>
  <c r="G1039" i="9"/>
  <c r="D1039" i="9"/>
  <c r="E1039" i="9" s="1"/>
  <c r="J1031" i="9"/>
  <c r="F1031" i="9"/>
  <c r="D1031" i="9"/>
  <c r="E1031" i="9" s="1"/>
  <c r="G1031" i="9"/>
  <c r="J1023" i="9"/>
  <c r="F1023" i="9"/>
  <c r="G1023" i="9"/>
  <c r="D1023" i="9"/>
  <c r="E1023" i="9" s="1"/>
  <c r="J1015" i="9"/>
  <c r="F1015" i="9"/>
  <c r="D1015" i="9"/>
  <c r="E1015" i="9" s="1"/>
  <c r="G1015" i="9"/>
  <c r="J999" i="9"/>
  <c r="F999" i="9"/>
  <c r="D999" i="9"/>
  <c r="E999" i="9" s="1"/>
  <c r="G999" i="9"/>
  <c r="J991" i="9"/>
  <c r="G991" i="9"/>
  <c r="H991" i="9" s="1"/>
  <c r="I991" i="9" s="1"/>
  <c r="D991" i="9"/>
  <c r="E991" i="9" s="1"/>
  <c r="J983" i="9"/>
  <c r="D983" i="9"/>
  <c r="E983" i="9" s="1"/>
  <c r="G983" i="9"/>
  <c r="H983" i="9" s="1"/>
  <c r="I983" i="9" s="1"/>
  <c r="J975" i="9"/>
  <c r="G975" i="9"/>
  <c r="D975" i="9"/>
  <c r="E975" i="9" s="1"/>
  <c r="D967" i="9"/>
  <c r="E967" i="9" s="1"/>
  <c r="G967" i="9"/>
  <c r="F967" i="9"/>
  <c r="J959" i="9"/>
  <c r="G959" i="9"/>
  <c r="H959" i="9" s="1"/>
  <c r="I959" i="9" s="1"/>
  <c r="D959" i="9"/>
  <c r="E959" i="9" s="1"/>
  <c r="D951" i="9"/>
  <c r="E951" i="9" s="1"/>
  <c r="G951" i="9"/>
  <c r="J943" i="9"/>
  <c r="F943" i="9"/>
  <c r="G943" i="9"/>
  <c r="D943" i="9"/>
  <c r="E943" i="9" s="1"/>
  <c r="F935" i="9"/>
  <c r="D935" i="9"/>
  <c r="E935" i="9" s="1"/>
  <c r="J927" i="9"/>
  <c r="G927" i="9"/>
  <c r="H927" i="9" s="1"/>
  <c r="I927" i="9" s="1"/>
  <c r="D927" i="9"/>
  <c r="E927" i="9" s="1"/>
  <c r="J919" i="9"/>
  <c r="J532" i="9"/>
  <c r="F532" i="9"/>
  <c r="H532" i="9" s="1"/>
  <c r="I532" i="9" s="1"/>
  <c r="D532" i="9"/>
  <c r="E532" i="9" s="1"/>
  <c r="J397" i="9"/>
  <c r="G397" i="9"/>
  <c r="H397" i="9" s="1"/>
  <c r="I397" i="9" s="1"/>
  <c r="D397" i="9"/>
  <c r="E397" i="9" s="1"/>
  <c r="J392" i="9"/>
  <c r="D392" i="9"/>
  <c r="E392" i="9" s="1"/>
  <c r="F392" i="9"/>
  <c r="J408" i="9"/>
  <c r="G408" i="9"/>
  <c r="F408" i="9"/>
  <c r="D408" i="9"/>
  <c r="E408" i="9" s="1"/>
  <c r="J395" i="9"/>
  <c r="D395" i="9"/>
  <c r="E395" i="9" s="1"/>
  <c r="G395" i="9"/>
  <c r="H395" i="9" s="1"/>
  <c r="I395" i="9" s="1"/>
  <c r="J423" i="9"/>
  <c r="G423" i="9"/>
  <c r="H423" i="9" s="1"/>
  <c r="I423" i="9" s="1"/>
  <c r="D423" i="9"/>
  <c r="E423" i="9" s="1"/>
  <c r="J836" i="9"/>
  <c r="G836" i="9"/>
  <c r="F836" i="9"/>
  <c r="D836" i="9"/>
  <c r="E836" i="9" s="1"/>
  <c r="J817" i="9"/>
  <c r="G817" i="9"/>
  <c r="D817" i="9"/>
  <c r="E817" i="9" s="1"/>
  <c r="J824" i="9"/>
  <c r="F824" i="9"/>
  <c r="H824" i="9" s="1"/>
  <c r="I824" i="9" s="1"/>
  <c r="D824" i="9"/>
  <c r="E824" i="9" s="1"/>
  <c r="J820" i="9"/>
  <c r="D820" i="9"/>
  <c r="E820" i="9" s="1"/>
  <c r="J833" i="9"/>
  <c r="G833" i="9"/>
  <c r="D833" i="9"/>
  <c r="E833" i="9" s="1"/>
  <c r="F833" i="9"/>
  <c r="J435" i="9"/>
  <c r="G435" i="9"/>
  <c r="F435" i="9"/>
  <c r="D435" i="9"/>
  <c r="E435" i="9" s="1"/>
  <c r="D1279" i="9"/>
  <c r="E1279" i="9" s="1"/>
  <c r="D1032" i="9"/>
  <c r="E1032" i="9" s="1"/>
  <c r="D1004" i="9"/>
  <c r="E1004" i="9" s="1"/>
  <c r="D968" i="9"/>
  <c r="E968" i="9" s="1"/>
  <c r="D940" i="9"/>
  <c r="E940" i="9" s="1"/>
  <c r="D398" i="9"/>
  <c r="E398" i="9" s="1"/>
  <c r="D383" i="9"/>
  <c r="E383" i="9" s="1"/>
  <c r="D828" i="9"/>
  <c r="E828" i="9" s="1"/>
  <c r="F1204" i="9"/>
  <c r="F1188" i="9"/>
  <c r="F1172" i="9"/>
  <c r="F1156" i="9"/>
  <c r="F1140" i="9"/>
  <c r="F1124" i="9"/>
  <c r="F1108" i="9"/>
  <c r="F1092" i="9"/>
  <c r="F1076" i="9"/>
  <c r="F1060" i="9"/>
  <c r="F1044" i="9"/>
  <c r="F1028" i="9"/>
  <c r="F1012" i="9"/>
  <c r="F975" i="9"/>
  <c r="F919" i="9"/>
  <c r="G1206" i="9"/>
  <c r="G1156" i="9"/>
  <c r="G392" i="9"/>
  <c r="H392" i="9" s="1"/>
  <c r="I392" i="9" s="1"/>
  <c r="J1214" i="9"/>
  <c r="G1214" i="9"/>
  <c r="F1214" i="9"/>
  <c r="J1198" i="9"/>
  <c r="G1198" i="9"/>
  <c r="J1182" i="9"/>
  <c r="G1182" i="9"/>
  <c r="J1174" i="9"/>
  <c r="G1174" i="9"/>
  <c r="J1150" i="9"/>
  <c r="G1150" i="9"/>
  <c r="H1150" i="9" s="1"/>
  <c r="I1150" i="9" s="1"/>
  <c r="J1142" i="9"/>
  <c r="G1142" i="9"/>
  <c r="H1142" i="9" s="1"/>
  <c r="I1142" i="9" s="1"/>
  <c r="J1126" i="9"/>
  <c r="G1126" i="9"/>
  <c r="H1126" i="9" s="1"/>
  <c r="I1126" i="9" s="1"/>
  <c r="J1118" i="9"/>
  <c r="G1118" i="9"/>
  <c r="H1118" i="9" s="1"/>
  <c r="I1118" i="9" s="1"/>
  <c r="J1110" i="9"/>
  <c r="G1110" i="9"/>
  <c r="H1110" i="9" s="1"/>
  <c r="I1110" i="9" s="1"/>
  <c r="J1102" i="9"/>
  <c r="G1102" i="9"/>
  <c r="H1102" i="9" s="1"/>
  <c r="I1102" i="9" s="1"/>
  <c r="J1094" i="9"/>
  <c r="G1094" i="9"/>
  <c r="J1086" i="9"/>
  <c r="G1086" i="9"/>
  <c r="H1086" i="9" s="1"/>
  <c r="I1086" i="9" s="1"/>
  <c r="J1078" i="9"/>
  <c r="G1078" i="9"/>
  <c r="H1078" i="9" s="1"/>
  <c r="I1078" i="9" s="1"/>
  <c r="J1054" i="9"/>
  <c r="G1054" i="9"/>
  <c r="H1054" i="9" s="1"/>
  <c r="I1054" i="9" s="1"/>
  <c r="D1054" i="9"/>
  <c r="E1054" i="9" s="1"/>
  <c r="J1046" i="9"/>
  <c r="G1046" i="9"/>
  <c r="H1046" i="9" s="1"/>
  <c r="I1046" i="9" s="1"/>
  <c r="D1046" i="9"/>
  <c r="E1046" i="9" s="1"/>
  <c r="J1038" i="9"/>
  <c r="G1038" i="9"/>
  <c r="H1038" i="9" s="1"/>
  <c r="I1038" i="9" s="1"/>
  <c r="D1038" i="9"/>
  <c r="E1038" i="9" s="1"/>
  <c r="J1030" i="9"/>
  <c r="G1030" i="9"/>
  <c r="D1030" i="9"/>
  <c r="E1030" i="9" s="1"/>
  <c r="J1022" i="9"/>
  <c r="G1022" i="9"/>
  <c r="H1022" i="9" s="1"/>
  <c r="I1022" i="9" s="1"/>
  <c r="J1014" i="9"/>
  <c r="D1014" i="9"/>
  <c r="E1014" i="9" s="1"/>
  <c r="J1006" i="9"/>
  <c r="G1006" i="9"/>
  <c r="F1006" i="9"/>
  <c r="D1006" i="9"/>
  <c r="E1006" i="9" s="1"/>
  <c r="J998" i="9"/>
  <c r="G998" i="9"/>
  <c r="F998" i="9"/>
  <c r="D998" i="9"/>
  <c r="E998" i="9" s="1"/>
  <c r="J990" i="9"/>
  <c r="G990" i="9"/>
  <c r="D990" i="9"/>
  <c r="E990" i="9" s="1"/>
  <c r="F990" i="9"/>
  <c r="J982" i="9"/>
  <c r="G982" i="9"/>
  <c r="D982" i="9"/>
  <c r="E982" i="9" s="1"/>
  <c r="J974" i="9"/>
  <c r="G974" i="9"/>
  <c r="D974" i="9"/>
  <c r="E974" i="9" s="1"/>
  <c r="J966" i="9"/>
  <c r="G966" i="9"/>
  <c r="H966" i="9" s="1"/>
  <c r="I966" i="9" s="1"/>
  <c r="D966" i="9"/>
  <c r="E966" i="9" s="1"/>
  <c r="G958" i="9"/>
  <c r="D958" i="9"/>
  <c r="E958" i="9" s="1"/>
  <c r="F958" i="9"/>
  <c r="J950" i="9"/>
  <c r="G950" i="9"/>
  <c r="D950" i="9"/>
  <c r="E950" i="9" s="1"/>
  <c r="D942" i="9"/>
  <c r="E942" i="9" s="1"/>
  <c r="J934" i="9"/>
  <c r="F934" i="9"/>
  <c r="D934" i="9"/>
  <c r="E934" i="9" s="1"/>
  <c r="G934" i="9"/>
  <c r="J926" i="9"/>
  <c r="G926" i="9"/>
  <c r="D926" i="9"/>
  <c r="E926" i="9" s="1"/>
  <c r="F926" i="9"/>
  <c r="J918" i="9"/>
  <c r="G918" i="9"/>
  <c r="D918" i="9"/>
  <c r="E918" i="9" s="1"/>
  <c r="J524" i="9"/>
  <c r="G524" i="9"/>
  <c r="H524" i="9" s="1"/>
  <c r="I524" i="9" s="1"/>
  <c r="D524" i="9"/>
  <c r="E524" i="9" s="1"/>
  <c r="J421" i="9"/>
  <c r="D421" i="9"/>
  <c r="E421" i="9" s="1"/>
  <c r="F421" i="9"/>
  <c r="J389" i="9"/>
  <c r="D389" i="9"/>
  <c r="E389" i="9" s="1"/>
  <c r="J407" i="9"/>
  <c r="F407" i="9"/>
  <c r="G407" i="9"/>
  <c r="D407" i="9"/>
  <c r="E407" i="9" s="1"/>
  <c r="J394" i="9"/>
  <c r="G394" i="9"/>
  <c r="H394" i="9" s="1"/>
  <c r="I394" i="9" s="1"/>
  <c r="D394" i="9"/>
  <c r="E394" i="9" s="1"/>
  <c r="J411" i="9"/>
  <c r="D411" i="9"/>
  <c r="E411" i="9" s="1"/>
  <c r="G411" i="9"/>
  <c r="F411" i="9"/>
  <c r="F840" i="9"/>
  <c r="D840" i="9"/>
  <c r="E840" i="9" s="1"/>
  <c r="J840" i="9"/>
  <c r="J825" i="9"/>
  <c r="G825" i="9"/>
  <c r="D825" i="9"/>
  <c r="E825" i="9" s="1"/>
  <c r="D830" i="9"/>
  <c r="E830" i="9" s="1"/>
  <c r="J822" i="9"/>
  <c r="D822" i="9"/>
  <c r="E822" i="9" s="1"/>
  <c r="F822" i="9"/>
  <c r="J431" i="9"/>
  <c r="F431" i="9"/>
  <c r="D431" i="9"/>
  <c r="E431" i="9" s="1"/>
  <c r="D1278" i="9"/>
  <c r="E1278" i="9" s="1"/>
  <c r="D1255" i="9"/>
  <c r="E1255" i="9" s="1"/>
  <c r="D1232" i="9"/>
  <c r="E1232" i="9" s="1"/>
  <c r="D1056" i="9"/>
  <c r="E1056" i="9" s="1"/>
  <c r="D1028" i="9"/>
  <c r="E1028" i="9" s="1"/>
  <c r="D964" i="9"/>
  <c r="E964" i="9" s="1"/>
  <c r="D928" i="9"/>
  <c r="E928" i="9" s="1"/>
  <c r="D384" i="9"/>
  <c r="E384" i="9" s="1"/>
  <c r="D841" i="9"/>
  <c r="E841" i="9" s="1"/>
  <c r="D848" i="9"/>
  <c r="E848" i="9" s="1"/>
  <c r="F956" i="9"/>
  <c r="F918" i="9"/>
  <c r="F828" i="9"/>
  <c r="G1180" i="9"/>
  <c r="G1092" i="9"/>
  <c r="G1060" i="9"/>
  <c r="G1028" i="9"/>
  <c r="G996" i="9"/>
  <c r="G964" i="9"/>
  <c r="G389" i="9"/>
  <c r="H389" i="9" s="1"/>
  <c r="I389" i="9" s="1"/>
  <c r="D1293" i="8"/>
  <c r="E1293" i="8" s="1"/>
  <c r="D1285" i="8"/>
  <c r="E1285" i="8" s="1"/>
  <c r="F1297" i="8"/>
  <c r="G1297" i="8" s="1"/>
  <c r="H1297" i="8" s="1"/>
  <c r="F1289" i="8"/>
  <c r="G1289" i="8" s="1"/>
  <c r="H1289" i="8" s="1"/>
  <c r="D1275" i="8"/>
  <c r="E1275" i="8" s="1"/>
  <c r="D1267" i="8"/>
  <c r="E1267" i="8" s="1"/>
  <c r="D1259" i="8"/>
  <c r="E1259" i="8" s="1"/>
  <c r="D1251" i="8"/>
  <c r="E1251" i="8" s="1"/>
  <c r="D1243" i="8"/>
  <c r="E1243" i="8" s="1"/>
  <c r="D1235" i="8"/>
  <c r="E1235" i="8" s="1"/>
  <c r="D1227" i="8"/>
  <c r="E1227" i="8" s="1"/>
  <c r="D1219" i="8"/>
  <c r="E1219" i="8" s="1"/>
  <c r="D1211" i="8"/>
  <c r="E1211" i="8" s="1"/>
  <c r="D1203" i="8"/>
  <c r="E1203" i="8" s="1"/>
  <c r="D1195" i="8"/>
  <c r="E1195" i="8" s="1"/>
  <c r="D1187" i="8"/>
  <c r="E1187" i="8" s="1"/>
  <c r="D1179" i="8"/>
  <c r="E1179" i="8" s="1"/>
  <c r="D1171" i="8"/>
  <c r="E1171" i="8" s="1"/>
  <c r="D1163" i="8"/>
  <c r="E1163" i="8" s="1"/>
  <c r="D1155" i="8"/>
  <c r="E1155" i="8" s="1"/>
  <c r="D1274" i="8"/>
  <c r="E1274" i="8" s="1"/>
  <c r="D1266" i="8"/>
  <c r="E1266" i="8" s="1"/>
  <c r="D1258" i="8"/>
  <c r="E1258" i="8" s="1"/>
  <c r="D1250" i="8"/>
  <c r="E1250" i="8" s="1"/>
  <c r="D1242" i="8"/>
  <c r="E1242" i="8" s="1"/>
  <c r="D1234" i="8"/>
  <c r="E1234" i="8" s="1"/>
  <c r="D1226" i="8"/>
  <c r="E1226" i="8" s="1"/>
  <c r="D1218" i="8"/>
  <c r="E1218" i="8" s="1"/>
  <c r="D1210" i="8"/>
  <c r="E1210" i="8" s="1"/>
  <c r="D1202" i="8"/>
  <c r="E1202" i="8" s="1"/>
  <c r="D1194" i="8"/>
  <c r="E1194" i="8" s="1"/>
  <c r="D1186" i="8"/>
  <c r="E1186" i="8" s="1"/>
  <c r="D1178" i="8"/>
  <c r="E1178" i="8" s="1"/>
  <c r="D1170" i="8"/>
  <c r="E1170" i="8" s="1"/>
  <c r="D1162" i="8"/>
  <c r="E1162" i="8" s="1"/>
  <c r="D1154" i="8"/>
  <c r="E1154" i="8" s="1"/>
  <c r="K1289" i="5"/>
  <c r="D1289" i="5"/>
  <c r="E1289" i="5" s="1"/>
  <c r="K1297" i="5"/>
  <c r="G1297" i="5"/>
  <c r="D1297" i="5"/>
  <c r="E1297" i="5" s="1"/>
  <c r="K1281" i="5"/>
  <c r="G1281" i="5"/>
  <c r="D1281" i="5"/>
  <c r="E1281" i="5" s="1"/>
  <c r="K1273" i="5"/>
  <c r="D1273" i="5"/>
  <c r="E1273" i="5" s="1"/>
  <c r="G1249" i="5"/>
  <c r="D1249" i="5"/>
  <c r="E1249" i="5" s="1"/>
  <c r="G1233" i="5"/>
  <c r="D1233" i="5"/>
  <c r="E1233" i="5" s="1"/>
  <c r="G1217" i="5"/>
  <c r="D1217" i="5"/>
  <c r="E1217" i="5" s="1"/>
  <c r="D1201" i="5"/>
  <c r="E1201" i="5" s="1"/>
  <c r="G1201" i="5"/>
  <c r="G1185" i="5"/>
  <c r="D1185" i="5"/>
  <c r="E1185" i="5" s="1"/>
  <c r="G1169" i="5"/>
  <c r="D1169" i="5"/>
  <c r="E1169" i="5" s="1"/>
  <c r="K1265" i="5"/>
  <c r="D1265" i="5"/>
  <c r="E1265" i="5" s="1"/>
  <c r="G1265" i="5"/>
  <c r="K1257" i="5"/>
  <c r="D1257" i="5"/>
  <c r="E1257" i="5" s="1"/>
  <c r="F1257" i="5"/>
  <c r="H1257" i="5" s="1"/>
  <c r="D1254" i="5"/>
  <c r="E1254" i="5" s="1"/>
  <c r="D1222" i="5"/>
  <c r="E1222" i="5" s="1"/>
  <c r="D1206" i="5"/>
  <c r="E1206" i="5" s="1"/>
  <c r="D1190" i="5"/>
  <c r="E1190" i="5" s="1"/>
  <c r="D1174" i="5"/>
  <c r="E1174" i="5" s="1"/>
  <c r="D1158" i="5"/>
  <c r="E1158" i="5" s="1"/>
  <c r="F1294" i="5"/>
  <c r="H1294" i="5" s="1"/>
  <c r="G1151" i="5"/>
  <c r="G1149" i="5"/>
  <c r="D1295" i="5"/>
  <c r="E1295" i="5" s="1"/>
  <c r="D1279" i="5"/>
  <c r="E1279" i="5" s="1"/>
  <c r="D1263" i="5"/>
  <c r="E1263" i="5" s="1"/>
  <c r="D1247" i="5"/>
  <c r="E1247" i="5" s="1"/>
  <c r="D1231" i="5"/>
  <c r="E1231" i="5" s="1"/>
  <c r="D1215" i="5"/>
  <c r="E1215" i="5" s="1"/>
  <c r="D1262" i="5"/>
  <c r="E1262" i="5" s="1"/>
  <c r="D1294" i="5"/>
  <c r="E1294" i="5" s="1"/>
  <c r="D1246" i="5"/>
  <c r="E1246" i="5" s="1"/>
  <c r="D1198" i="5"/>
  <c r="E1198" i="5" s="1"/>
  <c r="F1149" i="5"/>
  <c r="H1149" i="5" s="1"/>
  <c r="D1149" i="5"/>
  <c r="E1149" i="5" s="1"/>
  <c r="D1278" i="5"/>
  <c r="E1278" i="5" s="1"/>
  <c r="D1230" i="5"/>
  <c r="E1230" i="5" s="1"/>
  <c r="D1214" i="5"/>
  <c r="E1214" i="5" s="1"/>
  <c r="D1182" i="5"/>
  <c r="E1182" i="5" s="1"/>
  <c r="D1287" i="5"/>
  <c r="E1287" i="5" s="1"/>
  <c r="D1271" i="5"/>
  <c r="E1271" i="5" s="1"/>
  <c r="D1255" i="5"/>
  <c r="E1255" i="5" s="1"/>
  <c r="D1239" i="5"/>
  <c r="E1239" i="5" s="1"/>
  <c r="D1223" i="5"/>
  <c r="E1223" i="5" s="1"/>
  <c r="D1207" i="5"/>
  <c r="E1207" i="5" s="1"/>
  <c r="D1191" i="5"/>
  <c r="E1191" i="5" s="1"/>
  <c r="D1175" i="5"/>
  <c r="E1175" i="5" s="1"/>
  <c r="D1159" i="5"/>
  <c r="E1159" i="5" s="1"/>
  <c r="G1277" i="5"/>
  <c r="K1277" i="5"/>
  <c r="D1277" i="5"/>
  <c r="E1277" i="5" s="1"/>
  <c r="F1277" i="5"/>
  <c r="H1277" i="5" s="1"/>
  <c r="G1261" i="5"/>
  <c r="F1261" i="5"/>
  <c r="H1261" i="5" s="1"/>
  <c r="D1261" i="5"/>
  <c r="E1261" i="5" s="1"/>
  <c r="K1261" i="5"/>
  <c r="K1237" i="5"/>
  <c r="G1237" i="5"/>
  <c r="D1237" i="5"/>
  <c r="E1237" i="5" s="1"/>
  <c r="F1237" i="5"/>
  <c r="H1237" i="5" s="1"/>
  <c r="K1221" i="5"/>
  <c r="G1221" i="5"/>
  <c r="D1221" i="5"/>
  <c r="E1221" i="5" s="1"/>
  <c r="F1221" i="5"/>
  <c r="H1221" i="5" s="1"/>
  <c r="K1205" i="5"/>
  <c r="G1205" i="5"/>
  <c r="D1205" i="5"/>
  <c r="E1205" i="5" s="1"/>
  <c r="F1205" i="5"/>
  <c r="H1205" i="5" s="1"/>
  <c r="K1189" i="5"/>
  <c r="G1189" i="5"/>
  <c r="D1189" i="5"/>
  <c r="E1189" i="5" s="1"/>
  <c r="F1189" i="5"/>
  <c r="H1189" i="5" s="1"/>
  <c r="G1181" i="5"/>
  <c r="K1181" i="5"/>
  <c r="D1181" i="5"/>
  <c r="E1181" i="5" s="1"/>
  <c r="F1181" i="5"/>
  <c r="H1181" i="5" s="1"/>
  <c r="G1165" i="5"/>
  <c r="D1165" i="5"/>
  <c r="E1165" i="5" s="1"/>
  <c r="K1165" i="5"/>
  <c r="F1165" i="5"/>
  <c r="H1165" i="5" s="1"/>
  <c r="K1157" i="5"/>
  <c r="G1157" i="5"/>
  <c r="D1157" i="5"/>
  <c r="E1157" i="5" s="1"/>
  <c r="F1157" i="5"/>
  <c r="H1157" i="5" s="1"/>
  <c r="G1292" i="5"/>
  <c r="D1292" i="5"/>
  <c r="E1292" i="5" s="1"/>
  <c r="F1292" i="5"/>
  <c r="H1292" i="5" s="1"/>
  <c r="K1292" i="5"/>
  <c r="K1284" i="5"/>
  <c r="G1284" i="5"/>
  <c r="D1284" i="5"/>
  <c r="E1284" i="5" s="1"/>
  <c r="G1276" i="5"/>
  <c r="K1276" i="5"/>
  <c r="D1276" i="5"/>
  <c r="E1276" i="5" s="1"/>
  <c r="K1268" i="5"/>
  <c r="G1268" i="5"/>
  <c r="D1268" i="5"/>
  <c r="E1268" i="5" s="1"/>
  <c r="F1268" i="5"/>
  <c r="H1268" i="5" s="1"/>
  <c r="G1260" i="5"/>
  <c r="D1260" i="5"/>
  <c r="E1260" i="5" s="1"/>
  <c r="K1260" i="5"/>
  <c r="F1260" i="5"/>
  <c r="H1260" i="5" s="1"/>
  <c r="K1252" i="5"/>
  <c r="G1252" i="5"/>
  <c r="D1252" i="5"/>
  <c r="E1252" i="5" s="1"/>
  <c r="F1252" i="5"/>
  <c r="H1252" i="5" s="1"/>
  <c r="G1244" i="5"/>
  <c r="K1244" i="5"/>
  <c r="D1244" i="5"/>
  <c r="E1244" i="5" s="1"/>
  <c r="F1244" i="5"/>
  <c r="H1244" i="5" s="1"/>
  <c r="K1236" i="5"/>
  <c r="G1236" i="5"/>
  <c r="D1236" i="5"/>
  <c r="E1236" i="5" s="1"/>
  <c r="F1236" i="5"/>
  <c r="H1236" i="5" s="1"/>
  <c r="G1228" i="5"/>
  <c r="D1228" i="5"/>
  <c r="E1228" i="5" s="1"/>
  <c r="K1228" i="5"/>
  <c r="F1228" i="5"/>
  <c r="H1228" i="5" s="1"/>
  <c r="K1220" i="5"/>
  <c r="G1220" i="5"/>
  <c r="D1220" i="5"/>
  <c r="E1220" i="5" s="1"/>
  <c r="F1220" i="5"/>
  <c r="H1220" i="5" s="1"/>
  <c r="G1212" i="5"/>
  <c r="K1212" i="5"/>
  <c r="D1212" i="5"/>
  <c r="E1212" i="5" s="1"/>
  <c r="F1212" i="5"/>
  <c r="H1212" i="5" s="1"/>
  <c r="K1204" i="5"/>
  <c r="G1204" i="5"/>
  <c r="D1204" i="5"/>
  <c r="E1204" i="5" s="1"/>
  <c r="F1204" i="5"/>
  <c r="H1204" i="5" s="1"/>
  <c r="G1196" i="5"/>
  <c r="D1196" i="5"/>
  <c r="E1196" i="5" s="1"/>
  <c r="K1196" i="5"/>
  <c r="F1196" i="5"/>
  <c r="H1196" i="5" s="1"/>
  <c r="K1188" i="5"/>
  <c r="G1188" i="5"/>
  <c r="D1188" i="5"/>
  <c r="E1188" i="5" s="1"/>
  <c r="F1188" i="5"/>
  <c r="H1188" i="5" s="1"/>
  <c r="G1180" i="5"/>
  <c r="K1180" i="5"/>
  <c r="D1180" i="5"/>
  <c r="E1180" i="5" s="1"/>
  <c r="F1180" i="5"/>
  <c r="H1180" i="5" s="1"/>
  <c r="K1172" i="5"/>
  <c r="G1172" i="5"/>
  <c r="D1172" i="5"/>
  <c r="E1172" i="5" s="1"/>
  <c r="F1172" i="5"/>
  <c r="H1172" i="5" s="1"/>
  <c r="G1164" i="5"/>
  <c r="D1164" i="5"/>
  <c r="E1164" i="5" s="1"/>
  <c r="K1164" i="5"/>
  <c r="F1164" i="5"/>
  <c r="H1164" i="5" s="1"/>
  <c r="K1156" i="5"/>
  <c r="G1156" i="5"/>
  <c r="D1156" i="5"/>
  <c r="E1156" i="5" s="1"/>
  <c r="F1156" i="5"/>
  <c r="H1156" i="5" s="1"/>
  <c r="K1291" i="5"/>
  <c r="G1291" i="5"/>
  <c r="D1291" i="5"/>
  <c r="E1291" i="5" s="1"/>
  <c r="F1291" i="5"/>
  <c r="H1291" i="5" s="1"/>
  <c r="K1283" i="5"/>
  <c r="G1283" i="5"/>
  <c r="D1283" i="5"/>
  <c r="E1283" i="5" s="1"/>
  <c r="F1283" i="5"/>
  <c r="H1283" i="5" s="1"/>
  <c r="K1275" i="5"/>
  <c r="G1275" i="5"/>
  <c r="D1275" i="5"/>
  <c r="E1275" i="5" s="1"/>
  <c r="K1267" i="5"/>
  <c r="G1267" i="5"/>
  <c r="D1267" i="5"/>
  <c r="E1267" i="5" s="1"/>
  <c r="K1259" i="5"/>
  <c r="G1259" i="5"/>
  <c r="D1259" i="5"/>
  <c r="E1259" i="5" s="1"/>
  <c r="F1259" i="5"/>
  <c r="H1259" i="5" s="1"/>
  <c r="K1251" i="5"/>
  <c r="G1251" i="5"/>
  <c r="D1251" i="5"/>
  <c r="E1251" i="5" s="1"/>
  <c r="F1251" i="5"/>
  <c r="H1251" i="5" s="1"/>
  <c r="K1243" i="5"/>
  <c r="G1243" i="5"/>
  <c r="D1243" i="5"/>
  <c r="E1243" i="5" s="1"/>
  <c r="K1235" i="5"/>
  <c r="G1235" i="5"/>
  <c r="D1235" i="5"/>
  <c r="E1235" i="5" s="1"/>
  <c r="F1235" i="5"/>
  <c r="H1235" i="5" s="1"/>
  <c r="K1227" i="5"/>
  <c r="G1227" i="5"/>
  <c r="D1227" i="5"/>
  <c r="E1227" i="5" s="1"/>
  <c r="K1219" i="5"/>
  <c r="G1219" i="5"/>
  <c r="D1219" i="5"/>
  <c r="E1219" i="5" s="1"/>
  <c r="F1219" i="5"/>
  <c r="H1219" i="5" s="1"/>
  <c r="K1211" i="5"/>
  <c r="G1211" i="5"/>
  <c r="D1211" i="5"/>
  <c r="E1211" i="5" s="1"/>
  <c r="K1203" i="5"/>
  <c r="G1203" i="5"/>
  <c r="D1203" i="5"/>
  <c r="E1203" i="5" s="1"/>
  <c r="F1203" i="5"/>
  <c r="H1203" i="5" s="1"/>
  <c r="K1195" i="5"/>
  <c r="G1195" i="5"/>
  <c r="D1195" i="5"/>
  <c r="E1195" i="5" s="1"/>
  <c r="K1187" i="5"/>
  <c r="G1187" i="5"/>
  <c r="D1187" i="5"/>
  <c r="E1187" i="5" s="1"/>
  <c r="F1187" i="5"/>
  <c r="H1187" i="5" s="1"/>
  <c r="K1179" i="5"/>
  <c r="G1179" i="5"/>
  <c r="D1179" i="5"/>
  <c r="E1179" i="5" s="1"/>
  <c r="K1171" i="5"/>
  <c r="G1171" i="5"/>
  <c r="D1171" i="5"/>
  <c r="E1171" i="5" s="1"/>
  <c r="F1171" i="5"/>
  <c r="H1171" i="5" s="1"/>
  <c r="K1163" i="5"/>
  <c r="G1163" i="5"/>
  <c r="D1163" i="5"/>
  <c r="E1163" i="5" s="1"/>
  <c r="K1155" i="5"/>
  <c r="G1155" i="5"/>
  <c r="D1155" i="5"/>
  <c r="E1155" i="5" s="1"/>
  <c r="F1155" i="5"/>
  <c r="H1155" i="5" s="1"/>
  <c r="K1290" i="5"/>
  <c r="F1290" i="5"/>
  <c r="H1290" i="5" s="1"/>
  <c r="G1290" i="5"/>
  <c r="D1290" i="5"/>
  <c r="E1290" i="5" s="1"/>
  <c r="K1282" i="5"/>
  <c r="F1282" i="5"/>
  <c r="H1282" i="5" s="1"/>
  <c r="G1282" i="5"/>
  <c r="D1282" i="5"/>
  <c r="E1282" i="5" s="1"/>
  <c r="K1274" i="5"/>
  <c r="G1274" i="5"/>
  <c r="F1274" i="5"/>
  <c r="H1274" i="5" s="1"/>
  <c r="D1274" i="5"/>
  <c r="E1274" i="5" s="1"/>
  <c r="K1266" i="5"/>
  <c r="G1266" i="5"/>
  <c r="D1266" i="5"/>
  <c r="E1266" i="5" s="1"/>
  <c r="K1258" i="5"/>
  <c r="F1258" i="5"/>
  <c r="H1258" i="5" s="1"/>
  <c r="G1258" i="5"/>
  <c r="D1258" i="5"/>
  <c r="E1258" i="5" s="1"/>
  <c r="K1250" i="5"/>
  <c r="F1250" i="5"/>
  <c r="H1250" i="5" s="1"/>
  <c r="G1250" i="5"/>
  <c r="D1250" i="5"/>
  <c r="E1250" i="5" s="1"/>
  <c r="K1242" i="5"/>
  <c r="F1242" i="5"/>
  <c r="H1242" i="5" s="1"/>
  <c r="G1242" i="5"/>
  <c r="D1242" i="5"/>
  <c r="E1242" i="5" s="1"/>
  <c r="K1234" i="5"/>
  <c r="F1234" i="5"/>
  <c r="H1234" i="5" s="1"/>
  <c r="G1234" i="5"/>
  <c r="D1234" i="5"/>
  <c r="E1234" i="5" s="1"/>
  <c r="K1226" i="5"/>
  <c r="F1226" i="5"/>
  <c r="H1226" i="5" s="1"/>
  <c r="G1226" i="5"/>
  <c r="D1226" i="5"/>
  <c r="E1226" i="5" s="1"/>
  <c r="K1218" i="5"/>
  <c r="F1218" i="5"/>
  <c r="H1218" i="5" s="1"/>
  <c r="G1218" i="5"/>
  <c r="D1218" i="5"/>
  <c r="E1218" i="5" s="1"/>
  <c r="K1210" i="5"/>
  <c r="F1210" i="5"/>
  <c r="H1210" i="5" s="1"/>
  <c r="G1210" i="5"/>
  <c r="D1210" i="5"/>
  <c r="E1210" i="5" s="1"/>
  <c r="F1243" i="5"/>
  <c r="H1243" i="5" s="1"/>
  <c r="F1179" i="5"/>
  <c r="H1179" i="5" s="1"/>
  <c r="G1293" i="5"/>
  <c r="D1293" i="5"/>
  <c r="E1293" i="5" s="1"/>
  <c r="K1293" i="5"/>
  <c r="K1285" i="5"/>
  <c r="G1285" i="5"/>
  <c r="D1285" i="5"/>
  <c r="E1285" i="5" s="1"/>
  <c r="K1269" i="5"/>
  <c r="G1269" i="5"/>
  <c r="D1269" i="5"/>
  <c r="E1269" i="5" s="1"/>
  <c r="F1269" i="5"/>
  <c r="H1269" i="5" s="1"/>
  <c r="K1253" i="5"/>
  <c r="G1253" i="5"/>
  <c r="D1253" i="5"/>
  <c r="E1253" i="5" s="1"/>
  <c r="F1253" i="5"/>
  <c r="H1253" i="5" s="1"/>
  <c r="G1245" i="5"/>
  <c r="K1245" i="5"/>
  <c r="D1245" i="5"/>
  <c r="E1245" i="5" s="1"/>
  <c r="F1245" i="5"/>
  <c r="H1245" i="5" s="1"/>
  <c r="G1229" i="5"/>
  <c r="D1229" i="5"/>
  <c r="E1229" i="5" s="1"/>
  <c r="K1229" i="5"/>
  <c r="F1229" i="5"/>
  <c r="H1229" i="5" s="1"/>
  <c r="G1213" i="5"/>
  <c r="K1213" i="5"/>
  <c r="D1213" i="5"/>
  <c r="E1213" i="5" s="1"/>
  <c r="F1213" i="5"/>
  <c r="H1213" i="5" s="1"/>
  <c r="G1197" i="5"/>
  <c r="D1197" i="5"/>
  <c r="E1197" i="5" s="1"/>
  <c r="K1197" i="5"/>
  <c r="F1197" i="5"/>
  <c r="H1197" i="5" s="1"/>
  <c r="K1173" i="5"/>
  <c r="G1173" i="5"/>
  <c r="D1173" i="5"/>
  <c r="E1173" i="5" s="1"/>
  <c r="F1173" i="5"/>
  <c r="H1173" i="5" s="1"/>
  <c r="F1284" i="5"/>
  <c r="H1284" i="5" s="1"/>
  <c r="F1276" i="5"/>
  <c r="H1276" i="5" s="1"/>
  <c r="F1227" i="5"/>
  <c r="H1227" i="5" s="1"/>
  <c r="F1163" i="5"/>
  <c r="H1163" i="5" s="1"/>
  <c r="F1275" i="5"/>
  <c r="H1275" i="5" s="1"/>
  <c r="F1267" i="5"/>
  <c r="H1267" i="5" s="1"/>
  <c r="F1211" i="5"/>
  <c r="H1211" i="5" s="1"/>
  <c r="F1266" i="5"/>
  <c r="H1266" i="5" s="1"/>
  <c r="K1286" i="5"/>
  <c r="G1286" i="5"/>
  <c r="K1270" i="5"/>
  <c r="G1270" i="5"/>
  <c r="K1254" i="5"/>
  <c r="G1254" i="5"/>
  <c r="K1238" i="5"/>
  <c r="G1238" i="5"/>
  <c r="K1222" i="5"/>
  <c r="G1222" i="5"/>
  <c r="K1206" i="5"/>
  <c r="G1206" i="5"/>
  <c r="K1190" i="5"/>
  <c r="G1190" i="5"/>
  <c r="K1174" i="5"/>
  <c r="G1174" i="5"/>
  <c r="K1158" i="5"/>
  <c r="G1158" i="5"/>
  <c r="D1202" i="5"/>
  <c r="E1202" i="5" s="1"/>
  <c r="D1186" i="5"/>
  <c r="E1186" i="5" s="1"/>
  <c r="D1170" i="5"/>
  <c r="E1170" i="5" s="1"/>
  <c r="D1154" i="5"/>
  <c r="E1154" i="5" s="1"/>
  <c r="F1297" i="5"/>
  <c r="H1297" i="5" s="1"/>
  <c r="F1287" i="5"/>
  <c r="H1287" i="5" s="1"/>
  <c r="F1278" i="5"/>
  <c r="H1278" i="5" s="1"/>
  <c r="G1287" i="5"/>
  <c r="G1271" i="5"/>
  <c r="G1255" i="5"/>
  <c r="G1239" i="5"/>
  <c r="G1223" i="5"/>
  <c r="G1207" i="5"/>
  <c r="G1191" i="5"/>
  <c r="G1175" i="5"/>
  <c r="G1159" i="5"/>
  <c r="K1294" i="5"/>
  <c r="K1262" i="5"/>
  <c r="K1230" i="5"/>
  <c r="K1198" i="5"/>
  <c r="K1166" i="5"/>
  <c r="F1295" i="5"/>
  <c r="H1295" i="5" s="1"/>
  <c r="F1286" i="5"/>
  <c r="H1286" i="5" s="1"/>
  <c r="K1255" i="5"/>
  <c r="K1223" i="5"/>
  <c r="K1191" i="5"/>
  <c r="F1265" i="5"/>
  <c r="H1265" i="5" s="1"/>
  <c r="G1295" i="5"/>
  <c r="G1279" i="5"/>
  <c r="G1263" i="5"/>
  <c r="K1278" i="5"/>
  <c r="K1246" i="5"/>
  <c r="K1214" i="5"/>
  <c r="K1182" i="5"/>
  <c r="K1202" i="5"/>
  <c r="F1202" i="5"/>
  <c r="H1202" i="5" s="1"/>
  <c r="K1194" i="5"/>
  <c r="F1194" i="5"/>
  <c r="H1194" i="5" s="1"/>
  <c r="K1186" i="5"/>
  <c r="F1186" i="5"/>
  <c r="H1186" i="5" s="1"/>
  <c r="K1178" i="5"/>
  <c r="F1178" i="5"/>
  <c r="H1178" i="5" s="1"/>
  <c r="K1170" i="5"/>
  <c r="F1170" i="5"/>
  <c r="H1170" i="5" s="1"/>
  <c r="K1162" i="5"/>
  <c r="F1162" i="5"/>
  <c r="H1162" i="5" s="1"/>
  <c r="K1154" i="5"/>
  <c r="F1154" i="5"/>
  <c r="H1154" i="5" s="1"/>
  <c r="K1249" i="5"/>
  <c r="F1249" i="5"/>
  <c r="H1249" i="5" s="1"/>
  <c r="K1241" i="5"/>
  <c r="F1241" i="5"/>
  <c r="H1241" i="5" s="1"/>
  <c r="K1233" i="5"/>
  <c r="F1233" i="5"/>
  <c r="H1233" i="5" s="1"/>
  <c r="K1225" i="5"/>
  <c r="F1225" i="5"/>
  <c r="H1225" i="5" s="1"/>
  <c r="K1217" i="5"/>
  <c r="F1217" i="5"/>
  <c r="H1217" i="5" s="1"/>
  <c r="K1209" i="5"/>
  <c r="F1209" i="5"/>
  <c r="H1209" i="5" s="1"/>
  <c r="K1201" i="5"/>
  <c r="F1201" i="5"/>
  <c r="H1201" i="5" s="1"/>
  <c r="K1193" i="5"/>
  <c r="F1193" i="5"/>
  <c r="H1193" i="5" s="1"/>
  <c r="K1185" i="5"/>
  <c r="F1185" i="5"/>
  <c r="H1185" i="5" s="1"/>
  <c r="K1177" i="5"/>
  <c r="F1177" i="5"/>
  <c r="H1177" i="5" s="1"/>
  <c r="K1169" i="5"/>
  <c r="F1169" i="5"/>
  <c r="H1169" i="5" s="1"/>
  <c r="K1161" i="5"/>
  <c r="F1161" i="5"/>
  <c r="H1161" i="5" s="1"/>
  <c r="K1153" i="5"/>
  <c r="F1153" i="5"/>
  <c r="H1153" i="5" s="1"/>
  <c r="F1273" i="5"/>
  <c r="H1273" i="5" s="1"/>
  <c r="F1263" i="5"/>
  <c r="H1263" i="5" s="1"/>
  <c r="G1194" i="5"/>
  <c r="G1178" i="5"/>
  <c r="G1162" i="5"/>
  <c r="K1296" i="5"/>
  <c r="F1296" i="5"/>
  <c r="H1296" i="5" s="1"/>
  <c r="K1288" i="5"/>
  <c r="F1288" i="5"/>
  <c r="H1288" i="5" s="1"/>
  <c r="K1280" i="5"/>
  <c r="F1280" i="5"/>
  <c r="H1280" i="5" s="1"/>
  <c r="K1272" i="5"/>
  <c r="F1272" i="5"/>
  <c r="H1272" i="5" s="1"/>
  <c r="K1264" i="5"/>
  <c r="F1264" i="5"/>
  <c r="H1264" i="5" s="1"/>
  <c r="K1256" i="5"/>
  <c r="F1256" i="5"/>
  <c r="H1256" i="5" s="1"/>
  <c r="K1248" i="5"/>
  <c r="F1248" i="5"/>
  <c r="H1248" i="5" s="1"/>
  <c r="K1240" i="5"/>
  <c r="F1240" i="5"/>
  <c r="H1240" i="5" s="1"/>
  <c r="K1232" i="5"/>
  <c r="F1232" i="5"/>
  <c r="H1232" i="5" s="1"/>
  <c r="K1224" i="5"/>
  <c r="F1224" i="5"/>
  <c r="H1224" i="5" s="1"/>
  <c r="K1216" i="5"/>
  <c r="F1216" i="5"/>
  <c r="H1216" i="5" s="1"/>
  <c r="K1208" i="5"/>
  <c r="F1208" i="5"/>
  <c r="H1208" i="5" s="1"/>
  <c r="K1200" i="5"/>
  <c r="F1200" i="5"/>
  <c r="H1200" i="5" s="1"/>
  <c r="K1192" i="5"/>
  <c r="F1192" i="5"/>
  <c r="H1192" i="5" s="1"/>
  <c r="K1184" i="5"/>
  <c r="F1184" i="5"/>
  <c r="H1184" i="5" s="1"/>
  <c r="K1176" i="5"/>
  <c r="F1176" i="5"/>
  <c r="H1176" i="5" s="1"/>
  <c r="K1168" i="5"/>
  <c r="F1168" i="5"/>
  <c r="H1168" i="5" s="1"/>
  <c r="K1160" i="5"/>
  <c r="F1160" i="5"/>
  <c r="H1160" i="5" s="1"/>
  <c r="F1281" i="5"/>
  <c r="H1281" i="5" s="1"/>
  <c r="F1271" i="5"/>
  <c r="H1271" i="5" s="1"/>
  <c r="F1262" i="5"/>
  <c r="H1262" i="5" s="1"/>
  <c r="G1289" i="5"/>
  <c r="G1273" i="5"/>
  <c r="G1257" i="5"/>
  <c r="G1241" i="5"/>
  <c r="G1225" i="5"/>
  <c r="G1209" i="5"/>
  <c r="G1193" i="5"/>
  <c r="G1177" i="5"/>
  <c r="G1161" i="5"/>
  <c r="K1247" i="5"/>
  <c r="F1247" i="5"/>
  <c r="H1247" i="5" s="1"/>
  <c r="K1231" i="5"/>
  <c r="F1231" i="5"/>
  <c r="H1231" i="5" s="1"/>
  <c r="K1215" i="5"/>
  <c r="F1215" i="5"/>
  <c r="H1215" i="5" s="1"/>
  <c r="K1199" i="5"/>
  <c r="F1199" i="5"/>
  <c r="H1199" i="5" s="1"/>
  <c r="K1183" i="5"/>
  <c r="F1183" i="5"/>
  <c r="H1183" i="5" s="1"/>
  <c r="K1167" i="5"/>
  <c r="F1167" i="5"/>
  <c r="H1167" i="5" s="1"/>
  <c r="F1289" i="5"/>
  <c r="H1289" i="5" s="1"/>
  <c r="F1279" i="5"/>
  <c r="H1279" i="5" s="1"/>
  <c r="F1270" i="5"/>
  <c r="H1270" i="5" s="1"/>
  <c r="F1246" i="5"/>
  <c r="H1246" i="5" s="1"/>
  <c r="F1230" i="5"/>
  <c r="H1230" i="5" s="1"/>
  <c r="F1214" i="5"/>
  <c r="H1214" i="5" s="1"/>
  <c r="F1198" i="5"/>
  <c r="H1198" i="5" s="1"/>
  <c r="F1182" i="5"/>
  <c r="H1182" i="5" s="1"/>
  <c r="F1166" i="5"/>
  <c r="H1166" i="5" s="1"/>
  <c r="G1288" i="5"/>
  <c r="G1272" i="5"/>
  <c r="G1256" i="5"/>
  <c r="G1240" i="5"/>
  <c r="G1224" i="5"/>
  <c r="G1208" i="5"/>
  <c r="G1192" i="5"/>
  <c r="G1176" i="5"/>
  <c r="G1160" i="5"/>
  <c r="K1239" i="5"/>
  <c r="K1207" i="5"/>
  <c r="K1175" i="5"/>
  <c r="D1296" i="9"/>
  <c r="E1296" i="9" s="1"/>
  <c r="D1288" i="9"/>
  <c r="E1288" i="9" s="1"/>
  <c r="D1280" i="9"/>
  <c r="E1280" i="9" s="1"/>
  <c r="D1272" i="9"/>
  <c r="E1272" i="9" s="1"/>
  <c r="D1264" i="9"/>
  <c r="E1264" i="9" s="1"/>
  <c r="D1256" i="9"/>
  <c r="E1256" i="9" s="1"/>
  <c r="D1248" i="9"/>
  <c r="E1248" i="9" s="1"/>
  <c r="D1239" i="9"/>
  <c r="E1239" i="9" s="1"/>
  <c r="D1225" i="9"/>
  <c r="E1225" i="9" s="1"/>
  <c r="D1217" i="9"/>
  <c r="E1217" i="9" s="1"/>
  <c r="D1209" i="9"/>
  <c r="E1209" i="9" s="1"/>
  <c r="F1290" i="9"/>
  <c r="F1282" i="9"/>
  <c r="F1274" i="9"/>
  <c r="F1266" i="9"/>
  <c r="F1258" i="9"/>
  <c r="F1250" i="9"/>
  <c r="F1242" i="9"/>
  <c r="F1219" i="9"/>
  <c r="F1211" i="9"/>
  <c r="G1295" i="9"/>
  <c r="G1287" i="9"/>
  <c r="G1279" i="9"/>
  <c r="G1271" i="9"/>
  <c r="G1263" i="9"/>
  <c r="G1255" i="9"/>
  <c r="G1247" i="9"/>
  <c r="G1224" i="9"/>
  <c r="G1216" i="9"/>
  <c r="G1208" i="9"/>
  <c r="J1294" i="9"/>
  <c r="J1286" i="9"/>
  <c r="J1278" i="9"/>
  <c r="J1270" i="9"/>
  <c r="J1262" i="9"/>
  <c r="J1254" i="9"/>
  <c r="J1246" i="9"/>
  <c r="J1223" i="9"/>
  <c r="J1215" i="9"/>
  <c r="F1297" i="9"/>
  <c r="F1289" i="9"/>
  <c r="F1281" i="9"/>
  <c r="F1273" i="9"/>
  <c r="F1265" i="9"/>
  <c r="F1257" i="9"/>
  <c r="F1249" i="9"/>
  <c r="F1240" i="9"/>
  <c r="F1226" i="9"/>
  <c r="F1218" i="9"/>
  <c r="F1210" i="9"/>
  <c r="G1294" i="9"/>
  <c r="H1294" i="9" s="1"/>
  <c r="I1294" i="9" s="1"/>
  <c r="G1286" i="9"/>
  <c r="G1278" i="9"/>
  <c r="G1270" i="9"/>
  <c r="G1262" i="9"/>
  <c r="G1254" i="9"/>
  <c r="G1246" i="9"/>
  <c r="H1246" i="9" s="1"/>
  <c r="I1246" i="9" s="1"/>
  <c r="G1223" i="9"/>
  <c r="G1215" i="9"/>
  <c r="H1215" i="9" s="1"/>
  <c r="I1215" i="9" s="1"/>
  <c r="J1293" i="9"/>
  <c r="J1285" i="9"/>
  <c r="J1277" i="9"/>
  <c r="J1269" i="9"/>
  <c r="J1261" i="9"/>
  <c r="J1253" i="9"/>
  <c r="J1245" i="9"/>
  <c r="D1223" i="9"/>
  <c r="E1223" i="9" s="1"/>
  <c r="D1215" i="9"/>
  <c r="E1215" i="9" s="1"/>
  <c r="F1296" i="9"/>
  <c r="F1288" i="9"/>
  <c r="F1280" i="9"/>
  <c r="F1272" i="9"/>
  <c r="F1264" i="9"/>
  <c r="F1256" i="9"/>
  <c r="F1248" i="9"/>
  <c r="F1239" i="9"/>
  <c r="F1225" i="9"/>
  <c r="F1217" i="9"/>
  <c r="F1209" i="9"/>
  <c r="G1293" i="9"/>
  <c r="G1285" i="9"/>
  <c r="G1277" i="9"/>
  <c r="G1269" i="9"/>
  <c r="G1261" i="9"/>
  <c r="G1253" i="9"/>
  <c r="G1245" i="9"/>
  <c r="J1292" i="9"/>
  <c r="J1284" i="9"/>
  <c r="J1276" i="9"/>
  <c r="J1268" i="9"/>
  <c r="J1260" i="9"/>
  <c r="J1252" i="9"/>
  <c r="J1244" i="9"/>
  <c r="J1221" i="9"/>
  <c r="J1213" i="9"/>
  <c r="F1295" i="9"/>
  <c r="F1287" i="9"/>
  <c r="F1279" i="9"/>
  <c r="F1271" i="9"/>
  <c r="F1263" i="9"/>
  <c r="F1255" i="9"/>
  <c r="F1247" i="9"/>
  <c r="F1224" i="9"/>
  <c r="F1216" i="9"/>
  <c r="F1208" i="9"/>
  <c r="G1292" i="9"/>
  <c r="G1284" i="9"/>
  <c r="G1276" i="9"/>
  <c r="G1268" i="9"/>
  <c r="G1260" i="9"/>
  <c r="G1252" i="9"/>
  <c r="G1244" i="9"/>
  <c r="J1291" i="9"/>
  <c r="J1283" i="9"/>
  <c r="J1275" i="9"/>
  <c r="J1267" i="9"/>
  <c r="J1259" i="9"/>
  <c r="J1251" i="9"/>
  <c r="J1243" i="9"/>
  <c r="J1220" i="9"/>
  <c r="J1212" i="9"/>
  <c r="D1292" i="9"/>
  <c r="E1292" i="9" s="1"/>
  <c r="D1284" i="9"/>
  <c r="E1284" i="9" s="1"/>
  <c r="D1276" i="9"/>
  <c r="E1276" i="9" s="1"/>
  <c r="D1268" i="9"/>
  <c r="E1268" i="9" s="1"/>
  <c r="D1260" i="9"/>
  <c r="E1260" i="9" s="1"/>
  <c r="D1252" i="9"/>
  <c r="E1252" i="9" s="1"/>
  <c r="D1244" i="9"/>
  <c r="E1244" i="9" s="1"/>
  <c r="D1231" i="9"/>
  <c r="E1231" i="9" s="1"/>
  <c r="F1237" i="9"/>
  <c r="G1291" i="9"/>
  <c r="G1283" i="9"/>
  <c r="G1275" i="9"/>
  <c r="G1267" i="9"/>
  <c r="G1259" i="9"/>
  <c r="G1251" i="9"/>
  <c r="G1243" i="9"/>
  <c r="G1220" i="9"/>
  <c r="G1212" i="9"/>
  <c r="J1290" i="9"/>
  <c r="J1282" i="9"/>
  <c r="J1274" i="9"/>
  <c r="J1266" i="9"/>
  <c r="J1258" i="9"/>
  <c r="J1250" i="9"/>
  <c r="J1242" i="9"/>
  <c r="J1219" i="9"/>
  <c r="J1211" i="9"/>
  <c r="D1291" i="9"/>
  <c r="E1291" i="9" s="1"/>
  <c r="D1283" i="9"/>
  <c r="E1283" i="9" s="1"/>
  <c r="D1275" i="9"/>
  <c r="E1275" i="9" s="1"/>
  <c r="D1267" i="9"/>
  <c r="E1267" i="9" s="1"/>
  <c r="D1259" i="9"/>
  <c r="E1259" i="9" s="1"/>
  <c r="D1251" i="9"/>
  <c r="E1251" i="9" s="1"/>
  <c r="D1243" i="9"/>
  <c r="E1243" i="9" s="1"/>
  <c r="F1232" i="9"/>
  <c r="G1290" i="9"/>
  <c r="G1282" i="9"/>
  <c r="G1274" i="9"/>
  <c r="G1266" i="9"/>
  <c r="G1258" i="9"/>
  <c r="G1250" i="9"/>
  <c r="G1242" i="9"/>
  <c r="G1219" i="9"/>
  <c r="G1211" i="9"/>
  <c r="J1297" i="9"/>
  <c r="J1289" i="9"/>
  <c r="J1281" i="9"/>
  <c r="J1273" i="9"/>
  <c r="J1265" i="9"/>
  <c r="J1257" i="9"/>
  <c r="J1249" i="9"/>
  <c r="J1226" i="9"/>
  <c r="J1218" i="9"/>
  <c r="J1210" i="9"/>
  <c r="D1229" i="9"/>
  <c r="E1229" i="9" s="1"/>
  <c r="F1231" i="9"/>
  <c r="G1297" i="9"/>
  <c r="G1289" i="9"/>
  <c r="G1281" i="9"/>
  <c r="G1273" i="9"/>
  <c r="G1265" i="9"/>
  <c r="G1257" i="9"/>
  <c r="G1249" i="9"/>
  <c r="G1226" i="9"/>
  <c r="G1218" i="9"/>
  <c r="G1210" i="9"/>
  <c r="J1296" i="9"/>
  <c r="J1288" i="9"/>
  <c r="J1280" i="9"/>
  <c r="J1272" i="9"/>
  <c r="J1264" i="9"/>
  <c r="J1256" i="9"/>
  <c r="J1248" i="9"/>
  <c r="J1225" i="9"/>
  <c r="J1217" i="9"/>
  <c r="J1209" i="9"/>
  <c r="D1240" i="9"/>
  <c r="E1240" i="9" s="1"/>
  <c r="F1230" i="9"/>
  <c r="D1234" i="9"/>
  <c r="E1234" i="9" s="1"/>
  <c r="F1234" i="9"/>
  <c r="G1238" i="9"/>
  <c r="G1230" i="9"/>
  <c r="J1234" i="9"/>
  <c r="D1241" i="9"/>
  <c r="E1241" i="9" s="1"/>
  <c r="D1233" i="9"/>
  <c r="E1233" i="9" s="1"/>
  <c r="F1241" i="9"/>
  <c r="F1233" i="9"/>
  <c r="G1237" i="9"/>
  <c r="G1229" i="9"/>
  <c r="J1241" i="9"/>
  <c r="J1233" i="9"/>
  <c r="G1236" i="9"/>
  <c r="G1228" i="9"/>
  <c r="J1240" i="9"/>
  <c r="J1232" i="9"/>
  <c r="G1235" i="9"/>
  <c r="G1227" i="9"/>
  <c r="J1239" i="9"/>
  <c r="J1231" i="9"/>
  <c r="D1236" i="9"/>
  <c r="E1236" i="9" s="1"/>
  <c r="D1228" i="9"/>
  <c r="E1228" i="9" s="1"/>
  <c r="F1236" i="9"/>
  <c r="F1228" i="9"/>
  <c r="D1235" i="9"/>
  <c r="E1235" i="9" s="1"/>
  <c r="D1227" i="9"/>
  <c r="E1227" i="9" s="1"/>
  <c r="F1235" i="9"/>
  <c r="F1227" i="9"/>
  <c r="J91" i="12"/>
  <c r="J99" i="12"/>
  <c r="J123" i="12"/>
  <c r="J142" i="12"/>
  <c r="J146" i="12"/>
  <c r="J153" i="12"/>
  <c r="J158" i="12"/>
  <c r="J159" i="12"/>
  <c r="J177" i="12"/>
  <c r="J182" i="12"/>
  <c r="J201" i="12"/>
  <c r="J207" i="12"/>
  <c r="J218" i="12"/>
  <c r="J262" i="12"/>
  <c r="J308" i="12"/>
  <c r="J310" i="12"/>
  <c r="J315" i="12"/>
  <c r="J320" i="12"/>
  <c r="J330" i="12"/>
  <c r="J332" i="12"/>
  <c r="J352" i="12"/>
  <c r="J359" i="12"/>
  <c r="J361" i="12"/>
  <c r="J375" i="12"/>
  <c r="J379" i="12"/>
  <c r="J408" i="12"/>
  <c r="J415" i="12"/>
  <c r="J424" i="12"/>
  <c r="J459" i="12"/>
  <c r="J461" i="12"/>
  <c r="J729" i="12"/>
  <c r="J738" i="12"/>
  <c r="J776" i="12"/>
  <c r="J777" i="12"/>
  <c r="J804" i="12"/>
  <c r="J805" i="12"/>
  <c r="J808" i="12"/>
  <c r="J815" i="12"/>
  <c r="H1220" i="9" l="1"/>
  <c r="I1220" i="9" s="1"/>
  <c r="J882" i="33"/>
  <c r="G842" i="12"/>
  <c r="G1037" i="12"/>
  <c r="F834" i="12"/>
  <c r="H834" i="12" s="1"/>
  <c r="K859" i="7"/>
  <c r="G822" i="5"/>
  <c r="I822" i="5" s="1"/>
  <c r="J822" i="5" s="1"/>
  <c r="H980" i="9"/>
  <c r="I980" i="9" s="1"/>
  <c r="G414" i="9"/>
  <c r="F930" i="9"/>
  <c r="G906" i="33"/>
  <c r="L1002" i="12"/>
  <c r="D1021" i="12"/>
  <c r="E1021" i="12" s="1"/>
  <c r="G1133" i="12"/>
  <c r="D826" i="12"/>
  <c r="E826" i="12" s="1"/>
  <c r="K834" i="12"/>
  <c r="G915" i="7"/>
  <c r="H1092" i="9"/>
  <c r="I1092" i="9" s="1"/>
  <c r="G1062" i="9"/>
  <c r="H1062" i="9" s="1"/>
  <c r="I1062" i="9" s="1"/>
  <c r="G1134" i="9"/>
  <c r="H1134" i="9" s="1"/>
  <c r="I1134" i="9" s="1"/>
  <c r="D919" i="9"/>
  <c r="E919" i="9" s="1"/>
  <c r="G935" i="9"/>
  <c r="F951" i="9"/>
  <c r="G1127" i="9"/>
  <c r="F412" i="9"/>
  <c r="J952" i="9"/>
  <c r="J976" i="9"/>
  <c r="G829" i="9"/>
  <c r="G530" i="9"/>
  <c r="J939" i="9"/>
  <c r="G1075" i="9"/>
  <c r="F414" i="9"/>
  <c r="F986" i="9"/>
  <c r="J528" i="9"/>
  <c r="D1134" i="9"/>
  <c r="E1134" i="9" s="1"/>
  <c r="J906" i="33"/>
  <c r="G882" i="33"/>
  <c r="K1010" i="12"/>
  <c r="F1021" i="12"/>
  <c r="H1021" i="12" s="1"/>
  <c r="F826" i="12"/>
  <c r="H826" i="12" s="1"/>
  <c r="I826" i="12" s="1"/>
  <c r="J826" i="12" s="1"/>
  <c r="M826" i="12" s="1"/>
  <c r="D822" i="5"/>
  <c r="E822" i="5" s="1"/>
  <c r="K851" i="7"/>
  <c r="K915" i="7"/>
  <c r="G979" i="7"/>
  <c r="G1043" i="7"/>
  <c r="K1115" i="7"/>
  <c r="K886" i="5"/>
  <c r="D1135" i="5"/>
  <c r="E1135" i="5" s="1"/>
  <c r="G849" i="5"/>
  <c r="G977" i="5"/>
  <c r="D1041" i="5"/>
  <c r="E1041" i="5" s="1"/>
  <c r="D941" i="5"/>
  <c r="E941" i="5" s="1"/>
  <c r="G1069" i="5"/>
  <c r="G1124" i="9"/>
  <c r="D1022" i="9"/>
  <c r="E1022" i="9" s="1"/>
  <c r="J1062" i="9"/>
  <c r="J1134" i="9"/>
  <c r="F1127" i="9"/>
  <c r="G412" i="9"/>
  <c r="G398" i="9"/>
  <c r="H398" i="9" s="1"/>
  <c r="I398" i="9" s="1"/>
  <c r="G1128" i="9"/>
  <c r="J829" i="9"/>
  <c r="J530" i="9"/>
  <c r="D1115" i="9"/>
  <c r="E1115" i="9" s="1"/>
  <c r="J938" i="9"/>
  <c r="H861" i="33"/>
  <c r="H837" i="33"/>
  <c r="D994" i="12"/>
  <c r="E994" i="12" s="1"/>
  <c r="L1010" i="12"/>
  <c r="G1021" i="12"/>
  <c r="G826" i="12"/>
  <c r="F850" i="12"/>
  <c r="H850" i="12" s="1"/>
  <c r="G851" i="7"/>
  <c r="D915" i="7"/>
  <c r="E915" i="7" s="1"/>
  <c r="K979" i="7"/>
  <c r="D1043" i="7"/>
  <c r="E1043" i="7" s="1"/>
  <c r="K847" i="5"/>
  <c r="G1071" i="5"/>
  <c r="I1071" i="5" s="1"/>
  <c r="J1071" i="5" s="1"/>
  <c r="G1115" i="7"/>
  <c r="G886" i="5"/>
  <c r="I886" i="5" s="1"/>
  <c r="J886" i="5" s="1"/>
  <c r="L886" i="5" s="1"/>
  <c r="F849" i="5"/>
  <c r="H849" i="5" s="1"/>
  <c r="F1041" i="5"/>
  <c r="H1041" i="5" s="1"/>
  <c r="D879" i="5"/>
  <c r="E879" i="5" s="1"/>
  <c r="G913" i="5"/>
  <c r="D977" i="5"/>
  <c r="E977" i="5" s="1"/>
  <c r="K941" i="5"/>
  <c r="D1069" i="5"/>
  <c r="E1069" i="5" s="1"/>
  <c r="L1021" i="12"/>
  <c r="K826" i="12"/>
  <c r="D851" i="7"/>
  <c r="E851" i="7" s="1"/>
  <c r="F995" i="7"/>
  <c r="H995" i="7" s="1"/>
  <c r="F1043" i="7"/>
  <c r="H1043" i="7" s="1"/>
  <c r="K1071" i="5"/>
  <c r="D1115" i="7"/>
  <c r="E1115" i="7" s="1"/>
  <c r="D1039" i="5"/>
  <c r="E1039" i="5" s="1"/>
  <c r="D913" i="5"/>
  <c r="E913" i="5" s="1"/>
  <c r="K1069" i="5"/>
  <c r="D1037" i="12"/>
  <c r="E1037" i="12" s="1"/>
  <c r="D886" i="5"/>
  <c r="E886" i="5" s="1"/>
  <c r="D931" i="7"/>
  <c r="E931" i="7" s="1"/>
  <c r="F1059" i="7"/>
  <c r="H1059" i="7" s="1"/>
  <c r="K822" i="5"/>
  <c r="F913" i="5"/>
  <c r="H913" i="5" s="1"/>
  <c r="F390" i="9"/>
  <c r="G418" i="9"/>
  <c r="F963" i="9"/>
  <c r="F847" i="9"/>
  <c r="J418" i="9"/>
  <c r="J390" i="9"/>
  <c r="H1026" i="9"/>
  <c r="I1026" i="9" s="1"/>
  <c r="G847" i="9"/>
  <c r="F525" i="9"/>
  <c r="D1003" i="9"/>
  <c r="E1003" i="9" s="1"/>
  <c r="F448" i="9"/>
  <c r="H1272" i="9"/>
  <c r="I1272" i="9" s="1"/>
  <c r="H1174" i="9"/>
  <c r="I1174" i="9" s="1"/>
  <c r="G1035" i="9"/>
  <c r="H1035" i="9" s="1"/>
  <c r="I1035" i="9" s="1"/>
  <c r="J448" i="9"/>
  <c r="D390" i="9"/>
  <c r="E390" i="9" s="1"/>
  <c r="H1058" i="9"/>
  <c r="I1058" i="9" s="1"/>
  <c r="D1035" i="9"/>
  <c r="E1035" i="9" s="1"/>
  <c r="F419" i="9"/>
  <c r="J1035" i="9"/>
  <c r="D528" i="9"/>
  <c r="E528" i="9" s="1"/>
  <c r="J923" i="9"/>
  <c r="H1225" i="9"/>
  <c r="I1225" i="9" s="1"/>
  <c r="H1296" i="9"/>
  <c r="I1296" i="9" s="1"/>
  <c r="H1278" i="9"/>
  <c r="I1278" i="9" s="1"/>
  <c r="H431" i="9"/>
  <c r="I431" i="9" s="1"/>
  <c r="H982" i="9"/>
  <c r="I982" i="9" s="1"/>
  <c r="H1009" i="9"/>
  <c r="I1009" i="9" s="1"/>
  <c r="J815" i="9"/>
  <c r="J827" i="9"/>
  <c r="F931" i="9"/>
  <c r="F979" i="9"/>
  <c r="J995" i="9"/>
  <c r="J837" i="9"/>
  <c r="G396" i="9"/>
  <c r="D827" i="9"/>
  <c r="E827" i="9" s="1"/>
  <c r="D995" i="9"/>
  <c r="E995" i="9" s="1"/>
  <c r="H1182" i="9"/>
  <c r="I1182" i="9" s="1"/>
  <c r="F827" i="9"/>
  <c r="G931" i="9"/>
  <c r="F995" i="9"/>
  <c r="H995" i="9" s="1"/>
  <c r="I995" i="9" s="1"/>
  <c r="H1286" i="9"/>
  <c r="I1286" i="9" s="1"/>
  <c r="H1052" i="9"/>
  <c r="I1052" i="9" s="1"/>
  <c r="H1116" i="9"/>
  <c r="I1116" i="9" s="1"/>
  <c r="D410" i="9"/>
  <c r="E410" i="9" s="1"/>
  <c r="J931" i="9"/>
  <c r="J979" i="9"/>
  <c r="F1003" i="9"/>
  <c r="F396" i="9"/>
  <c r="H822" i="9"/>
  <c r="I822" i="9" s="1"/>
  <c r="G410" i="9"/>
  <c r="D923" i="9"/>
  <c r="E923" i="9" s="1"/>
  <c r="D987" i="9"/>
  <c r="E987" i="9" s="1"/>
  <c r="H948" i="9"/>
  <c r="I948" i="9" s="1"/>
  <c r="K948" i="9" s="1"/>
  <c r="G987" i="9"/>
  <c r="J419" i="9"/>
  <c r="H1270" i="9"/>
  <c r="I1270" i="9" s="1"/>
  <c r="H1183" i="9"/>
  <c r="I1183" i="9" s="1"/>
  <c r="K1117" i="5"/>
  <c r="I1191" i="5"/>
  <c r="J1191" i="5" s="1"/>
  <c r="K879" i="5"/>
  <c r="K1135" i="5"/>
  <c r="G854" i="5"/>
  <c r="I854" i="5" s="1"/>
  <c r="J854" i="5" s="1"/>
  <c r="K854" i="5"/>
  <c r="D925" i="5"/>
  <c r="E925" i="5" s="1"/>
  <c r="G1117" i="5"/>
  <c r="D870" i="5"/>
  <c r="E870" i="5" s="1"/>
  <c r="I966" i="5"/>
  <c r="J966" i="5" s="1"/>
  <c r="G833" i="5"/>
  <c r="D881" i="5"/>
  <c r="E881" i="5" s="1"/>
  <c r="K1009" i="5"/>
  <c r="K1137" i="5"/>
  <c r="D1014" i="5"/>
  <c r="E1014" i="5" s="1"/>
  <c r="F881" i="5"/>
  <c r="H881" i="5" s="1"/>
  <c r="D833" i="5"/>
  <c r="E833" i="5" s="1"/>
  <c r="G879" i="5"/>
  <c r="I879" i="5" s="1"/>
  <c r="J879" i="5" s="1"/>
  <c r="I943" i="5"/>
  <c r="J943" i="5" s="1"/>
  <c r="G1135" i="5"/>
  <c r="I1135" i="5" s="1"/>
  <c r="J1135" i="5" s="1"/>
  <c r="L1135" i="5" s="1"/>
  <c r="D975" i="5"/>
  <c r="E975" i="5" s="1"/>
  <c r="G925" i="5"/>
  <c r="K989" i="5"/>
  <c r="G973" i="5"/>
  <c r="I1192" i="5"/>
  <c r="J1192" i="5" s="1"/>
  <c r="I915" i="5"/>
  <c r="J915" i="5" s="1"/>
  <c r="I870" i="5"/>
  <c r="J870" i="5" s="1"/>
  <c r="I975" i="5"/>
  <c r="J975" i="5" s="1"/>
  <c r="I1077" i="7"/>
  <c r="J1077" i="7" s="1"/>
  <c r="L1077" i="7" s="1"/>
  <c r="H917" i="12"/>
  <c r="I917" i="12" s="1"/>
  <c r="J917" i="12" s="1"/>
  <c r="M917" i="12" s="1"/>
  <c r="H1189" i="12"/>
  <c r="I1189" i="12" s="1"/>
  <c r="J1189" i="12" s="1"/>
  <c r="M1189" i="12" s="1"/>
  <c r="H1260" i="12"/>
  <c r="I1260" i="12" s="1"/>
  <c r="J1260" i="12" s="1"/>
  <c r="M1260" i="12" s="1"/>
  <c r="H1227" i="12"/>
  <c r="I1227" i="12" s="1"/>
  <c r="J1227" i="12" s="1"/>
  <c r="M1227" i="12" s="1"/>
  <c r="H1250" i="12"/>
  <c r="I1250" i="12" s="1"/>
  <c r="J1250" i="12" s="1"/>
  <c r="M1250" i="12" s="1"/>
  <c r="H1212" i="12"/>
  <c r="I1212" i="12" s="1"/>
  <c r="J1212" i="12" s="1"/>
  <c r="M1212" i="12" s="1"/>
  <c r="H1155" i="12"/>
  <c r="I1155" i="12" s="1"/>
  <c r="J1155" i="12" s="1"/>
  <c r="M1155" i="12" s="1"/>
  <c r="H1006" i="12"/>
  <c r="I1006" i="12" s="1"/>
  <c r="J1006" i="12" s="1"/>
  <c r="M1006" i="12" s="1"/>
  <c r="H1172" i="12"/>
  <c r="I1172" i="12" s="1"/>
  <c r="J1172" i="12" s="1"/>
  <c r="M1172" i="12" s="1"/>
  <c r="H882" i="12"/>
  <c r="I882" i="12" s="1"/>
  <c r="J882" i="12" s="1"/>
  <c r="M882" i="12" s="1"/>
  <c r="H1288" i="12"/>
  <c r="I1288" i="12" s="1"/>
  <c r="J1288" i="12" s="1"/>
  <c r="M1288" i="12" s="1"/>
  <c r="H1050" i="12"/>
  <c r="I1050" i="12" s="1"/>
  <c r="J1050" i="12" s="1"/>
  <c r="M1050" i="12" s="1"/>
  <c r="H1277" i="12"/>
  <c r="I1277" i="12" s="1"/>
  <c r="J1277" i="12" s="1"/>
  <c r="M1277" i="12" s="1"/>
  <c r="H1205" i="12"/>
  <c r="I1205" i="12" s="1"/>
  <c r="J1205" i="12" s="1"/>
  <c r="M1205" i="12" s="1"/>
  <c r="H1220" i="12"/>
  <c r="I1220" i="12" s="1"/>
  <c r="J1220" i="12" s="1"/>
  <c r="M1220" i="12" s="1"/>
  <c r="D957" i="5"/>
  <c r="E957" i="5" s="1"/>
  <c r="D1053" i="5"/>
  <c r="E1053" i="5" s="1"/>
  <c r="I1007" i="5"/>
  <c r="J1007" i="5" s="1"/>
  <c r="I902" i="5"/>
  <c r="J902" i="5" s="1"/>
  <c r="L902" i="5" s="1"/>
  <c r="I934" i="5"/>
  <c r="J934" i="5" s="1"/>
  <c r="I998" i="5"/>
  <c r="J998" i="5" s="1"/>
  <c r="L998" i="5" s="1"/>
  <c r="I1062" i="5"/>
  <c r="J1062" i="5" s="1"/>
  <c r="L1062" i="5" s="1"/>
  <c r="I1126" i="5"/>
  <c r="J1126" i="5" s="1"/>
  <c r="L1126" i="5" s="1"/>
  <c r="I1209" i="5"/>
  <c r="J1209" i="5" s="1"/>
  <c r="G989" i="5"/>
  <c r="K1101" i="5"/>
  <c r="D973" i="5"/>
  <c r="E973" i="5" s="1"/>
  <c r="D1037" i="5"/>
  <c r="E1037" i="5" s="1"/>
  <c r="K957" i="5"/>
  <c r="G1085" i="5"/>
  <c r="K1021" i="5"/>
  <c r="D989" i="5"/>
  <c r="E989" i="5" s="1"/>
  <c r="G1053" i="5"/>
  <c r="G1133" i="5"/>
  <c r="I1133" i="5" s="1"/>
  <c r="J1133" i="5" s="1"/>
  <c r="K1053" i="5"/>
  <c r="D1117" i="5"/>
  <c r="E1117" i="5" s="1"/>
  <c r="I1003" i="5"/>
  <c r="J1003" i="5" s="1"/>
  <c r="L1003" i="5" s="1"/>
  <c r="I1280" i="5"/>
  <c r="J1280" i="5" s="1"/>
  <c r="L1280" i="5" s="1"/>
  <c r="D1085" i="5"/>
  <c r="E1085" i="5" s="1"/>
  <c r="G1037" i="5"/>
  <c r="I923" i="5"/>
  <c r="J923" i="5" s="1"/>
  <c r="L923" i="5" s="1"/>
  <c r="I1182" i="5"/>
  <c r="J1182" i="5" s="1"/>
  <c r="L1182" i="5" s="1"/>
  <c r="I838" i="5"/>
  <c r="J838" i="5" s="1"/>
  <c r="L838" i="5" s="1"/>
  <c r="I907" i="5"/>
  <c r="J907" i="5" s="1"/>
  <c r="L907" i="5" s="1"/>
  <c r="D1021" i="5"/>
  <c r="E1021" i="5" s="1"/>
  <c r="K1037" i="5"/>
  <c r="D1133" i="5"/>
  <c r="E1133" i="5" s="1"/>
  <c r="I1051" i="5"/>
  <c r="J1051" i="5" s="1"/>
  <c r="L1051" i="5" s="1"/>
  <c r="I1115" i="5"/>
  <c r="J1115" i="5" s="1"/>
  <c r="L1115" i="5" s="1"/>
  <c r="I939" i="5"/>
  <c r="J939" i="5" s="1"/>
  <c r="L939" i="5" s="1"/>
  <c r="I1067" i="5"/>
  <c r="J1067" i="5" s="1"/>
  <c r="L1067" i="5" s="1"/>
  <c r="I1131" i="5"/>
  <c r="J1131" i="5" s="1"/>
  <c r="L1131" i="5" s="1"/>
  <c r="I1254" i="5"/>
  <c r="J1254" i="5" s="1"/>
  <c r="L1254" i="5" s="1"/>
  <c r="I1167" i="5"/>
  <c r="J1167" i="5" s="1"/>
  <c r="L1167" i="5" s="1"/>
  <c r="I1239" i="5"/>
  <c r="J1239" i="5" s="1"/>
  <c r="I883" i="5"/>
  <c r="J883" i="5" s="1"/>
  <c r="L883" i="5" s="1"/>
  <c r="I836" i="5"/>
  <c r="J836" i="5" s="1"/>
  <c r="L836" i="5" s="1"/>
  <c r="I971" i="5"/>
  <c r="J971" i="5" s="1"/>
  <c r="L971" i="5" s="1"/>
  <c r="I1035" i="5"/>
  <c r="J1035" i="5" s="1"/>
  <c r="L1035" i="5" s="1"/>
  <c r="I1099" i="5"/>
  <c r="J1099" i="5" s="1"/>
  <c r="L1099" i="5" s="1"/>
  <c r="I835" i="5"/>
  <c r="J835" i="5" s="1"/>
  <c r="L835" i="5" s="1"/>
  <c r="I1186" i="5"/>
  <c r="J1186" i="5" s="1"/>
  <c r="I955" i="5"/>
  <c r="J955" i="5" s="1"/>
  <c r="L955" i="5" s="1"/>
  <c r="I1019" i="5"/>
  <c r="J1019" i="5" s="1"/>
  <c r="L1019" i="5" s="1"/>
  <c r="I1083" i="5"/>
  <c r="J1083" i="5" s="1"/>
  <c r="L1083" i="5" s="1"/>
  <c r="I1147" i="5"/>
  <c r="J1147" i="5" s="1"/>
  <c r="L1147" i="5" s="1"/>
  <c r="D1101" i="5"/>
  <c r="E1101" i="5" s="1"/>
  <c r="I1222" i="5"/>
  <c r="J1222" i="5" s="1"/>
  <c r="I875" i="5"/>
  <c r="J875" i="5" s="1"/>
  <c r="L875" i="5" s="1"/>
  <c r="G1101" i="5"/>
  <c r="K1133" i="5"/>
  <c r="I828" i="5"/>
  <c r="J828" i="5" s="1"/>
  <c r="L828" i="5" s="1"/>
  <c r="I1230" i="5"/>
  <c r="J1230" i="5" s="1"/>
  <c r="I1158" i="5"/>
  <c r="J1158" i="5" s="1"/>
  <c r="L1158" i="5" s="1"/>
  <c r="I1210" i="5"/>
  <c r="J1210" i="5" s="1"/>
  <c r="L1210" i="5" s="1"/>
  <c r="I1226" i="5"/>
  <c r="J1226" i="5" s="1"/>
  <c r="L1226" i="5" s="1"/>
  <c r="I1242" i="5"/>
  <c r="J1242" i="5" s="1"/>
  <c r="L1242" i="5" s="1"/>
  <c r="I1258" i="5"/>
  <c r="J1258" i="5" s="1"/>
  <c r="L1258" i="5" s="1"/>
  <c r="I1151" i="5"/>
  <c r="J1151" i="5" s="1"/>
  <c r="L1151" i="5" s="1"/>
  <c r="K931" i="7"/>
  <c r="D995" i="7"/>
  <c r="E995" i="7" s="1"/>
  <c r="D1059" i="7"/>
  <c r="E1059" i="7" s="1"/>
  <c r="H1030" i="9"/>
  <c r="I1030" i="9" s="1"/>
  <c r="I1092" i="12"/>
  <c r="J1092" i="12" s="1"/>
  <c r="M1092" i="12" s="1"/>
  <c r="I1171" i="12"/>
  <c r="J1171" i="12" s="1"/>
  <c r="F931" i="7"/>
  <c r="H931" i="7" s="1"/>
  <c r="D403" i="9"/>
  <c r="E403" i="9" s="1"/>
  <c r="H1164" i="9"/>
  <c r="I1164" i="9" s="1"/>
  <c r="D850" i="12"/>
  <c r="E850" i="12" s="1"/>
  <c r="G867" i="7"/>
  <c r="G939" i="7"/>
  <c r="D1003" i="7"/>
  <c r="E1003" i="7" s="1"/>
  <c r="I891" i="5"/>
  <c r="J891" i="5" s="1"/>
  <c r="L891" i="5" s="1"/>
  <c r="K867" i="7"/>
  <c r="G923" i="7"/>
  <c r="D939" i="7"/>
  <c r="E939" i="7" s="1"/>
  <c r="G987" i="7"/>
  <c r="G1011" i="7"/>
  <c r="D938" i="9"/>
  <c r="E938" i="9" s="1"/>
  <c r="H1239" i="9"/>
  <c r="I1239" i="9" s="1"/>
  <c r="D992" i="9"/>
  <c r="E992" i="9" s="1"/>
  <c r="J1024" i="9"/>
  <c r="G383" i="9"/>
  <c r="F924" i="9"/>
  <c r="G963" i="9"/>
  <c r="G823" i="9"/>
  <c r="G525" i="9"/>
  <c r="J1011" i="9"/>
  <c r="J1123" i="9"/>
  <c r="D1034" i="33"/>
  <c r="E1034" i="33" s="1"/>
  <c r="L1037" i="12"/>
  <c r="K882" i="12"/>
  <c r="D819" i="9"/>
  <c r="E819" i="9" s="1"/>
  <c r="J830" i="9"/>
  <c r="G942" i="9"/>
  <c r="H817" i="9"/>
  <c r="I817" i="9" s="1"/>
  <c r="G1007" i="9"/>
  <c r="F831" i="9"/>
  <c r="G924" i="9"/>
  <c r="J823" i="9"/>
  <c r="J525" i="9"/>
  <c r="G1019" i="9"/>
  <c r="H1019" i="9" s="1"/>
  <c r="I1019" i="9" s="1"/>
  <c r="G1131" i="9"/>
  <c r="G403" i="9"/>
  <c r="G413" i="9"/>
  <c r="G954" i="9"/>
  <c r="D906" i="33"/>
  <c r="E906" i="33" s="1"/>
  <c r="O906" i="33"/>
  <c r="J1034" i="33"/>
  <c r="K850" i="12"/>
  <c r="I1034" i="12"/>
  <c r="J1034" i="12" s="1"/>
  <c r="M1034" i="12" s="1"/>
  <c r="D1053" i="12"/>
  <c r="E1053" i="12" s="1"/>
  <c r="L1069" i="12"/>
  <c r="I1060" i="5"/>
  <c r="J1060" i="5" s="1"/>
  <c r="L1060" i="5" s="1"/>
  <c r="D867" i="7"/>
  <c r="E867" i="7" s="1"/>
  <c r="D923" i="7"/>
  <c r="E923" i="7" s="1"/>
  <c r="F939" i="7"/>
  <c r="H939" i="7" s="1"/>
  <c r="D987" i="7"/>
  <c r="E987" i="7" s="1"/>
  <c r="K1011" i="7"/>
  <c r="F1051" i="7"/>
  <c r="H1051" i="7" s="1"/>
  <c r="G847" i="5"/>
  <c r="I847" i="5" s="1"/>
  <c r="J847" i="5" s="1"/>
  <c r="D847" i="5"/>
  <c r="E847" i="5" s="1"/>
  <c r="D831" i="9"/>
  <c r="E831" i="9" s="1"/>
  <c r="H1232" i="9"/>
  <c r="I1232" i="9" s="1"/>
  <c r="F942" i="9"/>
  <c r="F1131" i="9"/>
  <c r="J396" i="9"/>
  <c r="F413" i="9"/>
  <c r="D954" i="9"/>
  <c r="E954" i="9" s="1"/>
  <c r="O1138" i="33"/>
  <c r="G850" i="12"/>
  <c r="K1069" i="12"/>
  <c r="I1231" i="5"/>
  <c r="J1231" i="5" s="1"/>
  <c r="L1231" i="5" s="1"/>
  <c r="H1223" i="9"/>
  <c r="I1223" i="9" s="1"/>
  <c r="I1198" i="5"/>
  <c r="J1198" i="5" s="1"/>
  <c r="L1198" i="5" s="1"/>
  <c r="I1185" i="5"/>
  <c r="J1185" i="5" s="1"/>
  <c r="L1185" i="5" s="1"/>
  <c r="I1249" i="5"/>
  <c r="J1249" i="5" s="1"/>
  <c r="L1249" i="5" s="1"/>
  <c r="I1255" i="5"/>
  <c r="J1255" i="5" s="1"/>
  <c r="G819" i="9"/>
  <c r="H819" i="9" s="1"/>
  <c r="I819" i="9" s="1"/>
  <c r="G1070" i="9"/>
  <c r="H1070" i="9" s="1"/>
  <c r="I1070" i="9" s="1"/>
  <c r="F1007" i="9"/>
  <c r="D415" i="9"/>
  <c r="E415" i="9" s="1"/>
  <c r="G831" i="9"/>
  <c r="G405" i="9"/>
  <c r="J924" i="9"/>
  <c r="D847" i="9"/>
  <c r="E847" i="9" s="1"/>
  <c r="F1027" i="9"/>
  <c r="H1027" i="9" s="1"/>
  <c r="I1027" i="9" s="1"/>
  <c r="D1051" i="9"/>
  <c r="E1051" i="9" s="1"/>
  <c r="D1131" i="9"/>
  <c r="E1131" i="9" s="1"/>
  <c r="D448" i="9"/>
  <c r="E448" i="9" s="1"/>
  <c r="F403" i="9"/>
  <c r="J413" i="9"/>
  <c r="G938" i="9"/>
  <c r="F954" i="9"/>
  <c r="G1066" i="33"/>
  <c r="F842" i="12"/>
  <c r="H842" i="12" s="1"/>
  <c r="I842" i="12" s="1"/>
  <c r="J842" i="12" s="1"/>
  <c r="M842" i="12" s="1"/>
  <c r="F1053" i="12"/>
  <c r="H1053" i="12" s="1"/>
  <c r="D1085" i="12"/>
  <c r="E1085" i="12" s="1"/>
  <c r="D898" i="12"/>
  <c r="E898" i="12" s="1"/>
  <c r="F923" i="7"/>
  <c r="H923" i="7" s="1"/>
  <c r="G995" i="7"/>
  <c r="G1059" i="7"/>
  <c r="I1103" i="5"/>
  <c r="J1103" i="5" s="1"/>
  <c r="L1103" i="5" s="1"/>
  <c r="F1014" i="9"/>
  <c r="H1014" i="9" s="1"/>
  <c r="I1014" i="9" s="1"/>
  <c r="K1014" i="9" s="1"/>
  <c r="G830" i="9"/>
  <c r="H830" i="9" s="1"/>
  <c r="I830" i="9" s="1"/>
  <c r="H1094" i="9"/>
  <c r="I1094" i="9" s="1"/>
  <c r="D1007" i="9"/>
  <c r="E1007" i="9" s="1"/>
  <c r="J1127" i="9"/>
  <c r="K1092" i="9"/>
  <c r="J819" i="9"/>
  <c r="J1070" i="9"/>
  <c r="G415" i="9"/>
  <c r="H415" i="9" s="1"/>
  <c r="I415" i="9" s="1"/>
  <c r="F1128" i="9"/>
  <c r="F932" i="9"/>
  <c r="J405" i="9"/>
  <c r="G932" i="9"/>
  <c r="J1027" i="9"/>
  <c r="G1051" i="9"/>
  <c r="H1051" i="9" s="1"/>
  <c r="I1051" i="9" s="1"/>
  <c r="G1115" i="9"/>
  <c r="H1115" i="9" s="1"/>
  <c r="I1115" i="9" s="1"/>
  <c r="H820" i="9"/>
  <c r="I820" i="9" s="1"/>
  <c r="I862" i="33"/>
  <c r="N1066" i="33"/>
  <c r="L1085" i="12"/>
  <c r="K898" i="12"/>
  <c r="I971" i="7"/>
  <c r="J971" i="7" s="1"/>
  <c r="J947" i="9"/>
  <c r="H1291" i="9"/>
  <c r="I1291" i="9" s="1"/>
  <c r="H1284" i="9"/>
  <c r="I1284" i="9" s="1"/>
  <c r="H1248" i="9"/>
  <c r="I1248" i="9" s="1"/>
  <c r="H1191" i="9"/>
  <c r="I1191" i="9" s="1"/>
  <c r="G404" i="9"/>
  <c r="J955" i="9"/>
  <c r="D947" i="9"/>
  <c r="E947" i="9" s="1"/>
  <c r="H1292" i="9"/>
  <c r="I1292" i="9" s="1"/>
  <c r="F404" i="9"/>
  <c r="H1106" i="9"/>
  <c r="I1106" i="9" s="1"/>
  <c r="H1231" i="9"/>
  <c r="I1231" i="9" s="1"/>
  <c r="H825" i="9"/>
  <c r="I825" i="9" s="1"/>
  <c r="J404" i="9"/>
  <c r="J963" i="9"/>
  <c r="D837" i="9"/>
  <c r="E837" i="9" s="1"/>
  <c r="H1221" i="9"/>
  <c r="I1221" i="9" s="1"/>
  <c r="H1233" i="9"/>
  <c r="I1233" i="9" s="1"/>
  <c r="H1244" i="9"/>
  <c r="I1244" i="9" s="1"/>
  <c r="H1254" i="9"/>
  <c r="I1254" i="9" s="1"/>
  <c r="F420" i="9"/>
  <c r="F837" i="9"/>
  <c r="H1167" i="9"/>
  <c r="I1167" i="9" s="1"/>
  <c r="H1241" i="9"/>
  <c r="I1241" i="9" s="1"/>
  <c r="H1280" i="9"/>
  <c r="I1280" i="9" s="1"/>
  <c r="H1084" i="9"/>
  <c r="I1084" i="9" s="1"/>
  <c r="H1148" i="9"/>
  <c r="I1148" i="9" s="1"/>
  <c r="F815" i="9"/>
  <c r="F418" i="9"/>
  <c r="G979" i="9"/>
  <c r="I1068" i="7"/>
  <c r="J1068" i="7" s="1"/>
  <c r="L1068" i="7" s="1"/>
  <c r="H1238" i="9"/>
  <c r="I1238" i="9" s="1"/>
  <c r="K1238" i="9" s="1"/>
  <c r="K1009" i="9"/>
  <c r="N1138" i="33"/>
  <c r="I1144" i="12"/>
  <c r="J1144" i="12" s="1"/>
  <c r="M1144" i="12" s="1"/>
  <c r="K1039" i="12"/>
  <c r="F987" i="7"/>
  <c r="H987" i="7" s="1"/>
  <c r="F1003" i="7"/>
  <c r="I1005" i="12"/>
  <c r="J1005" i="12" s="1"/>
  <c r="M1005" i="12" s="1"/>
  <c r="G947" i="7"/>
  <c r="D979" i="7"/>
  <c r="E979" i="7" s="1"/>
  <c r="G1051" i="7"/>
  <c r="I940" i="5"/>
  <c r="J940" i="5" s="1"/>
  <c r="L940" i="5" s="1"/>
  <c r="I1068" i="5"/>
  <c r="J1068" i="5" s="1"/>
  <c r="L1068" i="5" s="1"/>
  <c r="I1202" i="5"/>
  <c r="J1202" i="5" s="1"/>
  <c r="L1202" i="5" s="1"/>
  <c r="D1027" i="9"/>
  <c r="E1027" i="9" s="1"/>
  <c r="G1010" i="12"/>
  <c r="I1065" i="12"/>
  <c r="J1065" i="12" s="1"/>
  <c r="I1016" i="12"/>
  <c r="J1016" i="12" s="1"/>
  <c r="M1016" i="12" s="1"/>
  <c r="I994" i="12"/>
  <c r="J994" i="12" s="1"/>
  <c r="M994" i="12" s="1"/>
  <c r="I946" i="7"/>
  <c r="J946" i="7" s="1"/>
  <c r="L946" i="7" s="1"/>
  <c r="I1042" i="7"/>
  <c r="J1042" i="7" s="1"/>
  <c r="L1042" i="7" s="1"/>
  <c r="I1074" i="7"/>
  <c r="J1074" i="7" s="1"/>
  <c r="L1074" i="7" s="1"/>
  <c r="I947" i="5"/>
  <c r="J947" i="5" s="1"/>
  <c r="L947" i="5" s="1"/>
  <c r="I1075" i="5"/>
  <c r="J1075" i="5" s="1"/>
  <c r="L1075" i="5" s="1"/>
  <c r="I1268" i="7"/>
  <c r="J1268" i="7" s="1"/>
  <c r="L1268" i="7" s="1"/>
  <c r="I1205" i="7"/>
  <c r="J1205" i="7" s="1"/>
  <c r="I1266" i="7"/>
  <c r="J1266" i="7" s="1"/>
  <c r="L1266" i="7" s="1"/>
  <c r="I1167" i="7"/>
  <c r="J1167" i="7" s="1"/>
  <c r="L1167" i="7" s="1"/>
  <c r="I1249" i="12"/>
  <c r="J1249" i="12" s="1"/>
  <c r="I1092" i="5"/>
  <c r="J1092" i="5" s="1"/>
  <c r="L1092" i="5" s="1"/>
  <c r="K947" i="7"/>
  <c r="K1051" i="7"/>
  <c r="I1150" i="5"/>
  <c r="J1150" i="5" s="1"/>
  <c r="L1150" i="5" s="1"/>
  <c r="I987" i="5"/>
  <c r="J987" i="5" s="1"/>
  <c r="L987" i="5" s="1"/>
  <c r="I1234" i="12"/>
  <c r="J1234" i="12" s="1"/>
  <c r="M1234" i="12" s="1"/>
  <c r="I1268" i="12"/>
  <c r="J1268" i="12" s="1"/>
  <c r="M1268" i="12" s="1"/>
  <c r="I1222" i="12"/>
  <c r="J1222" i="12" s="1"/>
  <c r="I1108" i="5"/>
  <c r="J1108" i="5" s="1"/>
  <c r="L1108" i="5" s="1"/>
  <c r="I1196" i="7"/>
  <c r="J1196" i="7" s="1"/>
  <c r="L1196" i="7" s="1"/>
  <c r="I1245" i="12"/>
  <c r="J1245" i="12" s="1"/>
  <c r="M1245" i="12" s="1"/>
  <c r="I1207" i="5"/>
  <c r="J1207" i="5" s="1"/>
  <c r="I1293" i="5"/>
  <c r="J1293" i="5" s="1"/>
  <c r="L1293" i="5" s="1"/>
  <c r="I998" i="33"/>
  <c r="H886" i="33"/>
  <c r="H1063" i="33"/>
  <c r="I1258" i="7"/>
  <c r="J1258" i="7" s="1"/>
  <c r="L1258" i="7" s="1"/>
  <c r="L1213" i="7"/>
  <c r="I1226" i="12"/>
  <c r="J1226" i="12" s="1"/>
  <c r="M1226" i="12" s="1"/>
  <c r="I1192" i="12"/>
  <c r="J1192" i="12" s="1"/>
  <c r="H1283" i="9"/>
  <c r="I1283" i="9" s="1"/>
  <c r="I1166" i="5"/>
  <c r="J1166" i="5" s="1"/>
  <c r="L1166" i="5" s="1"/>
  <c r="L1209" i="5"/>
  <c r="I1281" i="5"/>
  <c r="J1281" i="5" s="1"/>
  <c r="L1281" i="5" s="1"/>
  <c r="I1170" i="5"/>
  <c r="J1170" i="5" s="1"/>
  <c r="L1170" i="5" s="1"/>
  <c r="I1295" i="5"/>
  <c r="J1295" i="5" s="1"/>
  <c r="L1295" i="5" s="1"/>
  <c r="I1223" i="5"/>
  <c r="J1223" i="5" s="1"/>
  <c r="I1190" i="5"/>
  <c r="J1190" i="5" s="1"/>
  <c r="L1190" i="5" s="1"/>
  <c r="I840" i="33"/>
  <c r="I1062" i="12"/>
  <c r="J1062" i="12" s="1"/>
  <c r="M1062" i="12" s="1"/>
  <c r="I1140" i="12"/>
  <c r="J1140" i="12" s="1"/>
  <c r="M1140" i="12" s="1"/>
  <c r="I1095" i="12"/>
  <c r="J1095" i="12" s="1"/>
  <c r="M1095" i="12" s="1"/>
  <c r="I1112" i="12"/>
  <c r="J1112" i="12" s="1"/>
  <c r="M1112" i="12" s="1"/>
  <c r="I1019" i="7"/>
  <c r="J1019" i="7" s="1"/>
  <c r="I1047" i="12"/>
  <c r="J1047" i="12" s="1"/>
  <c r="M1047" i="12" s="1"/>
  <c r="H1229" i="9"/>
  <c r="I1229" i="9" s="1"/>
  <c r="K1229" i="9" s="1"/>
  <c r="H1277" i="9"/>
  <c r="I1277" i="9" s="1"/>
  <c r="H1256" i="9"/>
  <c r="I1256" i="9" s="1"/>
  <c r="H829" i="33"/>
  <c r="I829" i="33" s="1"/>
  <c r="K829" i="33" s="1"/>
  <c r="M829" i="33" s="1"/>
  <c r="P829" i="33" s="1"/>
  <c r="I881" i="33"/>
  <c r="I1127" i="12"/>
  <c r="J1127" i="12" s="1"/>
  <c r="M1127" i="12" s="1"/>
  <c r="I1020" i="12"/>
  <c r="J1020" i="12" s="1"/>
  <c r="M1020" i="12" s="1"/>
  <c r="I924" i="7"/>
  <c r="J924" i="7" s="1"/>
  <c r="L924" i="7" s="1"/>
  <c r="H1234" i="9"/>
  <c r="I1234" i="9" s="1"/>
  <c r="H1264" i="9"/>
  <c r="I1264" i="9" s="1"/>
  <c r="I1183" i="5"/>
  <c r="J1183" i="5" s="1"/>
  <c r="L1183" i="5" s="1"/>
  <c r="I1200" i="5"/>
  <c r="J1200" i="5" s="1"/>
  <c r="L1200" i="5" s="1"/>
  <c r="I1232" i="5"/>
  <c r="J1232" i="5" s="1"/>
  <c r="L1232" i="5" s="1"/>
  <c r="I1285" i="5"/>
  <c r="J1285" i="5" s="1"/>
  <c r="I959" i="33"/>
  <c r="I1028" i="12"/>
  <c r="J1028" i="12" s="1"/>
  <c r="M1028" i="12" s="1"/>
  <c r="I1014" i="12"/>
  <c r="J1014" i="12" s="1"/>
  <c r="M1014" i="12" s="1"/>
  <c r="I1049" i="12"/>
  <c r="J1049" i="12" s="1"/>
  <c r="M1049" i="12" s="1"/>
  <c r="I1114" i="12"/>
  <c r="J1114" i="12" s="1"/>
  <c r="I1133" i="12"/>
  <c r="J1133" i="12" s="1"/>
  <c r="M1133" i="12" s="1"/>
  <c r="G898" i="12"/>
  <c r="I1243" i="7"/>
  <c r="J1243" i="7" s="1"/>
  <c r="L1243" i="7" s="1"/>
  <c r="I1186" i="7"/>
  <c r="J1186" i="7" s="1"/>
  <c r="L1186" i="7" s="1"/>
  <c r="I1209" i="7"/>
  <c r="J1209" i="7" s="1"/>
  <c r="L1209" i="7" s="1"/>
  <c r="I1267" i="12"/>
  <c r="J1267" i="12" s="1"/>
  <c r="M1267" i="12" s="1"/>
  <c r="I1190" i="12"/>
  <c r="J1190" i="12" s="1"/>
  <c r="M1190" i="12" s="1"/>
  <c r="I1044" i="5"/>
  <c r="J1044" i="5" s="1"/>
  <c r="L1044" i="5" s="1"/>
  <c r="K883" i="7"/>
  <c r="I837" i="5"/>
  <c r="J837" i="5" s="1"/>
  <c r="L837" i="5" s="1"/>
  <c r="I901" i="5"/>
  <c r="J901" i="5" s="1"/>
  <c r="L901" i="5" s="1"/>
  <c r="I933" i="5"/>
  <c r="J933" i="5" s="1"/>
  <c r="L933" i="5" s="1"/>
  <c r="I965" i="5"/>
  <c r="J965" i="5" s="1"/>
  <c r="L965" i="5" s="1"/>
  <c r="I997" i="5"/>
  <c r="J997" i="5" s="1"/>
  <c r="L997" i="5" s="1"/>
  <c r="I1029" i="5"/>
  <c r="J1029" i="5" s="1"/>
  <c r="L1029" i="5" s="1"/>
  <c r="I1141" i="7"/>
  <c r="J1141" i="7" s="1"/>
  <c r="L1141" i="7" s="1"/>
  <c r="H1259" i="9"/>
  <c r="I1259" i="9" s="1"/>
  <c r="I1162" i="5"/>
  <c r="J1162" i="5" s="1"/>
  <c r="L1162" i="5" s="1"/>
  <c r="I837" i="33"/>
  <c r="I993" i="12"/>
  <c r="J993" i="12" s="1"/>
  <c r="M993" i="12" s="1"/>
  <c r="I1009" i="12"/>
  <c r="J1009" i="12" s="1"/>
  <c r="M1009" i="12" s="1"/>
  <c r="I1195" i="7"/>
  <c r="J1195" i="7" s="1"/>
  <c r="I1221" i="7"/>
  <c r="J1221" i="7" s="1"/>
  <c r="L1221" i="7" s="1"/>
  <c r="I1220" i="7"/>
  <c r="J1220" i="7" s="1"/>
  <c r="L1220" i="7" s="1"/>
  <c r="L1290" i="7"/>
  <c r="L1162" i="7"/>
  <c r="I1282" i="7"/>
  <c r="J1282" i="7" s="1"/>
  <c r="L1282" i="7" s="1"/>
  <c r="I1154" i="7"/>
  <c r="J1154" i="7" s="1"/>
  <c r="L1154" i="7" s="1"/>
  <c r="L1228" i="7"/>
  <c r="I1296" i="12"/>
  <c r="J1296" i="12" s="1"/>
  <c r="I1284" i="12"/>
  <c r="J1284" i="12" s="1"/>
  <c r="M1284" i="12" s="1"/>
  <c r="I1193" i="7"/>
  <c r="J1193" i="7" s="1"/>
  <c r="L1193" i="7" s="1"/>
  <c r="I1239" i="7"/>
  <c r="J1239" i="7" s="1"/>
  <c r="L1239" i="7" s="1"/>
  <c r="I1251" i="12"/>
  <c r="J1251" i="12" s="1"/>
  <c r="M1251" i="12" s="1"/>
  <c r="I1181" i="12"/>
  <c r="J1181" i="12" s="1"/>
  <c r="M1181" i="12" s="1"/>
  <c r="I1242" i="12"/>
  <c r="J1242" i="12" s="1"/>
  <c r="M1242" i="12" s="1"/>
  <c r="I1163" i="12"/>
  <c r="J1163" i="12" s="1"/>
  <c r="M1163" i="12" s="1"/>
  <c r="I1238" i="12"/>
  <c r="J1238" i="12" s="1"/>
  <c r="M1238" i="12" s="1"/>
  <c r="I1208" i="12"/>
  <c r="J1208" i="12" s="1"/>
  <c r="M1208" i="12" s="1"/>
  <c r="I1239" i="12"/>
  <c r="J1239" i="12" s="1"/>
  <c r="M1239" i="12" s="1"/>
  <c r="K1163" i="33"/>
  <c r="M1163" i="33" s="1"/>
  <c r="L934" i="5"/>
  <c r="H1151" i="9"/>
  <c r="I1151" i="9" s="1"/>
  <c r="I1023" i="33"/>
  <c r="I894" i="12"/>
  <c r="J894" i="12" s="1"/>
  <c r="M894" i="12" s="1"/>
  <c r="I958" i="12"/>
  <c r="J958" i="12" s="1"/>
  <c r="M958" i="12" s="1"/>
  <c r="I937" i="12"/>
  <c r="J937" i="12" s="1"/>
  <c r="M937" i="12" s="1"/>
  <c r="I845" i="12"/>
  <c r="J845" i="12" s="1"/>
  <c r="M845" i="12" s="1"/>
  <c r="H1180" i="9"/>
  <c r="I1180" i="9" s="1"/>
  <c r="I969" i="33"/>
  <c r="I990" i="33"/>
  <c r="I989" i="12"/>
  <c r="J989" i="12" s="1"/>
  <c r="M989" i="12" s="1"/>
  <c r="I1297" i="5"/>
  <c r="J1297" i="5" s="1"/>
  <c r="L1297" i="5" s="1"/>
  <c r="H1062" i="33"/>
  <c r="I841" i="12"/>
  <c r="J841" i="12" s="1"/>
  <c r="M841" i="12" s="1"/>
  <c r="I1126" i="12"/>
  <c r="J1126" i="12" s="1"/>
  <c r="M1126" i="12" s="1"/>
  <c r="I876" i="12"/>
  <c r="J876" i="12" s="1"/>
  <c r="I940" i="12"/>
  <c r="J940" i="12" s="1"/>
  <c r="M940" i="12" s="1"/>
  <c r="I1004" i="12"/>
  <c r="J1004" i="12" s="1"/>
  <c r="I1021" i="12"/>
  <c r="J1021" i="12" s="1"/>
  <c r="I972" i="12"/>
  <c r="J972" i="12" s="1"/>
  <c r="M972" i="12" s="1"/>
  <c r="I884" i="7"/>
  <c r="J884" i="7" s="1"/>
  <c r="L884" i="7" s="1"/>
  <c r="I948" i="7"/>
  <c r="J948" i="7" s="1"/>
  <c r="L948" i="7" s="1"/>
  <c r="I1012" i="7"/>
  <c r="J1012" i="7" s="1"/>
  <c r="L1012" i="7" s="1"/>
  <c r="I1076" i="7"/>
  <c r="J1076" i="7" s="1"/>
  <c r="L1076" i="7" s="1"/>
  <c r="I1140" i="7"/>
  <c r="J1140" i="7" s="1"/>
  <c r="L1140" i="7" s="1"/>
  <c r="I1018" i="12"/>
  <c r="J1018" i="12" s="1"/>
  <c r="M1018" i="12" s="1"/>
  <c r="I1146" i="12"/>
  <c r="J1146" i="12" s="1"/>
  <c r="M1146" i="12" s="1"/>
  <c r="I1246" i="7"/>
  <c r="J1246" i="7" s="1"/>
  <c r="L1246" i="7" s="1"/>
  <c r="I1184" i="7"/>
  <c r="J1184" i="7" s="1"/>
  <c r="L1184" i="7" s="1"/>
  <c r="I1193" i="12"/>
  <c r="J1193" i="12" s="1"/>
  <c r="M1193" i="12" s="1"/>
  <c r="I1076" i="5"/>
  <c r="J1076" i="5" s="1"/>
  <c r="L1076" i="5" s="1"/>
  <c r="D971" i="9"/>
  <c r="E971" i="9" s="1"/>
  <c r="F971" i="9"/>
  <c r="G971" i="9"/>
  <c r="J834" i="9"/>
  <c r="F834" i="9"/>
  <c r="I1214" i="5"/>
  <c r="J1214" i="5" s="1"/>
  <c r="L1214" i="5" s="1"/>
  <c r="I1054" i="12"/>
  <c r="J1054" i="12" s="1"/>
  <c r="M1054" i="12" s="1"/>
  <c r="I1133" i="7"/>
  <c r="J1133" i="7" s="1"/>
  <c r="L1133" i="7" s="1"/>
  <c r="I1186" i="12"/>
  <c r="J1186" i="12" s="1"/>
  <c r="M1186" i="12" s="1"/>
  <c r="I1258" i="12"/>
  <c r="J1258" i="12" s="1"/>
  <c r="M1258" i="12" s="1"/>
  <c r="I1287" i="12"/>
  <c r="J1287" i="12" s="1"/>
  <c r="I1159" i="12"/>
  <c r="J1159" i="12" s="1"/>
  <c r="I924" i="5"/>
  <c r="J924" i="5" s="1"/>
  <c r="L924" i="5" s="1"/>
  <c r="I1052" i="5"/>
  <c r="J1052" i="5" s="1"/>
  <c r="L1052" i="5" s="1"/>
  <c r="I1251" i="7"/>
  <c r="J1251" i="7" s="1"/>
  <c r="L1251" i="7" s="1"/>
  <c r="I1196" i="12"/>
  <c r="J1196" i="12" s="1"/>
  <c r="M1196" i="12" s="1"/>
  <c r="I996" i="5"/>
  <c r="J996" i="5" s="1"/>
  <c r="L996" i="5" s="1"/>
  <c r="I854" i="12"/>
  <c r="J854" i="12" s="1"/>
  <c r="F1085" i="12"/>
  <c r="H1085" i="12" s="1"/>
  <c r="I1093" i="12"/>
  <c r="J1093" i="12" s="1"/>
  <c r="M1093" i="12" s="1"/>
  <c r="I1056" i="12"/>
  <c r="J1056" i="12" s="1"/>
  <c r="M1056" i="12" s="1"/>
  <c r="I1011" i="5"/>
  <c r="J1011" i="5" s="1"/>
  <c r="L1011" i="5" s="1"/>
  <c r="I1139" i="5"/>
  <c r="J1139" i="5" s="1"/>
  <c r="L1139" i="5" s="1"/>
  <c r="I1187" i="7"/>
  <c r="J1187" i="7" s="1"/>
  <c r="L1187" i="7" s="1"/>
  <c r="I1202" i="7"/>
  <c r="J1202" i="7" s="1"/>
  <c r="L1202" i="7" s="1"/>
  <c r="I1235" i="12"/>
  <c r="J1235" i="12" s="1"/>
  <c r="I1170" i="12"/>
  <c r="J1170" i="12" s="1"/>
  <c r="M1170" i="12" s="1"/>
  <c r="I1290" i="12"/>
  <c r="J1290" i="12" s="1"/>
  <c r="M1290" i="12" s="1"/>
  <c r="I1178" i="12"/>
  <c r="J1178" i="12" s="1"/>
  <c r="M1178" i="12" s="1"/>
  <c r="I1280" i="12"/>
  <c r="J1280" i="12" s="1"/>
  <c r="I1164" i="12"/>
  <c r="J1164" i="12" s="1"/>
  <c r="M1164" i="12" s="1"/>
  <c r="I1262" i="12"/>
  <c r="J1262" i="12" s="1"/>
  <c r="M1262" i="12" s="1"/>
  <c r="I1198" i="12"/>
  <c r="J1198" i="12" s="1"/>
  <c r="M1198" i="12" s="1"/>
  <c r="I1281" i="12"/>
  <c r="J1281" i="12" s="1"/>
  <c r="M1281" i="12" s="1"/>
  <c r="I1153" i="12"/>
  <c r="J1153" i="12" s="1"/>
  <c r="M1153" i="12" s="1"/>
  <c r="I1168" i="12"/>
  <c r="J1168" i="12" s="1"/>
  <c r="M1168" i="12" s="1"/>
  <c r="I1199" i="12"/>
  <c r="J1199" i="12" s="1"/>
  <c r="M1199" i="12" s="1"/>
  <c r="P1177" i="33"/>
  <c r="I1028" i="5"/>
  <c r="J1028" i="5" s="1"/>
  <c r="L1028" i="5" s="1"/>
  <c r="D883" i="7"/>
  <c r="E883" i="7" s="1"/>
  <c r="D947" i="7"/>
  <c r="E947" i="7" s="1"/>
  <c r="D1011" i="7"/>
  <c r="E1011" i="7" s="1"/>
  <c r="L966" i="5"/>
  <c r="L1030" i="5"/>
  <c r="L1094" i="5"/>
  <c r="I935" i="5"/>
  <c r="J935" i="5" s="1"/>
  <c r="I967" i="5"/>
  <c r="J967" i="5" s="1"/>
  <c r="L967" i="5" s="1"/>
  <c r="I999" i="5"/>
  <c r="J999" i="5" s="1"/>
  <c r="L999" i="5" s="1"/>
  <c r="I1031" i="5"/>
  <c r="J1031" i="5" s="1"/>
  <c r="I1063" i="5"/>
  <c r="J1063" i="5" s="1"/>
  <c r="L1063" i="5" s="1"/>
  <c r="I1095" i="5"/>
  <c r="J1095" i="5" s="1"/>
  <c r="L1095" i="5" s="1"/>
  <c r="I1127" i="5"/>
  <c r="J1127" i="5" s="1"/>
  <c r="I885" i="12"/>
  <c r="J885" i="12" s="1"/>
  <c r="M885" i="12" s="1"/>
  <c r="H1252" i="9"/>
  <c r="I1252" i="9" s="1"/>
  <c r="H1204" i="9"/>
  <c r="I1204" i="9" s="1"/>
  <c r="K1204" i="9" s="1"/>
  <c r="H984" i="9"/>
  <c r="I984" i="9" s="1"/>
  <c r="H1134" i="33"/>
  <c r="H1260" i="9"/>
  <c r="I1260" i="9" s="1"/>
  <c r="H1209" i="9"/>
  <c r="I1209" i="9" s="1"/>
  <c r="I1199" i="5"/>
  <c r="J1199" i="5" s="1"/>
  <c r="L1199" i="5" s="1"/>
  <c r="I1278" i="5"/>
  <c r="J1278" i="5" s="1"/>
  <c r="H950" i="9"/>
  <c r="I950" i="9" s="1"/>
  <c r="H1222" i="9"/>
  <c r="I1222" i="9" s="1"/>
  <c r="I1090" i="12"/>
  <c r="J1090" i="12" s="1"/>
  <c r="M1090" i="12" s="1"/>
  <c r="H1293" i="9"/>
  <c r="I1293" i="9" s="1"/>
  <c r="H1076" i="9"/>
  <c r="I1076" i="9" s="1"/>
  <c r="K1076" i="9" s="1"/>
  <c r="K926" i="33"/>
  <c r="M926" i="33" s="1"/>
  <c r="P926" i="33" s="1"/>
  <c r="H1137" i="33"/>
  <c r="I1137" i="33" s="1"/>
  <c r="K1137" i="33" s="1"/>
  <c r="M1137" i="33" s="1"/>
  <c r="P1137" i="33" s="1"/>
  <c r="H1267" i="9"/>
  <c r="I1267" i="9" s="1"/>
  <c r="H1240" i="9"/>
  <c r="I1240" i="9" s="1"/>
  <c r="J1051" i="9"/>
  <c r="F962" i="9"/>
  <c r="H1074" i="9"/>
  <c r="I1074" i="9" s="1"/>
  <c r="H1202" i="9"/>
  <c r="I1202" i="9" s="1"/>
  <c r="H910" i="33"/>
  <c r="F1138" i="33"/>
  <c r="I928" i="33"/>
  <c r="I1012" i="12"/>
  <c r="J1012" i="12" s="1"/>
  <c r="M1012" i="12" s="1"/>
  <c r="I1048" i="12"/>
  <c r="J1048" i="12" s="1"/>
  <c r="M1048" i="12" s="1"/>
  <c r="G1085" i="12"/>
  <c r="I1070" i="12"/>
  <c r="J1070" i="12" s="1"/>
  <c r="M1070" i="12" s="1"/>
  <c r="G1039" i="12"/>
  <c r="I1039" i="12" s="1"/>
  <c r="J1039" i="12" s="1"/>
  <c r="M1039" i="12" s="1"/>
  <c r="I1259" i="7"/>
  <c r="J1259" i="7" s="1"/>
  <c r="L1259" i="7" s="1"/>
  <c r="I1194" i="7"/>
  <c r="J1194" i="7" s="1"/>
  <c r="L1194" i="7" s="1"/>
  <c r="I1260" i="7"/>
  <c r="J1260" i="7" s="1"/>
  <c r="L1260" i="7" s="1"/>
  <c r="I1198" i="7"/>
  <c r="J1198" i="7" s="1"/>
  <c r="L1198" i="7" s="1"/>
  <c r="I1294" i="12"/>
  <c r="J1294" i="12" s="1"/>
  <c r="M1294" i="12" s="1"/>
  <c r="I1204" i="12"/>
  <c r="J1204" i="12" s="1"/>
  <c r="M1204" i="12" s="1"/>
  <c r="I1273" i="7"/>
  <c r="J1273" i="7" s="1"/>
  <c r="L1273" i="7" s="1"/>
  <c r="I1264" i="7"/>
  <c r="J1264" i="7" s="1"/>
  <c r="L1264" i="7" s="1"/>
  <c r="I1276" i="12"/>
  <c r="J1276" i="12" s="1"/>
  <c r="M1276" i="12" s="1"/>
  <c r="I1162" i="12"/>
  <c r="J1162" i="12" s="1"/>
  <c r="M1162" i="12" s="1"/>
  <c r="I1213" i="12"/>
  <c r="J1213" i="12" s="1"/>
  <c r="M1213" i="12" s="1"/>
  <c r="I1195" i="12"/>
  <c r="J1195" i="12" s="1"/>
  <c r="M1195" i="12" s="1"/>
  <c r="I1254" i="12"/>
  <c r="J1254" i="12" s="1"/>
  <c r="M1254" i="12" s="1"/>
  <c r="I1273" i="12"/>
  <c r="J1273" i="12" s="1"/>
  <c r="M1273" i="12" s="1"/>
  <c r="I1209" i="12"/>
  <c r="J1209" i="12" s="1"/>
  <c r="M1209" i="12" s="1"/>
  <c r="I1224" i="12"/>
  <c r="J1224" i="12" s="1"/>
  <c r="M1224" i="12" s="1"/>
  <c r="I1255" i="12"/>
  <c r="J1255" i="12" s="1"/>
  <c r="M1255" i="12" s="1"/>
  <c r="K1209" i="33"/>
  <c r="M1209" i="33" s="1"/>
  <c r="P1209" i="33" s="1"/>
  <c r="P1203" i="33"/>
  <c r="K1212" i="33"/>
  <c r="M1212" i="33" s="1"/>
  <c r="P1212" i="33" s="1"/>
  <c r="I916" i="5"/>
  <c r="J916" i="5" s="1"/>
  <c r="L916" i="5" s="1"/>
  <c r="H1275" i="9"/>
  <c r="I1275" i="9" s="1"/>
  <c r="H1217" i="9"/>
  <c r="I1217" i="9" s="1"/>
  <c r="I1201" i="5"/>
  <c r="J1201" i="5" s="1"/>
  <c r="I1233" i="5"/>
  <c r="J1233" i="5" s="1"/>
  <c r="H1198" i="9"/>
  <c r="I1198" i="9" s="1"/>
  <c r="H1108" i="9"/>
  <c r="I1108" i="9" s="1"/>
  <c r="K1108" i="9" s="1"/>
  <c r="H529" i="9"/>
  <c r="I529" i="9" s="1"/>
  <c r="H1102" i="33"/>
  <c r="I1022" i="33"/>
  <c r="I854" i="33"/>
  <c r="H839" i="33"/>
  <c r="I1030" i="12"/>
  <c r="J1030" i="12" s="1"/>
  <c r="M1030" i="12" s="1"/>
  <c r="I1142" i="12"/>
  <c r="J1142" i="12" s="1"/>
  <c r="M1142" i="12" s="1"/>
  <c r="I1121" i="12"/>
  <c r="J1121" i="12" s="1"/>
  <c r="M1121" i="12" s="1"/>
  <c r="I1137" i="12"/>
  <c r="J1137" i="12" s="1"/>
  <c r="M1137" i="12" s="1"/>
  <c r="I1076" i="12"/>
  <c r="J1076" i="12" s="1"/>
  <c r="M1076" i="12" s="1"/>
  <c r="I1082" i="12"/>
  <c r="J1082" i="12" s="1"/>
  <c r="I1068" i="12"/>
  <c r="J1068" i="12" s="1"/>
  <c r="M1068" i="12" s="1"/>
  <c r="I990" i="12"/>
  <c r="J990" i="12" s="1"/>
  <c r="M990" i="12" s="1"/>
  <c r="I1069" i="12"/>
  <c r="J1069" i="12" s="1"/>
  <c r="M1069" i="12" s="1"/>
  <c r="I1077" i="12"/>
  <c r="J1077" i="12" s="1"/>
  <c r="M1077" i="12" s="1"/>
  <c r="L915" i="5"/>
  <c r="L1043" i="5"/>
  <c r="L1227" i="7"/>
  <c r="I1269" i="7"/>
  <c r="J1269" i="7" s="1"/>
  <c r="L1269" i="7" s="1"/>
  <c r="L1170" i="7"/>
  <c r="I1269" i="12"/>
  <c r="J1269" i="12" s="1"/>
  <c r="M1269" i="12" s="1"/>
  <c r="I1261" i="12"/>
  <c r="J1261" i="12" s="1"/>
  <c r="M1261" i="12" s="1"/>
  <c r="I1264" i="12"/>
  <c r="J1264" i="12" s="1"/>
  <c r="M1264" i="12" s="1"/>
  <c r="I1197" i="12"/>
  <c r="J1197" i="12" s="1"/>
  <c r="M1197" i="12" s="1"/>
  <c r="I1253" i="12"/>
  <c r="J1253" i="12" s="1"/>
  <c r="M1253" i="12" s="1"/>
  <c r="I1291" i="12"/>
  <c r="J1291" i="12" s="1"/>
  <c r="M1291" i="12" s="1"/>
  <c r="I1179" i="12"/>
  <c r="J1179" i="12" s="1"/>
  <c r="M1179" i="12" s="1"/>
  <c r="I1246" i="12"/>
  <c r="J1246" i="12" s="1"/>
  <c r="M1246" i="12" s="1"/>
  <c r="I1182" i="12"/>
  <c r="J1182" i="12" s="1"/>
  <c r="M1182" i="12" s="1"/>
  <c r="I1265" i="12"/>
  <c r="J1265" i="12" s="1"/>
  <c r="M1265" i="12" s="1"/>
  <c r="I1216" i="12"/>
  <c r="J1216" i="12" s="1"/>
  <c r="M1216" i="12" s="1"/>
  <c r="I1152" i="12"/>
  <c r="J1152" i="12" s="1"/>
  <c r="M1152" i="12" s="1"/>
  <c r="I1247" i="12"/>
  <c r="J1247" i="12" s="1"/>
  <c r="M1247" i="12" s="1"/>
  <c r="I1183" i="12"/>
  <c r="J1183" i="12" s="1"/>
  <c r="M1183" i="12" s="1"/>
  <c r="K1210" i="33"/>
  <c r="M1210" i="33" s="1"/>
  <c r="P1210" i="33" s="1"/>
  <c r="K1187" i="33"/>
  <c r="M1187" i="33" s="1"/>
  <c r="P1187" i="33" s="1"/>
  <c r="K1204" i="33"/>
  <c r="M1204" i="33" s="1"/>
  <c r="P1204" i="33" s="1"/>
  <c r="I932" i="5"/>
  <c r="J932" i="5" s="1"/>
  <c r="L932" i="5" s="1"/>
  <c r="L879" i="5"/>
  <c r="L943" i="5"/>
  <c r="L1007" i="5"/>
  <c r="L1071" i="5"/>
  <c r="I1004" i="5"/>
  <c r="J1004" i="5" s="1"/>
  <c r="L1004" i="5" s="1"/>
  <c r="I1132" i="5"/>
  <c r="J1132" i="5" s="1"/>
  <c r="L1132" i="5" s="1"/>
  <c r="L918" i="5"/>
  <c r="L982" i="5"/>
  <c r="L1046" i="5"/>
  <c r="L1110" i="5"/>
  <c r="I1052" i="7"/>
  <c r="J1052" i="7" s="1"/>
  <c r="I897" i="5"/>
  <c r="J897" i="5" s="1"/>
  <c r="L897" i="5" s="1"/>
  <c r="I1025" i="5"/>
  <c r="J1025" i="5" s="1"/>
  <c r="L1025" i="5" s="1"/>
  <c r="I921" i="5"/>
  <c r="J921" i="5" s="1"/>
  <c r="I1049" i="5"/>
  <c r="J1049" i="5" s="1"/>
  <c r="L1049" i="5" s="1"/>
  <c r="I839" i="5"/>
  <c r="J839" i="5" s="1"/>
  <c r="L839" i="5" s="1"/>
  <c r="I903" i="5"/>
  <c r="J903" i="5" s="1"/>
  <c r="L903" i="5" s="1"/>
  <c r="I861" i="7"/>
  <c r="J861" i="7" s="1"/>
  <c r="L861" i="7" s="1"/>
  <c r="I893" i="7"/>
  <c r="J893" i="7" s="1"/>
  <c r="L893" i="7" s="1"/>
  <c r="I1021" i="7"/>
  <c r="J1021" i="7" s="1"/>
  <c r="L1021" i="7" s="1"/>
  <c r="I1053" i="7"/>
  <c r="J1053" i="7" s="1"/>
  <c r="L1053" i="7" s="1"/>
  <c r="I914" i="7"/>
  <c r="J914" i="7" s="1"/>
  <c r="I868" i="7"/>
  <c r="J868" i="7" s="1"/>
  <c r="L868" i="7" s="1"/>
  <c r="I932" i="7"/>
  <c r="J932" i="7" s="1"/>
  <c r="L932" i="7" s="1"/>
  <c r="I996" i="7"/>
  <c r="J996" i="7" s="1"/>
  <c r="L996" i="7" s="1"/>
  <c r="I1060" i="7"/>
  <c r="J1060" i="7" s="1"/>
  <c r="L1060" i="7" s="1"/>
  <c r="I1124" i="7"/>
  <c r="J1124" i="7" s="1"/>
  <c r="L1124" i="7" s="1"/>
  <c r="I844" i="7"/>
  <c r="J844" i="7" s="1"/>
  <c r="L844" i="7" s="1"/>
  <c r="I988" i="7"/>
  <c r="J988" i="7" s="1"/>
  <c r="L988" i="7" s="1"/>
  <c r="I1100" i="7"/>
  <c r="J1100" i="7" s="1"/>
  <c r="L1100" i="7" s="1"/>
  <c r="I1241" i="7"/>
  <c r="J1241" i="7" s="1"/>
  <c r="L1241" i="7" s="1"/>
  <c r="I1193" i="5"/>
  <c r="J1193" i="5" s="1"/>
  <c r="L1193" i="5" s="1"/>
  <c r="I1197" i="7"/>
  <c r="J1197" i="7" s="1"/>
  <c r="I881" i="5"/>
  <c r="J881" i="5" s="1"/>
  <c r="L881" i="5" s="1"/>
  <c r="I1206" i="7"/>
  <c r="J1206" i="7" s="1"/>
  <c r="L1206" i="7" s="1"/>
  <c r="I1281" i="7"/>
  <c r="J1281" i="7" s="1"/>
  <c r="L1281" i="7" s="1"/>
  <c r="I1153" i="7"/>
  <c r="J1153" i="7" s="1"/>
  <c r="L1153" i="7" s="1"/>
  <c r="I1199" i="7"/>
  <c r="J1199" i="7" s="1"/>
  <c r="L1199" i="7" s="1"/>
  <c r="I1147" i="7"/>
  <c r="J1147" i="7" s="1"/>
  <c r="L1147" i="7" s="1"/>
  <c r="I945" i="5"/>
  <c r="J945" i="5" s="1"/>
  <c r="L945" i="5" s="1"/>
  <c r="I1009" i="5"/>
  <c r="J1009" i="5" s="1"/>
  <c r="L1009" i="5" s="1"/>
  <c r="I1073" i="5"/>
  <c r="J1073" i="5" s="1"/>
  <c r="L1073" i="5" s="1"/>
  <c r="I1137" i="5"/>
  <c r="J1137" i="5" s="1"/>
  <c r="L1137" i="5" s="1"/>
  <c r="I878" i="5"/>
  <c r="J878" i="5" s="1"/>
  <c r="L878" i="5" s="1"/>
  <c r="I942" i="5"/>
  <c r="J942" i="5" s="1"/>
  <c r="L942" i="5" s="1"/>
  <c r="I974" i="5"/>
  <c r="J974" i="5" s="1"/>
  <c r="L974" i="5" s="1"/>
  <c r="I1038" i="5"/>
  <c r="J1038" i="5" s="1"/>
  <c r="L1038" i="5" s="1"/>
  <c r="I1134" i="5"/>
  <c r="J1134" i="5" s="1"/>
  <c r="L1134" i="5" s="1"/>
  <c r="I853" i="5"/>
  <c r="J853" i="5" s="1"/>
  <c r="L853" i="5" s="1"/>
  <c r="I917" i="5"/>
  <c r="J917" i="5" s="1"/>
  <c r="L917" i="5" s="1"/>
  <c r="I949" i="5"/>
  <c r="J949" i="5" s="1"/>
  <c r="L949" i="5" s="1"/>
  <c r="I981" i="5"/>
  <c r="J981" i="5" s="1"/>
  <c r="L981" i="5" s="1"/>
  <c r="I1013" i="5"/>
  <c r="J1013" i="5" s="1"/>
  <c r="L1013" i="5" s="1"/>
  <c r="I1045" i="5"/>
  <c r="J1045" i="5" s="1"/>
  <c r="L1045" i="5" s="1"/>
  <c r="I1061" i="5"/>
  <c r="J1061" i="5" s="1"/>
  <c r="L1061" i="5" s="1"/>
  <c r="I1077" i="5"/>
  <c r="J1077" i="5" s="1"/>
  <c r="L1077" i="5" s="1"/>
  <c r="I1093" i="5"/>
  <c r="J1093" i="5" s="1"/>
  <c r="L1093" i="5" s="1"/>
  <c r="I1109" i="5"/>
  <c r="J1109" i="5" s="1"/>
  <c r="L1109" i="5" s="1"/>
  <c r="I1125" i="5"/>
  <c r="J1125" i="5" s="1"/>
  <c r="L1125" i="5" s="1"/>
  <c r="I1141" i="5"/>
  <c r="J1141" i="5" s="1"/>
  <c r="L1141" i="5" s="1"/>
  <c r="I1261" i="7"/>
  <c r="J1261" i="7" s="1"/>
  <c r="L1261" i="7" s="1"/>
  <c r="I876" i="5"/>
  <c r="J876" i="5" s="1"/>
  <c r="L876" i="5" s="1"/>
  <c r="I963" i="5"/>
  <c r="J963" i="5" s="1"/>
  <c r="I1091" i="5"/>
  <c r="J1091" i="5" s="1"/>
  <c r="L1091" i="5" s="1"/>
  <c r="I1157" i="7"/>
  <c r="J1157" i="7" s="1"/>
  <c r="L1157" i="7" s="1"/>
  <c r="I1156" i="7"/>
  <c r="J1156" i="7" s="1"/>
  <c r="L1156" i="7" s="1"/>
  <c r="I1283" i="7"/>
  <c r="J1283" i="7" s="1"/>
  <c r="L1283" i="7" s="1"/>
  <c r="I1159" i="7"/>
  <c r="J1159" i="7" s="1"/>
  <c r="I1206" i="5"/>
  <c r="J1206" i="5" s="1"/>
  <c r="L1206" i="5" s="1"/>
  <c r="I1020" i="7"/>
  <c r="J1020" i="7" s="1"/>
  <c r="L1020" i="7" s="1"/>
  <c r="I1257" i="5"/>
  <c r="J1257" i="5" s="1"/>
  <c r="I1290" i="5"/>
  <c r="J1290" i="5" s="1"/>
  <c r="L1290" i="5" s="1"/>
  <c r="I1235" i="5"/>
  <c r="J1235" i="5" s="1"/>
  <c r="L1235" i="5" s="1"/>
  <c r="I1292" i="5"/>
  <c r="J1292" i="5" s="1"/>
  <c r="L1292" i="5" s="1"/>
  <c r="I1165" i="5"/>
  <c r="J1165" i="5" s="1"/>
  <c r="L1165" i="5" s="1"/>
  <c r="I1261" i="5"/>
  <c r="J1261" i="5" s="1"/>
  <c r="L1261" i="5" s="1"/>
  <c r="I1214" i="7"/>
  <c r="J1214" i="7" s="1"/>
  <c r="L1214" i="7" s="1"/>
  <c r="I1012" i="5"/>
  <c r="J1012" i="5" s="1"/>
  <c r="L1012" i="5" s="1"/>
  <c r="I956" i="5"/>
  <c r="J956" i="5" s="1"/>
  <c r="L956" i="5" s="1"/>
  <c r="I1084" i="5"/>
  <c r="J1084" i="5" s="1"/>
  <c r="L1084" i="5" s="1"/>
  <c r="I961" i="5"/>
  <c r="J961" i="5" s="1"/>
  <c r="L961" i="5" s="1"/>
  <c r="I1089" i="5"/>
  <c r="J1089" i="5" s="1"/>
  <c r="L1089" i="5" s="1"/>
  <c r="I941" i="7"/>
  <c r="J941" i="7" s="1"/>
  <c r="L941" i="7" s="1"/>
  <c r="I973" i="7"/>
  <c r="J973" i="7" s="1"/>
  <c r="L973" i="7" s="1"/>
  <c r="I1005" i="7"/>
  <c r="J1005" i="7" s="1"/>
  <c r="L1005" i="7" s="1"/>
  <c r="I981" i="7"/>
  <c r="J981" i="7" s="1"/>
  <c r="I834" i="7"/>
  <c r="J834" i="7" s="1"/>
  <c r="L834" i="7" s="1"/>
  <c r="I898" i="7"/>
  <c r="J898" i="7" s="1"/>
  <c r="L898" i="7" s="1"/>
  <c r="I962" i="7"/>
  <c r="J962" i="7" s="1"/>
  <c r="L962" i="7" s="1"/>
  <c r="I994" i="7"/>
  <c r="J994" i="7" s="1"/>
  <c r="L994" i="7" s="1"/>
  <c r="I1026" i="7"/>
  <c r="J1026" i="7" s="1"/>
  <c r="L1026" i="7" s="1"/>
  <c r="I1090" i="7"/>
  <c r="J1090" i="7" s="1"/>
  <c r="I1122" i="7"/>
  <c r="J1122" i="7" s="1"/>
  <c r="L1122" i="7" s="1"/>
  <c r="I940" i="7"/>
  <c r="J940" i="7" s="1"/>
  <c r="L940" i="7" s="1"/>
  <c r="I1247" i="5"/>
  <c r="J1247" i="5" s="1"/>
  <c r="I1275" i="7"/>
  <c r="J1275" i="7" s="1"/>
  <c r="L1275" i="7" s="1"/>
  <c r="I1210" i="7"/>
  <c r="J1210" i="7" s="1"/>
  <c r="L1210" i="7" s="1"/>
  <c r="I1293" i="7"/>
  <c r="J1293" i="7" s="1"/>
  <c r="L1293" i="7" s="1"/>
  <c r="I1165" i="7"/>
  <c r="J1165" i="7" s="1"/>
  <c r="I1276" i="7"/>
  <c r="J1276" i="7" s="1"/>
  <c r="I1270" i="7"/>
  <c r="J1270" i="7" s="1"/>
  <c r="L1270" i="7" s="1"/>
  <c r="I1217" i="7"/>
  <c r="J1217" i="7" s="1"/>
  <c r="L1217" i="7" s="1"/>
  <c r="I1263" i="7"/>
  <c r="J1263" i="7" s="1"/>
  <c r="L1263" i="7" s="1"/>
  <c r="I900" i="5"/>
  <c r="J900" i="5" s="1"/>
  <c r="L900" i="5" s="1"/>
  <c r="I1107" i="7"/>
  <c r="J1107" i="7" s="1"/>
  <c r="L1107" i="7" s="1"/>
  <c r="I1131" i="7"/>
  <c r="J1131" i="7" s="1"/>
  <c r="L1131" i="7" s="1"/>
  <c r="I1159" i="5"/>
  <c r="J1159" i="5" s="1"/>
  <c r="L1159" i="5" s="1"/>
  <c r="I1253" i="5"/>
  <c r="J1253" i="5" s="1"/>
  <c r="L1253" i="5" s="1"/>
  <c r="I1175" i="5"/>
  <c r="J1175" i="5" s="1"/>
  <c r="L1175" i="5" s="1"/>
  <c r="I1197" i="5"/>
  <c r="J1197" i="5" s="1"/>
  <c r="L1197" i="5" s="1"/>
  <c r="I1229" i="5"/>
  <c r="J1229" i="5" s="1"/>
  <c r="L1229" i="5" s="1"/>
  <c r="I1217" i="5"/>
  <c r="J1217" i="5" s="1"/>
  <c r="L1217" i="5" s="1"/>
  <c r="I885" i="7"/>
  <c r="J885" i="7" s="1"/>
  <c r="L885" i="7" s="1"/>
  <c r="I1069" i="7"/>
  <c r="J1069" i="7" s="1"/>
  <c r="L1069" i="7" s="1"/>
  <c r="I860" i="7"/>
  <c r="J860" i="7" s="1"/>
  <c r="L860" i="7" s="1"/>
  <c r="I972" i="7"/>
  <c r="J972" i="7" s="1"/>
  <c r="L972" i="7" s="1"/>
  <c r="I1116" i="7"/>
  <c r="J1116" i="7" s="1"/>
  <c r="L1116" i="7" s="1"/>
  <c r="I899" i="5"/>
  <c r="J899" i="5" s="1"/>
  <c r="L899" i="5" s="1"/>
  <c r="I1027" i="5"/>
  <c r="J1027" i="5" s="1"/>
  <c r="L1027" i="5" s="1"/>
  <c r="I1285" i="7"/>
  <c r="J1285" i="7" s="1"/>
  <c r="L1285" i="7" s="1"/>
  <c r="I1284" i="7"/>
  <c r="J1284" i="7" s="1"/>
  <c r="L1284" i="7" s="1"/>
  <c r="I1155" i="7"/>
  <c r="J1155" i="7" s="1"/>
  <c r="L1155" i="7" s="1"/>
  <c r="I1277" i="7"/>
  <c r="J1277" i="7" s="1"/>
  <c r="L1277" i="7" s="1"/>
  <c r="I1149" i="7"/>
  <c r="J1149" i="7" s="1"/>
  <c r="L1149" i="7" s="1"/>
  <c r="I1262" i="7"/>
  <c r="J1262" i="7" s="1"/>
  <c r="L1262" i="7" s="1"/>
  <c r="I1200" i="7"/>
  <c r="J1200" i="7" s="1"/>
  <c r="L1200" i="7" s="1"/>
  <c r="I1191" i="7"/>
  <c r="J1191" i="7" s="1"/>
  <c r="L1191" i="7" s="1"/>
  <c r="I1013" i="7"/>
  <c r="J1013" i="7" s="1"/>
  <c r="L1013" i="7" s="1"/>
  <c r="I1101" i="7"/>
  <c r="J1101" i="7" s="1"/>
  <c r="L1101" i="7" s="1"/>
  <c r="I892" i="7"/>
  <c r="J892" i="7" s="1"/>
  <c r="L892" i="7" s="1"/>
  <c r="I1148" i="7"/>
  <c r="J1148" i="7" s="1"/>
  <c r="L1148" i="7" s="1"/>
  <c r="I843" i="5"/>
  <c r="J843" i="5" s="1"/>
  <c r="L843" i="5" s="1"/>
  <c r="I1267" i="7"/>
  <c r="J1267" i="7" s="1"/>
  <c r="L1267" i="7" s="1"/>
  <c r="I1253" i="7"/>
  <c r="J1253" i="7" s="1"/>
  <c r="L1253" i="7" s="1"/>
  <c r="I1252" i="7"/>
  <c r="J1252" i="7" s="1"/>
  <c r="L1252" i="7" s="1"/>
  <c r="I1211" i="7"/>
  <c r="J1211" i="7" s="1"/>
  <c r="L1211" i="7" s="1"/>
  <c r="I1254" i="7"/>
  <c r="J1254" i="7" s="1"/>
  <c r="L1254" i="7" s="1"/>
  <c r="I1190" i="7"/>
  <c r="J1190" i="7" s="1"/>
  <c r="L1190" i="7" s="1"/>
  <c r="I1265" i="7"/>
  <c r="J1265" i="7" s="1"/>
  <c r="L1265" i="7" s="1"/>
  <c r="I1201" i="7"/>
  <c r="J1201" i="7" s="1"/>
  <c r="L1201" i="7" s="1"/>
  <c r="I1256" i="7"/>
  <c r="J1256" i="7" s="1"/>
  <c r="L1256" i="7" s="1"/>
  <c r="I1192" i="7"/>
  <c r="J1192" i="7" s="1"/>
  <c r="L1192" i="7" s="1"/>
  <c r="I1247" i="7"/>
  <c r="J1247" i="7" s="1"/>
  <c r="L1247" i="7" s="1"/>
  <c r="I1183" i="7"/>
  <c r="J1183" i="7" s="1"/>
  <c r="L1183" i="7" s="1"/>
  <c r="I827" i="7"/>
  <c r="J827" i="7" s="1"/>
  <c r="L827" i="7" s="1"/>
  <c r="I843" i="7"/>
  <c r="J843" i="7" s="1"/>
  <c r="L843" i="7" s="1"/>
  <c r="I859" i="7"/>
  <c r="J859" i="7" s="1"/>
  <c r="L859" i="7" s="1"/>
  <c r="I875" i="7"/>
  <c r="J875" i="7" s="1"/>
  <c r="L875" i="7" s="1"/>
  <c r="I891" i="7"/>
  <c r="J891" i="7" s="1"/>
  <c r="L891" i="7" s="1"/>
  <c r="I907" i="7"/>
  <c r="J907" i="7" s="1"/>
  <c r="L907" i="7" s="1"/>
  <c r="I955" i="7"/>
  <c r="J955" i="7" s="1"/>
  <c r="L955" i="7" s="1"/>
  <c r="I1035" i="7"/>
  <c r="J1035" i="7" s="1"/>
  <c r="L1035" i="7" s="1"/>
  <c r="I873" i="5"/>
  <c r="J873" i="5" s="1"/>
  <c r="L873" i="5" s="1"/>
  <c r="I905" i="5"/>
  <c r="J905" i="5" s="1"/>
  <c r="L905" i="5" s="1"/>
  <c r="I1033" i="5"/>
  <c r="J1033" i="5" s="1"/>
  <c r="L1033" i="5" s="1"/>
  <c r="I846" i="5"/>
  <c r="J846" i="5" s="1"/>
  <c r="L846" i="5" s="1"/>
  <c r="I910" i="5"/>
  <c r="J910" i="5" s="1"/>
  <c r="L910" i="5" s="1"/>
  <c r="I1006" i="5"/>
  <c r="J1006" i="5" s="1"/>
  <c r="L1006" i="5" s="1"/>
  <c r="I1070" i="5"/>
  <c r="J1070" i="5" s="1"/>
  <c r="L1070" i="5" s="1"/>
  <c r="I1102" i="5"/>
  <c r="J1102" i="5" s="1"/>
  <c r="L1102" i="5" s="1"/>
  <c r="I892" i="5"/>
  <c r="J892" i="5" s="1"/>
  <c r="L892" i="5" s="1"/>
  <c r="I1020" i="5"/>
  <c r="J1020" i="5" s="1"/>
  <c r="L1020" i="5" s="1"/>
  <c r="I1148" i="5"/>
  <c r="J1148" i="5" s="1"/>
  <c r="L1148" i="5" s="1"/>
  <c r="I929" i="5"/>
  <c r="J929" i="5" s="1"/>
  <c r="L929" i="5" s="1"/>
  <c r="I1057" i="5"/>
  <c r="J1057" i="5" s="1"/>
  <c r="L1057" i="5" s="1"/>
  <c r="I860" i="5"/>
  <c r="J860" i="5" s="1"/>
  <c r="L860" i="5" s="1"/>
  <c r="I862" i="5"/>
  <c r="J862" i="5" s="1"/>
  <c r="L862" i="5" s="1"/>
  <c r="I908" i="5"/>
  <c r="J908" i="5" s="1"/>
  <c r="L908" i="5" s="1"/>
  <c r="I1036" i="5"/>
  <c r="J1036" i="5" s="1"/>
  <c r="L1036" i="5" s="1"/>
  <c r="I885" i="5"/>
  <c r="J885" i="5" s="1"/>
  <c r="L885" i="5" s="1"/>
  <c r="I1047" i="5"/>
  <c r="J1047" i="5" s="1"/>
  <c r="L1047" i="5" s="1"/>
  <c r="I1079" i="5"/>
  <c r="J1079" i="5" s="1"/>
  <c r="L1079" i="5" s="1"/>
  <c r="I1111" i="5"/>
  <c r="J1111" i="5" s="1"/>
  <c r="L1111" i="5" s="1"/>
  <c r="I1143" i="5"/>
  <c r="J1143" i="5" s="1"/>
  <c r="L1143" i="5" s="1"/>
  <c r="K1176" i="33"/>
  <c r="M1176" i="33" s="1"/>
  <c r="P1176" i="33" s="1"/>
  <c r="K1213" i="33"/>
  <c r="M1213" i="33" s="1"/>
  <c r="P1213" i="33" s="1"/>
  <c r="K1149" i="33"/>
  <c r="M1149" i="33" s="1"/>
  <c r="K1158" i="33"/>
  <c r="M1158" i="33" s="1"/>
  <c r="P1158" i="33" s="1"/>
  <c r="K1155" i="33"/>
  <c r="M1155" i="33" s="1"/>
  <c r="P1155" i="33" s="1"/>
  <c r="K1196" i="33"/>
  <c r="M1196" i="33" s="1"/>
  <c r="P1196" i="33" s="1"/>
  <c r="K1217" i="33"/>
  <c r="M1217" i="33" s="1"/>
  <c r="P1217" i="33" s="1"/>
  <c r="K1211" i="33"/>
  <c r="M1211" i="33" s="1"/>
  <c r="P1211" i="33" s="1"/>
  <c r="K918" i="33"/>
  <c r="M918" i="33" s="1"/>
  <c r="P918" i="33" s="1"/>
  <c r="K1186" i="33"/>
  <c r="M1186" i="33" s="1"/>
  <c r="P1186" i="33" s="1"/>
  <c r="K1175" i="33"/>
  <c r="M1175" i="33" s="1"/>
  <c r="P1175" i="33" s="1"/>
  <c r="K1192" i="33"/>
  <c r="M1192" i="33" s="1"/>
  <c r="P1192" i="33" s="1"/>
  <c r="K1219" i="33"/>
  <c r="M1219" i="33" s="1"/>
  <c r="P1219" i="33" s="1"/>
  <c r="K1178" i="33"/>
  <c r="M1178" i="33" s="1"/>
  <c r="P1178" i="33" s="1"/>
  <c r="K1201" i="33"/>
  <c r="M1201" i="33" s="1"/>
  <c r="P1201" i="33" s="1"/>
  <c r="K1197" i="33"/>
  <c r="M1197" i="33" s="1"/>
  <c r="P1197" i="33" s="1"/>
  <c r="K1206" i="33"/>
  <c r="M1206" i="33" s="1"/>
  <c r="P1206" i="33" s="1"/>
  <c r="K1160" i="33"/>
  <c r="M1160" i="33" s="1"/>
  <c r="K1208" i="33"/>
  <c r="M1208" i="33" s="1"/>
  <c r="P1208" i="33" s="1"/>
  <c r="K1191" i="33"/>
  <c r="M1191" i="33" s="1"/>
  <c r="P1191" i="33" s="1"/>
  <c r="K1198" i="33"/>
  <c r="M1198" i="33" s="1"/>
  <c r="P1198" i="33" s="1"/>
  <c r="K1202" i="33"/>
  <c r="M1202" i="33" s="1"/>
  <c r="P1202" i="33" s="1"/>
  <c r="K1205" i="33"/>
  <c r="M1205" i="33" s="1"/>
  <c r="K1150" i="33"/>
  <c r="M1150" i="33" s="1"/>
  <c r="P1150" i="33" s="1"/>
  <c r="K822" i="33"/>
  <c r="M822" i="33" s="1"/>
  <c r="P822" i="33" s="1"/>
  <c r="K1151" i="33"/>
  <c r="M1151" i="33" s="1"/>
  <c r="K840" i="33"/>
  <c r="M840" i="33" s="1"/>
  <c r="P840" i="33" s="1"/>
  <c r="K1200" i="33"/>
  <c r="M1200" i="33" s="1"/>
  <c r="P1200" i="33" s="1"/>
  <c r="K1184" i="33"/>
  <c r="M1184" i="33" s="1"/>
  <c r="P1184" i="33" s="1"/>
  <c r="K1173" i="33"/>
  <c r="M1173" i="33" s="1"/>
  <c r="P1173" i="33" s="1"/>
  <c r="F894" i="8"/>
  <c r="G894" i="8" s="1"/>
  <c r="H894" i="8" s="1"/>
  <c r="D894" i="8"/>
  <c r="E894" i="8" s="1"/>
  <c r="O902" i="33"/>
  <c r="N902" i="33"/>
  <c r="J902" i="33"/>
  <c r="F902" i="33"/>
  <c r="D902" i="33"/>
  <c r="E902" i="33" s="1"/>
  <c r="G902" i="33"/>
  <c r="H902" i="33" s="1"/>
  <c r="F905" i="8"/>
  <c r="G905" i="8" s="1"/>
  <c r="H905" i="8" s="1"/>
  <c r="D905" i="8"/>
  <c r="E905" i="8" s="1"/>
  <c r="F1001" i="8"/>
  <c r="G1001" i="8" s="1"/>
  <c r="H1001" i="8" s="1"/>
  <c r="D1001" i="8"/>
  <c r="E1001" i="8" s="1"/>
  <c r="F1097" i="8"/>
  <c r="G1097" i="8" s="1"/>
  <c r="H1097" i="8" s="1"/>
  <c r="D1097" i="8"/>
  <c r="E1097" i="8" s="1"/>
  <c r="O868" i="33"/>
  <c r="N868" i="33"/>
  <c r="J868" i="33"/>
  <c r="G868" i="33"/>
  <c r="H868" i="33" s="1"/>
  <c r="F868" i="33"/>
  <c r="D868" i="33"/>
  <c r="E868" i="33" s="1"/>
  <c r="N1060" i="33"/>
  <c r="O1060" i="33"/>
  <c r="J1060" i="33"/>
  <c r="G1060" i="33"/>
  <c r="F1060" i="33"/>
  <c r="D1060" i="33"/>
  <c r="E1060" i="33" s="1"/>
  <c r="N915" i="33"/>
  <c r="O915" i="33"/>
  <c r="J915" i="33"/>
  <c r="G915" i="33"/>
  <c r="H915" i="33" s="1"/>
  <c r="F915" i="33"/>
  <c r="D915" i="33"/>
  <c r="E915" i="33" s="1"/>
  <c r="F835" i="8"/>
  <c r="G835" i="8" s="1"/>
  <c r="H835" i="8" s="1"/>
  <c r="D835" i="8"/>
  <c r="E835" i="8" s="1"/>
  <c r="F963" i="8"/>
  <c r="G963" i="8" s="1"/>
  <c r="H963" i="8" s="1"/>
  <c r="D963" i="8"/>
  <c r="E963" i="8" s="1"/>
  <c r="F1091" i="8"/>
  <c r="G1091" i="8" s="1"/>
  <c r="H1091" i="8" s="1"/>
  <c r="D1091" i="8"/>
  <c r="E1091" i="8" s="1"/>
  <c r="F1116" i="8"/>
  <c r="G1116" i="8" s="1"/>
  <c r="H1116" i="8" s="1"/>
  <c r="D1116" i="8"/>
  <c r="E1116" i="8" s="1"/>
  <c r="F917" i="8"/>
  <c r="G917" i="8" s="1"/>
  <c r="H917" i="8" s="1"/>
  <c r="D917" i="8"/>
  <c r="E917" i="8" s="1"/>
  <c r="F1013" i="8"/>
  <c r="G1013" i="8" s="1"/>
  <c r="H1013" i="8" s="1"/>
  <c r="D1013" i="8"/>
  <c r="E1013" i="8" s="1"/>
  <c r="F1077" i="8"/>
  <c r="G1077" i="8" s="1"/>
  <c r="H1077" i="8" s="1"/>
  <c r="D1077" i="8"/>
  <c r="E1077" i="8" s="1"/>
  <c r="F946" i="8"/>
  <c r="G946" i="8" s="1"/>
  <c r="H946" i="8" s="1"/>
  <c r="D946" i="8"/>
  <c r="E946" i="8" s="1"/>
  <c r="F1042" i="8"/>
  <c r="G1042" i="8" s="1"/>
  <c r="H1042" i="8" s="1"/>
  <c r="D1042" i="8"/>
  <c r="E1042" i="8" s="1"/>
  <c r="F966" i="8"/>
  <c r="G966" i="8" s="1"/>
  <c r="H966" i="8" s="1"/>
  <c r="D966" i="8"/>
  <c r="E966" i="8" s="1"/>
  <c r="F1094" i="8"/>
  <c r="G1094" i="8" s="1"/>
  <c r="H1094" i="8" s="1"/>
  <c r="D1094" i="8"/>
  <c r="E1094" i="8" s="1"/>
  <c r="F863" i="8"/>
  <c r="G863" i="8" s="1"/>
  <c r="H863" i="8" s="1"/>
  <c r="D863" i="8"/>
  <c r="E863" i="8" s="1"/>
  <c r="F1023" i="8"/>
  <c r="G1023" i="8" s="1"/>
  <c r="H1023" i="8" s="1"/>
  <c r="D1023" i="8"/>
  <c r="E1023" i="8" s="1"/>
  <c r="N923" i="33"/>
  <c r="J923" i="33"/>
  <c r="G923" i="33"/>
  <c r="H923" i="33" s="1"/>
  <c r="F923" i="33"/>
  <c r="D923" i="33"/>
  <c r="E923" i="33" s="1"/>
  <c r="O923" i="33"/>
  <c r="J1051" i="33"/>
  <c r="N1051" i="33"/>
  <c r="G1051" i="33"/>
  <c r="F1051" i="33"/>
  <c r="D1051" i="33"/>
  <c r="E1051" i="33" s="1"/>
  <c r="O1051" i="33"/>
  <c r="O887" i="33"/>
  <c r="N887" i="33"/>
  <c r="J887" i="33"/>
  <c r="G887" i="33"/>
  <c r="F887" i="33"/>
  <c r="D887" i="33"/>
  <c r="E887" i="33" s="1"/>
  <c r="O848" i="33"/>
  <c r="N848" i="33"/>
  <c r="J848" i="33"/>
  <c r="G848" i="33"/>
  <c r="H848" i="33" s="1"/>
  <c r="F848" i="33"/>
  <c r="D848" i="33"/>
  <c r="E848" i="33" s="1"/>
  <c r="F832" i="8"/>
  <c r="G832" i="8" s="1"/>
  <c r="H832" i="8" s="1"/>
  <c r="D832" i="8"/>
  <c r="E832" i="8" s="1"/>
  <c r="F928" i="8"/>
  <c r="G928" i="8" s="1"/>
  <c r="H928" i="8" s="1"/>
  <c r="D928" i="8"/>
  <c r="E928" i="8" s="1"/>
  <c r="F1056" i="8"/>
  <c r="G1056" i="8" s="1"/>
  <c r="H1056" i="8" s="1"/>
  <c r="D1056" i="8"/>
  <c r="E1056" i="8" s="1"/>
  <c r="N1026" i="33"/>
  <c r="O1026" i="33"/>
  <c r="D1026" i="33"/>
  <c r="E1026" i="33" s="1"/>
  <c r="J1026" i="33"/>
  <c r="G1026" i="33"/>
  <c r="H1026" i="33" s="1"/>
  <c r="F1026" i="33"/>
  <c r="J997" i="33"/>
  <c r="O997" i="33"/>
  <c r="G997" i="33"/>
  <c r="H997" i="33" s="1"/>
  <c r="F997" i="33"/>
  <c r="D997" i="33"/>
  <c r="E997" i="33" s="1"/>
  <c r="N997" i="33"/>
  <c r="K905" i="12"/>
  <c r="F905" i="12"/>
  <c r="H905" i="12" s="1"/>
  <c r="L905" i="12"/>
  <c r="D905" i="12"/>
  <c r="E905" i="12" s="1"/>
  <c r="G905" i="12"/>
  <c r="L922" i="12"/>
  <c r="K922" i="12"/>
  <c r="G922" i="12"/>
  <c r="F922" i="12"/>
  <c r="H922" i="12" s="1"/>
  <c r="D922" i="12"/>
  <c r="E922" i="12" s="1"/>
  <c r="L1109" i="12"/>
  <c r="K1109" i="12"/>
  <c r="G1109" i="12"/>
  <c r="D1109" i="12"/>
  <c r="E1109" i="12" s="1"/>
  <c r="F1109" i="12"/>
  <c r="H1109" i="12" s="1"/>
  <c r="L875" i="12"/>
  <c r="G875" i="12"/>
  <c r="K875" i="12"/>
  <c r="F875" i="12"/>
  <c r="H875" i="12" s="1"/>
  <c r="D875" i="12"/>
  <c r="E875" i="12" s="1"/>
  <c r="L939" i="12"/>
  <c r="G939" i="12"/>
  <c r="K939" i="12"/>
  <c r="F939" i="12"/>
  <c r="H939" i="12" s="1"/>
  <c r="D939" i="12"/>
  <c r="E939" i="12" s="1"/>
  <c r="L971" i="12"/>
  <c r="G971" i="12"/>
  <c r="K971" i="12"/>
  <c r="F971" i="12"/>
  <c r="H971" i="12" s="1"/>
  <c r="D971" i="12"/>
  <c r="E971" i="12" s="1"/>
  <c r="L1003" i="12"/>
  <c r="G1003" i="12"/>
  <c r="K1003" i="12"/>
  <c r="F1003" i="12"/>
  <c r="H1003" i="12" s="1"/>
  <c r="D1003" i="12"/>
  <c r="E1003" i="12" s="1"/>
  <c r="L890" i="12"/>
  <c r="K890" i="12"/>
  <c r="G890" i="12"/>
  <c r="F890" i="12"/>
  <c r="H890" i="12" s="1"/>
  <c r="D890" i="12"/>
  <c r="E890" i="12" s="1"/>
  <c r="L860" i="12"/>
  <c r="K860" i="12"/>
  <c r="G860" i="12"/>
  <c r="F860" i="12"/>
  <c r="H860" i="12" s="1"/>
  <c r="D860" i="12"/>
  <c r="E860" i="12" s="1"/>
  <c r="K1000" i="12"/>
  <c r="L1000" i="12"/>
  <c r="F1000" i="12"/>
  <c r="H1000" i="12" s="1"/>
  <c r="G1000" i="12"/>
  <c r="D1000" i="12"/>
  <c r="E1000" i="12" s="1"/>
  <c r="L1075" i="12"/>
  <c r="G1075" i="12"/>
  <c r="K1075" i="12"/>
  <c r="F1075" i="12"/>
  <c r="H1075" i="12" s="1"/>
  <c r="D1075" i="12"/>
  <c r="E1075" i="12" s="1"/>
  <c r="L1139" i="12"/>
  <c r="K1139" i="12"/>
  <c r="G1139" i="12"/>
  <c r="D1139" i="12"/>
  <c r="E1139" i="12" s="1"/>
  <c r="F1139" i="12"/>
  <c r="H1139" i="12" s="1"/>
  <c r="I1153" i="5"/>
  <c r="J1153" i="5" s="1"/>
  <c r="L1153" i="5" s="1"/>
  <c r="F828" i="8"/>
  <c r="G828" i="8" s="1"/>
  <c r="H828" i="8" s="1"/>
  <c r="D828" i="8"/>
  <c r="E828" i="8" s="1"/>
  <c r="F853" i="8"/>
  <c r="G853" i="8" s="1"/>
  <c r="H853" i="8" s="1"/>
  <c r="D853" i="8"/>
  <c r="E853" i="8" s="1"/>
  <c r="F902" i="8"/>
  <c r="G902" i="8" s="1"/>
  <c r="H902" i="8" s="1"/>
  <c r="D902" i="8"/>
  <c r="E902" i="8" s="1"/>
  <c r="F849" i="8"/>
  <c r="G849" i="8" s="1"/>
  <c r="H849" i="8" s="1"/>
  <c r="D849" i="8"/>
  <c r="E849" i="8" s="1"/>
  <c r="F977" i="8"/>
  <c r="G977" i="8" s="1"/>
  <c r="H977" i="8" s="1"/>
  <c r="D977" i="8"/>
  <c r="E977" i="8" s="1"/>
  <c r="F1073" i="8"/>
  <c r="G1073" i="8" s="1"/>
  <c r="H1073" i="8" s="1"/>
  <c r="D1073" i="8"/>
  <c r="E1073" i="8" s="1"/>
  <c r="N884" i="33"/>
  <c r="O884" i="33"/>
  <c r="G884" i="33"/>
  <c r="H884" i="33" s="1"/>
  <c r="F884" i="33"/>
  <c r="D884" i="33"/>
  <c r="E884" i="33" s="1"/>
  <c r="J884" i="33"/>
  <c r="N948" i="33"/>
  <c r="J948" i="33"/>
  <c r="G948" i="33"/>
  <c r="H948" i="33" s="1"/>
  <c r="F948" i="33"/>
  <c r="D948" i="33"/>
  <c r="E948" i="33" s="1"/>
  <c r="O948" i="33"/>
  <c r="O995" i="33"/>
  <c r="N995" i="33"/>
  <c r="G995" i="33"/>
  <c r="H995" i="33" s="1"/>
  <c r="F995" i="33"/>
  <c r="I995" i="33" s="1"/>
  <c r="D995" i="33"/>
  <c r="E995" i="33" s="1"/>
  <c r="J995" i="33"/>
  <c r="O1123" i="33"/>
  <c r="G1123" i="33"/>
  <c r="F1123" i="33"/>
  <c r="N1123" i="33"/>
  <c r="J1123" i="33"/>
  <c r="D1123" i="33"/>
  <c r="E1123" i="33" s="1"/>
  <c r="O951" i="33"/>
  <c r="N951" i="33"/>
  <c r="J951" i="33"/>
  <c r="G951" i="33"/>
  <c r="H951" i="33" s="1"/>
  <c r="F951" i="33"/>
  <c r="D951" i="33"/>
  <c r="E951" i="33" s="1"/>
  <c r="O1143" i="33"/>
  <c r="N1143" i="33"/>
  <c r="J1143" i="33"/>
  <c r="G1143" i="33"/>
  <c r="F1143" i="33"/>
  <c r="D1143" i="33"/>
  <c r="E1143" i="33" s="1"/>
  <c r="H1073" i="33"/>
  <c r="J933" i="33"/>
  <c r="O933" i="33"/>
  <c r="G933" i="33"/>
  <c r="H933" i="33" s="1"/>
  <c r="F933" i="33"/>
  <c r="N933" i="33"/>
  <c r="D933" i="33"/>
  <c r="E933" i="33" s="1"/>
  <c r="K1025" i="12"/>
  <c r="L1025" i="12"/>
  <c r="F1025" i="12"/>
  <c r="H1025" i="12" s="1"/>
  <c r="D1025" i="12"/>
  <c r="E1025" i="12" s="1"/>
  <c r="G1025" i="12"/>
  <c r="I985" i="12"/>
  <c r="J985" i="12" s="1"/>
  <c r="M985" i="12" s="1"/>
  <c r="K926" i="12"/>
  <c r="L926" i="12"/>
  <c r="F926" i="12"/>
  <c r="H926" i="12" s="1"/>
  <c r="G926" i="12"/>
  <c r="D926" i="12"/>
  <c r="E926" i="12" s="1"/>
  <c r="K856" i="12"/>
  <c r="F856" i="12"/>
  <c r="H856" i="12" s="1"/>
  <c r="L856" i="12"/>
  <c r="G856" i="12"/>
  <c r="D856" i="12"/>
  <c r="E856" i="12" s="1"/>
  <c r="L844" i="12"/>
  <c r="G844" i="12"/>
  <c r="K844" i="12"/>
  <c r="F844" i="12"/>
  <c r="H844" i="12" s="1"/>
  <c r="D844" i="12"/>
  <c r="E844" i="12" s="1"/>
  <c r="K983" i="12"/>
  <c r="F983" i="12"/>
  <c r="H983" i="12" s="1"/>
  <c r="D983" i="12"/>
  <c r="E983" i="12" s="1"/>
  <c r="L983" i="12"/>
  <c r="G983" i="12"/>
  <c r="F970" i="7"/>
  <c r="H970" i="7" s="1"/>
  <c r="D970" i="7"/>
  <c r="E970" i="7" s="1"/>
  <c r="K970" i="7"/>
  <c r="G970" i="7"/>
  <c r="F1098" i="7"/>
  <c r="H1098" i="7" s="1"/>
  <c r="D1098" i="7"/>
  <c r="E1098" i="7" s="1"/>
  <c r="K1098" i="7"/>
  <c r="G1098" i="7"/>
  <c r="K822" i="7"/>
  <c r="G822" i="7"/>
  <c r="F822" i="7"/>
  <c r="H822" i="7" s="1"/>
  <c r="D822" i="7"/>
  <c r="E822" i="7" s="1"/>
  <c r="K918" i="7"/>
  <c r="G918" i="7"/>
  <c r="F918" i="7"/>
  <c r="H918" i="7" s="1"/>
  <c r="D918" i="7"/>
  <c r="E918" i="7" s="1"/>
  <c r="K982" i="7"/>
  <c r="G982" i="7"/>
  <c r="F982" i="7"/>
  <c r="H982" i="7" s="1"/>
  <c r="D982" i="7"/>
  <c r="E982" i="7" s="1"/>
  <c r="K1046" i="7"/>
  <c r="G1046" i="7"/>
  <c r="F1046" i="7"/>
  <c r="H1046" i="7" s="1"/>
  <c r="D1046" i="7"/>
  <c r="E1046" i="7" s="1"/>
  <c r="K1078" i="7"/>
  <c r="G1078" i="7"/>
  <c r="F1078" i="7"/>
  <c r="H1078" i="7" s="1"/>
  <c r="D1078" i="7"/>
  <c r="E1078" i="7" s="1"/>
  <c r="K1142" i="7"/>
  <c r="G1142" i="7"/>
  <c r="F1142" i="7"/>
  <c r="H1142" i="7" s="1"/>
  <c r="D1142" i="7"/>
  <c r="E1142" i="7" s="1"/>
  <c r="K856" i="5"/>
  <c r="D856" i="5"/>
  <c r="E856" i="5" s="1"/>
  <c r="F856" i="5"/>
  <c r="H856" i="5" s="1"/>
  <c r="G856" i="5"/>
  <c r="G920" i="5"/>
  <c r="K920" i="5"/>
  <c r="D920" i="5"/>
  <c r="E920" i="5" s="1"/>
  <c r="F920" i="5"/>
  <c r="H920" i="5" s="1"/>
  <c r="G984" i="5"/>
  <c r="K984" i="5"/>
  <c r="D984" i="5"/>
  <c r="E984" i="5" s="1"/>
  <c r="F984" i="5"/>
  <c r="H984" i="5" s="1"/>
  <c r="G1048" i="5"/>
  <c r="K1048" i="5"/>
  <c r="D1048" i="5"/>
  <c r="E1048" i="5" s="1"/>
  <c r="F1048" i="5"/>
  <c r="H1048" i="5" s="1"/>
  <c r="G1112" i="5"/>
  <c r="K1112" i="5"/>
  <c r="D1112" i="5"/>
  <c r="E1112" i="5" s="1"/>
  <c r="F1112" i="5"/>
  <c r="H1112" i="5" s="1"/>
  <c r="I1274" i="12"/>
  <c r="J1274" i="12" s="1"/>
  <c r="M1274" i="12" s="1"/>
  <c r="H1297" i="9"/>
  <c r="I1297" i="9" s="1"/>
  <c r="H964" i="9"/>
  <c r="I964" i="9" s="1"/>
  <c r="K964" i="9" s="1"/>
  <c r="F883" i="8"/>
  <c r="G883" i="8" s="1"/>
  <c r="H883" i="8" s="1"/>
  <c r="D883" i="8"/>
  <c r="E883" i="8" s="1"/>
  <c r="F915" i="8"/>
  <c r="G915" i="8" s="1"/>
  <c r="H915" i="8" s="1"/>
  <c r="D915" i="8"/>
  <c r="E915" i="8" s="1"/>
  <c r="F947" i="8"/>
  <c r="G947" i="8" s="1"/>
  <c r="H947" i="8" s="1"/>
  <c r="D947" i="8"/>
  <c r="E947" i="8" s="1"/>
  <c r="F979" i="8"/>
  <c r="G979" i="8" s="1"/>
  <c r="H979" i="8" s="1"/>
  <c r="D979" i="8"/>
  <c r="E979" i="8" s="1"/>
  <c r="F1011" i="8"/>
  <c r="G1011" i="8" s="1"/>
  <c r="H1011" i="8" s="1"/>
  <c r="D1011" i="8"/>
  <c r="E1011" i="8" s="1"/>
  <c r="F1075" i="8"/>
  <c r="G1075" i="8" s="1"/>
  <c r="H1075" i="8" s="1"/>
  <c r="D1075" i="8"/>
  <c r="E1075" i="8" s="1"/>
  <c r="F1107" i="8"/>
  <c r="G1107" i="8" s="1"/>
  <c r="H1107" i="8" s="1"/>
  <c r="D1107" i="8"/>
  <c r="E1107" i="8" s="1"/>
  <c r="F1139" i="8"/>
  <c r="G1139" i="8" s="1"/>
  <c r="H1139" i="8" s="1"/>
  <c r="D1139" i="8"/>
  <c r="E1139" i="8" s="1"/>
  <c r="F844" i="8"/>
  <c r="G844" i="8" s="1"/>
  <c r="H844" i="8" s="1"/>
  <c r="D844" i="8"/>
  <c r="E844" i="8" s="1"/>
  <c r="F908" i="8"/>
  <c r="G908" i="8" s="1"/>
  <c r="H908" i="8" s="1"/>
  <c r="D908" i="8"/>
  <c r="E908" i="8" s="1"/>
  <c r="F940" i="8"/>
  <c r="G940" i="8" s="1"/>
  <c r="H940" i="8" s="1"/>
  <c r="D940" i="8"/>
  <c r="E940" i="8" s="1"/>
  <c r="F972" i="8"/>
  <c r="G972" i="8" s="1"/>
  <c r="H972" i="8" s="1"/>
  <c r="D972" i="8"/>
  <c r="E972" i="8" s="1"/>
  <c r="F1004" i="8"/>
  <c r="G1004" i="8" s="1"/>
  <c r="H1004" i="8" s="1"/>
  <c r="D1004" i="8"/>
  <c r="E1004" i="8" s="1"/>
  <c r="F1036" i="8"/>
  <c r="G1036" i="8" s="1"/>
  <c r="H1036" i="8" s="1"/>
  <c r="D1036" i="8"/>
  <c r="E1036" i="8" s="1"/>
  <c r="F1068" i="8"/>
  <c r="G1068" i="8" s="1"/>
  <c r="H1068" i="8" s="1"/>
  <c r="D1068" i="8"/>
  <c r="E1068" i="8" s="1"/>
  <c r="F1132" i="8"/>
  <c r="G1132" i="8" s="1"/>
  <c r="H1132" i="8" s="1"/>
  <c r="D1132" i="8"/>
  <c r="E1132" i="8" s="1"/>
  <c r="F837" i="8"/>
  <c r="G837" i="8" s="1"/>
  <c r="H837" i="8" s="1"/>
  <c r="D837" i="8"/>
  <c r="E837" i="8" s="1"/>
  <c r="F869" i="8"/>
  <c r="G869" i="8" s="1"/>
  <c r="H869" i="8" s="1"/>
  <c r="D869" i="8"/>
  <c r="E869" i="8" s="1"/>
  <c r="F933" i="8"/>
  <c r="G933" i="8" s="1"/>
  <c r="H933" i="8" s="1"/>
  <c r="D933" i="8"/>
  <c r="E933" i="8" s="1"/>
  <c r="F965" i="8"/>
  <c r="G965" i="8" s="1"/>
  <c r="H965" i="8" s="1"/>
  <c r="D965" i="8"/>
  <c r="E965" i="8" s="1"/>
  <c r="F1029" i="8"/>
  <c r="G1029" i="8" s="1"/>
  <c r="H1029" i="8" s="1"/>
  <c r="D1029" i="8"/>
  <c r="E1029" i="8" s="1"/>
  <c r="F1061" i="8"/>
  <c r="G1061" i="8" s="1"/>
  <c r="H1061" i="8" s="1"/>
  <c r="D1061" i="8"/>
  <c r="E1061" i="8" s="1"/>
  <c r="F1093" i="8"/>
  <c r="G1093" i="8" s="1"/>
  <c r="H1093" i="8" s="1"/>
  <c r="D1093" i="8"/>
  <c r="E1093" i="8" s="1"/>
  <c r="F1125" i="8"/>
  <c r="G1125" i="8" s="1"/>
  <c r="H1125" i="8" s="1"/>
  <c r="D1125" i="8"/>
  <c r="E1125" i="8" s="1"/>
  <c r="F834" i="8"/>
  <c r="G834" i="8" s="1"/>
  <c r="H834" i="8" s="1"/>
  <c r="D834" i="8"/>
  <c r="E834" i="8" s="1"/>
  <c r="F898" i="8"/>
  <c r="G898" i="8" s="1"/>
  <c r="H898" i="8" s="1"/>
  <c r="D898" i="8"/>
  <c r="E898" i="8" s="1"/>
  <c r="F930" i="8"/>
  <c r="G930" i="8" s="1"/>
  <c r="H930" i="8" s="1"/>
  <c r="D930" i="8"/>
  <c r="E930" i="8" s="1"/>
  <c r="F962" i="8"/>
  <c r="G962" i="8" s="1"/>
  <c r="H962" i="8" s="1"/>
  <c r="D962" i="8"/>
  <c r="E962" i="8" s="1"/>
  <c r="F994" i="8"/>
  <c r="G994" i="8" s="1"/>
  <c r="H994" i="8" s="1"/>
  <c r="D994" i="8"/>
  <c r="E994" i="8" s="1"/>
  <c r="F1026" i="8"/>
  <c r="G1026" i="8" s="1"/>
  <c r="H1026" i="8" s="1"/>
  <c r="D1026" i="8"/>
  <c r="E1026" i="8" s="1"/>
  <c r="F1058" i="8"/>
  <c r="G1058" i="8" s="1"/>
  <c r="H1058" i="8" s="1"/>
  <c r="D1058" i="8"/>
  <c r="E1058" i="8" s="1"/>
  <c r="F1090" i="8"/>
  <c r="G1090" i="8" s="1"/>
  <c r="H1090" i="8" s="1"/>
  <c r="D1090" i="8"/>
  <c r="E1090" i="8" s="1"/>
  <c r="F1122" i="8"/>
  <c r="G1122" i="8" s="1"/>
  <c r="H1122" i="8" s="1"/>
  <c r="D1122" i="8"/>
  <c r="E1122" i="8" s="1"/>
  <c r="F854" i="8"/>
  <c r="G854" i="8" s="1"/>
  <c r="H854" i="8" s="1"/>
  <c r="D854" i="8"/>
  <c r="E854" i="8" s="1"/>
  <c r="F886" i="8"/>
  <c r="G886" i="8" s="1"/>
  <c r="H886" i="8" s="1"/>
  <c r="D886" i="8"/>
  <c r="E886" i="8" s="1"/>
  <c r="F918" i="8"/>
  <c r="G918" i="8" s="1"/>
  <c r="H918" i="8" s="1"/>
  <c r="D918" i="8"/>
  <c r="E918" i="8" s="1"/>
  <c r="F950" i="8"/>
  <c r="G950" i="8" s="1"/>
  <c r="H950" i="8" s="1"/>
  <c r="D950" i="8"/>
  <c r="E950" i="8" s="1"/>
  <c r="F982" i="8"/>
  <c r="G982" i="8" s="1"/>
  <c r="H982" i="8" s="1"/>
  <c r="D982" i="8"/>
  <c r="E982" i="8" s="1"/>
  <c r="F1014" i="8"/>
  <c r="G1014" i="8" s="1"/>
  <c r="H1014" i="8" s="1"/>
  <c r="D1014" i="8"/>
  <c r="E1014" i="8" s="1"/>
  <c r="F1046" i="8"/>
  <c r="G1046" i="8" s="1"/>
  <c r="H1046" i="8" s="1"/>
  <c r="D1046" i="8"/>
  <c r="E1046" i="8" s="1"/>
  <c r="F1078" i="8"/>
  <c r="G1078" i="8" s="1"/>
  <c r="H1078" i="8" s="1"/>
  <c r="D1078" i="8"/>
  <c r="E1078" i="8" s="1"/>
  <c r="D1142" i="8"/>
  <c r="E1142" i="8" s="1"/>
  <c r="F1142" i="8"/>
  <c r="G1142" i="8" s="1"/>
  <c r="H1142" i="8" s="1"/>
  <c r="F847" i="8"/>
  <c r="G847" i="8" s="1"/>
  <c r="H847" i="8" s="1"/>
  <c r="D847" i="8"/>
  <c r="E847" i="8" s="1"/>
  <c r="F879" i="8"/>
  <c r="G879" i="8" s="1"/>
  <c r="H879" i="8" s="1"/>
  <c r="D879" i="8"/>
  <c r="E879" i="8" s="1"/>
  <c r="F911" i="8"/>
  <c r="G911" i="8" s="1"/>
  <c r="H911" i="8" s="1"/>
  <c r="D911" i="8"/>
  <c r="E911" i="8" s="1"/>
  <c r="F943" i="8"/>
  <c r="G943" i="8" s="1"/>
  <c r="H943" i="8" s="1"/>
  <c r="D943" i="8"/>
  <c r="E943" i="8" s="1"/>
  <c r="F975" i="8"/>
  <c r="G975" i="8" s="1"/>
  <c r="H975" i="8" s="1"/>
  <c r="D975" i="8"/>
  <c r="E975" i="8" s="1"/>
  <c r="F1007" i="8"/>
  <c r="G1007" i="8" s="1"/>
  <c r="H1007" i="8" s="1"/>
  <c r="D1007" i="8"/>
  <c r="E1007" i="8" s="1"/>
  <c r="F1039" i="8"/>
  <c r="G1039" i="8" s="1"/>
  <c r="H1039" i="8" s="1"/>
  <c r="D1039" i="8"/>
  <c r="E1039" i="8" s="1"/>
  <c r="F1071" i="8"/>
  <c r="G1071" i="8" s="1"/>
  <c r="H1071" i="8" s="1"/>
  <c r="D1071" i="8"/>
  <c r="E1071" i="8" s="1"/>
  <c r="F1103" i="8"/>
  <c r="G1103" i="8" s="1"/>
  <c r="H1103" i="8" s="1"/>
  <c r="D1103" i="8"/>
  <c r="E1103" i="8" s="1"/>
  <c r="N844" i="33"/>
  <c r="O844" i="33"/>
  <c r="J844" i="33"/>
  <c r="G844" i="33"/>
  <c r="H844" i="33" s="1"/>
  <c r="F844" i="33"/>
  <c r="D844" i="33"/>
  <c r="E844" i="33" s="1"/>
  <c r="O908" i="33"/>
  <c r="N908" i="33"/>
  <c r="G908" i="33"/>
  <c r="H908" i="33" s="1"/>
  <c r="F908" i="33"/>
  <c r="D908" i="33"/>
  <c r="E908" i="33" s="1"/>
  <c r="J908" i="33"/>
  <c r="O972" i="33"/>
  <c r="N972" i="33"/>
  <c r="G972" i="33"/>
  <c r="H972" i="33" s="1"/>
  <c r="F972" i="33"/>
  <c r="D972" i="33"/>
  <c r="E972" i="33" s="1"/>
  <c r="J972" i="33"/>
  <c r="O1036" i="33"/>
  <c r="G1036" i="33"/>
  <c r="F1036" i="33"/>
  <c r="D1036" i="33"/>
  <c r="E1036" i="33" s="1"/>
  <c r="J1036" i="33"/>
  <c r="N1036" i="33"/>
  <c r="O891" i="33"/>
  <c r="J891" i="33"/>
  <c r="G891" i="33"/>
  <c r="H891" i="33" s="1"/>
  <c r="F891" i="33"/>
  <c r="D891" i="33"/>
  <c r="E891" i="33" s="1"/>
  <c r="N891" i="33"/>
  <c r="O955" i="33"/>
  <c r="J955" i="33"/>
  <c r="G955" i="33"/>
  <c r="F955" i="33"/>
  <c r="D955" i="33"/>
  <c r="E955" i="33" s="1"/>
  <c r="N955" i="33"/>
  <c r="I1265" i="5"/>
  <c r="J1265" i="5" s="1"/>
  <c r="L1265" i="5" s="1"/>
  <c r="H1044" i="9"/>
  <c r="I1044" i="9" s="1"/>
  <c r="K1044" i="9" s="1"/>
  <c r="D815" i="9"/>
  <c r="E815" i="9" s="1"/>
  <c r="J420" i="9"/>
  <c r="F901" i="8"/>
  <c r="G901" i="8" s="1"/>
  <c r="H901" i="8" s="1"/>
  <c r="D901" i="8"/>
  <c r="E901" i="8" s="1"/>
  <c r="N847" i="33"/>
  <c r="J847" i="33"/>
  <c r="O847" i="33"/>
  <c r="D847" i="33"/>
  <c r="E847" i="33" s="1"/>
  <c r="F847" i="33"/>
  <c r="G847" i="33"/>
  <c r="H847" i="33" s="1"/>
  <c r="F833" i="8"/>
  <c r="G833" i="8" s="1"/>
  <c r="H833" i="8" s="1"/>
  <c r="D833" i="8"/>
  <c r="E833" i="8" s="1"/>
  <c r="F865" i="8"/>
  <c r="G865" i="8" s="1"/>
  <c r="H865" i="8" s="1"/>
  <c r="D865" i="8"/>
  <c r="E865" i="8" s="1"/>
  <c r="F897" i="8"/>
  <c r="G897" i="8" s="1"/>
  <c r="H897" i="8" s="1"/>
  <c r="D897" i="8"/>
  <c r="E897" i="8" s="1"/>
  <c r="F929" i="8"/>
  <c r="G929" i="8" s="1"/>
  <c r="H929" i="8" s="1"/>
  <c r="D929" i="8"/>
  <c r="E929" i="8" s="1"/>
  <c r="F961" i="8"/>
  <c r="G961" i="8" s="1"/>
  <c r="H961" i="8" s="1"/>
  <c r="D961" i="8"/>
  <c r="E961" i="8" s="1"/>
  <c r="F1025" i="8"/>
  <c r="G1025" i="8" s="1"/>
  <c r="H1025" i="8" s="1"/>
  <c r="D1025" i="8"/>
  <c r="E1025" i="8" s="1"/>
  <c r="F1057" i="8"/>
  <c r="G1057" i="8" s="1"/>
  <c r="H1057" i="8" s="1"/>
  <c r="D1057" i="8"/>
  <c r="E1057" i="8" s="1"/>
  <c r="F1089" i="8"/>
  <c r="G1089" i="8" s="1"/>
  <c r="H1089" i="8" s="1"/>
  <c r="D1089" i="8"/>
  <c r="E1089" i="8" s="1"/>
  <c r="F1121" i="8"/>
  <c r="G1121" i="8" s="1"/>
  <c r="H1121" i="8" s="1"/>
  <c r="D1121" i="8"/>
  <c r="E1121" i="8" s="1"/>
  <c r="O852" i="33"/>
  <c r="N852" i="33"/>
  <c r="G852" i="33"/>
  <c r="H852" i="33" s="1"/>
  <c r="F852" i="33"/>
  <c r="D852" i="33"/>
  <c r="E852" i="33" s="1"/>
  <c r="J852" i="33"/>
  <c r="O916" i="33"/>
  <c r="N916" i="33"/>
  <c r="J916" i="33"/>
  <c r="G916" i="33"/>
  <c r="H916" i="33" s="1"/>
  <c r="F916" i="33"/>
  <c r="D916" i="33"/>
  <c r="E916" i="33" s="1"/>
  <c r="O980" i="33"/>
  <c r="N980" i="33"/>
  <c r="G980" i="33"/>
  <c r="F980" i="33"/>
  <c r="D980" i="33"/>
  <c r="E980" i="33" s="1"/>
  <c r="J980" i="33"/>
  <c r="O1044" i="33"/>
  <c r="N1044" i="33"/>
  <c r="G1044" i="33"/>
  <c r="F1044" i="33"/>
  <c r="D1044" i="33"/>
  <c r="E1044" i="33" s="1"/>
  <c r="J1044" i="33"/>
  <c r="N835" i="33"/>
  <c r="O835" i="33"/>
  <c r="G835" i="33"/>
  <c r="H835" i="33" s="1"/>
  <c r="F835" i="33"/>
  <c r="D835" i="33"/>
  <c r="E835" i="33" s="1"/>
  <c r="J835" i="33"/>
  <c r="N899" i="33"/>
  <c r="O899" i="33"/>
  <c r="G899" i="33"/>
  <c r="F899" i="33"/>
  <c r="D899" i="33"/>
  <c r="E899" i="33" s="1"/>
  <c r="J899" i="33"/>
  <c r="O963" i="33"/>
  <c r="J963" i="33"/>
  <c r="G963" i="33"/>
  <c r="H963" i="33" s="1"/>
  <c r="F963" i="33"/>
  <c r="D963" i="33"/>
  <c r="E963" i="33" s="1"/>
  <c r="N963" i="33"/>
  <c r="N1027" i="33"/>
  <c r="G1027" i="33"/>
  <c r="H1027" i="33" s="1"/>
  <c r="F1027" i="33"/>
  <c r="O1027" i="33"/>
  <c r="J1027" i="33"/>
  <c r="D1027" i="33"/>
  <c r="E1027" i="33" s="1"/>
  <c r="O1091" i="33"/>
  <c r="N1091" i="33"/>
  <c r="G1091" i="33"/>
  <c r="F1091" i="33"/>
  <c r="J1091" i="33"/>
  <c r="D1091" i="33"/>
  <c r="E1091" i="33" s="1"/>
  <c r="K1014" i="33"/>
  <c r="M1014" i="33" s="1"/>
  <c r="P1014" i="33" s="1"/>
  <c r="I1142" i="33"/>
  <c r="O825" i="33"/>
  <c r="N825" i="33"/>
  <c r="F825" i="33"/>
  <c r="J825" i="33"/>
  <c r="G825" i="33"/>
  <c r="D825" i="33"/>
  <c r="E825" i="33" s="1"/>
  <c r="O889" i="33"/>
  <c r="N889" i="33"/>
  <c r="F889" i="33"/>
  <c r="D889" i="33"/>
  <c r="E889" i="33" s="1"/>
  <c r="J889" i="33"/>
  <c r="G889" i="33"/>
  <c r="H889" i="33" s="1"/>
  <c r="O953" i="33"/>
  <c r="N953" i="33"/>
  <c r="F953" i="33"/>
  <c r="D953" i="33"/>
  <c r="E953" i="33" s="1"/>
  <c r="J953" i="33"/>
  <c r="G953" i="33"/>
  <c r="H953" i="33" s="1"/>
  <c r="O1017" i="33"/>
  <c r="N1017" i="33"/>
  <c r="J1017" i="33"/>
  <c r="F1017" i="33"/>
  <c r="D1017" i="33"/>
  <c r="E1017" i="33" s="1"/>
  <c r="G1017" i="33"/>
  <c r="H1017" i="33" s="1"/>
  <c r="O1081" i="33"/>
  <c r="N1081" i="33"/>
  <c r="F1081" i="33"/>
  <c r="D1081" i="33"/>
  <c r="E1081" i="33" s="1"/>
  <c r="J1081" i="33"/>
  <c r="G1081" i="33"/>
  <c r="O1145" i="33"/>
  <c r="N1145" i="33"/>
  <c r="F1145" i="33"/>
  <c r="J1145" i="33"/>
  <c r="G1145" i="33"/>
  <c r="H1145" i="33" s="1"/>
  <c r="D1145" i="33"/>
  <c r="E1145" i="33" s="1"/>
  <c r="H1078" i="33"/>
  <c r="O978" i="33"/>
  <c r="N978" i="33"/>
  <c r="F978" i="33"/>
  <c r="J978" i="33"/>
  <c r="G978" i="33"/>
  <c r="D978" i="33"/>
  <c r="E978" i="33" s="1"/>
  <c r="O1106" i="33"/>
  <c r="N1106" i="33"/>
  <c r="J1106" i="33"/>
  <c r="D1106" i="33"/>
  <c r="E1106" i="33" s="1"/>
  <c r="F1106" i="33"/>
  <c r="G1106" i="33"/>
  <c r="I841" i="33"/>
  <c r="K841" i="33" s="1"/>
  <c r="M841" i="33" s="1"/>
  <c r="P841" i="33" s="1"/>
  <c r="O1109" i="33"/>
  <c r="J1109" i="33"/>
  <c r="N1109" i="33"/>
  <c r="G1109" i="33"/>
  <c r="H1109" i="33" s="1"/>
  <c r="F1109" i="33"/>
  <c r="D1109" i="33"/>
  <c r="E1109" i="33" s="1"/>
  <c r="I946" i="33"/>
  <c r="J949" i="33"/>
  <c r="N949" i="33"/>
  <c r="G949" i="33"/>
  <c r="H949" i="33" s="1"/>
  <c r="F949" i="33"/>
  <c r="O949" i="33"/>
  <c r="D949" i="33"/>
  <c r="E949" i="33" s="1"/>
  <c r="J1085" i="33"/>
  <c r="O1085" i="33"/>
  <c r="N1085" i="33"/>
  <c r="G1085" i="33"/>
  <c r="H1085" i="33" s="1"/>
  <c r="F1085" i="33"/>
  <c r="D1085" i="33"/>
  <c r="E1085" i="33" s="1"/>
  <c r="I919" i="33"/>
  <c r="K919" i="33" s="1"/>
  <c r="M919" i="33" s="1"/>
  <c r="P919" i="33" s="1"/>
  <c r="H1127" i="33"/>
  <c r="K1089" i="12"/>
  <c r="L1089" i="12"/>
  <c r="F1089" i="12"/>
  <c r="H1089" i="12" s="1"/>
  <c r="D1089" i="12"/>
  <c r="E1089" i="12" s="1"/>
  <c r="G1089" i="12"/>
  <c r="L828" i="12"/>
  <c r="G828" i="12"/>
  <c r="K828" i="12"/>
  <c r="F828" i="12"/>
  <c r="H828" i="12" s="1"/>
  <c r="D828" i="12"/>
  <c r="E828" i="12" s="1"/>
  <c r="L829" i="12"/>
  <c r="K829" i="12"/>
  <c r="G829" i="12"/>
  <c r="F829" i="12"/>
  <c r="H829" i="12" s="1"/>
  <c r="D829" i="12"/>
  <c r="E829" i="12" s="1"/>
  <c r="K1024" i="12"/>
  <c r="L1024" i="12"/>
  <c r="F1024" i="12"/>
  <c r="H1024" i="12" s="1"/>
  <c r="D1024" i="12"/>
  <c r="E1024" i="12" s="1"/>
  <c r="G1024" i="12"/>
  <c r="L914" i="12"/>
  <c r="K914" i="12"/>
  <c r="G914" i="12"/>
  <c r="D914" i="12"/>
  <c r="E914" i="12" s="1"/>
  <c r="F914" i="12"/>
  <c r="H914" i="12" s="1"/>
  <c r="L970" i="12"/>
  <c r="K970" i="12"/>
  <c r="G970" i="12"/>
  <c r="D970" i="12"/>
  <c r="E970" i="12" s="1"/>
  <c r="F970" i="12"/>
  <c r="H970" i="12" s="1"/>
  <c r="M1065" i="12"/>
  <c r="I1063" i="12"/>
  <c r="J1063" i="12" s="1"/>
  <c r="M1063" i="12" s="1"/>
  <c r="H1251" i="9"/>
  <c r="I1251" i="9" s="1"/>
  <c r="K1251" i="9" s="1"/>
  <c r="H1269" i="9"/>
  <c r="I1269" i="9" s="1"/>
  <c r="I1160" i="5"/>
  <c r="J1160" i="5" s="1"/>
  <c r="L1160" i="5" s="1"/>
  <c r="I1288" i="5"/>
  <c r="J1288" i="5" s="1"/>
  <c r="L1288" i="5" s="1"/>
  <c r="I1215" i="5"/>
  <c r="J1215" i="5" s="1"/>
  <c r="L1215" i="5" s="1"/>
  <c r="I1184" i="5"/>
  <c r="J1184" i="5" s="1"/>
  <c r="L1184" i="5" s="1"/>
  <c r="I1216" i="5"/>
  <c r="J1216" i="5" s="1"/>
  <c r="L1216" i="5" s="1"/>
  <c r="I1248" i="5"/>
  <c r="J1248" i="5" s="1"/>
  <c r="L1248" i="5" s="1"/>
  <c r="I1174" i="5"/>
  <c r="J1174" i="5" s="1"/>
  <c r="L1174" i="5" s="1"/>
  <c r="I1238" i="5"/>
  <c r="J1238" i="5" s="1"/>
  <c r="L1238" i="5" s="1"/>
  <c r="K392" i="9"/>
  <c r="J1019" i="9"/>
  <c r="H1179" i="9"/>
  <c r="I1179" i="9" s="1"/>
  <c r="K1179" i="9" s="1"/>
  <c r="H1122" i="9"/>
  <c r="I1122" i="9" s="1"/>
  <c r="F827" i="8"/>
  <c r="G827" i="8" s="1"/>
  <c r="H827" i="8" s="1"/>
  <c r="D827" i="8"/>
  <c r="E827" i="8" s="1"/>
  <c r="F859" i="8"/>
  <c r="G859" i="8" s="1"/>
  <c r="H859" i="8" s="1"/>
  <c r="D859" i="8"/>
  <c r="E859" i="8" s="1"/>
  <c r="F891" i="8"/>
  <c r="G891" i="8" s="1"/>
  <c r="H891" i="8" s="1"/>
  <c r="D891" i="8"/>
  <c r="E891" i="8" s="1"/>
  <c r="F923" i="8"/>
  <c r="G923" i="8" s="1"/>
  <c r="H923" i="8" s="1"/>
  <c r="D923" i="8"/>
  <c r="E923" i="8" s="1"/>
  <c r="F955" i="8"/>
  <c r="G955" i="8" s="1"/>
  <c r="H955" i="8" s="1"/>
  <c r="D955" i="8"/>
  <c r="E955" i="8" s="1"/>
  <c r="F987" i="8"/>
  <c r="G987" i="8" s="1"/>
  <c r="H987" i="8" s="1"/>
  <c r="D987" i="8"/>
  <c r="E987" i="8" s="1"/>
  <c r="F1019" i="8"/>
  <c r="G1019" i="8" s="1"/>
  <c r="H1019" i="8" s="1"/>
  <c r="D1019" i="8"/>
  <c r="E1019" i="8" s="1"/>
  <c r="F1051" i="8"/>
  <c r="G1051" i="8" s="1"/>
  <c r="H1051" i="8" s="1"/>
  <c r="D1051" i="8"/>
  <c r="E1051" i="8" s="1"/>
  <c r="F1083" i="8"/>
  <c r="G1083" i="8" s="1"/>
  <c r="H1083" i="8" s="1"/>
  <c r="D1083" i="8"/>
  <c r="E1083" i="8" s="1"/>
  <c r="F1115" i="8"/>
  <c r="G1115" i="8" s="1"/>
  <c r="H1115" i="8" s="1"/>
  <c r="D1115" i="8"/>
  <c r="E1115" i="8" s="1"/>
  <c r="F1147" i="8"/>
  <c r="G1147" i="8" s="1"/>
  <c r="H1147" i="8" s="1"/>
  <c r="D1147" i="8"/>
  <c r="E1147" i="8" s="1"/>
  <c r="F916" i="8"/>
  <c r="G916" i="8" s="1"/>
  <c r="H916" i="8" s="1"/>
  <c r="D916" i="8"/>
  <c r="E916" i="8" s="1"/>
  <c r="F948" i="8"/>
  <c r="G948" i="8" s="1"/>
  <c r="H948" i="8" s="1"/>
  <c r="D948" i="8"/>
  <c r="E948" i="8" s="1"/>
  <c r="F980" i="8"/>
  <c r="G980" i="8" s="1"/>
  <c r="H980" i="8" s="1"/>
  <c r="D980" i="8"/>
  <c r="E980" i="8" s="1"/>
  <c r="F1012" i="8"/>
  <c r="G1012" i="8" s="1"/>
  <c r="H1012" i="8" s="1"/>
  <c r="D1012" i="8"/>
  <c r="E1012" i="8" s="1"/>
  <c r="F1044" i="8"/>
  <c r="G1044" i="8" s="1"/>
  <c r="H1044" i="8" s="1"/>
  <c r="D1044" i="8"/>
  <c r="E1044" i="8" s="1"/>
  <c r="F1076" i="8"/>
  <c r="G1076" i="8" s="1"/>
  <c r="H1076" i="8" s="1"/>
  <c r="D1076" i="8"/>
  <c r="E1076" i="8" s="1"/>
  <c r="F1108" i="8"/>
  <c r="G1108" i="8" s="1"/>
  <c r="H1108" i="8" s="1"/>
  <c r="D1108" i="8"/>
  <c r="E1108" i="8" s="1"/>
  <c r="F1140" i="8"/>
  <c r="G1140" i="8" s="1"/>
  <c r="H1140" i="8" s="1"/>
  <c r="D1140" i="8"/>
  <c r="E1140" i="8" s="1"/>
  <c r="F845" i="8"/>
  <c r="G845" i="8" s="1"/>
  <c r="H845" i="8" s="1"/>
  <c r="D845" i="8"/>
  <c r="E845" i="8" s="1"/>
  <c r="F877" i="8"/>
  <c r="G877" i="8" s="1"/>
  <c r="H877" i="8" s="1"/>
  <c r="D877" i="8"/>
  <c r="E877" i="8" s="1"/>
  <c r="F909" i="8"/>
  <c r="G909" i="8" s="1"/>
  <c r="H909" i="8" s="1"/>
  <c r="D909" i="8"/>
  <c r="E909" i="8" s="1"/>
  <c r="F941" i="8"/>
  <c r="G941" i="8" s="1"/>
  <c r="H941" i="8" s="1"/>
  <c r="D941" i="8"/>
  <c r="E941" i="8" s="1"/>
  <c r="F973" i="8"/>
  <c r="G973" i="8" s="1"/>
  <c r="H973" i="8" s="1"/>
  <c r="D973" i="8"/>
  <c r="E973" i="8" s="1"/>
  <c r="F1005" i="8"/>
  <c r="G1005" i="8" s="1"/>
  <c r="H1005" i="8" s="1"/>
  <c r="D1005" i="8"/>
  <c r="E1005" i="8" s="1"/>
  <c r="F1037" i="8"/>
  <c r="G1037" i="8" s="1"/>
  <c r="H1037" i="8" s="1"/>
  <c r="D1037" i="8"/>
  <c r="E1037" i="8" s="1"/>
  <c r="F1069" i="8"/>
  <c r="G1069" i="8" s="1"/>
  <c r="H1069" i="8" s="1"/>
  <c r="D1069" i="8"/>
  <c r="E1069" i="8" s="1"/>
  <c r="F1101" i="8"/>
  <c r="G1101" i="8" s="1"/>
  <c r="H1101" i="8" s="1"/>
  <c r="D1101" i="8"/>
  <c r="E1101" i="8" s="1"/>
  <c r="F1133" i="8"/>
  <c r="G1133" i="8" s="1"/>
  <c r="H1133" i="8" s="1"/>
  <c r="D1133" i="8"/>
  <c r="E1133" i="8" s="1"/>
  <c r="F842" i="8"/>
  <c r="G842" i="8" s="1"/>
  <c r="H842" i="8" s="1"/>
  <c r="D842" i="8"/>
  <c r="E842" i="8" s="1"/>
  <c r="F874" i="8"/>
  <c r="G874" i="8" s="1"/>
  <c r="H874" i="8" s="1"/>
  <c r="D874" i="8"/>
  <c r="E874" i="8" s="1"/>
  <c r="F906" i="8"/>
  <c r="G906" i="8" s="1"/>
  <c r="H906" i="8" s="1"/>
  <c r="D906" i="8"/>
  <c r="E906" i="8" s="1"/>
  <c r="F938" i="8"/>
  <c r="G938" i="8" s="1"/>
  <c r="H938" i="8" s="1"/>
  <c r="D938" i="8"/>
  <c r="E938" i="8" s="1"/>
  <c r="F970" i="8"/>
  <c r="G970" i="8" s="1"/>
  <c r="H970" i="8" s="1"/>
  <c r="D970" i="8"/>
  <c r="E970" i="8" s="1"/>
  <c r="F1002" i="8"/>
  <c r="G1002" i="8" s="1"/>
  <c r="H1002" i="8" s="1"/>
  <c r="D1002" i="8"/>
  <c r="E1002" i="8" s="1"/>
  <c r="F1034" i="8"/>
  <c r="G1034" i="8" s="1"/>
  <c r="H1034" i="8" s="1"/>
  <c r="D1034" i="8"/>
  <c r="E1034" i="8" s="1"/>
  <c r="F1066" i="8"/>
  <c r="G1066" i="8" s="1"/>
  <c r="H1066" i="8" s="1"/>
  <c r="D1066" i="8"/>
  <c r="E1066" i="8" s="1"/>
  <c r="F1098" i="8"/>
  <c r="G1098" i="8" s="1"/>
  <c r="H1098" i="8" s="1"/>
  <c r="D1098" i="8"/>
  <c r="E1098" i="8" s="1"/>
  <c r="F1130" i="8"/>
  <c r="G1130" i="8" s="1"/>
  <c r="H1130" i="8" s="1"/>
  <c r="D1130" i="8"/>
  <c r="E1130" i="8" s="1"/>
  <c r="F926" i="8"/>
  <c r="G926" i="8" s="1"/>
  <c r="H926" i="8" s="1"/>
  <c r="D926" i="8"/>
  <c r="E926" i="8" s="1"/>
  <c r="F958" i="8"/>
  <c r="G958" i="8" s="1"/>
  <c r="H958" i="8" s="1"/>
  <c r="D958" i="8"/>
  <c r="E958" i="8" s="1"/>
  <c r="F990" i="8"/>
  <c r="G990" i="8" s="1"/>
  <c r="H990" i="8" s="1"/>
  <c r="D990" i="8"/>
  <c r="E990" i="8" s="1"/>
  <c r="F1022" i="8"/>
  <c r="G1022" i="8" s="1"/>
  <c r="H1022" i="8" s="1"/>
  <c r="D1022" i="8"/>
  <c r="E1022" i="8" s="1"/>
  <c r="F1054" i="8"/>
  <c r="G1054" i="8" s="1"/>
  <c r="H1054" i="8" s="1"/>
  <c r="D1054" i="8"/>
  <c r="E1054" i="8" s="1"/>
  <c r="F1086" i="8"/>
  <c r="G1086" i="8" s="1"/>
  <c r="H1086" i="8" s="1"/>
  <c r="D1086" i="8"/>
  <c r="E1086" i="8" s="1"/>
  <c r="F1118" i="8"/>
  <c r="G1118" i="8" s="1"/>
  <c r="H1118" i="8" s="1"/>
  <c r="D1118" i="8"/>
  <c r="E1118" i="8" s="1"/>
  <c r="F823" i="8"/>
  <c r="G823" i="8" s="1"/>
  <c r="H823" i="8" s="1"/>
  <c r="D823" i="8"/>
  <c r="E823" i="8" s="1"/>
  <c r="F855" i="8"/>
  <c r="G855" i="8" s="1"/>
  <c r="H855" i="8" s="1"/>
  <c r="D855" i="8"/>
  <c r="E855" i="8" s="1"/>
  <c r="F887" i="8"/>
  <c r="G887" i="8" s="1"/>
  <c r="H887" i="8" s="1"/>
  <c r="D887" i="8"/>
  <c r="E887" i="8" s="1"/>
  <c r="F919" i="8"/>
  <c r="G919" i="8" s="1"/>
  <c r="H919" i="8" s="1"/>
  <c r="D919" i="8"/>
  <c r="E919" i="8" s="1"/>
  <c r="F951" i="8"/>
  <c r="G951" i="8" s="1"/>
  <c r="H951" i="8" s="1"/>
  <c r="D951" i="8"/>
  <c r="E951" i="8" s="1"/>
  <c r="F983" i="8"/>
  <c r="G983" i="8" s="1"/>
  <c r="H983" i="8" s="1"/>
  <c r="D983" i="8"/>
  <c r="E983" i="8" s="1"/>
  <c r="F1015" i="8"/>
  <c r="G1015" i="8" s="1"/>
  <c r="H1015" i="8" s="1"/>
  <c r="D1015" i="8"/>
  <c r="E1015" i="8" s="1"/>
  <c r="F1047" i="8"/>
  <c r="G1047" i="8" s="1"/>
  <c r="H1047" i="8" s="1"/>
  <c r="D1047" i="8"/>
  <c r="E1047" i="8" s="1"/>
  <c r="F1079" i="8"/>
  <c r="G1079" i="8" s="1"/>
  <c r="H1079" i="8" s="1"/>
  <c r="D1079" i="8"/>
  <c r="E1079" i="8" s="1"/>
  <c r="F1111" i="8"/>
  <c r="G1111" i="8" s="1"/>
  <c r="H1111" i="8" s="1"/>
  <c r="D1111" i="8"/>
  <c r="E1111" i="8" s="1"/>
  <c r="F1143" i="8"/>
  <c r="G1143" i="8" s="1"/>
  <c r="H1143" i="8" s="1"/>
  <c r="D1143" i="8"/>
  <c r="E1143" i="8" s="1"/>
  <c r="O838" i="33"/>
  <c r="N838" i="33"/>
  <c r="J838" i="33"/>
  <c r="F838" i="33"/>
  <c r="G838" i="33"/>
  <c r="H838" i="33" s="1"/>
  <c r="D838" i="33"/>
  <c r="E838" i="33" s="1"/>
  <c r="N860" i="33"/>
  <c r="O860" i="33"/>
  <c r="G860" i="33"/>
  <c r="H860" i="33" s="1"/>
  <c r="F860" i="33"/>
  <c r="D860" i="33"/>
  <c r="E860" i="33" s="1"/>
  <c r="J860" i="33"/>
  <c r="N924" i="33"/>
  <c r="G924" i="33"/>
  <c r="H924" i="33" s="1"/>
  <c r="F924" i="33"/>
  <c r="D924" i="33"/>
  <c r="E924" i="33" s="1"/>
  <c r="O924" i="33"/>
  <c r="J924" i="33"/>
  <c r="O988" i="33"/>
  <c r="N988" i="33"/>
  <c r="G988" i="33"/>
  <c r="H988" i="33" s="1"/>
  <c r="F988" i="33"/>
  <c r="I988" i="33" s="1"/>
  <c r="D988" i="33"/>
  <c r="E988" i="33" s="1"/>
  <c r="J988" i="33"/>
  <c r="N1052" i="33"/>
  <c r="J1052" i="33"/>
  <c r="G1052" i="33"/>
  <c r="F1052" i="33"/>
  <c r="D1052" i="33"/>
  <c r="E1052" i="33" s="1"/>
  <c r="O1052" i="33"/>
  <c r="O1116" i="33"/>
  <c r="G1116" i="33"/>
  <c r="H1116" i="33" s="1"/>
  <c r="F1116" i="33"/>
  <c r="D1116" i="33"/>
  <c r="E1116" i="33" s="1"/>
  <c r="N1116" i="33"/>
  <c r="J1116" i="33"/>
  <c r="I855" i="33"/>
  <c r="O843" i="33"/>
  <c r="N843" i="33"/>
  <c r="G843" i="33"/>
  <c r="H843" i="33" s="1"/>
  <c r="F843" i="33"/>
  <c r="D843" i="33"/>
  <c r="E843" i="33" s="1"/>
  <c r="J843" i="33"/>
  <c r="O907" i="33"/>
  <c r="G907" i="33"/>
  <c r="F907" i="33"/>
  <c r="D907" i="33"/>
  <c r="E907" i="33" s="1"/>
  <c r="N907" i="33"/>
  <c r="J907" i="33"/>
  <c r="O971" i="33"/>
  <c r="G971" i="33"/>
  <c r="H971" i="33" s="1"/>
  <c r="F971" i="33"/>
  <c r="D971" i="33"/>
  <c r="E971" i="33" s="1"/>
  <c r="N971" i="33"/>
  <c r="J971" i="33"/>
  <c r="O1035" i="33"/>
  <c r="G1035" i="33"/>
  <c r="F1035" i="33"/>
  <c r="J1035" i="33"/>
  <c r="D1035" i="33"/>
  <c r="E1035" i="33" s="1"/>
  <c r="N1035" i="33"/>
  <c r="O1099" i="33"/>
  <c r="N1099" i="33"/>
  <c r="G1099" i="33"/>
  <c r="F1099" i="33"/>
  <c r="J1099" i="33"/>
  <c r="D1099" i="33"/>
  <c r="E1099" i="33" s="1"/>
  <c r="K1142" i="33"/>
  <c r="M1142" i="33" s="1"/>
  <c r="P1142" i="33" s="1"/>
  <c r="K855" i="33"/>
  <c r="M855" i="33" s="1"/>
  <c r="P855" i="33" s="1"/>
  <c r="O824" i="33"/>
  <c r="N824" i="33"/>
  <c r="F824" i="33"/>
  <c r="J824" i="33"/>
  <c r="G824" i="33"/>
  <c r="H824" i="33" s="1"/>
  <c r="D824" i="33"/>
  <c r="E824" i="33" s="1"/>
  <c r="O888" i="33"/>
  <c r="N888" i="33"/>
  <c r="F888" i="33"/>
  <c r="D888" i="33"/>
  <c r="E888" i="33" s="1"/>
  <c r="G888" i="33"/>
  <c r="H888" i="33" s="1"/>
  <c r="J888" i="33"/>
  <c r="O952" i="33"/>
  <c r="N952" i="33"/>
  <c r="J952" i="33"/>
  <c r="F952" i="33"/>
  <c r="D952" i="33"/>
  <c r="E952" i="33" s="1"/>
  <c r="G952" i="33"/>
  <c r="H952" i="33" s="1"/>
  <c r="O1016" i="33"/>
  <c r="N1016" i="33"/>
  <c r="J1016" i="33"/>
  <c r="F1016" i="33"/>
  <c r="D1016" i="33"/>
  <c r="E1016" i="33" s="1"/>
  <c r="G1016" i="33"/>
  <c r="H1016" i="33" s="1"/>
  <c r="O1080" i="33"/>
  <c r="N1080" i="33"/>
  <c r="F1080" i="33"/>
  <c r="D1080" i="33"/>
  <c r="E1080" i="33" s="1"/>
  <c r="J1080" i="33"/>
  <c r="G1080" i="33"/>
  <c r="H1080" i="33" s="1"/>
  <c r="O1144" i="33"/>
  <c r="N1144" i="33"/>
  <c r="F1144" i="33"/>
  <c r="J1144" i="33"/>
  <c r="G1144" i="33"/>
  <c r="H1144" i="33" s="1"/>
  <c r="D1144" i="33"/>
  <c r="E1144" i="33" s="1"/>
  <c r="K1022" i="33"/>
  <c r="M1022" i="33" s="1"/>
  <c r="P1022" i="33" s="1"/>
  <c r="O833" i="33"/>
  <c r="N833" i="33"/>
  <c r="J833" i="33"/>
  <c r="D833" i="33"/>
  <c r="E833" i="33" s="1"/>
  <c r="F833" i="33"/>
  <c r="G833" i="33"/>
  <c r="H833" i="33" s="1"/>
  <c r="O897" i="33"/>
  <c r="N897" i="33"/>
  <c r="J897" i="33"/>
  <c r="F897" i="33"/>
  <c r="D897" i="33"/>
  <c r="E897" i="33" s="1"/>
  <c r="G897" i="33"/>
  <c r="O961" i="33"/>
  <c r="N961" i="33"/>
  <c r="J961" i="33"/>
  <c r="F961" i="33"/>
  <c r="D961" i="33"/>
  <c r="E961" i="33" s="1"/>
  <c r="G961" i="33"/>
  <c r="H961" i="33" s="1"/>
  <c r="O1025" i="33"/>
  <c r="N1025" i="33"/>
  <c r="D1025" i="33"/>
  <c r="E1025" i="33" s="1"/>
  <c r="F1025" i="33"/>
  <c r="J1025" i="33"/>
  <c r="G1025" i="33"/>
  <c r="H1025" i="33" s="1"/>
  <c r="O1089" i="33"/>
  <c r="N1089" i="33"/>
  <c r="J1089" i="33"/>
  <c r="D1089" i="33"/>
  <c r="E1089" i="33" s="1"/>
  <c r="F1089" i="33"/>
  <c r="G1089" i="33"/>
  <c r="F824" i="8"/>
  <c r="G824" i="8" s="1"/>
  <c r="H824" i="8" s="1"/>
  <c r="D824" i="8"/>
  <c r="E824" i="8" s="1"/>
  <c r="F856" i="8"/>
  <c r="G856" i="8" s="1"/>
  <c r="H856" i="8" s="1"/>
  <c r="D856" i="8"/>
  <c r="E856" i="8" s="1"/>
  <c r="F888" i="8"/>
  <c r="G888" i="8" s="1"/>
  <c r="H888" i="8" s="1"/>
  <c r="D888" i="8"/>
  <c r="E888" i="8" s="1"/>
  <c r="F920" i="8"/>
  <c r="G920" i="8" s="1"/>
  <c r="H920" i="8" s="1"/>
  <c r="D920" i="8"/>
  <c r="E920" i="8" s="1"/>
  <c r="F952" i="8"/>
  <c r="G952" i="8" s="1"/>
  <c r="H952" i="8" s="1"/>
  <c r="D952" i="8"/>
  <c r="E952" i="8" s="1"/>
  <c r="F984" i="8"/>
  <c r="G984" i="8" s="1"/>
  <c r="H984" i="8" s="1"/>
  <c r="D984" i="8"/>
  <c r="E984" i="8" s="1"/>
  <c r="F1016" i="8"/>
  <c r="G1016" i="8" s="1"/>
  <c r="H1016" i="8" s="1"/>
  <c r="D1016" i="8"/>
  <c r="E1016" i="8" s="1"/>
  <c r="F1048" i="8"/>
  <c r="G1048" i="8" s="1"/>
  <c r="H1048" i="8" s="1"/>
  <c r="D1048" i="8"/>
  <c r="E1048" i="8" s="1"/>
  <c r="F1080" i="8"/>
  <c r="G1080" i="8" s="1"/>
  <c r="H1080" i="8" s="1"/>
  <c r="D1080" i="8"/>
  <c r="E1080" i="8" s="1"/>
  <c r="F1112" i="8"/>
  <c r="G1112" i="8" s="1"/>
  <c r="H1112" i="8" s="1"/>
  <c r="D1112" i="8"/>
  <c r="E1112" i="8" s="1"/>
  <c r="F1144" i="8"/>
  <c r="G1144" i="8" s="1"/>
  <c r="H1144" i="8" s="1"/>
  <c r="D1144" i="8"/>
  <c r="E1144" i="8" s="1"/>
  <c r="H878" i="33"/>
  <c r="I878" i="33" s="1"/>
  <c r="K878" i="33" s="1"/>
  <c r="M878" i="33" s="1"/>
  <c r="P878" i="33" s="1"/>
  <c r="I910" i="33"/>
  <c r="K934" i="33"/>
  <c r="M934" i="33" s="1"/>
  <c r="P934" i="33" s="1"/>
  <c r="H1070" i="33"/>
  <c r="I1070" i="33" s="1"/>
  <c r="K1070" i="33" s="1"/>
  <c r="M1070" i="33" s="1"/>
  <c r="P1070" i="33" s="1"/>
  <c r="I1102" i="33"/>
  <c r="K1102" i="33" s="1"/>
  <c r="M1102" i="33" s="1"/>
  <c r="P1102" i="33" s="1"/>
  <c r="O1064" i="33"/>
  <c r="N1064" i="33"/>
  <c r="F1064" i="33"/>
  <c r="J1064" i="33"/>
  <c r="D1064" i="33"/>
  <c r="E1064" i="33" s="1"/>
  <c r="G1064" i="33"/>
  <c r="O850" i="33"/>
  <c r="N850" i="33"/>
  <c r="J850" i="33"/>
  <c r="F850" i="33"/>
  <c r="G850" i="33"/>
  <c r="H850" i="33" s="1"/>
  <c r="D850" i="33"/>
  <c r="E850" i="33" s="1"/>
  <c r="N1018" i="33"/>
  <c r="O1018" i="33"/>
  <c r="J1018" i="33"/>
  <c r="G1018" i="33"/>
  <c r="H1018" i="33" s="1"/>
  <c r="F1018" i="33"/>
  <c r="D1018" i="33"/>
  <c r="E1018" i="33" s="1"/>
  <c r="O1146" i="33"/>
  <c r="J1146" i="33"/>
  <c r="G1146" i="33"/>
  <c r="F1146" i="33"/>
  <c r="N1146" i="33"/>
  <c r="D1146" i="33"/>
  <c r="E1146" i="33" s="1"/>
  <c r="H950" i="33"/>
  <c r="H1095" i="33"/>
  <c r="I1095" i="33" s="1"/>
  <c r="K1095" i="33" s="1"/>
  <c r="M1095" i="33" s="1"/>
  <c r="P1095" i="33" s="1"/>
  <c r="K854" i="33"/>
  <c r="M854" i="33" s="1"/>
  <c r="P854" i="33" s="1"/>
  <c r="I937" i="33"/>
  <c r="K937" i="33" s="1"/>
  <c r="M937" i="33" s="1"/>
  <c r="P937" i="33" s="1"/>
  <c r="I1054" i="33"/>
  <c r="K1054" i="33" s="1"/>
  <c r="M1054" i="33" s="1"/>
  <c r="P1054" i="33" s="1"/>
  <c r="I861" i="33"/>
  <c r="K861" i="33" s="1"/>
  <c r="M861" i="33" s="1"/>
  <c r="P861" i="33" s="1"/>
  <c r="K946" i="33"/>
  <c r="M946" i="33" s="1"/>
  <c r="P946" i="33" s="1"/>
  <c r="N885" i="33"/>
  <c r="J885" i="33"/>
  <c r="O885" i="33"/>
  <c r="G885" i="33"/>
  <c r="H885" i="33" s="1"/>
  <c r="F885" i="33"/>
  <c r="D885" i="33"/>
  <c r="E885" i="33" s="1"/>
  <c r="O917" i="33"/>
  <c r="J917" i="33"/>
  <c r="N917" i="33"/>
  <c r="G917" i="33"/>
  <c r="H917" i="33" s="1"/>
  <c r="F917" i="33"/>
  <c r="D917" i="33"/>
  <c r="E917" i="33" s="1"/>
  <c r="O989" i="33"/>
  <c r="N989" i="33"/>
  <c r="J989" i="33"/>
  <c r="G989" i="33"/>
  <c r="H989" i="33" s="1"/>
  <c r="F989" i="33"/>
  <c r="D989" i="33"/>
  <c r="E989" i="33" s="1"/>
  <c r="J1021" i="33"/>
  <c r="O1021" i="33"/>
  <c r="N1021" i="33"/>
  <c r="G1021" i="33"/>
  <c r="H1021" i="33" s="1"/>
  <c r="F1021" i="33"/>
  <c r="D1021" i="33"/>
  <c r="E1021" i="33" s="1"/>
  <c r="J1125" i="33"/>
  <c r="N1125" i="33"/>
  <c r="O1125" i="33"/>
  <c r="G1125" i="33"/>
  <c r="H1125" i="33" s="1"/>
  <c r="F1125" i="33"/>
  <c r="D1125" i="33"/>
  <c r="E1125" i="33" s="1"/>
  <c r="I903" i="33"/>
  <c r="H1087" i="33"/>
  <c r="I839" i="33"/>
  <c r="I968" i="33"/>
  <c r="K968" i="33" s="1"/>
  <c r="M968" i="33" s="1"/>
  <c r="P968" i="33" s="1"/>
  <c r="K1097" i="12"/>
  <c r="F1097" i="12"/>
  <c r="H1097" i="12" s="1"/>
  <c r="L1097" i="12"/>
  <c r="D1097" i="12"/>
  <c r="E1097" i="12" s="1"/>
  <c r="G1097" i="12"/>
  <c r="K846" i="12"/>
  <c r="L846" i="12"/>
  <c r="F846" i="12"/>
  <c r="H846" i="12" s="1"/>
  <c r="G846" i="12"/>
  <c r="D846" i="12"/>
  <c r="E846" i="12" s="1"/>
  <c r="K897" i="12"/>
  <c r="L897" i="12"/>
  <c r="F897" i="12"/>
  <c r="H897" i="12" s="1"/>
  <c r="D897" i="12"/>
  <c r="E897" i="12" s="1"/>
  <c r="G897" i="12"/>
  <c r="I921" i="12"/>
  <c r="J921" i="12" s="1"/>
  <c r="M921" i="12" s="1"/>
  <c r="K977" i="12"/>
  <c r="L977" i="12"/>
  <c r="F977" i="12"/>
  <c r="H977" i="12" s="1"/>
  <c r="G977" i="12"/>
  <c r="D977" i="12"/>
  <c r="E977" i="12" s="1"/>
  <c r="K865" i="12"/>
  <c r="L865" i="12"/>
  <c r="F865" i="12"/>
  <c r="H865" i="12" s="1"/>
  <c r="G865" i="12"/>
  <c r="D865" i="12"/>
  <c r="E865" i="12" s="1"/>
  <c r="K1072" i="12"/>
  <c r="L1072" i="12"/>
  <c r="F1072" i="12"/>
  <c r="H1072" i="12" s="1"/>
  <c r="D1072" i="12"/>
  <c r="E1072" i="12" s="1"/>
  <c r="G1072" i="12"/>
  <c r="I1002" i="12"/>
  <c r="J1002" i="12" s="1"/>
  <c r="M1002" i="12" s="1"/>
  <c r="I1138" i="12"/>
  <c r="J1138" i="12" s="1"/>
  <c r="M1138" i="12" s="1"/>
  <c r="L1045" i="12"/>
  <c r="K1045" i="12"/>
  <c r="G1045" i="12"/>
  <c r="F1045" i="12"/>
  <c r="H1045" i="12" s="1"/>
  <c r="D1045" i="12"/>
  <c r="E1045" i="12" s="1"/>
  <c r="L835" i="12"/>
  <c r="G835" i="12"/>
  <c r="K835" i="12"/>
  <c r="F835" i="12"/>
  <c r="H835" i="12" s="1"/>
  <c r="D835" i="12"/>
  <c r="E835" i="12" s="1"/>
  <c r="L867" i="12"/>
  <c r="G867" i="12"/>
  <c r="K867" i="12"/>
  <c r="D867" i="12"/>
  <c r="E867" i="12" s="1"/>
  <c r="F867" i="12"/>
  <c r="H867" i="12" s="1"/>
  <c r="L899" i="12"/>
  <c r="G899" i="12"/>
  <c r="K899" i="12"/>
  <c r="D899" i="12"/>
  <c r="E899" i="12" s="1"/>
  <c r="F899" i="12"/>
  <c r="H899" i="12" s="1"/>
  <c r="L931" i="12"/>
  <c r="G931" i="12"/>
  <c r="K931" i="12"/>
  <c r="D931" i="12"/>
  <c r="E931" i="12" s="1"/>
  <c r="F931" i="12"/>
  <c r="H931" i="12" s="1"/>
  <c r="L963" i="12"/>
  <c r="G963" i="12"/>
  <c r="K963" i="12"/>
  <c r="D963" i="12"/>
  <c r="E963" i="12" s="1"/>
  <c r="F963" i="12"/>
  <c r="H963" i="12" s="1"/>
  <c r="L995" i="12"/>
  <c r="G995" i="12"/>
  <c r="K995" i="12"/>
  <c r="D995" i="12"/>
  <c r="E995" i="12" s="1"/>
  <c r="F995" i="12"/>
  <c r="H995" i="12" s="1"/>
  <c r="L836" i="12"/>
  <c r="K836" i="12"/>
  <c r="G836" i="12"/>
  <c r="F836" i="12"/>
  <c r="H836" i="12" s="1"/>
  <c r="D836" i="12"/>
  <c r="E836" i="12" s="1"/>
  <c r="I1094" i="12"/>
  <c r="J1094" i="12" s="1"/>
  <c r="M1094" i="12" s="1"/>
  <c r="L932" i="12"/>
  <c r="K932" i="12"/>
  <c r="G932" i="12"/>
  <c r="D932" i="12"/>
  <c r="E932" i="12" s="1"/>
  <c r="F932" i="12"/>
  <c r="H932" i="12" s="1"/>
  <c r="L892" i="12"/>
  <c r="G892" i="12"/>
  <c r="K892" i="12"/>
  <c r="F892" i="12"/>
  <c r="H892" i="12" s="1"/>
  <c r="D892" i="12"/>
  <c r="E892" i="12" s="1"/>
  <c r="I1015" i="12"/>
  <c r="J1015" i="12" s="1"/>
  <c r="M1015" i="12" s="1"/>
  <c r="I1143" i="12"/>
  <c r="J1143" i="12" s="1"/>
  <c r="M1143" i="12" s="1"/>
  <c r="I1066" i="12"/>
  <c r="J1066" i="12" s="1"/>
  <c r="M1066" i="12" s="1"/>
  <c r="K966" i="12"/>
  <c r="L966" i="12"/>
  <c r="F966" i="12"/>
  <c r="H966" i="12" s="1"/>
  <c r="G966" i="12"/>
  <c r="D966" i="12"/>
  <c r="E966" i="12" s="1"/>
  <c r="L1035" i="12"/>
  <c r="G1035" i="12"/>
  <c r="K1035" i="12"/>
  <c r="F1035" i="12"/>
  <c r="H1035" i="12" s="1"/>
  <c r="D1035" i="12"/>
  <c r="E1035" i="12" s="1"/>
  <c r="L1067" i="12"/>
  <c r="G1067" i="12"/>
  <c r="K1067" i="12"/>
  <c r="F1067" i="12"/>
  <c r="H1067" i="12" s="1"/>
  <c r="D1067" i="12"/>
  <c r="E1067" i="12" s="1"/>
  <c r="L1099" i="12"/>
  <c r="G1099" i="12"/>
  <c r="K1099" i="12"/>
  <c r="F1099" i="12"/>
  <c r="H1099" i="12" s="1"/>
  <c r="D1099" i="12"/>
  <c r="E1099" i="12" s="1"/>
  <c r="L1131" i="12"/>
  <c r="G1131" i="12"/>
  <c r="K1131" i="12"/>
  <c r="F1131" i="12"/>
  <c r="H1131" i="12" s="1"/>
  <c r="D1131" i="12"/>
  <c r="E1131" i="12" s="1"/>
  <c r="I822" i="12"/>
  <c r="J822" i="12" s="1"/>
  <c r="M822" i="12" s="1"/>
  <c r="K942" i="12"/>
  <c r="L942" i="12"/>
  <c r="F942" i="12"/>
  <c r="H942" i="12" s="1"/>
  <c r="D942" i="12"/>
  <c r="E942" i="12" s="1"/>
  <c r="G942" i="12"/>
  <c r="L1036" i="12"/>
  <c r="K1036" i="12"/>
  <c r="G1036" i="12"/>
  <c r="F1036" i="12"/>
  <c r="H1036" i="12" s="1"/>
  <c r="D1036" i="12"/>
  <c r="E1036" i="12" s="1"/>
  <c r="I1084" i="12"/>
  <c r="J1084" i="12" s="1"/>
  <c r="M1084" i="12" s="1"/>
  <c r="I1132" i="12"/>
  <c r="J1132" i="12" s="1"/>
  <c r="M1132" i="12" s="1"/>
  <c r="L900" i="12"/>
  <c r="K900" i="12"/>
  <c r="G900" i="12"/>
  <c r="F900" i="12"/>
  <c r="H900" i="12" s="1"/>
  <c r="D900" i="12"/>
  <c r="E900" i="12" s="1"/>
  <c r="K1102" i="12"/>
  <c r="L1102" i="12"/>
  <c r="F1102" i="12"/>
  <c r="H1102" i="12" s="1"/>
  <c r="G1102" i="12"/>
  <c r="D1102" i="12"/>
  <c r="E1102" i="12" s="1"/>
  <c r="I912" i="12"/>
  <c r="J912" i="12" s="1"/>
  <c r="M912" i="12" s="1"/>
  <c r="I1037" i="12"/>
  <c r="J1037" i="12" s="1"/>
  <c r="M1037" i="12" s="1"/>
  <c r="K903" i="12"/>
  <c r="F903" i="12"/>
  <c r="H903" i="12" s="1"/>
  <c r="D903" i="12"/>
  <c r="E903" i="12" s="1"/>
  <c r="L903" i="12"/>
  <c r="G903" i="12"/>
  <c r="K967" i="12"/>
  <c r="F967" i="12"/>
  <c r="H967" i="12" s="1"/>
  <c r="D967" i="12"/>
  <c r="E967" i="12" s="1"/>
  <c r="L967" i="12"/>
  <c r="G967" i="12"/>
  <c r="I992" i="12"/>
  <c r="J992" i="12" s="1"/>
  <c r="M992" i="12" s="1"/>
  <c r="I1118" i="12"/>
  <c r="J1118" i="12" s="1"/>
  <c r="M1118" i="12" s="1"/>
  <c r="I953" i="12"/>
  <c r="J953" i="12" s="1"/>
  <c r="M953" i="12" s="1"/>
  <c r="I1055" i="12"/>
  <c r="J1055" i="12" s="1"/>
  <c r="M1055" i="12" s="1"/>
  <c r="I1119" i="12"/>
  <c r="J1119" i="12" s="1"/>
  <c r="M1119" i="12" s="1"/>
  <c r="I1040" i="12"/>
  <c r="J1040" i="12" s="1"/>
  <c r="M1040" i="12" s="1"/>
  <c r="F922" i="7"/>
  <c r="H922" i="7" s="1"/>
  <c r="D922" i="7"/>
  <c r="E922" i="7" s="1"/>
  <c r="K922" i="7"/>
  <c r="G922" i="7"/>
  <c r="F1050" i="7"/>
  <c r="H1050" i="7" s="1"/>
  <c r="D1050" i="7"/>
  <c r="E1050" i="7" s="1"/>
  <c r="K1050" i="7"/>
  <c r="G1050" i="7"/>
  <c r="F901" i="7"/>
  <c r="H901" i="7" s="1"/>
  <c r="D901" i="7"/>
  <c r="E901" i="7" s="1"/>
  <c r="K901" i="7"/>
  <c r="G901" i="7"/>
  <c r="I829" i="7"/>
  <c r="J829" i="7" s="1"/>
  <c r="L829" i="7" s="1"/>
  <c r="I909" i="7"/>
  <c r="J909" i="7" s="1"/>
  <c r="L909" i="7" s="1"/>
  <c r="I989" i="7"/>
  <c r="J989" i="7" s="1"/>
  <c r="L989" i="7" s="1"/>
  <c r="I1117" i="7"/>
  <c r="J1117" i="7" s="1"/>
  <c r="L1117" i="7" s="1"/>
  <c r="K847" i="7"/>
  <c r="G847" i="7"/>
  <c r="D847" i="7"/>
  <c r="E847" i="7" s="1"/>
  <c r="F847" i="7"/>
  <c r="H847" i="7" s="1"/>
  <c r="K879" i="7"/>
  <c r="G879" i="7"/>
  <c r="D879" i="7"/>
  <c r="E879" i="7" s="1"/>
  <c r="F879" i="7"/>
  <c r="H879" i="7" s="1"/>
  <c r="K911" i="7"/>
  <c r="G911" i="7"/>
  <c r="D911" i="7"/>
  <c r="E911" i="7" s="1"/>
  <c r="F911" i="7"/>
  <c r="H911" i="7" s="1"/>
  <c r="K943" i="7"/>
  <c r="G943" i="7"/>
  <c r="D943" i="7"/>
  <c r="E943" i="7" s="1"/>
  <c r="F943" i="7"/>
  <c r="H943" i="7" s="1"/>
  <c r="K975" i="7"/>
  <c r="G975" i="7"/>
  <c r="D975" i="7"/>
  <c r="E975" i="7" s="1"/>
  <c r="F975" i="7"/>
  <c r="H975" i="7" s="1"/>
  <c r="K1007" i="7"/>
  <c r="G1007" i="7"/>
  <c r="D1007" i="7"/>
  <c r="E1007" i="7" s="1"/>
  <c r="F1007" i="7"/>
  <c r="H1007" i="7" s="1"/>
  <c r="K1039" i="7"/>
  <c r="G1039" i="7"/>
  <c r="D1039" i="7"/>
  <c r="E1039" i="7" s="1"/>
  <c r="F1039" i="7"/>
  <c r="H1039" i="7" s="1"/>
  <c r="K1071" i="7"/>
  <c r="G1071" i="7"/>
  <c r="D1071" i="7"/>
  <c r="E1071" i="7" s="1"/>
  <c r="F1071" i="7"/>
  <c r="H1071" i="7" s="1"/>
  <c r="K1103" i="7"/>
  <c r="G1103" i="7"/>
  <c r="D1103" i="7"/>
  <c r="E1103" i="7" s="1"/>
  <c r="F1103" i="7"/>
  <c r="H1103" i="7" s="1"/>
  <c r="K1135" i="7"/>
  <c r="G1135" i="7"/>
  <c r="D1135" i="7"/>
  <c r="E1135" i="7" s="1"/>
  <c r="F1135" i="7"/>
  <c r="H1135" i="7" s="1"/>
  <c r="K832" i="7"/>
  <c r="G832" i="7"/>
  <c r="F832" i="7"/>
  <c r="H832" i="7" s="1"/>
  <c r="D832" i="7"/>
  <c r="E832" i="7" s="1"/>
  <c r="K864" i="7"/>
  <c r="G864" i="7"/>
  <c r="F864" i="7"/>
  <c r="H864" i="7" s="1"/>
  <c r="D864" i="7"/>
  <c r="E864" i="7" s="1"/>
  <c r="K896" i="7"/>
  <c r="G896" i="7"/>
  <c r="F896" i="7"/>
  <c r="H896" i="7" s="1"/>
  <c r="D896" i="7"/>
  <c r="E896" i="7" s="1"/>
  <c r="K928" i="7"/>
  <c r="G928" i="7"/>
  <c r="F928" i="7"/>
  <c r="H928" i="7" s="1"/>
  <c r="D928" i="7"/>
  <c r="E928" i="7" s="1"/>
  <c r="K960" i="7"/>
  <c r="G960" i="7"/>
  <c r="F960" i="7"/>
  <c r="H960" i="7" s="1"/>
  <c r="D960" i="7"/>
  <c r="E960" i="7" s="1"/>
  <c r="K992" i="7"/>
  <c r="G992" i="7"/>
  <c r="F992" i="7"/>
  <c r="H992" i="7" s="1"/>
  <c r="D992" i="7"/>
  <c r="E992" i="7" s="1"/>
  <c r="K1024" i="7"/>
  <c r="G1024" i="7"/>
  <c r="F1024" i="7"/>
  <c r="H1024" i="7" s="1"/>
  <c r="D1024" i="7"/>
  <c r="E1024" i="7" s="1"/>
  <c r="K1056" i="7"/>
  <c r="G1056" i="7"/>
  <c r="F1056" i="7"/>
  <c r="H1056" i="7" s="1"/>
  <c r="D1056" i="7"/>
  <c r="E1056" i="7" s="1"/>
  <c r="K1088" i="7"/>
  <c r="G1088" i="7"/>
  <c r="F1088" i="7"/>
  <c r="H1088" i="7" s="1"/>
  <c r="D1088" i="7"/>
  <c r="E1088" i="7" s="1"/>
  <c r="K1120" i="7"/>
  <c r="G1120" i="7"/>
  <c r="F1120" i="7"/>
  <c r="H1120" i="7" s="1"/>
  <c r="D1120" i="7"/>
  <c r="E1120" i="7" s="1"/>
  <c r="I882" i="7"/>
  <c r="J882" i="7" s="1"/>
  <c r="L882" i="7" s="1"/>
  <c r="I930" i="7"/>
  <c r="J930" i="7" s="1"/>
  <c r="L930" i="7" s="1"/>
  <c r="I1010" i="7"/>
  <c r="J1010" i="7" s="1"/>
  <c r="L1010" i="7" s="1"/>
  <c r="I1138" i="7"/>
  <c r="J1138" i="7" s="1"/>
  <c r="L1138" i="7" s="1"/>
  <c r="F1091" i="7"/>
  <c r="H1091" i="7" s="1"/>
  <c r="D1091" i="7"/>
  <c r="E1091" i="7" s="1"/>
  <c r="K1091" i="7"/>
  <c r="G1091" i="7"/>
  <c r="I908" i="7"/>
  <c r="J908" i="7" s="1"/>
  <c r="L908" i="7" s="1"/>
  <c r="I1036" i="7"/>
  <c r="J1036" i="7" s="1"/>
  <c r="L1036" i="7" s="1"/>
  <c r="K832" i="5"/>
  <c r="G832" i="5"/>
  <c r="D832" i="5"/>
  <c r="E832" i="5" s="1"/>
  <c r="F832" i="5"/>
  <c r="H832" i="5" s="1"/>
  <c r="K896" i="5"/>
  <c r="G896" i="5"/>
  <c r="D896" i="5"/>
  <c r="E896" i="5" s="1"/>
  <c r="F896" i="5"/>
  <c r="H896" i="5" s="1"/>
  <c r="K960" i="5"/>
  <c r="G960" i="5"/>
  <c r="D960" i="5"/>
  <c r="E960" i="5" s="1"/>
  <c r="F960" i="5"/>
  <c r="H960" i="5" s="1"/>
  <c r="K1024" i="5"/>
  <c r="G1024" i="5"/>
  <c r="D1024" i="5"/>
  <c r="E1024" i="5" s="1"/>
  <c r="F1024" i="5"/>
  <c r="H1024" i="5" s="1"/>
  <c r="K1088" i="5"/>
  <c r="G1088" i="5"/>
  <c r="D1088" i="5"/>
  <c r="E1088" i="5" s="1"/>
  <c r="F1088" i="5"/>
  <c r="H1088" i="5" s="1"/>
  <c r="I1152" i="5"/>
  <c r="J1152" i="5" s="1"/>
  <c r="L1152" i="5" s="1"/>
  <c r="L863" i="5"/>
  <c r="I995" i="5"/>
  <c r="J995" i="5" s="1"/>
  <c r="L995" i="5" s="1"/>
  <c r="I1123" i="5"/>
  <c r="J1123" i="5" s="1"/>
  <c r="L1123" i="5" s="1"/>
  <c r="I851" i="5"/>
  <c r="J851" i="5" s="1"/>
  <c r="L851" i="5" s="1"/>
  <c r="I1172" i="7"/>
  <c r="J1172" i="7" s="1"/>
  <c r="L1172" i="7" s="1"/>
  <c r="I1219" i="7"/>
  <c r="J1219" i="7" s="1"/>
  <c r="L1219" i="7" s="1"/>
  <c r="I1226" i="7"/>
  <c r="J1226" i="7" s="1"/>
  <c r="L1226" i="7" s="1"/>
  <c r="I1218" i="7"/>
  <c r="J1218" i="7" s="1"/>
  <c r="L1218" i="7" s="1"/>
  <c r="I1181" i="7"/>
  <c r="J1181" i="7" s="1"/>
  <c r="L1181" i="7" s="1"/>
  <c r="I1292" i="7"/>
  <c r="J1292" i="7" s="1"/>
  <c r="L1292" i="7" s="1"/>
  <c r="I1164" i="7"/>
  <c r="J1164" i="7" s="1"/>
  <c r="L1164" i="7" s="1"/>
  <c r="I1278" i="7"/>
  <c r="J1278" i="7" s="1"/>
  <c r="L1278" i="7" s="1"/>
  <c r="I1150" i="7"/>
  <c r="J1150" i="7" s="1"/>
  <c r="L1150" i="7" s="1"/>
  <c r="I1187" i="12"/>
  <c r="J1187" i="12" s="1"/>
  <c r="M1187" i="12" s="1"/>
  <c r="M1171" i="12"/>
  <c r="I1289" i="7"/>
  <c r="J1289" i="7" s="1"/>
  <c r="L1289" i="7" s="1"/>
  <c r="I1225" i="7"/>
  <c r="J1225" i="7" s="1"/>
  <c r="L1225" i="7" s="1"/>
  <c r="I1161" i="7"/>
  <c r="J1161" i="7" s="1"/>
  <c r="L1161" i="7" s="1"/>
  <c r="I1202" i="12"/>
  <c r="J1202" i="12" s="1"/>
  <c r="M1202" i="12" s="1"/>
  <c r="I1280" i="7"/>
  <c r="J1280" i="7" s="1"/>
  <c r="L1280" i="7" s="1"/>
  <c r="I1216" i="7"/>
  <c r="J1216" i="7" s="1"/>
  <c r="L1216" i="7" s="1"/>
  <c r="I1152" i="7"/>
  <c r="J1152" i="7" s="1"/>
  <c r="L1152" i="7" s="1"/>
  <c r="I1157" i="12"/>
  <c r="J1157" i="12" s="1"/>
  <c r="M1157" i="12" s="1"/>
  <c r="I1271" i="7"/>
  <c r="J1271" i="7" s="1"/>
  <c r="L1271" i="7" s="1"/>
  <c r="I1207" i="7"/>
  <c r="J1207" i="7" s="1"/>
  <c r="L1207" i="7" s="1"/>
  <c r="I1194" i="12"/>
  <c r="J1194" i="12" s="1"/>
  <c r="M1194" i="12" s="1"/>
  <c r="I1243" i="12"/>
  <c r="J1243" i="12" s="1"/>
  <c r="M1243" i="12" s="1"/>
  <c r="I1292" i="12"/>
  <c r="J1292" i="12" s="1"/>
  <c r="M1292" i="12" s="1"/>
  <c r="I1180" i="12"/>
  <c r="J1180" i="12" s="1"/>
  <c r="M1180" i="12" s="1"/>
  <c r="I1270" i="12"/>
  <c r="J1270" i="12" s="1"/>
  <c r="M1270" i="12" s="1"/>
  <c r="I1206" i="12"/>
  <c r="J1206" i="12" s="1"/>
  <c r="M1206" i="12" s="1"/>
  <c r="I1289" i="12"/>
  <c r="J1289" i="12" s="1"/>
  <c r="M1289" i="12" s="1"/>
  <c r="I1225" i="12"/>
  <c r="J1225" i="12" s="1"/>
  <c r="M1225" i="12" s="1"/>
  <c r="I1161" i="12"/>
  <c r="J1161" i="12" s="1"/>
  <c r="M1161" i="12" s="1"/>
  <c r="I1176" i="12"/>
  <c r="J1176" i="12" s="1"/>
  <c r="M1176" i="12" s="1"/>
  <c r="I1271" i="12"/>
  <c r="J1271" i="12" s="1"/>
  <c r="M1271" i="12" s="1"/>
  <c r="I1207" i="12"/>
  <c r="J1207" i="12" s="1"/>
  <c r="M1207" i="12" s="1"/>
  <c r="H974" i="33"/>
  <c r="K1161" i="33"/>
  <c r="M1161" i="33" s="1"/>
  <c r="P1161" i="33" s="1"/>
  <c r="K1199" i="33"/>
  <c r="M1199" i="33" s="1"/>
  <c r="P1199" i="33" s="1"/>
  <c r="K1154" i="33"/>
  <c r="M1154" i="33" s="1"/>
  <c r="P1154" i="33" s="1"/>
  <c r="K1207" i="33"/>
  <c r="M1207" i="33" s="1"/>
  <c r="P1207" i="33" s="1"/>
  <c r="K1221" i="33"/>
  <c r="M1221" i="33" s="1"/>
  <c r="P1221" i="33" s="1"/>
  <c r="K1157" i="33"/>
  <c r="M1157" i="33" s="1"/>
  <c r="P1157" i="33" s="1"/>
  <c r="K1166" i="33"/>
  <c r="M1166" i="33" s="1"/>
  <c r="P1166" i="33" s="1"/>
  <c r="I1140" i="5"/>
  <c r="J1140" i="5" s="1"/>
  <c r="L1140" i="5" s="1"/>
  <c r="I851" i="7"/>
  <c r="J851" i="7" s="1"/>
  <c r="L851" i="7" s="1"/>
  <c r="I865" i="5"/>
  <c r="J865" i="5" s="1"/>
  <c r="L865" i="5" s="1"/>
  <c r="L831" i="5"/>
  <c r="L911" i="5"/>
  <c r="L975" i="5"/>
  <c r="L1039" i="5"/>
  <c r="I1099" i="7"/>
  <c r="J1099" i="7" s="1"/>
  <c r="L1099" i="7" s="1"/>
  <c r="I1115" i="7"/>
  <c r="J1115" i="7" s="1"/>
  <c r="L1115" i="7" s="1"/>
  <c r="I1139" i="7"/>
  <c r="J1139" i="7" s="1"/>
  <c r="L1139" i="7" s="1"/>
  <c r="L854" i="5"/>
  <c r="I988" i="5"/>
  <c r="J988" i="5" s="1"/>
  <c r="L988" i="5" s="1"/>
  <c r="I1116" i="5"/>
  <c r="J1116" i="5" s="1"/>
  <c r="L1116" i="5" s="1"/>
  <c r="I917" i="7"/>
  <c r="J917" i="7" s="1"/>
  <c r="L917" i="7" s="1"/>
  <c r="I841" i="5"/>
  <c r="J841" i="5" s="1"/>
  <c r="L841" i="5" s="1"/>
  <c r="I937" i="5"/>
  <c r="J937" i="5" s="1"/>
  <c r="L937" i="5" s="1"/>
  <c r="I1001" i="5"/>
  <c r="J1001" i="5" s="1"/>
  <c r="L1001" i="5" s="1"/>
  <c r="I1065" i="5"/>
  <c r="J1065" i="5" s="1"/>
  <c r="L1065" i="5" s="1"/>
  <c r="I1129" i="5"/>
  <c r="J1129" i="5" s="1"/>
  <c r="L1129" i="5" s="1"/>
  <c r="G842" i="5"/>
  <c r="K842" i="5"/>
  <c r="D842" i="5"/>
  <c r="E842" i="5" s="1"/>
  <c r="F842" i="5"/>
  <c r="H842" i="5" s="1"/>
  <c r="K906" i="5"/>
  <c r="D906" i="5"/>
  <c r="E906" i="5" s="1"/>
  <c r="F906" i="5"/>
  <c r="H906" i="5" s="1"/>
  <c r="G906" i="5"/>
  <c r="K970" i="5"/>
  <c r="D970" i="5"/>
  <c r="E970" i="5" s="1"/>
  <c r="F970" i="5"/>
  <c r="H970" i="5" s="1"/>
  <c r="G970" i="5"/>
  <c r="K1034" i="5"/>
  <c r="D1034" i="5"/>
  <c r="E1034" i="5" s="1"/>
  <c r="F1034" i="5"/>
  <c r="H1034" i="5" s="1"/>
  <c r="G1034" i="5"/>
  <c r="D1106" i="5"/>
  <c r="E1106" i="5" s="1"/>
  <c r="K1106" i="5"/>
  <c r="F1106" i="5"/>
  <c r="H1106" i="5" s="1"/>
  <c r="G1106" i="5"/>
  <c r="D1138" i="5"/>
  <c r="E1138" i="5" s="1"/>
  <c r="K1138" i="5"/>
  <c r="F1138" i="5"/>
  <c r="H1138" i="5" s="1"/>
  <c r="G1138" i="5"/>
  <c r="G850" i="5"/>
  <c r="D850" i="5"/>
  <c r="E850" i="5" s="1"/>
  <c r="K850" i="5"/>
  <c r="F850" i="5"/>
  <c r="H850" i="5" s="1"/>
  <c r="D914" i="5"/>
  <c r="E914" i="5" s="1"/>
  <c r="K914" i="5"/>
  <c r="F914" i="5"/>
  <c r="H914" i="5" s="1"/>
  <c r="G914" i="5"/>
  <c r="D978" i="5"/>
  <c r="E978" i="5" s="1"/>
  <c r="K978" i="5"/>
  <c r="F978" i="5"/>
  <c r="H978" i="5" s="1"/>
  <c r="G978" i="5"/>
  <c r="D1042" i="5"/>
  <c r="E1042" i="5" s="1"/>
  <c r="K1042" i="5"/>
  <c r="F1042" i="5"/>
  <c r="H1042" i="5" s="1"/>
  <c r="G1042" i="5"/>
  <c r="K1098" i="5"/>
  <c r="D1098" i="5"/>
  <c r="E1098" i="5" s="1"/>
  <c r="F1098" i="5"/>
  <c r="H1098" i="5" s="1"/>
  <c r="G1098" i="5"/>
  <c r="L935" i="5"/>
  <c r="L1031" i="5"/>
  <c r="L1127" i="5"/>
  <c r="I893" i="5"/>
  <c r="J893" i="5" s="1"/>
  <c r="L893" i="5" s="1"/>
  <c r="I909" i="5"/>
  <c r="J909" i="5" s="1"/>
  <c r="L909" i="5" s="1"/>
  <c r="I925" i="5"/>
  <c r="J925" i="5" s="1"/>
  <c r="L925" i="5" s="1"/>
  <c r="I941" i="5"/>
  <c r="J941" i="5" s="1"/>
  <c r="L941" i="5" s="1"/>
  <c r="I957" i="5"/>
  <c r="J957" i="5" s="1"/>
  <c r="L957" i="5" s="1"/>
  <c r="I973" i="5"/>
  <c r="J973" i="5" s="1"/>
  <c r="L973" i="5" s="1"/>
  <c r="I989" i="5"/>
  <c r="J989" i="5" s="1"/>
  <c r="I1005" i="5"/>
  <c r="J1005" i="5" s="1"/>
  <c r="L1005" i="5" s="1"/>
  <c r="I1021" i="5"/>
  <c r="J1021" i="5" s="1"/>
  <c r="L1021" i="5" s="1"/>
  <c r="I1037" i="5"/>
  <c r="J1037" i="5" s="1"/>
  <c r="I1053" i="5"/>
  <c r="J1053" i="5" s="1"/>
  <c r="L1053" i="5" s="1"/>
  <c r="I1069" i="5"/>
  <c r="J1069" i="5" s="1"/>
  <c r="L1069" i="5" s="1"/>
  <c r="I1085" i="5"/>
  <c r="J1085" i="5" s="1"/>
  <c r="L1085" i="5" s="1"/>
  <c r="I1101" i="5"/>
  <c r="J1101" i="5" s="1"/>
  <c r="I1117" i="5"/>
  <c r="J1117" i="5" s="1"/>
  <c r="L1117" i="5" s="1"/>
  <c r="O936" i="33"/>
  <c r="N936" i="33"/>
  <c r="J936" i="33"/>
  <c r="F936" i="33"/>
  <c r="D936" i="33"/>
  <c r="E936" i="33" s="1"/>
  <c r="G936" i="33"/>
  <c r="H936" i="33" s="1"/>
  <c r="N890" i="33"/>
  <c r="O890" i="33"/>
  <c r="J890" i="33"/>
  <c r="G890" i="33"/>
  <c r="H890" i="33" s="1"/>
  <c r="F890" i="33"/>
  <c r="D890" i="33"/>
  <c r="E890" i="33" s="1"/>
  <c r="O986" i="33"/>
  <c r="J986" i="33"/>
  <c r="N986" i="33"/>
  <c r="D986" i="33"/>
  <c r="E986" i="33" s="1"/>
  <c r="F986" i="33"/>
  <c r="G986" i="33"/>
  <c r="H986" i="33" s="1"/>
  <c r="N1114" i="33"/>
  <c r="O1114" i="33"/>
  <c r="J1114" i="33"/>
  <c r="F1114" i="33"/>
  <c r="I1114" i="33" s="1"/>
  <c r="D1114" i="33"/>
  <c r="E1114" i="33" s="1"/>
  <c r="G1114" i="33"/>
  <c r="H1114" i="33" s="1"/>
  <c r="J957" i="33"/>
  <c r="N957" i="33"/>
  <c r="O957" i="33"/>
  <c r="G957" i="33"/>
  <c r="H957" i="33" s="1"/>
  <c r="F957" i="33"/>
  <c r="D957" i="33"/>
  <c r="E957" i="33" s="1"/>
  <c r="J1061" i="33"/>
  <c r="N1061" i="33"/>
  <c r="O1061" i="33"/>
  <c r="G1061" i="33"/>
  <c r="H1061" i="33" s="1"/>
  <c r="F1061" i="33"/>
  <c r="I1061" i="33" s="1"/>
  <c r="D1061" i="33"/>
  <c r="E1061" i="33" s="1"/>
  <c r="N1093" i="33"/>
  <c r="O1093" i="33"/>
  <c r="J1093" i="33"/>
  <c r="G1093" i="33"/>
  <c r="H1093" i="33" s="1"/>
  <c r="F1093" i="33"/>
  <c r="D1093" i="33"/>
  <c r="E1093" i="33" s="1"/>
  <c r="I1127" i="33"/>
  <c r="K1127" i="33" s="1"/>
  <c r="M1127" i="33" s="1"/>
  <c r="P1127" i="33" s="1"/>
  <c r="K1105" i="12"/>
  <c r="L1105" i="12"/>
  <c r="F1105" i="12"/>
  <c r="H1105" i="12" s="1"/>
  <c r="G1105" i="12"/>
  <c r="D1105" i="12"/>
  <c r="E1105" i="12" s="1"/>
  <c r="K864" i="12"/>
  <c r="L864" i="12"/>
  <c r="F864" i="12"/>
  <c r="H864" i="12" s="1"/>
  <c r="G864" i="12"/>
  <c r="D864" i="12"/>
  <c r="E864" i="12" s="1"/>
  <c r="L884" i="12"/>
  <c r="K884" i="12"/>
  <c r="G884" i="12"/>
  <c r="D884" i="12"/>
  <c r="E884" i="12" s="1"/>
  <c r="F884" i="12"/>
  <c r="H884" i="12" s="1"/>
  <c r="K1088" i="12"/>
  <c r="L1088" i="12"/>
  <c r="F1088" i="12"/>
  <c r="H1088" i="12" s="1"/>
  <c r="D1088" i="12"/>
  <c r="E1088" i="12" s="1"/>
  <c r="G1088" i="12"/>
  <c r="L858" i="12"/>
  <c r="K858" i="12"/>
  <c r="G858" i="12"/>
  <c r="F858" i="12"/>
  <c r="H858" i="12" s="1"/>
  <c r="D858" i="12"/>
  <c r="E858" i="12" s="1"/>
  <c r="L978" i="12"/>
  <c r="K978" i="12"/>
  <c r="G978" i="12"/>
  <c r="D978" i="12"/>
  <c r="E978" i="12" s="1"/>
  <c r="F978" i="12"/>
  <c r="L853" i="12"/>
  <c r="K853" i="12"/>
  <c r="G853" i="12"/>
  <c r="D853" i="12"/>
  <c r="E853" i="12" s="1"/>
  <c r="F853" i="12"/>
  <c r="H853" i="12" s="1"/>
  <c r="L1061" i="12"/>
  <c r="K1061" i="12"/>
  <c r="G1061" i="12"/>
  <c r="D1061" i="12"/>
  <c r="E1061" i="12" s="1"/>
  <c r="F1061" i="12"/>
  <c r="H1061" i="12" s="1"/>
  <c r="K872" i="12"/>
  <c r="F872" i="12"/>
  <c r="H872" i="12" s="1"/>
  <c r="L872" i="12"/>
  <c r="G872" i="12"/>
  <c r="D872" i="12"/>
  <c r="E872" i="12" s="1"/>
  <c r="K1145" i="12"/>
  <c r="F1145" i="12"/>
  <c r="H1145" i="12" s="1"/>
  <c r="L1145" i="12"/>
  <c r="G1145" i="12"/>
  <c r="D1145" i="12"/>
  <c r="E1145" i="12" s="1"/>
  <c r="L988" i="12"/>
  <c r="K988" i="12"/>
  <c r="G988" i="12"/>
  <c r="F988" i="12"/>
  <c r="H988" i="12" s="1"/>
  <c r="D988" i="12"/>
  <c r="E988" i="12" s="1"/>
  <c r="K910" i="12"/>
  <c r="L910" i="12"/>
  <c r="F910" i="12"/>
  <c r="H910" i="12" s="1"/>
  <c r="G910" i="12"/>
  <c r="D910" i="12"/>
  <c r="E910" i="12" s="1"/>
  <c r="L877" i="12"/>
  <c r="G877" i="12"/>
  <c r="K877" i="12"/>
  <c r="D877" i="12"/>
  <c r="E877" i="12" s="1"/>
  <c r="F877" i="12"/>
  <c r="H877" i="12" s="1"/>
  <c r="L933" i="12"/>
  <c r="K933" i="12"/>
  <c r="G933" i="12"/>
  <c r="D933" i="12"/>
  <c r="E933" i="12" s="1"/>
  <c r="F933" i="12"/>
  <c r="K984" i="12"/>
  <c r="F984" i="12"/>
  <c r="H984" i="12" s="1"/>
  <c r="L984" i="12"/>
  <c r="G984" i="12"/>
  <c r="D984" i="12"/>
  <c r="E984" i="12" s="1"/>
  <c r="L1108" i="12"/>
  <c r="K1108" i="12"/>
  <c r="G1108" i="12"/>
  <c r="D1108" i="12"/>
  <c r="E1108" i="12" s="1"/>
  <c r="F1108" i="12"/>
  <c r="H1108" i="12" s="1"/>
  <c r="K918" i="12"/>
  <c r="L918" i="12"/>
  <c r="F918" i="12"/>
  <c r="H918" i="12" s="1"/>
  <c r="G918" i="12"/>
  <c r="D918" i="12"/>
  <c r="E918" i="12" s="1"/>
  <c r="K888" i="12"/>
  <c r="F888" i="12"/>
  <c r="H888" i="12" s="1"/>
  <c r="L888" i="12"/>
  <c r="G888" i="12"/>
  <c r="D888" i="12"/>
  <c r="E888" i="12" s="1"/>
  <c r="K968" i="12"/>
  <c r="F968" i="12"/>
  <c r="H968" i="12" s="1"/>
  <c r="L968" i="12"/>
  <c r="G968" i="12"/>
  <c r="D968" i="12"/>
  <c r="E968" i="12" s="1"/>
  <c r="M854" i="12"/>
  <c r="I1117" i="12"/>
  <c r="J1117" i="12" s="1"/>
  <c r="M1117" i="12" s="1"/>
  <c r="K847" i="12"/>
  <c r="L847" i="12"/>
  <c r="F847" i="12"/>
  <c r="H847" i="12" s="1"/>
  <c r="D847" i="12"/>
  <c r="E847" i="12" s="1"/>
  <c r="G847" i="12"/>
  <c r="K879" i="12"/>
  <c r="L879" i="12"/>
  <c r="F879" i="12"/>
  <c r="H879" i="12" s="1"/>
  <c r="D879" i="12"/>
  <c r="E879" i="12" s="1"/>
  <c r="G879" i="12"/>
  <c r="K911" i="12"/>
  <c r="L911" i="12"/>
  <c r="F911" i="12"/>
  <c r="H911" i="12" s="1"/>
  <c r="D911" i="12"/>
  <c r="E911" i="12" s="1"/>
  <c r="G911" i="12"/>
  <c r="K943" i="12"/>
  <c r="L943" i="12"/>
  <c r="F943" i="12"/>
  <c r="H943" i="12" s="1"/>
  <c r="D943" i="12"/>
  <c r="E943" i="12" s="1"/>
  <c r="G943" i="12"/>
  <c r="K975" i="12"/>
  <c r="L975" i="12"/>
  <c r="F975" i="12"/>
  <c r="H975" i="12" s="1"/>
  <c r="D975" i="12"/>
  <c r="E975" i="12" s="1"/>
  <c r="G975" i="12"/>
  <c r="K1007" i="12"/>
  <c r="F1007" i="12"/>
  <c r="H1007" i="12" s="1"/>
  <c r="D1007" i="12"/>
  <c r="E1007" i="12" s="1"/>
  <c r="L1007" i="12"/>
  <c r="G1007" i="12"/>
  <c r="F938" i="7"/>
  <c r="H938" i="7" s="1"/>
  <c r="D938" i="7"/>
  <c r="E938" i="7" s="1"/>
  <c r="G938" i="7"/>
  <c r="K938" i="7"/>
  <c r="F1066" i="7"/>
  <c r="H1066" i="7" s="1"/>
  <c r="D1066" i="7"/>
  <c r="E1066" i="7" s="1"/>
  <c r="K1066" i="7"/>
  <c r="G1066" i="7"/>
  <c r="F933" i="7"/>
  <c r="H933" i="7" s="1"/>
  <c r="D933" i="7"/>
  <c r="E933" i="7" s="1"/>
  <c r="K933" i="7"/>
  <c r="G933" i="7"/>
  <c r="K846" i="7"/>
  <c r="G846" i="7"/>
  <c r="D846" i="7"/>
  <c r="E846" i="7" s="1"/>
  <c r="F846" i="7"/>
  <c r="H846" i="7" s="1"/>
  <c r="K878" i="7"/>
  <c r="G878" i="7"/>
  <c r="D878" i="7"/>
  <c r="E878" i="7" s="1"/>
  <c r="F878" i="7"/>
  <c r="H878" i="7" s="1"/>
  <c r="K910" i="7"/>
  <c r="G910" i="7"/>
  <c r="D910" i="7"/>
  <c r="E910" i="7" s="1"/>
  <c r="F910" i="7"/>
  <c r="H910" i="7" s="1"/>
  <c r="K942" i="7"/>
  <c r="G942" i="7"/>
  <c r="D942" i="7"/>
  <c r="E942" i="7" s="1"/>
  <c r="F942" i="7"/>
  <c r="H942" i="7" s="1"/>
  <c r="K974" i="7"/>
  <c r="G974" i="7"/>
  <c r="D974" i="7"/>
  <c r="E974" i="7" s="1"/>
  <c r="F974" i="7"/>
  <c r="H974" i="7" s="1"/>
  <c r="K1006" i="7"/>
  <c r="G1006" i="7"/>
  <c r="D1006" i="7"/>
  <c r="E1006" i="7" s="1"/>
  <c r="F1006" i="7"/>
  <c r="H1006" i="7" s="1"/>
  <c r="K1038" i="7"/>
  <c r="G1038" i="7"/>
  <c r="D1038" i="7"/>
  <c r="E1038" i="7" s="1"/>
  <c r="F1038" i="7"/>
  <c r="H1038" i="7" s="1"/>
  <c r="K1070" i="7"/>
  <c r="G1070" i="7"/>
  <c r="D1070" i="7"/>
  <c r="E1070" i="7" s="1"/>
  <c r="F1070" i="7"/>
  <c r="H1070" i="7" s="1"/>
  <c r="K1102" i="7"/>
  <c r="G1102" i="7"/>
  <c r="D1102" i="7"/>
  <c r="E1102" i="7" s="1"/>
  <c r="F1102" i="7"/>
  <c r="H1102" i="7" s="1"/>
  <c r="K1134" i="7"/>
  <c r="G1134" i="7"/>
  <c r="D1134" i="7"/>
  <c r="E1134" i="7" s="1"/>
  <c r="F1134" i="7"/>
  <c r="H1134" i="7" s="1"/>
  <c r="L1090" i="7"/>
  <c r="F1123" i="7"/>
  <c r="H1123" i="7" s="1"/>
  <c r="D1123" i="7"/>
  <c r="E1123" i="7" s="1"/>
  <c r="K1123" i="7"/>
  <c r="G1123" i="7"/>
  <c r="G840" i="5"/>
  <c r="K840" i="5"/>
  <c r="D840" i="5"/>
  <c r="E840" i="5" s="1"/>
  <c r="F840" i="5"/>
  <c r="H840" i="5" s="1"/>
  <c r="G904" i="5"/>
  <c r="K904" i="5"/>
  <c r="D904" i="5"/>
  <c r="E904" i="5" s="1"/>
  <c r="F904" i="5"/>
  <c r="H904" i="5" s="1"/>
  <c r="G968" i="5"/>
  <c r="K968" i="5"/>
  <c r="D968" i="5"/>
  <c r="E968" i="5" s="1"/>
  <c r="F968" i="5"/>
  <c r="H968" i="5" s="1"/>
  <c r="G1032" i="5"/>
  <c r="K1032" i="5"/>
  <c r="D1032" i="5"/>
  <c r="E1032" i="5" s="1"/>
  <c r="F1032" i="5"/>
  <c r="H1032" i="5" s="1"/>
  <c r="G1096" i="5"/>
  <c r="K1096" i="5"/>
  <c r="D1096" i="5"/>
  <c r="E1096" i="5" s="1"/>
  <c r="F1096" i="5"/>
  <c r="H1096" i="5" s="1"/>
  <c r="I1291" i="7"/>
  <c r="J1291" i="7" s="1"/>
  <c r="L1291" i="7" s="1"/>
  <c r="L1165" i="7"/>
  <c r="L1276" i="7"/>
  <c r="M1235" i="12"/>
  <c r="I1272" i="7"/>
  <c r="J1272" i="7" s="1"/>
  <c r="L1272" i="7" s="1"/>
  <c r="I1208" i="7"/>
  <c r="J1208" i="7" s="1"/>
  <c r="L1208" i="7" s="1"/>
  <c r="I1229" i="12"/>
  <c r="J1229" i="12" s="1"/>
  <c r="M1229" i="12" s="1"/>
  <c r="M1280" i="12"/>
  <c r="I1211" i="12"/>
  <c r="J1211" i="12" s="1"/>
  <c r="M1211" i="12" s="1"/>
  <c r="I1217" i="12"/>
  <c r="J1217" i="12" s="1"/>
  <c r="M1217" i="12" s="1"/>
  <c r="I1263" i="12"/>
  <c r="J1263" i="12" s="1"/>
  <c r="M1263" i="12" s="1"/>
  <c r="K1215" i="33"/>
  <c r="M1215" i="33" s="1"/>
  <c r="P1215" i="33" s="1"/>
  <c r="K1194" i="33"/>
  <c r="M1194" i="33" s="1"/>
  <c r="P1194" i="33" s="1"/>
  <c r="P1149" i="33"/>
  <c r="K849" i="7"/>
  <c r="G849" i="7"/>
  <c r="F849" i="7"/>
  <c r="H849" i="7" s="1"/>
  <c r="D849" i="7"/>
  <c r="E849" i="7" s="1"/>
  <c r="K881" i="7"/>
  <c r="G881" i="7"/>
  <c r="F881" i="7"/>
  <c r="H881" i="7" s="1"/>
  <c r="D881" i="7"/>
  <c r="E881" i="7" s="1"/>
  <c r="K913" i="7"/>
  <c r="G913" i="7"/>
  <c r="F913" i="7"/>
  <c r="H913" i="7" s="1"/>
  <c r="D913" i="7"/>
  <c r="E913" i="7" s="1"/>
  <c r="K945" i="7"/>
  <c r="G945" i="7"/>
  <c r="F945" i="7"/>
  <c r="H945" i="7" s="1"/>
  <c r="D945" i="7"/>
  <c r="E945" i="7" s="1"/>
  <c r="K977" i="7"/>
  <c r="G977" i="7"/>
  <c r="F977" i="7"/>
  <c r="H977" i="7" s="1"/>
  <c r="D977" i="7"/>
  <c r="E977" i="7" s="1"/>
  <c r="K1009" i="7"/>
  <c r="G1009" i="7"/>
  <c r="F1009" i="7"/>
  <c r="H1009" i="7" s="1"/>
  <c r="D1009" i="7"/>
  <c r="E1009" i="7" s="1"/>
  <c r="K1041" i="7"/>
  <c r="G1041" i="7"/>
  <c r="F1041" i="7"/>
  <c r="H1041" i="7" s="1"/>
  <c r="D1041" i="7"/>
  <c r="E1041" i="7" s="1"/>
  <c r="K1073" i="7"/>
  <c r="G1073" i="7"/>
  <c r="F1073" i="7"/>
  <c r="H1073" i="7" s="1"/>
  <c r="D1073" i="7"/>
  <c r="E1073" i="7" s="1"/>
  <c r="K1105" i="7"/>
  <c r="G1105" i="7"/>
  <c r="F1105" i="7"/>
  <c r="H1105" i="7" s="1"/>
  <c r="D1105" i="7"/>
  <c r="E1105" i="7" s="1"/>
  <c r="K1137" i="7"/>
  <c r="G1137" i="7"/>
  <c r="F1137" i="7"/>
  <c r="H1137" i="7" s="1"/>
  <c r="D1137" i="7"/>
  <c r="E1137" i="7" s="1"/>
  <c r="I884" i="5"/>
  <c r="J884" i="5" s="1"/>
  <c r="L884" i="5" s="1"/>
  <c r="I829" i="5"/>
  <c r="J829" i="5" s="1"/>
  <c r="L829" i="5" s="1"/>
  <c r="I845" i="5"/>
  <c r="J845" i="5" s="1"/>
  <c r="L845" i="5" s="1"/>
  <c r="D830" i="8"/>
  <c r="E830" i="8" s="1"/>
  <c r="F830" i="8"/>
  <c r="G830" i="8" s="1"/>
  <c r="H830" i="8" s="1"/>
  <c r="F937" i="8"/>
  <c r="G937" i="8" s="1"/>
  <c r="H937" i="8" s="1"/>
  <c r="D937" i="8"/>
  <c r="E937" i="8" s="1"/>
  <c r="F1033" i="8"/>
  <c r="G1033" i="8" s="1"/>
  <c r="H1033" i="8" s="1"/>
  <c r="D1033" i="8"/>
  <c r="E1033" i="8" s="1"/>
  <c r="F1129" i="8"/>
  <c r="G1129" i="8" s="1"/>
  <c r="H1129" i="8" s="1"/>
  <c r="D1129" i="8"/>
  <c r="E1129" i="8" s="1"/>
  <c r="O932" i="33"/>
  <c r="J932" i="33"/>
  <c r="G932" i="33"/>
  <c r="H932" i="33" s="1"/>
  <c r="F932" i="33"/>
  <c r="D932" i="33"/>
  <c r="E932" i="33" s="1"/>
  <c r="N932" i="33"/>
  <c r="O1124" i="33"/>
  <c r="N1124" i="33"/>
  <c r="J1124" i="33"/>
  <c r="G1124" i="33"/>
  <c r="F1124" i="33"/>
  <c r="D1124" i="33"/>
  <c r="E1124" i="33" s="1"/>
  <c r="N979" i="33"/>
  <c r="O979" i="33"/>
  <c r="J979" i="33"/>
  <c r="G979" i="33"/>
  <c r="H979" i="33" s="1"/>
  <c r="F979" i="33"/>
  <c r="D979" i="33"/>
  <c r="E979" i="33" s="1"/>
  <c r="N1107" i="33"/>
  <c r="O1107" i="33"/>
  <c r="J1107" i="33"/>
  <c r="G1107" i="33"/>
  <c r="F1107" i="33"/>
  <c r="D1107" i="33"/>
  <c r="E1107" i="33" s="1"/>
  <c r="F899" i="8"/>
  <c r="G899" i="8" s="1"/>
  <c r="H899" i="8" s="1"/>
  <c r="D899" i="8"/>
  <c r="E899" i="8" s="1"/>
  <c r="F1059" i="8"/>
  <c r="G1059" i="8" s="1"/>
  <c r="H1059" i="8" s="1"/>
  <c r="D1059" i="8"/>
  <c r="E1059" i="8" s="1"/>
  <c r="F956" i="8"/>
  <c r="G956" i="8" s="1"/>
  <c r="H956" i="8" s="1"/>
  <c r="D956" i="8"/>
  <c r="E956" i="8" s="1"/>
  <c r="F1084" i="8"/>
  <c r="G1084" i="8" s="1"/>
  <c r="H1084" i="8" s="1"/>
  <c r="D1084" i="8"/>
  <c r="E1084" i="8" s="1"/>
  <c r="F949" i="8"/>
  <c r="G949" i="8" s="1"/>
  <c r="H949" i="8" s="1"/>
  <c r="D949" i="8"/>
  <c r="E949" i="8" s="1"/>
  <c r="F1045" i="8"/>
  <c r="G1045" i="8" s="1"/>
  <c r="H1045" i="8" s="1"/>
  <c r="D1045" i="8"/>
  <c r="E1045" i="8" s="1"/>
  <c r="F850" i="8"/>
  <c r="G850" i="8" s="1"/>
  <c r="H850" i="8" s="1"/>
  <c r="D850" i="8"/>
  <c r="E850" i="8" s="1"/>
  <c r="F978" i="8"/>
  <c r="G978" i="8" s="1"/>
  <c r="H978" i="8" s="1"/>
  <c r="D978" i="8"/>
  <c r="E978" i="8" s="1"/>
  <c r="F1106" i="8"/>
  <c r="G1106" i="8" s="1"/>
  <c r="H1106" i="8" s="1"/>
  <c r="D1106" i="8"/>
  <c r="E1106" i="8" s="1"/>
  <c r="F1126" i="8"/>
  <c r="G1126" i="8" s="1"/>
  <c r="H1126" i="8" s="1"/>
  <c r="D1126" i="8"/>
  <c r="E1126" i="8" s="1"/>
  <c r="F895" i="8"/>
  <c r="G895" i="8" s="1"/>
  <c r="H895" i="8" s="1"/>
  <c r="D895" i="8"/>
  <c r="E895" i="8" s="1"/>
  <c r="F959" i="8"/>
  <c r="G959" i="8" s="1"/>
  <c r="H959" i="8" s="1"/>
  <c r="D959" i="8"/>
  <c r="E959" i="8" s="1"/>
  <c r="F1119" i="8"/>
  <c r="G1119" i="8" s="1"/>
  <c r="H1119" i="8" s="1"/>
  <c r="D1119" i="8"/>
  <c r="E1119" i="8" s="1"/>
  <c r="N876" i="33"/>
  <c r="O876" i="33"/>
  <c r="G876" i="33"/>
  <c r="H876" i="33" s="1"/>
  <c r="F876" i="33"/>
  <c r="D876" i="33"/>
  <c r="E876" i="33" s="1"/>
  <c r="J876" i="33"/>
  <c r="N1004" i="33"/>
  <c r="O1004" i="33"/>
  <c r="G1004" i="33"/>
  <c r="H1004" i="33" s="1"/>
  <c r="F1004" i="33"/>
  <c r="D1004" i="33"/>
  <c r="E1004" i="33" s="1"/>
  <c r="J1004" i="33"/>
  <c r="O1132" i="33"/>
  <c r="G1132" i="33"/>
  <c r="F1132" i="33"/>
  <c r="D1132" i="33"/>
  <c r="E1132" i="33" s="1"/>
  <c r="J1132" i="33"/>
  <c r="N1132" i="33"/>
  <c r="J987" i="33"/>
  <c r="O987" i="33"/>
  <c r="G987" i="33"/>
  <c r="H987" i="33" s="1"/>
  <c r="F987" i="33"/>
  <c r="D987" i="33"/>
  <c r="E987" i="33" s="1"/>
  <c r="N987" i="33"/>
  <c r="O976" i="33"/>
  <c r="N976" i="33"/>
  <c r="J976" i="33"/>
  <c r="D976" i="33"/>
  <c r="E976" i="33" s="1"/>
  <c r="G976" i="33"/>
  <c r="H976" i="33" s="1"/>
  <c r="F976" i="33"/>
  <c r="F864" i="8"/>
  <c r="G864" i="8" s="1"/>
  <c r="H864" i="8" s="1"/>
  <c r="D864" i="8"/>
  <c r="E864" i="8" s="1"/>
  <c r="F960" i="8"/>
  <c r="G960" i="8" s="1"/>
  <c r="H960" i="8" s="1"/>
  <c r="D960" i="8"/>
  <c r="E960" i="8" s="1"/>
  <c r="F1024" i="8"/>
  <c r="G1024" i="8" s="1"/>
  <c r="H1024" i="8" s="1"/>
  <c r="D1024" i="8"/>
  <c r="E1024" i="8" s="1"/>
  <c r="F1088" i="8"/>
  <c r="G1088" i="8" s="1"/>
  <c r="H1088" i="8" s="1"/>
  <c r="D1088" i="8"/>
  <c r="E1088" i="8" s="1"/>
  <c r="F1120" i="8"/>
  <c r="G1120" i="8" s="1"/>
  <c r="H1120" i="8" s="1"/>
  <c r="D1120" i="8"/>
  <c r="E1120" i="8" s="1"/>
  <c r="O1097" i="33"/>
  <c r="N1097" i="33"/>
  <c r="J1097" i="33"/>
  <c r="D1097" i="33"/>
  <c r="E1097" i="33" s="1"/>
  <c r="G1097" i="33"/>
  <c r="F1097" i="33"/>
  <c r="I1134" i="33"/>
  <c r="K1134" i="33" s="1"/>
  <c r="M1134" i="33" s="1"/>
  <c r="P1134" i="33" s="1"/>
  <c r="N954" i="33"/>
  <c r="O954" i="33"/>
  <c r="J954" i="33"/>
  <c r="G954" i="33"/>
  <c r="F954" i="33"/>
  <c r="D954" i="33"/>
  <c r="E954" i="33" s="1"/>
  <c r="N1029" i="33"/>
  <c r="O1029" i="33"/>
  <c r="J1029" i="33"/>
  <c r="G1029" i="33"/>
  <c r="H1029" i="33" s="1"/>
  <c r="F1029" i="33"/>
  <c r="D1029" i="33"/>
  <c r="E1029" i="33" s="1"/>
  <c r="I1063" i="33"/>
  <c r="K1063" i="33" s="1"/>
  <c r="M1063" i="33" s="1"/>
  <c r="P1063" i="33" s="1"/>
  <c r="I1046" i="12"/>
  <c r="J1046" i="12" s="1"/>
  <c r="M1046" i="12" s="1"/>
  <c r="I1057" i="12"/>
  <c r="J1057" i="12" s="1"/>
  <c r="M1057" i="12" s="1"/>
  <c r="F826" i="7"/>
  <c r="H826" i="7" s="1"/>
  <c r="D826" i="7"/>
  <c r="E826" i="7" s="1"/>
  <c r="K826" i="7"/>
  <c r="G826" i="7"/>
  <c r="F954" i="7"/>
  <c r="H954" i="7" s="1"/>
  <c r="D954" i="7"/>
  <c r="E954" i="7" s="1"/>
  <c r="K954" i="7"/>
  <c r="G954" i="7"/>
  <c r="F1082" i="7"/>
  <c r="H1082" i="7" s="1"/>
  <c r="D1082" i="7"/>
  <c r="E1082" i="7" s="1"/>
  <c r="K1082" i="7"/>
  <c r="G1082" i="7"/>
  <c r="F965" i="7"/>
  <c r="H965" i="7" s="1"/>
  <c r="D965" i="7"/>
  <c r="E965" i="7" s="1"/>
  <c r="K965" i="7"/>
  <c r="G965" i="7"/>
  <c r="K823" i="7"/>
  <c r="G823" i="7"/>
  <c r="D823" i="7"/>
  <c r="E823" i="7" s="1"/>
  <c r="F823" i="7"/>
  <c r="H823" i="7" s="1"/>
  <c r="K855" i="7"/>
  <c r="G855" i="7"/>
  <c r="D855" i="7"/>
  <c r="E855" i="7" s="1"/>
  <c r="F855" i="7"/>
  <c r="H855" i="7" s="1"/>
  <c r="K887" i="7"/>
  <c r="G887" i="7"/>
  <c r="D887" i="7"/>
  <c r="E887" i="7" s="1"/>
  <c r="F887" i="7"/>
  <c r="H887" i="7" s="1"/>
  <c r="K919" i="7"/>
  <c r="G919" i="7"/>
  <c r="D919" i="7"/>
  <c r="E919" i="7" s="1"/>
  <c r="F919" i="7"/>
  <c r="H919" i="7" s="1"/>
  <c r="K951" i="7"/>
  <c r="G951" i="7"/>
  <c r="D951" i="7"/>
  <c r="E951" i="7" s="1"/>
  <c r="F951" i="7"/>
  <c r="H951" i="7" s="1"/>
  <c r="K983" i="7"/>
  <c r="G983" i="7"/>
  <c r="D983" i="7"/>
  <c r="E983" i="7" s="1"/>
  <c r="F983" i="7"/>
  <c r="H983" i="7" s="1"/>
  <c r="K1015" i="7"/>
  <c r="G1015" i="7"/>
  <c r="D1015" i="7"/>
  <c r="E1015" i="7" s="1"/>
  <c r="F1015" i="7"/>
  <c r="H1015" i="7" s="1"/>
  <c r="K1047" i="7"/>
  <c r="G1047" i="7"/>
  <c r="D1047" i="7"/>
  <c r="E1047" i="7" s="1"/>
  <c r="F1047" i="7"/>
  <c r="H1047" i="7" s="1"/>
  <c r="K1079" i="7"/>
  <c r="G1079" i="7"/>
  <c r="D1079" i="7"/>
  <c r="E1079" i="7" s="1"/>
  <c r="F1079" i="7"/>
  <c r="H1079" i="7" s="1"/>
  <c r="K1111" i="7"/>
  <c r="G1111" i="7"/>
  <c r="D1111" i="7"/>
  <c r="E1111" i="7" s="1"/>
  <c r="F1111" i="7"/>
  <c r="H1111" i="7" s="1"/>
  <c r="K1143" i="7"/>
  <c r="G1143" i="7"/>
  <c r="D1143" i="7"/>
  <c r="E1143" i="7" s="1"/>
  <c r="F1143" i="7"/>
  <c r="H1143" i="7" s="1"/>
  <c r="K840" i="7"/>
  <c r="G840" i="7"/>
  <c r="D840" i="7"/>
  <c r="E840" i="7" s="1"/>
  <c r="F840" i="7"/>
  <c r="H840" i="7" s="1"/>
  <c r="K872" i="7"/>
  <c r="G872" i="7"/>
  <c r="D872" i="7"/>
  <c r="E872" i="7" s="1"/>
  <c r="F872" i="7"/>
  <c r="H872" i="7" s="1"/>
  <c r="K904" i="7"/>
  <c r="G904" i="7"/>
  <c r="D904" i="7"/>
  <c r="E904" i="7" s="1"/>
  <c r="F904" i="7"/>
  <c r="H904" i="7" s="1"/>
  <c r="K936" i="7"/>
  <c r="G936" i="7"/>
  <c r="D936" i="7"/>
  <c r="E936" i="7" s="1"/>
  <c r="F936" i="7"/>
  <c r="H936" i="7" s="1"/>
  <c r="K968" i="7"/>
  <c r="G968" i="7"/>
  <c r="D968" i="7"/>
  <c r="E968" i="7" s="1"/>
  <c r="F968" i="7"/>
  <c r="H968" i="7" s="1"/>
  <c r="K1000" i="7"/>
  <c r="G1000" i="7"/>
  <c r="D1000" i="7"/>
  <c r="E1000" i="7" s="1"/>
  <c r="F1000" i="7"/>
  <c r="H1000" i="7" s="1"/>
  <c r="K1032" i="7"/>
  <c r="G1032" i="7"/>
  <c r="D1032" i="7"/>
  <c r="E1032" i="7" s="1"/>
  <c r="F1032" i="7"/>
  <c r="H1032" i="7" s="1"/>
  <c r="K1064" i="7"/>
  <c r="G1064" i="7"/>
  <c r="D1064" i="7"/>
  <c r="E1064" i="7" s="1"/>
  <c r="F1064" i="7"/>
  <c r="H1064" i="7" s="1"/>
  <c r="K1096" i="7"/>
  <c r="G1096" i="7"/>
  <c r="D1096" i="7"/>
  <c r="E1096" i="7" s="1"/>
  <c r="F1096" i="7"/>
  <c r="H1096" i="7" s="1"/>
  <c r="K1128" i="7"/>
  <c r="G1128" i="7"/>
  <c r="D1128" i="7"/>
  <c r="E1128" i="7" s="1"/>
  <c r="F1128" i="7"/>
  <c r="H1128" i="7" s="1"/>
  <c r="K848" i="5"/>
  <c r="G848" i="5"/>
  <c r="D848" i="5"/>
  <c r="E848" i="5" s="1"/>
  <c r="F848" i="5"/>
  <c r="H848" i="5" s="1"/>
  <c r="G912" i="5"/>
  <c r="K912" i="5"/>
  <c r="D912" i="5"/>
  <c r="E912" i="5" s="1"/>
  <c r="F912" i="5"/>
  <c r="H912" i="5" s="1"/>
  <c r="G976" i="5"/>
  <c r="K976" i="5"/>
  <c r="D976" i="5"/>
  <c r="E976" i="5" s="1"/>
  <c r="F976" i="5"/>
  <c r="H976" i="5" s="1"/>
  <c r="G1040" i="5"/>
  <c r="K1040" i="5"/>
  <c r="D1040" i="5"/>
  <c r="E1040" i="5" s="1"/>
  <c r="F1040" i="5"/>
  <c r="H1040" i="5" s="1"/>
  <c r="G1104" i="5"/>
  <c r="K1104" i="5"/>
  <c r="D1104" i="5"/>
  <c r="E1104" i="5" s="1"/>
  <c r="F1104" i="5"/>
  <c r="H1104" i="5" s="1"/>
  <c r="I1255" i="7"/>
  <c r="J1255" i="7" s="1"/>
  <c r="L1255" i="7" s="1"/>
  <c r="I830" i="33"/>
  <c r="K830" i="33" s="1"/>
  <c r="M830" i="33" s="1"/>
  <c r="P830" i="33" s="1"/>
  <c r="I1160" i="12"/>
  <c r="J1160" i="12" s="1"/>
  <c r="M1160" i="12" s="1"/>
  <c r="I1191" i="12"/>
  <c r="J1191" i="12" s="1"/>
  <c r="M1191" i="12" s="1"/>
  <c r="K1183" i="33"/>
  <c r="M1183" i="33" s="1"/>
  <c r="P1183" i="33" s="1"/>
  <c r="P1205" i="33"/>
  <c r="K1214" i="33"/>
  <c r="M1214" i="33" s="1"/>
  <c r="P1214" i="33" s="1"/>
  <c r="I1045" i="7"/>
  <c r="J1045" i="7" s="1"/>
  <c r="L1045" i="7" s="1"/>
  <c r="L927" i="5"/>
  <c r="L991" i="5"/>
  <c r="L1055" i="5"/>
  <c r="L1119" i="5"/>
  <c r="I868" i="5"/>
  <c r="J868" i="5" s="1"/>
  <c r="L868" i="5" s="1"/>
  <c r="I1067" i="7"/>
  <c r="J1067" i="7" s="1"/>
  <c r="L1067" i="7" s="1"/>
  <c r="I1083" i="7"/>
  <c r="J1083" i="7" s="1"/>
  <c r="L1083" i="7" s="1"/>
  <c r="L822" i="5"/>
  <c r="L921" i="5"/>
  <c r="I985" i="5"/>
  <c r="J985" i="5" s="1"/>
  <c r="L985" i="5" s="1"/>
  <c r="I1113" i="5"/>
  <c r="J1113" i="5" s="1"/>
  <c r="L1113" i="5" s="1"/>
  <c r="G858" i="5"/>
  <c r="D858" i="5"/>
  <c r="E858" i="5" s="1"/>
  <c r="F858" i="5"/>
  <c r="H858" i="5" s="1"/>
  <c r="K858" i="5"/>
  <c r="D922" i="5"/>
  <c r="E922" i="5" s="1"/>
  <c r="F922" i="5"/>
  <c r="H922" i="5" s="1"/>
  <c r="K922" i="5"/>
  <c r="G922" i="5"/>
  <c r="D986" i="5"/>
  <c r="E986" i="5" s="1"/>
  <c r="F986" i="5"/>
  <c r="H986" i="5" s="1"/>
  <c r="K986" i="5"/>
  <c r="G986" i="5"/>
  <c r="D1050" i="5"/>
  <c r="E1050" i="5" s="1"/>
  <c r="F1050" i="5"/>
  <c r="H1050" i="5" s="1"/>
  <c r="G1050" i="5"/>
  <c r="K1050" i="5"/>
  <c r="D1114" i="5"/>
  <c r="E1114" i="5" s="1"/>
  <c r="F1114" i="5"/>
  <c r="H1114" i="5" s="1"/>
  <c r="G1114" i="5"/>
  <c r="K1114" i="5"/>
  <c r="G866" i="5"/>
  <c r="D866" i="5"/>
  <c r="E866" i="5" s="1"/>
  <c r="K866" i="5"/>
  <c r="F866" i="5"/>
  <c r="H866" i="5" s="1"/>
  <c r="D930" i="5"/>
  <c r="E930" i="5" s="1"/>
  <c r="K930" i="5"/>
  <c r="F930" i="5"/>
  <c r="H930" i="5" s="1"/>
  <c r="G930" i="5"/>
  <c r="D994" i="5"/>
  <c r="E994" i="5" s="1"/>
  <c r="K994" i="5"/>
  <c r="F994" i="5"/>
  <c r="H994" i="5" s="1"/>
  <c r="G994" i="5"/>
  <c r="D1058" i="5"/>
  <c r="E1058" i="5" s="1"/>
  <c r="K1058" i="5"/>
  <c r="F1058" i="5"/>
  <c r="H1058" i="5" s="1"/>
  <c r="G1058" i="5"/>
  <c r="D1146" i="5"/>
  <c r="E1146" i="5" s="1"/>
  <c r="F1146" i="5"/>
  <c r="H1146" i="5" s="1"/>
  <c r="G1146" i="5"/>
  <c r="K1146" i="5"/>
  <c r="I855" i="5"/>
  <c r="J855" i="5" s="1"/>
  <c r="L855" i="5" s="1"/>
  <c r="I861" i="5"/>
  <c r="J861" i="5" s="1"/>
  <c r="L861" i="5" s="1"/>
  <c r="I877" i="5"/>
  <c r="J877" i="5" s="1"/>
  <c r="L877" i="5" s="1"/>
  <c r="F884" i="8"/>
  <c r="G884" i="8" s="1"/>
  <c r="H884" i="8" s="1"/>
  <c r="D884" i="8"/>
  <c r="E884" i="8" s="1"/>
  <c r="F873" i="8"/>
  <c r="G873" i="8" s="1"/>
  <c r="H873" i="8" s="1"/>
  <c r="D873" i="8"/>
  <c r="E873" i="8" s="1"/>
  <c r="N1043" i="33"/>
  <c r="O1043" i="33"/>
  <c r="J1043" i="33"/>
  <c r="G1043" i="33"/>
  <c r="H1043" i="33" s="1"/>
  <c r="F1043" i="33"/>
  <c r="D1043" i="33"/>
  <c r="E1043" i="33" s="1"/>
  <c r="H1285" i="9"/>
  <c r="I1285" i="9" s="1"/>
  <c r="K1285" i="9" s="1"/>
  <c r="F931" i="8"/>
  <c r="G931" i="8" s="1"/>
  <c r="H931" i="8" s="1"/>
  <c r="D931" i="8"/>
  <c r="E931" i="8" s="1"/>
  <c r="F1027" i="8"/>
  <c r="G1027" i="8" s="1"/>
  <c r="H1027" i="8" s="1"/>
  <c r="D1027" i="8"/>
  <c r="E1027" i="8" s="1"/>
  <c r="F924" i="8"/>
  <c r="G924" i="8" s="1"/>
  <c r="H924" i="8" s="1"/>
  <c r="D924" i="8"/>
  <c r="E924" i="8" s="1"/>
  <c r="F1148" i="8"/>
  <c r="G1148" i="8" s="1"/>
  <c r="H1148" i="8" s="1"/>
  <c r="D1148" i="8"/>
  <c r="E1148" i="8" s="1"/>
  <c r="F1141" i="8"/>
  <c r="G1141" i="8" s="1"/>
  <c r="H1141" i="8" s="1"/>
  <c r="D1141" i="8"/>
  <c r="E1141" i="8" s="1"/>
  <c r="F914" i="8"/>
  <c r="G914" i="8" s="1"/>
  <c r="H914" i="8" s="1"/>
  <c r="D914" i="8"/>
  <c r="E914" i="8" s="1"/>
  <c r="F1074" i="8"/>
  <c r="G1074" i="8" s="1"/>
  <c r="H1074" i="8" s="1"/>
  <c r="D1074" i="8"/>
  <c r="E1074" i="8" s="1"/>
  <c r="F934" i="8"/>
  <c r="G934" i="8" s="1"/>
  <c r="H934" i="8" s="1"/>
  <c r="D934" i="8"/>
  <c r="E934" i="8" s="1"/>
  <c r="F998" i="8"/>
  <c r="G998" i="8" s="1"/>
  <c r="H998" i="8" s="1"/>
  <c r="D998" i="8"/>
  <c r="E998" i="8" s="1"/>
  <c r="D831" i="8"/>
  <c r="E831" i="8" s="1"/>
  <c r="F831" i="8"/>
  <c r="G831" i="8" s="1"/>
  <c r="H831" i="8" s="1"/>
  <c r="F927" i="8"/>
  <c r="G927" i="8" s="1"/>
  <c r="H927" i="8" s="1"/>
  <c r="D927" i="8"/>
  <c r="E927" i="8" s="1"/>
  <c r="F991" i="8"/>
  <c r="G991" i="8" s="1"/>
  <c r="H991" i="8" s="1"/>
  <c r="D991" i="8"/>
  <c r="E991" i="8" s="1"/>
  <c r="F1087" i="8"/>
  <c r="G1087" i="8" s="1"/>
  <c r="H1087" i="8" s="1"/>
  <c r="D1087" i="8"/>
  <c r="E1087" i="8" s="1"/>
  <c r="N940" i="33"/>
  <c r="O940" i="33"/>
  <c r="G940" i="33"/>
  <c r="H940" i="33" s="1"/>
  <c r="F940" i="33"/>
  <c r="D940" i="33"/>
  <c r="E940" i="33" s="1"/>
  <c r="J940" i="33"/>
  <c r="N859" i="33"/>
  <c r="J859" i="33"/>
  <c r="O859" i="33"/>
  <c r="G859" i="33"/>
  <c r="H859" i="33" s="1"/>
  <c r="F859" i="33"/>
  <c r="D859" i="33"/>
  <c r="E859" i="33" s="1"/>
  <c r="O912" i="33"/>
  <c r="N912" i="33"/>
  <c r="J912" i="33"/>
  <c r="D912" i="33"/>
  <c r="E912" i="33" s="1"/>
  <c r="G912" i="33"/>
  <c r="H912" i="33" s="1"/>
  <c r="F912" i="33"/>
  <c r="O1040" i="33"/>
  <c r="N1040" i="33"/>
  <c r="J1040" i="33"/>
  <c r="G1040" i="33"/>
  <c r="H1040" i="33" s="1"/>
  <c r="F1040" i="33"/>
  <c r="D1040" i="33"/>
  <c r="E1040" i="33" s="1"/>
  <c r="O1104" i="33"/>
  <c r="N1104" i="33"/>
  <c r="J1104" i="33"/>
  <c r="G1104" i="33"/>
  <c r="H1104" i="33" s="1"/>
  <c r="F1104" i="33"/>
  <c r="D1104" i="33"/>
  <c r="E1104" i="33" s="1"/>
  <c r="F896" i="8"/>
  <c r="G896" i="8" s="1"/>
  <c r="H896" i="8" s="1"/>
  <c r="D896" i="8"/>
  <c r="E896" i="8" s="1"/>
  <c r="O914" i="33"/>
  <c r="N914" i="33"/>
  <c r="J914" i="33"/>
  <c r="F914" i="33"/>
  <c r="G914" i="33"/>
  <c r="H914" i="33" s="1"/>
  <c r="D914" i="33"/>
  <c r="E914" i="33" s="1"/>
  <c r="O1042" i="33"/>
  <c r="N1042" i="33"/>
  <c r="J1042" i="33"/>
  <c r="D1042" i="33"/>
  <c r="E1042" i="33" s="1"/>
  <c r="F1042" i="33"/>
  <c r="G1042" i="33"/>
  <c r="H1042" i="33" s="1"/>
  <c r="N1082" i="33"/>
  <c r="O1082" i="33"/>
  <c r="J1082" i="33"/>
  <c r="G1082" i="33"/>
  <c r="F1082" i="33"/>
  <c r="D1082" i="33"/>
  <c r="E1082" i="33" s="1"/>
  <c r="O1133" i="33"/>
  <c r="J1133" i="33"/>
  <c r="G1133" i="33"/>
  <c r="H1133" i="33" s="1"/>
  <c r="F1133" i="33"/>
  <c r="D1133" i="33"/>
  <c r="E1133" i="33" s="1"/>
  <c r="N1133" i="33"/>
  <c r="I874" i="33"/>
  <c r="K874" i="33" s="1"/>
  <c r="M874" i="33" s="1"/>
  <c r="P874" i="33" s="1"/>
  <c r="K1017" i="12"/>
  <c r="F1017" i="12"/>
  <c r="H1017" i="12" s="1"/>
  <c r="L1017" i="12"/>
  <c r="G1017" i="12"/>
  <c r="D1017" i="12"/>
  <c r="E1017" i="12" s="1"/>
  <c r="K1023" i="12"/>
  <c r="F1023" i="12"/>
  <c r="H1023" i="12" s="1"/>
  <c r="D1023" i="12"/>
  <c r="E1023" i="12" s="1"/>
  <c r="L1023" i="12"/>
  <c r="G1023" i="12"/>
  <c r="K902" i="12"/>
  <c r="L902" i="12"/>
  <c r="F902" i="12"/>
  <c r="H902" i="12" s="1"/>
  <c r="G902" i="12"/>
  <c r="D902" i="12"/>
  <c r="E902" i="12" s="1"/>
  <c r="L908" i="12"/>
  <c r="K908" i="12"/>
  <c r="G908" i="12"/>
  <c r="F908" i="12"/>
  <c r="H908" i="12" s="1"/>
  <c r="D908" i="12"/>
  <c r="E908" i="12" s="1"/>
  <c r="L907" i="12"/>
  <c r="G907" i="12"/>
  <c r="K907" i="12"/>
  <c r="F907" i="12"/>
  <c r="H907" i="12" s="1"/>
  <c r="D907" i="12"/>
  <c r="E907" i="12" s="1"/>
  <c r="I1129" i="12"/>
  <c r="J1129" i="12" s="1"/>
  <c r="M1129" i="12" s="1"/>
  <c r="K928" i="12"/>
  <c r="L928" i="12"/>
  <c r="F928" i="12"/>
  <c r="H928" i="12" s="1"/>
  <c r="G928" i="12"/>
  <c r="D928" i="12"/>
  <c r="E928" i="12" s="1"/>
  <c r="L1107" i="12"/>
  <c r="G1107" i="12"/>
  <c r="K1107" i="12"/>
  <c r="D1107" i="12"/>
  <c r="E1107" i="12" s="1"/>
  <c r="F1107" i="12"/>
  <c r="H1107" i="12" s="1"/>
  <c r="L1044" i="12"/>
  <c r="K1044" i="12"/>
  <c r="G1044" i="12"/>
  <c r="D1044" i="12"/>
  <c r="E1044" i="12" s="1"/>
  <c r="F1044" i="12"/>
  <c r="H1044" i="12" s="1"/>
  <c r="F860" i="8"/>
  <c r="G860" i="8" s="1"/>
  <c r="H860" i="8" s="1"/>
  <c r="D860" i="8"/>
  <c r="E860" i="8" s="1"/>
  <c r="F913" i="8"/>
  <c r="G913" i="8" s="1"/>
  <c r="H913" i="8" s="1"/>
  <c r="D913" i="8"/>
  <c r="E913" i="8" s="1"/>
  <c r="F1009" i="8"/>
  <c r="G1009" i="8" s="1"/>
  <c r="H1009" i="8" s="1"/>
  <c r="D1009" i="8"/>
  <c r="E1009" i="8" s="1"/>
  <c r="F1137" i="8"/>
  <c r="G1137" i="8" s="1"/>
  <c r="H1137" i="8" s="1"/>
  <c r="D1137" i="8"/>
  <c r="E1137" i="8" s="1"/>
  <c r="N1140" i="33"/>
  <c r="O1140" i="33"/>
  <c r="G1140" i="33"/>
  <c r="F1140" i="33"/>
  <c r="J1140" i="33"/>
  <c r="D1140" i="33"/>
  <c r="E1140" i="33" s="1"/>
  <c r="I1078" i="33"/>
  <c r="K1078" i="33" s="1"/>
  <c r="M1078" i="33" s="1"/>
  <c r="P1078" i="33" s="1"/>
  <c r="K998" i="33"/>
  <c r="M998" i="33" s="1"/>
  <c r="P998" i="33" s="1"/>
  <c r="N898" i="33"/>
  <c r="J898" i="33"/>
  <c r="D898" i="33"/>
  <c r="E898" i="33" s="1"/>
  <c r="O898" i="33"/>
  <c r="G898" i="33"/>
  <c r="H898" i="33" s="1"/>
  <c r="F898" i="33"/>
  <c r="I864" i="33"/>
  <c r="K864" i="33" s="1"/>
  <c r="M864" i="33" s="1"/>
  <c r="P864" i="33" s="1"/>
  <c r="J1101" i="33"/>
  <c r="G1101" i="33"/>
  <c r="F1101" i="33"/>
  <c r="N1101" i="33"/>
  <c r="O1101" i="33"/>
  <c r="D1101" i="33"/>
  <c r="E1101" i="33" s="1"/>
  <c r="I960" i="33"/>
  <c r="K960" i="33" s="1"/>
  <c r="M960" i="33" s="1"/>
  <c r="P960" i="33" s="1"/>
  <c r="K920" i="12"/>
  <c r="F920" i="12"/>
  <c r="H920" i="12" s="1"/>
  <c r="L920" i="12"/>
  <c r="G920" i="12"/>
  <c r="D920" i="12"/>
  <c r="E920" i="12" s="1"/>
  <c r="I1113" i="12"/>
  <c r="J1113" i="12" s="1"/>
  <c r="M1113" i="12" s="1"/>
  <c r="L868" i="12"/>
  <c r="K868" i="12"/>
  <c r="G868" i="12"/>
  <c r="D868" i="12"/>
  <c r="E868" i="12" s="1"/>
  <c r="F868" i="12"/>
  <c r="H868" i="12" s="1"/>
  <c r="I1079" i="12"/>
  <c r="J1079" i="12" s="1"/>
  <c r="M1079" i="12" s="1"/>
  <c r="K950" i="12"/>
  <c r="L950" i="12"/>
  <c r="F950" i="12"/>
  <c r="H950" i="12" s="1"/>
  <c r="D950" i="12"/>
  <c r="E950" i="12" s="1"/>
  <c r="G950" i="12"/>
  <c r="L1116" i="12"/>
  <c r="K1116" i="12"/>
  <c r="G1116" i="12"/>
  <c r="F1116" i="12"/>
  <c r="H1116" i="12" s="1"/>
  <c r="D1116" i="12"/>
  <c r="E1116" i="12" s="1"/>
  <c r="L954" i="12"/>
  <c r="K954" i="12"/>
  <c r="G954" i="12"/>
  <c r="F954" i="12"/>
  <c r="D954" i="12"/>
  <c r="E954" i="12" s="1"/>
  <c r="K887" i="12"/>
  <c r="F887" i="12"/>
  <c r="H887" i="12" s="1"/>
  <c r="D887" i="12"/>
  <c r="E887" i="12" s="1"/>
  <c r="L887" i="12"/>
  <c r="G887" i="12"/>
  <c r="I889" i="12"/>
  <c r="J889" i="12" s="1"/>
  <c r="M889" i="12" s="1"/>
  <c r="F842" i="7"/>
  <c r="H842" i="7" s="1"/>
  <c r="D842" i="7"/>
  <c r="E842" i="7" s="1"/>
  <c r="K842" i="7"/>
  <c r="G842" i="7"/>
  <c r="K854" i="7"/>
  <c r="G854" i="7"/>
  <c r="F854" i="7"/>
  <c r="H854" i="7" s="1"/>
  <c r="D854" i="7"/>
  <c r="E854" i="7" s="1"/>
  <c r="K950" i="7"/>
  <c r="G950" i="7"/>
  <c r="F950" i="7"/>
  <c r="H950" i="7" s="1"/>
  <c r="D950" i="7"/>
  <c r="E950" i="7" s="1"/>
  <c r="K1014" i="7"/>
  <c r="G1014" i="7"/>
  <c r="F1014" i="7"/>
  <c r="H1014" i="7" s="1"/>
  <c r="D1014" i="7"/>
  <c r="E1014" i="7" s="1"/>
  <c r="K1110" i="7"/>
  <c r="G1110" i="7"/>
  <c r="F1110" i="7"/>
  <c r="H1110" i="7" s="1"/>
  <c r="D1110" i="7"/>
  <c r="E1110" i="7" s="1"/>
  <c r="I1178" i="7"/>
  <c r="J1178" i="7" s="1"/>
  <c r="L1178" i="7" s="1"/>
  <c r="K1167" i="33"/>
  <c r="M1167" i="33" s="1"/>
  <c r="P1167" i="33" s="1"/>
  <c r="K825" i="7"/>
  <c r="G825" i="7"/>
  <c r="D825" i="7"/>
  <c r="E825" i="7" s="1"/>
  <c r="F825" i="7"/>
  <c r="H825" i="7" s="1"/>
  <c r="K889" i="7"/>
  <c r="G889" i="7"/>
  <c r="D889" i="7"/>
  <c r="E889" i="7" s="1"/>
  <c r="F889" i="7"/>
  <c r="H889" i="7" s="1"/>
  <c r="K953" i="7"/>
  <c r="G953" i="7"/>
  <c r="D953" i="7"/>
  <c r="E953" i="7" s="1"/>
  <c r="F953" i="7"/>
  <c r="H953" i="7" s="1"/>
  <c r="K1049" i="7"/>
  <c r="G1049" i="7"/>
  <c r="D1049" i="7"/>
  <c r="E1049" i="7" s="1"/>
  <c r="F1049" i="7"/>
  <c r="H1049" i="7" s="1"/>
  <c r="H1262" i="9"/>
  <c r="I1262" i="9" s="1"/>
  <c r="K1262" i="9" s="1"/>
  <c r="I1296" i="5"/>
  <c r="J1296" i="5" s="1"/>
  <c r="L1296" i="5" s="1"/>
  <c r="K1180" i="9"/>
  <c r="H1016" i="9"/>
  <c r="I1016" i="9" s="1"/>
  <c r="K1016" i="9" s="1"/>
  <c r="H821" i="9"/>
  <c r="I821" i="9" s="1"/>
  <c r="K821" i="9" s="1"/>
  <c r="H1081" i="9"/>
  <c r="I1081" i="9" s="1"/>
  <c r="K1081" i="9" s="1"/>
  <c r="H1169" i="9"/>
  <c r="I1169" i="9" s="1"/>
  <c r="K1169" i="9" s="1"/>
  <c r="H847" i="9"/>
  <c r="I847" i="9" s="1"/>
  <c r="K847" i="9" s="1"/>
  <c r="H525" i="9"/>
  <c r="I525" i="9" s="1"/>
  <c r="K525" i="9" s="1"/>
  <c r="H1186" i="9"/>
  <c r="I1186" i="9" s="1"/>
  <c r="K1186" i="9" s="1"/>
  <c r="F843" i="8"/>
  <c r="G843" i="8" s="1"/>
  <c r="H843" i="8" s="1"/>
  <c r="D843" i="8"/>
  <c r="E843" i="8" s="1"/>
  <c r="F907" i="8"/>
  <c r="G907" i="8" s="1"/>
  <c r="H907" i="8" s="1"/>
  <c r="D907" i="8"/>
  <c r="E907" i="8" s="1"/>
  <c r="F971" i="8"/>
  <c r="G971" i="8" s="1"/>
  <c r="H971" i="8" s="1"/>
  <c r="D971" i="8"/>
  <c r="E971" i="8" s="1"/>
  <c r="F1003" i="8"/>
  <c r="G1003" i="8" s="1"/>
  <c r="H1003" i="8" s="1"/>
  <c r="D1003" i="8"/>
  <c r="E1003" i="8" s="1"/>
  <c r="F1035" i="8"/>
  <c r="G1035" i="8" s="1"/>
  <c r="H1035" i="8" s="1"/>
  <c r="D1035" i="8"/>
  <c r="E1035" i="8" s="1"/>
  <c r="F1099" i="8"/>
  <c r="G1099" i="8" s="1"/>
  <c r="H1099" i="8" s="1"/>
  <c r="D1099" i="8"/>
  <c r="E1099" i="8" s="1"/>
  <c r="F836" i="8"/>
  <c r="G836" i="8" s="1"/>
  <c r="H836" i="8" s="1"/>
  <c r="D836" i="8"/>
  <c r="E836" i="8" s="1"/>
  <c r="F932" i="8"/>
  <c r="G932" i="8" s="1"/>
  <c r="H932" i="8" s="1"/>
  <c r="D932" i="8"/>
  <c r="E932" i="8" s="1"/>
  <c r="F996" i="8"/>
  <c r="G996" i="8" s="1"/>
  <c r="H996" i="8" s="1"/>
  <c r="D996" i="8"/>
  <c r="E996" i="8" s="1"/>
  <c r="F1124" i="8"/>
  <c r="G1124" i="8" s="1"/>
  <c r="H1124" i="8" s="1"/>
  <c r="D1124" i="8"/>
  <c r="E1124" i="8" s="1"/>
  <c r="F925" i="8"/>
  <c r="G925" i="8" s="1"/>
  <c r="H925" i="8" s="1"/>
  <c r="D925" i="8"/>
  <c r="E925" i="8" s="1"/>
  <c r="F989" i="8"/>
  <c r="G989" i="8" s="1"/>
  <c r="H989" i="8" s="1"/>
  <c r="D989" i="8"/>
  <c r="E989" i="8" s="1"/>
  <c r="F1053" i="8"/>
  <c r="G1053" i="8" s="1"/>
  <c r="H1053" i="8" s="1"/>
  <c r="D1053" i="8"/>
  <c r="E1053" i="8" s="1"/>
  <c r="F1117" i="8"/>
  <c r="G1117" i="8" s="1"/>
  <c r="H1117" i="8" s="1"/>
  <c r="D1117" i="8"/>
  <c r="E1117" i="8" s="1"/>
  <c r="F858" i="8"/>
  <c r="G858" i="8" s="1"/>
  <c r="H858" i="8" s="1"/>
  <c r="D858" i="8"/>
  <c r="E858" i="8" s="1"/>
  <c r="F890" i="8"/>
  <c r="G890" i="8" s="1"/>
  <c r="H890" i="8" s="1"/>
  <c r="D890" i="8"/>
  <c r="E890" i="8" s="1"/>
  <c r="F954" i="8"/>
  <c r="G954" i="8" s="1"/>
  <c r="H954" i="8" s="1"/>
  <c r="D954" i="8"/>
  <c r="E954" i="8" s="1"/>
  <c r="F1050" i="8"/>
  <c r="G1050" i="8" s="1"/>
  <c r="H1050" i="8" s="1"/>
  <c r="D1050" i="8"/>
  <c r="E1050" i="8" s="1"/>
  <c r="F1082" i="8"/>
  <c r="G1082" i="8" s="1"/>
  <c r="H1082" i="8" s="1"/>
  <c r="D1082" i="8"/>
  <c r="E1082" i="8" s="1"/>
  <c r="F1146" i="8"/>
  <c r="G1146" i="8" s="1"/>
  <c r="H1146" i="8" s="1"/>
  <c r="D1146" i="8"/>
  <c r="E1146" i="8" s="1"/>
  <c r="F878" i="8"/>
  <c r="G878" i="8" s="1"/>
  <c r="H878" i="8" s="1"/>
  <c r="D878" i="8"/>
  <c r="E878" i="8" s="1"/>
  <c r="F942" i="8"/>
  <c r="G942" i="8" s="1"/>
  <c r="H942" i="8" s="1"/>
  <c r="D942" i="8"/>
  <c r="E942" i="8" s="1"/>
  <c r="F1006" i="8"/>
  <c r="G1006" i="8" s="1"/>
  <c r="H1006" i="8" s="1"/>
  <c r="D1006" i="8"/>
  <c r="E1006" i="8" s="1"/>
  <c r="F1070" i="8"/>
  <c r="G1070" i="8" s="1"/>
  <c r="H1070" i="8" s="1"/>
  <c r="D1070" i="8"/>
  <c r="E1070" i="8" s="1"/>
  <c r="D1134" i="8"/>
  <c r="E1134" i="8" s="1"/>
  <c r="F1134" i="8"/>
  <c r="G1134" i="8" s="1"/>
  <c r="H1134" i="8" s="1"/>
  <c r="F871" i="8"/>
  <c r="G871" i="8" s="1"/>
  <c r="H871" i="8" s="1"/>
  <c r="D871" i="8"/>
  <c r="E871" i="8" s="1"/>
  <c r="F935" i="8"/>
  <c r="G935" i="8" s="1"/>
  <c r="H935" i="8" s="1"/>
  <c r="D935" i="8"/>
  <c r="E935" i="8" s="1"/>
  <c r="F1063" i="8"/>
  <c r="G1063" i="8" s="1"/>
  <c r="H1063" i="8" s="1"/>
  <c r="D1063" i="8"/>
  <c r="E1063" i="8" s="1"/>
  <c r="F1127" i="8"/>
  <c r="G1127" i="8" s="1"/>
  <c r="H1127" i="8" s="1"/>
  <c r="D1127" i="8"/>
  <c r="E1127" i="8" s="1"/>
  <c r="O828" i="33"/>
  <c r="N828" i="33"/>
  <c r="J828" i="33"/>
  <c r="G828" i="33"/>
  <c r="H828" i="33" s="1"/>
  <c r="F828" i="33"/>
  <c r="D828" i="33"/>
  <c r="E828" i="33" s="1"/>
  <c r="O956" i="33"/>
  <c r="N956" i="33"/>
  <c r="G956" i="33"/>
  <c r="H956" i="33" s="1"/>
  <c r="F956" i="33"/>
  <c r="D956" i="33"/>
  <c r="E956" i="33" s="1"/>
  <c r="J956" i="33"/>
  <c r="O1084" i="33"/>
  <c r="J1084" i="33"/>
  <c r="G1084" i="33"/>
  <c r="F1084" i="33"/>
  <c r="D1084" i="33"/>
  <c r="E1084" i="33" s="1"/>
  <c r="N1084" i="33"/>
  <c r="O875" i="33"/>
  <c r="N875" i="33"/>
  <c r="G875" i="33"/>
  <c r="H875" i="33" s="1"/>
  <c r="F875" i="33"/>
  <c r="D875" i="33"/>
  <c r="E875" i="33" s="1"/>
  <c r="J875" i="33"/>
  <c r="N911" i="33"/>
  <c r="O911" i="33"/>
  <c r="D911" i="33"/>
  <c r="E911" i="33" s="1"/>
  <c r="F911" i="33"/>
  <c r="G911" i="33"/>
  <c r="H911" i="33" s="1"/>
  <c r="J911" i="33"/>
  <c r="O977" i="33"/>
  <c r="N977" i="33"/>
  <c r="J977" i="33"/>
  <c r="F977" i="33"/>
  <c r="G977" i="33"/>
  <c r="D977" i="33"/>
  <c r="E977" i="33" s="1"/>
  <c r="O920" i="33"/>
  <c r="N920" i="33"/>
  <c r="D920" i="33"/>
  <c r="E920" i="33" s="1"/>
  <c r="G920" i="33"/>
  <c r="H920" i="33" s="1"/>
  <c r="J920" i="33"/>
  <c r="F920" i="33"/>
  <c r="O1048" i="33"/>
  <c r="N1048" i="33"/>
  <c r="G1048" i="33"/>
  <c r="J1048" i="33"/>
  <c r="F1048" i="33"/>
  <c r="D1048" i="33"/>
  <c r="E1048" i="33" s="1"/>
  <c r="O1112" i="33"/>
  <c r="N1112" i="33"/>
  <c r="G1112" i="33"/>
  <c r="J1112" i="33"/>
  <c r="F1112" i="33"/>
  <c r="D1112" i="33"/>
  <c r="E1112" i="33" s="1"/>
  <c r="O921" i="33"/>
  <c r="N921" i="33"/>
  <c r="D921" i="33"/>
  <c r="E921" i="33" s="1"/>
  <c r="J921" i="33"/>
  <c r="F921" i="33"/>
  <c r="G921" i="33"/>
  <c r="H921" i="33" s="1"/>
  <c r="O1049" i="33"/>
  <c r="N1049" i="33"/>
  <c r="J1049" i="33"/>
  <c r="F1049" i="33"/>
  <c r="G1049" i="33"/>
  <c r="D1049" i="33"/>
  <c r="E1049" i="33" s="1"/>
  <c r="F840" i="8"/>
  <c r="G840" i="8" s="1"/>
  <c r="H840" i="8" s="1"/>
  <c r="D840" i="8"/>
  <c r="E840" i="8" s="1"/>
  <c r="F936" i="8"/>
  <c r="G936" i="8" s="1"/>
  <c r="H936" i="8" s="1"/>
  <c r="D936" i="8"/>
  <c r="E936" i="8" s="1"/>
  <c r="H1038" i="33"/>
  <c r="I1038" i="33" s="1"/>
  <c r="K1038" i="33" s="1"/>
  <c r="M1038" i="33" s="1"/>
  <c r="P1038" i="33" s="1"/>
  <c r="I942" i="33"/>
  <c r="K942" i="33" s="1"/>
  <c r="M942" i="33" s="1"/>
  <c r="P942" i="33" s="1"/>
  <c r="I967" i="33"/>
  <c r="K967" i="33" s="1"/>
  <c r="M967" i="33" s="1"/>
  <c r="P967" i="33" s="1"/>
  <c r="N962" i="33"/>
  <c r="O962" i="33"/>
  <c r="D962" i="33"/>
  <c r="E962" i="33" s="1"/>
  <c r="J962" i="33"/>
  <c r="G962" i="33"/>
  <c r="H962" i="33" s="1"/>
  <c r="F962" i="33"/>
  <c r="O994" i="33"/>
  <c r="N994" i="33"/>
  <c r="D994" i="33"/>
  <c r="E994" i="33" s="1"/>
  <c r="G994" i="33"/>
  <c r="H994" i="33" s="1"/>
  <c r="J994" i="33"/>
  <c r="F994" i="33"/>
  <c r="O1090" i="33"/>
  <c r="N1090" i="33"/>
  <c r="D1090" i="33"/>
  <c r="E1090" i="33" s="1"/>
  <c r="G1090" i="33"/>
  <c r="J1090" i="33"/>
  <c r="F1090" i="33"/>
  <c r="N901" i="33"/>
  <c r="O901" i="33"/>
  <c r="J901" i="33"/>
  <c r="G901" i="33"/>
  <c r="H901" i="33" s="1"/>
  <c r="F901" i="33"/>
  <c r="D901" i="33"/>
  <c r="E901" i="33" s="1"/>
  <c r="J1037" i="33"/>
  <c r="O1037" i="33"/>
  <c r="G1037" i="33"/>
  <c r="F1037" i="33"/>
  <c r="N1037" i="33"/>
  <c r="D1037" i="33"/>
  <c r="E1037" i="33" s="1"/>
  <c r="J1141" i="33"/>
  <c r="O1141" i="33"/>
  <c r="N1141" i="33"/>
  <c r="G1141" i="33"/>
  <c r="H1141" i="33" s="1"/>
  <c r="F1141" i="33"/>
  <c r="D1141" i="33"/>
  <c r="E1141" i="33" s="1"/>
  <c r="I999" i="33"/>
  <c r="K999" i="33" s="1"/>
  <c r="M999" i="33" s="1"/>
  <c r="P999" i="33" s="1"/>
  <c r="I1031" i="33"/>
  <c r="K1031" i="33" s="1"/>
  <c r="M1031" i="33" s="1"/>
  <c r="P1031" i="33" s="1"/>
  <c r="H1032" i="33"/>
  <c r="I1032" i="33" s="1"/>
  <c r="K1032" i="33" s="1"/>
  <c r="M1032" i="33" s="1"/>
  <c r="P1032" i="33" s="1"/>
  <c r="K1033" i="12"/>
  <c r="F1033" i="12"/>
  <c r="H1033" i="12" s="1"/>
  <c r="L1033" i="12"/>
  <c r="D1033" i="12"/>
  <c r="E1033" i="12" s="1"/>
  <c r="G1033" i="12"/>
  <c r="K1087" i="12"/>
  <c r="F1087" i="12"/>
  <c r="H1087" i="12" s="1"/>
  <c r="D1087" i="12"/>
  <c r="E1087" i="12" s="1"/>
  <c r="L1087" i="12"/>
  <c r="G1087" i="12"/>
  <c r="K849" i="12"/>
  <c r="L849" i="12"/>
  <c r="F849" i="12"/>
  <c r="H849" i="12" s="1"/>
  <c r="G849" i="12"/>
  <c r="D849" i="12"/>
  <c r="E849" i="12" s="1"/>
  <c r="L938" i="12"/>
  <c r="K938" i="12"/>
  <c r="G938" i="12"/>
  <c r="F938" i="12"/>
  <c r="H938" i="12" s="1"/>
  <c r="D938" i="12"/>
  <c r="E938" i="12" s="1"/>
  <c r="L986" i="12"/>
  <c r="K986" i="12"/>
  <c r="G986" i="12"/>
  <c r="F986" i="12"/>
  <c r="H986" i="12" s="1"/>
  <c r="D986" i="12"/>
  <c r="E986" i="12" s="1"/>
  <c r="L1141" i="12"/>
  <c r="K1141" i="12"/>
  <c r="G1141" i="12"/>
  <c r="D1141" i="12"/>
  <c r="E1141" i="12" s="1"/>
  <c r="F1141" i="12"/>
  <c r="H1141" i="12" s="1"/>
  <c r="L851" i="12"/>
  <c r="G851" i="12"/>
  <c r="K851" i="12"/>
  <c r="D851" i="12"/>
  <c r="E851" i="12" s="1"/>
  <c r="F851" i="12"/>
  <c r="H851" i="12" s="1"/>
  <c r="L883" i="12"/>
  <c r="K883" i="12"/>
  <c r="G883" i="12"/>
  <c r="D883" i="12"/>
  <c r="E883" i="12" s="1"/>
  <c r="F883" i="12"/>
  <c r="H883" i="12" s="1"/>
  <c r="L915" i="12"/>
  <c r="G915" i="12"/>
  <c r="K915" i="12"/>
  <c r="D915" i="12"/>
  <c r="E915" i="12" s="1"/>
  <c r="F915" i="12"/>
  <c r="H915" i="12" s="1"/>
  <c r="L947" i="12"/>
  <c r="G947" i="12"/>
  <c r="K947" i="12"/>
  <c r="F947" i="12"/>
  <c r="H947" i="12" s="1"/>
  <c r="D947" i="12"/>
  <c r="E947" i="12" s="1"/>
  <c r="L979" i="12"/>
  <c r="G979" i="12"/>
  <c r="K979" i="12"/>
  <c r="D979" i="12"/>
  <c r="E979" i="12" s="1"/>
  <c r="F979" i="12"/>
  <c r="H979" i="12" s="1"/>
  <c r="L1011" i="12"/>
  <c r="K1011" i="12"/>
  <c r="G1011" i="12"/>
  <c r="D1011" i="12"/>
  <c r="E1011" i="12" s="1"/>
  <c r="F1011" i="12"/>
  <c r="H1011" i="12" s="1"/>
  <c r="K945" i="12"/>
  <c r="L945" i="12"/>
  <c r="F945" i="12"/>
  <c r="H945" i="12" s="1"/>
  <c r="G945" i="12"/>
  <c r="D945" i="12"/>
  <c r="E945" i="12" s="1"/>
  <c r="I1078" i="12"/>
  <c r="J1078" i="12" s="1"/>
  <c r="M1078" i="12" s="1"/>
  <c r="L996" i="12"/>
  <c r="K996" i="12"/>
  <c r="G996" i="12"/>
  <c r="D996" i="12"/>
  <c r="E996" i="12" s="1"/>
  <c r="F996" i="12"/>
  <c r="H996" i="12" s="1"/>
  <c r="L965" i="12"/>
  <c r="K965" i="12"/>
  <c r="G965" i="12"/>
  <c r="F965" i="12"/>
  <c r="H965" i="12" s="1"/>
  <c r="D965" i="12"/>
  <c r="E965" i="12" s="1"/>
  <c r="L941" i="12"/>
  <c r="G941" i="12"/>
  <c r="K941" i="12"/>
  <c r="D941" i="12"/>
  <c r="E941" i="12" s="1"/>
  <c r="F941" i="12"/>
  <c r="H941" i="12" s="1"/>
  <c r="L874" i="12"/>
  <c r="K874" i="12"/>
  <c r="G874" i="12"/>
  <c r="F874" i="12"/>
  <c r="H874" i="12" s="1"/>
  <c r="D874" i="12"/>
  <c r="E874" i="12" s="1"/>
  <c r="I1128" i="12"/>
  <c r="J1128" i="12" s="1"/>
  <c r="M1128" i="12" s="1"/>
  <c r="I930" i="12"/>
  <c r="J930" i="12" s="1"/>
  <c r="M930" i="12" s="1"/>
  <c r="K862" i="12"/>
  <c r="L862" i="12"/>
  <c r="F862" i="12"/>
  <c r="H862" i="12" s="1"/>
  <c r="G862" i="12"/>
  <c r="D862" i="12"/>
  <c r="E862" i="12" s="1"/>
  <c r="K952" i="12"/>
  <c r="F952" i="12"/>
  <c r="H952" i="12" s="1"/>
  <c r="L952" i="12"/>
  <c r="G952" i="12"/>
  <c r="D952" i="12"/>
  <c r="E952" i="12" s="1"/>
  <c r="I1101" i="12"/>
  <c r="J1101" i="12" s="1"/>
  <c r="M1101" i="12" s="1"/>
  <c r="K823" i="12"/>
  <c r="F823" i="12"/>
  <c r="H823" i="12" s="1"/>
  <c r="D823" i="12"/>
  <c r="E823" i="12" s="1"/>
  <c r="L823" i="12"/>
  <c r="G823" i="12"/>
  <c r="K919" i="12"/>
  <c r="F919" i="12"/>
  <c r="H919" i="12" s="1"/>
  <c r="D919" i="12"/>
  <c r="E919" i="12" s="1"/>
  <c r="L919" i="12"/>
  <c r="G919" i="12"/>
  <c r="I1010" i="12"/>
  <c r="J1010" i="12" s="1"/>
  <c r="M1010" i="12" s="1"/>
  <c r="I956" i="12"/>
  <c r="J956" i="12" s="1"/>
  <c r="M956" i="12" s="1"/>
  <c r="F1029" i="7"/>
  <c r="H1029" i="7" s="1"/>
  <c r="D1029" i="7"/>
  <c r="E1029" i="7" s="1"/>
  <c r="K1029" i="7"/>
  <c r="G1029" i="7"/>
  <c r="I853" i="7"/>
  <c r="J853" i="7" s="1"/>
  <c r="L853" i="7" s="1"/>
  <c r="K863" i="7"/>
  <c r="G863" i="7"/>
  <c r="F863" i="7"/>
  <c r="H863" i="7" s="1"/>
  <c r="D863" i="7"/>
  <c r="E863" i="7" s="1"/>
  <c r="K927" i="7"/>
  <c r="G927" i="7"/>
  <c r="F927" i="7"/>
  <c r="H927" i="7" s="1"/>
  <c r="D927" i="7"/>
  <c r="E927" i="7" s="1"/>
  <c r="K991" i="7"/>
  <c r="G991" i="7"/>
  <c r="F991" i="7"/>
  <c r="H991" i="7" s="1"/>
  <c r="D991" i="7"/>
  <c r="E991" i="7" s="1"/>
  <c r="K1055" i="7"/>
  <c r="G1055" i="7"/>
  <c r="F1055" i="7"/>
  <c r="H1055" i="7" s="1"/>
  <c r="D1055" i="7"/>
  <c r="E1055" i="7" s="1"/>
  <c r="K880" i="7"/>
  <c r="G880" i="7"/>
  <c r="F880" i="7"/>
  <c r="H880" i="7" s="1"/>
  <c r="D880" i="7"/>
  <c r="E880" i="7" s="1"/>
  <c r="K976" i="7"/>
  <c r="G976" i="7"/>
  <c r="F976" i="7"/>
  <c r="H976" i="7" s="1"/>
  <c r="D976" i="7"/>
  <c r="E976" i="7" s="1"/>
  <c r="I866" i="7"/>
  <c r="J866" i="7" s="1"/>
  <c r="L866" i="7" s="1"/>
  <c r="K864" i="5"/>
  <c r="D864" i="5"/>
  <c r="E864" i="5" s="1"/>
  <c r="G864" i="5"/>
  <c r="F864" i="5"/>
  <c r="H864" i="5" s="1"/>
  <c r="K928" i="5"/>
  <c r="G928" i="5"/>
  <c r="D928" i="5"/>
  <c r="E928" i="5" s="1"/>
  <c r="F928" i="5"/>
  <c r="H928" i="5" s="1"/>
  <c r="K992" i="5"/>
  <c r="G992" i="5"/>
  <c r="D992" i="5"/>
  <c r="E992" i="5" s="1"/>
  <c r="F992" i="5"/>
  <c r="H992" i="5" s="1"/>
  <c r="K1056" i="5"/>
  <c r="G1056" i="5"/>
  <c r="D1056" i="5"/>
  <c r="E1056" i="5" s="1"/>
  <c r="F1056" i="5"/>
  <c r="H1056" i="5" s="1"/>
  <c r="K1120" i="5"/>
  <c r="G1120" i="5"/>
  <c r="D1120" i="5"/>
  <c r="E1120" i="5" s="1"/>
  <c r="F1120" i="5"/>
  <c r="H1120" i="5" s="1"/>
  <c r="I931" i="5"/>
  <c r="J931" i="5" s="1"/>
  <c r="L931" i="5" s="1"/>
  <c r="I1059" i="5"/>
  <c r="J1059" i="5" s="1"/>
  <c r="L1059" i="5" s="1"/>
  <c r="I1235" i="7"/>
  <c r="J1235" i="7" s="1"/>
  <c r="L1235" i="7" s="1"/>
  <c r="L1195" i="7"/>
  <c r="I1179" i="7"/>
  <c r="J1179" i="7" s="1"/>
  <c r="L1179" i="7" s="1"/>
  <c r="I1237" i="7"/>
  <c r="J1237" i="7" s="1"/>
  <c r="L1237" i="7" s="1"/>
  <c r="I1245" i="7"/>
  <c r="J1245" i="7" s="1"/>
  <c r="L1245" i="7" s="1"/>
  <c r="I1182" i="7"/>
  <c r="J1182" i="7" s="1"/>
  <c r="L1182" i="7" s="1"/>
  <c r="M1296" i="12"/>
  <c r="I1244" i="12"/>
  <c r="J1244" i="12" s="1"/>
  <c r="M1244" i="12" s="1"/>
  <c r="I1236" i="12"/>
  <c r="J1236" i="12" s="1"/>
  <c r="M1236" i="12" s="1"/>
  <c r="I1257" i="7"/>
  <c r="J1257" i="7" s="1"/>
  <c r="L1257" i="7" s="1"/>
  <c r="I1248" i="7"/>
  <c r="J1248" i="7" s="1"/>
  <c r="L1248" i="7" s="1"/>
  <c r="I1275" i="12"/>
  <c r="J1275" i="12" s="1"/>
  <c r="M1275" i="12" s="1"/>
  <c r="I1175" i="7"/>
  <c r="J1175" i="7" s="1"/>
  <c r="L1175" i="7" s="1"/>
  <c r="I1248" i="12"/>
  <c r="J1248" i="12" s="1"/>
  <c r="M1248" i="12" s="1"/>
  <c r="I1293" i="12"/>
  <c r="J1293" i="12" s="1"/>
  <c r="M1293" i="12" s="1"/>
  <c r="I1174" i="12"/>
  <c r="J1174" i="12" s="1"/>
  <c r="M1174" i="12" s="1"/>
  <c r="I1257" i="12"/>
  <c r="J1257" i="12" s="1"/>
  <c r="M1257" i="12" s="1"/>
  <c r="I1175" i="12"/>
  <c r="J1175" i="12" s="1"/>
  <c r="M1175" i="12" s="1"/>
  <c r="H871" i="33"/>
  <c r="I871" i="33" s="1"/>
  <c r="K871" i="33" s="1"/>
  <c r="M871" i="33" s="1"/>
  <c r="P871" i="33" s="1"/>
  <c r="P1160" i="33"/>
  <c r="K1188" i="33"/>
  <c r="M1188" i="33" s="1"/>
  <c r="P1188" i="33" s="1"/>
  <c r="P1163" i="33"/>
  <c r="K1162" i="33"/>
  <c r="M1162" i="33" s="1"/>
  <c r="P1162" i="33" s="1"/>
  <c r="P1151" i="33"/>
  <c r="K1172" i="33"/>
  <c r="M1172" i="33" s="1"/>
  <c r="P1172" i="33" s="1"/>
  <c r="K1153" i="33"/>
  <c r="M1153" i="33" s="1"/>
  <c r="P1153" i="33" s="1"/>
  <c r="K1193" i="33"/>
  <c r="M1193" i="33" s="1"/>
  <c r="P1193" i="33" s="1"/>
  <c r="K1168" i="33"/>
  <c r="M1168" i="33" s="1"/>
  <c r="P1168" i="33" s="1"/>
  <c r="K1189" i="33"/>
  <c r="M1189" i="33" s="1"/>
  <c r="P1189" i="33" s="1"/>
  <c r="I948" i="5"/>
  <c r="J948" i="5" s="1"/>
  <c r="L948" i="5" s="1"/>
  <c r="L971" i="7"/>
  <c r="L1019" i="7"/>
  <c r="I849" i="5"/>
  <c r="J849" i="5" s="1"/>
  <c r="L849" i="5" s="1"/>
  <c r="I969" i="5"/>
  <c r="J969" i="5" s="1"/>
  <c r="L969" i="5" s="1"/>
  <c r="I1097" i="5"/>
  <c r="J1097" i="5" s="1"/>
  <c r="L1097" i="5" s="1"/>
  <c r="G874" i="5"/>
  <c r="K874" i="5"/>
  <c r="D874" i="5"/>
  <c r="E874" i="5" s="1"/>
  <c r="F874" i="5"/>
  <c r="H874" i="5" s="1"/>
  <c r="K938" i="5"/>
  <c r="D938" i="5"/>
  <c r="E938" i="5" s="1"/>
  <c r="F938" i="5"/>
  <c r="H938" i="5" s="1"/>
  <c r="G938" i="5"/>
  <c r="K1002" i="5"/>
  <c r="D1002" i="5"/>
  <c r="E1002" i="5" s="1"/>
  <c r="F1002" i="5"/>
  <c r="H1002" i="5" s="1"/>
  <c r="G1002" i="5"/>
  <c r="K1066" i="5"/>
  <c r="D1066" i="5"/>
  <c r="E1066" i="5" s="1"/>
  <c r="F1066" i="5"/>
  <c r="H1066" i="5" s="1"/>
  <c r="G1066" i="5"/>
  <c r="D1122" i="5"/>
  <c r="E1122" i="5" s="1"/>
  <c r="K1122" i="5"/>
  <c r="F1122" i="5"/>
  <c r="H1122" i="5" s="1"/>
  <c r="G1122" i="5"/>
  <c r="G882" i="5"/>
  <c r="D882" i="5"/>
  <c r="E882" i="5" s="1"/>
  <c r="K882" i="5"/>
  <c r="F882" i="5"/>
  <c r="H882" i="5" s="1"/>
  <c r="D946" i="5"/>
  <c r="E946" i="5" s="1"/>
  <c r="K946" i="5"/>
  <c r="F946" i="5"/>
  <c r="H946" i="5" s="1"/>
  <c r="G946" i="5"/>
  <c r="D1010" i="5"/>
  <c r="E1010" i="5" s="1"/>
  <c r="K1010" i="5"/>
  <c r="F1010" i="5"/>
  <c r="H1010" i="5" s="1"/>
  <c r="G1010" i="5"/>
  <c r="D1074" i="5"/>
  <c r="E1074" i="5" s="1"/>
  <c r="K1074" i="5"/>
  <c r="F1074" i="5"/>
  <c r="H1074" i="5" s="1"/>
  <c r="G1074" i="5"/>
  <c r="I823" i="5"/>
  <c r="J823" i="5" s="1"/>
  <c r="L823" i="5" s="1"/>
  <c r="I887" i="5"/>
  <c r="J887" i="5" s="1"/>
  <c r="L887" i="5" s="1"/>
  <c r="I919" i="5"/>
  <c r="J919" i="5" s="1"/>
  <c r="L919" i="5" s="1"/>
  <c r="I951" i="5"/>
  <c r="J951" i="5" s="1"/>
  <c r="L951" i="5" s="1"/>
  <c r="I983" i="5"/>
  <c r="J983" i="5" s="1"/>
  <c r="L983" i="5" s="1"/>
  <c r="I1015" i="5"/>
  <c r="J1015" i="5" s="1"/>
  <c r="L1015" i="5" s="1"/>
  <c r="F852" i="8"/>
  <c r="G852" i="8" s="1"/>
  <c r="H852" i="8" s="1"/>
  <c r="D852" i="8"/>
  <c r="E852" i="8" s="1"/>
  <c r="F841" i="8"/>
  <c r="G841" i="8" s="1"/>
  <c r="H841" i="8" s="1"/>
  <c r="D841" i="8"/>
  <c r="E841" i="8" s="1"/>
  <c r="F969" i="8"/>
  <c r="G969" i="8" s="1"/>
  <c r="H969" i="8" s="1"/>
  <c r="D969" i="8"/>
  <c r="E969" i="8" s="1"/>
  <c r="F1065" i="8"/>
  <c r="G1065" i="8" s="1"/>
  <c r="H1065" i="8" s="1"/>
  <c r="D1065" i="8"/>
  <c r="E1065" i="8" s="1"/>
  <c r="O996" i="33"/>
  <c r="N996" i="33"/>
  <c r="J996" i="33"/>
  <c r="G996" i="33"/>
  <c r="H996" i="33" s="1"/>
  <c r="F996" i="33"/>
  <c r="I996" i="33" s="1"/>
  <c r="D996" i="33"/>
  <c r="E996" i="33" s="1"/>
  <c r="N851" i="33"/>
  <c r="O851" i="33"/>
  <c r="J851" i="33"/>
  <c r="G851" i="33"/>
  <c r="H851" i="33" s="1"/>
  <c r="F851" i="33"/>
  <c r="D851" i="33"/>
  <c r="E851" i="33" s="1"/>
  <c r="I950" i="33"/>
  <c r="K950" i="33" s="1"/>
  <c r="M950" i="33" s="1"/>
  <c r="P950" i="33" s="1"/>
  <c r="F867" i="8"/>
  <c r="G867" i="8" s="1"/>
  <c r="H867" i="8" s="1"/>
  <c r="D867" i="8"/>
  <c r="E867" i="8" s="1"/>
  <c r="F995" i="8"/>
  <c r="G995" i="8" s="1"/>
  <c r="H995" i="8" s="1"/>
  <c r="D995" i="8"/>
  <c r="E995" i="8" s="1"/>
  <c r="F1123" i="8"/>
  <c r="G1123" i="8" s="1"/>
  <c r="H1123" i="8" s="1"/>
  <c r="D1123" i="8"/>
  <c r="E1123" i="8" s="1"/>
  <c r="F1020" i="8"/>
  <c r="G1020" i="8" s="1"/>
  <c r="H1020" i="8" s="1"/>
  <c r="D1020" i="8"/>
  <c r="E1020" i="8" s="1"/>
  <c r="F885" i="8"/>
  <c r="G885" i="8" s="1"/>
  <c r="H885" i="8" s="1"/>
  <c r="D885" i="8"/>
  <c r="E885" i="8" s="1"/>
  <c r="F981" i="8"/>
  <c r="G981" i="8" s="1"/>
  <c r="H981" i="8" s="1"/>
  <c r="D981" i="8"/>
  <c r="E981" i="8" s="1"/>
  <c r="F1109" i="8"/>
  <c r="G1109" i="8" s="1"/>
  <c r="H1109" i="8" s="1"/>
  <c r="D1109" i="8"/>
  <c r="E1109" i="8" s="1"/>
  <c r="F882" i="8"/>
  <c r="G882" i="8" s="1"/>
  <c r="H882" i="8" s="1"/>
  <c r="D882" i="8"/>
  <c r="E882" i="8" s="1"/>
  <c r="F1010" i="8"/>
  <c r="G1010" i="8" s="1"/>
  <c r="H1010" i="8" s="1"/>
  <c r="D1010" i="8"/>
  <c r="E1010" i="8" s="1"/>
  <c r="F870" i="8"/>
  <c r="G870" i="8" s="1"/>
  <c r="H870" i="8" s="1"/>
  <c r="D870" i="8"/>
  <c r="E870" i="8" s="1"/>
  <c r="F1062" i="8"/>
  <c r="G1062" i="8" s="1"/>
  <c r="H1062" i="8" s="1"/>
  <c r="D1062" i="8"/>
  <c r="E1062" i="8" s="1"/>
  <c r="F1055" i="8"/>
  <c r="G1055" i="8" s="1"/>
  <c r="H1055" i="8" s="1"/>
  <c r="D1055" i="8"/>
  <c r="E1055" i="8" s="1"/>
  <c r="N1068" i="33"/>
  <c r="O1068" i="33"/>
  <c r="J1068" i="33"/>
  <c r="G1068" i="33"/>
  <c r="F1068" i="33"/>
  <c r="D1068" i="33"/>
  <c r="E1068" i="33" s="1"/>
  <c r="K910" i="33"/>
  <c r="M910" i="33" s="1"/>
  <c r="P910" i="33" s="1"/>
  <c r="O858" i="33"/>
  <c r="J858" i="33"/>
  <c r="N858" i="33"/>
  <c r="D858" i="33"/>
  <c r="E858" i="33" s="1"/>
  <c r="F858" i="33"/>
  <c r="G858" i="33"/>
  <c r="H858" i="33" s="1"/>
  <c r="I1073" i="33"/>
  <c r="K1073" i="33" s="1"/>
  <c r="M1073" i="33" s="1"/>
  <c r="P1073" i="33" s="1"/>
  <c r="J893" i="33"/>
  <c r="O893" i="33"/>
  <c r="N893" i="33"/>
  <c r="G893" i="33"/>
  <c r="H893" i="33" s="1"/>
  <c r="F893" i="33"/>
  <c r="D893" i="33"/>
  <c r="E893" i="33" s="1"/>
  <c r="I1001" i="12"/>
  <c r="J1001" i="12" s="1"/>
  <c r="M1001" i="12" s="1"/>
  <c r="K1104" i="12"/>
  <c r="L1104" i="12"/>
  <c r="F1104" i="12"/>
  <c r="H1104" i="12" s="1"/>
  <c r="G1104" i="12"/>
  <c r="D1104" i="12"/>
  <c r="E1104" i="12" s="1"/>
  <c r="L866" i="12"/>
  <c r="K866" i="12"/>
  <c r="G866" i="12"/>
  <c r="D866" i="12"/>
  <c r="E866" i="12" s="1"/>
  <c r="F866" i="12"/>
  <c r="H866" i="12" s="1"/>
  <c r="L843" i="12"/>
  <c r="G843" i="12"/>
  <c r="K843" i="12"/>
  <c r="F843" i="12"/>
  <c r="H843" i="12" s="1"/>
  <c r="D843" i="12"/>
  <c r="E843" i="12" s="1"/>
  <c r="I1073" i="12"/>
  <c r="J1073" i="12" s="1"/>
  <c r="M1073" i="12" s="1"/>
  <c r="K838" i="12"/>
  <c r="L838" i="12"/>
  <c r="F838" i="12"/>
  <c r="H838" i="12" s="1"/>
  <c r="G838" i="12"/>
  <c r="D838" i="12"/>
  <c r="E838" i="12" s="1"/>
  <c r="L1043" i="12"/>
  <c r="G1043" i="12"/>
  <c r="K1043" i="12"/>
  <c r="D1043" i="12"/>
  <c r="E1043" i="12" s="1"/>
  <c r="F1043" i="12"/>
  <c r="H1043" i="12" s="1"/>
  <c r="K870" i="12"/>
  <c r="L870" i="12"/>
  <c r="F870" i="12"/>
  <c r="H870" i="12" s="1"/>
  <c r="D870" i="12"/>
  <c r="E870" i="12" s="1"/>
  <c r="G870" i="12"/>
  <c r="K936" i="12"/>
  <c r="F936" i="12"/>
  <c r="H936" i="12" s="1"/>
  <c r="L936" i="12"/>
  <c r="G936" i="12"/>
  <c r="D936" i="12"/>
  <c r="E936" i="12" s="1"/>
  <c r="K824" i="12"/>
  <c r="F824" i="12"/>
  <c r="H824" i="12" s="1"/>
  <c r="L824" i="12"/>
  <c r="G824" i="12"/>
  <c r="D824" i="12"/>
  <c r="E824" i="12" s="1"/>
  <c r="H1091" i="9"/>
  <c r="I1091" i="9" s="1"/>
  <c r="K1091" i="9" s="1"/>
  <c r="F838" i="8"/>
  <c r="G838" i="8" s="1"/>
  <c r="H838" i="8" s="1"/>
  <c r="D838" i="8"/>
  <c r="E838" i="8" s="1"/>
  <c r="O1030" i="33"/>
  <c r="N1030" i="33"/>
  <c r="J1030" i="33"/>
  <c r="F1030" i="33"/>
  <c r="G1030" i="33"/>
  <c r="H1030" i="33" s="1"/>
  <c r="D1030" i="33"/>
  <c r="E1030" i="33" s="1"/>
  <c r="F945" i="8"/>
  <c r="G945" i="8" s="1"/>
  <c r="H945" i="8" s="1"/>
  <c r="D945" i="8"/>
  <c r="E945" i="8" s="1"/>
  <c r="F1041" i="8"/>
  <c r="G1041" i="8" s="1"/>
  <c r="H1041" i="8" s="1"/>
  <c r="D1041" i="8"/>
  <c r="E1041" i="8" s="1"/>
  <c r="F1105" i="8"/>
  <c r="G1105" i="8" s="1"/>
  <c r="H1105" i="8" s="1"/>
  <c r="D1105" i="8"/>
  <c r="E1105" i="8" s="1"/>
  <c r="N1076" i="33"/>
  <c r="G1076" i="33"/>
  <c r="F1076" i="33"/>
  <c r="D1076" i="33"/>
  <c r="E1076" i="33" s="1"/>
  <c r="O1076" i="33"/>
  <c r="J1076" i="33"/>
  <c r="O931" i="33"/>
  <c r="G931" i="33"/>
  <c r="H931" i="33" s="1"/>
  <c r="F931" i="33"/>
  <c r="D931" i="33"/>
  <c r="E931" i="33" s="1"/>
  <c r="J931" i="33"/>
  <c r="N931" i="33"/>
  <c r="O1059" i="33"/>
  <c r="N1059" i="33"/>
  <c r="G1059" i="33"/>
  <c r="H1059" i="33" s="1"/>
  <c r="F1059" i="33"/>
  <c r="J1059" i="33"/>
  <c r="D1059" i="33"/>
  <c r="E1059" i="33" s="1"/>
  <c r="O913" i="33"/>
  <c r="N913" i="33"/>
  <c r="J913" i="33"/>
  <c r="F913" i="33"/>
  <c r="G913" i="33"/>
  <c r="H913" i="33" s="1"/>
  <c r="D913" i="33"/>
  <c r="E913" i="33" s="1"/>
  <c r="I974" i="33"/>
  <c r="K974" i="33" s="1"/>
  <c r="M974" i="33" s="1"/>
  <c r="P974" i="33" s="1"/>
  <c r="K862" i="33"/>
  <c r="M862" i="33" s="1"/>
  <c r="P862" i="33" s="1"/>
  <c r="N826" i="33"/>
  <c r="O826" i="33"/>
  <c r="J826" i="33"/>
  <c r="G826" i="33"/>
  <c r="F826" i="33"/>
  <c r="D826" i="33"/>
  <c r="E826" i="33" s="1"/>
  <c r="N922" i="33"/>
  <c r="O922" i="33"/>
  <c r="J922" i="33"/>
  <c r="D922" i="33"/>
  <c r="E922" i="33" s="1"/>
  <c r="F922" i="33"/>
  <c r="G922" i="33"/>
  <c r="H922" i="33" s="1"/>
  <c r="O1050" i="33"/>
  <c r="J1050" i="33"/>
  <c r="N1050" i="33"/>
  <c r="F1050" i="33"/>
  <c r="D1050" i="33"/>
  <c r="E1050" i="33" s="1"/>
  <c r="G1050" i="33"/>
  <c r="H1050" i="33" s="1"/>
  <c r="K837" i="33"/>
  <c r="M837" i="33" s="1"/>
  <c r="P837" i="33" s="1"/>
  <c r="N965" i="33"/>
  <c r="O965" i="33"/>
  <c r="J965" i="33"/>
  <c r="G965" i="33"/>
  <c r="H965" i="33" s="1"/>
  <c r="F965" i="33"/>
  <c r="I965" i="33" s="1"/>
  <c r="D965" i="33"/>
  <c r="E965" i="33" s="1"/>
  <c r="O1069" i="33"/>
  <c r="J1069" i="33"/>
  <c r="G1069" i="33"/>
  <c r="H1069" i="33" s="1"/>
  <c r="F1069" i="33"/>
  <c r="I1069" i="33" s="1"/>
  <c r="N1069" i="33"/>
  <c r="D1069" i="33"/>
  <c r="E1069" i="33" s="1"/>
  <c r="I1119" i="33"/>
  <c r="K1119" i="33" s="1"/>
  <c r="M1119" i="33" s="1"/>
  <c r="P1119" i="33" s="1"/>
  <c r="I833" i="12"/>
  <c r="J833" i="12" s="1"/>
  <c r="M833" i="12" s="1"/>
  <c r="K1136" i="12"/>
  <c r="L1136" i="12"/>
  <c r="F1136" i="12"/>
  <c r="H1136" i="12" s="1"/>
  <c r="D1136" i="12"/>
  <c r="E1136" i="12" s="1"/>
  <c r="G1136" i="12"/>
  <c r="L1125" i="12"/>
  <c r="K1125" i="12"/>
  <c r="G1125" i="12"/>
  <c r="D1125" i="12"/>
  <c r="E1125" i="12" s="1"/>
  <c r="F1125" i="12"/>
  <c r="H1125" i="12" s="1"/>
  <c r="L916" i="12"/>
  <c r="K916" i="12"/>
  <c r="G916" i="12"/>
  <c r="D916" i="12"/>
  <c r="E916" i="12" s="1"/>
  <c r="F916" i="12"/>
  <c r="H916" i="12" s="1"/>
  <c r="L946" i="12"/>
  <c r="K946" i="12"/>
  <c r="G946" i="12"/>
  <c r="F946" i="12"/>
  <c r="H946" i="12" s="1"/>
  <c r="D946" i="12"/>
  <c r="E946" i="12" s="1"/>
  <c r="I1032" i="12"/>
  <c r="J1032" i="12" s="1"/>
  <c r="M1032" i="12" s="1"/>
  <c r="I840" i="12"/>
  <c r="J840" i="12" s="1"/>
  <c r="M840" i="12" s="1"/>
  <c r="K896" i="12"/>
  <c r="L896" i="12"/>
  <c r="F896" i="12"/>
  <c r="H896" i="12" s="1"/>
  <c r="D896" i="12"/>
  <c r="E896" i="12" s="1"/>
  <c r="G896" i="12"/>
  <c r="I974" i="12"/>
  <c r="J974" i="12" s="1"/>
  <c r="M974" i="12" s="1"/>
  <c r="I825" i="12"/>
  <c r="J825" i="12" s="1"/>
  <c r="M825" i="12" s="1"/>
  <c r="I1122" i="12"/>
  <c r="J1122" i="12" s="1"/>
  <c r="M1122" i="12" s="1"/>
  <c r="F997" i="7"/>
  <c r="H997" i="7" s="1"/>
  <c r="D997" i="7"/>
  <c r="E997" i="7" s="1"/>
  <c r="K997" i="7"/>
  <c r="G997" i="7"/>
  <c r="K886" i="7"/>
  <c r="G886" i="7"/>
  <c r="F886" i="7"/>
  <c r="H886" i="7" s="1"/>
  <c r="D886" i="7"/>
  <c r="E886" i="7" s="1"/>
  <c r="I1244" i="7"/>
  <c r="J1244" i="7" s="1"/>
  <c r="L1244" i="7" s="1"/>
  <c r="I1201" i="12"/>
  <c r="J1201" i="12" s="1"/>
  <c r="M1201" i="12" s="1"/>
  <c r="K857" i="7"/>
  <c r="G857" i="7"/>
  <c r="D857" i="7"/>
  <c r="E857" i="7" s="1"/>
  <c r="F857" i="7"/>
  <c r="H857" i="7" s="1"/>
  <c r="K921" i="7"/>
  <c r="G921" i="7"/>
  <c r="D921" i="7"/>
  <c r="E921" i="7" s="1"/>
  <c r="F921" i="7"/>
  <c r="H921" i="7" s="1"/>
  <c r="K985" i="7"/>
  <c r="G985" i="7"/>
  <c r="D985" i="7"/>
  <c r="E985" i="7" s="1"/>
  <c r="F985" i="7"/>
  <c r="H985" i="7" s="1"/>
  <c r="K1017" i="7"/>
  <c r="G1017" i="7"/>
  <c r="D1017" i="7"/>
  <c r="E1017" i="7" s="1"/>
  <c r="F1017" i="7"/>
  <c r="H1017" i="7" s="1"/>
  <c r="K1081" i="7"/>
  <c r="G1081" i="7"/>
  <c r="D1081" i="7"/>
  <c r="E1081" i="7" s="1"/>
  <c r="F1081" i="7"/>
  <c r="H1081" i="7" s="1"/>
  <c r="K1113" i="7"/>
  <c r="G1113" i="7"/>
  <c r="D1113" i="7"/>
  <c r="E1113" i="7" s="1"/>
  <c r="F1113" i="7"/>
  <c r="H1113" i="7" s="1"/>
  <c r="K1145" i="7"/>
  <c r="G1145" i="7"/>
  <c r="D1145" i="7"/>
  <c r="E1145" i="7" s="1"/>
  <c r="F1145" i="7"/>
  <c r="H1145" i="7" s="1"/>
  <c r="H1268" i="9"/>
  <c r="I1268" i="9" s="1"/>
  <c r="K1268" i="9" s="1"/>
  <c r="I1168" i="5"/>
  <c r="J1168" i="5" s="1"/>
  <c r="L1168" i="5" s="1"/>
  <c r="I1264" i="5"/>
  <c r="J1264" i="5" s="1"/>
  <c r="L1264" i="5" s="1"/>
  <c r="H969" i="9"/>
  <c r="I969" i="9" s="1"/>
  <c r="K969" i="9" s="1"/>
  <c r="H1105" i="9"/>
  <c r="I1105" i="9" s="1"/>
  <c r="H1145" i="9"/>
  <c r="I1145" i="9" s="1"/>
  <c r="K1145" i="9" s="1"/>
  <c r="D420" i="9"/>
  <c r="E420" i="9" s="1"/>
  <c r="G955" i="9"/>
  <c r="H955" i="9" s="1"/>
  <c r="I955" i="9" s="1"/>
  <c r="F875" i="8"/>
  <c r="G875" i="8" s="1"/>
  <c r="H875" i="8" s="1"/>
  <c r="D875" i="8"/>
  <c r="E875" i="8" s="1"/>
  <c r="F939" i="8"/>
  <c r="G939" i="8" s="1"/>
  <c r="H939" i="8" s="1"/>
  <c r="D939" i="8"/>
  <c r="E939" i="8" s="1"/>
  <c r="F1067" i="8"/>
  <c r="G1067" i="8" s="1"/>
  <c r="H1067" i="8" s="1"/>
  <c r="D1067" i="8"/>
  <c r="E1067" i="8" s="1"/>
  <c r="F1131" i="8"/>
  <c r="G1131" i="8" s="1"/>
  <c r="H1131" i="8" s="1"/>
  <c r="D1131" i="8"/>
  <c r="E1131" i="8" s="1"/>
  <c r="F868" i="8"/>
  <c r="G868" i="8" s="1"/>
  <c r="H868" i="8" s="1"/>
  <c r="D868" i="8"/>
  <c r="E868" i="8" s="1"/>
  <c r="F900" i="8"/>
  <c r="G900" i="8" s="1"/>
  <c r="H900" i="8" s="1"/>
  <c r="D900" i="8"/>
  <c r="E900" i="8" s="1"/>
  <c r="F964" i="8"/>
  <c r="G964" i="8" s="1"/>
  <c r="H964" i="8" s="1"/>
  <c r="D964" i="8"/>
  <c r="E964" i="8" s="1"/>
  <c r="F1028" i="8"/>
  <c r="G1028" i="8" s="1"/>
  <c r="H1028" i="8" s="1"/>
  <c r="D1028" i="8"/>
  <c r="E1028" i="8" s="1"/>
  <c r="F1060" i="8"/>
  <c r="G1060" i="8" s="1"/>
  <c r="H1060" i="8" s="1"/>
  <c r="D1060" i="8"/>
  <c r="E1060" i="8" s="1"/>
  <c r="F1092" i="8"/>
  <c r="G1092" i="8" s="1"/>
  <c r="H1092" i="8" s="1"/>
  <c r="D1092" i="8"/>
  <c r="E1092" i="8" s="1"/>
  <c r="F957" i="8"/>
  <c r="G957" i="8" s="1"/>
  <c r="H957" i="8" s="1"/>
  <c r="D957" i="8"/>
  <c r="E957" i="8" s="1"/>
  <c r="F1021" i="8"/>
  <c r="G1021" i="8" s="1"/>
  <c r="H1021" i="8" s="1"/>
  <c r="D1021" i="8"/>
  <c r="E1021" i="8" s="1"/>
  <c r="F1085" i="8"/>
  <c r="G1085" i="8" s="1"/>
  <c r="H1085" i="8" s="1"/>
  <c r="D1085" i="8"/>
  <c r="E1085" i="8" s="1"/>
  <c r="F826" i="8"/>
  <c r="G826" i="8" s="1"/>
  <c r="H826" i="8" s="1"/>
  <c r="D826" i="8"/>
  <c r="E826" i="8" s="1"/>
  <c r="F922" i="8"/>
  <c r="G922" i="8" s="1"/>
  <c r="H922" i="8" s="1"/>
  <c r="D922" i="8"/>
  <c r="E922" i="8" s="1"/>
  <c r="F986" i="8"/>
  <c r="G986" i="8" s="1"/>
  <c r="H986" i="8" s="1"/>
  <c r="D986" i="8"/>
  <c r="E986" i="8" s="1"/>
  <c r="F1018" i="8"/>
  <c r="G1018" i="8" s="1"/>
  <c r="H1018" i="8" s="1"/>
  <c r="D1018" i="8"/>
  <c r="E1018" i="8" s="1"/>
  <c r="F1114" i="8"/>
  <c r="G1114" i="8" s="1"/>
  <c r="H1114" i="8" s="1"/>
  <c r="D1114" i="8"/>
  <c r="E1114" i="8" s="1"/>
  <c r="F846" i="8"/>
  <c r="G846" i="8" s="1"/>
  <c r="H846" i="8" s="1"/>
  <c r="D846" i="8"/>
  <c r="E846" i="8" s="1"/>
  <c r="F910" i="8"/>
  <c r="G910" i="8" s="1"/>
  <c r="H910" i="8" s="1"/>
  <c r="D910" i="8"/>
  <c r="E910" i="8" s="1"/>
  <c r="F974" i="8"/>
  <c r="G974" i="8" s="1"/>
  <c r="H974" i="8" s="1"/>
  <c r="D974" i="8"/>
  <c r="E974" i="8" s="1"/>
  <c r="F1038" i="8"/>
  <c r="G1038" i="8" s="1"/>
  <c r="H1038" i="8" s="1"/>
  <c r="D1038" i="8"/>
  <c r="E1038" i="8" s="1"/>
  <c r="F1102" i="8"/>
  <c r="G1102" i="8" s="1"/>
  <c r="H1102" i="8" s="1"/>
  <c r="D1102" i="8"/>
  <c r="E1102" i="8" s="1"/>
  <c r="F839" i="8"/>
  <c r="G839" i="8" s="1"/>
  <c r="H839" i="8" s="1"/>
  <c r="D839" i="8"/>
  <c r="E839" i="8" s="1"/>
  <c r="F903" i="8"/>
  <c r="G903" i="8" s="1"/>
  <c r="H903" i="8" s="1"/>
  <c r="D903" i="8"/>
  <c r="E903" i="8" s="1"/>
  <c r="F967" i="8"/>
  <c r="G967" i="8" s="1"/>
  <c r="H967" i="8" s="1"/>
  <c r="D967" i="8"/>
  <c r="E967" i="8" s="1"/>
  <c r="F999" i="8"/>
  <c r="G999" i="8" s="1"/>
  <c r="H999" i="8" s="1"/>
  <c r="D999" i="8"/>
  <c r="E999" i="8" s="1"/>
  <c r="F1031" i="8"/>
  <c r="G1031" i="8" s="1"/>
  <c r="H1031" i="8" s="1"/>
  <c r="D1031" i="8"/>
  <c r="E1031" i="8" s="1"/>
  <c r="F1095" i="8"/>
  <c r="G1095" i="8" s="1"/>
  <c r="H1095" i="8" s="1"/>
  <c r="D1095" i="8"/>
  <c r="E1095" i="8" s="1"/>
  <c r="O1094" i="33"/>
  <c r="N1094" i="33"/>
  <c r="J1094" i="33"/>
  <c r="F1094" i="33"/>
  <c r="G1094" i="33"/>
  <c r="H1094" i="33" s="1"/>
  <c r="D1094" i="33"/>
  <c r="E1094" i="33" s="1"/>
  <c r="O892" i="33"/>
  <c r="G892" i="33"/>
  <c r="H892" i="33" s="1"/>
  <c r="F892" i="33"/>
  <c r="D892" i="33"/>
  <c r="E892" i="33" s="1"/>
  <c r="N892" i="33"/>
  <c r="J892" i="33"/>
  <c r="O1020" i="33"/>
  <c r="N1020" i="33"/>
  <c r="G1020" i="33"/>
  <c r="H1020" i="33" s="1"/>
  <c r="F1020" i="33"/>
  <c r="I1020" i="33" s="1"/>
  <c r="D1020" i="33"/>
  <c r="E1020" i="33" s="1"/>
  <c r="J1020" i="33"/>
  <c r="O1148" i="33"/>
  <c r="N1148" i="33"/>
  <c r="G1148" i="33"/>
  <c r="F1148" i="33"/>
  <c r="J1148" i="33"/>
  <c r="D1148" i="33"/>
  <c r="E1148" i="33" s="1"/>
  <c r="O939" i="33"/>
  <c r="N939" i="33"/>
  <c r="G939" i="33"/>
  <c r="F939" i="33"/>
  <c r="D939" i="33"/>
  <c r="E939" i="33" s="1"/>
  <c r="J939" i="33"/>
  <c r="O1003" i="33"/>
  <c r="N1003" i="33"/>
  <c r="G1003" i="33"/>
  <c r="F1003" i="33"/>
  <c r="D1003" i="33"/>
  <c r="E1003" i="33" s="1"/>
  <c r="J1003" i="33"/>
  <c r="O1067" i="33"/>
  <c r="N1067" i="33"/>
  <c r="J1067" i="33"/>
  <c r="G1067" i="33"/>
  <c r="H1067" i="33" s="1"/>
  <c r="F1067" i="33"/>
  <c r="D1067" i="33"/>
  <c r="E1067" i="33" s="1"/>
  <c r="O1131" i="33"/>
  <c r="N1131" i="33"/>
  <c r="G1131" i="33"/>
  <c r="F1131" i="33"/>
  <c r="D1131" i="33"/>
  <c r="E1131" i="33" s="1"/>
  <c r="J1131" i="33"/>
  <c r="I879" i="33"/>
  <c r="K879" i="33" s="1"/>
  <c r="M879" i="33" s="1"/>
  <c r="P879" i="33" s="1"/>
  <c r="O1015" i="33"/>
  <c r="N1015" i="33"/>
  <c r="D1015" i="33"/>
  <c r="E1015" i="33" s="1"/>
  <c r="J1015" i="33"/>
  <c r="G1015" i="33"/>
  <c r="F1015" i="33"/>
  <c r="O1079" i="33"/>
  <c r="N1079" i="33"/>
  <c r="D1079" i="33"/>
  <c r="E1079" i="33" s="1"/>
  <c r="G1079" i="33"/>
  <c r="F1079" i="33"/>
  <c r="J1079" i="33"/>
  <c r="O856" i="33"/>
  <c r="N856" i="33"/>
  <c r="D856" i="33"/>
  <c r="E856" i="33" s="1"/>
  <c r="J856" i="33"/>
  <c r="G856" i="33"/>
  <c r="H856" i="33" s="1"/>
  <c r="F856" i="33"/>
  <c r="O984" i="33"/>
  <c r="N984" i="33"/>
  <c r="J984" i="33"/>
  <c r="D984" i="33"/>
  <c r="E984" i="33" s="1"/>
  <c r="G984" i="33"/>
  <c r="H984" i="33" s="1"/>
  <c r="F984" i="33"/>
  <c r="K958" i="33"/>
  <c r="M958" i="33" s="1"/>
  <c r="P958" i="33" s="1"/>
  <c r="O857" i="33"/>
  <c r="N857" i="33"/>
  <c r="D857" i="33"/>
  <c r="E857" i="33" s="1"/>
  <c r="F857" i="33"/>
  <c r="G857" i="33"/>
  <c r="H857" i="33" s="1"/>
  <c r="J857" i="33"/>
  <c r="O985" i="33"/>
  <c r="N985" i="33"/>
  <c r="J985" i="33"/>
  <c r="D985" i="33"/>
  <c r="E985" i="33" s="1"/>
  <c r="F985" i="33"/>
  <c r="G985" i="33"/>
  <c r="H985" i="33" s="1"/>
  <c r="O1113" i="33"/>
  <c r="N1113" i="33"/>
  <c r="F1113" i="33"/>
  <c r="J1113" i="33"/>
  <c r="D1113" i="33"/>
  <c r="E1113" i="33" s="1"/>
  <c r="G1113" i="33"/>
  <c r="H1113" i="33" s="1"/>
  <c r="F872" i="8"/>
  <c r="G872" i="8" s="1"/>
  <c r="H872" i="8" s="1"/>
  <c r="D872" i="8"/>
  <c r="E872" i="8" s="1"/>
  <c r="F904" i="8"/>
  <c r="G904" i="8" s="1"/>
  <c r="H904" i="8" s="1"/>
  <c r="D904" i="8"/>
  <c r="E904" i="8" s="1"/>
  <c r="F968" i="8"/>
  <c r="G968" i="8" s="1"/>
  <c r="H968" i="8" s="1"/>
  <c r="D968" i="8"/>
  <c r="E968" i="8" s="1"/>
  <c r="F1000" i="8"/>
  <c r="G1000" i="8" s="1"/>
  <c r="H1000" i="8" s="1"/>
  <c r="D1000" i="8"/>
  <c r="E1000" i="8" s="1"/>
  <c r="F1032" i="8"/>
  <c r="G1032" i="8" s="1"/>
  <c r="H1032" i="8" s="1"/>
  <c r="D1032" i="8"/>
  <c r="E1032" i="8" s="1"/>
  <c r="F1064" i="8"/>
  <c r="G1064" i="8" s="1"/>
  <c r="H1064" i="8" s="1"/>
  <c r="D1064" i="8"/>
  <c r="E1064" i="8" s="1"/>
  <c r="F1096" i="8"/>
  <c r="G1096" i="8" s="1"/>
  <c r="H1096" i="8" s="1"/>
  <c r="D1096" i="8"/>
  <c r="E1096" i="8" s="1"/>
  <c r="F1128" i="8"/>
  <c r="G1128" i="8" s="1"/>
  <c r="H1128" i="8" s="1"/>
  <c r="D1128" i="8"/>
  <c r="E1128" i="8" s="1"/>
  <c r="H870" i="33"/>
  <c r="I870" i="33" s="1"/>
  <c r="K870" i="33" s="1"/>
  <c r="M870" i="33" s="1"/>
  <c r="P870" i="33" s="1"/>
  <c r="O1002" i="33"/>
  <c r="J1002" i="33"/>
  <c r="N1002" i="33"/>
  <c r="F1002" i="33"/>
  <c r="G1002" i="33"/>
  <c r="H1002" i="33" s="1"/>
  <c r="D1002" i="33"/>
  <c r="E1002" i="33" s="1"/>
  <c r="O1128" i="33"/>
  <c r="N1128" i="33"/>
  <c r="J1128" i="33"/>
  <c r="F1128" i="33"/>
  <c r="G1128" i="33"/>
  <c r="D1128" i="33"/>
  <c r="E1128" i="33" s="1"/>
  <c r="O938" i="33"/>
  <c r="N938" i="33"/>
  <c r="F938" i="33"/>
  <c r="J938" i="33"/>
  <c r="G938" i="33"/>
  <c r="H938" i="33" s="1"/>
  <c r="D938" i="33"/>
  <c r="E938" i="33" s="1"/>
  <c r="H1034" i="33"/>
  <c r="I1034" i="33" s="1"/>
  <c r="K1034" i="33" s="1"/>
  <c r="M1034" i="33" s="1"/>
  <c r="P1034" i="33" s="1"/>
  <c r="O1122" i="33"/>
  <c r="N1122" i="33"/>
  <c r="J1122" i="33"/>
  <c r="G1122" i="33"/>
  <c r="D1122" i="33"/>
  <c r="E1122" i="33" s="1"/>
  <c r="F1122" i="33"/>
  <c r="K969" i="33"/>
  <c r="M969" i="33" s="1"/>
  <c r="P969" i="33" s="1"/>
  <c r="K990" i="33"/>
  <c r="M990" i="33" s="1"/>
  <c r="P990" i="33" s="1"/>
  <c r="H945" i="33"/>
  <c r="I945" i="33" s="1"/>
  <c r="K945" i="33" s="1"/>
  <c r="M945" i="33" s="1"/>
  <c r="P945" i="33" s="1"/>
  <c r="J869" i="33"/>
  <c r="N869" i="33"/>
  <c r="O869" i="33"/>
  <c r="G869" i="33"/>
  <c r="H869" i="33" s="1"/>
  <c r="F869" i="33"/>
  <c r="I869" i="33" s="1"/>
  <c r="D869" i="33"/>
  <c r="E869" i="33" s="1"/>
  <c r="O1005" i="33"/>
  <c r="J1005" i="33"/>
  <c r="G1005" i="33"/>
  <c r="H1005" i="33" s="1"/>
  <c r="F1005" i="33"/>
  <c r="I1005" i="33" s="1"/>
  <c r="N1005" i="33"/>
  <c r="D1005" i="33"/>
  <c r="E1005" i="33" s="1"/>
  <c r="K959" i="33"/>
  <c r="M959" i="33" s="1"/>
  <c r="P959" i="33" s="1"/>
  <c r="I1024" i="33"/>
  <c r="K1024" i="33" s="1"/>
  <c r="M1024" i="33" s="1"/>
  <c r="P1024" i="33" s="1"/>
  <c r="K944" i="12"/>
  <c r="L944" i="12"/>
  <c r="F944" i="12"/>
  <c r="H944" i="12" s="1"/>
  <c r="D944" i="12"/>
  <c r="E944" i="12" s="1"/>
  <c r="G944" i="12"/>
  <c r="I1110" i="12"/>
  <c r="J1110" i="12" s="1"/>
  <c r="M1110" i="12" s="1"/>
  <c r="L861" i="12"/>
  <c r="K861" i="12"/>
  <c r="G861" i="12"/>
  <c r="F861" i="12"/>
  <c r="H861" i="12" s="1"/>
  <c r="D861" i="12"/>
  <c r="E861" i="12" s="1"/>
  <c r="L1019" i="12"/>
  <c r="G1019" i="12"/>
  <c r="K1019" i="12"/>
  <c r="F1019" i="12"/>
  <c r="H1019" i="12" s="1"/>
  <c r="D1019" i="12"/>
  <c r="E1019" i="12" s="1"/>
  <c r="L1051" i="12"/>
  <c r="G1051" i="12"/>
  <c r="K1051" i="12"/>
  <c r="F1051" i="12"/>
  <c r="H1051" i="12" s="1"/>
  <c r="D1051" i="12"/>
  <c r="E1051" i="12" s="1"/>
  <c r="L1083" i="12"/>
  <c r="G1083" i="12"/>
  <c r="K1083" i="12"/>
  <c r="F1083" i="12"/>
  <c r="H1083" i="12" s="1"/>
  <c r="D1083" i="12"/>
  <c r="E1083" i="12" s="1"/>
  <c r="L1115" i="12"/>
  <c r="K1115" i="12"/>
  <c r="G1115" i="12"/>
  <c r="F1115" i="12"/>
  <c r="D1115" i="12"/>
  <c r="E1115" i="12" s="1"/>
  <c r="L1147" i="12"/>
  <c r="G1147" i="12"/>
  <c r="K1147" i="12"/>
  <c r="F1147" i="12"/>
  <c r="H1147" i="12" s="1"/>
  <c r="D1147" i="12"/>
  <c r="E1147" i="12" s="1"/>
  <c r="K878" i="12"/>
  <c r="L878" i="12"/>
  <c r="F878" i="12"/>
  <c r="H878" i="12" s="1"/>
  <c r="D878" i="12"/>
  <c r="E878" i="12" s="1"/>
  <c r="G878" i="12"/>
  <c r="L1052" i="12"/>
  <c r="G1052" i="12"/>
  <c r="K1052" i="12"/>
  <c r="F1052" i="12"/>
  <c r="H1052" i="12" s="1"/>
  <c r="D1052" i="12"/>
  <c r="E1052" i="12" s="1"/>
  <c r="L973" i="12"/>
  <c r="G973" i="12"/>
  <c r="K973" i="12"/>
  <c r="F973" i="12"/>
  <c r="H973" i="12" s="1"/>
  <c r="D973" i="12"/>
  <c r="E973" i="12" s="1"/>
  <c r="K855" i="12"/>
  <c r="F855" i="12"/>
  <c r="H855" i="12" s="1"/>
  <c r="D855" i="12"/>
  <c r="E855" i="12" s="1"/>
  <c r="L855" i="12"/>
  <c r="G855" i="12"/>
  <c r="I898" i="12"/>
  <c r="J898" i="12" s="1"/>
  <c r="M898" i="12" s="1"/>
  <c r="F858" i="7"/>
  <c r="H858" i="7" s="1"/>
  <c r="D858" i="7"/>
  <c r="E858" i="7" s="1"/>
  <c r="K858" i="7"/>
  <c r="G858" i="7"/>
  <c r="F986" i="7"/>
  <c r="H986" i="7" s="1"/>
  <c r="D986" i="7"/>
  <c r="E986" i="7" s="1"/>
  <c r="K986" i="7"/>
  <c r="G986" i="7"/>
  <c r="F1114" i="7"/>
  <c r="H1114" i="7" s="1"/>
  <c r="D1114" i="7"/>
  <c r="E1114" i="7" s="1"/>
  <c r="K1114" i="7"/>
  <c r="G1114" i="7"/>
  <c r="I901" i="12"/>
  <c r="J901" i="12" s="1"/>
  <c r="M901" i="12" s="1"/>
  <c r="K831" i="7"/>
  <c r="G831" i="7"/>
  <c r="F831" i="7"/>
  <c r="H831" i="7" s="1"/>
  <c r="D831" i="7"/>
  <c r="E831" i="7" s="1"/>
  <c r="K895" i="7"/>
  <c r="G895" i="7"/>
  <c r="F895" i="7"/>
  <c r="H895" i="7" s="1"/>
  <c r="D895" i="7"/>
  <c r="E895" i="7" s="1"/>
  <c r="K959" i="7"/>
  <c r="G959" i="7"/>
  <c r="F959" i="7"/>
  <c r="H959" i="7" s="1"/>
  <c r="D959" i="7"/>
  <c r="E959" i="7" s="1"/>
  <c r="K1023" i="7"/>
  <c r="G1023" i="7"/>
  <c r="F1023" i="7"/>
  <c r="H1023" i="7" s="1"/>
  <c r="D1023" i="7"/>
  <c r="E1023" i="7" s="1"/>
  <c r="K1087" i="7"/>
  <c r="G1087" i="7"/>
  <c r="F1087" i="7"/>
  <c r="H1087" i="7" s="1"/>
  <c r="D1087" i="7"/>
  <c r="E1087" i="7" s="1"/>
  <c r="K1119" i="7"/>
  <c r="G1119" i="7"/>
  <c r="F1119" i="7"/>
  <c r="H1119" i="7" s="1"/>
  <c r="D1119" i="7"/>
  <c r="E1119" i="7" s="1"/>
  <c r="K848" i="7"/>
  <c r="G848" i="7"/>
  <c r="F848" i="7"/>
  <c r="H848" i="7" s="1"/>
  <c r="D848" i="7"/>
  <c r="E848" i="7" s="1"/>
  <c r="K912" i="7"/>
  <c r="G912" i="7"/>
  <c r="F912" i="7"/>
  <c r="H912" i="7" s="1"/>
  <c r="D912" i="7"/>
  <c r="E912" i="7" s="1"/>
  <c r="K944" i="7"/>
  <c r="G944" i="7"/>
  <c r="F944" i="7"/>
  <c r="H944" i="7" s="1"/>
  <c r="D944" i="7"/>
  <c r="E944" i="7" s="1"/>
  <c r="K1008" i="7"/>
  <c r="G1008" i="7"/>
  <c r="F1008" i="7"/>
  <c r="H1008" i="7" s="1"/>
  <c r="D1008" i="7"/>
  <c r="E1008" i="7" s="1"/>
  <c r="K1040" i="7"/>
  <c r="G1040" i="7"/>
  <c r="F1040" i="7"/>
  <c r="H1040" i="7" s="1"/>
  <c r="D1040" i="7"/>
  <c r="E1040" i="7" s="1"/>
  <c r="K1072" i="7"/>
  <c r="G1072" i="7"/>
  <c r="F1072" i="7"/>
  <c r="H1072" i="7" s="1"/>
  <c r="D1072" i="7"/>
  <c r="E1072" i="7" s="1"/>
  <c r="K1104" i="7"/>
  <c r="G1104" i="7"/>
  <c r="F1104" i="7"/>
  <c r="H1104" i="7" s="1"/>
  <c r="D1104" i="7"/>
  <c r="E1104" i="7" s="1"/>
  <c r="K1136" i="7"/>
  <c r="G1136" i="7"/>
  <c r="F1136" i="7"/>
  <c r="H1136" i="7" s="1"/>
  <c r="D1136" i="7"/>
  <c r="E1136" i="7" s="1"/>
  <c r="H1210" i="9"/>
  <c r="I1210" i="9" s="1"/>
  <c r="K1210" i="9" s="1"/>
  <c r="H1289" i="9"/>
  <c r="I1289" i="9" s="1"/>
  <c r="K1289" i="9" s="1"/>
  <c r="H1242" i="9"/>
  <c r="I1242" i="9" s="1"/>
  <c r="K1242" i="9" s="1"/>
  <c r="H1212" i="9"/>
  <c r="I1212" i="9" s="1"/>
  <c r="K1212" i="9" s="1"/>
  <c r="H1276" i="9"/>
  <c r="I1276" i="9" s="1"/>
  <c r="K1276" i="9" s="1"/>
  <c r="H1245" i="9"/>
  <c r="I1245" i="9" s="1"/>
  <c r="K1245" i="9" s="1"/>
  <c r="H1288" i="9"/>
  <c r="I1288" i="9" s="1"/>
  <c r="K1288" i="9" s="1"/>
  <c r="K1270" i="9"/>
  <c r="L1230" i="5"/>
  <c r="I1154" i="5"/>
  <c r="J1154" i="5" s="1"/>
  <c r="L1154" i="5" s="1"/>
  <c r="L1186" i="5"/>
  <c r="I1282" i="5"/>
  <c r="J1282" i="5" s="1"/>
  <c r="L1282" i="5" s="1"/>
  <c r="I1294" i="5"/>
  <c r="J1294" i="5" s="1"/>
  <c r="L1294" i="5" s="1"/>
  <c r="H828" i="9"/>
  <c r="I828" i="9" s="1"/>
  <c r="K828" i="9" s="1"/>
  <c r="H421" i="9"/>
  <c r="I421" i="9" s="1"/>
  <c r="K421" i="9" s="1"/>
  <c r="H1012" i="9"/>
  <c r="I1012" i="9" s="1"/>
  <c r="K1012" i="9" s="1"/>
  <c r="H1140" i="9"/>
  <c r="I1140" i="9" s="1"/>
  <c r="K1140" i="9" s="1"/>
  <c r="H1166" i="9"/>
  <c r="I1166" i="9" s="1"/>
  <c r="K1166" i="9" s="1"/>
  <c r="H1196" i="9"/>
  <c r="I1196" i="9" s="1"/>
  <c r="K1196" i="9" s="1"/>
  <c r="D955" i="9"/>
  <c r="E955" i="9" s="1"/>
  <c r="H1195" i="9"/>
  <c r="I1195" i="9" s="1"/>
  <c r="K1195" i="9" s="1"/>
  <c r="F829" i="8"/>
  <c r="G829" i="8" s="1"/>
  <c r="H829" i="8" s="1"/>
  <c r="D829" i="8"/>
  <c r="E829" i="8" s="1"/>
  <c r="F861" i="8"/>
  <c r="G861" i="8" s="1"/>
  <c r="H861" i="8" s="1"/>
  <c r="D861" i="8"/>
  <c r="E861" i="8" s="1"/>
  <c r="F893" i="8"/>
  <c r="G893" i="8" s="1"/>
  <c r="H893" i="8" s="1"/>
  <c r="D893" i="8"/>
  <c r="E893" i="8" s="1"/>
  <c r="F825" i="8"/>
  <c r="G825" i="8" s="1"/>
  <c r="H825" i="8" s="1"/>
  <c r="D825" i="8"/>
  <c r="E825" i="8" s="1"/>
  <c r="F857" i="8"/>
  <c r="G857" i="8" s="1"/>
  <c r="H857" i="8" s="1"/>
  <c r="D857" i="8"/>
  <c r="E857" i="8" s="1"/>
  <c r="F889" i="8"/>
  <c r="G889" i="8" s="1"/>
  <c r="H889" i="8" s="1"/>
  <c r="D889" i="8"/>
  <c r="E889" i="8" s="1"/>
  <c r="F921" i="8"/>
  <c r="G921" i="8" s="1"/>
  <c r="H921" i="8" s="1"/>
  <c r="D921" i="8"/>
  <c r="E921" i="8" s="1"/>
  <c r="F953" i="8"/>
  <c r="G953" i="8" s="1"/>
  <c r="H953" i="8" s="1"/>
  <c r="D953" i="8"/>
  <c r="E953" i="8" s="1"/>
  <c r="F985" i="8"/>
  <c r="G985" i="8" s="1"/>
  <c r="H985" i="8" s="1"/>
  <c r="D985" i="8"/>
  <c r="E985" i="8" s="1"/>
  <c r="F1017" i="8"/>
  <c r="G1017" i="8" s="1"/>
  <c r="H1017" i="8" s="1"/>
  <c r="D1017" i="8"/>
  <c r="E1017" i="8" s="1"/>
  <c r="F1049" i="8"/>
  <c r="G1049" i="8" s="1"/>
  <c r="H1049" i="8" s="1"/>
  <c r="D1049" i="8"/>
  <c r="E1049" i="8" s="1"/>
  <c r="F1081" i="8"/>
  <c r="G1081" i="8" s="1"/>
  <c r="H1081" i="8" s="1"/>
  <c r="D1081" i="8"/>
  <c r="E1081" i="8" s="1"/>
  <c r="F1113" i="8"/>
  <c r="G1113" i="8" s="1"/>
  <c r="H1113" i="8" s="1"/>
  <c r="D1113" i="8"/>
  <c r="E1113" i="8" s="1"/>
  <c r="F1145" i="8"/>
  <c r="G1145" i="8" s="1"/>
  <c r="H1145" i="8" s="1"/>
  <c r="D1145" i="8"/>
  <c r="E1145" i="8" s="1"/>
  <c r="O836" i="33"/>
  <c r="N836" i="33"/>
  <c r="J836" i="33"/>
  <c r="G836" i="33"/>
  <c r="H836" i="33" s="1"/>
  <c r="F836" i="33"/>
  <c r="D836" i="33"/>
  <c r="E836" i="33" s="1"/>
  <c r="O900" i="33"/>
  <c r="N900" i="33"/>
  <c r="J900" i="33"/>
  <c r="G900" i="33"/>
  <c r="F900" i="33"/>
  <c r="D900" i="33"/>
  <c r="E900" i="33" s="1"/>
  <c r="O964" i="33"/>
  <c r="N964" i="33"/>
  <c r="J964" i="33"/>
  <c r="G964" i="33"/>
  <c r="H964" i="33" s="1"/>
  <c r="F964" i="33"/>
  <c r="D964" i="33"/>
  <c r="E964" i="33" s="1"/>
  <c r="O1028" i="33"/>
  <c r="N1028" i="33"/>
  <c r="J1028" i="33"/>
  <c r="G1028" i="33"/>
  <c r="H1028" i="33" s="1"/>
  <c r="F1028" i="33"/>
  <c r="I1028" i="33" s="1"/>
  <c r="D1028" i="33"/>
  <c r="E1028" i="33" s="1"/>
  <c r="O1092" i="33"/>
  <c r="N1092" i="33"/>
  <c r="J1092" i="33"/>
  <c r="G1092" i="33"/>
  <c r="H1092" i="33" s="1"/>
  <c r="F1092" i="33"/>
  <c r="D1092" i="33"/>
  <c r="E1092" i="33" s="1"/>
  <c r="O823" i="33"/>
  <c r="N823" i="33"/>
  <c r="G823" i="33"/>
  <c r="H823" i="33" s="1"/>
  <c r="J823" i="33"/>
  <c r="F823" i="33"/>
  <c r="D823" i="33"/>
  <c r="E823" i="33" s="1"/>
  <c r="J883" i="33"/>
  <c r="O883" i="33"/>
  <c r="G883" i="33"/>
  <c r="H883" i="33" s="1"/>
  <c r="F883" i="33"/>
  <c r="D883" i="33"/>
  <c r="E883" i="33" s="1"/>
  <c r="N883" i="33"/>
  <c r="O947" i="33"/>
  <c r="J947" i="33"/>
  <c r="G947" i="33"/>
  <c r="H947" i="33" s="1"/>
  <c r="F947" i="33"/>
  <c r="D947" i="33"/>
  <c r="E947" i="33" s="1"/>
  <c r="N947" i="33"/>
  <c r="N1011" i="33"/>
  <c r="J1011" i="33"/>
  <c r="O1011" i="33"/>
  <c r="G1011" i="33"/>
  <c r="H1011" i="33" s="1"/>
  <c r="F1011" i="33"/>
  <c r="D1011" i="33"/>
  <c r="E1011" i="33" s="1"/>
  <c r="O1075" i="33"/>
  <c r="J1075" i="33"/>
  <c r="N1075" i="33"/>
  <c r="G1075" i="33"/>
  <c r="F1075" i="33"/>
  <c r="D1075" i="33"/>
  <c r="E1075" i="33" s="1"/>
  <c r="N1139" i="33"/>
  <c r="J1139" i="33"/>
  <c r="O1139" i="33"/>
  <c r="G1139" i="33"/>
  <c r="H1139" i="33" s="1"/>
  <c r="F1139" i="33"/>
  <c r="D1139" i="33"/>
  <c r="E1139" i="33" s="1"/>
  <c r="I886" i="33"/>
  <c r="K886" i="33" s="1"/>
  <c r="M886" i="33" s="1"/>
  <c r="P886" i="33" s="1"/>
  <c r="N975" i="33"/>
  <c r="O975" i="33"/>
  <c r="D975" i="33"/>
  <c r="E975" i="33" s="1"/>
  <c r="J975" i="33"/>
  <c r="F975" i="33"/>
  <c r="G975" i="33"/>
  <c r="H975" i="33" s="1"/>
  <c r="I1062" i="33"/>
  <c r="K1062" i="33" s="1"/>
  <c r="M1062" i="33" s="1"/>
  <c r="P1062" i="33" s="1"/>
  <c r="O1041" i="33"/>
  <c r="N1041" i="33"/>
  <c r="J1041" i="33"/>
  <c r="F1041" i="33"/>
  <c r="G1041" i="33"/>
  <c r="H1041" i="33" s="1"/>
  <c r="D1041" i="33"/>
  <c r="E1041" i="33" s="1"/>
  <c r="O865" i="33"/>
  <c r="N865" i="33"/>
  <c r="J865" i="33"/>
  <c r="G865" i="33"/>
  <c r="H865" i="33" s="1"/>
  <c r="F865" i="33"/>
  <c r="I865" i="33" s="1"/>
  <c r="D865" i="33"/>
  <c r="E865" i="33" s="1"/>
  <c r="O929" i="33"/>
  <c r="N929" i="33"/>
  <c r="J929" i="33"/>
  <c r="G929" i="33"/>
  <c r="H929" i="33" s="1"/>
  <c r="F929" i="33"/>
  <c r="D929" i="33"/>
  <c r="E929" i="33" s="1"/>
  <c r="O993" i="33"/>
  <c r="N993" i="33"/>
  <c r="G993" i="33"/>
  <c r="H993" i="33" s="1"/>
  <c r="J993" i="33"/>
  <c r="F993" i="33"/>
  <c r="D993" i="33"/>
  <c r="E993" i="33" s="1"/>
  <c r="O1057" i="33"/>
  <c r="N1057" i="33"/>
  <c r="G1057" i="33"/>
  <c r="F1057" i="33"/>
  <c r="J1057" i="33"/>
  <c r="D1057" i="33"/>
  <c r="E1057" i="33" s="1"/>
  <c r="O1121" i="33"/>
  <c r="N1121" i="33"/>
  <c r="J1121" i="33"/>
  <c r="G1121" i="33"/>
  <c r="F1121" i="33"/>
  <c r="D1121" i="33"/>
  <c r="E1121" i="33" s="1"/>
  <c r="I846" i="33"/>
  <c r="K846" i="33" s="1"/>
  <c r="M846" i="33" s="1"/>
  <c r="P846" i="33" s="1"/>
  <c r="H1126" i="33"/>
  <c r="O1074" i="33"/>
  <c r="N1074" i="33"/>
  <c r="J1074" i="33"/>
  <c r="F1074" i="33"/>
  <c r="D1074" i="33"/>
  <c r="E1074" i="33" s="1"/>
  <c r="G1074" i="33"/>
  <c r="H1074" i="33" s="1"/>
  <c r="O1000" i="33"/>
  <c r="N1000" i="33"/>
  <c r="J1000" i="33"/>
  <c r="F1000" i="33"/>
  <c r="G1000" i="33"/>
  <c r="H1000" i="33" s="1"/>
  <c r="D1000" i="33"/>
  <c r="E1000" i="33" s="1"/>
  <c r="H895" i="33"/>
  <c r="I895" i="33" s="1"/>
  <c r="K895" i="33" s="1"/>
  <c r="M895" i="33" s="1"/>
  <c r="P895" i="33" s="1"/>
  <c r="N1010" i="33"/>
  <c r="O1010" i="33"/>
  <c r="F1010" i="33"/>
  <c r="J1010" i="33"/>
  <c r="G1010" i="33"/>
  <c r="H1010" i="33" s="1"/>
  <c r="D1010" i="33"/>
  <c r="E1010" i="33" s="1"/>
  <c r="I1118" i="33"/>
  <c r="K1118" i="33" s="1"/>
  <c r="M1118" i="33" s="1"/>
  <c r="P1118" i="33" s="1"/>
  <c r="N834" i="33"/>
  <c r="O834" i="33"/>
  <c r="G834" i="33"/>
  <c r="H834" i="33" s="1"/>
  <c r="F834" i="33"/>
  <c r="D834" i="33"/>
  <c r="E834" i="33" s="1"/>
  <c r="J834" i="33"/>
  <c r="O866" i="33"/>
  <c r="N866" i="33"/>
  <c r="J866" i="33"/>
  <c r="D866" i="33"/>
  <c r="E866" i="33" s="1"/>
  <c r="G866" i="33"/>
  <c r="H866" i="33" s="1"/>
  <c r="F866" i="33"/>
  <c r="O970" i="33"/>
  <c r="J970" i="33"/>
  <c r="N970" i="33"/>
  <c r="G970" i="33"/>
  <c r="H970" i="33" s="1"/>
  <c r="F970" i="33"/>
  <c r="D970" i="33"/>
  <c r="E970" i="33" s="1"/>
  <c r="O1098" i="33"/>
  <c r="N1098" i="33"/>
  <c r="J1098" i="33"/>
  <c r="D1098" i="33"/>
  <c r="E1098" i="33" s="1"/>
  <c r="G1098" i="33"/>
  <c r="H1098" i="33" s="1"/>
  <c r="F1098" i="33"/>
  <c r="I853" i="33"/>
  <c r="K853" i="33" s="1"/>
  <c r="M853" i="33" s="1"/>
  <c r="P853" i="33" s="1"/>
  <c r="K881" i="33"/>
  <c r="M881" i="33" s="1"/>
  <c r="P881" i="33" s="1"/>
  <c r="K1023" i="33"/>
  <c r="M1023" i="33" s="1"/>
  <c r="P1023" i="33" s="1"/>
  <c r="H1001" i="33"/>
  <c r="I1001" i="33" s="1"/>
  <c r="K1001" i="33" s="1"/>
  <c r="M1001" i="33" s="1"/>
  <c r="P1001" i="33" s="1"/>
  <c r="O941" i="33"/>
  <c r="J941" i="33"/>
  <c r="N941" i="33"/>
  <c r="G941" i="33"/>
  <c r="H941" i="33" s="1"/>
  <c r="F941" i="33"/>
  <c r="D941" i="33"/>
  <c r="E941" i="33" s="1"/>
  <c r="J973" i="33"/>
  <c r="N973" i="33"/>
  <c r="G973" i="33"/>
  <c r="F973" i="33"/>
  <c r="O973" i="33"/>
  <c r="D973" i="33"/>
  <c r="E973" i="33" s="1"/>
  <c r="J1077" i="33"/>
  <c r="N1077" i="33"/>
  <c r="G1077" i="33"/>
  <c r="H1077" i="33" s="1"/>
  <c r="F1077" i="33"/>
  <c r="I1077" i="33" s="1"/>
  <c r="O1077" i="33"/>
  <c r="D1077" i="33"/>
  <c r="E1077" i="33" s="1"/>
  <c r="H1130" i="33"/>
  <c r="I1130" i="33" s="1"/>
  <c r="K1130" i="33" s="1"/>
  <c r="M1130" i="33" s="1"/>
  <c r="P1130" i="33" s="1"/>
  <c r="H904" i="33"/>
  <c r="I904" i="33" s="1"/>
  <c r="K904" i="33" s="1"/>
  <c r="M904" i="33" s="1"/>
  <c r="P904" i="33" s="1"/>
  <c r="K928" i="33"/>
  <c r="M928" i="33" s="1"/>
  <c r="P928" i="33" s="1"/>
  <c r="I1120" i="33"/>
  <c r="K1120" i="33" s="1"/>
  <c r="M1120" i="33" s="1"/>
  <c r="P1120" i="33" s="1"/>
  <c r="L1042" i="12"/>
  <c r="K1042" i="12"/>
  <c r="G1042" i="12"/>
  <c r="D1042" i="12"/>
  <c r="E1042" i="12" s="1"/>
  <c r="F1042" i="12"/>
  <c r="H1042" i="12" s="1"/>
  <c r="I925" i="33"/>
  <c r="K925" i="33" s="1"/>
  <c r="M925" i="33" s="1"/>
  <c r="P925" i="33" s="1"/>
  <c r="H981" i="33"/>
  <c r="I981" i="33" s="1"/>
  <c r="K981" i="33" s="1"/>
  <c r="M981" i="33" s="1"/>
  <c r="P981" i="33" s="1"/>
  <c r="K1041" i="12"/>
  <c r="L1041" i="12"/>
  <c r="F1041" i="12"/>
  <c r="H1041" i="12" s="1"/>
  <c r="G1041" i="12"/>
  <c r="D1041" i="12"/>
  <c r="E1041" i="12" s="1"/>
  <c r="K1103" i="12"/>
  <c r="L1103" i="12"/>
  <c r="F1103" i="12"/>
  <c r="H1103" i="12" s="1"/>
  <c r="D1103" i="12"/>
  <c r="E1103" i="12" s="1"/>
  <c r="G1103" i="12"/>
  <c r="K857" i="12"/>
  <c r="F857" i="12"/>
  <c r="H857" i="12" s="1"/>
  <c r="L857" i="12"/>
  <c r="G857" i="12"/>
  <c r="D857" i="12"/>
  <c r="E857" i="12" s="1"/>
  <c r="K913" i="12"/>
  <c r="L913" i="12"/>
  <c r="F913" i="12"/>
  <c r="H913" i="12" s="1"/>
  <c r="G913" i="12"/>
  <c r="D913" i="12"/>
  <c r="E913" i="12" s="1"/>
  <c r="K969" i="12"/>
  <c r="F969" i="12"/>
  <c r="H969" i="12" s="1"/>
  <c r="L969" i="12"/>
  <c r="D969" i="12"/>
  <c r="E969" i="12" s="1"/>
  <c r="G969" i="12"/>
  <c r="L957" i="12"/>
  <c r="K957" i="12"/>
  <c r="G957" i="12"/>
  <c r="F957" i="12"/>
  <c r="D957" i="12"/>
  <c r="E957" i="12" s="1"/>
  <c r="L906" i="12"/>
  <c r="K906" i="12"/>
  <c r="G906" i="12"/>
  <c r="D906" i="12"/>
  <c r="E906" i="12" s="1"/>
  <c r="F906" i="12"/>
  <c r="H906" i="12" s="1"/>
  <c r="L981" i="12"/>
  <c r="K981" i="12"/>
  <c r="G981" i="12"/>
  <c r="D981" i="12"/>
  <c r="E981" i="12" s="1"/>
  <c r="F981" i="12"/>
  <c r="H981" i="12" s="1"/>
  <c r="L964" i="12"/>
  <c r="K964" i="12"/>
  <c r="G964" i="12"/>
  <c r="F964" i="12"/>
  <c r="H964" i="12" s="1"/>
  <c r="D964" i="12"/>
  <c r="E964" i="12" s="1"/>
  <c r="L924" i="12"/>
  <c r="G924" i="12"/>
  <c r="K924" i="12"/>
  <c r="F924" i="12"/>
  <c r="H924" i="12" s="1"/>
  <c r="D924" i="12"/>
  <c r="E924" i="12" s="1"/>
  <c r="I1031" i="12"/>
  <c r="J1031" i="12" s="1"/>
  <c r="M1031" i="12" s="1"/>
  <c r="I1130" i="12"/>
  <c r="J1130" i="12" s="1"/>
  <c r="M1130" i="12" s="1"/>
  <c r="L893" i="12"/>
  <c r="G893" i="12"/>
  <c r="K893" i="12"/>
  <c r="F893" i="12"/>
  <c r="H893" i="12" s="1"/>
  <c r="D893" i="12"/>
  <c r="E893" i="12" s="1"/>
  <c r="I1096" i="12"/>
  <c r="J1096" i="12" s="1"/>
  <c r="M1096" i="12" s="1"/>
  <c r="I830" i="12"/>
  <c r="J830" i="12" s="1"/>
  <c r="M830" i="12" s="1"/>
  <c r="I1058" i="12"/>
  <c r="J1058" i="12" s="1"/>
  <c r="M1058" i="12" s="1"/>
  <c r="K880" i="12"/>
  <c r="L880" i="12"/>
  <c r="F880" i="12"/>
  <c r="H880" i="12" s="1"/>
  <c r="D880" i="12"/>
  <c r="E880" i="12" s="1"/>
  <c r="G880" i="12"/>
  <c r="K1022" i="12"/>
  <c r="L1022" i="12"/>
  <c r="F1022" i="12"/>
  <c r="H1022" i="12" s="1"/>
  <c r="G1022" i="12"/>
  <c r="D1022" i="12"/>
  <c r="E1022" i="12" s="1"/>
  <c r="I832" i="12"/>
  <c r="J832" i="12" s="1"/>
  <c r="M832" i="12" s="1"/>
  <c r="K848" i="12"/>
  <c r="L848" i="12"/>
  <c r="F848" i="12"/>
  <c r="H848" i="12" s="1"/>
  <c r="G848" i="12"/>
  <c r="D848" i="12"/>
  <c r="E848" i="12" s="1"/>
  <c r="I1053" i="12"/>
  <c r="J1053" i="12" s="1"/>
  <c r="M1053" i="12" s="1"/>
  <c r="K863" i="12"/>
  <c r="F863" i="12"/>
  <c r="H863" i="12" s="1"/>
  <c r="D863" i="12"/>
  <c r="E863" i="12" s="1"/>
  <c r="L863" i="12"/>
  <c r="G863" i="12"/>
  <c r="K927" i="12"/>
  <c r="F927" i="12"/>
  <c r="H927" i="12" s="1"/>
  <c r="D927" i="12"/>
  <c r="E927" i="12" s="1"/>
  <c r="L927" i="12"/>
  <c r="G927" i="12"/>
  <c r="I1029" i="12"/>
  <c r="J1029" i="12" s="1"/>
  <c r="M1029" i="12" s="1"/>
  <c r="I1134" i="12"/>
  <c r="J1134" i="12" s="1"/>
  <c r="M1134" i="12" s="1"/>
  <c r="I962" i="12"/>
  <c r="J962" i="12" s="1"/>
  <c r="M962" i="12" s="1"/>
  <c r="I1120" i="12"/>
  <c r="J1120" i="12" s="1"/>
  <c r="M1120" i="12" s="1"/>
  <c r="F874" i="7"/>
  <c r="H874" i="7" s="1"/>
  <c r="D874" i="7"/>
  <c r="E874" i="7" s="1"/>
  <c r="G874" i="7"/>
  <c r="K874" i="7"/>
  <c r="F1002" i="7"/>
  <c r="H1002" i="7" s="1"/>
  <c r="D1002" i="7"/>
  <c r="E1002" i="7" s="1"/>
  <c r="K1002" i="7"/>
  <c r="G1002" i="7"/>
  <c r="F1130" i="7"/>
  <c r="H1130" i="7" s="1"/>
  <c r="D1130" i="7"/>
  <c r="E1130" i="7" s="1"/>
  <c r="K1130" i="7"/>
  <c r="G1130" i="7"/>
  <c r="F1061" i="7"/>
  <c r="H1061" i="7" s="1"/>
  <c r="D1061" i="7"/>
  <c r="E1061" i="7" s="1"/>
  <c r="K1061" i="7"/>
  <c r="G1061" i="7"/>
  <c r="I845" i="7"/>
  <c r="J845" i="7" s="1"/>
  <c r="L845" i="7" s="1"/>
  <c r="I925" i="7"/>
  <c r="J925" i="7" s="1"/>
  <c r="L925" i="7" s="1"/>
  <c r="K830" i="7"/>
  <c r="G830" i="7"/>
  <c r="D830" i="7"/>
  <c r="E830" i="7" s="1"/>
  <c r="F830" i="7"/>
  <c r="H830" i="7" s="1"/>
  <c r="K862" i="7"/>
  <c r="G862" i="7"/>
  <c r="D862" i="7"/>
  <c r="E862" i="7" s="1"/>
  <c r="F862" i="7"/>
  <c r="H862" i="7" s="1"/>
  <c r="K894" i="7"/>
  <c r="G894" i="7"/>
  <c r="D894" i="7"/>
  <c r="E894" i="7" s="1"/>
  <c r="F894" i="7"/>
  <c r="H894" i="7" s="1"/>
  <c r="K926" i="7"/>
  <c r="G926" i="7"/>
  <c r="D926" i="7"/>
  <c r="E926" i="7" s="1"/>
  <c r="F926" i="7"/>
  <c r="H926" i="7" s="1"/>
  <c r="K958" i="7"/>
  <c r="G958" i="7"/>
  <c r="D958" i="7"/>
  <c r="E958" i="7" s="1"/>
  <c r="F958" i="7"/>
  <c r="H958" i="7" s="1"/>
  <c r="K990" i="7"/>
  <c r="G990" i="7"/>
  <c r="D990" i="7"/>
  <c r="E990" i="7" s="1"/>
  <c r="F990" i="7"/>
  <c r="H990" i="7" s="1"/>
  <c r="K1022" i="7"/>
  <c r="G1022" i="7"/>
  <c r="D1022" i="7"/>
  <c r="E1022" i="7" s="1"/>
  <c r="F1022" i="7"/>
  <c r="H1022" i="7" s="1"/>
  <c r="K1054" i="7"/>
  <c r="G1054" i="7"/>
  <c r="D1054" i="7"/>
  <c r="E1054" i="7" s="1"/>
  <c r="F1054" i="7"/>
  <c r="H1054" i="7" s="1"/>
  <c r="K1086" i="7"/>
  <c r="G1086" i="7"/>
  <c r="D1086" i="7"/>
  <c r="E1086" i="7" s="1"/>
  <c r="F1086" i="7"/>
  <c r="H1086" i="7" s="1"/>
  <c r="K1118" i="7"/>
  <c r="G1118" i="7"/>
  <c r="D1118" i="7"/>
  <c r="E1118" i="7" s="1"/>
  <c r="F1118" i="7"/>
  <c r="H1118" i="7" s="1"/>
  <c r="L981" i="7"/>
  <c r="I949" i="7"/>
  <c r="J949" i="7" s="1"/>
  <c r="L949" i="7" s="1"/>
  <c r="L1052" i="7"/>
  <c r="K872" i="5"/>
  <c r="D872" i="5"/>
  <c r="E872" i="5" s="1"/>
  <c r="F872" i="5"/>
  <c r="H872" i="5" s="1"/>
  <c r="G872" i="5"/>
  <c r="G936" i="5"/>
  <c r="K936" i="5"/>
  <c r="D936" i="5"/>
  <c r="E936" i="5" s="1"/>
  <c r="F936" i="5"/>
  <c r="H936" i="5" s="1"/>
  <c r="G1000" i="5"/>
  <c r="K1000" i="5"/>
  <c r="D1000" i="5"/>
  <c r="E1000" i="5" s="1"/>
  <c r="F1000" i="5"/>
  <c r="H1000" i="5" s="1"/>
  <c r="G1064" i="5"/>
  <c r="K1064" i="5"/>
  <c r="D1064" i="5"/>
  <c r="E1064" i="5" s="1"/>
  <c r="F1064" i="5"/>
  <c r="H1064" i="5" s="1"/>
  <c r="G1128" i="5"/>
  <c r="K1128" i="5"/>
  <c r="D1128" i="5"/>
  <c r="E1128" i="5" s="1"/>
  <c r="F1128" i="5"/>
  <c r="H1128" i="5" s="1"/>
  <c r="I859" i="5"/>
  <c r="J859" i="5" s="1"/>
  <c r="L859" i="5" s="1"/>
  <c r="I1203" i="7"/>
  <c r="J1203" i="7" s="1"/>
  <c r="L1203" i="7" s="1"/>
  <c r="I1163" i="7"/>
  <c r="J1163" i="7" s="1"/>
  <c r="L1163" i="7" s="1"/>
  <c r="I1189" i="7"/>
  <c r="J1189" i="7" s="1"/>
  <c r="L1189" i="7" s="1"/>
  <c r="I1188" i="7"/>
  <c r="J1188" i="7" s="1"/>
  <c r="L1188" i="7" s="1"/>
  <c r="L1205" i="7"/>
  <c r="I1274" i="7"/>
  <c r="J1274" i="7" s="1"/>
  <c r="L1274" i="7" s="1"/>
  <c r="I1229" i="7"/>
  <c r="J1229" i="7" s="1"/>
  <c r="L1229" i="7" s="1"/>
  <c r="I1212" i="7"/>
  <c r="J1212" i="7" s="1"/>
  <c r="L1212" i="7" s="1"/>
  <c r="I1238" i="7"/>
  <c r="J1238" i="7" s="1"/>
  <c r="L1238" i="7" s="1"/>
  <c r="I1174" i="7"/>
  <c r="J1174" i="7" s="1"/>
  <c r="L1174" i="7" s="1"/>
  <c r="I1272" i="12"/>
  <c r="J1272" i="12" s="1"/>
  <c r="M1272" i="12" s="1"/>
  <c r="I1218" i="12"/>
  <c r="J1218" i="12" s="1"/>
  <c r="M1218" i="12" s="1"/>
  <c r="I1259" i="12"/>
  <c r="J1259" i="12" s="1"/>
  <c r="M1259" i="12" s="1"/>
  <c r="I1249" i="7"/>
  <c r="J1249" i="7" s="1"/>
  <c r="L1249" i="7" s="1"/>
  <c r="I1185" i="7"/>
  <c r="J1185" i="7" s="1"/>
  <c r="L1185" i="7" s="1"/>
  <c r="I1283" i="12"/>
  <c r="J1283" i="12" s="1"/>
  <c r="M1283" i="12" s="1"/>
  <c r="I1240" i="7"/>
  <c r="J1240" i="7" s="1"/>
  <c r="L1240" i="7" s="1"/>
  <c r="I1176" i="7"/>
  <c r="J1176" i="7" s="1"/>
  <c r="L1176" i="7" s="1"/>
  <c r="I1295" i="7"/>
  <c r="J1295" i="7" s="1"/>
  <c r="L1295" i="7" s="1"/>
  <c r="I1231" i="7"/>
  <c r="J1231" i="7" s="1"/>
  <c r="L1231" i="7" s="1"/>
  <c r="I1237" i="12"/>
  <c r="J1237" i="12" s="1"/>
  <c r="M1237" i="12" s="1"/>
  <c r="I1282" i="12"/>
  <c r="J1282" i="12" s="1"/>
  <c r="M1282" i="12" s="1"/>
  <c r="I1165" i="12"/>
  <c r="J1165" i="12" s="1"/>
  <c r="M1165" i="12" s="1"/>
  <c r="I1228" i="12"/>
  <c r="J1228" i="12" s="1"/>
  <c r="M1228" i="12" s="1"/>
  <c r="I1266" i="12"/>
  <c r="J1266" i="12" s="1"/>
  <c r="M1266" i="12" s="1"/>
  <c r="I1230" i="12"/>
  <c r="J1230" i="12" s="1"/>
  <c r="M1230" i="12" s="1"/>
  <c r="I1166" i="12"/>
  <c r="J1166" i="12" s="1"/>
  <c r="M1166" i="12" s="1"/>
  <c r="M1249" i="12"/>
  <c r="I1185" i="12"/>
  <c r="J1185" i="12" s="1"/>
  <c r="M1185" i="12" s="1"/>
  <c r="I1200" i="12"/>
  <c r="J1200" i="12" s="1"/>
  <c r="M1200" i="12" s="1"/>
  <c r="I1295" i="12"/>
  <c r="J1295" i="12" s="1"/>
  <c r="M1295" i="12" s="1"/>
  <c r="I1231" i="12"/>
  <c r="J1231" i="12" s="1"/>
  <c r="M1231" i="12" s="1"/>
  <c r="I1167" i="12"/>
  <c r="J1167" i="12" s="1"/>
  <c r="M1167" i="12" s="1"/>
  <c r="I1126" i="33"/>
  <c r="K1126" i="33" s="1"/>
  <c r="M1126" i="33" s="1"/>
  <c r="P1126" i="33" s="1"/>
  <c r="K1171" i="33"/>
  <c r="M1171" i="33" s="1"/>
  <c r="P1171" i="33" s="1"/>
  <c r="K1195" i="33"/>
  <c r="M1195" i="33" s="1"/>
  <c r="P1195" i="33" s="1"/>
  <c r="K1180" i="33"/>
  <c r="M1180" i="33" s="1"/>
  <c r="P1180" i="33" s="1"/>
  <c r="K1156" i="33"/>
  <c r="M1156" i="33" s="1"/>
  <c r="P1156" i="33" s="1"/>
  <c r="K1179" i="33"/>
  <c r="M1179" i="33" s="1"/>
  <c r="P1179" i="33" s="1"/>
  <c r="K1181" i="33"/>
  <c r="M1181" i="33" s="1"/>
  <c r="P1181" i="33" s="1"/>
  <c r="K1190" i="33"/>
  <c r="M1190" i="33" s="1"/>
  <c r="P1190" i="33" s="1"/>
  <c r="I964" i="5"/>
  <c r="J964" i="5" s="1"/>
  <c r="L964" i="5" s="1"/>
  <c r="K833" i="7"/>
  <c r="G833" i="7"/>
  <c r="F833" i="7"/>
  <c r="H833" i="7" s="1"/>
  <c r="D833" i="7"/>
  <c r="E833" i="7" s="1"/>
  <c r="K865" i="7"/>
  <c r="G865" i="7"/>
  <c r="F865" i="7"/>
  <c r="H865" i="7" s="1"/>
  <c r="D865" i="7"/>
  <c r="E865" i="7" s="1"/>
  <c r="K897" i="7"/>
  <c r="G897" i="7"/>
  <c r="F897" i="7"/>
  <c r="H897" i="7" s="1"/>
  <c r="D897" i="7"/>
  <c r="E897" i="7" s="1"/>
  <c r="K929" i="7"/>
  <c r="G929" i="7"/>
  <c r="F929" i="7"/>
  <c r="H929" i="7" s="1"/>
  <c r="D929" i="7"/>
  <c r="E929" i="7" s="1"/>
  <c r="K961" i="7"/>
  <c r="G961" i="7"/>
  <c r="F961" i="7"/>
  <c r="H961" i="7" s="1"/>
  <c r="D961" i="7"/>
  <c r="E961" i="7" s="1"/>
  <c r="K993" i="7"/>
  <c r="G993" i="7"/>
  <c r="F993" i="7"/>
  <c r="H993" i="7" s="1"/>
  <c r="D993" i="7"/>
  <c r="E993" i="7" s="1"/>
  <c r="K1025" i="7"/>
  <c r="G1025" i="7"/>
  <c r="F1025" i="7"/>
  <c r="H1025" i="7" s="1"/>
  <c r="D1025" i="7"/>
  <c r="E1025" i="7" s="1"/>
  <c r="K1057" i="7"/>
  <c r="G1057" i="7"/>
  <c r="F1057" i="7"/>
  <c r="H1057" i="7" s="1"/>
  <c r="D1057" i="7"/>
  <c r="E1057" i="7" s="1"/>
  <c r="K1089" i="7"/>
  <c r="G1089" i="7"/>
  <c r="F1089" i="7"/>
  <c r="H1089" i="7" s="1"/>
  <c r="D1089" i="7"/>
  <c r="E1089" i="7" s="1"/>
  <c r="K1121" i="7"/>
  <c r="G1121" i="7"/>
  <c r="F1121" i="7"/>
  <c r="H1121" i="7" s="1"/>
  <c r="D1121" i="7"/>
  <c r="E1121" i="7" s="1"/>
  <c r="I889" i="5"/>
  <c r="J889" i="5" s="1"/>
  <c r="L889" i="5" s="1"/>
  <c r="I833" i="5"/>
  <c r="J833" i="5" s="1"/>
  <c r="L833" i="5" s="1"/>
  <c r="I993" i="5"/>
  <c r="J993" i="5" s="1"/>
  <c r="L993" i="5" s="1"/>
  <c r="I1121" i="5"/>
  <c r="J1121" i="5" s="1"/>
  <c r="L1121" i="5" s="1"/>
  <c r="I825" i="5"/>
  <c r="J825" i="5" s="1"/>
  <c r="L825" i="5" s="1"/>
  <c r="F1052" i="8"/>
  <c r="G1052" i="8" s="1"/>
  <c r="H1052" i="8" s="1"/>
  <c r="D1052" i="8"/>
  <c r="E1052" i="8" s="1"/>
  <c r="F1030" i="8"/>
  <c r="G1030" i="8" s="1"/>
  <c r="H1030" i="8" s="1"/>
  <c r="D1030" i="8"/>
  <c r="E1030" i="8" s="1"/>
  <c r="F992" i="8"/>
  <c r="G992" i="8" s="1"/>
  <c r="H992" i="8" s="1"/>
  <c r="D992" i="8"/>
  <c r="E992" i="8" s="1"/>
  <c r="K903" i="33"/>
  <c r="M903" i="33" s="1"/>
  <c r="P903" i="33" s="1"/>
  <c r="F881" i="8"/>
  <c r="G881" i="8" s="1"/>
  <c r="H881" i="8" s="1"/>
  <c r="D881" i="8"/>
  <c r="E881" i="8" s="1"/>
  <c r="O867" i="33"/>
  <c r="G867" i="33"/>
  <c r="H867" i="33" s="1"/>
  <c r="F867" i="33"/>
  <c r="D867" i="33"/>
  <c r="E867" i="33" s="1"/>
  <c r="N867" i="33"/>
  <c r="J867" i="33"/>
  <c r="K1071" i="12"/>
  <c r="F1071" i="12"/>
  <c r="H1071" i="12" s="1"/>
  <c r="D1071" i="12"/>
  <c r="E1071" i="12" s="1"/>
  <c r="L1071" i="12"/>
  <c r="G1071" i="12"/>
  <c r="I1064" i="12"/>
  <c r="J1064" i="12" s="1"/>
  <c r="M1064" i="12" s="1"/>
  <c r="K951" i="12"/>
  <c r="F951" i="12"/>
  <c r="H951" i="12" s="1"/>
  <c r="D951" i="12"/>
  <c r="E951" i="12" s="1"/>
  <c r="L951" i="12"/>
  <c r="G951" i="12"/>
  <c r="L914" i="7"/>
  <c r="H1218" i="9"/>
  <c r="I1218" i="9" s="1"/>
  <c r="K1218" i="9" s="1"/>
  <c r="H1250" i="9"/>
  <c r="I1250" i="9" s="1"/>
  <c r="K1250" i="9" s="1"/>
  <c r="I1246" i="5"/>
  <c r="J1246" i="5" s="1"/>
  <c r="L1246" i="5" s="1"/>
  <c r="F1043" i="8"/>
  <c r="G1043" i="8" s="1"/>
  <c r="H1043" i="8" s="1"/>
  <c r="D1043" i="8"/>
  <c r="E1043" i="8" s="1"/>
  <c r="F876" i="8"/>
  <c r="G876" i="8" s="1"/>
  <c r="H876" i="8" s="1"/>
  <c r="D876" i="8"/>
  <c r="E876" i="8" s="1"/>
  <c r="F1100" i="8"/>
  <c r="G1100" i="8" s="1"/>
  <c r="H1100" i="8" s="1"/>
  <c r="D1100" i="8"/>
  <c r="E1100" i="8" s="1"/>
  <c r="F997" i="8"/>
  <c r="G997" i="8" s="1"/>
  <c r="H997" i="8" s="1"/>
  <c r="D997" i="8"/>
  <c r="E997" i="8" s="1"/>
  <c r="F866" i="8"/>
  <c r="G866" i="8" s="1"/>
  <c r="H866" i="8" s="1"/>
  <c r="D866" i="8"/>
  <c r="E866" i="8" s="1"/>
  <c r="F822" i="8"/>
  <c r="G822" i="8" s="1"/>
  <c r="H822" i="8" s="1"/>
  <c r="D822" i="8"/>
  <c r="E822" i="8" s="1"/>
  <c r="F1110" i="8"/>
  <c r="G1110" i="8" s="1"/>
  <c r="H1110" i="8" s="1"/>
  <c r="D1110" i="8"/>
  <c r="E1110" i="8" s="1"/>
  <c r="F1135" i="8"/>
  <c r="G1135" i="8" s="1"/>
  <c r="H1135" i="8" s="1"/>
  <c r="D1135" i="8"/>
  <c r="E1135" i="8" s="1"/>
  <c r="O1100" i="33"/>
  <c r="J1100" i="33"/>
  <c r="G1100" i="33"/>
  <c r="H1100" i="33" s="1"/>
  <c r="F1100" i="33"/>
  <c r="D1100" i="33"/>
  <c r="E1100" i="33" s="1"/>
  <c r="N1100" i="33"/>
  <c r="O827" i="33"/>
  <c r="J827" i="33"/>
  <c r="N827" i="33"/>
  <c r="G827" i="33"/>
  <c r="H827" i="33" s="1"/>
  <c r="F827" i="33"/>
  <c r="D827" i="33"/>
  <c r="E827" i="33" s="1"/>
  <c r="O1019" i="33"/>
  <c r="J1019" i="33"/>
  <c r="N1019" i="33"/>
  <c r="G1019" i="33"/>
  <c r="H1019" i="33" s="1"/>
  <c r="F1019" i="33"/>
  <c r="D1019" i="33"/>
  <c r="E1019" i="33" s="1"/>
  <c r="O1083" i="33"/>
  <c r="J1083" i="33"/>
  <c r="N1083" i="33"/>
  <c r="G1083" i="33"/>
  <c r="F1083" i="33"/>
  <c r="D1083" i="33"/>
  <c r="E1083" i="33" s="1"/>
  <c r="O1147" i="33"/>
  <c r="J1147" i="33"/>
  <c r="N1147" i="33"/>
  <c r="G1147" i="33"/>
  <c r="F1147" i="33"/>
  <c r="D1147" i="33"/>
  <c r="E1147" i="33" s="1"/>
  <c r="O1039" i="33"/>
  <c r="N1039" i="33"/>
  <c r="F1039" i="33"/>
  <c r="J1039" i="33"/>
  <c r="G1039" i="33"/>
  <c r="H1039" i="33" s="1"/>
  <c r="D1039" i="33"/>
  <c r="E1039" i="33" s="1"/>
  <c r="O1103" i="33"/>
  <c r="J1103" i="33"/>
  <c r="N1103" i="33"/>
  <c r="F1103" i="33"/>
  <c r="G1103" i="33"/>
  <c r="H1103" i="33" s="1"/>
  <c r="D1103" i="33"/>
  <c r="E1103" i="33" s="1"/>
  <c r="O849" i="33"/>
  <c r="N849" i="33"/>
  <c r="J849" i="33"/>
  <c r="F849" i="33"/>
  <c r="G849" i="33"/>
  <c r="H849" i="33" s="1"/>
  <c r="D849" i="33"/>
  <c r="E849" i="33" s="1"/>
  <c r="O1105" i="33"/>
  <c r="N1105" i="33"/>
  <c r="J1105" i="33"/>
  <c r="F1105" i="33"/>
  <c r="G1105" i="33"/>
  <c r="D1105" i="33"/>
  <c r="E1105" i="33" s="1"/>
  <c r="O880" i="33"/>
  <c r="N880" i="33"/>
  <c r="J880" i="33"/>
  <c r="G880" i="33"/>
  <c r="H880" i="33" s="1"/>
  <c r="D880" i="33"/>
  <c r="E880" i="33" s="1"/>
  <c r="F880" i="33"/>
  <c r="O944" i="33"/>
  <c r="N944" i="33"/>
  <c r="J944" i="33"/>
  <c r="G944" i="33"/>
  <c r="H944" i="33" s="1"/>
  <c r="D944" i="33"/>
  <c r="E944" i="33" s="1"/>
  <c r="F944" i="33"/>
  <c r="O1008" i="33"/>
  <c r="N1008" i="33"/>
  <c r="J1008" i="33"/>
  <c r="G1008" i="33"/>
  <c r="H1008" i="33" s="1"/>
  <c r="D1008" i="33"/>
  <c r="E1008" i="33" s="1"/>
  <c r="F1008" i="33"/>
  <c r="I1008" i="33" s="1"/>
  <c r="O1072" i="33"/>
  <c r="N1072" i="33"/>
  <c r="J1072" i="33"/>
  <c r="G1072" i="33"/>
  <c r="H1072" i="33" s="1"/>
  <c r="D1072" i="33"/>
  <c r="E1072" i="33" s="1"/>
  <c r="F1072" i="33"/>
  <c r="O1136" i="33"/>
  <c r="N1136" i="33"/>
  <c r="J1136" i="33"/>
  <c r="G1136" i="33"/>
  <c r="H1136" i="33" s="1"/>
  <c r="F1136" i="33"/>
  <c r="I1136" i="33" s="1"/>
  <c r="D1136" i="33"/>
  <c r="E1136" i="33" s="1"/>
  <c r="F848" i="8"/>
  <c r="G848" i="8" s="1"/>
  <c r="H848" i="8" s="1"/>
  <c r="D848" i="8"/>
  <c r="E848" i="8" s="1"/>
  <c r="F880" i="8"/>
  <c r="G880" i="8" s="1"/>
  <c r="H880" i="8" s="1"/>
  <c r="D880" i="8"/>
  <c r="E880" i="8" s="1"/>
  <c r="F912" i="8"/>
  <c r="G912" i="8" s="1"/>
  <c r="H912" i="8" s="1"/>
  <c r="D912" i="8"/>
  <c r="E912" i="8" s="1"/>
  <c r="F944" i="8"/>
  <c r="G944" i="8" s="1"/>
  <c r="H944" i="8" s="1"/>
  <c r="D944" i="8"/>
  <c r="E944" i="8" s="1"/>
  <c r="F976" i="8"/>
  <c r="G976" i="8" s="1"/>
  <c r="H976" i="8" s="1"/>
  <c r="D976" i="8"/>
  <c r="E976" i="8" s="1"/>
  <c r="F1008" i="8"/>
  <c r="G1008" i="8" s="1"/>
  <c r="H1008" i="8" s="1"/>
  <c r="D1008" i="8"/>
  <c r="E1008" i="8" s="1"/>
  <c r="F1040" i="8"/>
  <c r="G1040" i="8" s="1"/>
  <c r="H1040" i="8" s="1"/>
  <c r="D1040" i="8"/>
  <c r="E1040" i="8" s="1"/>
  <c r="F1072" i="8"/>
  <c r="G1072" i="8" s="1"/>
  <c r="H1072" i="8" s="1"/>
  <c r="D1072" i="8"/>
  <c r="E1072" i="8" s="1"/>
  <c r="F1104" i="8"/>
  <c r="G1104" i="8" s="1"/>
  <c r="H1104" i="8" s="1"/>
  <c r="D1104" i="8"/>
  <c r="E1104" i="8" s="1"/>
  <c r="F1136" i="8"/>
  <c r="G1136" i="8" s="1"/>
  <c r="H1136" i="8" s="1"/>
  <c r="D1136" i="8"/>
  <c r="E1136" i="8" s="1"/>
  <c r="H1006" i="33"/>
  <c r="I1006" i="33" s="1"/>
  <c r="K1006" i="33" s="1"/>
  <c r="M1006" i="33" s="1"/>
  <c r="P1006" i="33" s="1"/>
  <c r="O872" i="33"/>
  <c r="N872" i="33"/>
  <c r="J872" i="33"/>
  <c r="F872" i="33"/>
  <c r="G872" i="33"/>
  <c r="D872" i="33"/>
  <c r="E872" i="33" s="1"/>
  <c r="O842" i="33"/>
  <c r="N842" i="33"/>
  <c r="D842" i="33"/>
  <c r="E842" i="33" s="1"/>
  <c r="G842" i="33"/>
  <c r="H842" i="33" s="1"/>
  <c r="J842" i="33"/>
  <c r="F842" i="33"/>
  <c r="O930" i="33"/>
  <c r="N930" i="33"/>
  <c r="J930" i="33"/>
  <c r="D930" i="33"/>
  <c r="E930" i="33" s="1"/>
  <c r="G930" i="33"/>
  <c r="H930" i="33" s="1"/>
  <c r="F930" i="33"/>
  <c r="O1058" i="33"/>
  <c r="N1058" i="33"/>
  <c r="G1058" i="33"/>
  <c r="H1058" i="33" s="1"/>
  <c r="J1058" i="33"/>
  <c r="F1058" i="33"/>
  <c r="D1058" i="33"/>
  <c r="E1058" i="33" s="1"/>
  <c r="H1065" i="33"/>
  <c r="I1065" i="33" s="1"/>
  <c r="K1065" i="33" s="1"/>
  <c r="M1065" i="33" s="1"/>
  <c r="P1065" i="33" s="1"/>
  <c r="O1053" i="33"/>
  <c r="N1053" i="33"/>
  <c r="J1053" i="33"/>
  <c r="G1053" i="33"/>
  <c r="H1053" i="33" s="1"/>
  <c r="F1053" i="33"/>
  <c r="D1053" i="33"/>
  <c r="E1053" i="33" s="1"/>
  <c r="O877" i="33"/>
  <c r="J877" i="33"/>
  <c r="N877" i="33"/>
  <c r="G877" i="33"/>
  <c r="H877" i="33" s="1"/>
  <c r="F877" i="33"/>
  <c r="D877" i="33"/>
  <c r="E877" i="33" s="1"/>
  <c r="N909" i="33"/>
  <c r="J909" i="33"/>
  <c r="O909" i="33"/>
  <c r="G909" i="33"/>
  <c r="H909" i="33" s="1"/>
  <c r="F909" i="33"/>
  <c r="D909" i="33"/>
  <c r="E909" i="33" s="1"/>
  <c r="J1013" i="33"/>
  <c r="O1013" i="33"/>
  <c r="G1013" i="33"/>
  <c r="H1013" i="33" s="1"/>
  <c r="F1013" i="33"/>
  <c r="N1013" i="33"/>
  <c r="D1013" i="33"/>
  <c r="E1013" i="33" s="1"/>
  <c r="O1045" i="33"/>
  <c r="J1045" i="33"/>
  <c r="N1045" i="33"/>
  <c r="G1045" i="33"/>
  <c r="H1045" i="33" s="1"/>
  <c r="F1045" i="33"/>
  <c r="D1045" i="33"/>
  <c r="E1045" i="33" s="1"/>
  <c r="O1117" i="33"/>
  <c r="N1117" i="33"/>
  <c r="J1117" i="33"/>
  <c r="G1117" i="33"/>
  <c r="H1117" i="33" s="1"/>
  <c r="F1117" i="33"/>
  <c r="I1117" i="33" s="1"/>
  <c r="D1117" i="33"/>
  <c r="E1117" i="33" s="1"/>
  <c r="I1087" i="33"/>
  <c r="K1087" i="33" s="1"/>
  <c r="M1087" i="33" s="1"/>
  <c r="P1087" i="33" s="1"/>
  <c r="H935" i="33"/>
  <c r="I935" i="33" s="1"/>
  <c r="K935" i="33" s="1"/>
  <c r="M935" i="33" s="1"/>
  <c r="P935" i="33" s="1"/>
  <c r="H873" i="33"/>
  <c r="I873" i="33" s="1"/>
  <c r="K873" i="33" s="1"/>
  <c r="M873" i="33" s="1"/>
  <c r="P873" i="33" s="1"/>
  <c r="H896" i="33"/>
  <c r="I896" i="33" s="1"/>
  <c r="K896" i="33" s="1"/>
  <c r="M896" i="33" s="1"/>
  <c r="P896" i="33" s="1"/>
  <c r="L1106" i="12"/>
  <c r="K1106" i="12"/>
  <c r="G1106" i="12"/>
  <c r="D1106" i="12"/>
  <c r="E1106" i="12" s="1"/>
  <c r="F1106" i="12"/>
  <c r="H1106" i="12" s="1"/>
  <c r="K1081" i="12"/>
  <c r="L1081" i="12"/>
  <c r="F1081" i="12"/>
  <c r="H1081" i="12" s="1"/>
  <c r="G1081" i="12"/>
  <c r="D1081" i="12"/>
  <c r="E1081" i="12" s="1"/>
  <c r="K1135" i="12"/>
  <c r="F1135" i="12"/>
  <c r="H1135" i="12" s="1"/>
  <c r="D1135" i="12"/>
  <c r="E1135" i="12" s="1"/>
  <c r="L1135" i="12"/>
  <c r="G1135" i="12"/>
  <c r="K1008" i="12"/>
  <c r="L1008" i="12"/>
  <c r="F1008" i="12"/>
  <c r="H1008" i="12" s="1"/>
  <c r="D1008" i="12"/>
  <c r="E1008" i="12" s="1"/>
  <c r="G1008" i="12"/>
  <c r="L997" i="12"/>
  <c r="K997" i="12"/>
  <c r="G997" i="12"/>
  <c r="D997" i="12"/>
  <c r="E997" i="12" s="1"/>
  <c r="F997" i="12"/>
  <c r="H997" i="12" s="1"/>
  <c r="L827" i="12"/>
  <c r="G827" i="12"/>
  <c r="K827" i="12"/>
  <c r="F827" i="12"/>
  <c r="H827" i="12" s="1"/>
  <c r="D827" i="12"/>
  <c r="E827" i="12" s="1"/>
  <c r="L859" i="12"/>
  <c r="K859" i="12"/>
  <c r="G859" i="12"/>
  <c r="F859" i="12"/>
  <c r="H859" i="12" s="1"/>
  <c r="D859" i="12"/>
  <c r="E859" i="12" s="1"/>
  <c r="L891" i="12"/>
  <c r="G891" i="12"/>
  <c r="K891" i="12"/>
  <c r="F891" i="12"/>
  <c r="H891" i="12" s="1"/>
  <c r="D891" i="12"/>
  <c r="E891" i="12" s="1"/>
  <c r="L923" i="12"/>
  <c r="G923" i="12"/>
  <c r="K923" i="12"/>
  <c r="F923" i="12"/>
  <c r="H923" i="12" s="1"/>
  <c r="D923" i="12"/>
  <c r="E923" i="12" s="1"/>
  <c r="L955" i="12"/>
  <c r="G955" i="12"/>
  <c r="K955" i="12"/>
  <c r="F955" i="12"/>
  <c r="H955" i="12" s="1"/>
  <c r="D955" i="12"/>
  <c r="E955" i="12" s="1"/>
  <c r="L987" i="12"/>
  <c r="K987" i="12"/>
  <c r="G987" i="12"/>
  <c r="F987" i="12"/>
  <c r="H987" i="12" s="1"/>
  <c r="D987" i="12"/>
  <c r="E987" i="12" s="1"/>
  <c r="K982" i="12"/>
  <c r="L982" i="12"/>
  <c r="F982" i="12"/>
  <c r="H982" i="12" s="1"/>
  <c r="G982" i="12"/>
  <c r="D982" i="12"/>
  <c r="E982" i="12" s="1"/>
  <c r="M876" i="12"/>
  <c r="M1004" i="12"/>
  <c r="L837" i="12"/>
  <c r="K837" i="12"/>
  <c r="G837" i="12"/>
  <c r="F837" i="12"/>
  <c r="H837" i="12" s="1"/>
  <c r="D837" i="12"/>
  <c r="E837" i="12" s="1"/>
  <c r="I1111" i="12"/>
  <c r="J1111" i="12" s="1"/>
  <c r="M1111" i="12" s="1"/>
  <c r="M1114" i="12"/>
  <c r="L869" i="12"/>
  <c r="K869" i="12"/>
  <c r="G869" i="12"/>
  <c r="D869" i="12"/>
  <c r="E869" i="12" s="1"/>
  <c r="F869" i="12"/>
  <c r="H869" i="12" s="1"/>
  <c r="K929" i="12"/>
  <c r="L929" i="12"/>
  <c r="F929" i="12"/>
  <c r="H929" i="12" s="1"/>
  <c r="G929" i="12"/>
  <c r="D929" i="12"/>
  <c r="E929" i="12" s="1"/>
  <c r="L1027" i="12"/>
  <c r="G1027" i="12"/>
  <c r="K1027" i="12"/>
  <c r="D1027" i="12"/>
  <c r="E1027" i="12" s="1"/>
  <c r="F1027" i="12"/>
  <c r="H1027" i="12" s="1"/>
  <c r="L1059" i="12"/>
  <c r="G1059" i="12"/>
  <c r="K1059" i="12"/>
  <c r="D1059" i="12"/>
  <c r="E1059" i="12" s="1"/>
  <c r="F1059" i="12"/>
  <c r="H1059" i="12" s="1"/>
  <c r="L1091" i="12"/>
  <c r="G1091" i="12"/>
  <c r="K1091" i="12"/>
  <c r="D1091" i="12"/>
  <c r="E1091" i="12" s="1"/>
  <c r="F1091" i="12"/>
  <c r="H1091" i="12" s="1"/>
  <c r="L1123" i="12"/>
  <c r="G1123" i="12"/>
  <c r="K1123" i="12"/>
  <c r="D1123" i="12"/>
  <c r="E1123" i="12" s="1"/>
  <c r="F1123" i="12"/>
  <c r="H1123" i="12" s="1"/>
  <c r="K934" i="12"/>
  <c r="L934" i="12"/>
  <c r="F934" i="12"/>
  <c r="H934" i="12" s="1"/>
  <c r="D934" i="12"/>
  <c r="E934" i="12" s="1"/>
  <c r="G934" i="12"/>
  <c r="L1124" i="12"/>
  <c r="K1124" i="12"/>
  <c r="G1124" i="12"/>
  <c r="D1124" i="12"/>
  <c r="E1124" i="12" s="1"/>
  <c r="F1124" i="12"/>
  <c r="H1124" i="12" s="1"/>
  <c r="K1038" i="12"/>
  <c r="L1038" i="12"/>
  <c r="F1038" i="12"/>
  <c r="H1038" i="12" s="1"/>
  <c r="G1038" i="12"/>
  <c r="D1038" i="12"/>
  <c r="E1038" i="12" s="1"/>
  <c r="K904" i="12"/>
  <c r="F904" i="12"/>
  <c r="H904" i="12" s="1"/>
  <c r="L904" i="12"/>
  <c r="G904" i="12"/>
  <c r="D904" i="12"/>
  <c r="E904" i="12" s="1"/>
  <c r="K960" i="12"/>
  <c r="L960" i="12"/>
  <c r="F960" i="12"/>
  <c r="H960" i="12" s="1"/>
  <c r="D960" i="12"/>
  <c r="E960" i="12" s="1"/>
  <c r="G960" i="12"/>
  <c r="K831" i="12"/>
  <c r="F831" i="12"/>
  <c r="H831" i="12" s="1"/>
  <c r="D831" i="12"/>
  <c r="E831" i="12" s="1"/>
  <c r="L831" i="12"/>
  <c r="G831" i="12"/>
  <c r="K895" i="12"/>
  <c r="F895" i="12"/>
  <c r="H895" i="12" s="1"/>
  <c r="D895" i="12"/>
  <c r="E895" i="12" s="1"/>
  <c r="L895" i="12"/>
  <c r="G895" i="12"/>
  <c r="K959" i="12"/>
  <c r="F959" i="12"/>
  <c r="H959" i="12" s="1"/>
  <c r="D959" i="12"/>
  <c r="E959" i="12" s="1"/>
  <c r="L959" i="12"/>
  <c r="G959" i="12"/>
  <c r="K991" i="12"/>
  <c r="F991" i="12"/>
  <c r="H991" i="12" s="1"/>
  <c r="D991" i="12"/>
  <c r="E991" i="12" s="1"/>
  <c r="L991" i="12"/>
  <c r="G991" i="12"/>
  <c r="I852" i="12"/>
  <c r="J852" i="12" s="1"/>
  <c r="M852" i="12" s="1"/>
  <c r="F890" i="7"/>
  <c r="H890" i="7" s="1"/>
  <c r="D890" i="7"/>
  <c r="E890" i="7" s="1"/>
  <c r="K890" i="7"/>
  <c r="G890" i="7"/>
  <c r="F1018" i="7"/>
  <c r="H1018" i="7" s="1"/>
  <c r="D1018" i="7"/>
  <c r="E1018" i="7" s="1"/>
  <c r="K1018" i="7"/>
  <c r="G1018" i="7"/>
  <c r="F1146" i="7"/>
  <c r="H1146" i="7" s="1"/>
  <c r="D1146" i="7"/>
  <c r="E1146" i="7" s="1"/>
  <c r="K1146" i="7"/>
  <c r="G1146" i="7"/>
  <c r="F837" i="7"/>
  <c r="H837" i="7" s="1"/>
  <c r="D837" i="7"/>
  <c r="E837" i="7" s="1"/>
  <c r="K837" i="7"/>
  <c r="G837" i="7"/>
  <c r="F1093" i="7"/>
  <c r="H1093" i="7" s="1"/>
  <c r="D1093" i="7"/>
  <c r="E1093" i="7" s="1"/>
  <c r="K1093" i="7"/>
  <c r="G1093" i="7"/>
  <c r="I877" i="7"/>
  <c r="J877" i="7" s="1"/>
  <c r="L877" i="7" s="1"/>
  <c r="I957" i="7"/>
  <c r="J957" i="7" s="1"/>
  <c r="L957" i="7" s="1"/>
  <c r="I1085" i="7"/>
  <c r="J1085" i="7" s="1"/>
  <c r="L1085" i="7" s="1"/>
  <c r="I1109" i="7"/>
  <c r="J1109" i="7" s="1"/>
  <c r="L1109" i="7" s="1"/>
  <c r="K839" i="7"/>
  <c r="G839" i="7"/>
  <c r="D839" i="7"/>
  <c r="E839" i="7" s="1"/>
  <c r="F839" i="7"/>
  <c r="H839" i="7" s="1"/>
  <c r="K871" i="7"/>
  <c r="G871" i="7"/>
  <c r="D871" i="7"/>
  <c r="E871" i="7" s="1"/>
  <c r="F871" i="7"/>
  <c r="H871" i="7" s="1"/>
  <c r="K903" i="7"/>
  <c r="G903" i="7"/>
  <c r="D903" i="7"/>
  <c r="E903" i="7" s="1"/>
  <c r="F903" i="7"/>
  <c r="H903" i="7" s="1"/>
  <c r="K935" i="7"/>
  <c r="G935" i="7"/>
  <c r="D935" i="7"/>
  <c r="E935" i="7" s="1"/>
  <c r="F935" i="7"/>
  <c r="H935" i="7" s="1"/>
  <c r="K967" i="7"/>
  <c r="G967" i="7"/>
  <c r="D967" i="7"/>
  <c r="E967" i="7" s="1"/>
  <c r="F967" i="7"/>
  <c r="H967" i="7" s="1"/>
  <c r="K999" i="7"/>
  <c r="G999" i="7"/>
  <c r="D999" i="7"/>
  <c r="E999" i="7" s="1"/>
  <c r="F999" i="7"/>
  <c r="H999" i="7" s="1"/>
  <c r="K1031" i="7"/>
  <c r="G1031" i="7"/>
  <c r="D1031" i="7"/>
  <c r="E1031" i="7" s="1"/>
  <c r="F1031" i="7"/>
  <c r="H1031" i="7" s="1"/>
  <c r="K1063" i="7"/>
  <c r="G1063" i="7"/>
  <c r="D1063" i="7"/>
  <c r="E1063" i="7" s="1"/>
  <c r="F1063" i="7"/>
  <c r="H1063" i="7" s="1"/>
  <c r="K1095" i="7"/>
  <c r="G1095" i="7"/>
  <c r="D1095" i="7"/>
  <c r="E1095" i="7" s="1"/>
  <c r="F1095" i="7"/>
  <c r="H1095" i="7" s="1"/>
  <c r="K1127" i="7"/>
  <c r="G1127" i="7"/>
  <c r="D1127" i="7"/>
  <c r="E1127" i="7" s="1"/>
  <c r="F1127" i="7"/>
  <c r="H1127" i="7" s="1"/>
  <c r="I852" i="7"/>
  <c r="J852" i="7" s="1"/>
  <c r="L852" i="7" s="1"/>
  <c r="I916" i="7"/>
  <c r="J916" i="7" s="1"/>
  <c r="L916" i="7" s="1"/>
  <c r="I980" i="7"/>
  <c r="J980" i="7" s="1"/>
  <c r="L980" i="7" s="1"/>
  <c r="I1044" i="7"/>
  <c r="J1044" i="7" s="1"/>
  <c r="L1044" i="7" s="1"/>
  <c r="I1108" i="7"/>
  <c r="J1108" i="7" s="1"/>
  <c r="L1108" i="7" s="1"/>
  <c r="K824" i="7"/>
  <c r="G824" i="7"/>
  <c r="D824" i="7"/>
  <c r="E824" i="7" s="1"/>
  <c r="F824" i="7"/>
  <c r="H824" i="7" s="1"/>
  <c r="K856" i="7"/>
  <c r="G856" i="7"/>
  <c r="D856" i="7"/>
  <c r="E856" i="7" s="1"/>
  <c r="F856" i="7"/>
  <c r="H856" i="7" s="1"/>
  <c r="K888" i="7"/>
  <c r="G888" i="7"/>
  <c r="D888" i="7"/>
  <c r="E888" i="7" s="1"/>
  <c r="F888" i="7"/>
  <c r="H888" i="7" s="1"/>
  <c r="K920" i="7"/>
  <c r="G920" i="7"/>
  <c r="D920" i="7"/>
  <c r="E920" i="7" s="1"/>
  <c r="F920" i="7"/>
  <c r="H920" i="7" s="1"/>
  <c r="K952" i="7"/>
  <c r="G952" i="7"/>
  <c r="D952" i="7"/>
  <c r="E952" i="7" s="1"/>
  <c r="F952" i="7"/>
  <c r="H952" i="7" s="1"/>
  <c r="K984" i="7"/>
  <c r="G984" i="7"/>
  <c r="D984" i="7"/>
  <c r="E984" i="7" s="1"/>
  <c r="F984" i="7"/>
  <c r="H984" i="7" s="1"/>
  <c r="K1016" i="7"/>
  <c r="G1016" i="7"/>
  <c r="D1016" i="7"/>
  <c r="E1016" i="7" s="1"/>
  <c r="F1016" i="7"/>
  <c r="H1016" i="7" s="1"/>
  <c r="K1048" i="7"/>
  <c r="G1048" i="7"/>
  <c r="D1048" i="7"/>
  <c r="E1048" i="7" s="1"/>
  <c r="F1048" i="7"/>
  <c r="H1048" i="7" s="1"/>
  <c r="K1080" i="7"/>
  <c r="G1080" i="7"/>
  <c r="D1080" i="7"/>
  <c r="E1080" i="7" s="1"/>
  <c r="F1080" i="7"/>
  <c r="H1080" i="7" s="1"/>
  <c r="K1112" i="7"/>
  <c r="G1112" i="7"/>
  <c r="D1112" i="7"/>
  <c r="E1112" i="7" s="1"/>
  <c r="F1112" i="7"/>
  <c r="H1112" i="7" s="1"/>
  <c r="K1144" i="7"/>
  <c r="G1144" i="7"/>
  <c r="D1144" i="7"/>
  <c r="E1144" i="7" s="1"/>
  <c r="F1144" i="7"/>
  <c r="H1144" i="7" s="1"/>
  <c r="I978" i="7"/>
  <c r="J978" i="7" s="1"/>
  <c r="L978" i="7" s="1"/>
  <c r="I1106" i="7"/>
  <c r="J1106" i="7" s="1"/>
  <c r="L1106" i="7" s="1"/>
  <c r="I876" i="7"/>
  <c r="J876" i="7" s="1"/>
  <c r="L876" i="7" s="1"/>
  <c r="I1004" i="7"/>
  <c r="J1004" i="7" s="1"/>
  <c r="L1004" i="7" s="1"/>
  <c r="I1132" i="7"/>
  <c r="J1132" i="7" s="1"/>
  <c r="L1132" i="7" s="1"/>
  <c r="K880" i="5"/>
  <c r="D880" i="5"/>
  <c r="E880" i="5" s="1"/>
  <c r="F880" i="5"/>
  <c r="H880" i="5" s="1"/>
  <c r="G880" i="5"/>
  <c r="G944" i="5"/>
  <c r="K944" i="5"/>
  <c r="D944" i="5"/>
  <c r="E944" i="5" s="1"/>
  <c r="F944" i="5"/>
  <c r="H944" i="5" s="1"/>
  <c r="G1008" i="5"/>
  <c r="K1008" i="5"/>
  <c r="D1008" i="5"/>
  <c r="E1008" i="5" s="1"/>
  <c r="F1008" i="5"/>
  <c r="H1008" i="5" s="1"/>
  <c r="G1072" i="5"/>
  <c r="K1072" i="5"/>
  <c r="D1072" i="5"/>
  <c r="E1072" i="5" s="1"/>
  <c r="F1072" i="5"/>
  <c r="H1072" i="5" s="1"/>
  <c r="G1136" i="5"/>
  <c r="K1136" i="5"/>
  <c r="D1136" i="5"/>
  <c r="E1136" i="5" s="1"/>
  <c r="F1136" i="5"/>
  <c r="H1136" i="5" s="1"/>
  <c r="L963" i="5"/>
  <c r="I867" i="5"/>
  <c r="J867" i="5" s="1"/>
  <c r="L867" i="5" s="1"/>
  <c r="I1236" i="7"/>
  <c r="J1236" i="7" s="1"/>
  <c r="L1236" i="7" s="1"/>
  <c r="I1171" i="7"/>
  <c r="J1171" i="7" s="1"/>
  <c r="L1171" i="7" s="1"/>
  <c r="I1173" i="7"/>
  <c r="J1173" i="7" s="1"/>
  <c r="L1173" i="7" s="1"/>
  <c r="I1250" i="7"/>
  <c r="J1250" i="7" s="1"/>
  <c r="L1250" i="7" s="1"/>
  <c r="I1294" i="7"/>
  <c r="J1294" i="7" s="1"/>
  <c r="L1294" i="7" s="1"/>
  <c r="I1230" i="7"/>
  <c r="J1230" i="7" s="1"/>
  <c r="L1230" i="7" s="1"/>
  <c r="I1166" i="7"/>
  <c r="J1166" i="7" s="1"/>
  <c r="L1166" i="7" s="1"/>
  <c r="I1173" i="12"/>
  <c r="J1173" i="12" s="1"/>
  <c r="M1173" i="12" s="1"/>
  <c r="I1177" i="7"/>
  <c r="J1177" i="7" s="1"/>
  <c r="L1177" i="7" s="1"/>
  <c r="I1296" i="7"/>
  <c r="J1296" i="7" s="1"/>
  <c r="L1296" i="7" s="1"/>
  <c r="I1232" i="7"/>
  <c r="J1232" i="7" s="1"/>
  <c r="L1232" i="7" s="1"/>
  <c r="I1168" i="7"/>
  <c r="J1168" i="7" s="1"/>
  <c r="L1168" i="7" s="1"/>
  <c r="I1221" i="12"/>
  <c r="J1221" i="12" s="1"/>
  <c r="M1221" i="12" s="1"/>
  <c r="I1287" i="7"/>
  <c r="J1287" i="7" s="1"/>
  <c r="L1287" i="7" s="1"/>
  <c r="I1223" i="7"/>
  <c r="J1223" i="7" s="1"/>
  <c r="L1223" i="7" s="1"/>
  <c r="L1159" i="7"/>
  <c r="I1188" i="12"/>
  <c r="J1188" i="12" s="1"/>
  <c r="M1188" i="12" s="1"/>
  <c r="I1149" i="12"/>
  <c r="J1149" i="12" s="1"/>
  <c r="M1149" i="12" s="1"/>
  <c r="I1252" i="12"/>
  <c r="J1252" i="12" s="1"/>
  <c r="M1252" i="12" s="1"/>
  <c r="I1286" i="12"/>
  <c r="J1286" i="12" s="1"/>
  <c r="M1286" i="12" s="1"/>
  <c r="M1222" i="12"/>
  <c r="I1158" i="12"/>
  <c r="J1158" i="12" s="1"/>
  <c r="M1158" i="12" s="1"/>
  <c r="I1241" i="12"/>
  <c r="J1241" i="12" s="1"/>
  <c r="M1241" i="12" s="1"/>
  <c r="I1177" i="12"/>
  <c r="J1177" i="12" s="1"/>
  <c r="M1177" i="12" s="1"/>
  <c r="M1192" i="12"/>
  <c r="M1287" i="12"/>
  <c r="I1223" i="12"/>
  <c r="J1223" i="12" s="1"/>
  <c r="M1223" i="12" s="1"/>
  <c r="M1159" i="12"/>
  <c r="K1164" i="33"/>
  <c r="M1164" i="33" s="1"/>
  <c r="P1164" i="33" s="1"/>
  <c r="K1169" i="33"/>
  <c r="M1169" i="33" s="1"/>
  <c r="P1169" i="33" s="1"/>
  <c r="K1182" i="33"/>
  <c r="M1182" i="33" s="1"/>
  <c r="P1182" i="33" s="1"/>
  <c r="I980" i="5"/>
  <c r="J980" i="5" s="1"/>
  <c r="L980" i="5" s="1"/>
  <c r="L895" i="5"/>
  <c r="L959" i="5"/>
  <c r="L1023" i="5"/>
  <c r="L1087" i="5"/>
  <c r="I852" i="5"/>
  <c r="J852" i="5" s="1"/>
  <c r="L852" i="5" s="1"/>
  <c r="I1075" i="7"/>
  <c r="J1075" i="7" s="1"/>
  <c r="L1075" i="7" s="1"/>
  <c r="L870" i="5"/>
  <c r="I857" i="5"/>
  <c r="J857" i="5" s="1"/>
  <c r="L857" i="5" s="1"/>
  <c r="I953" i="5"/>
  <c r="J953" i="5" s="1"/>
  <c r="L953" i="5" s="1"/>
  <c r="I1017" i="5"/>
  <c r="J1017" i="5" s="1"/>
  <c r="L1017" i="5" s="1"/>
  <c r="I1081" i="5"/>
  <c r="J1081" i="5" s="1"/>
  <c r="L1081" i="5" s="1"/>
  <c r="I1145" i="5"/>
  <c r="J1145" i="5" s="1"/>
  <c r="L1145" i="5" s="1"/>
  <c r="G826" i="5"/>
  <c r="D826" i="5"/>
  <c r="E826" i="5" s="1"/>
  <c r="F826" i="5"/>
  <c r="H826" i="5" s="1"/>
  <c r="K826" i="5"/>
  <c r="G890" i="5"/>
  <c r="D890" i="5"/>
  <c r="E890" i="5" s="1"/>
  <c r="F890" i="5"/>
  <c r="H890" i="5" s="1"/>
  <c r="K890" i="5"/>
  <c r="D954" i="5"/>
  <c r="E954" i="5" s="1"/>
  <c r="F954" i="5"/>
  <c r="H954" i="5" s="1"/>
  <c r="G954" i="5"/>
  <c r="K954" i="5"/>
  <c r="D1018" i="5"/>
  <c r="E1018" i="5" s="1"/>
  <c r="F1018" i="5"/>
  <c r="H1018" i="5" s="1"/>
  <c r="K1018" i="5"/>
  <c r="G1018" i="5"/>
  <c r="D1090" i="5"/>
  <c r="E1090" i="5" s="1"/>
  <c r="K1090" i="5"/>
  <c r="F1090" i="5"/>
  <c r="H1090" i="5" s="1"/>
  <c r="G1090" i="5"/>
  <c r="K1130" i="5"/>
  <c r="D1130" i="5"/>
  <c r="E1130" i="5" s="1"/>
  <c r="F1130" i="5"/>
  <c r="H1130" i="5" s="1"/>
  <c r="G1130" i="5"/>
  <c r="I844" i="5"/>
  <c r="J844" i="5" s="1"/>
  <c r="L844" i="5" s="1"/>
  <c r="G834" i="5"/>
  <c r="D834" i="5"/>
  <c r="E834" i="5" s="1"/>
  <c r="K834" i="5"/>
  <c r="F834" i="5"/>
  <c r="H834" i="5" s="1"/>
  <c r="D898" i="5"/>
  <c r="E898" i="5" s="1"/>
  <c r="K898" i="5"/>
  <c r="F898" i="5"/>
  <c r="H898" i="5" s="1"/>
  <c r="G898" i="5"/>
  <c r="D962" i="5"/>
  <c r="E962" i="5" s="1"/>
  <c r="K962" i="5"/>
  <c r="F962" i="5"/>
  <c r="H962" i="5" s="1"/>
  <c r="G962" i="5"/>
  <c r="D1026" i="5"/>
  <c r="E1026" i="5" s="1"/>
  <c r="K1026" i="5"/>
  <c r="F1026" i="5"/>
  <c r="H1026" i="5" s="1"/>
  <c r="G1026" i="5"/>
  <c r="D1082" i="5"/>
  <c r="E1082" i="5" s="1"/>
  <c r="F1082" i="5"/>
  <c r="H1082" i="5" s="1"/>
  <c r="K1082" i="5"/>
  <c r="G1082" i="5"/>
  <c r="I830" i="5"/>
  <c r="J830" i="5" s="1"/>
  <c r="L830" i="5" s="1"/>
  <c r="I894" i="5"/>
  <c r="J894" i="5" s="1"/>
  <c r="L894" i="5" s="1"/>
  <c r="I926" i="5"/>
  <c r="J926" i="5" s="1"/>
  <c r="L926" i="5" s="1"/>
  <c r="I958" i="5"/>
  <c r="J958" i="5" s="1"/>
  <c r="L958" i="5" s="1"/>
  <c r="I990" i="5"/>
  <c r="J990" i="5" s="1"/>
  <c r="L990" i="5" s="1"/>
  <c r="I1022" i="5"/>
  <c r="J1022" i="5" s="1"/>
  <c r="L1022" i="5" s="1"/>
  <c r="I1054" i="5"/>
  <c r="J1054" i="5" s="1"/>
  <c r="L1054" i="5" s="1"/>
  <c r="I1086" i="5"/>
  <c r="J1086" i="5" s="1"/>
  <c r="L1086" i="5" s="1"/>
  <c r="I1118" i="5"/>
  <c r="J1118" i="5" s="1"/>
  <c r="L1118" i="5" s="1"/>
  <c r="I871" i="5"/>
  <c r="J871" i="5" s="1"/>
  <c r="L871" i="5" s="1"/>
  <c r="F862" i="8"/>
  <c r="G862" i="8" s="1"/>
  <c r="H862" i="8" s="1"/>
  <c r="D862" i="8"/>
  <c r="E862" i="8" s="1"/>
  <c r="F988" i="8"/>
  <c r="G988" i="8" s="1"/>
  <c r="H988" i="8" s="1"/>
  <c r="D988" i="8"/>
  <c r="E988" i="8" s="1"/>
  <c r="F1138" i="8"/>
  <c r="G1138" i="8" s="1"/>
  <c r="H1138" i="8" s="1"/>
  <c r="D1138" i="8"/>
  <c r="E1138" i="8" s="1"/>
  <c r="O966" i="33"/>
  <c r="N966" i="33"/>
  <c r="J966" i="33"/>
  <c r="F966" i="33"/>
  <c r="D966" i="33"/>
  <c r="E966" i="33" s="1"/>
  <c r="G966" i="33"/>
  <c r="H966" i="33" s="1"/>
  <c r="J1115" i="33"/>
  <c r="N1115" i="33"/>
  <c r="O1115" i="33"/>
  <c r="G1115" i="33"/>
  <c r="H1115" i="33" s="1"/>
  <c r="F1115" i="33"/>
  <c r="D1115" i="33"/>
  <c r="E1115" i="33" s="1"/>
  <c r="K839" i="33"/>
  <c r="M839" i="33" s="1"/>
  <c r="P839" i="33" s="1"/>
  <c r="F892" i="8"/>
  <c r="G892" i="8" s="1"/>
  <c r="H892" i="8" s="1"/>
  <c r="D892" i="8"/>
  <c r="E892" i="8" s="1"/>
  <c r="N1012" i="33"/>
  <c r="O1012" i="33"/>
  <c r="G1012" i="33"/>
  <c r="F1012" i="33"/>
  <c r="D1012" i="33"/>
  <c r="E1012" i="33" s="1"/>
  <c r="J1012" i="33"/>
  <c r="K961" i="12"/>
  <c r="L961" i="12"/>
  <c r="F961" i="12"/>
  <c r="H961" i="12" s="1"/>
  <c r="D961" i="12"/>
  <c r="E961" i="12" s="1"/>
  <c r="G961" i="12"/>
  <c r="L909" i="12"/>
  <c r="K909" i="12"/>
  <c r="G909" i="12"/>
  <c r="F909" i="12"/>
  <c r="D909" i="12"/>
  <c r="E909" i="12" s="1"/>
  <c r="I976" i="12"/>
  <c r="J976" i="12" s="1"/>
  <c r="M976" i="12" s="1"/>
  <c r="H1253" i="9"/>
  <c r="I1253" i="9" s="1"/>
  <c r="K1253" i="9" s="1"/>
  <c r="H1154" i="9"/>
  <c r="I1154" i="9" s="1"/>
  <c r="K1154" i="9" s="1"/>
  <c r="F851" i="8"/>
  <c r="G851" i="8" s="1"/>
  <c r="H851" i="8" s="1"/>
  <c r="D851" i="8"/>
  <c r="E851" i="8" s="1"/>
  <c r="H1226" i="9"/>
  <c r="I1226" i="9" s="1"/>
  <c r="K1226" i="9" s="1"/>
  <c r="H1243" i="9"/>
  <c r="I1243" i="9" s="1"/>
  <c r="K1243" i="9" s="1"/>
  <c r="I1262" i="5"/>
  <c r="J1262" i="5" s="1"/>
  <c r="L1262" i="5" s="1"/>
  <c r="I1195" i="5"/>
  <c r="J1195" i="5" s="1"/>
  <c r="L1195" i="5" s="1"/>
  <c r="H1020" i="9"/>
  <c r="I1020" i="9" s="1"/>
  <c r="K1020" i="9" s="1"/>
  <c r="D1019" i="9"/>
  <c r="E1019" i="9" s="1"/>
  <c r="H1138" i="9"/>
  <c r="I1138" i="9" s="1"/>
  <c r="K1138" i="9" s="1"/>
  <c r="F993" i="8"/>
  <c r="G993" i="8" s="1"/>
  <c r="H993" i="8" s="1"/>
  <c r="D993" i="8"/>
  <c r="E993" i="8" s="1"/>
  <c r="O1108" i="33"/>
  <c r="G1108" i="33"/>
  <c r="F1108" i="33"/>
  <c r="D1108" i="33"/>
  <c r="E1108" i="33" s="1"/>
  <c r="N1108" i="33"/>
  <c r="J1108" i="33"/>
  <c r="H1033" i="33"/>
  <c r="I1033" i="33" s="1"/>
  <c r="K1033" i="33" s="1"/>
  <c r="M1033" i="33" s="1"/>
  <c r="P1033" i="33" s="1"/>
  <c r="I1074" i="12"/>
  <c r="J1074" i="12" s="1"/>
  <c r="M1074" i="12" s="1"/>
  <c r="L1013" i="12"/>
  <c r="K1013" i="12"/>
  <c r="G1013" i="12"/>
  <c r="D1013" i="12"/>
  <c r="E1013" i="12" s="1"/>
  <c r="F1013" i="12"/>
  <c r="H1013" i="12" s="1"/>
  <c r="K998" i="12"/>
  <c r="L998" i="12"/>
  <c r="F998" i="12"/>
  <c r="H998" i="12" s="1"/>
  <c r="D998" i="12"/>
  <c r="E998" i="12" s="1"/>
  <c r="G998" i="12"/>
  <c r="L980" i="12"/>
  <c r="K980" i="12"/>
  <c r="G980" i="12"/>
  <c r="D980" i="12"/>
  <c r="E980" i="12" s="1"/>
  <c r="F980" i="12"/>
  <c r="H980" i="12" s="1"/>
  <c r="K873" i="12"/>
  <c r="F873" i="12"/>
  <c r="H873" i="12" s="1"/>
  <c r="L873" i="12"/>
  <c r="G873" i="12"/>
  <c r="D873" i="12"/>
  <c r="E873" i="12" s="1"/>
  <c r="M1082" i="12"/>
  <c r="I1098" i="12"/>
  <c r="J1098" i="12" s="1"/>
  <c r="M1098" i="12" s="1"/>
  <c r="L925" i="12"/>
  <c r="G925" i="12"/>
  <c r="K925" i="12"/>
  <c r="F925" i="12"/>
  <c r="H925" i="12" s="1"/>
  <c r="D925" i="12"/>
  <c r="E925" i="12" s="1"/>
  <c r="L948" i="12"/>
  <c r="K948" i="12"/>
  <c r="G948" i="12"/>
  <c r="F948" i="12"/>
  <c r="H948" i="12" s="1"/>
  <c r="D948" i="12"/>
  <c r="E948" i="12" s="1"/>
  <c r="I1080" i="12"/>
  <c r="J1080" i="12" s="1"/>
  <c r="M1080" i="12" s="1"/>
  <c r="K886" i="12"/>
  <c r="L886" i="12"/>
  <c r="F886" i="12"/>
  <c r="H886" i="12" s="1"/>
  <c r="D886" i="12"/>
  <c r="E886" i="12" s="1"/>
  <c r="G886" i="12"/>
  <c r="L1060" i="12"/>
  <c r="K1060" i="12"/>
  <c r="G1060" i="12"/>
  <c r="D1060" i="12"/>
  <c r="E1060" i="12" s="1"/>
  <c r="F1060" i="12"/>
  <c r="H1060" i="12" s="1"/>
  <c r="L1100" i="12"/>
  <c r="G1100" i="12"/>
  <c r="K1100" i="12"/>
  <c r="F1100" i="12"/>
  <c r="H1100" i="12" s="1"/>
  <c r="D1100" i="12"/>
  <c r="E1100" i="12" s="1"/>
  <c r="I1148" i="12"/>
  <c r="J1148" i="12" s="1"/>
  <c r="M1148" i="12" s="1"/>
  <c r="K881" i="12"/>
  <c r="L881" i="12"/>
  <c r="F881" i="12"/>
  <c r="H881" i="12" s="1"/>
  <c r="G881" i="12"/>
  <c r="D881" i="12"/>
  <c r="E881" i="12" s="1"/>
  <c r="K1086" i="12"/>
  <c r="L1086" i="12"/>
  <c r="F1086" i="12"/>
  <c r="H1086" i="12" s="1"/>
  <c r="G1086" i="12"/>
  <c r="D1086" i="12"/>
  <c r="E1086" i="12" s="1"/>
  <c r="K839" i="12"/>
  <c r="F839" i="12"/>
  <c r="H839" i="12" s="1"/>
  <c r="D839" i="12"/>
  <c r="E839" i="12" s="1"/>
  <c r="L839" i="12"/>
  <c r="G839" i="12"/>
  <c r="K871" i="12"/>
  <c r="F871" i="12"/>
  <c r="H871" i="12" s="1"/>
  <c r="D871" i="12"/>
  <c r="E871" i="12" s="1"/>
  <c r="L871" i="12"/>
  <c r="G871" i="12"/>
  <c r="K935" i="12"/>
  <c r="F935" i="12"/>
  <c r="H935" i="12" s="1"/>
  <c r="D935" i="12"/>
  <c r="E935" i="12" s="1"/>
  <c r="L935" i="12"/>
  <c r="G935" i="12"/>
  <c r="K999" i="12"/>
  <c r="F999" i="12"/>
  <c r="H999" i="12" s="1"/>
  <c r="D999" i="12"/>
  <c r="E999" i="12" s="1"/>
  <c r="L999" i="12"/>
  <c r="G999" i="12"/>
  <c r="I834" i="12"/>
  <c r="J834" i="12" s="1"/>
  <c r="M834" i="12" s="1"/>
  <c r="F906" i="7"/>
  <c r="H906" i="7" s="1"/>
  <c r="D906" i="7"/>
  <c r="E906" i="7" s="1"/>
  <c r="K906" i="7"/>
  <c r="G906" i="7"/>
  <c r="F1034" i="7"/>
  <c r="H1034" i="7" s="1"/>
  <c r="D1034" i="7"/>
  <c r="E1034" i="7" s="1"/>
  <c r="K1034" i="7"/>
  <c r="G1034" i="7"/>
  <c r="I1026" i="12"/>
  <c r="J1026" i="12" s="1"/>
  <c r="M1026" i="12" s="1"/>
  <c r="I949" i="12"/>
  <c r="J949" i="12" s="1"/>
  <c r="M949" i="12" s="1"/>
  <c r="F869" i="7"/>
  <c r="H869" i="7" s="1"/>
  <c r="D869" i="7"/>
  <c r="E869" i="7" s="1"/>
  <c r="K869" i="7"/>
  <c r="G869" i="7"/>
  <c r="F1125" i="7"/>
  <c r="H1125" i="7" s="1"/>
  <c r="D1125" i="7"/>
  <c r="E1125" i="7" s="1"/>
  <c r="K1125" i="7"/>
  <c r="G1125" i="7"/>
  <c r="I1037" i="7"/>
  <c r="J1037" i="7" s="1"/>
  <c r="L1037" i="7" s="1"/>
  <c r="K838" i="7"/>
  <c r="G838" i="7"/>
  <c r="F838" i="7"/>
  <c r="H838" i="7" s="1"/>
  <c r="D838" i="7"/>
  <c r="E838" i="7" s="1"/>
  <c r="K870" i="7"/>
  <c r="G870" i="7"/>
  <c r="F870" i="7"/>
  <c r="H870" i="7" s="1"/>
  <c r="D870" i="7"/>
  <c r="E870" i="7" s="1"/>
  <c r="K902" i="7"/>
  <c r="G902" i="7"/>
  <c r="F902" i="7"/>
  <c r="H902" i="7" s="1"/>
  <c r="D902" i="7"/>
  <c r="E902" i="7" s="1"/>
  <c r="K934" i="7"/>
  <c r="G934" i="7"/>
  <c r="F934" i="7"/>
  <c r="H934" i="7" s="1"/>
  <c r="D934" i="7"/>
  <c r="E934" i="7" s="1"/>
  <c r="K966" i="7"/>
  <c r="G966" i="7"/>
  <c r="F966" i="7"/>
  <c r="H966" i="7" s="1"/>
  <c r="D966" i="7"/>
  <c r="E966" i="7" s="1"/>
  <c r="K998" i="7"/>
  <c r="G998" i="7"/>
  <c r="F998" i="7"/>
  <c r="H998" i="7" s="1"/>
  <c r="D998" i="7"/>
  <c r="E998" i="7" s="1"/>
  <c r="K1030" i="7"/>
  <c r="G1030" i="7"/>
  <c r="F1030" i="7"/>
  <c r="H1030" i="7" s="1"/>
  <c r="D1030" i="7"/>
  <c r="E1030" i="7" s="1"/>
  <c r="K1062" i="7"/>
  <c r="G1062" i="7"/>
  <c r="F1062" i="7"/>
  <c r="H1062" i="7" s="1"/>
  <c r="D1062" i="7"/>
  <c r="E1062" i="7" s="1"/>
  <c r="K1094" i="7"/>
  <c r="G1094" i="7"/>
  <c r="F1094" i="7"/>
  <c r="H1094" i="7" s="1"/>
  <c r="D1094" i="7"/>
  <c r="E1094" i="7" s="1"/>
  <c r="K1126" i="7"/>
  <c r="G1126" i="7"/>
  <c r="F1126" i="7"/>
  <c r="H1126" i="7" s="1"/>
  <c r="D1126" i="7"/>
  <c r="E1126" i="7" s="1"/>
  <c r="I850" i="7"/>
  <c r="J850" i="7" s="1"/>
  <c r="L850" i="7" s="1"/>
  <c r="I1058" i="7"/>
  <c r="J1058" i="7" s="1"/>
  <c r="L1058" i="7" s="1"/>
  <c r="I836" i="7"/>
  <c r="J836" i="7" s="1"/>
  <c r="L836" i="7" s="1"/>
  <c r="I900" i="7"/>
  <c r="J900" i="7" s="1"/>
  <c r="L900" i="7" s="1"/>
  <c r="I964" i="7"/>
  <c r="J964" i="7" s="1"/>
  <c r="L964" i="7" s="1"/>
  <c r="I1028" i="7"/>
  <c r="J1028" i="7" s="1"/>
  <c r="L1028" i="7" s="1"/>
  <c r="I1092" i="7"/>
  <c r="J1092" i="7" s="1"/>
  <c r="L1092" i="7" s="1"/>
  <c r="I828" i="7"/>
  <c r="J828" i="7" s="1"/>
  <c r="L828" i="7" s="1"/>
  <c r="I956" i="7"/>
  <c r="J956" i="7" s="1"/>
  <c r="L956" i="7" s="1"/>
  <c r="I1084" i="7"/>
  <c r="J1084" i="7" s="1"/>
  <c r="L1084" i="7" s="1"/>
  <c r="G824" i="5"/>
  <c r="K824" i="5"/>
  <c r="D824" i="5"/>
  <c r="E824" i="5" s="1"/>
  <c r="F824" i="5"/>
  <c r="H824" i="5" s="1"/>
  <c r="G888" i="5"/>
  <c r="K888" i="5"/>
  <c r="D888" i="5"/>
  <c r="E888" i="5" s="1"/>
  <c r="F888" i="5"/>
  <c r="H888" i="5" s="1"/>
  <c r="G952" i="5"/>
  <c r="K952" i="5"/>
  <c r="D952" i="5"/>
  <c r="E952" i="5" s="1"/>
  <c r="F952" i="5"/>
  <c r="H952" i="5" s="1"/>
  <c r="G1016" i="5"/>
  <c r="K1016" i="5"/>
  <c r="D1016" i="5"/>
  <c r="E1016" i="5" s="1"/>
  <c r="F1016" i="5"/>
  <c r="H1016" i="5" s="1"/>
  <c r="G1080" i="5"/>
  <c r="K1080" i="5"/>
  <c r="D1080" i="5"/>
  <c r="E1080" i="5" s="1"/>
  <c r="F1080" i="5"/>
  <c r="H1080" i="5" s="1"/>
  <c r="G1144" i="5"/>
  <c r="K1144" i="5"/>
  <c r="D1144" i="5"/>
  <c r="E1144" i="5" s="1"/>
  <c r="F1144" i="5"/>
  <c r="H1144" i="5" s="1"/>
  <c r="I827" i="5"/>
  <c r="J827" i="5" s="1"/>
  <c r="L827" i="5" s="1"/>
  <c r="I979" i="5"/>
  <c r="J979" i="5" s="1"/>
  <c r="L979" i="5" s="1"/>
  <c r="I1107" i="5"/>
  <c r="J1107" i="5" s="1"/>
  <c r="L1107" i="5" s="1"/>
  <c r="L1204" i="7"/>
  <c r="I1242" i="7"/>
  <c r="J1242" i="7" s="1"/>
  <c r="L1242" i="7" s="1"/>
  <c r="I1234" i="7"/>
  <c r="J1234" i="7" s="1"/>
  <c r="L1234" i="7" s="1"/>
  <c r="L1197" i="7"/>
  <c r="I1180" i="7"/>
  <c r="J1180" i="7" s="1"/>
  <c r="L1180" i="7" s="1"/>
  <c r="I1286" i="7"/>
  <c r="J1286" i="7" s="1"/>
  <c r="L1286" i="7" s="1"/>
  <c r="I1222" i="7"/>
  <c r="J1222" i="7" s="1"/>
  <c r="L1222" i="7" s="1"/>
  <c r="I1158" i="7"/>
  <c r="J1158" i="7" s="1"/>
  <c r="L1158" i="7" s="1"/>
  <c r="I1219" i="12"/>
  <c r="J1219" i="12" s="1"/>
  <c r="M1219" i="12" s="1"/>
  <c r="I1154" i="12"/>
  <c r="J1154" i="12" s="1"/>
  <c r="M1154" i="12" s="1"/>
  <c r="I1285" i="12"/>
  <c r="J1285" i="12" s="1"/>
  <c r="M1285" i="12" s="1"/>
  <c r="I1203" i="12"/>
  <c r="J1203" i="12" s="1"/>
  <c r="M1203" i="12" s="1"/>
  <c r="I1297" i="7"/>
  <c r="J1297" i="7" s="1"/>
  <c r="L1297" i="7" s="1"/>
  <c r="I1233" i="7"/>
  <c r="J1233" i="7" s="1"/>
  <c r="L1233" i="7" s="1"/>
  <c r="I1169" i="7"/>
  <c r="J1169" i="7" s="1"/>
  <c r="L1169" i="7" s="1"/>
  <c r="I1232" i="12"/>
  <c r="J1232" i="12" s="1"/>
  <c r="M1232" i="12" s="1"/>
  <c r="I1288" i="7"/>
  <c r="J1288" i="7" s="1"/>
  <c r="L1288" i="7" s="1"/>
  <c r="I1224" i="7"/>
  <c r="J1224" i="7" s="1"/>
  <c r="L1224" i="7" s="1"/>
  <c r="I1160" i="7"/>
  <c r="J1160" i="7" s="1"/>
  <c r="L1160" i="7" s="1"/>
  <c r="I1279" i="7"/>
  <c r="J1279" i="7" s="1"/>
  <c r="L1279" i="7" s="1"/>
  <c r="I1215" i="7"/>
  <c r="J1215" i="7" s="1"/>
  <c r="L1215" i="7" s="1"/>
  <c r="I1151" i="7"/>
  <c r="J1151" i="7" s="1"/>
  <c r="L1151" i="7" s="1"/>
  <c r="I1156" i="12"/>
  <c r="J1156" i="12" s="1"/>
  <c r="M1156" i="12" s="1"/>
  <c r="I1210" i="12"/>
  <c r="J1210" i="12" s="1"/>
  <c r="M1210" i="12" s="1"/>
  <c r="I1256" i="12"/>
  <c r="J1256" i="12" s="1"/>
  <c r="M1256" i="12" s="1"/>
  <c r="I1240" i="12"/>
  <c r="J1240" i="12" s="1"/>
  <c r="M1240" i="12" s="1"/>
  <c r="I1278" i="12"/>
  <c r="J1278" i="12" s="1"/>
  <c r="M1278" i="12" s="1"/>
  <c r="I1214" i="12"/>
  <c r="J1214" i="12" s="1"/>
  <c r="M1214" i="12" s="1"/>
  <c r="I1150" i="12"/>
  <c r="J1150" i="12" s="1"/>
  <c r="M1150" i="12" s="1"/>
  <c r="I1297" i="12"/>
  <c r="J1297" i="12" s="1"/>
  <c r="M1297" i="12" s="1"/>
  <c r="I1233" i="12"/>
  <c r="J1233" i="12" s="1"/>
  <c r="M1233" i="12" s="1"/>
  <c r="I1169" i="12"/>
  <c r="J1169" i="12" s="1"/>
  <c r="M1169" i="12" s="1"/>
  <c r="I1184" i="12"/>
  <c r="J1184" i="12" s="1"/>
  <c r="M1184" i="12" s="1"/>
  <c r="I1279" i="12"/>
  <c r="J1279" i="12" s="1"/>
  <c r="M1279" i="12" s="1"/>
  <c r="I1215" i="12"/>
  <c r="J1215" i="12" s="1"/>
  <c r="M1215" i="12" s="1"/>
  <c r="I1151" i="12"/>
  <c r="J1151" i="12" s="1"/>
  <c r="M1151" i="12" s="1"/>
  <c r="K1220" i="33"/>
  <c r="M1220" i="33" s="1"/>
  <c r="P1220" i="33" s="1"/>
  <c r="K1185" i="33"/>
  <c r="M1185" i="33" s="1"/>
  <c r="P1185" i="33" s="1"/>
  <c r="K1216" i="33"/>
  <c r="M1216" i="33" s="1"/>
  <c r="P1216" i="33" s="1"/>
  <c r="K1170" i="33"/>
  <c r="M1170" i="33" s="1"/>
  <c r="P1170" i="33" s="1"/>
  <c r="K1218" i="33"/>
  <c r="M1218" i="33" s="1"/>
  <c r="P1218" i="33" s="1"/>
  <c r="K1152" i="33"/>
  <c r="M1152" i="33" s="1"/>
  <c r="P1152" i="33" s="1"/>
  <c r="K1159" i="33"/>
  <c r="M1159" i="33" s="1"/>
  <c r="P1159" i="33" s="1"/>
  <c r="K1165" i="33"/>
  <c r="M1165" i="33" s="1"/>
  <c r="P1165" i="33" s="1"/>
  <c r="K1174" i="33"/>
  <c r="M1174" i="33" s="1"/>
  <c r="P1174" i="33" s="1"/>
  <c r="I1124" i="5"/>
  <c r="J1124" i="5" s="1"/>
  <c r="L1124" i="5" s="1"/>
  <c r="I835" i="7"/>
  <c r="J835" i="7" s="1"/>
  <c r="L835" i="7" s="1"/>
  <c r="I867" i="7"/>
  <c r="J867" i="7" s="1"/>
  <c r="L867" i="7" s="1"/>
  <c r="I883" i="7"/>
  <c r="J883" i="7" s="1"/>
  <c r="L883" i="7" s="1"/>
  <c r="I899" i="7"/>
  <c r="J899" i="7" s="1"/>
  <c r="L899" i="7" s="1"/>
  <c r="I915" i="7"/>
  <c r="J915" i="7" s="1"/>
  <c r="L915" i="7" s="1"/>
  <c r="I931" i="7"/>
  <c r="J931" i="7" s="1"/>
  <c r="L931" i="7" s="1"/>
  <c r="I947" i="7"/>
  <c r="J947" i="7" s="1"/>
  <c r="L947" i="7" s="1"/>
  <c r="I963" i="7"/>
  <c r="J963" i="7" s="1"/>
  <c r="L963" i="7" s="1"/>
  <c r="I979" i="7"/>
  <c r="J979" i="7" s="1"/>
  <c r="L979" i="7" s="1"/>
  <c r="I995" i="7"/>
  <c r="J995" i="7" s="1"/>
  <c r="L995" i="7" s="1"/>
  <c r="I1011" i="7"/>
  <c r="J1011" i="7" s="1"/>
  <c r="L1011" i="7" s="1"/>
  <c r="I1027" i="7"/>
  <c r="J1027" i="7" s="1"/>
  <c r="L1027" i="7" s="1"/>
  <c r="I1043" i="7"/>
  <c r="J1043" i="7" s="1"/>
  <c r="L1043" i="7" s="1"/>
  <c r="I1059" i="7"/>
  <c r="J1059" i="7" s="1"/>
  <c r="L1059" i="7" s="1"/>
  <c r="K841" i="7"/>
  <c r="G841" i="7"/>
  <c r="D841" i="7"/>
  <c r="E841" i="7" s="1"/>
  <c r="F841" i="7"/>
  <c r="H841" i="7" s="1"/>
  <c r="K873" i="7"/>
  <c r="G873" i="7"/>
  <c r="D873" i="7"/>
  <c r="E873" i="7" s="1"/>
  <c r="F873" i="7"/>
  <c r="H873" i="7" s="1"/>
  <c r="K905" i="7"/>
  <c r="G905" i="7"/>
  <c r="D905" i="7"/>
  <c r="E905" i="7" s="1"/>
  <c r="F905" i="7"/>
  <c r="H905" i="7" s="1"/>
  <c r="K937" i="7"/>
  <c r="G937" i="7"/>
  <c r="D937" i="7"/>
  <c r="E937" i="7" s="1"/>
  <c r="F937" i="7"/>
  <c r="H937" i="7" s="1"/>
  <c r="K969" i="7"/>
  <c r="G969" i="7"/>
  <c r="D969" i="7"/>
  <c r="E969" i="7" s="1"/>
  <c r="F969" i="7"/>
  <c r="H969" i="7" s="1"/>
  <c r="K1001" i="7"/>
  <c r="G1001" i="7"/>
  <c r="D1001" i="7"/>
  <c r="E1001" i="7" s="1"/>
  <c r="F1001" i="7"/>
  <c r="H1001" i="7" s="1"/>
  <c r="K1033" i="7"/>
  <c r="G1033" i="7"/>
  <c r="D1033" i="7"/>
  <c r="E1033" i="7" s="1"/>
  <c r="F1033" i="7"/>
  <c r="H1033" i="7" s="1"/>
  <c r="K1065" i="7"/>
  <c r="G1065" i="7"/>
  <c r="D1065" i="7"/>
  <c r="E1065" i="7" s="1"/>
  <c r="F1065" i="7"/>
  <c r="H1065" i="7" s="1"/>
  <c r="K1097" i="7"/>
  <c r="G1097" i="7"/>
  <c r="D1097" i="7"/>
  <c r="E1097" i="7" s="1"/>
  <c r="F1097" i="7"/>
  <c r="H1097" i="7" s="1"/>
  <c r="K1129" i="7"/>
  <c r="G1129" i="7"/>
  <c r="D1129" i="7"/>
  <c r="E1129" i="7" s="1"/>
  <c r="F1129" i="7"/>
  <c r="H1129" i="7" s="1"/>
  <c r="L847" i="5"/>
  <c r="I972" i="5"/>
  <c r="J972" i="5" s="1"/>
  <c r="L972" i="5" s="1"/>
  <c r="I1100" i="5"/>
  <c r="J1100" i="5" s="1"/>
  <c r="L1100" i="5" s="1"/>
  <c r="L950" i="5"/>
  <c r="L1014" i="5"/>
  <c r="L1078" i="5"/>
  <c r="L1142" i="5"/>
  <c r="I913" i="5"/>
  <c r="J913" i="5" s="1"/>
  <c r="L913" i="5" s="1"/>
  <c r="I977" i="5"/>
  <c r="J977" i="5" s="1"/>
  <c r="L977" i="5" s="1"/>
  <c r="I1041" i="5"/>
  <c r="J1041" i="5" s="1"/>
  <c r="L1041" i="5" s="1"/>
  <c r="I1105" i="5"/>
  <c r="J1105" i="5" s="1"/>
  <c r="L1105" i="5" s="1"/>
  <c r="I869" i="5"/>
  <c r="J869" i="5" s="1"/>
  <c r="L869" i="5" s="1"/>
  <c r="K968" i="9"/>
  <c r="H1213" i="9"/>
  <c r="I1213" i="9" s="1"/>
  <c r="K1213" i="9" s="1"/>
  <c r="H1190" i="9"/>
  <c r="I1190" i="9" s="1"/>
  <c r="K1190" i="9" s="1"/>
  <c r="H1261" i="9"/>
  <c r="I1261" i="9" s="1"/>
  <c r="K1261" i="9" s="1"/>
  <c r="K1278" i="9"/>
  <c r="K431" i="9"/>
  <c r="H1087" i="9"/>
  <c r="I1087" i="9" s="1"/>
  <c r="K1087" i="9" s="1"/>
  <c r="K1151" i="9"/>
  <c r="K1183" i="9"/>
  <c r="K845" i="9"/>
  <c r="K819" i="9"/>
  <c r="K524" i="9"/>
  <c r="K966" i="9"/>
  <c r="K1022" i="9"/>
  <c r="K1070" i="9"/>
  <c r="K1102" i="9"/>
  <c r="K1134" i="9"/>
  <c r="K1182" i="9"/>
  <c r="K991" i="9"/>
  <c r="H1095" i="9"/>
  <c r="I1095" i="9" s="1"/>
  <c r="K1095" i="9" s="1"/>
  <c r="K398" i="9"/>
  <c r="K936" i="9"/>
  <c r="K984" i="9"/>
  <c r="H835" i="9"/>
  <c r="I835" i="9" s="1"/>
  <c r="K835" i="9" s="1"/>
  <c r="H401" i="9"/>
  <c r="I401" i="9" s="1"/>
  <c r="K401" i="9" s="1"/>
  <c r="H981" i="9"/>
  <c r="I981" i="9" s="1"/>
  <c r="K981" i="9" s="1"/>
  <c r="H997" i="9"/>
  <c r="I997" i="9" s="1"/>
  <c r="K997" i="9" s="1"/>
  <c r="H1013" i="9"/>
  <c r="I1013" i="9" s="1"/>
  <c r="K1013" i="9" s="1"/>
  <c r="H1029" i="9"/>
  <c r="I1029" i="9" s="1"/>
  <c r="K1029" i="9" s="1"/>
  <c r="H1045" i="9"/>
  <c r="I1045" i="9" s="1"/>
  <c r="K1045" i="9" s="1"/>
  <c r="H1061" i="9"/>
  <c r="I1061" i="9" s="1"/>
  <c r="K1061" i="9" s="1"/>
  <c r="H386" i="9"/>
  <c r="I386" i="9" s="1"/>
  <c r="K386" i="9" s="1"/>
  <c r="H979" i="9"/>
  <c r="I979" i="9" s="1"/>
  <c r="K979" i="9" s="1"/>
  <c r="H1139" i="9"/>
  <c r="I1139" i="9" s="1"/>
  <c r="K1139" i="9" s="1"/>
  <c r="H974" i="9"/>
  <c r="I974" i="9" s="1"/>
  <c r="K974" i="9" s="1"/>
  <c r="K1296" i="9"/>
  <c r="K920" i="9"/>
  <c r="K1068" i="9"/>
  <c r="K1132" i="9"/>
  <c r="H419" i="9"/>
  <c r="I419" i="9" s="1"/>
  <c r="K419" i="9" s="1"/>
  <c r="H420" i="9"/>
  <c r="I420" i="9" s="1"/>
  <c r="K420" i="9" s="1"/>
  <c r="K995" i="9"/>
  <c r="H1043" i="9"/>
  <c r="I1043" i="9" s="1"/>
  <c r="K1043" i="9" s="1"/>
  <c r="H403" i="9"/>
  <c r="I403" i="9" s="1"/>
  <c r="K403" i="9" s="1"/>
  <c r="H527" i="9"/>
  <c r="I527" i="9" s="1"/>
  <c r="K527" i="9" s="1"/>
  <c r="H986" i="9"/>
  <c r="I986" i="9" s="1"/>
  <c r="K986" i="9" s="1"/>
  <c r="H1036" i="9"/>
  <c r="I1036" i="9" s="1"/>
  <c r="K1036" i="9" s="1"/>
  <c r="H1006" i="9"/>
  <c r="I1006" i="9" s="1"/>
  <c r="K1006" i="9" s="1"/>
  <c r="H1104" i="9"/>
  <c r="I1104" i="9" s="1"/>
  <c r="K1104" i="9" s="1"/>
  <c r="H1128" i="9"/>
  <c r="I1128" i="9" s="1"/>
  <c r="K1128" i="9" s="1"/>
  <c r="H1192" i="9"/>
  <c r="I1192" i="9" s="1"/>
  <c r="K1192" i="9" s="1"/>
  <c r="K1105" i="9"/>
  <c r="K824" i="9"/>
  <c r="K1083" i="9"/>
  <c r="K830" i="9"/>
  <c r="K982" i="9"/>
  <c r="K1038" i="9"/>
  <c r="K1062" i="9"/>
  <c r="K1094" i="9"/>
  <c r="K1126" i="9"/>
  <c r="K1174" i="9"/>
  <c r="K423" i="9"/>
  <c r="K532" i="9"/>
  <c r="H951" i="9"/>
  <c r="I951" i="9" s="1"/>
  <c r="K951" i="9" s="1"/>
  <c r="H1111" i="9"/>
  <c r="I1111" i="9" s="1"/>
  <c r="K1111" i="9" s="1"/>
  <c r="K928" i="9"/>
  <c r="K980" i="9"/>
  <c r="H929" i="9"/>
  <c r="I929" i="9" s="1"/>
  <c r="K929" i="9" s="1"/>
  <c r="K1123" i="9"/>
  <c r="H414" i="9"/>
  <c r="I414" i="9" s="1"/>
  <c r="K414" i="9" s="1"/>
  <c r="H938" i="9"/>
  <c r="I938" i="9" s="1"/>
  <c r="K938" i="9" s="1"/>
  <c r="H1010" i="9"/>
  <c r="I1010" i="9" s="1"/>
  <c r="K1010" i="9" s="1"/>
  <c r="K1026" i="9"/>
  <c r="H1060" i="9"/>
  <c r="I1060" i="9" s="1"/>
  <c r="K1060" i="9" s="1"/>
  <c r="H411" i="9"/>
  <c r="I411" i="9" s="1"/>
  <c r="K411" i="9" s="1"/>
  <c r="H935" i="9"/>
  <c r="I935" i="9" s="1"/>
  <c r="K935" i="9" s="1"/>
  <c r="H1159" i="9"/>
  <c r="I1159" i="9" s="1"/>
  <c r="K1159" i="9" s="1"/>
  <c r="H838" i="9"/>
  <c r="I838" i="9" s="1"/>
  <c r="K838" i="9" s="1"/>
  <c r="H1120" i="9"/>
  <c r="I1120" i="9" s="1"/>
  <c r="K1120" i="9" s="1"/>
  <c r="H1144" i="9"/>
  <c r="I1144" i="9" s="1"/>
  <c r="K1144" i="9" s="1"/>
  <c r="H1281" i="9"/>
  <c r="I1281" i="9" s="1"/>
  <c r="K1281" i="9" s="1"/>
  <c r="H1219" i="9"/>
  <c r="I1219" i="9" s="1"/>
  <c r="K1219" i="9" s="1"/>
  <c r="K1167" i="9"/>
  <c r="H918" i="9"/>
  <c r="I918" i="9" s="1"/>
  <c r="K918" i="9" s="1"/>
  <c r="K1030" i="9"/>
  <c r="K397" i="9"/>
  <c r="H943" i="9"/>
  <c r="I943" i="9" s="1"/>
  <c r="K943" i="9" s="1"/>
  <c r="K959" i="9"/>
  <c r="H1103" i="9"/>
  <c r="I1103" i="9" s="1"/>
  <c r="K1103" i="9" s="1"/>
  <c r="K1225" i="9"/>
  <c r="H933" i="9"/>
  <c r="I933" i="9" s="1"/>
  <c r="K933" i="9" s="1"/>
  <c r="H1069" i="9"/>
  <c r="I1069" i="9" s="1"/>
  <c r="K1069" i="9" s="1"/>
  <c r="H1237" i="9"/>
  <c r="I1237" i="9" s="1"/>
  <c r="K1237" i="9" s="1"/>
  <c r="H832" i="9"/>
  <c r="I832" i="9" s="1"/>
  <c r="K832" i="9" s="1"/>
  <c r="H533" i="9"/>
  <c r="I533" i="9" s="1"/>
  <c r="K533" i="9" s="1"/>
  <c r="H940" i="9"/>
  <c r="I940" i="9" s="1"/>
  <c r="K940" i="9" s="1"/>
  <c r="H839" i="9"/>
  <c r="I839" i="9" s="1"/>
  <c r="K839" i="9" s="1"/>
  <c r="H922" i="9"/>
  <c r="I922" i="9" s="1"/>
  <c r="K922" i="9" s="1"/>
  <c r="K1122" i="9"/>
  <c r="H941" i="9"/>
  <c r="I941" i="9" s="1"/>
  <c r="K941" i="9" s="1"/>
  <c r="H957" i="9"/>
  <c r="I957" i="9" s="1"/>
  <c r="K957" i="9" s="1"/>
  <c r="H1273" i="9"/>
  <c r="I1273" i="9" s="1"/>
  <c r="K1273" i="9" s="1"/>
  <c r="H1211" i="9"/>
  <c r="I1211" i="9" s="1"/>
  <c r="K1211" i="9" s="1"/>
  <c r="H1290" i="9"/>
  <c r="I1290" i="9" s="1"/>
  <c r="K1290" i="9" s="1"/>
  <c r="H956" i="9"/>
  <c r="I956" i="9" s="1"/>
  <c r="K956" i="9" s="1"/>
  <c r="H988" i="9"/>
  <c r="I988" i="9" s="1"/>
  <c r="K988" i="9" s="1"/>
  <c r="H1161" i="9"/>
  <c r="I1161" i="9" s="1"/>
  <c r="K1161" i="9" s="1"/>
  <c r="H963" i="9"/>
  <c r="I963" i="9" s="1"/>
  <c r="K963" i="9" s="1"/>
  <c r="H834" i="9"/>
  <c r="I834" i="9" s="1"/>
  <c r="K834" i="9" s="1"/>
  <c r="H410" i="9"/>
  <c r="I410" i="9" s="1"/>
  <c r="K410" i="9" s="1"/>
  <c r="K947" i="9"/>
  <c r="K1051" i="9"/>
  <c r="H396" i="9"/>
  <c r="I396" i="9" s="1"/>
  <c r="K396" i="9" s="1"/>
  <c r="H946" i="9"/>
  <c r="I946" i="9" s="1"/>
  <c r="K946" i="9" s="1"/>
  <c r="H962" i="9"/>
  <c r="I962" i="9" s="1"/>
  <c r="K962" i="9" s="1"/>
  <c r="H1162" i="9"/>
  <c r="I1162" i="9" s="1"/>
  <c r="K1162" i="9" s="1"/>
  <c r="H1124" i="9"/>
  <c r="I1124" i="9" s="1"/>
  <c r="K1124" i="9" s="1"/>
  <c r="K822" i="9"/>
  <c r="H990" i="9"/>
  <c r="I990" i="9" s="1"/>
  <c r="K990" i="9" s="1"/>
  <c r="K1078" i="9"/>
  <c r="K1110" i="9"/>
  <c r="K1142" i="9"/>
  <c r="K1198" i="9"/>
  <c r="H999" i="9"/>
  <c r="I999" i="9" s="1"/>
  <c r="K999" i="9" s="1"/>
  <c r="H1015" i="9"/>
  <c r="I1015" i="9" s="1"/>
  <c r="K1015" i="9" s="1"/>
  <c r="H1031" i="9"/>
  <c r="I1031" i="9" s="1"/>
  <c r="K1031" i="9" s="1"/>
  <c r="H1047" i="9"/>
  <c r="I1047" i="9" s="1"/>
  <c r="K1047" i="9" s="1"/>
  <c r="H1063" i="9"/>
  <c r="I1063" i="9" s="1"/>
  <c r="K1063" i="9" s="1"/>
  <c r="H1079" i="9"/>
  <c r="I1079" i="9" s="1"/>
  <c r="K1079" i="9" s="1"/>
  <c r="H1143" i="9"/>
  <c r="I1143" i="9" s="1"/>
  <c r="K1143" i="9" s="1"/>
  <c r="H1175" i="9"/>
  <c r="I1175" i="9" s="1"/>
  <c r="K1175" i="9" s="1"/>
  <c r="H436" i="9"/>
  <c r="I436" i="9" s="1"/>
  <c r="K436" i="9" s="1"/>
  <c r="K813" i="9"/>
  <c r="K529" i="9"/>
  <c r="H992" i="9"/>
  <c r="I992" i="9" s="1"/>
  <c r="K992" i="9" s="1"/>
  <c r="H1056" i="9"/>
  <c r="I1056" i="9" s="1"/>
  <c r="K1056" i="9" s="1"/>
  <c r="H1172" i="9"/>
  <c r="I1172" i="9" s="1"/>
  <c r="K1172" i="9" s="1"/>
  <c r="H848" i="9"/>
  <c r="I848" i="9" s="1"/>
  <c r="K848" i="9" s="1"/>
  <c r="H384" i="9"/>
  <c r="I384" i="9" s="1"/>
  <c r="K384" i="9" s="1"/>
  <c r="K1052" i="9"/>
  <c r="K1116" i="9"/>
  <c r="H1188" i="9"/>
  <c r="I1188" i="9" s="1"/>
  <c r="K1188" i="9" s="1"/>
  <c r="H1146" i="9"/>
  <c r="I1146" i="9" s="1"/>
  <c r="K1146" i="9" s="1"/>
  <c r="H949" i="9"/>
  <c r="I949" i="9" s="1"/>
  <c r="K949" i="9" s="1"/>
  <c r="H975" i="9"/>
  <c r="I975" i="9" s="1"/>
  <c r="K975" i="9" s="1"/>
  <c r="H978" i="9"/>
  <c r="I978" i="9" s="1"/>
  <c r="K978" i="9" s="1"/>
  <c r="H994" i="9"/>
  <c r="I994" i="9" s="1"/>
  <c r="K994" i="9" s="1"/>
  <c r="H826" i="9"/>
  <c r="I826" i="9" s="1"/>
  <c r="K826" i="9" s="1"/>
  <c r="K1074" i="9"/>
  <c r="K1202" i="9"/>
  <c r="H1093" i="9"/>
  <c r="I1093" i="9" s="1"/>
  <c r="K1093" i="9" s="1"/>
  <c r="H1125" i="9"/>
  <c r="I1125" i="9" s="1"/>
  <c r="K1125" i="9" s="1"/>
  <c r="H1024" i="9"/>
  <c r="I1024" i="9" s="1"/>
  <c r="K1024" i="9" s="1"/>
  <c r="H1112" i="9"/>
  <c r="I1112" i="9" s="1"/>
  <c r="K1112" i="9" s="1"/>
  <c r="H1200" i="9"/>
  <c r="I1200" i="9" s="1"/>
  <c r="K1200" i="9" s="1"/>
  <c r="H829" i="9"/>
  <c r="I829" i="9" s="1"/>
  <c r="K829" i="9" s="1"/>
  <c r="H530" i="9"/>
  <c r="I530" i="9" s="1"/>
  <c r="K530" i="9" s="1"/>
  <c r="H932" i="9"/>
  <c r="I932" i="9" s="1"/>
  <c r="K932" i="9" s="1"/>
  <c r="H972" i="9"/>
  <c r="I972" i="9" s="1"/>
  <c r="K972" i="9" s="1"/>
  <c r="H1004" i="9"/>
  <c r="I1004" i="9" s="1"/>
  <c r="K1004" i="9" s="1"/>
  <c r="H432" i="9"/>
  <c r="I432" i="9" s="1"/>
  <c r="K432" i="9" s="1"/>
  <c r="H1282" i="9"/>
  <c r="I1282" i="9" s="1"/>
  <c r="K1282" i="9" s="1"/>
  <c r="K1259" i="9"/>
  <c r="K1248" i="9"/>
  <c r="H1136" i="9"/>
  <c r="I1136" i="9" s="1"/>
  <c r="K1136" i="9" s="1"/>
  <c r="H1257" i="9"/>
  <c r="I1257" i="9" s="1"/>
  <c r="K1257" i="9" s="1"/>
  <c r="K1292" i="9"/>
  <c r="H408" i="9"/>
  <c r="I408" i="9" s="1"/>
  <c r="K408" i="9" s="1"/>
  <c r="H1265" i="9"/>
  <c r="I1265" i="9" s="1"/>
  <c r="K1265" i="9" s="1"/>
  <c r="K1256" i="9"/>
  <c r="K1191" i="9"/>
  <c r="H846" i="9"/>
  <c r="I846" i="9" s="1"/>
  <c r="K846" i="9" s="1"/>
  <c r="H818" i="9"/>
  <c r="I818" i="9" s="1"/>
  <c r="K818" i="9" s="1"/>
  <c r="H977" i="9"/>
  <c r="I977" i="9" s="1"/>
  <c r="K977" i="9" s="1"/>
  <c r="H1033" i="9"/>
  <c r="I1033" i="9" s="1"/>
  <c r="K1033" i="9" s="1"/>
  <c r="H1177" i="9"/>
  <c r="I1177" i="9" s="1"/>
  <c r="K1177" i="9" s="1"/>
  <c r="H823" i="9"/>
  <c r="I823" i="9" s="1"/>
  <c r="K823" i="9" s="1"/>
  <c r="H1187" i="9"/>
  <c r="I1187" i="9" s="1"/>
  <c r="K1187" i="9" s="1"/>
  <c r="H1181" i="9"/>
  <c r="I1181" i="9" s="1"/>
  <c r="K1181" i="9" s="1"/>
  <c r="H1249" i="9"/>
  <c r="I1249" i="9" s="1"/>
  <c r="K1249" i="9" s="1"/>
  <c r="H1266" i="9"/>
  <c r="I1266" i="9" s="1"/>
  <c r="K1266" i="9" s="1"/>
  <c r="H1214" i="9"/>
  <c r="I1214" i="9" s="1"/>
  <c r="K1214" i="9" s="1"/>
  <c r="K1231" i="9"/>
  <c r="H1066" i="9"/>
  <c r="I1066" i="9" s="1"/>
  <c r="K1066" i="9" s="1"/>
  <c r="H1082" i="9"/>
  <c r="I1082" i="9" s="1"/>
  <c r="K1082" i="9" s="1"/>
  <c r="H1194" i="9"/>
  <c r="I1194" i="9" s="1"/>
  <c r="K1194" i="9" s="1"/>
  <c r="H917" i="9"/>
  <c r="I917" i="9" s="1"/>
  <c r="K917" i="9" s="1"/>
  <c r="H1085" i="9"/>
  <c r="I1085" i="9" s="1"/>
  <c r="K1085" i="9" s="1"/>
  <c r="H1101" i="9"/>
  <c r="I1101" i="9" s="1"/>
  <c r="K1101" i="9" s="1"/>
  <c r="H1117" i="9"/>
  <c r="I1117" i="9" s="1"/>
  <c r="K1117" i="9" s="1"/>
  <c r="H1133" i="9"/>
  <c r="I1133" i="9" s="1"/>
  <c r="K1133" i="9" s="1"/>
  <c r="H1149" i="9"/>
  <c r="I1149" i="9" s="1"/>
  <c r="K1149" i="9" s="1"/>
  <c r="H1274" i="9"/>
  <c r="I1274" i="9" s="1"/>
  <c r="K1274" i="9" s="1"/>
  <c r="K416" i="9"/>
  <c r="H961" i="9"/>
  <c r="I961" i="9" s="1"/>
  <c r="K961" i="9" s="1"/>
  <c r="K1001" i="9"/>
  <c r="H1057" i="9"/>
  <c r="I1057" i="9" s="1"/>
  <c r="K1057" i="9" s="1"/>
  <c r="H1097" i="9"/>
  <c r="I1097" i="9" s="1"/>
  <c r="K1097" i="9" s="1"/>
  <c r="H404" i="9"/>
  <c r="I404" i="9" s="1"/>
  <c r="K404" i="9" s="1"/>
  <c r="H418" i="9"/>
  <c r="I418" i="9" s="1"/>
  <c r="K418" i="9" s="1"/>
  <c r="H971" i="9"/>
  <c r="I971" i="9" s="1"/>
  <c r="K971" i="9" s="1"/>
  <c r="K1027" i="9"/>
  <c r="H1131" i="9"/>
  <c r="I1131" i="9" s="1"/>
  <c r="K1131" i="9" s="1"/>
  <c r="H1171" i="9"/>
  <c r="I1171" i="9" s="1"/>
  <c r="K1171" i="9" s="1"/>
  <c r="H528" i="9"/>
  <c r="I528" i="9" s="1"/>
  <c r="K528" i="9" s="1"/>
  <c r="H385" i="9"/>
  <c r="I385" i="9" s="1"/>
  <c r="K385" i="9" s="1"/>
  <c r="H973" i="9"/>
  <c r="I973" i="9" s="1"/>
  <c r="K973" i="9" s="1"/>
  <c r="H1189" i="9"/>
  <c r="I1189" i="9" s="1"/>
  <c r="K1189" i="9" s="1"/>
  <c r="H435" i="9"/>
  <c r="I435" i="9" s="1"/>
  <c r="K435" i="9" s="1"/>
  <c r="H836" i="9"/>
  <c r="I836" i="9" s="1"/>
  <c r="K836" i="9" s="1"/>
  <c r="H944" i="9"/>
  <c r="I944" i="9" s="1"/>
  <c r="K944" i="9" s="1"/>
  <c r="H1040" i="9"/>
  <c r="I1040" i="9" s="1"/>
  <c r="K1040" i="9" s="1"/>
  <c r="H1152" i="9"/>
  <c r="I1152" i="9" s="1"/>
  <c r="K1152" i="9" s="1"/>
  <c r="H831" i="9"/>
  <c r="I831" i="9" s="1"/>
  <c r="K831" i="9" s="1"/>
  <c r="H924" i="9"/>
  <c r="I924" i="9" s="1"/>
  <c r="K924" i="9" s="1"/>
  <c r="H814" i="9"/>
  <c r="I814" i="9" s="1"/>
  <c r="K814" i="9" s="1"/>
  <c r="H399" i="9"/>
  <c r="I399" i="9" s="1"/>
  <c r="K399" i="9" s="1"/>
  <c r="H526" i="9"/>
  <c r="I526" i="9" s="1"/>
  <c r="K526" i="9" s="1"/>
  <c r="H945" i="9"/>
  <c r="I945" i="9" s="1"/>
  <c r="K945" i="9" s="1"/>
  <c r="H985" i="9"/>
  <c r="I985" i="9" s="1"/>
  <c r="K985" i="9" s="1"/>
  <c r="H1041" i="9"/>
  <c r="I1041" i="9" s="1"/>
  <c r="K1041" i="9" s="1"/>
  <c r="H1121" i="9"/>
  <c r="I1121" i="9" s="1"/>
  <c r="K1121" i="9" s="1"/>
  <c r="H1185" i="9"/>
  <c r="I1185" i="9" s="1"/>
  <c r="K1185" i="9" s="1"/>
  <c r="H987" i="9"/>
  <c r="I987" i="9" s="1"/>
  <c r="K987" i="9" s="1"/>
  <c r="H1075" i="9"/>
  <c r="I1075" i="9" s="1"/>
  <c r="K1075" i="9" s="1"/>
  <c r="H391" i="9"/>
  <c r="I391" i="9" s="1"/>
  <c r="K391" i="9" s="1"/>
  <c r="H989" i="9"/>
  <c r="I989" i="9" s="1"/>
  <c r="K989" i="9" s="1"/>
  <c r="H1005" i="9"/>
  <c r="I1005" i="9" s="1"/>
  <c r="K1005" i="9" s="1"/>
  <c r="H1021" i="9"/>
  <c r="I1021" i="9" s="1"/>
  <c r="K1021" i="9" s="1"/>
  <c r="H1037" i="9"/>
  <c r="I1037" i="9" s="1"/>
  <c r="K1037" i="9" s="1"/>
  <c r="H1053" i="9"/>
  <c r="I1053" i="9" s="1"/>
  <c r="K1053" i="9" s="1"/>
  <c r="K1269" i="9"/>
  <c r="K389" i="9"/>
  <c r="K394" i="9"/>
  <c r="K1054" i="9"/>
  <c r="K1086" i="9"/>
  <c r="K1118" i="9"/>
  <c r="K1150" i="9"/>
  <c r="K927" i="9"/>
  <c r="K983" i="9"/>
  <c r="H1127" i="9"/>
  <c r="I1127" i="9" s="1"/>
  <c r="K1127" i="9" s="1"/>
  <c r="H1207" i="9"/>
  <c r="I1207" i="9" s="1"/>
  <c r="K1207" i="9" s="1"/>
  <c r="K841" i="9"/>
  <c r="H400" i="9"/>
  <c r="I400" i="9" s="1"/>
  <c r="K400" i="9" s="1"/>
  <c r="K1000" i="9"/>
  <c r="H1064" i="9"/>
  <c r="I1064" i="9" s="1"/>
  <c r="K1064" i="9" s="1"/>
  <c r="H1088" i="9"/>
  <c r="I1088" i="9" s="1"/>
  <c r="K1088" i="9" s="1"/>
  <c r="H1176" i="9"/>
  <c r="I1176" i="9" s="1"/>
  <c r="K1176" i="9" s="1"/>
  <c r="H405" i="9"/>
  <c r="I405" i="9" s="1"/>
  <c r="K405" i="9" s="1"/>
  <c r="H393" i="9"/>
  <c r="I393" i="9" s="1"/>
  <c r="K393" i="9" s="1"/>
  <c r="H1025" i="9"/>
  <c r="I1025" i="9" s="1"/>
  <c r="K1025" i="9" s="1"/>
  <c r="H931" i="9"/>
  <c r="I931" i="9" s="1"/>
  <c r="K931" i="9" s="1"/>
  <c r="H1011" i="9"/>
  <c r="I1011" i="9" s="1"/>
  <c r="K1011" i="9" s="1"/>
  <c r="K1035" i="9"/>
  <c r="K1115" i="9"/>
  <c r="H1203" i="9"/>
  <c r="I1203" i="9" s="1"/>
  <c r="K1203" i="9" s="1"/>
  <c r="H837" i="9"/>
  <c r="I837" i="9" s="1"/>
  <c r="K837" i="9" s="1"/>
  <c r="H390" i="9"/>
  <c r="I390" i="9" s="1"/>
  <c r="K390" i="9" s="1"/>
  <c r="H523" i="9"/>
  <c r="I523" i="9" s="1"/>
  <c r="K523" i="9" s="1"/>
  <c r="H1050" i="9"/>
  <c r="I1050" i="9" s="1"/>
  <c r="K1050" i="9" s="1"/>
  <c r="K1106" i="9"/>
  <c r="H1178" i="9"/>
  <c r="I1178" i="9" s="1"/>
  <c r="K1178" i="9" s="1"/>
  <c r="H816" i="9"/>
  <c r="I816" i="9" s="1"/>
  <c r="K816" i="9" s="1"/>
  <c r="H388" i="9"/>
  <c r="I388" i="9" s="1"/>
  <c r="K388" i="9" s="1"/>
  <c r="H406" i="9"/>
  <c r="I406" i="9" s="1"/>
  <c r="K406" i="9" s="1"/>
  <c r="H925" i="9"/>
  <c r="I925" i="9" s="1"/>
  <c r="K925" i="9" s="1"/>
  <c r="H1077" i="9"/>
  <c r="I1077" i="9" s="1"/>
  <c r="K1077" i="9" s="1"/>
  <c r="H1109" i="9"/>
  <c r="I1109" i="9" s="1"/>
  <c r="K1109" i="9" s="1"/>
  <c r="H1141" i="9"/>
  <c r="I1141" i="9" s="1"/>
  <c r="K1141" i="9" s="1"/>
  <c r="H1197" i="9"/>
  <c r="I1197" i="9" s="1"/>
  <c r="K1197" i="9" s="1"/>
  <c r="K820" i="9"/>
  <c r="K1240" i="9"/>
  <c r="H1099" i="9"/>
  <c r="I1099" i="9" s="1"/>
  <c r="K1099" i="9" s="1"/>
  <c r="K1264" i="9"/>
  <c r="K1294" i="9"/>
  <c r="H840" i="9"/>
  <c r="I840" i="9" s="1"/>
  <c r="K840" i="9" s="1"/>
  <c r="H417" i="9"/>
  <c r="I417" i="9" s="1"/>
  <c r="K417" i="9" s="1"/>
  <c r="H952" i="9"/>
  <c r="I952" i="9" s="1"/>
  <c r="K952" i="9" s="1"/>
  <c r="H976" i="9"/>
  <c r="I976" i="9" s="1"/>
  <c r="K976" i="9" s="1"/>
  <c r="H1072" i="9"/>
  <c r="I1072" i="9" s="1"/>
  <c r="K1072" i="9" s="1"/>
  <c r="H953" i="9"/>
  <c r="I953" i="9" s="1"/>
  <c r="K953" i="9" s="1"/>
  <c r="H1049" i="9"/>
  <c r="I1049" i="9" s="1"/>
  <c r="K1049" i="9" s="1"/>
  <c r="H1129" i="9"/>
  <c r="I1129" i="9" s="1"/>
  <c r="K1129" i="9" s="1"/>
  <c r="H1193" i="9"/>
  <c r="I1193" i="9" s="1"/>
  <c r="K1193" i="9" s="1"/>
  <c r="H1034" i="9"/>
  <c r="I1034" i="9" s="1"/>
  <c r="K1034" i="9" s="1"/>
  <c r="H1173" i="9"/>
  <c r="I1173" i="9" s="1"/>
  <c r="K1173" i="9" s="1"/>
  <c r="H1230" i="9"/>
  <c r="I1230" i="9" s="1"/>
  <c r="K1230" i="9" s="1"/>
  <c r="K1283" i="9"/>
  <c r="K1260" i="9"/>
  <c r="K1293" i="9"/>
  <c r="K1272" i="9"/>
  <c r="K1223" i="9"/>
  <c r="H1028" i="9"/>
  <c r="I1028" i="9" s="1"/>
  <c r="K1028" i="9" s="1"/>
  <c r="H407" i="9"/>
  <c r="I407" i="9" s="1"/>
  <c r="K407" i="9" s="1"/>
  <c r="H926" i="9"/>
  <c r="I926" i="9" s="1"/>
  <c r="K926" i="9" s="1"/>
  <c r="H942" i="9"/>
  <c r="I942" i="9" s="1"/>
  <c r="K942" i="9" s="1"/>
  <c r="H833" i="9"/>
  <c r="I833" i="9" s="1"/>
  <c r="K833" i="9" s="1"/>
  <c r="K817" i="9"/>
  <c r="H1007" i="9"/>
  <c r="I1007" i="9" s="1"/>
  <c r="K1007" i="9" s="1"/>
  <c r="H1023" i="9"/>
  <c r="I1023" i="9" s="1"/>
  <c r="K1023" i="9" s="1"/>
  <c r="H1039" i="9"/>
  <c r="I1039" i="9" s="1"/>
  <c r="K1039" i="9" s="1"/>
  <c r="H1055" i="9"/>
  <c r="I1055" i="9" s="1"/>
  <c r="K1055" i="9" s="1"/>
  <c r="H1071" i="9"/>
  <c r="I1071" i="9" s="1"/>
  <c r="K1071" i="9" s="1"/>
  <c r="H1135" i="9"/>
  <c r="I1135" i="9" s="1"/>
  <c r="K1135" i="9" s="1"/>
  <c r="H412" i="9"/>
  <c r="I412" i="9" s="1"/>
  <c r="K412" i="9" s="1"/>
  <c r="H1008" i="9"/>
  <c r="I1008" i="9" s="1"/>
  <c r="K1008" i="9" s="1"/>
  <c r="H1096" i="9"/>
  <c r="I1096" i="9" s="1"/>
  <c r="K1096" i="9" s="1"/>
  <c r="H1184" i="9"/>
  <c r="I1184" i="9" s="1"/>
  <c r="K1184" i="9" s="1"/>
  <c r="H843" i="9"/>
  <c r="I843" i="9" s="1"/>
  <c r="K843" i="9" s="1"/>
  <c r="H387" i="9"/>
  <c r="I387" i="9" s="1"/>
  <c r="K387" i="9" s="1"/>
  <c r="H409" i="9"/>
  <c r="I409" i="9" s="1"/>
  <c r="K409" i="9" s="1"/>
  <c r="K1084" i="9"/>
  <c r="K1148" i="9"/>
  <c r="H402" i="9"/>
  <c r="I402" i="9" s="1"/>
  <c r="K402" i="9" s="1"/>
  <c r="H921" i="9"/>
  <c r="I921" i="9" s="1"/>
  <c r="K921" i="9" s="1"/>
  <c r="H993" i="9"/>
  <c r="I993" i="9" s="1"/>
  <c r="K993" i="9" s="1"/>
  <c r="H1089" i="9"/>
  <c r="I1089" i="9" s="1"/>
  <c r="K1089" i="9" s="1"/>
  <c r="H1153" i="9"/>
  <c r="I1153" i="9" s="1"/>
  <c r="K1153" i="9" s="1"/>
  <c r="H827" i="9"/>
  <c r="I827" i="9" s="1"/>
  <c r="K827" i="9" s="1"/>
  <c r="H448" i="9"/>
  <c r="I448" i="9" s="1"/>
  <c r="K448" i="9" s="1"/>
  <c r="H811" i="9"/>
  <c r="I811" i="9" s="1"/>
  <c r="K811" i="9" s="1"/>
  <c r="H930" i="9"/>
  <c r="I930" i="9" s="1"/>
  <c r="K930" i="9" s="1"/>
  <c r="H1002" i="9"/>
  <c r="I1002" i="9" s="1"/>
  <c r="K1002" i="9" s="1"/>
  <c r="H1018" i="9"/>
  <c r="I1018" i="9" s="1"/>
  <c r="K1018" i="9" s="1"/>
  <c r="K1058" i="9"/>
  <c r="H1130" i="9"/>
  <c r="I1130" i="9" s="1"/>
  <c r="K1130" i="9" s="1"/>
  <c r="H1163" i="9"/>
  <c r="I1163" i="9" s="1"/>
  <c r="K1163" i="9" s="1"/>
  <c r="H844" i="9"/>
  <c r="I844" i="9" s="1"/>
  <c r="K844" i="9" s="1"/>
  <c r="H531" i="9"/>
  <c r="I531" i="9" s="1"/>
  <c r="K531" i="9" s="1"/>
  <c r="K1244" i="9"/>
  <c r="K1277" i="9"/>
  <c r="K1286" i="9"/>
  <c r="H958" i="9"/>
  <c r="I958" i="9" s="1"/>
  <c r="K958" i="9" s="1"/>
  <c r="H1090" i="9"/>
  <c r="I1090" i="9" s="1"/>
  <c r="K1090" i="9" s="1"/>
  <c r="K1275" i="9"/>
  <c r="K1252" i="9"/>
  <c r="K1215" i="9"/>
  <c r="H996" i="9"/>
  <c r="I996" i="9" s="1"/>
  <c r="K996" i="9" s="1"/>
  <c r="H998" i="9"/>
  <c r="I998" i="9" s="1"/>
  <c r="K998" i="9" s="1"/>
  <c r="H967" i="9"/>
  <c r="I967" i="9" s="1"/>
  <c r="K967" i="9" s="1"/>
  <c r="H1048" i="9"/>
  <c r="I1048" i="9" s="1"/>
  <c r="K1048" i="9" s="1"/>
  <c r="H1160" i="9"/>
  <c r="I1160" i="9" s="1"/>
  <c r="K1160" i="9" s="1"/>
  <c r="H937" i="9"/>
  <c r="I937" i="9" s="1"/>
  <c r="K937" i="9" s="1"/>
  <c r="H1065" i="9"/>
  <c r="I1065" i="9" s="1"/>
  <c r="K1065" i="9" s="1"/>
  <c r="H1155" i="9"/>
  <c r="I1155" i="9" s="1"/>
  <c r="K1155" i="9" s="1"/>
  <c r="H1157" i="9"/>
  <c r="I1157" i="9" s="1"/>
  <c r="K1157" i="9" s="1"/>
  <c r="K1297" i="9"/>
  <c r="K1291" i="9"/>
  <c r="K1209" i="9"/>
  <c r="K1280" i="9"/>
  <c r="H1156" i="9"/>
  <c r="I1156" i="9" s="1"/>
  <c r="K1156" i="9" s="1"/>
  <c r="K395" i="9"/>
  <c r="H1158" i="9"/>
  <c r="I1158" i="9" s="1"/>
  <c r="K1158" i="9" s="1"/>
  <c r="H1107" i="9"/>
  <c r="I1107" i="9" s="1"/>
  <c r="K1107" i="9" s="1"/>
  <c r="H1114" i="9"/>
  <c r="I1114" i="9" s="1"/>
  <c r="K1114" i="9" s="1"/>
  <c r="H1170" i="9"/>
  <c r="I1170" i="9" s="1"/>
  <c r="K1170" i="9" s="1"/>
  <c r="H965" i="9"/>
  <c r="I965" i="9" s="1"/>
  <c r="K965" i="9" s="1"/>
  <c r="H842" i="9"/>
  <c r="I842" i="9" s="1"/>
  <c r="K842" i="9" s="1"/>
  <c r="H1258" i="9"/>
  <c r="I1258" i="9" s="1"/>
  <c r="K1258" i="9" s="1"/>
  <c r="K1217" i="9"/>
  <c r="K1254" i="9"/>
  <c r="K825" i="9"/>
  <c r="H934" i="9"/>
  <c r="I934" i="9" s="1"/>
  <c r="K934" i="9" s="1"/>
  <c r="K950" i="9"/>
  <c r="K1046" i="9"/>
  <c r="H1206" i="9"/>
  <c r="I1206" i="9" s="1"/>
  <c r="K1206" i="9" s="1"/>
  <c r="H919" i="9"/>
  <c r="I919" i="9" s="1"/>
  <c r="K919" i="9" s="1"/>
  <c r="H1119" i="9"/>
  <c r="I1119" i="9" s="1"/>
  <c r="K1119" i="9" s="1"/>
  <c r="H1199" i="9"/>
  <c r="I1199" i="9" s="1"/>
  <c r="K1199" i="9" s="1"/>
  <c r="K1222" i="9"/>
  <c r="K415" i="9"/>
  <c r="H960" i="9"/>
  <c r="I960" i="9" s="1"/>
  <c r="K960" i="9" s="1"/>
  <c r="H1032" i="9"/>
  <c r="I1032" i="9" s="1"/>
  <c r="K1032" i="9" s="1"/>
  <c r="H1080" i="9"/>
  <c r="I1080" i="9" s="1"/>
  <c r="K1080" i="9" s="1"/>
  <c r="H1168" i="9"/>
  <c r="I1168" i="9" s="1"/>
  <c r="K1168" i="9" s="1"/>
  <c r="H383" i="9"/>
  <c r="I383" i="9" s="1"/>
  <c r="K383" i="9" s="1"/>
  <c r="K1100" i="9"/>
  <c r="K1164" i="9"/>
  <c r="H1059" i="9"/>
  <c r="I1059" i="9" s="1"/>
  <c r="K1059" i="9" s="1"/>
  <c r="H422" i="9"/>
  <c r="I422" i="9" s="1"/>
  <c r="K422" i="9" s="1"/>
  <c r="H1017" i="9"/>
  <c r="I1017" i="9" s="1"/>
  <c r="K1017" i="9" s="1"/>
  <c r="H1073" i="9"/>
  <c r="I1073" i="9" s="1"/>
  <c r="K1073" i="9" s="1"/>
  <c r="H1113" i="9"/>
  <c r="I1113" i="9" s="1"/>
  <c r="K1113" i="9" s="1"/>
  <c r="H1137" i="9"/>
  <c r="I1137" i="9" s="1"/>
  <c r="K1137" i="9" s="1"/>
  <c r="H1201" i="9"/>
  <c r="I1201" i="9" s="1"/>
  <c r="K1201" i="9" s="1"/>
  <c r="H815" i="9"/>
  <c r="I815" i="9" s="1"/>
  <c r="K815" i="9" s="1"/>
  <c r="H923" i="9"/>
  <c r="I923" i="9" s="1"/>
  <c r="K923" i="9" s="1"/>
  <c r="H939" i="9"/>
  <c r="I939" i="9" s="1"/>
  <c r="K939" i="9" s="1"/>
  <c r="H1003" i="9"/>
  <c r="I1003" i="9" s="1"/>
  <c r="K1003" i="9" s="1"/>
  <c r="K1067" i="9"/>
  <c r="K1147" i="9"/>
  <c r="H413" i="9"/>
  <c r="I413" i="9" s="1"/>
  <c r="K413" i="9" s="1"/>
  <c r="H954" i="9"/>
  <c r="I954" i="9" s="1"/>
  <c r="K954" i="9" s="1"/>
  <c r="H970" i="9"/>
  <c r="I970" i="9" s="1"/>
  <c r="K970" i="9" s="1"/>
  <c r="H1042" i="9"/>
  <c r="I1042" i="9" s="1"/>
  <c r="K1042" i="9" s="1"/>
  <c r="H1098" i="9"/>
  <c r="I1098" i="9" s="1"/>
  <c r="K1098" i="9" s="1"/>
  <c r="H812" i="9"/>
  <c r="I812" i="9" s="1"/>
  <c r="K812" i="9" s="1"/>
  <c r="H1165" i="9"/>
  <c r="I1165" i="9" s="1"/>
  <c r="K1165" i="9" s="1"/>
  <c r="H1205" i="9"/>
  <c r="I1205" i="9" s="1"/>
  <c r="K1205" i="9" s="1"/>
  <c r="I1163" i="5"/>
  <c r="J1163" i="5" s="1"/>
  <c r="L1163" i="5" s="1"/>
  <c r="I1241" i="5"/>
  <c r="J1241" i="5" s="1"/>
  <c r="L1241" i="5" s="1"/>
  <c r="I1224" i="5"/>
  <c r="J1224" i="5" s="1"/>
  <c r="L1224" i="5" s="1"/>
  <c r="L1257" i="5"/>
  <c r="I1273" i="5"/>
  <c r="J1273" i="5" s="1"/>
  <c r="L1273" i="5" s="1"/>
  <c r="L1223" i="5"/>
  <c r="I1155" i="5"/>
  <c r="J1155" i="5" s="1"/>
  <c r="L1155" i="5" s="1"/>
  <c r="I1256" i="5"/>
  <c r="J1256" i="5" s="1"/>
  <c r="L1256" i="5" s="1"/>
  <c r="I1161" i="5"/>
  <c r="J1161" i="5" s="1"/>
  <c r="L1161" i="5" s="1"/>
  <c r="I1289" i="5"/>
  <c r="J1289" i="5" s="1"/>
  <c r="L1289" i="5" s="1"/>
  <c r="I1177" i="5"/>
  <c r="J1177" i="5" s="1"/>
  <c r="L1177" i="5" s="1"/>
  <c r="I1178" i="5"/>
  <c r="J1178" i="5" s="1"/>
  <c r="L1178" i="5" s="1"/>
  <c r="I1169" i="5"/>
  <c r="J1169" i="5" s="1"/>
  <c r="L1169" i="5" s="1"/>
  <c r="L1201" i="5"/>
  <c r="L1233" i="5"/>
  <c r="I1263" i="5"/>
  <c r="J1263" i="5" s="1"/>
  <c r="L1263" i="5" s="1"/>
  <c r="L1255" i="5"/>
  <c r="I1179" i="5"/>
  <c r="J1179" i="5" s="1"/>
  <c r="L1179" i="5" s="1"/>
  <c r="I1251" i="5"/>
  <c r="J1251" i="5" s="1"/>
  <c r="L1251" i="5" s="1"/>
  <c r="I1149" i="5"/>
  <c r="J1149" i="5" s="1"/>
  <c r="L1149" i="5" s="1"/>
  <c r="L1239" i="5"/>
  <c r="I1194" i="5"/>
  <c r="J1194" i="5" s="1"/>
  <c r="L1194" i="5" s="1"/>
  <c r="I1279" i="5"/>
  <c r="J1279" i="5" s="1"/>
  <c r="L1279" i="5" s="1"/>
  <c r="I1270" i="5"/>
  <c r="J1270" i="5" s="1"/>
  <c r="L1270" i="5" s="1"/>
  <c r="I1274" i="5"/>
  <c r="J1274" i="5" s="1"/>
  <c r="L1274" i="5" s="1"/>
  <c r="I1219" i="5"/>
  <c r="J1219" i="5" s="1"/>
  <c r="L1219" i="5" s="1"/>
  <c r="I1275" i="5"/>
  <c r="J1275" i="5" s="1"/>
  <c r="L1275" i="5" s="1"/>
  <c r="I1291" i="5"/>
  <c r="J1291" i="5" s="1"/>
  <c r="L1291" i="5" s="1"/>
  <c r="I1276" i="5"/>
  <c r="J1276" i="5" s="1"/>
  <c r="L1276" i="5" s="1"/>
  <c r="I1176" i="5"/>
  <c r="J1176" i="5" s="1"/>
  <c r="L1176" i="5" s="1"/>
  <c r="I1271" i="5"/>
  <c r="J1271" i="5" s="1"/>
  <c r="L1271" i="5" s="1"/>
  <c r="I1173" i="5"/>
  <c r="J1173" i="5" s="1"/>
  <c r="L1173" i="5" s="1"/>
  <c r="I1269" i="5"/>
  <c r="J1269" i="5" s="1"/>
  <c r="L1269" i="5" s="1"/>
  <c r="I1203" i="5"/>
  <c r="J1203" i="5" s="1"/>
  <c r="L1203" i="5" s="1"/>
  <c r="I1164" i="5"/>
  <c r="J1164" i="5" s="1"/>
  <c r="L1164" i="5" s="1"/>
  <c r="I1180" i="5"/>
  <c r="J1180" i="5" s="1"/>
  <c r="L1180" i="5" s="1"/>
  <c r="I1196" i="5"/>
  <c r="J1196" i="5" s="1"/>
  <c r="L1196" i="5" s="1"/>
  <c r="I1212" i="5"/>
  <c r="J1212" i="5" s="1"/>
  <c r="L1212" i="5" s="1"/>
  <c r="I1228" i="5"/>
  <c r="J1228" i="5" s="1"/>
  <c r="L1228" i="5" s="1"/>
  <c r="I1244" i="5"/>
  <c r="J1244" i="5" s="1"/>
  <c r="L1244" i="5" s="1"/>
  <c r="I1260" i="5"/>
  <c r="J1260" i="5" s="1"/>
  <c r="L1260" i="5" s="1"/>
  <c r="I1272" i="5"/>
  <c r="J1272" i="5" s="1"/>
  <c r="L1272" i="5" s="1"/>
  <c r="L1192" i="5"/>
  <c r="I1225" i="5"/>
  <c r="J1225" i="5" s="1"/>
  <c r="L1225" i="5" s="1"/>
  <c r="I1287" i="5"/>
  <c r="J1287" i="5" s="1"/>
  <c r="L1287" i="5" s="1"/>
  <c r="L1222" i="5"/>
  <c r="I1286" i="5"/>
  <c r="J1286" i="5" s="1"/>
  <c r="L1286" i="5" s="1"/>
  <c r="I1213" i="5"/>
  <c r="J1213" i="5" s="1"/>
  <c r="L1213" i="5" s="1"/>
  <c r="I1245" i="5"/>
  <c r="J1245" i="5" s="1"/>
  <c r="L1245" i="5" s="1"/>
  <c r="I1187" i="5"/>
  <c r="J1187" i="5" s="1"/>
  <c r="L1187" i="5" s="1"/>
  <c r="I1243" i="5"/>
  <c r="J1243" i="5" s="1"/>
  <c r="L1243" i="5" s="1"/>
  <c r="I1259" i="5"/>
  <c r="J1259" i="5" s="1"/>
  <c r="L1259" i="5" s="1"/>
  <c r="I1284" i="5"/>
  <c r="J1284" i="5" s="1"/>
  <c r="L1284" i="5" s="1"/>
  <c r="I1157" i="5"/>
  <c r="J1157" i="5" s="1"/>
  <c r="L1157" i="5" s="1"/>
  <c r="I1205" i="5"/>
  <c r="J1205" i="5" s="1"/>
  <c r="L1205" i="5" s="1"/>
  <c r="I1237" i="5"/>
  <c r="J1237" i="5" s="1"/>
  <c r="L1237" i="5" s="1"/>
  <c r="I1208" i="5"/>
  <c r="J1208" i="5" s="1"/>
  <c r="L1208" i="5" s="1"/>
  <c r="I1171" i="5"/>
  <c r="J1171" i="5" s="1"/>
  <c r="L1171" i="5" s="1"/>
  <c r="I1227" i="5"/>
  <c r="J1227" i="5" s="1"/>
  <c r="L1227" i="5" s="1"/>
  <c r="I1181" i="5"/>
  <c r="J1181" i="5" s="1"/>
  <c r="L1181" i="5" s="1"/>
  <c r="I1277" i="5"/>
  <c r="J1277" i="5" s="1"/>
  <c r="L1277" i="5" s="1"/>
  <c r="L1191" i="5"/>
  <c r="L1285" i="5"/>
  <c r="I1218" i="5"/>
  <c r="J1218" i="5" s="1"/>
  <c r="L1218" i="5" s="1"/>
  <c r="I1234" i="5"/>
  <c r="J1234" i="5" s="1"/>
  <c r="L1234" i="5" s="1"/>
  <c r="I1250" i="5"/>
  <c r="J1250" i="5" s="1"/>
  <c r="L1250" i="5" s="1"/>
  <c r="I1266" i="5"/>
  <c r="J1266" i="5" s="1"/>
  <c r="L1266" i="5" s="1"/>
  <c r="I1211" i="5"/>
  <c r="J1211" i="5" s="1"/>
  <c r="L1211" i="5" s="1"/>
  <c r="I1283" i="5"/>
  <c r="J1283" i="5" s="1"/>
  <c r="L1283" i="5" s="1"/>
  <c r="I1156" i="5"/>
  <c r="J1156" i="5" s="1"/>
  <c r="L1156" i="5" s="1"/>
  <c r="I1172" i="5"/>
  <c r="J1172" i="5" s="1"/>
  <c r="L1172" i="5" s="1"/>
  <c r="I1188" i="5"/>
  <c r="J1188" i="5" s="1"/>
  <c r="L1188" i="5" s="1"/>
  <c r="I1204" i="5"/>
  <c r="J1204" i="5" s="1"/>
  <c r="L1204" i="5" s="1"/>
  <c r="I1220" i="5"/>
  <c r="J1220" i="5" s="1"/>
  <c r="L1220" i="5" s="1"/>
  <c r="I1236" i="5"/>
  <c r="J1236" i="5" s="1"/>
  <c r="L1236" i="5" s="1"/>
  <c r="I1252" i="5"/>
  <c r="J1252" i="5" s="1"/>
  <c r="L1252" i="5" s="1"/>
  <c r="I1268" i="5"/>
  <c r="J1268" i="5" s="1"/>
  <c r="L1268" i="5" s="1"/>
  <c r="I1240" i="5"/>
  <c r="J1240" i="5" s="1"/>
  <c r="L1240" i="5" s="1"/>
  <c r="L1207" i="5"/>
  <c r="L1278" i="5"/>
  <c r="I1267" i="5"/>
  <c r="J1267" i="5" s="1"/>
  <c r="L1267" i="5" s="1"/>
  <c r="L1247" i="5"/>
  <c r="I1189" i="5"/>
  <c r="J1189" i="5" s="1"/>
  <c r="L1189" i="5" s="1"/>
  <c r="I1221" i="5"/>
  <c r="J1221" i="5" s="1"/>
  <c r="L1221" i="5" s="1"/>
  <c r="K1232" i="9"/>
  <c r="K1233" i="9"/>
  <c r="K1246" i="9"/>
  <c r="H1247" i="9"/>
  <c r="I1247" i="9" s="1"/>
  <c r="K1247" i="9" s="1"/>
  <c r="K1239" i="9"/>
  <c r="K1234" i="9"/>
  <c r="K1241" i="9"/>
  <c r="H1255" i="9"/>
  <c r="I1255" i="9" s="1"/>
  <c r="K1255" i="9" s="1"/>
  <c r="K1284" i="9"/>
  <c r="H1263" i="9"/>
  <c r="I1263" i="9" s="1"/>
  <c r="K1263" i="9" s="1"/>
  <c r="K1267" i="9"/>
  <c r="H1271" i="9"/>
  <c r="I1271" i="9" s="1"/>
  <c r="K1271" i="9" s="1"/>
  <c r="H1279" i="9"/>
  <c r="I1279" i="9" s="1"/>
  <c r="K1279" i="9" s="1"/>
  <c r="H1208" i="9"/>
  <c r="I1208" i="9" s="1"/>
  <c r="K1208" i="9" s="1"/>
  <c r="H1287" i="9"/>
  <c r="I1287" i="9" s="1"/>
  <c r="K1287" i="9" s="1"/>
  <c r="H1216" i="9"/>
  <c r="I1216" i="9" s="1"/>
  <c r="K1216" i="9" s="1"/>
  <c r="H1295" i="9"/>
  <c r="I1295" i="9" s="1"/>
  <c r="K1295" i="9" s="1"/>
  <c r="K1221" i="9"/>
  <c r="K1220" i="9"/>
  <c r="H1224" i="9"/>
  <c r="I1224" i="9" s="1"/>
  <c r="K1224" i="9" s="1"/>
  <c r="H1228" i="9"/>
  <c r="I1228" i="9" s="1"/>
  <c r="K1228" i="9" s="1"/>
  <c r="H1236" i="9"/>
  <c r="I1236" i="9" s="1"/>
  <c r="K1236" i="9" s="1"/>
  <c r="H1227" i="9"/>
  <c r="I1227" i="9" s="1"/>
  <c r="K1227" i="9" s="1"/>
  <c r="H1235" i="9"/>
  <c r="I1235" i="9" s="1"/>
  <c r="K1235" i="9" s="1"/>
  <c r="W77" i="38"/>
  <c r="W76" i="38"/>
  <c r="W75" i="38"/>
  <c r="W74" i="38"/>
  <c r="W73" i="38"/>
  <c r="W72" i="38"/>
  <c r="W71" i="38"/>
  <c r="W70" i="38"/>
  <c r="W69" i="38"/>
  <c r="W68" i="38"/>
  <c r="W67" i="38"/>
  <c r="W66" i="38"/>
  <c r="W65" i="38"/>
  <c r="W64" i="38"/>
  <c r="D30" i="43"/>
  <c r="D29" i="43"/>
  <c r="D28" i="43"/>
  <c r="D27" i="43"/>
  <c r="D26" i="43"/>
  <c r="D25" i="43"/>
  <c r="D24" i="43"/>
  <c r="D23" i="43"/>
  <c r="D22" i="43"/>
  <c r="D21" i="43"/>
  <c r="D20" i="43"/>
  <c r="D19" i="43"/>
  <c r="D18" i="43"/>
  <c r="D17" i="43"/>
  <c r="D16" i="43"/>
  <c r="D15" i="43"/>
  <c r="D14" i="43"/>
  <c r="D13" i="43"/>
  <c r="D12" i="43"/>
  <c r="D11" i="43"/>
  <c r="D10" i="43"/>
  <c r="D9" i="43"/>
  <c r="D8" i="43"/>
  <c r="D7" i="43"/>
  <c r="D6" i="43"/>
  <c r="D5" i="43"/>
  <c r="D4" i="43"/>
  <c r="J822" i="8"/>
  <c r="K822" i="8" s="1"/>
  <c r="J823" i="8"/>
  <c r="K823" i="8" s="1"/>
  <c r="J824" i="8"/>
  <c r="K824" i="8" s="1"/>
  <c r="J825" i="8"/>
  <c r="J826" i="8"/>
  <c r="J827" i="8"/>
  <c r="J828" i="8"/>
  <c r="K828" i="8" s="1"/>
  <c r="J829" i="8"/>
  <c r="J830" i="8"/>
  <c r="K830" i="8" s="1"/>
  <c r="J831" i="8"/>
  <c r="K831" i="8" s="1"/>
  <c r="J832" i="8"/>
  <c r="K832" i="8" s="1"/>
  <c r="J833" i="8"/>
  <c r="K833" i="8" s="1"/>
  <c r="J834" i="8"/>
  <c r="K834" i="8" s="1"/>
  <c r="J835" i="8"/>
  <c r="K835" i="8" s="1"/>
  <c r="J836" i="8"/>
  <c r="J837" i="8"/>
  <c r="K837" i="8" s="1"/>
  <c r="J838" i="8"/>
  <c r="J839" i="8"/>
  <c r="J840" i="8"/>
  <c r="J841" i="8"/>
  <c r="J842" i="8"/>
  <c r="K842" i="8" s="1"/>
  <c r="J843" i="8"/>
  <c r="J844" i="8"/>
  <c r="K844" i="8" s="1"/>
  <c r="J845" i="8"/>
  <c r="K845" i="8" s="1"/>
  <c r="J846" i="8"/>
  <c r="K846" i="8" s="1"/>
  <c r="J847" i="8"/>
  <c r="J848" i="8"/>
  <c r="K848" i="8" s="1"/>
  <c r="J849" i="8"/>
  <c r="K849" i="8" s="1"/>
  <c r="J850" i="8"/>
  <c r="J851" i="8"/>
  <c r="J852" i="8"/>
  <c r="J853" i="8"/>
  <c r="K853" i="8" s="1"/>
  <c r="J854" i="8"/>
  <c r="K854" i="8" s="1"/>
  <c r="J855" i="8"/>
  <c r="K855" i="8" s="1"/>
  <c r="J856" i="8"/>
  <c r="K856" i="8" s="1"/>
  <c r="J857" i="8"/>
  <c r="K857" i="8" s="1"/>
  <c r="J858" i="8"/>
  <c r="J859" i="8"/>
  <c r="K859" i="8" s="1"/>
  <c r="J860" i="8"/>
  <c r="J861" i="8"/>
  <c r="J862" i="8"/>
  <c r="J863" i="8"/>
  <c r="K863" i="8" s="1"/>
  <c r="J864" i="8"/>
  <c r="K864" i="8" s="1"/>
  <c r="J865" i="8"/>
  <c r="K865" i="8" s="1"/>
  <c r="J866" i="8"/>
  <c r="J867" i="8"/>
  <c r="J868" i="8"/>
  <c r="J869" i="8"/>
  <c r="K869" i="8" s="1"/>
  <c r="J870" i="8"/>
  <c r="J871" i="8"/>
  <c r="K871" i="8" s="1"/>
  <c r="J872" i="8"/>
  <c r="J873" i="8"/>
  <c r="J874" i="8"/>
  <c r="K874" i="8" s="1"/>
  <c r="J875" i="8"/>
  <c r="J876" i="8"/>
  <c r="J877" i="8"/>
  <c r="J878" i="8"/>
  <c r="J879" i="8"/>
  <c r="K879" i="8" s="1"/>
  <c r="J880" i="8"/>
  <c r="J881" i="8"/>
  <c r="J882" i="8"/>
  <c r="J883" i="8"/>
  <c r="K883" i="8" s="1"/>
  <c r="J884" i="8"/>
  <c r="J885" i="8"/>
  <c r="J886" i="8"/>
  <c r="J887" i="8"/>
  <c r="K887" i="8" s="1"/>
  <c r="J888" i="8"/>
  <c r="K888" i="8" s="1"/>
  <c r="J889" i="8"/>
  <c r="J890" i="8"/>
  <c r="J891" i="8"/>
  <c r="K891" i="8" s="1"/>
  <c r="J892" i="8"/>
  <c r="J893" i="8"/>
  <c r="J894" i="8"/>
  <c r="K894" i="8" s="1"/>
  <c r="J895" i="8"/>
  <c r="K895" i="8" s="1"/>
  <c r="J896" i="8"/>
  <c r="J897" i="8"/>
  <c r="K897" i="8" s="1"/>
  <c r="J898" i="8"/>
  <c r="K898" i="8" s="1"/>
  <c r="J899" i="8"/>
  <c r="J900" i="8"/>
  <c r="J901" i="8"/>
  <c r="K901" i="8" s="1"/>
  <c r="J902" i="8"/>
  <c r="J903" i="8"/>
  <c r="J904" i="8"/>
  <c r="J905" i="8"/>
  <c r="K905" i="8" s="1"/>
  <c r="J906" i="8"/>
  <c r="K906" i="8" s="1"/>
  <c r="J907" i="8"/>
  <c r="J908" i="8"/>
  <c r="K908" i="8" s="1"/>
  <c r="J909" i="8"/>
  <c r="K909" i="8" s="1"/>
  <c r="J910" i="8"/>
  <c r="J911" i="8"/>
  <c r="K911" i="8" s="1"/>
  <c r="J912" i="8"/>
  <c r="J913" i="8"/>
  <c r="J914" i="8"/>
  <c r="J915" i="8"/>
  <c r="K915" i="8" s="1"/>
  <c r="J916" i="8"/>
  <c r="K916" i="8" s="1"/>
  <c r="J917" i="8"/>
  <c r="K917" i="8" s="1"/>
  <c r="J918" i="8"/>
  <c r="K918" i="8" s="1"/>
  <c r="J919" i="8"/>
  <c r="K919" i="8" s="1"/>
  <c r="J920" i="8"/>
  <c r="K920" i="8" s="1"/>
  <c r="J921" i="8"/>
  <c r="J922" i="8"/>
  <c r="K922" i="8" s="1"/>
  <c r="J923" i="8"/>
  <c r="K923" i="8" s="1"/>
  <c r="J924" i="8"/>
  <c r="J925" i="8"/>
  <c r="K925" i="8" s="1"/>
  <c r="J926" i="8"/>
  <c r="K926" i="8" s="1"/>
  <c r="J927" i="8"/>
  <c r="K927" i="8" s="1"/>
  <c r="J928" i="8"/>
  <c r="K928" i="8" s="1"/>
  <c r="J929" i="8"/>
  <c r="K929" i="8" s="1"/>
  <c r="J930" i="8"/>
  <c r="K930" i="8" s="1"/>
  <c r="J931" i="8"/>
  <c r="J932" i="8"/>
  <c r="J933" i="8"/>
  <c r="K933" i="8" s="1"/>
  <c r="J934" i="8"/>
  <c r="J935" i="8"/>
  <c r="K935" i="8" s="1"/>
  <c r="J936" i="8"/>
  <c r="J937" i="8"/>
  <c r="J938" i="8"/>
  <c r="J939" i="8"/>
  <c r="J940" i="8"/>
  <c r="K940" i="8" s="1"/>
  <c r="J941" i="8"/>
  <c r="K941" i="8" s="1"/>
  <c r="J942" i="8"/>
  <c r="J943" i="8"/>
  <c r="K943" i="8" s="1"/>
  <c r="J944" i="8"/>
  <c r="J945" i="8"/>
  <c r="J946" i="8"/>
  <c r="K946" i="8" s="1"/>
  <c r="J947" i="8"/>
  <c r="K947" i="8" s="1"/>
  <c r="J948" i="8"/>
  <c r="J949" i="8"/>
  <c r="J950" i="8"/>
  <c r="K950" i="8" s="1"/>
  <c r="J951" i="8"/>
  <c r="K951" i="8" s="1"/>
  <c r="J952" i="8"/>
  <c r="K952" i="8" s="1"/>
  <c r="J953" i="8"/>
  <c r="J954" i="8"/>
  <c r="J955" i="8"/>
  <c r="J956" i="8"/>
  <c r="K956" i="8" s="1"/>
  <c r="J957" i="8"/>
  <c r="K957" i="8" s="1"/>
  <c r="J958" i="8"/>
  <c r="K958" i="8" s="1"/>
  <c r="J959" i="8"/>
  <c r="K959" i="8" s="1"/>
  <c r="J960" i="8"/>
  <c r="J961" i="8"/>
  <c r="K961" i="8" s="1"/>
  <c r="J962" i="8"/>
  <c r="K962" i="8" s="1"/>
  <c r="J963" i="8"/>
  <c r="K963" i="8" s="1"/>
  <c r="J964" i="8"/>
  <c r="K964" i="8" s="1"/>
  <c r="J965" i="8"/>
  <c r="K965" i="8" s="1"/>
  <c r="J966" i="8"/>
  <c r="K966" i="8" s="1"/>
  <c r="J967" i="8"/>
  <c r="J968" i="8"/>
  <c r="J969" i="8"/>
  <c r="J970" i="8"/>
  <c r="K970" i="8" s="1"/>
  <c r="J971" i="8"/>
  <c r="J972" i="8"/>
  <c r="K972" i="8" s="1"/>
  <c r="J973" i="8"/>
  <c r="K973" i="8" s="1"/>
  <c r="J974" i="8"/>
  <c r="J975" i="8"/>
  <c r="J976" i="8"/>
  <c r="K976" i="8" s="1"/>
  <c r="J977" i="8"/>
  <c r="K977" i="8" s="1"/>
  <c r="J978" i="8"/>
  <c r="K978" i="8" s="1"/>
  <c r="J979" i="8"/>
  <c r="K979" i="8" s="1"/>
  <c r="J980" i="8"/>
  <c r="K980" i="8" s="1"/>
  <c r="J981" i="8"/>
  <c r="J982" i="8"/>
  <c r="K982" i="8" s="1"/>
  <c r="J983" i="8"/>
  <c r="K983" i="8" s="1"/>
  <c r="J984" i="8"/>
  <c r="K984" i="8" s="1"/>
  <c r="J985" i="8"/>
  <c r="K985" i="8" s="1"/>
  <c r="J986" i="8"/>
  <c r="J987" i="8"/>
  <c r="K987" i="8" s="1"/>
  <c r="J988" i="8"/>
  <c r="J989" i="8"/>
  <c r="J990" i="8"/>
  <c r="K990" i="8" s="1"/>
  <c r="J991" i="8"/>
  <c r="K991" i="8" s="1"/>
  <c r="J992" i="8"/>
  <c r="J993" i="8"/>
  <c r="J994" i="8"/>
  <c r="K994" i="8" s="1"/>
  <c r="J995" i="8"/>
  <c r="J996" i="8"/>
  <c r="J997" i="8"/>
  <c r="J998" i="8"/>
  <c r="J999" i="8"/>
  <c r="K999" i="8" s="1"/>
  <c r="J1000" i="8"/>
  <c r="K1000" i="8" s="1"/>
  <c r="J1001" i="8"/>
  <c r="K1001" i="8" s="1"/>
  <c r="J1002" i="8"/>
  <c r="K1002" i="8" s="1"/>
  <c r="J1003" i="8"/>
  <c r="J1004" i="8"/>
  <c r="K1004" i="8" s="1"/>
  <c r="J1005" i="8"/>
  <c r="J1006" i="8"/>
  <c r="J1007" i="8"/>
  <c r="K1007" i="8" s="1"/>
  <c r="J1008" i="8"/>
  <c r="J1009" i="8"/>
  <c r="J1010" i="8"/>
  <c r="J1011" i="8"/>
  <c r="K1011" i="8" s="1"/>
  <c r="J1012" i="8"/>
  <c r="K1012" i="8" s="1"/>
  <c r="J1013" i="8"/>
  <c r="K1013" i="8" s="1"/>
  <c r="J1014" i="8"/>
  <c r="J1015" i="8"/>
  <c r="K1015" i="8" s="1"/>
  <c r="J1016" i="8"/>
  <c r="K1016" i="8" s="1"/>
  <c r="J1017" i="8"/>
  <c r="J1018" i="8"/>
  <c r="J1019" i="8"/>
  <c r="K1019" i="8" s="1"/>
  <c r="J1020" i="8"/>
  <c r="J1021" i="8"/>
  <c r="J1022" i="8"/>
  <c r="K1022" i="8" s="1"/>
  <c r="J1023" i="8"/>
  <c r="K1023" i="8" s="1"/>
  <c r="J1024" i="8"/>
  <c r="K1024" i="8" s="1"/>
  <c r="J1025" i="8"/>
  <c r="K1025" i="8" s="1"/>
  <c r="J1026" i="8"/>
  <c r="K1026" i="8" s="1"/>
  <c r="J1027" i="8"/>
  <c r="J1028" i="8"/>
  <c r="J1029" i="8"/>
  <c r="K1029" i="8" s="1"/>
  <c r="J1030" i="8"/>
  <c r="J1031" i="8"/>
  <c r="J1032" i="8"/>
  <c r="J1033" i="8"/>
  <c r="K1033" i="8" s="1"/>
  <c r="J1034" i="8"/>
  <c r="K1034" i="8" s="1"/>
  <c r="J1035" i="8"/>
  <c r="J1036" i="8"/>
  <c r="K1036" i="8" s="1"/>
  <c r="J1037" i="8"/>
  <c r="K1037" i="8" s="1"/>
  <c r="J1038" i="8"/>
  <c r="J1039" i="8"/>
  <c r="K1039" i="8" s="1"/>
  <c r="J1040" i="8"/>
  <c r="J1041" i="8"/>
  <c r="K1041" i="8" s="1"/>
  <c r="J1042" i="8"/>
  <c r="K1042" i="8" s="1"/>
  <c r="J1043" i="8"/>
  <c r="J1044" i="8"/>
  <c r="K1044" i="8" s="1"/>
  <c r="J1045" i="8"/>
  <c r="J1046" i="8"/>
  <c r="K1046" i="8" s="1"/>
  <c r="J1047" i="8"/>
  <c r="K1047" i="8" s="1"/>
  <c r="J1048" i="8"/>
  <c r="K1048" i="8" s="1"/>
  <c r="J1049" i="8"/>
  <c r="J1050" i="8"/>
  <c r="J1051" i="8"/>
  <c r="K1051" i="8" s="1"/>
  <c r="J1052" i="8"/>
  <c r="J1053" i="8"/>
  <c r="J1054" i="8"/>
  <c r="K1054" i="8" s="1"/>
  <c r="J1055" i="8"/>
  <c r="J1056" i="8"/>
  <c r="K1056" i="8" s="1"/>
  <c r="J1057" i="8"/>
  <c r="K1057" i="8" s="1"/>
  <c r="J1058" i="8"/>
  <c r="K1058" i="8" s="1"/>
  <c r="J1059" i="8"/>
  <c r="J1060" i="8"/>
  <c r="J1061" i="8"/>
  <c r="K1061" i="8" s="1"/>
  <c r="J1062" i="8"/>
  <c r="J1063" i="8"/>
  <c r="J1064" i="8"/>
  <c r="J1065" i="8"/>
  <c r="J1066" i="8"/>
  <c r="J1067" i="8"/>
  <c r="K1067" i="8" s="1"/>
  <c r="J1068" i="8"/>
  <c r="K1068" i="8" s="1"/>
  <c r="J1069" i="8"/>
  <c r="K1069" i="8" s="1"/>
  <c r="J1070" i="8"/>
  <c r="J1071" i="8"/>
  <c r="K1071" i="8" s="1"/>
  <c r="J1072" i="8"/>
  <c r="J1073" i="8"/>
  <c r="K1073" i="8" s="1"/>
  <c r="J1074" i="8"/>
  <c r="J1075" i="8"/>
  <c r="K1075" i="8" s="1"/>
  <c r="J1076" i="8"/>
  <c r="J1077" i="8"/>
  <c r="K1077" i="8" s="1"/>
  <c r="J1078" i="8"/>
  <c r="K1078" i="8" s="1"/>
  <c r="J1079" i="8"/>
  <c r="K1079" i="8" s="1"/>
  <c r="J1080" i="8"/>
  <c r="K1080" i="8" s="1"/>
  <c r="J1081" i="8"/>
  <c r="J1082" i="8"/>
  <c r="J1083" i="8"/>
  <c r="J1084" i="8"/>
  <c r="K1084" i="8" s="1"/>
  <c r="J1085" i="8"/>
  <c r="J1086" i="8"/>
  <c r="K1086" i="8" s="1"/>
  <c r="J1087" i="8"/>
  <c r="K1087" i="8" s="1"/>
  <c r="J1088" i="8"/>
  <c r="K1088" i="8" s="1"/>
  <c r="J1089" i="8"/>
  <c r="K1089" i="8" s="1"/>
  <c r="J1090" i="8"/>
  <c r="K1090" i="8" s="1"/>
  <c r="J1091" i="8"/>
  <c r="K1091" i="8" s="1"/>
  <c r="J1092" i="8"/>
  <c r="J1093" i="8"/>
  <c r="K1093" i="8" s="1"/>
  <c r="J1094" i="8"/>
  <c r="K1094" i="8" s="1"/>
  <c r="J1095" i="8"/>
  <c r="J1096" i="8"/>
  <c r="J1097" i="8"/>
  <c r="K1097" i="8" s="1"/>
  <c r="J1098" i="8"/>
  <c r="K1098" i="8" s="1"/>
  <c r="J1099" i="8"/>
  <c r="J1100" i="8"/>
  <c r="J1101" i="8"/>
  <c r="K1101" i="8" s="1"/>
  <c r="J1102" i="8"/>
  <c r="K1102" i="8" s="1"/>
  <c r="J1103" i="8"/>
  <c r="K1103" i="8" s="1"/>
  <c r="J1104" i="8"/>
  <c r="K1104" i="8" s="1"/>
  <c r="J1105" i="8"/>
  <c r="J1106" i="8"/>
  <c r="J1107" i="8"/>
  <c r="K1107" i="8" s="1"/>
  <c r="J1108" i="8"/>
  <c r="K1108" i="8" s="1"/>
  <c r="J1109" i="8"/>
  <c r="K1109" i="8" s="1"/>
  <c r="J1110" i="8"/>
  <c r="J1111" i="8"/>
  <c r="K1111" i="8" s="1"/>
  <c r="J1112" i="8"/>
  <c r="K1112" i="8" s="1"/>
  <c r="J1113" i="8"/>
  <c r="K1113" i="8" s="1"/>
  <c r="J1114" i="8"/>
  <c r="J1115" i="8"/>
  <c r="K1115" i="8" s="1"/>
  <c r="J1116" i="8"/>
  <c r="K1116" i="8" s="1"/>
  <c r="J1117" i="8"/>
  <c r="K1117" i="8" s="1"/>
  <c r="J1118" i="8"/>
  <c r="K1118" i="8" s="1"/>
  <c r="J1119" i="8"/>
  <c r="K1119" i="8" s="1"/>
  <c r="J1120" i="8"/>
  <c r="K1120" i="8" s="1"/>
  <c r="J1121" i="8"/>
  <c r="K1121" i="8" s="1"/>
  <c r="J1122" i="8"/>
  <c r="K1122" i="8" s="1"/>
  <c r="J1123" i="8"/>
  <c r="J1124" i="8"/>
  <c r="K1124" i="8" s="1"/>
  <c r="J1125" i="8"/>
  <c r="K1125" i="8" s="1"/>
  <c r="J1126" i="8"/>
  <c r="J1127" i="8"/>
  <c r="J1128" i="8"/>
  <c r="K1128" i="8" s="1"/>
  <c r="J1129" i="8"/>
  <c r="K1129" i="8" s="1"/>
  <c r="J1130" i="8"/>
  <c r="K1130" i="8" s="1"/>
  <c r="J1131" i="8"/>
  <c r="J1132" i="8"/>
  <c r="K1132" i="8" s="1"/>
  <c r="J1133" i="8"/>
  <c r="J1134" i="8"/>
  <c r="J1135" i="8"/>
  <c r="J1136" i="8"/>
  <c r="J1137" i="8"/>
  <c r="J1138" i="8"/>
  <c r="J1139" i="8"/>
  <c r="K1139" i="8" s="1"/>
  <c r="J1140" i="8"/>
  <c r="K1140" i="8" s="1"/>
  <c r="J1141" i="8"/>
  <c r="K1141" i="8" s="1"/>
  <c r="J1142" i="8"/>
  <c r="K1142" i="8" s="1"/>
  <c r="J1143" i="8"/>
  <c r="K1143" i="8" s="1"/>
  <c r="J1144" i="8"/>
  <c r="K1144" i="8" s="1"/>
  <c r="J1145" i="8"/>
  <c r="J1146" i="8"/>
  <c r="J1147" i="8"/>
  <c r="K1147" i="8" s="1"/>
  <c r="J1148" i="8"/>
  <c r="K1148" i="8" s="1"/>
  <c r="J1149" i="8"/>
  <c r="K1149" i="8" s="1"/>
  <c r="J1150" i="8"/>
  <c r="K1150" i="8" s="1"/>
  <c r="J1151" i="8"/>
  <c r="K1151" i="8" s="1"/>
  <c r="J1152" i="8"/>
  <c r="K1152" i="8" s="1"/>
  <c r="J1153" i="8"/>
  <c r="K1153" i="8" s="1"/>
  <c r="J1154" i="8"/>
  <c r="K1154" i="8" s="1"/>
  <c r="J1155" i="8"/>
  <c r="K1155" i="8" s="1"/>
  <c r="J1156" i="8"/>
  <c r="K1156" i="8" s="1"/>
  <c r="J1157" i="8"/>
  <c r="K1157" i="8" s="1"/>
  <c r="J1158" i="8"/>
  <c r="K1158" i="8" s="1"/>
  <c r="J1159" i="8"/>
  <c r="K1159" i="8" s="1"/>
  <c r="J1160" i="8"/>
  <c r="K1160" i="8" s="1"/>
  <c r="J1161" i="8"/>
  <c r="K1161" i="8" s="1"/>
  <c r="J1162" i="8"/>
  <c r="K1162" i="8" s="1"/>
  <c r="J1163" i="8"/>
  <c r="K1163" i="8" s="1"/>
  <c r="J1164" i="8"/>
  <c r="K1164" i="8" s="1"/>
  <c r="J1165" i="8"/>
  <c r="K1165" i="8" s="1"/>
  <c r="J1166" i="8"/>
  <c r="K1166" i="8" s="1"/>
  <c r="J1167" i="8"/>
  <c r="K1167" i="8" s="1"/>
  <c r="J1168" i="8"/>
  <c r="K1168" i="8" s="1"/>
  <c r="J1169" i="8"/>
  <c r="K1169" i="8" s="1"/>
  <c r="J1170" i="8"/>
  <c r="K1170" i="8" s="1"/>
  <c r="J1171" i="8"/>
  <c r="K1171" i="8" s="1"/>
  <c r="J1172" i="8"/>
  <c r="K1172" i="8" s="1"/>
  <c r="J1173" i="8"/>
  <c r="K1173" i="8" s="1"/>
  <c r="J1174" i="8"/>
  <c r="K1174" i="8" s="1"/>
  <c r="J1175" i="8"/>
  <c r="K1175" i="8" s="1"/>
  <c r="J1176" i="8"/>
  <c r="K1176" i="8" s="1"/>
  <c r="J1177" i="8"/>
  <c r="K1177" i="8" s="1"/>
  <c r="J1178" i="8"/>
  <c r="K1178" i="8" s="1"/>
  <c r="J1179" i="8"/>
  <c r="K1179" i="8" s="1"/>
  <c r="J1180" i="8"/>
  <c r="K1180" i="8" s="1"/>
  <c r="J1181" i="8"/>
  <c r="K1181" i="8" s="1"/>
  <c r="J1182" i="8"/>
  <c r="K1182" i="8" s="1"/>
  <c r="J1183" i="8"/>
  <c r="K1183" i="8" s="1"/>
  <c r="J1184" i="8"/>
  <c r="K1184" i="8" s="1"/>
  <c r="J1185" i="8"/>
  <c r="K1185" i="8" s="1"/>
  <c r="J1186" i="8"/>
  <c r="K1186" i="8" s="1"/>
  <c r="J1187" i="8"/>
  <c r="K1187" i="8" s="1"/>
  <c r="J1188" i="8"/>
  <c r="K1188" i="8" s="1"/>
  <c r="J1189" i="8"/>
  <c r="K1189" i="8" s="1"/>
  <c r="J1190" i="8"/>
  <c r="K1190" i="8" s="1"/>
  <c r="J1191" i="8"/>
  <c r="K1191" i="8" s="1"/>
  <c r="J1192" i="8"/>
  <c r="K1192" i="8" s="1"/>
  <c r="J1193" i="8"/>
  <c r="K1193" i="8" s="1"/>
  <c r="J1194" i="8"/>
  <c r="K1194" i="8" s="1"/>
  <c r="J1195" i="8"/>
  <c r="K1195" i="8" s="1"/>
  <c r="J1196" i="8"/>
  <c r="K1196" i="8" s="1"/>
  <c r="J1197" i="8"/>
  <c r="K1197" i="8" s="1"/>
  <c r="J1198" i="8"/>
  <c r="K1198" i="8" s="1"/>
  <c r="J1199" i="8"/>
  <c r="K1199" i="8" s="1"/>
  <c r="J1200" i="8"/>
  <c r="K1200" i="8" s="1"/>
  <c r="J1201" i="8"/>
  <c r="K1201" i="8" s="1"/>
  <c r="J1202" i="8"/>
  <c r="K1202" i="8" s="1"/>
  <c r="J1203" i="8"/>
  <c r="K1203" i="8" s="1"/>
  <c r="J1204" i="8"/>
  <c r="K1204" i="8" s="1"/>
  <c r="J1205" i="8"/>
  <c r="K1205" i="8" s="1"/>
  <c r="J1206" i="8"/>
  <c r="K1206" i="8" s="1"/>
  <c r="J1207" i="8"/>
  <c r="K1207" i="8" s="1"/>
  <c r="J1208" i="8"/>
  <c r="K1208" i="8" s="1"/>
  <c r="J1209" i="8"/>
  <c r="K1209" i="8" s="1"/>
  <c r="J1210" i="8"/>
  <c r="K1210" i="8" s="1"/>
  <c r="J1211" i="8"/>
  <c r="K1211" i="8" s="1"/>
  <c r="J1212" i="8"/>
  <c r="K1212" i="8" s="1"/>
  <c r="J1213" i="8"/>
  <c r="K1213" i="8" s="1"/>
  <c r="J1214" i="8"/>
  <c r="K1214" i="8" s="1"/>
  <c r="J1215" i="8"/>
  <c r="K1215" i="8" s="1"/>
  <c r="J1216" i="8"/>
  <c r="K1216" i="8" s="1"/>
  <c r="J1217" i="8"/>
  <c r="K1217" i="8" s="1"/>
  <c r="J1218" i="8"/>
  <c r="K1218" i="8" s="1"/>
  <c r="J1219" i="8"/>
  <c r="K1219" i="8" s="1"/>
  <c r="J1220" i="8"/>
  <c r="K1220" i="8" s="1"/>
  <c r="J1221" i="8"/>
  <c r="K1221" i="8" s="1"/>
  <c r="J1222" i="8"/>
  <c r="K1222" i="8" s="1"/>
  <c r="J1223" i="8"/>
  <c r="K1223" i="8" s="1"/>
  <c r="J1224" i="8"/>
  <c r="K1224" i="8" s="1"/>
  <c r="J1225" i="8"/>
  <c r="K1225" i="8" s="1"/>
  <c r="J1226" i="8"/>
  <c r="K1226" i="8" s="1"/>
  <c r="J1227" i="8"/>
  <c r="K1227" i="8" s="1"/>
  <c r="J1228" i="8"/>
  <c r="K1228" i="8" s="1"/>
  <c r="J1229" i="8"/>
  <c r="K1229" i="8" s="1"/>
  <c r="J1230" i="8"/>
  <c r="K1230" i="8" s="1"/>
  <c r="J1231" i="8"/>
  <c r="K1231" i="8" s="1"/>
  <c r="J1232" i="8"/>
  <c r="K1232" i="8" s="1"/>
  <c r="J1233" i="8"/>
  <c r="K1233" i="8" s="1"/>
  <c r="J1234" i="8"/>
  <c r="K1234" i="8" s="1"/>
  <c r="J1235" i="8"/>
  <c r="K1235" i="8" s="1"/>
  <c r="J1236" i="8"/>
  <c r="K1236" i="8" s="1"/>
  <c r="J1237" i="8"/>
  <c r="K1237" i="8" s="1"/>
  <c r="J1238" i="8"/>
  <c r="K1238" i="8" s="1"/>
  <c r="J1239" i="8"/>
  <c r="K1239" i="8" s="1"/>
  <c r="J1240" i="8"/>
  <c r="K1240" i="8" s="1"/>
  <c r="J1241" i="8"/>
  <c r="K1241" i="8" s="1"/>
  <c r="J1242" i="8"/>
  <c r="K1242" i="8" s="1"/>
  <c r="J1243" i="8"/>
  <c r="K1243" i="8" s="1"/>
  <c r="J1244" i="8"/>
  <c r="K1244" i="8" s="1"/>
  <c r="J1245" i="8"/>
  <c r="K1245" i="8" s="1"/>
  <c r="J1246" i="8"/>
  <c r="K1246" i="8" s="1"/>
  <c r="J1247" i="8"/>
  <c r="K1247" i="8" s="1"/>
  <c r="J1248" i="8"/>
  <c r="K1248" i="8" s="1"/>
  <c r="J1249" i="8"/>
  <c r="K1249" i="8" s="1"/>
  <c r="J1250" i="8"/>
  <c r="K1250" i="8" s="1"/>
  <c r="J1251" i="8"/>
  <c r="K1251" i="8" s="1"/>
  <c r="J1252" i="8"/>
  <c r="K1252" i="8" s="1"/>
  <c r="J1253" i="8"/>
  <c r="K1253" i="8" s="1"/>
  <c r="J1254" i="8"/>
  <c r="K1254" i="8" s="1"/>
  <c r="J1255" i="8"/>
  <c r="K1255" i="8" s="1"/>
  <c r="J1256" i="8"/>
  <c r="K1256" i="8" s="1"/>
  <c r="J1257" i="8"/>
  <c r="K1257" i="8" s="1"/>
  <c r="J1258" i="8"/>
  <c r="K1258" i="8" s="1"/>
  <c r="J1259" i="8"/>
  <c r="K1259" i="8" s="1"/>
  <c r="J1260" i="8"/>
  <c r="K1260" i="8" s="1"/>
  <c r="J1261" i="8"/>
  <c r="K1261" i="8" s="1"/>
  <c r="J1262" i="8"/>
  <c r="K1262" i="8" s="1"/>
  <c r="J1263" i="8"/>
  <c r="K1263" i="8" s="1"/>
  <c r="J1264" i="8"/>
  <c r="K1264" i="8" s="1"/>
  <c r="J1265" i="8"/>
  <c r="K1265" i="8" s="1"/>
  <c r="J1266" i="8"/>
  <c r="K1266" i="8" s="1"/>
  <c r="J1267" i="8"/>
  <c r="K1267" i="8" s="1"/>
  <c r="J1268" i="8"/>
  <c r="K1268" i="8" s="1"/>
  <c r="J1269" i="8"/>
  <c r="K1269" i="8" s="1"/>
  <c r="J1270" i="8"/>
  <c r="K1270" i="8" s="1"/>
  <c r="J1271" i="8"/>
  <c r="K1271" i="8" s="1"/>
  <c r="J1272" i="8"/>
  <c r="K1272" i="8" s="1"/>
  <c r="J1273" i="8"/>
  <c r="K1273" i="8" s="1"/>
  <c r="J1274" i="8"/>
  <c r="K1274" i="8" s="1"/>
  <c r="J1275" i="8"/>
  <c r="K1275" i="8" s="1"/>
  <c r="J1276" i="8"/>
  <c r="K1276" i="8" s="1"/>
  <c r="J1277" i="8"/>
  <c r="K1277" i="8" s="1"/>
  <c r="J1278" i="8"/>
  <c r="K1278" i="8" s="1"/>
  <c r="J1279" i="8"/>
  <c r="K1279" i="8" s="1"/>
  <c r="J1280" i="8"/>
  <c r="K1280" i="8" s="1"/>
  <c r="J1281" i="8"/>
  <c r="K1281" i="8" s="1"/>
  <c r="J1282" i="8"/>
  <c r="K1282" i="8" s="1"/>
  <c r="J1283" i="8"/>
  <c r="K1283" i="8" s="1"/>
  <c r="J1284" i="8"/>
  <c r="K1284" i="8" s="1"/>
  <c r="J1285" i="8"/>
  <c r="K1285" i="8" s="1"/>
  <c r="J1286" i="8"/>
  <c r="K1286" i="8" s="1"/>
  <c r="J1287" i="8"/>
  <c r="K1287" i="8" s="1"/>
  <c r="J1288" i="8"/>
  <c r="K1288" i="8" s="1"/>
  <c r="J1289" i="8"/>
  <c r="K1289" i="8" s="1"/>
  <c r="J1290" i="8"/>
  <c r="K1290" i="8" s="1"/>
  <c r="J1291" i="8"/>
  <c r="K1291" i="8" s="1"/>
  <c r="J1292" i="8"/>
  <c r="K1292" i="8" s="1"/>
  <c r="J1293" i="8"/>
  <c r="K1293" i="8" s="1"/>
  <c r="J1294" i="8"/>
  <c r="K1294" i="8" s="1"/>
  <c r="J1295" i="8"/>
  <c r="K1295" i="8" s="1"/>
  <c r="J1296" i="8"/>
  <c r="K1296" i="8" s="1"/>
  <c r="J1297" i="8"/>
  <c r="K1297" i="8" s="1"/>
  <c r="K1019" i="9" l="1"/>
  <c r="I850" i="12"/>
  <c r="J850" i="12" s="1"/>
  <c r="M850" i="12" s="1"/>
  <c r="L989" i="5"/>
  <c r="M1021" i="12"/>
  <c r="K936" i="8"/>
  <c r="L1101" i="5"/>
  <c r="K1049" i="8"/>
  <c r="K921" i="8"/>
  <c r="K1063" i="8"/>
  <c r="K1055" i="8"/>
  <c r="K1031" i="8"/>
  <c r="K975" i="8"/>
  <c r="K847" i="8"/>
  <c r="K839" i="8"/>
  <c r="I880" i="33"/>
  <c r="K937" i="8"/>
  <c r="K1014" i="8"/>
  <c r="K902" i="8"/>
  <c r="K886" i="8"/>
  <c r="K870" i="8"/>
  <c r="I909" i="33"/>
  <c r="K955" i="9"/>
  <c r="I923" i="7"/>
  <c r="J923" i="7" s="1"/>
  <c r="L923" i="7" s="1"/>
  <c r="H957" i="12"/>
  <c r="I957" i="12" s="1"/>
  <c r="J957" i="12" s="1"/>
  <c r="M957" i="12" s="1"/>
  <c r="H1115" i="12"/>
  <c r="I1115" i="12" s="1"/>
  <c r="J1115" i="12" s="1"/>
  <c r="M1115" i="12" s="1"/>
  <c r="H954" i="12"/>
  <c r="I954" i="12" s="1"/>
  <c r="J954" i="12" s="1"/>
  <c r="M954" i="12" s="1"/>
  <c r="H933" i="12"/>
  <c r="I933" i="12" s="1"/>
  <c r="J933" i="12" s="1"/>
  <c r="M933" i="12" s="1"/>
  <c r="H978" i="12"/>
  <c r="I978" i="12" s="1"/>
  <c r="J978" i="12" s="1"/>
  <c r="M978" i="12" s="1"/>
  <c r="H909" i="12"/>
  <c r="I909" i="12" s="1"/>
  <c r="J909" i="12" s="1"/>
  <c r="M909" i="12" s="1"/>
  <c r="I939" i="7"/>
  <c r="J939" i="7" s="1"/>
  <c r="L939" i="7" s="1"/>
  <c r="H1003" i="7"/>
  <c r="I1003" i="7" s="1"/>
  <c r="J1003" i="7" s="1"/>
  <c r="L1003" i="7" s="1"/>
  <c r="I1051" i="7"/>
  <c r="J1051" i="7" s="1"/>
  <c r="L1051" i="7" s="1"/>
  <c r="L1133" i="5"/>
  <c r="I987" i="7"/>
  <c r="J987" i="7" s="1"/>
  <c r="L987" i="7" s="1"/>
  <c r="L1037" i="5"/>
  <c r="I962" i="5"/>
  <c r="J962" i="5" s="1"/>
  <c r="L962" i="5" s="1"/>
  <c r="I988" i="12"/>
  <c r="J988" i="12" s="1"/>
  <c r="M988" i="12" s="1"/>
  <c r="K1135" i="8"/>
  <c r="K1136" i="8"/>
  <c r="K1030" i="8"/>
  <c r="K862" i="8"/>
  <c r="I1059" i="12"/>
  <c r="J1059" i="12" s="1"/>
  <c r="M1059" i="12" s="1"/>
  <c r="K1008" i="8"/>
  <c r="K1021" i="8"/>
  <c r="K893" i="8"/>
  <c r="I823" i="33"/>
  <c r="I973" i="12"/>
  <c r="J973" i="12" s="1"/>
  <c r="M973" i="12" s="1"/>
  <c r="I861" i="12"/>
  <c r="J861" i="12" s="1"/>
  <c r="M861" i="12" s="1"/>
  <c r="K992" i="8"/>
  <c r="K880" i="8"/>
  <c r="K960" i="8"/>
  <c r="I1052" i="12"/>
  <c r="J1052" i="12" s="1"/>
  <c r="M1052" i="12" s="1"/>
  <c r="I960" i="12"/>
  <c r="J960" i="12" s="1"/>
  <c r="M960" i="12" s="1"/>
  <c r="K1095" i="8"/>
  <c r="K1126" i="8"/>
  <c r="I1071" i="12"/>
  <c r="J1071" i="12" s="1"/>
  <c r="M1071" i="12" s="1"/>
  <c r="K903" i="8"/>
  <c r="K981" i="8"/>
  <c r="K995" i="8"/>
  <c r="I906" i="12"/>
  <c r="J906" i="12" s="1"/>
  <c r="M906" i="12" s="1"/>
  <c r="K826" i="8"/>
  <c r="I975" i="12"/>
  <c r="J975" i="12" s="1"/>
  <c r="M975" i="12" s="1"/>
  <c r="I883" i="33"/>
  <c r="I878" i="12"/>
  <c r="J878" i="12" s="1"/>
  <c r="M878" i="12" s="1"/>
  <c r="I1019" i="12"/>
  <c r="J1019" i="12" s="1"/>
  <c r="M1019" i="12" s="1"/>
  <c r="I916" i="12"/>
  <c r="J916" i="12" s="1"/>
  <c r="M916" i="12" s="1"/>
  <c r="I866" i="12"/>
  <c r="J866" i="12" s="1"/>
  <c r="M866" i="12" s="1"/>
  <c r="I1036" i="12"/>
  <c r="J1036" i="12" s="1"/>
  <c r="M1036" i="12" s="1"/>
  <c r="I1099" i="12"/>
  <c r="J1099" i="12" s="1"/>
  <c r="M1099" i="12" s="1"/>
  <c r="I1089" i="12"/>
  <c r="J1089" i="12" s="1"/>
  <c r="M1089" i="12" s="1"/>
  <c r="I891" i="33"/>
  <c r="I844" i="12"/>
  <c r="J844" i="12" s="1"/>
  <c r="M844" i="12" s="1"/>
  <c r="I922" i="12"/>
  <c r="J922" i="12" s="1"/>
  <c r="H1082" i="33"/>
  <c r="I914" i="12"/>
  <c r="J914" i="12" s="1"/>
  <c r="M914" i="12" s="1"/>
  <c r="H894" i="33"/>
  <c r="I894" i="33" s="1"/>
  <c r="K894" i="33" s="1"/>
  <c r="M894" i="33" s="1"/>
  <c r="P894" i="33" s="1"/>
  <c r="I1029" i="33"/>
  <c r="I1021" i="33"/>
  <c r="H831" i="33"/>
  <c r="I831" i="33" s="1"/>
  <c r="K831" i="33" s="1"/>
  <c r="M831" i="33" s="1"/>
  <c r="P831" i="33" s="1"/>
  <c r="I1121" i="33"/>
  <c r="K1052" i="8"/>
  <c r="K876" i="8"/>
  <c r="K860" i="8"/>
  <c r="K852" i="8"/>
  <c r="K836" i="8"/>
  <c r="I1115" i="33"/>
  <c r="I987" i="12"/>
  <c r="J987" i="12" s="1"/>
  <c r="M987" i="12" s="1"/>
  <c r="I1013" i="33"/>
  <c r="I1039" i="33"/>
  <c r="I1019" i="33"/>
  <c r="H1121" i="33"/>
  <c r="I1011" i="33"/>
  <c r="I1092" i="33"/>
  <c r="I836" i="33"/>
  <c r="I984" i="12"/>
  <c r="J984" i="12" s="1"/>
  <c r="M984" i="12" s="1"/>
  <c r="I936" i="33"/>
  <c r="I951" i="33"/>
  <c r="K850" i="8"/>
  <c r="I1136" i="12"/>
  <c r="J1136" i="12" s="1"/>
  <c r="M1136" i="12" s="1"/>
  <c r="I945" i="12"/>
  <c r="J945" i="12" s="1"/>
  <c r="M945" i="12" s="1"/>
  <c r="I1087" i="12"/>
  <c r="J1087" i="12" s="1"/>
  <c r="M1087" i="12" s="1"/>
  <c r="I900" i="12"/>
  <c r="J900" i="12" s="1"/>
  <c r="M900" i="12" s="1"/>
  <c r="I1027" i="33"/>
  <c r="K1027" i="33" s="1"/>
  <c r="M1027" i="33" s="1"/>
  <c r="P1027" i="33" s="1"/>
  <c r="H905" i="33"/>
  <c r="I905" i="33" s="1"/>
  <c r="K905" i="33" s="1"/>
  <c r="M905" i="33" s="1"/>
  <c r="P905" i="33" s="1"/>
  <c r="K1009" i="8"/>
  <c r="K969" i="8"/>
  <c r="K913" i="8"/>
  <c r="K841" i="8"/>
  <c r="I895" i="12"/>
  <c r="J895" i="12" s="1"/>
  <c r="M895" i="12" s="1"/>
  <c r="I1123" i="12"/>
  <c r="J1123" i="12" s="1"/>
  <c r="M1123" i="12" s="1"/>
  <c r="I877" i="33"/>
  <c r="H1075" i="33"/>
  <c r="I1075" i="33" s="1"/>
  <c r="K1075" i="33" s="1"/>
  <c r="M1075" i="33" s="1"/>
  <c r="P1075" i="33" s="1"/>
  <c r="I1141" i="12"/>
  <c r="J1141" i="12" s="1"/>
  <c r="M1141" i="12" s="1"/>
  <c r="I1044" i="12"/>
  <c r="J1044" i="12" s="1"/>
  <c r="M1044" i="12" s="1"/>
  <c r="H845" i="33"/>
  <c r="I845" i="33" s="1"/>
  <c r="K845" i="33" s="1"/>
  <c r="M845" i="33" s="1"/>
  <c r="P845" i="33" s="1"/>
  <c r="K1096" i="8"/>
  <c r="K1072" i="8"/>
  <c r="K1064" i="8"/>
  <c r="K1032" i="8"/>
  <c r="K968" i="8"/>
  <c r="K944" i="8"/>
  <c r="K904" i="8"/>
  <c r="K896" i="8"/>
  <c r="K872" i="8"/>
  <c r="K840" i="8"/>
  <c r="H1108" i="33"/>
  <c r="I837" i="12"/>
  <c r="J837" i="12" s="1"/>
  <c r="M837" i="12" s="1"/>
  <c r="I859" i="12"/>
  <c r="J859" i="12" s="1"/>
  <c r="M859" i="12" s="1"/>
  <c r="I1008" i="12"/>
  <c r="J1008" i="12" s="1"/>
  <c r="M1008" i="12" s="1"/>
  <c r="I893" i="12"/>
  <c r="J893" i="12" s="1"/>
  <c r="M893" i="12" s="1"/>
  <c r="I981" i="12"/>
  <c r="J981" i="12" s="1"/>
  <c r="M981" i="12" s="1"/>
  <c r="I874" i="12"/>
  <c r="J874" i="12" s="1"/>
  <c r="M874" i="12" s="1"/>
  <c r="I994" i="33"/>
  <c r="I898" i="33"/>
  <c r="I907" i="12"/>
  <c r="J907" i="12" s="1"/>
  <c r="M907" i="12" s="1"/>
  <c r="I952" i="33"/>
  <c r="H983" i="33"/>
  <c r="I983" i="33" s="1"/>
  <c r="K983" i="33" s="1"/>
  <c r="M983" i="33" s="1"/>
  <c r="P983" i="33" s="1"/>
  <c r="I1003" i="12"/>
  <c r="J1003" i="12" s="1"/>
  <c r="M1003" i="12" s="1"/>
  <c r="H832" i="33"/>
  <c r="I832" i="33" s="1"/>
  <c r="K832" i="33" s="1"/>
  <c r="M832" i="33" s="1"/>
  <c r="P832" i="33" s="1"/>
  <c r="I859" i="33"/>
  <c r="I1004" i="33"/>
  <c r="I949" i="33"/>
  <c r="K1040" i="8"/>
  <c r="I875" i="33"/>
  <c r="K875" i="33" s="1"/>
  <c r="M875" i="33" s="1"/>
  <c r="P875" i="33" s="1"/>
  <c r="I912" i="33"/>
  <c r="I1043" i="33"/>
  <c r="K1043" i="33" s="1"/>
  <c r="M1043" i="33" s="1"/>
  <c r="P1043" i="33" s="1"/>
  <c r="I932" i="33"/>
  <c r="I858" i="12"/>
  <c r="J858" i="12" s="1"/>
  <c r="M858" i="12" s="1"/>
  <c r="I957" i="33"/>
  <c r="I1067" i="12"/>
  <c r="J1067" i="12" s="1"/>
  <c r="M1067" i="12" s="1"/>
  <c r="I1045" i="12"/>
  <c r="J1045" i="12" s="1"/>
  <c r="M1045" i="12" s="1"/>
  <c r="I1018" i="33"/>
  <c r="K1018" i="33" s="1"/>
  <c r="M1018" i="33" s="1"/>
  <c r="P1018" i="33" s="1"/>
  <c r="I1085" i="33"/>
  <c r="I835" i="33"/>
  <c r="K835" i="33" s="1"/>
  <c r="M835" i="33" s="1"/>
  <c r="P835" i="33" s="1"/>
  <c r="I852" i="33"/>
  <c r="K852" i="33" s="1"/>
  <c r="M852" i="33" s="1"/>
  <c r="P852" i="33" s="1"/>
  <c r="I875" i="12"/>
  <c r="J875" i="12" s="1"/>
  <c r="M875" i="12" s="1"/>
  <c r="I915" i="33"/>
  <c r="H943" i="33"/>
  <c r="I943" i="33" s="1"/>
  <c r="K943" i="33" s="1"/>
  <c r="M943" i="33" s="1"/>
  <c r="P943" i="33" s="1"/>
  <c r="I924" i="33"/>
  <c r="K924" i="33" s="1"/>
  <c r="M924" i="33" s="1"/>
  <c r="P924" i="33" s="1"/>
  <c r="I933" i="33"/>
  <c r="I1026" i="33"/>
  <c r="I1041" i="33"/>
  <c r="K1127" i="8"/>
  <c r="K967" i="8"/>
  <c r="K878" i="8"/>
  <c r="I1050" i="33"/>
  <c r="K1133" i="8"/>
  <c r="K1085" i="8"/>
  <c r="K1053" i="8"/>
  <c r="K1045" i="8"/>
  <c r="K1005" i="8"/>
  <c r="K997" i="8"/>
  <c r="K989" i="8"/>
  <c r="K949" i="8"/>
  <c r="K885" i="8"/>
  <c r="K877" i="8"/>
  <c r="K861" i="8"/>
  <c r="K829" i="8"/>
  <c r="I886" i="12"/>
  <c r="J886" i="12" s="1"/>
  <c r="M886" i="12" s="1"/>
  <c r="I966" i="33"/>
  <c r="I891" i="12"/>
  <c r="J891" i="12" s="1"/>
  <c r="M891" i="12" s="1"/>
  <c r="H1105" i="33"/>
  <c r="I867" i="33"/>
  <c r="H906" i="33"/>
  <c r="I906" i="33" s="1"/>
  <c r="K906" i="33" s="1"/>
  <c r="M906" i="33" s="1"/>
  <c r="P906" i="33" s="1"/>
  <c r="I929" i="33"/>
  <c r="I931" i="33"/>
  <c r="K931" i="33" s="1"/>
  <c r="M931" i="33" s="1"/>
  <c r="P931" i="33" s="1"/>
  <c r="I919" i="12"/>
  <c r="J919" i="12" s="1"/>
  <c r="M919" i="12" s="1"/>
  <c r="I1033" i="12"/>
  <c r="J1033" i="12" s="1"/>
  <c r="M1033" i="12" s="1"/>
  <c r="H1112" i="33"/>
  <c r="I1040" i="33"/>
  <c r="K1040" i="33" s="1"/>
  <c r="M1040" i="33" s="1"/>
  <c r="P1040" i="33" s="1"/>
  <c r="I976" i="33"/>
  <c r="H1132" i="33"/>
  <c r="I1132" i="33" s="1"/>
  <c r="K1132" i="33" s="1"/>
  <c r="M1132" i="33" s="1"/>
  <c r="P1132" i="33" s="1"/>
  <c r="I847" i="12"/>
  <c r="J847" i="12" s="1"/>
  <c r="M847" i="12" s="1"/>
  <c r="I890" i="33"/>
  <c r="I966" i="12"/>
  <c r="J966" i="12" s="1"/>
  <c r="M966" i="12" s="1"/>
  <c r="I931" i="12"/>
  <c r="J931" i="12" s="1"/>
  <c r="M931" i="12" s="1"/>
  <c r="I835" i="12"/>
  <c r="J835" i="12" s="1"/>
  <c r="M835" i="12" s="1"/>
  <c r="I1097" i="12"/>
  <c r="J1097" i="12" s="1"/>
  <c r="M1097" i="12" s="1"/>
  <c r="I1125" i="33"/>
  <c r="K1125" i="33" s="1"/>
  <c r="M1125" i="33" s="1"/>
  <c r="P1125" i="33" s="1"/>
  <c r="I885" i="33"/>
  <c r="I999" i="12"/>
  <c r="J999" i="12" s="1"/>
  <c r="M999" i="12" s="1"/>
  <c r="H982" i="33"/>
  <c r="I982" i="33" s="1"/>
  <c r="K982" i="33" s="1"/>
  <c r="M982" i="33" s="1"/>
  <c r="P982" i="33" s="1"/>
  <c r="I1081" i="12"/>
  <c r="J1081" i="12" s="1"/>
  <c r="M1081" i="12" s="1"/>
  <c r="I950" i="12"/>
  <c r="J950" i="12" s="1"/>
  <c r="M950" i="12" s="1"/>
  <c r="K1092" i="8"/>
  <c r="K1076" i="8"/>
  <c r="K1060" i="8"/>
  <c r="K1020" i="8"/>
  <c r="K996" i="8"/>
  <c r="K948" i="8"/>
  <c r="K932" i="8"/>
  <c r="K924" i="8"/>
  <c r="K900" i="8"/>
  <c r="K884" i="8"/>
  <c r="K868" i="8"/>
  <c r="I871" i="12"/>
  <c r="J871" i="12" s="1"/>
  <c r="M871" i="12" s="1"/>
  <c r="H1012" i="33"/>
  <c r="I1012" i="33" s="1"/>
  <c r="K1012" i="33" s="1"/>
  <c r="M1012" i="33" s="1"/>
  <c r="P1012" i="33" s="1"/>
  <c r="I1103" i="12"/>
  <c r="J1103" i="12" s="1"/>
  <c r="M1103" i="12" s="1"/>
  <c r="I944" i="12"/>
  <c r="J944" i="12" s="1"/>
  <c r="M944" i="12" s="1"/>
  <c r="H1131" i="33"/>
  <c r="H1148" i="33"/>
  <c r="I941" i="12"/>
  <c r="J941" i="12" s="1"/>
  <c r="M941" i="12" s="1"/>
  <c r="I887" i="12"/>
  <c r="J887" i="12" s="1"/>
  <c r="M887" i="12" s="1"/>
  <c r="I1133" i="33"/>
  <c r="K1133" i="33" s="1"/>
  <c r="M1133" i="33" s="1"/>
  <c r="P1133" i="33" s="1"/>
  <c r="H882" i="33"/>
  <c r="I882" i="33" s="1"/>
  <c r="K882" i="33" s="1"/>
  <c r="M882" i="33" s="1"/>
  <c r="P882" i="33" s="1"/>
  <c r="H1089" i="33"/>
  <c r="I1025" i="33"/>
  <c r="I868" i="33"/>
  <c r="I1002" i="33"/>
  <c r="I1074" i="33"/>
  <c r="K1070" i="8"/>
  <c r="K1038" i="8"/>
  <c r="K1083" i="8"/>
  <c r="K1059" i="8"/>
  <c r="K1035" i="8"/>
  <c r="K1027" i="8"/>
  <c r="K1003" i="8"/>
  <c r="K955" i="8"/>
  <c r="K939" i="8"/>
  <c r="K899" i="8"/>
  <c r="K843" i="8"/>
  <c r="K827" i="8"/>
  <c r="H1066" i="33"/>
  <c r="I1066" i="33" s="1"/>
  <c r="K1066" i="33" s="1"/>
  <c r="M1066" i="33" s="1"/>
  <c r="P1066" i="33" s="1"/>
  <c r="H1147" i="33"/>
  <c r="I1147" i="33" s="1"/>
  <c r="K1147" i="33" s="1"/>
  <c r="M1147" i="33" s="1"/>
  <c r="P1147" i="33" s="1"/>
  <c r="I1100" i="33"/>
  <c r="K1100" i="33" s="1"/>
  <c r="M1100" i="33" s="1"/>
  <c r="P1100" i="33" s="1"/>
  <c r="I880" i="12"/>
  <c r="J880" i="12" s="1"/>
  <c r="M880" i="12" s="1"/>
  <c r="I993" i="33"/>
  <c r="I946" i="12"/>
  <c r="J946" i="12" s="1"/>
  <c r="M946" i="12" s="1"/>
  <c r="I858" i="33"/>
  <c r="H1068" i="33"/>
  <c r="I1068" i="33" s="1"/>
  <c r="K1068" i="33" s="1"/>
  <c r="M1068" i="33" s="1"/>
  <c r="P1068" i="33" s="1"/>
  <c r="H1090" i="33"/>
  <c r="H1049" i="33"/>
  <c r="I918" i="12"/>
  <c r="J918" i="12" s="1"/>
  <c r="M918" i="12" s="1"/>
  <c r="I1105" i="12"/>
  <c r="J1105" i="12" s="1"/>
  <c r="M1105" i="12" s="1"/>
  <c r="I967" i="12"/>
  <c r="J967" i="12" s="1"/>
  <c r="M967" i="12" s="1"/>
  <c r="I867" i="12"/>
  <c r="J867" i="12" s="1"/>
  <c r="M867" i="12" s="1"/>
  <c r="I917" i="33"/>
  <c r="I970" i="12"/>
  <c r="J970" i="12" s="1"/>
  <c r="M970" i="12" s="1"/>
  <c r="I1109" i="33"/>
  <c r="K1109" i="33" s="1"/>
  <c r="M1109" i="33" s="1"/>
  <c r="P1109" i="33" s="1"/>
  <c r="H955" i="33"/>
  <c r="I1075" i="12"/>
  <c r="J1075" i="12" s="1"/>
  <c r="M1075" i="12" s="1"/>
  <c r="I997" i="33"/>
  <c r="K912" i="8"/>
  <c r="I1041" i="12"/>
  <c r="J1041" i="12" s="1"/>
  <c r="M1041" i="12" s="1"/>
  <c r="I1038" i="12"/>
  <c r="J1038" i="12" s="1"/>
  <c r="M1038" i="12" s="1"/>
  <c r="K1146" i="8"/>
  <c r="K1114" i="8"/>
  <c r="K1106" i="8"/>
  <c r="K1074" i="8"/>
  <c r="K1066" i="8"/>
  <c r="K954" i="8"/>
  <c r="K938" i="8"/>
  <c r="K914" i="8"/>
  <c r="K890" i="8"/>
  <c r="K882" i="8"/>
  <c r="I925" i="12"/>
  <c r="J925" i="12" s="1"/>
  <c r="M925" i="12" s="1"/>
  <c r="I1042" i="12"/>
  <c r="J1042" i="12" s="1"/>
  <c r="M1042" i="12" s="1"/>
  <c r="I970" i="33"/>
  <c r="H1129" i="33"/>
  <c r="I1129" i="33" s="1"/>
  <c r="K1129" i="33" s="1"/>
  <c r="M1129" i="33" s="1"/>
  <c r="P1129" i="33" s="1"/>
  <c r="I1125" i="12"/>
  <c r="J1125" i="12" s="1"/>
  <c r="I824" i="12"/>
  <c r="J824" i="12" s="1"/>
  <c r="M824" i="12" s="1"/>
  <c r="I893" i="33"/>
  <c r="I952" i="12"/>
  <c r="J952" i="12" s="1"/>
  <c r="M952" i="12" s="1"/>
  <c r="I996" i="12"/>
  <c r="J996" i="12" s="1"/>
  <c r="M996" i="12" s="1"/>
  <c r="I979" i="12"/>
  <c r="J979" i="12" s="1"/>
  <c r="M979" i="12" s="1"/>
  <c r="I901" i="33"/>
  <c r="K901" i="33" s="1"/>
  <c r="M901" i="33" s="1"/>
  <c r="P901" i="33" s="1"/>
  <c r="I868" i="12"/>
  <c r="J868" i="12" s="1"/>
  <c r="M868" i="12" s="1"/>
  <c r="I908" i="12"/>
  <c r="J908" i="12" s="1"/>
  <c r="M908" i="12" s="1"/>
  <c r="I914" i="33"/>
  <c r="I940" i="33"/>
  <c r="H1111" i="33"/>
  <c r="I1111" i="33" s="1"/>
  <c r="K1111" i="33" s="1"/>
  <c r="M1111" i="33" s="1"/>
  <c r="P1111" i="33" s="1"/>
  <c r="I1131" i="12"/>
  <c r="J1131" i="12" s="1"/>
  <c r="M1131" i="12" s="1"/>
  <c r="I932" i="12"/>
  <c r="J932" i="12" s="1"/>
  <c r="M932" i="12" s="1"/>
  <c r="I963" i="12"/>
  <c r="J963" i="12" s="1"/>
  <c r="M963" i="12" s="1"/>
  <c r="H1088" i="33"/>
  <c r="I1088" i="33" s="1"/>
  <c r="K1088" i="33" s="1"/>
  <c r="M1088" i="33" s="1"/>
  <c r="P1088" i="33" s="1"/>
  <c r="I860" i="33"/>
  <c r="I829" i="12"/>
  <c r="J829" i="12" s="1"/>
  <c r="M829" i="12" s="1"/>
  <c r="I1017" i="33"/>
  <c r="I972" i="33"/>
  <c r="I926" i="12"/>
  <c r="J926" i="12" s="1"/>
  <c r="M926" i="12" s="1"/>
  <c r="I884" i="33"/>
  <c r="I848" i="33"/>
  <c r="I1085" i="12"/>
  <c r="J1085" i="12" s="1"/>
  <c r="M1085" i="12" s="1"/>
  <c r="I1018" i="7"/>
  <c r="J1018" i="7" s="1"/>
  <c r="L1018" i="7" s="1"/>
  <c r="I1144" i="5"/>
  <c r="J1144" i="5" s="1"/>
  <c r="L1144" i="5" s="1"/>
  <c r="I1016" i="5"/>
  <c r="J1016" i="5" s="1"/>
  <c r="L1016" i="5" s="1"/>
  <c r="I888" i="5"/>
  <c r="J888" i="5" s="1"/>
  <c r="L888" i="5" s="1"/>
  <c r="I1008" i="5"/>
  <c r="J1008" i="5" s="1"/>
  <c r="L1008" i="5" s="1"/>
  <c r="I1127" i="7"/>
  <c r="J1127" i="7" s="1"/>
  <c r="L1127" i="7" s="1"/>
  <c r="I1063" i="7"/>
  <c r="J1063" i="7" s="1"/>
  <c r="L1063" i="7" s="1"/>
  <c r="I999" i="7"/>
  <c r="J999" i="7" s="1"/>
  <c r="L999" i="7" s="1"/>
  <c r="I935" i="7"/>
  <c r="J935" i="7" s="1"/>
  <c r="L935" i="7" s="1"/>
  <c r="I871" i="7"/>
  <c r="J871" i="7" s="1"/>
  <c r="L871" i="7" s="1"/>
  <c r="I1064" i="5"/>
  <c r="J1064" i="5" s="1"/>
  <c r="L1064" i="5" s="1"/>
  <c r="I936" i="5"/>
  <c r="J936" i="5" s="1"/>
  <c r="L936" i="5" s="1"/>
  <c r="I1136" i="5"/>
  <c r="J1136" i="5" s="1"/>
  <c r="L1136" i="5" s="1"/>
  <c r="I1113" i="7"/>
  <c r="J1113" i="7" s="1"/>
  <c r="L1113" i="7" s="1"/>
  <c r="I1017" i="7"/>
  <c r="J1017" i="7" s="1"/>
  <c r="L1017" i="7" s="1"/>
  <c r="I921" i="7"/>
  <c r="J921" i="7" s="1"/>
  <c r="L921" i="7" s="1"/>
  <c r="I1130" i="5"/>
  <c r="J1130" i="5" s="1"/>
  <c r="I1122" i="5"/>
  <c r="J1122" i="5" s="1"/>
  <c r="L1122" i="5" s="1"/>
  <c r="I1002" i="5"/>
  <c r="J1002" i="5" s="1"/>
  <c r="L1002" i="5" s="1"/>
  <c r="I1078" i="7"/>
  <c r="J1078" i="7" s="1"/>
  <c r="L1078" i="7" s="1"/>
  <c r="I982" i="7"/>
  <c r="J982" i="7" s="1"/>
  <c r="L982" i="7" s="1"/>
  <c r="I822" i="7"/>
  <c r="J822" i="7" s="1"/>
  <c r="L822" i="7" s="1"/>
  <c r="I1098" i="5"/>
  <c r="J1098" i="5" s="1"/>
  <c r="L1098" i="5" s="1"/>
  <c r="I978" i="5"/>
  <c r="J978" i="5" s="1"/>
  <c r="L978" i="5" s="1"/>
  <c r="I1106" i="5"/>
  <c r="J1106" i="5" s="1"/>
  <c r="L1106" i="5" s="1"/>
  <c r="I970" i="5"/>
  <c r="J970" i="5" s="1"/>
  <c r="L970" i="5" s="1"/>
  <c r="I1125" i="7"/>
  <c r="J1125" i="7" s="1"/>
  <c r="L1125" i="7" s="1"/>
  <c r="I1026" i="5"/>
  <c r="J1026" i="5" s="1"/>
  <c r="L1026" i="5" s="1"/>
  <c r="I898" i="5"/>
  <c r="J898" i="5" s="1"/>
  <c r="L898" i="5" s="1"/>
  <c r="I872" i="5"/>
  <c r="J872" i="5" s="1"/>
  <c r="L872" i="5" s="1"/>
  <c r="I1073" i="7"/>
  <c r="J1073" i="7" s="1"/>
  <c r="L1073" i="7" s="1"/>
  <c r="I1009" i="7"/>
  <c r="J1009" i="7" s="1"/>
  <c r="L1009" i="7" s="1"/>
  <c r="I945" i="7"/>
  <c r="J945" i="7" s="1"/>
  <c r="L945" i="7" s="1"/>
  <c r="I881" i="7"/>
  <c r="J881" i="7" s="1"/>
  <c r="L881" i="7" s="1"/>
  <c r="I1112" i="5"/>
  <c r="J1112" i="5" s="1"/>
  <c r="L1112" i="5" s="1"/>
  <c r="I984" i="5"/>
  <c r="J984" i="5" s="1"/>
  <c r="L984" i="5" s="1"/>
  <c r="I1120" i="5"/>
  <c r="J1120" i="5" s="1"/>
  <c r="L1120" i="5" s="1"/>
  <c r="I992" i="5"/>
  <c r="J992" i="5" s="1"/>
  <c r="L992" i="5" s="1"/>
  <c r="I1032" i="5"/>
  <c r="J1032" i="5" s="1"/>
  <c r="L1032" i="5" s="1"/>
  <c r="I904" i="5"/>
  <c r="J904" i="5" s="1"/>
  <c r="L904" i="5" s="1"/>
  <c r="I1134" i="7"/>
  <c r="J1134" i="7" s="1"/>
  <c r="L1134" i="7" s="1"/>
  <c r="I1070" i="7"/>
  <c r="J1070" i="7" s="1"/>
  <c r="L1070" i="7" s="1"/>
  <c r="I1006" i="7"/>
  <c r="J1006" i="7" s="1"/>
  <c r="L1006" i="7" s="1"/>
  <c r="I942" i="7"/>
  <c r="J942" i="7" s="1"/>
  <c r="L942" i="7" s="1"/>
  <c r="I878" i="7"/>
  <c r="J878" i="7" s="1"/>
  <c r="L878" i="7" s="1"/>
  <c r="I890" i="5"/>
  <c r="J890" i="5" s="1"/>
  <c r="L890" i="5" s="1"/>
  <c r="I1024" i="5"/>
  <c r="J1024" i="5" s="1"/>
  <c r="L1024" i="5" s="1"/>
  <c r="I896" i="5"/>
  <c r="J896" i="5" s="1"/>
  <c r="L896" i="5" s="1"/>
  <c r="I1091" i="7"/>
  <c r="J1091" i="7" s="1"/>
  <c r="L1091" i="7" s="1"/>
  <c r="I1098" i="7"/>
  <c r="J1098" i="7" s="1"/>
  <c r="L1098" i="7" s="1"/>
  <c r="I1123" i="7"/>
  <c r="J1123" i="7" s="1"/>
  <c r="L1123" i="7" s="1"/>
  <c r="I1082" i="5"/>
  <c r="J1082" i="5" s="1"/>
  <c r="L1082" i="5" s="1"/>
  <c r="I1090" i="5"/>
  <c r="J1090" i="5" s="1"/>
  <c r="L1090" i="5" s="1"/>
  <c r="I837" i="7"/>
  <c r="J837" i="7" s="1"/>
  <c r="L837" i="7" s="1"/>
  <c r="I874" i="5"/>
  <c r="J874" i="5" s="1"/>
  <c r="L874" i="5" s="1"/>
  <c r="I933" i="7"/>
  <c r="J933" i="7" s="1"/>
  <c r="L933" i="7" s="1"/>
  <c r="I1010" i="5"/>
  <c r="J1010" i="5" s="1"/>
  <c r="L1010" i="5" s="1"/>
  <c r="I1066" i="5"/>
  <c r="J1066" i="5" s="1"/>
  <c r="L1066" i="5" s="1"/>
  <c r="I938" i="5"/>
  <c r="J938" i="5" s="1"/>
  <c r="L938" i="5" s="1"/>
  <c r="I1058" i="5"/>
  <c r="J1058" i="5" s="1"/>
  <c r="L1058" i="5" s="1"/>
  <c r="I930" i="5"/>
  <c r="J930" i="5" s="1"/>
  <c r="L930" i="5" s="1"/>
  <c r="I1014" i="7"/>
  <c r="J1014" i="7" s="1"/>
  <c r="L1014" i="7" s="1"/>
  <c r="I854" i="7"/>
  <c r="J854" i="7" s="1"/>
  <c r="L854" i="7" s="1"/>
  <c r="I1142" i="7"/>
  <c r="J1142" i="7" s="1"/>
  <c r="L1142" i="7" s="1"/>
  <c r="I1046" i="7"/>
  <c r="J1046" i="7" s="1"/>
  <c r="L1046" i="7" s="1"/>
  <c r="I918" i="7"/>
  <c r="J918" i="7" s="1"/>
  <c r="L918" i="7" s="1"/>
  <c r="I1018" i="5"/>
  <c r="J1018" i="5" s="1"/>
  <c r="L1018" i="5" s="1"/>
  <c r="I976" i="7"/>
  <c r="J976" i="7" s="1"/>
  <c r="L976" i="7" s="1"/>
  <c r="I1055" i="7"/>
  <c r="J1055" i="7" s="1"/>
  <c r="L1055" i="7" s="1"/>
  <c r="I927" i="7"/>
  <c r="J927" i="7" s="1"/>
  <c r="L927" i="7" s="1"/>
  <c r="I858" i="5"/>
  <c r="J858" i="5" s="1"/>
  <c r="L858" i="5" s="1"/>
  <c r="I848" i="5"/>
  <c r="J848" i="5" s="1"/>
  <c r="L848" i="5" s="1"/>
  <c r="I1096" i="7"/>
  <c r="J1096" i="7" s="1"/>
  <c r="L1096" i="7" s="1"/>
  <c r="I1032" i="7"/>
  <c r="J1032" i="7" s="1"/>
  <c r="L1032" i="7" s="1"/>
  <c r="I968" i="7"/>
  <c r="J968" i="7" s="1"/>
  <c r="L968" i="7" s="1"/>
  <c r="I904" i="7"/>
  <c r="J904" i="7" s="1"/>
  <c r="L904" i="7" s="1"/>
  <c r="I840" i="7"/>
  <c r="J840" i="7" s="1"/>
  <c r="L840" i="7" s="1"/>
  <c r="I1111" i="7"/>
  <c r="J1111" i="7" s="1"/>
  <c r="L1111" i="7" s="1"/>
  <c r="I1047" i="7"/>
  <c r="J1047" i="7" s="1"/>
  <c r="L1047" i="7" s="1"/>
  <c r="I983" i="7"/>
  <c r="J983" i="7" s="1"/>
  <c r="L983" i="7" s="1"/>
  <c r="I919" i="7"/>
  <c r="J919" i="7" s="1"/>
  <c r="L919" i="7" s="1"/>
  <c r="I855" i="7"/>
  <c r="J855" i="7" s="1"/>
  <c r="L855" i="7" s="1"/>
  <c r="I1102" i="7"/>
  <c r="J1102" i="7" s="1"/>
  <c r="L1102" i="7" s="1"/>
  <c r="I1038" i="7"/>
  <c r="J1038" i="7" s="1"/>
  <c r="L1038" i="7" s="1"/>
  <c r="I974" i="7"/>
  <c r="J974" i="7" s="1"/>
  <c r="L974" i="7" s="1"/>
  <c r="I910" i="7"/>
  <c r="J910" i="7" s="1"/>
  <c r="L910" i="7" s="1"/>
  <c r="I846" i="7"/>
  <c r="J846" i="7" s="1"/>
  <c r="L846" i="7" s="1"/>
  <c r="I1120" i="7"/>
  <c r="J1120" i="7" s="1"/>
  <c r="L1120" i="7" s="1"/>
  <c r="I1056" i="7"/>
  <c r="J1056" i="7" s="1"/>
  <c r="L1056" i="7" s="1"/>
  <c r="I992" i="7"/>
  <c r="J992" i="7" s="1"/>
  <c r="L992" i="7" s="1"/>
  <c r="I928" i="7"/>
  <c r="J928" i="7" s="1"/>
  <c r="L928" i="7" s="1"/>
  <c r="I864" i="7"/>
  <c r="J864" i="7" s="1"/>
  <c r="L864" i="7" s="1"/>
  <c r="I1007" i="7"/>
  <c r="J1007" i="7" s="1"/>
  <c r="L1007" i="7" s="1"/>
  <c r="I943" i="7"/>
  <c r="J943" i="7" s="1"/>
  <c r="L943" i="7" s="1"/>
  <c r="I879" i="7"/>
  <c r="J879" i="7" s="1"/>
  <c r="L879" i="7" s="1"/>
  <c r="I1048" i="5"/>
  <c r="J1048" i="5" s="1"/>
  <c r="L1048" i="5" s="1"/>
  <c r="I920" i="5"/>
  <c r="J920" i="5" s="1"/>
  <c r="L920" i="5" s="1"/>
  <c r="I1097" i="7"/>
  <c r="J1097" i="7" s="1"/>
  <c r="L1097" i="7" s="1"/>
  <c r="I905" i="7"/>
  <c r="J905" i="7" s="1"/>
  <c r="L905" i="7" s="1"/>
  <c r="I826" i="5"/>
  <c r="J826" i="5" s="1"/>
  <c r="L826" i="5" s="1"/>
  <c r="I1086" i="7"/>
  <c r="J1086" i="7" s="1"/>
  <c r="L1086" i="7" s="1"/>
  <c r="I1022" i="7"/>
  <c r="J1022" i="7" s="1"/>
  <c r="L1022" i="7" s="1"/>
  <c r="I958" i="7"/>
  <c r="J958" i="7" s="1"/>
  <c r="L958" i="7" s="1"/>
  <c r="I894" i="7"/>
  <c r="J894" i="7" s="1"/>
  <c r="L894" i="7" s="1"/>
  <c r="I830" i="7"/>
  <c r="J830" i="7" s="1"/>
  <c r="L830" i="7" s="1"/>
  <c r="I1136" i="7"/>
  <c r="J1136" i="7" s="1"/>
  <c r="L1136" i="7" s="1"/>
  <c r="I1072" i="7"/>
  <c r="J1072" i="7" s="1"/>
  <c r="L1072" i="7" s="1"/>
  <c r="I1008" i="7"/>
  <c r="J1008" i="7" s="1"/>
  <c r="L1008" i="7" s="1"/>
  <c r="I912" i="7"/>
  <c r="J912" i="7" s="1"/>
  <c r="L912" i="7" s="1"/>
  <c r="I1119" i="7"/>
  <c r="J1119" i="7" s="1"/>
  <c r="L1119" i="7" s="1"/>
  <c r="I1023" i="7"/>
  <c r="J1023" i="7" s="1"/>
  <c r="L1023" i="7" s="1"/>
  <c r="I895" i="7"/>
  <c r="J895" i="7" s="1"/>
  <c r="L895" i="7" s="1"/>
  <c r="I1034" i="7"/>
  <c r="J1034" i="7" s="1"/>
  <c r="L1034" i="7" s="1"/>
  <c r="I1130" i="7"/>
  <c r="J1130" i="7" s="1"/>
  <c r="L1130" i="7" s="1"/>
  <c r="I886" i="7"/>
  <c r="J886" i="7" s="1"/>
  <c r="L886" i="7" s="1"/>
  <c r="I1074" i="5"/>
  <c r="J1074" i="5" s="1"/>
  <c r="L1074" i="5" s="1"/>
  <c r="I946" i="5"/>
  <c r="J946" i="5" s="1"/>
  <c r="L946" i="5" s="1"/>
  <c r="I842" i="7"/>
  <c r="J842" i="7" s="1"/>
  <c r="L842" i="7" s="1"/>
  <c r="I1104" i="5"/>
  <c r="J1104" i="5" s="1"/>
  <c r="L1104" i="5" s="1"/>
  <c r="I976" i="5"/>
  <c r="J976" i="5" s="1"/>
  <c r="L976" i="5" s="1"/>
  <c r="I1066" i="7"/>
  <c r="J1066" i="7" s="1"/>
  <c r="L1066" i="7" s="1"/>
  <c r="I856" i="5"/>
  <c r="J856" i="5" s="1"/>
  <c r="L856" i="5" s="1"/>
  <c r="I1033" i="7"/>
  <c r="J1033" i="7" s="1"/>
  <c r="L1033" i="7" s="1"/>
  <c r="I969" i="7"/>
  <c r="J969" i="7" s="1"/>
  <c r="L969" i="7" s="1"/>
  <c r="I841" i="7"/>
  <c r="J841" i="7" s="1"/>
  <c r="L841" i="7" s="1"/>
  <c r="I874" i="7"/>
  <c r="J874" i="7" s="1"/>
  <c r="L874" i="7" s="1"/>
  <c r="I986" i="7"/>
  <c r="J986" i="7" s="1"/>
  <c r="L986" i="7" s="1"/>
  <c r="I1145" i="7"/>
  <c r="J1145" i="7" s="1"/>
  <c r="L1145" i="7" s="1"/>
  <c r="I1081" i="7"/>
  <c r="J1081" i="7" s="1"/>
  <c r="L1081" i="7" s="1"/>
  <c r="I985" i="7"/>
  <c r="J985" i="7" s="1"/>
  <c r="L985" i="7" s="1"/>
  <c r="I857" i="7"/>
  <c r="J857" i="7" s="1"/>
  <c r="L857" i="7" s="1"/>
  <c r="I1082" i="7"/>
  <c r="J1082" i="7" s="1"/>
  <c r="L1082" i="7" s="1"/>
  <c r="I826" i="7"/>
  <c r="J826" i="7" s="1"/>
  <c r="L826" i="7" s="1"/>
  <c r="K1005" i="33"/>
  <c r="M1005" i="33" s="1"/>
  <c r="P1005" i="33" s="1"/>
  <c r="K915" i="33"/>
  <c r="M915" i="33" s="1"/>
  <c r="P915" i="33" s="1"/>
  <c r="K1069" i="33"/>
  <c r="M1069" i="33" s="1"/>
  <c r="P1069" i="33" s="1"/>
  <c r="K859" i="33"/>
  <c r="M859" i="33" s="1"/>
  <c r="P859" i="33" s="1"/>
  <c r="K1117" i="33"/>
  <c r="M1117" i="33" s="1"/>
  <c r="P1117" i="33" s="1"/>
  <c r="K988" i="33"/>
  <c r="M988" i="33" s="1"/>
  <c r="P988" i="33" s="1"/>
  <c r="K995" i="33"/>
  <c r="M995" i="33" s="1"/>
  <c r="K1002" i="33"/>
  <c r="M1002" i="33" s="1"/>
  <c r="P1002" i="33" s="1"/>
  <c r="K912" i="33"/>
  <c r="M912" i="33" s="1"/>
  <c r="K1115" i="33"/>
  <c r="M1115" i="33" s="1"/>
  <c r="P1115" i="33" s="1"/>
  <c r="K1092" i="33"/>
  <c r="M1092" i="33" s="1"/>
  <c r="P1092" i="33" s="1"/>
  <c r="K836" i="33"/>
  <c r="M836" i="33" s="1"/>
  <c r="P836" i="33" s="1"/>
  <c r="K1039" i="33"/>
  <c r="M1039" i="33" s="1"/>
  <c r="P1039" i="33" s="1"/>
  <c r="K929" i="33"/>
  <c r="M929" i="33" s="1"/>
  <c r="P929" i="33" s="1"/>
  <c r="K1011" i="33"/>
  <c r="M1011" i="33" s="1"/>
  <c r="P1011" i="33" s="1"/>
  <c r="K869" i="33"/>
  <c r="M869" i="33" s="1"/>
  <c r="P869" i="33" s="1"/>
  <c r="K1061" i="33"/>
  <c r="M1061" i="33" s="1"/>
  <c r="P1061" i="33" s="1"/>
  <c r="K1013" i="33"/>
  <c r="M1013" i="33" s="1"/>
  <c r="P1013" i="33" s="1"/>
  <c r="K1021" i="33"/>
  <c r="M1021" i="33" s="1"/>
  <c r="P1021" i="33" s="1"/>
  <c r="K885" i="33"/>
  <c r="M885" i="33" s="1"/>
  <c r="X6" i="43"/>
  <c r="U6" i="43"/>
  <c r="W6" i="43"/>
  <c r="V6" i="43"/>
  <c r="X14" i="43"/>
  <c r="V14" i="43"/>
  <c r="U14" i="43"/>
  <c r="W14" i="43"/>
  <c r="X22" i="43"/>
  <c r="V22" i="43"/>
  <c r="W22" i="43"/>
  <c r="U22" i="43"/>
  <c r="X30" i="43"/>
  <c r="V30" i="43"/>
  <c r="W30" i="43"/>
  <c r="U30" i="43"/>
  <c r="X23" i="43"/>
  <c r="V23" i="43"/>
  <c r="W23" i="43"/>
  <c r="U23" i="43"/>
  <c r="X24" i="43"/>
  <c r="V24" i="43"/>
  <c r="W24" i="43"/>
  <c r="U24" i="43"/>
  <c r="X25" i="43"/>
  <c r="W25" i="43"/>
  <c r="U25" i="43"/>
  <c r="V25" i="43"/>
  <c r="W18" i="43"/>
  <c r="U18" i="43"/>
  <c r="V18" i="43"/>
  <c r="X18" i="43"/>
  <c r="U7" i="43"/>
  <c r="X7" i="43"/>
  <c r="W7" i="43"/>
  <c r="V7" i="43"/>
  <c r="U16" i="43"/>
  <c r="X16" i="43"/>
  <c r="V16" i="43"/>
  <c r="W16" i="43"/>
  <c r="U17" i="43"/>
  <c r="X17" i="43"/>
  <c r="W17" i="43"/>
  <c r="V17" i="43"/>
  <c r="X3" i="43"/>
  <c r="V3" i="43"/>
  <c r="W3" i="43"/>
  <c r="U3" i="43"/>
  <c r="W11" i="43"/>
  <c r="U11" i="43"/>
  <c r="X11" i="43"/>
  <c r="V11" i="43"/>
  <c r="W19" i="43"/>
  <c r="U19" i="43"/>
  <c r="X19" i="43"/>
  <c r="V19" i="43"/>
  <c r="U27" i="43"/>
  <c r="W27" i="43"/>
  <c r="X27" i="43"/>
  <c r="V27" i="43"/>
  <c r="U15" i="43"/>
  <c r="X15" i="43"/>
  <c r="V15" i="43"/>
  <c r="W15" i="43"/>
  <c r="W28" i="43"/>
  <c r="U28" i="43"/>
  <c r="V28" i="43"/>
  <c r="X28" i="43"/>
  <c r="U8" i="43"/>
  <c r="X8" i="43"/>
  <c r="W8" i="43"/>
  <c r="V8" i="43"/>
  <c r="U9" i="43"/>
  <c r="X9" i="43"/>
  <c r="W9" i="43"/>
  <c r="V9" i="43"/>
  <c r="W10" i="43"/>
  <c r="V10" i="43"/>
  <c r="U10" i="43"/>
  <c r="X10" i="43"/>
  <c r="W26" i="43"/>
  <c r="U26" i="43"/>
  <c r="V26" i="43"/>
  <c r="X26" i="43"/>
  <c r="W4" i="43"/>
  <c r="V4" i="43"/>
  <c r="U4" i="43"/>
  <c r="X4" i="43"/>
  <c r="W12" i="43"/>
  <c r="U12" i="43"/>
  <c r="V12" i="43"/>
  <c r="X12" i="43"/>
  <c r="W20" i="43"/>
  <c r="U20" i="43"/>
  <c r="V20" i="43"/>
  <c r="X20" i="43"/>
  <c r="W5" i="43"/>
  <c r="V5" i="43"/>
  <c r="U5" i="43"/>
  <c r="X5" i="43"/>
  <c r="V13" i="43"/>
  <c r="X13" i="43"/>
  <c r="W13" i="43"/>
  <c r="U13" i="43"/>
  <c r="V21" i="43"/>
  <c r="W21" i="43"/>
  <c r="U21" i="43"/>
  <c r="X21" i="43"/>
  <c r="V29" i="43"/>
  <c r="W29" i="43"/>
  <c r="U29" i="43"/>
  <c r="X29" i="43"/>
  <c r="H977" i="33"/>
  <c r="I977" i="33" s="1"/>
  <c r="K977" i="33" s="1"/>
  <c r="M977" i="33" s="1"/>
  <c r="P977" i="33" s="1"/>
  <c r="I1107" i="12"/>
  <c r="J1107" i="12" s="1"/>
  <c r="M1107" i="12" s="1"/>
  <c r="I877" i="12"/>
  <c r="J877" i="12" s="1"/>
  <c r="M877" i="12" s="1"/>
  <c r="H1110" i="33"/>
  <c r="I1110" i="33" s="1"/>
  <c r="K1110" i="33" s="1"/>
  <c r="M1110" i="33" s="1"/>
  <c r="P1110" i="33" s="1"/>
  <c r="H1052" i="33"/>
  <c r="I1052" i="33" s="1"/>
  <c r="K1052" i="33" s="1"/>
  <c r="M1052" i="33" s="1"/>
  <c r="P1052" i="33" s="1"/>
  <c r="H1081" i="33"/>
  <c r="I1081" i="33" s="1"/>
  <c r="K1081" i="33" s="1"/>
  <c r="M1081" i="33" s="1"/>
  <c r="P1081" i="33" s="1"/>
  <c r="H1036" i="33"/>
  <c r="H1086" i="33"/>
  <c r="I1086" i="33" s="1"/>
  <c r="K1086" i="33" s="1"/>
  <c r="M1086" i="33" s="1"/>
  <c r="P1086" i="33" s="1"/>
  <c r="I1051" i="33"/>
  <c r="K1051" i="33" s="1"/>
  <c r="M1051" i="33" s="1"/>
  <c r="P1051" i="33" s="1"/>
  <c r="H1060" i="33"/>
  <c r="I1060" i="33" s="1"/>
  <c r="K1060" i="33" s="1"/>
  <c r="M1060" i="33" s="1"/>
  <c r="P1060" i="33" s="1"/>
  <c r="I881" i="12"/>
  <c r="J881" i="12" s="1"/>
  <c r="M881" i="12" s="1"/>
  <c r="I1013" i="12"/>
  <c r="J1013" i="12" s="1"/>
  <c r="M1013" i="12" s="1"/>
  <c r="I982" i="12"/>
  <c r="J982" i="12" s="1"/>
  <c r="M982" i="12" s="1"/>
  <c r="I1103" i="33"/>
  <c r="K1103" i="33" s="1"/>
  <c r="M1103" i="33" s="1"/>
  <c r="P1103" i="33" s="1"/>
  <c r="H863" i="33"/>
  <c r="I863" i="33" s="1"/>
  <c r="K863" i="33" s="1"/>
  <c r="M863" i="33" s="1"/>
  <c r="P863" i="33" s="1"/>
  <c r="I857" i="33"/>
  <c r="K857" i="33" s="1"/>
  <c r="M857" i="33" s="1"/>
  <c r="P857" i="33" s="1"/>
  <c r="P912" i="33"/>
  <c r="I1137" i="7"/>
  <c r="J1137" i="7" s="1"/>
  <c r="L1137" i="7" s="1"/>
  <c r="I1108" i="12"/>
  <c r="J1108" i="12" s="1"/>
  <c r="M1108" i="12" s="1"/>
  <c r="I1061" i="12"/>
  <c r="J1061" i="12" s="1"/>
  <c r="M1061" i="12" s="1"/>
  <c r="I864" i="12"/>
  <c r="J864" i="12" s="1"/>
  <c r="M864" i="12" s="1"/>
  <c r="K1114" i="33"/>
  <c r="M1114" i="33" s="1"/>
  <c r="P1114" i="33" s="1"/>
  <c r="H1007" i="33"/>
  <c r="I1007" i="33" s="1"/>
  <c r="K1007" i="33" s="1"/>
  <c r="M1007" i="33" s="1"/>
  <c r="P1007" i="33" s="1"/>
  <c r="I1050" i="7"/>
  <c r="J1050" i="7" s="1"/>
  <c r="L1050" i="7" s="1"/>
  <c r="P885" i="33"/>
  <c r="H1009" i="33"/>
  <c r="I1009" i="33" s="1"/>
  <c r="K1009" i="33" s="1"/>
  <c r="M1009" i="33" s="1"/>
  <c r="P1009" i="33" s="1"/>
  <c r="H1046" i="33"/>
  <c r="I1046" i="33" s="1"/>
  <c r="K1046" i="33" s="1"/>
  <c r="M1046" i="33" s="1"/>
  <c r="P1046" i="33" s="1"/>
  <c r="K952" i="33"/>
  <c r="M952" i="33" s="1"/>
  <c r="P952" i="33" s="1"/>
  <c r="H1071" i="33"/>
  <c r="I1071" i="33" s="1"/>
  <c r="K1071" i="33" s="1"/>
  <c r="M1071" i="33" s="1"/>
  <c r="P1071" i="33" s="1"/>
  <c r="K1017" i="33"/>
  <c r="M1017" i="33" s="1"/>
  <c r="P1017" i="33" s="1"/>
  <c r="H899" i="33"/>
  <c r="I899" i="33" s="1"/>
  <c r="K899" i="33" s="1"/>
  <c r="M899" i="33" s="1"/>
  <c r="P899" i="33" s="1"/>
  <c r="H1123" i="33"/>
  <c r="I1123" i="33" s="1"/>
  <c r="K1123" i="33" s="1"/>
  <c r="M1123" i="33" s="1"/>
  <c r="P1123" i="33" s="1"/>
  <c r="I971" i="12"/>
  <c r="J971" i="12" s="1"/>
  <c r="M971" i="12" s="1"/>
  <c r="H1051" i="33"/>
  <c r="I869" i="12"/>
  <c r="J869" i="12" s="1"/>
  <c r="M869" i="12" s="1"/>
  <c r="I1089" i="7"/>
  <c r="J1089" i="7" s="1"/>
  <c r="L1089" i="7" s="1"/>
  <c r="I1025" i="7"/>
  <c r="J1025" i="7" s="1"/>
  <c r="L1025" i="7" s="1"/>
  <c r="I961" i="7"/>
  <c r="J961" i="7" s="1"/>
  <c r="L961" i="7" s="1"/>
  <c r="I897" i="7"/>
  <c r="J897" i="7" s="1"/>
  <c r="L897" i="7" s="1"/>
  <c r="I833" i="7"/>
  <c r="J833" i="7" s="1"/>
  <c r="L833" i="7" s="1"/>
  <c r="I848" i="12"/>
  <c r="J848" i="12" s="1"/>
  <c r="M848" i="12" s="1"/>
  <c r="I913" i="12"/>
  <c r="J913" i="12" s="1"/>
  <c r="M913" i="12" s="1"/>
  <c r="K1074" i="33"/>
  <c r="M1074" i="33" s="1"/>
  <c r="P1074" i="33" s="1"/>
  <c r="K993" i="33"/>
  <c r="M993" i="33" s="1"/>
  <c r="P993" i="33" s="1"/>
  <c r="K823" i="33"/>
  <c r="M823" i="33" s="1"/>
  <c r="P823" i="33" s="1"/>
  <c r="H900" i="33"/>
  <c r="I900" i="33" s="1"/>
  <c r="K900" i="33" s="1"/>
  <c r="M900" i="33" s="1"/>
  <c r="P900" i="33" s="1"/>
  <c r="I1083" i="12"/>
  <c r="J1083" i="12" s="1"/>
  <c r="M1083" i="12" s="1"/>
  <c r="I922" i="33"/>
  <c r="K922" i="33" s="1"/>
  <c r="M922" i="33" s="1"/>
  <c r="P922" i="33" s="1"/>
  <c r="I913" i="33"/>
  <c r="K913" i="33" s="1"/>
  <c r="M913" i="33" s="1"/>
  <c r="P913" i="33" s="1"/>
  <c r="I843" i="12"/>
  <c r="J843" i="12" s="1"/>
  <c r="M843" i="12" s="1"/>
  <c r="I947" i="12"/>
  <c r="J947" i="12" s="1"/>
  <c r="M947" i="12" s="1"/>
  <c r="I920" i="33"/>
  <c r="K920" i="33" s="1"/>
  <c r="M920" i="33" s="1"/>
  <c r="P920" i="33" s="1"/>
  <c r="H1138" i="33"/>
  <c r="I1138" i="33" s="1"/>
  <c r="K1138" i="33" s="1"/>
  <c r="M1138" i="33" s="1"/>
  <c r="P1138" i="33" s="1"/>
  <c r="K1134" i="8"/>
  <c r="K1110" i="8"/>
  <c r="K1062" i="8"/>
  <c r="K1006" i="8"/>
  <c r="K998" i="8"/>
  <c r="K974" i="8"/>
  <c r="K942" i="8"/>
  <c r="K934" i="8"/>
  <c r="K910" i="8"/>
  <c r="K838" i="8"/>
  <c r="I1126" i="7"/>
  <c r="J1126" i="7" s="1"/>
  <c r="L1126" i="7" s="1"/>
  <c r="I1062" i="7"/>
  <c r="J1062" i="7" s="1"/>
  <c r="L1062" i="7" s="1"/>
  <c r="I998" i="7"/>
  <c r="J998" i="7" s="1"/>
  <c r="L998" i="7" s="1"/>
  <c r="I934" i="7"/>
  <c r="J934" i="7" s="1"/>
  <c r="L934" i="7" s="1"/>
  <c r="I870" i="7"/>
  <c r="J870" i="7" s="1"/>
  <c r="L870" i="7" s="1"/>
  <c r="I1060" i="12"/>
  <c r="J1060" i="12" s="1"/>
  <c r="M1060" i="12" s="1"/>
  <c r="I954" i="5"/>
  <c r="J954" i="5" s="1"/>
  <c r="L954" i="5" s="1"/>
  <c r="I1144" i="7"/>
  <c r="J1144" i="7" s="1"/>
  <c r="L1144" i="7" s="1"/>
  <c r="I1080" i="7"/>
  <c r="J1080" i="7" s="1"/>
  <c r="L1080" i="7" s="1"/>
  <c r="I1016" i="7"/>
  <c r="J1016" i="7" s="1"/>
  <c r="L1016" i="7" s="1"/>
  <c r="I952" i="7"/>
  <c r="J952" i="7" s="1"/>
  <c r="L952" i="7" s="1"/>
  <c r="I888" i="7"/>
  <c r="J888" i="7" s="1"/>
  <c r="L888" i="7" s="1"/>
  <c r="I824" i="7"/>
  <c r="J824" i="7" s="1"/>
  <c r="L824" i="7" s="1"/>
  <c r="I955" i="12"/>
  <c r="J955" i="12" s="1"/>
  <c r="M955" i="12" s="1"/>
  <c r="I997" i="12"/>
  <c r="J997" i="12" s="1"/>
  <c r="M997" i="12" s="1"/>
  <c r="I1053" i="33"/>
  <c r="K1053" i="33" s="1"/>
  <c r="M1053" i="33" s="1"/>
  <c r="P1053" i="33" s="1"/>
  <c r="I1058" i="33"/>
  <c r="K1058" i="33" s="1"/>
  <c r="M1058" i="33" s="1"/>
  <c r="P1058" i="33" s="1"/>
  <c r="I1072" i="33"/>
  <c r="K1072" i="33" s="1"/>
  <c r="M1072" i="33" s="1"/>
  <c r="P1072" i="33" s="1"/>
  <c r="I849" i="33"/>
  <c r="K849" i="33" s="1"/>
  <c r="M849" i="33" s="1"/>
  <c r="P849" i="33" s="1"/>
  <c r="I827" i="33"/>
  <c r="K827" i="33" s="1"/>
  <c r="M827" i="33" s="1"/>
  <c r="P827" i="33" s="1"/>
  <c r="I924" i="12"/>
  <c r="J924" i="12" s="1"/>
  <c r="M924" i="12" s="1"/>
  <c r="I866" i="33"/>
  <c r="K866" i="33" s="1"/>
  <c r="M866" i="33" s="1"/>
  <c r="P866" i="33" s="1"/>
  <c r="I834" i="33"/>
  <c r="K834" i="33" s="1"/>
  <c r="M834" i="33" s="1"/>
  <c r="P834" i="33" s="1"/>
  <c r="I1010" i="33"/>
  <c r="K1010" i="33" s="1"/>
  <c r="M1010" i="33" s="1"/>
  <c r="P1010" i="33" s="1"/>
  <c r="I1000" i="33"/>
  <c r="K1000" i="33" s="1"/>
  <c r="M1000" i="33" s="1"/>
  <c r="P1000" i="33" s="1"/>
  <c r="I975" i="33"/>
  <c r="K975" i="33" s="1"/>
  <c r="M975" i="33" s="1"/>
  <c r="P975" i="33" s="1"/>
  <c r="I1139" i="33"/>
  <c r="K1139" i="33" s="1"/>
  <c r="M1139" i="33" s="1"/>
  <c r="P1139" i="33" s="1"/>
  <c r="I964" i="33"/>
  <c r="K964" i="33" s="1"/>
  <c r="M964" i="33" s="1"/>
  <c r="P964" i="33" s="1"/>
  <c r="I1104" i="7"/>
  <c r="J1104" i="7" s="1"/>
  <c r="L1104" i="7" s="1"/>
  <c r="I1040" i="7"/>
  <c r="J1040" i="7" s="1"/>
  <c r="L1040" i="7" s="1"/>
  <c r="I944" i="7"/>
  <c r="J944" i="7" s="1"/>
  <c r="L944" i="7" s="1"/>
  <c r="I848" i="7"/>
  <c r="J848" i="7" s="1"/>
  <c r="L848" i="7" s="1"/>
  <c r="I1087" i="7"/>
  <c r="J1087" i="7" s="1"/>
  <c r="L1087" i="7" s="1"/>
  <c r="I959" i="7"/>
  <c r="J959" i="7" s="1"/>
  <c r="L959" i="7" s="1"/>
  <c r="I831" i="7"/>
  <c r="J831" i="7" s="1"/>
  <c r="L831" i="7" s="1"/>
  <c r="H1122" i="33"/>
  <c r="I1122" i="33" s="1"/>
  <c r="K1122" i="33" s="1"/>
  <c r="M1122" i="33" s="1"/>
  <c r="P1122" i="33" s="1"/>
  <c r="I938" i="33"/>
  <c r="K938" i="33" s="1"/>
  <c r="M938" i="33" s="1"/>
  <c r="P938" i="33" s="1"/>
  <c r="I985" i="33"/>
  <c r="K985" i="33" s="1"/>
  <c r="M985" i="33" s="1"/>
  <c r="P985" i="33" s="1"/>
  <c r="H1015" i="33"/>
  <c r="I1015" i="33" s="1"/>
  <c r="K1015" i="33" s="1"/>
  <c r="M1015" i="33" s="1"/>
  <c r="P1015" i="33" s="1"/>
  <c r="I1131" i="33"/>
  <c r="K1131" i="33" s="1"/>
  <c r="M1131" i="33" s="1"/>
  <c r="P1131" i="33" s="1"/>
  <c r="I1148" i="33"/>
  <c r="K1148" i="33" s="1"/>
  <c r="M1148" i="33" s="1"/>
  <c r="P1148" i="33" s="1"/>
  <c r="I870" i="12"/>
  <c r="J870" i="12" s="1"/>
  <c r="M870" i="12" s="1"/>
  <c r="I864" i="5"/>
  <c r="J864" i="5" s="1"/>
  <c r="L864" i="5" s="1"/>
  <c r="I883" i="12"/>
  <c r="J883" i="12" s="1"/>
  <c r="M883" i="12" s="1"/>
  <c r="I986" i="12"/>
  <c r="J986" i="12" s="1"/>
  <c r="M986" i="12" s="1"/>
  <c r="I1141" i="33"/>
  <c r="K1141" i="33" s="1"/>
  <c r="M1141" i="33" s="1"/>
  <c r="P1141" i="33" s="1"/>
  <c r="H1037" i="33"/>
  <c r="I1037" i="33" s="1"/>
  <c r="K1037" i="33" s="1"/>
  <c r="M1037" i="33" s="1"/>
  <c r="P1037" i="33" s="1"/>
  <c r="I962" i="33"/>
  <c r="K962" i="33" s="1"/>
  <c r="M962" i="33" s="1"/>
  <c r="P962" i="33" s="1"/>
  <c r="I1049" i="33"/>
  <c r="K1049" i="33" s="1"/>
  <c r="M1049" i="33" s="1"/>
  <c r="P1049" i="33" s="1"/>
  <c r="I956" i="33"/>
  <c r="K956" i="33" s="1"/>
  <c r="M956" i="33" s="1"/>
  <c r="P956" i="33" s="1"/>
  <c r="I1049" i="7"/>
  <c r="J1049" i="7" s="1"/>
  <c r="L1049" i="7" s="1"/>
  <c r="I889" i="7"/>
  <c r="J889" i="7" s="1"/>
  <c r="L889" i="7" s="1"/>
  <c r="I1116" i="12"/>
  <c r="J1116" i="12" s="1"/>
  <c r="M1116" i="12" s="1"/>
  <c r="I1017" i="12"/>
  <c r="J1017" i="12" s="1"/>
  <c r="M1017" i="12" s="1"/>
  <c r="K940" i="33"/>
  <c r="M940" i="33" s="1"/>
  <c r="P940" i="33" s="1"/>
  <c r="I994" i="5"/>
  <c r="J994" i="5" s="1"/>
  <c r="L994" i="5" s="1"/>
  <c r="I922" i="5"/>
  <c r="J922" i="5" s="1"/>
  <c r="L922" i="5" s="1"/>
  <c r="H1107" i="33"/>
  <c r="I1107" i="33" s="1"/>
  <c r="K1107" i="33" s="1"/>
  <c r="M1107" i="33" s="1"/>
  <c r="P1107" i="33" s="1"/>
  <c r="I911" i="12"/>
  <c r="J911" i="12" s="1"/>
  <c r="M911" i="12" s="1"/>
  <c r="I888" i="12"/>
  <c r="J888" i="12" s="1"/>
  <c r="M888" i="12" s="1"/>
  <c r="I1145" i="12"/>
  <c r="J1145" i="12" s="1"/>
  <c r="M1145" i="12" s="1"/>
  <c r="I884" i="12"/>
  <c r="J884" i="12" s="1"/>
  <c r="M884" i="12" s="1"/>
  <c r="I1035" i="12"/>
  <c r="J1035" i="12" s="1"/>
  <c r="M1035" i="12" s="1"/>
  <c r="I836" i="12"/>
  <c r="J836" i="12" s="1"/>
  <c r="M836" i="12" s="1"/>
  <c r="I865" i="12"/>
  <c r="J865" i="12" s="1"/>
  <c r="M865" i="12" s="1"/>
  <c r="I846" i="12"/>
  <c r="J846" i="12" s="1"/>
  <c r="M846" i="12" s="1"/>
  <c r="I989" i="33"/>
  <c r="K989" i="33" s="1"/>
  <c r="M989" i="33" s="1"/>
  <c r="P989" i="33" s="1"/>
  <c r="H1146" i="33"/>
  <c r="I1146" i="33" s="1"/>
  <c r="K1146" i="33" s="1"/>
  <c r="M1146" i="33" s="1"/>
  <c r="P1146" i="33" s="1"/>
  <c r="H1064" i="33"/>
  <c r="I1064" i="33" s="1"/>
  <c r="K1064" i="33" s="1"/>
  <c r="M1064" i="33" s="1"/>
  <c r="P1064" i="33" s="1"/>
  <c r="I961" i="33"/>
  <c r="K961" i="33" s="1"/>
  <c r="M961" i="33" s="1"/>
  <c r="P961" i="33" s="1"/>
  <c r="I1016" i="33"/>
  <c r="K1016" i="33" s="1"/>
  <c r="M1016" i="33" s="1"/>
  <c r="P1016" i="33" s="1"/>
  <c r="H1035" i="33"/>
  <c r="I1035" i="33" s="1"/>
  <c r="K1035" i="33" s="1"/>
  <c r="M1035" i="33" s="1"/>
  <c r="P1035" i="33" s="1"/>
  <c r="I843" i="33"/>
  <c r="K843" i="33" s="1"/>
  <c r="M843" i="33" s="1"/>
  <c r="P843" i="33" s="1"/>
  <c r="I1116" i="33"/>
  <c r="K1116" i="33" s="1"/>
  <c r="M1116" i="33" s="1"/>
  <c r="P1116" i="33" s="1"/>
  <c r="I963" i="33"/>
  <c r="K963" i="33" s="1"/>
  <c r="M963" i="33" s="1"/>
  <c r="P963" i="33" s="1"/>
  <c r="I955" i="33"/>
  <c r="K955" i="33" s="1"/>
  <c r="M955" i="33" s="1"/>
  <c r="P955" i="33" s="1"/>
  <c r="K891" i="33"/>
  <c r="M891" i="33" s="1"/>
  <c r="P891" i="33" s="1"/>
  <c r="K972" i="33"/>
  <c r="M972" i="33" s="1"/>
  <c r="P972" i="33" s="1"/>
  <c r="I908" i="33"/>
  <c r="K908" i="33" s="1"/>
  <c r="M908" i="33" s="1"/>
  <c r="P908" i="33" s="1"/>
  <c r="I1025" i="12"/>
  <c r="J1025" i="12" s="1"/>
  <c r="M1025" i="12" s="1"/>
  <c r="I1143" i="33"/>
  <c r="K1143" i="33" s="1"/>
  <c r="M1143" i="33" s="1"/>
  <c r="P1143" i="33" s="1"/>
  <c r="K951" i="33"/>
  <c r="M951" i="33" s="1"/>
  <c r="P951" i="33" s="1"/>
  <c r="I1139" i="12"/>
  <c r="J1139" i="12" s="1"/>
  <c r="M1139" i="12" s="1"/>
  <c r="I860" i="12"/>
  <c r="J860" i="12" s="1"/>
  <c r="M860" i="12" s="1"/>
  <c r="H887" i="33"/>
  <c r="I887" i="33" s="1"/>
  <c r="K887" i="33" s="1"/>
  <c r="M887" i="33" s="1"/>
  <c r="P887" i="33" s="1"/>
  <c r="I902" i="33"/>
  <c r="K902" i="33" s="1"/>
  <c r="M902" i="33" s="1"/>
  <c r="P902" i="33" s="1"/>
  <c r="I834" i="5"/>
  <c r="J834" i="5" s="1"/>
  <c r="L834" i="5" s="1"/>
  <c r="I1104" i="33"/>
  <c r="K1104" i="33" s="1"/>
  <c r="M1104" i="33" s="1"/>
  <c r="P1104" i="33" s="1"/>
  <c r="I1146" i="5"/>
  <c r="J1146" i="5" s="1"/>
  <c r="L1146" i="5" s="1"/>
  <c r="I1050" i="5"/>
  <c r="J1050" i="5" s="1"/>
  <c r="L1050" i="5" s="1"/>
  <c r="I1135" i="7"/>
  <c r="J1135" i="7" s="1"/>
  <c r="L1135" i="7" s="1"/>
  <c r="I1071" i="7"/>
  <c r="J1071" i="7" s="1"/>
  <c r="L1071" i="7" s="1"/>
  <c r="K917" i="33"/>
  <c r="M917" i="33" s="1"/>
  <c r="P917" i="33" s="1"/>
  <c r="K1025" i="33"/>
  <c r="M1025" i="33" s="1"/>
  <c r="P1025" i="33" s="1"/>
  <c r="H1099" i="33"/>
  <c r="I1099" i="33" s="1"/>
  <c r="K1099" i="33" s="1"/>
  <c r="M1099" i="33" s="1"/>
  <c r="P1099" i="33" s="1"/>
  <c r="K949" i="33"/>
  <c r="M949" i="33" s="1"/>
  <c r="P949" i="33" s="1"/>
  <c r="H980" i="33"/>
  <c r="I980" i="33" s="1"/>
  <c r="K980" i="33" s="1"/>
  <c r="M980" i="33" s="1"/>
  <c r="P980" i="33" s="1"/>
  <c r="K933" i="33"/>
  <c r="M933" i="33" s="1"/>
  <c r="P933" i="33" s="1"/>
  <c r="H1143" i="33"/>
  <c r="P995" i="33"/>
  <c r="I948" i="33"/>
  <c r="K948" i="33" s="1"/>
  <c r="M948" i="33" s="1"/>
  <c r="P948" i="33" s="1"/>
  <c r="K997" i="33"/>
  <c r="M997" i="33" s="1"/>
  <c r="P997" i="33" s="1"/>
  <c r="I1094" i="33"/>
  <c r="K1094" i="33" s="1"/>
  <c r="M1094" i="33" s="1"/>
  <c r="P1094" i="33" s="1"/>
  <c r="I1007" i="12"/>
  <c r="J1007" i="12" s="1"/>
  <c r="M1007" i="12" s="1"/>
  <c r="K936" i="33"/>
  <c r="M936" i="33" s="1"/>
  <c r="P936" i="33" s="1"/>
  <c r="H1056" i="33"/>
  <c r="I1056" i="33" s="1"/>
  <c r="K1056" i="33" s="1"/>
  <c r="M1056" i="33" s="1"/>
  <c r="P1056" i="33" s="1"/>
  <c r="I1044" i="33"/>
  <c r="K1044" i="33" s="1"/>
  <c r="M1044" i="33" s="1"/>
  <c r="P1044" i="33" s="1"/>
  <c r="I905" i="12"/>
  <c r="J905" i="12" s="1"/>
  <c r="M905" i="12" s="1"/>
  <c r="I863" i="12"/>
  <c r="J863" i="12" s="1"/>
  <c r="M863" i="12" s="1"/>
  <c r="K1100" i="8"/>
  <c r="K1028" i="8"/>
  <c r="K877" i="33"/>
  <c r="M877" i="33" s="1"/>
  <c r="P877" i="33" s="1"/>
  <c r="I951" i="12"/>
  <c r="J951" i="12" s="1"/>
  <c r="M951" i="12" s="1"/>
  <c r="I1128" i="5"/>
  <c r="J1128" i="5" s="1"/>
  <c r="L1128" i="5" s="1"/>
  <c r="I1104" i="12"/>
  <c r="J1104" i="12" s="1"/>
  <c r="M1104" i="12" s="1"/>
  <c r="I863" i="7"/>
  <c r="J863" i="7" s="1"/>
  <c r="L863" i="7" s="1"/>
  <c r="I950" i="7"/>
  <c r="J950" i="7" s="1"/>
  <c r="L950" i="7" s="1"/>
  <c r="K1131" i="8"/>
  <c r="K1123" i="8"/>
  <c r="K1099" i="8"/>
  <c r="K1043" i="8"/>
  <c r="K971" i="8"/>
  <c r="K931" i="8"/>
  <c r="K907" i="8"/>
  <c r="K875" i="8"/>
  <c r="K867" i="8"/>
  <c r="K851" i="8"/>
  <c r="I1129" i="7"/>
  <c r="J1129" i="7" s="1"/>
  <c r="L1129" i="7" s="1"/>
  <c r="I1065" i="7"/>
  <c r="J1065" i="7" s="1"/>
  <c r="L1065" i="7" s="1"/>
  <c r="I1001" i="7"/>
  <c r="J1001" i="7" s="1"/>
  <c r="L1001" i="7" s="1"/>
  <c r="I937" i="7"/>
  <c r="J937" i="7" s="1"/>
  <c r="L937" i="7" s="1"/>
  <c r="I873" i="7"/>
  <c r="J873" i="7" s="1"/>
  <c r="L873" i="7" s="1"/>
  <c r="I1080" i="5"/>
  <c r="J1080" i="5" s="1"/>
  <c r="L1080" i="5" s="1"/>
  <c r="I952" i="5"/>
  <c r="J952" i="5" s="1"/>
  <c r="L952" i="5" s="1"/>
  <c r="I824" i="5"/>
  <c r="J824" i="5" s="1"/>
  <c r="L824" i="5" s="1"/>
  <c r="I869" i="7"/>
  <c r="J869" i="7" s="1"/>
  <c r="L869" i="7" s="1"/>
  <c r="I935" i="12"/>
  <c r="J935" i="12" s="1"/>
  <c r="M935" i="12" s="1"/>
  <c r="I873" i="12"/>
  <c r="J873" i="12" s="1"/>
  <c r="M873" i="12" s="1"/>
  <c r="K966" i="33"/>
  <c r="M966" i="33" s="1"/>
  <c r="P966" i="33" s="1"/>
  <c r="L1130" i="5"/>
  <c r="I1093" i="7"/>
  <c r="J1093" i="7" s="1"/>
  <c r="L1093" i="7" s="1"/>
  <c r="I831" i="12"/>
  <c r="J831" i="12" s="1"/>
  <c r="M831" i="12" s="1"/>
  <c r="I934" i="12"/>
  <c r="J934" i="12" s="1"/>
  <c r="M934" i="12" s="1"/>
  <c r="I1091" i="12"/>
  <c r="J1091" i="12" s="1"/>
  <c r="M1091" i="12" s="1"/>
  <c r="K867" i="33"/>
  <c r="M867" i="33" s="1"/>
  <c r="P867" i="33" s="1"/>
  <c r="I1121" i="7"/>
  <c r="J1121" i="7" s="1"/>
  <c r="L1121" i="7" s="1"/>
  <c r="I1057" i="7"/>
  <c r="J1057" i="7" s="1"/>
  <c r="L1057" i="7" s="1"/>
  <c r="I993" i="7"/>
  <c r="J993" i="7" s="1"/>
  <c r="L993" i="7" s="1"/>
  <c r="I929" i="7"/>
  <c r="J929" i="7" s="1"/>
  <c r="L929" i="7" s="1"/>
  <c r="I865" i="7"/>
  <c r="J865" i="7" s="1"/>
  <c r="L865" i="7" s="1"/>
  <c r="I1118" i="7"/>
  <c r="J1118" i="7" s="1"/>
  <c r="L1118" i="7" s="1"/>
  <c r="I1054" i="7"/>
  <c r="J1054" i="7" s="1"/>
  <c r="L1054" i="7" s="1"/>
  <c r="I990" i="7"/>
  <c r="J990" i="7" s="1"/>
  <c r="L990" i="7" s="1"/>
  <c r="I926" i="7"/>
  <c r="J926" i="7" s="1"/>
  <c r="L926" i="7" s="1"/>
  <c r="I862" i="7"/>
  <c r="J862" i="7" s="1"/>
  <c r="L862" i="7" s="1"/>
  <c r="I969" i="12"/>
  <c r="J969" i="12" s="1"/>
  <c r="M969" i="12" s="1"/>
  <c r="I1098" i="33"/>
  <c r="K1098" i="33" s="1"/>
  <c r="M1098" i="33" s="1"/>
  <c r="P1098" i="33" s="1"/>
  <c r="I947" i="33"/>
  <c r="K947" i="33" s="1"/>
  <c r="M947" i="33" s="1"/>
  <c r="P947" i="33" s="1"/>
  <c r="I1114" i="7"/>
  <c r="J1114" i="7" s="1"/>
  <c r="L1114" i="7" s="1"/>
  <c r="I858" i="7"/>
  <c r="J858" i="7" s="1"/>
  <c r="L858" i="7" s="1"/>
  <c r="I855" i="12"/>
  <c r="J855" i="12" s="1"/>
  <c r="M855" i="12" s="1"/>
  <c r="H1055" i="33"/>
  <c r="I1055" i="33" s="1"/>
  <c r="K1055" i="33" s="1"/>
  <c r="M1055" i="33" s="1"/>
  <c r="P1055" i="33" s="1"/>
  <c r="I856" i="33"/>
  <c r="K856" i="33" s="1"/>
  <c r="M856" i="33" s="1"/>
  <c r="P856" i="33" s="1"/>
  <c r="H1079" i="33"/>
  <c r="I1079" i="33" s="1"/>
  <c r="K1079" i="33" s="1"/>
  <c r="M1079" i="33" s="1"/>
  <c r="P1079" i="33" s="1"/>
  <c r="H939" i="33"/>
  <c r="I997" i="7"/>
  <c r="J997" i="7" s="1"/>
  <c r="L997" i="7" s="1"/>
  <c r="M1125" i="12"/>
  <c r="K965" i="33"/>
  <c r="M965" i="33" s="1"/>
  <c r="P965" i="33" s="1"/>
  <c r="H1076" i="33"/>
  <c r="I1076" i="33" s="1"/>
  <c r="K1076" i="33" s="1"/>
  <c r="M1076" i="33" s="1"/>
  <c r="P1076" i="33" s="1"/>
  <c r="I1043" i="12"/>
  <c r="J1043" i="12" s="1"/>
  <c r="M1043" i="12" s="1"/>
  <c r="K893" i="33"/>
  <c r="M893" i="33" s="1"/>
  <c r="P893" i="33" s="1"/>
  <c r="I823" i="12"/>
  <c r="J823" i="12" s="1"/>
  <c r="M823" i="12" s="1"/>
  <c r="I915" i="12"/>
  <c r="J915" i="12" s="1"/>
  <c r="M915" i="12" s="1"/>
  <c r="I849" i="12"/>
  <c r="J849" i="12" s="1"/>
  <c r="M849" i="12" s="1"/>
  <c r="K994" i="33"/>
  <c r="M994" i="33" s="1"/>
  <c r="P994" i="33" s="1"/>
  <c r="H1084" i="33"/>
  <c r="I1084" i="33" s="1"/>
  <c r="K1084" i="33" s="1"/>
  <c r="M1084" i="33" s="1"/>
  <c r="P1084" i="33" s="1"/>
  <c r="I920" i="12"/>
  <c r="J920" i="12" s="1"/>
  <c r="M920" i="12" s="1"/>
  <c r="I1023" i="12"/>
  <c r="J1023" i="12" s="1"/>
  <c r="M1023" i="12" s="1"/>
  <c r="I1042" i="33"/>
  <c r="K1042" i="33" s="1"/>
  <c r="M1042" i="33" s="1"/>
  <c r="P1042" i="33" s="1"/>
  <c r="K914" i="33"/>
  <c r="M914" i="33" s="1"/>
  <c r="P914" i="33" s="1"/>
  <c r="I866" i="5"/>
  <c r="J866" i="5" s="1"/>
  <c r="L866" i="5" s="1"/>
  <c r="I1128" i="7"/>
  <c r="J1128" i="7" s="1"/>
  <c r="L1128" i="7" s="1"/>
  <c r="I1064" i="7"/>
  <c r="J1064" i="7" s="1"/>
  <c r="L1064" i="7" s="1"/>
  <c r="I1000" i="7"/>
  <c r="J1000" i="7" s="1"/>
  <c r="L1000" i="7" s="1"/>
  <c r="I936" i="7"/>
  <c r="J936" i="7" s="1"/>
  <c r="L936" i="7" s="1"/>
  <c r="I872" i="7"/>
  <c r="J872" i="7" s="1"/>
  <c r="L872" i="7" s="1"/>
  <c r="I1143" i="7"/>
  <c r="J1143" i="7" s="1"/>
  <c r="L1143" i="7" s="1"/>
  <c r="I1079" i="7"/>
  <c r="J1079" i="7" s="1"/>
  <c r="L1079" i="7" s="1"/>
  <c r="I1015" i="7"/>
  <c r="J1015" i="7" s="1"/>
  <c r="L1015" i="7" s="1"/>
  <c r="I951" i="7"/>
  <c r="J951" i="7" s="1"/>
  <c r="L951" i="7" s="1"/>
  <c r="I887" i="7"/>
  <c r="J887" i="7" s="1"/>
  <c r="L887" i="7" s="1"/>
  <c r="I823" i="7"/>
  <c r="J823" i="7" s="1"/>
  <c r="L823" i="7" s="1"/>
  <c r="H1097" i="33"/>
  <c r="I1097" i="33" s="1"/>
  <c r="K1097" i="33" s="1"/>
  <c r="M1097" i="33" s="1"/>
  <c r="P1097" i="33" s="1"/>
  <c r="I987" i="33"/>
  <c r="K987" i="33" s="1"/>
  <c r="M987" i="33" s="1"/>
  <c r="P987" i="33" s="1"/>
  <c r="I1105" i="7"/>
  <c r="J1105" i="7" s="1"/>
  <c r="L1105" i="7" s="1"/>
  <c r="I1041" i="7"/>
  <c r="J1041" i="7" s="1"/>
  <c r="L1041" i="7" s="1"/>
  <c r="I977" i="7"/>
  <c r="J977" i="7" s="1"/>
  <c r="L977" i="7" s="1"/>
  <c r="I913" i="7"/>
  <c r="J913" i="7" s="1"/>
  <c r="L913" i="7" s="1"/>
  <c r="I849" i="7"/>
  <c r="J849" i="7" s="1"/>
  <c r="L849" i="7" s="1"/>
  <c r="I943" i="12"/>
  <c r="J943" i="12" s="1"/>
  <c r="M943" i="12" s="1"/>
  <c r="I968" i="12"/>
  <c r="J968" i="12" s="1"/>
  <c r="M968" i="12" s="1"/>
  <c r="H927" i="33"/>
  <c r="I927" i="33" s="1"/>
  <c r="K927" i="33" s="1"/>
  <c r="M927" i="33" s="1"/>
  <c r="P927" i="33" s="1"/>
  <c r="I986" i="33"/>
  <c r="K986" i="33" s="1"/>
  <c r="M986" i="33" s="1"/>
  <c r="P986" i="33" s="1"/>
  <c r="K890" i="33"/>
  <c r="M890" i="33" s="1"/>
  <c r="P890" i="33" s="1"/>
  <c r="I1088" i="5"/>
  <c r="J1088" i="5" s="1"/>
  <c r="L1088" i="5" s="1"/>
  <c r="I960" i="5"/>
  <c r="J960" i="5" s="1"/>
  <c r="L960" i="5" s="1"/>
  <c r="I832" i="5"/>
  <c r="J832" i="5" s="1"/>
  <c r="L832" i="5" s="1"/>
  <c r="I901" i="7"/>
  <c r="J901" i="7" s="1"/>
  <c r="L901" i="7" s="1"/>
  <c r="I922" i="7"/>
  <c r="J922" i="7" s="1"/>
  <c r="L922" i="7" s="1"/>
  <c r="I1102" i="12"/>
  <c r="J1102" i="12" s="1"/>
  <c r="M1102" i="12" s="1"/>
  <c r="I899" i="12"/>
  <c r="J899" i="12" s="1"/>
  <c r="M899" i="12" s="1"/>
  <c r="I1072" i="12"/>
  <c r="J1072" i="12" s="1"/>
  <c r="M1072" i="12" s="1"/>
  <c r="I897" i="12"/>
  <c r="J897" i="12" s="1"/>
  <c r="M897" i="12" s="1"/>
  <c r="I850" i="33"/>
  <c r="K850" i="33" s="1"/>
  <c r="M850" i="33" s="1"/>
  <c r="P850" i="33" s="1"/>
  <c r="I1089" i="33"/>
  <c r="K1089" i="33" s="1"/>
  <c r="M1089" i="33" s="1"/>
  <c r="P1089" i="33" s="1"/>
  <c r="I833" i="33"/>
  <c r="K833" i="33" s="1"/>
  <c r="M833" i="33" s="1"/>
  <c r="P833" i="33" s="1"/>
  <c r="I1080" i="33"/>
  <c r="K1080" i="33" s="1"/>
  <c r="M1080" i="33" s="1"/>
  <c r="P1080" i="33" s="1"/>
  <c r="I824" i="33"/>
  <c r="K824" i="33" s="1"/>
  <c r="M824" i="33" s="1"/>
  <c r="P824" i="33" s="1"/>
  <c r="I1024" i="12"/>
  <c r="J1024" i="12" s="1"/>
  <c r="M1024" i="12" s="1"/>
  <c r="K1085" i="33"/>
  <c r="M1085" i="33" s="1"/>
  <c r="P1085" i="33" s="1"/>
  <c r="I1145" i="33"/>
  <c r="K1145" i="33" s="1"/>
  <c r="M1145" i="33" s="1"/>
  <c r="P1145" i="33" s="1"/>
  <c r="I889" i="33"/>
  <c r="K889" i="33" s="1"/>
  <c r="M889" i="33" s="1"/>
  <c r="P889" i="33" s="1"/>
  <c r="H1044" i="33"/>
  <c r="I847" i="33"/>
  <c r="K847" i="33" s="1"/>
  <c r="M847" i="33" s="1"/>
  <c r="P847" i="33" s="1"/>
  <c r="I983" i="12"/>
  <c r="J983" i="12" s="1"/>
  <c r="M983" i="12" s="1"/>
  <c r="M922" i="12"/>
  <c r="K848" i="33"/>
  <c r="M848" i="33" s="1"/>
  <c r="P848" i="33" s="1"/>
  <c r="I959" i="12"/>
  <c r="J959" i="12" s="1"/>
  <c r="M959" i="12" s="1"/>
  <c r="H973" i="33"/>
  <c r="I973" i="33" s="1"/>
  <c r="K973" i="33" s="1"/>
  <c r="M973" i="33" s="1"/>
  <c r="P973" i="33" s="1"/>
  <c r="K858" i="33"/>
  <c r="M858" i="33" s="1"/>
  <c r="P858" i="33" s="1"/>
  <c r="K988" i="8"/>
  <c r="I1086" i="12"/>
  <c r="J1086" i="12" s="1"/>
  <c r="M1086" i="12" s="1"/>
  <c r="I1105" i="33"/>
  <c r="K1105" i="33" s="1"/>
  <c r="M1105" i="33" s="1"/>
  <c r="P1105" i="33" s="1"/>
  <c r="H1057" i="33"/>
  <c r="I1057" i="33" s="1"/>
  <c r="K1057" i="33" s="1"/>
  <c r="M1057" i="33" s="1"/>
  <c r="P1057" i="33" s="1"/>
  <c r="K1041" i="33"/>
  <c r="M1041" i="33" s="1"/>
  <c r="P1041" i="33" s="1"/>
  <c r="I939" i="33"/>
  <c r="K939" i="33" s="1"/>
  <c r="M939" i="33" s="1"/>
  <c r="P939" i="33" s="1"/>
  <c r="I880" i="7"/>
  <c r="J880" i="7" s="1"/>
  <c r="L880" i="7" s="1"/>
  <c r="K1138" i="8"/>
  <c r="K1082" i="8"/>
  <c r="K1050" i="8"/>
  <c r="K1018" i="8"/>
  <c r="K1010" i="8"/>
  <c r="K986" i="8"/>
  <c r="K866" i="8"/>
  <c r="K858" i="8"/>
  <c r="I1094" i="7"/>
  <c r="J1094" i="7" s="1"/>
  <c r="L1094" i="7" s="1"/>
  <c r="I1030" i="7"/>
  <c r="J1030" i="7" s="1"/>
  <c r="L1030" i="7" s="1"/>
  <c r="I966" i="7"/>
  <c r="J966" i="7" s="1"/>
  <c r="L966" i="7" s="1"/>
  <c r="I902" i="7"/>
  <c r="J902" i="7" s="1"/>
  <c r="L902" i="7" s="1"/>
  <c r="I838" i="7"/>
  <c r="J838" i="7" s="1"/>
  <c r="L838" i="7" s="1"/>
  <c r="I1100" i="12"/>
  <c r="J1100" i="12" s="1"/>
  <c r="M1100" i="12" s="1"/>
  <c r="I998" i="12"/>
  <c r="J998" i="12" s="1"/>
  <c r="M998" i="12" s="1"/>
  <c r="I1072" i="5"/>
  <c r="J1072" i="5" s="1"/>
  <c r="L1072" i="5" s="1"/>
  <c r="I944" i="5"/>
  <c r="J944" i="5" s="1"/>
  <c r="L944" i="5" s="1"/>
  <c r="I1112" i="7"/>
  <c r="J1112" i="7" s="1"/>
  <c r="L1112" i="7" s="1"/>
  <c r="I1048" i="7"/>
  <c r="J1048" i="7" s="1"/>
  <c r="L1048" i="7" s="1"/>
  <c r="I984" i="7"/>
  <c r="J984" i="7" s="1"/>
  <c r="L984" i="7" s="1"/>
  <c r="I920" i="7"/>
  <c r="J920" i="7" s="1"/>
  <c r="L920" i="7" s="1"/>
  <c r="I856" i="7"/>
  <c r="J856" i="7" s="1"/>
  <c r="L856" i="7" s="1"/>
  <c r="I1146" i="7"/>
  <c r="J1146" i="7" s="1"/>
  <c r="L1146" i="7" s="1"/>
  <c r="I890" i="7"/>
  <c r="J890" i="7" s="1"/>
  <c r="L890" i="7" s="1"/>
  <c r="I991" i="12"/>
  <c r="J991" i="12" s="1"/>
  <c r="M991" i="12" s="1"/>
  <c r="I1124" i="12"/>
  <c r="J1124" i="12" s="1"/>
  <c r="M1124" i="12" s="1"/>
  <c r="I929" i="12"/>
  <c r="J929" i="12" s="1"/>
  <c r="M929" i="12" s="1"/>
  <c r="I827" i="12"/>
  <c r="J827" i="12" s="1"/>
  <c r="M827" i="12" s="1"/>
  <c r="H992" i="33"/>
  <c r="I992" i="33" s="1"/>
  <c r="K992" i="33" s="1"/>
  <c r="M992" i="33" s="1"/>
  <c r="P992" i="33" s="1"/>
  <c r="K909" i="33"/>
  <c r="M909" i="33" s="1"/>
  <c r="P909" i="33" s="1"/>
  <c r="I842" i="33"/>
  <c r="K842" i="33" s="1"/>
  <c r="M842" i="33" s="1"/>
  <c r="P842" i="33" s="1"/>
  <c r="H872" i="33"/>
  <c r="I872" i="33" s="1"/>
  <c r="K872" i="33" s="1"/>
  <c r="M872" i="33" s="1"/>
  <c r="P872" i="33" s="1"/>
  <c r="I944" i="33"/>
  <c r="K944" i="33" s="1"/>
  <c r="M944" i="33" s="1"/>
  <c r="P944" i="33" s="1"/>
  <c r="I1083" i="33"/>
  <c r="K1083" i="33" s="1"/>
  <c r="M1083" i="33" s="1"/>
  <c r="P1083" i="33" s="1"/>
  <c r="I927" i="12"/>
  <c r="J927" i="12" s="1"/>
  <c r="M927" i="12" s="1"/>
  <c r="K1121" i="33"/>
  <c r="M1121" i="33" s="1"/>
  <c r="P1121" i="33" s="1"/>
  <c r="K865" i="33"/>
  <c r="M865" i="33" s="1"/>
  <c r="P865" i="33" s="1"/>
  <c r="K883" i="33"/>
  <c r="M883" i="33" s="1"/>
  <c r="P883" i="33" s="1"/>
  <c r="K1028" i="33"/>
  <c r="M1028" i="33" s="1"/>
  <c r="P1028" i="33" s="1"/>
  <c r="I1051" i="12"/>
  <c r="J1051" i="12" s="1"/>
  <c r="M1051" i="12" s="1"/>
  <c r="I1113" i="33"/>
  <c r="K1113" i="33" s="1"/>
  <c r="M1113" i="33" s="1"/>
  <c r="P1113" i="33" s="1"/>
  <c r="K1020" i="33"/>
  <c r="M1020" i="33" s="1"/>
  <c r="P1020" i="33" s="1"/>
  <c r="I896" i="12"/>
  <c r="J896" i="12" s="1"/>
  <c r="M896" i="12" s="1"/>
  <c r="K1050" i="33"/>
  <c r="M1050" i="33" s="1"/>
  <c r="P1050" i="33" s="1"/>
  <c r="I936" i="12"/>
  <c r="J936" i="12" s="1"/>
  <c r="M936" i="12" s="1"/>
  <c r="I1011" i="12"/>
  <c r="J1011" i="12" s="1"/>
  <c r="M1011" i="12" s="1"/>
  <c r="I1090" i="33"/>
  <c r="K1090" i="33" s="1"/>
  <c r="M1090" i="33" s="1"/>
  <c r="P1090" i="33" s="1"/>
  <c r="I1112" i="33"/>
  <c r="K1112" i="33" s="1"/>
  <c r="M1112" i="33" s="1"/>
  <c r="P1112" i="33" s="1"/>
  <c r="H1048" i="33"/>
  <c r="I953" i="7"/>
  <c r="J953" i="7" s="1"/>
  <c r="L953" i="7" s="1"/>
  <c r="I825" i="7"/>
  <c r="J825" i="7" s="1"/>
  <c r="L825" i="7" s="1"/>
  <c r="H1101" i="33"/>
  <c r="I1101" i="33" s="1"/>
  <c r="K1101" i="33" s="1"/>
  <c r="M1101" i="33" s="1"/>
  <c r="P1101" i="33" s="1"/>
  <c r="I986" i="5"/>
  <c r="J986" i="5" s="1"/>
  <c r="L986" i="5" s="1"/>
  <c r="I1040" i="5"/>
  <c r="J1040" i="5" s="1"/>
  <c r="L1040" i="5" s="1"/>
  <c r="I912" i="5"/>
  <c r="J912" i="5" s="1"/>
  <c r="L912" i="5" s="1"/>
  <c r="K1029" i="33"/>
  <c r="M1029" i="33" s="1"/>
  <c r="P1029" i="33" s="1"/>
  <c r="H1124" i="33"/>
  <c r="I1124" i="33" s="1"/>
  <c r="K1124" i="33" s="1"/>
  <c r="M1124" i="33" s="1"/>
  <c r="P1124" i="33" s="1"/>
  <c r="K932" i="33"/>
  <c r="M932" i="33" s="1"/>
  <c r="P932" i="33" s="1"/>
  <c r="I938" i="7"/>
  <c r="J938" i="7" s="1"/>
  <c r="L938" i="7" s="1"/>
  <c r="I853" i="12"/>
  <c r="J853" i="12" s="1"/>
  <c r="M853" i="12" s="1"/>
  <c r="I850" i="5"/>
  <c r="J850" i="5" s="1"/>
  <c r="L850" i="5" s="1"/>
  <c r="I842" i="5"/>
  <c r="J842" i="5" s="1"/>
  <c r="L842" i="5" s="1"/>
  <c r="I942" i="12"/>
  <c r="J942" i="12" s="1"/>
  <c r="M942" i="12" s="1"/>
  <c r="I995" i="12"/>
  <c r="J995" i="12" s="1"/>
  <c r="M995" i="12" s="1"/>
  <c r="H897" i="33"/>
  <c r="I897" i="33" s="1"/>
  <c r="K897" i="33" s="1"/>
  <c r="M897" i="33" s="1"/>
  <c r="P897" i="33" s="1"/>
  <c r="H907" i="33"/>
  <c r="I907" i="33" s="1"/>
  <c r="K907" i="33" s="1"/>
  <c r="M907" i="33" s="1"/>
  <c r="P907" i="33" s="1"/>
  <c r="I828" i="12"/>
  <c r="J828" i="12" s="1"/>
  <c r="M828" i="12" s="1"/>
  <c r="I970" i="7"/>
  <c r="J970" i="7" s="1"/>
  <c r="L970" i="7" s="1"/>
  <c r="I1000" i="12"/>
  <c r="J1000" i="12" s="1"/>
  <c r="M1000" i="12" s="1"/>
  <c r="I939" i="12"/>
  <c r="J939" i="12" s="1"/>
  <c r="M939" i="12" s="1"/>
  <c r="I923" i="33"/>
  <c r="K923" i="33" s="1"/>
  <c r="M923" i="33" s="1"/>
  <c r="P923" i="33" s="1"/>
  <c r="K1008" i="33"/>
  <c r="M1008" i="33" s="1"/>
  <c r="P1008" i="33" s="1"/>
  <c r="K892" i="8"/>
  <c r="I1000" i="5"/>
  <c r="J1000" i="5" s="1"/>
  <c r="L1000" i="5" s="1"/>
  <c r="I838" i="12"/>
  <c r="J838" i="12" s="1"/>
  <c r="M838" i="12" s="1"/>
  <c r="I991" i="7"/>
  <c r="J991" i="7" s="1"/>
  <c r="L991" i="7" s="1"/>
  <c r="I1048" i="33"/>
  <c r="K1048" i="33" s="1"/>
  <c r="M1048" i="33" s="1"/>
  <c r="P1048" i="33" s="1"/>
  <c r="I1110" i="7"/>
  <c r="J1110" i="7" s="1"/>
  <c r="L1110" i="7" s="1"/>
  <c r="K1145" i="8"/>
  <c r="K1137" i="8"/>
  <c r="K1105" i="8"/>
  <c r="K1081" i="8"/>
  <c r="K1065" i="8"/>
  <c r="K1017" i="8"/>
  <c r="K993" i="8"/>
  <c r="K953" i="8"/>
  <c r="K945" i="8"/>
  <c r="K889" i="8"/>
  <c r="K881" i="8"/>
  <c r="K873" i="8"/>
  <c r="K825" i="8"/>
  <c r="I906" i="7"/>
  <c r="J906" i="7" s="1"/>
  <c r="L906" i="7" s="1"/>
  <c r="I839" i="12"/>
  <c r="J839" i="12" s="1"/>
  <c r="M839" i="12" s="1"/>
  <c r="I948" i="12"/>
  <c r="J948" i="12" s="1"/>
  <c r="M948" i="12" s="1"/>
  <c r="I980" i="12"/>
  <c r="J980" i="12" s="1"/>
  <c r="M980" i="12" s="1"/>
  <c r="I1108" i="33"/>
  <c r="K1108" i="33" s="1"/>
  <c r="M1108" i="33" s="1"/>
  <c r="P1108" i="33" s="1"/>
  <c r="I961" i="12"/>
  <c r="J961" i="12" s="1"/>
  <c r="M961" i="12" s="1"/>
  <c r="I880" i="5"/>
  <c r="J880" i="5" s="1"/>
  <c r="L880" i="5" s="1"/>
  <c r="I1095" i="7"/>
  <c r="J1095" i="7" s="1"/>
  <c r="L1095" i="7" s="1"/>
  <c r="I1031" i="7"/>
  <c r="J1031" i="7" s="1"/>
  <c r="L1031" i="7" s="1"/>
  <c r="I967" i="7"/>
  <c r="J967" i="7" s="1"/>
  <c r="L967" i="7" s="1"/>
  <c r="I903" i="7"/>
  <c r="J903" i="7" s="1"/>
  <c r="L903" i="7" s="1"/>
  <c r="I839" i="7"/>
  <c r="J839" i="7" s="1"/>
  <c r="L839" i="7" s="1"/>
  <c r="I904" i="12"/>
  <c r="J904" i="12" s="1"/>
  <c r="M904" i="12" s="1"/>
  <c r="I1027" i="12"/>
  <c r="J1027" i="12" s="1"/>
  <c r="M1027" i="12" s="1"/>
  <c r="I923" i="12"/>
  <c r="J923" i="12" s="1"/>
  <c r="M923" i="12" s="1"/>
  <c r="I1135" i="12"/>
  <c r="J1135" i="12" s="1"/>
  <c r="M1135" i="12" s="1"/>
  <c r="I1106" i="12"/>
  <c r="J1106" i="12" s="1"/>
  <c r="M1106" i="12" s="1"/>
  <c r="I1045" i="33"/>
  <c r="K1045" i="33" s="1"/>
  <c r="M1045" i="33" s="1"/>
  <c r="P1045" i="33" s="1"/>
  <c r="I930" i="33"/>
  <c r="K930" i="33" s="1"/>
  <c r="M930" i="33" s="1"/>
  <c r="P930" i="33" s="1"/>
  <c r="K1136" i="33"/>
  <c r="M1136" i="33" s="1"/>
  <c r="P1136" i="33" s="1"/>
  <c r="K880" i="33"/>
  <c r="M880" i="33" s="1"/>
  <c r="P880" i="33" s="1"/>
  <c r="H1083" i="33"/>
  <c r="K1019" i="33"/>
  <c r="M1019" i="33" s="1"/>
  <c r="P1019" i="33" s="1"/>
  <c r="I1061" i="7"/>
  <c r="J1061" i="7" s="1"/>
  <c r="L1061" i="7" s="1"/>
  <c r="I1002" i="7"/>
  <c r="J1002" i="7" s="1"/>
  <c r="L1002" i="7" s="1"/>
  <c r="I1022" i="12"/>
  <c r="J1022" i="12" s="1"/>
  <c r="M1022" i="12" s="1"/>
  <c r="I964" i="12"/>
  <c r="J964" i="12" s="1"/>
  <c r="M964" i="12" s="1"/>
  <c r="I857" i="12"/>
  <c r="J857" i="12" s="1"/>
  <c r="M857" i="12" s="1"/>
  <c r="H991" i="33"/>
  <c r="I991" i="33" s="1"/>
  <c r="K991" i="33" s="1"/>
  <c r="M991" i="33" s="1"/>
  <c r="P991" i="33" s="1"/>
  <c r="K1077" i="33"/>
  <c r="M1077" i="33" s="1"/>
  <c r="P1077" i="33" s="1"/>
  <c r="I941" i="33"/>
  <c r="K941" i="33" s="1"/>
  <c r="M941" i="33" s="1"/>
  <c r="P941" i="33" s="1"/>
  <c r="K970" i="33"/>
  <c r="M970" i="33" s="1"/>
  <c r="P970" i="33" s="1"/>
  <c r="I1147" i="12"/>
  <c r="J1147" i="12" s="1"/>
  <c r="M1147" i="12" s="1"/>
  <c r="H1128" i="33"/>
  <c r="I1128" i="33" s="1"/>
  <c r="K1128" i="33" s="1"/>
  <c r="M1128" i="33" s="1"/>
  <c r="P1128" i="33" s="1"/>
  <c r="I984" i="33"/>
  <c r="K984" i="33" s="1"/>
  <c r="M984" i="33" s="1"/>
  <c r="P984" i="33" s="1"/>
  <c r="I1067" i="33"/>
  <c r="K1067" i="33" s="1"/>
  <c r="M1067" i="33" s="1"/>
  <c r="P1067" i="33" s="1"/>
  <c r="H1003" i="33"/>
  <c r="I1003" i="33" s="1"/>
  <c r="K1003" i="33" s="1"/>
  <c r="M1003" i="33" s="1"/>
  <c r="P1003" i="33" s="1"/>
  <c r="I892" i="33"/>
  <c r="K892" i="33" s="1"/>
  <c r="M892" i="33" s="1"/>
  <c r="P892" i="33" s="1"/>
  <c r="I1059" i="33"/>
  <c r="K1059" i="33" s="1"/>
  <c r="M1059" i="33" s="1"/>
  <c r="P1059" i="33" s="1"/>
  <c r="I1030" i="33"/>
  <c r="K1030" i="33" s="1"/>
  <c r="M1030" i="33" s="1"/>
  <c r="P1030" i="33" s="1"/>
  <c r="I851" i="33"/>
  <c r="K851" i="33" s="1"/>
  <c r="M851" i="33" s="1"/>
  <c r="P851" i="33" s="1"/>
  <c r="K996" i="33"/>
  <c r="M996" i="33" s="1"/>
  <c r="P996" i="33" s="1"/>
  <c r="I882" i="5"/>
  <c r="J882" i="5" s="1"/>
  <c r="L882" i="5" s="1"/>
  <c r="I1056" i="5"/>
  <c r="J1056" i="5" s="1"/>
  <c r="L1056" i="5" s="1"/>
  <c r="I928" i="5"/>
  <c r="J928" i="5" s="1"/>
  <c r="L928" i="5" s="1"/>
  <c r="I1029" i="7"/>
  <c r="J1029" i="7" s="1"/>
  <c r="L1029" i="7" s="1"/>
  <c r="I862" i="12"/>
  <c r="J862" i="12" s="1"/>
  <c r="M862" i="12" s="1"/>
  <c r="I965" i="12"/>
  <c r="J965" i="12" s="1"/>
  <c r="M965" i="12" s="1"/>
  <c r="I851" i="12"/>
  <c r="J851" i="12" s="1"/>
  <c r="M851" i="12" s="1"/>
  <c r="I938" i="12"/>
  <c r="J938" i="12" s="1"/>
  <c r="M938" i="12" s="1"/>
  <c r="I921" i="33"/>
  <c r="K921" i="33" s="1"/>
  <c r="M921" i="33" s="1"/>
  <c r="P921" i="33" s="1"/>
  <c r="I911" i="33"/>
  <c r="K911" i="33" s="1"/>
  <c r="M911" i="33" s="1"/>
  <c r="P911" i="33" s="1"/>
  <c r="I828" i="33"/>
  <c r="K828" i="33" s="1"/>
  <c r="M828" i="33" s="1"/>
  <c r="P828" i="33" s="1"/>
  <c r="K898" i="33"/>
  <c r="M898" i="33" s="1"/>
  <c r="P898" i="33" s="1"/>
  <c r="H1140" i="33"/>
  <c r="I1140" i="33" s="1"/>
  <c r="K1140" i="33" s="1"/>
  <c r="M1140" i="33" s="1"/>
  <c r="P1140" i="33" s="1"/>
  <c r="I928" i="12"/>
  <c r="J928" i="12" s="1"/>
  <c r="M928" i="12" s="1"/>
  <c r="I902" i="12"/>
  <c r="J902" i="12" s="1"/>
  <c r="M902" i="12" s="1"/>
  <c r="I1082" i="33"/>
  <c r="K1082" i="33" s="1"/>
  <c r="M1082" i="33" s="1"/>
  <c r="P1082" i="33" s="1"/>
  <c r="I1114" i="5"/>
  <c r="J1114" i="5" s="1"/>
  <c r="L1114" i="5" s="1"/>
  <c r="I965" i="7"/>
  <c r="J965" i="7" s="1"/>
  <c r="L965" i="7" s="1"/>
  <c r="I954" i="7"/>
  <c r="J954" i="7" s="1"/>
  <c r="L954" i="7" s="1"/>
  <c r="H954" i="33"/>
  <c r="I954" i="33" s="1"/>
  <c r="K954" i="33" s="1"/>
  <c r="M954" i="33" s="1"/>
  <c r="P954" i="33" s="1"/>
  <c r="K976" i="33"/>
  <c r="M976" i="33" s="1"/>
  <c r="P976" i="33" s="1"/>
  <c r="K1004" i="33"/>
  <c r="M1004" i="33" s="1"/>
  <c r="P1004" i="33" s="1"/>
  <c r="I876" i="33"/>
  <c r="K876" i="33" s="1"/>
  <c r="M876" i="33" s="1"/>
  <c r="P876" i="33" s="1"/>
  <c r="H1047" i="33"/>
  <c r="I1047" i="33" s="1"/>
  <c r="K1047" i="33" s="1"/>
  <c r="M1047" i="33" s="1"/>
  <c r="P1047" i="33" s="1"/>
  <c r="I979" i="33"/>
  <c r="K979" i="33" s="1"/>
  <c r="M979" i="33" s="1"/>
  <c r="P979" i="33" s="1"/>
  <c r="I1096" i="5"/>
  <c r="J1096" i="5" s="1"/>
  <c r="L1096" i="5" s="1"/>
  <c r="I968" i="5"/>
  <c r="J968" i="5" s="1"/>
  <c r="L968" i="5" s="1"/>
  <c r="I840" i="5"/>
  <c r="J840" i="5" s="1"/>
  <c r="L840" i="5" s="1"/>
  <c r="I879" i="12"/>
  <c r="J879" i="12" s="1"/>
  <c r="M879" i="12" s="1"/>
  <c r="I910" i="12"/>
  <c r="J910" i="12" s="1"/>
  <c r="M910" i="12" s="1"/>
  <c r="I872" i="12"/>
  <c r="J872" i="12" s="1"/>
  <c r="M872" i="12" s="1"/>
  <c r="I1088" i="12"/>
  <c r="J1088" i="12" s="1"/>
  <c r="M1088" i="12" s="1"/>
  <c r="I1093" i="33"/>
  <c r="K1093" i="33" s="1"/>
  <c r="M1093" i="33" s="1"/>
  <c r="P1093" i="33" s="1"/>
  <c r="K957" i="33"/>
  <c r="M957" i="33" s="1"/>
  <c r="P957" i="33" s="1"/>
  <c r="I1042" i="5"/>
  <c r="J1042" i="5" s="1"/>
  <c r="L1042" i="5" s="1"/>
  <c r="I914" i="5"/>
  <c r="J914" i="5" s="1"/>
  <c r="L914" i="5" s="1"/>
  <c r="I1138" i="5"/>
  <c r="J1138" i="5" s="1"/>
  <c r="L1138" i="5" s="1"/>
  <c r="I1034" i="5"/>
  <c r="J1034" i="5" s="1"/>
  <c r="L1034" i="5" s="1"/>
  <c r="I906" i="5"/>
  <c r="J906" i="5" s="1"/>
  <c r="L906" i="5" s="1"/>
  <c r="I1088" i="7"/>
  <c r="J1088" i="7" s="1"/>
  <c r="L1088" i="7" s="1"/>
  <c r="I1024" i="7"/>
  <c r="J1024" i="7" s="1"/>
  <c r="L1024" i="7" s="1"/>
  <c r="I960" i="7"/>
  <c r="J960" i="7" s="1"/>
  <c r="L960" i="7" s="1"/>
  <c r="I896" i="7"/>
  <c r="J896" i="7" s="1"/>
  <c r="L896" i="7" s="1"/>
  <c r="I832" i="7"/>
  <c r="J832" i="7" s="1"/>
  <c r="L832" i="7" s="1"/>
  <c r="I1103" i="7"/>
  <c r="J1103" i="7" s="1"/>
  <c r="L1103" i="7" s="1"/>
  <c r="I1039" i="7"/>
  <c r="J1039" i="7" s="1"/>
  <c r="L1039" i="7" s="1"/>
  <c r="I975" i="7"/>
  <c r="J975" i="7" s="1"/>
  <c r="L975" i="7" s="1"/>
  <c r="I911" i="7"/>
  <c r="J911" i="7" s="1"/>
  <c r="L911" i="7" s="1"/>
  <c r="I847" i="7"/>
  <c r="J847" i="7" s="1"/>
  <c r="L847" i="7" s="1"/>
  <c r="I903" i="12"/>
  <c r="J903" i="12" s="1"/>
  <c r="M903" i="12" s="1"/>
  <c r="I892" i="12"/>
  <c r="J892" i="12" s="1"/>
  <c r="M892" i="12" s="1"/>
  <c r="I977" i="12"/>
  <c r="J977" i="12" s="1"/>
  <c r="M977" i="12" s="1"/>
  <c r="I1144" i="33"/>
  <c r="K1144" i="33" s="1"/>
  <c r="M1144" i="33" s="1"/>
  <c r="P1144" i="33" s="1"/>
  <c r="I888" i="33"/>
  <c r="K888" i="33" s="1"/>
  <c r="M888" i="33" s="1"/>
  <c r="P888" i="33" s="1"/>
  <c r="I971" i="33"/>
  <c r="K971" i="33" s="1"/>
  <c r="M971" i="33" s="1"/>
  <c r="P971" i="33" s="1"/>
  <c r="K860" i="33"/>
  <c r="M860" i="33" s="1"/>
  <c r="P860" i="33" s="1"/>
  <c r="I838" i="33"/>
  <c r="K838" i="33" s="1"/>
  <c r="M838" i="33" s="1"/>
  <c r="P838" i="33" s="1"/>
  <c r="H1096" i="33"/>
  <c r="I1096" i="33" s="1"/>
  <c r="K1096" i="33" s="1"/>
  <c r="M1096" i="33" s="1"/>
  <c r="P1096" i="33" s="1"/>
  <c r="H1106" i="33"/>
  <c r="I1106" i="33" s="1"/>
  <c r="K1106" i="33" s="1"/>
  <c r="M1106" i="33" s="1"/>
  <c r="P1106" i="33" s="1"/>
  <c r="H978" i="33"/>
  <c r="I978" i="33" s="1"/>
  <c r="K978" i="33" s="1"/>
  <c r="M978" i="33" s="1"/>
  <c r="P978" i="33" s="1"/>
  <c r="I953" i="33"/>
  <c r="K953" i="33" s="1"/>
  <c r="M953" i="33" s="1"/>
  <c r="P953" i="33" s="1"/>
  <c r="H1135" i="33"/>
  <c r="I1135" i="33" s="1"/>
  <c r="K1135" i="33" s="1"/>
  <c r="M1135" i="33" s="1"/>
  <c r="P1135" i="33" s="1"/>
  <c r="H1091" i="33"/>
  <c r="I1091" i="33" s="1"/>
  <c r="K1091" i="33" s="1"/>
  <c r="M1091" i="33" s="1"/>
  <c r="P1091" i="33" s="1"/>
  <c r="I916" i="33"/>
  <c r="K916" i="33" s="1"/>
  <c r="M916" i="33" s="1"/>
  <c r="P916" i="33" s="1"/>
  <c r="I1036" i="33"/>
  <c r="K1036" i="33" s="1"/>
  <c r="M1036" i="33" s="1"/>
  <c r="P1036" i="33" s="1"/>
  <c r="I844" i="33"/>
  <c r="K844" i="33" s="1"/>
  <c r="M844" i="33" s="1"/>
  <c r="P844" i="33" s="1"/>
  <c r="I856" i="12"/>
  <c r="J856" i="12" s="1"/>
  <c r="M856" i="12" s="1"/>
  <c r="K884" i="33"/>
  <c r="M884" i="33" s="1"/>
  <c r="P884" i="33" s="1"/>
  <c r="I890" i="12"/>
  <c r="J890" i="12" s="1"/>
  <c r="M890" i="12" s="1"/>
  <c r="I1109" i="12"/>
  <c r="J1109" i="12" s="1"/>
  <c r="M1109" i="12" s="1"/>
  <c r="K1026" i="33"/>
  <c r="M1026" i="33" s="1"/>
  <c r="P1026" i="33" s="1"/>
  <c r="K868" i="33"/>
  <c r="M868" i="33" s="1"/>
  <c r="P868" i="33" s="1"/>
  <c r="D6" i="42"/>
  <c r="C6" i="42"/>
  <c r="D34" i="42"/>
  <c r="D35" i="42" s="1"/>
  <c r="C35" i="42" s="1"/>
  <c r="C34" i="42"/>
  <c r="C33" i="42"/>
  <c r="D25" i="42"/>
  <c r="C25" i="42"/>
  <c r="D24" i="42"/>
  <c r="D23" i="42" s="1"/>
  <c r="D22" i="42" s="1"/>
  <c r="D21" i="42" s="1"/>
  <c r="D20" i="42" s="1"/>
  <c r="D19" i="42" s="1"/>
  <c r="D18" i="42" s="1"/>
  <c r="D17" i="42" s="1"/>
  <c r="D16" i="42" s="1"/>
  <c r="D15" i="42" s="1"/>
  <c r="D14" i="42" s="1"/>
  <c r="D13" i="42" s="1"/>
  <c r="D12" i="42" s="1"/>
  <c r="D11" i="42" s="1"/>
  <c r="D10" i="42" s="1"/>
  <c r="D9" i="42" s="1"/>
  <c r="D8" i="42" s="1"/>
  <c r="D7" i="42" s="1"/>
  <c r="C24" i="42"/>
  <c r="C23" i="42" s="1"/>
  <c r="C22" i="42" s="1"/>
  <c r="C21" i="42" s="1"/>
  <c r="C20" i="42" s="1"/>
  <c r="C19" i="42" s="1"/>
  <c r="C18" i="42" s="1"/>
  <c r="C17" i="42" s="1"/>
  <c r="C16" i="42" s="1"/>
  <c r="C15" i="42" s="1"/>
  <c r="C14" i="42" s="1"/>
  <c r="C13" i="42" s="1"/>
  <c r="C12" i="42" s="1"/>
  <c r="C11" i="42" s="1"/>
  <c r="C10" i="42" s="1"/>
  <c r="C9" i="42" s="1"/>
  <c r="C8" i="42" s="1"/>
  <c r="C7" i="42" s="1"/>
  <c r="C6" i="40"/>
  <c r="C7" i="40"/>
  <c r="D7" i="40"/>
  <c r="C9" i="40"/>
  <c r="D9" i="40"/>
  <c r="C10" i="40"/>
  <c r="D10" i="40"/>
  <c r="C11" i="40"/>
  <c r="D11" i="40"/>
  <c r="C13" i="40"/>
  <c r="D13" i="40"/>
  <c r="C14" i="40"/>
  <c r="D14" i="40"/>
  <c r="C15" i="40"/>
  <c r="D15" i="40"/>
  <c r="C16" i="40"/>
  <c r="D16" i="40"/>
  <c r="C17" i="40"/>
  <c r="D17" i="40"/>
  <c r="C18" i="40"/>
  <c r="D18" i="40"/>
  <c r="C19" i="40"/>
  <c r="D19" i="40"/>
  <c r="C20" i="40"/>
  <c r="D20" i="40"/>
  <c r="C21" i="40"/>
  <c r="D21" i="40"/>
  <c r="C22" i="40"/>
  <c r="D22" i="40"/>
  <c r="D23" i="40"/>
  <c r="D6" i="40"/>
  <c r="D56" i="40"/>
  <c r="D57" i="40" s="1"/>
  <c r="C57" i="40" s="1"/>
  <c r="C25" i="40" s="1"/>
  <c r="C56" i="40"/>
  <c r="C24" i="40" s="1"/>
  <c r="C55" i="40"/>
  <c r="C23" i="40" s="1"/>
  <c r="D47" i="40"/>
  <c r="C47" i="40"/>
  <c r="C46" i="40" s="1"/>
  <c r="C45" i="40" s="1"/>
  <c r="C44" i="40" s="1"/>
  <c r="C43" i="40" s="1"/>
  <c r="C42" i="40" s="1"/>
  <c r="C41" i="40" s="1"/>
  <c r="C40" i="40" s="1"/>
  <c r="C39" i="40" s="1"/>
  <c r="C38" i="40" s="1"/>
  <c r="D46" i="40"/>
  <c r="D45" i="40" s="1"/>
  <c r="D44" i="40" s="1"/>
  <c r="D43" i="40" s="1"/>
  <c r="D42" i="40" s="1"/>
  <c r="D41" i="40" s="1"/>
  <c r="D40" i="40" s="1"/>
  <c r="D39" i="40" s="1"/>
  <c r="D38" i="40" s="1"/>
  <c r="I822" i="8"/>
  <c r="I823" i="8"/>
  <c r="I824" i="8"/>
  <c r="I825" i="8"/>
  <c r="I826" i="8"/>
  <c r="I827" i="8"/>
  <c r="I828" i="8"/>
  <c r="I829" i="8"/>
  <c r="I830" i="8"/>
  <c r="I831" i="8"/>
  <c r="I832" i="8"/>
  <c r="I833" i="8"/>
  <c r="I834" i="8"/>
  <c r="I835" i="8"/>
  <c r="I836" i="8"/>
  <c r="I837" i="8"/>
  <c r="I838" i="8"/>
  <c r="I839" i="8"/>
  <c r="I840" i="8"/>
  <c r="I841" i="8"/>
  <c r="I842" i="8"/>
  <c r="I843" i="8"/>
  <c r="I844" i="8"/>
  <c r="I845" i="8"/>
  <c r="I846" i="8"/>
  <c r="I847" i="8"/>
  <c r="I848" i="8"/>
  <c r="I849" i="8"/>
  <c r="I850" i="8"/>
  <c r="I851" i="8"/>
  <c r="I852" i="8"/>
  <c r="I853" i="8"/>
  <c r="I854" i="8"/>
  <c r="I855" i="8"/>
  <c r="I856" i="8"/>
  <c r="I857" i="8"/>
  <c r="I858" i="8"/>
  <c r="I859" i="8"/>
  <c r="I860" i="8"/>
  <c r="I861" i="8"/>
  <c r="I862" i="8"/>
  <c r="I863" i="8"/>
  <c r="I864" i="8"/>
  <c r="I865" i="8"/>
  <c r="I866" i="8"/>
  <c r="I867" i="8"/>
  <c r="I868" i="8"/>
  <c r="I869" i="8"/>
  <c r="I870" i="8"/>
  <c r="I871" i="8"/>
  <c r="I872" i="8"/>
  <c r="I873" i="8"/>
  <c r="I874" i="8"/>
  <c r="I875" i="8"/>
  <c r="I876" i="8"/>
  <c r="I877" i="8"/>
  <c r="I878" i="8"/>
  <c r="I879" i="8"/>
  <c r="I880" i="8"/>
  <c r="I881" i="8"/>
  <c r="I882" i="8"/>
  <c r="I883" i="8"/>
  <c r="I884" i="8"/>
  <c r="I885" i="8"/>
  <c r="I886" i="8"/>
  <c r="I887" i="8"/>
  <c r="I888" i="8"/>
  <c r="I889" i="8"/>
  <c r="I890" i="8"/>
  <c r="I891" i="8"/>
  <c r="I892" i="8"/>
  <c r="I893" i="8"/>
  <c r="I894" i="8"/>
  <c r="I895" i="8"/>
  <c r="I896" i="8"/>
  <c r="I897" i="8"/>
  <c r="I898" i="8"/>
  <c r="I899" i="8"/>
  <c r="I900" i="8"/>
  <c r="I901" i="8"/>
  <c r="I902" i="8"/>
  <c r="I903" i="8"/>
  <c r="I904" i="8"/>
  <c r="I905" i="8"/>
  <c r="I906" i="8"/>
  <c r="I907" i="8"/>
  <c r="I908" i="8"/>
  <c r="I909" i="8"/>
  <c r="I910" i="8"/>
  <c r="I911" i="8"/>
  <c r="I912" i="8"/>
  <c r="I913" i="8"/>
  <c r="I914" i="8"/>
  <c r="I915" i="8"/>
  <c r="I916" i="8"/>
  <c r="I917" i="8"/>
  <c r="I918" i="8"/>
  <c r="I919" i="8"/>
  <c r="I920" i="8"/>
  <c r="I921" i="8"/>
  <c r="I922" i="8"/>
  <c r="I923" i="8"/>
  <c r="I924" i="8"/>
  <c r="I925" i="8"/>
  <c r="I926" i="8"/>
  <c r="I927" i="8"/>
  <c r="I928" i="8"/>
  <c r="I929" i="8"/>
  <c r="I930" i="8"/>
  <c r="I931" i="8"/>
  <c r="I932" i="8"/>
  <c r="I933" i="8"/>
  <c r="I934" i="8"/>
  <c r="I935" i="8"/>
  <c r="I936" i="8"/>
  <c r="I937" i="8"/>
  <c r="I938" i="8"/>
  <c r="I939" i="8"/>
  <c r="I940" i="8"/>
  <c r="I941" i="8"/>
  <c r="I942" i="8"/>
  <c r="I943" i="8"/>
  <c r="I944" i="8"/>
  <c r="I945" i="8"/>
  <c r="I946" i="8"/>
  <c r="I947" i="8"/>
  <c r="I948" i="8"/>
  <c r="I949" i="8"/>
  <c r="I950" i="8"/>
  <c r="I951" i="8"/>
  <c r="I952" i="8"/>
  <c r="I953" i="8"/>
  <c r="I954" i="8"/>
  <c r="I955" i="8"/>
  <c r="I956" i="8"/>
  <c r="I957" i="8"/>
  <c r="I958" i="8"/>
  <c r="I959" i="8"/>
  <c r="I960" i="8"/>
  <c r="I961" i="8"/>
  <c r="I962" i="8"/>
  <c r="I963" i="8"/>
  <c r="I964" i="8"/>
  <c r="I965" i="8"/>
  <c r="I966" i="8"/>
  <c r="I967" i="8"/>
  <c r="I968" i="8"/>
  <c r="I969" i="8"/>
  <c r="I970" i="8"/>
  <c r="I971" i="8"/>
  <c r="I972" i="8"/>
  <c r="I973" i="8"/>
  <c r="I974" i="8"/>
  <c r="I975" i="8"/>
  <c r="I976" i="8"/>
  <c r="I977" i="8"/>
  <c r="I978" i="8"/>
  <c r="I979" i="8"/>
  <c r="I980" i="8"/>
  <c r="I981" i="8"/>
  <c r="I982" i="8"/>
  <c r="I983" i="8"/>
  <c r="I984" i="8"/>
  <c r="I985" i="8"/>
  <c r="I986" i="8"/>
  <c r="I987" i="8"/>
  <c r="I988" i="8"/>
  <c r="I989" i="8"/>
  <c r="I990" i="8"/>
  <c r="I991" i="8"/>
  <c r="I992" i="8"/>
  <c r="I993" i="8"/>
  <c r="I994" i="8"/>
  <c r="I995" i="8"/>
  <c r="I996" i="8"/>
  <c r="I997" i="8"/>
  <c r="I998" i="8"/>
  <c r="I999" i="8"/>
  <c r="I1000" i="8"/>
  <c r="I1001" i="8"/>
  <c r="I1002" i="8"/>
  <c r="I1003" i="8"/>
  <c r="I1004" i="8"/>
  <c r="I1005" i="8"/>
  <c r="I1006" i="8"/>
  <c r="I1007" i="8"/>
  <c r="I1008" i="8"/>
  <c r="I1009" i="8"/>
  <c r="I1010" i="8"/>
  <c r="I1011" i="8"/>
  <c r="I1012" i="8"/>
  <c r="I1013" i="8"/>
  <c r="I1014" i="8"/>
  <c r="I1015" i="8"/>
  <c r="I1016" i="8"/>
  <c r="I1017" i="8"/>
  <c r="I1018" i="8"/>
  <c r="I1019" i="8"/>
  <c r="I1020" i="8"/>
  <c r="I1021" i="8"/>
  <c r="I1022" i="8"/>
  <c r="I1023" i="8"/>
  <c r="I1024" i="8"/>
  <c r="I1025" i="8"/>
  <c r="I1026" i="8"/>
  <c r="I1027" i="8"/>
  <c r="I1028" i="8"/>
  <c r="I1029" i="8"/>
  <c r="I1030" i="8"/>
  <c r="I1031" i="8"/>
  <c r="I1032" i="8"/>
  <c r="I1033" i="8"/>
  <c r="I1034" i="8"/>
  <c r="I1035" i="8"/>
  <c r="I1036" i="8"/>
  <c r="I1037" i="8"/>
  <c r="I1038" i="8"/>
  <c r="I1039" i="8"/>
  <c r="I1040" i="8"/>
  <c r="I1041" i="8"/>
  <c r="I1042" i="8"/>
  <c r="I1043" i="8"/>
  <c r="I1044" i="8"/>
  <c r="I1045" i="8"/>
  <c r="I1046" i="8"/>
  <c r="I1047" i="8"/>
  <c r="I1048" i="8"/>
  <c r="I1049" i="8"/>
  <c r="I1050" i="8"/>
  <c r="I1051" i="8"/>
  <c r="I1052" i="8"/>
  <c r="I1053" i="8"/>
  <c r="I1054" i="8"/>
  <c r="I1055" i="8"/>
  <c r="I1056" i="8"/>
  <c r="I1057" i="8"/>
  <c r="I1058" i="8"/>
  <c r="I1059" i="8"/>
  <c r="I1060" i="8"/>
  <c r="I1061" i="8"/>
  <c r="I1062" i="8"/>
  <c r="I1063" i="8"/>
  <c r="I1064" i="8"/>
  <c r="I1065" i="8"/>
  <c r="I1066" i="8"/>
  <c r="I1067" i="8"/>
  <c r="I1068" i="8"/>
  <c r="I1069" i="8"/>
  <c r="I1070" i="8"/>
  <c r="I1071" i="8"/>
  <c r="I1072" i="8"/>
  <c r="I1073" i="8"/>
  <c r="I1074" i="8"/>
  <c r="I1075" i="8"/>
  <c r="I1076" i="8"/>
  <c r="I1077" i="8"/>
  <c r="I1078" i="8"/>
  <c r="I1079" i="8"/>
  <c r="I1080" i="8"/>
  <c r="I1081" i="8"/>
  <c r="I1082" i="8"/>
  <c r="I1083" i="8"/>
  <c r="I1084" i="8"/>
  <c r="I1085" i="8"/>
  <c r="I1086" i="8"/>
  <c r="I1087" i="8"/>
  <c r="I1088" i="8"/>
  <c r="I1089" i="8"/>
  <c r="I1090" i="8"/>
  <c r="I1091" i="8"/>
  <c r="I1092" i="8"/>
  <c r="I1093" i="8"/>
  <c r="I1094" i="8"/>
  <c r="I1095" i="8"/>
  <c r="I1096" i="8"/>
  <c r="I1097" i="8"/>
  <c r="I1098" i="8"/>
  <c r="I1099" i="8"/>
  <c r="I1100" i="8"/>
  <c r="I1101" i="8"/>
  <c r="I1102" i="8"/>
  <c r="I1103" i="8"/>
  <c r="I1104" i="8"/>
  <c r="I1105" i="8"/>
  <c r="I1106" i="8"/>
  <c r="I1107" i="8"/>
  <c r="I1108" i="8"/>
  <c r="I1109" i="8"/>
  <c r="I1110" i="8"/>
  <c r="I1111" i="8"/>
  <c r="I1112" i="8"/>
  <c r="I1113" i="8"/>
  <c r="I1114" i="8"/>
  <c r="I1115" i="8"/>
  <c r="I1116" i="8"/>
  <c r="I1117" i="8"/>
  <c r="I1118" i="8"/>
  <c r="I1119" i="8"/>
  <c r="I1120" i="8"/>
  <c r="I1121" i="8"/>
  <c r="I1122" i="8"/>
  <c r="I1123" i="8"/>
  <c r="I1124" i="8"/>
  <c r="I1125" i="8"/>
  <c r="I1126" i="8"/>
  <c r="I1127" i="8"/>
  <c r="I1128" i="8"/>
  <c r="I1129" i="8"/>
  <c r="I1130" i="8"/>
  <c r="I1131" i="8"/>
  <c r="I1132" i="8"/>
  <c r="I1133" i="8"/>
  <c r="I1134" i="8"/>
  <c r="I1135" i="8"/>
  <c r="I1136" i="8"/>
  <c r="I1137" i="8"/>
  <c r="I1138" i="8"/>
  <c r="I1139" i="8"/>
  <c r="I1140" i="8"/>
  <c r="I1141" i="8"/>
  <c r="I1142" i="8"/>
  <c r="I1143" i="8"/>
  <c r="I1144" i="8"/>
  <c r="I1145" i="8"/>
  <c r="I1146" i="8"/>
  <c r="I1147" i="8"/>
  <c r="I1148" i="8"/>
  <c r="I1149" i="8"/>
  <c r="I1150" i="8"/>
  <c r="I1151" i="8"/>
  <c r="I1152" i="8"/>
  <c r="I1153" i="8"/>
  <c r="I1154" i="8"/>
  <c r="I1155" i="8"/>
  <c r="I1156" i="8"/>
  <c r="I1157" i="8"/>
  <c r="I1158" i="8"/>
  <c r="I1159" i="8"/>
  <c r="I1160" i="8"/>
  <c r="I1161" i="8"/>
  <c r="I1162" i="8"/>
  <c r="I1163" i="8"/>
  <c r="I1164" i="8"/>
  <c r="I1165" i="8"/>
  <c r="I1166" i="8"/>
  <c r="I1167" i="8"/>
  <c r="I1168" i="8"/>
  <c r="I1169" i="8"/>
  <c r="I1170" i="8"/>
  <c r="I1171" i="8"/>
  <c r="I1172" i="8"/>
  <c r="I1173" i="8"/>
  <c r="I1174" i="8"/>
  <c r="I1175" i="8"/>
  <c r="I1176" i="8"/>
  <c r="I1177" i="8"/>
  <c r="I1178" i="8"/>
  <c r="I1179" i="8"/>
  <c r="I1180" i="8"/>
  <c r="I1181" i="8"/>
  <c r="I1182" i="8"/>
  <c r="I1183" i="8"/>
  <c r="I1184" i="8"/>
  <c r="I1185" i="8"/>
  <c r="I1186" i="8"/>
  <c r="I1187" i="8"/>
  <c r="I1188" i="8"/>
  <c r="I1189" i="8"/>
  <c r="I1190" i="8"/>
  <c r="I1191" i="8"/>
  <c r="I1192" i="8"/>
  <c r="I1193" i="8"/>
  <c r="I1194" i="8"/>
  <c r="I1195" i="8"/>
  <c r="I1196" i="8"/>
  <c r="I1197" i="8"/>
  <c r="I1198" i="8"/>
  <c r="I1199" i="8"/>
  <c r="I1200" i="8"/>
  <c r="I1201" i="8"/>
  <c r="I1202" i="8"/>
  <c r="I1203" i="8"/>
  <c r="I1204" i="8"/>
  <c r="I1205" i="8"/>
  <c r="I1206" i="8"/>
  <c r="I1207" i="8"/>
  <c r="I1208" i="8"/>
  <c r="I1209" i="8"/>
  <c r="I1210" i="8"/>
  <c r="I1211" i="8"/>
  <c r="I1212" i="8"/>
  <c r="I1213" i="8"/>
  <c r="I1214" i="8"/>
  <c r="I1215" i="8"/>
  <c r="I1216" i="8"/>
  <c r="I1217" i="8"/>
  <c r="I1218" i="8"/>
  <c r="I1219" i="8"/>
  <c r="I1220" i="8"/>
  <c r="I1221" i="8"/>
  <c r="I1222" i="8"/>
  <c r="I1223" i="8"/>
  <c r="I1224" i="8"/>
  <c r="I1225" i="8"/>
  <c r="I1226" i="8"/>
  <c r="I1227" i="8"/>
  <c r="I1228" i="8"/>
  <c r="I1229" i="8"/>
  <c r="I1230" i="8"/>
  <c r="I1231" i="8"/>
  <c r="I1232" i="8"/>
  <c r="I1233" i="8"/>
  <c r="I1234" i="8"/>
  <c r="I1235" i="8"/>
  <c r="I1236" i="8"/>
  <c r="I1237" i="8"/>
  <c r="I1238" i="8"/>
  <c r="I1239" i="8"/>
  <c r="I1240" i="8"/>
  <c r="I1241" i="8"/>
  <c r="I1242" i="8"/>
  <c r="I1243" i="8"/>
  <c r="I1244" i="8"/>
  <c r="I1245" i="8"/>
  <c r="I1246" i="8"/>
  <c r="I1247" i="8"/>
  <c r="I1248" i="8"/>
  <c r="I1249" i="8"/>
  <c r="I1250" i="8"/>
  <c r="I1251" i="8"/>
  <c r="I1252" i="8"/>
  <c r="I1253" i="8"/>
  <c r="I1254" i="8"/>
  <c r="I1255" i="8"/>
  <c r="I1256" i="8"/>
  <c r="I1257" i="8"/>
  <c r="I1258" i="8"/>
  <c r="I1259" i="8"/>
  <c r="I1260" i="8"/>
  <c r="I1261" i="8"/>
  <c r="I1262" i="8"/>
  <c r="I1263" i="8"/>
  <c r="I1264" i="8"/>
  <c r="I1265" i="8"/>
  <c r="I1266" i="8"/>
  <c r="I1267" i="8"/>
  <c r="I1268" i="8"/>
  <c r="I1269" i="8"/>
  <c r="I1270" i="8"/>
  <c r="I1271" i="8"/>
  <c r="I1272" i="8"/>
  <c r="I1273" i="8"/>
  <c r="I1274" i="8"/>
  <c r="I1275" i="8"/>
  <c r="I1276" i="8"/>
  <c r="I1277" i="8"/>
  <c r="I1278" i="8"/>
  <c r="I1279" i="8"/>
  <c r="I1280" i="8"/>
  <c r="I1281" i="8"/>
  <c r="I1282" i="8"/>
  <c r="I1283" i="8"/>
  <c r="I1284" i="8"/>
  <c r="I1285" i="8"/>
  <c r="I1286" i="8"/>
  <c r="I1287" i="8"/>
  <c r="I1288" i="8"/>
  <c r="I1289" i="8"/>
  <c r="I1290" i="8"/>
  <c r="I1291" i="8"/>
  <c r="I1292" i="8"/>
  <c r="I1293" i="8"/>
  <c r="I1294" i="8"/>
  <c r="I1295" i="8"/>
  <c r="I1296" i="8"/>
  <c r="I1297" i="8"/>
  <c r="D33" i="39"/>
  <c r="D34" i="39" s="1"/>
  <c r="C34" i="39" s="1"/>
  <c r="C32" i="39"/>
  <c r="D24" i="39"/>
  <c r="C24" i="39"/>
  <c r="C23" i="39" s="1"/>
  <c r="C22" i="39" s="1"/>
  <c r="C21" i="39" s="1"/>
  <c r="C20" i="39" s="1"/>
  <c r="C19" i="39" s="1"/>
  <c r="C18" i="39" s="1"/>
  <c r="C17" i="39" s="1"/>
  <c r="C16" i="39" s="1"/>
  <c r="C15" i="39" s="1"/>
  <c r="C14" i="39" s="1"/>
  <c r="C13" i="39" s="1"/>
  <c r="C12" i="39" s="1"/>
  <c r="C11" i="39" s="1"/>
  <c r="C10" i="39" s="1"/>
  <c r="C9" i="39" s="1"/>
  <c r="C8" i="39" s="1"/>
  <c r="C7" i="39" s="1"/>
  <c r="C6" i="39" s="1"/>
  <c r="D23" i="39"/>
  <c r="D22" i="39" s="1"/>
  <c r="D21" i="39" s="1"/>
  <c r="D20" i="39" s="1"/>
  <c r="D19" i="39" s="1"/>
  <c r="D18" i="39" s="1"/>
  <c r="D17" i="39" s="1"/>
  <c r="D16" i="39" s="1"/>
  <c r="D15" i="39" s="1"/>
  <c r="D14" i="39" s="1"/>
  <c r="D13" i="39" s="1"/>
  <c r="D12" i="39" s="1"/>
  <c r="D11" i="39" s="1"/>
  <c r="D10" i="39" s="1"/>
  <c r="D9" i="39" s="1"/>
  <c r="D8" i="39" s="1"/>
  <c r="D7" i="39" s="1"/>
  <c r="D6" i="39" s="1"/>
  <c r="D25" i="40" l="1"/>
  <c r="D24" i="40"/>
  <c r="D12" i="40"/>
  <c r="D8" i="40"/>
  <c r="C12" i="40"/>
  <c r="C8" i="40"/>
  <c r="C33" i="39"/>
  <c r="D3" i="19" l="1"/>
  <c r="D4" i="19"/>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9" i="36"/>
  <c r="C39" i="36"/>
  <c r="D38" i="36"/>
  <c r="C38" i="36"/>
  <c r="C37" i="36"/>
  <c r="D29" i="36"/>
  <c r="C29" i="36"/>
  <c r="D28" i="36"/>
  <c r="D27" i="36" s="1"/>
  <c r="D26" i="36" s="1"/>
  <c r="D25" i="36" s="1"/>
  <c r="D24" i="36" s="1"/>
  <c r="D23" i="36" s="1"/>
  <c r="D22" i="36" s="1"/>
  <c r="D21" i="36" s="1"/>
  <c r="D20" i="36" s="1"/>
  <c r="D19" i="36" s="1"/>
  <c r="D18" i="36" s="1"/>
  <c r="D17" i="36" s="1"/>
  <c r="D16" i="36" s="1"/>
  <c r="D15" i="36" s="1"/>
  <c r="D14" i="36" s="1"/>
  <c r="D13" i="36" s="1"/>
  <c r="D12" i="36" s="1"/>
  <c r="D11" i="36" s="1"/>
  <c r="D10" i="36" s="1"/>
  <c r="D9" i="36" s="1"/>
  <c r="D8" i="36" s="1"/>
  <c r="D7" i="36" s="1"/>
  <c r="D6" i="36" s="1"/>
  <c r="D5" i="36" s="1"/>
  <c r="C28" i="36"/>
  <c r="C27" i="36" s="1"/>
  <c r="C26" i="36" s="1"/>
  <c r="C25" i="36" s="1"/>
  <c r="C24" i="36" s="1"/>
  <c r="C23" i="36" s="1"/>
  <c r="C22" i="36" s="1"/>
  <c r="C21" i="36" s="1"/>
  <c r="C20" i="36" s="1"/>
  <c r="C19" i="36" s="1"/>
  <c r="C18" i="36" s="1"/>
  <c r="C17" i="36" s="1"/>
  <c r="C16" i="36" s="1"/>
  <c r="C15" i="36" s="1"/>
  <c r="C14" i="36" s="1"/>
  <c r="C13" i="36" s="1"/>
  <c r="C12" i="36" s="1"/>
  <c r="C11" i="36" s="1"/>
  <c r="C10" i="36" s="1"/>
  <c r="C9" i="36" s="1"/>
  <c r="C8" i="36" s="1"/>
  <c r="C7" i="36" s="1"/>
  <c r="C6" i="36" s="1"/>
  <c r="C9" i="34"/>
  <c r="C8" i="34" s="1"/>
  <c r="C7" i="34" s="1"/>
  <c r="C6" i="34" s="1"/>
  <c r="D5" i="34"/>
  <c r="E36" i="34"/>
  <c r="D29" i="34"/>
  <c r="D28" i="34" s="1"/>
  <c r="D27" i="34" s="1"/>
  <c r="D26" i="34" s="1"/>
  <c r="D25" i="34" s="1"/>
  <c r="D24" i="34" s="1"/>
  <c r="D23" i="34" s="1"/>
  <c r="D22" i="34" s="1"/>
  <c r="D21" i="34" s="1"/>
  <c r="D20" i="34" s="1"/>
  <c r="D19" i="34" s="1"/>
  <c r="D18" i="34" s="1"/>
  <c r="D17" i="34" s="1"/>
  <c r="D16" i="34" s="1"/>
  <c r="D15" i="34" s="1"/>
  <c r="D14" i="34" s="1"/>
  <c r="D13" i="34" s="1"/>
  <c r="D12" i="34" s="1"/>
  <c r="D11" i="34" s="1"/>
  <c r="D10" i="34" s="1"/>
  <c r="D9" i="34" s="1"/>
  <c r="D8" i="34" s="1"/>
  <c r="D7" i="34" s="1"/>
  <c r="D6" i="34" s="1"/>
  <c r="C29" i="34"/>
  <c r="C28" i="34" s="1"/>
  <c r="C27" i="34" s="1"/>
  <c r="C26" i="34" s="1"/>
  <c r="C25" i="34" s="1"/>
  <c r="C24" i="34" s="1"/>
  <c r="C23" i="34" s="1"/>
  <c r="C22" i="34" s="1"/>
  <c r="C21" i="34" s="1"/>
  <c r="C20" i="34" s="1"/>
  <c r="C19" i="34" s="1"/>
  <c r="C18" i="34" s="1"/>
  <c r="C17" i="34" s="1"/>
  <c r="C16" i="34" s="1"/>
  <c r="C15" i="34" s="1"/>
  <c r="C14" i="34" s="1"/>
  <c r="C13" i="34" s="1"/>
  <c r="C12" i="34" s="1"/>
  <c r="C11" i="34" s="1"/>
  <c r="C10" i="34" s="1"/>
  <c r="D38" i="34"/>
  <c r="D39" i="34" s="1"/>
  <c r="C39" i="34" s="1"/>
  <c r="C37" i="34"/>
  <c r="AE6" i="33"/>
  <c r="AD7" i="33" s="1"/>
  <c r="AE5" i="33"/>
  <c r="AD6" i="33" s="1"/>
  <c r="X4" i="33"/>
  <c r="W5" i="33" s="1"/>
  <c r="X5" i="33"/>
  <c r="W6" i="33" s="1"/>
  <c r="X6" i="33"/>
  <c r="W7" i="33" s="1"/>
  <c r="X3" i="33"/>
  <c r="W4" i="33" s="1"/>
  <c r="B5" i="33"/>
  <c r="B7" i="33" s="1"/>
  <c r="Z7" i="33"/>
  <c r="Z6" i="33"/>
  <c r="Z5" i="33"/>
  <c r="Z4" i="33"/>
  <c r="Z3" i="33"/>
  <c r="J9" i="33"/>
  <c r="F9" i="33"/>
  <c r="B9" i="33"/>
  <c r="A9" i="33"/>
  <c r="C3" i="32"/>
  <c r="C4" i="32"/>
  <c r="C5" i="32"/>
  <c r="C6" i="32"/>
  <c r="C2" i="32"/>
  <c r="B7" i="12"/>
  <c r="I18" i="44" l="1"/>
  <c r="R18" i="44" s="1"/>
  <c r="C38" i="34"/>
  <c r="F36" i="34"/>
  <c r="C367" i="33"/>
  <c r="O367" i="33" s="1"/>
  <c r="C463" i="33"/>
  <c r="O463" i="33" s="1"/>
  <c r="C471" i="33"/>
  <c r="O471" i="33" s="1"/>
  <c r="C475" i="33"/>
  <c r="O475" i="33" s="1"/>
  <c r="C507" i="33"/>
  <c r="O507" i="33" s="1"/>
  <c r="C519" i="33"/>
  <c r="O519" i="33" s="1"/>
  <c r="C527" i="33"/>
  <c r="O527" i="33" s="1"/>
  <c r="C531" i="33"/>
  <c r="O531" i="33" s="1"/>
  <c r="C547" i="33"/>
  <c r="O547" i="33" s="1"/>
  <c r="C567" i="33"/>
  <c r="O567" i="33" s="1"/>
  <c r="C571" i="33"/>
  <c r="O571" i="33" s="1"/>
  <c r="C579" i="33"/>
  <c r="O579" i="33" s="1"/>
  <c r="C587" i="33"/>
  <c r="O587" i="33" s="1"/>
  <c r="C627" i="33"/>
  <c r="O627" i="33" s="1"/>
  <c r="C651" i="33"/>
  <c r="O651" i="33" s="1"/>
  <c r="C655" i="33"/>
  <c r="O655" i="33" s="1"/>
  <c r="C659" i="33"/>
  <c r="O659" i="33" s="1"/>
  <c r="C663" i="33"/>
  <c r="O663" i="33" s="1"/>
  <c r="C370" i="33"/>
  <c r="O370" i="33" s="1"/>
  <c r="C394" i="33"/>
  <c r="O394" i="33" s="1"/>
  <c r="C402" i="33"/>
  <c r="O402" i="33" s="1"/>
  <c r="C410" i="33"/>
  <c r="O410" i="33" s="1"/>
  <c r="C426" i="33"/>
  <c r="O426" i="33" s="1"/>
  <c r="C16" i="33"/>
  <c r="O16" i="33" s="1"/>
  <c r="C40" i="33"/>
  <c r="O40" i="33" s="1"/>
  <c r="C112" i="33"/>
  <c r="O112" i="33" s="1"/>
  <c r="C160" i="33"/>
  <c r="O160" i="33" s="1"/>
  <c r="C296" i="33"/>
  <c r="O296" i="33" s="1"/>
  <c r="C316" i="33"/>
  <c r="O316" i="33" s="1"/>
  <c r="C344" i="33"/>
  <c r="O344" i="33" s="1"/>
  <c r="C434" i="33"/>
  <c r="O434" i="33" s="1"/>
  <c r="C450" i="33"/>
  <c r="O450" i="33" s="1"/>
  <c r="C13" i="33"/>
  <c r="O13" i="33" s="1"/>
  <c r="C73" i="33"/>
  <c r="O73" i="33" s="1"/>
  <c r="C81" i="33"/>
  <c r="O81" i="33" s="1"/>
  <c r="C85" i="33"/>
  <c r="O85" i="33" s="1"/>
  <c r="C121" i="33"/>
  <c r="O121" i="33" s="1"/>
  <c r="C129" i="33"/>
  <c r="O129" i="33" s="1"/>
  <c r="C137" i="33"/>
  <c r="O137" i="33" s="1"/>
  <c r="C141" i="33"/>
  <c r="O141" i="33" s="1"/>
  <c r="C177" i="33"/>
  <c r="O177" i="33" s="1"/>
  <c r="C181" i="33"/>
  <c r="O181" i="33" s="1"/>
  <c r="C189" i="33"/>
  <c r="O189" i="33" s="1"/>
  <c r="C209" i="33"/>
  <c r="O209" i="33" s="1"/>
  <c r="C221" i="33"/>
  <c r="O221" i="33" s="1"/>
  <c r="C225" i="33"/>
  <c r="O225" i="33" s="1"/>
  <c r="C233" i="33"/>
  <c r="O233" i="33" s="1"/>
  <c r="C241" i="33"/>
  <c r="O241" i="33" s="1"/>
  <c r="C249" i="33"/>
  <c r="O249" i="33" s="1"/>
  <c r="C281" i="33"/>
  <c r="O281" i="33" s="1"/>
  <c r="C285" i="33"/>
  <c r="O285" i="33" s="1"/>
  <c r="C289" i="33"/>
  <c r="O289" i="33" s="1"/>
  <c r="C404" i="33"/>
  <c r="O404" i="33" s="1"/>
  <c r="C408" i="33"/>
  <c r="O408" i="33" s="1"/>
  <c r="C412" i="33"/>
  <c r="O412" i="33" s="1"/>
  <c r="C424" i="33"/>
  <c r="O424" i="33" s="1"/>
  <c r="C436" i="33"/>
  <c r="O436" i="33" s="1"/>
  <c r="C452" i="33"/>
  <c r="O452" i="33" s="1"/>
  <c r="C457" i="33"/>
  <c r="O457" i="33" s="1"/>
  <c r="C521" i="33"/>
  <c r="O521" i="33" s="1"/>
  <c r="C541" i="33"/>
  <c r="O541" i="33" s="1"/>
  <c r="C557" i="33"/>
  <c r="O557" i="33" s="1"/>
  <c r="C589" i="33"/>
  <c r="O589" i="33" s="1"/>
  <c r="C621" i="33"/>
  <c r="O621" i="33" s="1"/>
  <c r="C641" i="33"/>
  <c r="O641" i="33" s="1"/>
  <c r="C649" i="33"/>
  <c r="O649" i="33" s="1"/>
  <c r="C70" i="33"/>
  <c r="O70" i="33" s="1"/>
  <c r="C90" i="33"/>
  <c r="O90" i="33" s="1"/>
  <c r="C154" i="33"/>
  <c r="O154" i="33" s="1"/>
  <c r="C186" i="33"/>
  <c r="O186" i="33" s="1"/>
  <c r="C326" i="33"/>
  <c r="O326" i="33" s="1"/>
  <c r="C342" i="33"/>
  <c r="O342" i="33" s="1"/>
  <c r="C350" i="33"/>
  <c r="O350" i="33" s="1"/>
  <c r="C366" i="33"/>
  <c r="O366" i="33" s="1"/>
  <c r="C550" i="33"/>
  <c r="O550" i="33" s="1"/>
  <c r="C554" i="33"/>
  <c r="O554" i="33" s="1"/>
  <c r="C590" i="33"/>
  <c r="O590" i="33" s="1"/>
  <c r="C375" i="33"/>
  <c r="O375" i="33" s="1"/>
  <c r="C524" i="33"/>
  <c r="O524" i="33" s="1"/>
  <c r="C532" i="33"/>
  <c r="O532" i="33" s="1"/>
  <c r="C664" i="33"/>
  <c r="O664" i="33" s="1"/>
  <c r="C696" i="33"/>
  <c r="O696" i="33" s="1"/>
  <c r="C712" i="33"/>
  <c r="O712" i="33" s="1"/>
  <c r="C720" i="33"/>
  <c r="O720" i="33" s="1"/>
  <c r="C728" i="33"/>
  <c r="O728" i="33" s="1"/>
  <c r="C776" i="33"/>
  <c r="O776" i="33" s="1"/>
  <c r="C792" i="33"/>
  <c r="O792" i="33" s="1"/>
  <c r="C796" i="33"/>
  <c r="O796" i="33" s="1"/>
  <c r="C808" i="33"/>
  <c r="C816" i="33"/>
  <c r="C349" i="33"/>
  <c r="O349" i="33" s="1"/>
  <c r="C449" i="33"/>
  <c r="O449" i="33" s="1"/>
  <c r="C476" i="33"/>
  <c r="O476" i="33" s="1"/>
  <c r="C484" i="33"/>
  <c r="O484" i="33" s="1"/>
  <c r="C492" i="33"/>
  <c r="O492" i="33" s="1"/>
  <c r="C504" i="33"/>
  <c r="O504" i="33" s="1"/>
  <c r="C508" i="33"/>
  <c r="O508" i="33" s="1"/>
  <c r="C516" i="33"/>
  <c r="O516" i="33" s="1"/>
  <c r="C576" i="33"/>
  <c r="O576" i="33" s="1"/>
  <c r="C592" i="33"/>
  <c r="O592" i="33" s="1"/>
  <c r="C600" i="33"/>
  <c r="O600" i="33" s="1"/>
  <c r="C640" i="33"/>
  <c r="O640" i="33" s="1"/>
  <c r="C648" i="33"/>
  <c r="O648" i="33" s="1"/>
  <c r="C12" i="33"/>
  <c r="O12" i="33" s="1"/>
  <c r="C148" i="33"/>
  <c r="O148" i="33" s="1"/>
  <c r="C368" i="33"/>
  <c r="O368" i="33" s="1"/>
  <c r="C380" i="33"/>
  <c r="O380" i="33" s="1"/>
  <c r="C539" i="33"/>
  <c r="O539" i="33" s="1"/>
  <c r="C725" i="33"/>
  <c r="O725" i="33" s="1"/>
  <c r="C741" i="33"/>
  <c r="O741" i="33" s="1"/>
  <c r="C761" i="33"/>
  <c r="O761" i="33" s="1"/>
  <c r="C769" i="33"/>
  <c r="O769" i="33" s="1"/>
  <c r="C11" i="33"/>
  <c r="O11" i="33" s="1"/>
  <c r="C19" i="33"/>
  <c r="O19" i="33" s="1"/>
  <c r="C27" i="33"/>
  <c r="O27" i="33" s="1"/>
  <c r="C43" i="33"/>
  <c r="O43" i="33" s="1"/>
  <c r="C51" i="33"/>
  <c r="O51" i="33" s="1"/>
  <c r="C79" i="33"/>
  <c r="O79" i="33" s="1"/>
  <c r="C83" i="33"/>
  <c r="O83" i="33" s="1"/>
  <c r="C87" i="33"/>
  <c r="O87" i="33" s="1"/>
  <c r="C159" i="33"/>
  <c r="O159" i="33" s="1"/>
  <c r="C163" i="33"/>
  <c r="O163" i="33" s="1"/>
  <c r="C167" i="33"/>
  <c r="O167" i="33" s="1"/>
  <c r="C171" i="33"/>
  <c r="O171" i="33" s="1"/>
  <c r="C187" i="33"/>
  <c r="O187" i="33" s="1"/>
  <c r="C199" i="33"/>
  <c r="O199" i="33" s="1"/>
  <c r="C203" i="33"/>
  <c r="O203" i="33" s="1"/>
  <c r="C215" i="33"/>
  <c r="O215" i="33" s="1"/>
  <c r="C235" i="33"/>
  <c r="O235" i="33" s="1"/>
  <c r="C247" i="33"/>
  <c r="O247" i="33" s="1"/>
  <c r="C251" i="33"/>
  <c r="O251" i="33" s="1"/>
  <c r="C263" i="33"/>
  <c r="O263" i="33" s="1"/>
  <c r="C279" i="33"/>
  <c r="O279" i="33" s="1"/>
  <c r="C287" i="33"/>
  <c r="O287" i="33" s="1"/>
  <c r="C315" i="33"/>
  <c r="O315" i="33" s="1"/>
  <c r="C331" i="33"/>
  <c r="O331" i="33" s="1"/>
  <c r="C343" i="33"/>
  <c r="O343" i="33" s="1"/>
  <c r="C534" i="33"/>
  <c r="O534" i="33" s="1"/>
  <c r="C650" i="33"/>
  <c r="O650" i="33" s="1"/>
  <c r="C654" i="33"/>
  <c r="O654" i="33" s="1"/>
  <c r="C658" i="33"/>
  <c r="O658" i="33" s="1"/>
  <c r="C674" i="33"/>
  <c r="O674" i="33" s="1"/>
  <c r="C682" i="33"/>
  <c r="O682" i="33" s="1"/>
  <c r="C698" i="33"/>
  <c r="O698" i="33" s="1"/>
  <c r="C718" i="33"/>
  <c r="O718" i="33" s="1"/>
  <c r="C742" i="33"/>
  <c r="O742" i="33" s="1"/>
  <c r="C762" i="33"/>
  <c r="O762" i="33" s="1"/>
  <c r="C766" i="33"/>
  <c r="O766" i="33" s="1"/>
  <c r="C774" i="33"/>
  <c r="O774" i="33" s="1"/>
  <c r="C395" i="33"/>
  <c r="O395" i="33" s="1"/>
  <c r="C399" i="33"/>
  <c r="O399" i="33" s="1"/>
  <c r="C71" i="33"/>
  <c r="O71" i="33" s="1"/>
  <c r="C124" i="33"/>
  <c r="O124" i="33" s="1"/>
  <c r="C323" i="33"/>
  <c r="O323" i="33" s="1"/>
  <c r="C355" i="33"/>
  <c r="O355" i="33" s="1"/>
  <c r="C497" i="33"/>
  <c r="O497" i="33" s="1"/>
  <c r="C603" i="33"/>
  <c r="O603" i="33" s="1"/>
  <c r="C686" i="33"/>
  <c r="O686" i="33" s="1"/>
  <c r="C690" i="33"/>
  <c r="O690" i="33" s="1"/>
  <c r="C714" i="33"/>
  <c r="O714" i="33" s="1"/>
  <c r="C738" i="33"/>
  <c r="O738" i="33" s="1"/>
  <c r="C322" i="33"/>
  <c r="O322" i="33" s="1"/>
  <c r="C192" i="33"/>
  <c r="O192" i="33" s="1"/>
  <c r="C200" i="33"/>
  <c r="O200" i="33" s="1"/>
  <c r="C204" i="33"/>
  <c r="O204" i="33" s="1"/>
  <c r="C232" i="33"/>
  <c r="O232" i="33" s="1"/>
  <c r="C244" i="33"/>
  <c r="O244" i="33" s="1"/>
  <c r="C252" i="33"/>
  <c r="O252" i="33" s="1"/>
  <c r="C387" i="33"/>
  <c r="O387" i="33" s="1"/>
  <c r="C391" i="33"/>
  <c r="O391" i="33" s="1"/>
  <c r="C537" i="33"/>
  <c r="O537" i="33" s="1"/>
  <c r="C604" i="33"/>
  <c r="O604" i="33" s="1"/>
  <c r="C608" i="33"/>
  <c r="O608" i="33" s="1"/>
  <c r="C620" i="33"/>
  <c r="O620" i="33" s="1"/>
  <c r="C671" i="33"/>
  <c r="O671" i="33" s="1"/>
  <c r="C679" i="33"/>
  <c r="O679" i="33" s="1"/>
  <c r="C687" i="33"/>
  <c r="O687" i="33" s="1"/>
  <c r="C699" i="33"/>
  <c r="O699" i="33" s="1"/>
  <c r="C703" i="33"/>
  <c r="O703" i="33" s="1"/>
  <c r="C731" i="33"/>
  <c r="O731" i="33" s="1"/>
  <c r="C755" i="33"/>
  <c r="O755" i="33" s="1"/>
  <c r="C819" i="33"/>
  <c r="C65" i="33"/>
  <c r="O65" i="33" s="1"/>
  <c r="C427" i="33"/>
  <c r="O427" i="33" s="1"/>
  <c r="C82" i="33"/>
  <c r="O82" i="33" s="1"/>
  <c r="C201" i="33"/>
  <c r="O201" i="33" s="1"/>
  <c r="C257" i="33"/>
  <c r="O257" i="33" s="1"/>
  <c r="C273" i="33"/>
  <c r="O273" i="33" s="1"/>
  <c r="C297" i="33"/>
  <c r="O297" i="33" s="1"/>
  <c r="C305" i="33"/>
  <c r="O305" i="33" s="1"/>
  <c r="C309" i="33"/>
  <c r="O309" i="33" s="1"/>
  <c r="C313" i="33"/>
  <c r="O313" i="33" s="1"/>
  <c r="C49" i="33"/>
  <c r="O49" i="33" s="1"/>
  <c r="C423" i="33"/>
  <c r="O423" i="33" s="1"/>
  <c r="C138" i="33"/>
  <c r="O138" i="33" s="1"/>
  <c r="C190" i="33"/>
  <c r="O190" i="33" s="1"/>
  <c r="C218" i="33"/>
  <c r="O218" i="33" s="1"/>
  <c r="C222" i="33"/>
  <c r="O222" i="33" s="1"/>
  <c r="C234" i="33"/>
  <c r="O234" i="33" s="1"/>
  <c r="C250" i="33"/>
  <c r="O250" i="33" s="1"/>
  <c r="C274" i="33"/>
  <c r="O274" i="33" s="1"/>
  <c r="C373" i="33"/>
  <c r="O373" i="33" s="1"/>
  <c r="C381" i="33"/>
  <c r="O381" i="33" s="1"/>
  <c r="C393" i="33"/>
  <c r="O393" i="33" s="1"/>
  <c r="C460" i="33"/>
  <c r="O460" i="33" s="1"/>
  <c r="C562" i="33"/>
  <c r="O562" i="33" s="1"/>
  <c r="C570" i="33"/>
  <c r="O570" i="33" s="1"/>
  <c r="C638" i="33"/>
  <c r="O638" i="33" s="1"/>
  <c r="C642" i="33"/>
  <c r="O642" i="33" s="1"/>
  <c r="C653" i="33"/>
  <c r="O653" i="33" s="1"/>
  <c r="C689" i="33"/>
  <c r="O689" i="33" s="1"/>
  <c r="C709" i="33"/>
  <c r="O709" i="33" s="1"/>
  <c r="C69" i="33"/>
  <c r="O69" i="33" s="1"/>
  <c r="C108" i="33"/>
  <c r="O108" i="33" s="1"/>
  <c r="C284" i="33"/>
  <c r="O284" i="33" s="1"/>
  <c r="C311" i="33"/>
  <c r="O311" i="33" s="1"/>
  <c r="C35" i="33"/>
  <c r="O35" i="33" s="1"/>
  <c r="C156" i="33"/>
  <c r="O156" i="33" s="1"/>
  <c r="C236" i="33"/>
  <c r="O236" i="33" s="1"/>
  <c r="C491" i="33"/>
  <c r="O491" i="33" s="1"/>
  <c r="C91" i="33"/>
  <c r="O91" i="33" s="1"/>
  <c r="C95" i="33"/>
  <c r="O95" i="33" s="1"/>
  <c r="C99" i="33"/>
  <c r="O99" i="33" s="1"/>
  <c r="C111" i="33"/>
  <c r="O111" i="33" s="1"/>
  <c r="C158" i="33"/>
  <c r="O158" i="33" s="1"/>
  <c r="C162" i="33"/>
  <c r="O162" i="33" s="1"/>
  <c r="C196" i="33"/>
  <c r="O196" i="33" s="1"/>
  <c r="C231" i="33"/>
  <c r="O231" i="33" s="1"/>
  <c r="C264" i="33"/>
  <c r="O264" i="33" s="1"/>
  <c r="C378" i="33"/>
  <c r="O378" i="33" s="1"/>
  <c r="C440" i="33"/>
  <c r="O440" i="33" s="1"/>
  <c r="C448" i="33"/>
  <c r="O448" i="33" s="1"/>
  <c r="C493" i="33"/>
  <c r="O493" i="33" s="1"/>
  <c r="C513" i="33"/>
  <c r="O513" i="33" s="1"/>
  <c r="C538" i="33"/>
  <c r="O538" i="33" s="1"/>
  <c r="C549" i="33"/>
  <c r="O549" i="33" s="1"/>
  <c r="C553" i="33"/>
  <c r="O553" i="33" s="1"/>
  <c r="C564" i="33"/>
  <c r="O564" i="33" s="1"/>
  <c r="C599" i="33"/>
  <c r="O599" i="33" s="1"/>
  <c r="C759" i="33"/>
  <c r="O759" i="33" s="1"/>
  <c r="C779" i="33"/>
  <c r="O779" i="33" s="1"/>
  <c r="C783" i="33"/>
  <c r="O783" i="33" s="1"/>
  <c r="C787" i="33"/>
  <c r="O787" i="33" s="1"/>
  <c r="C810" i="33"/>
  <c r="C14" i="33"/>
  <c r="O14" i="33" s="1"/>
  <c r="C38" i="33"/>
  <c r="O38" i="33" s="1"/>
  <c r="C372" i="33"/>
  <c r="O372" i="33" s="1"/>
  <c r="C74" i="33"/>
  <c r="O74" i="33" s="1"/>
  <c r="C453" i="33"/>
  <c r="O453" i="33" s="1"/>
  <c r="C530" i="33"/>
  <c r="O530" i="33" s="1"/>
  <c r="C53" i="33"/>
  <c r="O53" i="33" s="1"/>
  <c r="C57" i="33"/>
  <c r="O57" i="33" s="1"/>
  <c r="C146" i="33"/>
  <c r="O146" i="33" s="1"/>
  <c r="C178" i="33"/>
  <c r="O178" i="33" s="1"/>
  <c r="C197" i="33"/>
  <c r="O197" i="33" s="1"/>
  <c r="C220" i="33"/>
  <c r="O220" i="33" s="1"/>
  <c r="C242" i="33"/>
  <c r="O242" i="33" s="1"/>
  <c r="C253" i="33"/>
  <c r="O253" i="33" s="1"/>
  <c r="C265" i="33"/>
  <c r="O265" i="33" s="1"/>
  <c r="C295" i="33"/>
  <c r="O295" i="33" s="1"/>
  <c r="C306" i="33"/>
  <c r="O306" i="33" s="1"/>
  <c r="C318" i="33"/>
  <c r="O318" i="33" s="1"/>
  <c r="C356" i="33"/>
  <c r="O356" i="33" s="1"/>
  <c r="C364" i="33"/>
  <c r="O364" i="33" s="1"/>
  <c r="C371" i="33"/>
  <c r="O371" i="33" s="1"/>
  <c r="C386" i="33"/>
  <c r="O386" i="33" s="1"/>
  <c r="C470" i="33"/>
  <c r="O470" i="33" s="1"/>
  <c r="C721" i="33"/>
  <c r="O721" i="33" s="1"/>
  <c r="C729" i="33"/>
  <c r="O729" i="33" s="1"/>
  <c r="C733" i="33"/>
  <c r="O733" i="33" s="1"/>
  <c r="C760" i="33"/>
  <c r="O760" i="33" s="1"/>
  <c r="C768" i="33"/>
  <c r="O768" i="33" s="1"/>
  <c r="C814" i="33"/>
  <c r="C401" i="33"/>
  <c r="O401" i="33" s="1"/>
  <c r="C405" i="33"/>
  <c r="O405" i="33" s="1"/>
  <c r="C409" i="33"/>
  <c r="O409" i="33" s="1"/>
  <c r="C437" i="33"/>
  <c r="O437" i="33" s="1"/>
  <c r="C441" i="33"/>
  <c r="O441" i="33" s="1"/>
  <c r="C490" i="33"/>
  <c r="O490" i="33" s="1"/>
  <c r="C784" i="33"/>
  <c r="O784" i="33" s="1"/>
  <c r="C811" i="33"/>
  <c r="C619" i="33"/>
  <c r="O619" i="33" s="1"/>
  <c r="C730" i="33"/>
  <c r="O730" i="33" s="1"/>
  <c r="C585" i="33"/>
  <c r="O585" i="33" s="1"/>
  <c r="C639" i="33"/>
  <c r="O639" i="33" s="1"/>
  <c r="C647" i="33"/>
  <c r="O647" i="33" s="1"/>
  <c r="C722" i="33"/>
  <c r="O722" i="33" s="1"/>
  <c r="C495" i="33"/>
  <c r="O495" i="33" s="1"/>
  <c r="C540" i="33"/>
  <c r="O540" i="33" s="1"/>
  <c r="C593" i="33"/>
  <c r="O593" i="33" s="1"/>
  <c r="C30" i="33"/>
  <c r="O30" i="33" s="1"/>
  <c r="C335" i="33"/>
  <c r="O335" i="33" s="1"/>
  <c r="C483" i="33"/>
  <c r="O483" i="33" s="1"/>
  <c r="C24" i="33"/>
  <c r="O24" i="33" s="1"/>
  <c r="C32" i="33"/>
  <c r="O32" i="33" s="1"/>
  <c r="C98" i="33"/>
  <c r="O98" i="33" s="1"/>
  <c r="C102" i="33"/>
  <c r="O102" i="33" s="1"/>
  <c r="C145" i="33"/>
  <c r="O145" i="33" s="1"/>
  <c r="C168" i="33"/>
  <c r="O168" i="33" s="1"/>
  <c r="C191" i="33"/>
  <c r="O191" i="33" s="1"/>
  <c r="C230" i="33"/>
  <c r="O230" i="33" s="1"/>
  <c r="C300" i="33"/>
  <c r="O300" i="33" s="1"/>
  <c r="C324" i="33"/>
  <c r="O324" i="33" s="1"/>
  <c r="C369" i="33"/>
  <c r="O369" i="33" s="1"/>
  <c r="C377" i="33"/>
  <c r="O377" i="33" s="1"/>
  <c r="C411" i="33"/>
  <c r="O411" i="33" s="1"/>
  <c r="C431" i="33"/>
  <c r="O431" i="33" s="1"/>
  <c r="C480" i="33"/>
  <c r="O480" i="33" s="1"/>
  <c r="C520" i="33"/>
  <c r="O520" i="33" s="1"/>
  <c r="C575" i="33"/>
  <c r="O575" i="33" s="1"/>
  <c r="C617" i="33"/>
  <c r="O617" i="33" s="1"/>
  <c r="C624" i="33"/>
  <c r="O624" i="33" s="1"/>
  <c r="C694" i="33"/>
  <c r="O694" i="33" s="1"/>
  <c r="C697" i="33"/>
  <c r="O697" i="33" s="1"/>
  <c r="C716" i="33"/>
  <c r="O716" i="33" s="1"/>
  <c r="C727" i="33"/>
  <c r="O727" i="33" s="1"/>
  <c r="C786" i="33"/>
  <c r="O786" i="33" s="1"/>
  <c r="C813" i="33"/>
  <c r="C100" i="33"/>
  <c r="O100" i="33" s="1"/>
  <c r="C116" i="33"/>
  <c r="O116" i="33" s="1"/>
  <c r="C228" i="33"/>
  <c r="O228" i="33" s="1"/>
  <c r="C217" i="33"/>
  <c r="O217" i="33" s="1"/>
  <c r="C418" i="33"/>
  <c r="O418" i="33" s="1"/>
  <c r="C28" i="33"/>
  <c r="O28" i="33" s="1"/>
  <c r="C48" i="33"/>
  <c r="O48" i="33" s="1"/>
  <c r="C556" i="33"/>
  <c r="O556" i="33" s="1"/>
  <c r="C675" i="33"/>
  <c r="O675" i="33" s="1"/>
  <c r="C763" i="33"/>
  <c r="O763" i="33" s="1"/>
  <c r="C794" i="33"/>
  <c r="O794" i="33" s="1"/>
  <c r="C798" i="33"/>
  <c r="O798" i="33" s="1"/>
  <c r="C817" i="33"/>
  <c r="C188" i="33"/>
  <c r="O188" i="33" s="1"/>
  <c r="C185" i="33"/>
  <c r="O185" i="33" s="1"/>
  <c r="C45" i="33"/>
  <c r="O45" i="33" s="1"/>
  <c r="C22" i="33"/>
  <c r="O22" i="33" s="1"/>
  <c r="C29" i="33"/>
  <c r="O29" i="33" s="1"/>
  <c r="C44" i="33"/>
  <c r="O44" i="33" s="1"/>
  <c r="C46" i="33"/>
  <c r="O46" i="33" s="1"/>
  <c r="C75" i="33"/>
  <c r="O75" i="33" s="1"/>
  <c r="C84" i="33"/>
  <c r="O84" i="33" s="1"/>
  <c r="C107" i="33"/>
  <c r="O107" i="33" s="1"/>
  <c r="C134" i="33"/>
  <c r="O134" i="33" s="1"/>
  <c r="C172" i="33"/>
  <c r="O172" i="33" s="1"/>
  <c r="C193" i="33"/>
  <c r="O193" i="33" s="1"/>
  <c r="C210" i="33"/>
  <c r="O210" i="33" s="1"/>
  <c r="C286" i="33"/>
  <c r="O286" i="33" s="1"/>
  <c r="C292" i="33"/>
  <c r="O292" i="33" s="1"/>
  <c r="C340" i="33"/>
  <c r="O340" i="33" s="1"/>
  <c r="C365" i="33"/>
  <c r="O365" i="33" s="1"/>
  <c r="C392" i="33"/>
  <c r="O392" i="33" s="1"/>
  <c r="C458" i="33"/>
  <c r="O458" i="33" s="1"/>
  <c r="C529" i="33"/>
  <c r="O529" i="33" s="1"/>
  <c r="C583" i="33"/>
  <c r="O583" i="33" s="1"/>
  <c r="C681" i="33"/>
  <c r="O681" i="33" s="1"/>
  <c r="C92" i="33"/>
  <c r="O92" i="33" s="1"/>
  <c r="C198" i="33"/>
  <c r="O198" i="33" s="1"/>
  <c r="C396" i="33"/>
  <c r="O396" i="33" s="1"/>
  <c r="C379" i="33"/>
  <c r="O379" i="33" s="1"/>
  <c r="C68" i="33"/>
  <c r="O68" i="33" s="1"/>
  <c r="C151" i="33"/>
  <c r="O151" i="33" s="1"/>
  <c r="C180" i="33"/>
  <c r="O180" i="33" s="1"/>
  <c r="C54" i="33"/>
  <c r="O54" i="33" s="1"/>
  <c r="C76" i="33"/>
  <c r="O76" i="33" s="1"/>
  <c r="C132" i="33"/>
  <c r="O132" i="33" s="1"/>
  <c r="C164" i="33"/>
  <c r="O164" i="33" s="1"/>
  <c r="C17" i="33"/>
  <c r="O17" i="33" s="1"/>
  <c r="C21" i="33"/>
  <c r="O21" i="33" s="1"/>
  <c r="C33" i="33"/>
  <c r="O33" i="33" s="1"/>
  <c r="C61" i="33"/>
  <c r="O61" i="33" s="1"/>
  <c r="C103" i="33"/>
  <c r="O103" i="33" s="1"/>
  <c r="C117" i="33"/>
  <c r="O117" i="33" s="1"/>
  <c r="C140" i="33"/>
  <c r="O140" i="33" s="1"/>
  <c r="C333" i="33"/>
  <c r="O333" i="33" s="1"/>
  <c r="C385" i="33"/>
  <c r="O385" i="33" s="1"/>
  <c r="C388" i="33"/>
  <c r="O388" i="33" s="1"/>
  <c r="C429" i="33"/>
  <c r="O429" i="33" s="1"/>
  <c r="C578" i="33"/>
  <c r="O578" i="33" s="1"/>
  <c r="C425" i="33"/>
  <c r="O425" i="33" s="1"/>
  <c r="C125" i="33"/>
  <c r="O125" i="33" s="1"/>
  <c r="C37" i="33"/>
  <c r="O37" i="33" s="1"/>
  <c r="C60" i="33"/>
  <c r="O60" i="33" s="1"/>
  <c r="C133" i="33"/>
  <c r="O133" i="33" s="1"/>
  <c r="C240" i="33"/>
  <c r="O240" i="33" s="1"/>
  <c r="C317" i="33"/>
  <c r="O317" i="33" s="1"/>
  <c r="C319" i="33"/>
  <c r="O319" i="33" s="1"/>
  <c r="C605" i="33"/>
  <c r="O605" i="33" s="1"/>
  <c r="C613" i="33"/>
  <c r="O613" i="33" s="1"/>
  <c r="C749" i="33"/>
  <c r="O749" i="33" s="1"/>
  <c r="C229" i="33"/>
  <c r="O229" i="33" s="1"/>
  <c r="C260" i="33"/>
  <c r="O260" i="33" s="1"/>
  <c r="C267" i="33"/>
  <c r="O267" i="33" s="1"/>
  <c r="C283" i="33"/>
  <c r="O283" i="33" s="1"/>
  <c r="C308" i="33"/>
  <c r="O308" i="33" s="1"/>
  <c r="C314" i="33"/>
  <c r="O314" i="33" s="1"/>
  <c r="C339" i="33"/>
  <c r="O339" i="33" s="1"/>
  <c r="C376" i="33"/>
  <c r="O376" i="33" s="1"/>
  <c r="C398" i="33"/>
  <c r="O398" i="33" s="1"/>
  <c r="C472" i="33"/>
  <c r="O472" i="33" s="1"/>
  <c r="C525" i="33"/>
  <c r="O525" i="33" s="1"/>
  <c r="C542" i="33"/>
  <c r="O542" i="33" s="1"/>
  <c r="C548" i="33"/>
  <c r="O548" i="33" s="1"/>
  <c r="C551" i="33"/>
  <c r="O551" i="33" s="1"/>
  <c r="C573" i="33"/>
  <c r="O573" i="33" s="1"/>
  <c r="C595" i="33"/>
  <c r="O595" i="33" s="1"/>
  <c r="C661" i="33"/>
  <c r="O661" i="33" s="1"/>
  <c r="C746" i="33"/>
  <c r="O746" i="33" s="1"/>
  <c r="C750" i="33"/>
  <c r="O750" i="33" s="1"/>
  <c r="C753" i="33"/>
  <c r="O753" i="33" s="1"/>
  <c r="C773" i="33"/>
  <c r="O773" i="33" s="1"/>
  <c r="C775" i="33"/>
  <c r="O775" i="33" s="1"/>
  <c r="C778" i="33"/>
  <c r="O778" i="33" s="1"/>
  <c r="C223" i="33"/>
  <c r="O223" i="33" s="1"/>
  <c r="C268" i="33"/>
  <c r="O268" i="33" s="1"/>
  <c r="C341" i="33"/>
  <c r="O341" i="33" s="1"/>
  <c r="C415" i="33"/>
  <c r="O415" i="33" s="1"/>
  <c r="C420" i="33"/>
  <c r="O420" i="33" s="1"/>
  <c r="C432" i="33"/>
  <c r="O432" i="33" s="1"/>
  <c r="C444" i="33"/>
  <c r="O444" i="33" s="1"/>
  <c r="C482" i="33"/>
  <c r="O482" i="33" s="1"/>
  <c r="C503" i="33"/>
  <c r="O503" i="33" s="1"/>
  <c r="C558" i="33"/>
  <c r="O558" i="33" s="1"/>
  <c r="C574" i="33"/>
  <c r="O574" i="33" s="1"/>
  <c r="C584" i="33"/>
  <c r="O584" i="33" s="1"/>
  <c r="C665" i="33"/>
  <c r="O665" i="33" s="1"/>
  <c r="C715" i="33"/>
  <c r="O715" i="33" s="1"/>
  <c r="C212" i="33"/>
  <c r="O212" i="33" s="1"/>
  <c r="C334" i="33"/>
  <c r="O334" i="33" s="1"/>
  <c r="C744" i="33"/>
  <c r="O744" i="33" s="1"/>
  <c r="C77" i="33"/>
  <c r="O77" i="33" s="1"/>
  <c r="C94" i="33"/>
  <c r="O94" i="33" s="1"/>
  <c r="C104" i="33"/>
  <c r="O104" i="33" s="1"/>
  <c r="C122" i="33"/>
  <c r="O122" i="33" s="1"/>
  <c r="C128" i="33"/>
  <c r="O128" i="33" s="1"/>
  <c r="C149" i="33"/>
  <c r="O149" i="33" s="1"/>
  <c r="C155" i="33"/>
  <c r="O155" i="33" s="1"/>
  <c r="C166" i="33"/>
  <c r="O166" i="33" s="1"/>
  <c r="C219" i="33"/>
  <c r="O219" i="33" s="1"/>
  <c r="C245" i="33"/>
  <c r="O245" i="33" s="1"/>
  <c r="C254" i="33"/>
  <c r="O254" i="33" s="1"/>
  <c r="C255" i="33"/>
  <c r="O255" i="33" s="1"/>
  <c r="C262" i="33"/>
  <c r="O262" i="33" s="1"/>
  <c r="C276" i="33"/>
  <c r="O276" i="33" s="1"/>
  <c r="C282" i="33"/>
  <c r="O282" i="33" s="1"/>
  <c r="C294" i="33"/>
  <c r="O294" i="33" s="1"/>
  <c r="C332" i="33"/>
  <c r="O332" i="33" s="1"/>
  <c r="C337" i="33"/>
  <c r="O337" i="33" s="1"/>
  <c r="C348" i="33"/>
  <c r="O348" i="33" s="1"/>
  <c r="C384" i="33"/>
  <c r="O384" i="33" s="1"/>
  <c r="C389" i="33"/>
  <c r="O389" i="33" s="1"/>
  <c r="C465" i="33"/>
  <c r="O465" i="33" s="1"/>
  <c r="C468" i="33"/>
  <c r="O468" i="33" s="1"/>
  <c r="C569" i="33"/>
  <c r="O569" i="33" s="1"/>
  <c r="C666" i="33"/>
  <c r="O666" i="33" s="1"/>
  <c r="C677" i="33"/>
  <c r="O677" i="33" s="1"/>
  <c r="C782" i="33"/>
  <c r="O782" i="33" s="1"/>
  <c r="C785" i="33"/>
  <c r="O785" i="33" s="1"/>
  <c r="C500" i="33"/>
  <c r="O500" i="33" s="1"/>
  <c r="C512" i="33"/>
  <c r="O512" i="33" s="1"/>
  <c r="C555" i="33"/>
  <c r="O555" i="33" s="1"/>
  <c r="C566" i="33"/>
  <c r="O566" i="33" s="1"/>
  <c r="C581" i="33"/>
  <c r="O581" i="33" s="1"/>
  <c r="C591" i="33"/>
  <c r="O591" i="33" s="1"/>
  <c r="C636" i="33"/>
  <c r="O636" i="33" s="1"/>
  <c r="C670" i="33"/>
  <c r="O670" i="33" s="1"/>
  <c r="C673" i="33"/>
  <c r="O673" i="33" s="1"/>
  <c r="C719" i="33"/>
  <c r="O719" i="33" s="1"/>
  <c r="C752" i="33"/>
  <c r="O752" i="33" s="1"/>
  <c r="C764" i="33"/>
  <c r="O764" i="33" s="1"/>
  <c r="C772" i="33"/>
  <c r="O772" i="33" s="1"/>
  <c r="C790" i="33"/>
  <c r="O790" i="33" s="1"/>
  <c r="C795" i="33"/>
  <c r="O795" i="33" s="1"/>
  <c r="C805" i="33"/>
  <c r="C580" i="33"/>
  <c r="O580" i="33" s="1"/>
  <c r="C626" i="33"/>
  <c r="O626" i="33" s="1"/>
  <c r="C631" i="33"/>
  <c r="O631" i="33" s="1"/>
  <c r="C770" i="33"/>
  <c r="O770" i="33" s="1"/>
  <c r="C435" i="33"/>
  <c r="O435" i="33" s="1"/>
  <c r="C469" i="33"/>
  <c r="O469" i="33" s="1"/>
  <c r="C481" i="33"/>
  <c r="O481" i="33" s="1"/>
  <c r="C559" i="33"/>
  <c r="O559" i="33" s="1"/>
  <c r="C586" i="33"/>
  <c r="O586" i="33" s="1"/>
  <c r="C606" i="33"/>
  <c r="O606" i="33" s="1"/>
  <c r="C616" i="33"/>
  <c r="O616" i="33" s="1"/>
  <c r="C623" i="33"/>
  <c r="O623" i="33" s="1"/>
  <c r="C634" i="33"/>
  <c r="O634" i="33" s="1"/>
  <c r="C637" i="33"/>
  <c r="O637" i="33" s="1"/>
  <c r="C706" i="33"/>
  <c r="O706" i="33" s="1"/>
  <c r="C747" i="33"/>
  <c r="O747" i="33" s="1"/>
  <c r="C777" i="33"/>
  <c r="O777" i="33" s="1"/>
  <c r="C780" i="33"/>
  <c r="O780" i="33" s="1"/>
  <c r="C789" i="33"/>
  <c r="O789" i="33" s="1"/>
  <c r="C800" i="33"/>
  <c r="O800" i="33" s="1"/>
  <c r="C357" i="33"/>
  <c r="O357" i="33" s="1"/>
  <c r="C359" i="33"/>
  <c r="O359" i="33" s="1"/>
  <c r="C383" i="33"/>
  <c r="O383" i="33" s="1"/>
  <c r="C417" i="33"/>
  <c r="O417" i="33" s="1"/>
  <c r="C428" i="33"/>
  <c r="O428" i="33" s="1"/>
  <c r="C442" i="33"/>
  <c r="O442" i="33" s="1"/>
  <c r="C467" i="33"/>
  <c r="O467" i="33" s="1"/>
  <c r="C499" i="33"/>
  <c r="O499" i="33" s="1"/>
  <c r="C602" i="33"/>
  <c r="O602" i="33" s="1"/>
  <c r="C622" i="33"/>
  <c r="O622" i="33" s="1"/>
  <c r="C629" i="33"/>
  <c r="O629" i="33" s="1"/>
  <c r="C657" i="33"/>
  <c r="O657" i="33" s="1"/>
  <c r="C688" i="33"/>
  <c r="O688" i="33" s="1"/>
  <c r="C707" i="33"/>
  <c r="O707" i="33" s="1"/>
  <c r="C757" i="33"/>
  <c r="O757" i="33" s="1"/>
  <c r="C771" i="33"/>
  <c r="O771" i="33" s="1"/>
  <c r="C781" i="33"/>
  <c r="O781" i="33" s="1"/>
  <c r="C797" i="33"/>
  <c r="O797" i="33" s="1"/>
  <c r="C803" i="33"/>
  <c r="O803" i="33" s="1"/>
  <c r="C821" i="33"/>
  <c r="C118" i="33"/>
  <c r="O118" i="33" s="1"/>
  <c r="C157" i="33"/>
  <c r="O157" i="33" s="1"/>
  <c r="C161" i="33"/>
  <c r="O161" i="33" s="1"/>
  <c r="C165" i="33"/>
  <c r="O165" i="33" s="1"/>
  <c r="C194" i="33"/>
  <c r="O194" i="33" s="1"/>
  <c r="C206" i="33"/>
  <c r="O206" i="33" s="1"/>
  <c r="C246" i="33"/>
  <c r="O246" i="33" s="1"/>
  <c r="C299" i="33"/>
  <c r="O299" i="33" s="1"/>
  <c r="C328" i="33"/>
  <c r="O328" i="33" s="1"/>
  <c r="C445" i="33"/>
  <c r="O445" i="33" s="1"/>
  <c r="C487" i="33"/>
  <c r="O487" i="33" s="1"/>
  <c r="C301" i="33"/>
  <c r="O301" i="33" s="1"/>
  <c r="C278" i="33"/>
  <c r="O278" i="33" s="1"/>
  <c r="C329" i="33"/>
  <c r="O329" i="33" s="1"/>
  <c r="C345" i="33"/>
  <c r="O345" i="33" s="1"/>
  <c r="C515" i="33"/>
  <c r="O515" i="33" s="1"/>
  <c r="C419" i="33"/>
  <c r="O419" i="33" s="1"/>
  <c r="C443" i="33"/>
  <c r="O443" i="33" s="1"/>
  <c r="C456" i="33"/>
  <c r="O456" i="33" s="1"/>
  <c r="C106" i="33"/>
  <c r="O106" i="33" s="1"/>
  <c r="C110" i="33"/>
  <c r="O110" i="33" s="1"/>
  <c r="C114" i="33"/>
  <c r="O114" i="33" s="1"/>
  <c r="C153" i="33"/>
  <c r="O153" i="33" s="1"/>
  <c r="C126" i="33"/>
  <c r="O126" i="33" s="1"/>
  <c r="C259" i="33"/>
  <c r="O259" i="33" s="1"/>
  <c r="C459" i="33"/>
  <c r="O459" i="33" s="1"/>
  <c r="C183" i="33"/>
  <c r="O183" i="33" s="1"/>
  <c r="C175" i="33"/>
  <c r="O175" i="33" s="1"/>
  <c r="C280" i="33"/>
  <c r="O280" i="33" s="1"/>
  <c r="C353" i="33"/>
  <c r="O353" i="33" s="1"/>
  <c r="C105" i="33"/>
  <c r="O105" i="33" s="1"/>
  <c r="C109" i="33"/>
  <c r="O109" i="33" s="1"/>
  <c r="C113" i="33"/>
  <c r="O113" i="33" s="1"/>
  <c r="C258" i="33"/>
  <c r="O258" i="33" s="1"/>
  <c r="C270" i="33"/>
  <c r="O270" i="33" s="1"/>
  <c r="C72" i="33"/>
  <c r="O72" i="33" s="1"/>
  <c r="C119" i="33"/>
  <c r="O119" i="33" s="1"/>
  <c r="C123" i="33"/>
  <c r="O123" i="33" s="1"/>
  <c r="C184" i="33"/>
  <c r="O184" i="33" s="1"/>
  <c r="C195" i="33"/>
  <c r="O195" i="33" s="1"/>
  <c r="C207" i="33"/>
  <c r="O207" i="33" s="1"/>
  <c r="C237" i="33"/>
  <c r="O237" i="33" s="1"/>
  <c r="C298" i="33"/>
  <c r="O298" i="33" s="1"/>
  <c r="C312" i="33"/>
  <c r="O312" i="33" s="1"/>
  <c r="C338" i="33"/>
  <c r="O338" i="33" s="1"/>
  <c r="C477" i="33"/>
  <c r="O477" i="33" s="1"/>
  <c r="C522" i="33"/>
  <c r="O522" i="33" s="1"/>
  <c r="C561" i="33"/>
  <c r="O561" i="33" s="1"/>
  <c r="C63" i="33"/>
  <c r="O63" i="33" s="1"/>
  <c r="C248" i="33"/>
  <c r="O248" i="33" s="1"/>
  <c r="C271" i="33"/>
  <c r="O271" i="33" s="1"/>
  <c r="C362" i="33"/>
  <c r="O362" i="33" s="1"/>
  <c r="C26" i="33"/>
  <c r="O26" i="33" s="1"/>
  <c r="C89" i="33"/>
  <c r="O89" i="33" s="1"/>
  <c r="C93" i="33"/>
  <c r="O93" i="33" s="1"/>
  <c r="C97" i="33"/>
  <c r="O97" i="33" s="1"/>
  <c r="C101" i="33"/>
  <c r="O101" i="33" s="1"/>
  <c r="C169" i="33"/>
  <c r="O169" i="33" s="1"/>
  <c r="C173" i="33"/>
  <c r="O173" i="33" s="1"/>
  <c r="C224" i="33"/>
  <c r="O224" i="33" s="1"/>
  <c r="C226" i="33"/>
  <c r="O226" i="33" s="1"/>
  <c r="C15" i="33"/>
  <c r="O15" i="33" s="1"/>
  <c r="C31" i="33"/>
  <c r="O31" i="33" s="1"/>
  <c r="C47" i="33"/>
  <c r="O47" i="33" s="1"/>
  <c r="C62" i="33"/>
  <c r="O62" i="33" s="1"/>
  <c r="C136" i="33"/>
  <c r="O136" i="33" s="1"/>
  <c r="C291" i="33"/>
  <c r="O291" i="33" s="1"/>
  <c r="C66" i="33"/>
  <c r="O66" i="33" s="1"/>
  <c r="C182" i="33"/>
  <c r="O182" i="33" s="1"/>
  <c r="C327" i="33"/>
  <c r="O327" i="33" s="1"/>
  <c r="C363" i="33"/>
  <c r="O363" i="33" s="1"/>
  <c r="C20" i="33"/>
  <c r="O20" i="33" s="1"/>
  <c r="C25" i="33"/>
  <c r="O25" i="33" s="1"/>
  <c r="C41" i="33"/>
  <c r="O41" i="33" s="1"/>
  <c r="C52" i="33"/>
  <c r="O52" i="33" s="1"/>
  <c r="C34" i="33"/>
  <c r="O34" i="33" s="1"/>
  <c r="C50" i="33"/>
  <c r="O50" i="33" s="1"/>
  <c r="C214" i="33"/>
  <c r="O214" i="33" s="1"/>
  <c r="C288" i="33"/>
  <c r="O288" i="33" s="1"/>
  <c r="C290" i="33"/>
  <c r="O290" i="33" s="1"/>
  <c r="C302" i="33"/>
  <c r="O302" i="33" s="1"/>
  <c r="C320" i="33"/>
  <c r="O320" i="33" s="1"/>
  <c r="C346" i="33"/>
  <c r="O346" i="33" s="1"/>
  <c r="C354" i="33"/>
  <c r="O354" i="33" s="1"/>
  <c r="C552" i="33"/>
  <c r="O552" i="33" s="1"/>
  <c r="C67" i="33"/>
  <c r="O67" i="33" s="1"/>
  <c r="C10" i="33"/>
  <c r="C42" i="33"/>
  <c r="O42" i="33" s="1"/>
  <c r="C130" i="33"/>
  <c r="O130" i="33" s="1"/>
  <c r="C144" i="33"/>
  <c r="O144" i="33" s="1"/>
  <c r="C238" i="33"/>
  <c r="O238" i="33" s="1"/>
  <c r="C58" i="33"/>
  <c r="O58" i="33" s="1"/>
  <c r="C205" i="33"/>
  <c r="O205" i="33" s="1"/>
  <c r="C213" i="33"/>
  <c r="O213" i="33" s="1"/>
  <c r="C266" i="33"/>
  <c r="O266" i="33" s="1"/>
  <c r="C303" i="33"/>
  <c r="O303" i="33" s="1"/>
  <c r="C80" i="33"/>
  <c r="O80" i="33" s="1"/>
  <c r="C152" i="33"/>
  <c r="O152" i="33" s="1"/>
  <c r="C256" i="33"/>
  <c r="O256" i="33" s="1"/>
  <c r="C310" i="33"/>
  <c r="O310" i="33" s="1"/>
  <c r="C36" i="33"/>
  <c r="O36" i="33" s="1"/>
  <c r="C18" i="33"/>
  <c r="O18" i="33" s="1"/>
  <c r="C88" i="33"/>
  <c r="O88" i="33" s="1"/>
  <c r="C96" i="33"/>
  <c r="O96" i="33" s="1"/>
  <c r="C127" i="33"/>
  <c r="O127" i="33" s="1"/>
  <c r="C131" i="33"/>
  <c r="O131" i="33" s="1"/>
  <c r="C143" i="33"/>
  <c r="O143" i="33" s="1"/>
  <c r="C147" i="33"/>
  <c r="O147" i="33" s="1"/>
  <c r="C170" i="33"/>
  <c r="O170" i="33" s="1"/>
  <c r="C174" i="33"/>
  <c r="O174" i="33" s="1"/>
  <c r="C23" i="33"/>
  <c r="O23" i="33" s="1"/>
  <c r="C39" i="33"/>
  <c r="O39" i="33" s="1"/>
  <c r="C55" i="33"/>
  <c r="O55" i="33" s="1"/>
  <c r="C59" i="33"/>
  <c r="O59" i="33" s="1"/>
  <c r="C135" i="33"/>
  <c r="O135" i="33" s="1"/>
  <c r="C139" i="33"/>
  <c r="O139" i="33" s="1"/>
  <c r="C202" i="33"/>
  <c r="O202" i="33" s="1"/>
  <c r="C216" i="33"/>
  <c r="O216" i="33" s="1"/>
  <c r="C227" i="33"/>
  <c r="O227" i="33" s="1"/>
  <c r="C239" i="33"/>
  <c r="O239" i="33" s="1"/>
  <c r="C269" i="33"/>
  <c r="O269" i="33" s="1"/>
  <c r="C277" i="33"/>
  <c r="O277" i="33" s="1"/>
  <c r="C336" i="33"/>
  <c r="O336" i="33" s="1"/>
  <c r="C406" i="33"/>
  <c r="O406" i="33" s="1"/>
  <c r="C430" i="33"/>
  <c r="O430" i="33" s="1"/>
  <c r="C545" i="33"/>
  <c r="O545" i="33" s="1"/>
  <c r="C347" i="33"/>
  <c r="O347" i="33" s="1"/>
  <c r="C439" i="33"/>
  <c r="O439" i="33" s="1"/>
  <c r="C473" i="33"/>
  <c r="O473" i="33" s="1"/>
  <c r="C528" i="33"/>
  <c r="O528" i="33" s="1"/>
  <c r="C633" i="33"/>
  <c r="O633" i="33" s="1"/>
  <c r="C360" i="33"/>
  <c r="O360" i="33" s="1"/>
  <c r="C403" i="33"/>
  <c r="O403" i="33" s="1"/>
  <c r="C514" i="33"/>
  <c r="O514" i="33" s="1"/>
  <c r="C523" i="33"/>
  <c r="O523" i="33" s="1"/>
  <c r="C535" i="33"/>
  <c r="O535" i="33" s="1"/>
  <c r="C447" i="33"/>
  <c r="O447" i="33" s="1"/>
  <c r="C361" i="33"/>
  <c r="O361" i="33" s="1"/>
  <c r="C502" i="33"/>
  <c r="O502" i="33" s="1"/>
  <c r="C64" i="33"/>
  <c r="O64" i="33" s="1"/>
  <c r="C86" i="33"/>
  <c r="O86" i="33" s="1"/>
  <c r="C115" i="33"/>
  <c r="O115" i="33" s="1"/>
  <c r="C150" i="33"/>
  <c r="O150" i="33" s="1"/>
  <c r="C176" i="33"/>
  <c r="O176" i="33" s="1"/>
  <c r="C208" i="33"/>
  <c r="O208" i="33" s="1"/>
  <c r="C261" i="33"/>
  <c r="O261" i="33" s="1"/>
  <c r="C272" i="33"/>
  <c r="O272" i="33" s="1"/>
  <c r="C293" i="33"/>
  <c r="O293" i="33" s="1"/>
  <c r="C304" i="33"/>
  <c r="O304" i="33" s="1"/>
  <c r="C351" i="33"/>
  <c r="O351" i="33" s="1"/>
  <c r="C451" i="33"/>
  <c r="O451" i="33" s="1"/>
  <c r="C474" i="33"/>
  <c r="O474" i="33" s="1"/>
  <c r="C478" i="33"/>
  <c r="O478" i="33" s="1"/>
  <c r="C494" i="33"/>
  <c r="O494" i="33" s="1"/>
  <c r="C506" i="33"/>
  <c r="O506" i="33" s="1"/>
  <c r="C544" i="33"/>
  <c r="O544" i="33" s="1"/>
  <c r="C598" i="33"/>
  <c r="O598" i="33" s="1"/>
  <c r="C625" i="33"/>
  <c r="O625" i="33" s="1"/>
  <c r="C413" i="33"/>
  <c r="O413" i="33" s="1"/>
  <c r="C489" i="33"/>
  <c r="O489" i="33" s="1"/>
  <c r="C543" i="33"/>
  <c r="O543" i="33" s="1"/>
  <c r="C56" i="33"/>
  <c r="O56" i="33" s="1"/>
  <c r="C78" i="33"/>
  <c r="O78" i="33" s="1"/>
  <c r="C120" i="33"/>
  <c r="O120" i="33" s="1"/>
  <c r="C142" i="33"/>
  <c r="O142" i="33" s="1"/>
  <c r="C179" i="33"/>
  <c r="O179" i="33" s="1"/>
  <c r="C211" i="33"/>
  <c r="O211" i="33" s="1"/>
  <c r="C243" i="33"/>
  <c r="O243" i="33" s="1"/>
  <c r="C275" i="33"/>
  <c r="O275" i="33" s="1"/>
  <c r="C307" i="33"/>
  <c r="O307" i="33" s="1"/>
  <c r="C321" i="33"/>
  <c r="O321" i="33" s="1"/>
  <c r="C325" i="33"/>
  <c r="O325" i="33" s="1"/>
  <c r="C330" i="33"/>
  <c r="O330" i="33" s="1"/>
  <c r="C414" i="33"/>
  <c r="O414" i="33" s="1"/>
  <c r="C455" i="33"/>
  <c r="O455" i="33" s="1"/>
  <c r="C461" i="33"/>
  <c r="O461" i="33" s="1"/>
  <c r="C466" i="33"/>
  <c r="O466" i="33" s="1"/>
  <c r="C511" i="33"/>
  <c r="O511" i="33" s="1"/>
  <c r="C693" i="33"/>
  <c r="O693" i="33" s="1"/>
  <c r="C615" i="33"/>
  <c r="O615" i="33" s="1"/>
  <c r="C678" i="33"/>
  <c r="O678" i="33" s="1"/>
  <c r="C676" i="33"/>
  <c r="O676" i="33" s="1"/>
  <c r="C464" i="33"/>
  <c r="O464" i="33" s="1"/>
  <c r="C485" i="33"/>
  <c r="O485" i="33" s="1"/>
  <c r="C505" i="33"/>
  <c r="O505" i="33" s="1"/>
  <c r="C510" i="33"/>
  <c r="O510" i="33" s="1"/>
  <c r="C518" i="33"/>
  <c r="O518" i="33" s="1"/>
  <c r="C526" i="33"/>
  <c r="O526" i="33" s="1"/>
  <c r="C612" i="33"/>
  <c r="O612" i="33" s="1"/>
  <c r="C618" i="33"/>
  <c r="O618" i="33" s="1"/>
  <c r="C421" i="33"/>
  <c r="O421" i="33" s="1"/>
  <c r="C433" i="33"/>
  <c r="O433" i="33" s="1"/>
  <c r="C438" i="33"/>
  <c r="O438" i="33" s="1"/>
  <c r="C446" i="33"/>
  <c r="O446" i="33" s="1"/>
  <c r="C454" i="33"/>
  <c r="O454" i="33" s="1"/>
  <c r="C488" i="33"/>
  <c r="O488" i="33" s="1"/>
  <c r="C501" i="33"/>
  <c r="O501" i="33" s="1"/>
  <c r="C536" i="33"/>
  <c r="O536" i="33" s="1"/>
  <c r="C672" i="33"/>
  <c r="O672" i="33" s="1"/>
  <c r="C479" i="33"/>
  <c r="O479" i="33" s="1"/>
  <c r="C496" i="33"/>
  <c r="O496" i="33" s="1"/>
  <c r="C509" i="33"/>
  <c r="O509" i="33" s="1"/>
  <c r="C517" i="33"/>
  <c r="O517" i="33" s="1"/>
  <c r="C546" i="33"/>
  <c r="O546" i="33" s="1"/>
  <c r="C560" i="33"/>
  <c r="O560" i="33" s="1"/>
  <c r="C565" i="33"/>
  <c r="O565" i="33" s="1"/>
  <c r="C601" i="33"/>
  <c r="O601" i="33" s="1"/>
  <c r="C607" i="33"/>
  <c r="O607" i="33" s="1"/>
  <c r="C609" i="33"/>
  <c r="O609" i="33" s="1"/>
  <c r="C635" i="33"/>
  <c r="O635" i="33" s="1"/>
  <c r="C685" i="33"/>
  <c r="O685" i="33" s="1"/>
  <c r="C708" i="33"/>
  <c r="O708" i="33" s="1"/>
  <c r="C695" i="33"/>
  <c r="O695" i="33" s="1"/>
  <c r="C702" i="33"/>
  <c r="O702" i="33" s="1"/>
  <c r="C726" i="33"/>
  <c r="O726" i="33" s="1"/>
  <c r="C597" i="33"/>
  <c r="O597" i="33" s="1"/>
  <c r="C632" i="33"/>
  <c r="O632" i="33" s="1"/>
  <c r="C680" i="33"/>
  <c r="O680" i="33" s="1"/>
  <c r="C700" i="33"/>
  <c r="O700" i="33" s="1"/>
  <c r="C374" i="33"/>
  <c r="O374" i="33" s="1"/>
  <c r="C382" i="33"/>
  <c r="O382" i="33" s="1"/>
  <c r="C397" i="33"/>
  <c r="O397" i="33" s="1"/>
  <c r="C407" i="33"/>
  <c r="O407" i="33" s="1"/>
  <c r="C416" i="33"/>
  <c r="O416" i="33" s="1"/>
  <c r="C533" i="33"/>
  <c r="O533" i="33" s="1"/>
  <c r="C684" i="33"/>
  <c r="O684" i="33" s="1"/>
  <c r="C723" i="33"/>
  <c r="O723" i="33" s="1"/>
  <c r="C563" i="33"/>
  <c r="O563" i="33" s="1"/>
  <c r="C572" i="33"/>
  <c r="O572" i="33" s="1"/>
  <c r="C596" i="33"/>
  <c r="O596" i="33" s="1"/>
  <c r="C614" i="33"/>
  <c r="O614" i="33" s="1"/>
  <c r="C740" i="33"/>
  <c r="O740" i="33" s="1"/>
  <c r="C732" i="33"/>
  <c r="O732" i="33" s="1"/>
  <c r="C692" i="33"/>
  <c r="O692" i="33" s="1"/>
  <c r="C701" i="33"/>
  <c r="O701" i="33" s="1"/>
  <c r="C352" i="33"/>
  <c r="O352" i="33" s="1"/>
  <c r="C390" i="33"/>
  <c r="O390" i="33" s="1"/>
  <c r="C400" i="33"/>
  <c r="O400" i="33" s="1"/>
  <c r="C462" i="33"/>
  <c r="O462" i="33" s="1"/>
  <c r="C498" i="33"/>
  <c r="O498" i="33" s="1"/>
  <c r="C643" i="33"/>
  <c r="O643" i="33" s="1"/>
  <c r="C669" i="33"/>
  <c r="O669" i="33" s="1"/>
  <c r="C705" i="33"/>
  <c r="O705" i="33" s="1"/>
  <c r="C711" i="33"/>
  <c r="O711" i="33" s="1"/>
  <c r="C713" i="33"/>
  <c r="O713" i="33" s="1"/>
  <c r="C745" i="33"/>
  <c r="O745" i="33" s="1"/>
  <c r="C751" i="33"/>
  <c r="O751" i="33" s="1"/>
  <c r="C358" i="33"/>
  <c r="O358" i="33" s="1"/>
  <c r="C422" i="33"/>
  <c r="O422" i="33" s="1"/>
  <c r="C486" i="33"/>
  <c r="O486" i="33" s="1"/>
  <c r="C568" i="33"/>
  <c r="O568" i="33" s="1"/>
  <c r="C577" i="33"/>
  <c r="O577" i="33" s="1"/>
  <c r="C582" i="33"/>
  <c r="O582" i="33" s="1"/>
  <c r="C611" i="33"/>
  <c r="O611" i="33" s="1"/>
  <c r="C646" i="33"/>
  <c r="O646" i="33" s="1"/>
  <c r="C652" i="33"/>
  <c r="O652" i="33" s="1"/>
  <c r="C662" i="33"/>
  <c r="O662" i="33" s="1"/>
  <c r="C683" i="33"/>
  <c r="O683" i="33" s="1"/>
  <c r="C704" i="33"/>
  <c r="O704" i="33" s="1"/>
  <c r="C765" i="33"/>
  <c r="O765" i="33" s="1"/>
  <c r="C588" i="33"/>
  <c r="O588" i="33" s="1"/>
  <c r="C630" i="33"/>
  <c r="O630" i="33" s="1"/>
  <c r="C645" i="33"/>
  <c r="O645" i="33" s="1"/>
  <c r="C691" i="33"/>
  <c r="O691" i="33" s="1"/>
  <c r="C743" i="33"/>
  <c r="O743" i="33" s="1"/>
  <c r="C788" i="33"/>
  <c r="O788" i="33" s="1"/>
  <c r="C594" i="33"/>
  <c r="O594" i="33" s="1"/>
  <c r="C656" i="33"/>
  <c r="O656" i="33" s="1"/>
  <c r="C660" i="33"/>
  <c r="O660" i="33" s="1"/>
  <c r="C667" i="33"/>
  <c r="O667" i="33" s="1"/>
  <c r="C710" i="33"/>
  <c r="O710" i="33" s="1"/>
  <c r="C736" i="33"/>
  <c r="O736" i="33" s="1"/>
  <c r="C739" i="33"/>
  <c r="O739" i="33" s="1"/>
  <c r="C754" i="33"/>
  <c r="O754" i="33" s="1"/>
  <c r="C610" i="33"/>
  <c r="O610" i="33" s="1"/>
  <c r="C628" i="33"/>
  <c r="O628" i="33" s="1"/>
  <c r="C717" i="33"/>
  <c r="O717" i="33" s="1"/>
  <c r="C734" i="33"/>
  <c r="O734" i="33" s="1"/>
  <c r="C737" i="33"/>
  <c r="O737" i="33" s="1"/>
  <c r="C758" i="33"/>
  <c r="O758" i="33" s="1"/>
  <c r="C668" i="33"/>
  <c r="O668" i="33" s="1"/>
  <c r="C756" i="33"/>
  <c r="O756" i="33" s="1"/>
  <c r="C807" i="33"/>
  <c r="C809" i="33"/>
  <c r="C793" i="33"/>
  <c r="O793" i="33" s="1"/>
  <c r="C644" i="33"/>
  <c r="O644" i="33" s="1"/>
  <c r="C724" i="33"/>
  <c r="O724" i="33" s="1"/>
  <c r="C748" i="33"/>
  <c r="O748" i="33" s="1"/>
  <c r="C802" i="33"/>
  <c r="O802" i="33" s="1"/>
  <c r="C820" i="33"/>
  <c r="C801" i="33"/>
  <c r="O801" i="33" s="1"/>
  <c r="C806" i="33"/>
  <c r="C815" i="33"/>
  <c r="C735" i="33"/>
  <c r="O735" i="33" s="1"/>
  <c r="C767" i="33"/>
  <c r="O767" i="33" s="1"/>
  <c r="C791" i="33"/>
  <c r="O791" i="33" s="1"/>
  <c r="C812" i="33"/>
  <c r="C804" i="33"/>
  <c r="O804" i="33" s="1"/>
  <c r="C818" i="33"/>
  <c r="C799" i="33"/>
  <c r="O799" i="33" s="1"/>
  <c r="O6" i="9"/>
  <c r="O812" i="33" l="1"/>
  <c r="D812" i="33"/>
  <c r="O821" i="33"/>
  <c r="D821" i="33"/>
  <c r="O805" i="33"/>
  <c r="D805" i="33"/>
  <c r="O813" i="33"/>
  <c r="D813" i="33"/>
  <c r="O819" i="33"/>
  <c r="D819" i="33"/>
  <c r="H826" i="33" s="1"/>
  <c r="I826" i="33" s="1"/>
  <c r="K826" i="33" s="1"/>
  <c r="M826" i="33" s="1"/>
  <c r="P826" i="33" s="1"/>
  <c r="O815" i="33"/>
  <c r="D815" i="33"/>
  <c r="O806" i="33"/>
  <c r="D806" i="33"/>
  <c r="O809" i="33"/>
  <c r="D809" i="33"/>
  <c r="O810" i="33"/>
  <c r="D810" i="33"/>
  <c r="O818" i="33"/>
  <c r="D818" i="33"/>
  <c r="H825" i="33" s="1"/>
  <c r="I825" i="33" s="1"/>
  <c r="K825" i="33" s="1"/>
  <c r="M825" i="33" s="1"/>
  <c r="P825" i="33" s="1"/>
  <c r="O807" i="33"/>
  <c r="D807" i="33"/>
  <c r="O817" i="33"/>
  <c r="D817" i="33"/>
  <c r="O816" i="33"/>
  <c r="D816" i="33"/>
  <c r="O820" i="33"/>
  <c r="D820" i="33"/>
  <c r="O811" i="33"/>
  <c r="D811" i="33"/>
  <c r="O814" i="33"/>
  <c r="D814" i="33"/>
  <c r="O808" i="33"/>
  <c r="D808" i="33"/>
  <c r="N10" i="33"/>
  <c r="O10" i="33"/>
  <c r="N681" i="33"/>
  <c r="L2" i="24"/>
  <c r="L10" i="24" l="1"/>
  <c r="L29" i="24"/>
  <c r="L19" i="24"/>
  <c r="L21" i="24"/>
  <c r="L24" i="24"/>
  <c r="L9" i="24"/>
  <c r="L13" i="24"/>
  <c r="L14" i="24"/>
  <c r="L4" i="24"/>
  <c r="L16" i="24"/>
  <c r="L28" i="24"/>
  <c r="L17" i="24"/>
  <c r="L8" i="24"/>
  <c r="L18" i="24"/>
  <c r="L12" i="24"/>
  <c r="L23" i="24"/>
  <c r="L25" i="24"/>
  <c r="L20" i="24"/>
  <c r="L26" i="24"/>
  <c r="L15" i="24"/>
  <c r="L22" i="24"/>
  <c r="L27" i="24"/>
  <c r="L5" i="24"/>
  <c r="L3" i="24"/>
  <c r="L7" i="24"/>
  <c r="L11" i="24"/>
  <c r="L6" i="24"/>
  <c r="D13" i="16"/>
  <c r="C13" i="16" s="1"/>
  <c r="D14" i="16" l="1"/>
  <c r="E5" i="2"/>
  <c r="E7" i="2" s="1"/>
  <c r="D5" i="2"/>
  <c r="D7" i="2" s="1"/>
  <c r="C5" i="2"/>
  <c r="C7" i="2" s="1"/>
  <c r="B5" i="2"/>
  <c r="B7" i="2" s="1"/>
  <c r="D15" i="16" l="1"/>
  <c r="D16" i="16" s="1"/>
  <c r="D17" i="16" s="1"/>
  <c r="D18" i="16" s="1"/>
  <c r="D19" i="16" s="1"/>
  <c r="D20" i="16" s="1"/>
  <c r="D21" i="16" s="1"/>
  <c r="D22" i="16" s="1"/>
  <c r="D23" i="16" s="1"/>
  <c r="D24" i="16" s="1"/>
  <c r="D25" i="16" s="1"/>
  <c r="D26" i="16" s="1"/>
  <c r="D27" i="16" s="1"/>
  <c r="D28" i="16" s="1"/>
  <c r="D29" i="16" s="1"/>
  <c r="D30" i="16" s="1"/>
  <c r="D31" i="16" s="1"/>
  <c r="D32" i="16" s="1"/>
  <c r="D33" i="16" s="1"/>
  <c r="D34" i="16" s="1"/>
  <c r="D35" i="16" s="1"/>
  <c r="D36" i="16" s="1"/>
  <c r="D37" i="16" s="1"/>
  <c r="D38" i="16" s="1"/>
  <c r="D39" i="16" s="1"/>
  <c r="C14" i="16"/>
  <c r="B5" i="7"/>
  <c r="B7" i="7" s="1"/>
  <c r="D40" i="16" l="1"/>
  <c r="C39" i="16"/>
  <c r="N5" i="20"/>
  <c r="N6" i="20"/>
  <c r="N4" i="20"/>
  <c r="N12" i="20"/>
  <c r="N8" i="20"/>
  <c r="N9" i="20"/>
  <c r="N15" i="20"/>
  <c r="N7" i="20"/>
  <c r="N3" i="20"/>
  <c r="N17" i="20"/>
  <c r="N13" i="20"/>
  <c r="N18" i="20"/>
  <c r="N23" i="20"/>
  <c r="N10" i="20"/>
  <c r="N22" i="20"/>
  <c r="N27" i="20"/>
  <c r="N26" i="20"/>
  <c r="N14" i="20"/>
  <c r="N16" i="20"/>
  <c r="N25" i="20"/>
  <c r="N19" i="20"/>
  <c r="N20" i="20"/>
  <c r="N24" i="20"/>
  <c r="N11" i="20"/>
  <c r="N21" i="20"/>
  <c r="N28" i="20"/>
  <c r="N29" i="20"/>
  <c r="N2" i="20"/>
  <c r="M14" i="20"/>
  <c r="M7" i="20"/>
  <c r="M5" i="20"/>
  <c r="M6" i="20"/>
  <c r="M4" i="20"/>
  <c r="M12" i="20"/>
  <c r="M8" i="20"/>
  <c r="M9" i="20"/>
  <c r="M15" i="20"/>
  <c r="M3" i="20"/>
  <c r="M17" i="20"/>
  <c r="M13" i="20"/>
  <c r="M18" i="20"/>
  <c r="M23" i="20"/>
  <c r="M10" i="20"/>
  <c r="M22" i="20"/>
  <c r="M27" i="20"/>
  <c r="M26" i="20"/>
  <c r="M16" i="20"/>
  <c r="M25" i="20"/>
  <c r="M19" i="20"/>
  <c r="M20" i="20"/>
  <c r="M24" i="20"/>
  <c r="M11" i="20"/>
  <c r="M21" i="20"/>
  <c r="M28" i="20"/>
  <c r="M29" i="20"/>
  <c r="M2" i="20"/>
  <c r="D41" i="16" l="1"/>
  <c r="C40" i="16"/>
  <c r="Q5" i="12"/>
  <c r="X5" i="12"/>
  <c r="AA5" i="12"/>
  <c r="AD5" i="12"/>
  <c r="Q7" i="12"/>
  <c r="X7" i="12"/>
  <c r="AA7" i="12"/>
  <c r="AD7" i="12"/>
  <c r="D42" i="16" l="1"/>
  <c r="C41" i="16"/>
  <c r="B207" i="2"/>
  <c r="B412" i="2"/>
  <c r="B292" i="2"/>
  <c r="B413" i="2"/>
  <c r="B414" i="2"/>
  <c r="B415" i="2"/>
  <c r="B208" i="2"/>
  <c r="B416" i="2"/>
  <c r="B417" i="2"/>
  <c r="B672" i="2"/>
  <c r="B293" i="2"/>
  <c r="B418" i="2"/>
  <c r="B128" i="2"/>
  <c r="B419" i="2"/>
  <c r="B209" i="2"/>
  <c r="B210" i="2"/>
  <c r="B211" i="2"/>
  <c r="B796" i="2"/>
  <c r="B733" i="2"/>
  <c r="B515" i="2"/>
  <c r="B595" i="2"/>
  <c r="B596" i="2"/>
  <c r="B597" i="2"/>
  <c r="B598" i="2"/>
  <c r="B599" i="2"/>
  <c r="B600" i="2"/>
  <c r="B601" i="2"/>
  <c r="B602" i="2"/>
  <c r="B294" i="2"/>
  <c r="B295" i="2"/>
  <c r="B296" i="2"/>
  <c r="B297" i="2"/>
  <c r="B298" i="2"/>
  <c r="B212" i="2"/>
  <c r="B299" i="2"/>
  <c r="B300" i="2"/>
  <c r="B301" i="2"/>
  <c r="B213" i="2"/>
  <c r="B302" i="2"/>
  <c r="B516" i="2"/>
  <c r="B603" i="2"/>
  <c r="B604" i="2"/>
  <c r="B517" i="2"/>
  <c r="B214" i="2"/>
  <c r="B797" i="2"/>
  <c r="B129" i="2"/>
  <c r="B130" i="2"/>
  <c r="B54" i="2"/>
  <c r="B55" i="2"/>
  <c r="B131" i="2"/>
  <c r="B798" i="2"/>
  <c r="B605" i="2"/>
  <c r="B606" i="2"/>
  <c r="B420" i="2"/>
  <c r="B518" i="2"/>
  <c r="B132" i="2"/>
  <c r="B215" i="2"/>
  <c r="B56" i="2"/>
  <c r="B216" i="2"/>
  <c r="B57" i="2"/>
  <c r="B133" i="2"/>
  <c r="B673" i="2"/>
  <c r="B734" i="2"/>
  <c r="B217" i="2"/>
  <c r="B607" i="2"/>
  <c r="B519" i="2"/>
  <c r="B735" i="2"/>
  <c r="B134" i="2"/>
  <c r="B736" i="2"/>
  <c r="B737" i="2"/>
  <c r="B799" i="2"/>
  <c r="B738" i="2"/>
  <c r="B739" i="2"/>
  <c r="B608" i="2"/>
  <c r="B58" i="2"/>
  <c r="B59" i="2"/>
  <c r="B60" i="2"/>
  <c r="B800" i="2"/>
  <c r="B801" i="2"/>
  <c r="B520" i="2"/>
  <c r="B802" i="2"/>
  <c r="B803" i="2"/>
  <c r="B521" i="2"/>
  <c r="B522" i="2"/>
  <c r="B609" i="2"/>
  <c r="B804" i="2"/>
  <c r="B740" i="2"/>
  <c r="B61" i="2"/>
  <c r="B135" i="2"/>
  <c r="B303" i="2"/>
  <c r="B421" i="2"/>
  <c r="B422" i="2"/>
  <c r="B523" i="2"/>
  <c r="B741" i="2"/>
  <c r="B674" i="2"/>
  <c r="B805" i="2"/>
  <c r="B821" i="2"/>
  <c r="B806" i="2"/>
  <c r="B610" i="2"/>
  <c r="B218" i="2"/>
  <c r="B219" i="2"/>
  <c r="B220" i="2"/>
  <c r="B524" i="2"/>
  <c r="B136" i="2"/>
  <c r="B221" i="2"/>
  <c r="B222" i="2"/>
  <c r="B223" i="2"/>
  <c r="B611" i="2"/>
  <c r="B137" i="2"/>
  <c r="B612" i="2"/>
  <c r="B675" i="2"/>
  <c r="B676" i="2"/>
  <c r="B423" i="2"/>
  <c r="B62" i="2"/>
  <c r="B304" i="2"/>
  <c r="B807" i="2"/>
  <c r="B424" i="2"/>
  <c r="B677" i="2"/>
  <c r="B678" i="2"/>
  <c r="B679" i="2"/>
  <c r="B525" i="2"/>
  <c r="B526" i="2"/>
  <c r="B613" i="2"/>
  <c r="B425" i="2"/>
  <c r="B224" i="2"/>
  <c r="B527" i="2"/>
  <c r="B305" i="2"/>
  <c r="B528" i="2"/>
  <c r="B680" i="2"/>
  <c r="B614" i="2"/>
  <c r="B426" i="2"/>
  <c r="B225" i="2"/>
  <c r="B529" i="2"/>
  <c r="B306" i="2"/>
  <c r="B427" i="2"/>
  <c r="B615" i="2"/>
  <c r="B808" i="2"/>
  <c r="A207" i="2"/>
  <c r="A412" i="2"/>
  <c r="A292" i="2"/>
  <c r="A413" i="2"/>
  <c r="A414" i="2"/>
  <c r="A415" i="2"/>
  <c r="A208" i="2"/>
  <c r="A416" i="2"/>
  <c r="A417" i="2"/>
  <c r="A672" i="2"/>
  <c r="A293" i="2"/>
  <c r="A418" i="2"/>
  <c r="A128" i="2"/>
  <c r="A419" i="2"/>
  <c r="A209" i="2"/>
  <c r="A210" i="2"/>
  <c r="A211" i="2"/>
  <c r="A796" i="2"/>
  <c r="A733" i="2"/>
  <c r="A515" i="2"/>
  <c r="A595" i="2"/>
  <c r="A596" i="2"/>
  <c r="A597" i="2"/>
  <c r="A598" i="2"/>
  <c r="A599" i="2"/>
  <c r="A600" i="2"/>
  <c r="A601" i="2"/>
  <c r="A602" i="2"/>
  <c r="A294" i="2"/>
  <c r="A295" i="2"/>
  <c r="A296" i="2"/>
  <c r="A297" i="2"/>
  <c r="A298" i="2"/>
  <c r="A212" i="2"/>
  <c r="A299" i="2"/>
  <c r="A300" i="2"/>
  <c r="A301" i="2"/>
  <c r="A213" i="2"/>
  <c r="A302" i="2"/>
  <c r="A516" i="2"/>
  <c r="A603" i="2"/>
  <c r="A604" i="2"/>
  <c r="A517" i="2"/>
  <c r="A214" i="2"/>
  <c r="A797" i="2"/>
  <c r="A129" i="2"/>
  <c r="A130" i="2"/>
  <c r="A54" i="2"/>
  <c r="A55" i="2"/>
  <c r="A131" i="2"/>
  <c r="A798" i="2"/>
  <c r="A605" i="2"/>
  <c r="A606" i="2"/>
  <c r="A420" i="2"/>
  <c r="A518" i="2"/>
  <c r="A132" i="2"/>
  <c r="A215" i="2"/>
  <c r="A56" i="2"/>
  <c r="A216" i="2"/>
  <c r="A57" i="2"/>
  <c r="A133" i="2"/>
  <c r="A673" i="2"/>
  <c r="A734" i="2"/>
  <c r="A217" i="2"/>
  <c r="A607" i="2"/>
  <c r="A519" i="2"/>
  <c r="A735" i="2"/>
  <c r="A134" i="2"/>
  <c r="A736" i="2"/>
  <c r="A737" i="2"/>
  <c r="A799" i="2"/>
  <c r="A738" i="2"/>
  <c r="A739" i="2"/>
  <c r="A608" i="2"/>
  <c r="A58" i="2"/>
  <c r="A59" i="2"/>
  <c r="A60" i="2"/>
  <c r="A800" i="2"/>
  <c r="A801" i="2"/>
  <c r="A520" i="2"/>
  <c r="A802" i="2"/>
  <c r="A803" i="2"/>
  <c r="A521" i="2"/>
  <c r="A522" i="2"/>
  <c r="A609" i="2"/>
  <c r="A804" i="2"/>
  <c r="A740" i="2"/>
  <c r="A61" i="2"/>
  <c r="A135" i="2"/>
  <c r="A303" i="2"/>
  <c r="A421" i="2"/>
  <c r="A422" i="2"/>
  <c r="A523" i="2"/>
  <c r="A741" i="2"/>
  <c r="A674" i="2"/>
  <c r="A805" i="2"/>
  <c r="A821" i="2"/>
  <c r="A806" i="2"/>
  <c r="A610" i="2"/>
  <c r="A218" i="2"/>
  <c r="A219" i="2"/>
  <c r="A220" i="2"/>
  <c r="A524" i="2"/>
  <c r="A136" i="2"/>
  <c r="A221" i="2"/>
  <c r="A222" i="2"/>
  <c r="A223" i="2"/>
  <c r="A611" i="2"/>
  <c r="A137" i="2"/>
  <c r="A612" i="2"/>
  <c r="A675" i="2"/>
  <c r="A676" i="2"/>
  <c r="A423" i="2"/>
  <c r="A62" i="2"/>
  <c r="A304" i="2"/>
  <c r="A807" i="2"/>
  <c r="A424" i="2"/>
  <c r="A677" i="2"/>
  <c r="A678" i="2"/>
  <c r="A679" i="2"/>
  <c r="A525" i="2"/>
  <c r="A526" i="2"/>
  <c r="A613" i="2"/>
  <c r="A425" i="2"/>
  <c r="A224" i="2"/>
  <c r="A527" i="2"/>
  <c r="A305" i="2"/>
  <c r="A528" i="2"/>
  <c r="A680" i="2"/>
  <c r="A614" i="2"/>
  <c r="A426" i="2"/>
  <c r="A225" i="2"/>
  <c r="A529" i="2"/>
  <c r="A306" i="2"/>
  <c r="A427" i="2"/>
  <c r="A615" i="2"/>
  <c r="A808" i="2"/>
  <c r="B617" i="2"/>
  <c r="B681" i="2"/>
  <c r="B226" i="2"/>
  <c r="B618" i="2"/>
  <c r="B530" i="2"/>
  <c r="B227" i="2"/>
  <c r="B138" i="2"/>
  <c r="B307" i="2"/>
  <c r="B619" i="2"/>
  <c r="B682" i="2"/>
  <c r="B139" i="2"/>
  <c r="B428" i="2"/>
  <c r="B140" i="2"/>
  <c r="B308" i="2"/>
  <c r="B620" i="2"/>
  <c r="B621" i="2"/>
  <c r="B309" i="2"/>
  <c r="B742" i="2"/>
  <c r="B141" i="2"/>
  <c r="B142" i="2"/>
  <c r="B310" i="2"/>
  <c r="B743" i="2"/>
  <c r="B744" i="2"/>
  <c r="B143" i="2"/>
  <c r="B10" i="2"/>
  <c r="B429" i="2"/>
  <c r="B683" i="2"/>
  <c r="B531" i="2"/>
  <c r="B532" i="2"/>
  <c r="B430" i="2"/>
  <c r="B311" i="2"/>
  <c r="B228" i="2"/>
  <c r="B431" i="2"/>
  <c r="B229" i="2"/>
  <c r="B432" i="2"/>
  <c r="B11" i="2"/>
  <c r="B63" i="2"/>
  <c r="B144" i="2"/>
  <c r="B145" i="2"/>
  <c r="B12" i="2"/>
  <c r="B433" i="2"/>
  <c r="B230" i="2"/>
  <c r="B434" i="2"/>
  <c r="B809" i="2"/>
  <c r="B13" i="2"/>
  <c r="B64" i="2"/>
  <c r="B65" i="2"/>
  <c r="B14" i="2"/>
  <c r="B146" i="2"/>
  <c r="B533" i="2"/>
  <c r="B147" i="2"/>
  <c r="B435" i="2"/>
  <c r="B622" i="2"/>
  <c r="B436" i="2"/>
  <c r="B312" i="2"/>
  <c r="B745" i="2"/>
  <c r="B684" i="2"/>
  <c r="B313" i="2"/>
  <c r="B148" i="2"/>
  <c r="B437" i="2"/>
  <c r="B623" i="2"/>
  <c r="B438" i="2"/>
  <c r="B15" i="2"/>
  <c r="B685" i="2"/>
  <c r="B746" i="2"/>
  <c r="B16" i="2"/>
  <c r="B810" i="2"/>
  <c r="B534" i="2"/>
  <c r="B535" i="2"/>
  <c r="B536" i="2"/>
  <c r="B439" i="2"/>
  <c r="B537" i="2"/>
  <c r="B440" i="2"/>
  <c r="B149" i="2"/>
  <c r="B231" i="2"/>
  <c r="B150" i="2"/>
  <c r="B151" i="2"/>
  <c r="B152" i="2"/>
  <c r="B441" i="2"/>
  <c r="B66" i="2"/>
  <c r="B538" i="2"/>
  <c r="B539" i="2"/>
  <c r="B67" i="2"/>
  <c r="B540" i="2"/>
  <c r="B541" i="2"/>
  <c r="B232" i="2"/>
  <c r="B314" i="2"/>
  <c r="B153" i="2"/>
  <c r="B233" i="2"/>
  <c r="B542" i="2"/>
  <c r="B315" i="2"/>
  <c r="B624" i="2"/>
  <c r="B543" i="2"/>
  <c r="B544" i="2"/>
  <c r="B68" i="2"/>
  <c r="B442" i="2"/>
  <c r="B69" i="2"/>
  <c r="B316" i="2"/>
  <c r="B154" i="2"/>
  <c r="B70" i="2"/>
  <c r="B317" i="2"/>
  <c r="B545" i="2"/>
  <c r="B546" i="2"/>
  <c r="B547" i="2"/>
  <c r="B71" i="2"/>
  <c r="B155" i="2"/>
  <c r="B548" i="2"/>
  <c r="B549" i="2"/>
  <c r="B318" i="2"/>
  <c r="B550" i="2"/>
  <c r="B811" i="2"/>
  <c r="B625" i="2"/>
  <c r="B686" i="2"/>
  <c r="B747" i="2"/>
  <c r="B551" i="2"/>
  <c r="B234" i="2"/>
  <c r="B156" i="2"/>
  <c r="B235" i="2"/>
  <c r="B17" i="2"/>
  <c r="B626" i="2"/>
  <c r="B687" i="2"/>
  <c r="B319" i="2"/>
  <c r="B320" i="2"/>
  <c r="B321" i="2"/>
  <c r="B157" i="2"/>
  <c r="B72" i="2"/>
  <c r="B322" i="2"/>
  <c r="B323" i="2"/>
  <c r="B324" i="2"/>
  <c r="B73" i="2"/>
  <c r="B158" i="2"/>
  <c r="B74" i="2"/>
  <c r="B75" i="2"/>
  <c r="B76" i="2"/>
  <c r="B236" i="2"/>
  <c r="B237" i="2"/>
  <c r="B325" i="2"/>
  <c r="B326" i="2"/>
  <c r="B159" i="2"/>
  <c r="B160" i="2"/>
  <c r="B77" i="2"/>
  <c r="B78" i="2"/>
  <c r="B79" i="2"/>
  <c r="B80" i="2"/>
  <c r="B748" i="2"/>
  <c r="B749" i="2"/>
  <c r="B238" i="2"/>
  <c r="B161" i="2"/>
  <c r="B81" i="2"/>
  <c r="B327" i="2"/>
  <c r="B443" i="2"/>
  <c r="B328" i="2"/>
  <c r="B688" i="2"/>
  <c r="B329" i="2"/>
  <c r="B239" i="2"/>
  <c r="B330" i="2"/>
  <c r="B689" i="2"/>
  <c r="B627" i="2"/>
  <c r="B240" i="2"/>
  <c r="B552" i="2"/>
  <c r="B553" i="2"/>
  <c r="B241" i="2"/>
  <c r="B82" i="2"/>
  <c r="B162" i="2"/>
  <c r="B331" i="2"/>
  <c r="B242" i="2"/>
  <c r="B332" i="2"/>
  <c r="B333" i="2"/>
  <c r="B243" i="2"/>
  <c r="B628" i="2"/>
  <c r="B690" i="2"/>
  <c r="B691" i="2"/>
  <c r="B444" i="2"/>
  <c r="B18" i="2"/>
  <c r="B19" i="2"/>
  <c r="B20" i="2"/>
  <c r="B21" i="2"/>
  <c r="B22" i="2"/>
  <c r="B629" i="2"/>
  <c r="B554" i="2"/>
  <c r="B555" i="2"/>
  <c r="B630" i="2"/>
  <c r="B631" i="2"/>
  <c r="B632" i="2"/>
  <c r="B163" i="2"/>
  <c r="B23" i="2"/>
  <c r="B633" i="2"/>
  <c r="B556" i="2"/>
  <c r="B445" i="2"/>
  <c r="B634" i="2"/>
  <c r="B557" i="2"/>
  <c r="B446" i="2"/>
  <c r="B447" i="2"/>
  <c r="B244" i="2"/>
  <c r="B558" i="2"/>
  <c r="B24" i="2"/>
  <c r="B559" i="2"/>
  <c r="B560" i="2"/>
  <c r="B448" i="2"/>
  <c r="B164" i="2"/>
  <c r="B245" i="2"/>
  <c r="B246" i="2"/>
  <c r="B449" i="2"/>
  <c r="B561" i="2"/>
  <c r="B562" i="2"/>
  <c r="B635" i="2"/>
  <c r="B450" i="2"/>
  <c r="B247" i="2"/>
  <c r="B248" i="2"/>
  <c r="B165" i="2"/>
  <c r="B249" i="2"/>
  <c r="B636" i="2"/>
  <c r="B25" i="2"/>
  <c r="B637" i="2"/>
  <c r="B812" i="2"/>
  <c r="B563" i="2"/>
  <c r="B334" i="2"/>
  <c r="B692" i="2"/>
  <c r="B693" i="2"/>
  <c r="B451" i="2"/>
  <c r="B694" i="2"/>
  <c r="B638" i="2"/>
  <c r="B639" i="2"/>
  <c r="B83" i="2"/>
  <c r="B695" i="2"/>
  <c r="B166" i="2"/>
  <c r="B452" i="2"/>
  <c r="B640" i="2"/>
  <c r="B84" i="2"/>
  <c r="B85" i="2"/>
  <c r="B86" i="2"/>
  <c r="B564" i="2"/>
  <c r="B167" i="2"/>
  <c r="B26" i="2"/>
  <c r="B696" i="2"/>
  <c r="B750" i="2"/>
  <c r="B250" i="2"/>
  <c r="B251" i="2"/>
  <c r="B252" i="2"/>
  <c r="B565" i="2"/>
  <c r="B641" i="2"/>
  <c r="B697" i="2"/>
  <c r="B751" i="2"/>
  <c r="B698" i="2"/>
  <c r="B699" i="2"/>
  <c r="B453" i="2"/>
  <c r="B454" i="2"/>
  <c r="B253" i="2"/>
  <c r="B642" i="2"/>
  <c r="B700" i="2"/>
  <c r="B27" i="2"/>
  <c r="B335" i="2"/>
  <c r="B28" i="2"/>
  <c r="B29" i="2"/>
  <c r="B87" i="2"/>
  <c r="B336" i="2"/>
  <c r="B337" i="2"/>
  <c r="B88" i="2"/>
  <c r="B89" i="2"/>
  <c r="B90" i="2"/>
  <c r="B91" i="2"/>
  <c r="B338" i="2"/>
  <c r="B701" i="2"/>
  <c r="B643" i="2"/>
  <c r="B455" i="2"/>
  <c r="B339" i="2"/>
  <c r="B752" i="2"/>
  <c r="B456" i="2"/>
  <c r="B92" i="2"/>
  <c r="B93" i="2"/>
  <c r="B94" i="2"/>
  <c r="B95" i="2"/>
  <c r="B644" i="2"/>
  <c r="B702" i="2"/>
  <c r="B566" i="2"/>
  <c r="B567" i="2"/>
  <c r="B568" i="2"/>
  <c r="B340" i="2"/>
  <c r="B457" i="2"/>
  <c r="B341" i="2"/>
  <c r="B342" i="2"/>
  <c r="B343" i="2"/>
  <c r="B569" i="2"/>
  <c r="B168" i="2"/>
  <c r="B96" i="2"/>
  <c r="B570" i="2"/>
  <c r="B97" i="2"/>
  <c r="B98" i="2"/>
  <c r="B169" i="2"/>
  <c r="B99" i="2"/>
  <c r="B571" i="2"/>
  <c r="B645" i="2"/>
  <c r="B344" i="2"/>
  <c r="B345" i="2"/>
  <c r="B346" i="2"/>
  <c r="B347" i="2"/>
  <c r="B458" i="2"/>
  <c r="B170" i="2"/>
  <c r="B171" i="2"/>
  <c r="B172" i="2"/>
  <c r="B348" i="2"/>
  <c r="B349" i="2"/>
  <c r="B173" i="2"/>
  <c r="B174" i="2"/>
  <c r="B646" i="2"/>
  <c r="B30" i="2"/>
  <c r="B100" i="2"/>
  <c r="B254" i="2"/>
  <c r="B753" i="2"/>
  <c r="B31" i="2"/>
  <c r="B175" i="2"/>
  <c r="B176" i="2"/>
  <c r="B350" i="2"/>
  <c r="B703" i="2"/>
  <c r="B647" i="2"/>
  <c r="B754" i="2"/>
  <c r="B704" i="2"/>
  <c r="B572" i="2"/>
  <c r="B705" i="2"/>
  <c r="B177" i="2"/>
  <c r="B755" i="2"/>
  <c r="B101" i="2"/>
  <c r="B756" i="2"/>
  <c r="B178" i="2"/>
  <c r="B179" i="2"/>
  <c r="B648" i="2"/>
  <c r="B459" i="2"/>
  <c r="B351" i="2"/>
  <c r="B757" i="2"/>
  <c r="B758" i="2"/>
  <c r="B649" i="2"/>
  <c r="B650" i="2"/>
  <c r="B352" i="2"/>
  <c r="B180" i="2"/>
  <c r="B181" i="2"/>
  <c r="B759" i="2"/>
  <c r="B255" i="2"/>
  <c r="B256" i="2"/>
  <c r="B257" i="2"/>
  <c r="B573" i="2"/>
  <c r="B258" i="2"/>
  <c r="B259" i="2"/>
  <c r="B260" i="2"/>
  <c r="B102" i="2"/>
  <c r="B103" i="2"/>
  <c r="B651" i="2"/>
  <c r="B32" i="2"/>
  <c r="B33" i="2"/>
  <c r="B460" i="2"/>
  <c r="B574" i="2"/>
  <c r="B652" i="2"/>
  <c r="B760" i="2"/>
  <c r="B575" i="2"/>
  <c r="B261" i="2"/>
  <c r="B813" i="2"/>
  <c r="B576" i="2"/>
  <c r="B182" i="2"/>
  <c r="B653" i="2"/>
  <c r="B262" i="2"/>
  <c r="B263" i="2"/>
  <c r="B104" i="2"/>
  <c r="B183" i="2"/>
  <c r="B706" i="2"/>
  <c r="B761" i="2"/>
  <c r="B461" i="2"/>
  <c r="B762" i="2"/>
  <c r="B353" i="2"/>
  <c r="B462" i="2"/>
  <c r="B763" i="2"/>
  <c r="B577" i="2"/>
  <c r="B654" i="2"/>
  <c r="B34" i="2"/>
  <c r="B354" i="2"/>
  <c r="B264" i="2"/>
  <c r="B265" i="2"/>
  <c r="B266" i="2"/>
  <c r="B355" i="2"/>
  <c r="B267" i="2"/>
  <c r="B356" i="2"/>
  <c r="B357" i="2"/>
  <c r="B358" i="2"/>
  <c r="B359" i="2"/>
  <c r="B360" i="2"/>
  <c r="B361" i="2"/>
  <c r="B362" i="2"/>
  <c r="B363" i="2"/>
  <c r="B764" i="2"/>
  <c r="B364" i="2"/>
  <c r="B365" i="2"/>
  <c r="B463" i="2"/>
  <c r="B464" i="2"/>
  <c r="B465" i="2"/>
  <c r="B814" i="2"/>
  <c r="B578" i="2"/>
  <c r="B268" i="2"/>
  <c r="B655" i="2"/>
  <c r="B105" i="2"/>
  <c r="B656" i="2"/>
  <c r="B269" i="2"/>
  <c r="B579" i="2"/>
  <c r="B184" i="2"/>
  <c r="B185" i="2"/>
  <c r="B106" i="2"/>
  <c r="B186" i="2"/>
  <c r="B765" i="2"/>
  <c r="B466" i="2"/>
  <c r="B657" i="2"/>
  <c r="B270" i="2"/>
  <c r="B35" i="2"/>
  <c r="B467" i="2"/>
  <c r="B766" i="2"/>
  <c r="B767" i="2"/>
  <c r="B768" i="2"/>
  <c r="B366" i="2"/>
  <c r="B367" i="2"/>
  <c r="B368" i="2"/>
  <c r="B769" i="2"/>
  <c r="B271" i="2"/>
  <c r="B468" i="2"/>
  <c r="B187" i="2"/>
  <c r="B658" i="2"/>
  <c r="B36" i="2"/>
  <c r="B37" i="2"/>
  <c r="B469" i="2"/>
  <c r="B188" i="2"/>
  <c r="B369" i="2"/>
  <c r="B707" i="2"/>
  <c r="B580" i="2"/>
  <c r="B770" i="2"/>
  <c r="B470" i="2"/>
  <c r="B708" i="2"/>
  <c r="B272" i="2"/>
  <c r="B107" i="2"/>
  <c r="B189" i="2"/>
  <c r="B38" i="2"/>
  <c r="B273" i="2"/>
  <c r="B709" i="2"/>
  <c r="B581" i="2"/>
  <c r="B582" i="2"/>
  <c r="B370" i="2"/>
  <c r="B710" i="2"/>
  <c r="B274" i="2"/>
  <c r="B711" i="2"/>
  <c r="B190" i="2"/>
  <c r="B275" i="2"/>
  <c r="B191" i="2"/>
  <c r="B276" i="2"/>
  <c r="B39" i="2"/>
  <c r="B583" i="2"/>
  <c r="B192" i="2"/>
  <c r="B193" i="2"/>
  <c r="B471" i="2"/>
  <c r="B277" i="2"/>
  <c r="B472" i="2"/>
  <c r="B473" i="2"/>
  <c r="B659" i="2"/>
  <c r="B660" i="2"/>
  <c r="B661" i="2"/>
  <c r="B371" i="2"/>
  <c r="B662" i="2"/>
  <c r="B108" i="2"/>
  <c r="B663" i="2"/>
  <c r="B194" i="2"/>
  <c r="B195" i="2"/>
  <c r="B278" i="2"/>
  <c r="B196" i="2"/>
  <c r="B279" i="2"/>
  <c r="B197" i="2"/>
  <c r="B280" i="2"/>
  <c r="B372" i="2"/>
  <c r="B474" i="2"/>
  <c r="B475" i="2"/>
  <c r="B373" i="2"/>
  <c r="B374" i="2"/>
  <c r="B375" i="2"/>
  <c r="B476" i="2"/>
  <c r="B477" i="2"/>
  <c r="B712" i="2"/>
  <c r="B713" i="2"/>
  <c r="B771" i="2"/>
  <c r="B772" i="2"/>
  <c r="B773" i="2"/>
  <c r="B198" i="2"/>
  <c r="B199" i="2"/>
  <c r="B281" i="2"/>
  <c r="B282" i="2"/>
  <c r="B774" i="2"/>
  <c r="B714" i="2"/>
  <c r="B775" i="2"/>
  <c r="B109" i="2"/>
  <c r="B40" i="2"/>
  <c r="B283" i="2"/>
  <c r="B41" i="2"/>
  <c r="B284" i="2"/>
  <c r="B715" i="2"/>
  <c r="B376" i="2"/>
  <c r="B110" i="2"/>
  <c r="B111" i="2"/>
  <c r="B776" i="2"/>
  <c r="B478" i="2"/>
  <c r="B716" i="2"/>
  <c r="B112" i="2"/>
  <c r="B777" i="2"/>
  <c r="B200" i="2"/>
  <c r="B377" i="2"/>
  <c r="B378" i="2"/>
  <c r="B778" i="2"/>
  <c r="B379" i="2"/>
  <c r="B201" i="2"/>
  <c r="B202" i="2"/>
  <c r="B380" i="2"/>
  <c r="B717" i="2"/>
  <c r="B381" i="2"/>
  <c r="B203" i="2"/>
  <c r="B382" i="2"/>
  <c r="B584" i="2"/>
  <c r="B383" i="2"/>
  <c r="B585" i="2"/>
  <c r="B586" i="2"/>
  <c r="B479" i="2"/>
  <c r="B480" i="2"/>
  <c r="B481" i="2"/>
  <c r="B482" i="2"/>
  <c r="B664" i="2"/>
  <c r="B665" i="2"/>
  <c r="B666" i="2"/>
  <c r="B667" i="2"/>
  <c r="B668" i="2"/>
  <c r="B669" i="2"/>
  <c r="B670" i="2"/>
  <c r="B587" i="2"/>
  <c r="B588" i="2"/>
  <c r="B589" i="2"/>
  <c r="B483" i="2"/>
  <c r="B590" i="2"/>
  <c r="B484" i="2"/>
  <c r="B591" i="2"/>
  <c r="B671" i="2"/>
  <c r="B485" i="2"/>
  <c r="B486" i="2"/>
  <c r="B487" i="2"/>
  <c r="B592" i="2"/>
  <c r="B488" i="2"/>
  <c r="B489" i="2"/>
  <c r="B204" i="2"/>
  <c r="B490" i="2"/>
  <c r="B593" i="2"/>
  <c r="B594" i="2"/>
  <c r="B491" i="2"/>
  <c r="B492" i="2"/>
  <c r="B205" i="2"/>
  <c r="B493" i="2"/>
  <c r="B206" i="2"/>
  <c r="B384" i="2"/>
  <c r="B494" i="2"/>
  <c r="B385" i="2"/>
  <c r="B386" i="2"/>
  <c r="B495" i="2"/>
  <c r="B387" i="2"/>
  <c r="B388" i="2"/>
  <c r="B496" i="2"/>
  <c r="B389" i="2"/>
  <c r="B113" i="2"/>
  <c r="B42" i="2"/>
  <c r="B114" i="2"/>
  <c r="B43" i="2"/>
  <c r="B115" i="2"/>
  <c r="B44" i="2"/>
  <c r="B116" i="2"/>
  <c r="B117" i="2"/>
  <c r="B45" i="2"/>
  <c r="B118" i="2"/>
  <c r="B119" i="2"/>
  <c r="B120" i="2"/>
  <c r="B121" i="2"/>
  <c r="B46" i="2"/>
  <c r="B815" i="2"/>
  <c r="B497" i="2"/>
  <c r="B498" i="2"/>
  <c r="B816" i="2"/>
  <c r="B817" i="2"/>
  <c r="B499" i="2"/>
  <c r="B47" i="2"/>
  <c r="B779" i="2"/>
  <c r="B122" i="2"/>
  <c r="B48" i="2"/>
  <c r="B123" i="2"/>
  <c r="B390" i="2"/>
  <c r="B780" i="2"/>
  <c r="B781" i="2"/>
  <c r="B500" i="2"/>
  <c r="B49" i="2"/>
  <c r="B285" i="2"/>
  <c r="B124" i="2"/>
  <c r="B391" i="2"/>
  <c r="B286" i="2"/>
  <c r="B392" i="2"/>
  <c r="B818" i="2"/>
  <c r="B819" i="2"/>
  <c r="B782" i="2"/>
  <c r="B125" i="2"/>
  <c r="B393" i="2"/>
  <c r="B394" i="2"/>
  <c r="B783" i="2"/>
  <c r="B820" i="2"/>
  <c r="B126" i="2"/>
  <c r="B718" i="2"/>
  <c r="B287" i="2"/>
  <c r="B288" i="2"/>
  <c r="B395" i="2"/>
  <c r="B396" i="2"/>
  <c r="B397" i="2"/>
  <c r="B719" i="2"/>
  <c r="B127" i="2"/>
  <c r="B398" i="2"/>
  <c r="B289" i="2"/>
  <c r="B720" i="2"/>
  <c r="B784" i="2"/>
  <c r="B399" i="2"/>
  <c r="B290" i="2"/>
  <c r="B501" i="2"/>
  <c r="B502" i="2"/>
  <c r="B503" i="2"/>
  <c r="B504" i="2"/>
  <c r="B721" i="2"/>
  <c r="B722" i="2"/>
  <c r="B723" i="2"/>
  <c r="B50" i="2"/>
  <c r="B724" i="2"/>
  <c r="B785" i="2"/>
  <c r="B786" i="2"/>
  <c r="B787" i="2"/>
  <c r="B51" i="2"/>
  <c r="B725" i="2"/>
  <c r="B726" i="2"/>
  <c r="B52" i="2"/>
  <c r="B727" i="2"/>
  <c r="B788" i="2"/>
  <c r="B53" i="2"/>
  <c r="B789" i="2"/>
  <c r="B505" i="2"/>
  <c r="B790" i="2"/>
  <c r="B728" i="2"/>
  <c r="B791" i="2"/>
  <c r="B729" i="2"/>
  <c r="B506" i="2"/>
  <c r="B730" i="2"/>
  <c r="B507" i="2"/>
  <c r="B731" i="2"/>
  <c r="B400" i="2"/>
  <c r="B401" i="2"/>
  <c r="B508" i="2"/>
  <c r="B402" i="2"/>
  <c r="B509" i="2"/>
  <c r="B510" i="2"/>
  <c r="B403" i="2"/>
  <c r="B404" i="2"/>
  <c r="B405" i="2"/>
  <c r="B511" i="2"/>
  <c r="B406" i="2"/>
  <c r="B512" i="2"/>
  <c r="B407" i="2"/>
  <c r="B408" i="2"/>
  <c r="B513" i="2"/>
  <c r="B409" i="2"/>
  <c r="B291" i="2"/>
  <c r="B792" i="2"/>
  <c r="B793" i="2"/>
  <c r="B410" i="2"/>
  <c r="B794" i="2"/>
  <c r="B514" i="2"/>
  <c r="B795" i="2"/>
  <c r="B732" i="2"/>
  <c r="B411" i="2"/>
  <c r="A617" i="2"/>
  <c r="A681" i="2"/>
  <c r="A226" i="2"/>
  <c r="A618" i="2"/>
  <c r="A530" i="2"/>
  <c r="A227" i="2"/>
  <c r="A138" i="2"/>
  <c r="A307" i="2"/>
  <c r="A619" i="2"/>
  <c r="A682" i="2"/>
  <c r="A139" i="2"/>
  <c r="A428" i="2"/>
  <c r="A140" i="2"/>
  <c r="A308" i="2"/>
  <c r="A620" i="2"/>
  <c r="A621" i="2"/>
  <c r="A309" i="2"/>
  <c r="A742" i="2"/>
  <c r="A141" i="2"/>
  <c r="A142" i="2"/>
  <c r="A310" i="2"/>
  <c r="A743" i="2"/>
  <c r="A744" i="2"/>
  <c r="A143" i="2"/>
  <c r="A10" i="2"/>
  <c r="A429" i="2"/>
  <c r="A683" i="2"/>
  <c r="A531" i="2"/>
  <c r="A532" i="2"/>
  <c r="A430" i="2"/>
  <c r="A311" i="2"/>
  <c r="A228" i="2"/>
  <c r="A431" i="2"/>
  <c r="A229" i="2"/>
  <c r="A432" i="2"/>
  <c r="A11" i="2"/>
  <c r="A63" i="2"/>
  <c r="A144" i="2"/>
  <c r="A145" i="2"/>
  <c r="A12" i="2"/>
  <c r="A433" i="2"/>
  <c r="A230" i="2"/>
  <c r="A434" i="2"/>
  <c r="A809" i="2"/>
  <c r="A13" i="2"/>
  <c r="A64" i="2"/>
  <c r="A65" i="2"/>
  <c r="A14" i="2"/>
  <c r="A146" i="2"/>
  <c r="A533" i="2"/>
  <c r="A147" i="2"/>
  <c r="A435" i="2"/>
  <c r="A622" i="2"/>
  <c r="A436" i="2"/>
  <c r="A312" i="2"/>
  <c r="A745" i="2"/>
  <c r="A684" i="2"/>
  <c r="A313" i="2"/>
  <c r="A148" i="2"/>
  <c r="A437" i="2"/>
  <c r="A623" i="2"/>
  <c r="A438" i="2"/>
  <c r="A15" i="2"/>
  <c r="A685" i="2"/>
  <c r="A746" i="2"/>
  <c r="A16" i="2"/>
  <c r="A810" i="2"/>
  <c r="A534" i="2"/>
  <c r="A535" i="2"/>
  <c r="A536" i="2"/>
  <c r="A439" i="2"/>
  <c r="A537" i="2"/>
  <c r="A440" i="2"/>
  <c r="A149" i="2"/>
  <c r="A231" i="2"/>
  <c r="A150" i="2"/>
  <c r="A151" i="2"/>
  <c r="A152" i="2"/>
  <c r="A441" i="2"/>
  <c r="A66" i="2"/>
  <c r="A538" i="2"/>
  <c r="A539" i="2"/>
  <c r="A67" i="2"/>
  <c r="A540" i="2"/>
  <c r="A541" i="2"/>
  <c r="A232" i="2"/>
  <c r="A314" i="2"/>
  <c r="A153" i="2"/>
  <c r="A233" i="2"/>
  <c r="A542" i="2"/>
  <c r="A315" i="2"/>
  <c r="A624" i="2"/>
  <c r="A543" i="2"/>
  <c r="A544" i="2"/>
  <c r="A68" i="2"/>
  <c r="A442" i="2"/>
  <c r="A69" i="2"/>
  <c r="A316" i="2"/>
  <c r="A154" i="2"/>
  <c r="A70" i="2"/>
  <c r="A317" i="2"/>
  <c r="A545" i="2"/>
  <c r="A546" i="2"/>
  <c r="A547" i="2"/>
  <c r="A71" i="2"/>
  <c r="A155" i="2"/>
  <c r="A548" i="2"/>
  <c r="A549" i="2"/>
  <c r="A318" i="2"/>
  <c r="A550" i="2"/>
  <c r="A811" i="2"/>
  <c r="A625" i="2"/>
  <c r="A686" i="2"/>
  <c r="A747" i="2"/>
  <c r="A551" i="2"/>
  <c r="A234" i="2"/>
  <c r="A156" i="2"/>
  <c r="A235" i="2"/>
  <c r="A17" i="2"/>
  <c r="A626" i="2"/>
  <c r="A687" i="2"/>
  <c r="A319" i="2"/>
  <c r="A320" i="2"/>
  <c r="A321" i="2"/>
  <c r="A157" i="2"/>
  <c r="A72" i="2"/>
  <c r="A322" i="2"/>
  <c r="A323" i="2"/>
  <c r="A324" i="2"/>
  <c r="A73" i="2"/>
  <c r="A158" i="2"/>
  <c r="A74" i="2"/>
  <c r="A75" i="2"/>
  <c r="A76" i="2"/>
  <c r="A236" i="2"/>
  <c r="A237" i="2"/>
  <c r="A325" i="2"/>
  <c r="A326" i="2"/>
  <c r="A159" i="2"/>
  <c r="A160" i="2"/>
  <c r="A77" i="2"/>
  <c r="A78" i="2"/>
  <c r="A79" i="2"/>
  <c r="A80" i="2"/>
  <c r="A748" i="2"/>
  <c r="A749" i="2"/>
  <c r="A238" i="2"/>
  <c r="A161" i="2"/>
  <c r="A81" i="2"/>
  <c r="A327" i="2"/>
  <c r="A443" i="2"/>
  <c r="A328" i="2"/>
  <c r="A688" i="2"/>
  <c r="A329" i="2"/>
  <c r="A239" i="2"/>
  <c r="A330" i="2"/>
  <c r="A689" i="2"/>
  <c r="A627" i="2"/>
  <c r="A240" i="2"/>
  <c r="A552" i="2"/>
  <c r="A553" i="2"/>
  <c r="A241" i="2"/>
  <c r="A82" i="2"/>
  <c r="A162" i="2"/>
  <c r="A331" i="2"/>
  <c r="A242" i="2"/>
  <c r="A332" i="2"/>
  <c r="A333" i="2"/>
  <c r="A243" i="2"/>
  <c r="A628" i="2"/>
  <c r="A690" i="2"/>
  <c r="A691" i="2"/>
  <c r="A444" i="2"/>
  <c r="A18" i="2"/>
  <c r="A19" i="2"/>
  <c r="A20" i="2"/>
  <c r="A21" i="2"/>
  <c r="A22" i="2"/>
  <c r="A629" i="2"/>
  <c r="A554" i="2"/>
  <c r="A555" i="2"/>
  <c r="A630" i="2"/>
  <c r="A631" i="2"/>
  <c r="A632" i="2"/>
  <c r="A163" i="2"/>
  <c r="A23" i="2"/>
  <c r="A633" i="2"/>
  <c r="A556" i="2"/>
  <c r="A445" i="2"/>
  <c r="A634" i="2"/>
  <c r="A557" i="2"/>
  <c r="A446" i="2"/>
  <c r="A447" i="2"/>
  <c r="A244" i="2"/>
  <c r="A558" i="2"/>
  <c r="A24" i="2"/>
  <c r="A559" i="2"/>
  <c r="A560" i="2"/>
  <c r="A448" i="2"/>
  <c r="A164" i="2"/>
  <c r="A245" i="2"/>
  <c r="A246" i="2"/>
  <c r="A449" i="2"/>
  <c r="A561" i="2"/>
  <c r="A562" i="2"/>
  <c r="A635" i="2"/>
  <c r="A450" i="2"/>
  <c r="A247" i="2"/>
  <c r="A248" i="2"/>
  <c r="A165" i="2"/>
  <c r="A249" i="2"/>
  <c r="A636" i="2"/>
  <c r="A25" i="2"/>
  <c r="A637" i="2"/>
  <c r="A812" i="2"/>
  <c r="A563" i="2"/>
  <c r="A334" i="2"/>
  <c r="A692" i="2"/>
  <c r="A693" i="2"/>
  <c r="A451" i="2"/>
  <c r="A694" i="2"/>
  <c r="A638" i="2"/>
  <c r="A639" i="2"/>
  <c r="A83" i="2"/>
  <c r="A695" i="2"/>
  <c r="A166" i="2"/>
  <c r="A452" i="2"/>
  <c r="A640" i="2"/>
  <c r="A84" i="2"/>
  <c r="A85" i="2"/>
  <c r="A86" i="2"/>
  <c r="A564" i="2"/>
  <c r="A167" i="2"/>
  <c r="A26" i="2"/>
  <c r="A696" i="2"/>
  <c r="A750" i="2"/>
  <c r="A250" i="2"/>
  <c r="A251" i="2"/>
  <c r="A252" i="2"/>
  <c r="A565" i="2"/>
  <c r="A641" i="2"/>
  <c r="A697" i="2"/>
  <c r="A751" i="2"/>
  <c r="A698" i="2"/>
  <c r="A699" i="2"/>
  <c r="A453" i="2"/>
  <c r="A454" i="2"/>
  <c r="A253" i="2"/>
  <c r="A642" i="2"/>
  <c r="A700" i="2"/>
  <c r="A27" i="2"/>
  <c r="A335" i="2"/>
  <c r="A28" i="2"/>
  <c r="A29" i="2"/>
  <c r="A87" i="2"/>
  <c r="A336" i="2"/>
  <c r="A337" i="2"/>
  <c r="A88" i="2"/>
  <c r="A89" i="2"/>
  <c r="A90" i="2"/>
  <c r="A91" i="2"/>
  <c r="A338" i="2"/>
  <c r="A701" i="2"/>
  <c r="A643" i="2"/>
  <c r="A455" i="2"/>
  <c r="A339" i="2"/>
  <c r="A752" i="2"/>
  <c r="A456" i="2"/>
  <c r="A92" i="2"/>
  <c r="A93" i="2"/>
  <c r="A94" i="2"/>
  <c r="A95" i="2"/>
  <c r="A644" i="2"/>
  <c r="A702" i="2"/>
  <c r="A566" i="2"/>
  <c r="A567" i="2"/>
  <c r="A568" i="2"/>
  <c r="A340" i="2"/>
  <c r="A457" i="2"/>
  <c r="A341" i="2"/>
  <c r="A342" i="2"/>
  <c r="A343" i="2"/>
  <c r="A569" i="2"/>
  <c r="A168" i="2"/>
  <c r="A96" i="2"/>
  <c r="A570" i="2"/>
  <c r="A97" i="2"/>
  <c r="A98" i="2"/>
  <c r="A169" i="2"/>
  <c r="A99" i="2"/>
  <c r="A571" i="2"/>
  <c r="A645" i="2"/>
  <c r="A344" i="2"/>
  <c r="A345" i="2"/>
  <c r="A346" i="2"/>
  <c r="A347" i="2"/>
  <c r="A458" i="2"/>
  <c r="A170" i="2"/>
  <c r="A171" i="2"/>
  <c r="A172" i="2"/>
  <c r="A348" i="2"/>
  <c r="A349" i="2"/>
  <c r="A173" i="2"/>
  <c r="A174" i="2"/>
  <c r="A646" i="2"/>
  <c r="A30" i="2"/>
  <c r="A100" i="2"/>
  <c r="A254" i="2"/>
  <c r="A753" i="2"/>
  <c r="A31" i="2"/>
  <c r="A175" i="2"/>
  <c r="A176" i="2"/>
  <c r="A350" i="2"/>
  <c r="A703" i="2"/>
  <c r="A647" i="2"/>
  <c r="A754" i="2"/>
  <c r="A704" i="2"/>
  <c r="A572" i="2"/>
  <c r="A705" i="2"/>
  <c r="A177" i="2"/>
  <c r="A755" i="2"/>
  <c r="A101" i="2"/>
  <c r="A756" i="2"/>
  <c r="A178" i="2"/>
  <c r="A179" i="2"/>
  <c r="A648" i="2"/>
  <c r="A459" i="2"/>
  <c r="A351" i="2"/>
  <c r="A757" i="2"/>
  <c r="A758" i="2"/>
  <c r="A649" i="2"/>
  <c r="A650" i="2"/>
  <c r="A352" i="2"/>
  <c r="A180" i="2"/>
  <c r="A181" i="2"/>
  <c r="A759" i="2"/>
  <c r="A255" i="2"/>
  <c r="A256" i="2"/>
  <c r="A257" i="2"/>
  <c r="A573" i="2"/>
  <c r="A258" i="2"/>
  <c r="A259" i="2"/>
  <c r="A260" i="2"/>
  <c r="A102" i="2"/>
  <c r="A103" i="2"/>
  <c r="A651" i="2"/>
  <c r="A32" i="2"/>
  <c r="A33" i="2"/>
  <c r="A460" i="2"/>
  <c r="A574" i="2"/>
  <c r="A652" i="2"/>
  <c r="A760" i="2"/>
  <c r="A575" i="2"/>
  <c r="A261" i="2"/>
  <c r="A813" i="2"/>
  <c r="A576" i="2"/>
  <c r="A182" i="2"/>
  <c r="A653" i="2"/>
  <c r="A262" i="2"/>
  <c r="A263" i="2"/>
  <c r="A104" i="2"/>
  <c r="A183" i="2"/>
  <c r="A706" i="2"/>
  <c r="A761" i="2"/>
  <c r="A461" i="2"/>
  <c r="A762" i="2"/>
  <c r="A353" i="2"/>
  <c r="A462" i="2"/>
  <c r="A763" i="2"/>
  <c r="A577" i="2"/>
  <c r="A654" i="2"/>
  <c r="A34" i="2"/>
  <c r="A354" i="2"/>
  <c r="A264" i="2"/>
  <c r="A265" i="2"/>
  <c r="A266" i="2"/>
  <c r="A355" i="2"/>
  <c r="A267" i="2"/>
  <c r="A356" i="2"/>
  <c r="A357" i="2"/>
  <c r="A358" i="2"/>
  <c r="A359" i="2"/>
  <c r="A360" i="2"/>
  <c r="A361" i="2"/>
  <c r="A362" i="2"/>
  <c r="A363" i="2"/>
  <c r="A764" i="2"/>
  <c r="A364" i="2"/>
  <c r="A365" i="2"/>
  <c r="A463" i="2"/>
  <c r="A464" i="2"/>
  <c r="A465" i="2"/>
  <c r="A814" i="2"/>
  <c r="A578" i="2"/>
  <c r="A268" i="2"/>
  <c r="A655" i="2"/>
  <c r="A105" i="2"/>
  <c r="A656" i="2"/>
  <c r="A269" i="2"/>
  <c r="A579" i="2"/>
  <c r="A184" i="2"/>
  <c r="A185" i="2"/>
  <c r="A106" i="2"/>
  <c r="A186" i="2"/>
  <c r="A765" i="2"/>
  <c r="A466" i="2"/>
  <c r="A657" i="2"/>
  <c r="A270" i="2"/>
  <c r="A35" i="2"/>
  <c r="A467" i="2"/>
  <c r="A766" i="2"/>
  <c r="A767" i="2"/>
  <c r="A768" i="2"/>
  <c r="A366" i="2"/>
  <c r="A367" i="2"/>
  <c r="A368" i="2"/>
  <c r="A769" i="2"/>
  <c r="A271" i="2"/>
  <c r="A468" i="2"/>
  <c r="A187" i="2"/>
  <c r="A658" i="2"/>
  <c r="A36" i="2"/>
  <c r="A37" i="2"/>
  <c r="A469" i="2"/>
  <c r="A188" i="2"/>
  <c r="A369" i="2"/>
  <c r="A707" i="2"/>
  <c r="A580" i="2"/>
  <c r="A770" i="2"/>
  <c r="A470" i="2"/>
  <c r="A708" i="2"/>
  <c r="A272" i="2"/>
  <c r="A107" i="2"/>
  <c r="A189" i="2"/>
  <c r="A38" i="2"/>
  <c r="A273" i="2"/>
  <c r="A709" i="2"/>
  <c r="A581" i="2"/>
  <c r="A582" i="2"/>
  <c r="A370" i="2"/>
  <c r="A710" i="2"/>
  <c r="A274" i="2"/>
  <c r="A711" i="2"/>
  <c r="A190" i="2"/>
  <c r="A275" i="2"/>
  <c r="A191" i="2"/>
  <c r="A276" i="2"/>
  <c r="A39" i="2"/>
  <c r="A583" i="2"/>
  <c r="A192" i="2"/>
  <c r="A193" i="2"/>
  <c r="A471" i="2"/>
  <c r="A277" i="2"/>
  <c r="A472" i="2"/>
  <c r="A473" i="2"/>
  <c r="A659" i="2"/>
  <c r="A660" i="2"/>
  <c r="A661" i="2"/>
  <c r="A371" i="2"/>
  <c r="A662" i="2"/>
  <c r="A108" i="2"/>
  <c r="A663" i="2"/>
  <c r="A194" i="2"/>
  <c r="A195" i="2"/>
  <c r="A278" i="2"/>
  <c r="A196" i="2"/>
  <c r="A279" i="2"/>
  <c r="A197" i="2"/>
  <c r="A280" i="2"/>
  <c r="A372" i="2"/>
  <c r="A474" i="2"/>
  <c r="A475" i="2"/>
  <c r="A373" i="2"/>
  <c r="A374" i="2"/>
  <c r="A375" i="2"/>
  <c r="A476" i="2"/>
  <c r="A477" i="2"/>
  <c r="A712" i="2"/>
  <c r="A713" i="2"/>
  <c r="A771" i="2"/>
  <c r="A772" i="2"/>
  <c r="A773" i="2"/>
  <c r="A198" i="2"/>
  <c r="A199" i="2"/>
  <c r="A281" i="2"/>
  <c r="A282" i="2"/>
  <c r="A774" i="2"/>
  <c r="A714" i="2"/>
  <c r="A775" i="2"/>
  <c r="A109" i="2"/>
  <c r="A40" i="2"/>
  <c r="A283" i="2"/>
  <c r="A41" i="2"/>
  <c r="A284" i="2"/>
  <c r="A715" i="2"/>
  <c r="A376" i="2"/>
  <c r="A110" i="2"/>
  <c r="A111" i="2"/>
  <c r="A776" i="2"/>
  <c r="A478" i="2"/>
  <c r="A716" i="2"/>
  <c r="A112" i="2"/>
  <c r="A777" i="2"/>
  <c r="A200" i="2"/>
  <c r="A377" i="2"/>
  <c r="A378" i="2"/>
  <c r="A778" i="2"/>
  <c r="A379" i="2"/>
  <c r="A201" i="2"/>
  <c r="A202" i="2"/>
  <c r="A380" i="2"/>
  <c r="A717" i="2"/>
  <c r="A381" i="2"/>
  <c r="A203" i="2"/>
  <c r="A382" i="2"/>
  <c r="A584" i="2"/>
  <c r="A383" i="2"/>
  <c r="A585" i="2"/>
  <c r="A586" i="2"/>
  <c r="A479" i="2"/>
  <c r="A480" i="2"/>
  <c r="A481" i="2"/>
  <c r="A482" i="2"/>
  <c r="A664" i="2"/>
  <c r="A665" i="2"/>
  <c r="A666" i="2"/>
  <c r="A667" i="2"/>
  <c r="A668" i="2"/>
  <c r="A669" i="2"/>
  <c r="A670" i="2"/>
  <c r="A587" i="2"/>
  <c r="A588" i="2"/>
  <c r="A589" i="2"/>
  <c r="A483" i="2"/>
  <c r="A590" i="2"/>
  <c r="A484" i="2"/>
  <c r="A591" i="2"/>
  <c r="A671" i="2"/>
  <c r="A485" i="2"/>
  <c r="A486" i="2"/>
  <c r="A487" i="2"/>
  <c r="A592" i="2"/>
  <c r="A488" i="2"/>
  <c r="A489" i="2"/>
  <c r="A204" i="2"/>
  <c r="A490" i="2"/>
  <c r="A593" i="2"/>
  <c r="A594" i="2"/>
  <c r="A491" i="2"/>
  <c r="A492" i="2"/>
  <c r="A205" i="2"/>
  <c r="A493" i="2"/>
  <c r="A206" i="2"/>
  <c r="A384" i="2"/>
  <c r="A494" i="2"/>
  <c r="A385" i="2"/>
  <c r="A386" i="2"/>
  <c r="A495" i="2"/>
  <c r="A387" i="2"/>
  <c r="A388" i="2"/>
  <c r="A496" i="2"/>
  <c r="A389" i="2"/>
  <c r="A113" i="2"/>
  <c r="A42" i="2"/>
  <c r="A114" i="2"/>
  <c r="A43" i="2"/>
  <c r="A115" i="2"/>
  <c r="A44" i="2"/>
  <c r="A116" i="2"/>
  <c r="A117" i="2"/>
  <c r="A45" i="2"/>
  <c r="A118" i="2"/>
  <c r="A119" i="2"/>
  <c r="A120" i="2"/>
  <c r="A121" i="2"/>
  <c r="A46" i="2"/>
  <c r="A815" i="2"/>
  <c r="A497" i="2"/>
  <c r="A498" i="2"/>
  <c r="A816" i="2"/>
  <c r="A817" i="2"/>
  <c r="A499" i="2"/>
  <c r="A47" i="2"/>
  <c r="A779" i="2"/>
  <c r="A122" i="2"/>
  <c r="A48" i="2"/>
  <c r="A123" i="2"/>
  <c r="A390" i="2"/>
  <c r="A780" i="2"/>
  <c r="A781" i="2"/>
  <c r="A500" i="2"/>
  <c r="A49" i="2"/>
  <c r="A285" i="2"/>
  <c r="A124" i="2"/>
  <c r="A391" i="2"/>
  <c r="A286" i="2"/>
  <c r="A392" i="2"/>
  <c r="A818" i="2"/>
  <c r="A819" i="2"/>
  <c r="A782" i="2"/>
  <c r="A125" i="2"/>
  <c r="A393" i="2"/>
  <c r="A394" i="2"/>
  <c r="A783" i="2"/>
  <c r="A820" i="2"/>
  <c r="A126" i="2"/>
  <c r="A718" i="2"/>
  <c r="A287" i="2"/>
  <c r="A288" i="2"/>
  <c r="A395" i="2"/>
  <c r="A396" i="2"/>
  <c r="A397" i="2"/>
  <c r="A719" i="2"/>
  <c r="A127" i="2"/>
  <c r="A398" i="2"/>
  <c r="A289" i="2"/>
  <c r="A720" i="2"/>
  <c r="A784" i="2"/>
  <c r="A399" i="2"/>
  <c r="A290" i="2"/>
  <c r="A501" i="2"/>
  <c r="A502" i="2"/>
  <c r="A503" i="2"/>
  <c r="A504" i="2"/>
  <c r="A721" i="2"/>
  <c r="A722" i="2"/>
  <c r="A723" i="2"/>
  <c r="A50" i="2"/>
  <c r="A724" i="2"/>
  <c r="A785" i="2"/>
  <c r="A786" i="2"/>
  <c r="A787" i="2"/>
  <c r="A51" i="2"/>
  <c r="A725" i="2"/>
  <c r="A726" i="2"/>
  <c r="A52" i="2"/>
  <c r="A727" i="2"/>
  <c r="A788" i="2"/>
  <c r="A53" i="2"/>
  <c r="A789" i="2"/>
  <c r="A505" i="2"/>
  <c r="A790" i="2"/>
  <c r="A728" i="2"/>
  <c r="A791" i="2"/>
  <c r="A729" i="2"/>
  <c r="A506" i="2"/>
  <c r="A730" i="2"/>
  <c r="A507" i="2"/>
  <c r="A731" i="2"/>
  <c r="A400" i="2"/>
  <c r="A401" i="2"/>
  <c r="A508" i="2"/>
  <c r="A402" i="2"/>
  <c r="A509" i="2"/>
  <c r="A510" i="2"/>
  <c r="A403" i="2"/>
  <c r="A404" i="2"/>
  <c r="A405" i="2"/>
  <c r="A511" i="2"/>
  <c r="A406" i="2"/>
  <c r="A512" i="2"/>
  <c r="A407" i="2"/>
  <c r="A408" i="2"/>
  <c r="A513" i="2"/>
  <c r="A409" i="2"/>
  <c r="A291" i="2"/>
  <c r="A792" i="2"/>
  <c r="A793" i="2"/>
  <c r="A410" i="2"/>
  <c r="A794" i="2"/>
  <c r="A514" i="2"/>
  <c r="A795" i="2"/>
  <c r="A732" i="2"/>
  <c r="A411" i="2"/>
  <c r="B616" i="2"/>
  <c r="A616" i="2"/>
  <c r="N288" i="12"/>
  <c r="C738" i="7"/>
  <c r="K738" i="7" s="1"/>
  <c r="C733" i="7"/>
  <c r="K733" i="7" s="1"/>
  <c r="C728" i="7"/>
  <c r="K728" i="7" s="1"/>
  <c r="C767" i="7"/>
  <c r="K767" i="7" s="1"/>
  <c r="C772" i="7"/>
  <c r="K772" i="7" s="1"/>
  <c r="C796" i="7"/>
  <c r="K796" i="7" s="1"/>
  <c r="C789" i="7"/>
  <c r="K789" i="7" s="1"/>
  <c r="C797" i="7"/>
  <c r="K797" i="7" s="1"/>
  <c r="C818" i="7"/>
  <c r="K818" i="7" s="1"/>
  <c r="C810" i="7"/>
  <c r="K810" i="7" s="1"/>
  <c r="C819" i="7"/>
  <c r="K819" i="7" s="1"/>
  <c r="C543" i="5"/>
  <c r="K543" i="5" s="1"/>
  <c r="C571" i="5"/>
  <c r="K571" i="5" s="1"/>
  <c r="C577" i="5"/>
  <c r="K577" i="5" s="1"/>
  <c r="C545" i="5"/>
  <c r="K545" i="5" s="1"/>
  <c r="C561" i="5"/>
  <c r="K561" i="5" s="1"/>
  <c r="C559" i="5"/>
  <c r="K559" i="5" s="1"/>
  <c r="C529" i="5"/>
  <c r="K529" i="5" s="1"/>
  <c r="C551" i="5"/>
  <c r="K551" i="5" s="1"/>
  <c r="C539" i="5"/>
  <c r="K539" i="5" s="1"/>
  <c r="C541" i="5"/>
  <c r="K541" i="5" s="1"/>
  <c r="C533" i="5"/>
  <c r="K533" i="5" s="1"/>
  <c r="C550" i="5"/>
  <c r="K550" i="5" s="1"/>
  <c r="C557" i="5"/>
  <c r="K557" i="5" s="1"/>
  <c r="C576" i="5"/>
  <c r="K576" i="5" s="1"/>
  <c r="C548" i="5"/>
  <c r="K548" i="5" s="1"/>
  <c r="C554" i="5"/>
  <c r="K554" i="5" s="1"/>
  <c r="C558" i="5"/>
  <c r="K558" i="5" s="1"/>
  <c r="C560" i="5"/>
  <c r="K560" i="5" s="1"/>
  <c r="C546" i="5"/>
  <c r="K546" i="5" s="1"/>
  <c r="C562" i="5"/>
  <c r="K562" i="5" s="1"/>
  <c r="C567" i="5"/>
  <c r="K567" i="5" s="1"/>
  <c r="C526" i="5"/>
  <c r="K526" i="5" s="1"/>
  <c r="C572" i="5"/>
  <c r="K572" i="5" s="1"/>
  <c r="C530" i="5"/>
  <c r="K530" i="5" s="1"/>
  <c r="C575" i="5"/>
  <c r="K575" i="5" s="1"/>
  <c r="C532" i="5"/>
  <c r="K532" i="5" s="1"/>
  <c r="C536" i="5"/>
  <c r="K536" i="5" s="1"/>
  <c r="C538" i="5"/>
  <c r="K538" i="5" s="1"/>
  <c r="C656" i="5"/>
  <c r="K656" i="5" s="1"/>
  <c r="C676" i="5"/>
  <c r="K676" i="5" s="1"/>
  <c r="C635" i="5"/>
  <c r="K635" i="5" s="1"/>
  <c r="C655" i="5"/>
  <c r="K655" i="5" s="1"/>
  <c r="C673" i="5"/>
  <c r="K673" i="5" s="1"/>
  <c r="C649" i="5"/>
  <c r="K649" i="5" s="1"/>
  <c r="C636" i="5"/>
  <c r="K636" i="5" s="1"/>
  <c r="C659" i="5"/>
  <c r="K659" i="5" s="1"/>
  <c r="C654" i="5"/>
  <c r="K654" i="5" s="1"/>
  <c r="C668" i="5"/>
  <c r="K668" i="5" s="1"/>
  <c r="C661" i="5"/>
  <c r="K661" i="5" s="1"/>
  <c r="C653" i="5"/>
  <c r="K653" i="5" s="1"/>
  <c r="C644" i="5"/>
  <c r="K644" i="5" s="1"/>
  <c r="C669" i="5"/>
  <c r="K669" i="5" s="1"/>
  <c r="C670" i="5"/>
  <c r="K670" i="5" s="1"/>
  <c r="C671" i="5"/>
  <c r="K671" i="5" s="1"/>
  <c r="C667" i="5"/>
  <c r="K667" i="5" s="1"/>
  <c r="C666" i="5"/>
  <c r="K666" i="5" s="1"/>
  <c r="C658" i="5"/>
  <c r="K658" i="5" s="1"/>
  <c r="C640" i="5"/>
  <c r="K640" i="5" s="1"/>
  <c r="C652" i="5"/>
  <c r="K652" i="5" s="1"/>
  <c r="C657" i="5"/>
  <c r="K657" i="5" s="1"/>
  <c r="C643" i="5"/>
  <c r="K643" i="5" s="1"/>
  <c r="C648" i="5"/>
  <c r="K648" i="5" s="1"/>
  <c r="C641" i="5"/>
  <c r="K641" i="5" s="1"/>
  <c r="C662" i="5"/>
  <c r="K662" i="5" s="1"/>
  <c r="C650" i="5"/>
  <c r="K650" i="5" s="1"/>
  <c r="C672" i="5"/>
  <c r="K672" i="5" s="1"/>
  <c r="C680" i="5"/>
  <c r="K680" i="5" s="1"/>
  <c r="C647" i="5"/>
  <c r="K647" i="5" s="1"/>
  <c r="C498" i="5"/>
  <c r="K498" i="5" s="1"/>
  <c r="C513" i="5"/>
  <c r="K513" i="5" s="1"/>
  <c r="C523" i="5"/>
  <c r="K523" i="5" s="1"/>
  <c r="C487" i="5"/>
  <c r="K487" i="5" s="1"/>
  <c r="C491" i="5"/>
  <c r="K491" i="5" s="1"/>
  <c r="C511" i="5"/>
  <c r="K511" i="5" s="1"/>
  <c r="C512" i="5"/>
  <c r="K512" i="5" s="1"/>
  <c r="C515" i="5"/>
  <c r="K515" i="5" s="1"/>
  <c r="C489" i="5"/>
  <c r="K489" i="5" s="1"/>
  <c r="C486" i="5"/>
  <c r="K486" i="5" s="1"/>
  <c r="C497" i="5"/>
  <c r="K497" i="5" s="1"/>
  <c r="C499" i="5"/>
  <c r="K499" i="5" s="1"/>
  <c r="C510" i="5"/>
  <c r="K510" i="5" s="1"/>
  <c r="C506" i="5"/>
  <c r="K506" i="5" s="1"/>
  <c r="C483" i="5"/>
  <c r="K483" i="5" s="1"/>
  <c r="C501" i="5"/>
  <c r="K501" i="5" s="1"/>
  <c r="C524" i="5"/>
  <c r="K524" i="5" s="1"/>
  <c r="C518" i="5"/>
  <c r="K518" i="5" s="1"/>
  <c r="C514" i="5"/>
  <c r="K514" i="5" s="1"/>
  <c r="C522" i="5"/>
  <c r="K522" i="5" s="1"/>
  <c r="C525" i="5"/>
  <c r="K525" i="5" s="1"/>
  <c r="C490" i="5"/>
  <c r="K490" i="5" s="1"/>
  <c r="C690" i="5"/>
  <c r="K690" i="5" s="1"/>
  <c r="C685" i="5"/>
  <c r="K685" i="5" s="1"/>
  <c r="C691" i="5"/>
  <c r="K691" i="5" s="1"/>
  <c r="C684" i="5"/>
  <c r="K684" i="5" s="1"/>
  <c r="C687" i="5"/>
  <c r="K687" i="5" s="1"/>
  <c r="C682" i="5"/>
  <c r="K682" i="5" s="1"/>
  <c r="C702" i="5"/>
  <c r="K702" i="5" s="1"/>
  <c r="C701" i="5"/>
  <c r="K701" i="5" s="1"/>
  <c r="C695" i="5"/>
  <c r="K695" i="5" s="1"/>
  <c r="C698" i="5"/>
  <c r="K698" i="5" s="1"/>
  <c r="C696" i="5"/>
  <c r="K696" i="5" s="1"/>
  <c r="C699" i="5"/>
  <c r="K699" i="5" s="1"/>
  <c r="C697" i="5"/>
  <c r="K697" i="5" s="1"/>
  <c r="C707" i="5"/>
  <c r="K707" i="5" s="1"/>
  <c r="C719" i="5"/>
  <c r="K719" i="5" s="1"/>
  <c r="C715" i="5"/>
  <c r="K715" i="5" s="1"/>
  <c r="C722" i="5"/>
  <c r="K722" i="5" s="1"/>
  <c r="C718" i="5"/>
  <c r="K718" i="5" s="1"/>
  <c r="C716" i="5"/>
  <c r="K716" i="5" s="1"/>
  <c r="C704" i="5"/>
  <c r="K704" i="5" s="1"/>
  <c r="C712" i="5"/>
  <c r="K712" i="5" s="1"/>
  <c r="C710" i="5"/>
  <c r="K710" i="5" s="1"/>
  <c r="C714" i="5"/>
  <c r="K714" i="5" s="1"/>
  <c r="C753" i="5"/>
  <c r="K753" i="5" s="1"/>
  <c r="C757" i="5"/>
  <c r="K757" i="5" s="1"/>
  <c r="C756" i="5"/>
  <c r="K756" i="5" s="1"/>
  <c r="C747" i="5"/>
  <c r="K747" i="5" s="1"/>
  <c r="C750" i="5"/>
  <c r="K750" i="5" s="1"/>
  <c r="C744" i="5"/>
  <c r="K744" i="5" s="1"/>
  <c r="C746" i="5"/>
  <c r="K746" i="5" s="1"/>
  <c r="C727" i="5"/>
  <c r="K727" i="5" s="1"/>
  <c r="C743" i="5"/>
  <c r="K743" i="5" s="1"/>
  <c r="C729" i="5"/>
  <c r="K729" i="5" s="1"/>
  <c r="C739" i="5"/>
  <c r="K739" i="5" s="1"/>
  <c r="C735" i="5"/>
  <c r="K735" i="5" s="1"/>
  <c r="C740" i="5"/>
  <c r="K740" i="5" s="1"/>
  <c r="C742" i="5"/>
  <c r="K742" i="5" s="1"/>
  <c r="C734" i="5"/>
  <c r="K734" i="5" s="1"/>
  <c r="C724" i="5"/>
  <c r="K724" i="5" s="1"/>
  <c r="C769" i="5"/>
  <c r="K769" i="5" s="1"/>
  <c r="C765" i="5"/>
  <c r="K765" i="5" s="1"/>
  <c r="C759" i="5"/>
  <c r="K759" i="5" s="1"/>
  <c r="C764" i="5"/>
  <c r="K764" i="5" s="1"/>
  <c r="C761" i="5"/>
  <c r="K761" i="5" s="1"/>
  <c r="C760" i="5"/>
  <c r="K760" i="5" s="1"/>
  <c r="C763" i="5"/>
  <c r="K763" i="5" s="1"/>
  <c r="C784" i="5"/>
  <c r="K784" i="5" s="1"/>
  <c r="C776" i="5"/>
  <c r="K776" i="5" s="1"/>
  <c r="C779" i="5"/>
  <c r="K779" i="5" s="1"/>
  <c r="C774" i="5"/>
  <c r="K774" i="5" s="1"/>
  <c r="C770" i="5"/>
  <c r="K770" i="5" s="1"/>
  <c r="C782" i="5"/>
  <c r="K782" i="5" s="1"/>
  <c r="C771" i="5"/>
  <c r="K771" i="5" s="1"/>
  <c r="C780" i="5"/>
  <c r="K780" i="5" s="1"/>
  <c r="C777" i="5"/>
  <c r="K777" i="5" s="1"/>
  <c r="C790" i="5"/>
  <c r="K790" i="5" s="1"/>
  <c r="C788" i="5"/>
  <c r="K788" i="5" s="1"/>
  <c r="C787" i="5"/>
  <c r="K787" i="5" s="1"/>
  <c r="C792" i="5"/>
  <c r="K792" i="5" s="1"/>
  <c r="C786" i="5"/>
  <c r="K786" i="5" s="1"/>
  <c r="C793" i="5"/>
  <c r="K793" i="5" s="1"/>
  <c r="C535" i="9"/>
  <c r="C48" i="9"/>
  <c r="C69" i="9"/>
  <c r="C53" i="9"/>
  <c r="C315" i="9"/>
  <c r="C322" i="9"/>
  <c r="C239" i="9"/>
  <c r="C331" i="9"/>
  <c r="C328" i="9"/>
  <c r="C314" i="9"/>
  <c r="C300" i="9"/>
  <c r="C290" i="9"/>
  <c r="C243" i="9"/>
  <c r="C180" i="9"/>
  <c r="C183" i="9"/>
  <c r="C874" i="9"/>
  <c r="C881" i="9"/>
  <c r="C107" i="9"/>
  <c r="C854" i="9"/>
  <c r="C910" i="9"/>
  <c r="C909" i="9"/>
  <c r="C12" i="9"/>
  <c r="C129" i="9"/>
  <c r="C339" i="9"/>
  <c r="C204" i="9"/>
  <c r="C118" i="9"/>
  <c r="C221" i="9"/>
  <c r="C893" i="9"/>
  <c r="C894" i="9"/>
  <c r="C110" i="9"/>
  <c r="C897" i="9"/>
  <c r="C338" i="9"/>
  <c r="C201" i="9"/>
  <c r="C123" i="9"/>
  <c r="C863" i="9"/>
  <c r="C445" i="9"/>
  <c r="C198" i="9"/>
  <c r="C884" i="9"/>
  <c r="C340" i="9"/>
  <c r="C428" i="9"/>
  <c r="C444" i="9"/>
  <c r="C914" i="9"/>
  <c r="AG5" i="12"/>
  <c r="AG7" i="12" s="1"/>
  <c r="B5" i="12"/>
  <c r="Q5" i="7"/>
  <c r="Q7" i="7" s="1"/>
  <c r="E5" i="5"/>
  <c r="E7" i="5" s="1"/>
  <c r="C12" i="16"/>
  <c r="G18" i="44" l="1"/>
  <c r="P18" i="44" s="1"/>
  <c r="E18" i="44"/>
  <c r="N18" i="44" s="1"/>
  <c r="J18" i="44"/>
  <c r="S18" i="44" s="1"/>
  <c r="C234" i="9"/>
  <c r="C906" i="9"/>
  <c r="C711" i="5"/>
  <c r="K711" i="5" s="1"/>
  <c r="C480" i="5"/>
  <c r="K480" i="5" s="1"/>
  <c r="C19" i="2"/>
  <c r="C15" i="2"/>
  <c r="C423" i="2"/>
  <c r="C607" i="2"/>
  <c r="C215" i="2"/>
  <c r="C211" i="2"/>
  <c r="C417" i="2"/>
  <c r="C207" i="2"/>
  <c r="C817" i="5"/>
  <c r="K817" i="5" s="1"/>
  <c r="D43" i="16"/>
  <c r="C42" i="16"/>
  <c r="C810" i="5"/>
  <c r="K810" i="5" s="1"/>
  <c r="C811" i="5"/>
  <c r="K811" i="5" s="1"/>
  <c r="C614" i="2"/>
  <c r="C222" i="2"/>
  <c r="C803" i="2"/>
  <c r="C608" i="2"/>
  <c r="C808" i="5"/>
  <c r="K808" i="5" s="1"/>
  <c r="C799" i="5"/>
  <c r="K799" i="5" s="1"/>
  <c r="C807" i="2"/>
  <c r="C134" i="2"/>
  <c r="C57" i="2"/>
  <c r="C605" i="2"/>
  <c r="C214" i="2"/>
  <c r="C300" i="2"/>
  <c r="C602" i="2"/>
  <c r="C515" i="2"/>
  <c r="C413" i="2"/>
  <c r="C801" i="5"/>
  <c r="K801" i="5" s="1"/>
  <c r="C679" i="2"/>
  <c r="C805" i="2"/>
  <c r="C61" i="2"/>
  <c r="C516" i="2"/>
  <c r="C523" i="2"/>
  <c r="C809" i="5"/>
  <c r="K809" i="5" s="1"/>
  <c r="C814" i="5"/>
  <c r="K814" i="5" s="1"/>
  <c r="C613" i="2"/>
  <c r="C815" i="5"/>
  <c r="K815" i="5" s="1"/>
  <c r="C427" i="2"/>
  <c r="C305" i="2"/>
  <c r="C675" i="2"/>
  <c r="C524" i="2"/>
  <c r="C801" i="2"/>
  <c r="C799" i="2"/>
  <c r="C518" i="2"/>
  <c r="C130" i="2"/>
  <c r="C302" i="2"/>
  <c r="C296" i="2"/>
  <c r="C597" i="2"/>
  <c r="C419" i="2"/>
  <c r="C821" i="5"/>
  <c r="K821" i="5" s="1"/>
  <c r="C813" i="5"/>
  <c r="K813" i="5" s="1"/>
  <c r="C812" i="5"/>
  <c r="K812" i="5" s="1"/>
  <c r="C816" i="5"/>
  <c r="K816" i="5" s="1"/>
  <c r="C211" i="9"/>
  <c r="C853" i="9"/>
  <c r="C288" i="9"/>
  <c r="C296" i="9"/>
  <c r="C344" i="9"/>
  <c r="C806" i="5"/>
  <c r="K806" i="5" s="1"/>
  <c r="C126" i="9"/>
  <c r="C213" i="9"/>
  <c r="C446" i="9"/>
  <c r="C197" i="9"/>
  <c r="C798" i="5"/>
  <c r="K798" i="5" s="1"/>
  <c r="C803" i="5"/>
  <c r="K803" i="5" s="1"/>
  <c r="C806" i="12"/>
  <c r="C817" i="12"/>
  <c r="C798" i="12"/>
  <c r="C785" i="12"/>
  <c r="C773" i="12"/>
  <c r="C779" i="12"/>
  <c r="C768" i="12"/>
  <c r="C758" i="12"/>
  <c r="C736" i="12"/>
  <c r="C737" i="12"/>
  <c r="C752" i="12"/>
  <c r="C751" i="12"/>
  <c r="C720" i="12"/>
  <c r="C721" i="12"/>
  <c r="C694" i="12"/>
  <c r="C683" i="12"/>
  <c r="C818" i="5"/>
  <c r="K818" i="5" s="1"/>
  <c r="C210" i="9"/>
  <c r="C876" i="9"/>
  <c r="C311" i="9"/>
  <c r="C781" i="5"/>
  <c r="K781" i="5" s="1"/>
  <c r="C731" i="5"/>
  <c r="K731" i="5" s="1"/>
  <c r="C732" i="5"/>
  <c r="K732" i="5" s="1"/>
  <c r="C531" i="5"/>
  <c r="K531" i="5" s="1"/>
  <c r="C821" i="12"/>
  <c r="C816" i="12"/>
  <c r="C799" i="12"/>
  <c r="C792" i="12"/>
  <c r="C759" i="7"/>
  <c r="K759" i="7" s="1"/>
  <c r="C757" i="7"/>
  <c r="K757" i="7" s="1"/>
  <c r="C687" i="7"/>
  <c r="K687" i="7" s="1"/>
  <c r="C807" i="12"/>
  <c r="C793" i="12"/>
  <c r="C777" i="12"/>
  <c r="C770" i="12"/>
  <c r="C740" i="12"/>
  <c r="C715" i="12"/>
  <c r="C697" i="12"/>
  <c r="C695" i="12"/>
  <c r="C785" i="5"/>
  <c r="K785" i="5" s="1"/>
  <c r="C773" i="5"/>
  <c r="K773" i="5" s="1"/>
  <c r="C768" i="5"/>
  <c r="K768" i="5" s="1"/>
  <c r="C758" i="5"/>
  <c r="K758" i="5" s="1"/>
  <c r="C736" i="5"/>
  <c r="K736" i="5" s="1"/>
  <c r="C737" i="5"/>
  <c r="K737" i="5" s="1"/>
  <c r="C752" i="5"/>
  <c r="K752" i="5" s="1"/>
  <c r="C751" i="5"/>
  <c r="K751" i="5" s="1"/>
  <c r="C720" i="5"/>
  <c r="K720" i="5" s="1"/>
  <c r="C721" i="5"/>
  <c r="K721" i="5" s="1"/>
  <c r="C694" i="5"/>
  <c r="K694" i="5" s="1"/>
  <c r="C683" i="5"/>
  <c r="K683" i="5" s="1"/>
  <c r="C494" i="5"/>
  <c r="K494" i="5" s="1"/>
  <c r="C488" i="5"/>
  <c r="K488" i="5" s="1"/>
  <c r="C492" i="5"/>
  <c r="K492" i="5" s="1"/>
  <c r="C517" i="5"/>
  <c r="K517" i="5" s="1"/>
  <c r="C509" i="5"/>
  <c r="K509" i="5" s="1"/>
  <c r="C484" i="5"/>
  <c r="K484" i="5" s="1"/>
  <c r="C664" i="5"/>
  <c r="K664" i="5" s="1"/>
  <c r="C663" i="5"/>
  <c r="K663" i="5" s="1"/>
  <c r="C642" i="5"/>
  <c r="K642" i="5" s="1"/>
  <c r="C632" i="5"/>
  <c r="K632" i="5" s="1"/>
  <c r="C633" i="5"/>
  <c r="K633" i="5" s="1"/>
  <c r="C552" i="5"/>
  <c r="K552" i="5" s="1"/>
  <c r="C564" i="5"/>
  <c r="K564" i="5" s="1"/>
  <c r="C573" i="5"/>
  <c r="K573" i="5" s="1"/>
  <c r="C549" i="5"/>
  <c r="K549" i="5" s="1"/>
  <c r="C547" i="5"/>
  <c r="K547" i="5" s="1"/>
  <c r="C772" i="5"/>
  <c r="K772" i="5" s="1"/>
  <c r="C767" i="5"/>
  <c r="K767" i="5" s="1"/>
  <c r="C738" i="5"/>
  <c r="K738" i="5" s="1"/>
  <c r="C706" i="5"/>
  <c r="K706" i="5" s="1"/>
  <c r="C521" i="5"/>
  <c r="K521" i="5" s="1"/>
  <c r="C789" i="5"/>
  <c r="K789" i="5" s="1"/>
  <c r="C728" i="5"/>
  <c r="K728" i="5" s="1"/>
  <c r="C754" i="5"/>
  <c r="K754" i="5" s="1"/>
  <c r="C703" i="5"/>
  <c r="K703" i="5" s="1"/>
  <c r="C692" i="5"/>
  <c r="K692" i="5" s="1"/>
  <c r="C503" i="5"/>
  <c r="K503" i="5" s="1"/>
  <c r="C796" i="5"/>
  <c r="K796" i="5" s="1"/>
  <c r="C745" i="5"/>
  <c r="K745" i="5" s="1"/>
  <c r="C723" i="5"/>
  <c r="K723" i="5" s="1"/>
  <c r="C819" i="12"/>
  <c r="C818" i="12"/>
  <c r="C797" i="12"/>
  <c r="C796" i="12"/>
  <c r="C772" i="12"/>
  <c r="C728" i="12"/>
  <c r="C733" i="12"/>
  <c r="C745" i="12"/>
  <c r="C706" i="12"/>
  <c r="C705" i="12"/>
  <c r="C797" i="5"/>
  <c r="K797" i="5" s="1"/>
  <c r="C733" i="5"/>
  <c r="K733" i="5" s="1"/>
  <c r="C705" i="5"/>
  <c r="K705" i="5" s="1"/>
  <c r="C689" i="5"/>
  <c r="K689" i="5" s="1"/>
  <c r="C520" i="5"/>
  <c r="K520" i="5" s="1"/>
  <c r="C907" i="9"/>
  <c r="C103" i="9"/>
  <c r="C442" i="9"/>
  <c r="C865" i="9"/>
  <c r="C308" i="9"/>
  <c r="C689" i="12"/>
  <c r="C875" i="9"/>
  <c r="C903" i="9"/>
  <c r="C869" i="9"/>
  <c r="C883" i="9"/>
  <c r="C899" i="9"/>
  <c r="C429" i="9"/>
  <c r="C104" i="9"/>
  <c r="C109" i="9"/>
  <c r="C345" i="9"/>
  <c r="C102" i="9"/>
  <c r="C867" i="9"/>
  <c r="C219" i="9"/>
  <c r="C206" i="9"/>
  <c r="C117" i="9"/>
  <c r="C192" i="9"/>
  <c r="C441" i="9"/>
  <c r="C130" i="9"/>
  <c r="C22" i="9"/>
  <c r="C858" i="9"/>
  <c r="C879" i="9"/>
  <c r="C346" i="9"/>
  <c r="C216" i="9"/>
  <c r="C224" i="9"/>
  <c r="C185" i="9"/>
  <c r="C313" i="9"/>
  <c r="C225" i="9"/>
  <c r="C291" i="9"/>
  <c r="C228" i="9"/>
  <c r="C295" i="9"/>
  <c r="C194" i="9"/>
  <c r="C318" i="9"/>
  <c r="C321" i="9"/>
  <c r="C323" i="9"/>
  <c r="C40" i="9"/>
  <c r="C540" i="9"/>
  <c r="C113" i="9"/>
  <c r="C880" i="9"/>
  <c r="C447" i="9"/>
  <c r="C852" i="9"/>
  <c r="C336" i="9"/>
  <c r="C21" i="9"/>
  <c r="C220" i="9"/>
  <c r="C820" i="5"/>
  <c r="K820" i="5" s="1"/>
  <c r="C481" i="5"/>
  <c r="K481" i="5" s="1"/>
  <c r="C507" i="5"/>
  <c r="K507" i="5" s="1"/>
  <c r="C504" i="5"/>
  <c r="K504" i="5" s="1"/>
  <c r="C675" i="5"/>
  <c r="K675" i="5" s="1"/>
  <c r="C677" i="5"/>
  <c r="K677" i="5" s="1"/>
  <c r="C634" i="5"/>
  <c r="K634" i="5" s="1"/>
  <c r="C681" i="5"/>
  <c r="K681" i="5" s="1"/>
  <c r="C651" i="5"/>
  <c r="K651" i="5" s="1"/>
  <c r="C639" i="5"/>
  <c r="K639" i="5" s="1"/>
  <c r="C534" i="5"/>
  <c r="K534" i="5" s="1"/>
  <c r="C566" i="5"/>
  <c r="K566" i="5" s="1"/>
  <c r="C570" i="5"/>
  <c r="K570" i="5" s="1"/>
  <c r="C794" i="5"/>
  <c r="K794" i="5" s="1"/>
  <c r="C741" i="5"/>
  <c r="K741" i="5" s="1"/>
  <c r="C502" i="5"/>
  <c r="K502" i="5" s="1"/>
  <c r="C563" i="5"/>
  <c r="K563" i="5" s="1"/>
  <c r="C775" i="5"/>
  <c r="K775" i="5" s="1"/>
  <c r="C762" i="5"/>
  <c r="K762" i="5" s="1"/>
  <c r="C755" i="5"/>
  <c r="K755" i="5" s="1"/>
  <c r="C709" i="5"/>
  <c r="K709" i="5" s="1"/>
  <c r="C700" i="5"/>
  <c r="K700" i="5" s="1"/>
  <c r="C519" i="5"/>
  <c r="K519" i="5" s="1"/>
  <c r="C496" i="5"/>
  <c r="K496" i="5" s="1"/>
  <c r="C495" i="5"/>
  <c r="K495" i="5" s="1"/>
  <c r="C482" i="5"/>
  <c r="K482" i="5" s="1"/>
  <c r="C646" i="5"/>
  <c r="K646" i="5" s="1"/>
  <c r="C660" i="5"/>
  <c r="K660" i="5" s="1"/>
  <c r="C674" i="5"/>
  <c r="K674" i="5" s="1"/>
  <c r="C569" i="5"/>
  <c r="K569" i="5" s="1"/>
  <c r="C555" i="5"/>
  <c r="K555" i="5" s="1"/>
  <c r="C527" i="5"/>
  <c r="K527" i="5" s="1"/>
  <c r="C896" i="9"/>
  <c r="C124" i="9"/>
  <c r="C114" i="9"/>
  <c r="C434" i="9"/>
  <c r="C912" i="9"/>
  <c r="C440" i="9"/>
  <c r="C111" i="9"/>
  <c r="C202" i="9"/>
  <c r="C855" i="9"/>
  <c r="C913" i="9"/>
  <c r="C885" i="9"/>
  <c r="C862" i="9"/>
  <c r="C860" i="9"/>
  <c r="C184" i="9"/>
  <c r="C304" i="9"/>
  <c r="C301" i="9"/>
  <c r="C539" i="9"/>
  <c r="C51" i="9"/>
  <c r="C112" i="9"/>
  <c r="C427" i="9"/>
  <c r="C915" i="9"/>
  <c r="C128" i="9"/>
  <c r="C343" i="9"/>
  <c r="C890" i="9"/>
  <c r="C332" i="9"/>
  <c r="C341" i="9"/>
  <c r="C14" i="9"/>
  <c r="C207" i="9"/>
  <c r="C873" i="9"/>
  <c r="C222" i="9"/>
  <c r="C292" i="9"/>
  <c r="C287" i="9"/>
  <c r="C426" i="2"/>
  <c r="C425" i="2"/>
  <c r="C424" i="2"/>
  <c r="C223" i="2"/>
  <c r="C821" i="2"/>
  <c r="C135" i="2"/>
  <c r="C521" i="2"/>
  <c r="C58" i="2"/>
  <c r="C736" i="2"/>
  <c r="C133" i="2"/>
  <c r="C54" i="2"/>
  <c r="C603" i="2"/>
  <c r="C297" i="2"/>
  <c r="C598" i="2"/>
  <c r="C672" i="2"/>
  <c r="C414" i="2"/>
  <c r="C544" i="5"/>
  <c r="K544" i="5" s="1"/>
  <c r="C553" i="5"/>
  <c r="K553" i="5" s="1"/>
  <c r="C535" i="5"/>
  <c r="K535" i="5" s="1"/>
  <c r="C568" i="5"/>
  <c r="K568" i="5" s="1"/>
  <c r="C443" i="9"/>
  <c r="C887" i="9"/>
  <c r="C898" i="9"/>
  <c r="C218" i="9"/>
  <c r="C212" i="9"/>
  <c r="C900" i="9"/>
  <c r="C337" i="9"/>
  <c r="C335" i="9"/>
  <c r="C342" i="9"/>
  <c r="C871" i="9"/>
  <c r="C182" i="9"/>
  <c r="C233" i="9"/>
  <c r="C226" i="9"/>
  <c r="C116" i="9"/>
  <c r="C15" i="9"/>
  <c r="C911" i="9"/>
  <c r="C905" i="9"/>
  <c r="C886" i="9"/>
  <c r="C122" i="9"/>
  <c r="C11" i="9"/>
  <c r="C209" i="9"/>
  <c r="C208" i="9"/>
  <c r="C13" i="9"/>
  <c r="C193" i="9"/>
  <c r="C242" i="9"/>
  <c r="C230" i="9"/>
  <c r="C312" i="9"/>
  <c r="C294" i="9"/>
  <c r="C297" i="9"/>
  <c r="C320" i="9"/>
  <c r="C231" i="9"/>
  <c r="C327" i="9"/>
  <c r="C46" i="9"/>
  <c r="C44" i="9"/>
  <c r="C73" i="9"/>
  <c r="C541" i="9"/>
  <c r="C303" i="9"/>
  <c r="C195" i="9"/>
  <c r="C240" i="9"/>
  <c r="C330" i="9"/>
  <c r="C316" i="9"/>
  <c r="C65" i="9"/>
  <c r="C57" i="9"/>
  <c r="C37" i="9"/>
  <c r="C534" i="9"/>
  <c r="C810" i="12"/>
  <c r="C789" i="12"/>
  <c r="C767" i="12"/>
  <c r="C738" i="12"/>
  <c r="C754" i="12"/>
  <c r="C723" i="12"/>
  <c r="C703" i="12"/>
  <c r="C808" i="12"/>
  <c r="C811" i="12"/>
  <c r="C788" i="12"/>
  <c r="C764" i="12"/>
  <c r="C729" i="12"/>
  <c r="C746" i="12"/>
  <c r="C712" i="12"/>
  <c r="C682" i="12"/>
  <c r="C227" i="9"/>
  <c r="C329" i="9"/>
  <c r="C45" i="9"/>
  <c r="C548" i="9"/>
  <c r="C807" i="7"/>
  <c r="K807" i="7" s="1"/>
  <c r="C808" i="7"/>
  <c r="K808" i="7" s="1"/>
  <c r="C811" i="7"/>
  <c r="K811" i="7" s="1"/>
  <c r="C793" i="7"/>
  <c r="K793" i="7" s="1"/>
  <c r="C788" i="7"/>
  <c r="K788" i="7" s="1"/>
  <c r="C777" i="7"/>
  <c r="K777" i="7" s="1"/>
  <c r="C770" i="7"/>
  <c r="K770" i="7" s="1"/>
  <c r="C764" i="7"/>
  <c r="K764" i="7" s="1"/>
  <c r="C740" i="7"/>
  <c r="K740" i="7" s="1"/>
  <c r="C729" i="7"/>
  <c r="K729" i="7" s="1"/>
  <c r="C127" i="9"/>
  <c r="C199" i="9"/>
  <c r="C189" i="9"/>
  <c r="C904" i="9"/>
  <c r="C19" i="9"/>
  <c r="C891" i="9"/>
  <c r="C186" i="9"/>
  <c r="C438" i="9"/>
  <c r="C108" i="9"/>
  <c r="C856" i="9"/>
  <c r="C106" i="9"/>
  <c r="C121" i="9"/>
  <c r="C439" i="9"/>
  <c r="C120" i="9"/>
  <c r="C864" i="9"/>
  <c r="C866" i="9"/>
  <c r="C861" i="9"/>
  <c r="C20" i="9"/>
  <c r="C223" i="9"/>
  <c r="C859" i="9"/>
  <c r="C200" i="9"/>
  <c r="C187" i="9"/>
  <c r="C188" i="9"/>
  <c r="C238" i="9"/>
  <c r="C306" i="9"/>
  <c r="C191" i="9"/>
  <c r="C310" i="9"/>
  <c r="C246" i="9"/>
  <c r="C245" i="9"/>
  <c r="C319" i="9"/>
  <c r="C326" i="9"/>
  <c r="C317" i="9"/>
  <c r="C66" i="9"/>
  <c r="C38" i="9"/>
  <c r="C546" i="9"/>
  <c r="C115" i="9"/>
  <c r="C902" i="9"/>
  <c r="C877" i="9"/>
  <c r="C214" i="9"/>
  <c r="C916" i="9"/>
  <c r="C205" i="9"/>
  <c r="C882" i="9"/>
  <c r="C430" i="9"/>
  <c r="C125" i="9"/>
  <c r="C10" i="9"/>
  <c r="C426" i="9"/>
  <c r="C424" i="9"/>
  <c r="C892" i="9"/>
  <c r="C425" i="9"/>
  <c r="C203" i="9"/>
  <c r="C18" i="9"/>
  <c r="C105" i="9"/>
  <c r="C889" i="9"/>
  <c r="C888" i="9"/>
  <c r="C857" i="9"/>
  <c r="C190" i="9"/>
  <c r="C305" i="9"/>
  <c r="C236" i="9"/>
  <c r="C235" i="9"/>
  <c r="C289" i="9"/>
  <c r="C241" i="9"/>
  <c r="C309" i="9"/>
  <c r="C293" i="9"/>
  <c r="C325" i="9"/>
  <c r="C324" i="9"/>
  <c r="C538" i="9"/>
  <c r="C56" i="9"/>
  <c r="C536" i="9"/>
  <c r="C543" i="9"/>
  <c r="C803" i="7"/>
  <c r="K803" i="7" s="1"/>
  <c r="C794" i="7"/>
  <c r="K794" i="7" s="1"/>
  <c r="C790" i="7"/>
  <c r="K790" i="7" s="1"/>
  <c r="C780" i="7"/>
  <c r="K780" i="7" s="1"/>
  <c r="C774" i="7"/>
  <c r="K774" i="7" s="1"/>
  <c r="C763" i="7"/>
  <c r="K763" i="7" s="1"/>
  <c r="C741" i="7"/>
  <c r="K741" i="7" s="1"/>
  <c r="C719" i="7"/>
  <c r="K719" i="7" s="1"/>
  <c r="C701" i="7"/>
  <c r="K701" i="7" s="1"/>
  <c r="C895" i="9"/>
  <c r="C850" i="9"/>
  <c r="C901" i="9"/>
  <c r="C333" i="9"/>
  <c r="C119" i="9"/>
  <c r="C908" i="9"/>
  <c r="C870" i="9"/>
  <c r="C16" i="9"/>
  <c r="C433" i="9"/>
  <c r="C878" i="9"/>
  <c r="C217" i="9"/>
  <c r="C23" i="9"/>
  <c r="C334" i="9"/>
  <c r="C17" i="9"/>
  <c r="C437" i="9"/>
  <c r="C215" i="9"/>
  <c r="C851" i="9"/>
  <c r="C872" i="9"/>
  <c r="C849" i="9"/>
  <c r="C868" i="9"/>
  <c r="C181" i="9"/>
  <c r="C307" i="9"/>
  <c r="C298" i="9"/>
  <c r="C232" i="9"/>
  <c r="C196" i="9"/>
  <c r="C299" i="9"/>
  <c r="C237" i="9"/>
  <c r="C244" i="9"/>
  <c r="C229" i="9"/>
  <c r="C542" i="9"/>
  <c r="C35" i="9"/>
  <c r="C63" i="9"/>
  <c r="C67" i="9"/>
  <c r="C537" i="9"/>
  <c r="C302" i="9"/>
  <c r="C807" i="5"/>
  <c r="K807" i="5" s="1"/>
  <c r="C689" i="7"/>
  <c r="K689" i="7" s="1"/>
  <c r="C820" i="7"/>
  <c r="K820" i="7" s="1"/>
  <c r="C815" i="7"/>
  <c r="K815" i="7" s="1"/>
  <c r="C801" i="7"/>
  <c r="K801" i="7" s="1"/>
  <c r="C786" i="7"/>
  <c r="K786" i="7" s="1"/>
  <c r="C775" i="7"/>
  <c r="K775" i="7" s="1"/>
  <c r="C781" i="7"/>
  <c r="K781" i="7" s="1"/>
  <c r="C762" i="7"/>
  <c r="K762" i="7" s="1"/>
  <c r="C765" i="7"/>
  <c r="K765" i="7" s="1"/>
  <c r="C731" i="7"/>
  <c r="K731" i="7" s="1"/>
  <c r="C732" i="7"/>
  <c r="K732" i="7" s="1"/>
  <c r="C750" i="7"/>
  <c r="K750" i="7" s="1"/>
  <c r="C755" i="7"/>
  <c r="K755" i="7" s="1"/>
  <c r="C716" i="7"/>
  <c r="K716" i="7" s="1"/>
  <c r="C709" i="7"/>
  <c r="K709" i="7" s="1"/>
  <c r="C700" i="7"/>
  <c r="K700" i="7" s="1"/>
  <c r="C684" i="7"/>
  <c r="K684" i="7" s="1"/>
  <c r="C804" i="7"/>
  <c r="K804" i="7" s="1"/>
  <c r="C812" i="7"/>
  <c r="K812" i="7" s="1"/>
  <c r="C814" i="7"/>
  <c r="K814" i="7" s="1"/>
  <c r="C802" i="7"/>
  <c r="K802" i="7" s="1"/>
  <c r="C791" i="7"/>
  <c r="K791" i="7" s="1"/>
  <c r="C795" i="7"/>
  <c r="K795" i="7" s="1"/>
  <c r="C778" i="7"/>
  <c r="K778" i="7" s="1"/>
  <c r="C783" i="7"/>
  <c r="K783" i="7" s="1"/>
  <c r="C766" i="7"/>
  <c r="K766" i="7" s="1"/>
  <c r="C726" i="7"/>
  <c r="K726" i="7" s="1"/>
  <c r="C730" i="7"/>
  <c r="K730" i="7" s="1"/>
  <c r="C725" i="7"/>
  <c r="K725" i="7" s="1"/>
  <c r="C748" i="7"/>
  <c r="K748" i="7" s="1"/>
  <c r="C749" i="7"/>
  <c r="K749" i="7" s="1"/>
  <c r="C708" i="7"/>
  <c r="K708" i="7" s="1"/>
  <c r="C717" i="7"/>
  <c r="K717" i="7" s="1"/>
  <c r="C713" i="7"/>
  <c r="K713" i="7" s="1"/>
  <c r="C693" i="7"/>
  <c r="K693" i="7" s="1"/>
  <c r="C686" i="7"/>
  <c r="K686" i="7" s="1"/>
  <c r="C745" i="7"/>
  <c r="K745" i="7" s="1"/>
  <c r="C754" i="7"/>
  <c r="K754" i="7" s="1"/>
  <c r="C706" i="7"/>
  <c r="K706" i="7" s="1"/>
  <c r="C723" i="7"/>
  <c r="K723" i="7" s="1"/>
  <c r="C705" i="7"/>
  <c r="K705" i="7" s="1"/>
  <c r="C703" i="7"/>
  <c r="K703" i="7" s="1"/>
  <c r="C746" i="7"/>
  <c r="K746" i="7" s="1"/>
  <c r="C712" i="7"/>
  <c r="K712" i="7" s="1"/>
  <c r="C715" i="7"/>
  <c r="K715" i="7" s="1"/>
  <c r="C697" i="7"/>
  <c r="K697" i="7" s="1"/>
  <c r="C695" i="7"/>
  <c r="K695" i="7" s="1"/>
  <c r="C682" i="7"/>
  <c r="K682" i="7" s="1"/>
  <c r="C803" i="12"/>
  <c r="C794" i="12"/>
  <c r="C790" i="12"/>
  <c r="C780" i="12"/>
  <c r="C774" i="12"/>
  <c r="C763" i="12"/>
  <c r="C759" i="12"/>
  <c r="C741" i="12"/>
  <c r="C744" i="12"/>
  <c r="C757" i="12"/>
  <c r="C704" i="12"/>
  <c r="C719" i="12"/>
  <c r="C699" i="12"/>
  <c r="C701" i="12"/>
  <c r="C687" i="12"/>
  <c r="C744" i="7"/>
  <c r="K744" i="7" s="1"/>
  <c r="C704" i="7"/>
  <c r="K704" i="7" s="1"/>
  <c r="C699" i="7"/>
  <c r="K699" i="7" s="1"/>
  <c r="C805" i="7"/>
  <c r="K805" i="7" s="1"/>
  <c r="C809" i="7"/>
  <c r="K809" i="7" s="1"/>
  <c r="C813" i="7"/>
  <c r="K813" i="7" s="1"/>
  <c r="C800" i="7"/>
  <c r="K800" i="7" s="1"/>
  <c r="C787" i="7"/>
  <c r="K787" i="7" s="1"/>
  <c r="C782" i="7"/>
  <c r="K782" i="7" s="1"/>
  <c r="C784" i="7"/>
  <c r="K784" i="7" s="1"/>
  <c r="C761" i="7"/>
  <c r="K761" i="7" s="1"/>
  <c r="C724" i="7"/>
  <c r="K724" i="7" s="1"/>
  <c r="C742" i="7"/>
  <c r="K742" i="7" s="1"/>
  <c r="C739" i="7"/>
  <c r="K739" i="7" s="1"/>
  <c r="C727" i="7"/>
  <c r="K727" i="7" s="1"/>
  <c r="C756" i="7"/>
  <c r="K756" i="7" s="1"/>
  <c r="C710" i="7"/>
  <c r="K710" i="7" s="1"/>
  <c r="C722" i="7"/>
  <c r="K722" i="7" s="1"/>
  <c r="C711" i="7"/>
  <c r="K711" i="7" s="1"/>
  <c r="C698" i="7"/>
  <c r="K698" i="7" s="1"/>
  <c r="C685" i="7"/>
  <c r="K685" i="7" s="1"/>
  <c r="C820" i="12"/>
  <c r="C815" i="12"/>
  <c r="C801" i="12"/>
  <c r="C786" i="12"/>
  <c r="C775" i="12"/>
  <c r="C781" i="12"/>
  <c r="C762" i="12"/>
  <c r="C765" i="12"/>
  <c r="C731" i="12"/>
  <c r="C732" i="12"/>
  <c r="C750" i="12"/>
  <c r="C755" i="12"/>
  <c r="C716" i="12"/>
  <c r="C709" i="12"/>
  <c r="C700" i="12"/>
  <c r="C684" i="12"/>
  <c r="C615" i="2"/>
  <c r="C528" i="2"/>
  <c r="C525" i="2"/>
  <c r="C62" i="2"/>
  <c r="C676" i="2"/>
  <c r="C136" i="2"/>
  <c r="C741" i="2"/>
  <c r="C804" i="2"/>
  <c r="C520" i="2"/>
  <c r="C738" i="2"/>
  <c r="C519" i="2"/>
  <c r="C56" i="2"/>
  <c r="C606" i="2"/>
  <c r="C797" i="2"/>
  <c r="C301" i="2"/>
  <c r="C294" i="2"/>
  <c r="C595" i="2"/>
  <c r="C209" i="2"/>
  <c r="C412" i="2"/>
  <c r="C306" i="2"/>
  <c r="C527" i="2"/>
  <c r="C678" i="2"/>
  <c r="C612" i="2"/>
  <c r="C220" i="2"/>
  <c r="C218" i="2"/>
  <c r="C422" i="2"/>
  <c r="C800" i="2"/>
  <c r="C217" i="2"/>
  <c r="C132" i="2"/>
  <c r="C798" i="2"/>
  <c r="C299" i="2"/>
  <c r="C601" i="2"/>
  <c r="C733" i="2"/>
  <c r="C128" i="2"/>
  <c r="C416" i="2"/>
  <c r="C529" i="2"/>
  <c r="C137" i="2"/>
  <c r="C219" i="2"/>
  <c r="C610" i="2"/>
  <c r="C421" i="2"/>
  <c r="C609" i="2"/>
  <c r="C60" i="2"/>
  <c r="C734" i="2"/>
  <c r="C131" i="2"/>
  <c r="C517" i="2"/>
  <c r="C212" i="2"/>
  <c r="C600" i="2"/>
  <c r="C796" i="2"/>
  <c r="C418" i="2"/>
  <c r="C208" i="2"/>
  <c r="C225" i="2"/>
  <c r="C224" i="2"/>
  <c r="C677" i="2"/>
  <c r="C611" i="2"/>
  <c r="C806" i="2"/>
  <c r="C303" i="2"/>
  <c r="C522" i="2"/>
  <c r="C59" i="2"/>
  <c r="C737" i="2"/>
  <c r="C673" i="2"/>
  <c r="C55" i="2"/>
  <c r="C604" i="2"/>
  <c r="C298" i="2"/>
  <c r="C599" i="2"/>
  <c r="C293" i="2"/>
  <c r="C415" i="2"/>
  <c r="C791" i="5"/>
  <c r="K791" i="5" s="1"/>
  <c r="C795" i="5"/>
  <c r="K795" i="5" s="1"/>
  <c r="C778" i="5"/>
  <c r="K778" i="5" s="1"/>
  <c r="C783" i="5"/>
  <c r="K783" i="5" s="1"/>
  <c r="C766" i="5"/>
  <c r="K766" i="5" s="1"/>
  <c r="C726" i="5"/>
  <c r="K726" i="5" s="1"/>
  <c r="C730" i="5"/>
  <c r="K730" i="5" s="1"/>
  <c r="C725" i="5"/>
  <c r="K725" i="5" s="1"/>
  <c r="C748" i="5"/>
  <c r="K748" i="5" s="1"/>
  <c r="C749" i="5"/>
  <c r="K749" i="5" s="1"/>
  <c r="C708" i="5"/>
  <c r="K708" i="5" s="1"/>
  <c r="C717" i="5"/>
  <c r="K717" i="5" s="1"/>
  <c r="C713" i="5"/>
  <c r="K713" i="5" s="1"/>
  <c r="C693" i="5"/>
  <c r="K693" i="5" s="1"/>
  <c r="C686" i="5"/>
  <c r="K686" i="5" s="1"/>
  <c r="C688" i="5"/>
  <c r="K688" i="5" s="1"/>
  <c r="C505" i="5"/>
  <c r="K505" i="5" s="1"/>
  <c r="C516" i="5"/>
  <c r="K516" i="5" s="1"/>
  <c r="C508" i="5"/>
  <c r="K508" i="5" s="1"/>
  <c r="C493" i="5"/>
  <c r="K493" i="5" s="1"/>
  <c r="C485" i="5"/>
  <c r="K485" i="5" s="1"/>
  <c r="C500" i="5"/>
  <c r="K500" i="5" s="1"/>
  <c r="C678" i="5"/>
  <c r="K678" i="5" s="1"/>
  <c r="C665" i="5"/>
  <c r="K665" i="5" s="1"/>
  <c r="C645" i="5"/>
  <c r="K645" i="5" s="1"/>
  <c r="C679" i="5"/>
  <c r="K679" i="5" s="1"/>
  <c r="C637" i="5"/>
  <c r="K637" i="5" s="1"/>
  <c r="C638" i="5"/>
  <c r="K638" i="5" s="1"/>
  <c r="C540" i="5"/>
  <c r="K540" i="5" s="1"/>
  <c r="C528" i="5"/>
  <c r="K528" i="5" s="1"/>
  <c r="C542" i="5"/>
  <c r="K542" i="5" s="1"/>
  <c r="C556" i="5"/>
  <c r="K556" i="5" s="1"/>
  <c r="C537" i="5"/>
  <c r="K537" i="5" s="1"/>
  <c r="C565" i="5"/>
  <c r="K565" i="5" s="1"/>
  <c r="C574" i="5"/>
  <c r="K574" i="5" s="1"/>
  <c r="C800" i="5"/>
  <c r="K800" i="5" s="1"/>
  <c r="C804" i="5"/>
  <c r="K804" i="5" s="1"/>
  <c r="C805" i="5"/>
  <c r="K805" i="5" s="1"/>
  <c r="C802" i="5"/>
  <c r="K802" i="5" s="1"/>
  <c r="C819" i="5"/>
  <c r="K819" i="5" s="1"/>
  <c r="C806" i="7"/>
  <c r="K806" i="7" s="1"/>
  <c r="C817" i="7"/>
  <c r="K817" i="7" s="1"/>
  <c r="C798" i="7"/>
  <c r="K798" i="7" s="1"/>
  <c r="C785" i="7"/>
  <c r="K785" i="7" s="1"/>
  <c r="C773" i="7"/>
  <c r="K773" i="7" s="1"/>
  <c r="C779" i="7"/>
  <c r="K779" i="7" s="1"/>
  <c r="C768" i="7"/>
  <c r="K768" i="7" s="1"/>
  <c r="C758" i="7"/>
  <c r="K758" i="7" s="1"/>
  <c r="C736" i="7"/>
  <c r="K736" i="7" s="1"/>
  <c r="C737" i="7"/>
  <c r="K737" i="7" s="1"/>
  <c r="C752" i="7"/>
  <c r="K752" i="7" s="1"/>
  <c r="C751" i="7"/>
  <c r="K751" i="7" s="1"/>
  <c r="C720" i="7"/>
  <c r="K720" i="7" s="1"/>
  <c r="C721" i="7"/>
  <c r="K721" i="7" s="1"/>
  <c r="C694" i="7"/>
  <c r="K694" i="7" s="1"/>
  <c r="C683" i="7"/>
  <c r="K683" i="7" s="1"/>
  <c r="C821" i="7"/>
  <c r="K821" i="7" s="1"/>
  <c r="C816" i="7"/>
  <c r="K816" i="7" s="1"/>
  <c r="C799" i="7"/>
  <c r="K799" i="7" s="1"/>
  <c r="C792" i="7"/>
  <c r="K792" i="7" s="1"/>
  <c r="C771" i="7"/>
  <c r="K771" i="7" s="1"/>
  <c r="C776" i="7"/>
  <c r="K776" i="7" s="1"/>
  <c r="C760" i="7"/>
  <c r="K760" i="7" s="1"/>
  <c r="C769" i="7"/>
  <c r="K769" i="7" s="1"/>
  <c r="C734" i="7"/>
  <c r="K734" i="7" s="1"/>
  <c r="C735" i="7"/>
  <c r="K735" i="7" s="1"/>
  <c r="C743" i="7"/>
  <c r="K743" i="7" s="1"/>
  <c r="C747" i="7"/>
  <c r="K747" i="7" s="1"/>
  <c r="C753" i="7"/>
  <c r="K753" i="7" s="1"/>
  <c r="C714" i="7"/>
  <c r="K714" i="7" s="1"/>
  <c r="C718" i="7"/>
  <c r="K718" i="7" s="1"/>
  <c r="C707" i="7"/>
  <c r="K707" i="7" s="1"/>
  <c r="C696" i="7"/>
  <c r="K696" i="7" s="1"/>
  <c r="C702" i="7"/>
  <c r="K702" i="7" s="1"/>
  <c r="C691" i="7"/>
  <c r="K691" i="7" s="1"/>
  <c r="C771" i="12"/>
  <c r="C776" i="12"/>
  <c r="C760" i="12"/>
  <c r="C769" i="12"/>
  <c r="C734" i="12"/>
  <c r="C735" i="12"/>
  <c r="C743" i="12"/>
  <c r="C747" i="12"/>
  <c r="C753" i="12"/>
  <c r="C714" i="12"/>
  <c r="C718" i="12"/>
  <c r="C707" i="12"/>
  <c r="C696" i="12"/>
  <c r="C702" i="12"/>
  <c r="C691" i="12"/>
  <c r="C808" i="2"/>
  <c r="C680" i="2"/>
  <c r="C526" i="2"/>
  <c r="C304" i="2"/>
  <c r="C221" i="2"/>
  <c r="C674" i="2"/>
  <c r="C740" i="2"/>
  <c r="C802" i="2"/>
  <c r="C739" i="2"/>
  <c r="C735" i="2"/>
  <c r="C216" i="2"/>
  <c r="C420" i="2"/>
  <c r="C129" i="2"/>
  <c r="C213" i="2"/>
  <c r="C295" i="2"/>
  <c r="C596" i="2"/>
  <c r="C210" i="2"/>
  <c r="C292" i="2"/>
  <c r="C805" i="12"/>
  <c r="C809" i="12"/>
  <c r="C813" i="12"/>
  <c r="C800" i="12"/>
  <c r="C787" i="12"/>
  <c r="C782" i="12"/>
  <c r="C784" i="12"/>
  <c r="C761" i="12"/>
  <c r="C724" i="12"/>
  <c r="C742" i="12"/>
  <c r="C739" i="12"/>
  <c r="C727" i="12"/>
  <c r="C756" i="12"/>
  <c r="C710" i="12"/>
  <c r="C722" i="12"/>
  <c r="C711" i="12"/>
  <c r="C698" i="12"/>
  <c r="C685" i="12"/>
  <c r="C804" i="12"/>
  <c r="C812" i="12"/>
  <c r="C814" i="12"/>
  <c r="C802" i="12"/>
  <c r="C791" i="12"/>
  <c r="C795" i="12"/>
  <c r="C778" i="12"/>
  <c r="C783" i="12"/>
  <c r="C766" i="12"/>
  <c r="C726" i="12"/>
  <c r="C730" i="12"/>
  <c r="C725" i="12"/>
  <c r="C748" i="12"/>
  <c r="C749" i="12"/>
  <c r="C708" i="12"/>
  <c r="C717" i="12"/>
  <c r="C713" i="12"/>
  <c r="C693" i="12"/>
  <c r="C686" i="12"/>
  <c r="I698" i="8" l="1"/>
  <c r="J698" i="8"/>
  <c r="F698" i="8"/>
  <c r="G698" i="8" s="1"/>
  <c r="I737" i="8"/>
  <c r="J737" i="8"/>
  <c r="F737" i="8"/>
  <c r="G737" i="8" s="1"/>
  <c r="I730" i="8"/>
  <c r="J730" i="8"/>
  <c r="F730" i="8"/>
  <c r="G730" i="8" s="1"/>
  <c r="I789" i="8"/>
  <c r="J789" i="8"/>
  <c r="F789" i="8"/>
  <c r="G789" i="8" s="1"/>
  <c r="I819" i="8"/>
  <c r="J819" i="8"/>
  <c r="F819" i="8"/>
  <c r="G819" i="8" s="1"/>
  <c r="I731" i="8"/>
  <c r="J731" i="8"/>
  <c r="F731" i="8"/>
  <c r="G731" i="8" s="1"/>
  <c r="I732" i="8"/>
  <c r="J732" i="8"/>
  <c r="F732" i="8"/>
  <c r="G732" i="8" s="1"/>
  <c r="I709" i="8"/>
  <c r="J709" i="8"/>
  <c r="F709" i="8"/>
  <c r="G709" i="8" s="1"/>
  <c r="I774" i="8"/>
  <c r="J774" i="8"/>
  <c r="F774" i="8"/>
  <c r="G774" i="8" s="1"/>
  <c r="I727" i="8"/>
  <c r="J727" i="8"/>
  <c r="F727" i="8"/>
  <c r="G727" i="8" s="1"/>
  <c r="I793" i="8"/>
  <c r="J793" i="8"/>
  <c r="F793" i="8"/>
  <c r="G793" i="8" s="1"/>
  <c r="I711" i="8"/>
  <c r="J711" i="8"/>
  <c r="F711" i="8"/>
  <c r="G711" i="8" s="1"/>
  <c r="I786" i="8"/>
  <c r="J786" i="8"/>
  <c r="F786" i="8"/>
  <c r="G786" i="8" s="1"/>
  <c r="I712" i="8"/>
  <c r="J712" i="8"/>
  <c r="F712" i="8"/>
  <c r="G712" i="8" s="1"/>
  <c r="I796" i="8"/>
  <c r="J796" i="8"/>
  <c r="F796" i="8"/>
  <c r="G796" i="8" s="1"/>
  <c r="I720" i="8"/>
  <c r="J720" i="8"/>
  <c r="F720" i="8"/>
  <c r="G720" i="8" s="1"/>
  <c r="I790" i="8"/>
  <c r="J790" i="8"/>
  <c r="F790" i="8"/>
  <c r="G790" i="8" s="1"/>
  <c r="I801" i="8"/>
  <c r="J801" i="8"/>
  <c r="F801" i="8"/>
  <c r="G801" i="8" s="1"/>
  <c r="I742" i="8"/>
  <c r="J742" i="8"/>
  <c r="F742" i="8"/>
  <c r="G742" i="8" s="1"/>
  <c r="I798" i="8"/>
  <c r="J798" i="8"/>
  <c r="F798" i="8"/>
  <c r="G798" i="8" s="1"/>
  <c r="I738" i="8"/>
  <c r="J738" i="8"/>
  <c r="F738" i="8"/>
  <c r="G738" i="8" s="1"/>
  <c r="I799" i="8"/>
  <c r="J799" i="8"/>
  <c r="F799" i="8"/>
  <c r="G799" i="8" s="1"/>
  <c r="I736" i="8"/>
  <c r="J736" i="8"/>
  <c r="F736" i="8"/>
  <c r="G736" i="8" s="1"/>
  <c r="I688" i="8"/>
  <c r="J688" i="8"/>
  <c r="F688" i="8"/>
  <c r="G688" i="8" s="1"/>
  <c r="I739" i="8"/>
  <c r="J739" i="8"/>
  <c r="F739" i="8"/>
  <c r="G739" i="8" s="1"/>
  <c r="I800" i="8"/>
  <c r="J800" i="8"/>
  <c r="F800" i="8"/>
  <c r="G800" i="8" s="1"/>
  <c r="I745" i="8"/>
  <c r="J745" i="8"/>
  <c r="F745" i="8"/>
  <c r="G745" i="8" s="1"/>
  <c r="I808" i="8"/>
  <c r="J808" i="8"/>
  <c r="F808" i="8"/>
  <c r="G808" i="8" s="1"/>
  <c r="I717" i="8"/>
  <c r="J717" i="8"/>
  <c r="F717" i="8"/>
  <c r="G717" i="8" s="1"/>
  <c r="I782" i="8"/>
  <c r="J782" i="8"/>
  <c r="F782" i="8"/>
  <c r="G782" i="8" s="1"/>
  <c r="I734" i="8"/>
  <c r="J734" i="8"/>
  <c r="F734" i="8"/>
  <c r="G734" i="8" s="1"/>
  <c r="I817" i="8"/>
  <c r="J817" i="8"/>
  <c r="F817" i="8"/>
  <c r="G817" i="8" s="1"/>
  <c r="I719" i="8"/>
  <c r="J719" i="8"/>
  <c r="F719" i="8"/>
  <c r="G719" i="8" s="1"/>
  <c r="I794" i="8"/>
  <c r="J794" i="8"/>
  <c r="F794" i="8"/>
  <c r="G794" i="8" s="1"/>
  <c r="I728" i="8"/>
  <c r="J728" i="8"/>
  <c r="F728" i="8"/>
  <c r="G728" i="8" s="1"/>
  <c r="I714" i="8"/>
  <c r="J714" i="8"/>
  <c r="F714" i="8"/>
  <c r="G714" i="8" s="1"/>
  <c r="I723" i="8"/>
  <c r="J723" i="8"/>
  <c r="F723" i="8"/>
  <c r="G723" i="8" s="1"/>
  <c r="I716" i="8"/>
  <c r="J716" i="8"/>
  <c r="F716" i="8"/>
  <c r="G716" i="8" s="1"/>
  <c r="I686" i="8"/>
  <c r="J686" i="8"/>
  <c r="F686" i="8"/>
  <c r="G686" i="8" s="1"/>
  <c r="I750" i="8"/>
  <c r="J750" i="8"/>
  <c r="F750" i="8"/>
  <c r="G750" i="8" s="1"/>
  <c r="I805" i="8"/>
  <c r="J805" i="8"/>
  <c r="F805" i="8"/>
  <c r="G805" i="8" s="1"/>
  <c r="I743" i="8"/>
  <c r="J743" i="8"/>
  <c r="F743" i="8"/>
  <c r="G743" i="8" s="1"/>
  <c r="I749" i="8"/>
  <c r="J749" i="8"/>
  <c r="F749" i="8"/>
  <c r="G749" i="8" s="1"/>
  <c r="I693" i="8"/>
  <c r="J693" i="8"/>
  <c r="F693" i="8"/>
  <c r="G693" i="8" s="1"/>
  <c r="I744" i="8"/>
  <c r="J744" i="8"/>
  <c r="F744" i="8"/>
  <c r="G744" i="8" s="1"/>
  <c r="I807" i="8"/>
  <c r="J807" i="8"/>
  <c r="F807" i="8"/>
  <c r="G807" i="8" s="1"/>
  <c r="I753" i="8"/>
  <c r="J753" i="8"/>
  <c r="F753" i="8"/>
  <c r="G753" i="8" s="1"/>
  <c r="I815" i="8"/>
  <c r="J815" i="8"/>
  <c r="F815" i="8"/>
  <c r="G815" i="8" s="1"/>
  <c r="I726" i="8"/>
  <c r="J726" i="8"/>
  <c r="F726" i="8"/>
  <c r="G726" i="8" s="1"/>
  <c r="I747" i="8"/>
  <c r="J747" i="8"/>
  <c r="F747" i="8"/>
  <c r="G747" i="8" s="1"/>
  <c r="I735" i="8"/>
  <c r="J735" i="8"/>
  <c r="F735" i="8"/>
  <c r="G735" i="8" s="1"/>
  <c r="I803" i="8"/>
  <c r="J803" i="8"/>
  <c r="F803" i="8"/>
  <c r="G803" i="8" s="1"/>
  <c r="I763" i="8"/>
  <c r="J763" i="8"/>
  <c r="F763" i="8"/>
  <c r="G763" i="8" s="1"/>
  <c r="I721" i="8"/>
  <c r="J721" i="8"/>
  <c r="F721" i="8"/>
  <c r="G721" i="8" s="1"/>
  <c r="I685" i="8"/>
  <c r="J685" i="8"/>
  <c r="F685" i="8"/>
  <c r="G685" i="8" s="1"/>
  <c r="I783" i="8"/>
  <c r="J783" i="8"/>
  <c r="F783" i="8"/>
  <c r="G783" i="8" s="1"/>
  <c r="I776" i="8"/>
  <c r="J776" i="8"/>
  <c r="F776" i="8"/>
  <c r="G776" i="8" s="1"/>
  <c r="I729" i="8"/>
  <c r="J729" i="8"/>
  <c r="F729" i="8"/>
  <c r="G729" i="8" s="1"/>
  <c r="I722" i="8"/>
  <c r="J722" i="8"/>
  <c r="F722" i="8"/>
  <c r="G722" i="8" s="1"/>
  <c r="I811" i="8"/>
  <c r="J811" i="8"/>
  <c r="F811" i="8"/>
  <c r="G811" i="8" s="1"/>
  <c r="I780" i="8"/>
  <c r="J780" i="8"/>
  <c r="F780" i="8"/>
  <c r="G780" i="8" s="1"/>
  <c r="I791" i="8"/>
  <c r="J791" i="8"/>
  <c r="F791" i="8"/>
  <c r="G791" i="8" s="1"/>
  <c r="I778" i="8"/>
  <c r="J778" i="8"/>
  <c r="F778" i="8"/>
  <c r="G778" i="8" s="1"/>
  <c r="I771" i="8"/>
  <c r="J771" i="8"/>
  <c r="F771" i="8"/>
  <c r="G771" i="8" s="1"/>
  <c r="I797" i="8"/>
  <c r="J797" i="8"/>
  <c r="F797" i="8"/>
  <c r="G797" i="8" s="1"/>
  <c r="I772" i="8"/>
  <c r="J772" i="8"/>
  <c r="F772" i="8"/>
  <c r="G772" i="8" s="1"/>
  <c r="I781" i="8"/>
  <c r="J781" i="8"/>
  <c r="F781" i="8"/>
  <c r="G781" i="8" s="1"/>
  <c r="I816" i="8"/>
  <c r="J816" i="8"/>
  <c r="F816" i="8"/>
  <c r="G816" i="8" s="1"/>
  <c r="I690" i="8"/>
  <c r="J690" i="8"/>
  <c r="F690" i="8"/>
  <c r="G690" i="8" s="1"/>
  <c r="I760" i="8"/>
  <c r="J760" i="8"/>
  <c r="F760" i="8"/>
  <c r="G760" i="8" s="1"/>
  <c r="I710" i="8"/>
  <c r="J710" i="8"/>
  <c r="F710" i="8"/>
  <c r="G710" i="8" s="1"/>
  <c r="I697" i="8"/>
  <c r="J697" i="8"/>
  <c r="F697" i="8"/>
  <c r="G697" i="8" s="1"/>
  <c r="I820" i="8"/>
  <c r="J820" i="8"/>
  <c r="F820" i="8"/>
  <c r="G820" i="8" s="1"/>
  <c r="I788" i="8"/>
  <c r="J788" i="8"/>
  <c r="F788" i="8"/>
  <c r="G788" i="8" s="1"/>
  <c r="I779" i="8"/>
  <c r="J779" i="8"/>
  <c r="F779" i="8"/>
  <c r="G779" i="8" s="1"/>
  <c r="I704" i="8"/>
  <c r="J704" i="8"/>
  <c r="F704" i="8"/>
  <c r="G704" i="8" s="1"/>
  <c r="I724" i="8"/>
  <c r="J724" i="8"/>
  <c r="F724" i="8"/>
  <c r="G724" i="8" s="1"/>
  <c r="I725" i="8"/>
  <c r="J725" i="8"/>
  <c r="F725" i="8"/>
  <c r="G725" i="8" s="1"/>
  <c r="I695" i="8"/>
  <c r="J695" i="8"/>
  <c r="F695" i="8"/>
  <c r="G695" i="8" s="1"/>
  <c r="I768" i="8"/>
  <c r="J768" i="8"/>
  <c r="F768" i="8"/>
  <c r="G768" i="8" s="1"/>
  <c r="I718" i="8"/>
  <c r="J718" i="8"/>
  <c r="F718" i="8"/>
  <c r="G718" i="8" s="1"/>
  <c r="I785" i="8"/>
  <c r="J785" i="8"/>
  <c r="F785" i="8"/>
  <c r="G785" i="8" s="1"/>
  <c r="I703" i="8"/>
  <c r="J703" i="8"/>
  <c r="F703" i="8"/>
  <c r="G703" i="8" s="1"/>
  <c r="I784" i="8"/>
  <c r="J784" i="8"/>
  <c r="F784" i="8"/>
  <c r="G784" i="8" s="1"/>
  <c r="I699" i="8"/>
  <c r="J699" i="8"/>
  <c r="F699" i="8"/>
  <c r="G699" i="8" s="1"/>
  <c r="I756" i="8"/>
  <c r="J756" i="8"/>
  <c r="F756" i="8"/>
  <c r="G756" i="8" s="1"/>
  <c r="I687" i="8"/>
  <c r="J687" i="8"/>
  <c r="F687" i="8"/>
  <c r="G687" i="8" s="1"/>
  <c r="I751" i="8"/>
  <c r="J751" i="8"/>
  <c r="F751" i="8"/>
  <c r="G751" i="8" s="1"/>
  <c r="I806" i="8"/>
  <c r="J806" i="8"/>
  <c r="F806" i="8"/>
  <c r="G806" i="8" s="1"/>
  <c r="I755" i="8"/>
  <c r="J755" i="8"/>
  <c r="F755" i="8"/>
  <c r="G755" i="8" s="1"/>
  <c r="I701" i="8"/>
  <c r="J701" i="8"/>
  <c r="F701" i="8"/>
  <c r="G701" i="8" s="1"/>
  <c r="I752" i="8"/>
  <c r="J752" i="8"/>
  <c r="F752" i="8"/>
  <c r="G752" i="8" s="1"/>
  <c r="I814" i="8"/>
  <c r="J814" i="8"/>
  <c r="F814" i="8"/>
  <c r="G814" i="8" s="1"/>
  <c r="I689" i="8"/>
  <c r="J689" i="8"/>
  <c r="F689" i="8"/>
  <c r="G689" i="8" s="1"/>
  <c r="I759" i="8"/>
  <c r="J759" i="8"/>
  <c r="F759" i="8"/>
  <c r="G759" i="8" s="1"/>
  <c r="I792" i="8"/>
  <c r="J792" i="8"/>
  <c r="F792" i="8"/>
  <c r="G792" i="8" s="1"/>
  <c r="I733" i="8"/>
  <c r="J733" i="8"/>
  <c r="F733" i="8"/>
  <c r="G733" i="8" s="1"/>
  <c r="I691" i="8"/>
  <c r="J691" i="8"/>
  <c r="F691" i="8"/>
  <c r="G691" i="8" s="1"/>
  <c r="I761" i="8"/>
  <c r="J761" i="8"/>
  <c r="F761" i="8"/>
  <c r="G761" i="8" s="1"/>
  <c r="I740" i="8"/>
  <c r="J740" i="8"/>
  <c r="F740" i="8"/>
  <c r="G740" i="8" s="1"/>
  <c r="I810" i="8"/>
  <c r="J810" i="8"/>
  <c r="F810" i="8"/>
  <c r="G810" i="8" s="1"/>
  <c r="I795" i="8"/>
  <c r="J795" i="8"/>
  <c r="F795" i="8"/>
  <c r="G795" i="8" s="1"/>
  <c r="I741" i="8"/>
  <c r="J741" i="8"/>
  <c r="F741" i="8"/>
  <c r="G741" i="8" s="1"/>
  <c r="I705" i="8"/>
  <c r="J705" i="8"/>
  <c r="F705" i="8"/>
  <c r="G705" i="8" s="1"/>
  <c r="I764" i="8"/>
  <c r="J764" i="8"/>
  <c r="F764" i="8"/>
  <c r="G764" i="8" s="1"/>
  <c r="I700" i="8"/>
  <c r="J700" i="8"/>
  <c r="F700" i="8"/>
  <c r="G700" i="8" s="1"/>
  <c r="I757" i="8"/>
  <c r="J757" i="8"/>
  <c r="F757" i="8"/>
  <c r="G757" i="8" s="1"/>
  <c r="I813" i="8"/>
  <c r="J813" i="8"/>
  <c r="F813" i="8"/>
  <c r="G813" i="8" s="1"/>
  <c r="I777" i="8"/>
  <c r="J777" i="8"/>
  <c r="F777" i="8"/>
  <c r="G777" i="8" s="1"/>
  <c r="I707" i="8"/>
  <c r="J707" i="8"/>
  <c r="F707" i="8"/>
  <c r="G707" i="8" s="1"/>
  <c r="I758" i="8"/>
  <c r="J758" i="8"/>
  <c r="F758" i="8"/>
  <c r="G758" i="8" s="1"/>
  <c r="I694" i="8"/>
  <c r="J694" i="8"/>
  <c r="F694" i="8"/>
  <c r="G694" i="8" s="1"/>
  <c r="I767" i="8"/>
  <c r="J767" i="8"/>
  <c r="F767" i="8"/>
  <c r="G767" i="8" s="1"/>
  <c r="I802" i="8"/>
  <c r="J802" i="8"/>
  <c r="F802" i="8"/>
  <c r="G802" i="8" s="1"/>
  <c r="I746" i="8"/>
  <c r="J746" i="8"/>
  <c r="F746" i="8"/>
  <c r="G746" i="8" s="1"/>
  <c r="I696" i="8"/>
  <c r="J696" i="8"/>
  <c r="F696" i="8"/>
  <c r="G696" i="8" s="1"/>
  <c r="I769" i="8"/>
  <c r="J769" i="8"/>
  <c r="F769" i="8"/>
  <c r="G769" i="8" s="1"/>
  <c r="I748" i="8"/>
  <c r="J748" i="8"/>
  <c r="F748" i="8"/>
  <c r="G748" i="8" s="1"/>
  <c r="I818" i="8"/>
  <c r="J818" i="8"/>
  <c r="F818" i="8"/>
  <c r="G818" i="8" s="1"/>
  <c r="I804" i="8"/>
  <c r="J804" i="8"/>
  <c r="F804" i="8"/>
  <c r="G804" i="8" s="1"/>
  <c r="I713" i="8"/>
  <c r="J713" i="8"/>
  <c r="F713" i="8"/>
  <c r="G713" i="8" s="1"/>
  <c r="I770" i="8"/>
  <c r="J770" i="8"/>
  <c r="F770" i="8"/>
  <c r="G770" i="8" s="1"/>
  <c r="I706" i="8"/>
  <c r="J706" i="8"/>
  <c r="F706" i="8"/>
  <c r="G706" i="8" s="1"/>
  <c r="I765" i="8"/>
  <c r="J765" i="8"/>
  <c r="F765" i="8"/>
  <c r="G765" i="8" s="1"/>
  <c r="I821" i="8"/>
  <c r="J821" i="8"/>
  <c r="F821" i="8"/>
  <c r="G821" i="8" s="1"/>
  <c r="I787" i="8"/>
  <c r="J787" i="8"/>
  <c r="F787" i="8"/>
  <c r="G787" i="8" s="1"/>
  <c r="I715" i="8"/>
  <c r="J715" i="8"/>
  <c r="F715" i="8"/>
  <c r="G715" i="8" s="1"/>
  <c r="I766" i="8"/>
  <c r="J766" i="8"/>
  <c r="F766" i="8"/>
  <c r="G766" i="8" s="1"/>
  <c r="I708" i="8"/>
  <c r="J708" i="8"/>
  <c r="F708" i="8"/>
  <c r="G708" i="8" s="1"/>
  <c r="I773" i="8"/>
  <c r="J773" i="8"/>
  <c r="F773" i="8"/>
  <c r="G773" i="8" s="1"/>
  <c r="I809" i="8"/>
  <c r="J809" i="8"/>
  <c r="F809" i="8"/>
  <c r="G809" i="8" s="1"/>
  <c r="I754" i="8"/>
  <c r="J754" i="8"/>
  <c r="F754" i="8"/>
  <c r="G754" i="8" s="1"/>
  <c r="I702" i="8"/>
  <c r="J702" i="8"/>
  <c r="F702" i="8"/>
  <c r="G702" i="8" s="1"/>
  <c r="I775" i="8"/>
  <c r="J775" i="8"/>
  <c r="F775" i="8"/>
  <c r="G775" i="8" s="1"/>
  <c r="I692" i="8"/>
  <c r="J692" i="8"/>
  <c r="F692" i="8"/>
  <c r="G692" i="8" s="1"/>
  <c r="I762" i="8"/>
  <c r="J762" i="8"/>
  <c r="F762" i="8"/>
  <c r="G762" i="8" s="1"/>
  <c r="I812" i="8"/>
  <c r="J812" i="8"/>
  <c r="F812" i="8"/>
  <c r="G812" i="8" s="1"/>
  <c r="K725" i="12"/>
  <c r="L725" i="12"/>
  <c r="K686" i="12"/>
  <c r="L686" i="12"/>
  <c r="K756" i="12"/>
  <c r="L756" i="12"/>
  <c r="K800" i="12"/>
  <c r="L800" i="12"/>
  <c r="K739" i="12"/>
  <c r="L739" i="12"/>
  <c r="K748" i="12"/>
  <c r="L748" i="12"/>
  <c r="K791" i="12"/>
  <c r="L791" i="12"/>
  <c r="K722" i="12"/>
  <c r="L722" i="12"/>
  <c r="K784" i="12"/>
  <c r="L784" i="12"/>
  <c r="K747" i="12"/>
  <c r="L747" i="12"/>
  <c r="K732" i="12"/>
  <c r="L732" i="12"/>
  <c r="K815" i="12"/>
  <c r="L815" i="12"/>
  <c r="M815" i="12" s="1"/>
  <c r="K701" i="12"/>
  <c r="L701" i="12"/>
  <c r="K763" i="12"/>
  <c r="L763" i="12"/>
  <c r="K746" i="12"/>
  <c r="L746" i="12"/>
  <c r="K754" i="12"/>
  <c r="L754" i="12"/>
  <c r="K706" i="12"/>
  <c r="L706" i="12"/>
  <c r="K819" i="12"/>
  <c r="L819" i="12"/>
  <c r="K793" i="12"/>
  <c r="L793" i="12"/>
  <c r="K821" i="12"/>
  <c r="L821" i="12"/>
  <c r="K736" i="12"/>
  <c r="L736" i="12"/>
  <c r="K806" i="12"/>
  <c r="L806" i="12"/>
  <c r="K691" i="12"/>
  <c r="L691" i="12"/>
  <c r="K743" i="12"/>
  <c r="L743" i="12"/>
  <c r="K731" i="12"/>
  <c r="L731" i="12"/>
  <c r="K820" i="12"/>
  <c r="L820" i="12"/>
  <c r="K699" i="12"/>
  <c r="L699" i="12"/>
  <c r="K774" i="12"/>
  <c r="L774" i="12"/>
  <c r="K729" i="12"/>
  <c r="L729" i="12"/>
  <c r="M729" i="12" s="1"/>
  <c r="K738" i="12"/>
  <c r="L738" i="12"/>
  <c r="M738" i="12" s="1"/>
  <c r="K745" i="12"/>
  <c r="L745" i="12"/>
  <c r="K807" i="12"/>
  <c r="L807" i="12"/>
  <c r="K683" i="12"/>
  <c r="L683" i="12"/>
  <c r="K758" i="12"/>
  <c r="L758" i="12"/>
  <c r="K735" i="12"/>
  <c r="L735" i="12"/>
  <c r="K684" i="12"/>
  <c r="L684" i="12"/>
  <c r="K765" i="12"/>
  <c r="L765" i="12"/>
  <c r="K719" i="12"/>
  <c r="L719" i="12"/>
  <c r="K780" i="12"/>
  <c r="L780" i="12"/>
  <c r="K764" i="12"/>
  <c r="L764" i="12"/>
  <c r="K767" i="12"/>
  <c r="L767" i="12"/>
  <c r="K733" i="12"/>
  <c r="L733" i="12"/>
  <c r="K695" i="12"/>
  <c r="L695" i="12"/>
  <c r="K694" i="12"/>
  <c r="L694" i="12"/>
  <c r="K768" i="12"/>
  <c r="L768" i="12"/>
  <c r="K693" i="12"/>
  <c r="L693" i="12"/>
  <c r="K700" i="12"/>
  <c r="L700" i="12"/>
  <c r="K762" i="12"/>
  <c r="L762" i="12"/>
  <c r="K704" i="12"/>
  <c r="L704" i="12"/>
  <c r="K790" i="12"/>
  <c r="L790" i="12"/>
  <c r="K788" i="12"/>
  <c r="L788" i="12"/>
  <c r="K789" i="12"/>
  <c r="L789" i="12"/>
  <c r="K728" i="12"/>
  <c r="L728" i="12"/>
  <c r="K697" i="12"/>
  <c r="L697" i="12"/>
  <c r="K721" i="12"/>
  <c r="L721" i="12"/>
  <c r="K779" i="12"/>
  <c r="L779" i="12"/>
  <c r="K804" i="12"/>
  <c r="L804" i="12"/>
  <c r="M804" i="12" s="1"/>
  <c r="K709" i="12"/>
  <c r="L709" i="12"/>
  <c r="K781" i="12"/>
  <c r="L781" i="12"/>
  <c r="K757" i="12"/>
  <c r="L757" i="12"/>
  <c r="K794" i="12"/>
  <c r="L794" i="12"/>
  <c r="K811" i="12"/>
  <c r="L811" i="12"/>
  <c r="K810" i="12"/>
  <c r="L810" i="12"/>
  <c r="K689" i="12"/>
  <c r="L689" i="12"/>
  <c r="K772" i="12"/>
  <c r="L772" i="12"/>
  <c r="K715" i="12"/>
  <c r="L715" i="12"/>
  <c r="K720" i="12"/>
  <c r="L720" i="12"/>
  <c r="K773" i="12"/>
  <c r="L773" i="12"/>
  <c r="K802" i="12"/>
  <c r="L802" i="12"/>
  <c r="K814" i="12"/>
  <c r="L814" i="12"/>
  <c r="K812" i="12"/>
  <c r="L812" i="12"/>
  <c r="K734" i="12"/>
  <c r="L734" i="12"/>
  <c r="K713" i="12"/>
  <c r="L713" i="12"/>
  <c r="K769" i="12"/>
  <c r="L769" i="12"/>
  <c r="K717" i="12"/>
  <c r="L717" i="12"/>
  <c r="K783" i="12"/>
  <c r="L783" i="12"/>
  <c r="K685" i="12"/>
  <c r="L685" i="12"/>
  <c r="K742" i="12"/>
  <c r="L742" i="12"/>
  <c r="K809" i="12"/>
  <c r="L809" i="12"/>
  <c r="K718" i="12"/>
  <c r="L718" i="12"/>
  <c r="K760" i="12"/>
  <c r="L760" i="12"/>
  <c r="K716" i="12"/>
  <c r="L716" i="12"/>
  <c r="K775" i="12"/>
  <c r="L775" i="12"/>
  <c r="K744" i="12"/>
  <c r="L744" i="12"/>
  <c r="K803" i="12"/>
  <c r="L803" i="12"/>
  <c r="K808" i="12"/>
  <c r="L808" i="12"/>
  <c r="M808" i="12" s="1"/>
  <c r="K796" i="12"/>
  <c r="L796" i="12"/>
  <c r="K740" i="12"/>
  <c r="L740" i="12"/>
  <c r="K792" i="12"/>
  <c r="L792" i="12"/>
  <c r="K751" i="12"/>
  <c r="L751" i="12"/>
  <c r="K785" i="12"/>
  <c r="L785" i="12"/>
  <c r="K782" i="12"/>
  <c r="L782" i="12"/>
  <c r="K730" i="12"/>
  <c r="L730" i="12"/>
  <c r="K702" i="12"/>
  <c r="L702" i="12"/>
  <c r="K727" i="12"/>
  <c r="L727" i="12"/>
  <c r="K813" i="12"/>
  <c r="L813" i="12"/>
  <c r="K708" i="12"/>
  <c r="L708" i="12"/>
  <c r="K778" i="12"/>
  <c r="L778" i="12"/>
  <c r="K698" i="12"/>
  <c r="L698" i="12"/>
  <c r="K724" i="12"/>
  <c r="L724" i="12"/>
  <c r="K805" i="12"/>
  <c r="L805" i="12"/>
  <c r="M805" i="12" s="1"/>
  <c r="K714" i="12"/>
  <c r="L714" i="12"/>
  <c r="K776" i="12"/>
  <c r="L776" i="12"/>
  <c r="M776" i="12" s="1"/>
  <c r="K755" i="12"/>
  <c r="L755" i="12"/>
  <c r="K786" i="12"/>
  <c r="L786" i="12"/>
  <c r="K741" i="12"/>
  <c r="L741" i="12"/>
  <c r="K682" i="12"/>
  <c r="L682" i="12"/>
  <c r="K703" i="12"/>
  <c r="L703" i="12"/>
  <c r="K797" i="12"/>
  <c r="L797" i="12"/>
  <c r="K770" i="12"/>
  <c r="L770" i="12"/>
  <c r="K799" i="12"/>
  <c r="L799" i="12"/>
  <c r="K752" i="12"/>
  <c r="L752" i="12"/>
  <c r="K798" i="12"/>
  <c r="L798" i="12"/>
  <c r="K710" i="12"/>
  <c r="L710" i="12"/>
  <c r="K787" i="12"/>
  <c r="L787" i="12"/>
  <c r="K726" i="12"/>
  <c r="L726" i="12"/>
  <c r="K696" i="12"/>
  <c r="L696" i="12"/>
  <c r="K766" i="12"/>
  <c r="L766" i="12"/>
  <c r="K707" i="12"/>
  <c r="L707" i="12"/>
  <c r="K749" i="12"/>
  <c r="L749" i="12"/>
  <c r="K795" i="12"/>
  <c r="L795" i="12"/>
  <c r="K711" i="12"/>
  <c r="L711" i="12"/>
  <c r="K761" i="12"/>
  <c r="L761" i="12"/>
  <c r="K753" i="12"/>
  <c r="L753" i="12"/>
  <c r="K771" i="12"/>
  <c r="L771" i="12"/>
  <c r="K750" i="12"/>
  <c r="L750" i="12"/>
  <c r="K801" i="12"/>
  <c r="L801" i="12"/>
  <c r="K687" i="12"/>
  <c r="L687" i="12"/>
  <c r="K759" i="12"/>
  <c r="L759" i="12"/>
  <c r="K712" i="12"/>
  <c r="L712" i="12"/>
  <c r="K723" i="12"/>
  <c r="L723" i="12"/>
  <c r="K705" i="12"/>
  <c r="L705" i="12"/>
  <c r="K818" i="12"/>
  <c r="L818" i="12"/>
  <c r="K777" i="12"/>
  <c r="L777" i="12"/>
  <c r="M777" i="12" s="1"/>
  <c r="K816" i="12"/>
  <c r="L816" i="12"/>
  <c r="K737" i="12"/>
  <c r="L737" i="12"/>
  <c r="K817" i="12"/>
  <c r="L817" i="12"/>
  <c r="C43" i="16"/>
  <c r="D44" i="16"/>
  <c r="C15" i="16"/>
  <c r="D45" i="16" l="1"/>
  <c r="C44" i="16"/>
  <c r="C16" i="16"/>
  <c r="D46" i="16" l="1"/>
  <c r="C46" i="16" s="1"/>
  <c r="C45" i="16"/>
  <c r="C17" i="16"/>
  <c r="C18" i="16" l="1"/>
  <c r="C19" i="16" l="1"/>
  <c r="C20" i="16" l="1"/>
  <c r="R1" i="14"/>
  <c r="K18" i="14"/>
  <c r="K26" i="14"/>
  <c r="K22" i="14"/>
  <c r="K36" i="14"/>
  <c r="K21" i="14"/>
  <c r="K32" i="14"/>
  <c r="K15" i="14"/>
  <c r="K38" i="14"/>
  <c r="K28" i="14"/>
  <c r="K23" i="14"/>
  <c r="K7" i="14"/>
  <c r="K20" i="14"/>
  <c r="K30" i="14"/>
  <c r="K6" i="14"/>
  <c r="K19" i="14"/>
  <c r="K35" i="14"/>
  <c r="K33" i="14"/>
  <c r="K12" i="14"/>
  <c r="K13" i="14"/>
  <c r="K5" i="14"/>
  <c r="K14" i="14"/>
  <c r="K27" i="14"/>
  <c r="K16" i="14"/>
  <c r="K17" i="14"/>
  <c r="K10" i="14"/>
  <c r="K37" i="14"/>
  <c r="K8" i="14"/>
  <c r="K40" i="14"/>
  <c r="K9" i="14"/>
  <c r="K11" i="14"/>
  <c r="K4" i="14"/>
  <c r="K3" i="14"/>
  <c r="K31" i="14"/>
  <c r="K39" i="14"/>
  <c r="K29" i="14"/>
  <c r="K24" i="14"/>
  <c r="K25" i="14"/>
  <c r="K34" i="14"/>
  <c r="G645" i="33" l="1"/>
  <c r="H645" i="33" s="1"/>
  <c r="G288" i="33"/>
  <c r="G565" i="33"/>
  <c r="H565" i="33" s="1"/>
  <c r="G89" i="33"/>
  <c r="G94" i="33"/>
  <c r="G647" i="33"/>
  <c r="H647" i="33" s="1"/>
  <c r="G674" i="33"/>
  <c r="H674" i="33" s="1"/>
  <c r="G129" i="33"/>
  <c r="G612" i="33"/>
  <c r="G26" i="33"/>
  <c r="G666" i="33"/>
  <c r="G437" i="33"/>
  <c r="G352" i="33"/>
  <c r="G58" i="33"/>
  <c r="G736" i="33"/>
  <c r="H736" i="33" s="1"/>
  <c r="G498" i="33"/>
  <c r="G607" i="33"/>
  <c r="G461" i="33"/>
  <c r="G176" i="33"/>
  <c r="H176" i="33" s="1"/>
  <c r="G39" i="33"/>
  <c r="G290" i="33"/>
  <c r="G561" i="33"/>
  <c r="G515" i="33"/>
  <c r="H515" i="33" s="1"/>
  <c r="G417" i="33"/>
  <c r="G670" i="33"/>
  <c r="H670" i="33" s="1"/>
  <c r="G122" i="33"/>
  <c r="H122" i="33" s="1"/>
  <c r="G542" i="33"/>
  <c r="G33" i="33"/>
  <c r="G29" i="33"/>
  <c r="G369" i="33"/>
  <c r="G768" i="33"/>
  <c r="G759" i="33"/>
  <c r="H759" i="33" s="1"/>
  <c r="G638" i="33"/>
  <c r="G679" i="33"/>
  <c r="G698" i="33"/>
  <c r="G769" i="33"/>
  <c r="G532" i="33"/>
  <c r="H532" i="33" s="1"/>
  <c r="G241" i="33"/>
  <c r="G655" i="33"/>
  <c r="G246" i="33"/>
  <c r="G706" i="33"/>
  <c r="G782" i="33"/>
  <c r="G584" i="33"/>
  <c r="G267" i="33"/>
  <c r="G68" i="33"/>
  <c r="H68" i="33" s="1"/>
  <c r="G675" i="33"/>
  <c r="G32" i="33"/>
  <c r="G356" i="33"/>
  <c r="G440" i="33"/>
  <c r="G234" i="33"/>
  <c r="G244" i="33"/>
  <c r="G315" i="33"/>
  <c r="G648" i="33"/>
  <c r="H648" i="33" s="1"/>
  <c r="G326" i="33"/>
  <c r="G137" i="33"/>
  <c r="G527" i="33"/>
  <c r="G214" i="33"/>
  <c r="G230" i="33"/>
  <c r="G218" i="33"/>
  <c r="G204" i="33"/>
  <c r="G279" i="33"/>
  <c r="G600" i="33"/>
  <c r="G154" i="33"/>
  <c r="G121" i="33"/>
  <c r="H121" i="33" s="1"/>
  <c r="G507" i="33"/>
  <c r="G625" i="33"/>
  <c r="G28" i="33"/>
  <c r="G497" i="33"/>
  <c r="G539" i="33"/>
  <c r="G554" i="33"/>
  <c r="G209" i="33"/>
  <c r="G579" i="33"/>
  <c r="G601" i="33"/>
  <c r="G105" i="33"/>
  <c r="G676" i="33"/>
  <c r="G123" i="33"/>
  <c r="G472" i="33"/>
  <c r="H472" i="33" s="1"/>
  <c r="G564" i="33"/>
  <c r="G79" i="33"/>
  <c r="G793" i="33"/>
  <c r="G330" i="33"/>
  <c r="G119" i="33"/>
  <c r="H119" i="33" s="1"/>
  <c r="G268" i="33"/>
  <c r="G729" i="33"/>
  <c r="G711" i="33"/>
  <c r="N645" i="33"/>
  <c r="N288" i="33"/>
  <c r="N565" i="33"/>
  <c r="N89" i="33"/>
  <c r="N94" i="33"/>
  <c r="N647" i="33"/>
  <c r="N674" i="33"/>
  <c r="N129" i="33"/>
  <c r="N612" i="33"/>
  <c r="N26" i="33"/>
  <c r="N666" i="33"/>
  <c r="N437" i="33"/>
  <c r="N352" i="33"/>
  <c r="N58" i="33"/>
  <c r="N736" i="33"/>
  <c r="N498" i="33"/>
  <c r="N607" i="33"/>
  <c r="N461" i="33"/>
  <c r="N176" i="33"/>
  <c r="N39" i="33"/>
  <c r="N290" i="33"/>
  <c r="N561" i="33"/>
  <c r="N515" i="33"/>
  <c r="N417" i="33"/>
  <c r="N670" i="33"/>
  <c r="N122" i="33"/>
  <c r="N542" i="33"/>
  <c r="N33" i="33"/>
  <c r="N29" i="33"/>
  <c r="N369" i="33"/>
  <c r="N768" i="33"/>
  <c r="N759" i="33"/>
  <c r="N638" i="33"/>
  <c r="N679" i="33"/>
  <c r="N698" i="33"/>
  <c r="N769" i="33"/>
  <c r="N532" i="33"/>
  <c r="N241" i="33"/>
  <c r="N655" i="33"/>
  <c r="N246" i="33"/>
  <c r="N706" i="33"/>
  <c r="N782" i="33"/>
  <c r="N584" i="33"/>
  <c r="N267" i="33"/>
  <c r="N68" i="33"/>
  <c r="N675" i="33"/>
  <c r="N32" i="33"/>
  <c r="N356" i="33"/>
  <c r="N440" i="33"/>
  <c r="N234" i="33"/>
  <c r="N244" i="33"/>
  <c r="N315" i="33"/>
  <c r="N648" i="33"/>
  <c r="N326" i="33"/>
  <c r="N137" i="33"/>
  <c r="N527" i="33"/>
  <c r="N214" i="33"/>
  <c r="N230" i="33"/>
  <c r="N218" i="33"/>
  <c r="N204" i="33"/>
  <c r="N279" i="33"/>
  <c r="N600" i="33"/>
  <c r="N154" i="33"/>
  <c r="N121" i="33"/>
  <c r="N507" i="33"/>
  <c r="N625" i="33"/>
  <c r="N28" i="33"/>
  <c r="N497" i="33"/>
  <c r="N539" i="33"/>
  <c r="N554" i="33"/>
  <c r="N209" i="33"/>
  <c r="N579" i="33"/>
  <c r="N601" i="33"/>
  <c r="N105" i="33"/>
  <c r="N676" i="33"/>
  <c r="N123" i="33"/>
  <c r="N472" i="33"/>
  <c r="N564" i="33"/>
  <c r="N79" i="33"/>
  <c r="N793" i="33"/>
  <c r="N330" i="33"/>
  <c r="N119" i="33"/>
  <c r="N268" i="33"/>
  <c r="N729" i="33"/>
  <c r="N711" i="33"/>
  <c r="G407" i="33"/>
  <c r="G153" i="33"/>
  <c r="G179" i="33"/>
  <c r="G329" i="33"/>
  <c r="G260" i="33"/>
  <c r="H260" i="33" s="1"/>
  <c r="G178" i="33"/>
  <c r="G741" i="33"/>
  <c r="H741" i="33" s="1"/>
  <c r="G815" i="33"/>
  <c r="H815" i="33" s="1"/>
  <c r="G142" i="33"/>
  <c r="G110" i="33"/>
  <c r="G661" i="33"/>
  <c r="G14" i="33"/>
  <c r="H14" i="33" s="1"/>
  <c r="G546" i="33"/>
  <c r="G791" i="33"/>
  <c r="G691" i="33"/>
  <c r="G740" i="33"/>
  <c r="G479" i="33"/>
  <c r="H479" i="33" s="1"/>
  <c r="G243" i="33"/>
  <c r="H243" i="33" s="1"/>
  <c r="G535" i="33"/>
  <c r="G96" i="33"/>
  <c r="H96" i="33" s="1"/>
  <c r="G20" i="33"/>
  <c r="G195" i="33"/>
  <c r="G299" i="33"/>
  <c r="G747" i="33"/>
  <c r="G785" i="33"/>
  <c r="G665" i="33"/>
  <c r="G283" i="33"/>
  <c r="G151" i="33"/>
  <c r="G763" i="33"/>
  <c r="G98" i="33"/>
  <c r="G364" i="33"/>
  <c r="G448" i="33"/>
  <c r="G250" i="33"/>
  <c r="H250" i="33" s="1"/>
  <c r="G252" i="33"/>
  <c r="G331" i="33"/>
  <c r="H331" i="33" s="1"/>
  <c r="G12" i="33"/>
  <c r="H12" i="33" s="1"/>
  <c r="G342" i="33"/>
  <c r="H342" i="33" s="1"/>
  <c r="G141" i="33"/>
  <c r="G531" i="33"/>
  <c r="H531" i="33" s="1"/>
  <c r="G803" i="33"/>
  <c r="H803" i="33" s="1"/>
  <c r="G481" i="33"/>
  <c r="G348" i="33"/>
  <c r="G415" i="33"/>
  <c r="G240" i="33"/>
  <c r="G458" i="33"/>
  <c r="G100" i="33"/>
  <c r="G722" i="33"/>
  <c r="G197" i="33"/>
  <c r="H197" i="33" s="1"/>
  <c r="G99" i="33"/>
  <c r="H99" i="33" s="1"/>
  <c r="G309" i="33"/>
  <c r="H309" i="33" s="1"/>
  <c r="G690" i="33"/>
  <c r="G203" i="33"/>
  <c r="G492" i="33"/>
  <c r="G589" i="33"/>
  <c r="G434" i="33"/>
  <c r="G519" i="33"/>
  <c r="G813" i="33"/>
  <c r="G264" i="33"/>
  <c r="G297" i="33"/>
  <c r="G603" i="33"/>
  <c r="H603" i="33" s="1"/>
  <c r="G187" i="33"/>
  <c r="H187" i="33" s="1"/>
  <c r="G476" i="33"/>
  <c r="H476" i="33" s="1"/>
  <c r="G541" i="33"/>
  <c r="G316" i="33"/>
  <c r="G737" i="33"/>
  <c r="G637" i="33"/>
  <c r="G393" i="33"/>
  <c r="G263" i="33"/>
  <c r="G592" i="33"/>
  <c r="G90" i="33"/>
  <c r="G85" i="33"/>
  <c r="H85" i="33" s="1"/>
  <c r="G475" i="33"/>
  <c r="H475" i="33" s="1"/>
  <c r="G455" i="33"/>
  <c r="G644" i="33"/>
  <c r="G115" i="33"/>
  <c r="H115" i="33" s="1"/>
  <c r="G622" i="33"/>
  <c r="G379" i="33"/>
  <c r="G562" i="33"/>
  <c r="G776" i="33"/>
  <c r="G588" i="33"/>
  <c r="G86" i="33"/>
  <c r="H86" i="33" s="1"/>
  <c r="G781" i="33"/>
  <c r="G60" i="33"/>
  <c r="H60" i="33" s="1"/>
  <c r="G553" i="33"/>
  <c r="N407" i="33"/>
  <c r="N153" i="33"/>
  <c r="N179" i="33"/>
  <c r="N329" i="33"/>
  <c r="N260" i="33"/>
  <c r="N178" i="33"/>
  <c r="N741" i="33"/>
  <c r="G464" i="33"/>
  <c r="G734" i="33"/>
  <c r="G514" i="33"/>
  <c r="H514" i="33" s="1"/>
  <c r="G359" i="33"/>
  <c r="G17" i="33"/>
  <c r="G95" i="33"/>
  <c r="G186" i="33"/>
  <c r="N464" i="33"/>
  <c r="N734" i="33"/>
  <c r="N514" i="33"/>
  <c r="N359" i="33"/>
  <c r="N17" i="33"/>
  <c r="N95" i="33"/>
  <c r="N186" i="33"/>
  <c r="G227" i="33"/>
  <c r="G745" i="33"/>
  <c r="G18" i="33"/>
  <c r="G591" i="33"/>
  <c r="G556" i="33"/>
  <c r="G819" i="33"/>
  <c r="G225" i="33"/>
  <c r="N227" i="33"/>
  <c r="N745" i="33"/>
  <c r="N18" i="33"/>
  <c r="N591" i="33"/>
  <c r="N556" i="33"/>
  <c r="N819" i="33"/>
  <c r="N225" i="33"/>
  <c r="N382" i="33"/>
  <c r="N205" i="33"/>
  <c r="N435" i="33"/>
  <c r="N786" i="33"/>
  <c r="N765" i="33"/>
  <c r="N360" i="33"/>
  <c r="N758" i="33"/>
  <c r="N358" i="33"/>
  <c r="N597" i="33"/>
  <c r="N485" i="33"/>
  <c r="N474" i="33"/>
  <c r="N239" i="33"/>
  <c r="N42" i="33"/>
  <c r="N97" i="33"/>
  <c r="N126" i="33"/>
  <c r="N657" i="33"/>
  <c r="N805" i="33"/>
  <c r="N255" i="33"/>
  <c r="N753" i="33"/>
  <c r="N429" i="33"/>
  <c r="N193" i="33"/>
  <c r="N624" i="33"/>
  <c r="N784" i="33"/>
  <c r="N74" i="33"/>
  <c r="N311" i="33"/>
  <c r="N427" i="33"/>
  <c r="N71" i="33"/>
  <c r="N87" i="33"/>
  <c r="N796" i="33"/>
  <c r="N424" i="33"/>
  <c r="N16" i="33"/>
  <c r="N93" i="33"/>
  <c r="N383" i="33"/>
  <c r="N636" i="33"/>
  <c r="N104" i="33"/>
  <c r="N525" i="33"/>
  <c r="N21" i="33"/>
  <c r="N22" i="33"/>
  <c r="N324" i="33"/>
  <c r="N760" i="33"/>
  <c r="N599" i="33"/>
  <c r="N570" i="33"/>
  <c r="N671" i="33"/>
  <c r="N682" i="33"/>
  <c r="N761" i="33"/>
  <c r="N524" i="33"/>
  <c r="N233" i="33"/>
  <c r="N651" i="33"/>
  <c r="N400" i="33"/>
  <c r="N558" i="33"/>
  <c r="N460" i="33"/>
  <c r="N608" i="33"/>
  <c r="N658" i="33"/>
  <c r="N725" i="33"/>
  <c r="N590" i="33"/>
  <c r="N221" i="33"/>
  <c r="N587" i="33"/>
  <c r="N522" i="33"/>
  <c r="N66" i="33"/>
  <c r="N200" i="33"/>
  <c r="N43" i="33"/>
  <c r="N720" i="33"/>
  <c r="N289" i="33"/>
  <c r="N394" i="33"/>
  <c r="N751" i="33"/>
  <c r="G10" i="33"/>
  <c r="H10" i="33" s="1"/>
  <c r="N702" i="33"/>
  <c r="N327" i="33"/>
  <c r="N574" i="33"/>
  <c r="N441" i="33"/>
  <c r="N395" i="33"/>
  <c r="N344" i="33"/>
  <c r="N695" i="33"/>
  <c r="N552" i="33"/>
  <c r="N332" i="33"/>
  <c r="N520" i="33"/>
  <c r="N656" i="33"/>
  <c r="N815" i="33"/>
  <c r="N110" i="33"/>
  <c r="N14" i="33"/>
  <c r="N791" i="33"/>
  <c r="N740" i="33"/>
  <c r="N243" i="33"/>
  <c r="N96" i="33"/>
  <c r="N195" i="33"/>
  <c r="N747" i="33"/>
  <c r="N665" i="33"/>
  <c r="N151" i="33"/>
  <c r="N98" i="33"/>
  <c r="N448" i="33"/>
  <c r="N252" i="33"/>
  <c r="N12" i="33"/>
  <c r="N141" i="33"/>
  <c r="N803" i="33"/>
  <c r="N348" i="33"/>
  <c r="N240" i="33"/>
  <c r="N100" i="33"/>
  <c r="N197" i="33"/>
  <c r="N309" i="33"/>
  <c r="N203" i="33"/>
  <c r="N589" i="33"/>
  <c r="N519" i="33"/>
  <c r="N264" i="33"/>
  <c r="N603" i="33"/>
  <c r="N476" i="33"/>
  <c r="N316" i="33"/>
  <c r="N637" i="33"/>
  <c r="N263" i="33"/>
  <c r="N90" i="33"/>
  <c r="N475" i="33"/>
  <c r="N644" i="33"/>
  <c r="N622" i="33"/>
  <c r="N562" i="33"/>
  <c r="N588" i="33"/>
  <c r="N781" i="33"/>
  <c r="N553" i="33"/>
  <c r="G293" i="33"/>
  <c r="H293" i="33" s="1"/>
  <c r="G72" i="33"/>
  <c r="G623" i="33"/>
  <c r="G223" i="33"/>
  <c r="G340" i="33"/>
  <c r="H340" i="33" s="1"/>
  <c r="G810" i="33"/>
  <c r="G766" i="33"/>
  <c r="G610" i="33"/>
  <c r="G705" i="33"/>
  <c r="G685" i="33"/>
  <c r="G693" i="33"/>
  <c r="G272" i="33"/>
  <c r="H272" i="33" s="1"/>
  <c r="G135" i="33"/>
  <c r="H135" i="33" s="1"/>
  <c r="G346" i="33"/>
  <c r="H346" i="33" s="1"/>
  <c r="G271" i="33"/>
  <c r="G456" i="33"/>
  <c r="G467" i="33"/>
  <c r="G752" i="33"/>
  <c r="G155" i="33"/>
  <c r="G573" i="33"/>
  <c r="G117" i="33"/>
  <c r="H117" i="33" s="1"/>
  <c r="G75" i="33"/>
  <c r="G431" i="33"/>
  <c r="H431" i="33" s="1"/>
  <c r="G405" i="33"/>
  <c r="G787" i="33"/>
  <c r="G689" i="33"/>
  <c r="G703" i="33"/>
  <c r="H703" i="33" s="1"/>
  <c r="G762" i="33"/>
  <c r="G27" i="33"/>
  <c r="H27" i="33" s="1"/>
  <c r="G712" i="33"/>
  <c r="H712" i="33" s="1"/>
  <c r="G285" i="33"/>
  <c r="H285" i="33" s="1"/>
  <c r="G370" i="33"/>
  <c r="G646" i="33"/>
  <c r="H646" i="33" s="1"/>
  <c r="G23" i="33"/>
  <c r="H23" i="33" s="1"/>
  <c r="G735" i="33"/>
  <c r="H735" i="33" s="1"/>
  <c r="G351" i="33"/>
  <c r="G353" i="33"/>
  <c r="G746" i="33"/>
  <c r="G733" i="33"/>
  <c r="G686" i="33"/>
  <c r="G627" i="33"/>
  <c r="G678" i="33"/>
  <c r="G226" i="33"/>
  <c r="G772" i="33"/>
  <c r="H772" i="33" s="1"/>
  <c r="G107" i="33"/>
  <c r="G146" i="33"/>
  <c r="G526" i="33"/>
  <c r="H526" i="33" s="1"/>
  <c r="G312" i="33"/>
  <c r="H312" i="33" s="1"/>
  <c r="G409" i="33"/>
  <c r="G190" i="33"/>
  <c r="G756" i="33"/>
  <c r="H756" i="33" s="1"/>
  <c r="G486" i="33"/>
  <c r="G680" i="33"/>
  <c r="G510" i="33"/>
  <c r="G494" i="33"/>
  <c r="G277" i="33"/>
  <c r="G144" i="33"/>
  <c r="G169" i="33"/>
  <c r="G459" i="33"/>
  <c r="H459" i="33" s="1"/>
  <c r="G707" i="33"/>
  <c r="G626" i="33"/>
  <c r="G276" i="33"/>
  <c r="G775" i="33"/>
  <c r="G582" i="33"/>
  <c r="G602" i="33"/>
  <c r="G799" i="33"/>
  <c r="H799" i="33" s="1"/>
  <c r="G748" i="33"/>
  <c r="G416" i="33"/>
  <c r="G489" i="33"/>
  <c r="G303" i="33"/>
  <c r="H303" i="33" s="1"/>
  <c r="G109" i="33"/>
  <c r="G559" i="33"/>
  <c r="G420" i="33"/>
  <c r="G529" i="33"/>
  <c r="G495" i="33"/>
  <c r="G111" i="33"/>
  <c r="G714" i="33"/>
  <c r="G504" i="33"/>
  <c r="G450" i="33"/>
  <c r="G629" i="33"/>
  <c r="G254" i="33"/>
  <c r="G388" i="33"/>
  <c r="G617" i="33"/>
  <c r="G372" i="33"/>
  <c r="G65" i="33"/>
  <c r="H65" i="33" s="1"/>
  <c r="G83" i="33"/>
  <c r="G412" i="33"/>
  <c r="G211" i="33"/>
  <c r="G69" i="33"/>
  <c r="H69" i="33" s="1"/>
  <c r="G774" i="33"/>
  <c r="G728" i="33"/>
  <c r="G402" i="33"/>
  <c r="G575" i="33"/>
  <c r="G171" i="33"/>
  <c r="H171" i="33" s="1"/>
  <c r="G521" i="33"/>
  <c r="G724" i="33"/>
  <c r="G611" i="33"/>
  <c r="G677" i="33"/>
  <c r="G620" i="33"/>
  <c r="G713" i="33"/>
  <c r="G634" i="33"/>
  <c r="G806" i="33"/>
  <c r="H806" i="33" s="1"/>
  <c r="N293" i="33"/>
  <c r="N72" i="33"/>
  <c r="N623" i="33"/>
  <c r="N223" i="33"/>
  <c r="N340" i="33"/>
  <c r="N810" i="33"/>
  <c r="N766" i="33"/>
  <c r="N610" i="33"/>
  <c r="N705" i="33"/>
  <c r="N685" i="33"/>
  <c r="N693" i="33"/>
  <c r="N272" i="33"/>
  <c r="N135" i="33"/>
  <c r="N346" i="33"/>
  <c r="N271" i="33"/>
  <c r="N456" i="33"/>
  <c r="N467" i="33"/>
  <c r="N752" i="33"/>
  <c r="N155" i="33"/>
  <c r="N573" i="33"/>
  <c r="N117" i="33"/>
  <c r="N75" i="33"/>
  <c r="N431" i="33"/>
  <c r="N405" i="33"/>
  <c r="N787" i="33"/>
  <c r="N689" i="33"/>
  <c r="N703" i="33"/>
  <c r="N762" i="33"/>
  <c r="N27" i="33"/>
  <c r="N712" i="33"/>
  <c r="N285" i="33"/>
  <c r="N370" i="33"/>
  <c r="N646" i="33"/>
  <c r="N23" i="33"/>
  <c r="N735" i="33"/>
  <c r="N351" i="33"/>
  <c r="N353" i="33"/>
  <c r="N746" i="33"/>
  <c r="N733" i="33"/>
  <c r="N686" i="33"/>
  <c r="N627" i="33"/>
  <c r="N678" i="33"/>
  <c r="N226" i="33"/>
  <c r="N772" i="33"/>
  <c r="N107" i="33"/>
  <c r="N146" i="33"/>
  <c r="N526" i="33"/>
  <c r="N312" i="33"/>
  <c r="N582" i="33"/>
  <c r="N602" i="33"/>
  <c r="N799" i="33"/>
  <c r="N748" i="33"/>
  <c r="N416" i="33"/>
  <c r="N489" i="33"/>
  <c r="N303" i="33"/>
  <c r="N109" i="33"/>
  <c r="N559" i="33"/>
  <c r="N420" i="33"/>
  <c r="N529" i="33"/>
  <c r="N495" i="33"/>
  <c r="N111" i="33"/>
  <c r="G382" i="33"/>
  <c r="G435" i="33"/>
  <c r="G765" i="33"/>
  <c r="G758" i="33"/>
  <c r="G597" i="33"/>
  <c r="G474" i="33"/>
  <c r="H474" i="33" s="1"/>
  <c r="G42" i="33"/>
  <c r="G126" i="33"/>
  <c r="G805" i="33"/>
  <c r="H805" i="33" s="1"/>
  <c r="G753" i="33"/>
  <c r="H753" i="33" s="1"/>
  <c r="G193" i="33"/>
  <c r="H193" i="33" s="1"/>
  <c r="G784" i="33"/>
  <c r="G311" i="33"/>
  <c r="G71" i="33"/>
  <c r="G796" i="33"/>
  <c r="H796" i="33" s="1"/>
  <c r="G16" i="33"/>
  <c r="H16" i="33" s="1"/>
  <c r="G383" i="33"/>
  <c r="G104" i="33"/>
  <c r="G21" i="33"/>
  <c r="G324" i="33"/>
  <c r="G599" i="33"/>
  <c r="G671" i="33"/>
  <c r="G761" i="33"/>
  <c r="G233" i="33"/>
  <c r="G400" i="33"/>
  <c r="G460" i="33"/>
  <c r="G658" i="33"/>
  <c r="G590" i="33"/>
  <c r="G587" i="33"/>
  <c r="G66" i="33"/>
  <c r="H66" i="33" s="1"/>
  <c r="G43" i="33"/>
  <c r="G289" i="33"/>
  <c r="H289" i="33" s="1"/>
  <c r="G751" i="33"/>
  <c r="G702" i="33"/>
  <c r="G574" i="33"/>
  <c r="G395" i="33"/>
  <c r="G695" i="33"/>
  <c r="H695" i="33" s="1"/>
  <c r="G332" i="33"/>
  <c r="G656" i="33"/>
  <c r="N139" i="33"/>
  <c r="N106" i="33"/>
  <c r="N764" i="33"/>
  <c r="N376" i="33"/>
  <c r="N480" i="33"/>
  <c r="N231" i="33"/>
  <c r="N818" i="33"/>
  <c r="N594" i="33"/>
  <c r="N701" i="33"/>
  <c r="N517" i="33"/>
  <c r="N321" i="33"/>
  <c r="N502" i="33"/>
  <c r="N143" i="33"/>
  <c r="N52" i="33"/>
  <c r="N298" i="33"/>
  <c r="N487" i="33"/>
  <c r="N789" i="33"/>
  <c r="N555" i="33"/>
  <c r="N334" i="33"/>
  <c r="N339" i="33"/>
  <c r="N76" i="33"/>
  <c r="N817" i="33"/>
  <c r="N168" i="33"/>
  <c r="N470" i="33"/>
  <c r="N538" i="33"/>
  <c r="N381" i="33"/>
  <c r="N537" i="33"/>
  <c r="N650" i="33"/>
  <c r="N380" i="33"/>
  <c r="N550" i="33"/>
  <c r="N189" i="33"/>
  <c r="N571" i="33"/>
  <c r="N614" i="33"/>
  <c r="N266" i="33"/>
  <c r="N630" i="33"/>
  <c r="N216" i="33"/>
  <c r="N797" i="33"/>
  <c r="N385" i="33"/>
  <c r="N38" i="33"/>
  <c r="N199" i="33"/>
  <c r="N660" i="33"/>
  <c r="N304" i="33"/>
  <c r="N142" i="33"/>
  <c r="N661" i="33"/>
  <c r="N546" i="33"/>
  <c r="N691" i="33"/>
  <c r="N479" i="33"/>
  <c r="N535" i="33"/>
  <c r="N20" i="33"/>
  <c r="N299" i="33"/>
  <c r="N785" i="33"/>
  <c r="N283" i="33"/>
  <c r="N763" i="33"/>
  <c r="N364" i="33"/>
  <c r="N250" i="33"/>
  <c r="G403" i="33"/>
  <c r="G396" i="33"/>
  <c r="G325" i="33"/>
  <c r="G652" i="33"/>
  <c r="G433" i="33"/>
  <c r="G439" i="33"/>
  <c r="G47" i="33"/>
  <c r="G821" i="33"/>
  <c r="H821" i="33" s="1"/>
  <c r="G384" i="33"/>
  <c r="G317" i="33"/>
  <c r="H317" i="33" s="1"/>
  <c r="G116" i="33"/>
  <c r="G220" i="33"/>
  <c r="G313" i="33"/>
  <c r="N403" i="33"/>
  <c r="N396" i="33"/>
  <c r="N325" i="33"/>
  <c r="N652" i="33"/>
  <c r="N433" i="33"/>
  <c r="N439" i="33"/>
  <c r="N47" i="33"/>
  <c r="N821" i="33"/>
  <c r="N384" i="33"/>
  <c r="N317" i="33"/>
  <c r="N116" i="33"/>
  <c r="N220" i="33"/>
  <c r="N313" i="33"/>
  <c r="G205" i="33"/>
  <c r="G786" i="33"/>
  <c r="G360" i="33"/>
  <c r="G358" i="33"/>
  <c r="G485" i="33"/>
  <c r="H485" i="33" s="1"/>
  <c r="G239" i="33"/>
  <c r="G97" i="33"/>
  <c r="H97" i="33" s="1"/>
  <c r="G657" i="33"/>
  <c r="G255" i="33"/>
  <c r="G429" i="33"/>
  <c r="G624" i="33"/>
  <c r="G74" i="33"/>
  <c r="G427" i="33"/>
  <c r="G87" i="33"/>
  <c r="G424" i="33"/>
  <c r="G93" i="33"/>
  <c r="G636" i="33"/>
  <c r="G525" i="33"/>
  <c r="G22" i="33"/>
  <c r="G760" i="33"/>
  <c r="G570" i="33"/>
  <c r="H570" i="33" s="1"/>
  <c r="G682" i="33"/>
  <c r="G524" i="33"/>
  <c r="H524" i="33" s="1"/>
  <c r="G651" i="33"/>
  <c r="G558" i="33"/>
  <c r="G608" i="33"/>
  <c r="G725" i="33"/>
  <c r="G221" i="33"/>
  <c r="G522" i="33"/>
  <c r="G200" i="33"/>
  <c r="H200" i="33" s="1"/>
  <c r="G720" i="33"/>
  <c r="G394" i="33"/>
  <c r="G327" i="33"/>
  <c r="G441" i="33"/>
  <c r="G344" i="33"/>
  <c r="H344" i="33" s="1"/>
  <c r="G552" i="33"/>
  <c r="G520" i="33"/>
  <c r="N615" i="33"/>
  <c r="N224" i="33"/>
  <c r="N800" i="33"/>
  <c r="N744" i="33"/>
  <c r="N198" i="33"/>
  <c r="N295" i="33"/>
  <c r="N273" i="33"/>
  <c r="N807" i="33"/>
  <c r="N568" i="33"/>
  <c r="N700" i="33"/>
  <c r="N518" i="33"/>
  <c r="N506" i="33"/>
  <c r="N336" i="33"/>
  <c r="N238" i="33"/>
  <c r="N173" i="33"/>
  <c r="N183" i="33"/>
  <c r="N757" i="33"/>
  <c r="N631" i="33"/>
  <c r="N282" i="33"/>
  <c r="N778" i="33"/>
  <c r="N125" i="33"/>
  <c r="N292" i="33"/>
  <c r="N716" i="33"/>
  <c r="N730" i="33"/>
  <c r="N53" i="33"/>
  <c r="N236" i="33"/>
  <c r="N257" i="33"/>
  <c r="N355" i="33"/>
  <c r="N167" i="33"/>
  <c r="N349" i="33"/>
  <c r="N457" i="33"/>
  <c r="N160" i="33"/>
  <c r="N710" i="33"/>
  <c r="N413" i="33"/>
  <c r="N184" i="33"/>
  <c r="N618" i="33"/>
  <c r="N477" i="33"/>
  <c r="N245" i="33"/>
  <c r="N300" i="33"/>
  <c r="N305" i="33"/>
  <c r="N375" i="33"/>
  <c r="N560" i="33"/>
  <c r="N36" i="33"/>
  <c r="N357" i="33"/>
  <c r="N333" i="33"/>
  <c r="N306" i="33"/>
  <c r="N374" i="33"/>
  <c r="N714" i="33"/>
  <c r="N450" i="33"/>
  <c r="N254" i="33"/>
  <c r="N617" i="33"/>
  <c r="N65" i="33"/>
  <c r="N412" i="33"/>
  <c r="N69" i="33"/>
  <c r="N728" i="33"/>
  <c r="N575" i="33"/>
  <c r="N521" i="33"/>
  <c r="N611" i="33"/>
  <c r="N620" i="33"/>
  <c r="N634" i="33"/>
  <c r="G139" i="33"/>
  <c r="G764" i="33"/>
  <c r="G480" i="33"/>
  <c r="H480" i="33" s="1"/>
  <c r="G818" i="33"/>
  <c r="G701" i="33"/>
  <c r="H701" i="33" s="1"/>
  <c r="G321" i="33"/>
  <c r="G143" i="33"/>
  <c r="G298" i="33"/>
  <c r="G789" i="33"/>
  <c r="G334" i="33"/>
  <c r="G76" i="33"/>
  <c r="G168" i="33"/>
  <c r="H168" i="33" s="1"/>
  <c r="G538" i="33"/>
  <c r="G537" i="33"/>
  <c r="H537" i="33" s="1"/>
  <c r="G380" i="33"/>
  <c r="G189" i="33"/>
  <c r="G614" i="33"/>
  <c r="G630" i="33"/>
  <c r="G797" i="33"/>
  <c r="G38" i="33"/>
  <c r="G660" i="33"/>
  <c r="G338" i="33"/>
  <c r="H338" i="33" s="1"/>
  <c r="N398" i="33"/>
  <c r="N809" i="33"/>
  <c r="G147" i="33"/>
  <c r="N409" i="33"/>
  <c r="G654" i="33"/>
  <c r="N754" i="33"/>
  <c r="G692" i="33"/>
  <c r="N509" i="33"/>
  <c r="G56" i="33"/>
  <c r="N528" i="33"/>
  <c r="N144" i="33"/>
  <c r="G248" i="33"/>
  <c r="N443" i="33"/>
  <c r="G780" i="33"/>
  <c r="N512" i="33"/>
  <c r="G444" i="33"/>
  <c r="N605" i="33"/>
  <c r="N217" i="33"/>
  <c r="N593" i="33"/>
  <c r="N253" i="33"/>
  <c r="N162" i="33"/>
  <c r="N423" i="33"/>
  <c r="N322" i="33"/>
  <c r="N247" i="33"/>
  <c r="N516" i="33"/>
  <c r="N649" i="33"/>
  <c r="N73" i="33"/>
  <c r="N463" i="33"/>
  <c r="N421" i="33"/>
  <c r="N345" i="33"/>
  <c r="N414" i="33"/>
  <c r="N114" i="33"/>
  <c r="N341" i="33"/>
  <c r="N318" i="33"/>
  <c r="N287" i="33"/>
  <c r="N717" i="33"/>
  <c r="N170" i="33"/>
  <c r="N581" i="33"/>
  <c r="N185" i="33"/>
  <c r="N563" i="33"/>
  <c r="N310" i="33"/>
  <c r="N301" i="33"/>
  <c r="N566" i="33"/>
  <c r="N595" i="33"/>
  <c r="N188" i="33"/>
  <c r="N812" i="33"/>
  <c r="N743" i="33"/>
  <c r="N732" i="33"/>
  <c r="N496" i="33"/>
  <c r="N275" i="33"/>
  <c r="N447" i="33"/>
  <c r="N127" i="33"/>
  <c r="N25" i="33"/>
  <c r="N207" i="33"/>
  <c r="N328" i="33"/>
  <c r="N777" i="33"/>
  <c r="N500" i="33"/>
  <c r="N715" i="33"/>
  <c r="N308" i="33"/>
  <c r="N180" i="33"/>
  <c r="N794" i="33"/>
  <c r="N331" i="33"/>
  <c r="N531" i="33"/>
  <c r="N415" i="33"/>
  <c r="N722" i="33"/>
  <c r="N690" i="33"/>
  <c r="N434" i="33"/>
  <c r="N297" i="33"/>
  <c r="N541" i="33"/>
  <c r="N393" i="33"/>
  <c r="N85" i="33"/>
  <c r="N115" i="33"/>
  <c r="N776" i="33"/>
  <c r="N60" i="33"/>
  <c r="G354" i="33"/>
  <c r="G294" i="33"/>
  <c r="H294" i="33" s="1"/>
  <c r="G585" i="33"/>
  <c r="G801" i="33"/>
  <c r="G723" i="33"/>
  <c r="G78" i="33"/>
  <c r="G256" i="33"/>
  <c r="H256" i="33" s="1"/>
  <c r="G270" i="33"/>
  <c r="G616" i="33"/>
  <c r="G482" i="33"/>
  <c r="G92" i="33"/>
  <c r="G30" i="33"/>
  <c r="G196" i="33"/>
  <c r="H196" i="33" s="1"/>
  <c r="G192" i="33"/>
  <c r="H192" i="33" s="1"/>
  <c r="G576" i="33"/>
  <c r="G81" i="33"/>
  <c r="G672" i="33"/>
  <c r="G397" i="33"/>
  <c r="G790" i="33"/>
  <c r="G108" i="33"/>
  <c r="G390" i="33"/>
  <c r="N338" i="33"/>
  <c r="G333" i="33"/>
  <c r="G577" i="33"/>
  <c r="N147" i="33"/>
  <c r="G57" i="33"/>
  <c r="H57" i="33" s="1"/>
  <c r="N654" i="33"/>
  <c r="G788" i="33"/>
  <c r="N692" i="33"/>
  <c r="G446" i="33"/>
  <c r="N56" i="33"/>
  <c r="N277" i="33"/>
  <c r="G320" i="33"/>
  <c r="N248" i="33"/>
  <c r="G445" i="33"/>
  <c r="N780" i="33"/>
  <c r="G465" i="33"/>
  <c r="N444" i="33"/>
  <c r="G425" i="33"/>
  <c r="G286" i="33"/>
  <c r="G697" i="33"/>
  <c r="G619" i="33"/>
  <c r="G530" i="33"/>
  <c r="G156" i="33"/>
  <c r="G201" i="33"/>
  <c r="H201" i="33" s="1"/>
  <c r="G323" i="33"/>
  <c r="G163" i="33"/>
  <c r="H163" i="33" s="1"/>
  <c r="G816" i="33"/>
  <c r="H816" i="33" s="1"/>
  <c r="G452" i="33"/>
  <c r="G112" i="33"/>
  <c r="G767" i="33"/>
  <c r="G523" i="33"/>
  <c r="H523" i="33" s="1"/>
  <c r="G667" i="33"/>
  <c r="G545" i="33"/>
  <c r="G206" i="33"/>
  <c r="G133" i="33"/>
  <c r="G378" i="33"/>
  <c r="G484" i="33"/>
  <c r="H484" i="33" s="1"/>
  <c r="G572" i="33"/>
  <c r="G182" i="33"/>
  <c r="G77" i="33"/>
  <c r="G639" i="33"/>
  <c r="G488" i="33"/>
  <c r="H488" i="33" s="1"/>
  <c r="G34" i="33"/>
  <c r="G165" i="33"/>
  <c r="G569" i="33"/>
  <c r="H569" i="33" s="1"/>
  <c r="G749" i="33"/>
  <c r="G191" i="33"/>
  <c r="G802" i="33"/>
  <c r="G662" i="33"/>
  <c r="G533" i="33"/>
  <c r="H533" i="33" s="1"/>
  <c r="G438" i="33"/>
  <c r="G543" i="33"/>
  <c r="G215" i="33"/>
  <c r="G451" i="33"/>
  <c r="G750" i="33"/>
  <c r="G490" i="33"/>
  <c r="H490" i="33" s="1"/>
  <c r="G399" i="33"/>
  <c r="G426" i="33"/>
  <c r="G755" i="33"/>
  <c r="H755" i="33" s="1"/>
  <c r="G404" i="33"/>
  <c r="G604" i="33"/>
  <c r="G296" i="33"/>
  <c r="G174" i="33"/>
  <c r="G408" i="33"/>
  <c r="N215" i="33"/>
  <c r="N451" i="33"/>
  <c r="N750" i="33"/>
  <c r="N490" i="33"/>
  <c r="N399" i="33"/>
  <c r="N426" i="33"/>
  <c r="N755" i="33"/>
  <c r="N404" i="33"/>
  <c r="N604" i="33"/>
  <c r="N296" i="33"/>
  <c r="N174" i="33"/>
  <c r="N408" i="33"/>
  <c r="N504" i="33"/>
  <c r="N629" i="33"/>
  <c r="N388" i="33"/>
  <c r="N372" i="33"/>
  <c r="N83" i="33"/>
  <c r="N211" i="33"/>
  <c r="N774" i="33"/>
  <c r="N402" i="33"/>
  <c r="N171" i="33"/>
  <c r="N724" i="33"/>
  <c r="N677" i="33"/>
  <c r="N713" i="33"/>
  <c r="N806" i="33"/>
  <c r="G106" i="33"/>
  <c r="G376" i="33"/>
  <c r="G231" i="33"/>
  <c r="G594" i="33"/>
  <c r="G517" i="33"/>
  <c r="G502" i="33"/>
  <c r="G52" i="33"/>
  <c r="H52" i="33" s="1"/>
  <c r="G487" i="33"/>
  <c r="G555" i="33"/>
  <c r="G339" i="33"/>
  <c r="G817" i="33"/>
  <c r="H817" i="33" s="1"/>
  <c r="G470" i="33"/>
  <c r="G381" i="33"/>
  <c r="G650" i="33"/>
  <c r="H650" i="33" s="1"/>
  <c r="G550" i="33"/>
  <c r="G571" i="33"/>
  <c r="H571" i="33" s="1"/>
  <c r="G266" i="33"/>
  <c r="G216" i="33"/>
  <c r="G385" i="33"/>
  <c r="G199" i="33"/>
  <c r="G304" i="33"/>
  <c r="G357" i="33"/>
  <c r="G483" i="33"/>
  <c r="G544" i="33"/>
  <c r="G727" i="33"/>
  <c r="N549" i="33"/>
  <c r="G820" i="33"/>
  <c r="N683" i="33"/>
  <c r="N680" i="33"/>
  <c r="G511" i="33"/>
  <c r="H511" i="33" s="1"/>
  <c r="N261" i="33"/>
  <c r="G131" i="33"/>
  <c r="N41" i="33"/>
  <c r="G258" i="33"/>
  <c r="H258" i="33" s="1"/>
  <c r="N157" i="33"/>
  <c r="N626" i="33"/>
  <c r="G149" i="33"/>
  <c r="N551" i="33"/>
  <c r="N103" i="33"/>
  <c r="N46" i="33"/>
  <c r="N411" i="33"/>
  <c r="N401" i="33"/>
  <c r="N783" i="33"/>
  <c r="N653" i="33"/>
  <c r="N699" i="33"/>
  <c r="N742" i="33"/>
  <c r="N19" i="33"/>
  <c r="N696" i="33"/>
  <c r="N281" i="33"/>
  <c r="N663" i="33"/>
  <c r="N462" i="33"/>
  <c r="N88" i="33"/>
  <c r="N596" i="33"/>
  <c r="N213" i="33"/>
  <c r="N469" i="33"/>
  <c r="N392" i="33"/>
  <c r="N222" i="33"/>
  <c r="N557" i="33"/>
  <c r="N501" i="33"/>
  <c r="N280" i="33"/>
  <c r="N229" i="33"/>
  <c r="N91" i="33"/>
  <c r="N120" i="33"/>
  <c r="N362" i="33"/>
  <c r="N499" i="33"/>
  <c r="N166" i="33"/>
  <c r="N140" i="33"/>
  <c r="N721" i="33"/>
  <c r="N668" i="33"/>
  <c r="N422" i="33"/>
  <c r="N632" i="33"/>
  <c r="N505" i="33"/>
  <c r="N342" i="33"/>
  <c r="N481" i="33"/>
  <c r="N458" i="33"/>
  <c r="N99" i="33"/>
  <c r="N492" i="33"/>
  <c r="N813" i="33"/>
  <c r="N187" i="33"/>
  <c r="N737" i="33"/>
  <c r="N592" i="33"/>
  <c r="N455" i="33"/>
  <c r="N379" i="33"/>
  <c r="N86" i="33"/>
  <c r="G621" i="33"/>
  <c r="G795" i="33"/>
  <c r="G172" i="33"/>
  <c r="G284" i="33"/>
  <c r="G792" i="33"/>
  <c r="G50" i="33"/>
  <c r="H50" i="33" s="1"/>
  <c r="G51" i="33"/>
  <c r="H51" i="33" s="1"/>
  <c r="G150" i="33"/>
  <c r="G449" i="33"/>
  <c r="G347" i="33"/>
  <c r="H347" i="33" s="1"/>
  <c r="G45" i="33"/>
  <c r="G202" i="33"/>
  <c r="N621" i="33"/>
  <c r="N795" i="33"/>
  <c r="N172" i="33"/>
  <c r="N284" i="33"/>
  <c r="N792" i="33"/>
  <c r="N50" i="33"/>
  <c r="N51" i="33"/>
  <c r="N150" i="33"/>
  <c r="N449" i="33"/>
  <c r="N347" i="33"/>
  <c r="N45" i="33"/>
  <c r="N202" i="33"/>
  <c r="G615" i="33"/>
  <c r="G800" i="33"/>
  <c r="G198" i="33"/>
  <c r="G273" i="33"/>
  <c r="H273" i="33" s="1"/>
  <c r="G568" i="33"/>
  <c r="H568" i="33" s="1"/>
  <c r="G518" i="33"/>
  <c r="H518" i="33" s="1"/>
  <c r="G336" i="33"/>
  <c r="G173" i="33"/>
  <c r="H173" i="33" s="1"/>
  <c r="G757" i="33"/>
  <c r="G282" i="33"/>
  <c r="G125" i="33"/>
  <c r="G716" i="33"/>
  <c r="H716" i="33" s="1"/>
  <c r="G53" i="33"/>
  <c r="H53" i="33" s="1"/>
  <c r="G257" i="33"/>
  <c r="H257" i="33" s="1"/>
  <c r="G167" i="33"/>
  <c r="H167" i="33" s="1"/>
  <c r="G457" i="33"/>
  <c r="H457" i="33" s="1"/>
  <c r="G710" i="33"/>
  <c r="H710" i="33" s="1"/>
  <c r="G184" i="33"/>
  <c r="G477" i="33"/>
  <c r="H477" i="33" s="1"/>
  <c r="G300" i="33"/>
  <c r="G375" i="33"/>
  <c r="G36" i="33"/>
  <c r="G398" i="33"/>
  <c r="G809" i="33"/>
  <c r="H809" i="33" s="1"/>
  <c r="N64" i="33"/>
  <c r="N335" i="33"/>
  <c r="N190" i="33"/>
  <c r="G754" i="33"/>
  <c r="N669" i="33"/>
  <c r="G509" i="33"/>
  <c r="N307" i="33"/>
  <c r="G528" i="33"/>
  <c r="N152" i="33"/>
  <c r="N169" i="33"/>
  <c r="G443" i="33"/>
  <c r="H443" i="33" s="1"/>
  <c r="N442" i="33"/>
  <c r="G512" i="33"/>
  <c r="N212" i="33"/>
  <c r="G605" i="33"/>
  <c r="G681" i="33"/>
  <c r="G217" i="33"/>
  <c r="H217" i="33" s="1"/>
  <c r="G593" i="33"/>
  <c r="G253" i="33"/>
  <c r="H253" i="33" s="1"/>
  <c r="G162" i="33"/>
  <c r="G423" i="33"/>
  <c r="G322" i="33"/>
  <c r="G247" i="33"/>
  <c r="G516" i="33"/>
  <c r="G649" i="33"/>
  <c r="G73" i="33"/>
  <c r="G463" i="33"/>
  <c r="G421" i="33"/>
  <c r="G345" i="33"/>
  <c r="H345" i="33" s="1"/>
  <c r="G414" i="33"/>
  <c r="G114" i="33"/>
  <c r="H114" i="33" s="1"/>
  <c r="G341" i="33"/>
  <c r="H341" i="33" s="1"/>
  <c r="G318" i="33"/>
  <c r="H318" i="33" s="1"/>
  <c r="G287" i="33"/>
  <c r="G717" i="33"/>
  <c r="G170" i="33"/>
  <c r="H170" i="33" s="1"/>
  <c r="G581" i="33"/>
  <c r="G185" i="33"/>
  <c r="G563" i="33"/>
  <c r="G310" i="33"/>
  <c r="H310" i="33" s="1"/>
  <c r="G301" i="33"/>
  <c r="G566" i="33"/>
  <c r="H566" i="33" s="1"/>
  <c r="G595" i="33"/>
  <c r="H595" i="33" s="1"/>
  <c r="G188" i="33"/>
  <c r="G812" i="33"/>
  <c r="G743" i="33"/>
  <c r="G732" i="33"/>
  <c r="H732" i="33" s="1"/>
  <c r="G496" i="33"/>
  <c r="G275" i="33"/>
  <c r="G365" i="33"/>
  <c r="N294" i="33"/>
  <c r="N801" i="33"/>
  <c r="N78" i="33"/>
  <c r="N270" i="33"/>
  <c r="N482" i="33"/>
  <c r="N30" i="33"/>
  <c r="N192" i="33"/>
  <c r="N81" i="33"/>
  <c r="N397" i="33"/>
  <c r="N108" i="33"/>
  <c r="G278" i="33"/>
  <c r="N577" i="33"/>
  <c r="N57" i="33"/>
  <c r="N788" i="33"/>
  <c r="N446" i="33"/>
  <c r="G59" i="33"/>
  <c r="H59" i="33" s="1"/>
  <c r="G237" i="33"/>
  <c r="G606" i="33"/>
  <c r="H606" i="33" s="1"/>
  <c r="N775" i="33"/>
  <c r="N286" i="33"/>
  <c r="N619" i="33"/>
  <c r="N156" i="33"/>
  <c r="N323" i="33"/>
  <c r="N816" i="33"/>
  <c r="N112" i="33"/>
  <c r="N523" i="33"/>
  <c r="N545" i="33"/>
  <c r="N133" i="33"/>
  <c r="N484" i="33"/>
  <c r="N182" i="33"/>
  <c r="N639" i="33"/>
  <c r="N34" i="33"/>
  <c r="N569" i="33"/>
  <c r="N191" i="33"/>
  <c r="N662" i="33"/>
  <c r="N438" i="33"/>
  <c r="N208" i="33"/>
  <c r="G127" i="33"/>
  <c r="G62" i="33"/>
  <c r="N113" i="33"/>
  <c r="G688" i="33"/>
  <c r="H688" i="33" s="1"/>
  <c r="N580" i="33"/>
  <c r="G128" i="33"/>
  <c r="N548" i="33"/>
  <c r="G180" i="33"/>
  <c r="G228" i="33"/>
  <c r="G540" i="33"/>
  <c r="G242" i="33"/>
  <c r="G158" i="33"/>
  <c r="G49" i="33"/>
  <c r="H49" i="33" s="1"/>
  <c r="G738" i="33"/>
  <c r="G235" i="33"/>
  <c r="G508" i="33"/>
  <c r="G641" i="33"/>
  <c r="G13" i="33"/>
  <c r="H13" i="33" s="1"/>
  <c r="G367" i="33"/>
  <c r="N508" i="33"/>
  <c r="N13" i="33"/>
  <c r="N367" i="33"/>
  <c r="G40" i="33"/>
  <c r="N161" i="33"/>
  <c r="N471" i="33"/>
  <c r="G64" i="33"/>
  <c r="H64" i="33" s="1"/>
  <c r="G152" i="33"/>
  <c r="N314" i="33"/>
  <c r="N534" i="33"/>
  <c r="N15" i="33"/>
  <c r="N628" i="33"/>
  <c r="N731" i="33"/>
  <c r="G130" i="33"/>
  <c r="G500" i="33"/>
  <c r="N694" i="33"/>
  <c r="N82" i="33"/>
  <c r="N436" i="33"/>
  <c r="N390" i="33"/>
  <c r="G804" i="33"/>
  <c r="H804" i="33" s="1"/>
  <c r="N465" i="33"/>
  <c r="N530" i="33"/>
  <c r="N767" i="33"/>
  <c r="N572" i="33"/>
  <c r="N802" i="33"/>
  <c r="N130" i="33"/>
  <c r="G389" i="33"/>
  <c r="G377" i="33"/>
  <c r="G687" i="33"/>
  <c r="G249" i="33"/>
  <c r="N684" i="33"/>
  <c r="N276" i="33"/>
  <c r="G699" i="33"/>
  <c r="G469" i="33"/>
  <c r="G229" i="33"/>
  <c r="G668" i="33"/>
  <c r="H668" i="33" s="1"/>
  <c r="G302" i="33"/>
  <c r="N389" i="33"/>
  <c r="N377" i="33"/>
  <c r="N687" i="33"/>
  <c r="N664" i="33"/>
  <c r="N149" i="33"/>
  <c r="N365" i="33"/>
  <c r="G744" i="33"/>
  <c r="G807" i="33"/>
  <c r="H807" i="33" s="1"/>
  <c r="G506" i="33"/>
  <c r="G183" i="33"/>
  <c r="G778" i="33"/>
  <c r="H778" i="33" s="1"/>
  <c r="G730" i="33"/>
  <c r="H730" i="33" s="1"/>
  <c r="G355" i="33"/>
  <c r="G160" i="33"/>
  <c r="G618" i="33"/>
  <c r="G305" i="33"/>
  <c r="N278" i="33"/>
  <c r="G374" i="33"/>
  <c r="G549" i="33"/>
  <c r="G683" i="33"/>
  <c r="N510" i="33"/>
  <c r="N59" i="33"/>
  <c r="N237" i="33"/>
  <c r="N606" i="33"/>
  <c r="G551" i="33"/>
  <c r="G46" i="33"/>
  <c r="G401" i="33"/>
  <c r="G653" i="33"/>
  <c r="H653" i="33" s="1"/>
  <c r="G742" i="33"/>
  <c r="G696" i="33"/>
  <c r="H696" i="33" s="1"/>
  <c r="G663" i="33"/>
  <c r="H663" i="33" s="1"/>
  <c r="G88" i="33"/>
  <c r="G213" i="33"/>
  <c r="G392" i="33"/>
  <c r="G557" i="33"/>
  <c r="G280" i="33"/>
  <c r="G91" i="33"/>
  <c r="G362" i="33"/>
  <c r="G166" i="33"/>
  <c r="G721" i="33"/>
  <c r="G422" i="33"/>
  <c r="G505" i="33"/>
  <c r="G447" i="33"/>
  <c r="G80" i="33"/>
  <c r="N62" i="33"/>
  <c r="G259" i="33"/>
  <c r="N688" i="33"/>
  <c r="G673" i="33"/>
  <c r="N128" i="33"/>
  <c r="G308" i="33"/>
  <c r="H308" i="33" s="1"/>
  <c r="G583" i="33"/>
  <c r="N228" i="33"/>
  <c r="N540" i="33"/>
  <c r="N242" i="33"/>
  <c r="N158" i="33"/>
  <c r="N49" i="33"/>
  <c r="N738" i="33"/>
  <c r="N235" i="33"/>
  <c r="N641" i="33"/>
  <c r="N704" i="33"/>
  <c r="N251" i="33"/>
  <c r="N491" i="33"/>
  <c r="N459" i="33"/>
  <c r="N386" i="33"/>
  <c r="N366" i="33"/>
  <c r="N24" i="33"/>
  <c r="N175" i="33"/>
  <c r="N466" i="33"/>
  <c r="N428" i="33"/>
  <c r="G210" i="33"/>
  <c r="N35" i="33"/>
  <c r="N808" i="33"/>
  <c r="N790" i="33"/>
  <c r="G684" i="33"/>
  <c r="N425" i="33"/>
  <c r="N163" i="33"/>
  <c r="N206" i="33"/>
  <c r="N488" i="33"/>
  <c r="N543" i="33"/>
  <c r="G63" i="33"/>
  <c r="H63" i="33" s="1"/>
  <c r="N432" i="33"/>
  <c r="G814" i="33"/>
  <c r="G718" i="33"/>
  <c r="G659" i="33"/>
  <c r="H659" i="33" s="1"/>
  <c r="G157" i="33"/>
  <c r="G411" i="33"/>
  <c r="G281" i="33"/>
  <c r="G501" i="33"/>
  <c r="G140" i="33"/>
  <c r="H140" i="33" s="1"/>
  <c r="N269" i="33"/>
  <c r="G586" i="33"/>
  <c r="G44" i="33"/>
  <c r="N642" i="33"/>
  <c r="N11" i="33"/>
  <c r="G54" i="33"/>
  <c r="H54" i="33" s="1"/>
  <c r="G708" i="33"/>
  <c r="H708" i="33" s="1"/>
  <c r="G37" i="33"/>
  <c r="G704" i="33"/>
  <c r="G633" i="33"/>
  <c r="G161" i="33"/>
  <c r="G613" i="33"/>
  <c r="G265" i="33"/>
  <c r="G251" i="33"/>
  <c r="G471" i="33"/>
  <c r="H471" i="33" s="1"/>
  <c r="G67" i="33"/>
  <c r="G640" i="33"/>
  <c r="G219" i="33"/>
  <c r="H219" i="33" s="1"/>
  <c r="N544" i="33"/>
  <c r="G491" i="33"/>
  <c r="N486" i="33"/>
  <c r="N511" i="33"/>
  <c r="N131" i="33"/>
  <c r="N258" i="33"/>
  <c r="G719" i="33"/>
  <c r="G314" i="33"/>
  <c r="H314" i="33" s="1"/>
  <c r="G798" i="33"/>
  <c r="H798" i="33" s="1"/>
  <c r="G386" i="33"/>
  <c r="G373" i="33"/>
  <c r="G534" i="33"/>
  <c r="G366" i="33"/>
  <c r="G567" i="33"/>
  <c r="H567" i="33" s="1"/>
  <c r="G31" i="33"/>
  <c r="H31" i="33" s="1"/>
  <c r="G15" i="33"/>
  <c r="H15" i="33" s="1"/>
  <c r="G24" i="33"/>
  <c r="G410" i="33"/>
  <c r="G194" i="33"/>
  <c r="H194" i="33" s="1"/>
  <c r="G628" i="33"/>
  <c r="G175" i="33"/>
  <c r="G503" i="33"/>
  <c r="G731" i="33"/>
  <c r="H731" i="33" s="1"/>
  <c r="G643" i="33"/>
  <c r="G466" i="33"/>
  <c r="G473" i="33"/>
  <c r="H473" i="33" s="1"/>
  <c r="N80" i="33"/>
  <c r="G101" i="33"/>
  <c r="N259" i="33"/>
  <c r="G428" i="33"/>
  <c r="N673" i="33"/>
  <c r="G715" i="33"/>
  <c r="H715" i="33" s="1"/>
  <c r="G319" i="33"/>
  <c r="N583" i="33"/>
  <c r="G694" i="33"/>
  <c r="G811" i="33"/>
  <c r="G453" i="33"/>
  <c r="H453" i="33" s="1"/>
  <c r="G35" i="33"/>
  <c r="G82" i="33"/>
  <c r="H82" i="33" s="1"/>
  <c r="G124" i="33"/>
  <c r="G159" i="33"/>
  <c r="G808" i="33"/>
  <c r="H808" i="33" s="1"/>
  <c r="G436" i="33"/>
  <c r="N613" i="33"/>
  <c r="N640" i="33"/>
  <c r="G307" i="33"/>
  <c r="H307" i="33" s="1"/>
  <c r="N798" i="33"/>
  <c r="N567" i="33"/>
  <c r="N410" i="33"/>
  <c r="N503" i="33"/>
  <c r="N473" i="33"/>
  <c r="G432" i="33"/>
  <c r="N811" i="33"/>
  <c r="N159" i="33"/>
  <c r="G48" i="33"/>
  <c r="H48" i="33" s="1"/>
  <c r="N445" i="33"/>
  <c r="N201" i="33"/>
  <c r="N667" i="33"/>
  <c r="N77" i="33"/>
  <c r="N533" i="33"/>
  <c r="N419" i="33"/>
  <c r="G578" i="33"/>
  <c r="G642" i="33"/>
  <c r="G664" i="33"/>
  <c r="H664" i="33" s="1"/>
  <c r="G41" i="33"/>
  <c r="H41" i="33" s="1"/>
  <c r="G783" i="33"/>
  <c r="G596" i="33"/>
  <c r="H596" i="33" s="1"/>
  <c r="G120" i="33"/>
  <c r="G632" i="33"/>
  <c r="G328" i="33"/>
  <c r="N814" i="33"/>
  <c r="N718" i="33"/>
  <c r="N659" i="33"/>
  <c r="N708" i="33"/>
  <c r="N37" i="33"/>
  <c r="N633" i="33"/>
  <c r="N67" i="33"/>
  <c r="G419" i="33"/>
  <c r="N354" i="33"/>
  <c r="N585" i="33"/>
  <c r="N723" i="33"/>
  <c r="N256" i="33"/>
  <c r="N616" i="33"/>
  <c r="N92" i="33"/>
  <c r="N196" i="33"/>
  <c r="N576" i="33"/>
  <c r="N672" i="33"/>
  <c r="N494" i="33"/>
  <c r="N749" i="33"/>
  <c r="G224" i="33"/>
  <c r="G295" i="33"/>
  <c r="G700" i="33"/>
  <c r="G238" i="33"/>
  <c r="G631" i="33"/>
  <c r="G292" i="33"/>
  <c r="G236" i="33"/>
  <c r="G349" i="33"/>
  <c r="H349" i="33" s="1"/>
  <c r="G413" i="33"/>
  <c r="G245" i="33"/>
  <c r="H245" i="33" s="1"/>
  <c r="G560" i="33"/>
  <c r="N48" i="33"/>
  <c r="N84" i="33"/>
  <c r="G261" i="33"/>
  <c r="H261" i="33" s="1"/>
  <c r="G462" i="33"/>
  <c r="G773" i="33"/>
  <c r="G771" i="33"/>
  <c r="G709" i="33"/>
  <c r="G454" i="33"/>
  <c r="G291" i="33"/>
  <c r="G468" i="33"/>
  <c r="G418" i="33"/>
  <c r="G138" i="33"/>
  <c r="G70" i="33"/>
  <c r="H70" i="33" s="1"/>
  <c r="G363" i="33"/>
  <c r="G134" i="33"/>
  <c r="G430" i="33"/>
  <c r="N483" i="33"/>
  <c r="N727" i="33"/>
  <c r="N820" i="33"/>
  <c r="G635" i="33"/>
  <c r="G361" i="33"/>
  <c r="G136" i="33"/>
  <c r="N707" i="33"/>
  <c r="N771" i="33"/>
  <c r="N709" i="33"/>
  <c r="N454" i="33"/>
  <c r="N291" i="33"/>
  <c r="N468" i="33"/>
  <c r="N418" i="33"/>
  <c r="N138" i="33"/>
  <c r="N70" i="33"/>
  <c r="N363" i="33"/>
  <c r="N134" i="33"/>
  <c r="N430" i="33"/>
  <c r="G306" i="33"/>
  <c r="G335" i="33"/>
  <c r="N756" i="33"/>
  <c r="N635" i="33"/>
  <c r="N361" i="33"/>
  <c r="N136" i="33"/>
  <c r="G442" i="33"/>
  <c r="H442" i="33" s="1"/>
  <c r="G212" i="33"/>
  <c r="N54" i="33"/>
  <c r="N145" i="33"/>
  <c r="N513" i="33"/>
  <c r="N391" i="33"/>
  <c r="N368" i="33"/>
  <c r="N181" i="33"/>
  <c r="N726" i="33"/>
  <c r="N536" i="33"/>
  <c r="N337" i="33"/>
  <c r="N232" i="33"/>
  <c r="N598" i="33"/>
  <c r="N164" i="33"/>
  <c r="N406" i="33"/>
  <c r="N770" i="33"/>
  <c r="N132" i="33"/>
  <c r="N739" i="33"/>
  <c r="N609" i="33"/>
  <c r="G208" i="33"/>
  <c r="N55" i="33"/>
  <c r="G25" i="33"/>
  <c r="G113" i="33"/>
  <c r="H113" i="33" s="1"/>
  <c r="N118" i="33"/>
  <c r="G580" i="33"/>
  <c r="H580" i="33" s="1"/>
  <c r="N262" i="33"/>
  <c r="G548" i="33"/>
  <c r="N61" i="33"/>
  <c r="G794" i="33"/>
  <c r="N102" i="33"/>
  <c r="N371" i="33"/>
  <c r="N493" i="33"/>
  <c r="N274" i="33"/>
  <c r="N387" i="33"/>
  <c r="N343" i="33"/>
  <c r="N148" i="33"/>
  <c r="N350" i="33"/>
  <c r="N177" i="33"/>
  <c r="N547" i="33"/>
  <c r="N265" i="33"/>
  <c r="N219" i="33"/>
  <c r="G669" i="33"/>
  <c r="H669" i="33" s="1"/>
  <c r="N719" i="33"/>
  <c r="N373" i="33"/>
  <c r="N31" i="33"/>
  <c r="N194" i="33"/>
  <c r="N643" i="33"/>
  <c r="N101" i="33"/>
  <c r="N319" i="33"/>
  <c r="N453" i="33"/>
  <c r="N124" i="33"/>
  <c r="N40" i="33"/>
  <c r="G84" i="33"/>
  <c r="N320" i="33"/>
  <c r="N697" i="33"/>
  <c r="N452" i="33"/>
  <c r="N378" i="33"/>
  <c r="N165" i="33"/>
  <c r="G269" i="33"/>
  <c r="G777" i="33"/>
  <c r="H777" i="33" s="1"/>
  <c r="N210" i="33"/>
  <c r="G779" i="33"/>
  <c r="G11" i="33"/>
  <c r="H11" i="33" s="1"/>
  <c r="N804" i="33"/>
  <c r="G103" i="33"/>
  <c r="G19" i="33"/>
  <c r="G222" i="33"/>
  <c r="G499" i="33"/>
  <c r="G478" i="33"/>
  <c r="N63" i="33"/>
  <c r="N578" i="33"/>
  <c r="N779" i="33"/>
  <c r="N249" i="33"/>
  <c r="G145" i="33"/>
  <c r="G513" i="33"/>
  <c r="H513" i="33" s="1"/>
  <c r="G598" i="33"/>
  <c r="G55" i="33"/>
  <c r="H55" i="33" s="1"/>
  <c r="N44" i="33"/>
  <c r="G350" i="33"/>
  <c r="H350" i="33" s="1"/>
  <c r="G770" i="33"/>
  <c r="H770" i="33" s="1"/>
  <c r="G132" i="33"/>
  <c r="G739" i="33"/>
  <c r="G609" i="33"/>
  <c r="G391" i="33"/>
  <c r="G164" i="33"/>
  <c r="N302" i="33"/>
  <c r="G102" i="33"/>
  <c r="G177" i="33"/>
  <c r="G493" i="33"/>
  <c r="G274" i="33"/>
  <c r="H274" i="33" s="1"/>
  <c r="G262" i="33"/>
  <c r="G368" i="33"/>
  <c r="G406" i="33"/>
  <c r="G207" i="33"/>
  <c r="H207" i="33" s="1"/>
  <c r="G371" i="33"/>
  <c r="G547" i="33"/>
  <c r="G181" i="33"/>
  <c r="G118" i="33"/>
  <c r="G726" i="33"/>
  <c r="G536" i="33"/>
  <c r="H536" i="33" s="1"/>
  <c r="G337" i="33"/>
  <c r="G343" i="33"/>
  <c r="G232" i="33"/>
  <c r="N478" i="33"/>
  <c r="G61" i="33"/>
  <c r="H61" i="33" s="1"/>
  <c r="G148" i="33"/>
  <c r="N586" i="33"/>
  <c r="G387" i="33"/>
  <c r="N773" i="33"/>
  <c r="F794" i="33"/>
  <c r="F564" i="33"/>
  <c r="D564" i="33"/>
  <c r="E564" i="33" s="1"/>
  <c r="J783" i="33"/>
  <c r="F350" i="33"/>
  <c r="J230" i="33"/>
  <c r="F187" i="33"/>
  <c r="J171" i="33"/>
  <c r="F40" i="33"/>
  <c r="J190" i="33"/>
  <c r="F378" i="33"/>
  <c r="J274" i="33"/>
  <c r="D222" i="33"/>
  <c r="E222" i="33" s="1"/>
  <c r="F402" i="33"/>
  <c r="F222" i="33"/>
  <c r="D343" i="33"/>
  <c r="E343" i="33" s="1"/>
  <c r="J305" i="33"/>
  <c r="F318" i="33"/>
  <c r="J222" i="33"/>
  <c r="F434" i="33"/>
  <c r="F731" i="33"/>
  <c r="D562" i="33"/>
  <c r="E562" i="33" s="1"/>
  <c r="J497" i="33"/>
  <c r="D448" i="33"/>
  <c r="E448" i="33" s="1"/>
  <c r="D731" i="33"/>
  <c r="E731" i="33" s="1"/>
  <c r="J507" i="33"/>
  <c r="J158" i="33"/>
  <c r="F547" i="33"/>
  <c r="F538" i="33"/>
  <c r="F507" i="33"/>
  <c r="F460" i="33"/>
  <c r="J426" i="33"/>
  <c r="D326" i="33"/>
  <c r="J251" i="33"/>
  <c r="D386" i="33"/>
  <c r="E386" i="33" s="1"/>
  <c r="J315" i="33"/>
  <c r="D274" i="33"/>
  <c r="E274" i="33" s="1"/>
  <c r="J249" i="33"/>
  <c r="D209" i="33"/>
  <c r="E209" i="33" s="1"/>
  <c r="D124" i="33"/>
  <c r="E124" i="33" s="1"/>
  <c r="J189" i="33"/>
  <c r="F411" i="33"/>
  <c r="D231" i="33"/>
  <c r="F401" i="33"/>
  <c r="F305" i="33"/>
  <c r="F199" i="33"/>
  <c r="J124" i="33"/>
  <c r="J112" i="33"/>
  <c r="J313" i="33"/>
  <c r="D82" i="33"/>
  <c r="H89" i="33" s="1"/>
  <c r="J316" i="33"/>
  <c r="D284" i="33"/>
  <c r="H291" i="33" s="1"/>
  <c r="J424" i="33"/>
  <c r="D220" i="33"/>
  <c r="E220" i="33" s="1"/>
  <c r="J324" i="33"/>
  <c r="J281" i="33"/>
  <c r="J217" i="33"/>
  <c r="D556" i="33"/>
  <c r="D315" i="33"/>
  <c r="H322" i="33" s="1"/>
  <c r="D457" i="33"/>
  <c r="D200" i="33"/>
  <c r="D380" i="33"/>
  <c r="D640" i="33"/>
  <c r="E640" i="33" s="1"/>
  <c r="D234" i="33"/>
  <c r="E234" i="33" s="1"/>
  <c r="J589" i="33"/>
  <c r="J252" i="33"/>
  <c r="J167" i="33"/>
  <c r="D452" i="33"/>
  <c r="E452" i="33" s="1"/>
  <c r="D187" i="33"/>
  <c r="E187" i="33" s="1"/>
  <c r="F671" i="33"/>
  <c r="F366" i="33"/>
  <c r="D296" i="33"/>
  <c r="E296" i="33" s="1"/>
  <c r="F111" i="33"/>
  <c r="F326" i="33"/>
  <c r="F653" i="33"/>
  <c r="F356" i="33"/>
  <c r="F43" i="33"/>
  <c r="F285" i="33"/>
  <c r="J364" i="33"/>
  <c r="D463" i="33"/>
  <c r="E463" i="33" s="1"/>
  <c r="J575" i="33"/>
  <c r="F619" i="33"/>
  <c r="F776" i="33"/>
  <c r="D532" i="33"/>
  <c r="J779" i="33"/>
  <c r="J344" i="33"/>
  <c r="F532" i="33"/>
  <c r="I532" i="33" s="1"/>
  <c r="J30" i="33"/>
  <c r="J122" i="33"/>
  <c r="F337" i="33"/>
  <c r="J117" i="33"/>
  <c r="F12" i="33"/>
  <c r="J22" i="33"/>
  <c r="J74" i="33"/>
  <c r="F112" i="33"/>
  <c r="J16" i="33"/>
  <c r="D177" i="33"/>
  <c r="F220" i="33"/>
  <c r="D201" i="33"/>
  <c r="D81" i="33"/>
  <c r="H88" i="33" s="1"/>
  <c r="D375" i="33"/>
  <c r="E375" i="33" s="1"/>
  <c r="J663" i="33"/>
  <c r="F541" i="33"/>
  <c r="F727" i="33"/>
  <c r="F698" i="33"/>
  <c r="F252" i="33"/>
  <c r="D480" i="33"/>
  <c r="J187" i="33"/>
  <c r="F273" i="33"/>
  <c r="J476" i="33"/>
  <c r="F393" i="33"/>
  <c r="J399" i="33"/>
  <c r="J326" i="33"/>
  <c r="J450" i="33"/>
  <c r="F587" i="33"/>
  <c r="F189" i="33"/>
  <c r="D287" i="33"/>
  <c r="E287" i="33" s="1"/>
  <c r="D367" i="33"/>
  <c r="E367" i="33" s="1"/>
  <c r="F760" i="33"/>
  <c r="F787" i="33"/>
  <c r="J562" i="33"/>
  <c r="F550" i="33"/>
  <c r="F30" i="33"/>
  <c r="D122" i="33"/>
  <c r="J245" i="33"/>
  <c r="D337" i="33"/>
  <c r="E337" i="33" s="1"/>
  <c r="D12" i="33"/>
  <c r="E12" i="33" s="1"/>
  <c r="F49" i="33"/>
  <c r="D247" i="33"/>
  <c r="D236" i="33"/>
  <c r="E236" i="33" s="1"/>
  <c r="F160" i="33"/>
  <c r="F311" i="33"/>
  <c r="F215" i="33"/>
  <c r="D104" i="33"/>
  <c r="E104" i="33" s="1"/>
  <c r="F74" i="33"/>
  <c r="F71" i="33"/>
  <c r="J138" i="33"/>
  <c r="F168" i="33"/>
  <c r="F75" i="33"/>
  <c r="D197" i="33"/>
  <c r="E197" i="33" s="1"/>
  <c r="F244" i="33"/>
  <c r="J297" i="33"/>
  <c r="D410" i="33"/>
  <c r="E410" i="33" s="1"/>
  <c r="F483" i="33"/>
  <c r="F531" i="33"/>
  <c r="F377" i="33"/>
  <c r="F163" i="33"/>
  <c r="F316" i="33"/>
  <c r="F284" i="33"/>
  <c r="D102" i="33"/>
  <c r="E102" i="33" s="1"/>
  <c r="F177" i="33"/>
  <c r="D13" i="33"/>
  <c r="D95" i="33"/>
  <c r="F281" i="33"/>
  <c r="F35" i="33"/>
  <c r="D408" i="33"/>
  <c r="F221" i="33"/>
  <c r="F315" i="33"/>
  <c r="J647" i="33"/>
  <c r="J741" i="33"/>
  <c r="D698" i="33"/>
  <c r="E698" i="33" s="1"/>
  <c r="F792" i="33"/>
  <c r="J273" i="33"/>
  <c r="F167" i="33"/>
  <c r="I167" i="33" s="1"/>
  <c r="K167" i="33" s="1"/>
  <c r="M167" i="33" s="1"/>
  <c r="P167" i="33" s="1"/>
  <c r="J40" i="33"/>
  <c r="J370" i="33"/>
  <c r="F508" i="33"/>
  <c r="F450" i="33"/>
  <c r="J722" i="33"/>
  <c r="F65" i="33"/>
  <c r="I65" i="33" s="1"/>
  <c r="D305" i="33"/>
  <c r="E305" i="33" s="1"/>
  <c r="D371" i="33"/>
  <c r="E371" i="33" s="1"/>
  <c r="F534" i="33"/>
  <c r="D760" i="33"/>
  <c r="E760" i="33" s="1"/>
  <c r="J218" i="33"/>
  <c r="F682" i="33"/>
  <c r="D171" i="33"/>
  <c r="E171" i="33" s="1"/>
  <c r="J816" i="33"/>
  <c r="D550" i="33"/>
  <c r="D30" i="33"/>
  <c r="E30" i="33" s="1"/>
  <c r="F122" i="33"/>
  <c r="I122" i="33" s="1"/>
  <c r="D245" i="33"/>
  <c r="D117" i="33"/>
  <c r="E117" i="33" s="1"/>
  <c r="J12" i="33"/>
  <c r="D49" i="33"/>
  <c r="F247" i="33"/>
  <c r="F236" i="33"/>
  <c r="D160" i="33"/>
  <c r="E160" i="33" s="1"/>
  <c r="D311" i="33"/>
  <c r="E311" i="33" s="1"/>
  <c r="D215" i="33"/>
  <c r="H222" i="33" s="1"/>
  <c r="F104" i="33"/>
  <c r="D74" i="33"/>
  <c r="E74" i="33" s="1"/>
  <c r="D71" i="33"/>
  <c r="H78" i="33" s="1"/>
  <c r="D138" i="33"/>
  <c r="E138" i="33" s="1"/>
  <c r="D168" i="33"/>
  <c r="D308" i="33"/>
  <c r="E308" i="33" s="1"/>
  <c r="J204" i="33"/>
  <c r="F440" i="33"/>
  <c r="F19" i="33"/>
  <c r="J154" i="33"/>
  <c r="J225" i="33"/>
  <c r="D316" i="33"/>
  <c r="E316" i="33" s="1"/>
  <c r="J177" i="33"/>
  <c r="J13" i="33"/>
  <c r="F124" i="33"/>
  <c r="F296" i="33"/>
  <c r="J408" i="33"/>
  <c r="D221" i="33"/>
  <c r="E221" i="33" s="1"/>
  <c r="F342" i="33"/>
  <c r="D654" i="33"/>
  <c r="E654" i="33" s="1"/>
  <c r="D741" i="33"/>
  <c r="E741" i="33" s="1"/>
  <c r="J434" i="33"/>
  <c r="D53" i="33"/>
  <c r="E53" i="33" s="1"/>
  <c r="D154" i="33"/>
  <c r="E154" i="33" s="1"/>
  <c r="D264" i="33"/>
  <c r="E264" i="33" s="1"/>
  <c r="J411" i="33"/>
  <c r="F102" i="33"/>
  <c r="D263" i="33"/>
  <c r="F159" i="33"/>
  <c r="F349" i="33"/>
  <c r="D121" i="33"/>
  <c r="F408" i="33"/>
  <c r="F231" i="33"/>
  <c r="J386" i="33"/>
  <c r="F716" i="33"/>
  <c r="I716" i="33" s="1"/>
  <c r="D434" i="33"/>
  <c r="E434" i="33" s="1"/>
  <c r="D437" i="33"/>
  <c r="E437" i="33" s="1"/>
  <c r="D313" i="33"/>
  <c r="H320" i="33" s="1"/>
  <c r="F154" i="33"/>
  <c r="F264" i="33"/>
  <c r="D309" i="33"/>
  <c r="E309" i="33" s="1"/>
  <c r="D418" i="33"/>
  <c r="E418" i="33" s="1"/>
  <c r="J102" i="33"/>
  <c r="D471" i="33"/>
  <c r="E471" i="33" s="1"/>
  <c r="F13" i="33"/>
  <c r="D431" i="33"/>
  <c r="H438" i="33" s="1"/>
  <c r="D181" i="33"/>
  <c r="E181" i="33" s="1"/>
  <c r="D249" i="33"/>
  <c r="J401" i="33"/>
  <c r="F190" i="33"/>
  <c r="F116" i="33"/>
  <c r="J264" i="33"/>
  <c r="J284" i="33"/>
  <c r="J162" i="33"/>
  <c r="J220" i="33"/>
  <c r="F11" i="33"/>
  <c r="F51" i="33"/>
  <c r="D281" i="33"/>
  <c r="E281" i="33" s="1"/>
  <c r="F217" i="33"/>
  <c r="F556" i="33"/>
  <c r="D297" i="33"/>
  <c r="E297" i="33" s="1"/>
  <c r="J716" i="33"/>
  <c r="F592" i="33"/>
  <c r="F251" i="33"/>
  <c r="D426" i="33"/>
  <c r="E426" i="33" s="1"/>
  <c r="D620" i="33"/>
  <c r="D366" i="33"/>
  <c r="E366" i="33" s="1"/>
  <c r="D273" i="33"/>
  <c r="F524" i="33"/>
  <c r="J250" i="33"/>
  <c r="D145" i="33"/>
  <c r="F364" i="33"/>
  <c r="F557" i="33"/>
  <c r="D776" i="33"/>
  <c r="E776" i="33" s="1"/>
  <c r="J427" i="33"/>
  <c r="J776" i="33"/>
  <c r="F245" i="33"/>
  <c r="J337" i="33"/>
  <c r="F117" i="33"/>
  <c r="I117" i="33" s="1"/>
  <c r="K117" i="33" s="1"/>
  <c r="M117" i="33" s="1"/>
  <c r="P117" i="33" s="1"/>
  <c r="J49" i="33"/>
  <c r="J247" i="33"/>
  <c r="J236" i="33"/>
  <c r="J160" i="33"/>
  <c r="J311" i="33"/>
  <c r="J215" i="33"/>
  <c r="J104" i="33"/>
  <c r="J71" i="33"/>
  <c r="J168" i="33"/>
  <c r="D75" i="33"/>
  <c r="J308" i="33"/>
  <c r="J244" i="33"/>
  <c r="D279" i="33"/>
  <c r="H286" i="33" s="1"/>
  <c r="F343" i="33"/>
  <c r="J410" i="33"/>
  <c r="D483" i="33"/>
  <c r="F313" i="33"/>
  <c r="F249" i="33"/>
  <c r="D769" i="33"/>
  <c r="E769" i="33" s="1"/>
  <c r="D792" i="33"/>
  <c r="E792" i="33" s="1"/>
  <c r="F158" i="33"/>
  <c r="F241" i="33"/>
  <c r="D232" i="33"/>
  <c r="E232" i="33" s="1"/>
  <c r="J587" i="33"/>
  <c r="J534" i="33"/>
  <c r="F819" i="33"/>
  <c r="J686" i="33"/>
  <c r="F687" i="33"/>
  <c r="F28" i="33"/>
  <c r="J279" i="33"/>
  <c r="J375" i="33"/>
  <c r="D531" i="33"/>
  <c r="D257" i="33"/>
  <c r="E257" i="33" s="1"/>
  <c r="D355" i="33"/>
  <c r="E355" i="33" s="1"/>
  <c r="F423" i="33"/>
  <c r="F519" i="33"/>
  <c r="D90" i="33"/>
  <c r="E90" i="33" s="1"/>
  <c r="F146" i="33"/>
  <c r="F289" i="33"/>
  <c r="J57" i="33"/>
  <c r="F250" i="33"/>
  <c r="I250" i="33" s="1"/>
  <c r="K250" i="33" s="1"/>
  <c r="M250" i="33" s="1"/>
  <c r="P250" i="33" s="1"/>
  <c r="F467" i="33"/>
  <c r="F83" i="33"/>
  <c r="F314" i="33"/>
  <c r="F503" i="33"/>
  <c r="J82" i="33"/>
  <c r="D32" i="33"/>
  <c r="E32" i="33" s="1"/>
  <c r="F319" i="33"/>
  <c r="J178" i="33"/>
  <c r="F27" i="33"/>
  <c r="I27" i="33" s="1"/>
  <c r="F69" i="33"/>
  <c r="J159" i="33"/>
  <c r="D242" i="33"/>
  <c r="D87" i="33"/>
  <c r="J43" i="33"/>
  <c r="D57" i="33"/>
  <c r="E57" i="33" s="1"/>
  <c r="D111" i="33"/>
  <c r="E111" i="33" s="1"/>
  <c r="D51" i="33"/>
  <c r="F171" i="33"/>
  <c r="I171" i="33" s="1"/>
  <c r="K171" i="33" s="1"/>
  <c r="M171" i="33" s="1"/>
  <c r="P171" i="33" s="1"/>
  <c r="J350" i="33"/>
  <c r="J513" i="33"/>
  <c r="D356" i="33"/>
  <c r="E356" i="33" s="1"/>
  <c r="D424" i="33"/>
  <c r="E424" i="33" s="1"/>
  <c r="D435" i="33"/>
  <c r="E435" i="33" s="1"/>
  <c r="F444" i="33"/>
  <c r="D520" i="33"/>
  <c r="D500" i="33"/>
  <c r="E500" i="33" s="1"/>
  <c r="D567" i="33"/>
  <c r="E567" i="33" s="1"/>
  <c r="F591" i="33"/>
  <c r="J549" i="33"/>
  <c r="J391" i="33"/>
  <c r="F553" i="33"/>
  <c r="D393" i="33"/>
  <c r="E393" i="33" s="1"/>
  <c r="J334" i="33"/>
  <c r="F392" i="33"/>
  <c r="J348" i="33"/>
  <c r="F584" i="33"/>
  <c r="J369" i="33"/>
  <c r="F537" i="33"/>
  <c r="J650" i="33"/>
  <c r="D664" i="33"/>
  <c r="E664" i="33" s="1"/>
  <c r="D490" i="33"/>
  <c r="F529" i="33"/>
  <c r="F585" i="33"/>
  <c r="J608" i="33"/>
  <c r="D657" i="33"/>
  <c r="E657" i="33" s="1"/>
  <c r="F490" i="33"/>
  <c r="D557" i="33"/>
  <c r="D665" i="33"/>
  <c r="D411" i="33"/>
  <c r="E411" i="33" s="1"/>
  <c r="F458" i="33"/>
  <c r="D493" i="33"/>
  <c r="F551" i="33"/>
  <c r="F649" i="33"/>
  <c r="D721" i="33"/>
  <c r="E721" i="33" s="1"/>
  <c r="F697" i="33"/>
  <c r="F670" i="33"/>
  <c r="I670" i="33" s="1"/>
  <c r="J709" i="33"/>
  <c r="F617" i="33"/>
  <c r="J629" i="33"/>
  <c r="F696" i="33"/>
  <c r="I696" i="33" s="1"/>
  <c r="D573" i="33"/>
  <c r="E573" i="33" s="1"/>
  <c r="J648" i="33"/>
  <c r="F686" i="33"/>
  <c r="F91" i="33"/>
  <c r="F24" i="33"/>
  <c r="D401" i="33"/>
  <c r="E401" i="33" s="1"/>
  <c r="J520" i="33"/>
  <c r="J32" i="33"/>
  <c r="D252" i="33"/>
  <c r="E252" i="33" s="1"/>
  <c r="F426" i="33"/>
  <c r="J232" i="33"/>
  <c r="D587" i="33"/>
  <c r="J24" i="33"/>
  <c r="J137" i="33"/>
  <c r="D534" i="33"/>
  <c r="F639" i="33"/>
  <c r="D682" i="33"/>
  <c r="E682" i="33" s="1"/>
  <c r="D687" i="33"/>
  <c r="F255" i="33"/>
  <c r="F108" i="33"/>
  <c r="F14" i="33"/>
  <c r="F300" i="33"/>
  <c r="F17" i="33"/>
  <c r="D28" i="33"/>
  <c r="E28" i="33" s="1"/>
  <c r="F38" i="33"/>
  <c r="F100" i="33"/>
  <c r="J180" i="33"/>
  <c r="D125" i="33"/>
  <c r="E125" i="33" s="1"/>
  <c r="F204" i="33"/>
  <c r="J483" i="33"/>
  <c r="J79" i="33"/>
  <c r="F355" i="33"/>
  <c r="D404" i="33"/>
  <c r="E404" i="33" s="1"/>
  <c r="J441" i="33"/>
  <c r="F178" i="33"/>
  <c r="D373" i="33"/>
  <c r="E373" i="33" s="1"/>
  <c r="D178" i="33"/>
  <c r="H185" i="33" s="1"/>
  <c r="F196" i="33"/>
  <c r="I196" i="33" s="1"/>
  <c r="F57" i="33"/>
  <c r="D129" i="33"/>
  <c r="F193" i="33"/>
  <c r="I193" i="33" s="1"/>
  <c r="D233" i="33"/>
  <c r="E233" i="33" s="1"/>
  <c r="D250" i="33"/>
  <c r="E250" i="33" s="1"/>
  <c r="F331" i="33"/>
  <c r="J381" i="33"/>
  <c r="J83" i="33"/>
  <c r="J287" i="33"/>
  <c r="D314" i="33"/>
  <c r="D503" i="33"/>
  <c r="E503" i="33" s="1"/>
  <c r="J221" i="33"/>
  <c r="F335" i="33"/>
  <c r="D395" i="33"/>
  <c r="E395" i="33" s="1"/>
  <c r="F37" i="33"/>
  <c r="J35" i="33"/>
  <c r="J69" i="33"/>
  <c r="J193" i="33"/>
  <c r="F265" i="33"/>
  <c r="F372" i="33"/>
  <c r="J475" i="33"/>
  <c r="J87" i="33"/>
  <c r="D146" i="33"/>
  <c r="F306" i="33"/>
  <c r="F203" i="33"/>
  <c r="F121" i="33"/>
  <c r="J306" i="33"/>
  <c r="F32" i="33"/>
  <c r="J53" i="33"/>
  <c r="F76" i="33"/>
  <c r="F129" i="33"/>
  <c r="D225" i="33"/>
  <c r="E225" i="33" s="1"/>
  <c r="D317" i="33"/>
  <c r="J432" i="33"/>
  <c r="F424" i="33"/>
  <c r="J435" i="33"/>
  <c r="D444" i="33"/>
  <c r="E444" i="33" s="1"/>
  <c r="F470" i="33"/>
  <c r="D604" i="33"/>
  <c r="J508" i="33"/>
  <c r="J567" i="33"/>
  <c r="J591" i="33"/>
  <c r="F559" i="33"/>
  <c r="J537" i="33"/>
  <c r="D391" i="33"/>
  <c r="E391" i="33" s="1"/>
  <c r="J521" i="33"/>
  <c r="F578" i="33"/>
  <c r="J452" i="33"/>
  <c r="J396" i="33"/>
  <c r="D399" i="33"/>
  <c r="D469" i="33"/>
  <c r="E469" i="33" s="1"/>
  <c r="D516" i="33"/>
  <c r="E516" i="33" s="1"/>
  <c r="J530" i="33"/>
  <c r="J356" i="33"/>
  <c r="F472" i="33"/>
  <c r="D584" i="33"/>
  <c r="F409" i="33"/>
  <c r="J449" i="33"/>
  <c r="F463" i="33"/>
  <c r="J539" i="33"/>
  <c r="D650" i="33"/>
  <c r="E650" i="33" s="1"/>
  <c r="F658" i="33"/>
  <c r="F664" i="33"/>
  <c r="I664" i="33" s="1"/>
  <c r="J585" i="33"/>
  <c r="D608" i="33"/>
  <c r="J657" i="33"/>
  <c r="D599" i="33"/>
  <c r="E599" i="33" s="1"/>
  <c r="F665" i="33"/>
  <c r="J493" i="33"/>
  <c r="F642" i="33"/>
  <c r="D716" i="33"/>
  <c r="E716" i="33" s="1"/>
  <c r="F640" i="33"/>
  <c r="D306" i="33"/>
  <c r="H313" i="33" s="1"/>
  <c r="D230" i="33"/>
  <c r="E230" i="33" s="1"/>
  <c r="J366" i="33"/>
  <c r="J241" i="33"/>
  <c r="J653" i="33"/>
  <c r="F141" i="33"/>
  <c r="D538" i="33"/>
  <c r="J690" i="33"/>
  <c r="E808" i="33"/>
  <c r="D255" i="33"/>
  <c r="E255" i="33" s="1"/>
  <c r="D108" i="33"/>
  <c r="E108" i="33" s="1"/>
  <c r="D14" i="33"/>
  <c r="H21" i="33" s="1"/>
  <c r="D300" i="33"/>
  <c r="E300" i="33" s="1"/>
  <c r="D17" i="33"/>
  <c r="J28" i="33"/>
  <c r="D38" i="33"/>
  <c r="E38" i="33" s="1"/>
  <c r="D100" i="33"/>
  <c r="E100" i="33" s="1"/>
  <c r="F308" i="33"/>
  <c r="D204" i="33"/>
  <c r="F279" i="33"/>
  <c r="F375" i="33"/>
  <c r="J257" i="33"/>
  <c r="F340" i="33"/>
  <c r="I340" i="33" s="1"/>
  <c r="F484" i="33"/>
  <c r="J415" i="33"/>
  <c r="D504" i="33"/>
  <c r="E504" i="33" s="1"/>
  <c r="J380" i="33"/>
  <c r="J199" i="33"/>
  <c r="F263" i="33"/>
  <c r="F137" i="33"/>
  <c r="D193" i="33"/>
  <c r="E193" i="33" s="1"/>
  <c r="J331" i="33"/>
  <c r="J467" i="33"/>
  <c r="D48" i="33"/>
  <c r="E48" i="33" s="1"/>
  <c r="D199" i="33"/>
  <c r="E199" i="33" s="1"/>
  <c r="J265" i="33"/>
  <c r="J323" i="33"/>
  <c r="D372" i="33"/>
  <c r="E372" i="33" s="1"/>
  <c r="F475" i="33"/>
  <c r="I475" i="33" s="1"/>
  <c r="K475" i="33" s="1"/>
  <c r="M475" i="33" s="1"/>
  <c r="P475" i="33" s="1"/>
  <c r="D98" i="33"/>
  <c r="H105" i="33" s="1"/>
  <c r="F85" i="33"/>
  <c r="D137" i="33"/>
  <c r="E137" i="33" s="1"/>
  <c r="F210" i="33"/>
  <c r="J186" i="33"/>
  <c r="J19" i="33"/>
  <c r="D35" i="33"/>
  <c r="F132" i="33"/>
  <c r="F225" i="33"/>
  <c r="F282" i="33"/>
  <c r="D323" i="33"/>
  <c r="F376" i="33"/>
  <c r="D432" i="33"/>
  <c r="E432" i="33" s="1"/>
  <c r="F540" i="33"/>
  <c r="F429" i="33"/>
  <c r="J548" i="33"/>
  <c r="J590" i="33"/>
  <c r="D508" i="33"/>
  <c r="E508" i="33" s="1"/>
  <c r="F567" i="33"/>
  <c r="J559" i="33"/>
  <c r="D537" i="33"/>
  <c r="D392" i="33"/>
  <c r="E392" i="33" s="1"/>
  <c r="F521" i="33"/>
  <c r="D578" i="33"/>
  <c r="J471" i="33"/>
  <c r="J516" i="33"/>
  <c r="F530" i="33"/>
  <c r="J619" i="33"/>
  <c r="J367" i="33"/>
  <c r="F391" i="33"/>
  <c r="D412" i="33"/>
  <c r="E412" i="33" s="1"/>
  <c r="F453" i="33"/>
  <c r="F539" i="33"/>
  <c r="J658" i="33"/>
  <c r="J664" i="33"/>
  <c r="J681" i="33"/>
  <c r="F657" i="33"/>
  <c r="J557" i="33"/>
  <c r="J665" i="33"/>
  <c r="F385" i="33"/>
  <c r="J532" i="33"/>
  <c r="J551" i="33"/>
  <c r="D679" i="33"/>
  <c r="J600" i="33"/>
  <c r="F648" i="33"/>
  <c r="D709" i="33"/>
  <c r="E709" i="33" s="1"/>
  <c r="D629" i="33"/>
  <c r="H636" i="33" s="1"/>
  <c r="J696" i="33"/>
  <c r="D592" i="33"/>
  <c r="D636" i="33"/>
  <c r="E636" i="33" s="1"/>
  <c r="D651" i="33"/>
  <c r="E651" i="33" s="1"/>
  <c r="J694" i="33"/>
  <c r="F395" i="33"/>
  <c r="J242" i="33"/>
  <c r="D570" i="33"/>
  <c r="E570" i="33" s="1"/>
  <c r="D369" i="33"/>
  <c r="E369" i="33" s="1"/>
  <c r="J620" i="33"/>
  <c r="F253" i="33"/>
  <c r="D453" i="33"/>
  <c r="E453" i="33" s="1"/>
  <c r="D653" i="33"/>
  <c r="E653" i="33" s="1"/>
  <c r="D244" i="33"/>
  <c r="E244" i="33" s="1"/>
  <c r="F192" i="33"/>
  <c r="F322" i="33"/>
  <c r="I322" i="33" s="1"/>
  <c r="D547" i="33"/>
  <c r="E547" i="33" s="1"/>
  <c r="F768" i="33"/>
  <c r="J318" i="33"/>
  <c r="J268" i="33"/>
  <c r="D155" i="33"/>
  <c r="J191" i="33"/>
  <c r="J172" i="33"/>
  <c r="J46" i="33"/>
  <c r="J54" i="33"/>
  <c r="F138" i="33"/>
  <c r="F180" i="33"/>
  <c r="D192" i="33"/>
  <c r="E192" i="33" s="1"/>
  <c r="F297" i="33"/>
  <c r="F492" i="33"/>
  <c r="F79" i="33"/>
  <c r="J340" i="33"/>
  <c r="J355" i="33"/>
  <c r="D484" i="33"/>
  <c r="J292" i="33"/>
  <c r="F380" i="33"/>
  <c r="J197" i="33"/>
  <c r="F81" i="33"/>
  <c r="F140" i="33"/>
  <c r="I140" i="33" s="1"/>
  <c r="F431" i="33"/>
  <c r="D190" i="33"/>
  <c r="E190" i="33" s="1"/>
  <c r="D318" i="33"/>
  <c r="E318" i="33" s="1"/>
  <c r="F230" i="33"/>
  <c r="J48" i="33"/>
  <c r="D470" i="33"/>
  <c r="J786" i="33"/>
  <c r="J209" i="33"/>
  <c r="J371" i="33"/>
  <c r="D798" i="33"/>
  <c r="E798" i="33" s="1"/>
  <c r="J412" i="33"/>
  <c r="J155" i="33"/>
  <c r="F46" i="33"/>
  <c r="D92" i="33"/>
  <c r="E92" i="33" s="1"/>
  <c r="D44" i="33"/>
  <c r="E44" i="33" s="1"/>
  <c r="F54" i="33"/>
  <c r="I54" i="33" s="1"/>
  <c r="D180" i="33"/>
  <c r="E180" i="33" s="1"/>
  <c r="F410" i="33"/>
  <c r="J492" i="33"/>
  <c r="D99" i="33"/>
  <c r="J295" i="33"/>
  <c r="J377" i="33"/>
  <c r="J484" i="33"/>
  <c r="D415" i="33"/>
  <c r="E415" i="33" s="1"/>
  <c r="F504" i="33"/>
  <c r="D292" i="33"/>
  <c r="D43" i="33"/>
  <c r="E43" i="33" s="1"/>
  <c r="J289" i="33"/>
  <c r="F84" i="33"/>
  <c r="F162" i="33"/>
  <c r="J490" i="33"/>
  <c r="J387" i="33"/>
  <c r="D251" i="33"/>
  <c r="F620" i="33"/>
  <c r="D350" i="33"/>
  <c r="E350" i="33" s="1"/>
  <c r="D507" i="33"/>
  <c r="D344" i="33"/>
  <c r="H351" i="33" s="1"/>
  <c r="F816" i="33"/>
  <c r="I816" i="33" s="1"/>
  <c r="F427" i="33"/>
  <c r="F191" i="33"/>
  <c r="F172" i="33"/>
  <c r="F92" i="33"/>
  <c r="F44" i="33"/>
  <c r="F156" i="33"/>
  <c r="J75" i="33"/>
  <c r="J146" i="33"/>
  <c r="J192" i="33"/>
  <c r="J440" i="33"/>
  <c r="D492" i="33"/>
  <c r="J99" i="33"/>
  <c r="D322" i="33"/>
  <c r="D349" i="33"/>
  <c r="J423" i="33"/>
  <c r="F415" i="33"/>
  <c r="J504" i="33"/>
  <c r="F233" i="33"/>
  <c r="D84" i="33"/>
  <c r="J145" i="33"/>
  <c r="D285" i="33"/>
  <c r="F436" i="33"/>
  <c r="D554" i="33"/>
  <c r="J576" i="33"/>
  <c r="J394" i="33"/>
  <c r="D16" i="33"/>
  <c r="E16" i="33" s="1"/>
  <c r="F133" i="33"/>
  <c r="D295" i="33"/>
  <c r="F53" i="33"/>
  <c r="J163" i="33"/>
  <c r="F228" i="33"/>
  <c r="J267" i="33"/>
  <c r="F295" i="33"/>
  <c r="D331" i="33"/>
  <c r="E331" i="33" s="1"/>
  <c r="D527" i="33"/>
  <c r="E527" i="33" s="1"/>
  <c r="J91" i="33"/>
  <c r="J134" i="33"/>
  <c r="F201" i="33"/>
  <c r="D229" i="33"/>
  <c r="E229" i="33" s="1"/>
  <c r="D148" i="33"/>
  <c r="E148" i="33" s="1"/>
  <c r="F218" i="33"/>
  <c r="J235" i="33"/>
  <c r="J335" i="33"/>
  <c r="J21" i="33"/>
  <c r="D40" i="33"/>
  <c r="E40" i="33" s="1"/>
  <c r="D69" i="33"/>
  <c r="D112" i="33"/>
  <c r="E112" i="33" s="1"/>
  <c r="F232" i="33"/>
  <c r="J285" i="33"/>
  <c r="J378" i="33"/>
  <c r="D402" i="33"/>
  <c r="E402" i="33" s="1"/>
  <c r="J457" i="33"/>
  <c r="J491" i="33"/>
  <c r="D621" i="33"/>
  <c r="E621" i="33" s="1"/>
  <c r="J524" i="33"/>
  <c r="D364" i="33"/>
  <c r="E364" i="33" s="1"/>
  <c r="J616" i="33"/>
  <c r="D495" i="33"/>
  <c r="F482" i="33"/>
  <c r="F368" i="33"/>
  <c r="D405" i="33"/>
  <c r="F603" i="33"/>
  <c r="J675" i="33"/>
  <c r="J638" i="33"/>
  <c r="J659" i="33"/>
  <c r="J468" i="33"/>
  <c r="F655" i="33"/>
  <c r="F707" i="33"/>
  <c r="F389" i="33"/>
  <c r="J480" i="33"/>
  <c r="D497" i="33"/>
  <c r="H504" i="33" s="1"/>
  <c r="D541" i="33"/>
  <c r="D649" i="33"/>
  <c r="D674" i="33"/>
  <c r="E674" i="33" s="1"/>
  <c r="D697" i="33"/>
  <c r="E697" i="33" s="1"/>
  <c r="J673" i="33"/>
  <c r="D575" i="33"/>
  <c r="E575" i="33" s="1"/>
  <c r="F624" i="33"/>
  <c r="F542" i="33"/>
  <c r="F570" i="33"/>
  <c r="D647" i="33"/>
  <c r="J755" i="33"/>
  <c r="J613" i="33"/>
  <c r="J714" i="33"/>
  <c r="J699" i="33"/>
  <c r="D579" i="33"/>
  <c r="J460" i="33"/>
  <c r="F412" i="33"/>
  <c r="D341" i="33"/>
  <c r="J14" i="33"/>
  <c r="J125" i="33"/>
  <c r="D440" i="33"/>
  <c r="H447" i="33" s="1"/>
  <c r="D441" i="33"/>
  <c r="E441" i="33" s="1"/>
  <c r="F242" i="33"/>
  <c r="F70" i="33"/>
  <c r="D324" i="33"/>
  <c r="E324" i="33" s="1"/>
  <c r="J65" i="33"/>
  <c r="D167" i="33"/>
  <c r="F267" i="33"/>
  <c r="F527" i="33"/>
  <c r="J322" i="33"/>
  <c r="F235" i="33"/>
  <c r="J342" i="33"/>
  <c r="D265" i="33"/>
  <c r="E265" i="33" s="1"/>
  <c r="D540" i="33"/>
  <c r="H547" i="33" s="1"/>
  <c r="D429" i="33"/>
  <c r="E429" i="33" s="1"/>
  <c r="F604" i="33"/>
  <c r="D549" i="33"/>
  <c r="D368" i="33"/>
  <c r="E368" i="33" s="1"/>
  <c r="F616" i="33"/>
  <c r="J359" i="33"/>
  <c r="J469" i="33"/>
  <c r="J482" i="33"/>
  <c r="D530" i="33"/>
  <c r="E530" i="33" s="1"/>
  <c r="F367" i="33"/>
  <c r="J584" i="33"/>
  <c r="F405" i="33"/>
  <c r="D603" i="33"/>
  <c r="E603" i="33" s="1"/>
  <c r="D675" i="33"/>
  <c r="E675" i="33" s="1"/>
  <c r="F606" i="33"/>
  <c r="F659" i="33"/>
  <c r="D465" i="33"/>
  <c r="E465" i="33" s="1"/>
  <c r="D655" i="33"/>
  <c r="E655" i="33" s="1"/>
  <c r="J703" i="33"/>
  <c r="J654" i="33"/>
  <c r="F593" i="33"/>
  <c r="D617" i="33"/>
  <c r="H624" i="33" s="1"/>
  <c r="D602" i="33"/>
  <c r="F651" i="33"/>
  <c r="D755" i="33"/>
  <c r="E755" i="33" s="1"/>
  <c r="D763" i="33"/>
  <c r="E763" i="33" s="1"/>
  <c r="J623" i="33"/>
  <c r="F706" i="33"/>
  <c r="F759" i="33"/>
  <c r="D460" i="33"/>
  <c r="E460" i="33" s="1"/>
  <c r="D427" i="33"/>
  <c r="E427" i="33" s="1"/>
  <c r="D268" i="33"/>
  <c r="D172" i="33"/>
  <c r="J44" i="33"/>
  <c r="F404" i="33"/>
  <c r="J519" i="33"/>
  <c r="D141" i="33"/>
  <c r="F200" i="33"/>
  <c r="J376" i="33"/>
  <c r="F554" i="33"/>
  <c r="F181" i="33"/>
  <c r="D335" i="33"/>
  <c r="E335" i="33" s="1"/>
  <c r="F48" i="33"/>
  <c r="F134" i="33"/>
  <c r="J201" i="33"/>
  <c r="F324" i="33"/>
  <c r="D19" i="33"/>
  <c r="E19" i="33" s="1"/>
  <c r="D333" i="33"/>
  <c r="E333" i="33" s="1"/>
  <c r="J429" i="33"/>
  <c r="J448" i="33"/>
  <c r="F520" i="33"/>
  <c r="J604" i="33"/>
  <c r="F549" i="33"/>
  <c r="F369" i="33"/>
  <c r="F359" i="33"/>
  <c r="F471" i="33"/>
  <c r="I471" i="33" s="1"/>
  <c r="J393" i="33"/>
  <c r="J368" i="33"/>
  <c r="J405" i="33"/>
  <c r="J529" i="33"/>
  <c r="F608" i="33"/>
  <c r="F497" i="33"/>
  <c r="D551" i="33"/>
  <c r="E551" i="33" s="1"/>
  <c r="F674" i="33"/>
  <c r="F703" i="33"/>
  <c r="F654" i="33"/>
  <c r="J593" i="33"/>
  <c r="D686" i="33"/>
  <c r="J564" i="33"/>
  <c r="D605" i="33"/>
  <c r="H612" i="33" s="1"/>
  <c r="F755" i="33"/>
  <c r="I755" i="33" s="1"/>
  <c r="F774" i="33"/>
  <c r="D712" i="33"/>
  <c r="E712" i="33" s="1"/>
  <c r="F627" i="33"/>
  <c r="J677" i="33"/>
  <c r="F712" i="33"/>
  <c r="I712" i="33" s="1"/>
  <c r="F729" i="33"/>
  <c r="J749" i="33"/>
  <c r="F749" i="33"/>
  <c r="F775" i="33"/>
  <c r="J772" i="33"/>
  <c r="F750" i="33"/>
  <c r="D762" i="33"/>
  <c r="E762" i="33" s="1"/>
  <c r="F589" i="33"/>
  <c r="J212" i="33"/>
  <c r="J300" i="33"/>
  <c r="J38" i="33"/>
  <c r="F149" i="33"/>
  <c r="J263" i="33"/>
  <c r="J404" i="33"/>
  <c r="D519" i="33"/>
  <c r="F373" i="33"/>
  <c r="J253" i="33"/>
  <c r="F381" i="33"/>
  <c r="J554" i="33"/>
  <c r="J181" i="33"/>
  <c r="J196" i="33"/>
  <c r="J11" i="33"/>
  <c r="F95" i="33"/>
  <c r="D70" i="33"/>
  <c r="H77" i="33" s="1"/>
  <c r="J51" i="33"/>
  <c r="D65" i="33"/>
  <c r="F333" i="33"/>
  <c r="J431" i="33"/>
  <c r="F448" i="33"/>
  <c r="F548" i="33"/>
  <c r="J621" i="33"/>
  <c r="D641" i="33"/>
  <c r="E641" i="33" s="1"/>
  <c r="D616" i="33"/>
  <c r="D539" i="33"/>
  <c r="E539" i="33" s="1"/>
  <c r="D658" i="33"/>
  <c r="E658" i="33" s="1"/>
  <c r="D370" i="33"/>
  <c r="E370" i="33" s="1"/>
  <c r="F465" i="33"/>
  <c r="D659" i="33"/>
  <c r="E659" i="33" s="1"/>
  <c r="J595" i="33"/>
  <c r="D707" i="33"/>
  <c r="E707" i="33" s="1"/>
  <c r="D450" i="33"/>
  <c r="E450" i="33" s="1"/>
  <c r="D639" i="33"/>
  <c r="E639" i="33" s="1"/>
  <c r="J674" i="33"/>
  <c r="F663" i="33"/>
  <c r="I663" i="33" s="1"/>
  <c r="D673" i="33"/>
  <c r="H680" i="33" s="1"/>
  <c r="J570" i="33"/>
  <c r="J651" i="33"/>
  <c r="D774" i="33"/>
  <c r="E774" i="33" s="1"/>
  <c r="D690" i="33"/>
  <c r="J712" i="33"/>
  <c r="J766" i="33"/>
  <c r="D627" i="33"/>
  <c r="H634" i="33" s="1"/>
  <c r="D677" i="33"/>
  <c r="D689" i="33"/>
  <c r="E689" i="33" s="1"/>
  <c r="E816" i="33"/>
  <c r="F155" i="33"/>
  <c r="D151" i="33"/>
  <c r="D54" i="33"/>
  <c r="E54" i="33" s="1"/>
  <c r="J373" i="33"/>
  <c r="J129" i="33"/>
  <c r="J90" i="33"/>
  <c r="J228" i="33"/>
  <c r="F394" i="33"/>
  <c r="D11" i="33"/>
  <c r="D196" i="33"/>
  <c r="E196" i="33" s="1"/>
  <c r="J133" i="33"/>
  <c r="J395" i="33"/>
  <c r="D73" i="33"/>
  <c r="J116" i="33"/>
  <c r="D217" i="33"/>
  <c r="D730" i="33"/>
  <c r="H737" i="33" s="1"/>
  <c r="D191" i="33"/>
  <c r="E191" i="33" s="1"/>
  <c r="J92" i="33"/>
  <c r="F125" i="33"/>
  <c r="F197" i="33"/>
  <c r="I197" i="33" s="1"/>
  <c r="K197" i="33" s="1"/>
  <c r="M197" i="33" s="1"/>
  <c r="P197" i="33" s="1"/>
  <c r="F441" i="33"/>
  <c r="D79" i="33"/>
  <c r="E79" i="33" s="1"/>
  <c r="F240" i="33"/>
  <c r="D83" i="33"/>
  <c r="J309" i="33"/>
  <c r="J70" i="33"/>
  <c r="J319" i="33"/>
  <c r="D163" i="33"/>
  <c r="D267" i="33"/>
  <c r="E267" i="33" s="1"/>
  <c r="F323" i="33"/>
  <c r="J527" i="33"/>
  <c r="J95" i="33"/>
  <c r="J234" i="33"/>
  <c r="D134" i="33"/>
  <c r="E134" i="33" s="1"/>
  <c r="F148" i="33"/>
  <c r="D235" i="33"/>
  <c r="E235" i="33" s="1"/>
  <c r="D342" i="33"/>
  <c r="J111" i="33"/>
  <c r="D116" i="33"/>
  <c r="E116" i="33" s="1"/>
  <c r="J200" i="33"/>
  <c r="D378" i="33"/>
  <c r="E378" i="33" s="1"/>
  <c r="J540" i="33"/>
  <c r="J444" i="33"/>
  <c r="F491" i="33"/>
  <c r="D590" i="33"/>
  <c r="D524" i="33"/>
  <c r="E524" i="33" s="1"/>
  <c r="F428" i="33"/>
  <c r="D521" i="33"/>
  <c r="J578" i="33"/>
  <c r="F495" i="33"/>
  <c r="F469" i="33"/>
  <c r="D482" i="33"/>
  <c r="H489" i="33" s="1"/>
  <c r="D525" i="33"/>
  <c r="E525" i="33" s="1"/>
  <c r="D619" i="33"/>
  <c r="E619" i="33" s="1"/>
  <c r="F344" i="33"/>
  <c r="F399" i="33"/>
  <c r="J453" i="33"/>
  <c r="F675" i="33"/>
  <c r="J688" i="33"/>
  <c r="D442" i="33"/>
  <c r="J606" i="33"/>
  <c r="D638" i="33"/>
  <c r="E638" i="33" s="1"/>
  <c r="F493" i="33"/>
  <c r="J541" i="33"/>
  <c r="D703" i="33"/>
  <c r="E703" i="33" s="1"/>
  <c r="F626" i="33"/>
  <c r="F600" i="33"/>
  <c r="D648" i="33"/>
  <c r="D558" i="33"/>
  <c r="E558" i="33" s="1"/>
  <c r="F647" i="33"/>
  <c r="J774" i="33"/>
  <c r="J706" i="33"/>
  <c r="F763" i="33"/>
  <c r="D623" i="33"/>
  <c r="E623" i="33" s="1"/>
  <c r="D661" i="33"/>
  <c r="E661" i="33" s="1"/>
  <c r="D699" i="33"/>
  <c r="E699" i="33" s="1"/>
  <c r="J100" i="33"/>
  <c r="D423" i="33"/>
  <c r="E423" i="33" s="1"/>
  <c r="J233" i="33"/>
  <c r="F576" i="33"/>
  <c r="D394" i="33"/>
  <c r="E394" i="33" s="1"/>
  <c r="D210" i="33"/>
  <c r="E210" i="33" s="1"/>
  <c r="F90" i="33"/>
  <c r="D24" i="33"/>
  <c r="E24" i="33" s="1"/>
  <c r="J81" i="33"/>
  <c r="D282" i="33"/>
  <c r="E282" i="33" s="1"/>
  <c r="J402" i="33"/>
  <c r="J500" i="33"/>
  <c r="J409" i="33"/>
  <c r="J365" i="33"/>
  <c r="J463" i="33"/>
  <c r="J603" i="33"/>
  <c r="D681" i="33"/>
  <c r="D566" i="33"/>
  <c r="F595" i="33"/>
  <c r="J389" i="33"/>
  <c r="J538" i="33"/>
  <c r="J721" i="33"/>
  <c r="D626" i="33"/>
  <c r="E626" i="33" s="1"/>
  <c r="D593" i="33"/>
  <c r="E593" i="33" s="1"/>
  <c r="F694" i="33"/>
  <c r="F714" i="33"/>
  <c r="J661" i="33"/>
  <c r="F690" i="33"/>
  <c r="D759" i="33"/>
  <c r="E759" i="33" s="1"/>
  <c r="D720" i="33"/>
  <c r="E720" i="33" s="1"/>
  <c r="J718" i="33"/>
  <c r="D742" i="33"/>
  <c r="E742" i="33" s="1"/>
  <c r="F752" i="33"/>
  <c r="D780" i="33"/>
  <c r="E780" i="33" s="1"/>
  <c r="D727" i="33"/>
  <c r="E727" i="33" s="1"/>
  <c r="D738" i="33"/>
  <c r="F779" i="33"/>
  <c r="J782" i="33"/>
  <c r="F795" i="33"/>
  <c r="D779" i="33"/>
  <c r="E779" i="33" s="1"/>
  <c r="D796" i="33"/>
  <c r="E796" i="33" s="1"/>
  <c r="J814" i="33"/>
  <c r="F786" i="33"/>
  <c r="J803" i="33"/>
  <c r="E821" i="33"/>
  <c r="J792" i="33"/>
  <c r="F798" i="33"/>
  <c r="F811" i="33"/>
  <c r="F810" i="33"/>
  <c r="F805" i="33"/>
  <c r="I805" i="33" s="1"/>
  <c r="D228" i="33"/>
  <c r="H235" i="33" s="1"/>
  <c r="F579" i="33"/>
  <c r="F476" i="33"/>
  <c r="J556" i="33"/>
  <c r="F629" i="33"/>
  <c r="F761" i="33"/>
  <c r="J730" i="33"/>
  <c r="E814" i="33"/>
  <c r="F821" i="33"/>
  <c r="F571" i="33"/>
  <c r="J418" i="33"/>
  <c r="F733" i="33"/>
  <c r="J771" i="33"/>
  <c r="J764" i="33"/>
  <c r="F790" i="33"/>
  <c r="D794" i="33"/>
  <c r="E794" i="33" s="1"/>
  <c r="F808" i="33"/>
  <c r="J571" i="33"/>
  <c r="F650" i="33"/>
  <c r="J707" i="33"/>
  <c r="F575" i="33"/>
  <c r="J637" i="33"/>
  <c r="D784" i="33"/>
  <c r="E784" i="33" s="1"/>
  <c r="J795" i="33"/>
  <c r="J817" i="33"/>
  <c r="J550" i="33"/>
  <c r="D714" i="33"/>
  <c r="D753" i="33"/>
  <c r="D634" i="33"/>
  <c r="E634" i="33" s="1"/>
  <c r="F370" i="33"/>
  <c r="D156" i="33"/>
  <c r="E156" i="33" s="1"/>
  <c r="F257" i="33"/>
  <c r="I257" i="33" s="1"/>
  <c r="D576" i="33"/>
  <c r="E576" i="33" s="1"/>
  <c r="J503" i="33"/>
  <c r="F82" i="33"/>
  <c r="J231" i="33"/>
  <c r="F87" i="33"/>
  <c r="F229" i="33"/>
  <c r="J98" i="33"/>
  <c r="D133" i="33"/>
  <c r="E133" i="33" s="1"/>
  <c r="J37" i="33"/>
  <c r="J84" i="33"/>
  <c r="F432" i="33"/>
  <c r="D491" i="33"/>
  <c r="F452" i="33"/>
  <c r="F525" i="33"/>
  <c r="F681" i="33"/>
  <c r="D585" i="33"/>
  <c r="F599" i="33"/>
  <c r="F721" i="33"/>
  <c r="J670" i="33"/>
  <c r="J624" i="33"/>
  <c r="F631" i="33"/>
  <c r="J763" i="33"/>
  <c r="J759" i="33"/>
  <c r="J640" i="33"/>
  <c r="F722" i="33"/>
  <c r="D775" i="33"/>
  <c r="E775" i="33" s="1"/>
  <c r="D746" i="33"/>
  <c r="E746" i="33" s="1"/>
  <c r="J752" i="33"/>
  <c r="F762" i="33"/>
  <c r="J780" i="33"/>
  <c r="J727" i="33"/>
  <c r="F738" i="33"/>
  <c r="J796" i="33"/>
  <c r="J787" i="33"/>
  <c r="J821" i="33"/>
  <c r="F513" i="33"/>
  <c r="D553" i="33"/>
  <c r="H560" i="33" s="1"/>
  <c r="J642" i="33"/>
  <c r="D718" i="33"/>
  <c r="E718" i="33" s="1"/>
  <c r="F747" i="33"/>
  <c r="F719" i="33"/>
  <c r="D787" i="33"/>
  <c r="F365" i="33"/>
  <c r="F638" i="33"/>
  <c r="J682" i="33"/>
  <c r="J728" i="33"/>
  <c r="F789" i="33"/>
  <c r="F813" i="33"/>
  <c r="D365" i="33"/>
  <c r="E365" i="33" s="1"/>
  <c r="F666" i="33"/>
  <c r="D706" i="33"/>
  <c r="E706" i="33" s="1"/>
  <c r="F753" i="33"/>
  <c r="I753" i="33" s="1"/>
  <c r="J757" i="33"/>
  <c r="J761" i="33"/>
  <c r="F785" i="33"/>
  <c r="J794" i="33"/>
  <c r="F566" i="33"/>
  <c r="J671" i="33"/>
  <c r="D768" i="33"/>
  <c r="E768" i="33" s="1"/>
  <c r="F728" i="33"/>
  <c r="J810" i="33"/>
  <c r="J617" i="33"/>
  <c r="J255" i="33"/>
  <c r="J156" i="33"/>
  <c r="J436" i="33"/>
  <c r="D253" i="33"/>
  <c r="E253" i="33" s="1"/>
  <c r="D91" i="33"/>
  <c r="E91" i="33" s="1"/>
  <c r="D85" i="33"/>
  <c r="E85" i="33" s="1"/>
  <c r="J141" i="33"/>
  <c r="D513" i="33"/>
  <c r="D548" i="33"/>
  <c r="E548" i="33" s="1"/>
  <c r="J495" i="33"/>
  <c r="D476" i="33"/>
  <c r="D499" i="33"/>
  <c r="E499" i="33" s="1"/>
  <c r="J666" i="33"/>
  <c r="J599" i="33"/>
  <c r="J639" i="33"/>
  <c r="F673" i="33"/>
  <c r="D624" i="33"/>
  <c r="E624" i="33" s="1"/>
  <c r="J636" i="33"/>
  <c r="J725" i="33"/>
  <c r="D766" i="33"/>
  <c r="E766" i="33" s="1"/>
  <c r="D589" i="33"/>
  <c r="F718" i="33"/>
  <c r="J729" i="33"/>
  <c r="D722" i="33"/>
  <c r="J742" i="33"/>
  <c r="J746" i="33"/>
  <c r="D719" i="33"/>
  <c r="E719" i="33" s="1"/>
  <c r="F771" i="33"/>
  <c r="F764" i="33"/>
  <c r="F783" i="33"/>
  <c r="F730" i="33"/>
  <c r="J738" i="33"/>
  <c r="J790" i="33"/>
  <c r="F782" i="33"/>
  <c r="F814" i="33"/>
  <c r="D803" i="33"/>
  <c r="H810" i="33" s="1"/>
  <c r="E813" i="33"/>
  <c r="J372" i="33"/>
  <c r="D218" i="33"/>
  <c r="H225" i="33" s="1"/>
  <c r="J641" i="33"/>
  <c r="J499" i="33"/>
  <c r="J655" i="33"/>
  <c r="J679" i="33"/>
  <c r="F766" i="33"/>
  <c r="J747" i="33"/>
  <c r="J775" i="33"/>
  <c r="D785" i="33"/>
  <c r="E785" i="33" s="1"/>
  <c r="E819" i="33"/>
  <c r="J437" i="33"/>
  <c r="D472" i="33"/>
  <c r="E472" i="33" s="1"/>
  <c r="D642" i="33"/>
  <c r="H649" i="33" s="1"/>
  <c r="D725" i="33"/>
  <c r="E725" i="33" s="1"/>
  <c r="J622" i="33"/>
  <c r="D747" i="33"/>
  <c r="J687" i="33"/>
  <c r="D761" i="33"/>
  <c r="E761" i="33" s="1"/>
  <c r="J813" i="33"/>
  <c r="D409" i="33"/>
  <c r="H416" i="33" s="1"/>
  <c r="F371" i="33"/>
  <c r="F387" i="33"/>
  <c r="J649" i="33"/>
  <c r="D671" i="33"/>
  <c r="F699" i="33"/>
  <c r="F770" i="33"/>
  <c r="I770" i="33" s="1"/>
  <c r="D771" i="33"/>
  <c r="E771" i="33" s="1"/>
  <c r="J731" i="33"/>
  <c r="J789" i="33"/>
  <c r="D696" i="33"/>
  <c r="E696" i="33" s="1"/>
  <c r="J720" i="33"/>
  <c r="F741" i="33"/>
  <c r="J819" i="33"/>
  <c r="F516" i="33"/>
  <c r="J627" i="33"/>
  <c r="D289" i="33"/>
  <c r="F16" i="33"/>
  <c r="F437" i="33"/>
  <c r="F209" i="33"/>
  <c r="J689" i="33"/>
  <c r="J108" i="33"/>
  <c r="J343" i="33"/>
  <c r="D467" i="33"/>
  <c r="D376" i="33"/>
  <c r="E376" i="33" s="1"/>
  <c r="F98" i="33"/>
  <c r="J140" i="33"/>
  <c r="J579" i="33"/>
  <c r="F679" i="33"/>
  <c r="F817" i="33"/>
  <c r="J798" i="33"/>
  <c r="J73" i="33"/>
  <c r="F61" i="33"/>
  <c r="I61" i="33" s="1"/>
  <c r="J27" i="33"/>
  <c r="D240" i="33"/>
  <c r="F287" i="33"/>
  <c r="D27" i="33"/>
  <c r="E27" i="33" s="1"/>
  <c r="F21" i="33"/>
  <c r="F128" i="33"/>
  <c r="D381" i="33"/>
  <c r="F186" i="33"/>
  <c r="J314" i="33"/>
  <c r="J85" i="33"/>
  <c r="D159" i="33"/>
  <c r="E159" i="33" s="1"/>
  <c r="F590" i="33"/>
  <c r="D600" i="33"/>
  <c r="E600" i="33" s="1"/>
  <c r="J770" i="33"/>
  <c r="D241" i="33"/>
  <c r="H248" i="33" s="1"/>
  <c r="D46" i="33"/>
  <c r="E46" i="33" s="1"/>
  <c r="J349" i="33"/>
  <c r="J296" i="33"/>
  <c r="F309" i="33"/>
  <c r="F99" i="33"/>
  <c r="I99" i="33" s="1"/>
  <c r="J149" i="33"/>
  <c r="D475" i="33"/>
  <c r="D186" i="33"/>
  <c r="E186" i="33" s="1"/>
  <c r="D203" i="33"/>
  <c r="J121" i="33"/>
  <c r="D319" i="33"/>
  <c r="D189" i="33"/>
  <c r="E189" i="33" s="1"/>
  <c r="F274" i="33"/>
  <c r="F457" i="33"/>
  <c r="F621" i="33"/>
  <c r="D571" i="33"/>
  <c r="J697" i="33"/>
  <c r="D733" i="33"/>
  <c r="E733" i="33" s="1"/>
  <c r="D158" i="33"/>
  <c r="D377" i="33"/>
  <c r="E377" i="33" s="1"/>
  <c r="J17" i="33"/>
  <c r="J531" i="33"/>
  <c r="J148" i="33"/>
  <c r="D162" i="33"/>
  <c r="F234" i="33"/>
  <c r="J203" i="33"/>
  <c r="F145" i="33"/>
  <c r="F73" i="33"/>
  <c r="J470" i="33"/>
  <c r="D559" i="33"/>
  <c r="E559" i="33" s="1"/>
  <c r="D449" i="33"/>
  <c r="E449" i="33" s="1"/>
  <c r="F449" i="33"/>
  <c r="J566" i="33"/>
  <c r="J547" i="33"/>
  <c r="F386" i="33"/>
  <c r="D663" i="33"/>
  <c r="E663" i="33" s="1"/>
  <c r="F602" i="33"/>
  <c r="D694" i="33"/>
  <c r="E694" i="33" s="1"/>
  <c r="D613" i="33"/>
  <c r="E613" i="33" s="1"/>
  <c r="F689" i="33"/>
  <c r="J698" i="33"/>
  <c r="J753" i="33"/>
  <c r="F720" i="33"/>
  <c r="J634" i="33"/>
  <c r="F742" i="33"/>
  <c r="F757" i="33"/>
  <c r="F772" i="33"/>
  <c r="D728" i="33"/>
  <c r="E728" i="33" s="1"/>
  <c r="D750" i="33"/>
  <c r="J762" i="33"/>
  <c r="D783" i="33"/>
  <c r="E783" i="33" s="1"/>
  <c r="F780" i="33"/>
  <c r="F777" i="33"/>
  <c r="D795" i="33"/>
  <c r="E795" i="33" s="1"/>
  <c r="F796" i="33"/>
  <c r="D786" i="33"/>
  <c r="J811" i="33"/>
  <c r="E811" i="33"/>
  <c r="F803" i="33"/>
  <c r="I803" i="33" s="1"/>
  <c r="K803" i="33" s="1"/>
  <c r="M803" i="33" s="1"/>
  <c r="P803" i="33" s="1"/>
  <c r="E817" i="33"/>
  <c r="D436" i="33"/>
  <c r="J553" i="33"/>
  <c r="D666" i="33"/>
  <c r="F480" i="33"/>
  <c r="F725" i="33"/>
  <c r="D729" i="33"/>
  <c r="E729" i="33" s="1"/>
  <c r="F784" i="33"/>
  <c r="J808" i="33"/>
  <c r="F641" i="33"/>
  <c r="F562" i="33"/>
  <c r="D387" i="33"/>
  <c r="E387" i="33" s="1"/>
  <c r="J573" i="33"/>
  <c r="D770" i="33"/>
  <c r="E770" i="33" s="1"/>
  <c r="J784" i="33"/>
  <c r="J769" i="33"/>
  <c r="J760" i="33"/>
  <c r="E810" i="33"/>
  <c r="D591" i="33"/>
  <c r="E591" i="33" s="1"/>
  <c r="F418" i="33"/>
  <c r="F709" i="33"/>
  <c r="J768" i="33"/>
  <c r="J733" i="33"/>
  <c r="F769" i="33"/>
  <c r="J592" i="33"/>
  <c r="D749" i="33"/>
  <c r="E749" i="33" s="1"/>
  <c r="D757" i="33"/>
  <c r="J77" i="33"/>
  <c r="D398" i="33"/>
  <c r="E398" i="33" s="1"/>
  <c r="D428" i="33"/>
  <c r="E428" i="33" s="1"/>
  <c r="D334" i="33"/>
  <c r="E334" i="33" s="1"/>
  <c r="D276" i="33"/>
  <c r="E276" i="33" s="1"/>
  <c r="D389" i="33"/>
  <c r="E389" i="33" s="1"/>
  <c r="J715" i="33"/>
  <c r="J198" i="33"/>
  <c r="F634" i="33"/>
  <c r="F223" i="33"/>
  <c r="F623" i="33"/>
  <c r="D340" i="33"/>
  <c r="E340" i="33" s="1"/>
  <c r="F555" i="33"/>
  <c r="J385" i="33"/>
  <c r="D357" i="33"/>
  <c r="D468" i="33"/>
  <c r="E468" i="33" s="1"/>
  <c r="D574" i="33"/>
  <c r="E574" i="33" s="1"/>
  <c r="J388" i="33"/>
  <c r="J458" i="33"/>
  <c r="F185" i="33"/>
  <c r="D777" i="33"/>
  <c r="E777" i="33" s="1"/>
  <c r="D580" i="33"/>
  <c r="E580" i="33" s="1"/>
  <c r="D262" i="33"/>
  <c r="F613" i="33"/>
  <c r="F107" i="33"/>
  <c r="D420" i="33"/>
  <c r="F605" i="33"/>
  <c r="F622" i="33"/>
  <c r="F636" i="33"/>
  <c r="J778" i="33"/>
  <c r="D45" i="33"/>
  <c r="E45" i="33" s="1"/>
  <c r="D208" i="33"/>
  <c r="E208" i="33" s="1"/>
  <c r="J239" i="33"/>
  <c r="J127" i="33"/>
  <c r="J552" i="33"/>
  <c r="F101" i="33"/>
  <c r="D522" i="33"/>
  <c r="F72" i="33"/>
  <c r="J454" i="33"/>
  <c r="D336" i="33"/>
  <c r="E336" i="33" s="1"/>
  <c r="D110" i="33"/>
  <c r="E110" i="33" s="1"/>
  <c r="F194" i="33"/>
  <c r="F560" i="33"/>
  <c r="F55" i="33"/>
  <c r="J310" i="33"/>
  <c r="F136" i="33"/>
  <c r="D224" i="33"/>
  <c r="E224" i="33" s="1"/>
  <c r="F165" i="33"/>
  <c r="J815" i="33"/>
  <c r="D646" i="33"/>
  <c r="E646" i="33" s="1"/>
  <c r="J609" i="33"/>
  <c r="D510" i="33"/>
  <c r="F351" i="33"/>
  <c r="F266" i="33"/>
  <c r="D290" i="33"/>
  <c r="F735" i="33"/>
  <c r="J656" i="33"/>
  <c r="J751" i="33"/>
  <c r="J546" i="33"/>
  <c r="F438" i="33"/>
  <c r="D676" i="33"/>
  <c r="D78" i="33"/>
  <c r="D413" i="33"/>
  <c r="J176" i="33"/>
  <c r="D535" i="33"/>
  <c r="E535" i="33" s="1"/>
  <c r="J143" i="33"/>
  <c r="D58" i="33"/>
  <c r="E58" i="33" s="1"/>
  <c r="D320" i="33"/>
  <c r="E320" i="33" s="1"/>
  <c r="F41" i="33"/>
  <c r="D362" i="33"/>
  <c r="E362" i="33" s="1"/>
  <c r="F628" i="33"/>
  <c r="J120" i="33"/>
  <c r="D498" i="33"/>
  <c r="E498" i="33" s="1"/>
  <c r="J152" i="33"/>
  <c r="J63" i="33"/>
  <c r="F207" i="33"/>
  <c r="F672" i="33"/>
  <c r="D293" i="33"/>
  <c r="F660" i="33"/>
  <c r="J644" i="33"/>
  <c r="J374" i="33"/>
  <c r="D695" i="33"/>
  <c r="E695" i="33" s="1"/>
  <c r="F461" i="33"/>
  <c r="J528" i="33"/>
  <c r="J596" i="33"/>
  <c r="F407" i="33"/>
  <c r="D597" i="33"/>
  <c r="E597" i="33" s="1"/>
  <c r="D678" i="33"/>
  <c r="J321" i="33"/>
  <c r="D523" i="33"/>
  <c r="D202" i="33"/>
  <c r="E202" i="33" s="1"/>
  <c r="F88" i="33"/>
  <c r="J144" i="33"/>
  <c r="J214" i="33"/>
  <c r="F169" i="33"/>
  <c r="F109" i="33"/>
  <c r="D259" i="33"/>
  <c r="E259" i="33" s="1"/>
  <c r="D419" i="33"/>
  <c r="J301" i="33"/>
  <c r="F487" i="33"/>
  <c r="J161" i="33"/>
  <c r="F652" i="33"/>
  <c r="J307" i="33"/>
  <c r="F361" i="33"/>
  <c r="F563" i="33"/>
  <c r="F685" i="33"/>
  <c r="J433" i="33"/>
  <c r="J332" i="33"/>
  <c r="D294" i="33"/>
  <c r="D512" i="33"/>
  <c r="H519" i="33" s="1"/>
  <c r="J428" i="33"/>
  <c r="F334" i="33"/>
  <c r="J68" i="33"/>
  <c r="J276" i="33"/>
  <c r="F339" i="33"/>
  <c r="F435" i="33"/>
  <c r="D223" i="33"/>
  <c r="E223" i="33" s="1"/>
  <c r="J61" i="33"/>
  <c r="J442" i="33"/>
  <c r="D385" i="33"/>
  <c r="E385" i="33" s="1"/>
  <c r="J357" i="33"/>
  <c r="F468" i="33"/>
  <c r="F574" i="33"/>
  <c r="J103" i="33"/>
  <c r="D458" i="33"/>
  <c r="J185" i="33"/>
  <c r="D286" i="33"/>
  <c r="E286" i="33" s="1"/>
  <c r="J777" i="33"/>
  <c r="J580" i="33"/>
  <c r="J333" i="33"/>
  <c r="J805" i="33"/>
  <c r="F420" i="33"/>
  <c r="J60" i="33"/>
  <c r="D622" i="33"/>
  <c r="E622" i="33" s="1"/>
  <c r="J785" i="33"/>
  <c r="F778" i="33"/>
  <c r="J45" i="33"/>
  <c r="F208" i="33"/>
  <c r="F127" i="33"/>
  <c r="F552" i="33"/>
  <c r="J522" i="33"/>
  <c r="D72" i="33"/>
  <c r="D459" i="33"/>
  <c r="E459" i="33" s="1"/>
  <c r="F206" i="33"/>
  <c r="J667" i="33"/>
  <c r="F269" i="33"/>
  <c r="D52" i="33"/>
  <c r="E52" i="33" s="1"/>
  <c r="F66" i="33"/>
  <c r="F226" i="33"/>
  <c r="J110" i="33"/>
  <c r="J194" i="33"/>
  <c r="D754" i="33"/>
  <c r="E754" i="33" s="1"/>
  <c r="D560" i="33"/>
  <c r="E560" i="33" s="1"/>
  <c r="D55" i="33"/>
  <c r="D136" i="33"/>
  <c r="J477" i="33"/>
  <c r="J518" i="33"/>
  <c r="F646" i="33"/>
  <c r="F748" i="33"/>
  <c r="D351" i="33"/>
  <c r="E351" i="33" s="1"/>
  <c r="F147" i="33"/>
  <c r="J266" i="33"/>
  <c r="F804" i="33"/>
  <c r="I804" i="33" s="1"/>
  <c r="J807" i="33"/>
  <c r="D656" i="33"/>
  <c r="E656" i="33" s="1"/>
  <c r="J676" i="33"/>
  <c r="D275" i="33"/>
  <c r="E275" i="33" s="1"/>
  <c r="F543" i="33"/>
  <c r="J413" i="33"/>
  <c r="J494" i="33"/>
  <c r="D502" i="33"/>
  <c r="E502" i="33" s="1"/>
  <c r="F406" i="33"/>
  <c r="F58" i="33"/>
  <c r="D288" i="33"/>
  <c r="D41" i="33"/>
  <c r="E41" i="33" s="1"/>
  <c r="J362" i="33"/>
  <c r="J445" i="33"/>
  <c r="F120" i="33"/>
  <c r="J498" i="33"/>
  <c r="D691" i="33"/>
  <c r="H698" i="33" s="1"/>
  <c r="D416" i="33"/>
  <c r="E416" i="33" s="1"/>
  <c r="D173" i="33"/>
  <c r="F63" i="33"/>
  <c r="F153" i="33"/>
  <c r="D672" i="33"/>
  <c r="H679" i="33" s="1"/>
  <c r="J293" i="33"/>
  <c r="J660" i="33"/>
  <c r="J461" i="33"/>
  <c r="F598" i="33"/>
  <c r="D407" i="33"/>
  <c r="H414" i="33" s="1"/>
  <c r="F597" i="33"/>
  <c r="F332" i="33"/>
  <c r="D332" i="33"/>
  <c r="E332" i="33" s="1"/>
  <c r="F164" i="33"/>
  <c r="J512" i="33"/>
  <c r="J229" i="33"/>
  <c r="F583" i="33"/>
  <c r="D149" i="33"/>
  <c r="D339" i="33"/>
  <c r="E339" i="33" s="1"/>
  <c r="J744" i="33"/>
  <c r="F33" i="33"/>
  <c r="D61" i="33"/>
  <c r="E61" i="33" s="1"/>
  <c r="D772" i="33"/>
  <c r="E772" i="33" s="1"/>
  <c r="J223" i="33"/>
  <c r="F212" i="33"/>
  <c r="D764" i="33"/>
  <c r="E764" i="33" s="1"/>
  <c r="F442" i="33"/>
  <c r="D555" i="33"/>
  <c r="F22" i="33"/>
  <c r="F357" i="33"/>
  <c r="D94" i="33"/>
  <c r="D595" i="33"/>
  <c r="E595" i="33" s="1"/>
  <c r="F103" i="33"/>
  <c r="D29" i="33"/>
  <c r="E29" i="33" s="1"/>
  <c r="J188" i="33"/>
  <c r="F286" i="33"/>
  <c r="D586" i="33"/>
  <c r="J262" i="33"/>
  <c r="J107" i="33"/>
  <c r="J392" i="33"/>
  <c r="D359" i="33"/>
  <c r="E359" i="33" s="1"/>
  <c r="J254" i="33"/>
  <c r="J472" i="33"/>
  <c r="J208" i="33"/>
  <c r="D239" i="33"/>
  <c r="D127" i="33"/>
  <c r="D101" i="33"/>
  <c r="E101" i="33" s="1"/>
  <c r="F459" i="33"/>
  <c r="D206" i="33"/>
  <c r="D667" i="33"/>
  <c r="E667" i="33" s="1"/>
  <c r="D454" i="33"/>
  <c r="J430" i="33"/>
  <c r="J269" i="33"/>
  <c r="D36" i="33"/>
  <c r="E36" i="33" s="1"/>
  <c r="F52" i="33"/>
  <c r="J66" i="33"/>
  <c r="J226" i="33"/>
  <c r="D195" i="33"/>
  <c r="E195" i="33" s="1"/>
  <c r="D299" i="33"/>
  <c r="D194" i="33"/>
  <c r="E194" i="33" s="1"/>
  <c r="F754" i="33"/>
  <c r="J55" i="33"/>
  <c r="F310" i="33"/>
  <c r="J136" i="33"/>
  <c r="J224" i="33"/>
  <c r="J561" i="33"/>
  <c r="D106" i="33"/>
  <c r="E106" i="33" s="1"/>
  <c r="D165" i="33"/>
  <c r="J806" i="33"/>
  <c r="D609" i="33"/>
  <c r="E609" i="33" s="1"/>
  <c r="D748" i="33"/>
  <c r="E748" i="33" s="1"/>
  <c r="J446" i="33"/>
  <c r="J351" i="33"/>
  <c r="J514" i="33"/>
  <c r="F360" i="33"/>
  <c r="D266" i="33"/>
  <c r="E266" i="33" s="1"/>
  <c r="D804" i="33"/>
  <c r="H811" i="33" s="1"/>
  <c r="F807" i="33"/>
  <c r="I807" i="33" s="1"/>
  <c r="D582" i="33"/>
  <c r="E582" i="33" s="1"/>
  <c r="J702" i="33"/>
  <c r="F546" i="33"/>
  <c r="J488" i="33"/>
  <c r="J275" i="33"/>
  <c r="J543" i="33"/>
  <c r="D494" i="33"/>
  <c r="D216" i="33"/>
  <c r="H223" i="33" s="1"/>
  <c r="F143" i="33"/>
  <c r="D10" i="33"/>
  <c r="H17" i="33" s="1"/>
  <c r="J354" i="33"/>
  <c r="J288" i="33"/>
  <c r="J182" i="33"/>
  <c r="F362" i="33"/>
  <c r="D445" i="33"/>
  <c r="E445" i="33" s="1"/>
  <c r="J496" i="33"/>
  <c r="F498" i="33"/>
  <c r="D740" i="33"/>
  <c r="H747" i="33" s="1"/>
  <c r="F152" i="33"/>
  <c r="F15" i="33"/>
  <c r="F93" i="33"/>
  <c r="D63" i="33"/>
  <c r="J113" i="33"/>
  <c r="J672" i="33"/>
  <c r="F374" i="33"/>
  <c r="F695" i="33"/>
  <c r="D598" i="33"/>
  <c r="E598" i="33" s="1"/>
  <c r="F486" i="33"/>
  <c r="J400" i="33"/>
  <c r="F596" i="33"/>
  <c r="J597" i="33"/>
  <c r="J505" i="33"/>
  <c r="D115" i="33"/>
  <c r="E115" i="33" s="1"/>
  <c r="F439" i="33"/>
  <c r="J139" i="33"/>
  <c r="J256" i="33"/>
  <c r="F214" i="33"/>
  <c r="D219" i="33"/>
  <c r="E219" i="33" s="1"/>
  <c r="J294" i="33"/>
  <c r="D164" i="33"/>
  <c r="D606" i="33"/>
  <c r="E606" i="33" s="1"/>
  <c r="J465" i="33"/>
  <c r="F260" i="33"/>
  <c r="D132" i="33"/>
  <c r="J583" i="33"/>
  <c r="F558" i="33"/>
  <c r="D379" i="33"/>
  <c r="D33" i="33"/>
  <c r="E33" i="33" s="1"/>
  <c r="D212" i="33"/>
  <c r="J581" i="33"/>
  <c r="J341" i="33"/>
  <c r="J542" i="33"/>
  <c r="D789" i="33"/>
  <c r="D569" i="33"/>
  <c r="E569" i="33" s="1"/>
  <c r="J240" i="33"/>
  <c r="F29" i="33"/>
  <c r="D22" i="33"/>
  <c r="F500" i="33"/>
  <c r="F262" i="33"/>
  <c r="D140" i="33"/>
  <c r="E140" i="33" s="1"/>
  <c r="D670" i="33"/>
  <c r="E670" i="33" s="1"/>
  <c r="F661" i="33"/>
  <c r="D60" i="33"/>
  <c r="E60" i="33" s="1"/>
  <c r="J210" i="33"/>
  <c r="D77" i="33"/>
  <c r="F294" i="33"/>
  <c r="J164" i="33"/>
  <c r="F268" i="33"/>
  <c r="J260" i="33"/>
  <c r="J132" i="33"/>
  <c r="D583" i="33"/>
  <c r="J558" i="33"/>
  <c r="D744" i="33"/>
  <c r="H751" i="33" s="1"/>
  <c r="J33" i="33"/>
  <c r="F341" i="33"/>
  <c r="J773" i="33"/>
  <c r="J800" i="33"/>
  <c r="D542" i="33"/>
  <c r="J631" i="33"/>
  <c r="J569" i="33"/>
  <c r="F781" i="33"/>
  <c r="D637" i="33"/>
  <c r="E637" i="33" s="1"/>
  <c r="F94" i="33"/>
  <c r="D37" i="33"/>
  <c r="D103" i="33"/>
  <c r="E103" i="33" s="1"/>
  <c r="J29" i="33"/>
  <c r="F188" i="33"/>
  <c r="J417" i="33"/>
  <c r="F586" i="33"/>
  <c r="J384" i="33"/>
  <c r="D128" i="33"/>
  <c r="D76" i="33"/>
  <c r="J383" i="33"/>
  <c r="F60" i="33"/>
  <c r="J797" i="33"/>
  <c r="D481" i="33"/>
  <c r="J219" i="33"/>
  <c r="D166" i="33"/>
  <c r="J151" i="33"/>
  <c r="J626" i="33"/>
  <c r="D688" i="33"/>
  <c r="D260" i="33"/>
  <c r="E260" i="33" s="1"/>
  <c r="F573" i="33"/>
  <c r="F379" i="33"/>
  <c r="F744" i="33"/>
  <c r="D198" i="33"/>
  <c r="E198" i="33" s="1"/>
  <c r="D581" i="33"/>
  <c r="E581" i="33" s="1"/>
  <c r="F773" i="33"/>
  <c r="D800" i="33"/>
  <c r="E800" i="33" s="1"/>
  <c r="F317" i="33"/>
  <c r="D631" i="33"/>
  <c r="E631" i="33" s="1"/>
  <c r="F569" i="33"/>
  <c r="J781" i="33"/>
  <c r="F637" i="33"/>
  <c r="J94" i="33"/>
  <c r="D396" i="33"/>
  <c r="E396" i="33" s="1"/>
  <c r="D188" i="33"/>
  <c r="J586" i="33"/>
  <c r="F384" i="33"/>
  <c r="J128" i="33"/>
  <c r="F219" i="33"/>
  <c r="J398" i="33"/>
  <c r="J166" i="33"/>
  <c r="F151" i="33"/>
  <c r="J719" i="33"/>
  <c r="F688" i="33"/>
  <c r="D68" i="33"/>
  <c r="H75" i="33" s="1"/>
  <c r="F276" i="33"/>
  <c r="J379" i="33"/>
  <c r="F715" i="33"/>
  <c r="F499" i="33"/>
  <c r="F581" i="33"/>
  <c r="D773" i="33"/>
  <c r="E773" i="33" s="1"/>
  <c r="D752" i="33"/>
  <c r="D781" i="33"/>
  <c r="E781" i="33" s="1"/>
  <c r="D790" i="33"/>
  <c r="E790" i="33" s="1"/>
  <c r="D388" i="33"/>
  <c r="E388" i="33" s="1"/>
  <c r="D185" i="33"/>
  <c r="E185" i="33" s="1"/>
  <c r="F292" i="33"/>
  <c r="D417" i="33"/>
  <c r="E417" i="33" s="1"/>
  <c r="F746" i="33"/>
  <c r="J76" i="33"/>
  <c r="F383" i="33"/>
  <c r="F348" i="33"/>
  <c r="J605" i="33"/>
  <c r="F425" i="33"/>
  <c r="F797" i="33"/>
  <c r="F481" i="33"/>
  <c r="D778" i="33"/>
  <c r="E778" i="33" s="1"/>
  <c r="F283" i="33"/>
  <c r="F347" i="33"/>
  <c r="J170" i="33"/>
  <c r="F130" i="33"/>
  <c r="D20" i="33"/>
  <c r="J258" i="33"/>
  <c r="F352" i="33"/>
  <c r="D479" i="33"/>
  <c r="H486" i="33" s="1"/>
  <c r="F336" i="33"/>
  <c r="D39" i="33"/>
  <c r="E39" i="33" s="1"/>
  <c r="J327" i="33"/>
  <c r="F291" i="33"/>
  <c r="F18" i="33"/>
  <c r="F477" i="33"/>
  <c r="F119" i="33"/>
  <c r="I119" i="33" s="1"/>
  <c r="F518" i="33"/>
  <c r="I518" i="33" s="1"/>
  <c r="E815" i="33"/>
  <c r="F708" i="33"/>
  <c r="I708" i="33" s="1"/>
  <c r="J510" i="33"/>
  <c r="J330" i="33"/>
  <c r="F403" i="33"/>
  <c r="D147" i="33"/>
  <c r="E147" i="33" s="1"/>
  <c r="J80" i="33"/>
  <c r="F290" i="33"/>
  <c r="J588" i="33"/>
  <c r="D751" i="33"/>
  <c r="D701" i="33"/>
  <c r="E701" i="33" s="1"/>
  <c r="D382" i="33"/>
  <c r="J438" i="33"/>
  <c r="D485" i="33"/>
  <c r="E485" i="33" s="1"/>
  <c r="F615" i="33"/>
  <c r="J78" i="33"/>
  <c r="F413" i="33"/>
  <c r="D544" i="33"/>
  <c r="F176" i="33"/>
  <c r="I176" i="33" s="1"/>
  <c r="F535" i="33"/>
  <c r="J406" i="33"/>
  <c r="J320" i="33"/>
  <c r="J41" i="33"/>
  <c r="D175" i="33"/>
  <c r="J628" i="33"/>
  <c r="F358" i="33"/>
  <c r="F691" i="33"/>
  <c r="F416" i="33"/>
  <c r="F56" i="33"/>
  <c r="J34" i="33"/>
  <c r="F173" i="33"/>
  <c r="D153" i="33"/>
  <c r="F684" i="33"/>
  <c r="D644" i="33"/>
  <c r="E644" i="33" s="1"/>
  <c r="J632" i="33"/>
  <c r="J509" i="33"/>
  <c r="F528" i="33"/>
  <c r="F705" i="33"/>
  <c r="F533" i="33"/>
  <c r="D680" i="33"/>
  <c r="E680" i="33" s="1"/>
  <c r="D618" i="33"/>
  <c r="H625" i="33" s="1"/>
  <c r="F678" i="33"/>
  <c r="F455" i="33"/>
  <c r="D474" i="33"/>
  <c r="F202" i="33"/>
  <c r="D88" i="33"/>
  <c r="E88" i="33" s="1"/>
  <c r="F144" i="33"/>
  <c r="F77" i="33"/>
  <c r="F800" i="33"/>
  <c r="F396" i="33"/>
  <c r="D383" i="33"/>
  <c r="E383" i="33" s="1"/>
  <c r="D797" i="33"/>
  <c r="E797" i="33" s="1"/>
  <c r="J283" i="33"/>
  <c r="D347" i="33"/>
  <c r="E347" i="33" s="1"/>
  <c r="D269" i="33"/>
  <c r="H276" i="33" s="1"/>
  <c r="F327" i="33"/>
  <c r="D248" i="33"/>
  <c r="E248" i="33" s="1"/>
  <c r="J443" i="33"/>
  <c r="J545" i="33"/>
  <c r="F205" i="33"/>
  <c r="F97" i="33"/>
  <c r="J119" i="33"/>
  <c r="F466" i="33"/>
  <c r="D330" i="33"/>
  <c r="D514" i="33"/>
  <c r="F80" i="33"/>
  <c r="J804" i="33"/>
  <c r="F582" i="33"/>
  <c r="J517" i="33"/>
  <c r="F275" i="33"/>
  <c r="J544" i="33"/>
  <c r="J502" i="33"/>
  <c r="F10" i="33"/>
  <c r="I10" i="33" s="1"/>
  <c r="F288" i="33"/>
  <c r="J358" i="33"/>
  <c r="F740" i="33"/>
  <c r="F113" i="33"/>
  <c r="J501" i="33"/>
  <c r="D684" i="33"/>
  <c r="F462" i="33"/>
  <c r="D486" i="33"/>
  <c r="J533" i="33"/>
  <c r="F601" i="33"/>
  <c r="F115" i="33"/>
  <c r="J439" i="33"/>
  <c r="J88" i="33"/>
  <c r="F346" i="33"/>
  <c r="I346" i="33" s="1"/>
  <c r="D312" i="33"/>
  <c r="F246" i="33"/>
  <c r="J652" i="33"/>
  <c r="D307" i="33"/>
  <c r="E307" i="33" s="1"/>
  <c r="J614" i="33"/>
  <c r="J211" i="33"/>
  <c r="J700" i="33"/>
  <c r="F643" i="33"/>
  <c r="J536" i="33"/>
  <c r="J261" i="33"/>
  <c r="E820" i="33"/>
  <c r="D791" i="33"/>
  <c r="E791" i="33" s="1"/>
  <c r="D724" i="33"/>
  <c r="E724" i="33" s="1"/>
  <c r="F710" i="33"/>
  <c r="D743" i="33"/>
  <c r="F745" i="33"/>
  <c r="F526" i="33"/>
  <c r="D243" i="33"/>
  <c r="E243" i="33" s="1"/>
  <c r="J451" i="33"/>
  <c r="F89" i="33"/>
  <c r="J237" i="33"/>
  <c r="D456" i="33"/>
  <c r="D118" i="33"/>
  <c r="E118" i="33" s="1"/>
  <c r="D713" i="33"/>
  <c r="E713" i="33" s="1"/>
  <c r="F809" i="33"/>
  <c r="J704" i="33"/>
  <c r="D511" i="33"/>
  <c r="E511" i="33" s="1"/>
  <c r="J478" i="33"/>
  <c r="D737" i="33"/>
  <c r="H744" i="33" s="1"/>
  <c r="D568" i="33"/>
  <c r="E568" i="33" s="1"/>
  <c r="J717" i="33"/>
  <c r="J662" i="33"/>
  <c r="D572" i="33"/>
  <c r="J96" i="33"/>
  <c r="J818" i="33"/>
  <c r="J732" i="33"/>
  <c r="J397" i="33"/>
  <c r="D635" i="33"/>
  <c r="F464" i="33"/>
  <c r="J625" i="33"/>
  <c r="D86" i="33"/>
  <c r="E86" i="33" s="1"/>
  <c r="F23" i="33"/>
  <c r="J303" i="33"/>
  <c r="J42" i="33"/>
  <c r="J298" i="33"/>
  <c r="J515" i="33"/>
  <c r="D157" i="33"/>
  <c r="J126" i="33"/>
  <c r="F788" i="33"/>
  <c r="J791" i="33"/>
  <c r="F594" i="33"/>
  <c r="J135" i="33"/>
  <c r="D114" i="33"/>
  <c r="E114" i="33" s="1"/>
  <c r="D64" i="33"/>
  <c r="F398" i="33"/>
  <c r="J339" i="33"/>
  <c r="J317" i="33"/>
  <c r="D348" i="33"/>
  <c r="E348" i="33" s="1"/>
  <c r="J481" i="33"/>
  <c r="J347" i="33"/>
  <c r="J130" i="33"/>
  <c r="F258" i="33"/>
  <c r="I258" i="33" s="1"/>
  <c r="F479" i="33"/>
  <c r="I479" i="33" s="1"/>
  <c r="F39" i="33"/>
  <c r="D327" i="33"/>
  <c r="E327" i="33" s="1"/>
  <c r="J248" i="33"/>
  <c r="F443" i="33"/>
  <c r="D545" i="33"/>
  <c r="J205" i="33"/>
  <c r="D97" i="33"/>
  <c r="E97" i="33" s="1"/>
  <c r="D119" i="33"/>
  <c r="E119" i="33" s="1"/>
  <c r="D466" i="33"/>
  <c r="E466" i="33" s="1"/>
  <c r="D708" i="33"/>
  <c r="D403" i="33"/>
  <c r="D80" i="33"/>
  <c r="D735" i="33"/>
  <c r="J582" i="33"/>
  <c r="J382" i="33"/>
  <c r="D517" i="33"/>
  <c r="E517" i="33" s="1"/>
  <c r="J485" i="33"/>
  <c r="F544" i="33"/>
  <c r="F216" i="33"/>
  <c r="D358" i="33"/>
  <c r="E358" i="33" s="1"/>
  <c r="D34" i="33"/>
  <c r="E34" i="33" s="1"/>
  <c r="J93" i="33"/>
  <c r="D113" i="33"/>
  <c r="E113" i="33" s="1"/>
  <c r="D501" i="33"/>
  <c r="E501" i="33" s="1"/>
  <c r="J684" i="33"/>
  <c r="D462" i="33"/>
  <c r="E462" i="33" s="1"/>
  <c r="D509" i="33"/>
  <c r="D705" i="33"/>
  <c r="E705" i="33" s="1"/>
  <c r="D601" i="33"/>
  <c r="E601" i="33" s="1"/>
  <c r="D321" i="33"/>
  <c r="E321" i="33" s="1"/>
  <c r="J115" i="33"/>
  <c r="D439" i="33"/>
  <c r="J312" i="33"/>
  <c r="J109" i="33"/>
  <c r="F259" i="33"/>
  <c r="F419" i="33"/>
  <c r="D246" i="33"/>
  <c r="E246" i="33" s="1"/>
  <c r="F614" i="33"/>
  <c r="D700" i="33"/>
  <c r="E700" i="33" s="1"/>
  <c r="J643" i="33"/>
  <c r="D633" i="33"/>
  <c r="F791" i="33"/>
  <c r="F724" i="33"/>
  <c r="F668" i="33"/>
  <c r="I668" i="33" s="1"/>
  <c r="J736" i="33"/>
  <c r="J594" i="33"/>
  <c r="F743" i="33"/>
  <c r="F765" i="33"/>
  <c r="D612" i="33"/>
  <c r="E612" i="33" s="1"/>
  <c r="J526" i="33"/>
  <c r="J243" i="33"/>
  <c r="F227" i="33"/>
  <c r="F131" i="33"/>
  <c r="F67" i="33"/>
  <c r="D25" i="33"/>
  <c r="D271" i="33"/>
  <c r="F105" i="33"/>
  <c r="F278" i="33"/>
  <c r="J118" i="33"/>
  <c r="J809" i="33"/>
  <c r="F704" i="33"/>
  <c r="J693" i="33"/>
  <c r="J414" i="33"/>
  <c r="F756" i="33"/>
  <c r="F683" i="33"/>
  <c r="F662" i="33"/>
  <c r="F150" i="33"/>
  <c r="J390" i="33"/>
  <c r="D489" i="33"/>
  <c r="E489" i="33" s="1"/>
  <c r="D625" i="33"/>
  <c r="E625" i="33" s="1"/>
  <c r="D23" i="33"/>
  <c r="F42" i="33"/>
  <c r="D50" i="33"/>
  <c r="E50" i="33" s="1"/>
  <c r="F363" i="33"/>
  <c r="D298" i="33"/>
  <c r="J157" i="33"/>
  <c r="F238" i="33"/>
  <c r="D338" i="33"/>
  <c r="E338" i="33" s="1"/>
  <c r="J345" i="33"/>
  <c r="D461" i="33"/>
  <c r="E461" i="33" s="1"/>
  <c r="D169" i="33"/>
  <c r="E169" i="33" s="1"/>
  <c r="J611" i="33"/>
  <c r="D645" i="33"/>
  <c r="H652" i="33" s="1"/>
  <c r="F277" i="33"/>
  <c r="J105" i="33"/>
  <c r="F713" i="33"/>
  <c r="F166" i="33"/>
  <c r="F677" i="33"/>
  <c r="J555" i="33"/>
  <c r="J286" i="33"/>
  <c r="J420" i="33"/>
  <c r="D529" i="33"/>
  <c r="E529" i="33" s="1"/>
  <c r="D130" i="33"/>
  <c r="F522" i="33"/>
  <c r="D258" i="33"/>
  <c r="E258" i="33" s="1"/>
  <c r="F667" i="33"/>
  <c r="J39" i="33"/>
  <c r="F248" i="33"/>
  <c r="F545" i="33"/>
  <c r="D205" i="33"/>
  <c r="J97" i="33"/>
  <c r="F815" i="33"/>
  <c r="I815" i="33" s="1"/>
  <c r="K815" i="33" s="1"/>
  <c r="M815" i="33" s="1"/>
  <c r="P815" i="33" s="1"/>
  <c r="F609" i="33"/>
  <c r="F330" i="33"/>
  <c r="J403" i="33"/>
  <c r="J735" i="33"/>
  <c r="F656" i="33"/>
  <c r="F751" i="33"/>
  <c r="F382" i="33"/>
  <c r="F676" i="33"/>
  <c r="F78" i="33"/>
  <c r="F494" i="33"/>
  <c r="J535" i="33"/>
  <c r="F445" i="33"/>
  <c r="D628" i="33"/>
  <c r="J416" i="33"/>
  <c r="F34" i="33"/>
  <c r="J153" i="33"/>
  <c r="F293" i="33"/>
  <c r="D374" i="33"/>
  <c r="E374" i="33" s="1"/>
  <c r="D528" i="33"/>
  <c r="E528" i="33" s="1"/>
  <c r="J705" i="33"/>
  <c r="J407" i="33"/>
  <c r="J601" i="33"/>
  <c r="J678" i="33"/>
  <c r="F321" i="33"/>
  <c r="D256" i="33"/>
  <c r="D346" i="33"/>
  <c r="E346" i="33" s="1"/>
  <c r="F312" i="33"/>
  <c r="J259" i="33"/>
  <c r="J487" i="33"/>
  <c r="F161" i="33"/>
  <c r="D652" i="33"/>
  <c r="E652" i="33" s="1"/>
  <c r="F307" i="33"/>
  <c r="D614" i="33"/>
  <c r="F211" i="33"/>
  <c r="F700" i="33"/>
  <c r="D643" i="33"/>
  <c r="F433" i="33"/>
  <c r="J820" i="33"/>
  <c r="J724" i="33"/>
  <c r="D668" i="33"/>
  <c r="J645" i="33"/>
  <c r="D577" i="33"/>
  <c r="D745" i="33"/>
  <c r="E745" i="33" s="1"/>
  <c r="J612" i="33"/>
  <c r="F243" i="33"/>
  <c r="F451" i="33"/>
  <c r="J227" i="33"/>
  <c r="J131" i="33"/>
  <c r="J67" i="33"/>
  <c r="J62" i="33"/>
  <c r="D26" i="33"/>
  <c r="F271" i="33"/>
  <c r="D237" i="33"/>
  <c r="H244" i="33" s="1"/>
  <c r="D105" i="33"/>
  <c r="E105" i="33" s="1"/>
  <c r="F114" i="33"/>
  <c r="I114" i="33" s="1"/>
  <c r="D278" i="33"/>
  <c r="E278" i="33" s="1"/>
  <c r="J713" i="33"/>
  <c r="E809" i="33"/>
  <c r="D704" i="33"/>
  <c r="E704" i="33" s="1"/>
  <c r="D693" i="33"/>
  <c r="E693" i="33" s="1"/>
  <c r="J756" i="33"/>
  <c r="J683" i="33"/>
  <c r="D607" i="33"/>
  <c r="E607" i="33" s="1"/>
  <c r="F717" i="33"/>
  <c r="D662" i="33"/>
  <c r="E662" i="33" s="1"/>
  <c r="D150" i="33"/>
  <c r="E150" i="33" s="1"/>
  <c r="F96" i="33"/>
  <c r="F422" i="33"/>
  <c r="J669" i="33"/>
  <c r="F732" i="33"/>
  <c r="I732" i="33" s="1"/>
  <c r="K732" i="33" s="1"/>
  <c r="M732" i="33" s="1"/>
  <c r="P732" i="33" s="1"/>
  <c r="J635" i="33"/>
  <c r="J473" i="33"/>
  <c r="D303" i="33"/>
  <c r="E303" i="33" s="1"/>
  <c r="J50" i="33"/>
  <c r="D15" i="33"/>
  <c r="E15" i="33" s="1"/>
  <c r="D767" i="33"/>
  <c r="E767" i="33" s="1"/>
  <c r="J523" i="33"/>
  <c r="J346" i="33"/>
  <c r="D487" i="33"/>
  <c r="J685" i="33"/>
  <c r="D736" i="33"/>
  <c r="H743" i="33" s="1"/>
  <c r="D184" i="33"/>
  <c r="D799" i="33"/>
  <c r="E799" i="33" s="1"/>
  <c r="D715" i="33"/>
  <c r="E715" i="33" s="1"/>
  <c r="J750" i="33"/>
  <c r="F417" i="33"/>
  <c r="J525" i="33"/>
  <c r="F45" i="33"/>
  <c r="F239" i="33"/>
  <c r="D552" i="33"/>
  <c r="J459" i="33"/>
  <c r="J352" i="33"/>
  <c r="F430" i="33"/>
  <c r="F36" i="33"/>
  <c r="D66" i="33"/>
  <c r="J299" i="33"/>
  <c r="J754" i="33"/>
  <c r="J106" i="33"/>
  <c r="D446" i="33"/>
  <c r="E446" i="33" s="1"/>
  <c r="D360" i="33"/>
  <c r="E360" i="33" s="1"/>
  <c r="F801" i="33"/>
  <c r="D702" i="33"/>
  <c r="E702" i="33" s="1"/>
  <c r="D488" i="33"/>
  <c r="D615" i="33"/>
  <c r="E615" i="33" s="1"/>
  <c r="D543" i="33"/>
  <c r="D143" i="33"/>
  <c r="F354" i="33"/>
  <c r="D56" i="33"/>
  <c r="E56" i="33" s="1"/>
  <c r="D400" i="33"/>
  <c r="E400" i="33" s="1"/>
  <c r="F512" i="33"/>
  <c r="F198" i="33"/>
  <c r="J602" i="33"/>
  <c r="F580" i="33"/>
  <c r="F254" i="33"/>
  <c r="D123" i="33"/>
  <c r="E123" i="33" s="1"/>
  <c r="D430" i="33"/>
  <c r="H437" i="33" s="1"/>
  <c r="J36" i="33"/>
  <c r="D291" i="33"/>
  <c r="F195" i="33"/>
  <c r="D18" i="33"/>
  <c r="F47" i="33"/>
  <c r="D782" i="33"/>
  <c r="E782" i="33" s="1"/>
  <c r="D384" i="33"/>
  <c r="E384" i="33" s="1"/>
  <c r="D425" i="33"/>
  <c r="E425" i="33" s="1"/>
  <c r="D254" i="33"/>
  <c r="E254" i="33" s="1"/>
  <c r="D170" i="33"/>
  <c r="E170" i="33" s="1"/>
  <c r="F20" i="33"/>
  <c r="F123" i="33"/>
  <c r="D352" i="33"/>
  <c r="E352" i="33" s="1"/>
  <c r="J336" i="33"/>
  <c r="J195" i="33"/>
  <c r="J282" i="33"/>
  <c r="J574" i="33"/>
  <c r="J425" i="33"/>
  <c r="F170" i="33"/>
  <c r="J20" i="33"/>
  <c r="J123" i="33"/>
  <c r="F454" i="33"/>
  <c r="J291" i="33"/>
  <c r="F110" i="33"/>
  <c r="F68" i="33"/>
  <c r="D21" i="33"/>
  <c r="H28" i="33" s="1"/>
  <c r="F388" i="33"/>
  <c r="D107" i="33"/>
  <c r="E107" i="33" s="1"/>
  <c r="D283" i="33"/>
  <c r="E283" i="33" s="1"/>
  <c r="J101" i="33"/>
  <c r="J72" i="33"/>
  <c r="J206" i="33"/>
  <c r="J479" i="33"/>
  <c r="J52" i="33"/>
  <c r="D226" i="33"/>
  <c r="E226" i="33" s="1"/>
  <c r="D443" i="33"/>
  <c r="D310" i="33"/>
  <c r="E310" i="33" s="1"/>
  <c r="F224" i="33"/>
  <c r="J165" i="33"/>
  <c r="J466" i="33"/>
  <c r="J708" i="33"/>
  <c r="J748" i="33"/>
  <c r="F514" i="33"/>
  <c r="F517" i="33"/>
  <c r="F485" i="33"/>
  <c r="F502" i="33"/>
  <c r="J216" i="33"/>
  <c r="J10" i="33"/>
  <c r="J740" i="33"/>
  <c r="D152" i="33"/>
  <c r="D93" i="33"/>
  <c r="F501" i="33"/>
  <c r="J462" i="33"/>
  <c r="F509" i="33"/>
  <c r="J598" i="33"/>
  <c r="J486" i="33"/>
  <c r="D533" i="33"/>
  <c r="D505" i="33"/>
  <c r="E505" i="33" s="1"/>
  <c r="D455" i="33"/>
  <c r="E455" i="33" s="1"/>
  <c r="F139" i="33"/>
  <c r="J270" i="33"/>
  <c r="F183" i="33"/>
  <c r="J419" i="33"/>
  <c r="D301" i="33"/>
  <c r="E301" i="33" s="1"/>
  <c r="D211" i="33"/>
  <c r="H218" i="33" s="1"/>
  <c r="D536" i="33"/>
  <c r="H543" i="33" s="1"/>
  <c r="D261" i="33"/>
  <c r="H268" i="33" s="1"/>
  <c r="F820" i="33"/>
  <c r="D793" i="33"/>
  <c r="E793" i="33" s="1"/>
  <c r="J668" i="33"/>
  <c r="J743" i="33"/>
  <c r="D765" i="33"/>
  <c r="E765" i="33" s="1"/>
  <c r="J745" i="33"/>
  <c r="D526" i="33"/>
  <c r="E526" i="33" s="1"/>
  <c r="D451" i="33"/>
  <c r="E451" i="33" s="1"/>
  <c r="D227" i="33"/>
  <c r="H234" i="33" s="1"/>
  <c r="D131" i="33"/>
  <c r="E131" i="33" s="1"/>
  <c r="D67" i="33"/>
  <c r="F25" i="33"/>
  <c r="J89" i="33"/>
  <c r="J271" i="33"/>
  <c r="F237" i="33"/>
  <c r="F280" i="33"/>
  <c r="F456" i="33"/>
  <c r="J278" i="33"/>
  <c r="F118" i="33"/>
  <c r="F511" i="33"/>
  <c r="F478" i="33"/>
  <c r="F737" i="33"/>
  <c r="F568" i="33"/>
  <c r="D739" i="33"/>
  <c r="H746" i="33" s="1"/>
  <c r="J150" i="33"/>
  <c r="J630" i="33"/>
  <c r="D390" i="33"/>
  <c r="E390" i="33" s="1"/>
  <c r="D732" i="33"/>
  <c r="D397" i="33"/>
  <c r="E397" i="33" s="1"/>
  <c r="F635" i="33"/>
  <c r="D464" i="33"/>
  <c r="E464" i="33" s="1"/>
  <c r="F142" i="33"/>
  <c r="F86" i="33"/>
  <c r="I86" i="33" s="1"/>
  <c r="J59" i="33"/>
  <c r="D213" i="33"/>
  <c r="H220" i="33" s="1"/>
  <c r="J302" i="33"/>
  <c r="J363" i="33"/>
  <c r="F298" i="33"/>
  <c r="D353" i="33"/>
  <c r="E353" i="33" s="1"/>
  <c r="F515" i="33"/>
  <c r="F157" i="33"/>
  <c r="F734" i="33"/>
  <c r="D109" i="33"/>
  <c r="E109" i="33" s="1"/>
  <c r="D161" i="33"/>
  <c r="E161" i="33" s="1"/>
  <c r="F633" i="33"/>
  <c r="J758" i="33"/>
  <c r="J577" i="33"/>
  <c r="D304" i="33"/>
  <c r="E304" i="33" s="1"/>
  <c r="J26" i="33"/>
  <c r="J329" i="33"/>
  <c r="D610" i="33"/>
  <c r="E610" i="33" s="1"/>
  <c r="F299" i="33"/>
  <c r="F561" i="33"/>
  <c r="D518" i="33"/>
  <c r="H525" i="33" s="1"/>
  <c r="F446" i="33"/>
  <c r="D438" i="33"/>
  <c r="J58" i="33"/>
  <c r="J173" i="33"/>
  <c r="J767" i="33"/>
  <c r="D179" i="33"/>
  <c r="D596" i="33"/>
  <c r="E596" i="33" s="1"/>
  <c r="J202" i="33"/>
  <c r="D214" i="33"/>
  <c r="J726" i="33"/>
  <c r="D685" i="33"/>
  <c r="F261" i="33"/>
  <c r="F736" i="33"/>
  <c r="J765" i="33"/>
  <c r="J304" i="33"/>
  <c r="D89" i="33"/>
  <c r="E89" i="33" s="1"/>
  <c r="D329" i="33"/>
  <c r="H336" i="33" s="1"/>
  <c r="J64" i="33"/>
  <c r="F711" i="33"/>
  <c r="J568" i="33"/>
  <c r="F739" i="33"/>
  <c r="F818" i="33"/>
  <c r="F630" i="33"/>
  <c r="F390" i="33"/>
  <c r="F397" i="33"/>
  <c r="F565" i="33"/>
  <c r="I565" i="33" s="1"/>
  <c r="D142" i="33"/>
  <c r="J86" i="33"/>
  <c r="J174" i="33"/>
  <c r="D42" i="33"/>
  <c r="E42" i="33" s="1"/>
  <c r="D363" i="33"/>
  <c r="E363" i="33" s="1"/>
  <c r="F31" i="33"/>
  <c r="J560" i="33"/>
  <c r="J280" i="33"/>
  <c r="D447" i="33"/>
  <c r="H454" i="33" s="1"/>
  <c r="J464" i="33"/>
  <c r="D31" i="33"/>
  <c r="F702" i="33"/>
  <c r="F644" i="33"/>
  <c r="D506" i="33"/>
  <c r="E506" i="33" s="1"/>
  <c r="D277" i="33"/>
  <c r="E277" i="33" s="1"/>
  <c r="F802" i="33"/>
  <c r="D302" i="33"/>
  <c r="E302" i="33" s="1"/>
  <c r="J618" i="33"/>
  <c r="D717" i="33"/>
  <c r="E717" i="33" s="1"/>
  <c r="F669" i="33"/>
  <c r="D238" i="33"/>
  <c r="D328" i="33"/>
  <c r="D270" i="33"/>
  <c r="J793" i="33"/>
  <c r="F135" i="33"/>
  <c r="I135" i="33" s="1"/>
  <c r="K135" i="33" s="1"/>
  <c r="M135" i="33" s="1"/>
  <c r="P135" i="33" s="1"/>
  <c r="D711" i="33"/>
  <c r="E711" i="33" s="1"/>
  <c r="J142" i="33"/>
  <c r="D561" i="33"/>
  <c r="E561" i="33" s="1"/>
  <c r="F806" i="33"/>
  <c r="I806" i="33" s="1"/>
  <c r="K806" i="33" s="1"/>
  <c r="M806" i="33" s="1"/>
  <c r="P806" i="33" s="1"/>
  <c r="F510" i="33"/>
  <c r="J701" i="33"/>
  <c r="D176" i="33"/>
  <c r="E176" i="33" s="1"/>
  <c r="D354" i="33"/>
  <c r="E354" i="33" s="1"/>
  <c r="F175" i="33"/>
  <c r="D660" i="33"/>
  <c r="E660" i="33" s="1"/>
  <c r="J179" i="33"/>
  <c r="F680" i="33"/>
  <c r="J455" i="33"/>
  <c r="D139" i="33"/>
  <c r="E139" i="33" s="1"/>
  <c r="J169" i="33"/>
  <c r="D183" i="33"/>
  <c r="D611" i="33"/>
  <c r="D726" i="33"/>
  <c r="J633" i="33"/>
  <c r="D710" i="33"/>
  <c r="E710" i="33" s="1"/>
  <c r="F184" i="33"/>
  <c r="F329" i="33"/>
  <c r="F799" i="33"/>
  <c r="F64" i="33"/>
  <c r="I64" i="33" s="1"/>
  <c r="K64" i="33" s="1"/>
  <c r="M64" i="33" s="1"/>
  <c r="P64" i="33" s="1"/>
  <c r="F693" i="33"/>
  <c r="J607" i="33"/>
  <c r="J447" i="33"/>
  <c r="D802" i="33"/>
  <c r="E802" i="33" s="1"/>
  <c r="D422" i="33"/>
  <c r="E422" i="33" s="1"/>
  <c r="F692" i="33"/>
  <c r="F489" i="33"/>
  <c r="I489" i="33" s="1"/>
  <c r="F303" i="33"/>
  <c r="I303" i="33" s="1"/>
  <c r="K303" i="33" s="1"/>
  <c r="M303" i="33" s="1"/>
  <c r="P303" i="33" s="1"/>
  <c r="F213" i="33"/>
  <c r="F345" i="33"/>
  <c r="F106" i="33"/>
  <c r="J734" i="33"/>
  <c r="F611" i="33"/>
  <c r="D594" i="33"/>
  <c r="F572" i="33"/>
  <c r="J692" i="33"/>
  <c r="D801" i="33"/>
  <c r="E801" i="33" s="1"/>
  <c r="F618" i="33"/>
  <c r="D421" i="33"/>
  <c r="E421" i="33" s="1"/>
  <c r="F610" i="33"/>
  <c r="J572" i="33"/>
  <c r="J213" i="33"/>
  <c r="F523" i="33"/>
  <c r="F536" i="33"/>
  <c r="J25" i="33"/>
  <c r="F414" i="33"/>
  <c r="D96" i="33"/>
  <c r="J23" i="33"/>
  <c r="F505" i="33"/>
  <c r="D563" i="33"/>
  <c r="E563" i="33" s="1"/>
  <c r="D723" i="33"/>
  <c r="E723" i="33" s="1"/>
  <c r="J325" i="33"/>
  <c r="J565" i="33"/>
  <c r="F174" i="33"/>
  <c r="D477" i="33"/>
  <c r="E806" i="33"/>
  <c r="D272" i="33"/>
  <c r="E272" i="33" s="1"/>
  <c r="J290" i="33"/>
  <c r="J615" i="33"/>
  <c r="F320" i="33"/>
  <c r="J691" i="33"/>
  <c r="J207" i="33"/>
  <c r="F179" i="33"/>
  <c r="J680" i="33"/>
  <c r="J474" i="33"/>
  <c r="J246" i="33"/>
  <c r="D361" i="33"/>
  <c r="E361" i="33" s="1"/>
  <c r="J710" i="33"/>
  <c r="F577" i="33"/>
  <c r="F421" i="33"/>
  <c r="F26" i="33"/>
  <c r="D280" i="33"/>
  <c r="E280" i="33" s="1"/>
  <c r="J610" i="33"/>
  <c r="D756" i="33"/>
  <c r="E756" i="33" s="1"/>
  <c r="F447" i="33"/>
  <c r="J802" i="33"/>
  <c r="J422" i="33"/>
  <c r="J489" i="33"/>
  <c r="D59" i="33"/>
  <c r="E59" i="33" s="1"/>
  <c r="J353" i="33"/>
  <c r="J646" i="33"/>
  <c r="J801" i="33"/>
  <c r="F474" i="33"/>
  <c r="F126" i="33"/>
  <c r="J421" i="33"/>
  <c r="J799" i="33"/>
  <c r="F607" i="33"/>
  <c r="F302" i="33"/>
  <c r="J272" i="33"/>
  <c r="J56" i="33"/>
  <c r="D126" i="33"/>
  <c r="E126" i="33" s="1"/>
  <c r="J737" i="33"/>
  <c r="D692" i="33"/>
  <c r="J31" i="33"/>
  <c r="F632" i="33"/>
  <c r="F506" i="33"/>
  <c r="J723" i="33"/>
  <c r="D325" i="33"/>
  <c r="D473" i="33"/>
  <c r="E473" i="33" s="1"/>
  <c r="F338" i="33"/>
  <c r="D788" i="33"/>
  <c r="D758" i="33"/>
  <c r="H765" i="33" s="1"/>
  <c r="J456" i="33"/>
  <c r="D630" i="33"/>
  <c r="F473" i="33"/>
  <c r="F328" i="33"/>
  <c r="F701" i="33"/>
  <c r="D345" i="33"/>
  <c r="E345" i="33" s="1"/>
  <c r="F812" i="33"/>
  <c r="F182" i="33"/>
  <c r="J18" i="33"/>
  <c r="E812" i="33"/>
  <c r="J360" i="33"/>
  <c r="D406" i="33"/>
  <c r="D182" i="33"/>
  <c r="H189" i="33" s="1"/>
  <c r="F270" i="33"/>
  <c r="D47" i="33"/>
  <c r="E47" i="33" s="1"/>
  <c r="J812" i="33"/>
  <c r="D588" i="33"/>
  <c r="E588" i="33" s="1"/>
  <c r="D546" i="33"/>
  <c r="E546" i="33" s="1"/>
  <c r="D496" i="33"/>
  <c r="J15" i="33"/>
  <c r="D632" i="33"/>
  <c r="J506" i="33"/>
  <c r="D414" i="33"/>
  <c r="E414" i="33" s="1"/>
  <c r="J47" i="33"/>
  <c r="J147" i="33"/>
  <c r="F588" i="33"/>
  <c r="F488" i="33"/>
  <c r="J175" i="33"/>
  <c r="D120" i="33"/>
  <c r="E120" i="33" s="1"/>
  <c r="F767" i="33"/>
  <c r="J695" i="33"/>
  <c r="F400" i="33"/>
  <c r="J183" i="33"/>
  <c r="J788" i="33"/>
  <c r="F726" i="33"/>
  <c r="J563" i="33"/>
  <c r="F758" i="33"/>
  <c r="F645" i="33"/>
  <c r="F304" i="33"/>
  <c r="D135" i="33"/>
  <c r="D62" i="33"/>
  <c r="E62" i="33" s="1"/>
  <c r="J184" i="33"/>
  <c r="J711" i="33"/>
  <c r="D478" i="33"/>
  <c r="J739" i="33"/>
  <c r="F325" i="33"/>
  <c r="E818" i="33"/>
  <c r="D174" i="33"/>
  <c r="E174" i="33" s="1"/>
  <c r="J238" i="33"/>
  <c r="J338" i="33"/>
  <c r="D515" i="33"/>
  <c r="J328" i="33"/>
  <c r="F272" i="33"/>
  <c r="I272" i="33" s="1"/>
  <c r="D207" i="33"/>
  <c r="E207" i="33" s="1"/>
  <c r="F256" i="33"/>
  <c r="J277" i="33"/>
  <c r="J511" i="33"/>
  <c r="F59" i="33"/>
  <c r="D734" i="33"/>
  <c r="E734" i="33" s="1"/>
  <c r="J361" i="33"/>
  <c r="F723" i="33"/>
  <c r="F625" i="33"/>
  <c r="F353" i="33"/>
  <c r="F496" i="33"/>
  <c r="D144" i="33"/>
  <c r="F793" i="33"/>
  <c r="F612" i="33"/>
  <c r="J114" i="33"/>
  <c r="D565" i="33"/>
  <c r="E565" i="33" s="1"/>
  <c r="F50" i="33"/>
  <c r="I50" i="33" s="1"/>
  <c r="F301" i="33"/>
  <c r="D433" i="33"/>
  <c r="E433" i="33" s="1"/>
  <c r="F62" i="33"/>
  <c r="D683" i="33"/>
  <c r="E683" i="33" s="1"/>
  <c r="D669" i="33"/>
  <c r="H676" i="33" s="1"/>
  <c r="F607" i="2"/>
  <c r="F215" i="2"/>
  <c r="F211" i="2"/>
  <c r="F614" i="2"/>
  <c r="F417" i="2"/>
  <c r="F222" i="2"/>
  <c r="F207" i="2"/>
  <c r="F803" i="2"/>
  <c r="F608" i="2"/>
  <c r="F423" i="2"/>
  <c r="F425" i="2"/>
  <c r="F527" i="2"/>
  <c r="F523" i="2"/>
  <c r="F131" i="2"/>
  <c r="F597" i="2"/>
  <c r="F55" i="2"/>
  <c r="F424" i="2"/>
  <c r="F736" i="2"/>
  <c r="F526" i="2"/>
  <c r="F62" i="2"/>
  <c r="F304" i="2"/>
  <c r="F676" i="2"/>
  <c r="F414" i="2"/>
  <c r="F610" i="2"/>
  <c r="F808" i="2"/>
  <c r="F738" i="2"/>
  <c r="F596" i="2"/>
  <c r="F595" i="2"/>
  <c r="F805" i="2"/>
  <c r="F529" i="2"/>
  <c r="F675" i="2"/>
  <c r="F677" i="2"/>
  <c r="F296" i="2"/>
  <c r="F426" i="2"/>
  <c r="F415" i="2"/>
  <c r="F518" i="2"/>
  <c r="F737" i="2"/>
  <c r="F672" i="2"/>
  <c r="F58" i="2"/>
  <c r="F299" i="2"/>
  <c r="F599" i="2"/>
  <c r="F528" i="2"/>
  <c r="F802" i="2"/>
  <c r="F520" i="2"/>
  <c r="F300" i="2"/>
  <c r="F217" i="2"/>
  <c r="F679" i="2"/>
  <c r="F734" i="2"/>
  <c r="F305" i="2"/>
  <c r="F130" i="2"/>
  <c r="F59" i="2"/>
  <c r="F613" i="2"/>
  <c r="F225" i="2"/>
  <c r="F521" i="2"/>
  <c r="F292" i="2"/>
  <c r="F612" i="2"/>
  <c r="F303" i="2"/>
  <c r="F598" i="2"/>
  <c r="F298" i="2"/>
  <c r="F615" i="2"/>
  <c r="F224" i="2"/>
  <c r="F306" i="2"/>
  <c r="F214" i="2"/>
  <c r="F416" i="2"/>
  <c r="F605" i="2"/>
  <c r="F134" i="2"/>
  <c r="F796" i="2"/>
  <c r="F413" i="2"/>
  <c r="F418" i="2"/>
  <c r="F799" i="2"/>
  <c r="F735" i="2"/>
  <c r="F412" i="2"/>
  <c r="F212" i="2"/>
  <c r="F135" i="2"/>
  <c r="F806" i="2"/>
  <c r="F297" i="2"/>
  <c r="F295" i="2"/>
  <c r="F294" i="2"/>
  <c r="F221" i="2"/>
  <c r="F800" i="2"/>
  <c r="F427" i="2"/>
  <c r="F128" i="2"/>
  <c r="F421" i="2"/>
  <c r="F807" i="2"/>
  <c r="F609" i="2"/>
  <c r="F516" i="2"/>
  <c r="F680" i="2"/>
  <c r="F519" i="2"/>
  <c r="F219" i="2"/>
  <c r="F801" i="2"/>
  <c r="F517" i="2"/>
  <c r="F821" i="2"/>
  <c r="F804" i="2"/>
  <c r="F673" i="2"/>
  <c r="F301" i="2"/>
  <c r="F57" i="2"/>
  <c r="F740" i="2"/>
  <c r="F137" i="2"/>
  <c r="F213" i="2"/>
  <c r="F216" i="2"/>
  <c r="F218" i="2"/>
  <c r="F525" i="2"/>
  <c r="F132" i="2"/>
  <c r="F674" i="2"/>
  <c r="F601" i="2"/>
  <c r="F606" i="2"/>
  <c r="F210" i="2"/>
  <c r="F419" i="2"/>
  <c r="F741" i="2"/>
  <c r="F220" i="2"/>
  <c r="F515" i="2"/>
  <c r="F739" i="2"/>
  <c r="F524" i="2"/>
  <c r="F54" i="2"/>
  <c r="F56" i="2"/>
  <c r="F208" i="2"/>
  <c r="F798" i="2"/>
  <c r="F604" i="2"/>
  <c r="F136" i="2"/>
  <c r="F129" i="2"/>
  <c r="F60" i="2"/>
  <c r="F678" i="2"/>
  <c r="F611" i="2"/>
  <c r="F133" i="2"/>
  <c r="F302" i="2"/>
  <c r="F293" i="2"/>
  <c r="F209" i="2"/>
  <c r="F603" i="2"/>
  <c r="F422" i="2"/>
  <c r="F420" i="2"/>
  <c r="F61" i="2"/>
  <c r="F223" i="2"/>
  <c r="F797" i="2"/>
  <c r="F733" i="2"/>
  <c r="F600" i="2"/>
  <c r="F602" i="2"/>
  <c r="F522" i="2"/>
  <c r="D756" i="7"/>
  <c r="D784" i="7"/>
  <c r="D800" i="7"/>
  <c r="F316" i="9"/>
  <c r="D213" i="9"/>
  <c r="E213" i="9" s="1"/>
  <c r="F186" i="9"/>
  <c r="D191" i="9"/>
  <c r="E191" i="9" s="1"/>
  <c r="D218" i="9"/>
  <c r="E218" i="9" s="1"/>
  <c r="D691" i="5"/>
  <c r="E691" i="5" s="1"/>
  <c r="D333" i="9"/>
  <c r="E333" i="9" s="1"/>
  <c r="D118" i="9"/>
  <c r="E118" i="9" s="1"/>
  <c r="G129" i="9"/>
  <c r="D854" i="9"/>
  <c r="E854" i="9" s="1"/>
  <c r="G290" i="9"/>
  <c r="D67" i="9"/>
  <c r="E67" i="9" s="1"/>
  <c r="D220" i="9"/>
  <c r="E220" i="9" s="1"/>
  <c r="D913" i="9"/>
  <c r="E913" i="9" s="1"/>
  <c r="G809" i="5"/>
  <c r="D569" i="5"/>
  <c r="E569" i="5" s="1"/>
  <c r="D782" i="7"/>
  <c r="G787" i="5"/>
  <c r="D722" i="5"/>
  <c r="E722" i="5" s="1"/>
  <c r="D798" i="5"/>
  <c r="E798" i="5" s="1"/>
  <c r="D484" i="5"/>
  <c r="E484" i="5" s="1"/>
  <c r="D802" i="7"/>
  <c r="D783" i="7"/>
  <c r="D749" i="7"/>
  <c r="D544" i="5"/>
  <c r="E544" i="5" s="1"/>
  <c r="D651" i="5"/>
  <c r="E651" i="5" s="1"/>
  <c r="D759" i="5"/>
  <c r="E759" i="5" s="1"/>
  <c r="D499" i="5"/>
  <c r="E499" i="5" s="1"/>
  <c r="D697" i="5"/>
  <c r="E697" i="5" s="1"/>
  <c r="G673" i="5"/>
  <c r="F65" i="9"/>
  <c r="J287" i="9"/>
  <c r="F208" i="9"/>
  <c r="D818" i="7"/>
  <c r="D772" i="7"/>
  <c r="D745" i="7"/>
  <c r="D703" i="7"/>
  <c r="G37" i="9"/>
  <c r="J303" i="9"/>
  <c r="D763" i="5"/>
  <c r="E763" i="5" s="1"/>
  <c r="D811" i="7"/>
  <c r="D770" i="7"/>
  <c r="D746" i="7"/>
  <c r="D697" i="7"/>
  <c r="G798" i="12"/>
  <c r="G779" i="12"/>
  <c r="G752" i="12"/>
  <c r="F728" i="12"/>
  <c r="H728" i="12" s="1"/>
  <c r="F799" i="12"/>
  <c r="H799" i="12" s="1"/>
  <c r="F754" i="12"/>
  <c r="H754" i="12" s="1"/>
  <c r="G740" i="12"/>
  <c r="D220" i="2"/>
  <c r="E220" i="2" s="1"/>
  <c r="G780" i="12"/>
  <c r="G719" i="12"/>
  <c r="D610" i="2"/>
  <c r="E610" i="2" s="1"/>
  <c r="G786" i="12"/>
  <c r="G765" i="12"/>
  <c r="G684" i="12"/>
  <c r="D60" i="2"/>
  <c r="E60" i="2" s="1"/>
  <c r="G721" i="12"/>
  <c r="D305" i="2"/>
  <c r="E305" i="2" s="1"/>
  <c r="D798" i="2"/>
  <c r="E798" i="2" s="1"/>
  <c r="D299" i="2"/>
  <c r="E299" i="2" s="1"/>
  <c r="D18" i="9"/>
  <c r="E18" i="9" s="1"/>
  <c r="D193" i="9"/>
  <c r="E193" i="9" s="1"/>
  <c r="J204" i="9"/>
  <c r="F12" i="9"/>
  <c r="F874" i="9"/>
  <c r="F290" i="9"/>
  <c r="J880" i="9"/>
  <c r="D862" i="9"/>
  <c r="E862" i="9" s="1"/>
  <c r="D813" i="5"/>
  <c r="E813" i="5" s="1"/>
  <c r="D724" i="7"/>
  <c r="G698" i="5"/>
  <c r="D552" i="5"/>
  <c r="E552" i="5" s="1"/>
  <c r="D686" i="7"/>
  <c r="D553" i="5"/>
  <c r="E553" i="5" s="1"/>
  <c r="D723" i="5"/>
  <c r="E723" i="5" s="1"/>
  <c r="G502" i="5"/>
  <c r="D530" i="5"/>
  <c r="E530" i="5" s="1"/>
  <c r="D896" i="9"/>
  <c r="E896" i="9" s="1"/>
  <c r="D229" i="9"/>
  <c r="E229" i="9" s="1"/>
  <c r="F322" i="9"/>
  <c r="G303" i="9"/>
  <c r="D754" i="7"/>
  <c r="F447" i="9"/>
  <c r="D37" i="9"/>
  <c r="E37" i="9" s="1"/>
  <c r="D695" i="7"/>
  <c r="G751" i="12"/>
  <c r="G712" i="12"/>
  <c r="F789" i="12"/>
  <c r="H789" i="12" s="1"/>
  <c r="D711" i="7"/>
  <c r="D527" i="2"/>
  <c r="E527" i="2" s="1"/>
  <c r="G774" i="12"/>
  <c r="G744" i="12"/>
  <c r="G701" i="12"/>
  <c r="D421" i="2"/>
  <c r="E421" i="2" s="1"/>
  <c r="G811" i="12"/>
  <c r="D208" i="2"/>
  <c r="E208" i="2" s="1"/>
  <c r="D423" i="2"/>
  <c r="E423" i="2" s="1"/>
  <c r="D781" i="8"/>
  <c r="E781" i="8" s="1"/>
  <c r="G777" i="12"/>
  <c r="D214" i="2"/>
  <c r="E214" i="2" s="1"/>
  <c r="I800" i="2"/>
  <c r="D601" i="2"/>
  <c r="E601" i="2" s="1"/>
  <c r="D119" i="9"/>
  <c r="E119" i="9" s="1"/>
  <c r="D121" i="9"/>
  <c r="E121" i="9" s="1"/>
  <c r="D916" i="9"/>
  <c r="E916" i="9" s="1"/>
  <c r="D889" i="9"/>
  <c r="E889" i="9" s="1"/>
  <c r="F887" i="9"/>
  <c r="J195" i="9"/>
  <c r="D480" i="5"/>
  <c r="E480" i="5" s="1"/>
  <c r="D22" i="9"/>
  <c r="E22" i="9" s="1"/>
  <c r="F909" i="9"/>
  <c r="G874" i="9"/>
  <c r="F234" i="9"/>
  <c r="D880" i="9"/>
  <c r="E880" i="9" s="1"/>
  <c r="F303" i="9"/>
  <c r="F304" i="9"/>
  <c r="D531" i="5"/>
  <c r="E531" i="5" s="1"/>
  <c r="D782" i="5"/>
  <c r="E782" i="5" s="1"/>
  <c r="D791" i="7"/>
  <c r="D766" i="7"/>
  <c r="D735" i="5"/>
  <c r="E735" i="5" s="1"/>
  <c r="D703" i="5"/>
  <c r="E703" i="5" s="1"/>
  <c r="D757" i="5"/>
  <c r="E757" i="5" s="1"/>
  <c r="D690" i="5"/>
  <c r="E690" i="5" s="1"/>
  <c r="D182" i="9"/>
  <c r="E182" i="9" s="1"/>
  <c r="D11" i="9"/>
  <c r="E11" i="9" s="1"/>
  <c r="D124" i="9"/>
  <c r="E124" i="9" s="1"/>
  <c r="J330" i="9"/>
  <c r="D797" i="7"/>
  <c r="D319" i="9"/>
  <c r="E319" i="9" s="1"/>
  <c r="J886" i="9"/>
  <c r="D103" i="9"/>
  <c r="E103" i="9" s="1"/>
  <c r="D803" i="5"/>
  <c r="E803" i="5" s="1"/>
  <c r="G768" i="12"/>
  <c r="D689" i="12"/>
  <c r="E689" i="12" s="1"/>
  <c r="F772" i="12"/>
  <c r="H772" i="12" s="1"/>
  <c r="D685" i="7"/>
  <c r="G788" i="12"/>
  <c r="G757" i="12"/>
  <c r="G687" i="12"/>
  <c r="G731" i="12"/>
  <c r="D801" i="2"/>
  <c r="E801" i="2" s="1"/>
  <c r="H59" i="2"/>
  <c r="D524" i="2"/>
  <c r="E524" i="2" s="1"/>
  <c r="G694" i="12"/>
  <c r="D215" i="2"/>
  <c r="E215" i="2" s="1"/>
  <c r="D675" i="2"/>
  <c r="E675" i="2" s="1"/>
  <c r="D787" i="8"/>
  <c r="E787" i="8" s="1"/>
  <c r="D733" i="2"/>
  <c r="E733" i="2" s="1"/>
  <c r="H207" i="2"/>
  <c r="D906" i="9"/>
  <c r="E906" i="9" s="1"/>
  <c r="D190" i="9"/>
  <c r="E190" i="9" s="1"/>
  <c r="D437" i="9"/>
  <c r="E437" i="9" s="1"/>
  <c r="D785" i="5"/>
  <c r="E785" i="5" s="1"/>
  <c r="D647" i="5"/>
  <c r="E647" i="5" s="1"/>
  <c r="D297" i="9"/>
  <c r="E297" i="9" s="1"/>
  <c r="D890" i="9"/>
  <c r="E890" i="9" s="1"/>
  <c r="G183" i="9"/>
  <c r="D231" i="9"/>
  <c r="E231" i="9" s="1"/>
  <c r="D781" i="5"/>
  <c r="E781" i="5" s="1"/>
  <c r="D727" i="7"/>
  <c r="G506" i="5"/>
  <c r="D689" i="7"/>
  <c r="D795" i="7"/>
  <c r="D726" i="7"/>
  <c r="F328" i="9"/>
  <c r="D644" i="5"/>
  <c r="E644" i="5" s="1"/>
  <c r="D518" i="5"/>
  <c r="E518" i="5" s="1"/>
  <c r="D226" i="9"/>
  <c r="E226" i="9" s="1"/>
  <c r="D208" i="9"/>
  <c r="E208" i="9" s="1"/>
  <c r="D114" i="9"/>
  <c r="E114" i="9" s="1"/>
  <c r="D817" i="5"/>
  <c r="E817" i="5" s="1"/>
  <c r="J534" i="9"/>
  <c r="D789" i="7"/>
  <c r="D767" i="7"/>
  <c r="D427" i="9"/>
  <c r="E427" i="9" s="1"/>
  <c r="D210" i="9"/>
  <c r="E210" i="9" s="1"/>
  <c r="F666" i="5"/>
  <c r="H666" i="5" s="1"/>
  <c r="D793" i="7"/>
  <c r="D764" i="7"/>
  <c r="D682" i="7"/>
  <c r="D785" i="12"/>
  <c r="E785" i="12" s="1"/>
  <c r="D758" i="12"/>
  <c r="E758" i="12" s="1"/>
  <c r="F792" i="12"/>
  <c r="H792" i="12" s="1"/>
  <c r="F723" i="12"/>
  <c r="H723" i="12" s="1"/>
  <c r="F428" i="9"/>
  <c r="D866" i="9"/>
  <c r="E866" i="9" s="1"/>
  <c r="F902" i="9"/>
  <c r="D882" i="9"/>
  <c r="E882" i="9" s="1"/>
  <c r="D235" i="9"/>
  <c r="E235" i="9" s="1"/>
  <c r="D307" i="9"/>
  <c r="E307" i="9" s="1"/>
  <c r="D734" i="5"/>
  <c r="E734" i="5" s="1"/>
  <c r="D652" i="5"/>
  <c r="E652" i="5" s="1"/>
  <c r="F320" i="9"/>
  <c r="D126" i="9"/>
  <c r="E126" i="9" s="1"/>
  <c r="G48" i="9"/>
  <c r="D122" i="9"/>
  <c r="E122" i="9" s="1"/>
  <c r="F57" i="9"/>
  <c r="D762" i="5"/>
  <c r="E762" i="5" s="1"/>
  <c r="G724" i="5"/>
  <c r="D737" i="5"/>
  <c r="E737" i="5" s="1"/>
  <c r="G328" i="9"/>
  <c r="G554" i="5"/>
  <c r="D503" i="5"/>
  <c r="E503" i="5" s="1"/>
  <c r="D794" i="5"/>
  <c r="E794" i="5" s="1"/>
  <c r="D489" i="5"/>
  <c r="E489" i="5" s="1"/>
  <c r="D635" i="5"/>
  <c r="E635" i="5" s="1"/>
  <c r="D35" i="9"/>
  <c r="E35" i="9" s="1"/>
  <c r="G195" i="9"/>
  <c r="D865" i="9"/>
  <c r="E865" i="9" s="1"/>
  <c r="F852" i="9"/>
  <c r="D796" i="7"/>
  <c r="D728" i="7"/>
  <c r="D230" i="9"/>
  <c r="E230" i="9" s="1"/>
  <c r="F543" i="5"/>
  <c r="H543" i="5" s="1"/>
  <c r="D788" i="7"/>
  <c r="F703" i="12"/>
  <c r="H703" i="12" s="1"/>
  <c r="F705" i="12"/>
  <c r="H705" i="12" s="1"/>
  <c r="D761" i="7"/>
  <c r="G770" i="12"/>
  <c r="G794" i="12"/>
  <c r="G759" i="12"/>
  <c r="D137" i="2"/>
  <c r="E137" i="2" s="1"/>
  <c r="G815" i="12"/>
  <c r="G775" i="12"/>
  <c r="G709" i="12"/>
  <c r="F706" i="12"/>
  <c r="H706" i="12" s="1"/>
  <c r="I212" i="2"/>
  <c r="G884" i="9"/>
  <c r="D859" i="9"/>
  <c r="E859" i="9" s="1"/>
  <c r="D877" i="9"/>
  <c r="E877" i="9" s="1"/>
  <c r="F241" i="9"/>
  <c r="D237" i="9"/>
  <c r="E237" i="9" s="1"/>
  <c r="D773" i="5"/>
  <c r="E773" i="5" s="1"/>
  <c r="D541" i="9"/>
  <c r="E541" i="9" s="1"/>
  <c r="D901" i="9"/>
  <c r="E901" i="9" s="1"/>
  <c r="F180" i="9"/>
  <c r="F332" i="9"/>
  <c r="G122" i="9"/>
  <c r="G57" i="9"/>
  <c r="D813" i="7"/>
  <c r="D739" i="5"/>
  <c r="E739" i="5" s="1"/>
  <c r="D648" i="5"/>
  <c r="E648" i="5" s="1"/>
  <c r="D804" i="7"/>
  <c r="D730" i="7"/>
  <c r="D708" i="7"/>
  <c r="D507" i="5"/>
  <c r="E507" i="5" s="1"/>
  <c r="D701" i="5"/>
  <c r="E701" i="5" s="1"/>
  <c r="F740" i="5"/>
  <c r="H740" i="5" s="1"/>
  <c r="G491" i="5"/>
  <c r="G226" i="9"/>
  <c r="G535" i="9"/>
  <c r="D327" i="9"/>
  <c r="E327" i="9" s="1"/>
  <c r="D790" i="5"/>
  <c r="E790" i="5" s="1"/>
  <c r="D736" i="12"/>
  <c r="E736" i="12" s="1"/>
  <c r="F767" i="12"/>
  <c r="H767" i="12" s="1"/>
  <c r="D805" i="7"/>
  <c r="D742" i="7"/>
  <c r="F733" i="12"/>
  <c r="H733" i="12" s="1"/>
  <c r="D422" i="2"/>
  <c r="E422" i="2" s="1"/>
  <c r="G790" i="12"/>
  <c r="F745" i="12"/>
  <c r="H745" i="12" s="1"/>
  <c r="D219" i="2"/>
  <c r="E219" i="2" s="1"/>
  <c r="D801" i="12"/>
  <c r="E801" i="12" s="1"/>
  <c r="D781" i="12"/>
  <c r="E781" i="12" s="1"/>
  <c r="G750" i="12"/>
  <c r="D600" i="2"/>
  <c r="E600" i="2" s="1"/>
  <c r="G200" i="9"/>
  <c r="D241" i="9"/>
  <c r="E241" i="9" s="1"/>
  <c r="F15" i="9"/>
  <c r="D714" i="5"/>
  <c r="E714" i="5" s="1"/>
  <c r="D550" i="5"/>
  <c r="E550" i="5" s="1"/>
  <c r="D908" i="9"/>
  <c r="E908" i="9" s="1"/>
  <c r="J339" i="9"/>
  <c r="G243" i="9"/>
  <c r="F434" i="9"/>
  <c r="D73" i="9"/>
  <c r="E73" i="9" s="1"/>
  <c r="F732" i="5"/>
  <c r="H732" i="5" s="1"/>
  <c r="D787" i="7"/>
  <c r="D698" i="7"/>
  <c r="D756" i="5"/>
  <c r="E756" i="5" s="1"/>
  <c r="F548" i="5"/>
  <c r="H548" i="5" s="1"/>
  <c r="D812" i="7"/>
  <c r="D725" i="7"/>
  <c r="D713" i="7"/>
  <c r="D308" i="9"/>
  <c r="E308" i="9" s="1"/>
  <c r="D677" i="5"/>
  <c r="E677" i="5" s="1"/>
  <c r="D780" i="5"/>
  <c r="E780" i="5" s="1"/>
  <c r="G687" i="5"/>
  <c r="D746" i="5"/>
  <c r="E746" i="5" s="1"/>
  <c r="D658" i="5"/>
  <c r="E658" i="5" s="1"/>
  <c r="G326" i="9"/>
  <c r="D65" i="9"/>
  <c r="E65" i="9" s="1"/>
  <c r="D819" i="7"/>
  <c r="D733" i="7"/>
  <c r="D706" i="7"/>
  <c r="F335" i="9"/>
  <c r="D240" i="9"/>
  <c r="E240" i="9" s="1"/>
  <c r="D807" i="7"/>
  <c r="D740" i="7"/>
  <c r="D712" i="7"/>
  <c r="G806" i="12"/>
  <c r="G737" i="12"/>
  <c r="G720" i="12"/>
  <c r="D821" i="12"/>
  <c r="E821" i="12" s="1"/>
  <c r="F797" i="12"/>
  <c r="H797" i="12" s="1"/>
  <c r="D809" i="7"/>
  <c r="D739" i="7"/>
  <c r="G807" i="12"/>
  <c r="D612" i="2"/>
  <c r="E612" i="2" s="1"/>
  <c r="G755" i="12"/>
  <c r="G700" i="12"/>
  <c r="I609" i="2"/>
  <c r="D517" i="2"/>
  <c r="E517" i="2" s="1"/>
  <c r="D188" i="9"/>
  <c r="E188" i="9" s="1"/>
  <c r="D214" i="9"/>
  <c r="E214" i="9" s="1"/>
  <c r="F536" i="9"/>
  <c r="D898" i="9"/>
  <c r="E898" i="9" s="1"/>
  <c r="G758" i="5"/>
  <c r="D707" i="5"/>
  <c r="E707" i="5" s="1"/>
  <c r="D895" i="9"/>
  <c r="E895" i="9" s="1"/>
  <c r="D217" i="9"/>
  <c r="E217" i="9" s="1"/>
  <c r="F339" i="9"/>
  <c r="F243" i="9"/>
  <c r="D233" i="9"/>
  <c r="E233" i="9" s="1"/>
  <c r="F220" i="9"/>
  <c r="F667" i="5"/>
  <c r="H667" i="5" s="1"/>
  <c r="G806" i="5"/>
  <c r="D517" i="5"/>
  <c r="E517" i="5" s="1"/>
  <c r="D814" i="7"/>
  <c r="D778" i="7"/>
  <c r="D748" i="7"/>
  <c r="D693" i="7"/>
  <c r="G754" i="5"/>
  <c r="D681" i="5"/>
  <c r="E681" i="5" s="1"/>
  <c r="F712" i="5"/>
  <c r="H712" i="5" s="1"/>
  <c r="D668" i="5"/>
  <c r="E668" i="5" s="1"/>
  <c r="D443" i="9"/>
  <c r="E443" i="9" s="1"/>
  <c r="D911" i="9"/>
  <c r="E911" i="9" s="1"/>
  <c r="G65" i="9"/>
  <c r="D212" i="9"/>
  <c r="E212" i="9" s="1"/>
  <c r="D21" i="9"/>
  <c r="E21" i="9" s="1"/>
  <c r="D330" i="9"/>
  <c r="E330" i="9" s="1"/>
  <c r="D810" i="7"/>
  <c r="D738" i="7"/>
  <c r="D705" i="7"/>
  <c r="G316" i="9"/>
  <c r="F240" i="9"/>
  <c r="D774" i="5"/>
  <c r="E774" i="5" s="1"/>
  <c r="D808" i="7"/>
  <c r="D777" i="7"/>
  <c r="D729" i="7"/>
  <c r="D715" i="7"/>
  <c r="G817" i="12"/>
  <c r="G773" i="12"/>
  <c r="F816" i="12"/>
  <c r="H816" i="12" s="1"/>
  <c r="F810" i="12"/>
  <c r="H810" i="12" s="1"/>
  <c r="F738" i="12"/>
  <c r="H738" i="12" s="1"/>
  <c r="F796" i="12"/>
  <c r="H796" i="12" s="1"/>
  <c r="D306" i="2"/>
  <c r="E306" i="2" s="1"/>
  <c r="G803" i="12"/>
  <c r="G741" i="12"/>
  <c r="G704" i="12"/>
  <c r="D529" i="2"/>
  <c r="E529" i="2" s="1"/>
  <c r="G762" i="12"/>
  <c r="I60" i="2"/>
  <c r="D418" i="2"/>
  <c r="E418" i="2" s="1"/>
  <c r="D427" i="2"/>
  <c r="E427" i="2" s="1"/>
  <c r="H426" i="2"/>
  <c r="D692" i="8"/>
  <c r="E692" i="8" s="1"/>
  <c r="D515" i="2"/>
  <c r="E515" i="2" s="1"/>
  <c r="G793" i="12"/>
  <c r="D132" i="2"/>
  <c r="E132" i="2" s="1"/>
  <c r="D419" i="2"/>
  <c r="E419" i="2" s="1"/>
  <c r="G716" i="12"/>
  <c r="G683" i="12"/>
  <c r="D729" i="12"/>
  <c r="E729" i="12" s="1"/>
  <c r="I416" i="2"/>
  <c r="D761" i="8"/>
  <c r="E761" i="8" s="1"/>
  <c r="G763" i="12"/>
  <c r="G746" i="12"/>
  <c r="H799" i="2"/>
  <c r="D607" i="2"/>
  <c r="E607" i="2" s="1"/>
  <c r="D605" i="2"/>
  <c r="E605" i="2" s="1"/>
  <c r="D217" i="2"/>
  <c r="E217" i="2" s="1"/>
  <c r="I734" i="2"/>
  <c r="D300" i="2"/>
  <c r="E300" i="2" s="1"/>
  <c r="D602" i="2"/>
  <c r="E602" i="2" s="1"/>
  <c r="D731" i="8"/>
  <c r="E731" i="8" s="1"/>
  <c r="G240" i="9"/>
  <c r="F118" i="9"/>
  <c r="G330" i="9"/>
  <c r="D57" i="9"/>
  <c r="E57" i="9" s="1"/>
  <c r="F441" i="9"/>
  <c r="G903" i="9"/>
  <c r="D429" i="9"/>
  <c r="E429" i="9" s="1"/>
  <c r="D109" i="9"/>
  <c r="E109" i="9" s="1"/>
  <c r="J102" i="9"/>
  <c r="J206" i="9"/>
  <c r="G192" i="9"/>
  <c r="F346" i="9"/>
  <c r="G225" i="9"/>
  <c r="J295" i="9"/>
  <c r="F318" i="9"/>
  <c r="G53" i="9"/>
  <c r="J540" i="9"/>
  <c r="J914" i="9"/>
  <c r="D863" i="9"/>
  <c r="E863" i="9" s="1"/>
  <c r="G338" i="9"/>
  <c r="G897" i="9"/>
  <c r="F221" i="9"/>
  <c r="F903" i="9"/>
  <c r="J104" i="9"/>
  <c r="J185" i="9"/>
  <c r="F194" i="9"/>
  <c r="D323" i="9"/>
  <c r="E323" i="9" s="1"/>
  <c r="J198" i="9"/>
  <c r="D884" i="9"/>
  <c r="E884" i="9" s="1"/>
  <c r="J127" i="9"/>
  <c r="G904" i="9"/>
  <c r="F891" i="9"/>
  <c r="G186" i="9"/>
  <c r="F108" i="9"/>
  <c r="F121" i="9"/>
  <c r="G120" i="9"/>
  <c r="J20" i="9"/>
  <c r="F859" i="9"/>
  <c r="J187" i="9"/>
  <c r="J238" i="9"/>
  <c r="F191" i="9"/>
  <c r="J246" i="9"/>
  <c r="J319" i="9"/>
  <c r="G317" i="9"/>
  <c r="D38" i="9"/>
  <c r="E38" i="9" s="1"/>
  <c r="J213" i="9"/>
  <c r="J895" i="9"/>
  <c r="G901" i="9"/>
  <c r="J870" i="9"/>
  <c r="G433" i="9"/>
  <c r="F23" i="9"/>
  <c r="F17" i="9"/>
  <c r="D851" i="9"/>
  <c r="E851" i="9" s="1"/>
  <c r="G849" i="9"/>
  <c r="D181" i="9"/>
  <c r="E181" i="9" s="1"/>
  <c r="F298" i="9"/>
  <c r="F196" i="9"/>
  <c r="F237" i="9"/>
  <c r="J229" i="9"/>
  <c r="G35" i="9"/>
  <c r="J537" i="9"/>
  <c r="D185" i="9"/>
  <c r="E185" i="9" s="1"/>
  <c r="J443" i="9"/>
  <c r="D887" i="9"/>
  <c r="E887" i="9" s="1"/>
  <c r="G898" i="9"/>
  <c r="F343" i="9"/>
  <c r="J890" i="9"/>
  <c r="F341" i="9"/>
  <c r="F14" i="9"/>
  <c r="G337" i="9"/>
  <c r="D342" i="9"/>
  <c r="E342" i="9" s="1"/>
  <c r="G222" i="9"/>
  <c r="F233" i="9"/>
  <c r="D907" i="9"/>
  <c r="E907" i="9" s="1"/>
  <c r="D434" i="9"/>
  <c r="E434" i="9" s="1"/>
  <c r="F818" i="12"/>
  <c r="H818" i="12" s="1"/>
  <c r="H133" i="2"/>
  <c r="D816" i="8"/>
  <c r="E816" i="8" s="1"/>
  <c r="D704" i="8"/>
  <c r="E704" i="8" s="1"/>
  <c r="F819" i="12"/>
  <c r="H819" i="12" s="1"/>
  <c r="D802" i="8"/>
  <c r="E802" i="8" s="1"/>
  <c r="G808" i="12"/>
  <c r="G820" i="12"/>
  <c r="D678" i="2"/>
  <c r="E678" i="2" s="1"/>
  <c r="G764" i="12"/>
  <c r="I128" i="2"/>
  <c r="D218" i="2"/>
  <c r="E218" i="2" s="1"/>
  <c r="G732" i="12"/>
  <c r="D534" i="9"/>
  <c r="E534" i="9" s="1"/>
  <c r="J65" i="9"/>
  <c r="D287" i="9"/>
  <c r="E287" i="9" s="1"/>
  <c r="G308" i="9"/>
  <c r="J869" i="9"/>
  <c r="D883" i="9"/>
  <c r="E883" i="9" s="1"/>
  <c r="F899" i="9"/>
  <c r="G109" i="9"/>
  <c r="J345" i="9"/>
  <c r="F206" i="9"/>
  <c r="J192" i="9"/>
  <c r="F879" i="9"/>
  <c r="G224" i="9"/>
  <c r="D313" i="9"/>
  <c r="E313" i="9" s="1"/>
  <c r="G295" i="9"/>
  <c r="J318" i="9"/>
  <c r="F53" i="9"/>
  <c r="G340" i="9"/>
  <c r="J863" i="9"/>
  <c r="F110" i="9"/>
  <c r="F893" i="9"/>
  <c r="F875" i="9"/>
  <c r="G104" i="9"/>
  <c r="F185" i="9"/>
  <c r="D444" i="9"/>
  <c r="E444" i="9" s="1"/>
  <c r="J428" i="9"/>
  <c r="G189" i="9"/>
  <c r="D891" i="9"/>
  <c r="E891" i="9" s="1"/>
  <c r="F438" i="9"/>
  <c r="D856" i="9"/>
  <c r="E856" i="9" s="1"/>
  <c r="J121" i="9"/>
  <c r="F120" i="9"/>
  <c r="J864" i="9"/>
  <c r="J861" i="9"/>
  <c r="J223" i="9"/>
  <c r="F187" i="9"/>
  <c r="G188" i="9"/>
  <c r="G306" i="9"/>
  <c r="D246" i="9"/>
  <c r="E246" i="9" s="1"/>
  <c r="F326" i="9"/>
  <c r="D66" i="9"/>
  <c r="E66" i="9" s="1"/>
  <c r="G126" i="9"/>
  <c r="F850" i="9"/>
  <c r="F119" i="9"/>
  <c r="G908" i="9"/>
  <c r="F433" i="9"/>
  <c r="F878" i="9"/>
  <c r="G23" i="9"/>
  <c r="F437" i="9"/>
  <c r="J215" i="9"/>
  <c r="J849" i="9"/>
  <c r="G181" i="9"/>
  <c r="G298" i="9"/>
  <c r="D196" i="9"/>
  <c r="E196" i="9" s="1"/>
  <c r="J244" i="9"/>
  <c r="G542" i="9"/>
  <c r="G67" i="9"/>
  <c r="G443" i="9"/>
  <c r="J915" i="9"/>
  <c r="G128" i="9"/>
  <c r="J343" i="9"/>
  <c r="D332" i="9"/>
  <c r="E332" i="9" s="1"/>
  <c r="G341" i="9"/>
  <c r="G900" i="9"/>
  <c r="G207" i="9"/>
  <c r="F873" i="9"/>
  <c r="J222" i="9"/>
  <c r="G103" i="9"/>
  <c r="J124" i="9"/>
  <c r="F211" i="9"/>
  <c r="G434" i="9"/>
  <c r="G894" i="9"/>
  <c r="J442" i="9"/>
  <c r="G111" i="9"/>
  <c r="J913" i="9"/>
  <c r="D853" i="9"/>
  <c r="E853" i="9" s="1"/>
  <c r="J862" i="9"/>
  <c r="G184" i="9"/>
  <c r="D304" i="9"/>
  <c r="E304" i="9" s="1"/>
  <c r="F301" i="9"/>
  <c r="F227" i="9"/>
  <c r="D329" i="9"/>
  <c r="E329" i="9" s="1"/>
  <c r="F45" i="9"/>
  <c r="D548" i="9"/>
  <c r="E548" i="9" s="1"/>
  <c r="D849" i="9"/>
  <c r="E849" i="9" s="1"/>
  <c r="J902" i="9"/>
  <c r="D430" i="9"/>
  <c r="E430" i="9" s="1"/>
  <c r="J10" i="9"/>
  <c r="G426" i="9"/>
  <c r="F892" i="9"/>
  <c r="J203" i="9"/>
  <c r="J18" i="9"/>
  <c r="G105" i="9"/>
  <c r="F888" i="9"/>
  <c r="F190" i="9"/>
  <c r="J236" i="9"/>
  <c r="G289" i="9"/>
  <c r="D309" i="9"/>
  <c r="E309" i="9" s="1"/>
  <c r="F325" i="9"/>
  <c r="J324" i="9"/>
  <c r="J56" i="9"/>
  <c r="F543" i="9"/>
  <c r="D850" i="9"/>
  <c r="E850" i="9" s="1"/>
  <c r="D335" i="9"/>
  <c r="E335" i="9" s="1"/>
  <c r="F116" i="9"/>
  <c r="D15" i="9"/>
  <c r="E15" i="9" s="1"/>
  <c r="G911" i="9"/>
  <c r="G447" i="9"/>
  <c r="H447" i="9" s="1"/>
  <c r="I447" i="9" s="1"/>
  <c r="F905" i="9"/>
  <c r="J210" i="9"/>
  <c r="F336" i="9"/>
  <c r="J876" i="9"/>
  <c r="F230" i="9"/>
  <c r="D294" i="9"/>
  <c r="E294" i="9" s="1"/>
  <c r="G231" i="9"/>
  <c r="F327" i="9"/>
  <c r="J73" i="9"/>
  <c r="D311" i="9"/>
  <c r="E311" i="9" s="1"/>
  <c r="G312" i="9"/>
  <c r="D201" i="9"/>
  <c r="E201" i="9" s="1"/>
  <c r="J12" i="9"/>
  <c r="D881" i="9"/>
  <c r="E881" i="9" s="1"/>
  <c r="J290" i="9"/>
  <c r="J314" i="9"/>
  <c r="D315" i="9"/>
  <c r="E315" i="9" s="1"/>
  <c r="J535" i="9"/>
  <c r="G785" i="12"/>
  <c r="G734" i="12"/>
  <c r="G787" i="12"/>
  <c r="G724" i="12"/>
  <c r="D697" i="12"/>
  <c r="E697" i="12" s="1"/>
  <c r="G691" i="12"/>
  <c r="G810" i="12"/>
  <c r="G738" i="12"/>
  <c r="G801" i="12"/>
  <c r="F506" i="5"/>
  <c r="H506" i="5" s="1"/>
  <c r="D554" i="5"/>
  <c r="E554" i="5" s="1"/>
  <c r="F768" i="5"/>
  <c r="H768" i="5" s="1"/>
  <c r="D683" i="5"/>
  <c r="E683" i="5" s="1"/>
  <c r="G488" i="5"/>
  <c r="G815" i="5"/>
  <c r="F567" i="5"/>
  <c r="H567" i="5" s="1"/>
  <c r="D545" i="5"/>
  <c r="E545" i="5" s="1"/>
  <c r="G813" i="5"/>
  <c r="G784" i="5"/>
  <c r="G742" i="5"/>
  <c r="F756" i="5"/>
  <c r="H756" i="5" s="1"/>
  <c r="F722" i="5"/>
  <c r="H722" i="5" s="1"/>
  <c r="G486" i="5"/>
  <c r="G670" i="5"/>
  <c r="D656" i="5"/>
  <c r="E656" i="5" s="1"/>
  <c r="D548" i="5"/>
  <c r="E548" i="5" s="1"/>
  <c r="D577" i="5"/>
  <c r="E577" i="5" s="1"/>
  <c r="F687" i="5"/>
  <c r="H687" i="5" s="1"/>
  <c r="D731" i="5"/>
  <c r="E731" i="5" s="1"/>
  <c r="F750" i="5"/>
  <c r="H750" i="5" s="1"/>
  <c r="G716" i="5"/>
  <c r="D684" i="5"/>
  <c r="E684" i="5" s="1"/>
  <c r="F496" i="5"/>
  <c r="H496" i="5" s="1"/>
  <c r="G482" i="5"/>
  <c r="G737" i="5"/>
  <c r="G751" i="5"/>
  <c r="D494" i="5"/>
  <c r="E494" i="5" s="1"/>
  <c r="G664" i="5"/>
  <c r="G632" i="5"/>
  <c r="G665" i="5"/>
  <c r="F637" i="5"/>
  <c r="H637" i="5" s="1"/>
  <c r="D542" i="5"/>
  <c r="E542" i="5" s="1"/>
  <c r="D565" i="5"/>
  <c r="E565" i="5" s="1"/>
  <c r="D768" i="5"/>
  <c r="E768" i="5" s="1"/>
  <c r="G817" i="5"/>
  <c r="G785" i="5"/>
  <c r="G713" i="5"/>
  <c r="F688" i="5"/>
  <c r="H688" i="5" s="1"/>
  <c r="D819" i="5"/>
  <c r="E819" i="5" s="1"/>
  <c r="F796" i="5"/>
  <c r="H796" i="5" s="1"/>
  <c r="G728" i="5"/>
  <c r="F738" i="5"/>
  <c r="H738" i="5" s="1"/>
  <c r="D706" i="5"/>
  <c r="E706" i="5" s="1"/>
  <c r="F703" i="5"/>
  <c r="H703" i="5" s="1"/>
  <c r="G692" i="5"/>
  <c r="F520" i="5"/>
  <c r="H520" i="5" s="1"/>
  <c r="F504" i="5"/>
  <c r="H504" i="5" s="1"/>
  <c r="D675" i="5"/>
  <c r="E675" i="5" s="1"/>
  <c r="G651" i="5"/>
  <c r="F566" i="5"/>
  <c r="H566" i="5" s="1"/>
  <c r="D570" i="5"/>
  <c r="E570" i="5" s="1"/>
  <c r="D809" i="5"/>
  <c r="E809" i="5" s="1"/>
  <c r="D738" i="5"/>
  <c r="E738" i="5" s="1"/>
  <c r="D535" i="5"/>
  <c r="E535" i="5" s="1"/>
  <c r="G552" i="5"/>
  <c r="G564" i="5"/>
  <c r="F549" i="5"/>
  <c r="H549" i="5" s="1"/>
  <c r="F816" i="5"/>
  <c r="H816" i="5" s="1"/>
  <c r="G776" i="5"/>
  <c r="F769" i="5"/>
  <c r="H769" i="5" s="1"/>
  <c r="F735" i="5"/>
  <c r="H735" i="5" s="1"/>
  <c r="G753" i="5"/>
  <c r="F696" i="5"/>
  <c r="H696" i="5" s="1"/>
  <c r="G497" i="5"/>
  <c r="F671" i="5"/>
  <c r="H671" i="5" s="1"/>
  <c r="D636" i="5"/>
  <c r="E636" i="5" s="1"/>
  <c r="F804" i="5"/>
  <c r="H804" i="5" s="1"/>
  <c r="F802" i="5"/>
  <c r="H802" i="5" s="1"/>
  <c r="D791" i="5"/>
  <c r="E791" i="5" s="1"/>
  <c r="F783" i="5"/>
  <c r="H783" i="5" s="1"/>
  <c r="G726" i="5"/>
  <c r="G725" i="5"/>
  <c r="G516" i="5"/>
  <c r="D485" i="5"/>
  <c r="E485" i="5" s="1"/>
  <c r="D808" i="5"/>
  <c r="E808" i="5" s="1"/>
  <c r="G770" i="5"/>
  <c r="G764" i="5"/>
  <c r="F715" i="5"/>
  <c r="H715" i="5" s="1"/>
  <c r="G682" i="5"/>
  <c r="F510" i="5"/>
  <c r="H510" i="5" s="1"/>
  <c r="F48" i="9"/>
  <c r="J57" i="9"/>
  <c r="D441" i="9"/>
  <c r="E441" i="9" s="1"/>
  <c r="J903" i="9"/>
  <c r="J429" i="9"/>
  <c r="J219" i="9"/>
  <c r="G117" i="9"/>
  <c r="D879" i="9"/>
  <c r="E879" i="9" s="1"/>
  <c r="D224" i="9"/>
  <c r="E224" i="9" s="1"/>
  <c r="F225" i="9"/>
  <c r="F302" i="9"/>
  <c r="J321" i="9"/>
  <c r="F540" i="9"/>
  <c r="G863" i="9"/>
  <c r="J123" i="9"/>
  <c r="F897" i="9"/>
  <c r="F883" i="9"/>
  <c r="J875" i="9"/>
  <c r="F104" i="9"/>
  <c r="J291" i="9"/>
  <c r="F323" i="9"/>
  <c r="F198" i="9"/>
  <c r="J906" i="9"/>
  <c r="D445" i="9"/>
  <c r="E445" i="9" s="1"/>
  <c r="J189" i="9"/>
  <c r="F19" i="9"/>
  <c r="J856" i="9"/>
  <c r="F106" i="9"/>
  <c r="J866" i="9"/>
  <c r="G861" i="9"/>
  <c r="G859" i="9"/>
  <c r="J306" i="9"/>
  <c r="F246" i="9"/>
  <c r="F317" i="9"/>
  <c r="G38" i="9"/>
  <c r="G446" i="9"/>
  <c r="F895" i="9"/>
  <c r="G119" i="9"/>
  <c r="D870" i="9"/>
  <c r="E870" i="9" s="1"/>
  <c r="J217" i="9"/>
  <c r="J437" i="9"/>
  <c r="J851" i="9"/>
  <c r="G868" i="9"/>
  <c r="D232" i="9"/>
  <c r="E232" i="9" s="1"/>
  <c r="G237" i="9"/>
  <c r="F35" i="9"/>
  <c r="F537" i="9"/>
  <c r="G887" i="9"/>
  <c r="F898" i="9"/>
  <c r="F212" i="9"/>
  <c r="D873" i="9"/>
  <c r="E873" i="9" s="1"/>
  <c r="F222" i="9"/>
  <c r="J292" i="9"/>
  <c r="G896" i="9"/>
  <c r="J211" i="9"/>
  <c r="J434" i="9"/>
  <c r="J912" i="9"/>
  <c r="F442" i="9"/>
  <c r="G202" i="9"/>
  <c r="J865" i="9"/>
  <c r="G862" i="9"/>
  <c r="G288" i="9"/>
  <c r="G296" i="9"/>
  <c r="D331" i="9"/>
  <c r="E331" i="9" s="1"/>
  <c r="G45" i="9"/>
  <c r="D345" i="9"/>
  <c r="E345" i="9" s="1"/>
  <c r="F429" i="9"/>
  <c r="G115" i="9"/>
  <c r="J916" i="9"/>
  <c r="J882" i="9"/>
  <c r="D424" i="9"/>
  <c r="E424" i="9" s="1"/>
  <c r="D892" i="9"/>
  <c r="E892" i="9" s="1"/>
  <c r="G203" i="9"/>
  <c r="F18" i="9"/>
  <c r="G889" i="9"/>
  <c r="F857" i="9"/>
  <c r="J289" i="9"/>
  <c r="J293" i="9"/>
  <c r="D324" i="9"/>
  <c r="E324" i="9" s="1"/>
  <c r="G536" i="9"/>
  <c r="H536" i="9" s="1"/>
  <c r="I536" i="9" s="1"/>
  <c r="D130" i="9"/>
  <c r="E130" i="9" s="1"/>
  <c r="G116" i="9"/>
  <c r="G852" i="9"/>
  <c r="G210" i="9"/>
  <c r="J21" i="9"/>
  <c r="J220" i="9"/>
  <c r="G242" i="9"/>
  <c r="J294" i="9"/>
  <c r="J231" i="9"/>
  <c r="J46" i="9"/>
  <c r="J541" i="9"/>
  <c r="F880" i="9"/>
  <c r="F46" i="9"/>
  <c r="F231" i="9"/>
  <c r="G204" i="9"/>
  <c r="D909" i="9"/>
  <c r="E909" i="9" s="1"/>
  <c r="D910" i="9"/>
  <c r="E910" i="9" s="1"/>
  <c r="D107" i="9"/>
  <c r="E107" i="9" s="1"/>
  <c r="J183" i="9"/>
  <c r="J243" i="9"/>
  <c r="G234" i="9"/>
  <c r="G315" i="9"/>
  <c r="F330" i="9"/>
  <c r="F37" i="9"/>
  <c r="J226" i="9"/>
  <c r="J883" i="9"/>
  <c r="G429" i="9"/>
  <c r="H429" i="9" s="1"/>
  <c r="I429" i="9" s="1"/>
  <c r="G206" i="9"/>
  <c r="F192" i="9"/>
  <c r="G879" i="9"/>
  <c r="D195" i="9"/>
  <c r="E195" i="9" s="1"/>
  <c r="F443" i="9"/>
  <c r="G322" i="9"/>
  <c r="J441" i="9"/>
  <c r="D869" i="9"/>
  <c r="E869" i="9" s="1"/>
  <c r="G102" i="9"/>
  <c r="F130" i="9"/>
  <c r="G346" i="9"/>
  <c r="F228" i="9"/>
  <c r="D40" i="9"/>
  <c r="E40" i="9" s="1"/>
  <c r="D338" i="9"/>
  <c r="E338" i="9" s="1"/>
  <c r="D110" i="9"/>
  <c r="E110" i="9" s="1"/>
  <c r="D221" i="9"/>
  <c r="E221" i="9" s="1"/>
  <c r="D117" i="9"/>
  <c r="E117" i="9" s="1"/>
  <c r="G194" i="9"/>
  <c r="J444" i="9"/>
  <c r="G445" i="9"/>
  <c r="G199" i="9"/>
  <c r="D189" i="9"/>
  <c r="E189" i="9" s="1"/>
  <c r="J19" i="9"/>
  <c r="J438" i="9"/>
  <c r="F439" i="9"/>
  <c r="F864" i="9"/>
  <c r="D861" i="9"/>
  <c r="E861" i="9" s="1"/>
  <c r="F200" i="9"/>
  <c r="F188" i="9"/>
  <c r="J191" i="9"/>
  <c r="G245" i="9"/>
  <c r="F38" i="9"/>
  <c r="D446" i="9"/>
  <c r="E446" i="9" s="1"/>
  <c r="J850" i="9"/>
  <c r="F333" i="9"/>
  <c r="J908" i="9"/>
  <c r="D433" i="9"/>
  <c r="E433" i="9" s="1"/>
  <c r="J23" i="9"/>
  <c r="G872" i="9"/>
  <c r="F232" i="9"/>
  <c r="D299" i="9"/>
  <c r="E299" i="9" s="1"/>
  <c r="J63" i="9"/>
  <c r="G112" i="9"/>
  <c r="F915" i="9"/>
  <c r="F890" i="9"/>
  <c r="J900" i="9"/>
  <c r="J337" i="9"/>
  <c r="J335" i="9"/>
  <c r="G871" i="9"/>
  <c r="G292" i="9"/>
  <c r="F907" i="9"/>
  <c r="J344" i="9"/>
  <c r="D894" i="9"/>
  <c r="E894" i="9" s="1"/>
  <c r="G442" i="9"/>
  <c r="J853" i="9"/>
  <c r="F885" i="9"/>
  <c r="F184" i="9"/>
  <c r="F288" i="9"/>
  <c r="J227" i="9"/>
  <c r="F329" i="9"/>
  <c r="G539" i="9"/>
  <c r="J548" i="9"/>
  <c r="D128" i="9"/>
  <c r="E128" i="9" s="1"/>
  <c r="F115" i="9"/>
  <c r="G205" i="9"/>
  <c r="F430" i="9"/>
  <c r="D10" i="9"/>
  <c r="E10" i="9" s="1"/>
  <c r="F424" i="9"/>
  <c r="G425" i="9"/>
  <c r="F105" i="9"/>
  <c r="G857" i="9"/>
  <c r="F289" i="9"/>
  <c r="F293" i="9"/>
  <c r="F538" i="9"/>
  <c r="D426" i="9"/>
  <c r="E426" i="9" s="1"/>
  <c r="D56" i="9"/>
  <c r="E56" i="9" s="1"/>
  <c r="F113" i="9"/>
  <c r="J911" i="9"/>
  <c r="G11" i="9"/>
  <c r="F21" i="9"/>
  <c r="G193" i="9"/>
  <c r="G311" i="9"/>
  <c r="J320" i="9"/>
  <c r="J327" i="9"/>
  <c r="G73" i="9"/>
  <c r="F13" i="9"/>
  <c r="G886" i="9"/>
  <c r="D905" i="9"/>
  <c r="E905" i="9" s="1"/>
  <c r="D12" i="9"/>
  <c r="E12" i="9" s="1"/>
  <c r="F910" i="9"/>
  <c r="J107" i="9"/>
  <c r="F300" i="9"/>
  <c r="J239" i="9"/>
  <c r="D322" i="9"/>
  <c r="E322" i="9" s="1"/>
  <c r="D535" i="9"/>
  <c r="E535" i="9" s="1"/>
  <c r="F314" i="9"/>
  <c r="G698" i="12"/>
  <c r="G792" i="12"/>
  <c r="G739" i="12"/>
  <c r="G791" i="12"/>
  <c r="G702" i="12"/>
  <c r="G818" i="12"/>
  <c r="G729" i="12"/>
  <c r="D787" i="5"/>
  <c r="E787" i="5" s="1"/>
  <c r="F226" i="9"/>
  <c r="J854" i="9"/>
  <c r="G441" i="9"/>
  <c r="D899" i="9"/>
  <c r="E899" i="9" s="1"/>
  <c r="F345" i="9"/>
  <c r="J117" i="9"/>
  <c r="F858" i="9"/>
  <c r="J346" i="9"/>
  <c r="G313" i="9"/>
  <c r="G302" i="9"/>
  <c r="F321" i="9"/>
  <c r="D340" i="9"/>
  <c r="E340" i="9" s="1"/>
  <c r="F863" i="9"/>
  <c r="G123" i="9"/>
  <c r="G110" i="9"/>
  <c r="F867" i="9"/>
  <c r="G291" i="9"/>
  <c r="J323" i="9"/>
  <c r="J445" i="9"/>
  <c r="D904" i="9"/>
  <c r="E904" i="9" s="1"/>
  <c r="G108" i="9"/>
  <c r="G439" i="9"/>
  <c r="G864" i="9"/>
  <c r="G20" i="9"/>
  <c r="G187" i="9"/>
  <c r="G238" i="9"/>
  <c r="G246" i="9"/>
  <c r="G66" i="9"/>
  <c r="D16" i="9"/>
  <c r="E16" i="9" s="1"/>
  <c r="D23" i="9"/>
  <c r="E23" i="9" s="1"/>
  <c r="G215" i="9"/>
  <c r="J868" i="9"/>
  <c r="J307" i="9"/>
  <c r="F299" i="9"/>
  <c r="F63" i="9"/>
  <c r="D127" i="9"/>
  <c r="E127" i="9" s="1"/>
  <c r="G427" i="9"/>
  <c r="J341" i="9"/>
  <c r="F900" i="9"/>
  <c r="G342" i="9"/>
  <c r="F896" i="9"/>
  <c r="J114" i="9"/>
  <c r="D344" i="9"/>
  <c r="E344" i="9" s="1"/>
  <c r="F912" i="9"/>
  <c r="G440" i="9"/>
  <c r="D202" i="9"/>
  <c r="E202" i="9" s="1"/>
  <c r="G913" i="9"/>
  <c r="F853" i="9"/>
  <c r="J860" i="9"/>
  <c r="J304" i="9"/>
  <c r="G301" i="9"/>
  <c r="F331" i="9"/>
  <c r="G51" i="9"/>
  <c r="D104" i="9"/>
  <c r="E104" i="9" s="1"/>
  <c r="G344" i="9"/>
  <c r="D902" i="9"/>
  <c r="E902" i="9" s="1"/>
  <c r="G214" i="9"/>
  <c r="G916" i="9"/>
  <c r="J430" i="9"/>
  <c r="G10" i="9"/>
  <c r="G18" i="9"/>
  <c r="D888" i="9"/>
  <c r="E888" i="9" s="1"/>
  <c r="F305" i="9"/>
  <c r="D289" i="9"/>
  <c r="E289" i="9" s="1"/>
  <c r="J325" i="9"/>
  <c r="G324" i="9"/>
  <c r="D536" i="9"/>
  <c r="E536" i="9" s="1"/>
  <c r="D205" i="9"/>
  <c r="E205" i="9" s="1"/>
  <c r="D194" i="9"/>
  <c r="E194" i="9" s="1"/>
  <c r="J116" i="9"/>
  <c r="D113" i="9"/>
  <c r="E113" i="9" s="1"/>
  <c r="J201" i="9"/>
  <c r="F122" i="9"/>
  <c r="D336" i="9"/>
  <c r="E336" i="9" s="1"/>
  <c r="G21" i="9"/>
  <c r="D312" i="9"/>
  <c r="E312" i="9" s="1"/>
  <c r="J44" i="9"/>
  <c r="D242" i="9"/>
  <c r="E242" i="9" s="1"/>
  <c r="F209" i="9"/>
  <c r="G854" i="9"/>
  <c r="D874" i="9"/>
  <c r="E874" i="9" s="1"/>
  <c r="D290" i="9"/>
  <c r="E290" i="9" s="1"/>
  <c r="D328" i="9"/>
  <c r="E328" i="9" s="1"/>
  <c r="J315" i="9"/>
  <c r="G910" i="9"/>
  <c r="G758" i="12"/>
  <c r="G799" i="12"/>
  <c r="G760" i="12"/>
  <c r="G756" i="12"/>
  <c r="G715" i="12"/>
  <c r="G812" i="12"/>
  <c r="G783" i="12"/>
  <c r="G772" i="12"/>
  <c r="G686" i="12"/>
  <c r="G706" i="12"/>
  <c r="F502" i="5"/>
  <c r="H502" i="5" s="1"/>
  <c r="D488" i="5"/>
  <c r="E488" i="5" s="1"/>
  <c r="F815" i="5"/>
  <c r="H815" i="5" s="1"/>
  <c r="G820" i="5"/>
  <c r="F786" i="5"/>
  <c r="H786" i="5" s="1"/>
  <c r="G551" i="5"/>
  <c r="G805" i="5"/>
  <c r="F784" i="5"/>
  <c r="H784" i="5" s="1"/>
  <c r="D742" i="5"/>
  <c r="E742" i="5" s="1"/>
  <c r="F710" i="5"/>
  <c r="H710" i="5" s="1"/>
  <c r="F486" i="5"/>
  <c r="H486" i="5" s="1"/>
  <c r="F661" i="5"/>
  <c r="H661" i="5" s="1"/>
  <c r="D575" i="5"/>
  <c r="E575" i="5" s="1"/>
  <c r="F562" i="5"/>
  <c r="H562" i="5" s="1"/>
  <c r="D529" i="5"/>
  <c r="E529" i="5" s="1"/>
  <c r="D801" i="5"/>
  <c r="E801" i="5" s="1"/>
  <c r="F749" i="5"/>
  <c r="H749" i="5" s="1"/>
  <c r="G762" i="5"/>
  <c r="G732" i="5"/>
  <c r="D755" i="5"/>
  <c r="E755" i="5" s="1"/>
  <c r="D709" i="5"/>
  <c r="E709" i="5" s="1"/>
  <c r="D496" i="5"/>
  <c r="E496" i="5" s="1"/>
  <c r="F482" i="5"/>
  <c r="H482" i="5" s="1"/>
  <c r="F721" i="5"/>
  <c r="H721" i="5" s="1"/>
  <c r="G494" i="5"/>
  <c r="D632" i="5"/>
  <c r="E632" i="5" s="1"/>
  <c r="D665" i="5"/>
  <c r="E665" i="5" s="1"/>
  <c r="D638" i="5"/>
  <c r="E638" i="5" s="1"/>
  <c r="G537" i="5"/>
  <c r="F817" i="5"/>
  <c r="H817" i="5" s="1"/>
  <c r="G708" i="5"/>
  <c r="G686" i="5"/>
  <c r="F818" i="5"/>
  <c r="H818" i="5" s="1"/>
  <c r="D789" i="5"/>
  <c r="E789" i="5" s="1"/>
  <c r="D745" i="5"/>
  <c r="E745" i="5" s="1"/>
  <c r="D705" i="5"/>
  <c r="E705" i="5" s="1"/>
  <c r="D689" i="5"/>
  <c r="E689" i="5" s="1"/>
  <c r="D520" i="5"/>
  <c r="E520" i="5" s="1"/>
  <c r="G504" i="5"/>
  <c r="F634" i="5"/>
  <c r="H634" i="5" s="1"/>
  <c r="G534" i="5"/>
  <c r="F535" i="5"/>
  <c r="H535" i="5" s="1"/>
  <c r="F806" i="5"/>
  <c r="H806" i="5" s="1"/>
  <c r="G558" i="5"/>
  <c r="G547" i="5"/>
  <c r="G821" i="5"/>
  <c r="D776" i="5"/>
  <c r="E776" i="5" s="1"/>
  <c r="G769" i="5"/>
  <c r="F743" i="5"/>
  <c r="H743" i="5" s="1"/>
  <c r="G718" i="5"/>
  <c r="D497" i="5"/>
  <c r="E497" i="5" s="1"/>
  <c r="F647" i="5"/>
  <c r="H647" i="5" s="1"/>
  <c r="F653" i="5"/>
  <c r="H653" i="5" s="1"/>
  <c r="G814" i="5"/>
  <c r="F791" i="5"/>
  <c r="H791" i="5" s="1"/>
  <c r="D783" i="5"/>
  <c r="E783" i="5" s="1"/>
  <c r="D726" i="5"/>
  <c r="E726" i="5" s="1"/>
  <c r="G748" i="5"/>
  <c r="G493" i="5"/>
  <c r="G808" i="5"/>
  <c r="F770" i="5"/>
  <c r="H770" i="5" s="1"/>
  <c r="G729" i="5"/>
  <c r="G715" i="5"/>
  <c r="G489" i="5"/>
  <c r="D672" i="5"/>
  <c r="E672" i="5" s="1"/>
  <c r="G669" i="5"/>
  <c r="G530" i="5"/>
  <c r="G546" i="5"/>
  <c r="G559" i="5"/>
  <c r="D720" i="5"/>
  <c r="E720" i="5" s="1"/>
  <c r="D673" i="5"/>
  <c r="E673" i="5" s="1"/>
  <c r="D662" i="5"/>
  <c r="E662" i="5" s="1"/>
  <c r="D660" i="5"/>
  <c r="E660" i="5" s="1"/>
  <c r="F569" i="5"/>
  <c r="H569" i="5" s="1"/>
  <c r="G531" i="5"/>
  <c r="G561" i="5"/>
  <c r="J240" i="9"/>
  <c r="G118" i="9"/>
  <c r="F109" i="9"/>
  <c r="D206" i="9"/>
  <c r="E206" i="9" s="1"/>
  <c r="J224" i="9"/>
  <c r="J228" i="9"/>
  <c r="G540" i="9"/>
  <c r="G914" i="9"/>
  <c r="D897" i="9"/>
  <c r="E897" i="9" s="1"/>
  <c r="J893" i="9"/>
  <c r="G124" i="9"/>
  <c r="G867" i="9"/>
  <c r="F22" i="9"/>
  <c r="G198" i="9"/>
  <c r="G428" i="9"/>
  <c r="F199" i="9"/>
  <c r="G19" i="9"/>
  <c r="D438" i="9"/>
  <c r="E438" i="9" s="1"/>
  <c r="G121" i="9"/>
  <c r="J859" i="9"/>
  <c r="J188" i="9"/>
  <c r="F310" i="9"/>
  <c r="D852" i="9"/>
  <c r="E852" i="9" s="1"/>
  <c r="F534" i="9"/>
  <c r="G287" i="9"/>
  <c r="G869" i="9"/>
  <c r="G899" i="9"/>
  <c r="G858" i="9"/>
  <c r="G228" i="9"/>
  <c r="D540" i="9"/>
  <c r="E540" i="9" s="1"/>
  <c r="D914" i="9"/>
  <c r="E914" i="9" s="1"/>
  <c r="D123" i="9"/>
  <c r="E123" i="9" s="1"/>
  <c r="J897" i="9"/>
  <c r="J221" i="9"/>
  <c r="G875" i="9"/>
  <c r="J867" i="9"/>
  <c r="J22" i="9"/>
  <c r="F884" i="9"/>
  <c r="J199" i="9"/>
  <c r="F189" i="9"/>
  <c r="J891" i="9"/>
  <c r="D108" i="9"/>
  <c r="E108" i="9" s="1"/>
  <c r="D439" i="9"/>
  <c r="E439" i="9" s="1"/>
  <c r="F861" i="9"/>
  <c r="J200" i="9"/>
  <c r="F238" i="9"/>
  <c r="G310" i="9"/>
  <c r="J66" i="9"/>
  <c r="D295" i="9"/>
  <c r="E295" i="9" s="1"/>
  <c r="J446" i="9"/>
  <c r="G850" i="9"/>
  <c r="J901" i="9"/>
  <c r="J119" i="9"/>
  <c r="J16" i="9"/>
  <c r="F217" i="9"/>
  <c r="F849" i="9"/>
  <c r="F307" i="9"/>
  <c r="G196" i="9"/>
  <c r="F229" i="9"/>
  <c r="D542" i="9"/>
  <c r="E542" i="9" s="1"/>
  <c r="G537" i="9"/>
  <c r="J427" i="9"/>
  <c r="J887" i="9"/>
  <c r="F128" i="9"/>
  <c r="G332" i="9"/>
  <c r="G14" i="9"/>
  <c r="F337" i="9"/>
  <c r="G873" i="9"/>
  <c r="F182" i="9"/>
  <c r="F894" i="9"/>
  <c r="J440" i="9"/>
  <c r="J202" i="9"/>
  <c r="G885" i="9"/>
  <c r="J301" i="9"/>
  <c r="J331" i="9"/>
  <c r="D51" i="9"/>
  <c r="E51" i="9" s="1"/>
  <c r="D45" i="9"/>
  <c r="E45" i="9" s="1"/>
  <c r="D115" i="9"/>
  <c r="E115" i="9" s="1"/>
  <c r="G882" i="9"/>
  <c r="D125" i="9"/>
  <c r="E125" i="9" s="1"/>
  <c r="J424" i="9"/>
  <c r="F425" i="9"/>
  <c r="J888" i="9"/>
  <c r="G305" i="9"/>
  <c r="G235" i="9"/>
  <c r="G293" i="9"/>
  <c r="F56" i="9"/>
  <c r="D903" i="9"/>
  <c r="E903" i="9" s="1"/>
  <c r="J852" i="9"/>
  <c r="J336" i="9"/>
  <c r="J208" i="9"/>
  <c r="G220" i="9"/>
  <c r="J311" i="9"/>
  <c r="G320" i="9"/>
  <c r="D46" i="9"/>
  <c r="E46" i="9" s="1"/>
  <c r="F201" i="9"/>
  <c r="G880" i="9"/>
  <c r="J909" i="9"/>
  <c r="J881" i="9"/>
  <c r="G180" i="9"/>
  <c r="D314" i="9"/>
  <c r="E314" i="9" s="1"/>
  <c r="D48" i="9"/>
  <c r="E48" i="9" s="1"/>
  <c r="F69" i="9"/>
  <c r="G821" i="12"/>
  <c r="G776" i="12"/>
  <c r="G742" i="12"/>
  <c r="G682" i="12"/>
  <c r="G745" i="12"/>
  <c r="D543" i="5"/>
  <c r="E543" i="5" s="1"/>
  <c r="D758" i="5"/>
  <c r="E758" i="5" s="1"/>
  <c r="F779" i="5"/>
  <c r="H779" i="5" s="1"/>
  <c r="F491" i="5"/>
  <c r="H491" i="5" s="1"/>
  <c r="F551" i="5"/>
  <c r="H551" i="5" s="1"/>
  <c r="G782" i="5"/>
  <c r="F685" i="5"/>
  <c r="H685" i="5" s="1"/>
  <c r="F514" i="5"/>
  <c r="H514" i="5" s="1"/>
  <c r="F523" i="5"/>
  <c r="H523" i="5" s="1"/>
  <c r="F640" i="5"/>
  <c r="H640" i="5" s="1"/>
  <c r="G656" i="5"/>
  <c r="F533" i="5"/>
  <c r="H533" i="5" s="1"/>
  <c r="D640" i="5"/>
  <c r="E640" i="5" s="1"/>
  <c r="F781" i="5"/>
  <c r="H781" i="5" s="1"/>
  <c r="F287" i="9"/>
  <c r="F195" i="9"/>
  <c r="F869" i="9"/>
  <c r="F117" i="9"/>
  <c r="F313" i="9"/>
  <c r="G321" i="9"/>
  <c r="D53" i="9"/>
  <c r="E53" i="9" s="1"/>
  <c r="D867" i="9"/>
  <c r="E867" i="9" s="1"/>
  <c r="J194" i="9"/>
  <c r="G127" i="9"/>
  <c r="J108" i="9"/>
  <c r="G106" i="9"/>
  <c r="F866" i="9"/>
  <c r="D223" i="9"/>
  <c r="E223" i="9" s="1"/>
  <c r="D306" i="9"/>
  <c r="E306" i="9" s="1"/>
  <c r="G319" i="9"/>
  <c r="J38" i="9"/>
  <c r="F213" i="9"/>
  <c r="G895" i="9"/>
  <c r="F870" i="9"/>
  <c r="F334" i="9"/>
  <c r="G17" i="9"/>
  <c r="D872" i="9"/>
  <c r="E872" i="9" s="1"/>
  <c r="J298" i="9"/>
  <c r="F244" i="9"/>
  <c r="F542" i="9"/>
  <c r="J128" i="9"/>
  <c r="D14" i="9"/>
  <c r="E14" i="9" s="1"/>
  <c r="J871" i="9"/>
  <c r="J233" i="9"/>
  <c r="F124" i="9"/>
  <c r="G211" i="9"/>
  <c r="J894" i="9"/>
  <c r="F440" i="9"/>
  <c r="J111" i="9"/>
  <c r="D855" i="9"/>
  <c r="E855" i="9" s="1"/>
  <c r="G853" i="9"/>
  <c r="G860" i="9"/>
  <c r="D288" i="9"/>
  <c r="E288" i="9" s="1"/>
  <c r="J329" i="9"/>
  <c r="D539" i="9"/>
  <c r="E539" i="9" s="1"/>
  <c r="F877" i="9"/>
  <c r="G430" i="9"/>
  <c r="F889" i="9"/>
  <c r="J309" i="9"/>
  <c r="J543" i="9"/>
  <c r="J15" i="9"/>
  <c r="J11" i="9"/>
  <c r="G876" i="9"/>
  <c r="F312" i="9"/>
  <c r="D116" i="9"/>
  <c r="E116" i="9" s="1"/>
  <c r="F541" i="9"/>
  <c r="F886" i="9"/>
  <c r="J180" i="9"/>
  <c r="D239" i="9"/>
  <c r="E239" i="9" s="1"/>
  <c r="D69" i="9"/>
  <c r="E69" i="9" s="1"/>
  <c r="F183" i="9"/>
  <c r="G736" i="12"/>
  <c r="G753" i="12"/>
  <c r="G782" i="12"/>
  <c r="F682" i="12"/>
  <c r="H682" i="12" s="1"/>
  <c r="G714" i="12"/>
  <c r="G797" i="12"/>
  <c r="G733" i="12"/>
  <c r="G781" i="12"/>
  <c r="F673" i="5"/>
  <c r="H673" i="5" s="1"/>
  <c r="F773" i="5"/>
  <c r="H773" i="5" s="1"/>
  <c r="F683" i="5"/>
  <c r="H683" i="5" s="1"/>
  <c r="F693" i="5"/>
  <c r="H693" i="5" s="1"/>
  <c r="G567" i="5"/>
  <c r="I567" i="5" s="1"/>
  <c r="J567" i="5" s="1"/>
  <c r="G761" i="5"/>
  <c r="G756" i="5"/>
  <c r="G710" i="5"/>
  <c r="G514" i="5"/>
  <c r="D680" i="5"/>
  <c r="E680" i="5" s="1"/>
  <c r="G649" i="5"/>
  <c r="F529" i="5"/>
  <c r="H529" i="5" s="1"/>
  <c r="D749" i="5"/>
  <c r="E749" i="5" s="1"/>
  <c r="G781" i="5"/>
  <c r="F731" i="5"/>
  <c r="H731" i="5" s="1"/>
  <c r="F755" i="5"/>
  <c r="H755" i="5" s="1"/>
  <c r="G700" i="5"/>
  <c r="G501" i="5"/>
  <c r="F487" i="5"/>
  <c r="H487" i="5" s="1"/>
  <c r="F517" i="5"/>
  <c r="H517" i="5" s="1"/>
  <c r="F663" i="5"/>
  <c r="H663" i="5" s="1"/>
  <c r="D532" i="5"/>
  <c r="E532" i="5" s="1"/>
  <c r="G638" i="5"/>
  <c r="F565" i="5"/>
  <c r="H565" i="5" s="1"/>
  <c r="D492" i="5"/>
  <c r="E492" i="5" s="1"/>
  <c r="D796" i="5"/>
  <c r="E796" i="5" s="1"/>
  <c r="G772" i="5"/>
  <c r="D767" i="5"/>
  <c r="E767" i="5" s="1"/>
  <c r="G738" i="5"/>
  <c r="F705" i="5"/>
  <c r="H705" i="5" s="1"/>
  <c r="F692" i="5"/>
  <c r="H692" i="5" s="1"/>
  <c r="F503" i="5"/>
  <c r="H503" i="5" s="1"/>
  <c r="F681" i="5"/>
  <c r="H681" i="5" s="1"/>
  <c r="F553" i="5"/>
  <c r="H553" i="5" s="1"/>
  <c r="D761" i="5"/>
  <c r="E761" i="5" s="1"/>
  <c r="F573" i="5"/>
  <c r="H573" i="5" s="1"/>
  <c r="G799" i="5"/>
  <c r="D792" i="5"/>
  <c r="E792" i="5" s="1"/>
  <c r="F776" i="5"/>
  <c r="H776" i="5" s="1"/>
  <c r="G747" i="5"/>
  <c r="G696" i="5"/>
  <c r="G483" i="5"/>
  <c r="G653" i="5"/>
  <c r="G802" i="5"/>
  <c r="F778" i="5"/>
  <c r="H778" i="5" s="1"/>
  <c r="D766" i="5"/>
  <c r="E766" i="5" s="1"/>
  <c r="D725" i="5"/>
  <c r="E725" i="5" s="1"/>
  <c r="F493" i="5"/>
  <c r="H493" i="5" s="1"/>
  <c r="D713" i="5"/>
  <c r="E713" i="5" s="1"/>
  <c r="F811" i="5"/>
  <c r="H811" i="5" s="1"/>
  <c r="G788" i="5"/>
  <c r="G777" i="5"/>
  <c r="F764" i="5"/>
  <c r="H764" i="5" s="1"/>
  <c r="F729" i="5"/>
  <c r="H729" i="5" s="1"/>
  <c r="G697" i="5"/>
  <c r="F690" i="5"/>
  <c r="H690" i="5" s="1"/>
  <c r="F518" i="5"/>
  <c r="H518" i="5" s="1"/>
  <c r="F658" i="5"/>
  <c r="H658" i="5" s="1"/>
  <c r="F538" i="5"/>
  <c r="H538" i="5" s="1"/>
  <c r="F576" i="5"/>
  <c r="H576" i="5" s="1"/>
  <c r="F571" i="5"/>
  <c r="H571" i="5" s="1"/>
  <c r="D522" i="5"/>
  <c r="E522" i="5" s="1"/>
  <c r="G667" i="5"/>
  <c r="F635" i="5"/>
  <c r="H635" i="5" s="1"/>
  <c r="F561" i="5"/>
  <c r="H561" i="5" s="1"/>
  <c r="G803" i="5"/>
  <c r="F794" i="5"/>
  <c r="H794" i="5" s="1"/>
  <c r="G780" i="5"/>
  <c r="G759" i="5"/>
  <c r="D699" i="5"/>
  <c r="E699" i="5" s="1"/>
  <c r="D525" i="5"/>
  <c r="E525" i="5" s="1"/>
  <c r="F515" i="5"/>
  <c r="H515" i="5" s="1"/>
  <c r="F650" i="5"/>
  <c r="H650" i="5" s="1"/>
  <c r="G644" i="5"/>
  <c r="F536" i="5"/>
  <c r="H536" i="5" s="1"/>
  <c r="F539" i="5"/>
  <c r="H539" i="5" s="1"/>
  <c r="D718" i="5"/>
  <c r="E718" i="5" s="1"/>
  <c r="D679" i="5"/>
  <c r="E679" i="5" s="1"/>
  <c r="F501" i="5"/>
  <c r="H501" i="5" s="1"/>
  <c r="F854" i="9"/>
  <c r="J109" i="9"/>
  <c r="D192" i="9"/>
  <c r="E192" i="9" s="1"/>
  <c r="J879" i="9"/>
  <c r="J225" i="9"/>
  <c r="J53" i="9"/>
  <c r="J110" i="9"/>
  <c r="D199" i="9"/>
  <c r="E199" i="9" s="1"/>
  <c r="F856" i="9"/>
  <c r="J106" i="9"/>
  <c r="G866" i="9"/>
  <c r="D200" i="9"/>
  <c r="E200" i="9" s="1"/>
  <c r="G191" i="9"/>
  <c r="J546" i="9"/>
  <c r="G213" i="9"/>
  <c r="G870" i="9"/>
  <c r="J334" i="9"/>
  <c r="G437" i="9"/>
  <c r="F868" i="9"/>
  <c r="D298" i="9"/>
  <c r="E298" i="9" s="1"/>
  <c r="G244" i="9"/>
  <c r="J35" i="9"/>
  <c r="G915" i="9"/>
  <c r="G218" i="9"/>
  <c r="D900" i="9"/>
  <c r="E900" i="9" s="1"/>
  <c r="D222" i="9"/>
  <c r="E222" i="9" s="1"/>
  <c r="J896" i="9"/>
  <c r="D211" i="9"/>
  <c r="E211" i="9" s="1"/>
  <c r="G912" i="9"/>
  <c r="D111" i="9"/>
  <c r="E111" i="9" s="1"/>
  <c r="F913" i="9"/>
  <c r="G865" i="9"/>
  <c r="J184" i="9"/>
  <c r="D301" i="9"/>
  <c r="E301" i="9" s="1"/>
  <c r="G329" i="9"/>
  <c r="J45" i="9"/>
  <c r="J426" i="9"/>
  <c r="G888" i="9"/>
  <c r="G236" i="9"/>
  <c r="G309" i="9"/>
  <c r="G543" i="9"/>
  <c r="D864" i="9"/>
  <c r="E864" i="9" s="1"/>
  <c r="G15" i="9"/>
  <c r="J447" i="9"/>
  <c r="F11" i="9"/>
  <c r="J193" i="9"/>
  <c r="F294" i="9"/>
  <c r="D209" i="9"/>
  <c r="E209" i="9" s="1"/>
  <c r="F193" i="9"/>
  <c r="F107" i="9"/>
  <c r="D243" i="9"/>
  <c r="E243" i="9" s="1"/>
  <c r="F239" i="9"/>
  <c r="G69" i="9"/>
  <c r="F535" i="9"/>
  <c r="G784" i="12"/>
  <c r="G723" i="12"/>
  <c r="G804" i="12"/>
  <c r="G707" i="12"/>
  <c r="G789" i="12"/>
  <c r="G754" i="12"/>
  <c r="G718" i="12"/>
  <c r="D502" i="5"/>
  <c r="E502" i="5" s="1"/>
  <c r="G779" i="5"/>
  <c r="G683" i="5"/>
  <c r="F787" i="5"/>
  <c r="H787" i="5" s="1"/>
  <c r="G550" i="5"/>
  <c r="F761" i="5"/>
  <c r="H761" i="5" s="1"/>
  <c r="D710" i="5"/>
  <c r="E710" i="5" s="1"/>
  <c r="G685" i="5"/>
  <c r="G680" i="5"/>
  <c r="D649" i="5"/>
  <c r="E649" i="5" s="1"/>
  <c r="F577" i="5"/>
  <c r="H577" i="5" s="1"/>
  <c r="D711" i="5"/>
  <c r="E711" i="5" s="1"/>
  <c r="D732" i="5"/>
  <c r="E732" i="5" s="1"/>
  <c r="D700" i="5"/>
  <c r="E700" i="5" s="1"/>
  <c r="D501" i="5"/>
  <c r="E501" i="5" s="1"/>
  <c r="D482" i="5"/>
  <c r="E482" i="5" s="1"/>
  <c r="F694" i="5"/>
  <c r="H694" i="5" s="1"/>
  <c r="G509" i="5"/>
  <c r="F642" i="5"/>
  <c r="H642" i="5" s="1"/>
  <c r="G532" i="5"/>
  <c r="F638" i="5"/>
  <c r="H638" i="5" s="1"/>
  <c r="G565" i="5"/>
  <c r="D645" i="5"/>
  <c r="E645" i="5" s="1"/>
  <c r="F492" i="5"/>
  <c r="H492" i="5" s="1"/>
  <c r="G819" i="5"/>
  <c r="F772" i="5"/>
  <c r="H772" i="5" s="1"/>
  <c r="F728" i="5"/>
  <c r="H728" i="5" s="1"/>
  <c r="G745" i="5"/>
  <c r="G703" i="5"/>
  <c r="D692" i="5"/>
  <c r="E692" i="5" s="1"/>
  <c r="G481" i="5"/>
  <c r="G675" i="5"/>
  <c r="F651" i="5"/>
  <c r="H651" i="5" s="1"/>
  <c r="G535" i="5"/>
  <c r="D708" i="5"/>
  <c r="E708" i="5" s="1"/>
  <c r="D573" i="5"/>
  <c r="E573" i="5" s="1"/>
  <c r="D799" i="5"/>
  <c r="E799" i="5" s="1"/>
  <c r="D747" i="5"/>
  <c r="E747" i="5" s="1"/>
  <c r="F702" i="5"/>
  <c r="H702" i="5" s="1"/>
  <c r="F497" i="5"/>
  <c r="H497" i="5" s="1"/>
  <c r="G647" i="5"/>
  <c r="D653" i="5"/>
  <c r="E653" i="5" s="1"/>
  <c r="G804" i="5"/>
  <c r="D802" i="5"/>
  <c r="E802" i="5" s="1"/>
  <c r="D778" i="5"/>
  <c r="E778" i="5" s="1"/>
  <c r="F726" i="5"/>
  <c r="H726" i="5" s="1"/>
  <c r="F748" i="5"/>
  <c r="H748" i="5" s="1"/>
  <c r="F485" i="5"/>
  <c r="H485" i="5" s="1"/>
  <c r="D811" i="5"/>
  <c r="E811" i="5" s="1"/>
  <c r="F788" i="5"/>
  <c r="H788" i="5" s="1"/>
  <c r="D777" i="5"/>
  <c r="E777" i="5" s="1"/>
  <c r="D764" i="5"/>
  <c r="E764" i="5" s="1"/>
  <c r="D729" i="5"/>
  <c r="E729" i="5" s="1"/>
  <c r="F697" i="5"/>
  <c r="H697" i="5" s="1"/>
  <c r="G518" i="5"/>
  <c r="F669" i="5"/>
  <c r="H669" i="5" s="1"/>
  <c r="F530" i="5"/>
  <c r="H530" i="5" s="1"/>
  <c r="G576" i="5"/>
  <c r="D571" i="5"/>
  <c r="E571" i="5" s="1"/>
  <c r="D493" i="5"/>
  <c r="E493" i="5" s="1"/>
  <c r="D667" i="5"/>
  <c r="E667" i="5" s="1"/>
  <c r="G569" i="5"/>
  <c r="F531" i="5"/>
  <c r="H531" i="5" s="1"/>
  <c r="D561" i="5"/>
  <c r="E561" i="5" s="1"/>
  <c r="G790" i="5"/>
  <c r="G774" i="5"/>
  <c r="F704" i="5"/>
  <c r="H704" i="5" s="1"/>
  <c r="G699" i="5"/>
  <c r="G534" i="9"/>
  <c r="G883" i="9"/>
  <c r="G345" i="9"/>
  <c r="J130" i="9"/>
  <c r="G216" i="9"/>
  <c r="D225" i="9"/>
  <c r="E225" i="9" s="1"/>
  <c r="G40" i="9"/>
  <c r="F914" i="9"/>
  <c r="D346" i="9"/>
  <c r="E346" i="9" s="1"/>
  <c r="G323" i="9"/>
  <c r="G906" i="9"/>
  <c r="G856" i="9"/>
  <c r="J439" i="9"/>
  <c r="D187" i="9"/>
  <c r="E187" i="9" s="1"/>
  <c r="J310" i="9"/>
  <c r="F546" i="9"/>
  <c r="F446" i="9"/>
  <c r="F16" i="9"/>
  <c r="D334" i="9"/>
  <c r="E334" i="9" s="1"/>
  <c r="D868" i="9"/>
  <c r="E868" i="9" s="1"/>
  <c r="J232" i="9"/>
  <c r="D244" i="9"/>
  <c r="E244" i="9" s="1"/>
  <c r="G63" i="9"/>
  <c r="F112" i="9"/>
  <c r="D915" i="9"/>
  <c r="E915" i="9" s="1"/>
  <c r="F218" i="9"/>
  <c r="G182" i="9"/>
  <c r="J907" i="9"/>
  <c r="D912" i="9"/>
  <c r="E912" i="9" s="1"/>
  <c r="F111" i="9"/>
  <c r="F865" i="9"/>
  <c r="D184" i="9"/>
  <c r="E184" i="9" s="1"/>
  <c r="J296" i="9"/>
  <c r="J51" i="9"/>
  <c r="F916" i="9"/>
  <c r="F426" i="9"/>
  <c r="F203" i="9"/>
  <c r="J857" i="9"/>
  <c r="D236" i="9"/>
  <c r="E236" i="9" s="1"/>
  <c r="F309" i="9"/>
  <c r="F324" i="9"/>
  <c r="D543" i="9"/>
  <c r="E543" i="9" s="1"/>
  <c r="D871" i="9"/>
  <c r="E871" i="9" s="1"/>
  <c r="D447" i="9"/>
  <c r="E447" i="9" s="1"/>
  <c r="F210" i="9"/>
  <c r="G294" i="9"/>
  <c r="G327" i="9"/>
  <c r="G107" i="9"/>
  <c r="D300" i="9"/>
  <c r="E300" i="9" s="1"/>
  <c r="G239" i="9"/>
  <c r="J48" i="9"/>
  <c r="G722" i="12"/>
  <c r="G771" i="12"/>
  <c r="G805" i="12"/>
  <c r="G703" i="12"/>
  <c r="G814" i="12"/>
  <c r="G796" i="12"/>
  <c r="G696" i="12"/>
  <c r="F698" i="5"/>
  <c r="H698" i="5" s="1"/>
  <c r="F820" i="5"/>
  <c r="H820" i="5" s="1"/>
  <c r="F550" i="5"/>
  <c r="H550" i="5" s="1"/>
  <c r="F805" i="5"/>
  <c r="H805" i="5" s="1"/>
  <c r="G722" i="5"/>
  <c r="D685" i="5"/>
  <c r="E685" i="5" s="1"/>
  <c r="D486" i="5"/>
  <c r="E486" i="5" s="1"/>
  <c r="F648" i="5"/>
  <c r="H648" i="5" s="1"/>
  <c r="F649" i="5"/>
  <c r="H649" i="5" s="1"/>
  <c r="D562" i="5"/>
  <c r="E562" i="5" s="1"/>
  <c r="G577" i="5"/>
  <c r="D491" i="5"/>
  <c r="E491" i="5" s="1"/>
  <c r="F762" i="5"/>
  <c r="H762" i="5" s="1"/>
  <c r="D716" i="5"/>
  <c r="E716" i="5" s="1"/>
  <c r="F700" i="5"/>
  <c r="H700" i="5" s="1"/>
  <c r="G496" i="5"/>
  <c r="F752" i="5"/>
  <c r="H752" i="5" s="1"/>
  <c r="G694" i="5"/>
  <c r="D509" i="5"/>
  <c r="E509" i="5" s="1"/>
  <c r="D642" i="5"/>
  <c r="E642" i="5" s="1"/>
  <c r="F665" i="5"/>
  <c r="H665" i="5" s="1"/>
  <c r="G540" i="5"/>
  <c r="F542" i="5"/>
  <c r="H542" i="5" s="1"/>
  <c r="F574" i="5"/>
  <c r="H574" i="5" s="1"/>
  <c r="D528" i="5"/>
  <c r="E528" i="5" s="1"/>
  <c r="G492" i="5"/>
  <c r="F686" i="5"/>
  <c r="H686" i="5" s="1"/>
  <c r="F819" i="5"/>
  <c r="H819" i="5" s="1"/>
  <c r="F797" i="5"/>
  <c r="H797" i="5" s="1"/>
  <c r="D772" i="5"/>
  <c r="E772" i="5" s="1"/>
  <c r="D728" i="5"/>
  <c r="E728" i="5" s="1"/>
  <c r="F745" i="5"/>
  <c r="H745" i="5" s="1"/>
  <c r="F481" i="5"/>
  <c r="H481" i="5" s="1"/>
  <c r="F675" i="5"/>
  <c r="H675" i="5" s="1"/>
  <c r="G639" i="5"/>
  <c r="G549" i="5"/>
  <c r="F753" i="5"/>
  <c r="H753" i="5" s="1"/>
  <c r="F714" i="5"/>
  <c r="H714" i="5" s="1"/>
  <c r="G702" i="5"/>
  <c r="F512" i="5"/>
  <c r="H512" i="5" s="1"/>
  <c r="F641" i="5"/>
  <c r="H641" i="5" s="1"/>
  <c r="F636" i="5"/>
  <c r="H636" i="5" s="1"/>
  <c r="D804" i="5"/>
  <c r="E804" i="5" s="1"/>
  <c r="G783" i="5"/>
  <c r="D303" i="9"/>
  <c r="E303" i="9" s="1"/>
  <c r="J316" i="9"/>
  <c r="J313" i="9"/>
  <c r="D318" i="9"/>
  <c r="E318" i="9" s="1"/>
  <c r="D291" i="9"/>
  <c r="E291" i="9" s="1"/>
  <c r="F127" i="9"/>
  <c r="J904" i="9"/>
  <c r="G438" i="9"/>
  <c r="H438" i="9" s="1"/>
  <c r="I438" i="9" s="1"/>
  <c r="G223" i="9"/>
  <c r="F306" i="9"/>
  <c r="F319" i="9"/>
  <c r="F66" i="9"/>
  <c r="J126" i="9"/>
  <c r="G197" i="9"/>
  <c r="F908" i="9"/>
  <c r="G217" i="9"/>
  <c r="D17" i="9"/>
  <c r="E17" i="9" s="1"/>
  <c r="J872" i="9"/>
  <c r="G307" i="9"/>
  <c r="J237" i="9"/>
  <c r="J542" i="9"/>
  <c r="D428" i="9"/>
  <c r="E428" i="9" s="1"/>
  <c r="J898" i="9"/>
  <c r="J14" i="9"/>
  <c r="D337" i="9"/>
  <c r="E337" i="9" s="1"/>
  <c r="F871" i="9"/>
  <c r="G233" i="9"/>
  <c r="G114" i="9"/>
  <c r="D440" i="9"/>
  <c r="E440" i="9" s="1"/>
  <c r="F855" i="9"/>
  <c r="D860" i="9"/>
  <c r="E860" i="9" s="1"/>
  <c r="J288" i="9"/>
  <c r="G331" i="9"/>
  <c r="F539" i="9"/>
  <c r="F224" i="9"/>
  <c r="G877" i="9"/>
  <c r="F882" i="9"/>
  <c r="D425" i="9"/>
  <c r="E425" i="9" s="1"/>
  <c r="J889" i="9"/>
  <c r="D305" i="9"/>
  <c r="E305" i="9" s="1"/>
  <c r="G241" i="9"/>
  <c r="J536" i="9"/>
  <c r="D186" i="9"/>
  <c r="E186" i="9" s="1"/>
  <c r="G890" i="9"/>
  <c r="J113" i="9"/>
  <c r="J122" i="9"/>
  <c r="D876" i="9"/>
  <c r="E876" i="9" s="1"/>
  <c r="J312" i="9"/>
  <c r="G541" i="9"/>
  <c r="G909" i="9"/>
  <c r="D180" i="9"/>
  <c r="E180" i="9" s="1"/>
  <c r="J328" i="9"/>
  <c r="J69" i="9"/>
  <c r="F881" i="9"/>
  <c r="G747" i="12"/>
  <c r="G778" i="12"/>
  <c r="G773" i="5"/>
  <c r="F484" i="5"/>
  <c r="H484" i="5" s="1"/>
  <c r="G786" i="5"/>
  <c r="F727" i="5"/>
  <c r="H727" i="5" s="1"/>
  <c r="D523" i="5"/>
  <c r="E523" i="5" s="1"/>
  <c r="D661" i="5"/>
  <c r="E661" i="5" s="1"/>
  <c r="G529" i="5"/>
  <c r="F775" i="5"/>
  <c r="H775" i="5" s="1"/>
  <c r="G731" i="5"/>
  <c r="G755" i="5"/>
  <c r="I755" i="5" s="1"/>
  <c r="J755" i="5" s="1"/>
  <c r="D519" i="5"/>
  <c r="E519" i="5" s="1"/>
  <c r="D487" i="5"/>
  <c r="E487" i="5" s="1"/>
  <c r="F737" i="5"/>
  <c r="H737" i="5" s="1"/>
  <c r="G517" i="5"/>
  <c r="I517" i="5" s="1"/>
  <c r="J517" i="5" s="1"/>
  <c r="D663" i="5"/>
  <c r="E663" i="5" s="1"/>
  <c r="F532" i="5"/>
  <c r="H532" i="5" s="1"/>
  <c r="G637" i="5"/>
  <c r="F537" i="5"/>
  <c r="H537" i="5" s="1"/>
  <c r="D779" i="5"/>
  <c r="E779" i="5" s="1"/>
  <c r="F798" i="5"/>
  <c r="H798" i="5" s="1"/>
  <c r="F713" i="5"/>
  <c r="H713" i="5" s="1"/>
  <c r="D818" i="5"/>
  <c r="E818" i="5" s="1"/>
  <c r="G796" i="5"/>
  <c r="F767" i="5"/>
  <c r="H767" i="5" s="1"/>
  <c r="D733" i="5"/>
  <c r="E733" i="5" s="1"/>
  <c r="G705" i="5"/>
  <c r="G689" i="5"/>
  <c r="G503" i="5"/>
  <c r="G681" i="5"/>
  <c r="D566" i="5"/>
  <c r="E566" i="5" s="1"/>
  <c r="G553" i="5"/>
  <c r="D784" i="5"/>
  <c r="E784" i="5" s="1"/>
  <c r="D567" i="5"/>
  <c r="E567" i="5" s="1"/>
  <c r="G573" i="5"/>
  <c r="F799" i="5"/>
  <c r="H799" i="5" s="1"/>
  <c r="G792" i="5"/>
  <c r="D769" i="5"/>
  <c r="E769" i="5" s="1"/>
  <c r="F747" i="5"/>
  <c r="H747" i="5" s="1"/>
  <c r="D696" i="5"/>
  <c r="E696" i="5" s="1"/>
  <c r="G219" i="9"/>
  <c r="D216" i="9"/>
  <c r="E216" i="9" s="1"/>
  <c r="J338" i="9"/>
  <c r="F444" i="9"/>
  <c r="D20" i="9"/>
  <c r="E20" i="9" s="1"/>
  <c r="F245" i="9"/>
  <c r="D321" i="9"/>
  <c r="E321" i="9" s="1"/>
  <c r="F427" i="9"/>
  <c r="D343" i="9"/>
  <c r="E343" i="9" s="1"/>
  <c r="G212" i="9"/>
  <c r="J342" i="9"/>
  <c r="F103" i="9"/>
  <c r="J308" i="9"/>
  <c r="D215" i="9"/>
  <c r="E215" i="9" s="1"/>
  <c r="F125" i="9"/>
  <c r="G892" i="9"/>
  <c r="J105" i="9"/>
  <c r="F235" i="9"/>
  <c r="D538" i="9"/>
  <c r="E538" i="9" s="1"/>
  <c r="F338" i="9"/>
  <c r="F911" i="9"/>
  <c r="D13" i="9"/>
  <c r="E13" i="9" s="1"/>
  <c r="D320" i="9"/>
  <c r="E320" i="9" s="1"/>
  <c r="F297" i="9"/>
  <c r="D204" i="9"/>
  <c r="E204" i="9" s="1"/>
  <c r="D234" i="9"/>
  <c r="E234" i="9" s="1"/>
  <c r="F204" i="9"/>
  <c r="G816" i="12"/>
  <c r="G800" i="12"/>
  <c r="D695" i="12"/>
  <c r="E695" i="12" s="1"/>
  <c r="G685" i="12"/>
  <c r="F736" i="5"/>
  <c r="H736" i="5" s="1"/>
  <c r="F771" i="5"/>
  <c r="H771" i="5" s="1"/>
  <c r="F800" i="5"/>
  <c r="H800" i="5" s="1"/>
  <c r="F739" i="5"/>
  <c r="H739" i="5" s="1"/>
  <c r="G511" i="5"/>
  <c r="G575" i="5"/>
  <c r="D820" i="5"/>
  <c r="E820" i="5" s="1"/>
  <c r="G684" i="5"/>
  <c r="F495" i="5"/>
  <c r="H495" i="5" s="1"/>
  <c r="F751" i="5"/>
  <c r="H751" i="5" s="1"/>
  <c r="G659" i="5"/>
  <c r="G528" i="5"/>
  <c r="G717" i="5"/>
  <c r="F810" i="5"/>
  <c r="H810" i="5" s="1"/>
  <c r="G733" i="5"/>
  <c r="F723" i="5"/>
  <c r="H723" i="5" s="1"/>
  <c r="F521" i="5"/>
  <c r="H521" i="5" s="1"/>
  <c r="G634" i="5"/>
  <c r="G544" i="5"/>
  <c r="D678" i="5"/>
  <c r="E678" i="5" s="1"/>
  <c r="D564" i="5"/>
  <c r="E564" i="5" s="1"/>
  <c r="G816" i="5"/>
  <c r="G735" i="5"/>
  <c r="G707" i="5"/>
  <c r="F522" i="5"/>
  <c r="H522" i="5" s="1"/>
  <c r="G641" i="5"/>
  <c r="G676" i="5"/>
  <c r="G778" i="5"/>
  <c r="F730" i="5"/>
  <c r="H730" i="5" s="1"/>
  <c r="F508" i="5"/>
  <c r="H508" i="5" s="1"/>
  <c r="F807" i="5"/>
  <c r="H807" i="5" s="1"/>
  <c r="G793" i="5"/>
  <c r="F777" i="5"/>
  <c r="H777" i="5" s="1"/>
  <c r="D715" i="5"/>
  <c r="E715" i="5" s="1"/>
  <c r="G658" i="5"/>
  <c r="D541" i="5"/>
  <c r="E541" i="5" s="1"/>
  <c r="G662" i="5"/>
  <c r="D674" i="5"/>
  <c r="E674" i="5" s="1"/>
  <c r="F780" i="5"/>
  <c r="H780" i="5" s="1"/>
  <c r="D744" i="5"/>
  <c r="E744" i="5" s="1"/>
  <c r="F701" i="5"/>
  <c r="H701" i="5" s="1"/>
  <c r="G499" i="5"/>
  <c r="G650" i="5"/>
  <c r="G654" i="5"/>
  <c r="F572" i="5"/>
  <c r="H572" i="5" s="1"/>
  <c r="G560" i="5"/>
  <c r="D727" i="5"/>
  <c r="E727" i="5" s="1"/>
  <c r="D498" i="5"/>
  <c r="E498" i="5" s="1"/>
  <c r="F706" i="5"/>
  <c r="H706" i="5" s="1"/>
  <c r="G817" i="7"/>
  <c r="F785" i="7"/>
  <c r="H785" i="7" s="1"/>
  <c r="F773" i="7"/>
  <c r="H773" i="7" s="1"/>
  <c r="F758" i="7"/>
  <c r="H758" i="7" s="1"/>
  <c r="F721" i="7"/>
  <c r="H721" i="7" s="1"/>
  <c r="F683" i="7"/>
  <c r="H683" i="7" s="1"/>
  <c r="F741" i="7"/>
  <c r="H741" i="7" s="1"/>
  <c r="F704" i="7"/>
  <c r="H704" i="7" s="1"/>
  <c r="G821" i="7"/>
  <c r="F760" i="7"/>
  <c r="H760" i="7" s="1"/>
  <c r="F735" i="7"/>
  <c r="H735" i="7" s="1"/>
  <c r="F718" i="7"/>
  <c r="H718" i="7" s="1"/>
  <c r="F803" i="7"/>
  <c r="H803" i="7" s="1"/>
  <c r="G701" i="7"/>
  <c r="G815" i="7"/>
  <c r="G786" i="7"/>
  <c r="G775" i="7"/>
  <c r="G765" i="7"/>
  <c r="F716" i="7"/>
  <c r="H716" i="7" s="1"/>
  <c r="G700" i="7"/>
  <c r="D684" i="7"/>
  <c r="G813" i="7"/>
  <c r="F787" i="7"/>
  <c r="H787" i="7" s="1"/>
  <c r="F782" i="7"/>
  <c r="H782" i="7" s="1"/>
  <c r="F724" i="7"/>
  <c r="H724" i="7" s="1"/>
  <c r="F727" i="7"/>
  <c r="H727" i="7" s="1"/>
  <c r="F711" i="7"/>
  <c r="H711" i="7" s="1"/>
  <c r="F685" i="7"/>
  <c r="H685" i="7" s="1"/>
  <c r="F812" i="7"/>
  <c r="H812" i="7" s="1"/>
  <c r="F791" i="7"/>
  <c r="H791" i="7" s="1"/>
  <c r="F766" i="7"/>
  <c r="H766" i="7" s="1"/>
  <c r="F725" i="7"/>
  <c r="H725" i="7" s="1"/>
  <c r="F717" i="7"/>
  <c r="H717" i="7" s="1"/>
  <c r="D763" i="7"/>
  <c r="F819" i="7"/>
  <c r="H819" i="7" s="1"/>
  <c r="F797" i="7"/>
  <c r="H797" i="7" s="1"/>
  <c r="F733" i="7"/>
  <c r="H733" i="7" s="1"/>
  <c r="F706" i="7"/>
  <c r="H706" i="7" s="1"/>
  <c r="D801" i="7"/>
  <c r="D781" i="7"/>
  <c r="D750" i="7"/>
  <c r="F811" i="7"/>
  <c r="H811" i="7" s="1"/>
  <c r="F788" i="7"/>
  <c r="H788" i="7" s="1"/>
  <c r="F770" i="7"/>
  <c r="H770" i="7" s="1"/>
  <c r="F746" i="7"/>
  <c r="H746" i="7" s="1"/>
  <c r="F697" i="7"/>
  <c r="H697" i="7" s="1"/>
  <c r="D736" i="7"/>
  <c r="D710" i="7"/>
  <c r="D131" i="2"/>
  <c r="E131" i="2" s="1"/>
  <c r="D739" i="8"/>
  <c r="E739" i="8" s="1"/>
  <c r="D685" i="8"/>
  <c r="E685" i="8" s="1"/>
  <c r="D748" i="8"/>
  <c r="E748" i="8" s="1"/>
  <c r="D793" i="8"/>
  <c r="E793" i="8" s="1"/>
  <c r="D759" i="8"/>
  <c r="E759" i="8" s="1"/>
  <c r="D813" i="8"/>
  <c r="E813" i="8" s="1"/>
  <c r="D758" i="8"/>
  <c r="E758" i="8" s="1"/>
  <c r="D723" i="8"/>
  <c r="E723" i="8" s="1"/>
  <c r="D693" i="8"/>
  <c r="E693" i="8" s="1"/>
  <c r="D789" i="8"/>
  <c r="E789" i="8" s="1"/>
  <c r="D796" i="8"/>
  <c r="E796" i="8" s="1"/>
  <c r="D737" i="8"/>
  <c r="E737" i="8" s="1"/>
  <c r="D751" i="8"/>
  <c r="E751" i="8" s="1"/>
  <c r="I613" i="2"/>
  <c r="H222" i="2"/>
  <c r="H805" i="2"/>
  <c r="H608" i="2"/>
  <c r="H134" i="2"/>
  <c r="H516" i="2"/>
  <c r="H302" i="2"/>
  <c r="I597" i="2"/>
  <c r="H417" i="2"/>
  <c r="H413" i="2"/>
  <c r="I525" i="2"/>
  <c r="H56" i="2"/>
  <c r="H526" i="2"/>
  <c r="H674" i="2"/>
  <c r="I735" i="2"/>
  <c r="I129" i="2"/>
  <c r="I210" i="2"/>
  <c r="I612" i="2"/>
  <c r="D802" i="2"/>
  <c r="E802" i="2" s="1"/>
  <c r="F219" i="9"/>
  <c r="D198" i="9"/>
  <c r="E198" i="9" s="1"/>
  <c r="F904" i="9"/>
  <c r="F223" i="9"/>
  <c r="D245" i="9"/>
  <c r="E245" i="9" s="1"/>
  <c r="F126" i="9"/>
  <c r="F901" i="9"/>
  <c r="J17" i="9"/>
  <c r="J212" i="9"/>
  <c r="F342" i="9"/>
  <c r="F308" i="9"/>
  <c r="J539" i="9"/>
  <c r="F10" i="9"/>
  <c r="J425" i="9"/>
  <c r="D105" i="9"/>
  <c r="E105" i="9" s="1"/>
  <c r="J241" i="9"/>
  <c r="G56" i="9"/>
  <c r="G201" i="9"/>
  <c r="F876" i="9"/>
  <c r="G13" i="9"/>
  <c r="J234" i="9"/>
  <c r="F129" i="9"/>
  <c r="G695" i="12"/>
  <c r="G819" i="12"/>
  <c r="G689" i="12"/>
  <c r="D687" i="5"/>
  <c r="E687" i="5" s="1"/>
  <c r="D771" i="5"/>
  <c r="E771" i="5" s="1"/>
  <c r="G727" i="5"/>
  <c r="I727" i="5" s="1"/>
  <c r="J727" i="5" s="1"/>
  <c r="G523" i="5"/>
  <c r="G487" i="5"/>
  <c r="D751" i="5"/>
  <c r="E751" i="5" s="1"/>
  <c r="F494" i="5"/>
  <c r="H494" i="5" s="1"/>
  <c r="F659" i="5"/>
  <c r="H659" i="5" s="1"/>
  <c r="D806" i="5"/>
  <c r="E806" i="5" s="1"/>
  <c r="D717" i="5"/>
  <c r="E717" i="5" s="1"/>
  <c r="G818" i="5"/>
  <c r="I818" i="5" s="1"/>
  <c r="J818" i="5" s="1"/>
  <c r="F733" i="5"/>
  <c r="H733" i="5" s="1"/>
  <c r="G723" i="5"/>
  <c r="G520" i="5"/>
  <c r="D634" i="5"/>
  <c r="E634" i="5" s="1"/>
  <c r="F544" i="5"/>
  <c r="H544" i="5" s="1"/>
  <c r="D659" i="5"/>
  <c r="E659" i="5" s="1"/>
  <c r="F558" i="5"/>
  <c r="H558" i="5" s="1"/>
  <c r="D816" i="5"/>
  <c r="E816" i="5" s="1"/>
  <c r="G743" i="5"/>
  <c r="F707" i="5"/>
  <c r="H707" i="5" s="1"/>
  <c r="F483" i="5"/>
  <c r="H483" i="5" s="1"/>
  <c r="G652" i="5"/>
  <c r="G791" i="5"/>
  <c r="G730" i="5"/>
  <c r="G485" i="5"/>
  <c r="D807" i="5"/>
  <c r="E807" i="5" s="1"/>
  <c r="F793" i="5"/>
  <c r="H793" i="5" s="1"/>
  <c r="D770" i="5"/>
  <c r="E770" i="5" s="1"/>
  <c r="G695" i="5"/>
  <c r="G513" i="5"/>
  <c r="D669" i="5"/>
  <c r="E669" i="5" s="1"/>
  <c r="F559" i="5"/>
  <c r="H559" i="5" s="1"/>
  <c r="D513" i="5"/>
  <c r="E513" i="5" s="1"/>
  <c r="F662" i="5"/>
  <c r="H662" i="5" s="1"/>
  <c r="F674" i="5"/>
  <c r="H674" i="5" s="1"/>
  <c r="G555" i="5"/>
  <c r="F774" i="5"/>
  <c r="H774" i="5" s="1"/>
  <c r="G757" i="5"/>
  <c r="G704" i="5"/>
  <c r="I704" i="5" s="1"/>
  <c r="J704" i="5" s="1"/>
  <c r="G515" i="5"/>
  <c r="D650" i="5"/>
  <c r="E650" i="5" s="1"/>
  <c r="F654" i="5"/>
  <c r="H654" i="5" s="1"/>
  <c r="D572" i="5"/>
  <c r="E572" i="5" s="1"/>
  <c r="F557" i="5"/>
  <c r="H557" i="5" s="1"/>
  <c r="D815" i="5"/>
  <c r="E815" i="5" s="1"/>
  <c r="D641" i="5"/>
  <c r="E641" i="5" s="1"/>
  <c r="F639" i="5"/>
  <c r="H639" i="5" s="1"/>
  <c r="F798" i="7"/>
  <c r="H798" i="7" s="1"/>
  <c r="G779" i="7"/>
  <c r="G752" i="7"/>
  <c r="G780" i="7"/>
  <c r="G744" i="7"/>
  <c r="D704" i="7"/>
  <c r="F816" i="7"/>
  <c r="H816" i="7" s="1"/>
  <c r="G792" i="7"/>
  <c r="G771" i="7"/>
  <c r="G769" i="7"/>
  <c r="G743" i="7"/>
  <c r="G707" i="7"/>
  <c r="G691" i="7"/>
  <c r="G774" i="7"/>
  <c r="F701" i="7"/>
  <c r="H701" i="7" s="1"/>
  <c r="F815" i="7"/>
  <c r="H815" i="7" s="1"/>
  <c r="F786" i="7"/>
  <c r="H786" i="7" s="1"/>
  <c r="F775" i="7"/>
  <c r="H775" i="7" s="1"/>
  <c r="F765" i="7"/>
  <c r="H765" i="7" s="1"/>
  <c r="D716" i="7"/>
  <c r="F700" i="7"/>
  <c r="H700" i="7" s="1"/>
  <c r="F800" i="7"/>
  <c r="H800" i="7" s="1"/>
  <c r="G784" i="7"/>
  <c r="G756" i="7"/>
  <c r="G698" i="7"/>
  <c r="D718" i="7"/>
  <c r="G814" i="7"/>
  <c r="G795" i="7"/>
  <c r="G778" i="7"/>
  <c r="G726" i="7"/>
  <c r="G748" i="7"/>
  <c r="G713" i="7"/>
  <c r="G686" i="7"/>
  <c r="D794" i="7"/>
  <c r="D759" i="7"/>
  <c r="G810" i="7"/>
  <c r="G789" i="7"/>
  <c r="G767" i="7"/>
  <c r="G738" i="7"/>
  <c r="G723" i="7"/>
  <c r="D755" i="7"/>
  <c r="G695" i="7"/>
  <c r="D806" i="7"/>
  <c r="D737" i="7"/>
  <c r="D723" i="7"/>
  <c r="D799" i="2"/>
  <c r="E799" i="2" s="1"/>
  <c r="H128" i="2"/>
  <c r="D795" i="8"/>
  <c r="E795" i="8" s="1"/>
  <c r="D738" i="8"/>
  <c r="E738" i="8" s="1"/>
  <c r="D762" i="8"/>
  <c r="E762" i="8" s="1"/>
  <c r="D754" i="8"/>
  <c r="E754" i="8" s="1"/>
  <c r="D726" i="8"/>
  <c r="E726" i="8" s="1"/>
  <c r="D717" i="8"/>
  <c r="E717" i="8" s="1"/>
  <c r="D794" i="8"/>
  <c r="E794" i="8" s="1"/>
  <c r="D732" i="8"/>
  <c r="E732" i="8" s="1"/>
  <c r="D743" i="8"/>
  <c r="E743" i="8" s="1"/>
  <c r="D714" i="8"/>
  <c r="E714" i="8" s="1"/>
  <c r="D784" i="8"/>
  <c r="E784" i="8" s="1"/>
  <c r="D812" i="8"/>
  <c r="E812" i="8" s="1"/>
  <c r="D764" i="8"/>
  <c r="E764" i="8" s="1"/>
  <c r="D705" i="8"/>
  <c r="E705" i="8" s="1"/>
  <c r="D518" i="2"/>
  <c r="E518" i="2" s="1"/>
  <c r="D413" i="2"/>
  <c r="E413" i="2" s="1"/>
  <c r="D56" i="2"/>
  <c r="E56" i="2" s="1"/>
  <c r="I808" i="2"/>
  <c r="J808" i="2" s="1"/>
  <c r="I304" i="2"/>
  <c r="I740" i="2"/>
  <c r="I802" i="2"/>
  <c r="H213" i="2"/>
  <c r="H292" i="2"/>
  <c r="I678" i="2"/>
  <c r="D520" i="2"/>
  <c r="E520" i="2" s="1"/>
  <c r="H137" i="2"/>
  <c r="I610" i="2"/>
  <c r="H735" i="2"/>
  <c r="D62" i="2"/>
  <c r="E62" i="2" s="1"/>
  <c r="D738" i="2"/>
  <c r="E738" i="2" s="1"/>
  <c r="I606" i="2"/>
  <c r="H294" i="2"/>
  <c r="D209" i="2"/>
  <c r="E209" i="2" s="1"/>
  <c r="G130" i="9"/>
  <c r="F295" i="9"/>
  <c r="J340" i="9"/>
  <c r="F906" i="9"/>
  <c r="G891" i="9"/>
  <c r="J120" i="9"/>
  <c r="J326" i="9"/>
  <c r="G333" i="9"/>
  <c r="F215" i="9"/>
  <c r="G232" i="9"/>
  <c r="D63" i="9"/>
  <c r="E63" i="9" s="1"/>
  <c r="J218" i="9"/>
  <c r="J182" i="9"/>
  <c r="F202" i="9"/>
  <c r="J885" i="9"/>
  <c r="D296" i="9"/>
  <c r="E296" i="9" s="1"/>
  <c r="F51" i="9"/>
  <c r="J205" i="9"/>
  <c r="G424" i="9"/>
  <c r="D203" i="9"/>
  <c r="E203" i="9" s="1"/>
  <c r="D857" i="9"/>
  <c r="E857" i="9" s="1"/>
  <c r="D293" i="9"/>
  <c r="E293" i="9" s="1"/>
  <c r="J209" i="9"/>
  <c r="J242" i="9"/>
  <c r="G46" i="9"/>
  <c r="G339" i="9"/>
  <c r="G881" i="9"/>
  <c r="G761" i="12"/>
  <c r="G802" i="12"/>
  <c r="F724" i="5"/>
  <c r="H724" i="5" s="1"/>
  <c r="G801" i="5"/>
  <c r="D551" i="5"/>
  <c r="E551" i="5" s="1"/>
  <c r="G648" i="5"/>
  <c r="G562" i="5"/>
  <c r="F716" i="5"/>
  <c r="H716" i="5" s="1"/>
  <c r="G720" i="5"/>
  <c r="F509" i="5"/>
  <c r="H509" i="5" s="1"/>
  <c r="G645" i="5"/>
  <c r="G542" i="5"/>
  <c r="D686" i="5"/>
  <c r="E686" i="5" s="1"/>
  <c r="G797" i="5"/>
  <c r="G507" i="5"/>
  <c r="D639" i="5"/>
  <c r="E639" i="5" s="1"/>
  <c r="D800" i="5"/>
  <c r="E800" i="5" s="1"/>
  <c r="D633" i="5"/>
  <c r="E633" i="5" s="1"/>
  <c r="D549" i="5"/>
  <c r="E549" i="5" s="1"/>
  <c r="D753" i="5"/>
  <c r="E753" i="5" s="1"/>
  <c r="D702" i="5"/>
  <c r="E702" i="5" s="1"/>
  <c r="D483" i="5"/>
  <c r="E483" i="5" s="1"/>
  <c r="F652" i="5"/>
  <c r="H652" i="5" s="1"/>
  <c r="G812" i="5"/>
  <c r="G795" i="5"/>
  <c r="F725" i="5"/>
  <c r="H725" i="5" s="1"/>
  <c r="F500" i="5"/>
  <c r="H500" i="5" s="1"/>
  <c r="G807" i="5"/>
  <c r="D793" i="5"/>
  <c r="E793" i="5" s="1"/>
  <c r="D695" i="5"/>
  <c r="E695" i="5" s="1"/>
  <c r="G490" i="5"/>
  <c r="F513" i="5"/>
  <c r="H513" i="5" s="1"/>
  <c r="G668" i="5"/>
  <c r="G571" i="5"/>
  <c r="D664" i="5"/>
  <c r="E664" i="5" s="1"/>
  <c r="G646" i="5"/>
  <c r="G635" i="5"/>
  <c r="D555" i="5"/>
  <c r="E555" i="5" s="1"/>
  <c r="G794" i="5"/>
  <c r="F741" i="5"/>
  <c r="H741" i="5" s="1"/>
  <c r="F757" i="5"/>
  <c r="H757" i="5" s="1"/>
  <c r="D704" i="5"/>
  <c r="E704" i="5" s="1"/>
  <c r="G525" i="5"/>
  <c r="D515" i="5"/>
  <c r="E515" i="5" s="1"/>
  <c r="G657" i="5"/>
  <c r="D654" i="5"/>
  <c r="E654" i="5" s="1"/>
  <c r="G557" i="5"/>
  <c r="D655" i="5"/>
  <c r="E655" i="5" s="1"/>
  <c r="G543" i="5"/>
  <c r="G798" i="7"/>
  <c r="F779" i="7"/>
  <c r="H779" i="7" s="1"/>
  <c r="F752" i="7"/>
  <c r="H752" i="7" s="1"/>
  <c r="F780" i="7"/>
  <c r="H780" i="7" s="1"/>
  <c r="F744" i="7"/>
  <c r="H744" i="7" s="1"/>
  <c r="G816" i="7"/>
  <c r="F792" i="7"/>
  <c r="H792" i="7" s="1"/>
  <c r="F771" i="7"/>
  <c r="H771" i="7" s="1"/>
  <c r="F769" i="7"/>
  <c r="H769" i="7" s="1"/>
  <c r="F743" i="7"/>
  <c r="H743" i="7" s="1"/>
  <c r="F707" i="7"/>
  <c r="H707" i="7" s="1"/>
  <c r="F691" i="7"/>
  <c r="H691" i="7" s="1"/>
  <c r="F774" i="7"/>
  <c r="H774" i="7" s="1"/>
  <c r="G719" i="7"/>
  <c r="D701" i="7"/>
  <c r="G801" i="7"/>
  <c r="G781" i="7"/>
  <c r="G750" i="7"/>
  <c r="G709" i="7"/>
  <c r="D700" i="7"/>
  <c r="G800" i="7"/>
  <c r="F784" i="7"/>
  <c r="H784" i="7" s="1"/>
  <c r="F756" i="7"/>
  <c r="H756" i="7" s="1"/>
  <c r="F698" i="7"/>
  <c r="H698" i="7" s="1"/>
  <c r="F814" i="7"/>
  <c r="H814" i="7" s="1"/>
  <c r="F795" i="7"/>
  <c r="H795" i="7" s="1"/>
  <c r="F778" i="7"/>
  <c r="H778" i="7" s="1"/>
  <c r="F726" i="7"/>
  <c r="H726" i="7" s="1"/>
  <c r="F748" i="7"/>
  <c r="H748" i="7" s="1"/>
  <c r="F713" i="7"/>
  <c r="H713" i="7" s="1"/>
  <c r="F686" i="7"/>
  <c r="H686" i="7" s="1"/>
  <c r="D790" i="7"/>
  <c r="F810" i="7"/>
  <c r="H810" i="7" s="1"/>
  <c r="F789" i="7"/>
  <c r="H789" i="7" s="1"/>
  <c r="F767" i="7"/>
  <c r="H767" i="7" s="1"/>
  <c r="F738" i="7"/>
  <c r="H738" i="7" s="1"/>
  <c r="F723" i="7"/>
  <c r="H723" i="7" s="1"/>
  <c r="D762" i="7"/>
  <c r="F695" i="7"/>
  <c r="H695" i="7" s="1"/>
  <c r="D817" i="7"/>
  <c r="D773" i="7"/>
  <c r="D796" i="2"/>
  <c r="E796" i="2" s="1"/>
  <c r="D734" i="2"/>
  <c r="E734" i="2" s="1"/>
  <c r="H523" i="2"/>
  <c r="D727" i="8"/>
  <c r="E727" i="8" s="1"/>
  <c r="D712" i="8"/>
  <c r="E712" i="8" s="1"/>
  <c r="D746" i="8"/>
  <c r="E746" i="8" s="1"/>
  <c r="D709" i="8"/>
  <c r="E709" i="8" s="1"/>
  <c r="D690" i="8"/>
  <c r="E690" i="8" s="1"/>
  <c r="D711" i="8"/>
  <c r="E711" i="8" s="1"/>
  <c r="D815" i="8"/>
  <c r="E815" i="8" s="1"/>
  <c r="D797" i="8"/>
  <c r="E797" i="8" s="1"/>
  <c r="D734" i="8"/>
  <c r="E734" i="8" s="1"/>
  <c r="D724" i="8"/>
  <c r="E724" i="8" s="1"/>
  <c r="D715" i="8"/>
  <c r="E715" i="8" s="1"/>
  <c r="D771" i="8"/>
  <c r="E771" i="8" s="1"/>
  <c r="D703" i="8"/>
  <c r="E703" i="8" s="1"/>
  <c r="D786" i="8"/>
  <c r="E786" i="8" s="1"/>
  <c r="D728" i="8"/>
  <c r="E728" i="8" s="1"/>
  <c r="D613" i="2"/>
  <c r="E613" i="2" s="1"/>
  <c r="D222" i="2"/>
  <c r="E222" i="2" s="1"/>
  <c r="D805" i="2"/>
  <c r="E805" i="2" s="1"/>
  <c r="D608" i="2"/>
  <c r="E608" i="2" s="1"/>
  <c r="D134" i="2"/>
  <c r="E134" i="2" s="1"/>
  <c r="I518" i="2"/>
  <c r="D516" i="2"/>
  <c r="E516" i="2" s="1"/>
  <c r="D302" i="2"/>
  <c r="E302" i="2" s="1"/>
  <c r="D597" i="2"/>
  <c r="E597" i="2" s="1"/>
  <c r="D417" i="2"/>
  <c r="E417" i="2" s="1"/>
  <c r="D808" i="2"/>
  <c r="E808" i="2" s="1"/>
  <c r="D525" i="2"/>
  <c r="E525" i="2" s="1"/>
  <c r="I741" i="2"/>
  <c r="I797" i="2"/>
  <c r="I301" i="2"/>
  <c r="I221" i="2"/>
  <c r="I739" i="2"/>
  <c r="I216" i="2"/>
  <c r="H129" i="2"/>
  <c r="I295" i="2"/>
  <c r="H210" i="2"/>
  <c r="I292" i="2"/>
  <c r="H678" i="2"/>
  <c r="H612" i="2"/>
  <c r="I218" i="2"/>
  <c r="D680" i="2"/>
  <c r="E680" i="2" s="1"/>
  <c r="D216" i="2"/>
  <c r="E216" i="2" s="1"/>
  <c r="I528" i="2"/>
  <c r="I219" i="2"/>
  <c r="H610" i="2"/>
  <c r="I676" i="2"/>
  <c r="I804" i="2"/>
  <c r="I519" i="2"/>
  <c r="I595" i="2"/>
  <c r="D886" i="9"/>
  <c r="E886" i="9" s="1"/>
  <c r="J858" i="9"/>
  <c r="J302" i="9"/>
  <c r="F340" i="9"/>
  <c r="G893" i="9"/>
  <c r="G22" i="9"/>
  <c r="J884" i="9"/>
  <c r="D120" i="9"/>
  <c r="E120" i="9" s="1"/>
  <c r="D326" i="9"/>
  <c r="E326" i="9" s="1"/>
  <c r="J197" i="9"/>
  <c r="J333" i="9"/>
  <c r="J878" i="9"/>
  <c r="F851" i="9"/>
  <c r="J196" i="9"/>
  <c r="F67" i="9"/>
  <c r="J332" i="9"/>
  <c r="J207" i="9"/>
  <c r="D885" i="9"/>
  <c r="E885" i="9" s="1"/>
  <c r="F296" i="9"/>
  <c r="F548" i="9"/>
  <c r="J115" i="9"/>
  <c r="F205" i="9"/>
  <c r="J190" i="9"/>
  <c r="G325" i="9"/>
  <c r="G209" i="9"/>
  <c r="F242" i="9"/>
  <c r="F44" i="9"/>
  <c r="G113" i="9"/>
  <c r="D339" i="9"/>
  <c r="E339" i="9" s="1"/>
  <c r="J874" i="9"/>
  <c r="G12" i="9"/>
  <c r="G769" i="12"/>
  <c r="D724" i="5"/>
  <c r="E724" i="5" s="1"/>
  <c r="F801" i="5"/>
  <c r="H801" i="5" s="1"/>
  <c r="G545" i="5"/>
  <c r="G640" i="5"/>
  <c r="G548" i="5"/>
  <c r="F680" i="5"/>
  <c r="H680" i="5" s="1"/>
  <c r="G709" i="5"/>
  <c r="F720" i="5"/>
  <c r="H720" i="5" s="1"/>
  <c r="F645" i="5"/>
  <c r="H645" i="5" s="1"/>
  <c r="F556" i="5"/>
  <c r="H556" i="5" s="1"/>
  <c r="F684" i="5"/>
  <c r="H684" i="5" s="1"/>
  <c r="G688" i="5"/>
  <c r="D797" i="5"/>
  <c r="E797" i="5" s="1"/>
  <c r="F507" i="5"/>
  <c r="H507" i="5" s="1"/>
  <c r="F534" i="5"/>
  <c r="H534" i="5" s="1"/>
  <c r="F633" i="5"/>
  <c r="H633" i="5" s="1"/>
  <c r="F547" i="5"/>
  <c r="H547" i="5" s="1"/>
  <c r="F760" i="5"/>
  <c r="H760" i="5" s="1"/>
  <c r="G512" i="5"/>
  <c r="G671" i="5"/>
  <c r="F812" i="5"/>
  <c r="H812" i="5" s="1"/>
  <c r="D795" i="5"/>
  <c r="E795" i="5" s="1"/>
  <c r="D316" i="9"/>
  <c r="E316" i="9" s="1"/>
  <c r="J899" i="9"/>
  <c r="D302" i="9"/>
  <c r="E302" i="9" s="1"/>
  <c r="D893" i="9"/>
  <c r="E893" i="9" s="1"/>
  <c r="G185" i="9"/>
  <c r="F445" i="9"/>
  <c r="J317" i="9"/>
  <c r="F197" i="9"/>
  <c r="G878" i="9"/>
  <c r="G851" i="9"/>
  <c r="J299" i="9"/>
  <c r="J67" i="9"/>
  <c r="D207" i="9"/>
  <c r="E207" i="9" s="1"/>
  <c r="F292" i="9"/>
  <c r="J855" i="9"/>
  <c r="F862" i="9"/>
  <c r="D227" i="9"/>
  <c r="E227" i="9" s="1"/>
  <c r="G548" i="9"/>
  <c r="G902" i="9"/>
  <c r="G190" i="9"/>
  <c r="D325" i="9"/>
  <c r="E325" i="9" s="1"/>
  <c r="J905" i="9"/>
  <c r="G336" i="9"/>
  <c r="J230" i="9"/>
  <c r="D44" i="9"/>
  <c r="E44" i="9" s="1"/>
  <c r="J129" i="9"/>
  <c r="D183" i="9"/>
  <c r="E183" i="9" s="1"/>
  <c r="J322" i="9"/>
  <c r="G314" i="9"/>
  <c r="G735" i="12"/>
  <c r="G727" i="12"/>
  <c r="G795" i="12"/>
  <c r="G767" i="12"/>
  <c r="D754" i="5"/>
  <c r="E754" i="5" s="1"/>
  <c r="F488" i="5"/>
  <c r="H488" i="5" s="1"/>
  <c r="F545" i="5"/>
  <c r="H545" i="5" s="1"/>
  <c r="F782" i="5"/>
  <c r="H782" i="5" s="1"/>
  <c r="F670" i="5"/>
  <c r="H670" i="5" s="1"/>
  <c r="G533" i="5"/>
  <c r="I533" i="5" s="1"/>
  <c r="J533" i="5" s="1"/>
  <c r="L533" i="5" s="1"/>
  <c r="F554" i="5"/>
  <c r="H554" i="5" s="1"/>
  <c r="G750" i="5"/>
  <c r="F709" i="5"/>
  <c r="H709" i="5" s="1"/>
  <c r="G519" i="5"/>
  <c r="G721" i="5"/>
  <c r="F664" i="5"/>
  <c r="H664" i="5" s="1"/>
  <c r="G679" i="5"/>
  <c r="G556" i="5"/>
  <c r="F678" i="5"/>
  <c r="H678" i="5" s="1"/>
  <c r="D688" i="5"/>
  <c r="E688" i="5" s="1"/>
  <c r="G789" i="5"/>
  <c r="D504" i="5"/>
  <c r="E504" i="5" s="1"/>
  <c r="D534" i="5"/>
  <c r="E534" i="5" s="1"/>
  <c r="G633" i="5"/>
  <c r="D547" i="5"/>
  <c r="E547" i="5" s="1"/>
  <c r="G760" i="5"/>
  <c r="F691" i="5"/>
  <c r="H691" i="5" s="1"/>
  <c r="D512" i="5"/>
  <c r="E512" i="5" s="1"/>
  <c r="D671" i="5"/>
  <c r="E671" i="5" s="1"/>
  <c r="D812" i="5"/>
  <c r="E812" i="5" s="1"/>
  <c r="G766" i="5"/>
  <c r="G505" i="5"/>
  <c r="G318" i="9"/>
  <c r="G221" i="9"/>
  <c r="F291" i="9"/>
  <c r="J186" i="9"/>
  <c r="D238" i="9"/>
  <c r="E238" i="9" s="1"/>
  <c r="D317" i="9"/>
  <c r="E317" i="9" s="1"/>
  <c r="D197" i="9"/>
  <c r="E197" i="9" s="1"/>
  <c r="D878" i="9"/>
  <c r="E878" i="9" s="1"/>
  <c r="F872" i="9"/>
  <c r="G299" i="9"/>
  <c r="D537" i="9"/>
  <c r="E537" i="9" s="1"/>
  <c r="F207" i="9"/>
  <c r="D292" i="9"/>
  <c r="E292" i="9" s="1"/>
  <c r="F114" i="9"/>
  <c r="D442" i="9"/>
  <c r="E442" i="9" s="1"/>
  <c r="G855" i="9"/>
  <c r="F860" i="9"/>
  <c r="G227" i="9"/>
  <c r="J877" i="9"/>
  <c r="J305" i="9"/>
  <c r="D19" i="9"/>
  <c r="E19" i="9" s="1"/>
  <c r="G905" i="9"/>
  <c r="G230" i="9"/>
  <c r="G44" i="9"/>
  <c r="D129" i="9"/>
  <c r="E129" i="9" s="1"/>
  <c r="F315" i="9"/>
  <c r="J118" i="9"/>
  <c r="G743" i="12"/>
  <c r="G728" i="12"/>
  <c r="F754" i="5"/>
  <c r="H754" i="5" s="1"/>
  <c r="G484" i="5"/>
  <c r="G661" i="5"/>
  <c r="D533" i="5"/>
  <c r="E533" i="5" s="1"/>
  <c r="G775" i="5"/>
  <c r="D750" i="5"/>
  <c r="E750" i="5" s="1"/>
  <c r="F519" i="5"/>
  <c r="H519" i="5" s="1"/>
  <c r="D721" i="5"/>
  <c r="E721" i="5" s="1"/>
  <c r="G663" i="5"/>
  <c r="F679" i="5"/>
  <c r="H679" i="5" s="1"/>
  <c r="D556" i="5"/>
  <c r="E556" i="5" s="1"/>
  <c r="G798" i="5"/>
  <c r="F789" i="5"/>
  <c r="H789" i="5" s="1"/>
  <c r="G767" i="5"/>
  <c r="I767" i="5" s="1"/>
  <c r="J767" i="5" s="1"/>
  <c r="F689" i="5"/>
  <c r="H689" i="5" s="1"/>
  <c r="G566" i="5"/>
  <c r="F552" i="5"/>
  <c r="H552" i="5" s="1"/>
  <c r="F792" i="5"/>
  <c r="H792" i="5" s="1"/>
  <c r="D760" i="5"/>
  <c r="E760" i="5" s="1"/>
  <c r="G691" i="5"/>
  <c r="F480" i="5"/>
  <c r="H480" i="5" s="1"/>
  <c r="G636" i="5"/>
  <c r="D814" i="5"/>
  <c r="E814" i="5" s="1"/>
  <c r="F766" i="5"/>
  <c r="H766" i="5" s="1"/>
  <c r="D505" i="5"/>
  <c r="E505" i="5" s="1"/>
  <c r="J37" i="9"/>
  <c r="D102" i="9"/>
  <c r="E102" i="9" s="1"/>
  <c r="J216" i="9"/>
  <c r="J40" i="9"/>
  <c r="D875" i="9"/>
  <c r="E875" i="9" s="1"/>
  <c r="D219" i="9"/>
  <c r="E219" i="9" s="1"/>
  <c r="D310" i="9"/>
  <c r="E310" i="9" s="1"/>
  <c r="D546" i="9"/>
  <c r="E546" i="9" s="1"/>
  <c r="G16" i="9"/>
  <c r="G334" i="9"/>
  <c r="F181" i="9"/>
  <c r="G229" i="9"/>
  <c r="J112" i="9"/>
  <c r="G335" i="9"/>
  <c r="G907" i="9"/>
  <c r="F344" i="9"/>
  <c r="D106" i="9"/>
  <c r="E106" i="9" s="1"/>
  <c r="J214" i="9"/>
  <c r="J125" i="9"/>
  <c r="F236" i="9"/>
  <c r="J538" i="9"/>
  <c r="D228" i="9"/>
  <c r="E228" i="9" s="1"/>
  <c r="G208" i="9"/>
  <c r="J297" i="9"/>
  <c r="F73" i="9"/>
  <c r="J910" i="9"/>
  <c r="J300" i="9"/>
  <c r="G809" i="12"/>
  <c r="D715" i="12"/>
  <c r="E715" i="12" s="1"/>
  <c r="D699" i="12"/>
  <c r="E699" i="12" s="1"/>
  <c r="G710" i="12"/>
  <c r="G768" i="5"/>
  <c r="F813" i="5"/>
  <c r="H813" i="5" s="1"/>
  <c r="F742" i="5"/>
  <c r="H742" i="5" s="1"/>
  <c r="G711" i="5"/>
  <c r="F511" i="5"/>
  <c r="H511" i="5" s="1"/>
  <c r="F656" i="5"/>
  <c r="H656" i="5" s="1"/>
  <c r="G765" i="5"/>
  <c r="G495" i="5"/>
  <c r="G752" i="5"/>
  <c r="D694" i="5"/>
  <c r="E694" i="5" s="1"/>
  <c r="G642" i="5"/>
  <c r="F540" i="5"/>
  <c r="H540" i="5" s="1"/>
  <c r="G574" i="5"/>
  <c r="F708" i="5"/>
  <c r="H708" i="5" s="1"/>
  <c r="G810" i="5"/>
  <c r="G677" i="5"/>
  <c r="G570" i="5"/>
  <c r="F821" i="5"/>
  <c r="H821" i="5" s="1"/>
  <c r="F734" i="5"/>
  <c r="H734" i="5" s="1"/>
  <c r="G714" i="5"/>
  <c r="G480" i="5"/>
  <c r="I480" i="5" s="1"/>
  <c r="J480" i="5" s="1"/>
  <c r="F676" i="5"/>
  <c r="H676" i="5" s="1"/>
  <c r="F814" i="5"/>
  <c r="H814" i="5" s="1"/>
  <c r="F102" i="9"/>
  <c r="F216" i="9"/>
  <c r="F40" i="9"/>
  <c r="F123" i="9"/>
  <c r="G444" i="9"/>
  <c r="F20" i="9"/>
  <c r="J245" i="9"/>
  <c r="G546" i="9"/>
  <c r="J433" i="9"/>
  <c r="J181" i="9"/>
  <c r="D112" i="9"/>
  <c r="E112" i="9" s="1"/>
  <c r="G343" i="9"/>
  <c r="D341" i="9"/>
  <c r="E341" i="9" s="1"/>
  <c r="J873" i="9"/>
  <c r="J103" i="9"/>
  <c r="G304" i="9"/>
  <c r="D858" i="9"/>
  <c r="E858" i="9" s="1"/>
  <c r="F214" i="9"/>
  <c r="G125" i="9"/>
  <c r="J892" i="9"/>
  <c r="J235" i="9"/>
  <c r="G538" i="9"/>
  <c r="J13" i="9"/>
  <c r="G297" i="9"/>
  <c r="F311" i="9"/>
  <c r="G300" i="9"/>
  <c r="G813" i="12"/>
  <c r="G697" i="12"/>
  <c r="G699" i="12"/>
  <c r="G711" i="12"/>
  <c r="G705" i="12"/>
  <c r="D506" i="5"/>
  <c r="E506" i="5" s="1"/>
  <c r="G736" i="5"/>
  <c r="G771" i="5"/>
  <c r="G800" i="5"/>
  <c r="G739" i="5"/>
  <c r="F711" i="5"/>
  <c r="H711" i="5" s="1"/>
  <c r="D511" i="5"/>
  <c r="E511" i="5" s="1"/>
  <c r="F575" i="5"/>
  <c r="H575" i="5" s="1"/>
  <c r="F765" i="5"/>
  <c r="H765" i="5" s="1"/>
  <c r="D495" i="5"/>
  <c r="E495" i="5" s="1"/>
  <c r="D752" i="5"/>
  <c r="E752" i="5" s="1"/>
  <c r="F632" i="5"/>
  <c r="H632" i="5" s="1"/>
  <c r="F528" i="5"/>
  <c r="H528" i="5" s="1"/>
  <c r="D574" i="5"/>
  <c r="E574" i="5" s="1"/>
  <c r="F785" i="5"/>
  <c r="H785" i="5" s="1"/>
  <c r="F717" i="5"/>
  <c r="H717" i="5" s="1"/>
  <c r="D810" i="5"/>
  <c r="E810" i="5" s="1"/>
  <c r="G706" i="5"/>
  <c r="G521" i="5"/>
  <c r="F677" i="5"/>
  <c r="H677" i="5" s="1"/>
  <c r="F570" i="5"/>
  <c r="H570" i="5" s="1"/>
  <c r="D521" i="5"/>
  <c r="E521" i="5" s="1"/>
  <c r="F564" i="5"/>
  <c r="H564" i="5" s="1"/>
  <c r="D821" i="5"/>
  <c r="E821" i="5" s="1"/>
  <c r="G734" i="5"/>
  <c r="F718" i="5"/>
  <c r="H718" i="5" s="1"/>
  <c r="G522" i="5"/>
  <c r="D676" i="5"/>
  <c r="E676" i="5" s="1"/>
  <c r="G508" i="5"/>
  <c r="G712" i="5"/>
  <c r="F489" i="5"/>
  <c r="H489" i="5" s="1"/>
  <c r="D643" i="5"/>
  <c r="E643" i="5" s="1"/>
  <c r="F541" i="5"/>
  <c r="H541" i="5" s="1"/>
  <c r="D698" i="5"/>
  <c r="E698" i="5" s="1"/>
  <c r="G674" i="5"/>
  <c r="F744" i="5"/>
  <c r="H744" i="5" s="1"/>
  <c r="G701" i="5"/>
  <c r="F499" i="5"/>
  <c r="H499" i="5" s="1"/>
  <c r="F644" i="5"/>
  <c r="H644" i="5" s="1"/>
  <c r="G572" i="5"/>
  <c r="D560" i="5"/>
  <c r="E560" i="5" s="1"/>
  <c r="F563" i="5"/>
  <c r="H563" i="5" s="1"/>
  <c r="D736" i="5"/>
  <c r="E736" i="5" s="1"/>
  <c r="D481" i="5"/>
  <c r="E481" i="5" s="1"/>
  <c r="F758" i="5"/>
  <c r="H758" i="5" s="1"/>
  <c r="F817" i="7"/>
  <c r="H817" i="7" s="1"/>
  <c r="G785" i="7"/>
  <c r="G773" i="7"/>
  <c r="G758" i="7"/>
  <c r="G721" i="7"/>
  <c r="G683" i="7"/>
  <c r="G741" i="7"/>
  <c r="G704" i="7"/>
  <c r="F821" i="7"/>
  <c r="H821" i="7" s="1"/>
  <c r="G760" i="7"/>
  <c r="G735" i="7"/>
  <c r="G718" i="7"/>
  <c r="G803" i="7"/>
  <c r="D699" i="7"/>
  <c r="F820" i="7"/>
  <c r="H820" i="7" s="1"/>
  <c r="F762" i="7"/>
  <c r="H762" i="7" s="1"/>
  <c r="F732" i="7"/>
  <c r="H732" i="7" s="1"/>
  <c r="G716" i="7"/>
  <c r="F684" i="7"/>
  <c r="H684" i="7" s="1"/>
  <c r="F813" i="7"/>
  <c r="H813" i="7" s="1"/>
  <c r="G787" i="7"/>
  <c r="G782" i="7"/>
  <c r="G724" i="7"/>
  <c r="G727" i="7"/>
  <c r="G711" i="7"/>
  <c r="G685" i="7"/>
  <c r="G812" i="7"/>
  <c r="G791" i="7"/>
  <c r="G766" i="7"/>
  <c r="G725" i="7"/>
  <c r="G717" i="7"/>
  <c r="D757" i="7"/>
  <c r="G819" i="7"/>
  <c r="G797" i="7"/>
  <c r="G733" i="7"/>
  <c r="G706" i="7"/>
  <c r="D815" i="7"/>
  <c r="D775" i="7"/>
  <c r="D702" i="7"/>
  <c r="G811" i="7"/>
  <c r="G788" i="7"/>
  <c r="G770" i="7"/>
  <c r="G746" i="7"/>
  <c r="G697" i="7"/>
  <c r="D800" i="2"/>
  <c r="E800" i="2" s="1"/>
  <c r="H515" i="2"/>
  <c r="D609" i="2"/>
  <c r="E609" i="2" s="1"/>
  <c r="D719" i="8"/>
  <c r="E719" i="8" s="1"/>
  <c r="D785" i="8"/>
  <c r="E785" i="8" s="1"/>
  <c r="D806" i="8"/>
  <c r="E806" i="8" s="1"/>
  <c r="D695" i="8"/>
  <c r="E695" i="8" s="1"/>
  <c r="D735" i="8"/>
  <c r="E735" i="8" s="1"/>
  <c r="D804" i="8"/>
  <c r="E804" i="8" s="1"/>
  <c r="D708" i="8"/>
  <c r="E708" i="8" s="1"/>
  <c r="D800" i="8"/>
  <c r="E800" i="8" s="1"/>
  <c r="D741" i="8"/>
  <c r="E741" i="8" s="1"/>
  <c r="D749" i="8"/>
  <c r="E749" i="8" s="1"/>
  <c r="D722" i="8"/>
  <c r="E722" i="8" s="1"/>
  <c r="D730" i="8"/>
  <c r="E730" i="8" s="1"/>
  <c r="D820" i="8"/>
  <c r="E820" i="8" s="1"/>
  <c r="D750" i="8"/>
  <c r="E750" i="8" s="1"/>
  <c r="D689" i="8"/>
  <c r="E689" i="8" s="1"/>
  <c r="H613" i="2"/>
  <c r="I222" i="2"/>
  <c r="I805" i="2"/>
  <c r="I608" i="2"/>
  <c r="I134" i="2"/>
  <c r="H518" i="2"/>
  <c r="I516" i="2"/>
  <c r="I302" i="2"/>
  <c r="H597" i="2"/>
  <c r="I417" i="2"/>
  <c r="I413" i="2"/>
  <c r="H525" i="2"/>
  <c r="I674" i="2"/>
  <c r="H802" i="2"/>
  <c r="H420" i="2"/>
  <c r="I213" i="2"/>
  <c r="H596" i="2"/>
  <c r="H527" i="2"/>
  <c r="D740" i="2"/>
  <c r="E740" i="2" s="1"/>
  <c r="D210" i="2"/>
  <c r="E210" i="2" s="1"/>
  <c r="H520" i="2"/>
  <c r="I137" i="2"/>
  <c r="H738" i="2"/>
  <c r="H209" i="2"/>
  <c r="F746" i="5"/>
  <c r="H746" i="5" s="1"/>
  <c r="G690" i="5"/>
  <c r="F643" i="5"/>
  <c r="H643" i="5" s="1"/>
  <c r="G541" i="5"/>
  <c r="F809" i="5"/>
  <c r="H809" i="5" s="1"/>
  <c r="F759" i="5"/>
  <c r="H759" i="5" s="1"/>
  <c r="D536" i="5"/>
  <c r="E536" i="5" s="1"/>
  <c r="G563" i="5"/>
  <c r="D514" i="5"/>
  <c r="E514" i="5" s="1"/>
  <c r="G806" i="7"/>
  <c r="F737" i="7"/>
  <c r="H737" i="7" s="1"/>
  <c r="F720" i="7"/>
  <c r="H720" i="7" s="1"/>
  <c r="F794" i="7"/>
  <c r="H794" i="7" s="1"/>
  <c r="F734" i="7"/>
  <c r="H734" i="7" s="1"/>
  <c r="F714" i="7"/>
  <c r="H714" i="7" s="1"/>
  <c r="F699" i="7"/>
  <c r="H699" i="7" s="1"/>
  <c r="G820" i="7"/>
  <c r="G732" i="7"/>
  <c r="G684" i="7"/>
  <c r="G809" i="7"/>
  <c r="F739" i="7"/>
  <c r="H739" i="7" s="1"/>
  <c r="F722" i="7"/>
  <c r="H722" i="7" s="1"/>
  <c r="F804" i="7"/>
  <c r="H804" i="7" s="1"/>
  <c r="F730" i="7"/>
  <c r="H730" i="7" s="1"/>
  <c r="F708" i="7"/>
  <c r="H708" i="7" s="1"/>
  <c r="D744" i="7"/>
  <c r="F754" i="7"/>
  <c r="H754" i="7" s="1"/>
  <c r="F703" i="7"/>
  <c r="H703" i="7" s="1"/>
  <c r="D717" i="7"/>
  <c r="F793" i="7"/>
  <c r="H793" i="7" s="1"/>
  <c r="F764" i="7"/>
  <c r="H764" i="7" s="1"/>
  <c r="F682" i="7"/>
  <c r="H682" i="7" s="1"/>
  <c r="D758" i="7"/>
  <c r="D523" i="2"/>
  <c r="E523" i="2" s="1"/>
  <c r="D207" i="2"/>
  <c r="E207" i="2" s="1"/>
  <c r="D818" i="8"/>
  <c r="E818" i="8" s="1"/>
  <c r="D803" i="8"/>
  <c r="E803" i="8" s="1"/>
  <c r="D817" i="8"/>
  <c r="E817" i="8" s="1"/>
  <c r="D767" i="8"/>
  <c r="E767" i="8" s="1"/>
  <c r="D701" i="8"/>
  <c r="E701" i="8" s="1"/>
  <c r="D799" i="8"/>
  <c r="E799" i="8" s="1"/>
  <c r="D713" i="8"/>
  <c r="E713" i="8" s="1"/>
  <c r="D766" i="8"/>
  <c r="E766" i="8" s="1"/>
  <c r="D807" i="2"/>
  <c r="E807" i="2" s="1"/>
  <c r="D61" i="2"/>
  <c r="E61" i="2" s="1"/>
  <c r="D130" i="2"/>
  <c r="E130" i="2" s="1"/>
  <c r="D211" i="2"/>
  <c r="E211" i="2" s="1"/>
  <c r="D615" i="2"/>
  <c r="E615" i="2" s="1"/>
  <c r="I526" i="2"/>
  <c r="I420" i="2"/>
  <c r="I527" i="2"/>
  <c r="I529" i="2"/>
  <c r="H219" i="2"/>
  <c r="H676" i="2"/>
  <c r="H595" i="2"/>
  <c r="D224" i="2"/>
  <c r="E224" i="2" s="1"/>
  <c r="H806" i="2"/>
  <c r="D522" i="2"/>
  <c r="E522" i="2" s="1"/>
  <c r="I737" i="2"/>
  <c r="I55" i="2"/>
  <c r="H599" i="2"/>
  <c r="I54" i="2"/>
  <c r="H54" i="2"/>
  <c r="H609" i="2"/>
  <c r="I305" i="2"/>
  <c r="H675" i="2"/>
  <c r="H602" i="2"/>
  <c r="H212" i="2"/>
  <c r="I798" i="2"/>
  <c r="I733" i="2"/>
  <c r="D521" i="2"/>
  <c r="E521" i="2" s="1"/>
  <c r="I208" i="2"/>
  <c r="H419" i="2"/>
  <c r="F768" i="12"/>
  <c r="H768" i="12" s="1"/>
  <c r="F752" i="12"/>
  <c r="H752" i="12" s="1"/>
  <c r="D735" i="12"/>
  <c r="E735" i="12" s="1"/>
  <c r="D739" i="12"/>
  <c r="E739" i="12" s="1"/>
  <c r="D813" i="12"/>
  <c r="E813" i="12" s="1"/>
  <c r="F726" i="12"/>
  <c r="H726" i="12" s="1"/>
  <c r="F748" i="12"/>
  <c r="H748" i="12" s="1"/>
  <c r="F713" i="12"/>
  <c r="H713" i="12" s="1"/>
  <c r="D799" i="12"/>
  <c r="E799" i="12" s="1"/>
  <c r="F794" i="12"/>
  <c r="H794" i="12" s="1"/>
  <c r="D774" i="12"/>
  <c r="E774" i="12" s="1"/>
  <c r="F744" i="12"/>
  <c r="H744" i="12" s="1"/>
  <c r="D701" i="12"/>
  <c r="E701" i="12" s="1"/>
  <c r="D696" i="12"/>
  <c r="E696" i="12" s="1"/>
  <c r="D811" i="12"/>
  <c r="E811" i="12" s="1"/>
  <c r="D788" i="12"/>
  <c r="E788" i="12" s="1"/>
  <c r="D770" i="12"/>
  <c r="E770" i="12" s="1"/>
  <c r="F762" i="12"/>
  <c r="H762" i="12" s="1"/>
  <c r="D732" i="12"/>
  <c r="E732" i="12" s="1"/>
  <c r="D716" i="12"/>
  <c r="E716" i="12" s="1"/>
  <c r="D691" i="12"/>
  <c r="E691" i="12" s="1"/>
  <c r="D807" i="8"/>
  <c r="E807" i="8" s="1"/>
  <c r="D752" i="8"/>
  <c r="E752" i="8" s="1"/>
  <c r="I225" i="2"/>
  <c r="D303" i="2"/>
  <c r="E303" i="2" s="1"/>
  <c r="I604" i="2"/>
  <c r="I133" i="2"/>
  <c r="D736" i="2"/>
  <c r="E736" i="2" s="1"/>
  <c r="D686" i="12"/>
  <c r="E686" i="12" s="1"/>
  <c r="D751" i="12"/>
  <c r="E751" i="12" s="1"/>
  <c r="D789" i="12"/>
  <c r="E789" i="12" s="1"/>
  <c r="F801" i="12"/>
  <c r="H801" i="12" s="1"/>
  <c r="D693" i="12"/>
  <c r="E693" i="12" s="1"/>
  <c r="D687" i="12"/>
  <c r="E687" i="12" s="1"/>
  <c r="D775" i="12"/>
  <c r="E775" i="12" s="1"/>
  <c r="D614" i="2"/>
  <c r="E614" i="2" s="1"/>
  <c r="D57" i="2"/>
  <c r="E57" i="2" s="1"/>
  <c r="D136" i="2"/>
  <c r="E136" i="2" s="1"/>
  <c r="I520" i="2"/>
  <c r="H804" i="2"/>
  <c r="H225" i="2"/>
  <c r="I58" i="2"/>
  <c r="H414" i="2"/>
  <c r="I299" i="2"/>
  <c r="D297" i="2"/>
  <c r="E297" i="2" s="1"/>
  <c r="I796" i="2"/>
  <c r="F817" i="12"/>
  <c r="H817" i="12" s="1"/>
  <c r="D702" i="12"/>
  <c r="E702" i="12" s="1"/>
  <c r="D819" i="12"/>
  <c r="E819" i="12" s="1"/>
  <c r="D776" i="12"/>
  <c r="E776" i="12" s="1"/>
  <c r="D763" i="12"/>
  <c r="E763" i="12" s="1"/>
  <c r="F775" i="12"/>
  <c r="H775" i="12" s="1"/>
  <c r="H135" i="2"/>
  <c r="H131" i="2"/>
  <c r="D737" i="12"/>
  <c r="E737" i="12" s="1"/>
  <c r="D712" i="12"/>
  <c r="E712" i="12" s="1"/>
  <c r="F763" i="12"/>
  <c r="H763" i="12" s="1"/>
  <c r="D809" i="12"/>
  <c r="E809" i="12" s="1"/>
  <c r="F777" i="12"/>
  <c r="H777" i="12" s="1"/>
  <c r="I421" i="2"/>
  <c r="I672" i="2"/>
  <c r="D54" i="2"/>
  <c r="E54" i="2" s="1"/>
  <c r="H736" i="2"/>
  <c r="F798" i="12"/>
  <c r="H798" i="12" s="1"/>
  <c r="D738" i="12"/>
  <c r="E738" i="12" s="1"/>
  <c r="D804" i="12"/>
  <c r="E804" i="12" s="1"/>
  <c r="D719" i="12"/>
  <c r="E719" i="12" s="1"/>
  <c r="F700" i="12"/>
  <c r="H700" i="12" s="1"/>
  <c r="F808" i="5"/>
  <c r="H808" i="5" s="1"/>
  <c r="D490" i="5"/>
  <c r="E490" i="5" s="1"/>
  <c r="F668" i="5"/>
  <c r="H668" i="5" s="1"/>
  <c r="F646" i="5"/>
  <c r="H646" i="5" s="1"/>
  <c r="F555" i="5"/>
  <c r="H555" i="5" s="1"/>
  <c r="F790" i="5"/>
  <c r="H790" i="5" s="1"/>
  <c r="D741" i="5"/>
  <c r="E741" i="5" s="1"/>
  <c r="G719" i="5"/>
  <c r="F525" i="5"/>
  <c r="H525" i="5" s="1"/>
  <c r="F657" i="5"/>
  <c r="H657" i="5" s="1"/>
  <c r="D786" i="5"/>
  <c r="E786" i="5" s="1"/>
  <c r="G751" i="7"/>
  <c r="G694" i="7"/>
  <c r="F799" i="7"/>
  <c r="H799" i="7" s="1"/>
  <c r="G776" i="7"/>
  <c r="G747" i="7"/>
  <c r="G696" i="7"/>
  <c r="G757" i="7"/>
  <c r="G687" i="7"/>
  <c r="F801" i="7"/>
  <c r="H801" i="7" s="1"/>
  <c r="F781" i="7"/>
  <c r="H781" i="7" s="1"/>
  <c r="F750" i="7"/>
  <c r="H750" i="7" s="1"/>
  <c r="F709" i="7"/>
  <c r="H709" i="7" s="1"/>
  <c r="G802" i="7"/>
  <c r="G783" i="7"/>
  <c r="G749" i="7"/>
  <c r="G693" i="7"/>
  <c r="G796" i="7"/>
  <c r="G728" i="7"/>
  <c r="G689" i="7"/>
  <c r="D765" i="7"/>
  <c r="G807" i="7"/>
  <c r="G740" i="7"/>
  <c r="G712" i="7"/>
  <c r="D798" i="7"/>
  <c r="D752" i="7"/>
  <c r="D416" i="2"/>
  <c r="E416" i="2" s="1"/>
  <c r="D696" i="8"/>
  <c r="E696" i="8" s="1"/>
  <c r="D776" i="8"/>
  <c r="E776" i="8" s="1"/>
  <c r="D777" i="8"/>
  <c r="E777" i="8" s="1"/>
  <c r="D790" i="8"/>
  <c r="E790" i="8" s="1"/>
  <c r="D706" i="8"/>
  <c r="E706" i="8" s="1"/>
  <c r="D769" i="8"/>
  <c r="E769" i="8" s="1"/>
  <c r="D805" i="8"/>
  <c r="E805" i="8" s="1"/>
  <c r="D778" i="8"/>
  <c r="E778" i="8" s="1"/>
  <c r="D729" i="8"/>
  <c r="E729" i="8" s="1"/>
  <c r="D699" i="8"/>
  <c r="E699" i="8" s="1"/>
  <c r="H614" i="2"/>
  <c r="H803" i="2"/>
  <c r="H57" i="2"/>
  <c r="I296" i="2"/>
  <c r="I136" i="2"/>
  <c r="H301" i="2"/>
  <c r="H304" i="2"/>
  <c r="H218" i="2"/>
  <c r="D129" i="2"/>
  <c r="E129" i="2" s="1"/>
  <c r="H529" i="2"/>
  <c r="D676" i="2"/>
  <c r="E676" i="2" s="1"/>
  <c r="H519" i="2"/>
  <c r="H677" i="2"/>
  <c r="I303" i="2"/>
  <c r="I522" i="2"/>
  <c r="D737" i="2"/>
  <c r="E737" i="2" s="1"/>
  <c r="H55" i="2"/>
  <c r="H425" i="2"/>
  <c r="I821" i="2"/>
  <c r="I521" i="2"/>
  <c r="I736" i="2"/>
  <c r="I598" i="2"/>
  <c r="H305" i="2"/>
  <c r="I801" i="2"/>
  <c r="I607" i="2"/>
  <c r="I214" i="2"/>
  <c r="I207" i="2"/>
  <c r="H798" i="2"/>
  <c r="H733" i="2"/>
  <c r="D223" i="2"/>
  <c r="E223" i="2" s="1"/>
  <c r="D58" i="2"/>
  <c r="E58" i="2" s="1"/>
  <c r="D414" i="2"/>
  <c r="E414" i="2" s="1"/>
  <c r="H423" i="2"/>
  <c r="H208" i="2"/>
  <c r="D768" i="12"/>
  <c r="E768" i="12" s="1"/>
  <c r="D752" i="12"/>
  <c r="E752" i="12" s="1"/>
  <c r="D810" i="12"/>
  <c r="E810" i="12" s="1"/>
  <c r="D754" i="12"/>
  <c r="E754" i="12" s="1"/>
  <c r="D816" i="12"/>
  <c r="E816" i="12" s="1"/>
  <c r="D753" i="12"/>
  <c r="E753" i="12" s="1"/>
  <c r="D723" i="12"/>
  <c r="E723" i="12" s="1"/>
  <c r="D726" i="12"/>
  <c r="E726" i="12" s="1"/>
  <c r="D748" i="12"/>
  <c r="E748" i="12" s="1"/>
  <c r="D713" i="12"/>
  <c r="E713" i="12" s="1"/>
  <c r="D795" i="12"/>
  <c r="E795" i="12" s="1"/>
  <c r="D707" i="12"/>
  <c r="E707" i="12" s="1"/>
  <c r="D772" i="12"/>
  <c r="E772" i="12" s="1"/>
  <c r="F785" i="12"/>
  <c r="H785" i="12" s="1"/>
  <c r="D714" i="12"/>
  <c r="E714" i="12" s="1"/>
  <c r="D794" i="12"/>
  <c r="E794" i="12" s="1"/>
  <c r="F774" i="12"/>
  <c r="H774" i="12" s="1"/>
  <c r="D744" i="12"/>
  <c r="E744" i="12" s="1"/>
  <c r="F701" i="12"/>
  <c r="H701" i="12" s="1"/>
  <c r="D765" i="12"/>
  <c r="E765" i="12" s="1"/>
  <c r="F709" i="12"/>
  <c r="H709" i="12" s="1"/>
  <c r="D684" i="12"/>
  <c r="E684" i="12" s="1"/>
  <c r="D783" i="12"/>
  <c r="E783" i="12" s="1"/>
  <c r="F781" i="12"/>
  <c r="H781" i="12" s="1"/>
  <c r="D798" i="8"/>
  <c r="E798" i="8" s="1"/>
  <c r="D301" i="2"/>
  <c r="E301" i="2" s="1"/>
  <c r="I209" i="2"/>
  <c r="D59" i="2"/>
  <c r="E59" i="2" s="1"/>
  <c r="I414" i="2"/>
  <c r="H800" i="2"/>
  <c r="D806" i="12"/>
  <c r="E806" i="12" s="1"/>
  <c r="D718" i="12"/>
  <c r="E718" i="12" s="1"/>
  <c r="D778" i="12"/>
  <c r="E778" i="12" s="1"/>
  <c r="F746" i="12"/>
  <c r="H746" i="12" s="1"/>
  <c r="D767" i="12"/>
  <c r="E767" i="12" s="1"/>
  <c r="D740" i="8"/>
  <c r="E740" i="8" s="1"/>
  <c r="D296" i="2"/>
  <c r="E296" i="2" s="1"/>
  <c r="D295" i="2"/>
  <c r="E295" i="2" s="1"/>
  <c r="H606" i="2"/>
  <c r="I412" i="2"/>
  <c r="H611" i="2"/>
  <c r="D298" i="2"/>
  <c r="E298" i="2" s="1"/>
  <c r="I135" i="2"/>
  <c r="I799" i="2"/>
  <c r="I300" i="2"/>
  <c r="I217" i="2"/>
  <c r="D133" i="2"/>
  <c r="E133" i="2" s="1"/>
  <c r="F779" i="12"/>
  <c r="H779" i="12" s="1"/>
  <c r="D703" i="12"/>
  <c r="E703" i="12" s="1"/>
  <c r="D782" i="12"/>
  <c r="E782" i="12" s="1"/>
  <c r="F708" i="12"/>
  <c r="H708" i="12" s="1"/>
  <c r="D746" i="12"/>
  <c r="E746" i="12" s="1"/>
  <c r="F741" i="12"/>
  <c r="H741" i="12" s="1"/>
  <c r="F704" i="12"/>
  <c r="H704" i="12" s="1"/>
  <c r="F786" i="12"/>
  <c r="H786" i="12" s="1"/>
  <c r="D756" i="12"/>
  <c r="E756" i="12" s="1"/>
  <c r="D606" i="2"/>
  <c r="E606" i="2" s="1"/>
  <c r="H300" i="2"/>
  <c r="H217" i="2"/>
  <c r="D821" i="2"/>
  <c r="E821" i="2" s="1"/>
  <c r="H60" i="2"/>
  <c r="D708" i="12"/>
  <c r="E708" i="12" s="1"/>
  <c r="D741" i="12"/>
  <c r="E741" i="12" s="1"/>
  <c r="D747" i="12"/>
  <c r="E747" i="12" s="1"/>
  <c r="F764" i="12"/>
  <c r="H764" i="12" s="1"/>
  <c r="F731" i="12"/>
  <c r="H731" i="12" s="1"/>
  <c r="D700" i="12"/>
  <c r="E700" i="12" s="1"/>
  <c r="H528" i="2"/>
  <c r="H293" i="2"/>
  <c r="H427" i="2"/>
  <c r="D135" i="2"/>
  <c r="E135" i="2" s="1"/>
  <c r="F721" i="12"/>
  <c r="H721" i="12" s="1"/>
  <c r="F758" i="12"/>
  <c r="H758" i="12" s="1"/>
  <c r="F717" i="12"/>
  <c r="H717" i="12" s="1"/>
  <c r="F759" i="12"/>
  <c r="H759" i="12" s="1"/>
  <c r="D777" i="12"/>
  <c r="E777" i="12" s="1"/>
  <c r="F695" i="12"/>
  <c r="H695" i="12" s="1"/>
  <c r="G811" i="5"/>
  <c r="F490" i="5"/>
  <c r="H490" i="5" s="1"/>
  <c r="D743" i="5"/>
  <c r="E743" i="5" s="1"/>
  <c r="D646" i="5"/>
  <c r="E646" i="5" s="1"/>
  <c r="G527" i="5"/>
  <c r="G741" i="5"/>
  <c r="D719" i="5"/>
  <c r="E719" i="5" s="1"/>
  <c r="G524" i="5"/>
  <c r="D657" i="5"/>
  <c r="E657" i="5" s="1"/>
  <c r="D775" i="5"/>
  <c r="E775" i="5" s="1"/>
  <c r="D558" i="5"/>
  <c r="E558" i="5" s="1"/>
  <c r="F751" i="7"/>
  <c r="H751" i="7" s="1"/>
  <c r="F694" i="7"/>
  <c r="H694" i="7" s="1"/>
  <c r="G799" i="7"/>
  <c r="F776" i="7"/>
  <c r="H776" i="7" s="1"/>
  <c r="F747" i="7"/>
  <c r="H747" i="7" s="1"/>
  <c r="F696" i="7"/>
  <c r="H696" i="7" s="1"/>
  <c r="F757" i="7"/>
  <c r="H757" i="7" s="1"/>
  <c r="F687" i="7"/>
  <c r="H687" i="7" s="1"/>
  <c r="G755" i="7"/>
  <c r="D709" i="7"/>
  <c r="F802" i="7"/>
  <c r="H802" i="7" s="1"/>
  <c r="F783" i="7"/>
  <c r="H783" i="7" s="1"/>
  <c r="F749" i="7"/>
  <c r="H749" i="7" s="1"/>
  <c r="F693" i="7"/>
  <c r="H693" i="7" s="1"/>
  <c r="D722" i="7"/>
  <c r="F796" i="7"/>
  <c r="H796" i="7" s="1"/>
  <c r="F728" i="7"/>
  <c r="H728" i="7" s="1"/>
  <c r="F689" i="7"/>
  <c r="H689" i="7" s="1"/>
  <c r="F807" i="7"/>
  <c r="H807" i="7" s="1"/>
  <c r="F740" i="7"/>
  <c r="H740" i="7" s="1"/>
  <c r="F712" i="7"/>
  <c r="H712" i="7" s="1"/>
  <c r="D751" i="7"/>
  <c r="H679" i="2"/>
  <c r="D691" i="8"/>
  <c r="E691" i="8" s="1"/>
  <c r="D779" i="8"/>
  <c r="E779" i="8" s="1"/>
  <c r="D782" i="8"/>
  <c r="E782" i="8" s="1"/>
  <c r="D747" i="8"/>
  <c r="E747" i="8" s="1"/>
  <c r="D791" i="8"/>
  <c r="E791" i="8" s="1"/>
  <c r="D753" i="8"/>
  <c r="E753" i="8" s="1"/>
  <c r="D688" i="8"/>
  <c r="E688" i="8" s="1"/>
  <c r="D755" i="8"/>
  <c r="E755" i="8" s="1"/>
  <c r="D720" i="8"/>
  <c r="E720" i="8" s="1"/>
  <c r="I614" i="2"/>
  <c r="H296" i="2"/>
  <c r="H136" i="2"/>
  <c r="H739" i="2"/>
  <c r="H295" i="2"/>
  <c r="D595" i="2"/>
  <c r="E595" i="2" s="1"/>
  <c r="D677" i="2"/>
  <c r="E677" i="2" s="1"/>
  <c r="I611" i="2"/>
  <c r="H303" i="2"/>
  <c r="I59" i="2"/>
  <c r="I673" i="2"/>
  <c r="D55" i="2"/>
  <c r="E55" i="2" s="1"/>
  <c r="I298" i="2"/>
  <c r="I424" i="2"/>
  <c r="I223" i="2"/>
  <c r="H521" i="2"/>
  <c r="I603" i="2"/>
  <c r="I523" i="2"/>
  <c r="I524" i="2"/>
  <c r="H801" i="2"/>
  <c r="H607" i="2"/>
  <c r="I515" i="2"/>
  <c r="I600" i="2"/>
  <c r="D685" i="12"/>
  <c r="E685" i="12" s="1"/>
  <c r="F806" i="12"/>
  <c r="H806" i="12" s="1"/>
  <c r="F773" i="12"/>
  <c r="H773" i="12" s="1"/>
  <c r="F751" i="12"/>
  <c r="H751" i="12" s="1"/>
  <c r="F694" i="12"/>
  <c r="H694" i="12" s="1"/>
  <c r="D787" i="12"/>
  <c r="E787" i="12" s="1"/>
  <c r="D749" i="12"/>
  <c r="E749" i="12" s="1"/>
  <c r="F693" i="12"/>
  <c r="H693" i="12" s="1"/>
  <c r="D760" i="12"/>
  <c r="E760" i="12" s="1"/>
  <c r="D705" i="12"/>
  <c r="E705" i="12" s="1"/>
  <c r="D790" i="12"/>
  <c r="E790" i="12" s="1"/>
  <c r="D757" i="12"/>
  <c r="E757" i="12" s="1"/>
  <c r="F687" i="12"/>
  <c r="H687" i="12" s="1"/>
  <c r="D784" i="12"/>
  <c r="E784" i="12" s="1"/>
  <c r="F765" i="12"/>
  <c r="H765" i="12" s="1"/>
  <c r="D709" i="12"/>
  <c r="E709" i="12" s="1"/>
  <c r="F684" i="12"/>
  <c r="H684" i="12" s="1"/>
  <c r="D769" i="12"/>
  <c r="E769" i="12" s="1"/>
  <c r="F697" i="12"/>
  <c r="H697" i="12" s="1"/>
  <c r="G715" i="7"/>
  <c r="D736" i="8"/>
  <c r="E736" i="8" s="1"/>
  <c r="D819" i="8"/>
  <c r="E819" i="8" s="1"/>
  <c r="D770" i="8"/>
  <c r="E770" i="8" s="1"/>
  <c r="D803" i="2"/>
  <c r="E803" i="2" s="1"/>
  <c r="I422" i="2"/>
  <c r="D519" i="2"/>
  <c r="E519" i="2" s="1"/>
  <c r="I677" i="2"/>
  <c r="H298" i="2"/>
  <c r="H821" i="2"/>
  <c r="H598" i="2"/>
  <c r="H600" i="2"/>
  <c r="D773" i="12"/>
  <c r="E773" i="12" s="1"/>
  <c r="D694" i="12"/>
  <c r="E694" i="12" s="1"/>
  <c r="D792" i="12"/>
  <c r="E792" i="12" s="1"/>
  <c r="F790" i="12"/>
  <c r="H790" i="12" s="1"/>
  <c r="D786" i="12"/>
  <c r="E786" i="12" s="1"/>
  <c r="D821" i="8"/>
  <c r="E821" i="8" s="1"/>
  <c r="I596" i="2"/>
  <c r="H422" i="2"/>
  <c r="D673" i="2"/>
  <c r="E673" i="2" s="1"/>
  <c r="I419" i="2"/>
  <c r="D426" i="2"/>
  <c r="E426" i="2" s="1"/>
  <c r="F720" i="12"/>
  <c r="H720" i="12" s="1"/>
  <c r="F730" i="12"/>
  <c r="H730" i="12" s="1"/>
  <c r="D727" i="12"/>
  <c r="E727" i="12" s="1"/>
  <c r="F740" i="12"/>
  <c r="H740" i="12" s="1"/>
  <c r="D807" i="12"/>
  <c r="E807" i="12" s="1"/>
  <c r="D812" i="12"/>
  <c r="E812" i="12" s="1"/>
  <c r="H740" i="2"/>
  <c r="I220" i="2"/>
  <c r="I293" i="2"/>
  <c r="I426" i="2"/>
  <c r="H58" i="2"/>
  <c r="I423" i="2"/>
  <c r="H299" i="2"/>
  <c r="D598" i="2"/>
  <c r="E598" i="2" s="1"/>
  <c r="H796" i="2"/>
  <c r="D779" i="12"/>
  <c r="E779" i="12" s="1"/>
  <c r="F821" i="12"/>
  <c r="H821" i="12" s="1"/>
  <c r="D730" i="12"/>
  <c r="E730" i="12" s="1"/>
  <c r="D761" i="12"/>
  <c r="E761" i="12" s="1"/>
  <c r="D704" i="12"/>
  <c r="E704" i="12" s="1"/>
  <c r="F793" i="12"/>
  <c r="H793" i="12" s="1"/>
  <c r="D815" i="12"/>
  <c r="E815" i="12" s="1"/>
  <c r="D755" i="12"/>
  <c r="E755" i="12" s="1"/>
  <c r="I294" i="2"/>
  <c r="I806" i="2"/>
  <c r="D415" i="2"/>
  <c r="E415" i="2" s="1"/>
  <c r="H424" i="2"/>
  <c r="D424" i="2"/>
  <c r="E424" i="2" s="1"/>
  <c r="D725" i="12"/>
  <c r="E725" i="12" s="1"/>
  <c r="D743" i="12"/>
  <c r="E743" i="12" s="1"/>
  <c r="F712" i="12"/>
  <c r="H712" i="12" s="1"/>
  <c r="D808" i="12"/>
  <c r="E808" i="12" s="1"/>
  <c r="D764" i="12"/>
  <c r="E764" i="12" s="1"/>
  <c r="F755" i="12"/>
  <c r="H755" i="12" s="1"/>
  <c r="F505" i="5"/>
  <c r="H505" i="5" s="1"/>
  <c r="G510" i="5"/>
  <c r="G538" i="5"/>
  <c r="G660" i="5"/>
  <c r="F527" i="5"/>
  <c r="H527" i="5" s="1"/>
  <c r="F719" i="5"/>
  <c r="H719" i="5" s="1"/>
  <c r="F524" i="5"/>
  <c r="H524" i="5" s="1"/>
  <c r="D666" i="5"/>
  <c r="E666" i="5" s="1"/>
  <c r="D563" i="5"/>
  <c r="E563" i="5" s="1"/>
  <c r="G768" i="7"/>
  <c r="G759" i="7"/>
  <c r="G753" i="7"/>
  <c r="G702" i="7"/>
  <c r="G790" i="7"/>
  <c r="D687" i="7"/>
  <c r="F755" i="7"/>
  <c r="H755" i="7" s="1"/>
  <c r="G761" i="7"/>
  <c r="D780" i="7"/>
  <c r="D694" i="7"/>
  <c r="D731" i="7"/>
  <c r="G808" i="7"/>
  <c r="G777" i="7"/>
  <c r="G729" i="7"/>
  <c r="H605" i="2"/>
  <c r="H603" i="2"/>
  <c r="H220" i="2"/>
  <c r="D706" i="12"/>
  <c r="E706" i="12" s="1"/>
  <c r="F516" i="5"/>
  <c r="H516" i="5" s="1"/>
  <c r="D712" i="5"/>
  <c r="E712" i="5" s="1"/>
  <c r="D510" i="5"/>
  <c r="E510" i="5" s="1"/>
  <c r="D538" i="5"/>
  <c r="E538" i="5" s="1"/>
  <c r="F660" i="5"/>
  <c r="H660" i="5" s="1"/>
  <c r="D527" i="5"/>
  <c r="E527" i="5" s="1"/>
  <c r="G744" i="5"/>
  <c r="F699" i="5"/>
  <c r="H699" i="5" s="1"/>
  <c r="D524" i="5"/>
  <c r="E524" i="5" s="1"/>
  <c r="G666" i="5"/>
  <c r="I666" i="5" s="1"/>
  <c r="J666" i="5" s="1"/>
  <c r="F560" i="5"/>
  <c r="H560" i="5" s="1"/>
  <c r="D765" i="5"/>
  <c r="E765" i="5" s="1"/>
  <c r="F768" i="7"/>
  <c r="H768" i="7" s="1"/>
  <c r="F759" i="7"/>
  <c r="H759" i="7" s="1"/>
  <c r="F753" i="7"/>
  <c r="H753" i="7" s="1"/>
  <c r="F702" i="7"/>
  <c r="H702" i="7" s="1"/>
  <c r="F790" i="7"/>
  <c r="H790" i="7" s="1"/>
  <c r="G762" i="7"/>
  <c r="F761" i="7"/>
  <c r="H761" i="7" s="1"/>
  <c r="D774" i="7"/>
  <c r="D820" i="7"/>
  <c r="D732" i="7"/>
  <c r="F808" i="7"/>
  <c r="H808" i="7" s="1"/>
  <c r="F777" i="7"/>
  <c r="H777" i="7" s="1"/>
  <c r="F729" i="7"/>
  <c r="H729" i="7" s="1"/>
  <c r="F715" i="7"/>
  <c r="H715" i="7" s="1"/>
  <c r="D785" i="7"/>
  <c r="D765" i="8"/>
  <c r="E765" i="8" s="1"/>
  <c r="D780" i="8"/>
  <c r="E780" i="8" s="1"/>
  <c r="D763" i="8"/>
  <c r="E763" i="8" s="1"/>
  <c r="D809" i="8"/>
  <c r="E809" i="8" s="1"/>
  <c r="D774" i="8"/>
  <c r="E774" i="8" s="1"/>
  <c r="D733" i="8"/>
  <c r="E733" i="8" s="1"/>
  <c r="D744" i="8"/>
  <c r="E744" i="8" s="1"/>
  <c r="D745" i="8"/>
  <c r="E745" i="8" s="1"/>
  <c r="D716" i="8"/>
  <c r="E716" i="8" s="1"/>
  <c r="D775" i="8"/>
  <c r="E775" i="8" s="1"/>
  <c r="D811" i="8"/>
  <c r="E811" i="8" s="1"/>
  <c r="I131" i="2"/>
  <c r="F715" i="12"/>
  <c r="H715" i="12" s="1"/>
  <c r="H62" i="2"/>
  <c r="I418" i="2"/>
  <c r="F683" i="12"/>
  <c r="H683" i="12" s="1"/>
  <c r="D780" i="12"/>
  <c r="E780" i="12" s="1"/>
  <c r="D791" i="12"/>
  <c r="E791" i="12" s="1"/>
  <c r="G500" i="5"/>
  <c r="D788" i="5"/>
  <c r="E788" i="5" s="1"/>
  <c r="D740" i="5"/>
  <c r="E740" i="5" s="1"/>
  <c r="F695" i="5"/>
  <c r="H695" i="5" s="1"/>
  <c r="G672" i="5"/>
  <c r="F546" i="5"/>
  <c r="H546" i="5" s="1"/>
  <c r="D670" i="5"/>
  <c r="E670" i="5" s="1"/>
  <c r="G526" i="5"/>
  <c r="G655" i="5"/>
  <c r="D557" i="5"/>
  <c r="E557" i="5" s="1"/>
  <c r="D693" i="5"/>
  <c r="E693" i="5" s="1"/>
  <c r="G568" i="5"/>
  <c r="G736" i="7"/>
  <c r="D720" i="7"/>
  <c r="G763" i="7"/>
  <c r="D719" i="7"/>
  <c r="F805" i="7"/>
  <c r="H805" i="7" s="1"/>
  <c r="G742" i="7"/>
  <c r="G710" i="7"/>
  <c r="G818" i="7"/>
  <c r="G772" i="7"/>
  <c r="G745" i="7"/>
  <c r="G705" i="7"/>
  <c r="D786" i="7"/>
  <c r="D779" i="7"/>
  <c r="D698" i="8"/>
  <c r="E698" i="8" s="1"/>
  <c r="D768" i="8"/>
  <c r="E768" i="8" s="1"/>
  <c r="D808" i="8"/>
  <c r="E808" i="8" s="1"/>
  <c r="D773" i="8"/>
  <c r="E773" i="8" s="1"/>
  <c r="D725" i="8"/>
  <c r="E725" i="8" s="1"/>
  <c r="D694" i="8"/>
  <c r="E694" i="8" s="1"/>
  <c r="D772" i="8"/>
  <c r="E772" i="8" s="1"/>
  <c r="D687" i="8"/>
  <c r="E687" i="8" s="1"/>
  <c r="D788" i="8"/>
  <c r="E788" i="8" s="1"/>
  <c r="D756" i="8"/>
  <c r="E756" i="8" s="1"/>
  <c r="I807" i="2"/>
  <c r="I61" i="2"/>
  <c r="H130" i="2"/>
  <c r="I211" i="2"/>
  <c r="I615" i="2"/>
  <c r="H741" i="2"/>
  <c r="I680" i="2"/>
  <c r="D604" i="2"/>
  <c r="E604" i="2" s="1"/>
  <c r="D818" i="12"/>
  <c r="E818" i="12" s="1"/>
  <c r="I224" i="2"/>
  <c r="I132" i="2"/>
  <c r="D734" i="12"/>
  <c r="E734" i="12" s="1"/>
  <c r="D731" i="12"/>
  <c r="E731" i="12" s="1"/>
  <c r="D500" i="5"/>
  <c r="E500" i="5" s="1"/>
  <c r="G740" i="5"/>
  <c r="F672" i="5"/>
  <c r="H672" i="5" s="1"/>
  <c r="D546" i="5"/>
  <c r="E546" i="5" s="1"/>
  <c r="F526" i="5"/>
  <c r="H526" i="5" s="1"/>
  <c r="F803" i="5"/>
  <c r="H803" i="5" s="1"/>
  <c r="G763" i="5"/>
  <c r="G498" i="5"/>
  <c r="F655" i="5"/>
  <c r="H655" i="5" s="1"/>
  <c r="G539" i="5"/>
  <c r="I539" i="5" s="1"/>
  <c r="J539" i="5" s="1"/>
  <c r="D682" i="5"/>
  <c r="E682" i="5" s="1"/>
  <c r="F568" i="5"/>
  <c r="H568" i="5" s="1"/>
  <c r="F736" i="7"/>
  <c r="H736" i="7" s="1"/>
  <c r="F763" i="7"/>
  <c r="H763" i="7" s="1"/>
  <c r="F719" i="7"/>
  <c r="H719" i="7" s="1"/>
  <c r="G731" i="7"/>
  <c r="G805" i="7"/>
  <c r="F742" i="7"/>
  <c r="H742" i="7" s="1"/>
  <c r="F710" i="7"/>
  <c r="H710" i="7" s="1"/>
  <c r="D803" i="7"/>
  <c r="D741" i="7"/>
  <c r="F818" i="7"/>
  <c r="H818" i="7" s="1"/>
  <c r="F772" i="7"/>
  <c r="H772" i="7" s="1"/>
  <c r="F745" i="7"/>
  <c r="H745" i="7" s="1"/>
  <c r="F705" i="7"/>
  <c r="H705" i="7" s="1"/>
  <c r="D212" i="2"/>
  <c r="E212" i="2" s="1"/>
  <c r="H214" i="2"/>
  <c r="D718" i="8"/>
  <c r="E718" i="8" s="1"/>
  <c r="D792" i="8"/>
  <c r="E792" i="8" s="1"/>
  <c r="D707" i="8"/>
  <c r="E707" i="8" s="1"/>
  <c r="D783" i="8"/>
  <c r="E783" i="8" s="1"/>
  <c r="H807" i="2"/>
  <c r="H61" i="2"/>
  <c r="I130" i="2"/>
  <c r="H211" i="2"/>
  <c r="H615" i="2"/>
  <c r="H797" i="2"/>
  <c r="H221" i="2"/>
  <c r="H216" i="2"/>
  <c r="I306" i="2"/>
  <c r="D804" i="2"/>
  <c r="E804" i="2" s="1"/>
  <c r="I679" i="2"/>
  <c r="I517" i="2"/>
  <c r="F766" i="12"/>
  <c r="H766" i="12" s="1"/>
  <c r="D793" i="12"/>
  <c r="E793" i="12" s="1"/>
  <c r="G746" i="5"/>
  <c r="F682" i="5"/>
  <c r="H682" i="5" s="1"/>
  <c r="G643" i="5"/>
  <c r="D576" i="5"/>
  <c r="E576" i="5" s="1"/>
  <c r="D559" i="5"/>
  <c r="E559" i="5" s="1"/>
  <c r="D526" i="5"/>
  <c r="E526" i="5" s="1"/>
  <c r="F763" i="5"/>
  <c r="H763" i="5" s="1"/>
  <c r="F498" i="5"/>
  <c r="H498" i="5" s="1"/>
  <c r="G536" i="5"/>
  <c r="D539" i="5"/>
  <c r="E539" i="5" s="1"/>
  <c r="D568" i="5"/>
  <c r="E568" i="5" s="1"/>
  <c r="F806" i="7"/>
  <c r="H806" i="7" s="1"/>
  <c r="G737" i="7"/>
  <c r="G720" i="7"/>
  <c r="G794" i="7"/>
  <c r="G734" i="7"/>
  <c r="G714" i="7"/>
  <c r="G699" i="7"/>
  <c r="F731" i="7"/>
  <c r="H731" i="7" s="1"/>
  <c r="F809" i="7"/>
  <c r="H809" i="7" s="1"/>
  <c r="G739" i="7"/>
  <c r="G722" i="7"/>
  <c r="G804" i="7"/>
  <c r="G730" i="7"/>
  <c r="G708" i="7"/>
  <c r="G754" i="7"/>
  <c r="G703" i="7"/>
  <c r="D714" i="7"/>
  <c r="G793" i="7"/>
  <c r="G764" i="7"/>
  <c r="G682" i="7"/>
  <c r="D768" i="7"/>
  <c r="D679" i="2"/>
  <c r="E679" i="2" s="1"/>
  <c r="D128" i="2"/>
  <c r="E128" i="2" s="1"/>
  <c r="D697" i="8"/>
  <c r="E697" i="8" s="1"/>
  <c r="D760" i="8"/>
  <c r="E760" i="8" s="1"/>
  <c r="D814" i="8"/>
  <c r="E814" i="8" s="1"/>
  <c r="D801" i="8"/>
  <c r="E801" i="8" s="1"/>
  <c r="D710" i="8"/>
  <c r="E710" i="8" s="1"/>
  <c r="D757" i="8"/>
  <c r="E757" i="8" s="1"/>
  <c r="D810" i="8"/>
  <c r="E810" i="8" s="1"/>
  <c r="D721" i="8"/>
  <c r="E721" i="8" s="1"/>
  <c r="D741" i="2"/>
  <c r="E741" i="2" s="1"/>
  <c r="D797" i="2"/>
  <c r="E797" i="2" s="1"/>
  <c r="H680" i="2"/>
  <c r="H306" i="2"/>
  <c r="D528" i="2"/>
  <c r="E528" i="2" s="1"/>
  <c r="H421" i="2"/>
  <c r="I738" i="2"/>
  <c r="D294" i="2"/>
  <c r="E294" i="2" s="1"/>
  <c r="D412" i="2"/>
  <c r="E412" i="2" s="1"/>
  <c r="H224" i="2"/>
  <c r="D806" i="2"/>
  <c r="E806" i="2" s="1"/>
  <c r="H522" i="2"/>
  <c r="H737" i="2"/>
  <c r="D599" i="2"/>
  <c r="E599" i="2" s="1"/>
  <c r="D293" i="2"/>
  <c r="E293" i="2" s="1"/>
  <c r="H415" i="2"/>
  <c r="I425" i="2"/>
  <c r="I297" i="2"/>
  <c r="H672" i="2"/>
  <c r="H734" i="2"/>
  <c r="I675" i="2"/>
  <c r="I605" i="2"/>
  <c r="I602" i="2"/>
  <c r="H132" i="2"/>
  <c r="H601" i="2"/>
  <c r="D603" i="2"/>
  <c r="E603" i="2" s="1"/>
  <c r="D672" i="2"/>
  <c r="E672" i="2" s="1"/>
  <c r="H416" i="2"/>
  <c r="H517" i="2"/>
  <c r="H418" i="2"/>
  <c r="F689" i="12"/>
  <c r="H689" i="12" s="1"/>
  <c r="D798" i="12"/>
  <c r="E798" i="12" s="1"/>
  <c r="D721" i="12"/>
  <c r="E721" i="12" s="1"/>
  <c r="D683" i="12"/>
  <c r="E683" i="12" s="1"/>
  <c r="D724" i="12"/>
  <c r="E724" i="12" s="1"/>
  <c r="F699" i="12"/>
  <c r="H699" i="12" s="1"/>
  <c r="D728" i="12"/>
  <c r="E728" i="12" s="1"/>
  <c r="D805" i="12"/>
  <c r="E805" i="12" s="1"/>
  <c r="D766" i="12"/>
  <c r="E766" i="12" s="1"/>
  <c r="F725" i="12"/>
  <c r="H725" i="12" s="1"/>
  <c r="D717" i="12"/>
  <c r="E717" i="12" s="1"/>
  <c r="D814" i="12"/>
  <c r="E814" i="12" s="1"/>
  <c r="D796" i="12"/>
  <c r="E796" i="12" s="1"/>
  <c r="D711" i="12"/>
  <c r="E711" i="12" s="1"/>
  <c r="D745" i="12"/>
  <c r="E745" i="12" s="1"/>
  <c r="D803" i="12"/>
  <c r="E803" i="12" s="1"/>
  <c r="F780" i="12"/>
  <c r="H780" i="12" s="1"/>
  <c r="D759" i="12"/>
  <c r="E759" i="12" s="1"/>
  <c r="F719" i="12"/>
  <c r="H719" i="12" s="1"/>
  <c r="D710" i="12"/>
  <c r="E710" i="12" s="1"/>
  <c r="F811" i="12"/>
  <c r="H811" i="12" s="1"/>
  <c r="F788" i="12"/>
  <c r="H788" i="12" s="1"/>
  <c r="F770" i="12"/>
  <c r="H770" i="12" s="1"/>
  <c r="D762" i="12"/>
  <c r="E762" i="12" s="1"/>
  <c r="F732" i="12"/>
  <c r="H732" i="12" s="1"/>
  <c r="F716" i="12"/>
  <c r="D698" i="12"/>
  <c r="E698" i="12" s="1"/>
  <c r="D682" i="12"/>
  <c r="E682" i="12" s="1"/>
  <c r="D700" i="8"/>
  <c r="E700" i="8" s="1"/>
  <c r="D702" i="8"/>
  <c r="E702" i="8" s="1"/>
  <c r="I57" i="2"/>
  <c r="D611" i="2"/>
  <c r="E611" i="2" s="1"/>
  <c r="H673" i="2"/>
  <c r="H223" i="2"/>
  <c r="D722" i="12"/>
  <c r="E722" i="12" s="1"/>
  <c r="F749" i="12"/>
  <c r="H749" i="12" s="1"/>
  <c r="F729" i="12"/>
  <c r="H729" i="12" s="1"/>
  <c r="F757" i="12"/>
  <c r="F807" i="12"/>
  <c r="H807" i="12" s="1"/>
  <c r="F820" i="12"/>
  <c r="H820" i="12" s="1"/>
  <c r="F750" i="12"/>
  <c r="H750" i="12" s="1"/>
  <c r="D733" i="12"/>
  <c r="E733" i="12" s="1"/>
  <c r="I803" i="2"/>
  <c r="I56" i="2"/>
  <c r="H604" i="2"/>
  <c r="I415" i="2"/>
  <c r="I215" i="2"/>
  <c r="H524" i="2"/>
  <c r="F737" i="12"/>
  <c r="H737" i="12" s="1"/>
  <c r="D742" i="12"/>
  <c r="E742" i="12" s="1"/>
  <c r="D820" i="12"/>
  <c r="E820" i="12" s="1"/>
  <c r="D750" i="12"/>
  <c r="E750" i="12" s="1"/>
  <c r="D304" i="2"/>
  <c r="E304" i="2" s="1"/>
  <c r="I62" i="2"/>
  <c r="D225" i="2"/>
  <c r="E225" i="2" s="1"/>
  <c r="I427" i="2"/>
  <c r="H215" i="2"/>
  <c r="D425" i="2"/>
  <c r="E425" i="2" s="1"/>
  <c r="D817" i="12"/>
  <c r="E817" i="12" s="1"/>
  <c r="D720" i="12"/>
  <c r="E720" i="12" s="1"/>
  <c r="D771" i="12"/>
  <c r="E771" i="12" s="1"/>
  <c r="D740" i="12"/>
  <c r="E740" i="12" s="1"/>
  <c r="F808" i="12"/>
  <c r="H808" i="12" s="1"/>
  <c r="D802" i="12"/>
  <c r="E802" i="12" s="1"/>
  <c r="H412" i="2"/>
  <c r="I599" i="2"/>
  <c r="I601" i="2"/>
  <c r="H297" i="2"/>
  <c r="F736" i="12"/>
  <c r="H736" i="12" s="1"/>
  <c r="D797" i="12"/>
  <c r="E797" i="12" s="1"/>
  <c r="F803" i="12"/>
  <c r="H803" i="12" s="1"/>
  <c r="D800" i="12"/>
  <c r="E800" i="12" s="1"/>
  <c r="F815" i="12"/>
  <c r="H815" i="12" s="1"/>
  <c r="F696" i="12"/>
  <c r="H696" i="12" s="1"/>
  <c r="D674" i="2"/>
  <c r="E674" i="2" s="1"/>
  <c r="D686" i="8"/>
  <c r="E686" i="8" s="1"/>
  <c r="F784" i="12"/>
  <c r="H784" i="12" s="1"/>
  <c r="F702" i="12"/>
  <c r="H702" i="12" s="1"/>
  <c r="D721" i="7"/>
  <c r="G693" i="5"/>
  <c r="G766" i="12"/>
  <c r="D696" i="7"/>
  <c r="D739" i="2"/>
  <c r="E739" i="2" s="1"/>
  <c r="D816" i="7"/>
  <c r="F805" i="12"/>
  <c r="H805" i="12" s="1"/>
  <c r="F791" i="12"/>
  <c r="H791" i="12" s="1"/>
  <c r="F747" i="12"/>
  <c r="H747" i="12" s="1"/>
  <c r="F812" i="12"/>
  <c r="H812" i="12" s="1"/>
  <c r="D526" i="2"/>
  <c r="E526" i="2" s="1"/>
  <c r="D213" i="2"/>
  <c r="E213" i="2" s="1"/>
  <c r="F800" i="12"/>
  <c r="H800" i="12" s="1"/>
  <c r="F753" i="12"/>
  <c r="H753" i="12" s="1"/>
  <c r="D537" i="5"/>
  <c r="E537" i="5" s="1"/>
  <c r="G749" i="5"/>
  <c r="D747" i="7"/>
  <c r="D221" i="2"/>
  <c r="E221" i="2" s="1"/>
  <c r="D683" i="7"/>
  <c r="G693" i="12"/>
  <c r="F776" i="12"/>
  <c r="H776" i="12" s="1"/>
  <c r="F685" i="12"/>
  <c r="H685" i="12" s="1"/>
  <c r="F707" i="12"/>
  <c r="H707" i="12" s="1"/>
  <c r="F761" i="12"/>
  <c r="H761" i="12" s="1"/>
  <c r="D735" i="2"/>
  <c r="E735" i="2" s="1"/>
  <c r="F686" i="12"/>
  <c r="H686" i="12" s="1"/>
  <c r="D637" i="5"/>
  <c r="E637" i="5" s="1"/>
  <c r="D516" i="5"/>
  <c r="E516" i="5" s="1"/>
  <c r="F711" i="12"/>
  <c r="H711" i="12" s="1"/>
  <c r="D776" i="7"/>
  <c r="F722" i="12"/>
  <c r="F691" i="12"/>
  <c r="H691" i="12" s="1"/>
  <c r="D805" i="5"/>
  <c r="E805" i="5" s="1"/>
  <c r="G749" i="12"/>
  <c r="F743" i="12"/>
  <c r="H743" i="12" s="1"/>
  <c r="D734" i="7"/>
  <c r="D748" i="5"/>
  <c r="E748" i="5" s="1"/>
  <c r="F727" i="12"/>
  <c r="H727" i="12" s="1"/>
  <c r="D799" i="7"/>
  <c r="F739" i="12"/>
  <c r="H739" i="12" s="1"/>
  <c r="G678" i="5"/>
  <c r="I678" i="5" s="1"/>
  <c r="J678" i="5" s="1"/>
  <c r="F783" i="12"/>
  <c r="F760" i="12"/>
  <c r="H760" i="12" s="1"/>
  <c r="F724" i="12"/>
  <c r="H724" i="12" s="1"/>
  <c r="F771" i="12"/>
  <c r="H771" i="12" s="1"/>
  <c r="G708" i="12"/>
  <c r="F718" i="12"/>
  <c r="H718" i="12" s="1"/>
  <c r="H808" i="2"/>
  <c r="G726" i="12"/>
  <c r="G713" i="12"/>
  <c r="D691" i="7"/>
  <c r="F782" i="12"/>
  <c r="H782" i="12" s="1"/>
  <c r="F769" i="12"/>
  <c r="H769" i="12" s="1"/>
  <c r="F802" i="12"/>
  <c r="H802" i="12" s="1"/>
  <c r="D735" i="7"/>
  <c r="F787" i="12"/>
  <c r="H787" i="12" s="1"/>
  <c r="D753" i="7"/>
  <c r="G730" i="12"/>
  <c r="F735" i="12"/>
  <c r="H735" i="12" s="1"/>
  <c r="F714" i="12"/>
  <c r="H714" i="12" s="1"/>
  <c r="F795" i="12"/>
  <c r="H795" i="12" s="1"/>
  <c r="G748" i="12"/>
  <c r="D760" i="7"/>
  <c r="F813" i="12"/>
  <c r="H813" i="12" s="1"/>
  <c r="F809" i="12"/>
  <c r="H809" i="12" s="1"/>
  <c r="D707" i="7"/>
  <c r="D730" i="5"/>
  <c r="E730" i="5" s="1"/>
  <c r="F710" i="12"/>
  <c r="H710" i="12" s="1"/>
  <c r="G717" i="12"/>
  <c r="D596" i="2"/>
  <c r="E596" i="2" s="1"/>
  <c r="F734" i="12"/>
  <c r="H734" i="12" s="1"/>
  <c r="F698" i="12"/>
  <c r="H698" i="12" s="1"/>
  <c r="F778" i="12"/>
  <c r="H778" i="12" s="1"/>
  <c r="D540" i="5"/>
  <c r="E540" i="5" s="1"/>
  <c r="D769" i="7"/>
  <c r="D292" i="2"/>
  <c r="E292" i="2" s="1"/>
  <c r="D743" i="7"/>
  <c r="D742" i="8"/>
  <c r="E742" i="8" s="1"/>
  <c r="F742" i="12"/>
  <c r="H742" i="12" s="1"/>
  <c r="D821" i="7"/>
  <c r="G725" i="12"/>
  <c r="D420" i="2"/>
  <c r="E420" i="2" s="1"/>
  <c r="F804" i="12"/>
  <c r="H804" i="12" s="1"/>
  <c r="F756" i="12"/>
  <c r="H756" i="12" s="1"/>
  <c r="F814" i="12"/>
  <c r="H814" i="12" s="1"/>
  <c r="F795" i="5"/>
  <c r="H795" i="5" s="1"/>
  <c r="D792" i="7"/>
  <c r="D508" i="5"/>
  <c r="E508" i="5" s="1"/>
  <c r="D771" i="7"/>
  <c r="C21" i="16"/>
  <c r="L6" i="5"/>
  <c r="G9" i="12"/>
  <c r="C436" i="12"/>
  <c r="L436" i="12" s="1"/>
  <c r="C455" i="12"/>
  <c r="L455" i="12" s="1"/>
  <c r="C414" i="12"/>
  <c r="L414" i="12" s="1"/>
  <c r="C408" i="12"/>
  <c r="L408" i="12" s="1"/>
  <c r="M408" i="12" s="1"/>
  <c r="C428" i="12"/>
  <c r="L428" i="12" s="1"/>
  <c r="C438" i="12"/>
  <c r="L438" i="12" s="1"/>
  <c r="C668" i="12"/>
  <c r="L668" i="12" s="1"/>
  <c r="C674" i="12"/>
  <c r="L674" i="12" s="1"/>
  <c r="C513" i="12"/>
  <c r="L513" i="12" s="1"/>
  <c r="C480" i="12"/>
  <c r="L480" i="12" s="1"/>
  <c r="C504" i="12"/>
  <c r="L504" i="12" s="1"/>
  <c r="C354" i="12"/>
  <c r="L354" i="12" s="1"/>
  <c r="C369" i="12"/>
  <c r="L369" i="12" s="1"/>
  <c r="C367" i="12"/>
  <c r="L367" i="12" s="1"/>
  <c r="C335" i="12"/>
  <c r="L335" i="12" s="1"/>
  <c r="C332" i="12"/>
  <c r="L332" i="12" s="1"/>
  <c r="M332" i="12" s="1"/>
  <c r="C334" i="12"/>
  <c r="L334" i="12" s="1"/>
  <c r="C351" i="12"/>
  <c r="L351" i="12" s="1"/>
  <c r="C347" i="12"/>
  <c r="L347" i="12" s="1"/>
  <c r="C446" i="12"/>
  <c r="L446" i="12" s="1"/>
  <c r="C445" i="12"/>
  <c r="L445" i="12" s="1"/>
  <c r="C442" i="12"/>
  <c r="L442" i="12" s="1"/>
  <c r="C449" i="12"/>
  <c r="L449" i="12" s="1"/>
  <c r="C422" i="12"/>
  <c r="L422" i="12" s="1"/>
  <c r="C454" i="12"/>
  <c r="L454" i="12" s="1"/>
  <c r="C452" i="12"/>
  <c r="L452" i="12" s="1"/>
  <c r="C448" i="12"/>
  <c r="L448" i="12" s="1"/>
  <c r="C444" i="12"/>
  <c r="L444" i="12" s="1"/>
  <c r="C426" i="12"/>
  <c r="L426" i="12" s="1"/>
  <c r="C420" i="12"/>
  <c r="L420" i="12" s="1"/>
  <c r="C378" i="12"/>
  <c r="L378" i="12" s="1"/>
  <c r="C376" i="12"/>
  <c r="L376" i="12" s="1"/>
  <c r="C380" i="12"/>
  <c r="L380" i="12" s="1"/>
  <c r="C379" i="12"/>
  <c r="L379" i="12" s="1"/>
  <c r="M379" i="12" s="1"/>
  <c r="C363" i="12"/>
  <c r="L363" i="12" s="1"/>
  <c r="C275" i="12"/>
  <c r="L275" i="12" s="1"/>
  <c r="C228" i="12"/>
  <c r="L228" i="12" s="1"/>
  <c r="C192" i="12"/>
  <c r="L192" i="12" s="1"/>
  <c r="C297" i="12"/>
  <c r="L297" i="12" s="1"/>
  <c r="C294" i="12"/>
  <c r="L294" i="12" s="1"/>
  <c r="C300" i="12"/>
  <c r="L300" i="12" s="1"/>
  <c r="C253" i="12"/>
  <c r="L253" i="12" s="1"/>
  <c r="C288" i="12"/>
  <c r="L288" i="12" s="1"/>
  <c r="C276" i="12"/>
  <c r="L276" i="12" s="1"/>
  <c r="C233" i="12"/>
  <c r="L233" i="12" s="1"/>
  <c r="C272" i="12"/>
  <c r="L272" i="12" s="1"/>
  <c r="C273" i="12"/>
  <c r="L273" i="12" s="1"/>
  <c r="C222" i="12"/>
  <c r="L222" i="12" s="1"/>
  <c r="C280" i="12"/>
  <c r="L280" i="12" s="1"/>
  <c r="C274" i="12"/>
  <c r="L274" i="12" s="1"/>
  <c r="C262" i="12"/>
  <c r="L262" i="12" s="1"/>
  <c r="M262" i="12" s="1"/>
  <c r="C204" i="12"/>
  <c r="L204" i="12" s="1"/>
  <c r="C252" i="12"/>
  <c r="L252" i="12" s="1"/>
  <c r="C230" i="12"/>
  <c r="L230" i="12" s="1"/>
  <c r="C226" i="12"/>
  <c r="L226" i="12" s="1"/>
  <c r="C259" i="12"/>
  <c r="L259" i="12" s="1"/>
  <c r="C254" i="12"/>
  <c r="L254" i="12" s="1"/>
  <c r="C176" i="12"/>
  <c r="L176" i="12" s="1"/>
  <c r="C243" i="12"/>
  <c r="L243" i="12" s="1"/>
  <c r="C159" i="12"/>
  <c r="L159" i="12" s="1"/>
  <c r="M159" i="12" s="1"/>
  <c r="C264" i="12"/>
  <c r="L264" i="12" s="1"/>
  <c r="C187" i="12"/>
  <c r="L187" i="12" s="1"/>
  <c r="C213" i="12"/>
  <c r="L213" i="12" s="1"/>
  <c r="C175" i="12"/>
  <c r="L175" i="12" s="1"/>
  <c r="C193" i="12"/>
  <c r="L193" i="12" s="1"/>
  <c r="C247" i="12"/>
  <c r="L247" i="12" s="1"/>
  <c r="C165" i="12"/>
  <c r="L165" i="12" s="1"/>
  <c r="C266" i="12"/>
  <c r="L266" i="12" s="1"/>
  <c r="C202" i="12"/>
  <c r="L202" i="12" s="1"/>
  <c r="C184" i="12"/>
  <c r="L184" i="12" s="1"/>
  <c r="C180" i="12"/>
  <c r="L180" i="12" s="1"/>
  <c r="C223" i="12"/>
  <c r="L223" i="12" s="1"/>
  <c r="C177" i="12"/>
  <c r="L177" i="12" s="1"/>
  <c r="M177" i="12" s="1"/>
  <c r="C215" i="12"/>
  <c r="L215" i="12" s="1"/>
  <c r="C200" i="12"/>
  <c r="L200" i="12" s="1"/>
  <c r="C214" i="12"/>
  <c r="L214" i="12" s="1"/>
  <c r="C195" i="12"/>
  <c r="L195" i="12" s="1"/>
  <c r="C173" i="12"/>
  <c r="L173" i="12" s="1"/>
  <c r="C183" i="12"/>
  <c r="L183" i="12" s="1"/>
  <c r="C242" i="12"/>
  <c r="L242" i="12" s="1"/>
  <c r="C238" i="12"/>
  <c r="L238" i="12" s="1"/>
  <c r="C227" i="12"/>
  <c r="L227" i="12" s="1"/>
  <c r="C267" i="12"/>
  <c r="L267" i="12" s="1"/>
  <c r="C246" i="12"/>
  <c r="L246" i="12" s="1"/>
  <c r="C232" i="12"/>
  <c r="L232" i="12" s="1"/>
  <c r="C221" i="12"/>
  <c r="L221" i="12" s="1"/>
  <c r="C201" i="12"/>
  <c r="L201" i="12" s="1"/>
  <c r="M201" i="12" s="1"/>
  <c r="C218" i="12"/>
  <c r="L218" i="12" s="1"/>
  <c r="M218" i="12" s="1"/>
  <c r="C210" i="12"/>
  <c r="L210" i="12" s="1"/>
  <c r="C231" i="12"/>
  <c r="L231" i="12" s="1"/>
  <c r="C181" i="12"/>
  <c r="L181" i="12" s="1"/>
  <c r="C239" i="12"/>
  <c r="L239" i="12" s="1"/>
  <c r="C208" i="12"/>
  <c r="L208" i="12" s="1"/>
  <c r="C249" i="12"/>
  <c r="L249" i="12" s="1"/>
  <c r="C236" i="12"/>
  <c r="L236" i="12" s="1"/>
  <c r="C268" i="12"/>
  <c r="L268" i="12" s="1"/>
  <c r="C206" i="12"/>
  <c r="L206" i="12" s="1"/>
  <c r="C211" i="12"/>
  <c r="L211" i="12" s="1"/>
  <c r="C589" i="12"/>
  <c r="L589" i="12" s="1"/>
  <c r="C581" i="12"/>
  <c r="L581" i="12" s="1"/>
  <c r="C594" i="12"/>
  <c r="L594" i="12" s="1"/>
  <c r="C612" i="12"/>
  <c r="L612" i="12" s="1"/>
  <c r="C619" i="12"/>
  <c r="L619" i="12" s="1"/>
  <c r="C606" i="12"/>
  <c r="L606" i="12" s="1"/>
  <c r="C586" i="12"/>
  <c r="L586" i="12" s="1"/>
  <c r="C160" i="12"/>
  <c r="L160" i="12" s="1"/>
  <c r="C164" i="12"/>
  <c r="L164" i="12" s="1"/>
  <c r="C167" i="12"/>
  <c r="L167" i="12" s="1"/>
  <c r="C162" i="12"/>
  <c r="L162" i="12" s="1"/>
  <c r="C649" i="12"/>
  <c r="L649" i="12" s="1"/>
  <c r="C633" i="12"/>
  <c r="L633" i="12" s="1"/>
  <c r="C655" i="12"/>
  <c r="L655" i="12" s="1"/>
  <c r="C635" i="12"/>
  <c r="L635" i="12" s="1"/>
  <c r="C676" i="12"/>
  <c r="L676" i="12" s="1"/>
  <c r="C575" i="12"/>
  <c r="L575" i="12" s="1"/>
  <c r="C566" i="12"/>
  <c r="L566" i="12" s="1"/>
  <c r="C526" i="12"/>
  <c r="L526" i="12" s="1"/>
  <c r="C534" i="12"/>
  <c r="L534" i="12" s="1"/>
  <c r="C538" i="12"/>
  <c r="L538" i="12" s="1"/>
  <c r="C552" i="12"/>
  <c r="L552" i="12" s="1"/>
  <c r="C572" i="12"/>
  <c r="L572" i="12" s="1"/>
  <c r="C131" i="12"/>
  <c r="L131" i="12" s="1"/>
  <c r="C141" i="12"/>
  <c r="L141" i="12" s="1"/>
  <c r="C136" i="12"/>
  <c r="L136" i="12" s="1"/>
  <c r="C134" i="12"/>
  <c r="L134" i="12" s="1"/>
  <c r="C139" i="12"/>
  <c r="L139" i="12" s="1"/>
  <c r="C137" i="12"/>
  <c r="L137" i="12" s="1"/>
  <c r="C138" i="12"/>
  <c r="L138" i="12" s="1"/>
  <c r="C555" i="12"/>
  <c r="L555" i="12" s="1"/>
  <c r="C553" i="12"/>
  <c r="L553" i="12" s="1"/>
  <c r="C550" i="12"/>
  <c r="L550" i="12" s="1"/>
  <c r="C551" i="12"/>
  <c r="L551" i="12" s="1"/>
  <c r="C539" i="12"/>
  <c r="L539" i="12" s="1"/>
  <c r="C577" i="12"/>
  <c r="L577" i="12" s="1"/>
  <c r="C535" i="12"/>
  <c r="L535" i="12" s="1"/>
  <c r="C561" i="12"/>
  <c r="L561" i="12" s="1"/>
  <c r="C573" i="12"/>
  <c r="L573" i="12" s="1"/>
  <c r="C563" i="12"/>
  <c r="L563" i="12" s="1"/>
  <c r="C527" i="12"/>
  <c r="L527" i="12" s="1"/>
  <c r="C688" i="12"/>
  <c r="L688" i="12" s="1"/>
  <c r="C690" i="12"/>
  <c r="L690" i="12" s="1"/>
  <c r="C120" i="12"/>
  <c r="L120" i="12" s="1"/>
  <c r="C129" i="12"/>
  <c r="L129" i="12" s="1"/>
  <c r="C114" i="12"/>
  <c r="L114" i="12" s="1"/>
  <c r="C121" i="12"/>
  <c r="L121" i="12" s="1"/>
  <c r="C110" i="12"/>
  <c r="L110" i="12" s="1"/>
  <c r="C118" i="12"/>
  <c r="L118" i="12" s="1"/>
  <c r="C115" i="12"/>
  <c r="L115" i="12" s="1"/>
  <c r="C122" i="12"/>
  <c r="L122" i="12" s="1"/>
  <c r="C123" i="12"/>
  <c r="L123" i="12" s="1"/>
  <c r="M123" i="12" s="1"/>
  <c r="C152" i="12"/>
  <c r="L152" i="12" s="1"/>
  <c r="C151" i="12"/>
  <c r="L151" i="12" s="1"/>
  <c r="C142" i="12"/>
  <c r="L142" i="12" s="1"/>
  <c r="M142" i="12" s="1"/>
  <c r="C146" i="12"/>
  <c r="L146" i="12" s="1"/>
  <c r="M146" i="12" s="1"/>
  <c r="C366" i="12"/>
  <c r="L366" i="12" s="1"/>
  <c r="C355" i="12"/>
  <c r="L355" i="12" s="1"/>
  <c r="C365" i="12"/>
  <c r="L365" i="12" s="1"/>
  <c r="C383" i="12"/>
  <c r="L383" i="12" s="1"/>
  <c r="C361" i="12"/>
  <c r="L361" i="12" s="1"/>
  <c r="M361" i="12" s="1"/>
  <c r="C395" i="12"/>
  <c r="L395" i="12" s="1"/>
  <c r="C396" i="12"/>
  <c r="L396" i="12" s="1"/>
  <c r="C388" i="12"/>
  <c r="L388" i="12" s="1"/>
  <c r="C398" i="12"/>
  <c r="L398" i="12" s="1"/>
  <c r="C389" i="12"/>
  <c r="L389" i="12" s="1"/>
  <c r="C392" i="12"/>
  <c r="L392" i="12" s="1"/>
  <c r="C399" i="12"/>
  <c r="L399" i="12" s="1"/>
  <c r="C387" i="12"/>
  <c r="L387" i="12" s="1"/>
  <c r="C543" i="12"/>
  <c r="L543" i="12" s="1"/>
  <c r="C613" i="12"/>
  <c r="L613" i="12" s="1"/>
  <c r="C611" i="12"/>
  <c r="L611" i="12" s="1"/>
  <c r="C568" i="12"/>
  <c r="L568" i="12" s="1"/>
  <c r="C104" i="12"/>
  <c r="L104" i="12" s="1"/>
  <c r="C108" i="12"/>
  <c r="L108" i="12" s="1"/>
  <c r="C113" i="12"/>
  <c r="L113" i="12" s="1"/>
  <c r="C106" i="12"/>
  <c r="L106" i="12" s="1"/>
  <c r="C112" i="12"/>
  <c r="L112" i="12" s="1"/>
  <c r="C678" i="12"/>
  <c r="L678" i="12" s="1"/>
  <c r="C325" i="12"/>
  <c r="L325" i="12" s="1"/>
  <c r="C323" i="12"/>
  <c r="L323" i="12" s="1"/>
  <c r="C345" i="12"/>
  <c r="L345" i="12" s="1"/>
  <c r="C320" i="12"/>
  <c r="L320" i="12" s="1"/>
  <c r="M320" i="12" s="1"/>
  <c r="C503" i="12"/>
  <c r="L503" i="12" s="1"/>
  <c r="C501" i="12"/>
  <c r="L501" i="12" s="1"/>
  <c r="C496" i="12"/>
  <c r="L496" i="12" s="1"/>
  <c r="C499" i="12"/>
  <c r="L499" i="12" s="1"/>
  <c r="C481" i="12"/>
  <c r="L481" i="12" s="1"/>
  <c r="C520" i="12"/>
  <c r="L520" i="12" s="1"/>
  <c r="C508" i="12"/>
  <c r="L508" i="12" s="1"/>
  <c r="C517" i="12"/>
  <c r="L517" i="12" s="1"/>
  <c r="C515" i="12"/>
  <c r="L515" i="12" s="1"/>
  <c r="C511" i="12"/>
  <c r="L511" i="12" s="1"/>
  <c r="C489" i="12"/>
  <c r="L489" i="12" s="1"/>
  <c r="C490" i="12"/>
  <c r="L490" i="12" s="1"/>
  <c r="C483" i="12"/>
  <c r="L483" i="12" s="1"/>
  <c r="C514" i="12"/>
  <c r="L514" i="12" s="1"/>
  <c r="C506" i="12"/>
  <c r="L506" i="12" s="1"/>
  <c r="C679" i="12"/>
  <c r="L679" i="12" s="1"/>
  <c r="C666" i="12"/>
  <c r="L666" i="12" s="1"/>
  <c r="C669" i="12"/>
  <c r="L669" i="12" s="1"/>
  <c r="C667" i="12"/>
  <c r="L667" i="12" s="1"/>
  <c r="C645" i="12"/>
  <c r="L645" i="12" s="1"/>
  <c r="C660" i="12"/>
  <c r="L660" i="12" s="1"/>
  <c r="C634" i="12"/>
  <c r="L634" i="12" s="1"/>
  <c r="C652" i="12"/>
  <c r="L652" i="12" s="1"/>
  <c r="C600" i="12"/>
  <c r="L600" i="12" s="1"/>
  <c r="C601" i="12"/>
  <c r="L601" i="12" s="1"/>
  <c r="C598" i="12"/>
  <c r="L598" i="12" s="1"/>
  <c r="C602" i="12"/>
  <c r="L602" i="12" s="1"/>
  <c r="C591" i="12"/>
  <c r="L591" i="12" s="1"/>
  <c r="C476" i="12"/>
  <c r="L476" i="12" s="1"/>
  <c r="C470" i="12"/>
  <c r="L470" i="12" s="1"/>
  <c r="C474" i="12"/>
  <c r="L474" i="12" s="1"/>
  <c r="C471" i="12"/>
  <c r="L471" i="12" s="1"/>
  <c r="C479" i="12"/>
  <c r="L479" i="12" s="1"/>
  <c r="C469" i="12"/>
  <c r="L469" i="12" s="1"/>
  <c r="C605" i="12"/>
  <c r="L605" i="12" s="1"/>
  <c r="C599" i="12"/>
  <c r="L599" i="12" s="1"/>
  <c r="C531" i="12"/>
  <c r="L531" i="12" s="1"/>
  <c r="C548" i="12"/>
  <c r="L548" i="12" s="1"/>
  <c r="C556" i="12"/>
  <c r="L556" i="12" s="1"/>
  <c r="C554" i="12"/>
  <c r="L554" i="12" s="1"/>
  <c r="C542" i="12"/>
  <c r="L542" i="12" s="1"/>
  <c r="C557" i="12"/>
  <c r="L557" i="12" s="1"/>
  <c r="C564" i="12"/>
  <c r="L564" i="12" s="1"/>
  <c r="C567" i="12"/>
  <c r="L567" i="12" s="1"/>
  <c r="C459" i="12"/>
  <c r="L459" i="12" s="1"/>
  <c r="M459" i="12" s="1"/>
  <c r="C462" i="12"/>
  <c r="L462" i="12" s="1"/>
  <c r="C424" i="12"/>
  <c r="L424" i="12" s="1"/>
  <c r="M424" i="12" s="1"/>
  <c r="C463" i="12"/>
  <c r="L463" i="12" s="1"/>
  <c r="C93" i="12"/>
  <c r="L93" i="12" s="1"/>
  <c r="C100" i="12"/>
  <c r="L100" i="12" s="1"/>
  <c r="C96" i="12"/>
  <c r="L96" i="12" s="1"/>
  <c r="C98" i="12"/>
  <c r="L98" i="12" s="1"/>
  <c r="C94" i="12"/>
  <c r="L94" i="12" s="1"/>
  <c r="C473" i="12"/>
  <c r="L473" i="12" s="1"/>
  <c r="C468" i="12"/>
  <c r="L468" i="12" s="1"/>
  <c r="C646" i="12"/>
  <c r="L646" i="12" s="1"/>
  <c r="C677" i="12"/>
  <c r="L677" i="12" s="1"/>
  <c r="C672" i="12"/>
  <c r="L672" i="12" s="1"/>
  <c r="C650" i="12"/>
  <c r="L650" i="12" s="1"/>
  <c r="C641" i="12"/>
  <c r="L641" i="12" s="1"/>
  <c r="C27" i="12"/>
  <c r="L27" i="12" s="1"/>
  <c r="C33" i="12"/>
  <c r="L33" i="12" s="1"/>
  <c r="C23" i="12"/>
  <c r="L23" i="12" s="1"/>
  <c r="C14" i="12"/>
  <c r="L14" i="12" s="1"/>
  <c r="C28" i="12"/>
  <c r="L28" i="12" s="1"/>
  <c r="C26" i="12"/>
  <c r="L26" i="12" s="1"/>
  <c r="C17" i="12"/>
  <c r="L17" i="12" s="1"/>
  <c r="C25" i="12"/>
  <c r="L25" i="12" s="1"/>
  <c r="C22" i="12"/>
  <c r="L22" i="12" s="1"/>
  <c r="C13" i="12"/>
  <c r="L13" i="12" s="1"/>
  <c r="C19" i="12"/>
  <c r="C18" i="12"/>
  <c r="L18" i="12" s="1"/>
  <c r="C24" i="12"/>
  <c r="L24" i="12" s="1"/>
  <c r="C88" i="12"/>
  <c r="L88" i="12" s="1"/>
  <c r="C76" i="12"/>
  <c r="L76" i="12" s="1"/>
  <c r="C66" i="12"/>
  <c r="L66" i="12" s="1"/>
  <c r="C91" i="12"/>
  <c r="L91" i="12" s="1"/>
  <c r="M91" i="12" s="1"/>
  <c r="C89" i="12"/>
  <c r="L89" i="12" s="1"/>
  <c r="C85" i="12"/>
  <c r="L85" i="12" s="1"/>
  <c r="C79" i="12"/>
  <c r="L79" i="12" s="1"/>
  <c r="C84" i="12"/>
  <c r="L84" i="12" s="1"/>
  <c r="C86" i="12"/>
  <c r="L86" i="12" s="1"/>
  <c r="C78" i="12"/>
  <c r="L78" i="12" s="1"/>
  <c r="C318" i="12"/>
  <c r="L318" i="12" s="1"/>
  <c r="C284" i="12"/>
  <c r="L284" i="12" s="1"/>
  <c r="C324" i="12"/>
  <c r="L324" i="12" s="1"/>
  <c r="C289" i="12"/>
  <c r="L289" i="12" s="1"/>
  <c r="C319" i="12"/>
  <c r="L319" i="12" s="1"/>
  <c r="C287" i="12"/>
  <c r="L287" i="12" s="1"/>
  <c r="C301" i="12"/>
  <c r="L301" i="12" s="1"/>
  <c r="C290" i="12"/>
  <c r="L290" i="12" s="1"/>
  <c r="C309" i="12"/>
  <c r="L309" i="12" s="1"/>
  <c r="C292" i="12"/>
  <c r="L292" i="12" s="1"/>
  <c r="C313" i="12"/>
  <c r="L313" i="12" s="1"/>
  <c r="C305" i="12"/>
  <c r="L305" i="12" s="1"/>
  <c r="C314" i="12"/>
  <c r="L314" i="12" s="1"/>
  <c r="C304" i="12"/>
  <c r="L304" i="12" s="1"/>
  <c r="C315" i="12"/>
  <c r="L315" i="12" s="1"/>
  <c r="M315" i="12" s="1"/>
  <c r="B9" i="12"/>
  <c r="A9" i="12"/>
  <c r="G9" i="9"/>
  <c r="F9" i="9"/>
  <c r="N5" i="9"/>
  <c r="L5" i="9"/>
  <c r="C493" i="9"/>
  <c r="C256" i="9"/>
  <c r="C255" i="9"/>
  <c r="C79" i="9"/>
  <c r="C492" i="9"/>
  <c r="C519" i="9"/>
  <c r="C486" i="9"/>
  <c r="C516" i="9"/>
  <c r="C75" i="9"/>
  <c r="C271" i="9"/>
  <c r="C265" i="9"/>
  <c r="C266" i="9"/>
  <c r="C249" i="9"/>
  <c r="C248" i="9"/>
  <c r="C263" i="9"/>
  <c r="C251" i="9"/>
  <c r="B9" i="9"/>
  <c r="A9" i="9"/>
  <c r="F9" i="8"/>
  <c r="B4" i="8"/>
  <c r="B9" i="8"/>
  <c r="A9" i="8"/>
  <c r="G9" i="7"/>
  <c r="B9" i="7"/>
  <c r="A9" i="7"/>
  <c r="Q5" i="5"/>
  <c r="Q7" i="5" s="1"/>
  <c r="G9" i="5"/>
  <c r="B9" i="5"/>
  <c r="A9" i="5"/>
  <c r="I9" i="2"/>
  <c r="H9" i="2"/>
  <c r="F9" i="2"/>
  <c r="B9" i="2"/>
  <c r="A9" i="2"/>
  <c r="H561" i="33" l="1"/>
  <c r="H436" i="33"/>
  <c r="H300" i="33"/>
  <c r="H795" i="33"/>
  <c r="H30" i="33"/>
  <c r="H675" i="33"/>
  <c r="I647" i="33"/>
  <c r="H326" i="33"/>
  <c r="H58" i="33"/>
  <c r="I569" i="33"/>
  <c r="K569" i="33" s="1"/>
  <c r="M569" i="33" s="1"/>
  <c r="P569" i="33" s="1"/>
  <c r="K755" i="33"/>
  <c r="M755" i="33" s="1"/>
  <c r="P755" i="33" s="1"/>
  <c r="I723" i="5"/>
  <c r="J723" i="5" s="1"/>
  <c r="I685" i="5"/>
  <c r="I820" i="7"/>
  <c r="J820" i="7" s="1"/>
  <c r="L820" i="7" s="1"/>
  <c r="I735" i="5"/>
  <c r="J735" i="5" s="1"/>
  <c r="I492" i="5"/>
  <c r="J492" i="5" s="1"/>
  <c r="I548" i="5"/>
  <c r="J548" i="5" s="1"/>
  <c r="H716" i="12"/>
  <c r="I716" i="12" s="1"/>
  <c r="J716" i="12" s="1"/>
  <c r="M716" i="12" s="1"/>
  <c r="H783" i="12"/>
  <c r="I783" i="12" s="1"/>
  <c r="J783" i="12" s="1"/>
  <c r="M783" i="12" s="1"/>
  <c r="H757" i="12"/>
  <c r="I757" i="12" s="1"/>
  <c r="J757" i="12" s="1"/>
  <c r="M757" i="12" s="1"/>
  <c r="H722" i="12"/>
  <c r="I722" i="12" s="1"/>
  <c r="J722" i="12" s="1"/>
  <c r="M722" i="12" s="1"/>
  <c r="I529" i="5"/>
  <c r="J529" i="5" s="1"/>
  <c r="L529" i="5" s="1"/>
  <c r="I731" i="5"/>
  <c r="J731" i="5" s="1"/>
  <c r="L731" i="5" s="1"/>
  <c r="I647" i="5"/>
  <c r="J647" i="5" s="1"/>
  <c r="I636" i="5"/>
  <c r="J636" i="5" s="1"/>
  <c r="I576" i="5"/>
  <c r="J576" i="5" s="1"/>
  <c r="L576" i="5" s="1"/>
  <c r="I779" i="5"/>
  <c r="J779" i="5" s="1"/>
  <c r="L779" i="5" s="1"/>
  <c r="H160" i="33"/>
  <c r="H462" i="33"/>
  <c r="H738" i="33"/>
  <c r="H337" i="33"/>
  <c r="H466" i="33"/>
  <c r="H643" i="33"/>
  <c r="I643" i="33" s="1"/>
  <c r="K643" i="33" s="1"/>
  <c r="M643" i="33" s="1"/>
  <c r="P643" i="33" s="1"/>
  <c r="I715" i="33"/>
  <c r="H719" i="33"/>
  <c r="I719" i="33" s="1"/>
  <c r="K719" i="33" s="1"/>
  <c r="M719" i="33" s="1"/>
  <c r="P719" i="33" s="1"/>
  <c r="H46" i="33"/>
  <c r="H62" i="33"/>
  <c r="H304" i="33"/>
  <c r="I304" i="33" s="1"/>
  <c r="K304" i="33" s="1"/>
  <c r="M304" i="33" s="1"/>
  <c r="P304" i="33" s="1"/>
  <c r="H451" i="33"/>
  <c r="H727" i="33"/>
  <c r="H589" i="33"/>
  <c r="H791" i="33"/>
  <c r="J615" i="2"/>
  <c r="I561" i="33"/>
  <c r="K561" i="33" s="1"/>
  <c r="M561" i="33" s="1"/>
  <c r="P561" i="33" s="1"/>
  <c r="L10" i="33"/>
  <c r="K716" i="33"/>
  <c r="M716" i="33" s="1"/>
  <c r="P716" i="33" s="1"/>
  <c r="H343" i="33"/>
  <c r="I343" i="33" s="1"/>
  <c r="K343" i="33" s="1"/>
  <c r="M343" i="33" s="1"/>
  <c r="P343" i="33" s="1"/>
  <c r="H363" i="33"/>
  <c r="H469" i="33"/>
  <c r="I469" i="33" s="1"/>
  <c r="K469" i="33" s="1"/>
  <c r="M469" i="33" s="1"/>
  <c r="P469" i="33" s="1"/>
  <c r="H662" i="33"/>
  <c r="H323" i="33"/>
  <c r="I323" i="33" s="1"/>
  <c r="K323" i="33" s="1"/>
  <c r="M323" i="33" s="1"/>
  <c r="P323" i="33" s="1"/>
  <c r="H444" i="33"/>
  <c r="H321" i="33"/>
  <c r="H43" i="33"/>
  <c r="I43" i="33" s="1"/>
  <c r="K43" i="33" s="1"/>
  <c r="M43" i="33" s="1"/>
  <c r="P43" i="33" s="1"/>
  <c r="H689" i="33"/>
  <c r="H591" i="33"/>
  <c r="H592" i="33"/>
  <c r="H458" i="33"/>
  <c r="I458" i="33" s="1"/>
  <c r="K458" i="33" s="1"/>
  <c r="M458" i="33" s="1"/>
  <c r="P458" i="33" s="1"/>
  <c r="H546" i="33"/>
  <c r="H478" i="33"/>
  <c r="H667" i="33"/>
  <c r="H723" i="33"/>
  <c r="H682" i="33"/>
  <c r="I682" i="33" s="1"/>
  <c r="K682" i="33" s="1"/>
  <c r="M682" i="33" s="1"/>
  <c r="P682" i="33" s="1"/>
  <c r="H602" i="33"/>
  <c r="H553" i="33"/>
  <c r="I553" i="33" s="1"/>
  <c r="K553" i="33" s="1"/>
  <c r="M553" i="33" s="1"/>
  <c r="P553" i="33" s="1"/>
  <c r="H600" i="33"/>
  <c r="I600" i="33" s="1"/>
  <c r="K600" i="33" s="1"/>
  <c r="M600" i="33" s="1"/>
  <c r="P600" i="33" s="1"/>
  <c r="H583" i="33"/>
  <c r="H800" i="33"/>
  <c r="H788" i="33"/>
  <c r="H47" i="33"/>
  <c r="I47" i="33" s="1"/>
  <c r="K47" i="33" s="1"/>
  <c r="M47" i="33" s="1"/>
  <c r="P47" i="33" s="1"/>
  <c r="H587" i="33"/>
  <c r="H724" i="33"/>
  <c r="H661" i="33"/>
  <c r="I435" i="33"/>
  <c r="K435" i="33" s="1"/>
  <c r="M435" i="33" s="1"/>
  <c r="P435" i="33" s="1"/>
  <c r="H726" i="33"/>
  <c r="H790" i="33"/>
  <c r="H39" i="33"/>
  <c r="I39" i="33" s="1"/>
  <c r="K39" i="33" s="1"/>
  <c r="M39" i="33" s="1"/>
  <c r="P39" i="33" s="1"/>
  <c r="H19" i="33"/>
  <c r="H681" i="33"/>
  <c r="H470" i="33"/>
  <c r="H112" i="33"/>
  <c r="I112" i="33" s="1"/>
  <c r="H658" i="33"/>
  <c r="I658" i="33" s="1"/>
  <c r="K658" i="33" s="1"/>
  <c r="M658" i="33" s="1"/>
  <c r="P658" i="33" s="1"/>
  <c r="H481" i="33"/>
  <c r="I481" i="33" s="1"/>
  <c r="K481" i="33" s="1"/>
  <c r="M481" i="33" s="1"/>
  <c r="P481" i="33" s="1"/>
  <c r="H584" i="33"/>
  <c r="I584" i="33" s="1"/>
  <c r="K584" i="33" s="1"/>
  <c r="M584" i="33" s="1"/>
  <c r="P584" i="33" s="1"/>
  <c r="H789" i="33"/>
  <c r="I789" i="33" s="1"/>
  <c r="K789" i="33" s="1"/>
  <c r="M789" i="33" s="1"/>
  <c r="P789" i="33" s="1"/>
  <c r="H139" i="33"/>
  <c r="I139" i="33" s="1"/>
  <c r="K139" i="33" s="1"/>
  <c r="M139" i="33" s="1"/>
  <c r="P139" i="33" s="1"/>
  <c r="H441" i="33"/>
  <c r="I441" i="33" s="1"/>
  <c r="K441" i="33" s="1"/>
  <c r="M441" i="33" s="1"/>
  <c r="P441" i="33" s="1"/>
  <c r="H435" i="33"/>
  <c r="H107" i="33"/>
  <c r="I107" i="33" s="1"/>
  <c r="K107" i="33" s="1"/>
  <c r="M107" i="33" s="1"/>
  <c r="P107" i="33" s="1"/>
  <c r="H588" i="33"/>
  <c r="I588" i="33" s="1"/>
  <c r="K588" i="33" s="1"/>
  <c r="M588" i="33" s="1"/>
  <c r="P588" i="33" s="1"/>
  <c r="H26" i="33"/>
  <c r="I26" i="33" s="1"/>
  <c r="K26" i="33" s="1"/>
  <c r="M26" i="33" s="1"/>
  <c r="P26" i="33" s="1"/>
  <c r="H430" i="33"/>
  <c r="I430" i="33" s="1"/>
  <c r="K430" i="33" s="1"/>
  <c r="M430" i="33" s="1"/>
  <c r="P430" i="33" s="1"/>
  <c r="H700" i="33"/>
  <c r="I700" i="33" s="1"/>
  <c r="K700" i="33" s="1"/>
  <c r="M700" i="33" s="1"/>
  <c r="P700" i="33" s="1"/>
  <c r="H116" i="33"/>
  <c r="I116" i="33" s="1"/>
  <c r="H573" i="33"/>
  <c r="I573" i="33" s="1"/>
  <c r="K573" i="33" s="1"/>
  <c r="M573" i="33" s="1"/>
  <c r="P573" i="33" s="1"/>
  <c r="H434" i="33"/>
  <c r="I753" i="12"/>
  <c r="J753" i="12" s="1"/>
  <c r="M753" i="12" s="1"/>
  <c r="I690" i="5"/>
  <c r="J690" i="5" s="1"/>
  <c r="L690" i="5" s="1"/>
  <c r="I743" i="5"/>
  <c r="J743" i="5" s="1"/>
  <c r="L743" i="5" s="1"/>
  <c r="I523" i="5"/>
  <c r="J523" i="5" s="1"/>
  <c r="H229" i="33"/>
  <c r="I683" i="12"/>
  <c r="J683" i="12" s="1"/>
  <c r="M683" i="12" s="1"/>
  <c r="I634" i="5"/>
  <c r="J634" i="5" s="1"/>
  <c r="L634" i="5" s="1"/>
  <c r="I642" i="5"/>
  <c r="J642" i="5" s="1"/>
  <c r="I696" i="12"/>
  <c r="J696" i="12" s="1"/>
  <c r="M696" i="12" s="1"/>
  <c r="I562" i="5"/>
  <c r="J562" i="5" s="1"/>
  <c r="K346" i="33"/>
  <c r="M346" i="33" s="1"/>
  <c r="P346" i="33" s="1"/>
  <c r="H406" i="33"/>
  <c r="H80" i="33"/>
  <c r="H237" i="33"/>
  <c r="I237" i="33" s="1"/>
  <c r="K237" i="33" s="1"/>
  <c r="M237" i="33" s="1"/>
  <c r="P237" i="33" s="1"/>
  <c r="H172" i="33"/>
  <c r="H660" i="33"/>
  <c r="H239" i="33"/>
  <c r="H671" i="33"/>
  <c r="I671" i="33" s="1"/>
  <c r="K671" i="33" s="1"/>
  <c r="M671" i="33" s="1"/>
  <c r="P671" i="33" s="1"/>
  <c r="H71" i="33"/>
  <c r="H144" i="33"/>
  <c r="H409" i="33"/>
  <c r="H622" i="33"/>
  <c r="I622" i="33" s="1"/>
  <c r="H203" i="33"/>
  <c r="I203" i="33" s="1"/>
  <c r="I750" i="5"/>
  <c r="J750" i="5" s="1"/>
  <c r="I658" i="5"/>
  <c r="J658" i="5" s="1"/>
  <c r="I756" i="5"/>
  <c r="J756" i="5" s="1"/>
  <c r="I810" i="5"/>
  <c r="J810" i="5" s="1"/>
  <c r="L810" i="5" s="1"/>
  <c r="J218" i="2"/>
  <c r="K218" i="2" s="1"/>
  <c r="L218" i="2" s="1"/>
  <c r="I791" i="5"/>
  <c r="J791" i="5" s="1"/>
  <c r="I749" i="5"/>
  <c r="J749" i="5" s="1"/>
  <c r="L749" i="5" s="1"/>
  <c r="I538" i="5"/>
  <c r="J538" i="5" s="1"/>
  <c r="L538" i="5" s="1"/>
  <c r="I811" i="5"/>
  <c r="J811" i="5" s="1"/>
  <c r="J224" i="2"/>
  <c r="K224" i="2" s="1"/>
  <c r="L224" i="2" s="1"/>
  <c r="I773" i="5"/>
  <c r="J773" i="5" s="1"/>
  <c r="I804" i="5"/>
  <c r="J804" i="5" s="1"/>
  <c r="I740" i="5"/>
  <c r="J740" i="5" s="1"/>
  <c r="I712" i="5"/>
  <c r="J712" i="5" s="1"/>
  <c r="L712" i="5" s="1"/>
  <c r="I640" i="5"/>
  <c r="J640" i="5" s="1"/>
  <c r="L640" i="5" s="1"/>
  <c r="I487" i="5"/>
  <c r="J487" i="5" s="1"/>
  <c r="H232" i="33"/>
  <c r="H371" i="33"/>
  <c r="I371" i="33" s="1"/>
  <c r="K371" i="33" s="1"/>
  <c r="M371" i="33" s="1"/>
  <c r="P371" i="33" s="1"/>
  <c r="H134" i="33"/>
  <c r="H373" i="33"/>
  <c r="I373" i="33" s="1"/>
  <c r="K373" i="33" s="1"/>
  <c r="M373" i="33" s="1"/>
  <c r="P373" i="33" s="1"/>
  <c r="H389" i="33"/>
  <c r="I389" i="33" s="1"/>
  <c r="H581" i="33"/>
  <c r="H375" i="33"/>
  <c r="H206" i="33"/>
  <c r="H425" i="33"/>
  <c r="H380" i="33"/>
  <c r="I380" i="33" s="1"/>
  <c r="K380" i="33" s="1"/>
  <c r="M380" i="33" s="1"/>
  <c r="P380" i="33" s="1"/>
  <c r="H93" i="33"/>
  <c r="H233" i="33"/>
  <c r="H620" i="33"/>
  <c r="I620" i="33" s="1"/>
  <c r="H617" i="33"/>
  <c r="H495" i="33"/>
  <c r="H226" i="33"/>
  <c r="I226" i="33" s="1"/>
  <c r="K226" i="33" s="1"/>
  <c r="M226" i="33" s="1"/>
  <c r="P226" i="33" s="1"/>
  <c r="H155" i="33"/>
  <c r="H141" i="33"/>
  <c r="H98" i="33"/>
  <c r="H178" i="33"/>
  <c r="I178" i="33" s="1"/>
  <c r="H417" i="33"/>
  <c r="I417" i="33" s="1"/>
  <c r="K417" i="33" s="1"/>
  <c r="M417" i="33" s="1"/>
  <c r="P417" i="33" s="1"/>
  <c r="H498" i="33"/>
  <c r="H129" i="33"/>
  <c r="H771" i="33"/>
  <c r="H224" i="33"/>
  <c r="H410" i="33"/>
  <c r="H386" i="33"/>
  <c r="I386" i="33" s="1"/>
  <c r="H613" i="33"/>
  <c r="H157" i="33"/>
  <c r="I157" i="33" s="1"/>
  <c r="K157" i="33" s="1"/>
  <c r="M157" i="33" s="1"/>
  <c r="P157" i="33" s="1"/>
  <c r="H188" i="33"/>
  <c r="H202" i="33"/>
  <c r="I202" i="33" s="1"/>
  <c r="K202" i="33" s="1"/>
  <c r="M202" i="33" s="1"/>
  <c r="P202" i="33" s="1"/>
  <c r="H131" i="33"/>
  <c r="H399" i="33"/>
  <c r="H424" i="33"/>
  <c r="H384" i="33"/>
  <c r="H677" i="33"/>
  <c r="H388" i="33"/>
  <c r="I388" i="33" s="1"/>
  <c r="H379" i="33"/>
  <c r="H209" i="33"/>
  <c r="I209" i="33" s="1"/>
  <c r="K209" i="33" s="1"/>
  <c r="M209" i="33" s="1"/>
  <c r="P209" i="33" s="1"/>
  <c r="I667" i="33"/>
  <c r="K667" i="33" s="1"/>
  <c r="M667" i="33" s="1"/>
  <c r="P667" i="33" s="1"/>
  <c r="H164" i="33"/>
  <c r="I477" i="33"/>
  <c r="K477" i="33" s="1"/>
  <c r="M477" i="33" s="1"/>
  <c r="P477" i="33" s="1"/>
  <c r="H465" i="33"/>
  <c r="I465" i="33" s="1"/>
  <c r="I41" i="33"/>
  <c r="H683" i="33"/>
  <c r="I683" i="33" s="1"/>
  <c r="K683" i="33" s="1"/>
  <c r="M683" i="33" s="1"/>
  <c r="P683" i="33" s="1"/>
  <c r="H387" i="33"/>
  <c r="I387" i="33" s="1"/>
  <c r="K387" i="33" s="1"/>
  <c r="M387" i="33" s="1"/>
  <c r="P387" i="33" s="1"/>
  <c r="H598" i="33"/>
  <c r="H138" i="33"/>
  <c r="H236" i="33"/>
  <c r="H633" i="33"/>
  <c r="I633" i="33" s="1"/>
  <c r="H401" i="33"/>
  <c r="I401" i="33" s="1"/>
  <c r="H242" i="33"/>
  <c r="H502" i="33"/>
  <c r="I502" i="33" s="1"/>
  <c r="K502" i="33" s="1"/>
  <c r="M502" i="33" s="1"/>
  <c r="P502" i="33" s="1"/>
  <c r="H108" i="33"/>
  <c r="H599" i="33"/>
  <c r="H311" i="33"/>
  <c r="I311" i="33" s="1"/>
  <c r="K311" i="33" s="1"/>
  <c r="M311" i="33" s="1"/>
  <c r="P311" i="33" s="1"/>
  <c r="H629" i="33"/>
  <c r="H582" i="33"/>
  <c r="I582" i="33" s="1"/>
  <c r="H277" i="33"/>
  <c r="I277" i="33" s="1"/>
  <c r="K277" i="33" s="1"/>
  <c r="M277" i="33" s="1"/>
  <c r="P277" i="33" s="1"/>
  <c r="H405" i="33"/>
  <c r="H610" i="33"/>
  <c r="I610" i="33" s="1"/>
  <c r="K610" i="33" s="1"/>
  <c r="M610" i="33" s="1"/>
  <c r="P610" i="33" s="1"/>
  <c r="H279" i="33"/>
  <c r="I279" i="33" s="1"/>
  <c r="K279" i="33" s="1"/>
  <c r="M279" i="33" s="1"/>
  <c r="P279" i="33" s="1"/>
  <c r="H352" i="33"/>
  <c r="I352" i="33" s="1"/>
  <c r="K352" i="33" s="1"/>
  <c r="M352" i="33" s="1"/>
  <c r="P352" i="33" s="1"/>
  <c r="H262" i="33"/>
  <c r="I262" i="33" s="1"/>
  <c r="K262" i="33" s="1"/>
  <c r="M262" i="33" s="1"/>
  <c r="P262" i="33" s="1"/>
  <c r="H418" i="33"/>
  <c r="H505" i="33"/>
  <c r="I505" i="33" s="1"/>
  <c r="H392" i="33"/>
  <c r="I392" i="33" s="1"/>
  <c r="H374" i="33"/>
  <c r="I374" i="33" s="1"/>
  <c r="K374" i="33" s="1"/>
  <c r="M374" i="33" s="1"/>
  <c r="P374" i="33" s="1"/>
  <c r="H621" i="33"/>
  <c r="I621" i="33" s="1"/>
  <c r="H149" i="33"/>
  <c r="I149" i="33" s="1"/>
  <c r="H381" i="33"/>
  <c r="H797" i="33"/>
  <c r="H227" i="33"/>
  <c r="H665" i="33"/>
  <c r="I665" i="33" s="1"/>
  <c r="K665" i="33" s="1"/>
  <c r="M665" i="33" s="1"/>
  <c r="P665" i="33" s="1"/>
  <c r="H497" i="33"/>
  <c r="I497" i="33" s="1"/>
  <c r="H204" i="33"/>
  <c r="I204" i="33" s="1"/>
  <c r="H564" i="33"/>
  <c r="I564" i="33" s="1"/>
  <c r="H145" i="33"/>
  <c r="I145" i="33" s="1"/>
  <c r="H631" i="33"/>
  <c r="I631" i="33" s="1"/>
  <c r="H419" i="33"/>
  <c r="I419" i="33" s="1"/>
  <c r="K419" i="33" s="1"/>
  <c r="M419" i="33" s="1"/>
  <c r="P419" i="33" s="1"/>
  <c r="H428" i="33"/>
  <c r="H422" i="33"/>
  <c r="H506" i="33"/>
  <c r="I506" i="33" s="1"/>
  <c r="H130" i="33"/>
  <c r="H228" i="33"/>
  <c r="I228" i="33" s="1"/>
  <c r="K228" i="33" s="1"/>
  <c r="M228" i="33" s="1"/>
  <c r="P228" i="33" s="1"/>
  <c r="H496" i="33"/>
  <c r="I496" i="33" s="1"/>
  <c r="H604" i="33"/>
  <c r="I604" i="33" s="1"/>
  <c r="K604" i="33" s="1"/>
  <c r="M604" i="33" s="1"/>
  <c r="P604" i="33" s="1"/>
  <c r="H215" i="33"/>
  <c r="I215" i="33" s="1"/>
  <c r="K215" i="33" s="1"/>
  <c r="M215" i="33" s="1"/>
  <c r="P215" i="33" s="1"/>
  <c r="H619" i="33"/>
  <c r="H630" i="33"/>
  <c r="H433" i="33"/>
  <c r="I433" i="33" s="1"/>
  <c r="K433" i="33" s="1"/>
  <c r="M433" i="33" s="1"/>
  <c r="P433" i="33" s="1"/>
  <c r="H146" i="33"/>
  <c r="I146" i="33" s="1"/>
  <c r="K146" i="33" s="1"/>
  <c r="M146" i="33" s="1"/>
  <c r="P146" i="33" s="1"/>
  <c r="H142" i="33"/>
  <c r="I142" i="33" s="1"/>
  <c r="K142" i="33" s="1"/>
  <c r="M142" i="33" s="1"/>
  <c r="P142" i="33" s="1"/>
  <c r="H407" i="33"/>
  <c r="I407" i="33" s="1"/>
  <c r="K407" i="33" s="1"/>
  <c r="M407" i="33" s="1"/>
  <c r="P407" i="33" s="1"/>
  <c r="H666" i="33"/>
  <c r="I666" i="33" s="1"/>
  <c r="K666" i="33" s="1"/>
  <c r="M666" i="33" s="1"/>
  <c r="P666" i="33" s="1"/>
  <c r="K272" i="33"/>
  <c r="M272" i="33" s="1"/>
  <c r="P272" i="33" s="1"/>
  <c r="K176" i="33"/>
  <c r="M176" i="33" s="1"/>
  <c r="P176" i="33" s="1"/>
  <c r="H181" i="33"/>
  <c r="I181" i="33" s="1"/>
  <c r="K181" i="33" s="1"/>
  <c r="M181" i="33" s="1"/>
  <c r="P181" i="33" s="1"/>
  <c r="H493" i="33"/>
  <c r="I493" i="33" s="1"/>
  <c r="H132" i="33"/>
  <c r="I132" i="33" s="1"/>
  <c r="K132" i="33" s="1"/>
  <c r="M132" i="33" s="1"/>
  <c r="P132" i="33" s="1"/>
  <c r="H632" i="33"/>
  <c r="I632" i="33" s="1"/>
  <c r="H508" i="33"/>
  <c r="H605" i="33"/>
  <c r="H385" i="33"/>
  <c r="I385" i="33" s="1"/>
  <c r="H231" i="33"/>
  <c r="H404" i="33"/>
  <c r="H378" i="33"/>
  <c r="H616" i="33"/>
  <c r="H147" i="33"/>
  <c r="I147" i="33" s="1"/>
  <c r="K147" i="33" s="1"/>
  <c r="M147" i="33" s="1"/>
  <c r="P147" i="33" s="1"/>
  <c r="H614" i="33"/>
  <c r="I614" i="33" s="1"/>
  <c r="K614" i="33" s="1"/>
  <c r="M614" i="33" s="1"/>
  <c r="P614" i="33" s="1"/>
  <c r="H608" i="33"/>
  <c r="I608" i="33" s="1"/>
  <c r="K608" i="33" s="1"/>
  <c r="M608" i="33" s="1"/>
  <c r="P608" i="33" s="1"/>
  <c r="H429" i="33"/>
  <c r="I429" i="33" s="1"/>
  <c r="K429" i="33" s="1"/>
  <c r="M429" i="33" s="1"/>
  <c r="P429" i="33" s="1"/>
  <c r="H230" i="33"/>
  <c r="I230" i="33" s="1"/>
  <c r="K230" i="33" s="1"/>
  <c r="M230" i="33" s="1"/>
  <c r="P230" i="33" s="1"/>
  <c r="H408" i="33"/>
  <c r="I408" i="33" s="1"/>
  <c r="H120" i="33"/>
  <c r="I120" i="33" s="1"/>
  <c r="K120" i="33" s="1"/>
  <c r="M120" i="33" s="1"/>
  <c r="P120" i="33" s="1"/>
  <c r="H432" i="33"/>
  <c r="I432" i="33" s="1"/>
  <c r="K432" i="33" s="1"/>
  <c r="M432" i="33" s="1"/>
  <c r="P432" i="33" s="1"/>
  <c r="H101" i="33"/>
  <c r="I101" i="33" s="1"/>
  <c r="K101" i="33" s="1"/>
  <c r="M101" i="33" s="1"/>
  <c r="P101" i="33" s="1"/>
  <c r="H251" i="33"/>
  <c r="I251" i="33" s="1"/>
  <c r="K251" i="33" s="1"/>
  <c r="M251" i="33" s="1"/>
  <c r="P251" i="33" s="1"/>
  <c r="H618" i="33"/>
  <c r="I618" i="33" s="1"/>
  <c r="K618" i="33" s="1"/>
  <c r="M618" i="33" s="1"/>
  <c r="P618" i="33" s="1"/>
  <c r="H377" i="33"/>
  <c r="I377" i="33" s="1"/>
  <c r="K377" i="33" s="1"/>
  <c r="M377" i="33" s="1"/>
  <c r="P377" i="33" s="1"/>
  <c r="H509" i="33"/>
  <c r="I509" i="33" s="1"/>
  <c r="K509" i="33" s="1"/>
  <c r="M509" i="33" s="1"/>
  <c r="P509" i="33" s="1"/>
  <c r="H216" i="33"/>
  <c r="I216" i="33" s="1"/>
  <c r="K216" i="33" s="1"/>
  <c r="M216" i="33" s="1"/>
  <c r="P216" i="33" s="1"/>
  <c r="H133" i="33"/>
  <c r="I133" i="33" s="1"/>
  <c r="K133" i="33" s="1"/>
  <c r="M133" i="33" s="1"/>
  <c r="P133" i="33" s="1"/>
  <c r="H81" i="33"/>
  <c r="I81" i="33" s="1"/>
  <c r="K81" i="33" s="1"/>
  <c r="M81" i="33" s="1"/>
  <c r="P81" i="33" s="1"/>
  <c r="H327" i="33"/>
  <c r="I327" i="33" s="1"/>
  <c r="K327" i="33" s="1"/>
  <c r="M327" i="33" s="1"/>
  <c r="P327" i="33" s="1"/>
  <c r="H255" i="33"/>
  <c r="I255" i="33" s="1"/>
  <c r="K255" i="33" s="1"/>
  <c r="M255" i="33" s="1"/>
  <c r="P255" i="33" s="1"/>
  <c r="H205" i="33"/>
  <c r="I205" i="33" s="1"/>
  <c r="K205" i="33" s="1"/>
  <c r="M205" i="33" s="1"/>
  <c r="P205" i="33" s="1"/>
  <c r="H383" i="33"/>
  <c r="H382" i="33"/>
  <c r="I382" i="33" s="1"/>
  <c r="K382" i="33" s="1"/>
  <c r="M382" i="33" s="1"/>
  <c r="P382" i="33" s="1"/>
  <c r="H402" i="33"/>
  <c r="I402" i="33" s="1"/>
  <c r="K402" i="33" s="1"/>
  <c r="M402" i="33" s="1"/>
  <c r="P402" i="33" s="1"/>
  <c r="H372" i="33"/>
  <c r="I372" i="33" s="1"/>
  <c r="K372" i="33" s="1"/>
  <c r="M372" i="33" s="1"/>
  <c r="P372" i="33" s="1"/>
  <c r="H330" i="33"/>
  <c r="I330" i="33" s="1"/>
  <c r="K330" i="33" s="1"/>
  <c r="M330" i="33" s="1"/>
  <c r="P330" i="33" s="1"/>
  <c r="H601" i="33"/>
  <c r="I601" i="33" s="1"/>
  <c r="K601" i="33" s="1"/>
  <c r="M601" i="33" s="1"/>
  <c r="P601" i="33" s="1"/>
  <c r="H507" i="33"/>
  <c r="I507" i="33" s="1"/>
  <c r="K507" i="33" s="1"/>
  <c r="M507" i="33" s="1"/>
  <c r="P507" i="33" s="1"/>
  <c r="H214" i="33"/>
  <c r="I214" i="33" s="1"/>
  <c r="K214" i="33" s="1"/>
  <c r="M214" i="33" s="1"/>
  <c r="P214" i="33" s="1"/>
  <c r="H607" i="33"/>
  <c r="I607" i="33" s="1"/>
  <c r="H728" i="33"/>
  <c r="H734" i="33"/>
  <c r="I734" i="33" s="1"/>
  <c r="K734" i="33" s="1"/>
  <c r="M734" i="33" s="1"/>
  <c r="P734" i="33" s="1"/>
  <c r="K479" i="33"/>
  <c r="M479" i="33" s="1"/>
  <c r="P479" i="33" s="1"/>
  <c r="K196" i="33"/>
  <c r="M196" i="33" s="1"/>
  <c r="P196" i="33" s="1"/>
  <c r="H717" i="33"/>
  <c r="I717" i="33" s="1"/>
  <c r="K717" i="33" s="1"/>
  <c r="M717" i="33" s="1"/>
  <c r="P717" i="33" s="1"/>
  <c r="H369" i="33"/>
  <c r="I369" i="33" s="1"/>
  <c r="K369" i="33" s="1"/>
  <c r="M369" i="33" s="1"/>
  <c r="P369" i="33" s="1"/>
  <c r="H370" i="33"/>
  <c r="I370" i="33" s="1"/>
  <c r="H711" i="33"/>
  <c r="H757" i="33"/>
  <c r="H781" i="33"/>
  <c r="I781" i="33" s="1"/>
  <c r="H713" i="33"/>
  <c r="I713" i="33" s="1"/>
  <c r="K713" i="33" s="1"/>
  <c r="M713" i="33" s="1"/>
  <c r="P713" i="33" s="1"/>
  <c r="H707" i="33"/>
  <c r="H368" i="33"/>
  <c r="I368" i="33" s="1"/>
  <c r="K368" i="33" s="1"/>
  <c r="M368" i="33" s="1"/>
  <c r="P368" i="33" s="1"/>
  <c r="K804" i="33"/>
  <c r="M804" i="33" s="1"/>
  <c r="P804" i="33" s="1"/>
  <c r="I759" i="12"/>
  <c r="J759" i="12" s="1"/>
  <c r="M759" i="12" s="1"/>
  <c r="I566" i="5"/>
  <c r="J566" i="5" s="1"/>
  <c r="L566" i="5" s="1"/>
  <c r="I635" i="5"/>
  <c r="J635" i="5" s="1"/>
  <c r="L635" i="5" s="1"/>
  <c r="I667" i="5"/>
  <c r="J667" i="5" s="1"/>
  <c r="L667" i="5" s="1"/>
  <c r="I738" i="5"/>
  <c r="J738" i="5" s="1"/>
  <c r="L738" i="5" s="1"/>
  <c r="I543" i="5"/>
  <c r="J543" i="5" s="1"/>
  <c r="L543" i="5" s="1"/>
  <c r="I721" i="5"/>
  <c r="J721" i="5" s="1"/>
  <c r="I563" i="5"/>
  <c r="J563" i="5" s="1"/>
  <c r="L563" i="5" s="1"/>
  <c r="I761" i="5"/>
  <c r="J761" i="5" s="1"/>
  <c r="L761" i="5" s="1"/>
  <c r="I801" i="5"/>
  <c r="J801" i="5" s="1"/>
  <c r="L801" i="5" s="1"/>
  <c r="I574" i="5"/>
  <c r="J574" i="5" s="1"/>
  <c r="I553" i="5"/>
  <c r="J553" i="5" s="1"/>
  <c r="L553" i="5" s="1"/>
  <c r="I513" i="5"/>
  <c r="J513" i="5" s="1"/>
  <c r="L513" i="5" s="1"/>
  <c r="I798" i="5"/>
  <c r="J798" i="5" s="1"/>
  <c r="L798" i="5" s="1"/>
  <c r="I508" i="5"/>
  <c r="J508" i="5" s="1"/>
  <c r="I739" i="5"/>
  <c r="J739" i="5" s="1"/>
  <c r="L739" i="5" s="1"/>
  <c r="I512" i="5"/>
  <c r="J512" i="5" s="1"/>
  <c r="L512" i="5" s="1"/>
  <c r="I720" i="5"/>
  <c r="J720" i="5" s="1"/>
  <c r="L720" i="5" s="1"/>
  <c r="I766" i="5"/>
  <c r="J766" i="5" s="1"/>
  <c r="I783" i="5"/>
  <c r="J783" i="5" s="1"/>
  <c r="L783" i="5" s="1"/>
  <c r="I549" i="5"/>
  <c r="J549" i="5" s="1"/>
  <c r="I781" i="5"/>
  <c r="J781" i="5" s="1"/>
  <c r="L781" i="5" s="1"/>
  <c r="I726" i="5"/>
  <c r="J726" i="5" s="1"/>
  <c r="L726" i="5" s="1"/>
  <c r="I502" i="5"/>
  <c r="J502" i="5" s="1"/>
  <c r="L502" i="5" s="1"/>
  <c r="I673" i="5"/>
  <c r="J673" i="5" s="1"/>
  <c r="L673" i="5" s="1"/>
  <c r="I796" i="5"/>
  <c r="J796" i="5" s="1"/>
  <c r="L796" i="5" s="1"/>
  <c r="I577" i="5"/>
  <c r="J577" i="5" s="1"/>
  <c r="I753" i="5"/>
  <c r="J753" i="5" s="1"/>
  <c r="I665" i="5"/>
  <c r="J665" i="5" s="1"/>
  <c r="I510" i="5"/>
  <c r="J510" i="5" s="1"/>
  <c r="L510" i="5" s="1"/>
  <c r="I671" i="5"/>
  <c r="J671" i="5" s="1"/>
  <c r="L671" i="5" s="1"/>
  <c r="J685" i="5"/>
  <c r="I493" i="5"/>
  <c r="J493" i="5" s="1"/>
  <c r="L493" i="5" s="1"/>
  <c r="I732" i="5"/>
  <c r="J732" i="5" s="1"/>
  <c r="L732" i="5" s="1"/>
  <c r="I545" i="5"/>
  <c r="J545" i="5" s="1"/>
  <c r="L545" i="5" s="1"/>
  <c r="I668" i="5"/>
  <c r="J668" i="5" s="1"/>
  <c r="I762" i="5"/>
  <c r="J762" i="5" s="1"/>
  <c r="L762" i="5" s="1"/>
  <c r="I687" i="5"/>
  <c r="J687" i="5" s="1"/>
  <c r="L687" i="5" s="1"/>
  <c r="I484" i="5"/>
  <c r="J484" i="5" s="1"/>
  <c r="L484" i="5" s="1"/>
  <c r="I565" i="5"/>
  <c r="J565" i="5" s="1"/>
  <c r="L565" i="5" s="1"/>
  <c r="H246" i="9"/>
  <c r="I246" i="9" s="1"/>
  <c r="H307" i="9"/>
  <c r="I307" i="9" s="1"/>
  <c r="H534" i="9"/>
  <c r="I534" i="9" s="1"/>
  <c r="I650" i="5"/>
  <c r="J650" i="5" s="1"/>
  <c r="L650" i="5" s="1"/>
  <c r="I697" i="5"/>
  <c r="J697" i="5" s="1"/>
  <c r="I638" i="5"/>
  <c r="J638" i="5" s="1"/>
  <c r="I482" i="5"/>
  <c r="J482" i="5" s="1"/>
  <c r="H709" i="33"/>
  <c r="I709" i="33" s="1"/>
  <c r="K709" i="33" s="1"/>
  <c r="M709" i="33" s="1"/>
  <c r="P709" i="33" s="1"/>
  <c r="H694" i="33"/>
  <c r="I694" i="33" s="1"/>
  <c r="K694" i="33" s="1"/>
  <c r="M694" i="33" s="1"/>
  <c r="P694" i="33" s="1"/>
  <c r="H265" i="33"/>
  <c r="I265" i="33" s="1"/>
  <c r="K265" i="33" s="1"/>
  <c r="M265" i="33" s="1"/>
  <c r="P265" i="33" s="1"/>
  <c r="H411" i="33"/>
  <c r="I411" i="33" s="1"/>
  <c r="K411" i="33" s="1"/>
  <c r="M411" i="33" s="1"/>
  <c r="P411" i="33" s="1"/>
  <c r="H259" i="33"/>
  <c r="I259" i="33" s="1"/>
  <c r="K259" i="33" s="1"/>
  <c r="M259" i="33" s="1"/>
  <c r="P259" i="33" s="1"/>
  <c r="H362" i="33"/>
  <c r="I362" i="33" s="1"/>
  <c r="K362" i="33" s="1"/>
  <c r="M362" i="33" s="1"/>
  <c r="P362" i="33" s="1"/>
  <c r="H423" i="33"/>
  <c r="I423" i="33" s="1"/>
  <c r="K423" i="33" s="1"/>
  <c r="M423" i="33" s="1"/>
  <c r="P423" i="33" s="1"/>
  <c r="H512" i="33"/>
  <c r="I512" i="33" s="1"/>
  <c r="H792" i="33"/>
  <c r="I792" i="33" s="1"/>
  <c r="K792" i="33" s="1"/>
  <c r="M792" i="33" s="1"/>
  <c r="P792" i="33" s="1"/>
  <c r="H266" i="33"/>
  <c r="I266" i="33" s="1"/>
  <c r="K266" i="33" s="1"/>
  <c r="M266" i="33" s="1"/>
  <c r="P266" i="33" s="1"/>
  <c r="H555" i="33"/>
  <c r="I555" i="33" s="1"/>
  <c r="K555" i="33" s="1"/>
  <c r="M555" i="33" s="1"/>
  <c r="P555" i="33" s="1"/>
  <c r="H576" i="33"/>
  <c r="I576" i="33" s="1"/>
  <c r="K576" i="33" s="1"/>
  <c r="M576" i="33" s="1"/>
  <c r="P576" i="33" s="1"/>
  <c r="H394" i="33"/>
  <c r="H651" i="33"/>
  <c r="H657" i="33"/>
  <c r="H396" i="33"/>
  <c r="H126" i="33"/>
  <c r="I126" i="33" s="1"/>
  <c r="H748" i="33"/>
  <c r="H356" i="33"/>
  <c r="I646" i="5"/>
  <c r="J646" i="5" s="1"/>
  <c r="I807" i="5"/>
  <c r="J807" i="5" s="1"/>
  <c r="I542" i="5"/>
  <c r="J542" i="5" s="1"/>
  <c r="L542" i="5" s="1"/>
  <c r="I757" i="5"/>
  <c r="J757" i="5" s="1"/>
  <c r="I652" i="5"/>
  <c r="J652" i="5" s="1"/>
  <c r="I499" i="5"/>
  <c r="J499" i="5" s="1"/>
  <c r="L499" i="5" s="1"/>
  <c r="I641" i="5"/>
  <c r="J641" i="5" s="1"/>
  <c r="L641" i="5" s="1"/>
  <c r="I774" i="5"/>
  <c r="J774" i="5" s="1"/>
  <c r="L774" i="5" s="1"/>
  <c r="I535" i="5"/>
  <c r="J535" i="5" s="1"/>
  <c r="I509" i="5"/>
  <c r="J509" i="5" s="1"/>
  <c r="L509" i="5" s="1"/>
  <c r="I559" i="5"/>
  <c r="J559" i="5" s="1"/>
  <c r="L559" i="5" s="1"/>
  <c r="I547" i="5"/>
  <c r="J547" i="5" s="1"/>
  <c r="L547" i="5" s="1"/>
  <c r="I537" i="5"/>
  <c r="J537" i="5" s="1"/>
  <c r="I682" i="5"/>
  <c r="J682" i="5" s="1"/>
  <c r="L682" i="5" s="1"/>
  <c r="I552" i="5"/>
  <c r="J552" i="5" s="1"/>
  <c r="L552" i="5" s="1"/>
  <c r="K753" i="33"/>
  <c r="M753" i="33" s="1"/>
  <c r="P753" i="33" s="1"/>
  <c r="H779" i="33"/>
  <c r="I779" i="33" s="1"/>
  <c r="K779" i="33" s="1"/>
  <c r="M779" i="33" s="1"/>
  <c r="P779" i="33" s="1"/>
  <c r="H783" i="33"/>
  <c r="I783" i="33" s="1"/>
  <c r="K783" i="33" s="1"/>
  <c r="M783" i="33" s="1"/>
  <c r="P783" i="33" s="1"/>
  <c r="H491" i="33"/>
  <c r="I491" i="33" s="1"/>
  <c r="H355" i="33"/>
  <c r="I355" i="33" s="1"/>
  <c r="K355" i="33" s="1"/>
  <c r="M355" i="33" s="1"/>
  <c r="P355" i="33" s="1"/>
  <c r="H421" i="33"/>
  <c r="I421" i="33" s="1"/>
  <c r="K421" i="33" s="1"/>
  <c r="M421" i="33" s="1"/>
  <c r="P421" i="33" s="1"/>
  <c r="H754" i="33"/>
  <c r="I754" i="33" s="1"/>
  <c r="K754" i="33" s="1"/>
  <c r="M754" i="33" s="1"/>
  <c r="P754" i="33" s="1"/>
  <c r="H284" i="33"/>
  <c r="I284" i="33" s="1"/>
  <c r="H720" i="33"/>
  <c r="I720" i="33" s="1"/>
  <c r="H403" i="33"/>
  <c r="I403" i="33" s="1"/>
  <c r="K403" i="33" s="1"/>
  <c r="M403" i="33" s="1"/>
  <c r="P403" i="33" s="1"/>
  <c r="H761" i="33"/>
  <c r="H774" i="33"/>
  <c r="H752" i="33"/>
  <c r="H492" i="33"/>
  <c r="I492" i="33" s="1"/>
  <c r="H763" i="33"/>
  <c r="I763" i="33" s="1"/>
  <c r="H154" i="33"/>
  <c r="I154" i="33" s="1"/>
  <c r="K154" i="33" s="1"/>
  <c r="M154" i="33" s="1"/>
  <c r="P154" i="33" s="1"/>
  <c r="H768" i="33"/>
  <c r="I768" i="33" s="1"/>
  <c r="I730" i="5"/>
  <c r="J730" i="5" s="1"/>
  <c r="I734" i="5"/>
  <c r="J734" i="5" s="1"/>
  <c r="L734" i="5" s="1"/>
  <c r="I709" i="5"/>
  <c r="J709" i="5" s="1"/>
  <c r="L709" i="5" s="1"/>
  <c r="I657" i="5"/>
  <c r="J657" i="5" s="1"/>
  <c r="L657" i="5" s="1"/>
  <c r="I660" i="5"/>
  <c r="J660" i="5" s="1"/>
  <c r="I719" i="5"/>
  <c r="J719" i="5" s="1"/>
  <c r="L719" i="5" s="1"/>
  <c r="I541" i="5"/>
  <c r="J541" i="5" s="1"/>
  <c r="L541" i="5" s="1"/>
  <c r="I760" i="5"/>
  <c r="J760" i="5" s="1"/>
  <c r="I556" i="5"/>
  <c r="J556" i="5" s="1"/>
  <c r="L556" i="5" s="1"/>
  <c r="I525" i="5"/>
  <c r="J525" i="5" s="1"/>
  <c r="L525" i="5" s="1"/>
  <c r="I645" i="5"/>
  <c r="J645" i="5" s="1"/>
  <c r="L645" i="5" s="1"/>
  <c r="I639" i="5"/>
  <c r="J639" i="5" s="1"/>
  <c r="I790" i="5"/>
  <c r="J790" i="5" s="1"/>
  <c r="L790" i="5" s="1"/>
  <c r="I759" i="5"/>
  <c r="J759" i="5" s="1"/>
  <c r="I799" i="5"/>
  <c r="J799" i="5" s="1"/>
  <c r="L799" i="5" s="1"/>
  <c r="I561" i="5"/>
  <c r="J561" i="5" s="1"/>
  <c r="L561" i="5" s="1"/>
  <c r="I546" i="5"/>
  <c r="J546" i="5" s="1"/>
  <c r="L546" i="5" s="1"/>
  <c r="I558" i="5"/>
  <c r="J558" i="5" s="1"/>
  <c r="L558" i="5" s="1"/>
  <c r="I820" i="5"/>
  <c r="J820" i="5" s="1"/>
  <c r="L820" i="5" s="1"/>
  <c r="I670" i="5"/>
  <c r="J670" i="5" s="1"/>
  <c r="L670" i="5" s="1"/>
  <c r="H84" i="33"/>
  <c r="H361" i="33"/>
  <c r="H773" i="33"/>
  <c r="I773" i="33" s="1"/>
  <c r="K773" i="33" s="1"/>
  <c r="M773" i="33" s="1"/>
  <c r="P773" i="33" s="1"/>
  <c r="H161" i="33"/>
  <c r="H125" i="33"/>
  <c r="H198" i="33"/>
  <c r="I198" i="33" s="1"/>
  <c r="K198" i="33" s="1"/>
  <c r="M198" i="33" s="1"/>
  <c r="P198" i="33" s="1"/>
  <c r="H45" i="33"/>
  <c r="I45" i="33" s="1"/>
  <c r="H483" i="33"/>
  <c r="I483" i="33" s="1"/>
  <c r="K483" i="33" s="1"/>
  <c r="M483" i="33" s="1"/>
  <c r="P483" i="33" s="1"/>
  <c r="H802" i="33"/>
  <c r="H390" i="33"/>
  <c r="H692" i="33"/>
  <c r="I692" i="33" s="1"/>
  <c r="H787" i="33"/>
  <c r="H467" i="33"/>
  <c r="H705" i="33"/>
  <c r="I705" i="33" s="1"/>
  <c r="H240" i="33"/>
  <c r="I240" i="33" s="1"/>
  <c r="K240" i="33" s="1"/>
  <c r="M240" i="33" s="1"/>
  <c r="P240" i="33" s="1"/>
  <c r="H554" i="33"/>
  <c r="I554" i="33" s="1"/>
  <c r="K554" i="33" s="1"/>
  <c r="M554" i="33" s="1"/>
  <c r="P554" i="33" s="1"/>
  <c r="H241" i="33"/>
  <c r="I241" i="33" s="1"/>
  <c r="K241" i="33" s="1"/>
  <c r="M241" i="33" s="1"/>
  <c r="P241" i="33" s="1"/>
  <c r="I515" i="5"/>
  <c r="J515" i="5" s="1"/>
  <c r="H107" i="9"/>
  <c r="I107" i="9" s="1"/>
  <c r="I572" i="5"/>
  <c r="J572" i="5" s="1"/>
  <c r="I744" i="5"/>
  <c r="J744" i="5" s="1"/>
  <c r="L744" i="5" s="1"/>
  <c r="I524" i="5"/>
  <c r="J524" i="5" s="1"/>
  <c r="L524" i="5" s="1"/>
  <c r="I714" i="5"/>
  <c r="J714" i="5" s="1"/>
  <c r="I679" i="5"/>
  <c r="J679" i="5" s="1"/>
  <c r="L679" i="5" s="1"/>
  <c r="I555" i="5"/>
  <c r="J555" i="5" s="1"/>
  <c r="I793" i="5"/>
  <c r="J793" i="5" s="1"/>
  <c r="I684" i="5"/>
  <c r="J684" i="5" s="1"/>
  <c r="L684" i="5" s="1"/>
  <c r="K340" i="33"/>
  <c r="M340" i="33" s="1"/>
  <c r="P340" i="33" s="1"/>
  <c r="K27" i="33"/>
  <c r="M27" i="33" s="1"/>
  <c r="P27" i="33" s="1"/>
  <c r="H391" i="33"/>
  <c r="I391" i="33" s="1"/>
  <c r="H124" i="33"/>
  <c r="I124" i="33" s="1"/>
  <c r="H718" i="33"/>
  <c r="I718" i="33" s="1"/>
  <c r="H367" i="33"/>
  <c r="H365" i="33"/>
  <c r="H287" i="33"/>
  <c r="I287" i="33" s="1"/>
  <c r="H282" i="33"/>
  <c r="H357" i="33"/>
  <c r="I357" i="33" s="1"/>
  <c r="K357" i="33" s="1"/>
  <c r="M357" i="33" s="1"/>
  <c r="P357" i="33" s="1"/>
  <c r="H182" i="33"/>
  <c r="I182" i="33" s="1"/>
  <c r="K182" i="33" s="1"/>
  <c r="M182" i="33" s="1"/>
  <c r="P182" i="33" s="1"/>
  <c r="H801" i="33"/>
  <c r="H780" i="33"/>
  <c r="I780" i="33" s="1"/>
  <c r="H818" i="33"/>
  <c r="H559" i="33"/>
  <c r="H456" i="33"/>
  <c r="I456" i="33" s="1"/>
  <c r="K456" i="33" s="1"/>
  <c r="M456" i="33" s="1"/>
  <c r="P456" i="33" s="1"/>
  <c r="H393" i="33"/>
  <c r="H690" i="33"/>
  <c r="I690" i="33" s="1"/>
  <c r="H283" i="33"/>
  <c r="I283" i="33" s="1"/>
  <c r="H535" i="33"/>
  <c r="I535" i="33" s="1"/>
  <c r="K535" i="33" s="1"/>
  <c r="M535" i="33" s="1"/>
  <c r="P535" i="33" s="1"/>
  <c r="H179" i="33"/>
  <c r="H290" i="33"/>
  <c r="I290" i="33" s="1"/>
  <c r="K290" i="33" s="1"/>
  <c r="M290" i="33" s="1"/>
  <c r="P290" i="33" s="1"/>
  <c r="H94" i="33"/>
  <c r="I94" i="33" s="1"/>
  <c r="K94" i="33" s="1"/>
  <c r="M94" i="33" s="1"/>
  <c r="P94" i="33" s="1"/>
  <c r="I518" i="5"/>
  <c r="J518" i="5" s="1"/>
  <c r="L518" i="5" s="1"/>
  <c r="I718" i="5"/>
  <c r="J718" i="5" s="1"/>
  <c r="L718" i="5" s="1"/>
  <c r="I488" i="5"/>
  <c r="J488" i="5" s="1"/>
  <c r="L488" i="5" s="1"/>
  <c r="H642" i="33"/>
  <c r="I642" i="33" s="1"/>
  <c r="K642" i="33" s="1"/>
  <c r="M642" i="33" s="1"/>
  <c r="P642" i="33" s="1"/>
  <c r="H704" i="33"/>
  <c r="H183" i="33"/>
  <c r="H749" i="33"/>
  <c r="H572" i="33"/>
  <c r="H767" i="33"/>
  <c r="I767" i="33" s="1"/>
  <c r="H92" i="33"/>
  <c r="I92" i="33" s="1"/>
  <c r="H654" i="33"/>
  <c r="H358" i="33"/>
  <c r="I358" i="33" s="1"/>
  <c r="K358" i="33" s="1"/>
  <c r="M358" i="33" s="1"/>
  <c r="P358" i="33" s="1"/>
  <c r="H439" i="33"/>
  <c r="H395" i="33"/>
  <c r="H784" i="33"/>
  <c r="H109" i="33"/>
  <c r="H775" i="33"/>
  <c r="I775" i="33" s="1"/>
  <c r="K775" i="33" s="1"/>
  <c r="M775" i="33" s="1"/>
  <c r="P775" i="33" s="1"/>
  <c r="H271" i="33"/>
  <c r="I271" i="33" s="1"/>
  <c r="H766" i="33"/>
  <c r="I766" i="33" s="1"/>
  <c r="H644" i="33"/>
  <c r="I644" i="33" s="1"/>
  <c r="H264" i="33"/>
  <c r="H348" i="33"/>
  <c r="I348" i="33" s="1"/>
  <c r="H110" i="33"/>
  <c r="H153" i="33"/>
  <c r="H123" i="33"/>
  <c r="I123" i="33" s="1"/>
  <c r="K123" i="33" s="1"/>
  <c r="M123" i="33" s="1"/>
  <c r="P123" i="33" s="1"/>
  <c r="H315" i="33"/>
  <c r="I315" i="33" s="1"/>
  <c r="K315" i="33" s="1"/>
  <c r="M315" i="33" s="1"/>
  <c r="P315" i="33" s="1"/>
  <c r="H267" i="33"/>
  <c r="I267" i="33" s="1"/>
  <c r="K267" i="33" s="1"/>
  <c r="M267" i="33" s="1"/>
  <c r="P267" i="33" s="1"/>
  <c r="H769" i="33"/>
  <c r="I769" i="33" s="1"/>
  <c r="K769" i="33" s="1"/>
  <c r="M769" i="33" s="1"/>
  <c r="P769" i="33" s="1"/>
  <c r="H881" i="9"/>
  <c r="I881" i="9" s="1"/>
  <c r="I560" i="5"/>
  <c r="J560" i="5" s="1"/>
  <c r="L560" i="5" s="1"/>
  <c r="H323" i="9"/>
  <c r="I323" i="9" s="1"/>
  <c r="H118" i="33"/>
  <c r="I118" i="33" s="1"/>
  <c r="H468" i="33"/>
  <c r="I468" i="33" s="1"/>
  <c r="K468" i="33" s="1"/>
  <c r="M468" i="33" s="1"/>
  <c r="P468" i="33" s="1"/>
  <c r="H328" i="33"/>
  <c r="H35" i="33"/>
  <c r="I35" i="33" s="1"/>
  <c r="H67" i="33"/>
  <c r="H37" i="33"/>
  <c r="H641" i="33"/>
  <c r="H127" i="33"/>
  <c r="H199" i="33"/>
  <c r="I199" i="33" s="1"/>
  <c r="K199" i="33" s="1"/>
  <c r="M199" i="33" s="1"/>
  <c r="P199" i="33" s="1"/>
  <c r="H397" i="33"/>
  <c r="H334" i="33"/>
  <c r="I334" i="33" s="1"/>
  <c r="H764" i="33"/>
  <c r="H725" i="33"/>
  <c r="I725" i="33" s="1"/>
  <c r="K725" i="33" s="1"/>
  <c r="M725" i="33" s="1"/>
  <c r="P725" i="33" s="1"/>
  <c r="H22" i="33"/>
  <c r="I22" i="33" s="1"/>
  <c r="K22" i="33" s="1"/>
  <c r="M22" i="33" s="1"/>
  <c r="P22" i="33" s="1"/>
  <c r="H360" i="33"/>
  <c r="I360" i="33" s="1"/>
  <c r="K360" i="33" s="1"/>
  <c r="M360" i="33" s="1"/>
  <c r="P360" i="33" s="1"/>
  <c r="H574" i="33"/>
  <c r="I574" i="33" s="1"/>
  <c r="K574" i="33" s="1"/>
  <c r="M574" i="33" s="1"/>
  <c r="P574" i="33" s="1"/>
  <c r="H83" i="33"/>
  <c r="I83" i="33" s="1"/>
  <c r="K83" i="33" s="1"/>
  <c r="M83" i="33" s="1"/>
  <c r="P83" i="33" s="1"/>
  <c r="H510" i="33"/>
  <c r="I510" i="33" s="1"/>
  <c r="K510" i="33" s="1"/>
  <c r="M510" i="33" s="1"/>
  <c r="P510" i="33" s="1"/>
  <c r="H95" i="33"/>
  <c r="I95" i="33" s="1"/>
  <c r="K95" i="33" s="1"/>
  <c r="M95" i="33" s="1"/>
  <c r="P95" i="33" s="1"/>
  <c r="H455" i="33"/>
  <c r="I455" i="33" s="1"/>
  <c r="K455" i="33" s="1"/>
  <c r="M455" i="33" s="1"/>
  <c r="P455" i="33" s="1"/>
  <c r="H813" i="33"/>
  <c r="I813" i="33" s="1"/>
  <c r="K813" i="33" s="1"/>
  <c r="M813" i="33" s="1"/>
  <c r="P813" i="33" s="1"/>
  <c r="H785" i="33"/>
  <c r="I785" i="33" s="1"/>
  <c r="K785" i="33" s="1"/>
  <c r="M785" i="33" s="1"/>
  <c r="P785" i="33" s="1"/>
  <c r="H542" i="33"/>
  <c r="I542" i="33" s="1"/>
  <c r="K542" i="33" s="1"/>
  <c r="M542" i="33" s="1"/>
  <c r="P542" i="33" s="1"/>
  <c r="I633" i="5"/>
  <c r="J633" i="5" s="1"/>
  <c r="H864" i="9"/>
  <c r="I864" i="9" s="1"/>
  <c r="H103" i="33"/>
  <c r="I103" i="33" s="1"/>
  <c r="K103" i="33" s="1"/>
  <c r="M103" i="33" s="1"/>
  <c r="P103" i="33" s="1"/>
  <c r="H366" i="33"/>
  <c r="I366" i="33" s="1"/>
  <c r="H501" i="33"/>
  <c r="H687" i="33"/>
  <c r="I687" i="33" s="1"/>
  <c r="K687" i="33" s="1"/>
  <c r="M687" i="33" s="1"/>
  <c r="P687" i="33" s="1"/>
  <c r="H398" i="33"/>
  <c r="I398" i="33" s="1"/>
  <c r="H820" i="33"/>
  <c r="H452" i="33"/>
  <c r="I452" i="33" s="1"/>
  <c r="H354" i="33"/>
  <c r="H786" i="33"/>
  <c r="I786" i="33" s="1"/>
  <c r="K786" i="33" s="1"/>
  <c r="M786" i="33" s="1"/>
  <c r="P786" i="33" s="1"/>
  <c r="H702" i="33"/>
  <c r="I702" i="33" s="1"/>
  <c r="K702" i="33" s="1"/>
  <c r="M702" i="33" s="1"/>
  <c r="P702" i="33" s="1"/>
  <c r="H460" i="33"/>
  <c r="I460" i="33" s="1"/>
  <c r="K460" i="33" s="1"/>
  <c r="M460" i="33" s="1"/>
  <c r="P460" i="33" s="1"/>
  <c r="H104" i="33"/>
  <c r="I104" i="33" s="1"/>
  <c r="K104" i="33" s="1"/>
  <c r="M104" i="33" s="1"/>
  <c r="P104" i="33" s="1"/>
  <c r="H575" i="33"/>
  <c r="I575" i="33" s="1"/>
  <c r="K575" i="33" s="1"/>
  <c r="M575" i="33" s="1"/>
  <c r="P575" i="33" s="1"/>
  <c r="H714" i="33"/>
  <c r="I714" i="33" s="1"/>
  <c r="K714" i="33" s="1"/>
  <c r="M714" i="33" s="1"/>
  <c r="P714" i="33" s="1"/>
  <c r="H626" i="33"/>
  <c r="I626" i="33" s="1"/>
  <c r="K626" i="33" s="1"/>
  <c r="M626" i="33" s="1"/>
  <c r="P626" i="33" s="1"/>
  <c r="H353" i="33"/>
  <c r="I353" i="33" s="1"/>
  <c r="K353" i="33" s="1"/>
  <c r="M353" i="33" s="1"/>
  <c r="P353" i="33" s="1"/>
  <c r="H316" i="33"/>
  <c r="I316" i="33" s="1"/>
  <c r="K316" i="33" s="1"/>
  <c r="M316" i="33" s="1"/>
  <c r="P316" i="33" s="1"/>
  <c r="H448" i="33"/>
  <c r="I448" i="33" s="1"/>
  <c r="K448" i="33" s="1"/>
  <c r="M448" i="33" s="1"/>
  <c r="P448" i="33" s="1"/>
  <c r="H740" i="33"/>
  <c r="I740" i="33" s="1"/>
  <c r="K740" i="33" s="1"/>
  <c r="M740" i="33" s="1"/>
  <c r="P740" i="33" s="1"/>
  <c r="H782" i="33"/>
  <c r="I782" i="33" s="1"/>
  <c r="K782" i="33" s="1"/>
  <c r="M782" i="33" s="1"/>
  <c r="P782" i="33" s="1"/>
  <c r="H461" i="33"/>
  <c r="I461" i="33" s="1"/>
  <c r="K461" i="33" s="1"/>
  <c r="M461" i="33" s="1"/>
  <c r="P461" i="33" s="1"/>
  <c r="H288" i="33"/>
  <c r="I288" i="33" s="1"/>
  <c r="K288" i="33" s="1"/>
  <c r="M288" i="33" s="1"/>
  <c r="P288" i="33" s="1"/>
  <c r="H439" i="9"/>
  <c r="I439" i="9" s="1"/>
  <c r="H177" i="33"/>
  <c r="I177" i="33" s="1"/>
  <c r="K177" i="33" s="1"/>
  <c r="M177" i="33" s="1"/>
  <c r="P177" i="33" s="1"/>
  <c r="H628" i="33"/>
  <c r="I628" i="33" s="1"/>
  <c r="K628" i="33" s="1"/>
  <c r="M628" i="33" s="1"/>
  <c r="P628" i="33" s="1"/>
  <c r="H534" i="33"/>
  <c r="I534" i="33" s="1"/>
  <c r="K534" i="33" s="1"/>
  <c r="M534" i="33" s="1"/>
  <c r="P534" i="33" s="1"/>
  <c r="H281" i="33"/>
  <c r="I281" i="33" s="1"/>
  <c r="K281" i="33" s="1"/>
  <c r="M281" i="33" s="1"/>
  <c r="P281" i="33" s="1"/>
  <c r="H166" i="33"/>
  <c r="I166" i="33" s="1"/>
  <c r="K166" i="33" s="1"/>
  <c r="M166" i="33" s="1"/>
  <c r="P166" i="33" s="1"/>
  <c r="H40" i="33"/>
  <c r="I40" i="33" s="1"/>
  <c r="K40" i="33" s="1"/>
  <c r="M40" i="33" s="1"/>
  <c r="P40" i="33" s="1"/>
  <c r="H36" i="33"/>
  <c r="I36" i="33" s="1"/>
  <c r="K36" i="33" s="1"/>
  <c r="M36" i="33" s="1"/>
  <c r="P36" i="33" s="1"/>
  <c r="H339" i="33"/>
  <c r="I339" i="33" s="1"/>
  <c r="K339" i="33" s="1"/>
  <c r="M339" i="33" s="1"/>
  <c r="P339" i="33" s="1"/>
  <c r="H376" i="33"/>
  <c r="I376" i="33" s="1"/>
  <c r="K376" i="33" s="1"/>
  <c r="M376" i="33" s="1"/>
  <c r="P376" i="33" s="1"/>
  <c r="H34" i="33"/>
  <c r="I34" i="33" s="1"/>
  <c r="K34" i="33" s="1"/>
  <c r="M34" i="33" s="1"/>
  <c r="P34" i="33" s="1"/>
  <c r="H577" i="33"/>
  <c r="I577" i="33" s="1"/>
  <c r="K577" i="33" s="1"/>
  <c r="M577" i="33" s="1"/>
  <c r="P577" i="33" s="1"/>
  <c r="H270" i="33"/>
  <c r="I270" i="33" s="1"/>
  <c r="K270" i="33" s="1"/>
  <c r="M270" i="33" s="1"/>
  <c r="P270" i="33" s="1"/>
  <c r="H558" i="33"/>
  <c r="H325" i="33"/>
  <c r="I325" i="33" s="1"/>
  <c r="K325" i="33" s="1"/>
  <c r="M325" i="33" s="1"/>
  <c r="P325" i="33" s="1"/>
  <c r="H400" i="33"/>
  <c r="I400" i="33" s="1"/>
  <c r="K400" i="33" s="1"/>
  <c r="M400" i="33" s="1"/>
  <c r="P400" i="33" s="1"/>
  <c r="H111" i="33"/>
  <c r="I111" i="33" s="1"/>
  <c r="H762" i="33"/>
  <c r="I762" i="33" s="1"/>
  <c r="K762" i="33" s="1"/>
  <c r="M762" i="33" s="1"/>
  <c r="P762" i="33" s="1"/>
  <c r="H819" i="33"/>
  <c r="I819" i="33" s="1"/>
  <c r="K819" i="33" s="1"/>
  <c r="M819" i="33" s="1"/>
  <c r="P819" i="33" s="1"/>
  <c r="H359" i="33"/>
  <c r="I359" i="33" s="1"/>
  <c r="K359" i="33" s="1"/>
  <c r="M359" i="33" s="1"/>
  <c r="P359" i="33" s="1"/>
  <c r="H776" i="33"/>
  <c r="I776" i="33" s="1"/>
  <c r="H722" i="33"/>
  <c r="I722" i="33" s="1"/>
  <c r="K722" i="33" s="1"/>
  <c r="M722" i="33" s="1"/>
  <c r="P722" i="33" s="1"/>
  <c r="H364" i="33"/>
  <c r="I364" i="33" s="1"/>
  <c r="K364" i="33" s="1"/>
  <c r="M364" i="33" s="1"/>
  <c r="P364" i="33" s="1"/>
  <c r="H440" i="33"/>
  <c r="I440" i="33" s="1"/>
  <c r="K440" i="33" s="1"/>
  <c r="M440" i="33" s="1"/>
  <c r="P440" i="33" s="1"/>
  <c r="H706" i="33"/>
  <c r="I706" i="33" s="1"/>
  <c r="K706" i="33" s="1"/>
  <c r="M706" i="33" s="1"/>
  <c r="P706" i="33" s="1"/>
  <c r="H638" i="33"/>
  <c r="I638" i="33" s="1"/>
  <c r="K638" i="33" s="1"/>
  <c r="M638" i="33" s="1"/>
  <c r="P638" i="33" s="1"/>
  <c r="I693" i="5"/>
  <c r="J693" i="5" s="1"/>
  <c r="L693" i="5" s="1"/>
  <c r="I672" i="5"/>
  <c r="J672" i="5" s="1"/>
  <c r="I765" i="5"/>
  <c r="J765" i="5" s="1"/>
  <c r="L765" i="5" s="1"/>
  <c r="I676" i="5"/>
  <c r="J676" i="5" s="1"/>
  <c r="L676" i="5" s="1"/>
  <c r="I544" i="5"/>
  <c r="J544" i="5" s="1"/>
  <c r="L544" i="5" s="1"/>
  <c r="I659" i="5"/>
  <c r="J659" i="5" s="1"/>
  <c r="I637" i="5"/>
  <c r="J637" i="5" s="1"/>
  <c r="L637" i="5" s="1"/>
  <c r="I722" i="5"/>
  <c r="J722" i="5" s="1"/>
  <c r="L722" i="5" s="1"/>
  <c r="I683" i="5"/>
  <c r="J683" i="5" s="1"/>
  <c r="L683" i="5" s="1"/>
  <c r="I782" i="5"/>
  <c r="J782" i="5" s="1"/>
  <c r="L782" i="5" s="1"/>
  <c r="I729" i="5"/>
  <c r="J729" i="5" s="1"/>
  <c r="L729" i="5" s="1"/>
  <c r="I814" i="5"/>
  <c r="J814" i="5" s="1"/>
  <c r="L814" i="5" s="1"/>
  <c r="I821" i="5"/>
  <c r="J821" i="5" s="1"/>
  <c r="L821" i="5" s="1"/>
  <c r="I551" i="5"/>
  <c r="J551" i="5" s="1"/>
  <c r="I725" i="5"/>
  <c r="J725" i="5" s="1"/>
  <c r="L725" i="5" s="1"/>
  <c r="I497" i="5"/>
  <c r="J497" i="5" s="1"/>
  <c r="L497" i="5" s="1"/>
  <c r="I564" i="5"/>
  <c r="J564" i="5" s="1"/>
  <c r="L564" i="5" s="1"/>
  <c r="I813" i="5"/>
  <c r="J813" i="5" s="1"/>
  <c r="L813" i="5" s="1"/>
  <c r="I809" i="5"/>
  <c r="J809" i="5" s="1"/>
  <c r="L809" i="5" s="1"/>
  <c r="I675" i="5"/>
  <c r="J675" i="5" s="1"/>
  <c r="I780" i="5"/>
  <c r="J780" i="5" s="1"/>
  <c r="L780" i="5" s="1"/>
  <c r="I777" i="5"/>
  <c r="J777" i="5" s="1"/>
  <c r="I802" i="5"/>
  <c r="J802" i="5" s="1"/>
  <c r="I656" i="5"/>
  <c r="J656" i="5" s="1"/>
  <c r="L656" i="5" s="1"/>
  <c r="I531" i="5"/>
  <c r="J531" i="5" s="1"/>
  <c r="L531" i="5" s="1"/>
  <c r="I530" i="5"/>
  <c r="J530" i="5" s="1"/>
  <c r="L530" i="5" s="1"/>
  <c r="I764" i="5"/>
  <c r="J764" i="5" s="1"/>
  <c r="L764" i="5" s="1"/>
  <c r="I692" i="5"/>
  <c r="J692" i="5" s="1"/>
  <c r="L692" i="5" s="1"/>
  <c r="I713" i="5"/>
  <c r="J713" i="5" s="1"/>
  <c r="I632" i="5"/>
  <c r="J632" i="5" s="1"/>
  <c r="I716" i="5"/>
  <c r="J716" i="5" s="1"/>
  <c r="L716" i="5" s="1"/>
  <c r="I486" i="5"/>
  <c r="J486" i="5" s="1"/>
  <c r="L486" i="5" s="1"/>
  <c r="I815" i="5"/>
  <c r="J815" i="5" s="1"/>
  <c r="L815" i="5" s="1"/>
  <c r="I491" i="5"/>
  <c r="J491" i="5" s="1"/>
  <c r="L491" i="5" s="1"/>
  <c r="I506" i="5"/>
  <c r="J506" i="5" s="1"/>
  <c r="L506" i="5" s="1"/>
  <c r="I569" i="5"/>
  <c r="J569" i="5" s="1"/>
  <c r="I644" i="5"/>
  <c r="J644" i="5" s="1"/>
  <c r="L644" i="5" s="1"/>
  <c r="I803" i="5"/>
  <c r="J803" i="5" s="1"/>
  <c r="L803" i="5" s="1"/>
  <c r="I483" i="5"/>
  <c r="J483" i="5" s="1"/>
  <c r="L483" i="5" s="1"/>
  <c r="I501" i="5"/>
  <c r="J501" i="5" s="1"/>
  <c r="L501" i="5" s="1"/>
  <c r="I534" i="5"/>
  <c r="J534" i="5" s="1"/>
  <c r="L534" i="5" s="1"/>
  <c r="I494" i="5"/>
  <c r="J494" i="5" s="1"/>
  <c r="L494" i="5" s="1"/>
  <c r="I776" i="5"/>
  <c r="J776" i="5" s="1"/>
  <c r="L776" i="5" s="1"/>
  <c r="I817" i="5"/>
  <c r="J817" i="5" s="1"/>
  <c r="I806" i="5"/>
  <c r="J806" i="5" s="1"/>
  <c r="L806" i="5" s="1"/>
  <c r="I724" i="5"/>
  <c r="J724" i="5" s="1"/>
  <c r="L724" i="5" s="1"/>
  <c r="F18" i="44" s="1"/>
  <c r="O18" i="44" s="1"/>
  <c r="I775" i="5"/>
  <c r="J775" i="5" s="1"/>
  <c r="L775" i="5" s="1"/>
  <c r="I695" i="5"/>
  <c r="J695" i="5" s="1"/>
  <c r="L695" i="5" s="1"/>
  <c r="I520" i="5"/>
  <c r="J520" i="5" s="1"/>
  <c r="L520" i="5" s="1"/>
  <c r="I819" i="5"/>
  <c r="J819" i="5" s="1"/>
  <c r="L819" i="5" s="1"/>
  <c r="I680" i="5"/>
  <c r="J680" i="5" s="1"/>
  <c r="L680" i="5" s="1"/>
  <c r="I688" i="5"/>
  <c r="J688" i="5" s="1"/>
  <c r="I571" i="5"/>
  <c r="J571" i="5" s="1"/>
  <c r="L571" i="5" s="1"/>
  <c r="I655" i="5"/>
  <c r="J655" i="5" s="1"/>
  <c r="L655" i="5" s="1"/>
  <c r="I701" i="5"/>
  <c r="J701" i="5" s="1"/>
  <c r="I661" i="5"/>
  <c r="J661" i="5" s="1"/>
  <c r="L661" i="5" s="1"/>
  <c r="I795" i="5"/>
  <c r="J795" i="5" s="1"/>
  <c r="L795" i="5" s="1"/>
  <c r="I681" i="5"/>
  <c r="J681" i="5" s="1"/>
  <c r="L681" i="5" s="1"/>
  <c r="I788" i="5"/>
  <c r="J788" i="5" s="1"/>
  <c r="L788" i="5" s="1"/>
  <c r="I669" i="5"/>
  <c r="J669" i="5" s="1"/>
  <c r="L669" i="5" s="1"/>
  <c r="I770" i="5"/>
  <c r="J770" i="5" s="1"/>
  <c r="L770" i="5" s="1"/>
  <c r="I643" i="5"/>
  <c r="J643" i="5" s="1"/>
  <c r="L643" i="5" s="1"/>
  <c r="I526" i="5"/>
  <c r="J526" i="5" s="1"/>
  <c r="L526" i="5" s="1"/>
  <c r="I741" i="5"/>
  <c r="J741" i="5" s="1"/>
  <c r="L741" i="5" s="1"/>
  <c r="I800" i="5"/>
  <c r="J800" i="5" s="1"/>
  <c r="L800" i="5" s="1"/>
  <c r="I816" i="5"/>
  <c r="J816" i="5" s="1"/>
  <c r="L816" i="5" s="1"/>
  <c r="I575" i="5"/>
  <c r="J575" i="5" s="1"/>
  <c r="L575" i="5" s="1"/>
  <c r="I763" i="5"/>
  <c r="J763" i="5" s="1"/>
  <c r="L763" i="5" s="1"/>
  <c r="I527" i="5"/>
  <c r="J527" i="5" s="1"/>
  <c r="L527" i="5" s="1"/>
  <c r="I674" i="5"/>
  <c r="J674" i="5" s="1"/>
  <c r="L674" i="5" s="1"/>
  <c r="I522" i="5"/>
  <c r="J522" i="5" s="1"/>
  <c r="L522" i="5" s="1"/>
  <c r="I521" i="5"/>
  <c r="J521" i="5" s="1"/>
  <c r="L521" i="5" s="1"/>
  <c r="I771" i="5"/>
  <c r="J771" i="5" s="1"/>
  <c r="L771" i="5" s="1"/>
  <c r="I570" i="5"/>
  <c r="J570" i="5" s="1"/>
  <c r="L570" i="5" s="1"/>
  <c r="I752" i="5"/>
  <c r="J752" i="5" s="1"/>
  <c r="L752" i="5" s="1"/>
  <c r="I768" i="5"/>
  <c r="J768" i="5" s="1"/>
  <c r="L768" i="5" s="1"/>
  <c r="I663" i="5"/>
  <c r="J663" i="5" s="1"/>
  <c r="L663" i="5" s="1"/>
  <c r="I519" i="5"/>
  <c r="J519" i="5" s="1"/>
  <c r="L519" i="5" s="1"/>
  <c r="I557" i="5"/>
  <c r="J557" i="5" s="1"/>
  <c r="L557" i="5" s="1"/>
  <c r="I794" i="5"/>
  <c r="J794" i="5" s="1"/>
  <c r="L794" i="5" s="1"/>
  <c r="I490" i="5"/>
  <c r="J490" i="5" s="1"/>
  <c r="L490" i="5" s="1"/>
  <c r="I507" i="5"/>
  <c r="J507" i="5" s="1"/>
  <c r="L507" i="5" s="1"/>
  <c r="I485" i="5"/>
  <c r="J485" i="5" s="1"/>
  <c r="L485" i="5" s="1"/>
  <c r="I662" i="5"/>
  <c r="J662" i="5" s="1"/>
  <c r="I717" i="5"/>
  <c r="J717" i="5" s="1"/>
  <c r="L717" i="5" s="1"/>
  <c r="I511" i="5"/>
  <c r="J511" i="5" s="1"/>
  <c r="L511" i="5" s="1"/>
  <c r="I689" i="5"/>
  <c r="J689" i="5" s="1"/>
  <c r="L689" i="5" s="1"/>
  <c r="I786" i="5"/>
  <c r="J786" i="5" s="1"/>
  <c r="L786" i="5" s="1"/>
  <c r="I702" i="5"/>
  <c r="J702" i="5" s="1"/>
  <c r="L702" i="5" s="1"/>
  <c r="I703" i="5"/>
  <c r="J703" i="5" s="1"/>
  <c r="L703" i="5" s="1"/>
  <c r="I550" i="5"/>
  <c r="J550" i="5" s="1"/>
  <c r="L550" i="5" s="1"/>
  <c r="I696" i="5"/>
  <c r="J696" i="5" s="1"/>
  <c r="I700" i="5"/>
  <c r="J700" i="5" s="1"/>
  <c r="L700" i="5" s="1"/>
  <c r="I514" i="5"/>
  <c r="J514" i="5" s="1"/>
  <c r="L514" i="5" s="1"/>
  <c r="I489" i="5"/>
  <c r="J489" i="5" s="1"/>
  <c r="I769" i="5"/>
  <c r="J769" i="5" s="1"/>
  <c r="L769" i="5" s="1"/>
  <c r="I686" i="5"/>
  <c r="J686" i="5" s="1"/>
  <c r="L686" i="5" s="1"/>
  <c r="I751" i="5"/>
  <c r="J751" i="5" s="1"/>
  <c r="L751" i="5" s="1"/>
  <c r="I742" i="5"/>
  <c r="J742" i="5" s="1"/>
  <c r="L742" i="5" s="1"/>
  <c r="I758" i="5"/>
  <c r="J758" i="5" s="1"/>
  <c r="L758" i="5" s="1"/>
  <c r="I698" i="5"/>
  <c r="J698" i="5" s="1"/>
  <c r="L698" i="5" s="1"/>
  <c r="I787" i="5"/>
  <c r="J787" i="5" s="1"/>
  <c r="L787" i="5" s="1"/>
  <c r="I568" i="5"/>
  <c r="J568" i="5" s="1"/>
  <c r="L568" i="5" s="1"/>
  <c r="I808" i="5"/>
  <c r="J808" i="5" s="1"/>
  <c r="L808" i="5" s="1"/>
  <c r="I554" i="5"/>
  <c r="J554" i="5" s="1"/>
  <c r="L554" i="5" s="1"/>
  <c r="I711" i="5"/>
  <c r="J711" i="5" s="1"/>
  <c r="L711" i="5" s="1"/>
  <c r="I691" i="5"/>
  <c r="J691" i="5" s="1"/>
  <c r="L691" i="5" s="1"/>
  <c r="I707" i="5"/>
  <c r="J707" i="5" s="1"/>
  <c r="L707" i="5" s="1"/>
  <c r="I694" i="5"/>
  <c r="J694" i="5" s="1"/>
  <c r="L694" i="5" s="1"/>
  <c r="I500" i="5"/>
  <c r="J500" i="5" s="1"/>
  <c r="L500" i="5" s="1"/>
  <c r="I505" i="5"/>
  <c r="J505" i="5" s="1"/>
  <c r="L505" i="5" s="1"/>
  <c r="I733" i="5"/>
  <c r="J733" i="5" s="1"/>
  <c r="I481" i="5"/>
  <c r="J481" i="5" s="1"/>
  <c r="L481" i="5" s="1"/>
  <c r="I653" i="5"/>
  <c r="J653" i="5" s="1"/>
  <c r="L653" i="5" s="1"/>
  <c r="I772" i="5"/>
  <c r="J772" i="5" s="1"/>
  <c r="L772" i="5" s="1"/>
  <c r="I649" i="5"/>
  <c r="J649" i="5" s="1"/>
  <c r="L649" i="5" s="1"/>
  <c r="I748" i="5"/>
  <c r="J748" i="5" s="1"/>
  <c r="L748" i="5" s="1"/>
  <c r="I785" i="5"/>
  <c r="J785" i="5" s="1"/>
  <c r="L785" i="5" s="1"/>
  <c r="I664" i="5"/>
  <c r="J664" i="5" s="1"/>
  <c r="L664" i="5" s="1"/>
  <c r="I498" i="5"/>
  <c r="J498" i="5" s="1"/>
  <c r="L498" i="5" s="1"/>
  <c r="I812" i="5"/>
  <c r="J812" i="5" s="1"/>
  <c r="L812" i="5" s="1"/>
  <c r="I792" i="5"/>
  <c r="J792" i="5" s="1"/>
  <c r="L792" i="5" s="1"/>
  <c r="I503" i="5"/>
  <c r="J503" i="5" s="1"/>
  <c r="L503" i="5" s="1"/>
  <c r="I496" i="5"/>
  <c r="J496" i="5" s="1"/>
  <c r="L496" i="5" s="1"/>
  <c r="I536" i="5"/>
  <c r="J536" i="5" s="1"/>
  <c r="L536" i="5" s="1"/>
  <c r="I746" i="5"/>
  <c r="J746" i="5" s="1"/>
  <c r="L746" i="5" s="1"/>
  <c r="I706" i="5"/>
  <c r="J706" i="5" s="1"/>
  <c r="I736" i="5"/>
  <c r="J736" i="5" s="1"/>
  <c r="L736" i="5" s="1"/>
  <c r="I677" i="5"/>
  <c r="J677" i="5" s="1"/>
  <c r="L677" i="5" s="1"/>
  <c r="I495" i="5"/>
  <c r="J495" i="5" s="1"/>
  <c r="L495" i="5" s="1"/>
  <c r="I789" i="5"/>
  <c r="J789" i="5" s="1"/>
  <c r="L789" i="5" s="1"/>
  <c r="I797" i="5"/>
  <c r="J797" i="5" s="1"/>
  <c r="L797" i="5" s="1"/>
  <c r="I648" i="5"/>
  <c r="J648" i="5" s="1"/>
  <c r="I654" i="5"/>
  <c r="J654" i="5" s="1"/>
  <c r="L654" i="5" s="1"/>
  <c r="I778" i="5"/>
  <c r="J778" i="5" s="1"/>
  <c r="L778" i="5" s="1"/>
  <c r="I528" i="5"/>
  <c r="J528" i="5" s="1"/>
  <c r="L528" i="5" s="1"/>
  <c r="I573" i="5"/>
  <c r="J573" i="5" s="1"/>
  <c r="L573" i="5" s="1"/>
  <c r="I705" i="5"/>
  <c r="J705" i="5" s="1"/>
  <c r="L705" i="5" s="1"/>
  <c r="I540" i="5"/>
  <c r="J540" i="5" s="1"/>
  <c r="L540" i="5" s="1"/>
  <c r="I699" i="5"/>
  <c r="J699" i="5" s="1"/>
  <c r="L699" i="5" s="1"/>
  <c r="I745" i="5"/>
  <c r="J745" i="5" s="1"/>
  <c r="I532" i="5"/>
  <c r="J532" i="5" s="1"/>
  <c r="L532" i="5" s="1"/>
  <c r="I747" i="5"/>
  <c r="J747" i="5" s="1"/>
  <c r="L747" i="5" s="1"/>
  <c r="I710" i="5"/>
  <c r="J710" i="5" s="1"/>
  <c r="L710" i="5" s="1"/>
  <c r="I715" i="5"/>
  <c r="J715" i="5" s="1"/>
  <c r="L715" i="5" s="1"/>
  <c r="I504" i="5"/>
  <c r="J504" i="5" s="1"/>
  <c r="L504" i="5" s="1"/>
  <c r="I708" i="5"/>
  <c r="J708" i="5" s="1"/>
  <c r="L708" i="5" s="1"/>
  <c r="I805" i="5"/>
  <c r="J805" i="5" s="1"/>
  <c r="I516" i="5"/>
  <c r="J516" i="5" s="1"/>
  <c r="L516" i="5" s="1"/>
  <c r="I651" i="5"/>
  <c r="J651" i="5" s="1"/>
  <c r="L651" i="5" s="1"/>
  <c r="I728" i="5"/>
  <c r="J728" i="5" s="1"/>
  <c r="L728" i="5" s="1"/>
  <c r="I737" i="5"/>
  <c r="J737" i="5" s="1"/>
  <c r="L737" i="5" s="1"/>
  <c r="I784" i="5"/>
  <c r="J784" i="5" s="1"/>
  <c r="L784" i="5" s="1"/>
  <c r="I754" i="5"/>
  <c r="J754" i="5" s="1"/>
  <c r="L754" i="5" s="1"/>
  <c r="I798" i="12"/>
  <c r="I685" i="12"/>
  <c r="K19" i="12"/>
  <c r="L19" i="12"/>
  <c r="I756" i="12"/>
  <c r="K518" i="33"/>
  <c r="M518" i="33" s="1"/>
  <c r="P518" i="33" s="1"/>
  <c r="K696" i="33"/>
  <c r="M696" i="33" s="1"/>
  <c r="P696" i="33" s="1"/>
  <c r="K65" i="33"/>
  <c r="M65" i="33" s="1"/>
  <c r="P65" i="33" s="1"/>
  <c r="K41" i="33"/>
  <c r="M41" i="33" s="1"/>
  <c r="P41" i="33" s="1"/>
  <c r="H29" i="33"/>
  <c r="I29" i="33" s="1"/>
  <c r="K29" i="33" s="1"/>
  <c r="M29" i="33" s="1"/>
  <c r="P29" i="33" s="1"/>
  <c r="K715" i="33"/>
  <c r="M715" i="33" s="1"/>
  <c r="P715" i="33" s="1"/>
  <c r="I648" i="33"/>
  <c r="K648" i="33" s="1"/>
  <c r="M648" i="33" s="1"/>
  <c r="P648" i="33" s="1"/>
  <c r="I68" i="33"/>
  <c r="K68" i="33" s="1"/>
  <c r="M68" i="33" s="1"/>
  <c r="P68" i="33" s="1"/>
  <c r="K119" i="33"/>
  <c r="M119" i="33" s="1"/>
  <c r="P119" i="33" s="1"/>
  <c r="K99" i="33"/>
  <c r="M99" i="33" s="1"/>
  <c r="P99" i="33" s="1"/>
  <c r="K86" i="33"/>
  <c r="M86" i="33" s="1"/>
  <c r="P86" i="33" s="1"/>
  <c r="K50" i="33"/>
  <c r="M50" i="33" s="1"/>
  <c r="P50" i="33" s="1"/>
  <c r="K664" i="33"/>
  <c r="M664" i="33" s="1"/>
  <c r="P664" i="33" s="1"/>
  <c r="K532" i="33"/>
  <c r="M532" i="33" s="1"/>
  <c r="P532" i="33" s="1"/>
  <c r="K489" i="33"/>
  <c r="M489" i="33" s="1"/>
  <c r="P489" i="33" s="1"/>
  <c r="K565" i="33"/>
  <c r="M565" i="33" s="1"/>
  <c r="P565" i="33" s="1"/>
  <c r="K114" i="33"/>
  <c r="M114" i="33" s="1"/>
  <c r="P114" i="33" s="1"/>
  <c r="K807" i="33"/>
  <c r="M807" i="33" s="1"/>
  <c r="P807" i="33" s="1"/>
  <c r="K61" i="33"/>
  <c r="M61" i="33" s="1"/>
  <c r="P61" i="33" s="1"/>
  <c r="K257" i="33"/>
  <c r="M257" i="33" s="1"/>
  <c r="P257" i="33" s="1"/>
  <c r="K805" i="33"/>
  <c r="M805" i="33" s="1"/>
  <c r="P805" i="33" s="1"/>
  <c r="K647" i="33"/>
  <c r="M647" i="33" s="1"/>
  <c r="P647" i="33" s="1"/>
  <c r="K54" i="33"/>
  <c r="M54" i="33" s="1"/>
  <c r="P54" i="33" s="1"/>
  <c r="K140" i="33"/>
  <c r="M140" i="33" s="1"/>
  <c r="P140" i="33" s="1"/>
  <c r="K122" i="33"/>
  <c r="M122" i="33" s="1"/>
  <c r="P122" i="33" s="1"/>
  <c r="K258" i="33"/>
  <c r="M258" i="33" s="1"/>
  <c r="P258" i="33" s="1"/>
  <c r="K322" i="33"/>
  <c r="M322" i="33" s="1"/>
  <c r="P322" i="33" s="1"/>
  <c r="K670" i="33"/>
  <c r="M670" i="33" s="1"/>
  <c r="P670" i="33" s="1"/>
  <c r="K668" i="33"/>
  <c r="M668" i="33" s="1"/>
  <c r="P668" i="33" s="1"/>
  <c r="K708" i="33"/>
  <c r="M708" i="33" s="1"/>
  <c r="P708" i="33" s="1"/>
  <c r="K663" i="33"/>
  <c r="M663" i="33" s="1"/>
  <c r="P663" i="33" s="1"/>
  <c r="K471" i="33"/>
  <c r="M471" i="33" s="1"/>
  <c r="P471" i="33" s="1"/>
  <c r="K712" i="33"/>
  <c r="M712" i="33" s="1"/>
  <c r="P712" i="33" s="1"/>
  <c r="K10" i="33"/>
  <c r="M10" i="33" s="1"/>
  <c r="P10" i="33" s="1"/>
  <c r="K770" i="33"/>
  <c r="M770" i="33" s="1"/>
  <c r="P770" i="33" s="1"/>
  <c r="K816" i="33"/>
  <c r="M816" i="33" s="1"/>
  <c r="P816" i="33" s="1"/>
  <c r="K193" i="33"/>
  <c r="M193" i="33" s="1"/>
  <c r="P193" i="33" s="1"/>
  <c r="H246" i="33"/>
  <c r="I246" i="33" s="1"/>
  <c r="I736" i="33"/>
  <c r="K736" i="33" s="1"/>
  <c r="M736" i="33" s="1"/>
  <c r="P736" i="33" s="1"/>
  <c r="I515" i="33"/>
  <c r="K515" i="33" s="1"/>
  <c r="M515" i="33" s="1"/>
  <c r="P515" i="33" s="1"/>
  <c r="H137" i="33"/>
  <c r="I137" i="33" s="1"/>
  <c r="I472" i="33"/>
  <c r="K472" i="33" s="1"/>
  <c r="M472" i="33" s="1"/>
  <c r="P472" i="33" s="1"/>
  <c r="H539" i="33"/>
  <c r="I539" i="33" s="1"/>
  <c r="K539" i="33" s="1"/>
  <c r="M539" i="33" s="1"/>
  <c r="P539" i="33" s="1"/>
  <c r="I711" i="33"/>
  <c r="K711" i="33" s="1"/>
  <c r="M711" i="33" s="1"/>
  <c r="P711" i="33" s="1"/>
  <c r="H56" i="33"/>
  <c r="I56" i="33" s="1"/>
  <c r="K56" i="33" s="1"/>
  <c r="M56" i="33" s="1"/>
  <c r="P56" i="33" s="1"/>
  <c r="H693" i="33"/>
  <c r="I11" i="33"/>
  <c r="I756" i="33"/>
  <c r="K756" i="33" s="1"/>
  <c r="M756" i="33" s="1"/>
  <c r="P756" i="33" s="1"/>
  <c r="I155" i="33"/>
  <c r="K155" i="33" s="1"/>
  <c r="M155" i="33" s="1"/>
  <c r="P155" i="33" s="1"/>
  <c r="I589" i="33"/>
  <c r="K589" i="33" s="1"/>
  <c r="M589" i="33" s="1"/>
  <c r="P589" i="33" s="1"/>
  <c r="I134" i="33"/>
  <c r="K134" i="33" s="1"/>
  <c r="M134" i="33" s="1"/>
  <c r="P134" i="33" s="1"/>
  <c r="I53" i="33"/>
  <c r="K53" i="33" s="1"/>
  <c r="M53" i="33" s="1"/>
  <c r="P53" i="33" s="1"/>
  <c r="I617" i="33"/>
  <c r="K617" i="33" s="1"/>
  <c r="M617" i="33" s="1"/>
  <c r="P617" i="33" s="1"/>
  <c r="I727" i="33"/>
  <c r="K727" i="33" s="1"/>
  <c r="M727" i="33" s="1"/>
  <c r="P727" i="33" s="1"/>
  <c r="H426" i="33"/>
  <c r="I426" i="33" s="1"/>
  <c r="K426" i="33" s="1"/>
  <c r="M426" i="33" s="1"/>
  <c r="P426" i="33" s="1"/>
  <c r="I194" i="33"/>
  <c r="H210" i="33"/>
  <c r="I210" i="33" s="1"/>
  <c r="I738" i="33"/>
  <c r="K738" i="33" s="1"/>
  <c r="M738" i="33" s="1"/>
  <c r="P738" i="33" s="1"/>
  <c r="I256" i="33"/>
  <c r="K256" i="33" s="1"/>
  <c r="M256" i="33" s="1"/>
  <c r="P256" i="33" s="1"/>
  <c r="I345" i="33"/>
  <c r="K345" i="33" s="1"/>
  <c r="M345" i="33" s="1"/>
  <c r="P345" i="33" s="1"/>
  <c r="H278" i="33"/>
  <c r="I278" i="33" s="1"/>
  <c r="I476" i="33"/>
  <c r="K476" i="33" s="1"/>
  <c r="M476" i="33" s="1"/>
  <c r="P476" i="33" s="1"/>
  <c r="H143" i="33"/>
  <c r="I143" i="33" s="1"/>
  <c r="K143" i="33" s="1"/>
  <c r="M143" i="33" s="1"/>
  <c r="P143" i="33" s="1"/>
  <c r="H793" i="33"/>
  <c r="I793" i="33" s="1"/>
  <c r="K793" i="33" s="1"/>
  <c r="M793" i="33" s="1"/>
  <c r="P793" i="33" s="1"/>
  <c r="H446" i="33"/>
  <c r="I446" i="33" s="1"/>
  <c r="I207" i="33"/>
  <c r="K207" i="33" s="1"/>
  <c r="M207" i="33" s="1"/>
  <c r="P207" i="33" s="1"/>
  <c r="I399" i="33"/>
  <c r="H91" i="33"/>
  <c r="I91" i="33" s="1"/>
  <c r="I363" i="33"/>
  <c r="K363" i="33" s="1"/>
  <c r="M363" i="33" s="1"/>
  <c r="P363" i="33" s="1"/>
  <c r="I662" i="33"/>
  <c r="K662" i="33" s="1"/>
  <c r="M662" i="33" s="1"/>
  <c r="P662" i="33" s="1"/>
  <c r="I613" i="33"/>
  <c r="K613" i="33" s="1"/>
  <c r="M613" i="33" s="1"/>
  <c r="P613" i="33" s="1"/>
  <c r="H136" i="33"/>
  <c r="I136" i="33" s="1"/>
  <c r="K136" i="33" s="1"/>
  <c r="M136" i="33" s="1"/>
  <c r="P136" i="33" s="1"/>
  <c r="I224" i="33"/>
  <c r="K224" i="33" s="1"/>
  <c r="M224" i="33" s="1"/>
  <c r="P224" i="33" s="1"/>
  <c r="I771" i="33"/>
  <c r="K771" i="33" s="1"/>
  <c r="M771" i="33" s="1"/>
  <c r="P771" i="33" s="1"/>
  <c r="H639" i="33"/>
  <c r="I639" i="33" s="1"/>
  <c r="I808" i="33"/>
  <c r="K808" i="33" s="1"/>
  <c r="M808" i="33" s="1"/>
  <c r="P808" i="33" s="1"/>
  <c r="H413" i="33"/>
  <c r="I413" i="33" s="1"/>
  <c r="I701" i="33"/>
  <c r="K701" i="33" s="1"/>
  <c r="M701" i="33" s="1"/>
  <c r="P701" i="33" s="1"/>
  <c r="I523" i="33"/>
  <c r="K523" i="33" s="1"/>
  <c r="M523" i="33" s="1"/>
  <c r="P523" i="33" s="1"/>
  <c r="I799" i="33"/>
  <c r="I170" i="33"/>
  <c r="K170" i="33" s="1"/>
  <c r="M170" i="33" s="1"/>
  <c r="P170" i="33" s="1"/>
  <c r="H73" i="33"/>
  <c r="H494" i="33"/>
  <c r="I494" i="33" s="1"/>
  <c r="K494" i="33" s="1"/>
  <c r="M494" i="33" s="1"/>
  <c r="P494" i="33" s="1"/>
  <c r="I131" i="33"/>
  <c r="K131" i="33" s="1"/>
  <c r="M131" i="33" s="1"/>
  <c r="P131" i="33" s="1"/>
  <c r="H742" i="33"/>
  <c r="I742" i="33" s="1"/>
  <c r="H552" i="33"/>
  <c r="I552" i="33" s="1"/>
  <c r="K552" i="33" s="1"/>
  <c r="M552" i="33" s="1"/>
  <c r="P552" i="33" s="1"/>
  <c r="I379" i="33"/>
  <c r="H174" i="33"/>
  <c r="I174" i="33" s="1"/>
  <c r="I192" i="33"/>
  <c r="K192" i="33" s="1"/>
  <c r="M192" i="33" s="1"/>
  <c r="P192" i="33" s="1"/>
  <c r="H538" i="33"/>
  <c r="I538" i="33" s="1"/>
  <c r="K538" i="33" s="1"/>
  <c r="M538" i="33" s="1"/>
  <c r="P538" i="33" s="1"/>
  <c r="I592" i="33"/>
  <c r="K592" i="33" s="1"/>
  <c r="M592" i="33" s="1"/>
  <c r="P592" i="33" s="1"/>
  <c r="I273" i="33"/>
  <c r="K273" i="33" s="1"/>
  <c r="M273" i="33" s="1"/>
  <c r="P273" i="33" s="1"/>
  <c r="I414" i="33"/>
  <c r="I78" i="33"/>
  <c r="K78" i="33" s="1"/>
  <c r="M78" i="33" s="1"/>
  <c r="P78" i="33" s="1"/>
  <c r="H545" i="33"/>
  <c r="I545" i="33" s="1"/>
  <c r="K545" i="33" s="1"/>
  <c r="M545" i="33" s="1"/>
  <c r="P545" i="33" s="1"/>
  <c r="H25" i="33"/>
  <c r="I25" i="33" s="1"/>
  <c r="K25" i="33" s="1"/>
  <c r="M25" i="33" s="1"/>
  <c r="P25" i="33" s="1"/>
  <c r="I188" i="33"/>
  <c r="H544" i="33"/>
  <c r="I544" i="33" s="1"/>
  <c r="K544" i="33" s="1"/>
  <c r="M544" i="33" s="1"/>
  <c r="P544" i="33" s="1"/>
  <c r="I49" i="33"/>
  <c r="I571" i="33"/>
  <c r="K571" i="33" s="1"/>
  <c r="M571" i="33" s="1"/>
  <c r="P571" i="33" s="1"/>
  <c r="I410" i="33"/>
  <c r="K410" i="33" s="1"/>
  <c r="M410" i="33" s="1"/>
  <c r="P410" i="33" s="1"/>
  <c r="I821" i="33"/>
  <c r="K821" i="33" s="1"/>
  <c r="I473" i="33"/>
  <c r="I606" i="33"/>
  <c r="K606" i="33" s="1"/>
  <c r="M606" i="33" s="1"/>
  <c r="P606" i="33" s="1"/>
  <c r="H162" i="33"/>
  <c r="I162" i="33" s="1"/>
  <c r="I347" i="33"/>
  <c r="K347" i="33" s="1"/>
  <c r="M347" i="33" s="1"/>
  <c r="P347" i="33" s="1"/>
  <c r="H593" i="33"/>
  <c r="H33" i="33"/>
  <c r="I33" i="33" s="1"/>
  <c r="K33" i="33" s="1"/>
  <c r="M33" i="33" s="1"/>
  <c r="P33" i="33" s="1"/>
  <c r="H691" i="33"/>
  <c r="I691" i="33" s="1"/>
  <c r="I533" i="33"/>
  <c r="I581" i="33"/>
  <c r="K581" i="33" s="1"/>
  <c r="M581" i="33" s="1"/>
  <c r="P581" i="33" s="1"/>
  <c r="H295" i="33"/>
  <c r="H79" i="33"/>
  <c r="I79" i="33" s="1"/>
  <c r="I741" i="33"/>
  <c r="I436" i="33"/>
  <c r="H106" i="33"/>
  <c r="I106" i="33" s="1"/>
  <c r="I85" i="33"/>
  <c r="K85" i="33" s="1"/>
  <c r="M85" i="33" s="1"/>
  <c r="P85" i="33" s="1"/>
  <c r="H541" i="33"/>
  <c r="H102" i="33"/>
  <c r="I102" i="33" s="1"/>
  <c r="K102" i="33" s="1"/>
  <c r="M102" i="33" s="1"/>
  <c r="P102" i="33" s="1"/>
  <c r="I531" i="33"/>
  <c r="K531" i="33" s="1"/>
  <c r="M531" i="33" s="1"/>
  <c r="P531" i="33" s="1"/>
  <c r="H333" i="33"/>
  <c r="I333" i="33" s="1"/>
  <c r="K333" i="33" s="1"/>
  <c r="M333" i="33" s="1"/>
  <c r="P333" i="33" s="1"/>
  <c r="I645" i="33"/>
  <c r="K645" i="33" s="1"/>
  <c r="M645" i="33" s="1"/>
  <c r="P645" i="33" s="1"/>
  <c r="H32" i="33"/>
  <c r="I32" i="33" s="1"/>
  <c r="K32" i="33" s="1"/>
  <c r="M32" i="33" s="1"/>
  <c r="P32" i="33" s="1"/>
  <c r="I113" i="33"/>
  <c r="I97" i="33"/>
  <c r="I425" i="33"/>
  <c r="I707" i="33"/>
  <c r="K707" i="33" s="1"/>
  <c r="M707" i="33" s="1"/>
  <c r="P707" i="33" s="1"/>
  <c r="H299" i="33"/>
  <c r="I299" i="33" s="1"/>
  <c r="I187" i="33"/>
  <c r="H427" i="33"/>
  <c r="I427" i="33" s="1"/>
  <c r="I350" i="33"/>
  <c r="K350" i="33" s="1"/>
  <c r="M350" i="33" s="1"/>
  <c r="P350" i="33" s="1"/>
  <c r="I488" i="33"/>
  <c r="K488" i="33" s="1"/>
  <c r="M488" i="33" s="1"/>
  <c r="P488" i="33" s="1"/>
  <c r="H221" i="33"/>
  <c r="I221" i="33" s="1"/>
  <c r="K221" i="33" s="1"/>
  <c r="M221" i="33" s="1"/>
  <c r="P221" i="33" s="1"/>
  <c r="I568" i="33"/>
  <c r="K568" i="33" s="1"/>
  <c r="M568" i="33" s="1"/>
  <c r="P568" i="33" s="1"/>
  <c r="H298" i="33"/>
  <c r="I298" i="33" s="1"/>
  <c r="I227" i="33"/>
  <c r="H758" i="33"/>
  <c r="I758" i="33" s="1"/>
  <c r="I383" i="33"/>
  <c r="K383" i="33" s="1"/>
  <c r="M383" i="33" s="1"/>
  <c r="P383" i="33" s="1"/>
  <c r="I384" i="33"/>
  <c r="K384" i="33" s="1"/>
  <c r="M384" i="33" s="1"/>
  <c r="P384" i="33" s="1"/>
  <c r="H590" i="33"/>
  <c r="I590" i="33" s="1"/>
  <c r="K590" i="33" s="1"/>
  <c r="M590" i="33" s="1"/>
  <c r="P590" i="33" s="1"/>
  <c r="H812" i="33"/>
  <c r="I812" i="33" s="1"/>
  <c r="I689" i="33"/>
  <c r="K689" i="33" s="1"/>
  <c r="M689" i="33" s="1"/>
  <c r="P689" i="33" s="1"/>
  <c r="H169" i="33"/>
  <c r="I169" i="33" s="1"/>
  <c r="I752" i="33"/>
  <c r="K752" i="33" s="1"/>
  <c r="M752" i="33" s="1"/>
  <c r="P752" i="33" s="1"/>
  <c r="I774" i="33"/>
  <c r="I674" i="33"/>
  <c r="H656" i="33"/>
  <c r="I656" i="33" s="1"/>
  <c r="I395" i="33"/>
  <c r="K395" i="33" s="1"/>
  <c r="M395" i="33" s="1"/>
  <c r="P395" i="33" s="1"/>
  <c r="I434" i="33"/>
  <c r="K434" i="33" s="1"/>
  <c r="M434" i="33" s="1"/>
  <c r="P434" i="33" s="1"/>
  <c r="I375" i="33"/>
  <c r="K375" i="33" s="1"/>
  <c r="M375" i="33" s="1"/>
  <c r="P375" i="33" s="1"/>
  <c r="H128" i="33"/>
  <c r="I128" i="33" s="1"/>
  <c r="K128" i="33" s="1"/>
  <c r="M128" i="33" s="1"/>
  <c r="P128" i="33" s="1"/>
  <c r="I558" i="33"/>
  <c r="K558" i="33" s="1"/>
  <c r="M558" i="33" s="1"/>
  <c r="P558" i="33" s="1"/>
  <c r="I596" i="33"/>
  <c r="K596" i="33" s="1"/>
  <c r="M596" i="33" s="1"/>
  <c r="P596" i="33" s="1"/>
  <c r="I206" i="33"/>
  <c r="I772" i="33"/>
  <c r="K772" i="33" s="1"/>
  <c r="M772" i="33" s="1"/>
  <c r="P772" i="33" s="1"/>
  <c r="H729" i="33"/>
  <c r="I729" i="33" s="1"/>
  <c r="I229" i="33"/>
  <c r="K229" i="33" s="1"/>
  <c r="M229" i="33" s="1"/>
  <c r="P229" i="33" s="1"/>
  <c r="H655" i="33"/>
  <c r="I655" i="33" s="1"/>
  <c r="I232" i="33"/>
  <c r="K232" i="33" s="1"/>
  <c r="M232" i="33" s="1"/>
  <c r="P232" i="33" s="1"/>
  <c r="I245" i="33"/>
  <c r="I163" i="33"/>
  <c r="K163" i="33" s="1"/>
  <c r="M163" i="33" s="1"/>
  <c r="P163" i="33" s="1"/>
  <c r="H487" i="33"/>
  <c r="I487" i="33" s="1"/>
  <c r="K487" i="33" s="1"/>
  <c r="M487" i="33" s="1"/>
  <c r="P487" i="33" s="1"/>
  <c r="G645" i="12"/>
  <c r="K645" i="12"/>
  <c r="G555" i="12"/>
  <c r="K555" i="12"/>
  <c r="G177" i="12"/>
  <c r="K177" i="12"/>
  <c r="G454" i="12"/>
  <c r="K454" i="12"/>
  <c r="G222" i="12"/>
  <c r="K222" i="12"/>
  <c r="G599" i="12"/>
  <c r="K599" i="12"/>
  <c r="G254" i="12"/>
  <c r="K254" i="12"/>
  <c r="G273" i="12"/>
  <c r="K273" i="12"/>
  <c r="G304" i="12"/>
  <c r="K304" i="12"/>
  <c r="G287" i="12"/>
  <c r="K287" i="12"/>
  <c r="G84" i="12"/>
  <c r="K84" i="12"/>
  <c r="G24" i="12"/>
  <c r="K24" i="12"/>
  <c r="G28" i="12"/>
  <c r="K28" i="12"/>
  <c r="G677" i="12"/>
  <c r="K677" i="12"/>
  <c r="G93" i="12"/>
  <c r="K93" i="12"/>
  <c r="G542" i="12"/>
  <c r="K542" i="12"/>
  <c r="G479" i="12"/>
  <c r="K479" i="12"/>
  <c r="G601" i="12"/>
  <c r="K601" i="12"/>
  <c r="G666" i="12"/>
  <c r="K666" i="12"/>
  <c r="G515" i="12"/>
  <c r="K515" i="12"/>
  <c r="G503" i="12"/>
  <c r="K503" i="12"/>
  <c r="G113" i="12"/>
  <c r="K113" i="12"/>
  <c r="G399" i="12"/>
  <c r="K399" i="12"/>
  <c r="G383" i="12"/>
  <c r="K383" i="12"/>
  <c r="G123" i="12"/>
  <c r="K123" i="12"/>
  <c r="G120" i="12"/>
  <c r="K120" i="12"/>
  <c r="G577" i="12"/>
  <c r="K577" i="12"/>
  <c r="G139" i="12"/>
  <c r="K139" i="12"/>
  <c r="G534" i="12"/>
  <c r="K534" i="12"/>
  <c r="G649" i="12"/>
  <c r="K649" i="12"/>
  <c r="G612" i="12"/>
  <c r="K612" i="12"/>
  <c r="G249" i="12"/>
  <c r="K249" i="12"/>
  <c r="G221" i="12"/>
  <c r="K221" i="12"/>
  <c r="G173" i="12"/>
  <c r="K173" i="12"/>
  <c r="G184" i="12"/>
  <c r="K184" i="12"/>
  <c r="G187" i="12"/>
  <c r="K187" i="12"/>
  <c r="G230" i="12"/>
  <c r="K230" i="12"/>
  <c r="G272" i="12"/>
  <c r="K272" i="12"/>
  <c r="G192" i="12"/>
  <c r="K192" i="12"/>
  <c r="G420" i="12"/>
  <c r="K420" i="12"/>
  <c r="G442" i="12"/>
  <c r="K442" i="12"/>
  <c r="G367" i="12"/>
  <c r="K367" i="12"/>
  <c r="G438" i="12"/>
  <c r="K438" i="12"/>
  <c r="G591" i="12"/>
  <c r="K591" i="12"/>
  <c r="G300" i="12"/>
  <c r="K300" i="12"/>
  <c r="G66" i="12"/>
  <c r="K66" i="12"/>
  <c r="G98" i="12"/>
  <c r="K98" i="12"/>
  <c r="G499" i="12"/>
  <c r="K499" i="12"/>
  <c r="G613" i="12"/>
  <c r="K613" i="12"/>
  <c r="G142" i="12"/>
  <c r="K142" i="12"/>
  <c r="G572" i="12"/>
  <c r="K572" i="12"/>
  <c r="G586" i="12"/>
  <c r="K586" i="12"/>
  <c r="G210" i="12"/>
  <c r="K210" i="12"/>
  <c r="G193" i="12"/>
  <c r="K193" i="12"/>
  <c r="G280" i="12"/>
  <c r="K280" i="12"/>
  <c r="G380" i="12"/>
  <c r="K380" i="12"/>
  <c r="G436" i="12"/>
  <c r="K436" i="12"/>
  <c r="G78" i="12"/>
  <c r="K78" i="12"/>
  <c r="G17" i="12"/>
  <c r="K17" i="12"/>
  <c r="G96" i="12"/>
  <c r="K96" i="12"/>
  <c r="G605" i="12"/>
  <c r="K605" i="12"/>
  <c r="G667" i="12"/>
  <c r="K667" i="12"/>
  <c r="G496" i="12"/>
  <c r="K496" i="12"/>
  <c r="G543" i="12"/>
  <c r="K543" i="12"/>
  <c r="G114" i="12"/>
  <c r="K114" i="12"/>
  <c r="G138" i="12"/>
  <c r="K138" i="12"/>
  <c r="G606" i="12"/>
  <c r="K606" i="12"/>
  <c r="G242" i="12"/>
  <c r="K242" i="12"/>
  <c r="G175" i="12"/>
  <c r="K175" i="12"/>
  <c r="G294" i="12"/>
  <c r="K294" i="12"/>
  <c r="G332" i="12"/>
  <c r="K332" i="12"/>
  <c r="G315" i="12"/>
  <c r="K315" i="12"/>
  <c r="G26" i="12"/>
  <c r="K26" i="12"/>
  <c r="G557" i="12"/>
  <c r="K557" i="12"/>
  <c r="G511" i="12"/>
  <c r="K511" i="12"/>
  <c r="G387" i="12"/>
  <c r="K387" i="12"/>
  <c r="G129" i="12"/>
  <c r="K129" i="12"/>
  <c r="G538" i="12"/>
  <c r="K538" i="12"/>
  <c r="G619" i="12"/>
  <c r="K619" i="12"/>
  <c r="G201" i="12"/>
  <c r="K201" i="12"/>
  <c r="G213" i="12"/>
  <c r="K213" i="12"/>
  <c r="G378" i="12"/>
  <c r="K378" i="12"/>
  <c r="G79" i="12"/>
  <c r="K79" i="12"/>
  <c r="G18" i="12"/>
  <c r="K18" i="12"/>
  <c r="G463" i="12"/>
  <c r="K463" i="12"/>
  <c r="G600" i="12"/>
  <c r="K600" i="12"/>
  <c r="G320" i="12"/>
  <c r="K320" i="12"/>
  <c r="G365" i="12"/>
  <c r="K365" i="12"/>
  <c r="G690" i="12"/>
  <c r="K690" i="12"/>
  <c r="G526" i="12"/>
  <c r="K526" i="12"/>
  <c r="G594" i="12"/>
  <c r="K594" i="12"/>
  <c r="G232" i="12"/>
  <c r="K232" i="12"/>
  <c r="G264" i="12"/>
  <c r="K264" i="12"/>
  <c r="G228" i="12"/>
  <c r="K228" i="12"/>
  <c r="G305" i="12"/>
  <c r="K305" i="12"/>
  <c r="G23" i="12"/>
  <c r="K23" i="12"/>
  <c r="G468" i="12"/>
  <c r="K468" i="12"/>
  <c r="G424" i="12"/>
  <c r="K424" i="12"/>
  <c r="G556" i="12"/>
  <c r="K556" i="12"/>
  <c r="G474" i="12"/>
  <c r="K474" i="12"/>
  <c r="G652" i="12"/>
  <c r="K652" i="12"/>
  <c r="G506" i="12"/>
  <c r="K506" i="12"/>
  <c r="G508" i="12"/>
  <c r="K508" i="12"/>
  <c r="G345" i="12"/>
  <c r="K345" i="12"/>
  <c r="G104" i="12"/>
  <c r="K104" i="12"/>
  <c r="G389" i="12"/>
  <c r="K389" i="12"/>
  <c r="G355" i="12"/>
  <c r="K355" i="12"/>
  <c r="G115" i="12"/>
  <c r="K115" i="12"/>
  <c r="G688" i="12"/>
  <c r="K688" i="12"/>
  <c r="G551" i="12"/>
  <c r="K551" i="12"/>
  <c r="G136" i="12"/>
  <c r="K136" i="12"/>
  <c r="G566" i="12"/>
  <c r="K566" i="12"/>
  <c r="G167" i="12"/>
  <c r="K167" i="12"/>
  <c r="G581" i="12"/>
  <c r="K581" i="12"/>
  <c r="G239" i="12"/>
  <c r="K239" i="12"/>
  <c r="G246" i="12"/>
  <c r="K246" i="12"/>
  <c r="G214" i="12"/>
  <c r="K214" i="12"/>
  <c r="G266" i="12"/>
  <c r="K266" i="12"/>
  <c r="G159" i="12"/>
  <c r="K159" i="12"/>
  <c r="G204" i="12"/>
  <c r="K204" i="12"/>
  <c r="G276" i="12"/>
  <c r="K276" i="12"/>
  <c r="G275" i="12"/>
  <c r="K275" i="12"/>
  <c r="G444" i="12"/>
  <c r="K444" i="12"/>
  <c r="G446" i="12"/>
  <c r="K446" i="12"/>
  <c r="G354" i="12"/>
  <c r="K354" i="12"/>
  <c r="G408" i="12"/>
  <c r="K408" i="12"/>
  <c r="G309" i="12"/>
  <c r="K309" i="12"/>
  <c r="G25" i="12"/>
  <c r="K25" i="12"/>
  <c r="G567" i="12"/>
  <c r="K567" i="12"/>
  <c r="G678" i="12"/>
  <c r="K678" i="12"/>
  <c r="G573" i="12"/>
  <c r="K573" i="12"/>
  <c r="G206" i="12"/>
  <c r="K206" i="12"/>
  <c r="G334" i="12"/>
  <c r="K334" i="12"/>
  <c r="G76" i="12"/>
  <c r="K76" i="12"/>
  <c r="G564" i="12"/>
  <c r="K564" i="12"/>
  <c r="G489" i="12"/>
  <c r="K489" i="12"/>
  <c r="G112" i="12"/>
  <c r="K112" i="12"/>
  <c r="G151" i="12"/>
  <c r="K151" i="12"/>
  <c r="G552" i="12"/>
  <c r="K552" i="12"/>
  <c r="G268" i="12"/>
  <c r="K268" i="12"/>
  <c r="G223" i="12"/>
  <c r="K223" i="12"/>
  <c r="G376" i="12"/>
  <c r="K376" i="12"/>
  <c r="G674" i="12"/>
  <c r="K674" i="12"/>
  <c r="G86" i="12"/>
  <c r="K86" i="12"/>
  <c r="G100" i="12"/>
  <c r="K100" i="12"/>
  <c r="G598" i="12"/>
  <c r="K598" i="12"/>
  <c r="G501" i="12"/>
  <c r="K501" i="12"/>
  <c r="G361" i="12"/>
  <c r="K361" i="12"/>
  <c r="G535" i="12"/>
  <c r="K535" i="12"/>
  <c r="G633" i="12"/>
  <c r="K633" i="12"/>
  <c r="G180" i="12"/>
  <c r="K180" i="12"/>
  <c r="G297" i="12"/>
  <c r="K297" i="12"/>
  <c r="G449" i="12"/>
  <c r="K449" i="12"/>
  <c r="G668" i="12"/>
  <c r="K668" i="12"/>
  <c r="G319" i="12"/>
  <c r="K319" i="12"/>
  <c r="G14" i="12"/>
  <c r="K14" i="12"/>
  <c r="G554" i="12"/>
  <c r="K554" i="12"/>
  <c r="G471" i="12"/>
  <c r="K471" i="12"/>
  <c r="G517" i="12"/>
  <c r="K517" i="12"/>
  <c r="G108" i="12"/>
  <c r="K108" i="12"/>
  <c r="G122" i="12"/>
  <c r="K122" i="12"/>
  <c r="G134" i="12"/>
  <c r="K134" i="12"/>
  <c r="G208" i="12"/>
  <c r="K208" i="12"/>
  <c r="G195" i="12"/>
  <c r="K195" i="12"/>
  <c r="G252" i="12"/>
  <c r="K252" i="12"/>
  <c r="G233" i="12"/>
  <c r="K233" i="12"/>
  <c r="G426" i="12"/>
  <c r="K426" i="12"/>
  <c r="G369" i="12"/>
  <c r="K369" i="12"/>
  <c r="G428" i="12"/>
  <c r="K428" i="12"/>
  <c r="G85" i="12"/>
  <c r="K85" i="12"/>
  <c r="G313" i="12"/>
  <c r="K313" i="12"/>
  <c r="G324" i="12"/>
  <c r="K324" i="12"/>
  <c r="G89" i="12"/>
  <c r="K89" i="12"/>
  <c r="G13" i="12"/>
  <c r="K13" i="12"/>
  <c r="G33" i="12"/>
  <c r="K33" i="12"/>
  <c r="G473" i="12"/>
  <c r="K473" i="12"/>
  <c r="G462" i="12"/>
  <c r="K462" i="12"/>
  <c r="G548" i="12"/>
  <c r="K548" i="12"/>
  <c r="G470" i="12"/>
  <c r="K470" i="12"/>
  <c r="G634" i="12"/>
  <c r="K634" i="12"/>
  <c r="G514" i="12"/>
  <c r="K514" i="12"/>
  <c r="G520" i="12"/>
  <c r="K520" i="12"/>
  <c r="G323" i="12"/>
  <c r="K323" i="12"/>
  <c r="G568" i="12"/>
  <c r="K568" i="12"/>
  <c r="G398" i="12"/>
  <c r="K398" i="12"/>
  <c r="G366" i="12"/>
  <c r="K366" i="12"/>
  <c r="G118" i="12"/>
  <c r="K118" i="12"/>
  <c r="G527" i="12"/>
  <c r="K527" i="12"/>
  <c r="G550" i="12"/>
  <c r="K550" i="12"/>
  <c r="G141" i="12"/>
  <c r="K141" i="12"/>
  <c r="G575" i="12"/>
  <c r="K575" i="12"/>
  <c r="G164" i="12"/>
  <c r="K164" i="12"/>
  <c r="G589" i="12"/>
  <c r="K589" i="12"/>
  <c r="G181" i="12"/>
  <c r="K181" i="12"/>
  <c r="G267" i="12"/>
  <c r="K267" i="12"/>
  <c r="G200" i="12"/>
  <c r="K200" i="12"/>
  <c r="G165" i="12"/>
  <c r="K165" i="12"/>
  <c r="G243" i="12"/>
  <c r="K243" i="12"/>
  <c r="G262" i="12"/>
  <c r="K262" i="12"/>
  <c r="G288" i="12"/>
  <c r="K288" i="12"/>
  <c r="G363" i="12"/>
  <c r="K363" i="12"/>
  <c r="G448" i="12"/>
  <c r="K448" i="12"/>
  <c r="G347" i="12"/>
  <c r="K347" i="12"/>
  <c r="G504" i="12"/>
  <c r="K504" i="12"/>
  <c r="G414" i="12"/>
  <c r="K414" i="12"/>
  <c r="G318" i="12"/>
  <c r="K318" i="12"/>
  <c r="G641" i="12"/>
  <c r="K641" i="12"/>
  <c r="G490" i="12"/>
  <c r="K490" i="12"/>
  <c r="G396" i="12"/>
  <c r="K396" i="12"/>
  <c r="G121" i="12"/>
  <c r="K121" i="12"/>
  <c r="G635" i="12"/>
  <c r="K635" i="12"/>
  <c r="G238" i="12"/>
  <c r="K238" i="12"/>
  <c r="G513" i="12"/>
  <c r="K513" i="12"/>
  <c r="G290" i="12"/>
  <c r="K290" i="12"/>
  <c r="G650" i="12"/>
  <c r="K650" i="12"/>
  <c r="G602" i="12"/>
  <c r="K602" i="12"/>
  <c r="G395" i="12"/>
  <c r="K395" i="12"/>
  <c r="G561" i="12"/>
  <c r="K561" i="12"/>
  <c r="G655" i="12"/>
  <c r="K655" i="12"/>
  <c r="G218" i="12"/>
  <c r="K218" i="12"/>
  <c r="G259" i="12"/>
  <c r="K259" i="12"/>
  <c r="G422" i="12"/>
  <c r="K422" i="12"/>
  <c r="G301" i="12"/>
  <c r="K301" i="12"/>
  <c r="G88" i="12"/>
  <c r="K88" i="12"/>
  <c r="G672" i="12"/>
  <c r="K672" i="12"/>
  <c r="G469" i="12"/>
  <c r="K469" i="12"/>
  <c r="G669" i="12"/>
  <c r="K669" i="12"/>
  <c r="G106" i="12"/>
  <c r="K106" i="12"/>
  <c r="G152" i="12"/>
  <c r="K152" i="12"/>
  <c r="G137" i="12"/>
  <c r="K137" i="12"/>
  <c r="G236" i="12"/>
  <c r="K236" i="12"/>
  <c r="G183" i="12"/>
  <c r="K183" i="12"/>
  <c r="G226" i="12"/>
  <c r="K226" i="12"/>
  <c r="G335" i="12"/>
  <c r="K335" i="12"/>
  <c r="G314" i="12"/>
  <c r="K314" i="12"/>
  <c r="G646" i="12"/>
  <c r="K646" i="12"/>
  <c r="G679" i="12"/>
  <c r="K679" i="12"/>
  <c r="G392" i="12"/>
  <c r="K392" i="12"/>
  <c r="G539" i="12"/>
  <c r="K539" i="12"/>
  <c r="G162" i="12"/>
  <c r="K162" i="12"/>
  <c r="G202" i="12"/>
  <c r="K202" i="12"/>
  <c r="G445" i="12"/>
  <c r="K445" i="12"/>
  <c r="G289" i="12"/>
  <c r="K289" i="12"/>
  <c r="G292" i="12"/>
  <c r="K292" i="12"/>
  <c r="G284" i="12"/>
  <c r="K284" i="12"/>
  <c r="G91" i="12"/>
  <c r="K91" i="12"/>
  <c r="G22" i="12"/>
  <c r="K22" i="12"/>
  <c r="G27" i="12"/>
  <c r="K27" i="12"/>
  <c r="G94" i="12"/>
  <c r="K94" i="12"/>
  <c r="G459" i="12"/>
  <c r="K459" i="12"/>
  <c r="G531" i="12"/>
  <c r="K531" i="12"/>
  <c r="G476" i="12"/>
  <c r="K476" i="12"/>
  <c r="G660" i="12"/>
  <c r="K660" i="12"/>
  <c r="G483" i="12"/>
  <c r="K483" i="12"/>
  <c r="G481" i="12"/>
  <c r="K481" i="12"/>
  <c r="G325" i="12"/>
  <c r="K325" i="12"/>
  <c r="G611" i="12"/>
  <c r="K611" i="12"/>
  <c r="G388" i="12"/>
  <c r="K388" i="12"/>
  <c r="G146" i="12"/>
  <c r="K146" i="12"/>
  <c r="G110" i="12"/>
  <c r="K110" i="12"/>
  <c r="G563" i="12"/>
  <c r="K563" i="12"/>
  <c r="G553" i="12"/>
  <c r="K553" i="12"/>
  <c r="G131" i="12"/>
  <c r="K131" i="12"/>
  <c r="G676" i="12"/>
  <c r="K676" i="12"/>
  <c r="G160" i="12"/>
  <c r="K160" i="12"/>
  <c r="G211" i="12"/>
  <c r="K211" i="12"/>
  <c r="G231" i="12"/>
  <c r="K231" i="12"/>
  <c r="G227" i="12"/>
  <c r="K227" i="12"/>
  <c r="G215" i="12"/>
  <c r="K215" i="12"/>
  <c r="G247" i="12"/>
  <c r="K247" i="12"/>
  <c r="G176" i="12"/>
  <c r="K176" i="12"/>
  <c r="G274" i="12"/>
  <c r="K274" i="12"/>
  <c r="G253" i="12"/>
  <c r="K253" i="12"/>
  <c r="G379" i="12"/>
  <c r="K379" i="12"/>
  <c r="G452" i="12"/>
  <c r="K452" i="12"/>
  <c r="G351" i="12"/>
  <c r="K351" i="12"/>
  <c r="G480" i="12"/>
  <c r="K480" i="12"/>
  <c r="G455" i="12"/>
  <c r="K455" i="12"/>
  <c r="I261" i="33"/>
  <c r="K261" i="33" s="1"/>
  <c r="M261" i="33" s="1"/>
  <c r="P261" i="33" s="1"/>
  <c r="I485" i="33"/>
  <c r="K485" i="33" s="1"/>
  <c r="M485" i="33" s="1"/>
  <c r="P485" i="33" s="1"/>
  <c r="I580" i="33"/>
  <c r="I239" i="33"/>
  <c r="K239" i="33" s="1"/>
  <c r="M239" i="33" s="1"/>
  <c r="P239" i="33" s="1"/>
  <c r="H263" i="33"/>
  <c r="I263" i="33" s="1"/>
  <c r="I293" i="33"/>
  <c r="K293" i="33" s="1"/>
  <c r="M293" i="33" s="1"/>
  <c r="P293" i="33" s="1"/>
  <c r="I710" i="33"/>
  <c r="I294" i="33"/>
  <c r="I439" i="33"/>
  <c r="K439" i="33" s="1"/>
  <c r="M439" i="33" s="1"/>
  <c r="P439" i="33" s="1"/>
  <c r="I695" i="33"/>
  <c r="I66" i="33"/>
  <c r="K66" i="33" s="1"/>
  <c r="M66" i="33" s="1"/>
  <c r="P66" i="33" s="1"/>
  <c r="I88" i="33"/>
  <c r="K88" i="33" s="1"/>
  <c r="M88" i="33" s="1"/>
  <c r="P88" i="33" s="1"/>
  <c r="I438" i="33"/>
  <c r="H517" i="33"/>
  <c r="I517" i="33" s="1"/>
  <c r="K517" i="33" s="1"/>
  <c r="M517" i="33" s="1"/>
  <c r="P517" i="33" s="1"/>
  <c r="I784" i="33"/>
  <c r="H165" i="33"/>
  <c r="I165" i="33" s="1"/>
  <c r="H247" i="33"/>
  <c r="I247" i="33" s="1"/>
  <c r="H745" i="33"/>
  <c r="I745" i="33" s="1"/>
  <c r="K745" i="33" s="1"/>
  <c r="M745" i="33" s="1"/>
  <c r="P745" i="33" s="1"/>
  <c r="H528" i="33"/>
  <c r="I528" i="33" s="1"/>
  <c r="K528" i="33" s="1"/>
  <c r="M528" i="33" s="1"/>
  <c r="P528" i="33" s="1"/>
  <c r="I48" i="33"/>
  <c r="I404" i="33"/>
  <c r="H302" i="33"/>
  <c r="I302" i="33" s="1"/>
  <c r="I453" i="33"/>
  <c r="K453" i="33" s="1"/>
  <c r="M453" i="33" s="1"/>
  <c r="P453" i="33" s="1"/>
  <c r="H585" i="33"/>
  <c r="I585" i="33" s="1"/>
  <c r="K585" i="33" s="1"/>
  <c r="M585" i="33" s="1"/>
  <c r="P585" i="33" s="1"/>
  <c r="H611" i="33"/>
  <c r="I611" i="33" s="1"/>
  <c r="I129" i="33"/>
  <c r="K129" i="33" s="1"/>
  <c r="M129" i="33" s="1"/>
  <c r="P129" i="33" s="1"/>
  <c r="I37" i="33"/>
  <c r="I14" i="33"/>
  <c r="K14" i="33" s="1"/>
  <c r="M14" i="33" s="1"/>
  <c r="P14" i="33" s="1"/>
  <c r="H527" i="33"/>
  <c r="I527" i="33" s="1"/>
  <c r="K527" i="33" s="1"/>
  <c r="M527" i="33" s="1"/>
  <c r="P527" i="33" s="1"/>
  <c r="I467" i="33"/>
  <c r="K467" i="33" s="1"/>
  <c r="M467" i="33" s="1"/>
  <c r="P467" i="33" s="1"/>
  <c r="I51" i="33"/>
  <c r="I231" i="33"/>
  <c r="I19" i="33"/>
  <c r="K19" i="33" s="1"/>
  <c r="M19" i="33" s="1"/>
  <c r="P19" i="33" s="1"/>
  <c r="I508" i="33"/>
  <c r="I393" i="33"/>
  <c r="I474" i="33"/>
  <c r="K474" i="33" s="1"/>
  <c r="M474" i="33" s="1"/>
  <c r="P474" i="33" s="1"/>
  <c r="H445" i="33"/>
  <c r="I445" i="33" s="1"/>
  <c r="H296" i="33"/>
  <c r="I296" i="33" s="1"/>
  <c r="I731" i="33"/>
  <c r="I726" i="33"/>
  <c r="K726" i="33" s="1"/>
  <c r="M726" i="33" s="1"/>
  <c r="P726" i="33" s="1"/>
  <c r="H814" i="33"/>
  <c r="I814" i="33" s="1"/>
  <c r="H212" i="33"/>
  <c r="I212" i="33" s="1"/>
  <c r="H530" i="33"/>
  <c r="I530" i="33" s="1"/>
  <c r="H522" i="33"/>
  <c r="I522" i="33" s="1"/>
  <c r="I328" i="33"/>
  <c r="K328" i="33" s="1"/>
  <c r="M328" i="33" s="1"/>
  <c r="P328" i="33" s="1"/>
  <c r="I397" i="33"/>
  <c r="I451" i="33"/>
  <c r="H87" i="33"/>
  <c r="I87" i="33" s="1"/>
  <c r="K87" i="33" s="1"/>
  <c r="M87" i="33" s="1"/>
  <c r="P87" i="33" s="1"/>
  <c r="I480" i="33"/>
  <c r="H578" i="33"/>
  <c r="I578" i="33" s="1"/>
  <c r="K578" i="33" s="1"/>
  <c r="M578" i="33" s="1"/>
  <c r="P578" i="33" s="1"/>
  <c r="I681" i="33"/>
  <c r="K681" i="33" s="1"/>
  <c r="M681" i="33" s="1"/>
  <c r="P681" i="33" s="1"/>
  <c r="H597" i="33"/>
  <c r="I597" i="33" s="1"/>
  <c r="K597" i="33" s="1"/>
  <c r="M597" i="33" s="1"/>
  <c r="P597" i="33" s="1"/>
  <c r="I12" i="33"/>
  <c r="H464" i="33"/>
  <c r="I464" i="33" s="1"/>
  <c r="K464" i="33" s="1"/>
  <c r="M464" i="33" s="1"/>
  <c r="P464" i="33" s="1"/>
  <c r="I572" i="33"/>
  <c r="I704" i="33"/>
  <c r="H684" i="33"/>
  <c r="I684" i="33" s="1"/>
  <c r="K684" i="33" s="1"/>
  <c r="M684" i="33" s="1"/>
  <c r="P684" i="33" s="1"/>
  <c r="H503" i="33"/>
  <c r="I503" i="33" s="1"/>
  <c r="K503" i="33" s="1"/>
  <c r="M503" i="33" s="1"/>
  <c r="P503" i="33" s="1"/>
  <c r="H332" i="33"/>
  <c r="I332" i="33" s="1"/>
  <c r="K332" i="33" s="1"/>
  <c r="M332" i="33" s="1"/>
  <c r="P332" i="33" s="1"/>
  <c r="H551" i="33"/>
  <c r="I551" i="33" s="1"/>
  <c r="I790" i="33"/>
  <c r="K790" i="33" s="1"/>
  <c r="M790" i="33" s="1"/>
  <c r="P790" i="33" s="1"/>
  <c r="H275" i="33"/>
  <c r="I275" i="33" s="1"/>
  <c r="H415" i="33"/>
  <c r="I415" i="33" s="1"/>
  <c r="I356" i="33"/>
  <c r="K356" i="33" s="1"/>
  <c r="M356" i="33" s="1"/>
  <c r="P356" i="33" s="1"/>
  <c r="H733" i="33"/>
  <c r="I733" i="33" s="1"/>
  <c r="K733" i="33" s="1"/>
  <c r="M733" i="33" s="1"/>
  <c r="P733" i="33" s="1"/>
  <c r="H38" i="33"/>
  <c r="I38" i="33" s="1"/>
  <c r="H74" i="33"/>
  <c r="I74" i="33" s="1"/>
  <c r="I183" i="33"/>
  <c r="K183" i="33" s="1"/>
  <c r="M183" i="33" s="1"/>
  <c r="P183" i="33" s="1"/>
  <c r="H150" i="33"/>
  <c r="I150" i="33" s="1"/>
  <c r="H191" i="33"/>
  <c r="I191" i="33" s="1"/>
  <c r="I677" i="33"/>
  <c r="K677" i="33" s="1"/>
  <c r="M677" i="33" s="1"/>
  <c r="P677" i="33" s="1"/>
  <c r="H750" i="33"/>
  <c r="I750" i="33" s="1"/>
  <c r="K750" i="33" s="1"/>
  <c r="M750" i="33" s="1"/>
  <c r="P750" i="33" s="1"/>
  <c r="I797" i="33"/>
  <c r="K797" i="33" s="1"/>
  <c r="M797" i="33" s="1"/>
  <c r="P797" i="33" s="1"/>
  <c r="I341" i="33"/>
  <c r="K341" i="33" s="1"/>
  <c r="M341" i="33" s="1"/>
  <c r="P341" i="33" s="1"/>
  <c r="I260" i="33"/>
  <c r="K260" i="33" s="1"/>
  <c r="M260" i="33" s="1"/>
  <c r="P260" i="33" s="1"/>
  <c r="I546" i="33"/>
  <c r="K546" i="33" s="1"/>
  <c r="M546" i="33" s="1"/>
  <c r="P546" i="33" s="1"/>
  <c r="H213" i="33"/>
  <c r="I213" i="33" s="1"/>
  <c r="I583" i="33"/>
  <c r="K583" i="33" s="1"/>
  <c r="M583" i="33" s="1"/>
  <c r="P583" i="33" s="1"/>
  <c r="I598" i="33"/>
  <c r="K598" i="33" s="1"/>
  <c r="M598" i="33" s="1"/>
  <c r="P598" i="33" s="1"/>
  <c r="H301" i="33"/>
  <c r="I301" i="33" s="1"/>
  <c r="H529" i="33"/>
  <c r="I529" i="33" s="1"/>
  <c r="I309" i="33"/>
  <c r="I764" i="33"/>
  <c r="I365" i="33"/>
  <c r="K365" i="33" s="1"/>
  <c r="M365" i="33" s="1"/>
  <c r="P365" i="33" s="1"/>
  <c r="I82" i="33"/>
  <c r="K82" i="33" s="1"/>
  <c r="M82" i="33" s="1"/>
  <c r="P82" i="33" s="1"/>
  <c r="H721" i="33"/>
  <c r="I721" i="33" s="1"/>
  <c r="I650" i="33"/>
  <c r="H18" i="33"/>
  <c r="I18" i="33" s="1"/>
  <c r="K18" i="33" s="1"/>
  <c r="M18" i="33" s="1"/>
  <c r="P18" i="33" s="1"/>
  <c r="I405" i="33"/>
  <c r="H412" i="33"/>
  <c r="I412" i="33" s="1"/>
  <c r="H292" i="33"/>
  <c r="I292" i="33" s="1"/>
  <c r="H329" i="33"/>
  <c r="I329" i="33" s="1"/>
  <c r="K329" i="33" s="1"/>
  <c r="M329" i="33" s="1"/>
  <c r="P329" i="33" s="1"/>
  <c r="I138" i="33"/>
  <c r="I484" i="33"/>
  <c r="K484" i="33" s="1"/>
  <c r="M484" i="33" s="1"/>
  <c r="P484" i="33" s="1"/>
  <c r="I69" i="33"/>
  <c r="K69" i="33" s="1"/>
  <c r="M69" i="33" s="1"/>
  <c r="P69" i="33" s="1"/>
  <c r="H627" i="33"/>
  <c r="I627" i="33" s="1"/>
  <c r="K627" i="33" s="1"/>
  <c r="M627" i="33" s="1"/>
  <c r="P627" i="33" s="1"/>
  <c r="H20" i="33"/>
  <c r="I20" i="33" s="1"/>
  <c r="K20" i="33" s="1"/>
  <c r="M20" i="33" s="1"/>
  <c r="P20" i="33" s="1"/>
  <c r="I71" i="33"/>
  <c r="K71" i="33" s="1"/>
  <c r="M71" i="33" s="1"/>
  <c r="P71" i="33" s="1"/>
  <c r="I787" i="33"/>
  <c r="K787" i="33" s="1"/>
  <c r="M787" i="33" s="1"/>
  <c r="P787" i="33" s="1"/>
  <c r="I31" i="33"/>
  <c r="H540" i="33"/>
  <c r="I540" i="33" s="1"/>
  <c r="K540" i="33" s="1"/>
  <c r="M540" i="33" s="1"/>
  <c r="P540" i="33" s="1"/>
  <c r="I418" i="33"/>
  <c r="K418" i="33" s="1"/>
  <c r="M418" i="33" s="1"/>
  <c r="P418" i="33" s="1"/>
  <c r="H520" i="33"/>
  <c r="I520" i="33" s="1"/>
  <c r="H449" i="33"/>
  <c r="I449" i="33" s="1"/>
  <c r="I749" i="33"/>
  <c r="H609" i="33"/>
  <c r="I609" i="33" s="1"/>
  <c r="H548" i="33"/>
  <c r="I548" i="33" s="1"/>
  <c r="I13" i="33"/>
  <c r="I62" i="33"/>
  <c r="K62" i="33" s="1"/>
  <c r="M62" i="33" s="1"/>
  <c r="P62" i="33" s="1"/>
  <c r="H151" i="33"/>
  <c r="I151" i="33" s="1"/>
  <c r="H306" i="33"/>
  <c r="I306" i="33" s="1"/>
  <c r="H420" i="33"/>
  <c r="I420" i="33" s="1"/>
  <c r="I757" i="33"/>
  <c r="I381" i="33"/>
  <c r="I200" i="33"/>
  <c r="I46" i="33"/>
  <c r="K46" i="33" s="1"/>
  <c r="M46" i="33" s="1"/>
  <c r="P46" i="33" s="1"/>
  <c r="I308" i="33"/>
  <c r="I168" i="33"/>
  <c r="I318" i="33"/>
  <c r="K318" i="33" s="1"/>
  <c r="M318" i="33" s="1"/>
  <c r="P318" i="33" s="1"/>
  <c r="I818" i="33"/>
  <c r="I96" i="33"/>
  <c r="H640" i="33"/>
  <c r="I640" i="33" s="1"/>
  <c r="I144" i="33"/>
  <c r="I646" i="33"/>
  <c r="K646" i="33" s="1"/>
  <c r="M646" i="33" s="1"/>
  <c r="P646" i="33" s="1"/>
  <c r="H269" i="33"/>
  <c r="I269" i="33" s="1"/>
  <c r="I602" i="33"/>
  <c r="K602" i="33" s="1"/>
  <c r="M602" i="33" s="1"/>
  <c r="P602" i="33" s="1"/>
  <c r="I513" i="33"/>
  <c r="I603" i="33"/>
  <c r="K603" i="33" s="1"/>
  <c r="M603" i="33" s="1"/>
  <c r="P603" i="33" s="1"/>
  <c r="H615" i="33"/>
  <c r="I615" i="33" s="1"/>
  <c r="K615" i="33" s="1"/>
  <c r="M615" i="33" s="1"/>
  <c r="P615" i="33" s="1"/>
  <c r="I409" i="33"/>
  <c r="H500" i="33"/>
  <c r="I500" i="33" s="1"/>
  <c r="I217" i="33"/>
  <c r="H254" i="33"/>
  <c r="I254" i="33" s="1"/>
  <c r="K254" i="33" s="1"/>
  <c r="M254" i="33" s="1"/>
  <c r="P254" i="33" s="1"/>
  <c r="H699" i="33"/>
  <c r="I699" i="33" s="1"/>
  <c r="I693" i="33"/>
  <c r="H550" i="33"/>
  <c r="I550" i="33" s="1"/>
  <c r="K550" i="33" s="1"/>
  <c r="M550" i="33" s="1"/>
  <c r="P550" i="33" s="1"/>
  <c r="H463" i="33"/>
  <c r="I463" i="33" s="1"/>
  <c r="K463" i="33" s="1"/>
  <c r="M463" i="33" s="1"/>
  <c r="P463" i="33" s="1"/>
  <c r="I459" i="33"/>
  <c r="I406" i="33"/>
  <c r="I55" i="33"/>
  <c r="K55" i="33" s="1"/>
  <c r="M55" i="33" s="1"/>
  <c r="P55" i="33" s="1"/>
  <c r="H794" i="33"/>
  <c r="I794" i="33" s="1"/>
  <c r="K794" i="33" s="1"/>
  <c r="M794" i="33" s="1"/>
  <c r="P794" i="33" s="1"/>
  <c r="H90" i="33"/>
  <c r="I90" i="33" s="1"/>
  <c r="I394" i="33"/>
  <c r="H556" i="33"/>
  <c r="I556" i="33" s="1"/>
  <c r="I723" i="33"/>
  <c r="K723" i="33" s="1"/>
  <c r="M723" i="33" s="1"/>
  <c r="P723" i="33" s="1"/>
  <c r="I338" i="33"/>
  <c r="K338" i="33" s="1"/>
  <c r="M338" i="33" s="1"/>
  <c r="P338" i="33" s="1"/>
  <c r="I320" i="33"/>
  <c r="K320" i="33" s="1"/>
  <c r="M320" i="33" s="1"/>
  <c r="P320" i="33" s="1"/>
  <c r="I536" i="33"/>
  <c r="K536" i="33" s="1"/>
  <c r="M536" i="33" s="1"/>
  <c r="P536" i="33" s="1"/>
  <c r="H190" i="33"/>
  <c r="I190" i="33" s="1"/>
  <c r="I820" i="33"/>
  <c r="I501" i="33"/>
  <c r="H450" i="33"/>
  <c r="I450" i="33" s="1"/>
  <c r="I307" i="33"/>
  <c r="I321" i="33"/>
  <c r="K321" i="33" s="1"/>
  <c r="M321" i="33" s="1"/>
  <c r="P321" i="33" s="1"/>
  <c r="I67" i="33"/>
  <c r="K67" i="33" s="1"/>
  <c r="M67" i="33" s="1"/>
  <c r="P67" i="33" s="1"/>
  <c r="I115" i="33"/>
  <c r="I416" i="33"/>
  <c r="K416" i="33" s="1"/>
  <c r="M416" i="33" s="1"/>
  <c r="P416" i="33" s="1"/>
  <c r="I291" i="33"/>
  <c r="I130" i="33"/>
  <c r="K130" i="33" s="1"/>
  <c r="M130" i="33" s="1"/>
  <c r="P130" i="33" s="1"/>
  <c r="I219" i="33"/>
  <c r="K219" i="33" s="1"/>
  <c r="M219" i="33" s="1"/>
  <c r="P219" i="33" s="1"/>
  <c r="I498" i="33"/>
  <c r="I310" i="33"/>
  <c r="I52" i="33"/>
  <c r="I127" i="33"/>
  <c r="I605" i="33"/>
  <c r="K605" i="33" s="1"/>
  <c r="M605" i="33" s="1"/>
  <c r="P605" i="33" s="1"/>
  <c r="I98" i="33"/>
  <c r="I16" i="33"/>
  <c r="I566" i="33"/>
  <c r="I599" i="33"/>
  <c r="K599" i="33" s="1"/>
  <c r="M599" i="33" s="1"/>
  <c r="P599" i="33" s="1"/>
  <c r="I595" i="33"/>
  <c r="K595" i="33" s="1"/>
  <c r="M595" i="33" s="1"/>
  <c r="P595" i="33" s="1"/>
  <c r="I344" i="33"/>
  <c r="K344" i="33" s="1"/>
  <c r="M344" i="33" s="1"/>
  <c r="P344" i="33" s="1"/>
  <c r="I428" i="33"/>
  <c r="K428" i="33" s="1"/>
  <c r="M428" i="33" s="1"/>
  <c r="P428" i="33" s="1"/>
  <c r="I654" i="33"/>
  <c r="K654" i="33" s="1"/>
  <c r="M654" i="33" s="1"/>
  <c r="P654" i="33" s="1"/>
  <c r="I367" i="33"/>
  <c r="H499" i="33"/>
  <c r="I499" i="33" s="1"/>
  <c r="I172" i="33"/>
  <c r="I431" i="33"/>
  <c r="K431" i="33" s="1"/>
  <c r="M431" i="33" s="1"/>
  <c r="P431" i="33" s="1"/>
  <c r="H42" i="33"/>
  <c r="I42" i="33" s="1"/>
  <c r="H24" i="33"/>
  <c r="I24" i="33" s="1"/>
  <c r="K24" i="33" s="1"/>
  <c r="M24" i="33" s="1"/>
  <c r="P24" i="33" s="1"/>
  <c r="I141" i="33"/>
  <c r="I470" i="33"/>
  <c r="I331" i="33"/>
  <c r="K331" i="33" s="1"/>
  <c r="M331" i="33" s="1"/>
  <c r="P331" i="33" s="1"/>
  <c r="I108" i="33"/>
  <c r="H594" i="33"/>
  <c r="I594" i="33" s="1"/>
  <c r="K594" i="33" s="1"/>
  <c r="M594" i="33" s="1"/>
  <c r="P594" i="33" s="1"/>
  <c r="H672" i="33"/>
  <c r="I672" i="33" s="1"/>
  <c r="K672" i="33" s="1"/>
  <c r="M672" i="33" s="1"/>
  <c r="P672" i="33" s="1"/>
  <c r="I444" i="33"/>
  <c r="I313" i="33"/>
  <c r="I264" i="33"/>
  <c r="K264" i="33" s="1"/>
  <c r="M264" i="33" s="1"/>
  <c r="P264" i="33" s="1"/>
  <c r="H252" i="33"/>
  <c r="I252" i="33" s="1"/>
  <c r="I285" i="33"/>
  <c r="I802" i="33"/>
  <c r="H100" i="33"/>
  <c r="I100" i="33" s="1"/>
  <c r="K100" i="33" s="1"/>
  <c r="M100" i="33" s="1"/>
  <c r="P100" i="33" s="1"/>
  <c r="I514" i="33"/>
  <c r="I703" i="33"/>
  <c r="I233" i="33"/>
  <c r="H152" i="33"/>
  <c r="I152" i="33" s="1"/>
  <c r="I490" i="33"/>
  <c r="I59" i="33"/>
  <c r="K59" i="33" s="1"/>
  <c r="M59" i="33" s="1"/>
  <c r="P59" i="33" s="1"/>
  <c r="H335" i="33"/>
  <c r="I335" i="33" s="1"/>
  <c r="K335" i="33" s="1"/>
  <c r="M335" i="33" s="1"/>
  <c r="P335" i="33" s="1"/>
  <c r="I390" i="33"/>
  <c r="I801" i="33"/>
  <c r="K801" i="33" s="1"/>
  <c r="M801" i="33" s="1"/>
  <c r="P801" i="33" s="1"/>
  <c r="I243" i="33"/>
  <c r="H635" i="33"/>
  <c r="I635" i="33" s="1"/>
  <c r="K635" i="33" s="1"/>
  <c r="M635" i="33" s="1"/>
  <c r="P635" i="33" s="1"/>
  <c r="H305" i="33"/>
  <c r="I305" i="33" s="1"/>
  <c r="K305" i="33" s="1"/>
  <c r="M305" i="33" s="1"/>
  <c r="P305" i="33" s="1"/>
  <c r="I724" i="33"/>
  <c r="K724" i="33" s="1"/>
  <c r="M724" i="33" s="1"/>
  <c r="P724" i="33" s="1"/>
  <c r="H516" i="33"/>
  <c r="I516" i="33" s="1"/>
  <c r="K516" i="33" s="1"/>
  <c r="M516" i="33" s="1"/>
  <c r="P516" i="33" s="1"/>
  <c r="I23" i="33"/>
  <c r="K23" i="33" s="1"/>
  <c r="M23" i="33" s="1"/>
  <c r="P23" i="33" s="1"/>
  <c r="H521" i="33"/>
  <c r="I521" i="33" s="1"/>
  <c r="I800" i="33"/>
  <c r="K800" i="33" s="1"/>
  <c r="M800" i="33" s="1"/>
  <c r="P800" i="33" s="1"/>
  <c r="I688" i="33"/>
  <c r="K688" i="33" s="1"/>
  <c r="M688" i="33" s="1"/>
  <c r="P688" i="33" s="1"/>
  <c r="I317" i="33"/>
  <c r="I60" i="33"/>
  <c r="K60" i="33" s="1"/>
  <c r="M60" i="33" s="1"/>
  <c r="P60" i="33" s="1"/>
  <c r="H549" i="33"/>
  <c r="I549" i="33" s="1"/>
  <c r="I661" i="33"/>
  <c r="K661" i="33" s="1"/>
  <c r="M661" i="33" s="1"/>
  <c r="P661" i="33" s="1"/>
  <c r="H562" i="33"/>
  <c r="I562" i="33" s="1"/>
  <c r="K562" i="33" s="1"/>
  <c r="M562" i="33" s="1"/>
  <c r="P562" i="33" s="1"/>
  <c r="I153" i="33"/>
  <c r="K153" i="33" s="1"/>
  <c r="M153" i="33" s="1"/>
  <c r="P153" i="33" s="1"/>
  <c r="I778" i="33"/>
  <c r="I361" i="33"/>
  <c r="K361" i="33" s="1"/>
  <c r="M361" i="33" s="1"/>
  <c r="P361" i="33" s="1"/>
  <c r="I109" i="33"/>
  <c r="H685" i="33"/>
  <c r="I685" i="33" s="1"/>
  <c r="I735" i="33"/>
  <c r="H673" i="33"/>
  <c r="I673" i="33" s="1"/>
  <c r="I796" i="33"/>
  <c r="K796" i="33" s="1"/>
  <c r="M796" i="33" s="1"/>
  <c r="P796" i="33" s="1"/>
  <c r="H482" i="33"/>
  <c r="I482" i="33" s="1"/>
  <c r="I761" i="33"/>
  <c r="I570" i="33"/>
  <c r="H211" i="33"/>
  <c r="I211" i="33" s="1"/>
  <c r="I559" i="33"/>
  <c r="K559" i="33" s="1"/>
  <c r="M559" i="33" s="1"/>
  <c r="P559" i="33" s="1"/>
  <c r="I424" i="33"/>
  <c r="I524" i="33"/>
  <c r="K524" i="33" s="1"/>
  <c r="M524" i="33" s="1"/>
  <c r="P524" i="33" s="1"/>
  <c r="H175" i="33"/>
  <c r="I175" i="33" s="1"/>
  <c r="I236" i="33"/>
  <c r="K236" i="33" s="1"/>
  <c r="M236" i="33" s="1"/>
  <c r="P236" i="33" s="1"/>
  <c r="H557" i="33"/>
  <c r="I557" i="33" s="1"/>
  <c r="I587" i="33"/>
  <c r="K587" i="33" s="1"/>
  <c r="M587" i="33" s="1"/>
  <c r="P587" i="33" s="1"/>
  <c r="H208" i="33"/>
  <c r="I208" i="33" s="1"/>
  <c r="K208" i="33" s="1"/>
  <c r="M208" i="33" s="1"/>
  <c r="P208" i="33" s="1"/>
  <c r="I653" i="33"/>
  <c r="H238" i="33"/>
  <c r="I238" i="33" s="1"/>
  <c r="K238" i="33" s="1"/>
  <c r="M238" i="33" s="1"/>
  <c r="P238" i="33" s="1"/>
  <c r="I378" i="33"/>
  <c r="H159" i="33"/>
  <c r="I159" i="33" s="1"/>
  <c r="I161" i="33"/>
  <c r="K161" i="33" s="1"/>
  <c r="M161" i="33" s="1"/>
  <c r="P161" i="33" s="1"/>
  <c r="I443" i="33"/>
  <c r="K443" i="33" s="1"/>
  <c r="M443" i="33" s="1"/>
  <c r="P443" i="33" s="1"/>
  <c r="I80" i="33"/>
  <c r="I396" i="33"/>
  <c r="I651" i="33"/>
  <c r="K651" i="33" s="1"/>
  <c r="M651" i="33" s="1"/>
  <c r="P651" i="33" s="1"/>
  <c r="I659" i="33"/>
  <c r="K659" i="33" s="1"/>
  <c r="M659" i="33" s="1"/>
  <c r="P659" i="33" s="1"/>
  <c r="I657" i="33"/>
  <c r="I537" i="33"/>
  <c r="K537" i="33" s="1"/>
  <c r="M537" i="33" s="1"/>
  <c r="P537" i="33" s="1"/>
  <c r="I289" i="33"/>
  <c r="I349" i="33"/>
  <c r="I731" i="12"/>
  <c r="I701" i="12"/>
  <c r="L750" i="5"/>
  <c r="H637" i="33"/>
  <c r="I637" i="33" s="1"/>
  <c r="I630" i="33"/>
  <c r="I478" i="33"/>
  <c r="K478" i="33" s="1"/>
  <c r="M478" i="33" s="1"/>
  <c r="P478" i="33" s="1"/>
  <c r="I110" i="33"/>
  <c r="I422" i="33"/>
  <c r="I791" i="33"/>
  <c r="K791" i="33" s="1"/>
  <c r="M791" i="33" s="1"/>
  <c r="P791" i="33" s="1"/>
  <c r="I788" i="33"/>
  <c r="K788" i="33" s="1"/>
  <c r="M788" i="33" s="1"/>
  <c r="P788" i="33" s="1"/>
  <c r="H579" i="33"/>
  <c r="I579" i="33" s="1"/>
  <c r="I809" i="33"/>
  <c r="I526" i="33"/>
  <c r="K526" i="33" s="1"/>
  <c r="M526" i="33" s="1"/>
  <c r="P526" i="33" s="1"/>
  <c r="H319" i="33"/>
  <c r="I319" i="33" s="1"/>
  <c r="K319" i="33" s="1"/>
  <c r="M319" i="33" s="1"/>
  <c r="P319" i="33" s="1"/>
  <c r="I462" i="33"/>
  <c r="H195" i="33"/>
  <c r="I195" i="33" s="1"/>
  <c r="I93" i="33"/>
  <c r="I442" i="33"/>
  <c r="K442" i="33" s="1"/>
  <c r="M442" i="33" s="1"/>
  <c r="P442" i="33" s="1"/>
  <c r="I63" i="33"/>
  <c r="I748" i="33"/>
  <c r="I660" i="33"/>
  <c r="H297" i="33"/>
  <c r="I297" i="33" s="1"/>
  <c r="I457" i="33"/>
  <c r="I817" i="33"/>
  <c r="I730" i="33"/>
  <c r="I629" i="33"/>
  <c r="I798" i="33"/>
  <c r="K798" i="33" s="1"/>
  <c r="M798" i="33" s="1"/>
  <c r="P798" i="33" s="1"/>
  <c r="I125" i="33"/>
  <c r="H72" i="33"/>
  <c r="I72" i="33" s="1"/>
  <c r="K72" i="33" s="1"/>
  <c r="M72" i="33" s="1"/>
  <c r="P72" i="33" s="1"/>
  <c r="I70" i="33"/>
  <c r="K70" i="33" s="1"/>
  <c r="M70" i="33" s="1"/>
  <c r="P70" i="33" s="1"/>
  <c r="I84" i="33"/>
  <c r="K84" i="33" s="1"/>
  <c r="M84" i="33" s="1"/>
  <c r="P84" i="33" s="1"/>
  <c r="H686" i="33"/>
  <c r="I686" i="33" s="1"/>
  <c r="I567" i="33"/>
  <c r="I121" i="33"/>
  <c r="I591" i="33"/>
  <c r="H249" i="33"/>
  <c r="I249" i="33" s="1"/>
  <c r="H280" i="33"/>
  <c r="I280" i="33" s="1"/>
  <c r="I337" i="33"/>
  <c r="K337" i="33" s="1"/>
  <c r="M337" i="33" s="1"/>
  <c r="P337" i="33" s="1"/>
  <c r="I619" i="33"/>
  <c r="K619" i="33" s="1"/>
  <c r="M619" i="33" s="1"/>
  <c r="P619" i="33" s="1"/>
  <c r="H563" i="33"/>
  <c r="I563" i="33" s="1"/>
  <c r="I179" i="33"/>
  <c r="I669" i="33"/>
  <c r="K669" i="33" s="1"/>
  <c r="M669" i="33" s="1"/>
  <c r="P669" i="33" s="1"/>
  <c r="H186" i="33"/>
  <c r="I186" i="33" s="1"/>
  <c r="K186" i="33" s="1"/>
  <c r="M186" i="33" s="1"/>
  <c r="P186" i="33" s="1"/>
  <c r="H739" i="33"/>
  <c r="I739" i="33" s="1"/>
  <c r="I511" i="33"/>
  <c r="I354" i="33"/>
  <c r="K354" i="33" s="1"/>
  <c r="M354" i="33" s="1"/>
  <c r="P354" i="33" s="1"/>
  <c r="I312" i="33"/>
  <c r="I105" i="33"/>
  <c r="I466" i="33"/>
  <c r="I173" i="33"/>
  <c r="H44" i="33"/>
  <c r="I44" i="33" s="1"/>
  <c r="I15" i="33"/>
  <c r="H156" i="33"/>
  <c r="I156" i="33" s="1"/>
  <c r="H180" i="33"/>
  <c r="I180" i="33" s="1"/>
  <c r="I641" i="33"/>
  <c r="I777" i="33"/>
  <c r="I274" i="33"/>
  <c r="H678" i="33"/>
  <c r="I678" i="33" s="1"/>
  <c r="K678" i="33" s="1"/>
  <c r="M678" i="33" s="1"/>
  <c r="P678" i="33" s="1"/>
  <c r="I728" i="33"/>
  <c r="K728" i="33" s="1"/>
  <c r="M728" i="33" s="1"/>
  <c r="P728" i="33" s="1"/>
  <c r="H760" i="33"/>
  <c r="I760" i="33" s="1"/>
  <c r="K760" i="33" s="1"/>
  <c r="M760" i="33" s="1"/>
  <c r="P760" i="33" s="1"/>
  <c r="I495" i="33"/>
  <c r="H158" i="33"/>
  <c r="I158" i="33" s="1"/>
  <c r="H697" i="33"/>
  <c r="I697" i="33" s="1"/>
  <c r="H623" i="33"/>
  <c r="I623" i="33" s="1"/>
  <c r="H148" i="33"/>
  <c r="I148" i="33" s="1"/>
  <c r="I759" i="33"/>
  <c r="K759" i="33" s="1"/>
  <c r="M759" i="33" s="1"/>
  <c r="P759" i="33" s="1"/>
  <c r="I616" i="33"/>
  <c r="K616" i="33" s="1"/>
  <c r="M616" i="33" s="1"/>
  <c r="P616" i="33" s="1"/>
  <c r="I242" i="33"/>
  <c r="H586" i="33"/>
  <c r="I586" i="33" s="1"/>
  <c r="K586" i="33" s="1"/>
  <c r="M586" i="33" s="1"/>
  <c r="P586" i="33" s="1"/>
  <c r="H76" i="33"/>
  <c r="I76" i="33" s="1"/>
  <c r="I201" i="33"/>
  <c r="I253" i="33"/>
  <c r="K253" i="33" s="1"/>
  <c r="M253" i="33" s="1"/>
  <c r="P253" i="33" s="1"/>
  <c r="I282" i="33"/>
  <c r="H324" i="33"/>
  <c r="I324" i="33" s="1"/>
  <c r="K324" i="33" s="1"/>
  <c r="M324" i="33" s="1"/>
  <c r="P324" i="33" s="1"/>
  <c r="I57" i="33"/>
  <c r="K57" i="33" s="1"/>
  <c r="M57" i="33" s="1"/>
  <c r="P57" i="33" s="1"/>
  <c r="I314" i="33"/>
  <c r="K314" i="33" s="1"/>
  <c r="M314" i="33" s="1"/>
  <c r="P314" i="33" s="1"/>
  <c r="I342" i="33"/>
  <c r="K342" i="33" s="1"/>
  <c r="M342" i="33" s="1"/>
  <c r="P342" i="33" s="1"/>
  <c r="H184" i="33"/>
  <c r="I184" i="33" s="1"/>
  <c r="I560" i="33"/>
  <c r="K560" i="33" s="1"/>
  <c r="M560" i="33" s="1"/>
  <c r="P560" i="33" s="1"/>
  <c r="I504" i="33"/>
  <c r="I89" i="33"/>
  <c r="I612" i="33"/>
  <c r="I286" i="33"/>
  <c r="I351" i="33"/>
  <c r="I625" i="33"/>
  <c r="I295" i="33"/>
  <c r="I676" i="33"/>
  <c r="I276" i="33"/>
  <c r="I437" i="33"/>
  <c r="I541" i="33"/>
  <c r="K541" i="33" s="1"/>
  <c r="M541" i="33" s="1"/>
  <c r="P541" i="33" s="1"/>
  <c r="I164" i="33"/>
  <c r="K164" i="33" s="1"/>
  <c r="M164" i="33" s="1"/>
  <c r="P164" i="33" s="1"/>
  <c r="I244" i="33"/>
  <c r="I218" i="33"/>
  <c r="K218" i="33" s="1"/>
  <c r="M218" i="33" s="1"/>
  <c r="P218" i="33" s="1"/>
  <c r="I77" i="33"/>
  <c r="I743" i="33"/>
  <c r="I447" i="33"/>
  <c r="I223" i="33"/>
  <c r="K223" i="33" s="1"/>
  <c r="M223" i="33" s="1"/>
  <c r="P223" i="33" s="1"/>
  <c r="I810" i="33"/>
  <c r="I454" i="33"/>
  <c r="K454" i="33" s="1"/>
  <c r="M454" i="33" s="1"/>
  <c r="P454" i="33" s="1"/>
  <c r="I765" i="33"/>
  <c r="K765" i="33" s="1"/>
  <c r="M765" i="33" s="1"/>
  <c r="P765" i="33" s="1"/>
  <c r="I58" i="33"/>
  <c r="K58" i="33" s="1"/>
  <c r="M58" i="33" s="1"/>
  <c r="P58" i="33" s="1"/>
  <c r="I636" i="33"/>
  <c r="I73" i="33"/>
  <c r="K73" i="33" s="1"/>
  <c r="M73" i="33" s="1"/>
  <c r="P73" i="33" s="1"/>
  <c r="I225" i="33"/>
  <c r="I300" i="33"/>
  <c r="I222" i="33"/>
  <c r="I547" i="33"/>
  <c r="I751" i="33"/>
  <c r="I737" i="33"/>
  <c r="I336" i="33"/>
  <c r="K336" i="33" s="1"/>
  <c r="M336" i="33" s="1"/>
  <c r="P336" i="33" s="1"/>
  <c r="I543" i="33"/>
  <c r="K543" i="33" s="1"/>
  <c r="M543" i="33" s="1"/>
  <c r="P543" i="33" s="1"/>
  <c r="I634" i="33"/>
  <c r="I525" i="33"/>
  <c r="K525" i="33" s="1"/>
  <c r="M525" i="33" s="1"/>
  <c r="P525" i="33" s="1"/>
  <c r="I811" i="33"/>
  <c r="I649" i="33"/>
  <c r="I75" i="33"/>
  <c r="I160" i="33"/>
  <c r="I30" i="33"/>
  <c r="K30" i="33" s="1"/>
  <c r="M30" i="33" s="1"/>
  <c r="P30" i="33" s="1"/>
  <c r="I185" i="33"/>
  <c r="I747" i="33"/>
  <c r="I680" i="33"/>
  <c r="K680" i="33" s="1"/>
  <c r="M680" i="33" s="1"/>
  <c r="P680" i="33" s="1"/>
  <c r="I248" i="33"/>
  <c r="I746" i="33"/>
  <c r="I21" i="33"/>
  <c r="K21" i="33" s="1"/>
  <c r="M21" i="33" s="1"/>
  <c r="P21" i="33" s="1"/>
  <c r="I795" i="33"/>
  <c r="K795" i="33" s="1"/>
  <c r="M795" i="33" s="1"/>
  <c r="P795" i="33" s="1"/>
  <c r="I28" i="33"/>
  <c r="I220" i="33"/>
  <c r="K220" i="33" s="1"/>
  <c r="M220" i="33" s="1"/>
  <c r="P220" i="33" s="1"/>
  <c r="I326" i="33"/>
  <c r="K326" i="33" s="1"/>
  <c r="M326" i="33" s="1"/>
  <c r="P326" i="33" s="1"/>
  <c r="I744" i="33"/>
  <c r="I234" i="33"/>
  <c r="K234" i="33" s="1"/>
  <c r="M234" i="33" s="1"/>
  <c r="P234" i="33" s="1"/>
  <c r="I189" i="33"/>
  <c r="I268" i="33"/>
  <c r="I486" i="33"/>
  <c r="K486" i="33" s="1"/>
  <c r="M486" i="33" s="1"/>
  <c r="P486" i="33" s="1"/>
  <c r="I652" i="33"/>
  <c r="K652" i="33" s="1"/>
  <c r="M652" i="33" s="1"/>
  <c r="P652" i="33" s="1"/>
  <c r="I679" i="33"/>
  <c r="K679" i="33" s="1"/>
  <c r="M679" i="33" s="1"/>
  <c r="P679" i="33" s="1"/>
  <c r="I675" i="33"/>
  <c r="I593" i="33"/>
  <c r="K593" i="33" s="1"/>
  <c r="M593" i="33" s="1"/>
  <c r="P593" i="33" s="1"/>
  <c r="I235" i="33"/>
  <c r="K235" i="33" s="1"/>
  <c r="M235" i="33" s="1"/>
  <c r="P235" i="33" s="1"/>
  <c r="I624" i="33"/>
  <c r="K624" i="33" s="1"/>
  <c r="M624" i="33" s="1"/>
  <c r="P624" i="33" s="1"/>
  <c r="I17" i="33"/>
  <c r="K17" i="33" s="1"/>
  <c r="M17" i="33" s="1"/>
  <c r="P17" i="33" s="1"/>
  <c r="I519" i="33"/>
  <c r="I698" i="33"/>
  <c r="L25" i="33"/>
  <c r="L593" i="33"/>
  <c r="L105" i="33"/>
  <c r="L495" i="33"/>
  <c r="L116" i="33"/>
  <c r="L653" i="33"/>
  <c r="L652" i="33"/>
  <c r="L34" i="33"/>
  <c r="L224" i="33"/>
  <c r="L808" i="33"/>
  <c r="L538" i="33"/>
  <c r="L654" i="33"/>
  <c r="L331" i="33"/>
  <c r="L35" i="33"/>
  <c r="L218" i="33"/>
  <c r="L200" i="33"/>
  <c r="L547" i="33"/>
  <c r="L121" i="33"/>
  <c r="L436" i="33"/>
  <c r="L402" i="33"/>
  <c r="L570" i="33"/>
  <c r="L11" i="33"/>
  <c r="K11" i="33"/>
  <c r="M11" i="33" s="1"/>
  <c r="P11" i="33" s="1"/>
  <c r="L790" i="33"/>
  <c r="L759" i="33"/>
  <c r="L181" i="33"/>
  <c r="L490" i="33"/>
  <c r="L315" i="33"/>
  <c r="L724" i="33"/>
  <c r="L338" i="33"/>
  <c r="L646" i="33"/>
  <c r="L177" i="33"/>
  <c r="L615" i="33"/>
  <c r="L698" i="33"/>
  <c r="L731" i="33"/>
  <c r="L794" i="33"/>
  <c r="L378" i="33"/>
  <c r="L40" i="33"/>
  <c r="L683" i="33"/>
  <c r="L729" i="33"/>
  <c r="L75" i="33"/>
  <c r="L776" i="33"/>
  <c r="L697" i="33"/>
  <c r="L765" i="33"/>
  <c r="L39" i="33"/>
  <c r="L17" i="33"/>
  <c r="L689" i="33"/>
  <c r="L163" i="33"/>
  <c r="L318" i="33"/>
  <c r="L187" i="33"/>
  <c r="L368" i="33"/>
  <c r="L37" i="33"/>
  <c r="L199" i="33"/>
  <c r="L557" i="33"/>
  <c r="E184" i="33"/>
  <c r="E458" i="33"/>
  <c r="E294" i="33"/>
  <c r="E676" i="33"/>
  <c r="E522" i="33"/>
  <c r="E589" i="33"/>
  <c r="E714" i="33"/>
  <c r="E11" i="33"/>
  <c r="E70" i="33"/>
  <c r="E686" i="33"/>
  <c r="E405" i="33"/>
  <c r="E285" i="33"/>
  <c r="E322" i="33"/>
  <c r="E484" i="33"/>
  <c r="E592" i="33"/>
  <c r="E98" i="33"/>
  <c r="E584" i="33"/>
  <c r="E620" i="33"/>
  <c r="E13" i="33"/>
  <c r="E788" i="33"/>
  <c r="E692" i="33"/>
  <c r="E611" i="33"/>
  <c r="E543" i="33"/>
  <c r="E736" i="33"/>
  <c r="E614" i="33"/>
  <c r="E256" i="33"/>
  <c r="E23" i="33"/>
  <c r="E25" i="33"/>
  <c r="E64" i="33"/>
  <c r="E635" i="33"/>
  <c r="E456" i="33"/>
  <c r="E20" i="33"/>
  <c r="E166" i="33"/>
  <c r="E740" i="33"/>
  <c r="E691" i="33"/>
  <c r="E510" i="33"/>
  <c r="E158" i="33"/>
  <c r="E319" i="33"/>
  <c r="E240" i="33"/>
  <c r="E803" i="33"/>
  <c r="E787" i="33"/>
  <c r="E738" i="33"/>
  <c r="E521" i="33"/>
  <c r="E83" i="33"/>
  <c r="E730" i="33"/>
  <c r="E519" i="33"/>
  <c r="E549" i="33"/>
  <c r="E440" i="33"/>
  <c r="E295" i="33"/>
  <c r="E292" i="33"/>
  <c r="E578" i="33"/>
  <c r="E538" i="33"/>
  <c r="E604" i="33"/>
  <c r="E146" i="33"/>
  <c r="E178" i="33"/>
  <c r="E490" i="33"/>
  <c r="E520" i="33"/>
  <c r="E51" i="33"/>
  <c r="E75" i="33"/>
  <c r="E474" i="33"/>
  <c r="E382" i="33"/>
  <c r="E744" i="33"/>
  <c r="E77" i="33"/>
  <c r="E22" i="33"/>
  <c r="E212" i="33"/>
  <c r="E94" i="33"/>
  <c r="E136" i="33"/>
  <c r="E642" i="33"/>
  <c r="E476" i="33"/>
  <c r="E228" i="33"/>
  <c r="E217" i="33"/>
  <c r="E84" i="33"/>
  <c r="E492" i="33"/>
  <c r="E251" i="33"/>
  <c r="E629" i="33"/>
  <c r="L665" i="33"/>
  <c r="E35" i="33"/>
  <c r="E17" i="33"/>
  <c r="E587" i="33"/>
  <c r="E665" i="33"/>
  <c r="E249" i="33"/>
  <c r="E215" i="33"/>
  <c r="E245" i="33"/>
  <c r="E380" i="33"/>
  <c r="E406" i="33"/>
  <c r="E93" i="33"/>
  <c r="E127" i="33"/>
  <c r="E55" i="33"/>
  <c r="E419" i="33"/>
  <c r="E523" i="33"/>
  <c r="E420" i="33"/>
  <c r="E750" i="33"/>
  <c r="E203" i="33"/>
  <c r="E289" i="33"/>
  <c r="E409" i="33"/>
  <c r="E585" i="33"/>
  <c r="E566" i="33"/>
  <c r="E677" i="33"/>
  <c r="E673" i="33"/>
  <c r="E172" i="33"/>
  <c r="E167" i="33"/>
  <c r="E495" i="33"/>
  <c r="E557" i="33"/>
  <c r="E531" i="33"/>
  <c r="E483" i="33"/>
  <c r="E145" i="33"/>
  <c r="E121" i="33"/>
  <c r="E200" i="33"/>
  <c r="E726" i="33"/>
  <c r="E31" i="33"/>
  <c r="E271" i="33"/>
  <c r="E182" i="33"/>
  <c r="E183" i="33"/>
  <c r="E443" i="33"/>
  <c r="E18" i="33"/>
  <c r="E668" i="33"/>
  <c r="L205" i="33"/>
  <c r="E737" i="33"/>
  <c r="E438" i="33"/>
  <c r="E545" i="33"/>
  <c r="E481" i="33"/>
  <c r="E164" i="33"/>
  <c r="E216" i="33"/>
  <c r="E496" i="33"/>
  <c r="E325" i="33"/>
  <c r="E270" i="33"/>
  <c r="E536" i="33"/>
  <c r="E21" i="33"/>
  <c r="E291" i="33"/>
  <c r="E205" i="33"/>
  <c r="E80" i="33"/>
  <c r="E239" i="33"/>
  <c r="E672" i="33"/>
  <c r="E805" i="33"/>
  <c r="E162" i="33"/>
  <c r="E241" i="33"/>
  <c r="E681" i="33"/>
  <c r="E590" i="33"/>
  <c r="E627" i="33"/>
  <c r="E14" i="33"/>
  <c r="E687" i="33"/>
  <c r="E431" i="33"/>
  <c r="E328" i="33"/>
  <c r="E518" i="33"/>
  <c r="E211" i="33"/>
  <c r="E533" i="33"/>
  <c r="E237" i="33"/>
  <c r="E628" i="33"/>
  <c r="E645" i="33"/>
  <c r="E298" i="33"/>
  <c r="E509" i="33"/>
  <c r="E403" i="33"/>
  <c r="E486" i="33"/>
  <c r="E514" i="33"/>
  <c r="E618" i="33"/>
  <c r="E752" i="33"/>
  <c r="E542" i="33"/>
  <c r="E63" i="33"/>
  <c r="E165" i="33"/>
  <c r="E555" i="33"/>
  <c r="E678" i="33"/>
  <c r="E666" i="33"/>
  <c r="E475" i="33"/>
  <c r="E722" i="33"/>
  <c r="E513" i="33"/>
  <c r="E648" i="33"/>
  <c r="E442" i="33"/>
  <c r="E482" i="33"/>
  <c r="E163" i="33"/>
  <c r="E602" i="33"/>
  <c r="E541" i="33"/>
  <c r="E470" i="33"/>
  <c r="E155" i="33"/>
  <c r="E204" i="33"/>
  <c r="L366" i="33"/>
  <c r="E87" i="33"/>
  <c r="E168" i="33"/>
  <c r="E550" i="33"/>
  <c r="E480" i="33"/>
  <c r="E201" i="33"/>
  <c r="E315" i="33"/>
  <c r="E231" i="33"/>
  <c r="E758" i="33"/>
  <c r="E213" i="33"/>
  <c r="E552" i="33"/>
  <c r="E157" i="33"/>
  <c r="E743" i="33"/>
  <c r="E206" i="33"/>
  <c r="E632" i="33"/>
  <c r="E142" i="33"/>
  <c r="E478" i="33"/>
  <c r="E487" i="33"/>
  <c r="E130" i="33"/>
  <c r="E735" i="33"/>
  <c r="E807" i="33"/>
  <c r="E329" i="33"/>
  <c r="E751" i="33"/>
  <c r="E68" i="33"/>
  <c r="E494" i="33"/>
  <c r="E786" i="33"/>
  <c r="E467" i="33"/>
  <c r="E540" i="33"/>
  <c r="E647" i="33"/>
  <c r="L434" i="33"/>
  <c r="E144" i="33"/>
  <c r="E630" i="33"/>
  <c r="E238" i="33"/>
  <c r="E430" i="33"/>
  <c r="E643" i="33"/>
  <c r="E708" i="33"/>
  <c r="E572" i="33"/>
  <c r="E312" i="33"/>
  <c r="E330" i="33"/>
  <c r="E153" i="33"/>
  <c r="E175" i="33"/>
  <c r="E479" i="33"/>
  <c r="E188" i="33"/>
  <c r="E688" i="33"/>
  <c r="E789" i="33"/>
  <c r="E299" i="33"/>
  <c r="E454" i="33"/>
  <c r="E413" i="33"/>
  <c r="E290" i="33"/>
  <c r="E757" i="33"/>
  <c r="E218" i="33"/>
  <c r="E553" i="33"/>
  <c r="E65" i="33"/>
  <c r="E605" i="33"/>
  <c r="E617" i="33"/>
  <c r="E497" i="33"/>
  <c r="E554" i="33"/>
  <c r="E344" i="33"/>
  <c r="E679" i="33"/>
  <c r="E323" i="33"/>
  <c r="E399" i="33"/>
  <c r="E314" i="33"/>
  <c r="E129" i="33"/>
  <c r="E242" i="33"/>
  <c r="E279" i="33"/>
  <c r="E273" i="33"/>
  <c r="E263" i="33"/>
  <c r="E556" i="33"/>
  <c r="E82" i="33"/>
  <c r="E67" i="33"/>
  <c r="E143" i="33"/>
  <c r="E577" i="33"/>
  <c r="E439" i="33"/>
  <c r="E128" i="33"/>
  <c r="E447" i="33"/>
  <c r="E685" i="33"/>
  <c r="E227" i="33"/>
  <c r="E739" i="33"/>
  <c r="E261" i="33"/>
  <c r="E488" i="33"/>
  <c r="E66" i="33"/>
  <c r="E669" i="33"/>
  <c r="E515" i="33"/>
  <c r="E594" i="33"/>
  <c r="E214" i="33"/>
  <c r="E152" i="33"/>
  <c r="E544" i="33"/>
  <c r="E583" i="33"/>
  <c r="E379" i="33"/>
  <c r="E804" i="33"/>
  <c r="E586" i="33"/>
  <c r="E571" i="33"/>
  <c r="E381" i="33"/>
  <c r="E342" i="33"/>
  <c r="E73" i="33"/>
  <c r="E268" i="33"/>
  <c r="E341" i="33"/>
  <c r="E649" i="33"/>
  <c r="E537" i="33"/>
  <c r="E313" i="33"/>
  <c r="E408" i="33"/>
  <c r="E122" i="33"/>
  <c r="E81" i="33"/>
  <c r="E532" i="33"/>
  <c r="E457" i="33"/>
  <c r="E284" i="33"/>
  <c r="E135" i="33"/>
  <c r="E477" i="33"/>
  <c r="E96" i="33"/>
  <c r="E179" i="33"/>
  <c r="E732" i="33"/>
  <c r="E26" i="33"/>
  <c r="E633" i="33"/>
  <c r="E684" i="33"/>
  <c r="E269" i="33"/>
  <c r="E76" i="33"/>
  <c r="E37" i="33"/>
  <c r="E132" i="33"/>
  <c r="E149" i="33"/>
  <c r="E407" i="33"/>
  <c r="E173" i="33"/>
  <c r="E288" i="33"/>
  <c r="E72" i="33"/>
  <c r="E512" i="33"/>
  <c r="E293" i="33"/>
  <c r="E78" i="33"/>
  <c r="E262" i="33"/>
  <c r="E357" i="33"/>
  <c r="E436" i="33"/>
  <c r="E671" i="33"/>
  <c r="E747" i="33"/>
  <c r="E491" i="33"/>
  <c r="E753" i="33"/>
  <c r="E151" i="33"/>
  <c r="E690" i="33"/>
  <c r="E616" i="33"/>
  <c r="L51" i="33"/>
  <c r="E141" i="33"/>
  <c r="E579" i="33"/>
  <c r="E69" i="33"/>
  <c r="E349" i="33"/>
  <c r="E507" i="33"/>
  <c r="E99" i="33"/>
  <c r="E306" i="33"/>
  <c r="E608" i="33"/>
  <c r="E317" i="33"/>
  <c r="E534" i="33"/>
  <c r="E493" i="33"/>
  <c r="E71" i="33"/>
  <c r="E49" i="33"/>
  <c r="E95" i="33"/>
  <c r="E247" i="33"/>
  <c r="L326" i="33"/>
  <c r="E177" i="33"/>
  <c r="E326" i="33"/>
  <c r="L389" i="33"/>
  <c r="L196" i="33"/>
  <c r="L809" i="33"/>
  <c r="L41" i="33"/>
  <c r="L43" i="33"/>
  <c r="L101" i="33"/>
  <c r="L592" i="33"/>
  <c r="L12" i="33"/>
  <c r="L671" i="33"/>
  <c r="L401" i="33"/>
  <c r="L284" i="33"/>
  <c r="L285" i="33"/>
  <c r="L147" i="33"/>
  <c r="L553" i="33"/>
  <c r="L141" i="33"/>
  <c r="L535" i="33"/>
  <c r="L555" i="33"/>
  <c r="L372" i="33"/>
  <c r="L92" i="33"/>
  <c r="L788" i="33"/>
  <c r="L69" i="33"/>
  <c r="I746" i="12"/>
  <c r="H12" i="9"/>
  <c r="I12" i="9" s="1"/>
  <c r="L562" i="5"/>
  <c r="L114" i="33"/>
  <c r="L409" i="33"/>
  <c r="L66" i="33"/>
  <c r="L229" i="33"/>
  <c r="L173" i="33"/>
  <c r="L486" i="33"/>
  <c r="L487" i="33"/>
  <c r="L119" i="33"/>
  <c r="L108" i="33"/>
  <c r="L353" i="33"/>
  <c r="L479" i="33"/>
  <c r="L282" i="33"/>
  <c r="L210" i="33"/>
  <c r="L470" i="33"/>
  <c r="L622" i="33"/>
  <c r="L482" i="33"/>
  <c r="L462" i="33"/>
  <c r="L407" i="33"/>
  <c r="L503" i="33"/>
  <c r="L44" i="33"/>
  <c r="L111" i="33"/>
  <c r="L532" i="33"/>
  <c r="L787" i="33"/>
  <c r="L133" i="33"/>
  <c r="L405" i="33"/>
  <c r="L364" i="33"/>
  <c r="L377" i="33"/>
  <c r="L802" i="33"/>
  <c r="L798" i="33"/>
  <c r="L742" i="33"/>
  <c r="L342" i="33"/>
  <c r="L471" i="33"/>
  <c r="L245" i="33"/>
  <c r="L678" i="33"/>
  <c r="L312" i="33"/>
  <c r="L785" i="33"/>
  <c r="L231" i="33"/>
  <c r="L774" i="33"/>
  <c r="L355" i="33"/>
  <c r="L533" i="33"/>
  <c r="L618" i="33"/>
  <c r="L525" i="33"/>
  <c r="L713" i="33"/>
  <c r="L67" i="33"/>
  <c r="L109" i="33"/>
  <c r="L93" i="33"/>
  <c r="L358" i="33"/>
  <c r="L517" i="33"/>
  <c r="L773" i="33"/>
  <c r="L132" i="33"/>
  <c r="L63" i="33"/>
  <c r="L296" i="33"/>
  <c r="L763" i="33"/>
  <c r="L621" i="33"/>
  <c r="L404" i="33"/>
  <c r="L604" i="33"/>
  <c r="L394" i="33"/>
  <c r="L295" i="33"/>
  <c r="L241" i="33"/>
  <c r="L507" i="33"/>
  <c r="L572" i="33"/>
  <c r="L769" i="33"/>
  <c r="L137" i="33"/>
  <c r="L727" i="33"/>
  <c r="L253" i="33"/>
  <c r="L277" i="33"/>
  <c r="L175" i="33"/>
  <c r="L691" i="33"/>
  <c r="L455" i="33"/>
  <c r="L280" i="33"/>
  <c r="L577" i="33"/>
  <c r="L216" i="33"/>
  <c r="L425" i="33"/>
  <c r="L523" i="33"/>
  <c r="L97" i="33"/>
  <c r="L283" i="33"/>
  <c r="L586" i="33"/>
  <c r="L781" i="33"/>
  <c r="L626" i="33"/>
  <c r="L631" i="33"/>
  <c r="L341" i="33"/>
  <c r="L182" i="33"/>
  <c r="L477" i="33"/>
  <c r="L667" i="33"/>
  <c r="L185" i="33"/>
  <c r="L768" i="33"/>
  <c r="L811" i="33"/>
  <c r="L73" i="33"/>
  <c r="L725" i="33"/>
  <c r="L757" i="33"/>
  <c r="L780" i="33"/>
  <c r="L782" i="33"/>
  <c r="L661" i="33"/>
  <c r="L608" i="33"/>
  <c r="L220" i="33"/>
  <c r="L408" i="33"/>
  <c r="L204" i="33"/>
  <c r="L273" i="33"/>
  <c r="L739" i="33"/>
  <c r="L183" i="33"/>
  <c r="L31" i="33"/>
  <c r="L668" i="33"/>
  <c r="L406" i="33"/>
  <c r="L240" i="33"/>
  <c r="L606" i="33"/>
  <c r="L395" i="33"/>
  <c r="L53" i="33"/>
  <c r="L360" i="33"/>
  <c r="L801" i="33"/>
  <c r="L565" i="33"/>
  <c r="L179" i="33"/>
  <c r="L726" i="33"/>
  <c r="L767" i="33"/>
  <c r="L748" i="33"/>
  <c r="L52" i="33"/>
  <c r="L574" i="33"/>
  <c r="L602" i="33"/>
  <c r="L594" i="33"/>
  <c r="L481" i="33"/>
  <c r="L170" i="33"/>
  <c r="L581" i="33"/>
  <c r="L512" i="33"/>
  <c r="L498" i="33"/>
  <c r="L546" i="33"/>
  <c r="L388" i="33"/>
  <c r="L343" i="33"/>
  <c r="L627" i="33"/>
  <c r="L649" i="33"/>
  <c r="L156" i="33"/>
  <c r="L718" i="33"/>
  <c r="L95" i="33"/>
  <c r="L14" i="33"/>
  <c r="L19" i="33"/>
  <c r="L530" i="33"/>
  <c r="L432" i="33"/>
  <c r="L648" i="33"/>
  <c r="L513" i="33"/>
  <c r="L410" i="33"/>
  <c r="L49" i="33"/>
  <c r="L153" i="33"/>
  <c r="L403" i="33"/>
  <c r="L485" i="33"/>
  <c r="L211" i="33"/>
  <c r="L789" i="33"/>
  <c r="L499" i="33"/>
  <c r="L571" i="33"/>
  <c r="L706" i="33"/>
  <c r="L688" i="33"/>
  <c r="L521" i="33"/>
  <c r="L287" i="33"/>
  <c r="L441" i="33"/>
  <c r="L154" i="33"/>
  <c r="L150" i="33"/>
  <c r="L89" i="33"/>
  <c r="L603" i="33"/>
  <c r="L541" i="33"/>
  <c r="L444" i="33"/>
  <c r="L340" i="33"/>
  <c r="L238" i="33"/>
  <c r="L506" i="33"/>
  <c r="L422" i="33"/>
  <c r="L118" i="33"/>
  <c r="L115" i="33"/>
  <c r="L684" i="33"/>
  <c r="L126" i="33"/>
  <c r="L397" i="33"/>
  <c r="L583" i="33"/>
  <c r="L505" i="33"/>
  <c r="L203" i="33"/>
  <c r="L70" i="33"/>
  <c r="L90" i="33"/>
  <c r="L212" i="33"/>
  <c r="L65" i="33"/>
  <c r="L616" i="33"/>
  <c r="L504" i="33"/>
  <c r="L209" i="33"/>
  <c r="L46" i="33"/>
  <c r="L265" i="33"/>
  <c r="L168" i="33"/>
  <c r="L722" i="33"/>
  <c r="L574" i="5"/>
  <c r="H65" i="9"/>
  <c r="I65" i="9" s="1"/>
  <c r="L361" i="33"/>
  <c r="L812" i="33"/>
  <c r="L272" i="33"/>
  <c r="L246" i="33"/>
  <c r="L633" i="33"/>
  <c r="L758" i="33"/>
  <c r="L291" i="33"/>
  <c r="L820" i="33"/>
  <c r="L735" i="33"/>
  <c r="L42" i="33"/>
  <c r="L732" i="33"/>
  <c r="L438" i="33"/>
  <c r="L605" i="33"/>
  <c r="L379" i="33"/>
  <c r="L151" i="33"/>
  <c r="L29" i="33"/>
  <c r="L558" i="33"/>
  <c r="L288" i="33"/>
  <c r="L55" i="33"/>
  <c r="L262" i="33"/>
  <c r="L660" i="33"/>
  <c r="L807" i="33"/>
  <c r="L805" i="33"/>
  <c r="L276" i="33"/>
  <c r="L143" i="33"/>
  <c r="L815" i="33"/>
  <c r="L458" i="33"/>
  <c r="L437" i="33"/>
  <c r="L679" i="33"/>
  <c r="L636" i="33"/>
  <c r="L682" i="33"/>
  <c r="L98" i="33"/>
  <c r="L707" i="33"/>
  <c r="L730" i="33"/>
  <c r="L309" i="33"/>
  <c r="L129" i="33"/>
  <c r="L651" i="33"/>
  <c r="L584" i="33"/>
  <c r="L267" i="33"/>
  <c r="L146" i="33"/>
  <c r="L484" i="33"/>
  <c r="L172" i="33"/>
  <c r="L380" i="33"/>
  <c r="L356" i="33"/>
  <c r="L508" i="33"/>
  <c r="L193" i="33"/>
  <c r="L483" i="33"/>
  <c r="L247" i="33"/>
  <c r="L734" i="33"/>
  <c r="L303" i="33"/>
  <c r="L700" i="33"/>
  <c r="L398" i="33"/>
  <c r="L61" i="33"/>
  <c r="L68" i="33"/>
  <c r="L332" i="33"/>
  <c r="L687" i="33"/>
  <c r="L655" i="33"/>
  <c r="L752" i="33"/>
  <c r="L423" i="33"/>
  <c r="L289" i="33"/>
  <c r="L71" i="33"/>
  <c r="L102" i="33"/>
  <c r="L399" i="33"/>
  <c r="L106" i="33"/>
  <c r="L736" i="33"/>
  <c r="L465" i="33"/>
  <c r="L148" i="33"/>
  <c r="L255" i="33"/>
  <c r="L233" i="33"/>
  <c r="L527" i="33"/>
  <c r="L335" i="33"/>
  <c r="L186" i="33"/>
  <c r="L711" i="33"/>
  <c r="L345" i="33"/>
  <c r="L751" i="33"/>
  <c r="L795" i="33"/>
  <c r="L263" i="33"/>
  <c r="L145" i="33"/>
  <c r="L104" i="33"/>
  <c r="L745" i="33"/>
  <c r="L791" i="33"/>
  <c r="L460" i="33"/>
  <c r="L587" i="33"/>
  <c r="L511" i="33"/>
  <c r="L184" i="33"/>
  <c r="L207" i="33"/>
  <c r="L142" i="33"/>
  <c r="L202" i="33"/>
  <c r="L743" i="33"/>
  <c r="O3" i="33"/>
  <c r="O4" i="33"/>
  <c r="O5" i="33"/>
  <c r="O6" i="33"/>
  <c r="L336" i="33"/>
  <c r="L754" i="33"/>
  <c r="L346" i="33"/>
  <c r="L50" i="33"/>
  <c r="L705" i="33"/>
  <c r="L611" i="33"/>
  <c r="L157" i="33"/>
  <c r="L130" i="33"/>
  <c r="L662" i="33"/>
  <c r="L261" i="33"/>
  <c r="L501" i="33"/>
  <c r="L502" i="33"/>
  <c r="L443" i="33"/>
  <c r="L320" i="33"/>
  <c r="L510" i="33"/>
  <c r="L719" i="33"/>
  <c r="L417" i="33"/>
  <c r="L164" i="33"/>
  <c r="L136" i="33"/>
  <c r="L226" i="33"/>
  <c r="L107" i="33"/>
  <c r="L494" i="33"/>
  <c r="L194" i="33"/>
  <c r="L60" i="33"/>
  <c r="L609" i="33"/>
  <c r="L310" i="33"/>
  <c r="L127" i="33"/>
  <c r="L733" i="33"/>
  <c r="L634" i="33"/>
  <c r="L747" i="33"/>
  <c r="L738" i="33"/>
  <c r="L746" i="33"/>
  <c r="L666" i="33"/>
  <c r="L761" i="33"/>
  <c r="L728" i="33"/>
  <c r="L670" i="33"/>
  <c r="L637" i="33"/>
  <c r="L764" i="33"/>
  <c r="L792" i="33"/>
  <c r="L721" i="33"/>
  <c r="L365" i="33"/>
  <c r="L578" i="33"/>
  <c r="L540" i="33"/>
  <c r="L319" i="33"/>
  <c r="L228" i="33"/>
  <c r="L674" i="33"/>
  <c r="L300" i="33"/>
  <c r="L750" i="33"/>
  <c r="L376" i="33"/>
  <c r="L703" i="33"/>
  <c r="L699" i="33"/>
  <c r="L480" i="33"/>
  <c r="L659" i="33"/>
  <c r="L457" i="33"/>
  <c r="L440" i="33"/>
  <c r="L371" i="33"/>
  <c r="L620" i="33"/>
  <c r="L600" i="33"/>
  <c r="L658" i="33"/>
  <c r="L516" i="33"/>
  <c r="L559" i="33"/>
  <c r="L323" i="33"/>
  <c r="L257" i="33"/>
  <c r="L690" i="33"/>
  <c r="L396" i="33"/>
  <c r="L591" i="33"/>
  <c r="L435" i="33"/>
  <c r="L232" i="33"/>
  <c r="L617" i="33"/>
  <c r="L549" i="33"/>
  <c r="L160" i="33"/>
  <c r="L716" i="33"/>
  <c r="L741" i="33"/>
  <c r="L663" i="33"/>
  <c r="L313" i="33"/>
  <c r="L497" i="33"/>
  <c r="L274" i="33"/>
  <c r="L56" i="33"/>
  <c r="L23" i="33"/>
  <c r="L701" i="33"/>
  <c r="L64" i="33"/>
  <c r="L278" i="33"/>
  <c r="L36" i="33"/>
  <c r="L299" i="33"/>
  <c r="L612" i="33"/>
  <c r="L347" i="33"/>
  <c r="L717" i="33"/>
  <c r="L536" i="33"/>
  <c r="L544" i="33"/>
  <c r="L327" i="33"/>
  <c r="L543" i="33"/>
  <c r="L223" i="33"/>
  <c r="L413" i="33"/>
  <c r="L110" i="33"/>
  <c r="L528" i="33"/>
  <c r="L239" i="33"/>
  <c r="L784" i="33"/>
  <c r="L762" i="33"/>
  <c r="L149" i="33"/>
  <c r="L770" i="33"/>
  <c r="L640" i="33"/>
  <c r="L771" i="33"/>
  <c r="L772" i="33"/>
  <c r="L125" i="33"/>
  <c r="L638" i="33"/>
  <c r="L192" i="33"/>
  <c r="L292" i="33"/>
  <c r="L28" i="33"/>
  <c r="L472" i="33"/>
  <c r="L452" i="33"/>
  <c r="L567" i="33"/>
  <c r="L424" i="33"/>
  <c r="L221" i="33"/>
  <c r="L79" i="33"/>
  <c r="L709" i="33"/>
  <c r="L178" i="33"/>
  <c r="L236" i="33"/>
  <c r="L647" i="33"/>
  <c r="L450" i="33"/>
  <c r="L324" i="33"/>
  <c r="L112" i="33"/>
  <c r="L305" i="33"/>
  <c r="L166" i="33"/>
  <c r="L569" i="33"/>
  <c r="L597" i="33"/>
  <c r="L275" i="33"/>
  <c r="L806" i="33"/>
  <c r="L254" i="33"/>
  <c r="L321" i="33"/>
  <c r="L454" i="33"/>
  <c r="L77" i="33"/>
  <c r="L550" i="33"/>
  <c r="L803" i="33"/>
  <c r="L500" i="33"/>
  <c r="L344" i="33"/>
  <c r="L234" i="33"/>
  <c r="L677" i="33"/>
  <c r="L21" i="33"/>
  <c r="L686" i="33"/>
  <c r="L369" i="33"/>
  <c r="L392" i="33"/>
  <c r="L122" i="33"/>
  <c r="L575" i="33"/>
  <c r="L124" i="33"/>
  <c r="L190" i="33"/>
  <c r="L793" i="33"/>
  <c r="L59" i="33"/>
  <c r="L473" i="33"/>
  <c r="L62" i="33"/>
  <c r="L643" i="33"/>
  <c r="L248" i="33"/>
  <c r="L80" i="33"/>
  <c r="L383" i="33"/>
  <c r="L800" i="33"/>
  <c r="L256" i="33"/>
  <c r="L354" i="33"/>
  <c r="L293" i="33"/>
  <c r="L45" i="33"/>
  <c r="L103" i="33"/>
  <c r="L307" i="33"/>
  <c r="L120" i="33"/>
  <c r="L753" i="33"/>
  <c r="L442" i="33"/>
  <c r="L373" i="33"/>
  <c r="L564" i="33"/>
  <c r="L155" i="33"/>
  <c r="L786" i="33"/>
  <c r="L191" i="33"/>
  <c r="L696" i="33"/>
  <c r="L162" i="33"/>
  <c r="L539" i="33"/>
  <c r="L334" i="33"/>
  <c r="L427" i="33"/>
  <c r="L250" i="33"/>
  <c r="L30" i="33"/>
  <c r="L167" i="33"/>
  <c r="L189" i="33"/>
  <c r="L251" i="33"/>
  <c r="L158" i="33"/>
  <c r="L325" i="33"/>
  <c r="L174" i="33"/>
  <c r="L630" i="33"/>
  <c r="L419" i="33"/>
  <c r="L708" i="33"/>
  <c r="L645" i="33"/>
  <c r="L414" i="33"/>
  <c r="L135" i="33"/>
  <c r="L818" i="33"/>
  <c r="L478" i="33"/>
  <c r="L451" i="33"/>
  <c r="L139" i="33"/>
  <c r="R6" i="33"/>
  <c r="E10" i="33"/>
  <c r="L488" i="33"/>
  <c r="L269" i="33"/>
  <c r="L676" i="33"/>
  <c r="L266" i="33"/>
  <c r="L333" i="33"/>
  <c r="L778" i="33"/>
  <c r="L573" i="33"/>
  <c r="L817" i="33"/>
  <c r="L595" i="33"/>
  <c r="L322" i="33"/>
  <c r="L714" i="33"/>
  <c r="L542" i="33"/>
  <c r="L467" i="33"/>
  <c r="L415" i="33"/>
  <c r="L32" i="33"/>
  <c r="L350" i="33"/>
  <c r="L375" i="33"/>
  <c r="L252" i="33"/>
  <c r="L171" i="33"/>
  <c r="L783" i="33"/>
  <c r="L695" i="33"/>
  <c r="L15" i="33"/>
  <c r="L18" i="33"/>
  <c r="L723" i="33"/>
  <c r="L737" i="33"/>
  <c r="L474" i="33"/>
  <c r="L447" i="33"/>
  <c r="L560" i="33"/>
  <c r="L86" i="33"/>
  <c r="L304" i="33"/>
  <c r="L271" i="33"/>
  <c r="L598" i="33"/>
  <c r="L740" i="33"/>
  <c r="L466" i="33"/>
  <c r="L123" i="33"/>
  <c r="L685" i="33"/>
  <c r="L635" i="33"/>
  <c r="L131" i="33"/>
  <c r="L259" i="33"/>
  <c r="L390" i="33"/>
  <c r="L693" i="33"/>
  <c r="L243" i="33"/>
  <c r="L96" i="33"/>
  <c r="L237" i="33"/>
  <c r="L614" i="33"/>
  <c r="L628" i="33"/>
  <c r="L76" i="33"/>
  <c r="L219" i="33"/>
  <c r="L260" i="33"/>
  <c r="L400" i="33"/>
  <c r="L514" i="33"/>
  <c r="L430" i="33"/>
  <c r="L522" i="33"/>
  <c r="L428" i="33"/>
  <c r="L433" i="33"/>
  <c r="L161" i="33"/>
  <c r="L214" i="33"/>
  <c r="L374" i="33"/>
  <c r="L176" i="33"/>
  <c r="L386" i="33"/>
  <c r="L579" i="33"/>
  <c r="L819" i="33"/>
  <c r="L641" i="33"/>
  <c r="L639" i="33"/>
  <c r="L642" i="33"/>
  <c r="L796" i="33"/>
  <c r="L814" i="33"/>
  <c r="L393" i="33"/>
  <c r="L520" i="33"/>
  <c r="L519" i="33"/>
  <c r="L613" i="33"/>
  <c r="L675" i="33"/>
  <c r="L524" i="33"/>
  <c r="L235" i="33"/>
  <c r="L134" i="33"/>
  <c r="L412" i="33"/>
  <c r="L48" i="33"/>
  <c r="L268" i="33"/>
  <c r="L367" i="33"/>
  <c r="L590" i="33"/>
  <c r="L657" i="33"/>
  <c r="L449" i="33"/>
  <c r="L306" i="33"/>
  <c r="L87" i="33"/>
  <c r="L83" i="33"/>
  <c r="L348" i="33"/>
  <c r="L82" i="33"/>
  <c r="L279" i="33"/>
  <c r="L534" i="33"/>
  <c r="L264" i="33"/>
  <c r="L13" i="33"/>
  <c r="L370" i="33"/>
  <c r="L138" i="33"/>
  <c r="L476" i="33"/>
  <c r="L74" i="33"/>
  <c r="L589" i="33"/>
  <c r="L328" i="33"/>
  <c r="L563" i="33"/>
  <c r="L799" i="33"/>
  <c r="L680" i="33"/>
  <c r="L290" i="33"/>
  <c r="L692" i="33"/>
  <c r="L464" i="33"/>
  <c r="L568" i="33"/>
  <c r="L58" i="33"/>
  <c r="L329" i="33"/>
  <c r="L363" i="33"/>
  <c r="L270" i="33"/>
  <c r="L165" i="33"/>
  <c r="L206" i="33"/>
  <c r="L20" i="33"/>
  <c r="L195" i="33"/>
  <c r="L352" i="33"/>
  <c r="L227" i="33"/>
  <c r="L601" i="33"/>
  <c r="L416" i="33"/>
  <c r="L420" i="33"/>
  <c r="L526" i="33"/>
  <c r="L382" i="33"/>
  <c r="L317" i="33"/>
  <c r="L515" i="33"/>
  <c r="L625" i="33"/>
  <c r="L704" i="33"/>
  <c r="L88" i="33"/>
  <c r="L804" i="33"/>
  <c r="L509" i="33"/>
  <c r="L258" i="33"/>
  <c r="L384" i="33"/>
  <c r="L744" i="33"/>
  <c r="L672" i="33"/>
  <c r="L496" i="33"/>
  <c r="L702" i="33"/>
  <c r="L351" i="33"/>
  <c r="L561" i="33"/>
  <c r="L188" i="33"/>
  <c r="L461" i="33"/>
  <c r="L445" i="33"/>
  <c r="L518" i="33"/>
  <c r="L580" i="33"/>
  <c r="L357" i="33"/>
  <c r="L144" i="33"/>
  <c r="L644" i="33"/>
  <c r="L656" i="33"/>
  <c r="L198" i="33"/>
  <c r="L531" i="33"/>
  <c r="L349" i="33"/>
  <c r="L85" i="33"/>
  <c r="L140" i="33"/>
  <c r="L599" i="33"/>
  <c r="L418" i="33"/>
  <c r="L81" i="33"/>
  <c r="L766" i="33"/>
  <c r="L554" i="33"/>
  <c r="L749" i="33"/>
  <c r="L448" i="33"/>
  <c r="L201" i="33"/>
  <c r="L623" i="33"/>
  <c r="L469" i="33"/>
  <c r="L242" i="33"/>
  <c r="L91" i="33"/>
  <c r="L99" i="33"/>
  <c r="L387" i="33"/>
  <c r="L492" i="33"/>
  <c r="L54" i="33"/>
  <c r="L694" i="33"/>
  <c r="L551" i="33"/>
  <c r="L681" i="33"/>
  <c r="L619" i="33"/>
  <c r="L548" i="33"/>
  <c r="L537" i="33"/>
  <c r="L475" i="33"/>
  <c r="L24" i="33"/>
  <c r="L159" i="33"/>
  <c r="L57" i="33"/>
  <c r="L244" i="33"/>
  <c r="L215" i="33"/>
  <c r="L337" i="33"/>
  <c r="L411" i="33"/>
  <c r="L816" i="33"/>
  <c r="L779" i="33"/>
  <c r="L217" i="33"/>
  <c r="L316" i="33"/>
  <c r="L426" i="33"/>
  <c r="L230" i="33"/>
  <c r="L47" i="33"/>
  <c r="L456" i="33"/>
  <c r="L421" i="33"/>
  <c r="L489" i="33"/>
  <c r="L610" i="33"/>
  <c r="L710" i="33"/>
  <c r="L213" i="33"/>
  <c r="L607" i="33"/>
  <c r="L169" i="33"/>
  <c r="L26" i="33"/>
  <c r="L302" i="33"/>
  <c r="L72" i="33"/>
  <c r="L459" i="33"/>
  <c r="L669" i="33"/>
  <c r="L756" i="33"/>
  <c r="L286" i="33"/>
  <c r="L582" i="33"/>
  <c r="L339" i="33"/>
  <c r="L298" i="33"/>
  <c r="L439" i="33"/>
  <c r="L545" i="33"/>
  <c r="L632" i="33"/>
  <c r="L78" i="33"/>
  <c r="L588" i="33"/>
  <c r="L330" i="33"/>
  <c r="L128" i="33"/>
  <c r="L94" i="33"/>
  <c r="L797" i="33"/>
  <c r="L33" i="33"/>
  <c r="L294" i="33"/>
  <c r="L113" i="33"/>
  <c r="L446" i="33"/>
  <c r="L208" i="33"/>
  <c r="L362" i="33"/>
  <c r="L777" i="33"/>
  <c r="L301" i="33"/>
  <c r="L596" i="33"/>
  <c r="L152" i="33"/>
  <c r="L552" i="33"/>
  <c r="L385" i="33"/>
  <c r="L715" i="33"/>
  <c r="L760" i="33"/>
  <c r="L566" i="33"/>
  <c r="L314" i="33"/>
  <c r="L27" i="33"/>
  <c r="L720" i="33"/>
  <c r="L813" i="33"/>
  <c r="L775" i="33"/>
  <c r="L810" i="33"/>
  <c r="L624" i="33"/>
  <c r="L84" i="33"/>
  <c r="L556" i="33"/>
  <c r="L463" i="33"/>
  <c r="L100" i="33"/>
  <c r="L453" i="33"/>
  <c r="L712" i="33"/>
  <c r="L431" i="33"/>
  <c r="L38" i="33"/>
  <c r="L529" i="33"/>
  <c r="L429" i="33"/>
  <c r="L359" i="33"/>
  <c r="L755" i="33"/>
  <c r="L673" i="33"/>
  <c r="L468" i="33"/>
  <c r="L491" i="33"/>
  <c r="L576" i="33"/>
  <c r="L197" i="33"/>
  <c r="L664" i="33"/>
  <c r="L225" i="33"/>
  <c r="L493" i="33"/>
  <c r="L585" i="33"/>
  <c r="L381" i="33"/>
  <c r="L180" i="33"/>
  <c r="L629" i="33"/>
  <c r="L650" i="33"/>
  <c r="L391" i="33"/>
  <c r="L308" i="33"/>
  <c r="L311" i="33"/>
  <c r="L297" i="33"/>
  <c r="L562" i="33"/>
  <c r="L16" i="33"/>
  <c r="L22" i="33"/>
  <c r="L117" i="33"/>
  <c r="L281" i="33"/>
  <c r="L249" i="33"/>
  <c r="L222" i="33"/>
  <c r="I793" i="12"/>
  <c r="I684" i="12"/>
  <c r="I744" i="12"/>
  <c r="H234" i="9"/>
  <c r="I234" i="9" s="1"/>
  <c r="L791" i="5"/>
  <c r="H887" i="9"/>
  <c r="I887" i="9" s="1"/>
  <c r="L766" i="5"/>
  <c r="L549" i="5"/>
  <c r="I782" i="12"/>
  <c r="I779" i="12"/>
  <c r="I775" i="12"/>
  <c r="I788" i="12"/>
  <c r="I719" i="12"/>
  <c r="L740" i="5"/>
  <c r="I803" i="12"/>
  <c r="I712" i="12"/>
  <c r="I773" i="12"/>
  <c r="I734" i="12"/>
  <c r="I807" i="12"/>
  <c r="I817" i="12"/>
  <c r="H322" i="9"/>
  <c r="I322" i="9" s="1"/>
  <c r="L539" i="5"/>
  <c r="I780" i="12"/>
  <c r="I751" i="12"/>
  <c r="I752" i="12"/>
  <c r="I737" i="12"/>
  <c r="L688" i="5"/>
  <c r="I813" i="12"/>
  <c r="L678" i="5"/>
  <c r="I703" i="7"/>
  <c r="J703" i="7" s="1"/>
  <c r="L703" i="7" s="1"/>
  <c r="I763" i="12"/>
  <c r="L721" i="5"/>
  <c r="I760" i="12"/>
  <c r="I717" i="7"/>
  <c r="J717" i="7" s="1"/>
  <c r="L717" i="7" s="1"/>
  <c r="I754" i="7"/>
  <c r="J754" i="7" s="1"/>
  <c r="L754" i="7" s="1"/>
  <c r="J59" i="2"/>
  <c r="K59" i="2" s="1"/>
  <c r="L59" i="2" s="1"/>
  <c r="I711" i="12"/>
  <c r="I714" i="12"/>
  <c r="I742" i="12"/>
  <c r="I771" i="12"/>
  <c r="I721" i="12"/>
  <c r="I787" i="12"/>
  <c r="I784" i="12"/>
  <c r="I820" i="12"/>
  <c r="I715" i="12"/>
  <c r="I741" i="12"/>
  <c r="I768" i="12"/>
  <c r="I739" i="12"/>
  <c r="I770" i="12"/>
  <c r="I806" i="12"/>
  <c r="I709" i="12"/>
  <c r="I801" i="12"/>
  <c r="I686" i="12"/>
  <c r="I795" i="12"/>
  <c r="I727" i="12"/>
  <c r="I811" i="12"/>
  <c r="I791" i="12"/>
  <c r="I720" i="12"/>
  <c r="I687" i="12"/>
  <c r="I694" i="12"/>
  <c r="I786" i="12"/>
  <c r="I718" i="7"/>
  <c r="J718" i="7" s="1"/>
  <c r="L718" i="7" s="1"/>
  <c r="I785" i="7"/>
  <c r="J785" i="7" s="1"/>
  <c r="L785" i="7" s="1"/>
  <c r="I710" i="7"/>
  <c r="J710" i="7" s="1"/>
  <c r="L710" i="7" s="1"/>
  <c r="I742" i="7"/>
  <c r="J742" i="7" s="1"/>
  <c r="L742" i="7" s="1"/>
  <c r="I724" i="7"/>
  <c r="J724" i="7" s="1"/>
  <c r="L724" i="7" s="1"/>
  <c r="H853" i="9"/>
  <c r="I853" i="9" s="1"/>
  <c r="H902" i="9"/>
  <c r="I902" i="9" s="1"/>
  <c r="H230" i="9"/>
  <c r="I230" i="9" s="1"/>
  <c r="H437" i="9"/>
  <c r="I437" i="9" s="1"/>
  <c r="H852" i="9"/>
  <c r="I852" i="9" s="1"/>
  <c r="H198" i="9"/>
  <c r="I198" i="9" s="1"/>
  <c r="H428" i="9"/>
  <c r="I428" i="9" s="1"/>
  <c r="H327" i="9"/>
  <c r="I327" i="9" s="1"/>
  <c r="H63" i="9"/>
  <c r="I63" i="9" s="1"/>
  <c r="H320" i="9"/>
  <c r="I320" i="9" s="1"/>
  <c r="H300" i="9"/>
  <c r="I300" i="9" s="1"/>
  <c r="H127" i="9"/>
  <c r="I127" i="9" s="1"/>
  <c r="L6" i="9"/>
  <c r="L7" i="9" s="1"/>
  <c r="N6" i="9"/>
  <c r="N7" i="9" s="1"/>
  <c r="H343" i="9"/>
  <c r="I343" i="9" s="1"/>
  <c r="H318" i="9"/>
  <c r="I318" i="9" s="1"/>
  <c r="H113" i="9"/>
  <c r="I113" i="9" s="1"/>
  <c r="H233" i="9"/>
  <c r="I233" i="9" s="1"/>
  <c r="H434" i="9"/>
  <c r="I434" i="9" s="1"/>
  <c r="H241" i="9"/>
  <c r="I241" i="9" s="1"/>
  <c r="H108" i="9"/>
  <c r="I108" i="9" s="1"/>
  <c r="H328" i="9"/>
  <c r="I328" i="9" s="1"/>
  <c r="H424" i="9"/>
  <c r="I424" i="9" s="1"/>
  <c r="H220" i="9"/>
  <c r="I220" i="9" s="1"/>
  <c r="H191" i="9"/>
  <c r="I191" i="9" s="1"/>
  <c r="I773" i="7"/>
  <c r="J773" i="7" s="1"/>
  <c r="L773" i="7" s="1"/>
  <c r="H304" i="9"/>
  <c r="I304" i="9" s="1"/>
  <c r="H208" i="9"/>
  <c r="I208" i="9" s="1"/>
  <c r="H325" i="9"/>
  <c r="I325" i="9" s="1"/>
  <c r="L756" i="5"/>
  <c r="H186" i="9"/>
  <c r="I186" i="9" s="1"/>
  <c r="H180" i="9"/>
  <c r="I180" i="9" s="1"/>
  <c r="I802" i="12"/>
  <c r="I736" i="12"/>
  <c r="I740" i="12"/>
  <c r="H335" i="9"/>
  <c r="I335" i="9" s="1"/>
  <c r="I812" i="12"/>
  <c r="I765" i="12"/>
  <c r="I764" i="12"/>
  <c r="I755" i="12"/>
  <c r="I774" i="12"/>
  <c r="I700" i="12"/>
  <c r="H299" i="9"/>
  <c r="I299" i="9" s="1"/>
  <c r="L548" i="5"/>
  <c r="H316" i="9"/>
  <c r="I316" i="9" s="1"/>
  <c r="I778" i="12"/>
  <c r="I750" i="12"/>
  <c r="L666" i="5"/>
  <c r="I762" i="12"/>
  <c r="I794" i="12"/>
  <c r="H334" i="9"/>
  <c r="I334" i="9" s="1"/>
  <c r="H855" i="9"/>
  <c r="I855" i="9" s="1"/>
  <c r="H314" i="9"/>
  <c r="I314" i="9" s="1"/>
  <c r="L517" i="5"/>
  <c r="H909" i="9"/>
  <c r="I909" i="9" s="1"/>
  <c r="H15" i="9"/>
  <c r="I15" i="9" s="1"/>
  <c r="H329" i="9"/>
  <c r="I329" i="9" s="1"/>
  <c r="H206" i="9"/>
  <c r="I206" i="9" s="1"/>
  <c r="H35" i="9"/>
  <c r="I35" i="9" s="1"/>
  <c r="I803" i="7"/>
  <c r="J803" i="7" s="1"/>
  <c r="L803" i="7" s="1"/>
  <c r="I721" i="7"/>
  <c r="J721" i="7" s="1"/>
  <c r="L721" i="7" s="1"/>
  <c r="H223" i="9"/>
  <c r="I223" i="9" s="1"/>
  <c r="H874" i="9"/>
  <c r="I874" i="9" s="1"/>
  <c r="H876" i="9"/>
  <c r="I876" i="9" s="1"/>
  <c r="H10" i="9"/>
  <c r="I10" i="9" s="1"/>
  <c r="H66" i="9"/>
  <c r="I66" i="9" s="1"/>
  <c r="H886" i="9"/>
  <c r="I886" i="9" s="1"/>
  <c r="H11" i="9"/>
  <c r="I11" i="9" s="1"/>
  <c r="H116" i="9"/>
  <c r="I116" i="9" s="1"/>
  <c r="H105" i="9"/>
  <c r="I105" i="9" s="1"/>
  <c r="H298" i="9"/>
  <c r="I298" i="9" s="1"/>
  <c r="H908" i="9"/>
  <c r="I908" i="9" s="1"/>
  <c r="I810" i="12"/>
  <c r="L567" i="5"/>
  <c r="I735" i="12"/>
  <c r="I704" i="7"/>
  <c r="J704" i="7" s="1"/>
  <c r="L704" i="7" s="1"/>
  <c r="I725" i="7"/>
  <c r="J725" i="7" s="1"/>
  <c r="L725" i="7" s="1"/>
  <c r="I782" i="7"/>
  <c r="J782" i="7" s="1"/>
  <c r="L782" i="7" s="1"/>
  <c r="I683" i="7"/>
  <c r="J683" i="7" s="1"/>
  <c r="L683" i="7" s="1"/>
  <c r="L633" i="5"/>
  <c r="H338" i="9"/>
  <c r="I338" i="9" s="1"/>
  <c r="I735" i="7"/>
  <c r="J735" i="7" s="1"/>
  <c r="L735" i="7" s="1"/>
  <c r="I788" i="7"/>
  <c r="J788" i="7" s="1"/>
  <c r="L788" i="7" s="1"/>
  <c r="I819" i="7"/>
  <c r="J819" i="7" s="1"/>
  <c r="L819" i="7" s="1"/>
  <c r="I711" i="7"/>
  <c r="J711" i="7" s="1"/>
  <c r="L711" i="7" s="1"/>
  <c r="I716" i="7"/>
  <c r="J716" i="7" s="1"/>
  <c r="L716" i="7" s="1"/>
  <c r="L733" i="5"/>
  <c r="L767" i="5"/>
  <c r="L648" i="5"/>
  <c r="L701" i="5"/>
  <c r="L714" i="5"/>
  <c r="I809" i="12"/>
  <c r="I697" i="12"/>
  <c r="I695" i="12"/>
  <c r="I718" i="12"/>
  <c r="I699" i="12"/>
  <c r="I708" i="12"/>
  <c r="I702" i="12"/>
  <c r="I732" i="12"/>
  <c r="I704" i="12"/>
  <c r="I818" i="12"/>
  <c r="I724" i="12"/>
  <c r="I698" i="12"/>
  <c r="I743" i="12"/>
  <c r="I800" i="12"/>
  <c r="I785" i="12"/>
  <c r="I691" i="12"/>
  <c r="I758" i="12"/>
  <c r="I790" i="12"/>
  <c r="I693" i="12"/>
  <c r="I814" i="12"/>
  <c r="I710" i="12"/>
  <c r="I761" i="12"/>
  <c r="I781" i="12"/>
  <c r="I796" i="12"/>
  <c r="I703" i="12"/>
  <c r="I772" i="12"/>
  <c r="I819" i="12"/>
  <c r="I797" i="12"/>
  <c r="I689" i="12"/>
  <c r="I713" i="12"/>
  <c r="I733" i="12"/>
  <c r="I723" i="12"/>
  <c r="I792" i="12"/>
  <c r="I754" i="12"/>
  <c r="I816" i="12"/>
  <c r="I706" i="12"/>
  <c r="I799" i="12"/>
  <c r="I748" i="12"/>
  <c r="I769" i="12"/>
  <c r="I717" i="12"/>
  <c r="I726" i="12"/>
  <c r="I749" i="12"/>
  <c r="I766" i="12"/>
  <c r="I767" i="12"/>
  <c r="I789" i="12"/>
  <c r="I728" i="12"/>
  <c r="I747" i="12"/>
  <c r="I730" i="12"/>
  <c r="I682" i="12"/>
  <c r="I745" i="12"/>
  <c r="I707" i="12"/>
  <c r="I725" i="12"/>
  <c r="I821" i="12"/>
  <c r="I705" i="12"/>
  <c r="I760" i="7"/>
  <c r="J760" i="7" s="1"/>
  <c r="L760" i="7" s="1"/>
  <c r="I816" i="7"/>
  <c r="J816" i="7" s="1"/>
  <c r="L816" i="7" s="1"/>
  <c r="I708" i="7"/>
  <c r="J708" i="7" s="1"/>
  <c r="L708" i="7" s="1"/>
  <c r="I761" i="7"/>
  <c r="J761" i="7" s="1"/>
  <c r="L761" i="7" s="1"/>
  <c r="I755" i="7"/>
  <c r="J755" i="7" s="1"/>
  <c r="L755" i="7" s="1"/>
  <c r="I800" i="7"/>
  <c r="J800" i="7" s="1"/>
  <c r="L800" i="7" s="1"/>
  <c r="I738" i="7"/>
  <c r="J738" i="7" s="1"/>
  <c r="L738" i="7" s="1"/>
  <c r="I811" i="7"/>
  <c r="J811" i="7" s="1"/>
  <c r="L811" i="7" s="1"/>
  <c r="I727" i="7"/>
  <c r="J727" i="7" s="1"/>
  <c r="L727" i="7" s="1"/>
  <c r="I818" i="7"/>
  <c r="J818" i="7" s="1"/>
  <c r="L818" i="7" s="1"/>
  <c r="I762" i="7"/>
  <c r="J762" i="7" s="1"/>
  <c r="L762" i="7" s="1"/>
  <c r="I689" i="7"/>
  <c r="J689" i="7" s="1"/>
  <c r="L689" i="7" s="1"/>
  <c r="I810" i="7"/>
  <c r="J810" i="7" s="1"/>
  <c r="L810" i="7" s="1"/>
  <c r="I707" i="7"/>
  <c r="J707" i="7" s="1"/>
  <c r="L707" i="7" s="1"/>
  <c r="I780" i="7"/>
  <c r="J780" i="7" s="1"/>
  <c r="L780" i="7" s="1"/>
  <c r="I808" i="7"/>
  <c r="J808" i="7" s="1"/>
  <c r="L808" i="7" s="1"/>
  <c r="I702" i="7"/>
  <c r="J702" i="7" s="1"/>
  <c r="L702" i="7" s="1"/>
  <c r="I728" i="7"/>
  <c r="J728" i="7" s="1"/>
  <c r="L728" i="7" s="1"/>
  <c r="I694" i="7"/>
  <c r="J694" i="7" s="1"/>
  <c r="L694" i="7" s="1"/>
  <c r="I752" i="7"/>
  <c r="J752" i="7" s="1"/>
  <c r="L752" i="7" s="1"/>
  <c r="I753" i="7"/>
  <c r="J753" i="7" s="1"/>
  <c r="L753" i="7" s="1"/>
  <c r="I796" i="7"/>
  <c r="J796" i="7" s="1"/>
  <c r="L796" i="7" s="1"/>
  <c r="I751" i="7"/>
  <c r="J751" i="7" s="1"/>
  <c r="L751" i="7" s="1"/>
  <c r="I695" i="7"/>
  <c r="J695" i="7" s="1"/>
  <c r="L695" i="7" s="1"/>
  <c r="I757" i="7"/>
  <c r="J757" i="7" s="1"/>
  <c r="L757" i="7" s="1"/>
  <c r="I770" i="7"/>
  <c r="J770" i="7" s="1"/>
  <c r="L770" i="7" s="1"/>
  <c r="I797" i="7"/>
  <c r="J797" i="7" s="1"/>
  <c r="L797" i="7" s="1"/>
  <c r="I685" i="7"/>
  <c r="J685" i="7" s="1"/>
  <c r="L685" i="7" s="1"/>
  <c r="I766" i="7"/>
  <c r="J766" i="7" s="1"/>
  <c r="L766" i="7" s="1"/>
  <c r="I787" i="7"/>
  <c r="J787" i="7" s="1"/>
  <c r="L787" i="7" s="1"/>
  <c r="I706" i="7"/>
  <c r="J706" i="7" s="1"/>
  <c r="L706" i="7" s="1"/>
  <c r="I697" i="7"/>
  <c r="J697" i="7" s="1"/>
  <c r="L697" i="7" s="1"/>
  <c r="I791" i="7"/>
  <c r="J791" i="7" s="1"/>
  <c r="L791" i="7" s="1"/>
  <c r="I758" i="7"/>
  <c r="J758" i="7" s="1"/>
  <c r="L758" i="7" s="1"/>
  <c r="I741" i="7"/>
  <c r="J741" i="7" s="1"/>
  <c r="L741" i="7" s="1"/>
  <c r="I790" i="7"/>
  <c r="J790" i="7" s="1"/>
  <c r="L790" i="7" s="1"/>
  <c r="I768" i="7"/>
  <c r="J768" i="7" s="1"/>
  <c r="L768" i="7" s="1"/>
  <c r="I723" i="7"/>
  <c r="J723" i="7" s="1"/>
  <c r="L723" i="7" s="1"/>
  <c r="I756" i="7"/>
  <c r="J756" i="7" s="1"/>
  <c r="L756" i="7" s="1"/>
  <c r="I794" i="7"/>
  <c r="J794" i="7" s="1"/>
  <c r="L794" i="7" s="1"/>
  <c r="I684" i="7"/>
  <c r="J684" i="7" s="1"/>
  <c r="L684" i="7" s="1"/>
  <c r="I798" i="7"/>
  <c r="J798" i="7" s="1"/>
  <c r="L798" i="7" s="1"/>
  <c r="I746" i="7"/>
  <c r="J746" i="7" s="1"/>
  <c r="L746" i="7" s="1"/>
  <c r="I733" i="7"/>
  <c r="J733" i="7" s="1"/>
  <c r="L733" i="7" s="1"/>
  <c r="I812" i="7"/>
  <c r="J812" i="7" s="1"/>
  <c r="L812" i="7" s="1"/>
  <c r="I739" i="7"/>
  <c r="J739" i="7" s="1"/>
  <c r="L739" i="7" s="1"/>
  <c r="I815" i="7"/>
  <c r="J815" i="7" s="1"/>
  <c r="L815" i="7" s="1"/>
  <c r="I813" i="7"/>
  <c r="J813" i="7" s="1"/>
  <c r="L813" i="7" s="1"/>
  <c r="I701" i="7"/>
  <c r="J701" i="7" s="1"/>
  <c r="L701" i="7" s="1"/>
  <c r="I769" i="7"/>
  <c r="J769" i="7" s="1"/>
  <c r="L769" i="7" s="1"/>
  <c r="I779" i="7"/>
  <c r="J779" i="7" s="1"/>
  <c r="L779" i="7" s="1"/>
  <c r="I759" i="7"/>
  <c r="J759" i="7" s="1"/>
  <c r="L759" i="7" s="1"/>
  <c r="I799" i="7"/>
  <c r="J799" i="7" s="1"/>
  <c r="L799" i="7" s="1"/>
  <c r="I693" i="7"/>
  <c r="J693" i="7" s="1"/>
  <c r="L693" i="7" s="1"/>
  <c r="I687" i="7"/>
  <c r="J687" i="7" s="1"/>
  <c r="L687" i="7" s="1"/>
  <c r="I686" i="7"/>
  <c r="J686" i="7" s="1"/>
  <c r="L686" i="7" s="1"/>
  <c r="I698" i="7"/>
  <c r="J698" i="7" s="1"/>
  <c r="L698" i="7" s="1"/>
  <c r="I771" i="7"/>
  <c r="J771" i="7" s="1"/>
  <c r="L771" i="7" s="1"/>
  <c r="I700" i="7"/>
  <c r="J700" i="7" s="1"/>
  <c r="L700" i="7" s="1"/>
  <c r="I792" i="7"/>
  <c r="J792" i="7" s="1"/>
  <c r="L792" i="7" s="1"/>
  <c r="I714" i="7"/>
  <c r="J714" i="7" s="1"/>
  <c r="L714" i="7" s="1"/>
  <c r="I734" i="7"/>
  <c r="J734" i="7" s="1"/>
  <c r="L734" i="7" s="1"/>
  <c r="I749" i="7"/>
  <c r="J749" i="7" s="1"/>
  <c r="L749" i="7" s="1"/>
  <c r="I719" i="7"/>
  <c r="J719" i="7" s="1"/>
  <c r="L719" i="7" s="1"/>
  <c r="I682" i="7"/>
  <c r="J682" i="7" s="1"/>
  <c r="L682" i="7" s="1"/>
  <c r="I804" i="7"/>
  <c r="J804" i="7" s="1"/>
  <c r="L804" i="7" s="1"/>
  <c r="I705" i="7"/>
  <c r="J705" i="7" s="1"/>
  <c r="L705" i="7" s="1"/>
  <c r="I763" i="7"/>
  <c r="J763" i="7" s="1"/>
  <c r="L763" i="7" s="1"/>
  <c r="I740" i="7"/>
  <c r="J740" i="7" s="1"/>
  <c r="L740" i="7" s="1"/>
  <c r="I783" i="7"/>
  <c r="J783" i="7" s="1"/>
  <c r="L783" i="7" s="1"/>
  <c r="I696" i="7"/>
  <c r="J696" i="7" s="1"/>
  <c r="L696" i="7" s="1"/>
  <c r="I748" i="7"/>
  <c r="J748" i="7" s="1"/>
  <c r="L748" i="7" s="1"/>
  <c r="I784" i="7"/>
  <c r="J784" i="7" s="1"/>
  <c r="L784" i="7" s="1"/>
  <c r="I765" i="7"/>
  <c r="J765" i="7" s="1"/>
  <c r="L765" i="7" s="1"/>
  <c r="I814" i="7"/>
  <c r="J814" i="7" s="1"/>
  <c r="L814" i="7" s="1"/>
  <c r="I743" i="7"/>
  <c r="J743" i="7" s="1"/>
  <c r="L743" i="7" s="1"/>
  <c r="I699" i="7"/>
  <c r="J699" i="7" s="1"/>
  <c r="L699" i="7" s="1"/>
  <c r="I730" i="7"/>
  <c r="J730" i="7" s="1"/>
  <c r="L730" i="7" s="1"/>
  <c r="I809" i="7"/>
  <c r="J809" i="7" s="1"/>
  <c r="L809" i="7" s="1"/>
  <c r="I764" i="7"/>
  <c r="J764" i="7" s="1"/>
  <c r="L764" i="7" s="1"/>
  <c r="I722" i="7"/>
  <c r="J722" i="7" s="1"/>
  <c r="L722" i="7" s="1"/>
  <c r="I720" i="7"/>
  <c r="J720" i="7" s="1"/>
  <c r="L720" i="7" s="1"/>
  <c r="I745" i="7"/>
  <c r="J745" i="7" s="1"/>
  <c r="L745" i="7" s="1"/>
  <c r="I807" i="7"/>
  <c r="J807" i="7" s="1"/>
  <c r="L807" i="7" s="1"/>
  <c r="I802" i="7"/>
  <c r="J802" i="7" s="1"/>
  <c r="L802" i="7" s="1"/>
  <c r="I747" i="7"/>
  <c r="J747" i="7" s="1"/>
  <c r="L747" i="7" s="1"/>
  <c r="I732" i="7"/>
  <c r="J732" i="7" s="1"/>
  <c r="L732" i="7" s="1"/>
  <c r="I806" i="7"/>
  <c r="J806" i="7" s="1"/>
  <c r="L806" i="7" s="1"/>
  <c r="I767" i="7"/>
  <c r="J767" i="7" s="1"/>
  <c r="L767" i="7" s="1"/>
  <c r="I726" i="7"/>
  <c r="J726" i="7" s="1"/>
  <c r="L726" i="7" s="1"/>
  <c r="I774" i="7"/>
  <c r="J774" i="7" s="1"/>
  <c r="L774" i="7" s="1"/>
  <c r="I775" i="7"/>
  <c r="J775" i="7" s="1"/>
  <c r="L775" i="7" s="1"/>
  <c r="I821" i="7"/>
  <c r="J821" i="7" s="1"/>
  <c r="L821" i="7" s="1"/>
  <c r="I817" i="7"/>
  <c r="J817" i="7" s="1"/>
  <c r="L817" i="7" s="1"/>
  <c r="I805" i="7"/>
  <c r="J805" i="7" s="1"/>
  <c r="L805" i="7" s="1"/>
  <c r="I777" i="7"/>
  <c r="J777" i="7" s="1"/>
  <c r="L777" i="7" s="1"/>
  <c r="I715" i="7"/>
  <c r="J715" i="7" s="1"/>
  <c r="L715" i="7" s="1"/>
  <c r="I750" i="7"/>
  <c r="J750" i="7" s="1"/>
  <c r="L750" i="7" s="1"/>
  <c r="I795" i="7"/>
  <c r="J795" i="7" s="1"/>
  <c r="L795" i="7" s="1"/>
  <c r="I731" i="7"/>
  <c r="J731" i="7" s="1"/>
  <c r="L731" i="7" s="1"/>
  <c r="I781" i="7"/>
  <c r="J781" i="7" s="1"/>
  <c r="L781" i="7" s="1"/>
  <c r="I801" i="7"/>
  <c r="J801" i="7" s="1"/>
  <c r="L801" i="7" s="1"/>
  <c r="I712" i="7"/>
  <c r="J712" i="7" s="1"/>
  <c r="L712" i="7" s="1"/>
  <c r="I713" i="7"/>
  <c r="J713" i="7" s="1"/>
  <c r="L713" i="7" s="1"/>
  <c r="I793" i="7"/>
  <c r="J793" i="7" s="1"/>
  <c r="L793" i="7" s="1"/>
  <c r="I737" i="7"/>
  <c r="J737" i="7" s="1"/>
  <c r="L737" i="7" s="1"/>
  <c r="I772" i="7"/>
  <c r="J772" i="7" s="1"/>
  <c r="L772" i="7" s="1"/>
  <c r="I736" i="7"/>
  <c r="J736" i="7" s="1"/>
  <c r="L736" i="7" s="1"/>
  <c r="I729" i="7"/>
  <c r="J729" i="7" s="1"/>
  <c r="L729" i="7" s="1"/>
  <c r="I776" i="7"/>
  <c r="J776" i="7" s="1"/>
  <c r="L776" i="7" s="1"/>
  <c r="I709" i="7"/>
  <c r="J709" i="7" s="1"/>
  <c r="L709" i="7" s="1"/>
  <c r="I789" i="7"/>
  <c r="J789" i="7" s="1"/>
  <c r="L789" i="7" s="1"/>
  <c r="I778" i="7"/>
  <c r="J778" i="7" s="1"/>
  <c r="L778" i="7" s="1"/>
  <c r="I691" i="7"/>
  <c r="J691" i="7" s="1"/>
  <c r="L691" i="7" s="1"/>
  <c r="I744" i="7"/>
  <c r="J744" i="7" s="1"/>
  <c r="L744" i="7" s="1"/>
  <c r="I786" i="7"/>
  <c r="J786" i="7" s="1"/>
  <c r="L786" i="7" s="1"/>
  <c r="J426" i="2"/>
  <c r="K426" i="2" s="1"/>
  <c r="L426" i="2" s="1"/>
  <c r="J207" i="2"/>
  <c r="K207" i="2" s="1"/>
  <c r="L207" i="2" s="1"/>
  <c r="J799" i="2"/>
  <c r="K799" i="2" s="1"/>
  <c r="L799" i="2" s="1"/>
  <c r="L662" i="5"/>
  <c r="L697" i="5"/>
  <c r="L487" i="5"/>
  <c r="L492" i="5"/>
  <c r="L735" i="5"/>
  <c r="L508" i="5"/>
  <c r="L760" i="5"/>
  <c r="L668" i="5"/>
  <c r="L704" i="5"/>
  <c r="L642" i="5"/>
  <c r="L652" i="5"/>
  <c r="L793" i="5"/>
  <c r="L745" i="5"/>
  <c r="L696" i="5"/>
  <c r="L569" i="5"/>
  <c r="L537" i="5"/>
  <c r="L713" i="5"/>
  <c r="L632" i="5"/>
  <c r="L817" i="5"/>
  <c r="L757" i="5"/>
  <c r="L639" i="5"/>
  <c r="L535" i="5"/>
  <c r="L638" i="5"/>
  <c r="L811" i="5"/>
  <c r="L572" i="5"/>
  <c r="L646" i="5"/>
  <c r="L807" i="5"/>
  <c r="L818" i="5"/>
  <c r="L727" i="5"/>
  <c r="L755" i="5"/>
  <c r="L647" i="5"/>
  <c r="L489" i="5"/>
  <c r="L482" i="5"/>
  <c r="L706" i="5"/>
  <c r="L555" i="5"/>
  <c r="L804" i="5"/>
  <c r="L523" i="5"/>
  <c r="L577" i="5"/>
  <c r="L658" i="5"/>
  <c r="L659" i="5"/>
  <c r="L773" i="5"/>
  <c r="L675" i="5"/>
  <c r="L685" i="5"/>
  <c r="L759" i="5"/>
  <c r="L805" i="5"/>
  <c r="L672" i="5"/>
  <c r="L723" i="5"/>
  <c r="L660" i="5"/>
  <c r="L480" i="5"/>
  <c r="L636" i="5"/>
  <c r="L515" i="5"/>
  <c r="L730" i="5"/>
  <c r="L777" i="5"/>
  <c r="L802" i="5"/>
  <c r="L551" i="5"/>
  <c r="L753" i="5"/>
  <c r="L665" i="5"/>
  <c r="H430" i="9"/>
  <c r="I430" i="9" s="1"/>
  <c r="H895" i="9"/>
  <c r="I895" i="9" s="1"/>
  <c r="H903" i="9"/>
  <c r="I903" i="9" s="1"/>
  <c r="H185" i="9"/>
  <c r="I185" i="9" s="1"/>
  <c r="H541" i="9"/>
  <c r="I541" i="9" s="1"/>
  <c r="H331" i="9"/>
  <c r="I331" i="9" s="1"/>
  <c r="H882" i="9"/>
  <c r="I882" i="9" s="1"/>
  <c r="H310" i="9"/>
  <c r="I310" i="9" s="1"/>
  <c r="H540" i="9"/>
  <c r="I540" i="9" s="1"/>
  <c r="H910" i="9"/>
  <c r="I910" i="9" s="1"/>
  <c r="H18" i="9"/>
  <c r="I18" i="9" s="1"/>
  <c r="H51" i="9"/>
  <c r="I51" i="9" s="1"/>
  <c r="H427" i="9"/>
  <c r="I427" i="9" s="1"/>
  <c r="H889" i="9"/>
  <c r="I889" i="9" s="1"/>
  <c r="H202" i="9"/>
  <c r="I202" i="9" s="1"/>
  <c r="H16" i="9"/>
  <c r="I16" i="9" s="1"/>
  <c r="H297" i="9"/>
  <c r="I297" i="9" s="1"/>
  <c r="H851" i="9"/>
  <c r="I851" i="9" s="1"/>
  <c r="H305" i="9"/>
  <c r="I305" i="9" s="1"/>
  <c r="H858" i="9"/>
  <c r="I858" i="9" s="1"/>
  <c r="H239" i="9"/>
  <c r="I239" i="9" s="1"/>
  <c r="H120" i="9"/>
  <c r="I120" i="9" s="1"/>
  <c r="H229" i="9"/>
  <c r="I229" i="9" s="1"/>
  <c r="H892" i="9"/>
  <c r="I892" i="9" s="1"/>
  <c r="H915" i="9"/>
  <c r="I915" i="9" s="1"/>
  <c r="H873" i="9"/>
  <c r="I873" i="9" s="1"/>
  <c r="H339" i="9"/>
  <c r="I339" i="9" s="1"/>
  <c r="H22" i="9"/>
  <c r="I22" i="9" s="1"/>
  <c r="H182" i="9"/>
  <c r="I182" i="9" s="1"/>
  <c r="H196" i="9"/>
  <c r="I196" i="9" s="1"/>
  <c r="H879" i="9"/>
  <c r="I879" i="9" s="1"/>
  <c r="H119" i="9"/>
  <c r="I119" i="9" s="1"/>
  <c r="H221" i="9"/>
  <c r="I221" i="9" s="1"/>
  <c r="H336" i="9"/>
  <c r="I336" i="9" s="1"/>
  <c r="H106" i="9"/>
  <c r="I106" i="9" s="1"/>
  <c r="H880" i="9"/>
  <c r="I880" i="9" s="1"/>
  <c r="H194" i="9"/>
  <c r="I194" i="9" s="1"/>
  <c r="H237" i="9"/>
  <c r="I237" i="9" s="1"/>
  <c r="H125" i="9"/>
  <c r="I125" i="9" s="1"/>
  <c r="H868" i="9"/>
  <c r="I868" i="9" s="1"/>
  <c r="H184" i="9"/>
  <c r="I184" i="9" s="1"/>
  <c r="H306" i="9"/>
  <c r="I306" i="9" s="1"/>
  <c r="H897" i="9"/>
  <c r="I897" i="9" s="1"/>
  <c r="H225" i="9"/>
  <c r="I225" i="9" s="1"/>
  <c r="H290" i="9"/>
  <c r="I290" i="9" s="1"/>
  <c r="H293" i="9"/>
  <c r="I293" i="9" s="1"/>
  <c r="H872" i="9"/>
  <c r="I872" i="9" s="1"/>
  <c r="H44" i="9"/>
  <c r="I44" i="9" s="1"/>
  <c r="H190" i="9"/>
  <c r="I190" i="9" s="1"/>
  <c r="H857" i="9"/>
  <c r="I857" i="9" s="1"/>
  <c r="H188" i="9"/>
  <c r="I188" i="9" s="1"/>
  <c r="H224" i="9"/>
  <c r="I224" i="9" s="1"/>
  <c r="H209" i="9"/>
  <c r="I209" i="9" s="1"/>
  <c r="H46" i="9"/>
  <c r="I46" i="9" s="1"/>
  <c r="H130" i="9"/>
  <c r="I130" i="9" s="1"/>
  <c r="H294" i="9"/>
  <c r="I294" i="9" s="1"/>
  <c r="H218" i="9"/>
  <c r="I218" i="9" s="1"/>
  <c r="H870" i="9"/>
  <c r="I870" i="9" s="1"/>
  <c r="H319" i="9"/>
  <c r="I319" i="9" s="1"/>
  <c r="H235" i="9"/>
  <c r="I235" i="9" s="1"/>
  <c r="H537" i="9"/>
  <c r="I537" i="9" s="1"/>
  <c r="H228" i="9"/>
  <c r="I228" i="9" s="1"/>
  <c r="H301" i="9"/>
  <c r="I301" i="9" s="1"/>
  <c r="H203" i="9"/>
  <c r="I203" i="9" s="1"/>
  <c r="H45" i="9"/>
  <c r="I45" i="9" s="1"/>
  <c r="H128" i="9"/>
  <c r="I128" i="9" s="1"/>
  <c r="H181" i="9"/>
  <c r="I181" i="9" s="1"/>
  <c r="H308" i="9"/>
  <c r="I308" i="9" s="1"/>
  <c r="H548" i="9"/>
  <c r="I548" i="9" s="1"/>
  <c r="H878" i="9"/>
  <c r="I878" i="9" s="1"/>
  <c r="H850" i="9"/>
  <c r="I850" i="9" s="1"/>
  <c r="H899" i="9"/>
  <c r="I899" i="9" s="1"/>
  <c r="H124" i="9"/>
  <c r="I124" i="9" s="1"/>
  <c r="H859" i="9"/>
  <c r="I859" i="9" s="1"/>
  <c r="H443" i="9"/>
  <c r="I443" i="9" s="1"/>
  <c r="H240" i="9"/>
  <c r="I240" i="9" s="1"/>
  <c r="H538" i="9"/>
  <c r="I538" i="9" s="1"/>
  <c r="H201" i="9"/>
  <c r="I201" i="9" s="1"/>
  <c r="H219" i="9"/>
  <c r="I219" i="9" s="1"/>
  <c r="H890" i="9"/>
  <c r="I890" i="9" s="1"/>
  <c r="H906" i="9"/>
  <c r="I906" i="9" s="1"/>
  <c r="H869" i="9"/>
  <c r="I869" i="9" s="1"/>
  <c r="H118" i="9"/>
  <c r="I118" i="9" s="1"/>
  <c r="H315" i="9"/>
  <c r="I315" i="9" s="1"/>
  <c r="H288" i="9"/>
  <c r="I288" i="9" s="1"/>
  <c r="H896" i="9"/>
  <c r="I896" i="9" s="1"/>
  <c r="H861" i="9"/>
  <c r="I861" i="9" s="1"/>
  <c r="H426" i="9"/>
  <c r="I426" i="9" s="1"/>
  <c r="H207" i="9"/>
  <c r="I207" i="9" s="1"/>
  <c r="H67" i="9"/>
  <c r="I67" i="9" s="1"/>
  <c r="H222" i="9"/>
  <c r="I222" i="9" s="1"/>
  <c r="H243" i="9"/>
  <c r="I243" i="9" s="1"/>
  <c r="H217" i="9"/>
  <c r="I217" i="9" s="1"/>
  <c r="H40" i="9"/>
  <c r="I40" i="9" s="1"/>
  <c r="H317" i="9"/>
  <c r="I317" i="9" s="1"/>
  <c r="H114" i="9"/>
  <c r="I114" i="9" s="1"/>
  <c r="H69" i="9"/>
  <c r="I69" i="9" s="1"/>
  <c r="H244" i="9"/>
  <c r="I244" i="9" s="1"/>
  <c r="H14" i="9"/>
  <c r="I14" i="9" s="1"/>
  <c r="H854" i="9"/>
  <c r="I854" i="9" s="1"/>
  <c r="H20" i="9"/>
  <c r="I20" i="9" s="1"/>
  <c r="H112" i="9"/>
  <c r="I112" i="9" s="1"/>
  <c r="H863" i="9"/>
  <c r="I863" i="9" s="1"/>
  <c r="H289" i="9"/>
  <c r="I289" i="9" s="1"/>
  <c r="H901" i="9"/>
  <c r="I901" i="9" s="1"/>
  <c r="H53" i="9"/>
  <c r="I53" i="9" s="1"/>
  <c r="H444" i="9"/>
  <c r="I444" i="9" s="1"/>
  <c r="H227" i="9"/>
  <c r="I227" i="9" s="1"/>
  <c r="H893" i="9"/>
  <c r="I893" i="9" s="1"/>
  <c r="H891" i="9"/>
  <c r="I891" i="9" s="1"/>
  <c r="H56" i="9"/>
  <c r="I56" i="9" s="1"/>
  <c r="H883" i="9"/>
  <c r="I883" i="9" s="1"/>
  <c r="H885" i="9"/>
  <c r="I885" i="9" s="1"/>
  <c r="H332" i="9"/>
  <c r="I332" i="9" s="1"/>
  <c r="H287" i="9"/>
  <c r="I287" i="9" s="1"/>
  <c r="H19" i="9"/>
  <c r="I19" i="9" s="1"/>
  <c r="H344" i="9"/>
  <c r="I344" i="9" s="1"/>
  <c r="H913" i="9"/>
  <c r="I913" i="9" s="1"/>
  <c r="H215" i="9"/>
  <c r="I215" i="9" s="1"/>
  <c r="H110" i="9"/>
  <c r="I110" i="9" s="1"/>
  <c r="H311" i="9"/>
  <c r="I311" i="9" s="1"/>
  <c r="H292" i="9"/>
  <c r="I292" i="9" s="1"/>
  <c r="H862" i="9"/>
  <c r="I862" i="9" s="1"/>
  <c r="H894" i="9"/>
  <c r="I894" i="9" s="1"/>
  <c r="H900" i="9"/>
  <c r="I900" i="9" s="1"/>
  <c r="H542" i="9"/>
  <c r="I542" i="9" s="1"/>
  <c r="H23" i="9"/>
  <c r="I23" i="9" s="1"/>
  <c r="H109" i="9"/>
  <c r="I109" i="9" s="1"/>
  <c r="H904" i="9"/>
  <c r="I904" i="9" s="1"/>
  <c r="H57" i="9"/>
  <c r="I57" i="9" s="1"/>
  <c r="H183" i="9"/>
  <c r="I183" i="9" s="1"/>
  <c r="H38" i="9"/>
  <c r="I38" i="9" s="1"/>
  <c r="H245" i="9"/>
  <c r="I245" i="9" s="1"/>
  <c r="H877" i="9"/>
  <c r="I877" i="9" s="1"/>
  <c r="H345" i="9"/>
  <c r="I345" i="9" s="1"/>
  <c r="H912" i="9"/>
  <c r="I912" i="9" s="1"/>
  <c r="H342" i="9"/>
  <c r="I342" i="9" s="1"/>
  <c r="H346" i="9"/>
  <c r="I346" i="9" s="1"/>
  <c r="H866" i="9"/>
  <c r="I866" i="9" s="1"/>
  <c r="H914" i="9"/>
  <c r="I914" i="9" s="1"/>
  <c r="H123" i="9"/>
  <c r="I123" i="9" s="1"/>
  <c r="H193" i="9"/>
  <c r="I193" i="9" s="1"/>
  <c r="H205" i="9"/>
  <c r="I205" i="9" s="1"/>
  <c r="H871" i="9"/>
  <c r="I871" i="9" s="1"/>
  <c r="H102" i="9"/>
  <c r="I102" i="9" s="1"/>
  <c r="H210" i="9"/>
  <c r="I210" i="9" s="1"/>
  <c r="H115" i="9"/>
  <c r="I115" i="9" s="1"/>
  <c r="H446" i="9"/>
  <c r="I446" i="9" s="1"/>
  <c r="H312" i="9"/>
  <c r="I312" i="9" s="1"/>
  <c r="H341" i="9"/>
  <c r="I341" i="9" s="1"/>
  <c r="H104" i="9"/>
  <c r="I104" i="9" s="1"/>
  <c r="H295" i="9"/>
  <c r="I295" i="9" s="1"/>
  <c r="H337" i="9"/>
  <c r="I337" i="9" s="1"/>
  <c r="H849" i="9"/>
  <c r="I849" i="9" s="1"/>
  <c r="H122" i="9"/>
  <c r="I122" i="9" s="1"/>
  <c r="H48" i="9"/>
  <c r="I48" i="9" s="1"/>
  <c r="H303" i="9"/>
  <c r="I303" i="9" s="1"/>
  <c r="H884" i="9"/>
  <c r="I884" i="9" s="1"/>
  <c r="H192" i="9"/>
  <c r="I192" i="9" s="1"/>
  <c r="H330" i="9"/>
  <c r="I330" i="9" s="1"/>
  <c r="H535" i="9"/>
  <c r="I535" i="9" s="1"/>
  <c r="H195" i="9"/>
  <c r="I195" i="9" s="1"/>
  <c r="H129" i="9"/>
  <c r="I129" i="9" s="1"/>
  <c r="H865" i="9"/>
  <c r="I865" i="9" s="1"/>
  <c r="H21" i="9"/>
  <c r="I21" i="9" s="1"/>
  <c r="H442" i="9"/>
  <c r="I442" i="9" s="1"/>
  <c r="H546" i="9"/>
  <c r="I546" i="9" s="1"/>
  <c r="H907" i="9"/>
  <c r="I907" i="9" s="1"/>
  <c r="H333" i="9"/>
  <c r="I333" i="9" s="1"/>
  <c r="H13" i="9"/>
  <c r="I13" i="9" s="1"/>
  <c r="H197" i="9"/>
  <c r="I197" i="9" s="1"/>
  <c r="H216" i="9"/>
  <c r="I216" i="9" s="1"/>
  <c r="H236" i="9"/>
  <c r="I236" i="9" s="1"/>
  <c r="H213" i="9"/>
  <c r="I213" i="9" s="1"/>
  <c r="H867" i="9"/>
  <c r="I867" i="9" s="1"/>
  <c r="H324" i="9"/>
  <c r="I324" i="9" s="1"/>
  <c r="H916" i="9"/>
  <c r="I916" i="9" s="1"/>
  <c r="H238" i="9"/>
  <c r="I238" i="9" s="1"/>
  <c r="H302" i="9"/>
  <c r="I302" i="9" s="1"/>
  <c r="H73" i="9"/>
  <c r="I73" i="9" s="1"/>
  <c r="H425" i="9"/>
  <c r="I425" i="9" s="1"/>
  <c r="H539" i="9"/>
  <c r="I539" i="9" s="1"/>
  <c r="H199" i="9"/>
  <c r="I199" i="9" s="1"/>
  <c r="H231" i="9"/>
  <c r="I231" i="9" s="1"/>
  <c r="H911" i="9"/>
  <c r="I911" i="9" s="1"/>
  <c r="H189" i="9"/>
  <c r="I189" i="9" s="1"/>
  <c r="H433" i="9"/>
  <c r="I433" i="9" s="1"/>
  <c r="H226" i="9"/>
  <c r="I226" i="9" s="1"/>
  <c r="H440" i="9"/>
  <c r="I440" i="9" s="1"/>
  <c r="H232" i="9"/>
  <c r="I232" i="9" s="1"/>
  <c r="H543" i="9"/>
  <c r="I543" i="9" s="1"/>
  <c r="H905" i="9"/>
  <c r="I905" i="9" s="1"/>
  <c r="H309" i="9"/>
  <c r="I309" i="9" s="1"/>
  <c r="H211" i="9"/>
  <c r="I211" i="9" s="1"/>
  <c r="H441" i="9"/>
  <c r="I441" i="9" s="1"/>
  <c r="H103" i="9"/>
  <c r="I103" i="9" s="1"/>
  <c r="H212" i="9"/>
  <c r="I212" i="9" s="1"/>
  <c r="H856" i="9"/>
  <c r="I856" i="9" s="1"/>
  <c r="H888" i="9"/>
  <c r="I888" i="9" s="1"/>
  <c r="H860" i="9"/>
  <c r="I860" i="9" s="1"/>
  <c r="H17" i="9"/>
  <c r="I17" i="9" s="1"/>
  <c r="H321" i="9"/>
  <c r="I321" i="9" s="1"/>
  <c r="H875" i="9"/>
  <c r="I875" i="9" s="1"/>
  <c r="H121" i="9"/>
  <c r="I121" i="9" s="1"/>
  <c r="H214" i="9"/>
  <c r="I214" i="9" s="1"/>
  <c r="H187" i="9"/>
  <c r="I187" i="9" s="1"/>
  <c r="H291" i="9"/>
  <c r="I291" i="9" s="1"/>
  <c r="H313" i="9"/>
  <c r="I313" i="9" s="1"/>
  <c r="H445" i="9"/>
  <c r="I445" i="9" s="1"/>
  <c r="H204" i="9"/>
  <c r="I204" i="9" s="1"/>
  <c r="H242" i="9"/>
  <c r="I242" i="9" s="1"/>
  <c r="H296" i="9"/>
  <c r="I296" i="9" s="1"/>
  <c r="H117" i="9"/>
  <c r="I117" i="9" s="1"/>
  <c r="H111" i="9"/>
  <c r="I111" i="9" s="1"/>
  <c r="H126" i="9"/>
  <c r="I126" i="9" s="1"/>
  <c r="H340" i="9"/>
  <c r="I340" i="9" s="1"/>
  <c r="H898" i="9"/>
  <c r="I898" i="9" s="1"/>
  <c r="H326" i="9"/>
  <c r="I326" i="9" s="1"/>
  <c r="H200" i="9"/>
  <c r="I200" i="9" s="1"/>
  <c r="H37" i="9"/>
  <c r="I37" i="9" s="1"/>
  <c r="J221" i="2"/>
  <c r="K221" i="2" s="1"/>
  <c r="L221" i="2" s="1"/>
  <c r="J524" i="2"/>
  <c r="K524" i="2" s="1"/>
  <c r="L524" i="2" s="1"/>
  <c r="J136" i="2"/>
  <c r="K136" i="2" s="1"/>
  <c r="L136" i="2" s="1"/>
  <c r="J133" i="2"/>
  <c r="K133" i="2" s="1"/>
  <c r="L133" i="2" s="1"/>
  <c r="J130" i="2"/>
  <c r="K130" i="2" s="1"/>
  <c r="L130" i="2" s="1"/>
  <c r="J806" i="2"/>
  <c r="K806" i="2" s="1"/>
  <c r="L806" i="2" s="1"/>
  <c r="J596" i="2"/>
  <c r="J420" i="2"/>
  <c r="K420" i="2" s="1"/>
  <c r="L420" i="2" s="1"/>
  <c r="J527" i="2"/>
  <c r="K527" i="2" s="1"/>
  <c r="L527" i="2" s="1"/>
  <c r="J413" i="2"/>
  <c r="K413" i="2" s="1"/>
  <c r="L413" i="2" s="1"/>
  <c r="J608" i="2"/>
  <c r="K608" i="2" s="1"/>
  <c r="L608" i="2" s="1"/>
  <c r="J425" i="2"/>
  <c r="K425" i="2" s="1"/>
  <c r="L425" i="2" s="1"/>
  <c r="J297" i="2"/>
  <c r="K297" i="2" s="1"/>
  <c r="L297" i="2" s="1"/>
  <c r="J738" i="2"/>
  <c r="K738" i="2" s="1"/>
  <c r="L738" i="2" s="1"/>
  <c r="J135" i="2"/>
  <c r="K135" i="2" s="1"/>
  <c r="L135" i="2" s="1"/>
  <c r="J733" i="2"/>
  <c r="K733" i="2" s="1"/>
  <c r="L733" i="2" s="1"/>
  <c r="J213" i="2"/>
  <c r="K213" i="2" s="1"/>
  <c r="L213" i="2" s="1"/>
  <c r="J803" i="2"/>
  <c r="K803" i="2" s="1"/>
  <c r="L803" i="2" s="1"/>
  <c r="J57" i="2"/>
  <c r="K57" i="2" s="1"/>
  <c r="L57" i="2" s="1"/>
  <c r="J132" i="2"/>
  <c r="K132" i="2" s="1"/>
  <c r="L132" i="2" s="1"/>
  <c r="J209" i="2"/>
  <c r="K209" i="2" s="1"/>
  <c r="L209" i="2" s="1"/>
  <c r="J521" i="2"/>
  <c r="K521" i="2" s="1"/>
  <c r="L521" i="2" s="1"/>
  <c r="J54" i="2"/>
  <c r="K54" i="2" s="1"/>
  <c r="L54" i="2" s="1"/>
  <c r="J595" i="2"/>
  <c r="K595" i="2" s="1"/>
  <c r="L595" i="2" s="1"/>
  <c r="J606" i="2"/>
  <c r="K606" i="2" s="1"/>
  <c r="L606" i="2" s="1"/>
  <c r="J740" i="2"/>
  <c r="K740" i="2" s="1"/>
  <c r="L740" i="2" s="1"/>
  <c r="J605" i="2"/>
  <c r="K605" i="2" s="1"/>
  <c r="L605" i="2" s="1"/>
  <c r="J611" i="2"/>
  <c r="K611" i="2" s="1"/>
  <c r="L611" i="2" s="1"/>
  <c r="J735" i="2"/>
  <c r="K735" i="2" s="1"/>
  <c r="L735" i="2" s="1"/>
  <c r="J679" i="2"/>
  <c r="K679" i="2" s="1"/>
  <c r="L679" i="2" s="1"/>
  <c r="J424" i="2"/>
  <c r="K424" i="2" s="1"/>
  <c r="L424" i="2" s="1"/>
  <c r="J56" i="2"/>
  <c r="K56" i="2" s="1"/>
  <c r="L56" i="2" s="1"/>
  <c r="J418" i="2"/>
  <c r="K418" i="2" s="1"/>
  <c r="L418" i="2" s="1"/>
  <c r="J296" i="2"/>
  <c r="K296" i="2" s="1"/>
  <c r="L296" i="2" s="1"/>
  <c r="J520" i="2"/>
  <c r="K520" i="2" s="1"/>
  <c r="L520" i="2" s="1"/>
  <c r="J208" i="2"/>
  <c r="K208" i="2" s="1"/>
  <c r="L208" i="2" s="1"/>
  <c r="J301" i="2"/>
  <c r="K301" i="2" s="1"/>
  <c r="L301" i="2" s="1"/>
  <c r="J802" i="2"/>
  <c r="K802" i="2" s="1"/>
  <c r="L802" i="2" s="1"/>
  <c r="J216" i="2"/>
  <c r="K216" i="2" s="1"/>
  <c r="L216" i="2" s="1"/>
  <c r="J58" i="2"/>
  <c r="K58" i="2" s="1"/>
  <c r="L58" i="2" s="1"/>
  <c r="J739" i="2"/>
  <c r="K739" i="2" s="1"/>
  <c r="L739" i="2" s="1"/>
  <c r="J422" i="2"/>
  <c r="K422" i="2" s="1"/>
  <c r="L422" i="2" s="1"/>
  <c r="J680" i="2"/>
  <c r="K680" i="2" s="1"/>
  <c r="L680" i="2" s="1"/>
  <c r="J614" i="2"/>
  <c r="K614" i="2" s="1"/>
  <c r="L614" i="2" s="1"/>
  <c r="J419" i="2"/>
  <c r="K419" i="2" s="1"/>
  <c r="L419" i="2" s="1"/>
  <c r="J602" i="2"/>
  <c r="K602" i="2" s="1"/>
  <c r="L602" i="2" s="1"/>
  <c r="J131" i="2"/>
  <c r="K131" i="2" s="1"/>
  <c r="L131" i="2" s="1"/>
  <c r="J674" i="2"/>
  <c r="K674" i="2" s="1"/>
  <c r="L674" i="2" s="1"/>
  <c r="J421" i="2"/>
  <c r="K421" i="2" s="1"/>
  <c r="L421" i="2" s="1"/>
  <c r="J678" i="2"/>
  <c r="K678" i="2" s="1"/>
  <c r="L678" i="2" s="1"/>
  <c r="J597" i="2"/>
  <c r="K597" i="2" s="1"/>
  <c r="L597" i="2" s="1"/>
  <c r="J219" i="2"/>
  <c r="K219" i="2" s="1"/>
  <c r="L219" i="2" s="1"/>
  <c r="J797" i="2"/>
  <c r="K797" i="2" s="1"/>
  <c r="L797" i="2" s="1"/>
  <c r="J293" i="2"/>
  <c r="K293" i="2" s="1"/>
  <c r="L293" i="2" s="1"/>
  <c r="J134" i="2"/>
  <c r="K134" i="2" s="1"/>
  <c r="L134" i="2" s="1"/>
  <c r="J60" i="2"/>
  <c r="K60" i="2" s="1"/>
  <c r="L60" i="2" s="1"/>
  <c r="J609" i="2"/>
  <c r="K609" i="2" s="1"/>
  <c r="L609" i="2" s="1"/>
  <c r="J516" i="2"/>
  <c r="K516" i="2" s="1"/>
  <c r="L516" i="2" s="1"/>
  <c r="Y779" i="7"/>
  <c r="E779" i="7"/>
  <c r="E687" i="7"/>
  <c r="Y687" i="7"/>
  <c r="E765" i="7"/>
  <c r="Y765" i="7"/>
  <c r="E723" i="7"/>
  <c r="Y723" i="7"/>
  <c r="E704" i="7"/>
  <c r="Y704" i="7"/>
  <c r="Y781" i="7"/>
  <c r="E781" i="7"/>
  <c r="Y719" i="7"/>
  <c r="E719" i="7"/>
  <c r="J294" i="2"/>
  <c r="K294" i="2" s="1"/>
  <c r="L294" i="2" s="1"/>
  <c r="Y737" i="7"/>
  <c r="E737" i="7"/>
  <c r="E816" i="7"/>
  <c r="Y816" i="7"/>
  <c r="J415" i="2"/>
  <c r="K415" i="2" s="1"/>
  <c r="L415" i="2" s="1"/>
  <c r="Y714" i="7"/>
  <c r="E714" i="7"/>
  <c r="J61" i="2"/>
  <c r="K61" i="2" s="1"/>
  <c r="L61" i="2" s="1"/>
  <c r="E694" i="7"/>
  <c r="Y694" i="7"/>
  <c r="E752" i="7"/>
  <c r="Y752" i="7"/>
  <c r="J798" i="2"/>
  <c r="K798" i="2" s="1"/>
  <c r="L798" i="2" s="1"/>
  <c r="E815" i="7"/>
  <c r="Y815" i="7"/>
  <c r="J129" i="2"/>
  <c r="K129" i="2" s="1"/>
  <c r="L129" i="2" s="1"/>
  <c r="Y734" i="7"/>
  <c r="E734" i="7"/>
  <c r="E776" i="7"/>
  <c r="Y776" i="7"/>
  <c r="Y741" i="7"/>
  <c r="E741" i="7"/>
  <c r="Y720" i="7"/>
  <c r="E720" i="7"/>
  <c r="E774" i="7"/>
  <c r="Y774" i="7"/>
  <c r="E780" i="7"/>
  <c r="Y780" i="7"/>
  <c r="J423" i="2"/>
  <c r="K423" i="2" s="1"/>
  <c r="L423" i="2" s="1"/>
  <c r="J600" i="2"/>
  <c r="K600" i="2" s="1"/>
  <c r="L600" i="2" s="1"/>
  <c r="J821" i="2"/>
  <c r="K821" i="2" s="1"/>
  <c r="L821" i="2" s="1"/>
  <c r="J604" i="2"/>
  <c r="K604" i="2" s="1"/>
  <c r="L604" i="2" s="1"/>
  <c r="J302" i="2"/>
  <c r="K302" i="2" s="1"/>
  <c r="L302" i="2" s="1"/>
  <c r="E792" i="7"/>
  <c r="Y792" i="7"/>
  <c r="Y799" i="7"/>
  <c r="E799" i="7"/>
  <c r="E760" i="7"/>
  <c r="Y760" i="7"/>
  <c r="E747" i="7"/>
  <c r="Y747" i="7"/>
  <c r="J601" i="2"/>
  <c r="K601" i="2" s="1"/>
  <c r="L601" i="2" s="1"/>
  <c r="J427" i="2"/>
  <c r="K427" i="2" s="1"/>
  <c r="L427" i="2" s="1"/>
  <c r="J517" i="2"/>
  <c r="K517" i="2" s="1"/>
  <c r="L517" i="2" s="1"/>
  <c r="Y785" i="7"/>
  <c r="E785" i="7"/>
  <c r="J523" i="2"/>
  <c r="K523" i="2" s="1"/>
  <c r="L523" i="2" s="1"/>
  <c r="J223" i="2"/>
  <c r="K223" i="2" s="1"/>
  <c r="L223" i="2" s="1"/>
  <c r="J673" i="2"/>
  <c r="K673" i="2" s="1"/>
  <c r="L673" i="2" s="1"/>
  <c r="J801" i="2"/>
  <c r="K801" i="2" s="1"/>
  <c r="L801" i="2" s="1"/>
  <c r="J299" i="2"/>
  <c r="K299" i="2" s="1"/>
  <c r="L299" i="2" s="1"/>
  <c r="Y744" i="7"/>
  <c r="E744" i="7"/>
  <c r="E702" i="7"/>
  <c r="Y702" i="7"/>
  <c r="Y699" i="7"/>
  <c r="E699" i="7"/>
  <c r="J676" i="2"/>
  <c r="K676" i="2" s="1"/>
  <c r="L676" i="2" s="1"/>
  <c r="J295" i="2"/>
  <c r="K295" i="2" s="1"/>
  <c r="L295" i="2" s="1"/>
  <c r="Y762" i="7"/>
  <c r="E762" i="7"/>
  <c r="J610" i="2"/>
  <c r="K610" i="2" s="1"/>
  <c r="L610" i="2" s="1"/>
  <c r="J210" i="2"/>
  <c r="K210" i="2" s="1"/>
  <c r="L210" i="2" s="1"/>
  <c r="Y750" i="7"/>
  <c r="E750" i="7"/>
  <c r="J734" i="2"/>
  <c r="K734" i="2" s="1"/>
  <c r="L734" i="2" s="1"/>
  <c r="Y742" i="7"/>
  <c r="E742" i="7"/>
  <c r="Y764" i="7"/>
  <c r="E764" i="7"/>
  <c r="Y767" i="7"/>
  <c r="E767" i="7"/>
  <c r="Y791" i="7"/>
  <c r="E791" i="7"/>
  <c r="E811" i="7"/>
  <c r="Y811" i="7"/>
  <c r="Y818" i="7"/>
  <c r="E818" i="7"/>
  <c r="E783" i="7"/>
  <c r="Y783" i="7"/>
  <c r="E715" i="7"/>
  <c r="Y715" i="7"/>
  <c r="E705" i="7"/>
  <c r="Y705" i="7"/>
  <c r="E693" i="7"/>
  <c r="Y693" i="7"/>
  <c r="E739" i="7"/>
  <c r="Y739" i="7"/>
  <c r="Y805" i="7"/>
  <c r="E805" i="7"/>
  <c r="Y793" i="7"/>
  <c r="E793" i="7"/>
  <c r="E789" i="7"/>
  <c r="Y789" i="7"/>
  <c r="Y726" i="7"/>
  <c r="E726" i="7"/>
  <c r="E695" i="7"/>
  <c r="Y695" i="7"/>
  <c r="E754" i="7"/>
  <c r="Y754" i="7"/>
  <c r="E686" i="7"/>
  <c r="Y686" i="7"/>
  <c r="Y724" i="7"/>
  <c r="E724" i="7"/>
  <c r="E802" i="7"/>
  <c r="Y802" i="7"/>
  <c r="E729" i="7"/>
  <c r="Y729" i="7"/>
  <c r="E738" i="7"/>
  <c r="Y738" i="7"/>
  <c r="Y748" i="7"/>
  <c r="E748" i="7"/>
  <c r="E809" i="7"/>
  <c r="Y809" i="7"/>
  <c r="E698" i="7"/>
  <c r="Y698" i="7"/>
  <c r="E728" i="7"/>
  <c r="Y728" i="7"/>
  <c r="Y795" i="7"/>
  <c r="E795" i="7"/>
  <c r="Y685" i="7"/>
  <c r="E685" i="7"/>
  <c r="E777" i="7"/>
  <c r="Y777" i="7"/>
  <c r="Y778" i="7"/>
  <c r="E778" i="7"/>
  <c r="E712" i="7"/>
  <c r="Y712" i="7"/>
  <c r="E706" i="7"/>
  <c r="Y706" i="7"/>
  <c r="Y713" i="7"/>
  <c r="E713" i="7"/>
  <c r="E787" i="7"/>
  <c r="Y787" i="7"/>
  <c r="Y708" i="7"/>
  <c r="E708" i="7"/>
  <c r="E813" i="7"/>
  <c r="Y813" i="7"/>
  <c r="Y788" i="7"/>
  <c r="E788" i="7"/>
  <c r="E796" i="7"/>
  <c r="Y796" i="7"/>
  <c r="Y689" i="7"/>
  <c r="E689" i="7"/>
  <c r="Y808" i="7"/>
  <c r="E808" i="7"/>
  <c r="Y810" i="7"/>
  <c r="E810" i="7"/>
  <c r="Y814" i="7"/>
  <c r="E814" i="7"/>
  <c r="E740" i="7"/>
  <c r="Y740" i="7"/>
  <c r="Y733" i="7"/>
  <c r="E733" i="7"/>
  <c r="Y725" i="7"/>
  <c r="E725" i="7"/>
  <c r="Y730" i="7"/>
  <c r="E730" i="7"/>
  <c r="E721" i="7"/>
  <c r="Y721" i="7"/>
  <c r="E717" i="7"/>
  <c r="Y717" i="7"/>
  <c r="J417" i="2"/>
  <c r="K417" i="2" s="1"/>
  <c r="L417" i="2" s="1"/>
  <c r="Y775" i="7"/>
  <c r="E775" i="7"/>
  <c r="E801" i="7"/>
  <c r="Y801" i="7"/>
  <c r="Y709" i="7"/>
  <c r="E709" i="7"/>
  <c r="Y790" i="7"/>
  <c r="E790" i="7"/>
  <c r="Y806" i="7"/>
  <c r="E806" i="7"/>
  <c r="E710" i="7"/>
  <c r="Y710" i="7"/>
  <c r="E735" i="7"/>
  <c r="Y735" i="7"/>
  <c r="Y683" i="7"/>
  <c r="E683" i="7"/>
  <c r="J599" i="2"/>
  <c r="K599" i="2" s="1"/>
  <c r="L599" i="2" s="1"/>
  <c r="J675" i="2"/>
  <c r="K675" i="2" s="1"/>
  <c r="L675" i="2" s="1"/>
  <c r="J306" i="2"/>
  <c r="K306" i="2" s="1"/>
  <c r="L306" i="2" s="1"/>
  <c r="Y803" i="7"/>
  <c r="E803" i="7"/>
  <c r="J807" i="2"/>
  <c r="K807" i="2" s="1"/>
  <c r="L807" i="2" s="1"/>
  <c r="Y732" i="7"/>
  <c r="E732" i="7"/>
  <c r="Y731" i="7"/>
  <c r="E731" i="7"/>
  <c r="J220" i="2"/>
  <c r="K220" i="2" s="1"/>
  <c r="L220" i="2" s="1"/>
  <c r="J298" i="2"/>
  <c r="K298" i="2" s="1"/>
  <c r="L298" i="2" s="1"/>
  <c r="J217" i="2"/>
  <c r="K217" i="2" s="1"/>
  <c r="L217" i="2" s="1"/>
  <c r="J672" i="2"/>
  <c r="K672" i="2" s="1"/>
  <c r="L672" i="2" s="1"/>
  <c r="J305" i="2"/>
  <c r="K305" i="2" s="1"/>
  <c r="L305" i="2" s="1"/>
  <c r="J529" i="2"/>
  <c r="K529" i="2" s="1"/>
  <c r="L529" i="2" s="1"/>
  <c r="Y758" i="7"/>
  <c r="E758" i="7"/>
  <c r="J137" i="2"/>
  <c r="K137" i="2" s="1"/>
  <c r="L137" i="2" s="1"/>
  <c r="J222" i="2"/>
  <c r="K222" i="2" s="1"/>
  <c r="L222" i="2" s="1"/>
  <c r="J741" i="2"/>
  <c r="K741" i="2" s="1"/>
  <c r="L741" i="2" s="1"/>
  <c r="J518" i="2"/>
  <c r="K518" i="2" s="1"/>
  <c r="L518" i="2" s="1"/>
  <c r="E773" i="7"/>
  <c r="Y773" i="7"/>
  <c r="Y755" i="7"/>
  <c r="E755" i="7"/>
  <c r="E716" i="7"/>
  <c r="Y716" i="7"/>
  <c r="E736" i="7"/>
  <c r="Y736" i="7"/>
  <c r="J800" i="2"/>
  <c r="K800" i="2" s="1"/>
  <c r="L800" i="2" s="1"/>
  <c r="E697" i="7"/>
  <c r="Y697" i="7"/>
  <c r="E703" i="7"/>
  <c r="Y703" i="7"/>
  <c r="Y800" i="7"/>
  <c r="E800" i="7"/>
  <c r="E707" i="7"/>
  <c r="Y707" i="7"/>
  <c r="J805" i="2"/>
  <c r="K805" i="2" s="1"/>
  <c r="L805" i="2" s="1"/>
  <c r="Y718" i="7"/>
  <c r="E718" i="7"/>
  <c r="Y769" i="7"/>
  <c r="E769" i="7"/>
  <c r="J603" i="2"/>
  <c r="K603" i="2" s="1"/>
  <c r="L603" i="2" s="1"/>
  <c r="Y798" i="7"/>
  <c r="E798" i="7"/>
  <c r="Y757" i="7"/>
  <c r="E757" i="7"/>
  <c r="J612" i="2"/>
  <c r="K612" i="2" s="1"/>
  <c r="L612" i="2" s="1"/>
  <c r="Y763" i="7"/>
  <c r="E763" i="7"/>
  <c r="Y743" i="7"/>
  <c r="E743" i="7"/>
  <c r="Y691" i="7"/>
  <c r="E691" i="7"/>
  <c r="E696" i="7"/>
  <c r="Y696" i="7"/>
  <c r="J62" i="2"/>
  <c r="K62" i="2" s="1"/>
  <c r="L62" i="2" s="1"/>
  <c r="E768" i="7"/>
  <c r="Y768" i="7"/>
  <c r="E820" i="7"/>
  <c r="Y820" i="7"/>
  <c r="Y751" i="7"/>
  <c r="E751" i="7"/>
  <c r="J300" i="2"/>
  <c r="K300" i="2" s="1"/>
  <c r="L300" i="2" s="1"/>
  <c r="J412" i="2"/>
  <c r="K412" i="2" s="1"/>
  <c r="L412" i="2" s="1"/>
  <c r="J414" i="2"/>
  <c r="K414" i="2" s="1"/>
  <c r="L414" i="2" s="1"/>
  <c r="J214" i="2"/>
  <c r="K214" i="2" s="1"/>
  <c r="L214" i="2" s="1"/>
  <c r="J522" i="2"/>
  <c r="K522" i="2" s="1"/>
  <c r="L522" i="2" s="1"/>
  <c r="J796" i="2"/>
  <c r="K796" i="2" s="1"/>
  <c r="L796" i="2" s="1"/>
  <c r="J225" i="2"/>
  <c r="K225" i="2" s="1"/>
  <c r="L225" i="2" s="1"/>
  <c r="J55" i="2"/>
  <c r="K55" i="2" s="1"/>
  <c r="L55" i="2" s="1"/>
  <c r="J519" i="2"/>
  <c r="K519" i="2" s="1"/>
  <c r="L519" i="2" s="1"/>
  <c r="J292" i="2"/>
  <c r="K292" i="2" s="1"/>
  <c r="L292" i="2" s="1"/>
  <c r="Y817" i="7"/>
  <c r="E817" i="7"/>
  <c r="E700" i="7"/>
  <c r="Y700" i="7"/>
  <c r="Y701" i="7"/>
  <c r="E701" i="7"/>
  <c r="J304" i="2"/>
  <c r="K304" i="2" s="1"/>
  <c r="L304" i="2" s="1"/>
  <c r="J613" i="2"/>
  <c r="K613" i="2" s="1"/>
  <c r="L613" i="2" s="1"/>
  <c r="Y684" i="7"/>
  <c r="E684" i="7"/>
  <c r="J416" i="2"/>
  <c r="K416" i="2" s="1"/>
  <c r="L416" i="2" s="1"/>
  <c r="Y807" i="7"/>
  <c r="E807" i="7"/>
  <c r="E819" i="7"/>
  <c r="Y819" i="7"/>
  <c r="Y812" i="7"/>
  <c r="E812" i="7"/>
  <c r="Y804" i="7"/>
  <c r="E804" i="7"/>
  <c r="E682" i="7"/>
  <c r="Y682" i="7"/>
  <c r="Y746" i="7"/>
  <c r="E746" i="7"/>
  <c r="E745" i="7"/>
  <c r="Y745" i="7"/>
  <c r="E782" i="7"/>
  <c r="Y782" i="7"/>
  <c r="E784" i="7"/>
  <c r="Y784" i="7"/>
  <c r="Y771" i="7"/>
  <c r="E771" i="7"/>
  <c r="E722" i="7"/>
  <c r="Y722" i="7"/>
  <c r="Y759" i="7"/>
  <c r="E759" i="7"/>
  <c r="E753" i="7"/>
  <c r="Y753" i="7"/>
  <c r="J736" i="2"/>
  <c r="K736" i="2" s="1"/>
  <c r="L736" i="2" s="1"/>
  <c r="Y794" i="7"/>
  <c r="E794" i="7"/>
  <c r="E821" i="7"/>
  <c r="Y821" i="7"/>
  <c r="J215" i="2"/>
  <c r="K215" i="2" s="1"/>
  <c r="L215" i="2" s="1"/>
  <c r="J211" i="2"/>
  <c r="K211" i="2" s="1"/>
  <c r="L211" i="2" s="1"/>
  <c r="E786" i="7"/>
  <c r="Y786" i="7"/>
  <c r="J677" i="2"/>
  <c r="K677" i="2" s="1"/>
  <c r="L677" i="2" s="1"/>
  <c r="J515" i="2"/>
  <c r="K515" i="2" s="1"/>
  <c r="L515" i="2" s="1"/>
  <c r="J607" i="2"/>
  <c r="K607" i="2" s="1"/>
  <c r="L607" i="2" s="1"/>
  <c r="J598" i="2"/>
  <c r="K598" i="2" s="1"/>
  <c r="L598" i="2" s="1"/>
  <c r="J303" i="2"/>
  <c r="K303" i="2" s="1"/>
  <c r="L303" i="2" s="1"/>
  <c r="J737" i="2"/>
  <c r="K737" i="2" s="1"/>
  <c r="L737" i="2" s="1"/>
  <c r="J526" i="2"/>
  <c r="K526" i="2" s="1"/>
  <c r="L526" i="2" s="1"/>
  <c r="J804" i="2"/>
  <c r="K804" i="2" s="1"/>
  <c r="L804" i="2" s="1"/>
  <c r="J528" i="2"/>
  <c r="K528" i="2" s="1"/>
  <c r="L528" i="2" s="1"/>
  <c r="J525" i="2"/>
  <c r="K525" i="2" s="1"/>
  <c r="L525" i="2" s="1"/>
  <c r="J128" i="2"/>
  <c r="K128" i="2" s="1"/>
  <c r="L128" i="2" s="1"/>
  <c r="J212" i="2"/>
  <c r="K212" i="2" s="1"/>
  <c r="L212" i="2" s="1"/>
  <c r="E761" i="7"/>
  <c r="Y761" i="7"/>
  <c r="Y727" i="7"/>
  <c r="E727" i="7"/>
  <c r="E797" i="7"/>
  <c r="Y797" i="7"/>
  <c r="Y766" i="7"/>
  <c r="E766" i="7"/>
  <c r="E711" i="7"/>
  <c r="Y711" i="7"/>
  <c r="Y770" i="7"/>
  <c r="E770" i="7"/>
  <c r="Y772" i="7"/>
  <c r="E772" i="7"/>
  <c r="Y749" i="7"/>
  <c r="E749" i="7"/>
  <c r="Y756" i="7"/>
  <c r="E756" i="7"/>
  <c r="G19" i="12"/>
  <c r="F19" i="12"/>
  <c r="H19" i="12" s="1"/>
  <c r="K808" i="2"/>
  <c r="L808" i="2" s="1"/>
  <c r="K596" i="2"/>
  <c r="L596" i="2" s="1"/>
  <c r="K615" i="2"/>
  <c r="L615" i="2" s="1"/>
  <c r="C530" i="2"/>
  <c r="F530" i="2" s="1"/>
  <c r="C203" i="2"/>
  <c r="F203" i="2" s="1"/>
  <c r="C565" i="2"/>
  <c r="F565" i="2" s="1"/>
  <c r="C147" i="2"/>
  <c r="F147" i="2" s="1"/>
  <c r="C684" i="2"/>
  <c r="C68" i="2"/>
  <c r="F68" i="2" s="1"/>
  <c r="C732" i="2"/>
  <c r="F732" i="2" s="1"/>
  <c r="C394" i="2"/>
  <c r="F394" i="2" s="1"/>
  <c r="C572" i="2"/>
  <c r="F572" i="2" s="1"/>
  <c r="C624" i="2"/>
  <c r="F624" i="2" s="1"/>
  <c r="C617" i="2"/>
  <c r="F617" i="2" s="1"/>
  <c r="C110" i="2"/>
  <c r="F110" i="2" s="1"/>
  <c r="C700" i="2"/>
  <c r="F700" i="2" s="1"/>
  <c r="C533" i="2"/>
  <c r="F533" i="2" s="1"/>
  <c r="C745" i="2"/>
  <c r="F745" i="2" s="1"/>
  <c r="C70" i="2"/>
  <c r="F70" i="2" s="1"/>
  <c r="C116" i="2"/>
  <c r="F116" i="2" s="1"/>
  <c r="C755" i="2"/>
  <c r="F755" i="2" s="1"/>
  <c r="C166" i="5"/>
  <c r="K166" i="5" s="1"/>
  <c r="C99" i="5"/>
  <c r="K99" i="5" s="1"/>
  <c r="C183" i="5"/>
  <c r="K183" i="5" s="1"/>
  <c r="C276" i="5"/>
  <c r="K276" i="5" s="1"/>
  <c r="C168" i="5"/>
  <c r="K168" i="5" s="1"/>
  <c r="C290" i="5"/>
  <c r="K290" i="5" s="1"/>
  <c r="C603" i="5"/>
  <c r="C134" i="5"/>
  <c r="K134" i="5" s="1"/>
  <c r="C253" i="5"/>
  <c r="K253" i="5" s="1"/>
  <c r="C432" i="5"/>
  <c r="K432" i="5" s="1"/>
  <c r="C254" i="5"/>
  <c r="K254" i="5" s="1"/>
  <c r="C107" i="5"/>
  <c r="K107" i="5" s="1"/>
  <c r="C336" i="5"/>
  <c r="K336" i="5" s="1"/>
  <c r="C592" i="5"/>
  <c r="C682" i="2"/>
  <c r="F682" i="2" s="1"/>
  <c r="C776" i="2"/>
  <c r="F776" i="2" s="1"/>
  <c r="C385" i="2"/>
  <c r="F385" i="2" s="1"/>
  <c r="C753" i="2"/>
  <c r="F753" i="2" s="1"/>
  <c r="C749" i="2"/>
  <c r="C329" i="2"/>
  <c r="F329" i="2" s="1"/>
  <c r="C406" i="2"/>
  <c r="F406" i="2" s="1"/>
  <c r="C285" i="2"/>
  <c r="F285" i="2" s="1"/>
  <c r="C487" i="2"/>
  <c r="F487" i="2" s="1"/>
  <c r="C31" i="2"/>
  <c r="F31" i="2" s="1"/>
  <c r="C43" i="2"/>
  <c r="F43" i="2" s="1"/>
  <c r="C453" i="2"/>
  <c r="F453" i="2" s="1"/>
  <c r="C143" i="2"/>
  <c r="C443" i="2"/>
  <c r="F443" i="2" s="1"/>
  <c r="C51" i="5"/>
  <c r="K51" i="5" s="1"/>
  <c r="C71" i="5"/>
  <c r="K71" i="5" s="1"/>
  <c r="C584" i="2"/>
  <c r="F584" i="2" s="1"/>
  <c r="C621" i="2"/>
  <c r="F621" i="2" s="1"/>
  <c r="C119" i="2"/>
  <c r="F119" i="2" s="1"/>
  <c r="C408" i="2"/>
  <c r="F408" i="2" s="1"/>
  <c r="C696" i="2"/>
  <c r="C588" i="2"/>
  <c r="F588" i="2" s="1"/>
  <c r="C647" i="2"/>
  <c r="F647" i="2" s="1"/>
  <c r="C459" i="2"/>
  <c r="F459" i="2" s="1"/>
  <c r="C226" i="2"/>
  <c r="F226" i="2" s="1"/>
  <c r="C376" i="2"/>
  <c r="F376" i="2" s="1"/>
  <c r="C750" i="2"/>
  <c r="F750" i="2" s="1"/>
  <c r="C291" i="2"/>
  <c r="F291" i="2" s="1"/>
  <c r="C499" i="2"/>
  <c r="C140" i="2"/>
  <c r="F140" i="2" s="1"/>
  <c r="C486" i="2"/>
  <c r="F486" i="2" s="1"/>
  <c r="C382" i="2"/>
  <c r="F382" i="2" s="1"/>
  <c r="C563" i="2"/>
  <c r="F563" i="2" s="1"/>
  <c r="C564" i="2"/>
  <c r="F564" i="2" s="1"/>
  <c r="C493" i="2"/>
  <c r="F493" i="2" s="1"/>
  <c r="C176" i="2"/>
  <c r="F176" i="2" s="1"/>
  <c r="C80" i="2"/>
  <c r="F80" i="2" s="1"/>
  <c r="C44" i="2"/>
  <c r="F44" i="2" s="1"/>
  <c r="C393" i="2"/>
  <c r="F393" i="2" s="1"/>
  <c r="C648" i="2"/>
  <c r="F648" i="2" s="1"/>
  <c r="C96" i="5"/>
  <c r="K96" i="5" s="1"/>
  <c r="C411" i="5"/>
  <c r="K411" i="5" s="1"/>
  <c r="C348" i="5"/>
  <c r="K348" i="5" s="1"/>
  <c r="C57" i="5"/>
  <c r="K57" i="5" s="1"/>
  <c r="C364" i="5"/>
  <c r="K364" i="5" s="1"/>
  <c r="C631" i="5"/>
  <c r="C200" i="5"/>
  <c r="K200" i="5" s="1"/>
  <c r="C443" i="5"/>
  <c r="K443" i="5" s="1"/>
  <c r="C368" i="5"/>
  <c r="K368" i="5" s="1"/>
  <c r="C612" i="5"/>
  <c r="F612" i="5" s="1"/>
  <c r="H612" i="5" s="1"/>
  <c r="C13" i="5"/>
  <c r="K13" i="5" s="1"/>
  <c r="C357" i="5"/>
  <c r="K357" i="5" s="1"/>
  <c r="C252" i="5"/>
  <c r="K252" i="5" s="1"/>
  <c r="C199" i="5"/>
  <c r="K199" i="5" s="1"/>
  <c r="C460" i="5"/>
  <c r="K460" i="5" s="1"/>
  <c r="C114" i="5"/>
  <c r="K114" i="5" s="1"/>
  <c r="C131" i="5"/>
  <c r="K131" i="5" s="1"/>
  <c r="C548" i="2"/>
  <c r="F548" i="2" s="1"/>
  <c r="C485" i="2"/>
  <c r="F485" i="2" s="1"/>
  <c r="C65" i="2"/>
  <c r="F65" i="2" s="1"/>
  <c r="C310" i="2"/>
  <c r="C154" i="2"/>
  <c r="F154" i="2" s="1"/>
  <c r="C115" i="2"/>
  <c r="F115" i="2" s="1"/>
  <c r="C178" i="2"/>
  <c r="F178" i="2" s="1"/>
  <c r="C716" i="2"/>
  <c r="F716" i="2" s="1"/>
  <c r="C494" i="2"/>
  <c r="F494" i="2" s="1"/>
  <c r="C543" i="2"/>
  <c r="F543" i="2" s="1"/>
  <c r="C409" i="2"/>
  <c r="F409" i="2" s="1"/>
  <c r="C391" i="2"/>
  <c r="F391" i="2" s="1"/>
  <c r="C756" i="2"/>
  <c r="F756" i="2" s="1"/>
  <c r="C589" i="2"/>
  <c r="F589" i="2" s="1"/>
  <c r="C381" i="2"/>
  <c r="F381" i="2" s="1"/>
  <c r="C435" i="2"/>
  <c r="F435" i="2" s="1"/>
  <c r="C309" i="2"/>
  <c r="F309" i="2" s="1"/>
  <c r="C685" i="2"/>
  <c r="F685" i="2" s="1"/>
  <c r="C818" i="2"/>
  <c r="F818" i="2" s="1"/>
  <c r="C649" i="2"/>
  <c r="C589" i="5"/>
  <c r="C379" i="5"/>
  <c r="K379" i="5" s="1"/>
  <c r="C84" i="5"/>
  <c r="K84" i="5" s="1"/>
  <c r="C280" i="5"/>
  <c r="K280" i="5" s="1"/>
  <c r="C227" i="5"/>
  <c r="K227" i="5" s="1"/>
  <c r="C409" i="5"/>
  <c r="K409" i="5" s="1"/>
  <c r="C388" i="5"/>
  <c r="K388" i="5" s="1"/>
  <c r="C138" i="5"/>
  <c r="K138" i="5" s="1"/>
  <c r="C441" i="5"/>
  <c r="K441" i="5" s="1"/>
  <c r="C351" i="5"/>
  <c r="K351" i="5" s="1"/>
  <c r="C216" i="5"/>
  <c r="K216" i="5" s="1"/>
  <c r="C189" i="5"/>
  <c r="K189" i="5" s="1"/>
  <c r="C312" i="5"/>
  <c r="K312" i="5" s="1"/>
  <c r="C271" i="5"/>
  <c r="K271" i="5" s="1"/>
  <c r="C153" i="5"/>
  <c r="K153" i="5" s="1"/>
  <c r="C373" i="5"/>
  <c r="K373" i="5" s="1"/>
  <c r="C462" i="5"/>
  <c r="K462" i="5" s="1"/>
  <c r="C541" i="2"/>
  <c r="F541" i="2" s="1"/>
  <c r="C666" i="2"/>
  <c r="F666" i="2" s="1"/>
  <c r="C202" i="2"/>
  <c r="F202" i="2" s="1"/>
  <c r="C100" i="2"/>
  <c r="F100" i="2" s="1"/>
  <c r="C810" i="2"/>
  <c r="F810" i="2" s="1"/>
  <c r="C79" i="2"/>
  <c r="F79" i="2" s="1"/>
  <c r="C125" i="2"/>
  <c r="C758" i="2"/>
  <c r="F758" i="2" s="1"/>
  <c r="C667" i="2"/>
  <c r="F667" i="2" s="1"/>
  <c r="C717" i="2"/>
  <c r="F717" i="2" s="1"/>
  <c r="C692" i="2"/>
  <c r="F692" i="2" s="1"/>
  <c r="C250" i="2"/>
  <c r="F250" i="2" s="1"/>
  <c r="C13" i="2"/>
  <c r="F13" i="2" s="1"/>
  <c r="C746" i="2"/>
  <c r="F746" i="2" s="1"/>
  <c r="C552" i="2"/>
  <c r="F552" i="2" s="1"/>
  <c r="C389" i="2"/>
  <c r="F389" i="2" s="1"/>
  <c r="C819" i="2"/>
  <c r="F819" i="2" s="1"/>
  <c r="C549" i="2"/>
  <c r="F549" i="2" s="1"/>
  <c r="C668" i="2"/>
  <c r="F668" i="2" s="1"/>
  <c r="C284" i="2"/>
  <c r="F284" i="2" s="1"/>
  <c r="C482" i="2"/>
  <c r="F482" i="2" s="1"/>
  <c r="C639" i="2"/>
  <c r="F639" i="2" s="1"/>
  <c r="C30" i="2"/>
  <c r="C429" i="2"/>
  <c r="F429" i="2" s="1"/>
  <c r="C240" i="2"/>
  <c r="F240" i="2" s="1"/>
  <c r="C411" i="2"/>
  <c r="F411" i="2" s="1"/>
  <c r="C514" i="2"/>
  <c r="F514" i="2" s="1"/>
  <c r="C124" i="2"/>
  <c r="F124" i="2" s="1"/>
  <c r="C48" i="5"/>
  <c r="K48" i="5" s="1"/>
  <c r="C303" i="5"/>
  <c r="K303" i="5" s="1"/>
  <c r="C579" i="5"/>
  <c r="C19" i="5"/>
  <c r="K19" i="5" s="1"/>
  <c r="C363" i="5"/>
  <c r="K363" i="5" s="1"/>
  <c r="C89" i="5"/>
  <c r="K89" i="5" s="1"/>
  <c r="C623" i="5"/>
  <c r="C118" i="5"/>
  <c r="K118" i="5" s="1"/>
  <c r="C219" i="5"/>
  <c r="K219" i="5" s="1"/>
  <c r="C476" i="5"/>
  <c r="K476" i="5" s="1"/>
  <c r="C594" i="5"/>
  <c r="C431" i="5"/>
  <c r="K431" i="5" s="1"/>
  <c r="C307" i="5"/>
  <c r="K307" i="5" s="1"/>
  <c r="C80" i="5"/>
  <c r="K80" i="5" s="1"/>
  <c r="C257" i="5"/>
  <c r="K257" i="5" s="1"/>
  <c r="C294" i="5"/>
  <c r="K294" i="5" s="1"/>
  <c r="C424" i="5"/>
  <c r="K424" i="5" s="1"/>
  <c r="C242" i="5"/>
  <c r="K242" i="5" s="1"/>
  <c r="C395" i="5"/>
  <c r="K395" i="5" s="1"/>
  <c r="C618" i="2"/>
  <c r="F618" i="2" s="1"/>
  <c r="C111" i="2"/>
  <c r="F111" i="2" s="1"/>
  <c r="C377" i="2"/>
  <c r="F377" i="2" s="1"/>
  <c r="C87" i="2"/>
  <c r="F87" i="2" s="1"/>
  <c r="C334" i="2"/>
  <c r="F334" i="2" s="1"/>
  <c r="C697" i="2"/>
  <c r="F697" i="2" s="1"/>
  <c r="C234" i="2"/>
  <c r="F234" i="2" s="1"/>
  <c r="C686" i="2"/>
  <c r="F686" i="2" s="1"/>
  <c r="C809" i="2"/>
  <c r="F809" i="2" s="1"/>
  <c r="C683" i="2"/>
  <c r="F683" i="2" s="1"/>
  <c r="F15" i="2"/>
  <c r="C312" i="2"/>
  <c r="F312" i="2" s="1"/>
  <c r="C816" i="2"/>
  <c r="F816" i="2" s="1"/>
  <c r="C123" i="2"/>
  <c r="F123" i="2" s="1"/>
  <c r="C101" i="2"/>
  <c r="F101" i="2" s="1"/>
  <c r="C341" i="5"/>
  <c r="K341" i="5" s="1"/>
  <c r="C59" i="5"/>
  <c r="K59" i="5" s="1"/>
  <c r="C102" i="5"/>
  <c r="K102" i="5" s="1"/>
  <c r="C14" i="5"/>
  <c r="K14" i="5" s="1"/>
  <c r="C385" i="5"/>
  <c r="K385" i="5" s="1"/>
  <c r="C393" i="5"/>
  <c r="K393" i="5" s="1"/>
  <c r="C188" i="5"/>
  <c r="K188" i="5" s="1"/>
  <c r="C64" i="5"/>
  <c r="K64" i="5" s="1"/>
  <c r="C310" i="5"/>
  <c r="K310" i="5" s="1"/>
  <c r="C175" i="5"/>
  <c r="K175" i="5" s="1"/>
  <c r="C342" i="5"/>
  <c r="K342" i="5" s="1"/>
  <c r="C461" i="5"/>
  <c r="K461" i="5" s="1"/>
  <c r="C85" i="5"/>
  <c r="K85" i="5" s="1"/>
  <c r="C344" i="5"/>
  <c r="K344" i="5" s="1"/>
  <c r="C625" i="2"/>
  <c r="F625" i="2" s="1"/>
  <c r="C155" i="2"/>
  <c r="F155" i="2" s="1"/>
  <c r="C478" i="2"/>
  <c r="F478" i="2" s="1"/>
  <c r="C29" i="2"/>
  <c r="F29" i="2" s="1"/>
  <c r="C26" i="2"/>
  <c r="F26" i="2" s="1"/>
  <c r="C641" i="2"/>
  <c r="F641" i="2" s="1"/>
  <c r="C594" i="2"/>
  <c r="F594" i="2" s="1"/>
  <c r="C146" i="2"/>
  <c r="F146" i="2" s="1"/>
  <c r="C141" i="2"/>
  <c r="F141" i="2" s="1"/>
  <c r="C69" i="2"/>
  <c r="F69" i="2" s="1"/>
  <c r="C495" i="2"/>
  <c r="C118" i="2"/>
  <c r="F118" i="2" s="1"/>
  <c r="C545" i="2"/>
  <c r="F545" i="2" s="1"/>
  <c r="C669" i="2"/>
  <c r="F669" i="2" s="1"/>
  <c r="C670" i="2"/>
  <c r="F670" i="2" s="1"/>
  <c r="C592" i="2"/>
  <c r="F592" i="2" s="1"/>
  <c r="C201" i="2"/>
  <c r="F201" i="2" s="1"/>
  <c r="C383" i="2"/>
  <c r="C28" i="2"/>
  <c r="F28" i="2" s="1"/>
  <c r="C694" i="2"/>
  <c r="F694" i="2" s="1"/>
  <c r="C451" i="2"/>
  <c r="F451" i="2" s="1"/>
  <c r="C251" i="2"/>
  <c r="F251" i="2" s="1"/>
  <c r="C491" i="2"/>
  <c r="F491" i="2" s="1"/>
  <c r="C436" i="2"/>
  <c r="F436" i="2" s="1"/>
  <c r="C754" i="2"/>
  <c r="F754" i="2" s="1"/>
  <c r="C620" i="2"/>
  <c r="F620" i="2" s="1"/>
  <c r="C142" i="2"/>
  <c r="F142" i="2" s="1"/>
  <c r="C16" i="2"/>
  <c r="F16" i="2" s="1"/>
  <c r="C313" i="2"/>
  <c r="F313" i="2" s="1"/>
  <c r="C78" i="2"/>
  <c r="F78" i="2" s="1"/>
  <c r="C442" i="2"/>
  <c r="F442" i="2" s="1"/>
  <c r="C113" i="2"/>
  <c r="F113" i="2" s="1"/>
  <c r="C627" i="2"/>
  <c r="F627" i="2" s="1"/>
  <c r="C330" i="2"/>
  <c r="F330" i="2" s="1"/>
  <c r="C513" i="2"/>
  <c r="F513" i="2" s="1"/>
  <c r="C405" i="2"/>
  <c r="F405" i="2" s="1"/>
  <c r="C120" i="2"/>
  <c r="F120" i="2" s="1"/>
  <c r="C45" i="2"/>
  <c r="F45" i="2" s="1"/>
  <c r="C122" i="2"/>
  <c r="F122" i="2" s="1"/>
  <c r="C781" i="2"/>
  <c r="F781" i="2" s="1"/>
  <c r="C286" i="2"/>
  <c r="F286" i="2" s="1"/>
  <c r="C650" i="2"/>
  <c r="F650" i="2" s="1"/>
  <c r="C260" i="2"/>
  <c r="F260" i="2" s="1"/>
  <c r="C256" i="2"/>
  <c r="F256" i="2" s="1"/>
  <c r="C180" i="2"/>
  <c r="F180" i="2" s="1"/>
  <c r="C664" i="7"/>
  <c r="C646" i="7"/>
  <c r="C539" i="7"/>
  <c r="C648" i="7"/>
  <c r="C340" i="7"/>
  <c r="C69" i="7"/>
  <c r="C506" i="7"/>
  <c r="C428" i="7"/>
  <c r="C536" i="7"/>
  <c r="C677" i="7"/>
  <c r="C672" i="7"/>
  <c r="C479" i="7"/>
  <c r="C63" i="7"/>
  <c r="C241" i="7"/>
  <c r="C382" i="7"/>
  <c r="C308" i="7"/>
  <c r="C363" i="7"/>
  <c r="C273" i="7"/>
  <c r="C501" i="7"/>
  <c r="C390" i="7"/>
  <c r="C524" i="7"/>
  <c r="C467" i="7"/>
  <c r="C374" i="7"/>
  <c r="C271" i="7"/>
  <c r="C185" i="7"/>
  <c r="C520" i="7"/>
  <c r="C627" i="7"/>
  <c r="C322" i="7"/>
  <c r="C514" i="7"/>
  <c r="C477" i="7"/>
  <c r="C431" i="7"/>
  <c r="C137" i="7"/>
  <c r="C530" i="7"/>
  <c r="C598" i="7"/>
  <c r="C405" i="7"/>
  <c r="C325" i="7"/>
  <c r="C494" i="7"/>
  <c r="C75" i="7"/>
  <c r="C248" i="7"/>
  <c r="C625" i="7"/>
  <c r="C529" i="7"/>
  <c r="C310" i="7"/>
  <c r="C433" i="7"/>
  <c r="C541" i="7"/>
  <c r="C188" i="7"/>
  <c r="C195" i="7"/>
  <c r="C59" i="7"/>
  <c r="C130" i="7"/>
  <c r="C52" i="7"/>
  <c r="C21" i="7"/>
  <c r="C386" i="7"/>
  <c r="C319" i="7"/>
  <c r="C311" i="7"/>
  <c r="C553" i="7"/>
  <c r="C176" i="7"/>
  <c r="C611" i="7"/>
  <c r="C369" i="7"/>
  <c r="C293" i="7"/>
  <c r="C403" i="7"/>
  <c r="C211" i="7"/>
  <c r="C169" i="7"/>
  <c r="C650" i="7"/>
  <c r="C592" i="7"/>
  <c r="C303" i="7"/>
  <c r="C552" i="7"/>
  <c r="C112" i="7"/>
  <c r="C469" i="7"/>
  <c r="C355" i="7"/>
  <c r="C275" i="7"/>
  <c r="C620" i="7"/>
  <c r="C675" i="7"/>
  <c r="C544" i="7"/>
  <c r="C163" i="7"/>
  <c r="C511" i="7"/>
  <c r="C466" i="7"/>
  <c r="C285" i="7"/>
  <c r="C282" i="7"/>
  <c r="C634" i="7"/>
  <c r="C229" i="7"/>
  <c r="C495" i="7"/>
  <c r="F495" i="7" s="1"/>
  <c r="H495" i="7" s="1"/>
  <c r="C588" i="7"/>
  <c r="C624" i="7"/>
  <c r="C100" i="7"/>
  <c r="C232" i="7"/>
  <c r="C616" i="7"/>
  <c r="C475" i="7"/>
  <c r="C637" i="7"/>
  <c r="C391" i="7"/>
  <c r="C681" i="7"/>
  <c r="C528" i="7"/>
  <c r="C334" i="7"/>
  <c r="C233" i="7"/>
  <c r="C484" i="7"/>
  <c r="C451" i="7"/>
  <c r="C380" i="7"/>
  <c r="C658" i="7"/>
  <c r="C262" i="7"/>
  <c r="C375" i="7"/>
  <c r="C473" i="7"/>
  <c r="C279" i="7"/>
  <c r="C540" i="7"/>
  <c r="C645" i="7"/>
  <c r="C238" i="7"/>
  <c r="C585" i="7"/>
  <c r="C450" i="7"/>
  <c r="C314" i="7"/>
  <c r="C64" i="7"/>
  <c r="C226" i="7"/>
  <c r="C396" i="7"/>
  <c r="C157" i="7"/>
  <c r="C277" i="7"/>
  <c r="C217" i="7"/>
  <c r="C85" i="7"/>
  <c r="C186" i="7"/>
  <c r="C31" i="7"/>
  <c r="C628" i="7"/>
  <c r="C365" i="7"/>
  <c r="C198" i="7"/>
  <c r="C252" i="7"/>
  <c r="C259" i="7"/>
  <c r="C142" i="7"/>
  <c r="C368" i="7"/>
  <c r="C139" i="7"/>
  <c r="C135" i="7"/>
  <c r="C49" i="7"/>
  <c r="C118" i="7"/>
  <c r="C192" i="7"/>
  <c r="C223" i="7"/>
  <c r="C73" i="7"/>
  <c r="C88" i="7"/>
  <c r="C111" i="7"/>
  <c r="C80" i="7"/>
  <c r="C231" i="7"/>
  <c r="C79" i="7"/>
  <c r="C410" i="7"/>
  <c r="C417" i="7"/>
  <c r="C651" i="7"/>
  <c r="C456" i="7"/>
  <c r="C156" i="7"/>
  <c r="C38" i="7"/>
  <c r="C199" i="7"/>
  <c r="C71" i="7"/>
  <c r="C266" i="7"/>
  <c r="C299" i="7"/>
  <c r="C84" i="7"/>
  <c r="C200" i="7"/>
  <c r="C51" i="7"/>
  <c r="C288" i="7"/>
  <c r="C324" i="7"/>
  <c r="C395" i="7"/>
  <c r="C335" i="7"/>
  <c r="C181" i="7"/>
  <c r="C42" i="7"/>
  <c r="C393" i="7"/>
  <c r="C509" i="7"/>
  <c r="C290" i="7"/>
  <c r="C381" i="7"/>
  <c r="C561" i="7"/>
  <c r="C175" i="7"/>
  <c r="C12" i="7"/>
  <c r="C154" i="7"/>
  <c r="C312" i="7"/>
  <c r="C148" i="7"/>
  <c r="C62" i="7"/>
  <c r="C316" i="7"/>
  <c r="C580" i="5"/>
  <c r="C287" i="5"/>
  <c r="K287" i="5" s="1"/>
  <c r="C246" i="5"/>
  <c r="K246" i="5" s="1"/>
  <c r="C46" i="5"/>
  <c r="K46" i="5" s="1"/>
  <c r="C147" i="5"/>
  <c r="K147" i="5" s="1"/>
  <c r="C68" i="5"/>
  <c r="K68" i="5" s="1"/>
  <c r="C16" i="5"/>
  <c r="K16" i="5" s="1"/>
  <c r="C251" i="5"/>
  <c r="K251" i="5" s="1"/>
  <c r="C194" i="5"/>
  <c r="K194" i="5" s="1"/>
  <c r="C267" i="5"/>
  <c r="K267" i="5" s="1"/>
  <c r="C171" i="5"/>
  <c r="K171" i="5" s="1"/>
  <c r="C347" i="5"/>
  <c r="K347" i="5" s="1"/>
  <c r="C137" i="5"/>
  <c r="K137" i="5" s="1"/>
  <c r="C598" i="5"/>
  <c r="C445" i="5"/>
  <c r="K445" i="5" s="1"/>
  <c r="C110" i="5"/>
  <c r="K110" i="5" s="1"/>
  <c r="C109" i="5"/>
  <c r="K109" i="5" s="1"/>
  <c r="C421" i="5"/>
  <c r="K421" i="5" s="1"/>
  <c r="C319" i="5"/>
  <c r="K319" i="5" s="1"/>
  <c r="C291" i="5"/>
  <c r="K291" i="5" s="1"/>
  <c r="C323" i="5"/>
  <c r="K323" i="5" s="1"/>
  <c r="C315" i="5"/>
  <c r="K315" i="5" s="1"/>
  <c r="C439" i="5"/>
  <c r="K439" i="5" s="1"/>
  <c r="C29" i="5"/>
  <c r="K29" i="5" s="1"/>
  <c r="C93" i="5"/>
  <c r="K93" i="5" s="1"/>
  <c r="C178" i="5"/>
  <c r="K178" i="5" s="1"/>
  <c r="C428" i="2"/>
  <c r="F428" i="2" s="1"/>
  <c r="C671" i="2"/>
  <c r="F671" i="2" s="1"/>
  <c r="C335" i="2"/>
  <c r="F335" i="2" s="1"/>
  <c r="C743" i="2"/>
  <c r="F743" i="2" s="1"/>
  <c r="C161" i="2"/>
  <c r="F161" i="2" s="1"/>
  <c r="C815" i="2"/>
  <c r="F815" i="2" s="1"/>
  <c r="C49" i="2"/>
  <c r="F49" i="2" s="1"/>
  <c r="C811" i="2"/>
  <c r="C665" i="2"/>
  <c r="F665" i="2" s="1"/>
  <c r="C777" i="2"/>
  <c r="F777" i="2" s="1"/>
  <c r="C640" i="2"/>
  <c r="F640" i="2" s="1"/>
  <c r="C86" i="2"/>
  <c r="F86" i="2" s="1"/>
  <c r="C235" i="2"/>
  <c r="F235" i="2" s="1"/>
  <c r="C747" i="2"/>
  <c r="F747" i="2" s="1"/>
  <c r="C490" i="2"/>
  <c r="F490" i="2" s="1"/>
  <c r="C593" i="2"/>
  <c r="F593" i="2" s="1"/>
  <c r="C14" i="2"/>
  <c r="F14" i="2" s="1"/>
  <c r="C622" i="2"/>
  <c r="F622" i="2" s="1"/>
  <c r="C308" i="2"/>
  <c r="F308" i="2" s="1"/>
  <c r="C430" i="2"/>
  <c r="F430" i="2" s="1"/>
  <c r="C623" i="2"/>
  <c r="F623" i="2" s="1"/>
  <c r="C748" i="2"/>
  <c r="F748" i="2" s="1"/>
  <c r="C544" i="2"/>
  <c r="F544" i="2" s="1"/>
  <c r="C316" i="2"/>
  <c r="C114" i="2"/>
  <c r="F114" i="2" s="1"/>
  <c r="C689" i="2"/>
  <c r="F689" i="2" s="1"/>
  <c r="C388" i="2"/>
  <c r="F388" i="2" s="1"/>
  <c r="C795" i="2"/>
  <c r="F795" i="2" s="1"/>
  <c r="C792" i="2"/>
  <c r="F792" i="2" s="1"/>
  <c r="C498" i="2"/>
  <c r="F498" i="2" s="1"/>
  <c r="C779" i="2"/>
  <c r="F779" i="2" s="1"/>
  <c r="C780" i="2"/>
  <c r="F780" i="2" s="1"/>
  <c r="C392" i="2"/>
  <c r="F392" i="2" s="1"/>
  <c r="C259" i="2"/>
  <c r="F259" i="2" s="1"/>
  <c r="C177" i="2"/>
  <c r="F177" i="2" s="1"/>
  <c r="C351" i="2"/>
  <c r="F351" i="2" s="1"/>
  <c r="C52" i="5"/>
  <c r="K52" i="5" s="1"/>
  <c r="C105" i="5"/>
  <c r="K105" i="5" s="1"/>
  <c r="C610" i="5"/>
  <c r="C618" i="5"/>
  <c r="C255" i="5"/>
  <c r="K255" i="5" s="1"/>
  <c r="C150" i="5"/>
  <c r="K150" i="5" s="1"/>
  <c r="C608" i="5"/>
  <c r="C214" i="5"/>
  <c r="K214" i="5" s="1"/>
  <c r="C117" i="5"/>
  <c r="K117" i="5" s="1"/>
  <c r="C104" i="5"/>
  <c r="K104" i="5" s="1"/>
  <c r="C359" i="5"/>
  <c r="K359" i="5" s="1"/>
  <c r="C614" i="5"/>
  <c r="C479" i="2"/>
  <c r="F479" i="2" s="1"/>
  <c r="C693" i="2"/>
  <c r="F693" i="2" s="1"/>
  <c r="C156" i="2"/>
  <c r="F156" i="2" s="1"/>
  <c r="C703" i="2"/>
  <c r="F703" i="2" s="1"/>
  <c r="C438" i="2"/>
  <c r="F438" i="2" s="1"/>
  <c r="C782" i="2"/>
  <c r="F782" i="2" s="1"/>
  <c r="C179" i="2"/>
  <c r="F179" i="2" s="1"/>
  <c r="C71" i="2"/>
  <c r="F71" i="2" s="1"/>
  <c r="C616" i="2"/>
  <c r="F616" i="2" s="1"/>
  <c r="C204" i="2"/>
  <c r="F204" i="2" s="1"/>
  <c r="C481" i="2"/>
  <c r="F481" i="2" s="1"/>
  <c r="C380" i="2"/>
  <c r="F380" i="2" s="1"/>
  <c r="C307" i="2"/>
  <c r="F307" i="2" s="1"/>
  <c r="C586" i="2"/>
  <c r="F586" i="2" s="1"/>
  <c r="C698" i="2"/>
  <c r="F698" i="2" s="1"/>
  <c r="C492" i="2"/>
  <c r="F492" i="2" s="1"/>
  <c r="C744" i="2"/>
  <c r="F744" i="2" s="1"/>
  <c r="C437" i="2"/>
  <c r="F437" i="2" s="1"/>
  <c r="C327" i="2"/>
  <c r="F327" i="2" s="1"/>
  <c r="C81" i="2"/>
  <c r="F81" i="2" s="1"/>
  <c r="C553" i="2"/>
  <c r="F553" i="2" s="1"/>
  <c r="C328" i="2"/>
  <c r="F328" i="2" s="1"/>
  <c r="C387" i="2"/>
  <c r="C512" i="2"/>
  <c r="F512" i="2" s="1"/>
  <c r="C511" i="2"/>
  <c r="F511" i="2" s="1"/>
  <c r="C410" i="2"/>
  <c r="F410" i="2" s="1"/>
  <c r="C121" i="2"/>
  <c r="F121" i="2" s="1"/>
  <c r="C817" i="2"/>
  <c r="F817" i="2" s="1"/>
  <c r="C497" i="2"/>
  <c r="F497" i="2" s="1"/>
  <c r="C390" i="2"/>
  <c r="F390" i="2" s="1"/>
  <c r="C783" i="2"/>
  <c r="F783" i="2" s="1"/>
  <c r="C181" i="2"/>
  <c r="F181" i="2" s="1"/>
  <c r="C255" i="2"/>
  <c r="F255" i="2" s="1"/>
  <c r="C705" i="2"/>
  <c r="F705" i="2" s="1"/>
  <c r="C757" i="2"/>
  <c r="F757" i="2" s="1"/>
  <c r="C31" i="5"/>
  <c r="K31" i="5" s="1"/>
  <c r="C400" i="5"/>
  <c r="K400" i="5" s="1"/>
  <c r="C295" i="5"/>
  <c r="K295" i="5" s="1"/>
  <c r="C381" i="5"/>
  <c r="K381" i="5" s="1"/>
  <c r="C10" i="5"/>
  <c r="K10" i="5" s="1"/>
  <c r="C403" i="5"/>
  <c r="K403" i="5" s="1"/>
  <c r="C459" i="5"/>
  <c r="K459" i="5" s="1"/>
  <c r="C222" i="5"/>
  <c r="K222" i="5" s="1"/>
  <c r="C590" i="5"/>
  <c r="C317" i="5"/>
  <c r="K317" i="5" s="1"/>
  <c r="C406" i="5"/>
  <c r="K406" i="5" s="1"/>
  <c r="C600" i="5"/>
  <c r="C288" i="5"/>
  <c r="K288" i="5" s="1"/>
  <c r="C619" i="2"/>
  <c r="F619" i="2" s="1"/>
  <c r="C715" i="2"/>
  <c r="F715" i="2" s="1"/>
  <c r="C84" i="2"/>
  <c r="F84" i="2" s="1"/>
  <c r="C252" i="2"/>
  <c r="F252" i="2" s="1"/>
  <c r="C434" i="2"/>
  <c r="F434" i="2" s="1"/>
  <c r="C531" i="2"/>
  <c r="F531" i="2" s="1"/>
  <c r="C77" i="2"/>
  <c r="C48" i="2"/>
  <c r="F48" i="2" s="1"/>
  <c r="C258" i="2"/>
  <c r="F258" i="2" s="1"/>
  <c r="C227" i="2"/>
  <c r="F227" i="2" s="1"/>
  <c r="C591" i="2"/>
  <c r="F591" i="2" s="1"/>
  <c r="C378" i="2"/>
  <c r="F378" i="2" s="1"/>
  <c r="C642" i="2"/>
  <c r="F642" i="2" s="1"/>
  <c r="C695" i="2"/>
  <c r="C699" i="2"/>
  <c r="F699" i="2" s="1"/>
  <c r="C550" i="2"/>
  <c r="F550" i="2" s="1"/>
  <c r="C547" i="2"/>
  <c r="F547" i="2" s="1"/>
  <c r="C139" i="2"/>
  <c r="F139" i="2" s="1"/>
  <c r="C664" i="2"/>
  <c r="F664" i="2" s="1"/>
  <c r="C489" i="2"/>
  <c r="F489" i="2" s="1"/>
  <c r="C484" i="2"/>
  <c r="F484" i="2" s="1"/>
  <c r="C112" i="2"/>
  <c r="C480" i="2"/>
  <c r="F480" i="2" s="1"/>
  <c r="C778" i="2"/>
  <c r="F778" i="2" s="1"/>
  <c r="C253" i="2"/>
  <c r="F253" i="2" s="1"/>
  <c r="C83" i="2"/>
  <c r="F83" i="2" s="1"/>
  <c r="C452" i="2"/>
  <c r="F452" i="2" s="1"/>
  <c r="C85" i="2"/>
  <c r="F85" i="2" s="1"/>
  <c r="C551" i="2"/>
  <c r="F551" i="2" s="1"/>
  <c r="C17" i="2"/>
  <c r="F17" i="2" s="1"/>
  <c r="C206" i="2"/>
  <c r="F206" i="2" s="1"/>
  <c r="C254" i="2"/>
  <c r="F254" i="2" s="1"/>
  <c r="C350" i="2"/>
  <c r="C532" i="2"/>
  <c r="F532" i="2" s="1"/>
  <c r="C318" i="2"/>
  <c r="F318" i="2" s="1"/>
  <c r="C546" i="2"/>
  <c r="F546" i="2" s="1"/>
  <c r="C681" i="2"/>
  <c r="F681" i="2" s="1"/>
  <c r="C483" i="2"/>
  <c r="C587" i="2"/>
  <c r="F587" i="2" s="1"/>
  <c r="C488" i="2"/>
  <c r="F488" i="2" s="1"/>
  <c r="C590" i="2"/>
  <c r="F590" i="2" s="1"/>
  <c r="C200" i="2"/>
  <c r="F200" i="2" s="1"/>
  <c r="C379" i="2"/>
  <c r="F379" i="2" s="1"/>
  <c r="C585" i="2"/>
  <c r="F585" i="2" s="1"/>
  <c r="C454" i="2"/>
  <c r="F454" i="2" s="1"/>
  <c r="C27" i="2"/>
  <c r="C638" i="2"/>
  <c r="F638" i="2" s="1"/>
  <c r="C166" i="2"/>
  <c r="F166" i="2" s="1"/>
  <c r="C167" i="2"/>
  <c r="F167" i="2" s="1"/>
  <c r="C751" i="2"/>
  <c r="F751" i="2" s="1"/>
  <c r="C205" i="2"/>
  <c r="F205" i="2" s="1"/>
  <c r="C384" i="2"/>
  <c r="F384" i="2" s="1"/>
  <c r="C64" i="2"/>
  <c r="F64" i="2" s="1"/>
  <c r="C704" i="2"/>
  <c r="C175" i="2"/>
  <c r="F175" i="2" s="1"/>
  <c r="C742" i="2"/>
  <c r="F742" i="2" s="1"/>
  <c r="C10" i="2"/>
  <c r="F10" i="2" s="1"/>
  <c r="C311" i="2"/>
  <c r="F311" i="2" s="1"/>
  <c r="C148" i="2"/>
  <c r="F148" i="2" s="1"/>
  <c r="C238" i="2"/>
  <c r="F238" i="2" s="1"/>
  <c r="C160" i="2"/>
  <c r="F160" i="2" s="1"/>
  <c r="C317" i="2"/>
  <c r="C42" i="2"/>
  <c r="F42" i="2" s="1"/>
  <c r="C239" i="2"/>
  <c r="C688" i="2"/>
  <c r="F688" i="2" s="1"/>
  <c r="C496" i="2"/>
  <c r="F496" i="2" s="1"/>
  <c r="C407" i="2"/>
  <c r="F407" i="2" s="1"/>
  <c r="C793" i="2"/>
  <c r="F793" i="2" s="1"/>
  <c r="C794" i="2"/>
  <c r="F794" i="2" s="1"/>
  <c r="C46" i="2"/>
  <c r="F46" i="2" s="1"/>
  <c r="C117" i="2"/>
  <c r="C47" i="2"/>
  <c r="F47" i="2" s="1"/>
  <c r="C500" i="2"/>
  <c r="F500" i="2" s="1"/>
  <c r="C820" i="2"/>
  <c r="F820" i="2" s="1"/>
  <c r="C573" i="2"/>
  <c r="F573" i="2" s="1"/>
  <c r="C759" i="2"/>
  <c r="F759" i="2" s="1"/>
  <c r="C257" i="2"/>
  <c r="F257" i="2" s="1"/>
  <c r="C352" i="2"/>
  <c r="F352" i="2" s="1"/>
  <c r="C41" i="5"/>
  <c r="K41" i="5" s="1"/>
  <c r="C23" i="5"/>
  <c r="K23" i="5" s="1"/>
  <c r="C229" i="5"/>
  <c r="K229" i="5" s="1"/>
  <c r="C465" i="5"/>
  <c r="K465" i="5" s="1"/>
  <c r="C124" i="5"/>
  <c r="K124" i="5" s="1"/>
  <c r="C36" i="5"/>
  <c r="K36" i="5" s="1"/>
  <c r="C130" i="5"/>
  <c r="K130" i="5" s="1"/>
  <c r="C20" i="5"/>
  <c r="K20" i="5" s="1"/>
  <c r="C627" i="5"/>
  <c r="C217" i="5"/>
  <c r="K217" i="5" s="1"/>
  <c r="C308" i="5"/>
  <c r="K308" i="5" s="1"/>
  <c r="C281" i="5"/>
  <c r="K281" i="5" s="1"/>
  <c r="C157" i="5"/>
  <c r="K157" i="5" s="1"/>
  <c r="C270" i="5"/>
  <c r="K270" i="5" s="1"/>
  <c r="C116" i="5"/>
  <c r="K116" i="5" s="1"/>
  <c r="C292" i="5"/>
  <c r="K292" i="5" s="1"/>
  <c r="C354" i="5"/>
  <c r="K354" i="5" s="1"/>
  <c r="C111" i="5"/>
  <c r="K111" i="5" s="1"/>
  <c r="C302" i="5"/>
  <c r="K302" i="5" s="1"/>
  <c r="C179" i="5"/>
  <c r="K179" i="5" s="1"/>
  <c r="C328" i="5"/>
  <c r="K328" i="5" s="1"/>
  <c r="C72" i="5"/>
  <c r="K72" i="5" s="1"/>
  <c r="C172" i="5"/>
  <c r="K172" i="5" s="1"/>
  <c r="C611" i="5"/>
  <c r="C376" i="5"/>
  <c r="K376" i="5" s="1"/>
  <c r="C133" i="5"/>
  <c r="K133" i="5" s="1"/>
  <c r="C91" i="5"/>
  <c r="K91" i="5" s="1"/>
  <c r="C304" i="5"/>
  <c r="K304" i="5" s="1"/>
  <c r="C113" i="5"/>
  <c r="K113" i="5" s="1"/>
  <c r="C369" i="5"/>
  <c r="K369" i="5" s="1"/>
  <c r="C464" i="5"/>
  <c r="K464" i="5" s="1"/>
  <c r="C233" i="5"/>
  <c r="K233" i="5" s="1"/>
  <c r="C458" i="5"/>
  <c r="K458" i="5" s="1"/>
  <c r="C196" i="5"/>
  <c r="K196" i="5" s="1"/>
  <c r="C380" i="5"/>
  <c r="K380" i="5" s="1"/>
  <c r="C340" i="5"/>
  <c r="K340" i="5" s="1"/>
  <c r="C622" i="5"/>
  <c r="C442" i="5"/>
  <c r="K442" i="5" s="1"/>
  <c r="C446" i="5"/>
  <c r="K446" i="5" s="1"/>
  <c r="C32" i="5"/>
  <c r="K32" i="5" s="1"/>
  <c r="C221" i="5"/>
  <c r="K221" i="5" s="1"/>
  <c r="C129" i="5"/>
  <c r="K129" i="5" s="1"/>
  <c r="C392" i="5"/>
  <c r="K392" i="5" s="1"/>
  <c r="C224" i="5"/>
  <c r="K224" i="5" s="1"/>
  <c r="C81" i="5"/>
  <c r="K81" i="5" s="1"/>
  <c r="C412" i="5"/>
  <c r="K412" i="5" s="1"/>
  <c r="C457" i="5"/>
  <c r="K457" i="5" s="1"/>
  <c r="C416" i="5"/>
  <c r="K416" i="5" s="1"/>
  <c r="C601" i="5"/>
  <c r="C613" i="5"/>
  <c r="C268" i="5"/>
  <c r="K268" i="5" s="1"/>
  <c r="C67" i="5"/>
  <c r="K67" i="5" s="1"/>
  <c r="C220" i="5"/>
  <c r="K220" i="5" s="1"/>
  <c r="C58" i="5"/>
  <c r="K58" i="5" s="1"/>
  <c r="C265" i="5"/>
  <c r="K265" i="5" s="1"/>
  <c r="C163" i="5"/>
  <c r="K163" i="5" s="1"/>
  <c r="C238" i="5"/>
  <c r="K238" i="5" s="1"/>
  <c r="C620" i="5"/>
  <c r="C591" i="5"/>
  <c r="C504" i="7"/>
  <c r="C678" i="7"/>
  <c r="C502" i="7"/>
  <c r="C559" i="7"/>
  <c r="C674" i="7"/>
  <c r="C593" i="7"/>
  <c r="C507" i="7"/>
  <c r="C480" i="7"/>
  <c r="C531" i="7"/>
  <c r="C599" i="7"/>
  <c r="C464" i="7"/>
  <c r="C269" i="7"/>
  <c r="C545" i="7"/>
  <c r="C292" i="7"/>
  <c r="C168" i="7"/>
  <c r="C346" i="7"/>
  <c r="C220" i="7"/>
  <c r="C132" i="7"/>
  <c r="C488" i="7"/>
  <c r="C639" i="7"/>
  <c r="C551" i="7"/>
  <c r="C549" i="7"/>
  <c r="C447" i="7"/>
  <c r="C281" i="7"/>
  <c r="C591" i="7"/>
  <c r="C253" i="7"/>
  <c r="C582" i="7"/>
  <c r="C400" i="7"/>
  <c r="C459" i="7"/>
  <c r="C470" i="7"/>
  <c r="C522" i="7"/>
  <c r="C123" i="7"/>
  <c r="C602" i="7"/>
  <c r="C461" i="7"/>
  <c r="C341" i="7"/>
  <c r="C246" i="7"/>
  <c r="C261" i="7"/>
  <c r="C204" i="7"/>
  <c r="C207" i="7"/>
  <c r="C422" i="7"/>
  <c r="C465" i="7"/>
  <c r="C519" i="7"/>
  <c r="C131" i="7"/>
  <c r="C105" i="7"/>
  <c r="C440" i="12"/>
  <c r="C35" i="12"/>
  <c r="L35" i="12" s="1"/>
  <c r="C74" i="12"/>
  <c r="L74" i="12" s="1"/>
  <c r="C43" i="12"/>
  <c r="L43" i="12" s="1"/>
  <c r="C64" i="12"/>
  <c r="L64" i="12" s="1"/>
  <c r="C41" i="12"/>
  <c r="L41" i="12" s="1"/>
  <c r="C38" i="12"/>
  <c r="C70" i="12"/>
  <c r="L70" i="12" s="1"/>
  <c r="C52" i="12"/>
  <c r="L52" i="12" s="1"/>
  <c r="C45" i="12"/>
  <c r="L45" i="12" s="1"/>
  <c r="C62" i="12"/>
  <c r="L62" i="12" s="1"/>
  <c r="C10" i="8"/>
  <c r="C72" i="7"/>
  <c r="C418" i="7"/>
  <c r="C345" i="7"/>
  <c r="C404" i="7"/>
  <c r="C189" i="7"/>
  <c r="C662" i="7"/>
  <c r="C562" i="7"/>
  <c r="C622" i="7"/>
  <c r="C555" i="7"/>
  <c r="C412" i="7"/>
  <c r="C218" i="7"/>
  <c r="C680" i="7"/>
  <c r="C170" i="7"/>
  <c r="C538" i="7"/>
  <c r="C587" i="7"/>
  <c r="C643" i="7"/>
  <c r="C315" i="7"/>
  <c r="C660" i="7"/>
  <c r="C583" i="7"/>
  <c r="C320" i="7"/>
  <c r="C435" i="7"/>
  <c r="C569" i="7"/>
  <c r="C378" i="7"/>
  <c r="C669" i="7"/>
  <c r="C149" i="7"/>
  <c r="C141" i="7"/>
  <c r="C513" i="7"/>
  <c r="C337" i="7"/>
  <c r="C87" i="7"/>
  <c r="C212" i="7"/>
  <c r="C543" i="7"/>
  <c r="C74" i="7"/>
  <c r="C30" i="7"/>
  <c r="C171" i="7"/>
  <c r="C276" i="7"/>
  <c r="C472" i="7"/>
  <c r="C623" i="7"/>
  <c r="C603" i="7"/>
  <c r="C452" i="7"/>
  <c r="C307" i="7"/>
  <c r="C445" i="7"/>
  <c r="C362" i="7"/>
  <c r="C485" i="7"/>
  <c r="C196" i="7"/>
  <c r="C347" i="7"/>
  <c r="C573" i="7"/>
  <c r="C278" i="7"/>
  <c r="C576" i="7"/>
  <c r="C56" i="7"/>
  <c r="C429" i="7"/>
  <c r="C438" i="7"/>
  <c r="C57" i="7"/>
  <c r="C20" i="7"/>
  <c r="C116" i="7"/>
  <c r="C235" i="7"/>
  <c r="C161" i="7"/>
  <c r="C251" i="7"/>
  <c r="C193" i="7"/>
  <c r="C612" i="7"/>
  <c r="C409" i="7"/>
  <c r="C344" i="7"/>
  <c r="C115" i="7"/>
  <c r="C82" i="7"/>
  <c r="C309" i="7"/>
  <c r="C37" i="7"/>
  <c r="C245" i="7"/>
  <c r="C214" i="7"/>
  <c r="C150" i="7"/>
  <c r="C35" i="7"/>
  <c r="C81" i="7"/>
  <c r="C55" i="7"/>
  <c r="C65" i="7"/>
  <c r="C136" i="7"/>
  <c r="C53" i="7"/>
  <c r="C27" i="7"/>
  <c r="C29" i="7"/>
  <c r="C125" i="7"/>
  <c r="C215" i="7"/>
  <c r="C17" i="7"/>
  <c r="C432" i="7"/>
  <c r="C460" i="7"/>
  <c r="C630" i="7"/>
  <c r="C26" i="7"/>
  <c r="C600" i="7"/>
  <c r="C50" i="7"/>
  <c r="C179" i="7"/>
  <c r="C177" i="7"/>
  <c r="C236" i="7"/>
  <c r="C191" i="7"/>
  <c r="C48" i="7"/>
  <c r="C106" i="7"/>
  <c r="C202" i="7"/>
  <c r="C270" i="7"/>
  <c r="C326" i="7"/>
  <c r="C265" i="7"/>
  <c r="C172" i="7"/>
  <c r="C425" i="7"/>
  <c r="C213" i="7"/>
  <c r="C606" i="7"/>
  <c r="C633" i="7"/>
  <c r="C361" i="7"/>
  <c r="C225" i="7"/>
  <c r="C97" i="7"/>
  <c r="C688" i="7"/>
  <c r="C491" i="7"/>
  <c r="C76" i="7"/>
  <c r="C436" i="7"/>
  <c r="C527" i="7"/>
  <c r="C679" i="7"/>
  <c r="C526" i="7"/>
  <c r="C564" i="7"/>
  <c r="C240" i="7"/>
  <c r="C441" i="7"/>
  <c r="C305" i="7"/>
  <c r="C349" i="12"/>
  <c r="L349" i="12" s="1"/>
  <c r="C353" i="12"/>
  <c r="L353" i="12" s="1"/>
  <c r="C368" i="12"/>
  <c r="L368" i="12" s="1"/>
  <c r="C340" i="12"/>
  <c r="L340" i="12" s="1"/>
  <c r="C333" i="12"/>
  <c r="C326" i="12"/>
  <c r="L326" i="12" s="1"/>
  <c r="C329" i="12"/>
  <c r="L329" i="12" s="1"/>
  <c r="C337" i="12"/>
  <c r="L337" i="12" s="1"/>
  <c r="F304" i="12"/>
  <c r="D304" i="12"/>
  <c r="E304" i="12" s="1"/>
  <c r="F305" i="12"/>
  <c r="D305" i="12"/>
  <c r="E305" i="12" s="1"/>
  <c r="F292" i="12"/>
  <c r="H292" i="12" s="1"/>
  <c r="D292" i="12"/>
  <c r="E292" i="12" s="1"/>
  <c r="F290" i="12"/>
  <c r="H290" i="12" s="1"/>
  <c r="D290" i="12"/>
  <c r="E290" i="12" s="1"/>
  <c r="F287" i="12"/>
  <c r="D287" i="12"/>
  <c r="E287" i="12" s="1"/>
  <c r="F289" i="12"/>
  <c r="H289" i="12" s="1"/>
  <c r="D289" i="12"/>
  <c r="E289" i="12" s="1"/>
  <c r="F284" i="12"/>
  <c r="D284" i="12"/>
  <c r="E284" i="12" s="1"/>
  <c r="F318" i="12"/>
  <c r="H318" i="12" s="1"/>
  <c r="D318" i="12"/>
  <c r="E318" i="12" s="1"/>
  <c r="F86" i="12"/>
  <c r="H86" i="12" s="1"/>
  <c r="D86" i="12"/>
  <c r="E86" i="12" s="1"/>
  <c r="F79" i="12"/>
  <c r="D79" i="12"/>
  <c r="E79" i="12" s="1"/>
  <c r="F89" i="12"/>
  <c r="D89" i="12"/>
  <c r="E89" i="12" s="1"/>
  <c r="F66" i="12"/>
  <c r="H66" i="12" s="1"/>
  <c r="D66" i="12"/>
  <c r="E66" i="12" s="1"/>
  <c r="F76" i="12"/>
  <c r="D76" i="12"/>
  <c r="E76" i="12" s="1"/>
  <c r="F24" i="12"/>
  <c r="D24" i="12"/>
  <c r="E24" i="12" s="1"/>
  <c r="D19" i="12"/>
  <c r="E19" i="12" s="1"/>
  <c r="F22" i="12"/>
  <c r="D22" i="12"/>
  <c r="E22" i="12" s="1"/>
  <c r="F17" i="12"/>
  <c r="D17" i="12"/>
  <c r="E17" i="12" s="1"/>
  <c r="F28" i="12"/>
  <c r="D28" i="12"/>
  <c r="E28" i="12" s="1"/>
  <c r="F14" i="12"/>
  <c r="H14" i="12" s="1"/>
  <c r="D14" i="12"/>
  <c r="E14" i="12" s="1"/>
  <c r="F33" i="12"/>
  <c r="D33" i="12"/>
  <c r="E33" i="12" s="1"/>
  <c r="F650" i="12"/>
  <c r="D650" i="12"/>
  <c r="E650" i="12" s="1"/>
  <c r="F677" i="12"/>
  <c r="D677" i="12"/>
  <c r="E677" i="12" s="1"/>
  <c r="F468" i="12"/>
  <c r="D468" i="12"/>
  <c r="E468" i="12" s="1"/>
  <c r="F473" i="12"/>
  <c r="H473" i="12" s="1"/>
  <c r="D473" i="12"/>
  <c r="E473" i="12" s="1"/>
  <c r="F98" i="12"/>
  <c r="D98" i="12"/>
  <c r="E98" i="12" s="1"/>
  <c r="F100" i="12"/>
  <c r="D100" i="12"/>
  <c r="E100" i="12" s="1"/>
  <c r="F93" i="12"/>
  <c r="D93" i="12"/>
  <c r="E93" i="12" s="1"/>
  <c r="F463" i="12"/>
  <c r="D463" i="12"/>
  <c r="E463" i="12" s="1"/>
  <c r="F462" i="12"/>
  <c r="D462" i="12"/>
  <c r="E462" i="12" s="1"/>
  <c r="F567" i="12"/>
  <c r="D567" i="12"/>
  <c r="E567" i="12" s="1"/>
  <c r="F557" i="12"/>
  <c r="D557" i="12"/>
  <c r="E557" i="12" s="1"/>
  <c r="F554" i="12"/>
  <c r="D554" i="12"/>
  <c r="E554" i="12" s="1"/>
  <c r="F548" i="12"/>
  <c r="H548" i="12" s="1"/>
  <c r="D548" i="12"/>
  <c r="E548" i="12" s="1"/>
  <c r="F599" i="12"/>
  <c r="D599" i="12"/>
  <c r="E599" i="12" s="1"/>
  <c r="F479" i="12"/>
  <c r="D479" i="12"/>
  <c r="E479" i="12" s="1"/>
  <c r="F474" i="12"/>
  <c r="H474" i="12" s="1"/>
  <c r="D474" i="12"/>
  <c r="E474" i="12" s="1"/>
  <c r="F476" i="12"/>
  <c r="H476" i="12" s="1"/>
  <c r="D476" i="12"/>
  <c r="E476" i="12" s="1"/>
  <c r="F602" i="12"/>
  <c r="H602" i="12" s="1"/>
  <c r="D602" i="12"/>
  <c r="E602" i="12" s="1"/>
  <c r="F601" i="12"/>
  <c r="D601" i="12"/>
  <c r="E601" i="12" s="1"/>
  <c r="F652" i="12"/>
  <c r="D652" i="12"/>
  <c r="E652" i="12" s="1"/>
  <c r="F660" i="12"/>
  <c r="D660" i="12"/>
  <c r="E660" i="12" s="1"/>
  <c r="F667" i="12"/>
  <c r="D667" i="12"/>
  <c r="E667" i="12" s="1"/>
  <c r="F666" i="12"/>
  <c r="D666" i="12"/>
  <c r="E666" i="12" s="1"/>
  <c r="F506" i="12"/>
  <c r="H506" i="12" s="1"/>
  <c r="D506" i="12"/>
  <c r="E506" i="12" s="1"/>
  <c r="F483" i="12"/>
  <c r="H483" i="12" s="1"/>
  <c r="D483" i="12"/>
  <c r="E483" i="12" s="1"/>
  <c r="F489" i="12"/>
  <c r="H489" i="12" s="1"/>
  <c r="D489" i="12"/>
  <c r="E489" i="12" s="1"/>
  <c r="F515" i="12"/>
  <c r="D515" i="12"/>
  <c r="E515" i="12" s="1"/>
  <c r="F508" i="12"/>
  <c r="D508" i="12"/>
  <c r="E508" i="12" s="1"/>
  <c r="F481" i="12"/>
  <c r="D481" i="12"/>
  <c r="E481" i="12" s="1"/>
  <c r="F496" i="12"/>
  <c r="D496" i="12"/>
  <c r="E496" i="12" s="1"/>
  <c r="F503" i="12"/>
  <c r="D503" i="12"/>
  <c r="E503" i="12" s="1"/>
  <c r="F345" i="12"/>
  <c r="H345" i="12" s="1"/>
  <c r="D345" i="12"/>
  <c r="E345" i="12" s="1"/>
  <c r="F323" i="12"/>
  <c r="D323" i="12"/>
  <c r="E323" i="12" s="1"/>
  <c r="F106" i="12"/>
  <c r="H106" i="12" s="1"/>
  <c r="D106" i="12"/>
  <c r="E106" i="12" s="1"/>
  <c r="F104" i="12"/>
  <c r="D104" i="12"/>
  <c r="E104" i="12" s="1"/>
  <c r="F543" i="12"/>
  <c r="H543" i="12" s="1"/>
  <c r="D543" i="12"/>
  <c r="E543" i="12" s="1"/>
  <c r="F387" i="12"/>
  <c r="D387" i="12"/>
  <c r="E387" i="12" s="1"/>
  <c r="F399" i="12"/>
  <c r="D399" i="12"/>
  <c r="E399" i="12" s="1"/>
  <c r="F389" i="12"/>
  <c r="D389" i="12"/>
  <c r="E389" i="12" s="1"/>
  <c r="F388" i="12"/>
  <c r="H388" i="12" s="1"/>
  <c r="D388" i="12"/>
  <c r="E388" i="12" s="1"/>
  <c r="F396" i="12"/>
  <c r="D396" i="12"/>
  <c r="E396" i="12" s="1"/>
  <c r="F361" i="12"/>
  <c r="H361" i="12" s="1"/>
  <c r="D361" i="12"/>
  <c r="E361" i="12" s="1"/>
  <c r="F383" i="12"/>
  <c r="D383" i="12"/>
  <c r="E383" i="12" s="1"/>
  <c r="F355" i="12"/>
  <c r="D355" i="12"/>
  <c r="E355" i="12" s="1"/>
  <c r="C358" i="12"/>
  <c r="L358" i="12" s="1"/>
  <c r="F146" i="12"/>
  <c r="H146" i="12" s="1"/>
  <c r="D146" i="12"/>
  <c r="E146" i="12" s="1"/>
  <c r="F152" i="12"/>
  <c r="D152" i="12"/>
  <c r="E152" i="12" s="1"/>
  <c r="F115" i="12"/>
  <c r="H115" i="12" s="1"/>
  <c r="D115" i="12"/>
  <c r="E115" i="12" s="1"/>
  <c r="F110" i="12"/>
  <c r="H110" i="12" s="1"/>
  <c r="D110" i="12"/>
  <c r="E110" i="12" s="1"/>
  <c r="F121" i="12"/>
  <c r="H121" i="12" s="1"/>
  <c r="D121" i="12"/>
  <c r="E121" i="12" s="1"/>
  <c r="F114" i="12"/>
  <c r="D114" i="12"/>
  <c r="E114" i="12" s="1"/>
  <c r="F129" i="12"/>
  <c r="D129" i="12"/>
  <c r="E129" i="12" s="1"/>
  <c r="F690" i="12"/>
  <c r="D690" i="12"/>
  <c r="E690" i="12" s="1"/>
  <c r="F688" i="12"/>
  <c r="D688" i="12"/>
  <c r="E688" i="12" s="1"/>
  <c r="F527" i="12"/>
  <c r="H527" i="12" s="1"/>
  <c r="D527" i="12"/>
  <c r="E527" i="12" s="1"/>
  <c r="F573" i="12"/>
  <c r="D573" i="12"/>
  <c r="E573" i="12" s="1"/>
  <c r="F535" i="12"/>
  <c r="D535" i="12"/>
  <c r="E535" i="12" s="1"/>
  <c r="F539" i="12"/>
  <c r="D539" i="12"/>
  <c r="E539" i="12" s="1"/>
  <c r="F550" i="12"/>
  <c r="D550" i="12"/>
  <c r="E550" i="12" s="1"/>
  <c r="F555" i="12"/>
  <c r="D555" i="12"/>
  <c r="E555" i="12" s="1"/>
  <c r="F139" i="12"/>
  <c r="D139" i="12"/>
  <c r="E139" i="12" s="1"/>
  <c r="F136" i="12"/>
  <c r="D136" i="12"/>
  <c r="E136" i="12" s="1"/>
  <c r="F131" i="12"/>
  <c r="D131" i="12"/>
  <c r="E131" i="12" s="1"/>
  <c r="F572" i="12"/>
  <c r="D572" i="12"/>
  <c r="E572" i="12" s="1"/>
  <c r="F538" i="12"/>
  <c r="H538" i="12" s="1"/>
  <c r="D538" i="12"/>
  <c r="E538" i="12" s="1"/>
  <c r="F526" i="12"/>
  <c r="D526" i="12"/>
  <c r="E526" i="12" s="1"/>
  <c r="F566" i="12"/>
  <c r="D566" i="12"/>
  <c r="E566" i="12" s="1"/>
  <c r="F676" i="12"/>
  <c r="H676" i="12" s="1"/>
  <c r="D676" i="12"/>
  <c r="E676" i="12" s="1"/>
  <c r="F633" i="12"/>
  <c r="H633" i="12" s="1"/>
  <c r="D633" i="12"/>
  <c r="E633" i="12" s="1"/>
  <c r="F162" i="12"/>
  <c r="H162" i="12" s="1"/>
  <c r="D162" i="12"/>
  <c r="E162" i="12" s="1"/>
  <c r="F167" i="12"/>
  <c r="D167" i="12"/>
  <c r="E167" i="12" s="1"/>
  <c r="F160" i="12"/>
  <c r="D160" i="12"/>
  <c r="E160" i="12" s="1"/>
  <c r="F606" i="12"/>
  <c r="D606" i="12"/>
  <c r="E606" i="12" s="1"/>
  <c r="F612" i="12"/>
  <c r="D612" i="12"/>
  <c r="E612" i="12" s="1"/>
  <c r="F581" i="12"/>
  <c r="H581" i="12" s="1"/>
  <c r="D581" i="12"/>
  <c r="E581" i="12" s="1"/>
  <c r="F211" i="12"/>
  <c r="H211" i="12" s="1"/>
  <c r="D211" i="12"/>
  <c r="E211" i="12" s="1"/>
  <c r="F268" i="12"/>
  <c r="H268" i="12" s="1"/>
  <c r="D268" i="12"/>
  <c r="E268" i="12" s="1"/>
  <c r="F239" i="12"/>
  <c r="D239" i="12"/>
  <c r="E239" i="12" s="1"/>
  <c r="F231" i="12"/>
  <c r="D231" i="12"/>
  <c r="E231" i="12" s="1"/>
  <c r="F210" i="12"/>
  <c r="D210" i="12"/>
  <c r="E210" i="12" s="1"/>
  <c r="F201" i="12"/>
  <c r="H201" i="12" s="1"/>
  <c r="D201" i="12"/>
  <c r="E201" i="12" s="1"/>
  <c r="F221" i="12"/>
  <c r="D221" i="12"/>
  <c r="E221" i="12" s="1"/>
  <c r="F267" i="12"/>
  <c r="D267" i="12"/>
  <c r="E267" i="12" s="1"/>
  <c r="F227" i="12"/>
  <c r="H227" i="12" s="1"/>
  <c r="D227" i="12"/>
  <c r="E227" i="12" s="1"/>
  <c r="F242" i="12"/>
  <c r="H242" i="12" s="1"/>
  <c r="D242" i="12"/>
  <c r="E242" i="12" s="1"/>
  <c r="F173" i="12"/>
  <c r="D173" i="12"/>
  <c r="E173" i="12" s="1"/>
  <c r="F200" i="12"/>
  <c r="H200" i="12" s="1"/>
  <c r="D200" i="12"/>
  <c r="E200" i="12" s="1"/>
  <c r="F177" i="12"/>
  <c r="H177" i="12" s="1"/>
  <c r="D177" i="12"/>
  <c r="E177" i="12" s="1"/>
  <c r="F180" i="12"/>
  <c r="D180" i="12"/>
  <c r="E180" i="12" s="1"/>
  <c r="F184" i="12"/>
  <c r="D184" i="12"/>
  <c r="E184" i="12" s="1"/>
  <c r="F202" i="12"/>
  <c r="D202" i="12"/>
  <c r="E202" i="12" s="1"/>
  <c r="F165" i="12"/>
  <c r="D165" i="12"/>
  <c r="E165" i="12" s="1"/>
  <c r="F193" i="12"/>
  <c r="H193" i="12" s="1"/>
  <c r="D193" i="12"/>
  <c r="E193" i="12" s="1"/>
  <c r="F175" i="12"/>
  <c r="D175" i="12"/>
  <c r="E175" i="12" s="1"/>
  <c r="F187" i="12"/>
  <c r="D187" i="12"/>
  <c r="E187" i="12" s="1"/>
  <c r="F159" i="12"/>
  <c r="H159" i="12" s="1"/>
  <c r="D159" i="12"/>
  <c r="E159" i="12" s="1"/>
  <c r="F176" i="12"/>
  <c r="D176" i="12"/>
  <c r="E176" i="12" s="1"/>
  <c r="F226" i="12"/>
  <c r="D226" i="12"/>
  <c r="E226" i="12" s="1"/>
  <c r="F230" i="12"/>
  <c r="D230" i="12"/>
  <c r="E230" i="12" s="1"/>
  <c r="F262" i="12"/>
  <c r="H262" i="12" s="1"/>
  <c r="D262" i="12"/>
  <c r="E262" i="12" s="1"/>
  <c r="F280" i="12"/>
  <c r="D280" i="12"/>
  <c r="E280" i="12" s="1"/>
  <c r="F272" i="12"/>
  <c r="D272" i="12"/>
  <c r="E272" i="12" s="1"/>
  <c r="F276" i="12"/>
  <c r="D276" i="12"/>
  <c r="E276" i="12" s="1"/>
  <c r="F253" i="12"/>
  <c r="D253" i="12"/>
  <c r="E253" i="12" s="1"/>
  <c r="F294" i="12"/>
  <c r="H294" i="12" s="1"/>
  <c r="D294" i="12"/>
  <c r="E294" i="12" s="1"/>
  <c r="F192" i="12"/>
  <c r="D192" i="12"/>
  <c r="E192" i="12" s="1"/>
  <c r="F379" i="12"/>
  <c r="H379" i="12" s="1"/>
  <c r="D379" i="12"/>
  <c r="E379" i="12" s="1"/>
  <c r="F378" i="12"/>
  <c r="D378" i="12"/>
  <c r="E378" i="12" s="1"/>
  <c r="F426" i="12"/>
  <c r="D426" i="12"/>
  <c r="E426" i="12" s="1"/>
  <c r="F448" i="12"/>
  <c r="D448" i="12"/>
  <c r="E448" i="12" s="1"/>
  <c r="F452" i="12"/>
  <c r="D452" i="12"/>
  <c r="E452" i="12" s="1"/>
  <c r="F422" i="12"/>
  <c r="H422" i="12" s="1"/>
  <c r="D422" i="12"/>
  <c r="E422" i="12" s="1"/>
  <c r="F442" i="12"/>
  <c r="D442" i="12"/>
  <c r="E442" i="12" s="1"/>
  <c r="F446" i="12"/>
  <c r="H446" i="12" s="1"/>
  <c r="D446" i="12"/>
  <c r="E446" i="12" s="1"/>
  <c r="F347" i="12"/>
  <c r="D347" i="12"/>
  <c r="E347" i="12" s="1"/>
  <c r="F351" i="12"/>
  <c r="H351" i="12" s="1"/>
  <c r="D351" i="12"/>
  <c r="E351" i="12" s="1"/>
  <c r="F334" i="12"/>
  <c r="D334" i="12"/>
  <c r="E334" i="12" s="1"/>
  <c r="F332" i="12"/>
  <c r="H332" i="12" s="1"/>
  <c r="D332" i="12"/>
  <c r="E332" i="12" s="1"/>
  <c r="F335" i="12"/>
  <c r="H335" i="12" s="1"/>
  <c r="D335" i="12"/>
  <c r="E335" i="12" s="1"/>
  <c r="F367" i="12"/>
  <c r="D367" i="12"/>
  <c r="E367" i="12" s="1"/>
  <c r="F369" i="12"/>
  <c r="H369" i="12" s="1"/>
  <c r="D369" i="12"/>
  <c r="E369" i="12" s="1"/>
  <c r="F354" i="12"/>
  <c r="D354" i="12"/>
  <c r="E354" i="12" s="1"/>
  <c r="F504" i="12"/>
  <c r="D504" i="12"/>
  <c r="E504" i="12" s="1"/>
  <c r="F480" i="12"/>
  <c r="D480" i="12"/>
  <c r="E480" i="12" s="1"/>
  <c r="F513" i="12"/>
  <c r="D513" i="12"/>
  <c r="E513" i="12" s="1"/>
  <c r="F674" i="12"/>
  <c r="D674" i="12"/>
  <c r="E674" i="12" s="1"/>
  <c r="F668" i="12"/>
  <c r="H668" i="12" s="1"/>
  <c r="D668" i="12"/>
  <c r="E668" i="12" s="1"/>
  <c r="F438" i="12"/>
  <c r="D438" i="12"/>
  <c r="E438" i="12" s="1"/>
  <c r="F428" i="12"/>
  <c r="D428" i="12"/>
  <c r="E428" i="12" s="1"/>
  <c r="F408" i="12"/>
  <c r="H408" i="12" s="1"/>
  <c r="D408" i="12"/>
  <c r="E408" i="12" s="1"/>
  <c r="F414" i="12"/>
  <c r="D414" i="12"/>
  <c r="E414" i="12" s="1"/>
  <c r="F455" i="12"/>
  <c r="H455" i="12" s="1"/>
  <c r="D455" i="12"/>
  <c r="E455" i="12" s="1"/>
  <c r="F436" i="12"/>
  <c r="D436" i="12"/>
  <c r="E436" i="12" s="1"/>
  <c r="F315" i="12"/>
  <c r="H315" i="12" s="1"/>
  <c r="D315" i="12"/>
  <c r="E315" i="12" s="1"/>
  <c r="F314" i="12"/>
  <c r="D314" i="12"/>
  <c r="E314" i="12" s="1"/>
  <c r="F313" i="12"/>
  <c r="D313" i="12"/>
  <c r="E313" i="12" s="1"/>
  <c r="F309" i="12"/>
  <c r="D309" i="12"/>
  <c r="E309" i="12" s="1"/>
  <c r="F301" i="12"/>
  <c r="D301" i="12"/>
  <c r="E301" i="12" s="1"/>
  <c r="F319" i="12"/>
  <c r="D319" i="12"/>
  <c r="E319" i="12" s="1"/>
  <c r="F324" i="12"/>
  <c r="H324" i="12" s="1"/>
  <c r="D324" i="12"/>
  <c r="E324" i="12" s="1"/>
  <c r="F78" i="12"/>
  <c r="H78" i="12" s="1"/>
  <c r="D78" i="12"/>
  <c r="E78" i="12" s="1"/>
  <c r="F84" i="12"/>
  <c r="D84" i="12"/>
  <c r="E84" i="12" s="1"/>
  <c r="F85" i="12"/>
  <c r="H85" i="12" s="1"/>
  <c r="D85" i="12"/>
  <c r="E85" i="12" s="1"/>
  <c r="F91" i="12"/>
  <c r="H91" i="12" s="1"/>
  <c r="D91" i="12"/>
  <c r="E91" i="12" s="1"/>
  <c r="F88" i="12"/>
  <c r="H88" i="12" s="1"/>
  <c r="D88" i="12"/>
  <c r="E88" i="12" s="1"/>
  <c r="F18" i="12"/>
  <c r="H18" i="12" s="1"/>
  <c r="D18" i="12"/>
  <c r="E18" i="12" s="1"/>
  <c r="F13" i="12"/>
  <c r="H13" i="12" s="1"/>
  <c r="D13" i="12"/>
  <c r="E13" i="12" s="1"/>
  <c r="F25" i="12"/>
  <c r="H25" i="12" s="1"/>
  <c r="D25" i="12"/>
  <c r="E25" i="12" s="1"/>
  <c r="F26" i="12"/>
  <c r="D26" i="12"/>
  <c r="E26" i="12" s="1"/>
  <c r="F23" i="12"/>
  <c r="H23" i="12" s="1"/>
  <c r="D23" i="12"/>
  <c r="E23" i="12" s="1"/>
  <c r="F27" i="12"/>
  <c r="D27" i="12"/>
  <c r="E27" i="12" s="1"/>
  <c r="F641" i="12"/>
  <c r="D641" i="12"/>
  <c r="E641" i="12" s="1"/>
  <c r="F672" i="12"/>
  <c r="D672" i="12"/>
  <c r="E672" i="12" s="1"/>
  <c r="F646" i="12"/>
  <c r="H646" i="12" s="1"/>
  <c r="D646" i="12"/>
  <c r="E646" i="12" s="1"/>
  <c r="F94" i="12"/>
  <c r="D94" i="12"/>
  <c r="E94" i="12" s="1"/>
  <c r="F96" i="12"/>
  <c r="H96" i="12" s="1"/>
  <c r="D96" i="12"/>
  <c r="E96" i="12" s="1"/>
  <c r="F424" i="12"/>
  <c r="H424" i="12" s="1"/>
  <c r="D424" i="12"/>
  <c r="E424" i="12" s="1"/>
  <c r="F459" i="12"/>
  <c r="H459" i="12" s="1"/>
  <c r="D459" i="12"/>
  <c r="E459" i="12" s="1"/>
  <c r="F564" i="12"/>
  <c r="D564" i="12"/>
  <c r="E564" i="12" s="1"/>
  <c r="F542" i="12"/>
  <c r="D542" i="12"/>
  <c r="E542" i="12" s="1"/>
  <c r="F556" i="12"/>
  <c r="D556" i="12"/>
  <c r="E556" i="12" s="1"/>
  <c r="F531" i="12"/>
  <c r="D531" i="12"/>
  <c r="E531" i="12" s="1"/>
  <c r="F605" i="12"/>
  <c r="D605" i="12"/>
  <c r="E605" i="12" s="1"/>
  <c r="F469" i="12"/>
  <c r="H469" i="12" s="1"/>
  <c r="D469" i="12"/>
  <c r="E469" i="12" s="1"/>
  <c r="F471" i="12"/>
  <c r="H471" i="12" s="1"/>
  <c r="D471" i="12"/>
  <c r="E471" i="12" s="1"/>
  <c r="F470" i="12"/>
  <c r="D470" i="12"/>
  <c r="E470" i="12" s="1"/>
  <c r="F591" i="12"/>
  <c r="D591" i="12"/>
  <c r="E591" i="12" s="1"/>
  <c r="F598" i="12"/>
  <c r="D598" i="12"/>
  <c r="E598" i="12" s="1"/>
  <c r="F600" i="12"/>
  <c r="H600" i="12" s="1"/>
  <c r="D600" i="12"/>
  <c r="E600" i="12" s="1"/>
  <c r="F634" i="12"/>
  <c r="H634" i="12" s="1"/>
  <c r="D634" i="12"/>
  <c r="E634" i="12" s="1"/>
  <c r="F645" i="12"/>
  <c r="D645" i="12"/>
  <c r="E645" i="12" s="1"/>
  <c r="F669" i="12"/>
  <c r="D669" i="12"/>
  <c r="E669" i="12" s="1"/>
  <c r="F679" i="12"/>
  <c r="D679" i="12"/>
  <c r="E679" i="12" s="1"/>
  <c r="F514" i="12"/>
  <c r="D514" i="12"/>
  <c r="E514" i="12" s="1"/>
  <c r="F490" i="12"/>
  <c r="D490" i="12"/>
  <c r="E490" i="12" s="1"/>
  <c r="F511" i="12"/>
  <c r="D511" i="12"/>
  <c r="E511" i="12" s="1"/>
  <c r="F517" i="12"/>
  <c r="D517" i="12"/>
  <c r="E517" i="12" s="1"/>
  <c r="F520" i="12"/>
  <c r="D520" i="12"/>
  <c r="E520" i="12" s="1"/>
  <c r="F499" i="12"/>
  <c r="D499" i="12"/>
  <c r="E499" i="12" s="1"/>
  <c r="F501" i="12"/>
  <c r="D501" i="12"/>
  <c r="E501" i="12" s="1"/>
  <c r="F320" i="12"/>
  <c r="H320" i="12" s="1"/>
  <c r="D320" i="12"/>
  <c r="E320" i="12" s="1"/>
  <c r="F325" i="12"/>
  <c r="H325" i="12" s="1"/>
  <c r="D325" i="12"/>
  <c r="E325" i="12" s="1"/>
  <c r="F678" i="12"/>
  <c r="H678" i="12" s="1"/>
  <c r="D678" i="12"/>
  <c r="E678" i="12" s="1"/>
  <c r="F112" i="12"/>
  <c r="D112" i="12"/>
  <c r="E112" i="12" s="1"/>
  <c r="F113" i="12"/>
  <c r="H113" i="12" s="1"/>
  <c r="D113" i="12"/>
  <c r="E113" i="12" s="1"/>
  <c r="F108" i="12"/>
  <c r="H108" i="12" s="1"/>
  <c r="D108" i="12"/>
  <c r="E108" i="12" s="1"/>
  <c r="F568" i="12"/>
  <c r="D568" i="12"/>
  <c r="E568" i="12" s="1"/>
  <c r="F611" i="12"/>
  <c r="D611" i="12"/>
  <c r="E611" i="12" s="1"/>
  <c r="F613" i="12"/>
  <c r="D613" i="12"/>
  <c r="E613" i="12" s="1"/>
  <c r="F392" i="12"/>
  <c r="H392" i="12" s="1"/>
  <c r="D392" i="12"/>
  <c r="E392" i="12" s="1"/>
  <c r="F398" i="12"/>
  <c r="D398" i="12"/>
  <c r="E398" i="12" s="1"/>
  <c r="F395" i="12"/>
  <c r="D395" i="12"/>
  <c r="E395" i="12" s="1"/>
  <c r="F365" i="12"/>
  <c r="H365" i="12" s="1"/>
  <c r="D365" i="12"/>
  <c r="E365" i="12" s="1"/>
  <c r="F366" i="12"/>
  <c r="D366" i="12"/>
  <c r="E366" i="12" s="1"/>
  <c r="F142" i="12"/>
  <c r="H142" i="12" s="1"/>
  <c r="D142" i="12"/>
  <c r="E142" i="12" s="1"/>
  <c r="F151" i="12"/>
  <c r="D151" i="12"/>
  <c r="E151" i="12" s="1"/>
  <c r="F123" i="12"/>
  <c r="H123" i="12" s="1"/>
  <c r="D123" i="12"/>
  <c r="E123" i="12" s="1"/>
  <c r="F122" i="12"/>
  <c r="D122" i="12"/>
  <c r="E122" i="12" s="1"/>
  <c r="F118" i="12"/>
  <c r="D118" i="12"/>
  <c r="E118" i="12" s="1"/>
  <c r="F120" i="12"/>
  <c r="D120" i="12"/>
  <c r="E120" i="12" s="1"/>
  <c r="F563" i="12"/>
  <c r="D563" i="12"/>
  <c r="E563" i="12" s="1"/>
  <c r="F561" i="12"/>
  <c r="D561" i="12"/>
  <c r="E561" i="12" s="1"/>
  <c r="F577" i="12"/>
  <c r="D577" i="12"/>
  <c r="E577" i="12" s="1"/>
  <c r="F551" i="12"/>
  <c r="D551" i="12"/>
  <c r="E551" i="12" s="1"/>
  <c r="F553" i="12"/>
  <c r="H553" i="12" s="1"/>
  <c r="D553" i="12"/>
  <c r="E553" i="12" s="1"/>
  <c r="F138" i="12"/>
  <c r="D138" i="12"/>
  <c r="E138" i="12" s="1"/>
  <c r="F137" i="12"/>
  <c r="H137" i="12" s="1"/>
  <c r="D137" i="12"/>
  <c r="E137" i="12" s="1"/>
  <c r="F134" i="12"/>
  <c r="D134" i="12"/>
  <c r="E134" i="12" s="1"/>
  <c r="F141" i="12"/>
  <c r="H141" i="12" s="1"/>
  <c r="D141" i="12"/>
  <c r="E141" i="12" s="1"/>
  <c r="F552" i="12"/>
  <c r="D552" i="12"/>
  <c r="E552" i="12" s="1"/>
  <c r="F534" i="12"/>
  <c r="D534" i="12"/>
  <c r="E534" i="12" s="1"/>
  <c r="F575" i="12"/>
  <c r="D575" i="12"/>
  <c r="E575" i="12" s="1"/>
  <c r="F635" i="12"/>
  <c r="D635" i="12"/>
  <c r="E635" i="12" s="1"/>
  <c r="F655" i="12"/>
  <c r="D655" i="12"/>
  <c r="E655" i="12" s="1"/>
  <c r="F649" i="12"/>
  <c r="D649" i="12"/>
  <c r="E649" i="12" s="1"/>
  <c r="F164" i="12"/>
  <c r="H164" i="12" s="1"/>
  <c r="D164" i="12"/>
  <c r="E164" i="12" s="1"/>
  <c r="F586" i="12"/>
  <c r="H586" i="12" s="1"/>
  <c r="D586" i="12"/>
  <c r="E586" i="12" s="1"/>
  <c r="F619" i="12"/>
  <c r="D619" i="12"/>
  <c r="E619" i="12" s="1"/>
  <c r="F594" i="12"/>
  <c r="D594" i="12"/>
  <c r="E594" i="12" s="1"/>
  <c r="F589" i="12"/>
  <c r="D589" i="12"/>
  <c r="E589" i="12" s="1"/>
  <c r="F206" i="12"/>
  <c r="H206" i="12" s="1"/>
  <c r="D206" i="12"/>
  <c r="E206" i="12" s="1"/>
  <c r="F236" i="12"/>
  <c r="D236" i="12"/>
  <c r="E236" i="12" s="1"/>
  <c r="F249" i="12"/>
  <c r="D249" i="12"/>
  <c r="E249" i="12" s="1"/>
  <c r="F208" i="12"/>
  <c r="D208" i="12"/>
  <c r="E208" i="12" s="1"/>
  <c r="F181" i="12"/>
  <c r="H181" i="12" s="1"/>
  <c r="D181" i="12"/>
  <c r="E181" i="12" s="1"/>
  <c r="F218" i="12"/>
  <c r="H218" i="12" s="1"/>
  <c r="D218" i="12"/>
  <c r="E218" i="12" s="1"/>
  <c r="F232" i="12"/>
  <c r="D232" i="12"/>
  <c r="E232" i="12" s="1"/>
  <c r="F246" i="12"/>
  <c r="H246" i="12" s="1"/>
  <c r="D246" i="12"/>
  <c r="E246" i="12" s="1"/>
  <c r="F238" i="12"/>
  <c r="H238" i="12" s="1"/>
  <c r="D238" i="12"/>
  <c r="E238" i="12" s="1"/>
  <c r="F183" i="12"/>
  <c r="D183" i="12"/>
  <c r="E183" i="12" s="1"/>
  <c r="F195" i="12"/>
  <c r="D195" i="12"/>
  <c r="E195" i="12" s="1"/>
  <c r="F214" i="12"/>
  <c r="D214" i="12"/>
  <c r="E214" i="12" s="1"/>
  <c r="F215" i="12"/>
  <c r="D215" i="12"/>
  <c r="E215" i="12" s="1"/>
  <c r="F223" i="12"/>
  <c r="D223" i="12"/>
  <c r="E223" i="12" s="1"/>
  <c r="F266" i="12"/>
  <c r="H266" i="12" s="1"/>
  <c r="D266" i="12"/>
  <c r="E266" i="12" s="1"/>
  <c r="F247" i="12"/>
  <c r="H247" i="12" s="1"/>
  <c r="D247" i="12"/>
  <c r="E247" i="12" s="1"/>
  <c r="F213" i="12"/>
  <c r="D213" i="12"/>
  <c r="E213" i="12" s="1"/>
  <c r="F264" i="12"/>
  <c r="D264" i="12"/>
  <c r="E264" i="12" s="1"/>
  <c r="F243" i="12"/>
  <c r="H243" i="12" s="1"/>
  <c r="D243" i="12"/>
  <c r="E243" i="12" s="1"/>
  <c r="F254" i="12"/>
  <c r="D254" i="12"/>
  <c r="E254" i="12" s="1"/>
  <c r="F259" i="12"/>
  <c r="D259" i="12"/>
  <c r="E259" i="12" s="1"/>
  <c r="F252" i="12"/>
  <c r="D252" i="12"/>
  <c r="E252" i="12" s="1"/>
  <c r="F204" i="12"/>
  <c r="D204" i="12"/>
  <c r="E204" i="12" s="1"/>
  <c r="F274" i="12"/>
  <c r="H274" i="12" s="1"/>
  <c r="D274" i="12"/>
  <c r="E274" i="12" s="1"/>
  <c r="F222" i="12"/>
  <c r="D222" i="12"/>
  <c r="E222" i="12" s="1"/>
  <c r="F273" i="12"/>
  <c r="D273" i="12"/>
  <c r="E273" i="12" s="1"/>
  <c r="F233" i="12"/>
  <c r="H233" i="12" s="1"/>
  <c r="D233" i="12"/>
  <c r="E233" i="12" s="1"/>
  <c r="F288" i="12"/>
  <c r="H288" i="12" s="1"/>
  <c r="D288" i="12"/>
  <c r="E288" i="12" s="1"/>
  <c r="F300" i="12"/>
  <c r="D300" i="12"/>
  <c r="E300" i="12" s="1"/>
  <c r="F297" i="12"/>
  <c r="D297" i="12"/>
  <c r="E297" i="12" s="1"/>
  <c r="F228" i="12"/>
  <c r="H228" i="12" s="1"/>
  <c r="D228" i="12"/>
  <c r="E228" i="12" s="1"/>
  <c r="F275" i="12"/>
  <c r="D275" i="12"/>
  <c r="E275" i="12" s="1"/>
  <c r="F363" i="12"/>
  <c r="D363" i="12"/>
  <c r="E363" i="12" s="1"/>
  <c r="F380" i="12"/>
  <c r="D380" i="12"/>
  <c r="E380" i="12" s="1"/>
  <c r="F376" i="12"/>
  <c r="H376" i="12" s="1"/>
  <c r="D376" i="12"/>
  <c r="E376" i="12" s="1"/>
  <c r="F420" i="12"/>
  <c r="H420" i="12" s="1"/>
  <c r="D420" i="12"/>
  <c r="E420" i="12" s="1"/>
  <c r="F444" i="12"/>
  <c r="D444" i="12"/>
  <c r="E444" i="12" s="1"/>
  <c r="F454" i="12"/>
  <c r="D454" i="12"/>
  <c r="E454" i="12" s="1"/>
  <c r="F449" i="12"/>
  <c r="D449" i="12"/>
  <c r="E449" i="12" s="1"/>
  <c r="F445" i="12"/>
  <c r="H445" i="12" s="1"/>
  <c r="D445" i="12"/>
  <c r="E445" i="12" s="1"/>
  <c r="C509" i="12"/>
  <c r="L509" i="12" s="1"/>
  <c r="C487" i="12"/>
  <c r="L487" i="12" s="1"/>
  <c r="C507" i="12"/>
  <c r="L507" i="12" s="1"/>
  <c r="C636" i="12"/>
  <c r="L636" i="12" s="1"/>
  <c r="C659" i="12"/>
  <c r="L659" i="12" s="1"/>
  <c r="C431" i="12"/>
  <c r="L431" i="12" s="1"/>
  <c r="C415" i="12"/>
  <c r="L415" i="12" s="1"/>
  <c r="M415" i="12" s="1"/>
  <c r="C406" i="12"/>
  <c r="L406" i="12" s="1"/>
  <c r="C458" i="12"/>
  <c r="L458" i="12" s="1"/>
  <c r="C400" i="12"/>
  <c r="L400" i="12" s="1"/>
  <c r="C401" i="12"/>
  <c r="L401" i="12" s="1"/>
  <c r="C409" i="12"/>
  <c r="L409" i="12" s="1"/>
  <c r="C404" i="12"/>
  <c r="L404" i="12" s="1"/>
  <c r="C457" i="12"/>
  <c r="L457" i="12" s="1"/>
  <c r="C441" i="12"/>
  <c r="L441" i="12" s="1"/>
  <c r="C435" i="12"/>
  <c r="L435" i="12" s="1"/>
  <c r="C42" i="12"/>
  <c r="L42" i="12" s="1"/>
  <c r="C61" i="12"/>
  <c r="L61" i="12" s="1"/>
  <c r="C54" i="12"/>
  <c r="L54" i="12" s="1"/>
  <c r="C63" i="12"/>
  <c r="L63" i="12" s="1"/>
  <c r="C50" i="12"/>
  <c r="L50" i="12" s="1"/>
  <c r="C49" i="12"/>
  <c r="L49" i="12" s="1"/>
  <c r="C260" i="5"/>
  <c r="K260" i="5" s="1"/>
  <c r="C407" i="5"/>
  <c r="K407" i="5" s="1"/>
  <c r="C95" i="5"/>
  <c r="K95" i="5" s="1"/>
  <c r="C51" i="2"/>
  <c r="F51" i="2" s="1"/>
  <c r="C501" i="2"/>
  <c r="F501" i="2" s="1"/>
  <c r="C719" i="2"/>
  <c r="F719" i="2" s="1"/>
  <c r="C575" i="7"/>
  <c r="C652" i="7"/>
  <c r="C655" i="7"/>
  <c r="C621" i="7"/>
  <c r="C107" i="7"/>
  <c r="C394" i="7"/>
  <c r="C515" i="7"/>
  <c r="C486" i="7"/>
  <c r="C523" i="7"/>
  <c r="C607" i="7"/>
  <c r="C408" i="7"/>
  <c r="C70" i="7"/>
  <c r="C254" i="7"/>
  <c r="C533" i="7"/>
  <c r="C364" i="7"/>
  <c r="C268" i="7"/>
  <c r="C302" i="7"/>
  <c r="C160" i="7"/>
  <c r="C641" i="7"/>
  <c r="C474" i="7"/>
  <c r="C430" i="7"/>
  <c r="C297" i="7"/>
  <c r="C190" i="7"/>
  <c r="C260" i="7"/>
  <c r="C468" i="7"/>
  <c r="C659" i="7"/>
  <c r="C596" i="7"/>
  <c r="C636" i="7"/>
  <c r="C444" i="7"/>
  <c r="C586" i="7"/>
  <c r="C594" i="7"/>
  <c r="C389" i="7"/>
  <c r="C24" i="7"/>
  <c r="C385" i="7"/>
  <c r="C210" i="7"/>
  <c r="C244" i="7"/>
  <c r="C151" i="7"/>
  <c r="C205" i="7"/>
  <c r="C676" i="7"/>
  <c r="C563" i="7"/>
  <c r="C304" i="7"/>
  <c r="C184" i="7"/>
  <c r="C25" i="7"/>
  <c r="C40" i="7"/>
  <c r="C383" i="7"/>
  <c r="C239" i="7"/>
  <c r="C525" i="7"/>
  <c r="C644" i="7"/>
  <c r="C356" i="7"/>
  <c r="C180" i="7"/>
  <c r="C437" i="7"/>
  <c r="C230" i="7"/>
  <c r="C134" i="7"/>
  <c r="C284" i="7"/>
  <c r="C500" i="7"/>
  <c r="C99" i="7"/>
  <c r="C328" i="7"/>
  <c r="C521" i="7"/>
  <c r="C338" i="7"/>
  <c r="C128" i="7"/>
  <c r="C146" i="7"/>
  <c r="C159" i="7"/>
  <c r="C632" i="7"/>
  <c r="C478" i="7"/>
  <c r="C247" i="7"/>
  <c r="C424" i="7"/>
  <c r="C566" i="7"/>
  <c r="C535" i="7"/>
  <c r="C327" i="7"/>
  <c r="C642" i="7"/>
  <c r="C209" i="7"/>
  <c r="C22" i="7"/>
  <c r="C349" i="7"/>
  <c r="C351" i="7"/>
  <c r="C13" i="7"/>
  <c r="C280" i="7"/>
  <c r="C114" i="7"/>
  <c r="C668" i="7"/>
  <c r="C339" i="7"/>
  <c r="C554" i="7"/>
  <c r="C138" i="7"/>
  <c r="C423" i="7"/>
  <c r="C487" i="7"/>
  <c r="C577" i="7"/>
  <c r="C313" i="7"/>
  <c r="C670" i="7"/>
  <c r="C286" i="7"/>
  <c r="C366" i="7"/>
  <c r="C370" i="7"/>
  <c r="C532" i="7"/>
  <c r="C589" i="7"/>
  <c r="C360" i="7"/>
  <c r="C203" i="7"/>
  <c r="C333" i="7"/>
  <c r="C462" i="7"/>
  <c r="C227" i="7"/>
  <c r="C556" i="7"/>
  <c r="C61" i="7"/>
  <c r="C372" i="7"/>
  <c r="C219" i="7"/>
  <c r="C379" i="7"/>
  <c r="C67" i="7"/>
  <c r="C124" i="7"/>
  <c r="C164" i="7"/>
  <c r="C656" i="7"/>
  <c r="C336" i="7"/>
  <c r="C197" i="7"/>
  <c r="C619" i="7"/>
  <c r="C367" i="7"/>
  <c r="C455" i="7"/>
  <c r="C98" i="7"/>
  <c r="C440" i="7"/>
  <c r="C398" i="7"/>
  <c r="C152" i="7"/>
  <c r="C317" i="7"/>
  <c r="C34" i="7"/>
  <c r="C91" i="7"/>
  <c r="C44" i="7"/>
  <c r="C45" i="7"/>
  <c r="C126" i="7"/>
  <c r="C206" i="7"/>
  <c r="C66" i="7"/>
  <c r="C140" i="7"/>
  <c r="C94" i="7"/>
  <c r="C92" i="7"/>
  <c r="C376" i="7"/>
  <c r="C604" i="7"/>
  <c r="C249" i="7"/>
  <c r="C421" i="7"/>
  <c r="C121" i="7"/>
  <c r="C352" i="7"/>
  <c r="C234" i="7"/>
  <c r="C264" i="7"/>
  <c r="C110" i="7"/>
  <c r="C354" i="7"/>
  <c r="C187" i="7"/>
  <c r="C41" i="7"/>
  <c r="C194" i="7"/>
  <c r="C15" i="7"/>
  <c r="C165" i="7"/>
  <c r="C453" i="7"/>
  <c r="C613" i="7"/>
  <c r="C638" i="7"/>
  <c r="C295" i="7"/>
  <c r="C300" i="7"/>
  <c r="C263" i="7"/>
  <c r="C287" i="7"/>
  <c r="C243" i="7"/>
  <c r="C692" i="7"/>
  <c r="C517" i="7"/>
  <c r="C595" i="7"/>
  <c r="C397" i="7"/>
  <c r="C301" i="7"/>
  <c r="C294" i="7"/>
  <c r="C23" i="7"/>
  <c r="C222" i="7"/>
  <c r="C358" i="7"/>
  <c r="C167" i="7"/>
  <c r="C387" i="7"/>
  <c r="C373" i="7"/>
  <c r="C332" i="7"/>
  <c r="C690" i="7"/>
  <c r="C359" i="7"/>
  <c r="C471" i="7"/>
  <c r="D251" i="9"/>
  <c r="E251" i="9" s="1"/>
  <c r="F251" i="9"/>
  <c r="G251" i="9"/>
  <c r="D263" i="9"/>
  <c r="E263" i="9" s="1"/>
  <c r="F263" i="9"/>
  <c r="G263" i="9"/>
  <c r="D248" i="9"/>
  <c r="E248" i="9" s="1"/>
  <c r="F248" i="9"/>
  <c r="G248" i="9"/>
  <c r="D249" i="9"/>
  <c r="E249" i="9" s="1"/>
  <c r="F249" i="9"/>
  <c r="G249" i="9"/>
  <c r="D266" i="9"/>
  <c r="E266" i="9" s="1"/>
  <c r="F266" i="9"/>
  <c r="G266" i="9"/>
  <c r="D265" i="9"/>
  <c r="E265" i="9" s="1"/>
  <c r="F265" i="9"/>
  <c r="G265" i="9"/>
  <c r="D271" i="9"/>
  <c r="E271" i="9" s="1"/>
  <c r="F271" i="9"/>
  <c r="G271" i="9"/>
  <c r="D75" i="9"/>
  <c r="E75" i="9" s="1"/>
  <c r="F75" i="9"/>
  <c r="G75" i="9"/>
  <c r="D516" i="9"/>
  <c r="E516" i="9" s="1"/>
  <c r="F516" i="9"/>
  <c r="G516" i="9"/>
  <c r="D486" i="9"/>
  <c r="E486" i="9" s="1"/>
  <c r="F486" i="9"/>
  <c r="G486" i="9"/>
  <c r="D519" i="9"/>
  <c r="E519" i="9" s="1"/>
  <c r="F519" i="9"/>
  <c r="G519" i="9"/>
  <c r="D492" i="9"/>
  <c r="E492" i="9" s="1"/>
  <c r="F492" i="9"/>
  <c r="G492" i="9"/>
  <c r="D79" i="9"/>
  <c r="E79" i="9" s="1"/>
  <c r="F79" i="9"/>
  <c r="G79" i="9"/>
  <c r="D255" i="9"/>
  <c r="E255" i="9" s="1"/>
  <c r="F255" i="9"/>
  <c r="G255" i="9"/>
  <c r="D256" i="9"/>
  <c r="E256" i="9" s="1"/>
  <c r="F256" i="9"/>
  <c r="G256" i="9"/>
  <c r="D493" i="9"/>
  <c r="E493" i="9" s="1"/>
  <c r="F493" i="9"/>
  <c r="G493" i="9"/>
  <c r="C469" i="9"/>
  <c r="J469" i="9" s="1"/>
  <c r="C504" i="9"/>
  <c r="J504" i="9" s="1"/>
  <c r="C484" i="9"/>
  <c r="J484" i="9" s="1"/>
  <c r="C501" i="9"/>
  <c r="J501" i="9" s="1"/>
  <c r="C521" i="9"/>
  <c r="J521" i="9" s="1"/>
  <c r="C571" i="9"/>
  <c r="J571" i="9" s="1"/>
  <c r="C652" i="9"/>
  <c r="J652" i="9" s="1"/>
  <c r="C565" i="9"/>
  <c r="J565" i="9" s="1"/>
  <c r="C567" i="9"/>
  <c r="J567" i="9" s="1"/>
  <c r="C472" i="9"/>
  <c r="J472" i="9" s="1"/>
  <c r="C517" i="9"/>
  <c r="C570" i="9"/>
  <c r="J570" i="9" s="1"/>
  <c r="C609" i="9"/>
  <c r="J609" i="9" s="1"/>
  <c r="C611" i="9"/>
  <c r="J611" i="9" s="1"/>
  <c r="C614" i="9"/>
  <c r="J614" i="9" s="1"/>
  <c r="C747" i="9"/>
  <c r="J747" i="9" s="1"/>
  <c r="C753" i="9"/>
  <c r="J753" i="9" s="1"/>
  <c r="C752" i="9"/>
  <c r="J752" i="9" s="1"/>
  <c r="C551" i="9"/>
  <c r="J551" i="9" s="1"/>
  <c r="C754" i="9"/>
  <c r="J754" i="9" s="1"/>
  <c r="C698" i="9"/>
  <c r="J698" i="9" s="1"/>
  <c r="C661" i="9"/>
  <c r="J661" i="9" s="1"/>
  <c r="C591" i="9"/>
  <c r="J591" i="9" s="1"/>
  <c r="C667" i="9"/>
  <c r="J667" i="9" s="1"/>
  <c r="C666" i="9"/>
  <c r="J666" i="9" s="1"/>
  <c r="C756" i="9"/>
  <c r="J756" i="9" s="1"/>
  <c r="C701" i="9"/>
  <c r="J701" i="9" s="1"/>
  <c r="C703" i="9"/>
  <c r="J703" i="9" s="1"/>
  <c r="C555" i="9"/>
  <c r="J555" i="9" s="1"/>
  <c r="C616" i="9"/>
  <c r="J616" i="9" s="1"/>
  <c r="C728" i="9"/>
  <c r="J728" i="9" s="1"/>
  <c r="C729" i="9"/>
  <c r="J729" i="9" s="1"/>
  <c r="C592" i="9"/>
  <c r="J592" i="9" s="1"/>
  <c r="C705" i="9"/>
  <c r="J705" i="9" s="1"/>
  <c r="C669" i="9"/>
  <c r="J669" i="9" s="1"/>
  <c r="C672" i="9"/>
  <c r="J672" i="9" s="1"/>
  <c r="C584" i="9"/>
  <c r="J584" i="9" s="1"/>
  <c r="C629" i="9"/>
  <c r="C671" i="9"/>
  <c r="J671" i="9" s="1"/>
  <c r="C586" i="9"/>
  <c r="J586" i="9" s="1"/>
  <c r="C763" i="9"/>
  <c r="J763" i="9" s="1"/>
  <c r="C673" i="9"/>
  <c r="J673" i="9" s="1"/>
  <c r="C633" i="9"/>
  <c r="J633" i="9" s="1"/>
  <c r="C602" i="9"/>
  <c r="J602" i="9" s="1"/>
  <c r="C684" i="9"/>
  <c r="J684" i="9" s="1"/>
  <c r="C676" i="9"/>
  <c r="J676" i="9" s="1"/>
  <c r="C603" i="9"/>
  <c r="J603" i="9" s="1"/>
  <c r="C605" i="9"/>
  <c r="J605" i="9" s="1"/>
  <c r="C731" i="9"/>
  <c r="J731" i="9" s="1"/>
  <c r="C679" i="9"/>
  <c r="J679" i="9" s="1"/>
  <c r="C723" i="9"/>
  <c r="J723" i="9" s="1"/>
  <c r="C636" i="9"/>
  <c r="J636" i="9" s="1"/>
  <c r="C134" i="9"/>
  <c r="J134" i="9" s="1"/>
  <c r="C685" i="9"/>
  <c r="J685" i="9" s="1"/>
  <c r="C740" i="9"/>
  <c r="J740" i="9" s="1"/>
  <c r="C138" i="9"/>
  <c r="J138" i="9" s="1"/>
  <c r="C137" i="9"/>
  <c r="J137" i="9" s="1"/>
  <c r="C139" i="9"/>
  <c r="J139" i="9" s="1"/>
  <c r="C745" i="9"/>
  <c r="J745" i="9" s="1"/>
  <c r="C373" i="9"/>
  <c r="J373" i="9" s="1"/>
  <c r="C364" i="9"/>
  <c r="J364" i="9" s="1"/>
  <c r="C350" i="9"/>
  <c r="J350" i="9" s="1"/>
  <c r="C372" i="9"/>
  <c r="J372" i="9" s="1"/>
  <c r="C361" i="9"/>
  <c r="J361" i="9" s="1"/>
  <c r="C777" i="9"/>
  <c r="J777" i="9" s="1"/>
  <c r="C145" i="9"/>
  <c r="J145" i="9" s="1"/>
  <c r="C280" i="9"/>
  <c r="J280" i="9" s="1"/>
  <c r="C278" i="9"/>
  <c r="J278" i="9" s="1"/>
  <c r="C143" i="9"/>
  <c r="J143" i="9" s="1"/>
  <c r="C277" i="9"/>
  <c r="J277" i="9" s="1"/>
  <c r="C285" i="9"/>
  <c r="J285" i="9" s="1"/>
  <c r="C153" i="9"/>
  <c r="J153" i="9" s="1"/>
  <c r="C175" i="9"/>
  <c r="J175" i="9" s="1"/>
  <c r="C164" i="9"/>
  <c r="J164" i="9" s="1"/>
  <c r="C156" i="9"/>
  <c r="J156" i="9" s="1"/>
  <c r="C68" i="9"/>
  <c r="J68" i="9" s="1"/>
  <c r="C39" i="9"/>
  <c r="J39" i="9" s="1"/>
  <c r="C34" i="9"/>
  <c r="J34" i="9" s="1"/>
  <c r="C795" i="9"/>
  <c r="J795" i="9" s="1"/>
  <c r="C24" i="9"/>
  <c r="J24" i="9" s="1"/>
  <c r="C165" i="9"/>
  <c r="J165" i="9" s="1"/>
  <c r="C790" i="9"/>
  <c r="J790" i="9" s="1"/>
  <c r="C791" i="9"/>
  <c r="J791" i="9" s="1"/>
  <c r="C809" i="9"/>
  <c r="J809" i="9" s="1"/>
  <c r="C780" i="9"/>
  <c r="J780" i="9" s="1"/>
  <c r="C27" i="9"/>
  <c r="J27" i="9" s="1"/>
  <c r="C96" i="9"/>
  <c r="C800" i="9"/>
  <c r="J800" i="9" s="1"/>
  <c r="C29" i="9"/>
  <c r="J29" i="9" s="1"/>
  <c r="C52" i="9"/>
  <c r="J52" i="9" s="1"/>
  <c r="C86" i="9"/>
  <c r="J86" i="9" s="1"/>
  <c r="C99" i="9"/>
  <c r="J99" i="9" s="1"/>
  <c r="C31" i="9"/>
  <c r="J31" i="9" s="1"/>
  <c r="C808" i="9"/>
  <c r="J808" i="9" s="1"/>
  <c r="C150" i="9"/>
  <c r="J150" i="9" s="1"/>
  <c r="C152" i="9"/>
  <c r="J152" i="9" s="1"/>
  <c r="C160" i="9"/>
  <c r="J160" i="9" s="1"/>
  <c r="C158" i="9"/>
  <c r="J158" i="9" s="1"/>
  <c r="C44" i="12"/>
  <c r="L44" i="12" s="1"/>
  <c r="C56" i="12"/>
  <c r="L56" i="12" s="1"/>
  <c r="C628" i="12"/>
  <c r="L628" i="12" s="1"/>
  <c r="C626" i="12"/>
  <c r="L626" i="12" s="1"/>
  <c r="C624" i="12"/>
  <c r="L624" i="12" s="1"/>
  <c r="C617" i="12"/>
  <c r="L617" i="12" s="1"/>
  <c r="C312" i="12"/>
  <c r="L312" i="12" s="1"/>
  <c r="C302" i="12"/>
  <c r="L302" i="12" s="1"/>
  <c r="C307" i="12"/>
  <c r="C295" i="12"/>
  <c r="L295" i="12" s="1"/>
  <c r="C299" i="12"/>
  <c r="L299" i="12" s="1"/>
  <c r="C308" i="12"/>
  <c r="L308" i="12" s="1"/>
  <c r="M308" i="12" s="1"/>
  <c r="C306" i="12"/>
  <c r="L306" i="12" s="1"/>
  <c r="C303" i="12"/>
  <c r="L303" i="12" s="1"/>
  <c r="C311" i="12"/>
  <c r="L311" i="12" s="1"/>
  <c r="C296" i="12"/>
  <c r="L296" i="12" s="1"/>
  <c r="C293" i="12"/>
  <c r="L293" i="12" s="1"/>
  <c r="C71" i="12"/>
  <c r="L71" i="12" s="1"/>
  <c r="C82" i="12"/>
  <c r="L82" i="12" s="1"/>
  <c r="C77" i="12"/>
  <c r="L77" i="12" s="1"/>
  <c r="C90" i="12"/>
  <c r="L90" i="12" s="1"/>
  <c r="C69" i="12"/>
  <c r="L69" i="12" s="1"/>
  <c r="C31" i="12"/>
  <c r="L31" i="12" s="1"/>
  <c r="C32" i="12"/>
  <c r="L32" i="12" s="1"/>
  <c r="C21" i="12"/>
  <c r="L21" i="12" s="1"/>
  <c r="C20" i="12"/>
  <c r="L20" i="12" s="1"/>
  <c r="C15" i="12"/>
  <c r="L15" i="12" s="1"/>
  <c r="C662" i="12"/>
  <c r="L662" i="12" s="1"/>
  <c r="C657" i="12"/>
  <c r="L657" i="12" s="1"/>
  <c r="C643" i="12"/>
  <c r="L643" i="12" s="1"/>
  <c r="C466" i="12"/>
  <c r="L466" i="12" s="1"/>
  <c r="C101" i="12"/>
  <c r="L101" i="12" s="1"/>
  <c r="C99" i="12"/>
  <c r="L99" i="12" s="1"/>
  <c r="M99" i="12" s="1"/>
  <c r="C95" i="12"/>
  <c r="L95" i="12" s="1"/>
  <c r="C464" i="12"/>
  <c r="L464" i="12" s="1"/>
  <c r="C465" i="12"/>
  <c r="L465" i="12" s="1"/>
  <c r="C562" i="12"/>
  <c r="L562" i="12" s="1"/>
  <c r="C544" i="12"/>
  <c r="L544" i="12" s="1"/>
  <c r="C546" i="12"/>
  <c r="L546" i="12" s="1"/>
  <c r="C576" i="12"/>
  <c r="L576" i="12" s="1"/>
  <c r="C607" i="12"/>
  <c r="L607" i="12" s="1"/>
  <c r="C596" i="12"/>
  <c r="L596" i="12" s="1"/>
  <c r="C477" i="12"/>
  <c r="L477" i="12" s="1"/>
  <c r="C467" i="12"/>
  <c r="L467" i="12" s="1"/>
  <c r="C603" i="12"/>
  <c r="L603" i="12" s="1"/>
  <c r="C681" i="12"/>
  <c r="L681" i="12" s="1"/>
  <c r="C640" i="12"/>
  <c r="L640" i="12" s="1"/>
  <c r="C670" i="12"/>
  <c r="L670" i="12" s="1"/>
  <c r="C644" i="12"/>
  <c r="L644" i="12" s="1"/>
  <c r="C494" i="12"/>
  <c r="L494" i="12" s="1"/>
  <c r="C525" i="12"/>
  <c r="L525" i="12" s="1"/>
  <c r="C486" i="12"/>
  <c r="L486" i="12" s="1"/>
  <c r="C512" i="12"/>
  <c r="L512" i="12" s="1"/>
  <c r="C488" i="12"/>
  <c r="L488" i="12" s="1"/>
  <c r="C495" i="12"/>
  <c r="L495" i="12" s="1"/>
  <c r="C518" i="12"/>
  <c r="L518" i="12" s="1"/>
  <c r="C524" i="12"/>
  <c r="L524" i="12" s="1"/>
  <c r="C322" i="12"/>
  <c r="L322" i="12" s="1"/>
  <c r="C317" i="12"/>
  <c r="L317" i="12" s="1"/>
  <c r="C482" i="12"/>
  <c r="L482" i="12" s="1"/>
  <c r="C647" i="12"/>
  <c r="L647" i="12" s="1"/>
  <c r="C680" i="12"/>
  <c r="L680" i="12" s="1"/>
  <c r="C103" i="12"/>
  <c r="L103" i="12" s="1"/>
  <c r="C116" i="12"/>
  <c r="L116" i="12" s="1"/>
  <c r="C109" i="12"/>
  <c r="L109" i="12" s="1"/>
  <c r="C625" i="12"/>
  <c r="L625" i="12" s="1"/>
  <c r="C629" i="12"/>
  <c r="L629" i="12" s="1"/>
  <c r="C609" i="12"/>
  <c r="L609" i="12" s="1"/>
  <c r="C631" i="12"/>
  <c r="L631" i="12" s="1"/>
  <c r="C571" i="12"/>
  <c r="L571" i="12" s="1"/>
  <c r="C521" i="12"/>
  <c r="L521" i="12" s="1"/>
  <c r="C339" i="12"/>
  <c r="L339" i="12" s="1"/>
  <c r="C394" i="12"/>
  <c r="L394" i="12" s="1"/>
  <c r="C385" i="12"/>
  <c r="L385" i="12" s="1"/>
  <c r="C386" i="12"/>
  <c r="L386" i="12" s="1"/>
  <c r="C391" i="12"/>
  <c r="L391" i="12" s="1"/>
  <c r="C390" i="12"/>
  <c r="L390" i="12" s="1"/>
  <c r="C362" i="12"/>
  <c r="L362" i="12" s="1"/>
  <c r="C357" i="12"/>
  <c r="L357" i="12" s="1"/>
  <c r="C155" i="12"/>
  <c r="L155" i="12" s="1"/>
  <c r="C156" i="12"/>
  <c r="L156" i="12" s="1"/>
  <c r="C144" i="12"/>
  <c r="L144" i="12" s="1"/>
  <c r="C148" i="12"/>
  <c r="L148" i="12" s="1"/>
  <c r="C154" i="12"/>
  <c r="L154" i="12" s="1"/>
  <c r="C111" i="12"/>
  <c r="L111" i="12" s="1"/>
  <c r="C127" i="12"/>
  <c r="L127" i="12" s="1"/>
  <c r="C128" i="12"/>
  <c r="L128" i="12" s="1"/>
  <c r="C692" i="12"/>
  <c r="L692" i="12" s="1"/>
  <c r="C574" i="12"/>
  <c r="L574" i="12" s="1"/>
  <c r="C547" i="12"/>
  <c r="L547" i="12" s="1"/>
  <c r="C549" i="12"/>
  <c r="L549" i="12" s="1"/>
  <c r="C529" i="12"/>
  <c r="L529" i="12" s="1"/>
  <c r="C537" i="12"/>
  <c r="L537" i="12" s="1"/>
  <c r="C130" i="12"/>
  <c r="L130" i="12" s="1"/>
  <c r="C163" i="12"/>
  <c r="L163" i="12" s="1"/>
  <c r="C157" i="12"/>
  <c r="L157" i="12" s="1"/>
  <c r="C532" i="12"/>
  <c r="L532" i="12" s="1"/>
  <c r="C536" i="12"/>
  <c r="L536" i="12" s="1"/>
  <c r="C639" i="12"/>
  <c r="L639" i="12" s="1"/>
  <c r="C656" i="12"/>
  <c r="L656" i="12" s="1"/>
  <c r="C673" i="12"/>
  <c r="L673" i="12" s="1"/>
  <c r="C638" i="12"/>
  <c r="L638" i="12" s="1"/>
  <c r="C622" i="12"/>
  <c r="L622" i="12" s="1"/>
  <c r="C614" i="12"/>
  <c r="L614" i="12" s="1"/>
  <c r="C608" i="12"/>
  <c r="L608" i="12" s="1"/>
  <c r="C205" i="12"/>
  <c r="L205" i="12" s="1"/>
  <c r="C216" i="12"/>
  <c r="L216" i="12" s="1"/>
  <c r="C185" i="12"/>
  <c r="L185" i="12" s="1"/>
  <c r="C189" i="12"/>
  <c r="L189" i="12" s="1"/>
  <c r="C224" i="12"/>
  <c r="L224" i="12" s="1"/>
  <c r="C279" i="12"/>
  <c r="L279" i="12" s="1"/>
  <c r="C225" i="12"/>
  <c r="L225" i="12" s="1"/>
  <c r="C251" i="12"/>
  <c r="L251" i="12" s="1"/>
  <c r="C168" i="12"/>
  <c r="L168" i="12" s="1"/>
  <c r="C261" i="12"/>
  <c r="L261" i="12" s="1"/>
  <c r="C234" i="12"/>
  <c r="L234" i="12" s="1"/>
  <c r="C278" i="12"/>
  <c r="L278" i="12" s="1"/>
  <c r="C182" i="12"/>
  <c r="L182" i="12" s="1"/>
  <c r="M182" i="12" s="1"/>
  <c r="C170" i="12"/>
  <c r="L170" i="12" s="1"/>
  <c r="C196" i="12"/>
  <c r="L196" i="12" s="1"/>
  <c r="C220" i="12"/>
  <c r="L220" i="12" s="1"/>
  <c r="C190" i="12"/>
  <c r="L190" i="12" s="1"/>
  <c r="C310" i="12"/>
  <c r="L310" i="12" s="1"/>
  <c r="M310" i="12" s="1"/>
  <c r="C316" i="12"/>
  <c r="L316" i="12" s="1"/>
  <c r="C298" i="12"/>
  <c r="L298" i="12" s="1"/>
  <c r="C342" i="12"/>
  <c r="L342" i="12" s="1"/>
  <c r="C67" i="12"/>
  <c r="L67" i="12" s="1"/>
  <c r="C80" i="12"/>
  <c r="L80" i="12" s="1"/>
  <c r="C81" i="12"/>
  <c r="L81" i="12" s="1"/>
  <c r="C83" i="12"/>
  <c r="L83" i="12" s="1"/>
  <c r="C73" i="12"/>
  <c r="L73" i="12" s="1"/>
  <c r="C87" i="12"/>
  <c r="L87" i="12" s="1"/>
  <c r="C12" i="12"/>
  <c r="L12" i="12" s="1"/>
  <c r="C11" i="12"/>
  <c r="C10" i="12"/>
  <c r="L10" i="12" s="1"/>
  <c r="C30" i="12"/>
  <c r="L30" i="12" s="1"/>
  <c r="C16" i="12"/>
  <c r="L16" i="12" s="1"/>
  <c r="C29" i="12"/>
  <c r="L29" i="12" s="1"/>
  <c r="C664" i="12"/>
  <c r="L664" i="12" s="1"/>
  <c r="C665" i="12"/>
  <c r="L665" i="12" s="1"/>
  <c r="C648" i="12"/>
  <c r="L648" i="12" s="1"/>
  <c r="C472" i="12"/>
  <c r="L472" i="12" s="1"/>
  <c r="C92" i="12"/>
  <c r="L92" i="12" s="1"/>
  <c r="C102" i="12"/>
  <c r="L102" i="12" s="1"/>
  <c r="C97" i="12"/>
  <c r="L97" i="12" s="1"/>
  <c r="C461" i="12"/>
  <c r="L461" i="12" s="1"/>
  <c r="M461" i="12" s="1"/>
  <c r="C460" i="12"/>
  <c r="L460" i="12" s="1"/>
  <c r="C560" i="12"/>
  <c r="L560" i="12" s="1"/>
  <c r="C558" i="12"/>
  <c r="L558" i="12" s="1"/>
  <c r="C570" i="12"/>
  <c r="L570" i="12" s="1"/>
  <c r="C587" i="12"/>
  <c r="L587" i="12" s="1"/>
  <c r="C593" i="12"/>
  <c r="L593" i="12" s="1"/>
  <c r="C475" i="12"/>
  <c r="L475" i="12" s="1"/>
  <c r="C478" i="12"/>
  <c r="L478" i="12" s="1"/>
  <c r="C590" i="12"/>
  <c r="L590" i="12" s="1"/>
  <c r="C588" i="12"/>
  <c r="L588" i="12" s="1"/>
  <c r="C597" i="12"/>
  <c r="L597" i="12" s="1"/>
  <c r="C658" i="12"/>
  <c r="L658" i="12" s="1"/>
  <c r="C642" i="12"/>
  <c r="L642" i="12" s="1"/>
  <c r="C663" i="12"/>
  <c r="L663" i="12" s="1"/>
  <c r="C671" i="12"/>
  <c r="L671" i="12" s="1"/>
  <c r="C522" i="12"/>
  <c r="L522" i="12" s="1"/>
  <c r="C519" i="12"/>
  <c r="L519" i="12" s="1"/>
  <c r="C493" i="12"/>
  <c r="L493" i="12" s="1"/>
  <c r="C497" i="12"/>
  <c r="L497" i="12" s="1"/>
  <c r="C492" i="12"/>
  <c r="L492" i="12" s="1"/>
  <c r="C485" i="12"/>
  <c r="L485" i="12" s="1"/>
  <c r="C510" i="12"/>
  <c r="L510" i="12" s="1"/>
  <c r="C516" i="12"/>
  <c r="L516" i="12" s="1"/>
  <c r="C344" i="12"/>
  <c r="L344" i="12" s="1"/>
  <c r="C343" i="12"/>
  <c r="L343" i="12" s="1"/>
  <c r="C346" i="12"/>
  <c r="L346" i="12" s="1"/>
  <c r="C321" i="12"/>
  <c r="L321" i="12" s="1"/>
  <c r="C484" i="12"/>
  <c r="L484" i="12" s="1"/>
  <c r="C675" i="12"/>
  <c r="L675" i="12" s="1"/>
  <c r="C107" i="12"/>
  <c r="L107" i="12" s="1"/>
  <c r="C105" i="12"/>
  <c r="L105" i="12" s="1"/>
  <c r="C117" i="12"/>
  <c r="L117" i="12" s="1"/>
  <c r="C582" i="12"/>
  <c r="L582" i="12" s="1"/>
  <c r="C578" i="12"/>
  <c r="L578" i="12" s="1"/>
  <c r="C615" i="12"/>
  <c r="L615" i="12" s="1"/>
  <c r="C505" i="12"/>
  <c r="L505" i="12" s="1"/>
  <c r="C393" i="12"/>
  <c r="L393" i="12" s="1"/>
  <c r="C397" i="12"/>
  <c r="L397" i="12" s="1"/>
  <c r="C384" i="12"/>
  <c r="L384" i="12" s="1"/>
  <c r="C359" i="12"/>
  <c r="L359" i="12" s="1"/>
  <c r="M359" i="12" s="1"/>
  <c r="C360" i="12"/>
  <c r="L360" i="12" s="1"/>
  <c r="C364" i="12"/>
  <c r="L364" i="12" s="1"/>
  <c r="C153" i="12"/>
  <c r="L153" i="12" s="1"/>
  <c r="M153" i="12" s="1"/>
  <c r="C150" i="12"/>
  <c r="L150" i="12" s="1"/>
  <c r="C145" i="12"/>
  <c r="L145" i="12" s="1"/>
  <c r="C143" i="12"/>
  <c r="L143" i="12" s="1"/>
  <c r="C124" i="12"/>
  <c r="L124" i="12" s="1"/>
  <c r="C125" i="12"/>
  <c r="L125" i="12" s="1"/>
  <c r="C119" i="12"/>
  <c r="L119" i="12" s="1"/>
  <c r="C126" i="12"/>
  <c r="L126" i="12" s="1"/>
  <c r="C541" i="12"/>
  <c r="L541" i="12" s="1"/>
  <c r="C559" i="12"/>
  <c r="L559" i="12" s="1"/>
  <c r="C545" i="12"/>
  <c r="L545" i="12" s="1"/>
  <c r="C565" i="12"/>
  <c r="L565" i="12" s="1"/>
  <c r="C533" i="12"/>
  <c r="L533" i="12" s="1"/>
  <c r="C133" i="12"/>
  <c r="L133" i="12" s="1"/>
  <c r="C135" i="12"/>
  <c r="L135" i="12" s="1"/>
  <c r="C149" i="12"/>
  <c r="L149" i="12" s="1"/>
  <c r="C166" i="12"/>
  <c r="L166" i="12" s="1"/>
  <c r="C147" i="12"/>
  <c r="L147" i="12" s="1"/>
  <c r="C140" i="12"/>
  <c r="L140" i="12" s="1"/>
  <c r="C132" i="12"/>
  <c r="L132" i="12" s="1"/>
  <c r="C569" i="12"/>
  <c r="L569" i="12" s="1"/>
  <c r="C528" i="12"/>
  <c r="L528" i="12" s="1"/>
  <c r="C540" i="12"/>
  <c r="L540" i="12" s="1"/>
  <c r="C530" i="12"/>
  <c r="L530" i="12" s="1"/>
  <c r="C161" i="12"/>
  <c r="L161" i="12" s="1"/>
  <c r="C158" i="12"/>
  <c r="L158" i="12" s="1"/>
  <c r="M158" i="12" s="1"/>
  <c r="C585" i="12"/>
  <c r="L585" i="12" s="1"/>
  <c r="C610" i="12"/>
  <c r="L610" i="12" s="1"/>
  <c r="C604" i="12"/>
  <c r="L604" i="12" s="1"/>
  <c r="C209" i="12"/>
  <c r="L209" i="12" s="1"/>
  <c r="C207" i="12"/>
  <c r="L207" i="12" s="1"/>
  <c r="M207" i="12" s="1"/>
  <c r="C255" i="12"/>
  <c r="L255" i="12" s="1"/>
  <c r="C265" i="12"/>
  <c r="L265" i="12" s="1"/>
  <c r="C241" i="12"/>
  <c r="L241" i="12" s="1"/>
  <c r="C245" i="12"/>
  <c r="L245" i="12" s="1"/>
  <c r="C198" i="12"/>
  <c r="L198" i="12" s="1"/>
  <c r="C244" i="12"/>
  <c r="L244" i="12" s="1"/>
  <c r="C174" i="12"/>
  <c r="L174" i="12" s="1"/>
  <c r="C257" i="12"/>
  <c r="L257" i="12" s="1"/>
  <c r="C235" i="12"/>
  <c r="L235" i="12" s="1"/>
  <c r="C172" i="12"/>
  <c r="L172" i="12" s="1"/>
  <c r="C171" i="12"/>
  <c r="L171" i="12" s="1"/>
  <c r="C178" i="12"/>
  <c r="L178" i="12" s="1"/>
  <c r="C217" i="12"/>
  <c r="L217" i="12" s="1"/>
  <c r="C199" i="12"/>
  <c r="L199" i="12" s="1"/>
  <c r="C179" i="12"/>
  <c r="L179" i="12" s="1"/>
  <c r="C197" i="12"/>
  <c r="L197" i="12" s="1"/>
  <c r="C240" i="12"/>
  <c r="L240" i="12" s="1"/>
  <c r="C191" i="12"/>
  <c r="L191" i="12" s="1"/>
  <c r="C271" i="12"/>
  <c r="L271" i="12" s="1"/>
  <c r="C281" i="12"/>
  <c r="L281" i="12" s="1"/>
  <c r="C277" i="12"/>
  <c r="L277" i="12" s="1"/>
  <c r="C291" i="12"/>
  <c r="L291" i="12" s="1"/>
  <c r="C283" i="12"/>
  <c r="L283" i="12" s="1"/>
  <c r="C250" i="12"/>
  <c r="L250" i="12" s="1"/>
  <c r="C260" i="12"/>
  <c r="L260" i="12" s="1"/>
  <c r="C286" i="12"/>
  <c r="L286" i="12" s="1"/>
  <c r="C256" i="12"/>
  <c r="L256" i="12" s="1"/>
  <c r="C269" i="12"/>
  <c r="L269" i="12" s="1"/>
  <c r="C375" i="12"/>
  <c r="L375" i="12" s="1"/>
  <c r="M375" i="12" s="1"/>
  <c r="C381" i="12"/>
  <c r="L381" i="12" s="1"/>
  <c r="C370" i="12"/>
  <c r="L370" i="12" s="1"/>
  <c r="C356" i="12"/>
  <c r="L356" i="12" s="1"/>
  <c r="C427" i="12"/>
  <c r="L427" i="12" s="1"/>
  <c r="C425" i="12"/>
  <c r="L425" i="12" s="1"/>
  <c r="C417" i="12"/>
  <c r="L417" i="12" s="1"/>
  <c r="C451" i="12"/>
  <c r="L451" i="12" s="1"/>
  <c r="C450" i="12"/>
  <c r="L450" i="12" s="1"/>
  <c r="C443" i="12"/>
  <c r="L443" i="12" s="1"/>
  <c r="C419" i="12"/>
  <c r="L419" i="12" s="1"/>
  <c r="C371" i="12"/>
  <c r="L371" i="12" s="1"/>
  <c r="C348" i="12"/>
  <c r="L348" i="12" s="1"/>
  <c r="C373" i="12"/>
  <c r="L373" i="12" s="1"/>
  <c r="C338" i="12"/>
  <c r="L338" i="12" s="1"/>
  <c r="C341" i="12"/>
  <c r="L341" i="12" s="1"/>
  <c r="C350" i="12"/>
  <c r="L350" i="12" s="1"/>
  <c r="C491" i="12"/>
  <c r="L491" i="12" s="1"/>
  <c r="C502" i="12"/>
  <c r="L502" i="12" s="1"/>
  <c r="C498" i="12"/>
  <c r="L498" i="12" s="1"/>
  <c r="C661" i="12"/>
  <c r="L661" i="12" s="1"/>
  <c r="C653" i="12"/>
  <c r="L653" i="12" s="1"/>
  <c r="C637" i="12"/>
  <c r="L637" i="12" s="1"/>
  <c r="C433" i="12"/>
  <c r="L433" i="12" s="1"/>
  <c r="C412" i="12"/>
  <c r="L412" i="12" s="1"/>
  <c r="C402" i="12"/>
  <c r="L402" i="12" s="1"/>
  <c r="C407" i="12"/>
  <c r="L407" i="12" s="1"/>
  <c r="C456" i="12"/>
  <c r="L456" i="12" s="1"/>
  <c r="C429" i="12"/>
  <c r="L429" i="12" s="1"/>
  <c r="C437" i="12"/>
  <c r="L437" i="12" s="1"/>
  <c r="C59" i="12"/>
  <c r="L59" i="12" s="1"/>
  <c r="C40" i="12"/>
  <c r="L40" i="12" s="1"/>
  <c r="C46" i="12"/>
  <c r="L46" i="12" s="1"/>
  <c r="C47" i="12"/>
  <c r="L47" i="12" s="1"/>
  <c r="C60" i="12"/>
  <c r="L60" i="12" s="1"/>
  <c r="C37" i="12"/>
  <c r="L37" i="12" s="1"/>
  <c r="C75" i="12"/>
  <c r="L75" i="12" s="1"/>
  <c r="C48" i="12"/>
  <c r="L48" i="12" s="1"/>
  <c r="C53" i="12"/>
  <c r="L53" i="12" s="1"/>
  <c r="C51" i="12"/>
  <c r="L51" i="12" s="1"/>
  <c r="C618" i="12"/>
  <c r="L618" i="12" s="1"/>
  <c r="C592" i="12"/>
  <c r="L592" i="12" s="1"/>
  <c r="C579" i="12"/>
  <c r="L579" i="12" s="1"/>
  <c r="C627" i="12"/>
  <c r="L627" i="12" s="1"/>
  <c r="C58" i="12"/>
  <c r="L58" i="12" s="1"/>
  <c r="C583" i="12"/>
  <c r="L583" i="12" s="1"/>
  <c r="C580" i="12"/>
  <c r="L580" i="12" s="1"/>
  <c r="C595" i="12"/>
  <c r="L595" i="12" s="1"/>
  <c r="C620" i="12"/>
  <c r="L620" i="12" s="1"/>
  <c r="C248" i="12"/>
  <c r="L248" i="12" s="1"/>
  <c r="C203" i="12"/>
  <c r="L203" i="12" s="1"/>
  <c r="C212" i="12"/>
  <c r="L212" i="12" s="1"/>
  <c r="C194" i="12"/>
  <c r="L194" i="12" s="1"/>
  <c r="C237" i="12"/>
  <c r="L237" i="12" s="1"/>
  <c r="C219" i="12"/>
  <c r="L219" i="12" s="1"/>
  <c r="C169" i="12"/>
  <c r="L169" i="12" s="1"/>
  <c r="C186" i="12"/>
  <c r="L186" i="12" s="1"/>
  <c r="C188" i="12"/>
  <c r="L188" i="12" s="1"/>
  <c r="C263" i="12"/>
  <c r="L263" i="12" s="1"/>
  <c r="C229" i="12"/>
  <c r="L229" i="12" s="1"/>
  <c r="C258" i="12"/>
  <c r="L258" i="12" s="1"/>
  <c r="C270" i="12"/>
  <c r="L270" i="12" s="1"/>
  <c r="C282" i="12"/>
  <c r="L282" i="12" s="1"/>
  <c r="C285" i="12"/>
  <c r="L285" i="12" s="1"/>
  <c r="C382" i="12"/>
  <c r="L382" i="12" s="1"/>
  <c r="C377" i="12"/>
  <c r="L377" i="12" s="1"/>
  <c r="C418" i="12"/>
  <c r="L418" i="12" s="1"/>
  <c r="C453" i="12"/>
  <c r="L453" i="12" s="1"/>
  <c r="C421" i="12"/>
  <c r="L421" i="12" s="1"/>
  <c r="C423" i="12"/>
  <c r="L423" i="12" s="1"/>
  <c r="C447" i="12"/>
  <c r="L447" i="12" s="1"/>
  <c r="C416" i="12"/>
  <c r="L416" i="12" s="1"/>
  <c r="C352" i="12"/>
  <c r="L352" i="12" s="1"/>
  <c r="M352" i="12" s="1"/>
  <c r="C330" i="12"/>
  <c r="L330" i="12" s="1"/>
  <c r="M330" i="12" s="1"/>
  <c r="C372" i="12"/>
  <c r="L372" i="12" s="1"/>
  <c r="C328" i="12"/>
  <c r="L328" i="12" s="1"/>
  <c r="C327" i="12"/>
  <c r="L327" i="12" s="1"/>
  <c r="C374" i="12"/>
  <c r="L374" i="12" s="1"/>
  <c r="C336" i="12"/>
  <c r="L336" i="12" s="1"/>
  <c r="C331" i="12"/>
  <c r="L331" i="12" s="1"/>
  <c r="C500" i="12"/>
  <c r="L500" i="12" s="1"/>
  <c r="C523" i="12"/>
  <c r="L523" i="12" s="1"/>
  <c r="C632" i="12"/>
  <c r="L632" i="12" s="1"/>
  <c r="C651" i="12"/>
  <c r="L651" i="12" s="1"/>
  <c r="C654" i="12"/>
  <c r="L654" i="12" s="1"/>
  <c r="C430" i="12"/>
  <c r="L430" i="12" s="1"/>
  <c r="C411" i="12"/>
  <c r="L411" i="12" s="1"/>
  <c r="C403" i="12"/>
  <c r="L403" i="12" s="1"/>
  <c r="C413" i="12"/>
  <c r="L413" i="12" s="1"/>
  <c r="C410" i="12"/>
  <c r="L410" i="12" s="1"/>
  <c r="C405" i="12"/>
  <c r="L405" i="12" s="1"/>
  <c r="C439" i="12"/>
  <c r="L439" i="12" s="1"/>
  <c r="C432" i="12"/>
  <c r="L432" i="12" s="1"/>
  <c r="C434" i="12"/>
  <c r="L434" i="12" s="1"/>
  <c r="C68" i="12"/>
  <c r="L68" i="12" s="1"/>
  <c r="C72" i="12"/>
  <c r="L72" i="12" s="1"/>
  <c r="C65" i="12"/>
  <c r="L65" i="12" s="1"/>
  <c r="C57" i="12"/>
  <c r="L57" i="12" s="1"/>
  <c r="C55" i="12"/>
  <c r="L55" i="12" s="1"/>
  <c r="C34" i="12"/>
  <c r="L34" i="12" s="1"/>
  <c r="C39" i="12"/>
  <c r="L39" i="12" s="1"/>
  <c r="C36" i="12"/>
  <c r="L36" i="12" s="1"/>
  <c r="C623" i="12"/>
  <c r="L623" i="12" s="1"/>
  <c r="C621" i="12"/>
  <c r="L621" i="12" s="1"/>
  <c r="C630" i="12"/>
  <c r="L630" i="12" s="1"/>
  <c r="C616" i="12"/>
  <c r="L616" i="12" s="1"/>
  <c r="C584" i="12"/>
  <c r="L584" i="12" s="1"/>
  <c r="C426" i="7"/>
  <c r="C384" i="7"/>
  <c r="C407" i="7"/>
  <c r="C291" i="7"/>
  <c r="C108" i="7"/>
  <c r="C597" i="7"/>
  <c r="C224" i="7"/>
  <c r="C663" i="7"/>
  <c r="C534" i="7"/>
  <c r="C542" i="7"/>
  <c r="C377" i="7"/>
  <c r="C574" i="7"/>
  <c r="C578" i="7"/>
  <c r="C483" i="7"/>
  <c r="C493" i="7"/>
  <c r="C649" i="7"/>
  <c r="C665" i="7"/>
  <c r="C537" i="7"/>
  <c r="C28" i="7"/>
  <c r="C298" i="7"/>
  <c r="C581" i="7"/>
  <c r="C439" i="7"/>
  <c r="C216" i="7"/>
  <c r="C143" i="7"/>
  <c r="C330" i="7"/>
  <c r="C580" i="7"/>
  <c r="C446" i="7"/>
  <c r="C579" i="7"/>
  <c r="C427" i="7"/>
  <c r="C255" i="7"/>
  <c r="C420" i="7"/>
  <c r="C257" i="7"/>
  <c r="C321" i="7"/>
  <c r="C343" i="7"/>
  <c r="C610" i="7"/>
  <c r="C518" i="7"/>
  <c r="C516" i="7"/>
  <c r="C601" i="7"/>
  <c r="C629" i="7"/>
  <c r="C256" i="7"/>
  <c r="C647" i="7"/>
  <c r="C371" i="7"/>
  <c r="C546" i="7"/>
  <c r="C547" i="7"/>
  <c r="C631" i="7"/>
  <c r="C415" i="7"/>
  <c r="C348" i="7"/>
  <c r="C406" i="7"/>
  <c r="C283" i="7"/>
  <c r="C590" i="7"/>
  <c r="C548" i="7"/>
  <c r="C565" i="7"/>
  <c r="C201" i="7"/>
  <c r="C103" i="7"/>
  <c r="C109" i="7"/>
  <c r="C221" i="7"/>
  <c r="C11" i="7"/>
  <c r="C411" i="7"/>
  <c r="C399" i="7"/>
  <c r="C96" i="7"/>
  <c r="C571" i="7"/>
  <c r="C490" i="7"/>
  <c r="C463" i="7"/>
  <c r="C512" i="7"/>
  <c r="C584" i="7"/>
  <c r="C503" i="7"/>
  <c r="C492" i="7"/>
  <c r="C489" i="7"/>
  <c r="C508" i="7"/>
  <c r="C499" i="7"/>
  <c r="C498" i="7"/>
  <c r="C510" i="7"/>
  <c r="C497" i="7"/>
  <c r="C609" i="7"/>
  <c r="C496" i="7"/>
  <c r="C481" i="7"/>
  <c r="C570" i="7"/>
  <c r="C640" i="7"/>
  <c r="C402" i="7"/>
  <c r="C618" i="7"/>
  <c r="C331" i="7"/>
  <c r="C567" i="7"/>
  <c r="C505" i="7"/>
  <c r="C560" i="7"/>
  <c r="C36" i="7"/>
  <c r="C615" i="7"/>
  <c r="C557" i="7"/>
  <c r="C558" i="7"/>
  <c r="C58" i="7"/>
  <c r="C667" i="7"/>
  <c r="C617" i="7"/>
  <c r="C127" i="7"/>
  <c r="C83" i="7"/>
  <c r="C306" i="7"/>
  <c r="C228" i="7"/>
  <c r="C39" i="7"/>
  <c r="C666" i="7"/>
  <c r="C120" i="7"/>
  <c r="C33" i="7"/>
  <c r="C242" i="7"/>
  <c r="C89" i="7"/>
  <c r="C443" i="7"/>
  <c r="C392" i="7"/>
  <c r="C342" i="7"/>
  <c r="C454" i="7"/>
  <c r="C47" i="7"/>
  <c r="C550" i="7"/>
  <c r="C671" i="7"/>
  <c r="C661" i="7"/>
  <c r="C673" i="7"/>
  <c r="C258" i="7"/>
  <c r="C482" i="7"/>
  <c r="C657" i="7"/>
  <c r="C329" i="7"/>
  <c r="C605" i="7"/>
  <c r="C174" i="7"/>
  <c r="C442" i="7"/>
  <c r="C457" i="7"/>
  <c r="C449" i="7"/>
  <c r="C414" i="7"/>
  <c r="C162" i="7"/>
  <c r="C635" i="7"/>
  <c r="C413" i="7"/>
  <c r="C267" i="7"/>
  <c r="C237" i="7"/>
  <c r="C90" i="7"/>
  <c r="C93" i="7"/>
  <c r="C68" i="7"/>
  <c r="C16" i="7"/>
  <c r="C350" i="7"/>
  <c r="C86" i="7"/>
  <c r="C155" i="7"/>
  <c r="C250" i="7"/>
  <c r="C122" i="7"/>
  <c r="C104" i="7"/>
  <c r="C178" i="7"/>
  <c r="C173" i="7"/>
  <c r="C129" i="7"/>
  <c r="C77" i="7"/>
  <c r="C119" i="7"/>
  <c r="C113" i="7"/>
  <c r="C60" i="7"/>
  <c r="C133" i="7"/>
  <c r="C32" i="7"/>
  <c r="C46" i="7"/>
  <c r="C14" i="7"/>
  <c r="C153" i="7"/>
  <c r="C147" i="7"/>
  <c r="C78" i="7"/>
  <c r="C117" i="7"/>
  <c r="C476" i="7"/>
  <c r="C183" i="7"/>
  <c r="C296" i="7"/>
  <c r="C434" i="7"/>
  <c r="C654" i="7"/>
  <c r="C614" i="7"/>
  <c r="C158" i="7"/>
  <c r="C401" i="7"/>
  <c r="C102" i="7"/>
  <c r="C208" i="7"/>
  <c r="C43" i="7"/>
  <c r="C144" i="7"/>
  <c r="C182" i="7"/>
  <c r="C318" i="7"/>
  <c r="C626" i="7"/>
  <c r="C10" i="7"/>
  <c r="C166" i="7"/>
  <c r="C568" i="7"/>
  <c r="C653" i="7"/>
  <c r="C572" i="7"/>
  <c r="C608" i="7"/>
  <c r="C289" i="7"/>
  <c r="C323" i="7"/>
  <c r="C95" i="7"/>
  <c r="C416" i="7"/>
  <c r="C388" i="7"/>
  <c r="C18" i="7"/>
  <c r="C419" i="7"/>
  <c r="C448" i="7"/>
  <c r="C145" i="7"/>
  <c r="C19" i="7"/>
  <c r="K19" i="7" s="1"/>
  <c r="C458" i="7"/>
  <c r="C272" i="7"/>
  <c r="C357" i="7"/>
  <c r="C353" i="7"/>
  <c r="C101" i="7"/>
  <c r="C54" i="7"/>
  <c r="C274" i="7"/>
  <c r="C193" i="5"/>
  <c r="K193" i="5" s="1"/>
  <c r="C44" i="5"/>
  <c r="K44" i="5" s="1"/>
  <c r="C50" i="5"/>
  <c r="K50" i="5" s="1"/>
  <c r="C28" i="5"/>
  <c r="K28" i="5" s="1"/>
  <c r="C33" i="5"/>
  <c r="K33" i="5" s="1"/>
  <c r="C170" i="5"/>
  <c r="K170" i="5" s="1"/>
  <c r="C201" i="5"/>
  <c r="K201" i="5" s="1"/>
  <c r="C61" i="5"/>
  <c r="K61" i="5" s="1"/>
  <c r="C154" i="5"/>
  <c r="K154" i="5" s="1"/>
  <c r="C382" i="5"/>
  <c r="K382" i="5" s="1"/>
  <c r="C463" i="5"/>
  <c r="K463" i="5" s="1"/>
  <c r="C192" i="5"/>
  <c r="K192" i="5" s="1"/>
  <c r="C345" i="5"/>
  <c r="K345" i="5" s="1"/>
  <c r="C100" i="5"/>
  <c r="K100" i="5" s="1"/>
  <c r="C83" i="5"/>
  <c r="K83" i="5" s="1"/>
  <c r="C106" i="5"/>
  <c r="K106" i="5" s="1"/>
  <c r="C263" i="5"/>
  <c r="K263" i="5" s="1"/>
  <c r="C65" i="5"/>
  <c r="K65" i="5" s="1"/>
  <c r="C92" i="5"/>
  <c r="K92" i="5" s="1"/>
  <c r="C126" i="5"/>
  <c r="K126" i="5" s="1"/>
  <c r="C206" i="5"/>
  <c r="K206" i="5" s="1"/>
  <c r="C88" i="5"/>
  <c r="K88" i="5" s="1"/>
  <c r="C606" i="5"/>
  <c r="K606" i="5" s="1"/>
  <c r="C334" i="5"/>
  <c r="K334" i="5" s="1"/>
  <c r="C264" i="5"/>
  <c r="K264" i="5" s="1"/>
  <c r="C415" i="5"/>
  <c r="K415" i="5" s="1"/>
  <c r="C390" i="5"/>
  <c r="K390" i="5" s="1"/>
  <c r="C356" i="5"/>
  <c r="K356" i="5" s="1"/>
  <c r="C343" i="5"/>
  <c r="K343" i="5" s="1"/>
  <c r="C404" i="5"/>
  <c r="K404" i="5" s="1"/>
  <c r="C408" i="5"/>
  <c r="K408" i="5" s="1"/>
  <c r="C186" i="5"/>
  <c r="K186" i="5" s="1"/>
  <c r="C447" i="5"/>
  <c r="K447" i="5" s="1"/>
  <c r="C173" i="5"/>
  <c r="K173" i="5" s="1"/>
  <c r="C273" i="5"/>
  <c r="K273" i="5" s="1"/>
  <c r="C417" i="5"/>
  <c r="K417" i="5" s="1"/>
  <c r="C427" i="5"/>
  <c r="K427" i="5" s="1"/>
  <c r="C321" i="5"/>
  <c r="K321" i="5" s="1"/>
  <c r="C259" i="5"/>
  <c r="K259" i="5" s="1"/>
  <c r="C440" i="5"/>
  <c r="K440" i="5" s="1"/>
  <c r="C420" i="5"/>
  <c r="K420" i="5" s="1"/>
  <c r="C330" i="5"/>
  <c r="K330" i="5" s="1"/>
  <c r="C283" i="5"/>
  <c r="K283" i="5" s="1"/>
  <c r="C473" i="5"/>
  <c r="K473" i="5" s="1"/>
  <c r="C204" i="5"/>
  <c r="K204" i="5" s="1"/>
  <c r="C275" i="5"/>
  <c r="K275" i="5" s="1"/>
  <c r="C383" i="5"/>
  <c r="K383" i="5" s="1"/>
  <c r="C213" i="5"/>
  <c r="K213" i="5" s="1"/>
  <c r="C127" i="5"/>
  <c r="K127" i="5" s="1"/>
  <c r="C466" i="5"/>
  <c r="K466" i="5" s="1"/>
  <c r="C423" i="5"/>
  <c r="K423" i="5" s="1"/>
  <c r="C452" i="5"/>
  <c r="K452" i="5" s="1"/>
  <c r="C419" i="5"/>
  <c r="K419" i="5" s="1"/>
  <c r="C24" i="5"/>
  <c r="K24" i="5" s="1"/>
  <c r="C151" i="5"/>
  <c r="K151" i="5" s="1"/>
  <c r="C176" i="5"/>
  <c r="K176" i="5" s="1"/>
  <c r="C70" i="5"/>
  <c r="K70" i="5" s="1"/>
  <c r="C333" i="5"/>
  <c r="K333" i="5" s="1"/>
  <c r="C195" i="5"/>
  <c r="K195" i="5" s="1"/>
  <c r="C230" i="5"/>
  <c r="K230" i="5" s="1"/>
  <c r="C38" i="5"/>
  <c r="K38" i="5" s="1"/>
  <c r="C235" i="5"/>
  <c r="K235" i="5" s="1"/>
  <c r="C37" i="5"/>
  <c r="K37" i="5" s="1"/>
  <c r="C40" i="5"/>
  <c r="K40" i="5" s="1"/>
  <c r="C34" i="5"/>
  <c r="K34" i="5" s="1"/>
  <c r="C616" i="5"/>
  <c r="C593" i="5"/>
  <c r="K593" i="5" s="1"/>
  <c r="C597" i="5"/>
  <c r="C22" i="5"/>
  <c r="K22" i="5" s="1"/>
  <c r="C410" i="5"/>
  <c r="K410" i="5" s="1"/>
  <c r="C331" i="5"/>
  <c r="K331" i="5" s="1"/>
  <c r="C75" i="5"/>
  <c r="K75" i="5" s="1"/>
  <c r="C581" i="5"/>
  <c r="C478" i="5"/>
  <c r="K478" i="5" s="1"/>
  <c r="C372" i="5"/>
  <c r="K372" i="5" s="1"/>
  <c r="C143" i="5"/>
  <c r="K143" i="5" s="1"/>
  <c r="C198" i="5"/>
  <c r="K198" i="5" s="1"/>
  <c r="C405" i="5"/>
  <c r="K405" i="5" s="1"/>
  <c r="C325" i="5"/>
  <c r="K325" i="5" s="1"/>
  <c r="C346" i="5"/>
  <c r="K346" i="5" s="1"/>
  <c r="C35" i="5"/>
  <c r="K35" i="5" s="1"/>
  <c r="C370" i="5"/>
  <c r="K370" i="5" s="1"/>
  <c r="C152" i="5"/>
  <c r="K152" i="5" s="1"/>
  <c r="C123" i="5"/>
  <c r="K123" i="5" s="1"/>
  <c r="C103" i="5"/>
  <c r="K103" i="5" s="1"/>
  <c r="C159" i="5"/>
  <c r="K159" i="5" s="1"/>
  <c r="C45" i="5"/>
  <c r="K45" i="5" s="1"/>
  <c r="C144" i="5"/>
  <c r="K144" i="5" s="1"/>
  <c r="C78" i="5"/>
  <c r="K78" i="5" s="1"/>
  <c r="C63" i="5"/>
  <c r="K63" i="5" s="1"/>
  <c r="C588" i="5"/>
  <c r="C26" i="5"/>
  <c r="K26" i="5" s="1"/>
  <c r="C604" i="5"/>
  <c r="C332" i="5"/>
  <c r="K332" i="5" s="1"/>
  <c r="C274" i="5"/>
  <c r="K274" i="5" s="1"/>
  <c r="C141" i="5"/>
  <c r="K141" i="5" s="1"/>
  <c r="C243" i="5"/>
  <c r="K243" i="5" s="1"/>
  <c r="C167" i="5"/>
  <c r="K167" i="5" s="1"/>
  <c r="C205" i="5"/>
  <c r="K205" i="5" s="1"/>
  <c r="C240" i="5"/>
  <c r="K240" i="5" s="1"/>
  <c r="C101" i="5"/>
  <c r="K101" i="5" s="1"/>
  <c r="C398" i="5"/>
  <c r="K398" i="5" s="1"/>
  <c r="C413" i="5"/>
  <c r="K413" i="5" s="1"/>
  <c r="C311" i="5"/>
  <c r="K311" i="5" s="1"/>
  <c r="C169" i="5"/>
  <c r="K169" i="5" s="1"/>
  <c r="C584" i="5"/>
  <c r="K584" i="5" s="1"/>
  <c r="C207" i="5"/>
  <c r="K207" i="5" s="1"/>
  <c r="C313" i="5"/>
  <c r="K313" i="5" s="1"/>
  <c r="C396" i="5"/>
  <c r="K396" i="5" s="1"/>
  <c r="C82" i="5"/>
  <c r="K82" i="5" s="1"/>
  <c r="C185" i="5"/>
  <c r="K185" i="5" s="1"/>
  <c r="C156" i="5"/>
  <c r="K156" i="5" s="1"/>
  <c r="C269" i="5"/>
  <c r="K269" i="5" s="1"/>
  <c r="C266" i="5"/>
  <c r="K266" i="5" s="1"/>
  <c r="C596" i="5"/>
  <c r="C397" i="5"/>
  <c r="K397" i="5" s="1"/>
  <c r="C90" i="5"/>
  <c r="K90" i="5" s="1"/>
  <c r="C438" i="5"/>
  <c r="K438" i="5" s="1"/>
  <c r="C414" i="5"/>
  <c r="K414" i="5" s="1"/>
  <c r="C231" i="5"/>
  <c r="K231" i="5" s="1"/>
  <c r="C595" i="5"/>
  <c r="C282" i="5"/>
  <c r="K282" i="5" s="1"/>
  <c r="C180" i="5"/>
  <c r="K180" i="5" s="1"/>
  <c r="C617" i="5"/>
  <c r="K617" i="5" s="1"/>
  <c r="C161" i="5"/>
  <c r="K161" i="5" s="1"/>
  <c r="C21" i="5"/>
  <c r="K21" i="5" s="1"/>
  <c r="C39" i="5"/>
  <c r="K39" i="5" s="1"/>
  <c r="C15" i="5"/>
  <c r="K15" i="5" s="1"/>
  <c r="C272" i="5"/>
  <c r="K272" i="5" s="1"/>
  <c r="C17" i="5"/>
  <c r="K17" i="5" s="1"/>
  <c r="C182" i="5"/>
  <c r="K182" i="5" s="1"/>
  <c r="C429" i="5"/>
  <c r="K429" i="5" s="1"/>
  <c r="C69" i="5"/>
  <c r="K69" i="5" s="1"/>
  <c r="C191" i="5"/>
  <c r="K191" i="5" s="1"/>
  <c r="C210" i="5"/>
  <c r="K210" i="5" s="1"/>
  <c r="C155" i="5"/>
  <c r="K155" i="5" s="1"/>
  <c r="C449" i="5"/>
  <c r="K449" i="5" s="1"/>
  <c r="C11" i="5"/>
  <c r="K11" i="5" s="1"/>
  <c r="C43" i="5"/>
  <c r="K43" i="5" s="1"/>
  <c r="C12" i="5"/>
  <c r="K12" i="5" s="1"/>
  <c r="C74" i="5"/>
  <c r="K74" i="5" s="1"/>
  <c r="C177" i="5"/>
  <c r="K177" i="5" s="1"/>
  <c r="C55" i="5"/>
  <c r="K55" i="5" s="1"/>
  <c r="C49" i="5"/>
  <c r="K49" i="5" s="1"/>
  <c r="C239" i="5"/>
  <c r="K239" i="5" s="1"/>
  <c r="C582" i="5"/>
  <c r="K582" i="5" s="1"/>
  <c r="C248" i="5"/>
  <c r="K248" i="5" s="1"/>
  <c r="C128" i="5"/>
  <c r="K128" i="5" s="1"/>
  <c r="C626" i="5"/>
  <c r="K626" i="5" s="1"/>
  <c r="C586" i="5"/>
  <c r="K586" i="5" s="1"/>
  <c r="C244" i="5"/>
  <c r="K244" i="5" s="1"/>
  <c r="C142" i="5"/>
  <c r="K142" i="5" s="1"/>
  <c r="C378" i="5"/>
  <c r="K378" i="5" s="1"/>
  <c r="C401" i="5"/>
  <c r="K401" i="5" s="1"/>
  <c r="C329" i="5"/>
  <c r="K329" i="5" s="1"/>
  <c r="C94" i="5"/>
  <c r="K94" i="5" s="1"/>
  <c r="C146" i="5"/>
  <c r="K146" i="5" s="1"/>
  <c r="C609" i="5"/>
  <c r="K609" i="5" s="1"/>
  <c r="C362" i="5"/>
  <c r="K362" i="5" s="1"/>
  <c r="C79" i="5"/>
  <c r="K79" i="5" s="1"/>
  <c r="C322" i="5"/>
  <c r="K322" i="5" s="1"/>
  <c r="C468" i="5"/>
  <c r="K468" i="5" s="1"/>
  <c r="C469" i="5"/>
  <c r="K469" i="5" s="1"/>
  <c r="C284" i="5"/>
  <c r="K284" i="5" s="1"/>
  <c r="C309" i="5"/>
  <c r="K309" i="5" s="1"/>
  <c r="C256" i="5"/>
  <c r="K256" i="5" s="1"/>
  <c r="C76" i="5"/>
  <c r="K76" i="5" s="1"/>
  <c r="C583" i="5"/>
  <c r="K583" i="5" s="1"/>
  <c r="C475" i="5"/>
  <c r="K475" i="5" s="1"/>
  <c r="C115" i="5"/>
  <c r="K115" i="5" s="1"/>
  <c r="C477" i="5"/>
  <c r="K477" i="5" s="1"/>
  <c r="C197" i="5"/>
  <c r="K197" i="5" s="1"/>
  <c r="C30" i="5"/>
  <c r="K30" i="5" s="1"/>
  <c r="C320" i="5"/>
  <c r="K320" i="5" s="1"/>
  <c r="C430" i="5"/>
  <c r="K430" i="5" s="1"/>
  <c r="C305" i="5"/>
  <c r="K305" i="5" s="1"/>
  <c r="C399" i="5"/>
  <c r="K399" i="5" s="1"/>
  <c r="C326" i="5"/>
  <c r="K326" i="5" s="1"/>
  <c r="C367" i="5"/>
  <c r="K367" i="5" s="1"/>
  <c r="C374" i="5"/>
  <c r="K374" i="5" s="1"/>
  <c r="C119" i="5"/>
  <c r="K119" i="5" s="1"/>
  <c r="C456" i="5"/>
  <c r="K456" i="5" s="1"/>
  <c r="C470" i="5"/>
  <c r="K470" i="5" s="1"/>
  <c r="C301" i="5"/>
  <c r="K301" i="5" s="1"/>
  <c r="C437" i="5"/>
  <c r="K437" i="5" s="1"/>
  <c r="C387" i="5"/>
  <c r="K387" i="5" s="1"/>
  <c r="C624" i="5"/>
  <c r="K624" i="5" s="1"/>
  <c r="C261" i="5"/>
  <c r="K261" i="5" s="1"/>
  <c r="C625" i="5"/>
  <c r="K625" i="5" s="1"/>
  <c r="C629" i="5"/>
  <c r="K629" i="5" s="1"/>
  <c r="C360" i="5"/>
  <c r="K360" i="5" s="1"/>
  <c r="C97" i="5"/>
  <c r="K97" i="5" s="1"/>
  <c r="C289" i="5"/>
  <c r="K289" i="5" s="1"/>
  <c r="C112" i="5"/>
  <c r="K112" i="5" s="1"/>
  <c r="C218" i="5"/>
  <c r="K218" i="5" s="1"/>
  <c r="C377" i="5"/>
  <c r="K377" i="5" s="1"/>
  <c r="C630" i="5"/>
  <c r="K630" i="5" s="1"/>
  <c r="C181" i="5"/>
  <c r="K181" i="5" s="1"/>
  <c r="C621" i="5"/>
  <c r="K621" i="5" s="1"/>
  <c r="C53" i="5"/>
  <c r="K53" i="5" s="1"/>
  <c r="C187" i="5"/>
  <c r="K187" i="5" s="1"/>
  <c r="C299" i="5"/>
  <c r="K299" i="5" s="1"/>
  <c r="C226" i="5"/>
  <c r="K226" i="5" s="1"/>
  <c r="C215" i="5"/>
  <c r="K215" i="5" s="1"/>
  <c r="C25" i="5"/>
  <c r="K25" i="5" s="1"/>
  <c r="C135" i="5"/>
  <c r="K135" i="5" s="1"/>
  <c r="C418" i="5"/>
  <c r="K418" i="5" s="1"/>
  <c r="C27" i="5"/>
  <c r="K27" i="5" s="1"/>
  <c r="C165" i="5"/>
  <c r="K165" i="5" s="1"/>
  <c r="C350" i="5"/>
  <c r="K350" i="5" s="1"/>
  <c r="C54" i="5"/>
  <c r="K54" i="5" s="1"/>
  <c r="C125" i="5"/>
  <c r="K125" i="5" s="1"/>
  <c r="C236" i="5"/>
  <c r="K236" i="5" s="1"/>
  <c r="C471" i="5"/>
  <c r="K471" i="5" s="1"/>
  <c r="C148" i="5"/>
  <c r="K148" i="5" s="1"/>
  <c r="C434" i="5"/>
  <c r="K434" i="5" s="1"/>
  <c r="C386" i="5"/>
  <c r="K386" i="5" s="1"/>
  <c r="C262" i="5"/>
  <c r="K262" i="5" s="1"/>
  <c r="C448" i="5"/>
  <c r="K448" i="5" s="1"/>
  <c r="C209" i="5"/>
  <c r="K209" i="5" s="1"/>
  <c r="C358" i="5"/>
  <c r="K358" i="5" s="1"/>
  <c r="C56" i="5"/>
  <c r="K56" i="5" s="1"/>
  <c r="C258" i="5"/>
  <c r="K258" i="5" s="1"/>
  <c r="C228" i="5"/>
  <c r="K228" i="5" s="1"/>
  <c r="C339" i="5"/>
  <c r="K339" i="5" s="1"/>
  <c r="C433" i="5"/>
  <c r="K433" i="5" s="1"/>
  <c r="C450" i="5"/>
  <c r="K450" i="5" s="1"/>
  <c r="C297" i="5"/>
  <c r="K297" i="5" s="1"/>
  <c r="C375" i="5"/>
  <c r="K375" i="5" s="1"/>
  <c r="C136" i="5"/>
  <c r="K136" i="5" s="1"/>
  <c r="C318" i="5"/>
  <c r="K318" i="5" s="1"/>
  <c r="C208" i="5"/>
  <c r="K208" i="5" s="1"/>
  <c r="C300" i="5"/>
  <c r="K300" i="5" s="1"/>
  <c r="C184" i="5"/>
  <c r="K184" i="5" s="1"/>
  <c r="C250" i="5"/>
  <c r="K250" i="5" s="1"/>
  <c r="C352" i="5"/>
  <c r="K352" i="5" s="1"/>
  <c r="C472" i="5"/>
  <c r="K472" i="5" s="1"/>
  <c r="C234" i="5"/>
  <c r="K234" i="5" s="1"/>
  <c r="C223" i="5"/>
  <c r="K223" i="5" s="1"/>
  <c r="C132" i="5"/>
  <c r="K132" i="5" s="1"/>
  <c r="C389" i="5"/>
  <c r="K389" i="5" s="1"/>
  <c r="C428" i="5"/>
  <c r="K428" i="5" s="1"/>
  <c r="C436" i="5"/>
  <c r="K436" i="5" s="1"/>
  <c r="C298" i="5"/>
  <c r="K298" i="5" s="1"/>
  <c r="C619" i="5"/>
  <c r="K619" i="5" s="1"/>
  <c r="C140" i="5"/>
  <c r="K140" i="5" s="1"/>
  <c r="C203" i="5"/>
  <c r="K203" i="5" s="1"/>
  <c r="C160" i="5"/>
  <c r="K160" i="5" s="1"/>
  <c r="C578" i="5"/>
  <c r="K578" i="5" s="1"/>
  <c r="C245" i="5"/>
  <c r="K245" i="5" s="1"/>
  <c r="C164" i="5"/>
  <c r="K164" i="5" s="1"/>
  <c r="C18" i="5"/>
  <c r="K18" i="5" s="1"/>
  <c r="C599" i="5"/>
  <c r="K599" i="5" s="1"/>
  <c r="C628" i="5"/>
  <c r="K628" i="5" s="1"/>
  <c r="C365" i="5"/>
  <c r="K365" i="5" s="1"/>
  <c r="C585" i="5"/>
  <c r="K585" i="5" s="1"/>
  <c r="C394" i="5"/>
  <c r="K394" i="5" s="1"/>
  <c r="C353" i="5"/>
  <c r="K353" i="5" s="1"/>
  <c r="C286" i="5"/>
  <c r="K286" i="5" s="1"/>
  <c r="C108" i="5"/>
  <c r="K108" i="5" s="1"/>
  <c r="C247" i="5"/>
  <c r="K247" i="5" s="1"/>
  <c r="C212" i="5"/>
  <c r="K212" i="5" s="1"/>
  <c r="C62" i="5"/>
  <c r="K62" i="5" s="1"/>
  <c r="C296" i="5"/>
  <c r="K296" i="5" s="1"/>
  <c r="C122" i="5"/>
  <c r="K122" i="5" s="1"/>
  <c r="C435" i="5"/>
  <c r="K435" i="5" s="1"/>
  <c r="C455" i="5"/>
  <c r="K455" i="5" s="1"/>
  <c r="C338" i="5"/>
  <c r="K338" i="5" s="1"/>
  <c r="C422" i="5"/>
  <c r="K422" i="5" s="1"/>
  <c r="C384" i="5"/>
  <c r="K384" i="5" s="1"/>
  <c r="C145" i="5"/>
  <c r="K145" i="5" s="1"/>
  <c r="C174" i="5"/>
  <c r="K174" i="5" s="1"/>
  <c r="C86" i="5"/>
  <c r="K86" i="5" s="1"/>
  <c r="C306" i="5"/>
  <c r="K306" i="5" s="1"/>
  <c r="C241" i="5"/>
  <c r="K241" i="5" s="1"/>
  <c r="C149" i="5"/>
  <c r="K149" i="5" s="1"/>
  <c r="C314" i="5"/>
  <c r="K314" i="5" s="1"/>
  <c r="C121" i="5"/>
  <c r="K121" i="5" s="1"/>
  <c r="C120" i="5"/>
  <c r="K120" i="5" s="1"/>
  <c r="C211" i="5"/>
  <c r="K211" i="5" s="1"/>
  <c r="C479" i="5"/>
  <c r="K479" i="5" s="1"/>
  <c r="C285" i="5"/>
  <c r="K285" i="5" s="1"/>
  <c r="C190" i="5"/>
  <c r="K190" i="5" s="1"/>
  <c r="C402" i="5"/>
  <c r="K402" i="5" s="1"/>
  <c r="C335" i="5"/>
  <c r="K335" i="5" s="1"/>
  <c r="C453" i="5"/>
  <c r="K453" i="5" s="1"/>
  <c r="C66" i="5"/>
  <c r="K66" i="5" s="1"/>
  <c r="C451" i="5"/>
  <c r="K451" i="5" s="1"/>
  <c r="C324" i="5"/>
  <c r="K324" i="5" s="1"/>
  <c r="C425" i="5"/>
  <c r="K425" i="5" s="1"/>
  <c r="C605" i="5"/>
  <c r="K605" i="5" s="1"/>
  <c r="C60" i="5"/>
  <c r="K60" i="5" s="1"/>
  <c r="C202" i="5"/>
  <c r="K202" i="5" s="1"/>
  <c r="C361" i="5"/>
  <c r="K361" i="5" s="1"/>
  <c r="C355" i="5"/>
  <c r="K355" i="5" s="1"/>
  <c r="C391" i="5"/>
  <c r="K391" i="5" s="1"/>
  <c r="C607" i="5"/>
  <c r="K607" i="5" s="1"/>
  <c r="C47" i="5"/>
  <c r="K47" i="5" s="1"/>
  <c r="C454" i="5"/>
  <c r="K454" i="5" s="1"/>
  <c r="C293" i="5"/>
  <c r="K293" i="5" s="1"/>
  <c r="C278" i="5"/>
  <c r="K278" i="5" s="1"/>
  <c r="C158" i="5"/>
  <c r="K158" i="5" s="1"/>
  <c r="C587" i="5"/>
  <c r="K587" i="5" s="1"/>
  <c r="C327" i="5"/>
  <c r="K327" i="5" s="1"/>
  <c r="C602" i="5"/>
  <c r="K602" i="5" s="1"/>
  <c r="C279" i="5"/>
  <c r="K279" i="5" s="1"/>
  <c r="C277" i="5"/>
  <c r="K277" i="5" s="1"/>
  <c r="C98" i="5"/>
  <c r="K98" i="5" s="1"/>
  <c r="C73" i="5"/>
  <c r="K73" i="5" s="1"/>
  <c r="C225" i="5"/>
  <c r="K225" i="5" s="1"/>
  <c r="C426" i="5"/>
  <c r="K426" i="5" s="1"/>
  <c r="C366" i="5"/>
  <c r="K366" i="5" s="1"/>
  <c r="C337" i="5"/>
  <c r="K337" i="5" s="1"/>
  <c r="C349" i="5"/>
  <c r="K349" i="5" s="1"/>
  <c r="C444" i="5"/>
  <c r="K444" i="5" s="1"/>
  <c r="C77" i="5"/>
  <c r="K77" i="5" s="1"/>
  <c r="C474" i="5"/>
  <c r="K474" i="5" s="1"/>
  <c r="C139" i="5"/>
  <c r="K139" i="5" s="1"/>
  <c r="C316" i="5"/>
  <c r="K316" i="5" s="1"/>
  <c r="C237" i="5"/>
  <c r="K237" i="5" s="1"/>
  <c r="C162" i="5"/>
  <c r="K162" i="5" s="1"/>
  <c r="C42" i="5"/>
  <c r="K42" i="5" s="1"/>
  <c r="C249" i="5"/>
  <c r="K249" i="5" s="1"/>
  <c r="C615" i="5"/>
  <c r="K615" i="5" s="1"/>
  <c r="C371" i="5"/>
  <c r="K371" i="5" s="1"/>
  <c r="C232" i="5"/>
  <c r="K232" i="5" s="1"/>
  <c r="C87" i="5"/>
  <c r="K87" i="5" s="1"/>
  <c r="C467" i="5"/>
  <c r="K467" i="5" s="1"/>
  <c r="C22" i="16"/>
  <c r="C728" i="2"/>
  <c r="F728" i="2" s="1"/>
  <c r="C386" i="2"/>
  <c r="F386" i="2" s="1"/>
  <c r="C562" i="2"/>
  <c r="F562" i="2" s="1"/>
  <c r="C11" i="2"/>
  <c r="F11" i="2" s="1"/>
  <c r="C349" i="2"/>
  <c r="F349" i="2" s="1"/>
  <c r="C345" i="2"/>
  <c r="F345" i="2" s="1"/>
  <c r="C96" i="2"/>
  <c r="F96" i="2" s="1"/>
  <c r="C570" i="2"/>
  <c r="F570" i="2" s="1"/>
  <c r="C557" i="2"/>
  <c r="F557" i="2" s="1"/>
  <c r="C331" i="2"/>
  <c r="C445" i="2"/>
  <c r="F445" i="2" s="1"/>
  <c r="C192" i="2"/>
  <c r="F192" i="2" s="1"/>
  <c r="C67" i="2"/>
  <c r="F67" i="2" s="1"/>
  <c r="C138" i="2"/>
  <c r="F138" i="2" s="1"/>
  <c r="C322" i="2"/>
  <c r="F322" i="2" s="1"/>
  <c r="C727" i="2"/>
  <c r="F727" i="2" s="1"/>
  <c r="C724" i="2"/>
  <c r="F724" i="2" s="1"/>
  <c r="C502" i="2"/>
  <c r="F502" i="2" s="1"/>
  <c r="C720" i="2"/>
  <c r="F720" i="2" s="1"/>
  <c r="C401" i="2"/>
  <c r="F401" i="2" s="1"/>
  <c r="C507" i="2"/>
  <c r="F507" i="2" s="1"/>
  <c r="C505" i="2"/>
  <c r="F505" i="2" s="1"/>
  <c r="C264" i="9"/>
  <c r="J264" i="9" s="1"/>
  <c r="C270" i="9"/>
  <c r="C267" i="9"/>
  <c r="J267" i="9" s="1"/>
  <c r="C260" i="9"/>
  <c r="J260" i="9" s="1"/>
  <c r="C272" i="9"/>
  <c r="C253" i="9"/>
  <c r="C470" i="9"/>
  <c r="C510" i="9"/>
  <c r="J510" i="9" s="1"/>
  <c r="C487" i="9"/>
  <c r="J487" i="9" s="1"/>
  <c r="C513" i="9"/>
  <c r="J513" i="9" s="1"/>
  <c r="C497" i="9"/>
  <c r="C490" i="9"/>
  <c r="C518" i="9"/>
  <c r="C474" i="9"/>
  <c r="C508" i="9"/>
  <c r="J508" i="9" s="1"/>
  <c r="C511" i="9"/>
  <c r="J511" i="9" s="1"/>
  <c r="C520" i="9"/>
  <c r="C505" i="9"/>
  <c r="J505" i="9" s="1"/>
  <c r="C475" i="9"/>
  <c r="C479" i="9"/>
  <c r="C477" i="9"/>
  <c r="J477" i="9" s="1"/>
  <c r="C507" i="9"/>
  <c r="J507" i="9" s="1"/>
  <c r="C514" i="9"/>
  <c r="J514" i="9" s="1"/>
  <c r="C494" i="9"/>
  <c r="C572" i="9"/>
  <c r="J572" i="9" s="1"/>
  <c r="C650" i="9"/>
  <c r="J650" i="9" s="1"/>
  <c r="C483" i="9"/>
  <c r="J483" i="9" s="1"/>
  <c r="C489" i="9"/>
  <c r="J489" i="9" s="1"/>
  <c r="C648" i="9"/>
  <c r="J648" i="9" s="1"/>
  <c r="C655" i="9"/>
  <c r="C553" i="9"/>
  <c r="J553" i="9" s="1"/>
  <c r="C639" i="9"/>
  <c r="J639" i="9" s="1"/>
  <c r="C694" i="9"/>
  <c r="C613" i="9"/>
  <c r="C552" i="9"/>
  <c r="J552" i="9" s="1"/>
  <c r="C660" i="9"/>
  <c r="C748" i="9"/>
  <c r="C695" i="9"/>
  <c r="C642" i="9"/>
  <c r="C663" i="9"/>
  <c r="J663" i="9" s="1"/>
  <c r="C668" i="9"/>
  <c r="J668" i="9" s="1"/>
  <c r="C702" i="9"/>
  <c r="J702" i="9" s="1"/>
  <c r="C704" i="9"/>
  <c r="C557" i="9"/>
  <c r="J557" i="9" s="1"/>
  <c r="C558" i="9"/>
  <c r="C621" i="9"/>
  <c r="J621" i="9" s="1"/>
  <c r="C574" i="9"/>
  <c r="C730" i="9"/>
  <c r="C560" i="9"/>
  <c r="J560" i="9" s="1"/>
  <c r="C573" i="9"/>
  <c r="J573" i="9" s="1"/>
  <c r="C559" i="9"/>
  <c r="J559" i="9" s="1"/>
  <c r="C600" i="9"/>
  <c r="J600" i="9" s="1"/>
  <c r="C581" i="9"/>
  <c r="J581" i="9" s="1"/>
  <c r="C578" i="9"/>
  <c r="C709" i="9"/>
  <c r="D709" i="9" s="1"/>
  <c r="E709" i="9" s="1"/>
  <c r="C758" i="9"/>
  <c r="C577" i="9"/>
  <c r="L19" i="9" s="1"/>
  <c r="C576" i="9"/>
  <c r="C585" i="9"/>
  <c r="J585" i="9" s="1"/>
  <c r="C645" i="9"/>
  <c r="C647" i="9"/>
  <c r="C626" i="9"/>
  <c r="J626" i="9" s="1"/>
  <c r="C593" i="9"/>
  <c r="J593" i="9" s="1"/>
  <c r="C713" i="9"/>
  <c r="J713" i="9" s="1"/>
  <c r="C718" i="9"/>
  <c r="C634" i="9"/>
  <c r="J634" i="9" s="1"/>
  <c r="C766" i="9"/>
  <c r="C715" i="9"/>
  <c r="C683" i="9"/>
  <c r="C608" i="9"/>
  <c r="C678" i="9"/>
  <c r="J678" i="9" s="1"/>
  <c r="C721" i="9"/>
  <c r="J721" i="9" s="1"/>
  <c r="C725" i="9"/>
  <c r="J725" i="9" s="1"/>
  <c r="C712" i="9"/>
  <c r="J712" i="9" s="1"/>
  <c r="C742" i="9"/>
  <c r="J742" i="9" s="1"/>
  <c r="C595" i="9"/>
  <c r="C136" i="9"/>
  <c r="J136" i="9" s="1"/>
  <c r="C738" i="9"/>
  <c r="J738" i="9" s="1"/>
  <c r="C737" i="9"/>
  <c r="J737" i="9" s="1"/>
  <c r="C744" i="9"/>
  <c r="C133" i="9"/>
  <c r="C358" i="9"/>
  <c r="J358" i="9" s="1"/>
  <c r="C347" i="9"/>
  <c r="J347" i="9" s="1"/>
  <c r="C355" i="9"/>
  <c r="J355" i="9" s="1"/>
  <c r="C366" i="9"/>
  <c r="C352" i="9"/>
  <c r="C365" i="9"/>
  <c r="C378" i="9"/>
  <c r="J378" i="9" s="1"/>
  <c r="C379" i="9"/>
  <c r="C177" i="9"/>
  <c r="C772" i="9"/>
  <c r="C159" i="9"/>
  <c r="C451" i="9"/>
  <c r="J451" i="9" s="1"/>
  <c r="C770" i="9"/>
  <c r="J770" i="9" s="1"/>
  <c r="C768" i="9"/>
  <c r="C360" i="9"/>
  <c r="J360" i="9" s="1"/>
  <c r="C283" i="9"/>
  <c r="C455" i="9"/>
  <c r="J455" i="9" s="1"/>
  <c r="C179" i="9"/>
  <c r="J179" i="9" s="1"/>
  <c r="C454" i="9"/>
  <c r="J454" i="9" s="1"/>
  <c r="C171" i="9"/>
  <c r="J171" i="9" s="1"/>
  <c r="C142" i="9"/>
  <c r="C775" i="9"/>
  <c r="J775" i="9" s="1"/>
  <c r="C468" i="9"/>
  <c r="C456" i="9"/>
  <c r="C284" i="9"/>
  <c r="C799" i="9"/>
  <c r="J799" i="9" s="1"/>
  <c r="C457" i="9"/>
  <c r="J457" i="9" s="1"/>
  <c r="C60" i="9"/>
  <c r="J60" i="9" s="1"/>
  <c r="C544" i="9"/>
  <c r="J544" i="9" s="1"/>
  <c r="C796" i="9"/>
  <c r="C787" i="9"/>
  <c r="J787" i="9" s="1"/>
  <c r="C792" i="9"/>
  <c r="J792" i="9" s="1"/>
  <c r="C25" i="9"/>
  <c r="C783" i="9"/>
  <c r="J783" i="9" s="1"/>
  <c r="C85" i="9"/>
  <c r="J85" i="9" s="1"/>
  <c r="C87" i="9"/>
  <c r="J87" i="9" s="1"/>
  <c r="C28" i="9"/>
  <c r="J28" i="9" s="1"/>
  <c r="C95" i="9"/>
  <c r="J95" i="9" s="1"/>
  <c r="C64" i="9"/>
  <c r="J64" i="9" s="1"/>
  <c r="C98" i="9"/>
  <c r="J98" i="9" s="1"/>
  <c r="C91" i="9"/>
  <c r="C89" i="9"/>
  <c r="J89" i="9" s="1"/>
  <c r="C547" i="9"/>
  <c r="J547" i="9" s="1"/>
  <c r="C72" i="9"/>
  <c r="J72" i="9" s="1"/>
  <c r="C93" i="9"/>
  <c r="C167" i="9"/>
  <c r="C148" i="9"/>
  <c r="C147" i="9"/>
  <c r="L15" i="9" s="1"/>
  <c r="C162" i="9"/>
  <c r="J162" i="9" s="1"/>
  <c r="C400" i="2"/>
  <c r="F400" i="2" s="1"/>
  <c r="C644" i="2"/>
  <c r="F644" i="2" s="1"/>
  <c r="C635" i="2"/>
  <c r="F635" i="2" s="1"/>
  <c r="C246" i="2"/>
  <c r="F246" i="2" s="1"/>
  <c r="C558" i="2"/>
  <c r="F558" i="2" s="1"/>
  <c r="C534" i="2"/>
  <c r="F534" i="2" s="1"/>
  <c r="C432" i="2"/>
  <c r="F432" i="2" s="1"/>
  <c r="C174" i="2"/>
  <c r="F174" i="2" s="1"/>
  <c r="C347" i="2"/>
  <c r="F347" i="2" s="1"/>
  <c r="C98" i="2"/>
  <c r="F98" i="2" s="1"/>
  <c r="C569" i="2"/>
  <c r="F569" i="2" s="1"/>
  <c r="C567" i="2"/>
  <c r="F567" i="2" s="1"/>
  <c r="C257" i="9"/>
  <c r="C258" i="9"/>
  <c r="C247" i="9"/>
  <c r="C273" i="9"/>
  <c r="C252" i="9"/>
  <c r="C509" i="9"/>
  <c r="C80" i="9"/>
  <c r="C480" i="9"/>
  <c r="C77" i="9"/>
  <c r="C481" i="9"/>
  <c r="C254" i="9"/>
  <c r="C478" i="9"/>
  <c r="C503" i="9"/>
  <c r="C74" i="9"/>
  <c r="C506" i="9"/>
  <c r="C498" i="9"/>
  <c r="C515" i="9"/>
  <c r="C500" i="9"/>
  <c r="C690" i="9"/>
  <c r="L571" i="9" s="1"/>
  <c r="C649" i="9"/>
  <c r="C569" i="9"/>
  <c r="C485" i="9"/>
  <c r="C637" i="9"/>
  <c r="C638" i="9"/>
  <c r="C563" i="9"/>
  <c r="C488" i="9"/>
  <c r="C512" i="9"/>
  <c r="C549" i="9"/>
  <c r="C654" i="9"/>
  <c r="C691" i="9"/>
  <c r="C612" i="9"/>
  <c r="C696" i="9"/>
  <c r="C749" i="9"/>
  <c r="C692" i="9"/>
  <c r="C550" i="9"/>
  <c r="C751" i="9"/>
  <c r="C750" i="9"/>
  <c r="C662" i="9"/>
  <c r="C693" i="9"/>
  <c r="C664" i="9"/>
  <c r="C697" i="9"/>
  <c r="C588" i="9"/>
  <c r="C589" i="9"/>
  <c r="C598" i="9"/>
  <c r="C590" i="9"/>
  <c r="C622" i="9"/>
  <c r="C617" i="9"/>
  <c r="C601" i="9"/>
  <c r="C618" i="9"/>
  <c r="C620" i="9"/>
  <c r="C579" i="9"/>
  <c r="C624" i="9"/>
  <c r="C628" i="9"/>
  <c r="C575" i="9"/>
  <c r="C582" i="9"/>
  <c r="C670" i="9"/>
  <c r="C644" i="9"/>
  <c r="C761" i="9"/>
  <c r="C764" i="9"/>
  <c r="C632" i="9"/>
  <c r="C710" i="9"/>
  <c r="C714" i="9"/>
  <c r="C733" i="9"/>
  <c r="C739" i="9"/>
  <c r="C719" i="9"/>
  <c r="C635" i="9"/>
  <c r="C711" i="9"/>
  <c r="C716" i="9"/>
  <c r="C606" i="9"/>
  <c r="C604" i="9"/>
  <c r="C720" i="9"/>
  <c r="C594" i="9"/>
  <c r="C607" i="9"/>
  <c r="C743" i="9"/>
  <c r="C724" i="9"/>
  <c r="C371" i="9"/>
  <c r="C736" i="9"/>
  <c r="C735" i="9"/>
  <c r="C746" i="9"/>
  <c r="C596" i="9"/>
  <c r="C376" i="9"/>
  <c r="C131" i="9"/>
  <c r="C382" i="9"/>
  <c r="C375" i="9"/>
  <c r="C349" i="9"/>
  <c r="C356" i="9"/>
  <c r="C357" i="9"/>
  <c r="C353" i="9"/>
  <c r="C135" i="9"/>
  <c r="L25" i="9" s="1"/>
  <c r="C144" i="9"/>
  <c r="C450" i="9"/>
  <c r="C21" i="2"/>
  <c r="F21" i="2" s="1"/>
  <c r="C629" i="2"/>
  <c r="F629" i="2" s="1"/>
  <c r="C656" i="2"/>
  <c r="F656" i="2" s="1"/>
  <c r="C657" i="2"/>
  <c r="F657" i="2" s="1"/>
  <c r="C653" i="2"/>
  <c r="F653" i="2" s="1"/>
  <c r="C577" i="2"/>
  <c r="F577" i="2" s="1"/>
  <c r="C361" i="2"/>
  <c r="F361" i="2" s="1"/>
  <c r="C583" i="2"/>
  <c r="F583" i="2" s="1"/>
  <c r="C37" i="2"/>
  <c r="F37" i="2" s="1"/>
  <c r="C75" i="2"/>
  <c r="F75" i="2" s="1"/>
  <c r="C663" i="2"/>
  <c r="F663" i="2" s="1"/>
  <c r="C152" i="2"/>
  <c r="F152" i="2" s="1"/>
  <c r="C771" i="2"/>
  <c r="F771" i="2" s="1"/>
  <c r="C374" i="2"/>
  <c r="F374" i="2" s="1"/>
  <c r="C282" i="2"/>
  <c r="F282" i="2" s="1"/>
  <c r="C197" i="2"/>
  <c r="F197" i="2" s="1"/>
  <c r="C233" i="2"/>
  <c r="F233" i="2" s="1"/>
  <c r="C82" i="2"/>
  <c r="F82" i="2" s="1"/>
  <c r="C633" i="2"/>
  <c r="F633" i="2" s="1"/>
  <c r="C336" i="2"/>
  <c r="F336" i="2" s="1"/>
  <c r="C274" i="2"/>
  <c r="F274" i="2" s="1"/>
  <c r="C105" i="2"/>
  <c r="F105" i="2" s="1"/>
  <c r="C364" i="2"/>
  <c r="F364" i="2" s="1"/>
  <c r="C765" i="2"/>
  <c r="F765" i="2" s="1"/>
  <c r="C326" i="2"/>
  <c r="F326" i="2" s="1"/>
  <c r="C248" i="2"/>
  <c r="F248" i="2" s="1"/>
  <c r="C447" i="2"/>
  <c r="F447" i="2" s="1"/>
  <c r="C245" i="2"/>
  <c r="F245" i="2" s="1"/>
  <c r="C228" i="2"/>
  <c r="F228" i="2" s="1"/>
  <c r="C173" i="2"/>
  <c r="F173" i="2" s="1"/>
  <c r="C346" i="2"/>
  <c r="F346" i="2" s="1"/>
  <c r="C340" i="2"/>
  <c r="F340" i="2" s="1"/>
  <c r="C628" i="2"/>
  <c r="F628" i="2" s="1"/>
  <c r="C630" i="2"/>
  <c r="F630" i="2" s="1"/>
  <c r="C23" i="2"/>
  <c r="F23" i="2" s="1"/>
  <c r="C93" i="2"/>
  <c r="F93" i="2" s="1"/>
  <c r="C643" i="2"/>
  <c r="F643" i="2" s="1"/>
  <c r="C710" i="2"/>
  <c r="F710" i="2" s="1"/>
  <c r="C707" i="2"/>
  <c r="F707" i="2" s="1"/>
  <c r="C768" i="2"/>
  <c r="F768" i="2" s="1"/>
  <c r="C184" i="2"/>
  <c r="F184" i="2" s="1"/>
  <c r="C711" i="2"/>
  <c r="F711" i="2" s="1"/>
  <c r="C460" i="2"/>
  <c r="F460" i="2" s="1"/>
  <c r="C359" i="2"/>
  <c r="F359" i="2" s="1"/>
  <c r="C356" i="2"/>
  <c r="F356" i="2" s="1"/>
  <c r="C363" i="2"/>
  <c r="F363" i="2" s="1"/>
  <c r="C357" i="2"/>
  <c r="F357" i="2" s="1"/>
  <c r="C355" i="2"/>
  <c r="F355" i="2" s="1"/>
  <c r="C761" i="2"/>
  <c r="F761" i="2" s="1"/>
  <c r="C183" i="2"/>
  <c r="F183" i="2" s="1"/>
  <c r="C35" i="2"/>
  <c r="F35" i="2" s="1"/>
  <c r="C188" i="2"/>
  <c r="F188" i="2" s="1"/>
  <c r="C185" i="2"/>
  <c r="F185" i="2" s="1"/>
  <c r="C581" i="2"/>
  <c r="F581" i="2" s="1"/>
  <c r="C375" i="2"/>
  <c r="F375" i="2" s="1"/>
  <c r="C276" i="9"/>
  <c r="C172" i="9"/>
  <c r="C146" i="9"/>
  <c r="C279" i="9"/>
  <c r="C362" i="9"/>
  <c r="C176" i="9"/>
  <c r="C461" i="9"/>
  <c r="C462" i="9"/>
  <c r="C467" i="9"/>
  <c r="C459" i="9"/>
  <c r="C173" i="9"/>
  <c r="C458" i="9"/>
  <c r="C178" i="9"/>
  <c r="C368" i="9"/>
  <c r="C281" i="9"/>
  <c r="C274" i="9"/>
  <c r="C449" i="9"/>
  <c r="C463" i="9"/>
  <c r="C453" i="9"/>
  <c r="C464" i="9"/>
  <c r="C61" i="9"/>
  <c r="C58" i="9"/>
  <c r="C54" i="9"/>
  <c r="C785" i="9"/>
  <c r="C788" i="9"/>
  <c r="C786" i="9"/>
  <c r="C779" i="9"/>
  <c r="C168" i="9"/>
  <c r="C793" i="9"/>
  <c r="C805" i="9"/>
  <c r="C92" i="9"/>
  <c r="C100" i="9"/>
  <c r="C88" i="9"/>
  <c r="C55" i="9"/>
  <c r="C43" i="9"/>
  <c r="C71" i="9"/>
  <c r="C30" i="9"/>
  <c r="C50" i="9"/>
  <c r="C804" i="9"/>
  <c r="C802" i="9"/>
  <c r="C155" i="9"/>
  <c r="C163" i="9"/>
  <c r="C161" i="9"/>
  <c r="C261" i="9"/>
  <c r="G261" i="9" s="1"/>
  <c r="C250" i="9"/>
  <c r="C269" i="9"/>
  <c r="C268" i="9"/>
  <c r="C262" i="9"/>
  <c r="C259" i="9"/>
  <c r="C496" i="9"/>
  <c r="C471" i="9"/>
  <c r="C83" i="9"/>
  <c r="C84" i="9"/>
  <c r="C78" i="9"/>
  <c r="C81" i="9"/>
  <c r="C491" i="9"/>
  <c r="C82" i="9"/>
  <c r="C76" i="9"/>
  <c r="C476" i="9"/>
  <c r="C482" i="9"/>
  <c r="L12" i="9" s="1"/>
  <c r="C522" i="9"/>
  <c r="C499" i="9"/>
  <c r="C688" i="9"/>
  <c r="C653" i="9"/>
  <c r="C568" i="9"/>
  <c r="C564" i="9"/>
  <c r="C566" i="9"/>
  <c r="C495" i="9"/>
  <c r="C473" i="9"/>
  <c r="C502" i="9"/>
  <c r="C687" i="9"/>
  <c r="C651" i="9"/>
  <c r="L639" i="9" s="1"/>
  <c r="C689" i="9"/>
  <c r="C656" i="9"/>
  <c r="C610" i="9"/>
  <c r="L638" i="9" s="1"/>
  <c r="C640" i="9"/>
  <c r="C659" i="9"/>
  <c r="C641" i="9"/>
  <c r="C658" i="9"/>
  <c r="C657" i="9"/>
  <c r="C665" i="9"/>
  <c r="C643" i="9"/>
  <c r="C700" i="9"/>
  <c r="C587" i="9"/>
  <c r="C554" i="9"/>
  <c r="C699" i="9"/>
  <c r="C556" i="9"/>
  <c r="C755" i="9"/>
  <c r="C707" i="9"/>
  <c r="C615" i="9"/>
  <c r="C623" i="9"/>
  <c r="C708" i="9"/>
  <c r="C706" i="9"/>
  <c r="C619" i="9"/>
  <c r="C583" i="9"/>
  <c r="C599" i="9"/>
  <c r="C580" i="9"/>
  <c r="C759" i="9"/>
  <c r="C625" i="9"/>
  <c r="C562" i="9"/>
  <c r="C757" i="9"/>
  <c r="L21" i="9" s="1"/>
  <c r="C760" i="9"/>
  <c r="C561" i="9"/>
  <c r="C762" i="9"/>
  <c r="C675" i="9"/>
  <c r="C630" i="9"/>
  <c r="C631" i="9"/>
  <c r="C674" i="9"/>
  <c r="C646" i="9"/>
  <c r="C717" i="9"/>
  <c r="C680" i="9"/>
  <c r="C627" i="9"/>
  <c r="C765" i="9"/>
  <c r="C682" i="9"/>
  <c r="C681" i="9"/>
  <c r="C734" i="9"/>
  <c r="C677" i="9"/>
  <c r="C686" i="9"/>
  <c r="C732" i="9"/>
  <c r="C741" i="9"/>
  <c r="C726" i="9"/>
  <c r="C377" i="9"/>
  <c r="C597" i="9"/>
  <c r="C722" i="9"/>
  <c r="C132" i="9"/>
  <c r="C140" i="9"/>
  <c r="C141" i="9"/>
  <c r="C727" i="9"/>
  <c r="L14" i="9" s="1"/>
  <c r="C354" i="9"/>
  <c r="C381" i="9"/>
  <c r="C359" i="9"/>
  <c r="C460" i="9"/>
  <c r="C465" i="9"/>
  <c r="C380" i="9"/>
  <c r="C351" i="9"/>
  <c r="C374" i="9"/>
  <c r="C363" i="9"/>
  <c r="C776" i="9"/>
  <c r="C773" i="9"/>
  <c r="C452" i="9"/>
  <c r="C774" i="9"/>
  <c r="C286" i="9"/>
  <c r="C170" i="9"/>
  <c r="C169" i="9"/>
  <c r="C348" i="9"/>
  <c r="C769" i="9"/>
  <c r="C174" i="9"/>
  <c r="C767" i="9"/>
  <c r="C275" i="9"/>
  <c r="C771" i="9"/>
  <c r="C369" i="9"/>
  <c r="C370" i="9"/>
  <c r="C367" i="9"/>
  <c r="C282" i="9"/>
  <c r="C466" i="9"/>
  <c r="C62" i="9"/>
  <c r="C49" i="9"/>
  <c r="C42" i="9"/>
  <c r="C801" i="9"/>
  <c r="C803" i="9"/>
  <c r="C781" i="9"/>
  <c r="C789" i="9"/>
  <c r="C810" i="9"/>
  <c r="C794" i="9"/>
  <c r="C33" i="9"/>
  <c r="C807" i="9"/>
  <c r="C97" i="9"/>
  <c r="C26" i="9"/>
  <c r="C94" i="9"/>
  <c r="C90" i="9"/>
  <c r="C545" i="9"/>
  <c r="C32" i="9"/>
  <c r="C59" i="9"/>
  <c r="C806" i="9"/>
  <c r="C101" i="9"/>
  <c r="C154" i="9"/>
  <c r="C784" i="9"/>
  <c r="C797" i="9"/>
  <c r="C782" i="9"/>
  <c r="C321" i="2"/>
  <c r="F321" i="2" s="1"/>
  <c r="C319" i="2"/>
  <c r="F319" i="2" s="1"/>
  <c r="C726" i="2"/>
  <c r="F726" i="2" s="1"/>
  <c r="C723" i="2"/>
  <c r="F723" i="2" s="1"/>
  <c r="C510" i="2"/>
  <c r="F510" i="2" s="1"/>
  <c r="C398" i="2"/>
  <c r="F398" i="2" s="1"/>
  <c r="C730" i="2"/>
  <c r="F730" i="2" s="1"/>
  <c r="C53" i="2"/>
  <c r="F53" i="2" s="1"/>
  <c r="C166" i="9"/>
  <c r="C151" i="9"/>
  <c r="C36" i="9"/>
  <c r="C626" i="2"/>
  <c r="F626" i="2" s="1"/>
  <c r="C404" i="2"/>
  <c r="F404" i="2" s="1"/>
  <c r="C288" i="2"/>
  <c r="F288" i="2" s="1"/>
  <c r="C729" i="2"/>
  <c r="F729" i="2" s="1"/>
  <c r="C637" i="2"/>
  <c r="F637" i="2" s="1"/>
  <c r="C72" i="2"/>
  <c r="F72" i="2" s="1"/>
  <c r="C52" i="2"/>
  <c r="F52" i="2" s="1"/>
  <c r="C50" i="2"/>
  <c r="F50" i="2" s="1"/>
  <c r="C403" i="2"/>
  <c r="F403" i="2" s="1"/>
  <c r="C289" i="2"/>
  <c r="F289" i="2" s="1"/>
  <c r="C396" i="2"/>
  <c r="F396" i="2" s="1"/>
  <c r="C126" i="2"/>
  <c r="F126" i="2" s="1"/>
  <c r="C789" i="2"/>
  <c r="F789" i="2" s="1"/>
  <c r="C812" i="2"/>
  <c r="F812" i="2" s="1"/>
  <c r="C561" i="2"/>
  <c r="F561" i="2" s="1"/>
  <c r="C448" i="2"/>
  <c r="F448" i="2" s="1"/>
  <c r="C12" i="2"/>
  <c r="F12" i="2" s="1"/>
  <c r="C63" i="2"/>
  <c r="F63" i="2" s="1"/>
  <c r="C172" i="2"/>
  <c r="F172" i="2" s="1"/>
  <c r="C344" i="2"/>
  <c r="F344" i="2" s="1"/>
  <c r="C94" i="2"/>
  <c r="F94" i="2" s="1"/>
  <c r="C566" i="2"/>
  <c r="F566" i="2" s="1"/>
  <c r="C343" i="2"/>
  <c r="F343" i="2" s="1"/>
  <c r="C22" i="2"/>
  <c r="F22" i="2" s="1"/>
  <c r="C162" i="2"/>
  <c r="F162" i="2" s="1"/>
  <c r="C690" i="2"/>
  <c r="F690" i="2" s="1"/>
  <c r="C632" i="2"/>
  <c r="F632" i="2" s="1"/>
  <c r="C338" i="2"/>
  <c r="F338" i="2" s="1"/>
  <c r="C339" i="2"/>
  <c r="F339" i="2" s="1"/>
  <c r="C273" i="2"/>
  <c r="F273" i="2" s="1"/>
  <c r="C467" i="2"/>
  <c r="F467" i="2" s="1"/>
  <c r="C463" i="2"/>
  <c r="F463" i="2" s="1"/>
  <c r="C469" i="2"/>
  <c r="F469" i="2" s="1"/>
  <c r="C582" i="2"/>
  <c r="F582" i="2" s="1"/>
  <c r="C38" i="2"/>
  <c r="F38" i="2" s="1"/>
  <c r="C465" i="2"/>
  <c r="F465" i="2" s="1"/>
  <c r="C264" i="2"/>
  <c r="F264" i="2" s="1"/>
  <c r="C104" i="2"/>
  <c r="F104" i="2" s="1"/>
  <c r="C762" i="2"/>
  <c r="F762" i="2" s="1"/>
  <c r="C193" i="2"/>
  <c r="F193" i="2" s="1"/>
  <c r="C470" i="2"/>
  <c r="F470" i="2" s="1"/>
  <c r="C769" i="2"/>
  <c r="F769" i="2" s="1"/>
  <c r="C658" i="2"/>
  <c r="F658" i="2" s="1"/>
  <c r="C34" i="2"/>
  <c r="F34" i="2" s="1"/>
  <c r="C271" i="2"/>
  <c r="F271" i="2" s="1"/>
  <c r="C76" i="2"/>
  <c r="F76" i="2" s="1"/>
  <c r="C538" i="2"/>
  <c r="F538" i="2" s="1"/>
  <c r="C539" i="2"/>
  <c r="F539" i="2" s="1"/>
  <c r="C474" i="2"/>
  <c r="F474" i="2" s="1"/>
  <c r="C477" i="2"/>
  <c r="F477" i="2" s="1"/>
  <c r="C199" i="2"/>
  <c r="F199" i="2" s="1"/>
  <c r="C198" i="2"/>
  <c r="F198" i="2" s="1"/>
  <c r="C153" i="2"/>
  <c r="F153" i="2" s="1"/>
  <c r="J271" i="9"/>
  <c r="C247" i="2"/>
  <c r="F247" i="2" s="1"/>
  <c r="C560" i="2"/>
  <c r="F560" i="2" s="1"/>
  <c r="C229" i="2"/>
  <c r="F229" i="2" s="1"/>
  <c r="C433" i="2"/>
  <c r="F433" i="2" s="1"/>
  <c r="C171" i="2"/>
  <c r="F171" i="2" s="1"/>
  <c r="C645" i="2"/>
  <c r="F645" i="2" s="1"/>
  <c r="C342" i="2"/>
  <c r="F342" i="2" s="1"/>
  <c r="C97" i="2"/>
  <c r="F97" i="2" s="1"/>
  <c r="F19" i="2"/>
  <c r="C18" i="2"/>
  <c r="F18" i="2" s="1"/>
  <c r="C631" i="2"/>
  <c r="F631" i="2" s="1"/>
  <c r="C455" i="2"/>
  <c r="F455" i="2" s="1"/>
  <c r="C90" i="2"/>
  <c r="F90" i="2" s="1"/>
  <c r="C267" i="2"/>
  <c r="F267" i="2" s="1"/>
  <c r="C763" i="2"/>
  <c r="F763" i="2" s="1"/>
  <c r="C468" i="2"/>
  <c r="F468" i="2" s="1"/>
  <c r="C102" i="2"/>
  <c r="F102" i="2" s="1"/>
  <c r="C32" i="2"/>
  <c r="F32" i="2" s="1"/>
  <c r="C576" i="2"/>
  <c r="F576" i="2" s="1"/>
  <c r="C579" i="2"/>
  <c r="F579" i="2" s="1"/>
  <c r="C708" i="2"/>
  <c r="F708" i="2" s="1"/>
  <c r="C353" i="2"/>
  <c r="F353" i="2" s="1"/>
  <c r="C709" i="2"/>
  <c r="F709" i="2" s="1"/>
  <c r="C473" i="2"/>
  <c r="F473" i="2" s="1"/>
  <c r="C706" i="2"/>
  <c r="F706" i="2" s="1"/>
  <c r="C182" i="2"/>
  <c r="F182" i="2" s="1"/>
  <c r="C33" i="2"/>
  <c r="F33" i="2" s="1"/>
  <c r="C358" i="2"/>
  <c r="F358" i="2" s="1"/>
  <c r="C73" i="2"/>
  <c r="F73" i="2" s="1"/>
  <c r="C237" i="2"/>
  <c r="F237" i="2" s="1"/>
  <c r="C662" i="2"/>
  <c r="F662" i="2" s="1"/>
  <c r="C441" i="2"/>
  <c r="F441" i="2" s="1"/>
  <c r="C66" i="2"/>
  <c r="F66" i="2" s="1"/>
  <c r="C476" i="2"/>
  <c r="F476" i="2" s="1"/>
  <c r="C40" i="2"/>
  <c r="F40" i="2" s="1"/>
  <c r="C278" i="2"/>
  <c r="F278" i="2" s="1"/>
  <c r="C372" i="2"/>
  <c r="F372" i="2" s="1"/>
  <c r="C314" i="2"/>
  <c r="F314" i="2" s="1"/>
  <c r="J249" i="9"/>
  <c r="C249" i="2"/>
  <c r="F249" i="2" s="1"/>
  <c r="C559" i="2"/>
  <c r="F559" i="2" s="1"/>
  <c r="C431" i="2"/>
  <c r="F431" i="2" s="1"/>
  <c r="C230" i="2"/>
  <c r="F230" i="2" s="1"/>
  <c r="C170" i="2"/>
  <c r="F170" i="2" s="1"/>
  <c r="C571" i="2"/>
  <c r="F571" i="2" s="1"/>
  <c r="C702" i="2"/>
  <c r="F702" i="2" s="1"/>
  <c r="C568" i="2"/>
  <c r="F568" i="2" s="1"/>
  <c r="C333" i="2"/>
  <c r="F333" i="2" s="1"/>
  <c r="C242" i="2"/>
  <c r="F242" i="2" s="1"/>
  <c r="C691" i="2"/>
  <c r="F691" i="2" s="1"/>
  <c r="C554" i="2"/>
  <c r="F554" i="2" s="1"/>
  <c r="C88" i="2"/>
  <c r="F88" i="2" s="1"/>
  <c r="C752" i="2"/>
  <c r="F752" i="2" s="1"/>
  <c r="C367" i="2"/>
  <c r="F367" i="2" s="1"/>
  <c r="C39" i="2"/>
  <c r="F39" i="2" s="1"/>
  <c r="C580" i="2"/>
  <c r="F580" i="2" s="1"/>
  <c r="C369" i="2"/>
  <c r="F369" i="2" s="1"/>
  <c r="C651" i="2"/>
  <c r="F651" i="2" s="1"/>
  <c r="C360" i="2"/>
  <c r="F360" i="2" s="1"/>
  <c r="C263" i="2"/>
  <c r="F263" i="2" s="1"/>
  <c r="C354" i="2"/>
  <c r="F354" i="2" s="1"/>
  <c r="C466" i="2"/>
  <c r="F466" i="2" s="1"/>
  <c r="C265" i="2"/>
  <c r="F265" i="2" s="1"/>
  <c r="C661" i="2"/>
  <c r="F661" i="2" s="1"/>
  <c r="C275" i="2"/>
  <c r="F275" i="2" s="1"/>
  <c r="C655" i="2"/>
  <c r="F655" i="2" s="1"/>
  <c r="C654" i="2"/>
  <c r="F654" i="2" s="1"/>
  <c r="C106" i="2"/>
  <c r="F106" i="2" s="1"/>
  <c r="C371" i="2"/>
  <c r="F371" i="2" s="1"/>
  <c r="C74" i="2"/>
  <c r="F74" i="2" s="1"/>
  <c r="C325" i="2"/>
  <c r="F325" i="2" s="1"/>
  <c r="C151" i="2"/>
  <c r="F151" i="2" s="1"/>
  <c r="C231" i="2"/>
  <c r="F231" i="2" s="1"/>
  <c r="C280" i="2"/>
  <c r="F280" i="2" s="1"/>
  <c r="C109" i="2"/>
  <c r="F109" i="2" s="1"/>
  <c r="C279" i="2"/>
  <c r="F279" i="2" s="1"/>
  <c r="C315" i="2"/>
  <c r="F315" i="2" s="1"/>
  <c r="C232" i="2"/>
  <c r="F232" i="2" s="1"/>
  <c r="J251" i="9"/>
  <c r="J263" i="9"/>
  <c r="J79" i="9"/>
  <c r="J255" i="9"/>
  <c r="C165" i="2"/>
  <c r="F165" i="2" s="1"/>
  <c r="C450" i="2"/>
  <c r="F450" i="2" s="1"/>
  <c r="C449" i="2"/>
  <c r="F449" i="2" s="1"/>
  <c r="C24" i="2"/>
  <c r="F24" i="2" s="1"/>
  <c r="C145" i="2"/>
  <c r="F145" i="2" s="1"/>
  <c r="C646" i="2"/>
  <c r="F646" i="2" s="1"/>
  <c r="C458" i="2"/>
  <c r="F458" i="2" s="1"/>
  <c r="C169" i="2"/>
  <c r="F169" i="2" s="1"/>
  <c r="C99" i="2"/>
  <c r="F99" i="2" s="1"/>
  <c r="C168" i="2"/>
  <c r="F168" i="2" s="1"/>
  <c r="C444" i="2"/>
  <c r="F444" i="2" s="1"/>
  <c r="C243" i="2"/>
  <c r="F243" i="2" s="1"/>
  <c r="C556" i="2"/>
  <c r="F556" i="2" s="1"/>
  <c r="C555" i="2"/>
  <c r="F555" i="2" s="1"/>
  <c r="C91" i="2"/>
  <c r="F91" i="2" s="1"/>
  <c r="C92" i="2"/>
  <c r="F92" i="2" s="1"/>
  <c r="C268" i="2"/>
  <c r="F268" i="2" s="1"/>
  <c r="C575" i="2"/>
  <c r="F575" i="2" s="1"/>
  <c r="C767" i="2"/>
  <c r="F767" i="2" s="1"/>
  <c r="C277" i="2"/>
  <c r="F277" i="2" s="1"/>
  <c r="C262" i="2"/>
  <c r="F262" i="2" s="1"/>
  <c r="C813" i="2"/>
  <c r="F813" i="2" s="1"/>
  <c r="C266" i="2"/>
  <c r="F266" i="2" s="1"/>
  <c r="C365" i="2"/>
  <c r="F365" i="2" s="1"/>
  <c r="C464" i="2"/>
  <c r="F464" i="2" s="1"/>
  <c r="C659" i="2"/>
  <c r="F659" i="2" s="1"/>
  <c r="C190" i="2"/>
  <c r="F190" i="2" s="1"/>
  <c r="C574" i="2"/>
  <c r="F574" i="2" s="1"/>
  <c r="C276" i="2"/>
  <c r="F276" i="2" s="1"/>
  <c r="C324" i="2"/>
  <c r="F324" i="2" s="1"/>
  <c r="C159" i="2"/>
  <c r="F159" i="2" s="1"/>
  <c r="C537" i="2"/>
  <c r="F537" i="2" s="1"/>
  <c r="C475" i="2"/>
  <c r="F475" i="2" s="1"/>
  <c r="C194" i="2"/>
  <c r="F194" i="2" s="1"/>
  <c r="C41" i="2"/>
  <c r="F41" i="2" s="1"/>
  <c r="C195" i="2"/>
  <c r="F195" i="2" s="1"/>
  <c r="C542" i="2"/>
  <c r="F542" i="2" s="1"/>
  <c r="J75" i="9"/>
  <c r="C778" i="9"/>
  <c r="C798" i="9"/>
  <c r="C70" i="9"/>
  <c r="C41" i="9"/>
  <c r="J248" i="9"/>
  <c r="J266" i="9"/>
  <c r="J265" i="9"/>
  <c r="J516" i="9"/>
  <c r="J486" i="9"/>
  <c r="J519" i="9"/>
  <c r="J492" i="9"/>
  <c r="J256" i="9"/>
  <c r="J493" i="9"/>
  <c r="C149" i="9"/>
  <c r="C157" i="9"/>
  <c r="C47" i="9"/>
  <c r="C636" i="2"/>
  <c r="F636" i="2" s="1"/>
  <c r="C189" i="2"/>
  <c r="F189" i="2" s="1"/>
  <c r="C157" i="2"/>
  <c r="F157" i="2" s="1"/>
  <c r="C323" i="2"/>
  <c r="F323" i="2" s="1"/>
  <c r="C687" i="2"/>
  <c r="F687" i="2" s="1"/>
  <c r="C785" i="2"/>
  <c r="F785" i="2" s="1"/>
  <c r="C503" i="2"/>
  <c r="F503" i="2" s="1"/>
  <c r="C784" i="2"/>
  <c r="F784" i="2" s="1"/>
  <c r="C508" i="2"/>
  <c r="F508" i="2" s="1"/>
  <c r="C718" i="2"/>
  <c r="F718" i="2" s="1"/>
  <c r="C790" i="2"/>
  <c r="F790" i="2" s="1"/>
  <c r="C320" i="2"/>
  <c r="F320" i="2" s="1"/>
  <c r="C786" i="2"/>
  <c r="F786" i="2" s="1"/>
  <c r="C504" i="2"/>
  <c r="F504" i="2" s="1"/>
  <c r="C399" i="2"/>
  <c r="F399" i="2" s="1"/>
  <c r="C397" i="2"/>
  <c r="F397" i="2" s="1"/>
  <c r="C287" i="2"/>
  <c r="F287" i="2" s="1"/>
  <c r="C25" i="2"/>
  <c r="F25" i="2" s="1"/>
  <c r="C787" i="2"/>
  <c r="F787" i="2" s="1"/>
  <c r="C721" i="2"/>
  <c r="F721" i="2" s="1"/>
  <c r="C290" i="2"/>
  <c r="F290" i="2" s="1"/>
  <c r="C402" i="2"/>
  <c r="F402" i="2" s="1"/>
  <c r="C731" i="2"/>
  <c r="F731" i="2" s="1"/>
  <c r="C791" i="2"/>
  <c r="F791" i="2" s="1"/>
  <c r="C158" i="2"/>
  <c r="F158" i="2" s="1"/>
  <c r="C108" i="2"/>
  <c r="F108" i="2" s="1"/>
  <c r="C439" i="2"/>
  <c r="F439" i="2" s="1"/>
  <c r="C440" i="2"/>
  <c r="F440" i="2" s="1"/>
  <c r="C712" i="2"/>
  <c r="F712" i="2" s="1"/>
  <c r="C196" i="2"/>
  <c r="F196" i="2" s="1"/>
  <c r="C283" i="2"/>
  <c r="F283" i="2" s="1"/>
  <c r="C540" i="2"/>
  <c r="F540" i="2" s="1"/>
  <c r="C163" i="2"/>
  <c r="F163" i="2" s="1"/>
  <c r="C456" i="2"/>
  <c r="F456" i="2" s="1"/>
  <c r="C89" i="2"/>
  <c r="F89" i="2" s="1"/>
  <c r="C764" i="2"/>
  <c r="F764" i="2" s="1"/>
  <c r="C766" i="2"/>
  <c r="F766" i="2" s="1"/>
  <c r="C370" i="2"/>
  <c r="F370" i="2" s="1"/>
  <c r="C770" i="2"/>
  <c r="F770" i="2" s="1"/>
  <c r="C472" i="2"/>
  <c r="F472" i="2" s="1"/>
  <c r="C103" i="2"/>
  <c r="F103" i="2" s="1"/>
  <c r="C366" i="2"/>
  <c r="F366" i="2" s="1"/>
  <c r="C272" i="2"/>
  <c r="F272" i="2" s="1"/>
  <c r="C461" i="2"/>
  <c r="F461" i="2" s="1"/>
  <c r="C186" i="2"/>
  <c r="F186" i="2" s="1"/>
  <c r="C368" i="2"/>
  <c r="F368" i="2" s="1"/>
  <c r="C660" i="2"/>
  <c r="F660" i="2" s="1"/>
  <c r="C270" i="2"/>
  <c r="F270" i="2" s="1"/>
  <c r="C107" i="2"/>
  <c r="F107" i="2" s="1"/>
  <c r="C150" i="2"/>
  <c r="F150" i="2" s="1"/>
  <c r="C149" i="2"/>
  <c r="F149" i="2" s="1"/>
  <c r="C714" i="2"/>
  <c r="F714" i="2" s="1"/>
  <c r="C281" i="2"/>
  <c r="F281" i="2" s="1"/>
  <c r="C775" i="2"/>
  <c r="F775" i="2" s="1"/>
  <c r="C773" i="2"/>
  <c r="F773" i="2" s="1"/>
  <c r="C244" i="2"/>
  <c r="F244" i="2" s="1"/>
  <c r="C446" i="2"/>
  <c r="F446" i="2" s="1"/>
  <c r="C164" i="2"/>
  <c r="F164" i="2" s="1"/>
  <c r="C144" i="2"/>
  <c r="F144" i="2" s="1"/>
  <c r="C348" i="2"/>
  <c r="F348" i="2" s="1"/>
  <c r="C95" i="2"/>
  <c r="F95" i="2" s="1"/>
  <c r="C341" i="2"/>
  <c r="F341" i="2" s="1"/>
  <c r="C457" i="2"/>
  <c r="F457" i="2" s="1"/>
  <c r="C634" i="2"/>
  <c r="F634" i="2" s="1"/>
  <c r="C332" i="2"/>
  <c r="F332" i="2" s="1"/>
  <c r="C241" i="2"/>
  <c r="F241" i="2" s="1"/>
  <c r="C20" i="2"/>
  <c r="F20" i="2" s="1"/>
  <c r="C701" i="2"/>
  <c r="F701" i="2" s="1"/>
  <c r="C337" i="2"/>
  <c r="F337" i="2" s="1"/>
  <c r="C471" i="2"/>
  <c r="F471" i="2" s="1"/>
  <c r="C191" i="2"/>
  <c r="F191" i="2" s="1"/>
  <c r="C36" i="2"/>
  <c r="F36" i="2" s="1"/>
  <c r="C261" i="2"/>
  <c r="F261" i="2" s="1"/>
  <c r="C362" i="2"/>
  <c r="F362" i="2" s="1"/>
  <c r="C269" i="2"/>
  <c r="F269" i="2" s="1"/>
  <c r="C462" i="2"/>
  <c r="F462" i="2" s="1"/>
  <c r="C760" i="2"/>
  <c r="F760" i="2" s="1"/>
  <c r="C187" i="2"/>
  <c r="F187" i="2" s="1"/>
  <c r="C814" i="2"/>
  <c r="F814" i="2" s="1"/>
  <c r="C578" i="2"/>
  <c r="F578" i="2" s="1"/>
  <c r="C652" i="2"/>
  <c r="F652" i="2" s="1"/>
  <c r="C236" i="2"/>
  <c r="F236" i="2" s="1"/>
  <c r="C535" i="2"/>
  <c r="F535" i="2" s="1"/>
  <c r="C536" i="2"/>
  <c r="F536" i="2" s="1"/>
  <c r="C772" i="2"/>
  <c r="F772" i="2" s="1"/>
  <c r="C774" i="2"/>
  <c r="F774" i="2" s="1"/>
  <c r="C373" i="2"/>
  <c r="F373" i="2" s="1"/>
  <c r="C713" i="2"/>
  <c r="F713" i="2" s="1"/>
  <c r="C725" i="2"/>
  <c r="F725" i="2" s="1"/>
  <c r="C722" i="2"/>
  <c r="F722" i="2" s="1"/>
  <c r="C509" i="2"/>
  <c r="F509" i="2" s="1"/>
  <c r="C127" i="2"/>
  <c r="F127" i="2" s="1"/>
  <c r="C395" i="2"/>
  <c r="F395" i="2" s="1"/>
  <c r="C506" i="2"/>
  <c r="F506" i="2" s="1"/>
  <c r="C788" i="2"/>
  <c r="F788" i="2" s="1"/>
  <c r="B6" i="8"/>
  <c r="I14" i="47" l="1"/>
  <c r="R14" i="47" s="1"/>
  <c r="I8" i="47"/>
  <c r="R8" i="47" s="1"/>
  <c r="I9" i="47"/>
  <c r="R9" i="47" s="1"/>
  <c r="I30" i="47"/>
  <c r="R30" i="47" s="1"/>
  <c r="I24" i="47"/>
  <c r="R24" i="47" s="1"/>
  <c r="I12" i="47"/>
  <c r="R12" i="47" s="1"/>
  <c r="I7" i="47"/>
  <c r="R7" i="47" s="1"/>
  <c r="I19" i="47"/>
  <c r="R19" i="47" s="1"/>
  <c r="I17" i="47"/>
  <c r="R17" i="47" s="1"/>
  <c r="I3" i="47"/>
  <c r="R3" i="47" s="1"/>
  <c r="I16" i="47"/>
  <c r="R16" i="47" s="1"/>
  <c r="I5" i="47"/>
  <c r="R5" i="47" s="1"/>
  <c r="I22" i="47"/>
  <c r="R22" i="47" s="1"/>
  <c r="I29" i="47"/>
  <c r="R29" i="47" s="1"/>
  <c r="I15" i="47"/>
  <c r="R15" i="47" s="1"/>
  <c r="I26" i="47"/>
  <c r="R26" i="47" s="1"/>
  <c r="I27" i="47"/>
  <c r="R27" i="47" s="1"/>
  <c r="I18" i="47"/>
  <c r="R18" i="47" s="1"/>
  <c r="I23" i="47"/>
  <c r="R23" i="47" s="1"/>
  <c r="I13" i="47"/>
  <c r="R13" i="47" s="1"/>
  <c r="I6" i="47"/>
  <c r="R6" i="47" s="1"/>
  <c r="L26" i="9"/>
  <c r="L24" i="9"/>
  <c r="L569" i="9"/>
  <c r="G253" i="5"/>
  <c r="H273" i="12"/>
  <c r="I273" i="12" s="1"/>
  <c r="J273" i="12" s="1"/>
  <c r="M273" i="12" s="1"/>
  <c r="H122" i="12"/>
  <c r="I122" i="12" s="1"/>
  <c r="J122" i="12" s="1"/>
  <c r="M122" i="12" s="1"/>
  <c r="H514" i="12"/>
  <c r="I514" i="12" s="1"/>
  <c r="J514" i="12" s="1"/>
  <c r="M514" i="12" s="1"/>
  <c r="H470" i="12"/>
  <c r="I470" i="12" s="1"/>
  <c r="J470" i="12" s="1"/>
  <c r="M470" i="12" s="1"/>
  <c r="H531" i="12"/>
  <c r="I531" i="12" s="1"/>
  <c r="J531" i="12" s="1"/>
  <c r="M531" i="12" s="1"/>
  <c r="H84" i="12"/>
  <c r="I84" i="12" s="1"/>
  <c r="J84" i="12" s="1"/>
  <c r="M84" i="12" s="1"/>
  <c r="H301" i="12"/>
  <c r="I301" i="12" s="1"/>
  <c r="J301" i="12" s="1"/>
  <c r="M301" i="12" s="1"/>
  <c r="H674" i="12"/>
  <c r="I674" i="12" s="1"/>
  <c r="J674" i="12" s="1"/>
  <c r="M674" i="12" s="1"/>
  <c r="H354" i="12"/>
  <c r="I354" i="12" s="1"/>
  <c r="J354" i="12" s="1"/>
  <c r="M354" i="12" s="1"/>
  <c r="H448" i="12"/>
  <c r="I448" i="12" s="1"/>
  <c r="J448" i="12" s="1"/>
  <c r="M448" i="12" s="1"/>
  <c r="H192" i="12"/>
  <c r="I192" i="12" s="1"/>
  <c r="J192" i="12" s="1"/>
  <c r="M192" i="12" s="1"/>
  <c r="H272" i="12"/>
  <c r="I272" i="12" s="1"/>
  <c r="J272" i="12" s="1"/>
  <c r="M272" i="12" s="1"/>
  <c r="H226" i="12"/>
  <c r="I226" i="12" s="1"/>
  <c r="J226" i="12" s="1"/>
  <c r="M226" i="12" s="1"/>
  <c r="H175" i="12"/>
  <c r="I175" i="12" s="1"/>
  <c r="J175" i="12" s="1"/>
  <c r="M175" i="12" s="1"/>
  <c r="H184" i="12"/>
  <c r="I184" i="12" s="1"/>
  <c r="J184" i="12" s="1"/>
  <c r="M184" i="12" s="1"/>
  <c r="H173" i="12"/>
  <c r="I173" i="12" s="1"/>
  <c r="J173" i="12" s="1"/>
  <c r="M173" i="12" s="1"/>
  <c r="H221" i="12"/>
  <c r="I221" i="12" s="1"/>
  <c r="J221" i="12" s="1"/>
  <c r="M221" i="12" s="1"/>
  <c r="H239" i="12"/>
  <c r="I239" i="12" s="1"/>
  <c r="J239" i="12" s="1"/>
  <c r="M239" i="12" s="1"/>
  <c r="H612" i="12"/>
  <c r="I612" i="12" s="1"/>
  <c r="J612" i="12" s="1"/>
  <c r="M612" i="12" s="1"/>
  <c r="H526" i="12"/>
  <c r="I526" i="12" s="1"/>
  <c r="J526" i="12" s="1"/>
  <c r="M526" i="12" s="1"/>
  <c r="H136" i="12"/>
  <c r="I136" i="12" s="1"/>
  <c r="J136" i="12" s="1"/>
  <c r="M136" i="12" s="1"/>
  <c r="H539" i="12"/>
  <c r="I539" i="12" s="1"/>
  <c r="J539" i="12" s="1"/>
  <c r="M539" i="12" s="1"/>
  <c r="H688" i="12"/>
  <c r="I688" i="12" s="1"/>
  <c r="J688" i="12" s="1"/>
  <c r="M688" i="12" s="1"/>
  <c r="H76" i="12"/>
  <c r="I76" i="12" s="1"/>
  <c r="J76" i="12" s="1"/>
  <c r="M76" i="12" s="1"/>
  <c r="H287" i="12"/>
  <c r="I287" i="12" s="1"/>
  <c r="J287" i="12" s="1"/>
  <c r="M287" i="12" s="1"/>
  <c r="H304" i="12"/>
  <c r="I304" i="12" s="1"/>
  <c r="J304" i="12" s="1"/>
  <c r="M304" i="12" s="1"/>
  <c r="H138" i="12"/>
  <c r="I138" i="12" s="1"/>
  <c r="J138" i="12" s="1"/>
  <c r="M138" i="12" s="1"/>
  <c r="H396" i="12"/>
  <c r="I396" i="12" s="1"/>
  <c r="J396" i="12" s="1"/>
  <c r="M396" i="12" s="1"/>
  <c r="H387" i="12"/>
  <c r="I387" i="12" s="1"/>
  <c r="J387" i="12" s="1"/>
  <c r="M387" i="12" s="1"/>
  <c r="H481" i="12"/>
  <c r="I481" i="12" s="1"/>
  <c r="J481" i="12" s="1"/>
  <c r="M481" i="12" s="1"/>
  <c r="H660" i="12"/>
  <c r="I660" i="12" s="1"/>
  <c r="J660" i="12" s="1"/>
  <c r="M660" i="12" s="1"/>
  <c r="H462" i="12"/>
  <c r="I462" i="12" s="1"/>
  <c r="J462" i="12" s="1"/>
  <c r="M462" i="12" s="1"/>
  <c r="H98" i="12"/>
  <c r="I98" i="12" s="1"/>
  <c r="J98" i="12" s="1"/>
  <c r="M98" i="12" s="1"/>
  <c r="H650" i="12"/>
  <c r="I650" i="12" s="1"/>
  <c r="J650" i="12" s="1"/>
  <c r="M650" i="12" s="1"/>
  <c r="H17" i="12"/>
  <c r="I17" i="12" s="1"/>
  <c r="J17" i="12" s="1"/>
  <c r="M17" i="12" s="1"/>
  <c r="H454" i="12"/>
  <c r="I454" i="12" s="1"/>
  <c r="J454" i="12" s="1"/>
  <c r="M454" i="12" s="1"/>
  <c r="H223" i="12"/>
  <c r="I223" i="12" s="1"/>
  <c r="J223" i="12" s="1"/>
  <c r="M223" i="12" s="1"/>
  <c r="H366" i="12"/>
  <c r="I366" i="12" s="1"/>
  <c r="J366" i="12" s="1"/>
  <c r="M366" i="12" s="1"/>
  <c r="H323" i="12"/>
  <c r="I323" i="12" s="1"/>
  <c r="J323" i="12" s="1"/>
  <c r="M323" i="12" s="1"/>
  <c r="H444" i="12"/>
  <c r="I444" i="12" s="1"/>
  <c r="J444" i="12" s="1"/>
  <c r="M444" i="12" s="1"/>
  <c r="H363" i="12"/>
  <c r="I363" i="12" s="1"/>
  <c r="J363" i="12" s="1"/>
  <c r="M363" i="12" s="1"/>
  <c r="H300" i="12"/>
  <c r="I300" i="12" s="1"/>
  <c r="J300" i="12" s="1"/>
  <c r="M300" i="12" s="1"/>
  <c r="H222" i="12"/>
  <c r="I222" i="12" s="1"/>
  <c r="J222" i="12" s="1"/>
  <c r="M222" i="12" s="1"/>
  <c r="H259" i="12"/>
  <c r="I259" i="12" s="1"/>
  <c r="J259" i="12" s="1"/>
  <c r="M259" i="12" s="1"/>
  <c r="H213" i="12"/>
  <c r="I213" i="12" s="1"/>
  <c r="J213" i="12" s="1"/>
  <c r="M213" i="12" s="1"/>
  <c r="H215" i="12"/>
  <c r="I215" i="12" s="1"/>
  <c r="J215" i="12" s="1"/>
  <c r="M215" i="12" s="1"/>
  <c r="H635" i="12"/>
  <c r="I635" i="12" s="1"/>
  <c r="J635" i="12" s="1"/>
  <c r="M635" i="12" s="1"/>
  <c r="H563" i="12"/>
  <c r="I563" i="12" s="1"/>
  <c r="J563" i="12" s="1"/>
  <c r="M563" i="12" s="1"/>
  <c r="H613" i="12"/>
  <c r="I613" i="12" s="1"/>
  <c r="J613" i="12" s="1"/>
  <c r="M613" i="12" s="1"/>
  <c r="H517" i="12"/>
  <c r="I517" i="12" s="1"/>
  <c r="J517" i="12" s="1"/>
  <c r="M517" i="12" s="1"/>
  <c r="H679" i="12"/>
  <c r="I679" i="12" s="1"/>
  <c r="J679" i="12" s="1"/>
  <c r="M679" i="12" s="1"/>
  <c r="H556" i="12"/>
  <c r="I556" i="12" s="1"/>
  <c r="J556" i="12" s="1"/>
  <c r="M556" i="12" s="1"/>
  <c r="H672" i="12"/>
  <c r="I672" i="12" s="1"/>
  <c r="J672" i="12" s="1"/>
  <c r="M672" i="12" s="1"/>
  <c r="H26" i="12"/>
  <c r="I26" i="12" s="1"/>
  <c r="J26" i="12" s="1"/>
  <c r="M26" i="12" s="1"/>
  <c r="H309" i="12"/>
  <c r="I309" i="12" s="1"/>
  <c r="J309" i="12" s="1"/>
  <c r="M309" i="12" s="1"/>
  <c r="H436" i="12"/>
  <c r="I436" i="12" s="1"/>
  <c r="J436" i="12" s="1"/>
  <c r="M436" i="12" s="1"/>
  <c r="H428" i="12"/>
  <c r="I428" i="12" s="1"/>
  <c r="J428" i="12" s="1"/>
  <c r="M428" i="12" s="1"/>
  <c r="H513" i="12"/>
  <c r="I513" i="12" s="1"/>
  <c r="J513" i="12" s="1"/>
  <c r="M513" i="12" s="1"/>
  <c r="H334" i="12"/>
  <c r="I334" i="12" s="1"/>
  <c r="J334" i="12" s="1"/>
  <c r="M334" i="12" s="1"/>
  <c r="H442" i="12"/>
  <c r="I442" i="12" s="1"/>
  <c r="J442" i="12" s="1"/>
  <c r="M442" i="12" s="1"/>
  <c r="H426" i="12"/>
  <c r="I426" i="12" s="1"/>
  <c r="J426" i="12" s="1"/>
  <c r="M426" i="12" s="1"/>
  <c r="H280" i="12"/>
  <c r="I280" i="12" s="1"/>
  <c r="J280" i="12" s="1"/>
  <c r="M280" i="12" s="1"/>
  <c r="H176" i="12"/>
  <c r="I176" i="12" s="1"/>
  <c r="J176" i="12" s="1"/>
  <c r="M176" i="12" s="1"/>
  <c r="H180" i="12"/>
  <c r="I180" i="12" s="1"/>
  <c r="J180" i="12" s="1"/>
  <c r="M180" i="12" s="1"/>
  <c r="H606" i="12"/>
  <c r="I606" i="12" s="1"/>
  <c r="J606" i="12" s="1"/>
  <c r="M606" i="12" s="1"/>
  <c r="H139" i="12"/>
  <c r="I139" i="12" s="1"/>
  <c r="J139" i="12" s="1"/>
  <c r="M139" i="12" s="1"/>
  <c r="H535" i="12"/>
  <c r="I535" i="12" s="1"/>
  <c r="J535" i="12" s="1"/>
  <c r="M535" i="12" s="1"/>
  <c r="H690" i="12"/>
  <c r="I690" i="12" s="1"/>
  <c r="J690" i="12" s="1"/>
  <c r="M690" i="12" s="1"/>
  <c r="H552" i="12"/>
  <c r="I552" i="12" s="1"/>
  <c r="J552" i="12" s="1"/>
  <c r="M552" i="12" s="1"/>
  <c r="H355" i="12"/>
  <c r="I355" i="12" s="1"/>
  <c r="J355" i="12" s="1"/>
  <c r="M355" i="12" s="1"/>
  <c r="H508" i="12"/>
  <c r="I508" i="12" s="1"/>
  <c r="J508" i="12" s="1"/>
  <c r="M508" i="12" s="1"/>
  <c r="H652" i="12"/>
  <c r="I652" i="12" s="1"/>
  <c r="J652" i="12" s="1"/>
  <c r="M652" i="12" s="1"/>
  <c r="H554" i="12"/>
  <c r="I554" i="12" s="1"/>
  <c r="J554" i="12" s="1"/>
  <c r="M554" i="12" s="1"/>
  <c r="H463" i="12"/>
  <c r="I463" i="12" s="1"/>
  <c r="J463" i="12" s="1"/>
  <c r="M463" i="12" s="1"/>
  <c r="H33" i="12"/>
  <c r="I33" i="12" s="1"/>
  <c r="J33" i="12" s="1"/>
  <c r="M33" i="12" s="1"/>
  <c r="H22" i="12"/>
  <c r="I22" i="12" s="1"/>
  <c r="J22" i="12" s="1"/>
  <c r="M22" i="12" s="1"/>
  <c r="H655" i="12"/>
  <c r="I655" i="12" s="1"/>
  <c r="J655" i="12" s="1"/>
  <c r="M655" i="12" s="1"/>
  <c r="H151" i="12"/>
  <c r="I151" i="12" s="1"/>
  <c r="J151" i="12" s="1"/>
  <c r="M151" i="12" s="1"/>
  <c r="H313" i="12"/>
  <c r="I313" i="12" s="1"/>
  <c r="J313" i="12" s="1"/>
  <c r="M313" i="12" s="1"/>
  <c r="H573" i="12"/>
  <c r="I573" i="12" s="1"/>
  <c r="J573" i="12" s="1"/>
  <c r="M573" i="12" s="1"/>
  <c r="H89" i="12"/>
  <c r="I89" i="12" s="1"/>
  <c r="J89" i="12" s="1"/>
  <c r="M89" i="12" s="1"/>
  <c r="H284" i="12"/>
  <c r="I284" i="12" s="1"/>
  <c r="J284" i="12" s="1"/>
  <c r="M284" i="12" s="1"/>
  <c r="H297" i="12"/>
  <c r="I297" i="12" s="1"/>
  <c r="J297" i="12" s="1"/>
  <c r="M297" i="12" s="1"/>
  <c r="H561" i="12"/>
  <c r="I561" i="12" s="1"/>
  <c r="J561" i="12" s="1"/>
  <c r="M561" i="12" s="1"/>
  <c r="H520" i="12"/>
  <c r="I520" i="12" s="1"/>
  <c r="J520" i="12" s="1"/>
  <c r="M520" i="12" s="1"/>
  <c r="H589" i="12"/>
  <c r="I589" i="12" s="1"/>
  <c r="J589" i="12" s="1"/>
  <c r="M589" i="12" s="1"/>
  <c r="H134" i="12"/>
  <c r="I134" i="12" s="1"/>
  <c r="J134" i="12" s="1"/>
  <c r="M134" i="12" s="1"/>
  <c r="H395" i="12"/>
  <c r="I395" i="12" s="1"/>
  <c r="J395" i="12" s="1"/>
  <c r="M395" i="12" s="1"/>
  <c r="H501" i="12"/>
  <c r="I501" i="12" s="1"/>
  <c r="J501" i="12" s="1"/>
  <c r="M501" i="12" s="1"/>
  <c r="H598" i="12"/>
  <c r="I598" i="12" s="1"/>
  <c r="J598" i="12" s="1"/>
  <c r="M598" i="12" s="1"/>
  <c r="H542" i="12"/>
  <c r="I542" i="12" s="1"/>
  <c r="J542" i="12" s="1"/>
  <c r="M542" i="12" s="1"/>
  <c r="H160" i="12"/>
  <c r="I160" i="12" s="1"/>
  <c r="J160" i="12" s="1"/>
  <c r="M160" i="12" s="1"/>
  <c r="H383" i="12"/>
  <c r="I383" i="12" s="1"/>
  <c r="J383" i="12" s="1"/>
  <c r="M383" i="12" s="1"/>
  <c r="H389" i="12"/>
  <c r="I389" i="12" s="1"/>
  <c r="J389" i="12" s="1"/>
  <c r="M389" i="12" s="1"/>
  <c r="H104" i="12"/>
  <c r="I104" i="12" s="1"/>
  <c r="J104" i="12" s="1"/>
  <c r="M104" i="12" s="1"/>
  <c r="H503" i="12"/>
  <c r="I503" i="12" s="1"/>
  <c r="J503" i="12" s="1"/>
  <c r="M503" i="12" s="1"/>
  <c r="H515" i="12"/>
  <c r="I515" i="12" s="1"/>
  <c r="J515" i="12" s="1"/>
  <c r="M515" i="12" s="1"/>
  <c r="H666" i="12"/>
  <c r="I666" i="12" s="1"/>
  <c r="J666" i="12" s="1"/>
  <c r="M666" i="12" s="1"/>
  <c r="H601" i="12"/>
  <c r="I601" i="12" s="1"/>
  <c r="J601" i="12" s="1"/>
  <c r="M601" i="12" s="1"/>
  <c r="H479" i="12"/>
  <c r="I479" i="12" s="1"/>
  <c r="J479" i="12" s="1"/>
  <c r="M479" i="12" s="1"/>
  <c r="H557" i="12"/>
  <c r="I557" i="12" s="1"/>
  <c r="J557" i="12" s="1"/>
  <c r="M557" i="12" s="1"/>
  <c r="H93" i="12"/>
  <c r="I93" i="12" s="1"/>
  <c r="J93" i="12" s="1"/>
  <c r="M93" i="12" s="1"/>
  <c r="H468" i="12"/>
  <c r="I468" i="12" s="1"/>
  <c r="J468" i="12" s="1"/>
  <c r="M468" i="12" s="1"/>
  <c r="H252" i="12"/>
  <c r="I252" i="12" s="1"/>
  <c r="J252" i="12" s="1"/>
  <c r="M252" i="12" s="1"/>
  <c r="H183" i="12"/>
  <c r="I183" i="12" s="1"/>
  <c r="J183" i="12" s="1"/>
  <c r="M183" i="12" s="1"/>
  <c r="H619" i="12"/>
  <c r="I619" i="12" s="1"/>
  <c r="J619" i="12" s="1"/>
  <c r="M619" i="12" s="1"/>
  <c r="H254" i="12"/>
  <c r="I254" i="12" s="1"/>
  <c r="J254" i="12" s="1"/>
  <c r="M254" i="12" s="1"/>
  <c r="H214" i="12"/>
  <c r="I214" i="12" s="1"/>
  <c r="J214" i="12" s="1"/>
  <c r="M214" i="12" s="1"/>
  <c r="H551" i="12"/>
  <c r="I551" i="12" s="1"/>
  <c r="J551" i="12" s="1"/>
  <c r="M551" i="12" s="1"/>
  <c r="H611" i="12"/>
  <c r="I611" i="12" s="1"/>
  <c r="J611" i="12" s="1"/>
  <c r="M611" i="12" s="1"/>
  <c r="H511" i="12"/>
  <c r="I511" i="12" s="1"/>
  <c r="J511" i="12" s="1"/>
  <c r="M511" i="12" s="1"/>
  <c r="H641" i="12"/>
  <c r="I641" i="12" s="1"/>
  <c r="J641" i="12" s="1"/>
  <c r="M641" i="12" s="1"/>
  <c r="H480" i="12"/>
  <c r="I480" i="12" s="1"/>
  <c r="J480" i="12" s="1"/>
  <c r="M480" i="12" s="1"/>
  <c r="H367" i="12"/>
  <c r="I367" i="12" s="1"/>
  <c r="J367" i="12" s="1"/>
  <c r="M367" i="12" s="1"/>
  <c r="H378" i="12"/>
  <c r="I378" i="12" s="1"/>
  <c r="J378" i="12" s="1"/>
  <c r="M378" i="12" s="1"/>
  <c r="H210" i="12"/>
  <c r="I210" i="12" s="1"/>
  <c r="J210" i="12" s="1"/>
  <c r="M210" i="12" s="1"/>
  <c r="H572" i="12"/>
  <c r="I572" i="12" s="1"/>
  <c r="J572" i="12" s="1"/>
  <c r="M572" i="12" s="1"/>
  <c r="H555" i="12"/>
  <c r="I555" i="12" s="1"/>
  <c r="J555" i="12" s="1"/>
  <c r="M555" i="12" s="1"/>
  <c r="H129" i="12"/>
  <c r="I129" i="12" s="1"/>
  <c r="J129" i="12" s="1"/>
  <c r="M129" i="12" s="1"/>
  <c r="H449" i="12"/>
  <c r="I449" i="12" s="1"/>
  <c r="J449" i="12" s="1"/>
  <c r="M449" i="12" s="1"/>
  <c r="H204" i="12"/>
  <c r="I204" i="12" s="1"/>
  <c r="J204" i="12" s="1"/>
  <c r="M204" i="12" s="1"/>
  <c r="H195" i="12"/>
  <c r="I195" i="12" s="1"/>
  <c r="J195" i="12" s="1"/>
  <c r="M195" i="12" s="1"/>
  <c r="H232" i="12"/>
  <c r="I232" i="12" s="1"/>
  <c r="J232" i="12" s="1"/>
  <c r="M232" i="12" s="1"/>
  <c r="H249" i="12"/>
  <c r="I249" i="12" s="1"/>
  <c r="J249" i="12" s="1"/>
  <c r="M249" i="12" s="1"/>
  <c r="H594" i="12"/>
  <c r="I594" i="12" s="1"/>
  <c r="J594" i="12" s="1"/>
  <c r="M594" i="12" s="1"/>
  <c r="H649" i="12"/>
  <c r="I649" i="12" s="1"/>
  <c r="J649" i="12" s="1"/>
  <c r="M649" i="12" s="1"/>
  <c r="H534" i="12"/>
  <c r="I534" i="12" s="1"/>
  <c r="J534" i="12" s="1"/>
  <c r="M534" i="12" s="1"/>
  <c r="H577" i="12"/>
  <c r="I577" i="12" s="1"/>
  <c r="J577" i="12" s="1"/>
  <c r="M577" i="12" s="1"/>
  <c r="H118" i="12"/>
  <c r="I118" i="12" s="1"/>
  <c r="J118" i="12" s="1"/>
  <c r="M118" i="12" s="1"/>
  <c r="H398" i="12"/>
  <c r="I398" i="12" s="1"/>
  <c r="J398" i="12" s="1"/>
  <c r="M398" i="12" s="1"/>
  <c r="H568" i="12"/>
  <c r="I568" i="12" s="1"/>
  <c r="J568" i="12" s="1"/>
  <c r="M568" i="12" s="1"/>
  <c r="H499" i="12"/>
  <c r="I499" i="12" s="1"/>
  <c r="J499" i="12" s="1"/>
  <c r="M499" i="12" s="1"/>
  <c r="H490" i="12"/>
  <c r="I490" i="12" s="1"/>
  <c r="J490" i="12" s="1"/>
  <c r="M490" i="12" s="1"/>
  <c r="H645" i="12"/>
  <c r="I645" i="12" s="1"/>
  <c r="J645" i="12" s="1"/>
  <c r="M645" i="12" s="1"/>
  <c r="H591" i="12"/>
  <c r="I591" i="12" s="1"/>
  <c r="J591" i="12" s="1"/>
  <c r="M591" i="12" s="1"/>
  <c r="H605" i="12"/>
  <c r="I605" i="12" s="1"/>
  <c r="J605" i="12" s="1"/>
  <c r="M605" i="12" s="1"/>
  <c r="H564" i="12"/>
  <c r="I564" i="12" s="1"/>
  <c r="J564" i="12" s="1"/>
  <c r="M564" i="12" s="1"/>
  <c r="H94" i="12"/>
  <c r="I94" i="12" s="1"/>
  <c r="J94" i="12" s="1"/>
  <c r="M94" i="12" s="1"/>
  <c r="H27" i="12"/>
  <c r="I27" i="12" s="1"/>
  <c r="J27" i="12" s="1"/>
  <c r="M27" i="12" s="1"/>
  <c r="H319" i="12"/>
  <c r="I319" i="12" s="1"/>
  <c r="J319" i="12" s="1"/>
  <c r="M319" i="12" s="1"/>
  <c r="H314" i="12"/>
  <c r="I314" i="12" s="1"/>
  <c r="J314" i="12" s="1"/>
  <c r="M314" i="12" s="1"/>
  <c r="H414" i="12"/>
  <c r="I414" i="12" s="1"/>
  <c r="J414" i="12" s="1"/>
  <c r="M414" i="12" s="1"/>
  <c r="H504" i="12"/>
  <c r="I504" i="12" s="1"/>
  <c r="J504" i="12" s="1"/>
  <c r="M504" i="12" s="1"/>
  <c r="H347" i="12"/>
  <c r="I347" i="12" s="1"/>
  <c r="J347" i="12" s="1"/>
  <c r="M347" i="12" s="1"/>
  <c r="H452" i="12"/>
  <c r="I452" i="12" s="1"/>
  <c r="J452" i="12" s="1"/>
  <c r="M452" i="12" s="1"/>
  <c r="H276" i="12"/>
  <c r="I276" i="12" s="1"/>
  <c r="J276" i="12" s="1"/>
  <c r="M276" i="12" s="1"/>
  <c r="H230" i="12"/>
  <c r="I230" i="12" s="1"/>
  <c r="J230" i="12" s="1"/>
  <c r="M230" i="12" s="1"/>
  <c r="H187" i="12"/>
  <c r="I187" i="12" s="1"/>
  <c r="J187" i="12" s="1"/>
  <c r="M187" i="12" s="1"/>
  <c r="H202" i="12"/>
  <c r="I202" i="12" s="1"/>
  <c r="J202" i="12" s="1"/>
  <c r="M202" i="12" s="1"/>
  <c r="H267" i="12"/>
  <c r="I267" i="12" s="1"/>
  <c r="J267" i="12" s="1"/>
  <c r="M267" i="12" s="1"/>
  <c r="H231" i="12"/>
  <c r="I231" i="12" s="1"/>
  <c r="J231" i="12" s="1"/>
  <c r="M231" i="12" s="1"/>
  <c r="H167" i="12"/>
  <c r="I167" i="12" s="1"/>
  <c r="J167" i="12" s="1"/>
  <c r="M167" i="12" s="1"/>
  <c r="H566" i="12"/>
  <c r="I566" i="12" s="1"/>
  <c r="J566" i="12" s="1"/>
  <c r="M566" i="12" s="1"/>
  <c r="H131" i="12"/>
  <c r="I131" i="12" s="1"/>
  <c r="J131" i="12" s="1"/>
  <c r="M131" i="12" s="1"/>
  <c r="H550" i="12"/>
  <c r="I550" i="12" s="1"/>
  <c r="J550" i="12" s="1"/>
  <c r="M550" i="12" s="1"/>
  <c r="H114" i="12"/>
  <c r="I114" i="12" s="1"/>
  <c r="J114" i="12" s="1"/>
  <c r="M114" i="12" s="1"/>
  <c r="H152" i="12"/>
  <c r="I152" i="12" s="1"/>
  <c r="J152" i="12" s="1"/>
  <c r="M152" i="12" s="1"/>
  <c r="H24" i="12"/>
  <c r="I24" i="12" s="1"/>
  <c r="J24" i="12" s="1"/>
  <c r="M24" i="12" s="1"/>
  <c r="H79" i="12"/>
  <c r="I79" i="12" s="1"/>
  <c r="J79" i="12" s="1"/>
  <c r="M79" i="12" s="1"/>
  <c r="H305" i="12"/>
  <c r="I305" i="12" s="1"/>
  <c r="J305" i="12" s="1"/>
  <c r="M305" i="12" s="1"/>
  <c r="H380" i="12"/>
  <c r="I380" i="12" s="1"/>
  <c r="J380" i="12" s="1"/>
  <c r="M380" i="12" s="1"/>
  <c r="H264" i="12"/>
  <c r="I264" i="12" s="1"/>
  <c r="J264" i="12" s="1"/>
  <c r="M264" i="12" s="1"/>
  <c r="H236" i="12"/>
  <c r="I236" i="12" s="1"/>
  <c r="J236" i="12" s="1"/>
  <c r="M236" i="12" s="1"/>
  <c r="H275" i="12"/>
  <c r="I275" i="12" s="1"/>
  <c r="J275" i="12" s="1"/>
  <c r="M275" i="12" s="1"/>
  <c r="H208" i="12"/>
  <c r="I208" i="12" s="1"/>
  <c r="J208" i="12" s="1"/>
  <c r="M208" i="12" s="1"/>
  <c r="H575" i="12"/>
  <c r="I575" i="12" s="1"/>
  <c r="J575" i="12" s="1"/>
  <c r="M575" i="12" s="1"/>
  <c r="H120" i="12"/>
  <c r="I120" i="12" s="1"/>
  <c r="J120" i="12" s="1"/>
  <c r="M120" i="12" s="1"/>
  <c r="H112" i="12"/>
  <c r="I112" i="12" s="1"/>
  <c r="J112" i="12" s="1"/>
  <c r="M112" i="12" s="1"/>
  <c r="H669" i="12"/>
  <c r="I669" i="12" s="1"/>
  <c r="J669" i="12" s="1"/>
  <c r="M669" i="12" s="1"/>
  <c r="H438" i="12"/>
  <c r="I438" i="12" s="1"/>
  <c r="J438" i="12" s="1"/>
  <c r="M438" i="12" s="1"/>
  <c r="H253" i="12"/>
  <c r="I253" i="12" s="1"/>
  <c r="J253" i="12" s="1"/>
  <c r="M253" i="12" s="1"/>
  <c r="H165" i="12"/>
  <c r="I165" i="12" s="1"/>
  <c r="J165" i="12" s="1"/>
  <c r="M165" i="12" s="1"/>
  <c r="H399" i="12"/>
  <c r="I399" i="12" s="1"/>
  <c r="J399" i="12" s="1"/>
  <c r="M399" i="12" s="1"/>
  <c r="H496" i="12"/>
  <c r="I496" i="12" s="1"/>
  <c r="J496" i="12" s="1"/>
  <c r="M496" i="12" s="1"/>
  <c r="H667" i="12"/>
  <c r="I667" i="12" s="1"/>
  <c r="J667" i="12" s="1"/>
  <c r="M667" i="12" s="1"/>
  <c r="H599" i="12"/>
  <c r="I599" i="12" s="1"/>
  <c r="J599" i="12" s="1"/>
  <c r="M599" i="12" s="1"/>
  <c r="H567" i="12"/>
  <c r="I567" i="12" s="1"/>
  <c r="J567" i="12" s="1"/>
  <c r="M567" i="12" s="1"/>
  <c r="H100" i="12"/>
  <c r="I100" i="12" s="1"/>
  <c r="J100" i="12" s="1"/>
  <c r="M100" i="12" s="1"/>
  <c r="H677" i="12"/>
  <c r="I677" i="12" s="1"/>
  <c r="J677" i="12" s="1"/>
  <c r="M677" i="12" s="1"/>
  <c r="H28" i="12"/>
  <c r="I28" i="12" s="1"/>
  <c r="J28" i="12" s="1"/>
  <c r="M28" i="12" s="1"/>
  <c r="G166" i="5"/>
  <c r="G168" i="5"/>
  <c r="F96" i="5"/>
  <c r="H96" i="5" s="1"/>
  <c r="I445" i="12"/>
  <c r="I247" i="12"/>
  <c r="I469" i="12"/>
  <c r="I455" i="12"/>
  <c r="J455" i="12" s="1"/>
  <c r="M455" i="12" s="1"/>
  <c r="L20" i="9"/>
  <c r="G20" i="44"/>
  <c r="P20" i="44" s="1"/>
  <c r="G12" i="44"/>
  <c r="P12" i="44" s="1"/>
  <c r="F253" i="5"/>
  <c r="H253" i="5" s="1"/>
  <c r="I253" i="5" s="1"/>
  <c r="J253" i="5" s="1"/>
  <c r="L253" i="5" s="1"/>
  <c r="I376" i="12"/>
  <c r="I228" i="12"/>
  <c r="I233" i="12"/>
  <c r="I243" i="12"/>
  <c r="I266" i="12"/>
  <c r="J266" i="12" s="1"/>
  <c r="M266" i="12" s="1"/>
  <c r="I137" i="12"/>
  <c r="J137" i="12" s="1"/>
  <c r="M137" i="12" s="1"/>
  <c r="I678" i="12"/>
  <c r="J678" i="12" s="1"/>
  <c r="M678" i="12" s="1"/>
  <c r="I13" i="12"/>
  <c r="J13" i="12" s="1"/>
  <c r="M13" i="12" s="1"/>
  <c r="I85" i="12"/>
  <c r="J85" i="12" s="1"/>
  <c r="M85" i="12" s="1"/>
  <c r="I668" i="12"/>
  <c r="I335" i="12"/>
  <c r="I581" i="12"/>
  <c r="M821" i="33"/>
  <c r="P821" i="33" s="1"/>
  <c r="L821" i="33"/>
  <c r="D166" i="5"/>
  <c r="E166" i="5" s="1"/>
  <c r="F166" i="5"/>
  <c r="H166" i="5" s="1"/>
  <c r="I113" i="12"/>
  <c r="J113" i="12" s="1"/>
  <c r="M113" i="12" s="1"/>
  <c r="I600" i="12"/>
  <c r="I471" i="12"/>
  <c r="I78" i="12"/>
  <c r="I294" i="12"/>
  <c r="I193" i="12"/>
  <c r="J193" i="12" s="1"/>
  <c r="M193" i="12" s="1"/>
  <c r="I633" i="12"/>
  <c r="J633" i="12" s="1"/>
  <c r="M633" i="12" s="1"/>
  <c r="I538" i="12"/>
  <c r="J538" i="12" s="1"/>
  <c r="M538" i="12" s="1"/>
  <c r="I66" i="12"/>
  <c r="J66" i="12" s="1"/>
  <c r="M66" i="12" s="1"/>
  <c r="I506" i="12"/>
  <c r="L17" i="9"/>
  <c r="I420" i="12"/>
  <c r="I288" i="12"/>
  <c r="J288" i="12" s="1"/>
  <c r="M288" i="12" s="1"/>
  <c r="I274" i="12"/>
  <c r="J274" i="12" s="1"/>
  <c r="M274" i="12" s="1"/>
  <c r="I246" i="12"/>
  <c r="J246" i="12" s="1"/>
  <c r="M246" i="12" s="1"/>
  <c r="I14" i="12"/>
  <c r="J14" i="12" s="1"/>
  <c r="M14" i="12" s="1"/>
  <c r="I489" i="12"/>
  <c r="J489" i="12" s="1"/>
  <c r="M489" i="12" s="1"/>
  <c r="I108" i="12"/>
  <c r="I325" i="12"/>
  <c r="I634" i="12"/>
  <c r="I646" i="12"/>
  <c r="J646" i="12" s="1"/>
  <c r="M646" i="12" s="1"/>
  <c r="I23" i="12"/>
  <c r="J23" i="12" s="1"/>
  <c r="M23" i="12" s="1"/>
  <c r="I18" i="12"/>
  <c r="J18" i="12" s="1"/>
  <c r="M18" i="12" s="1"/>
  <c r="I446" i="12"/>
  <c r="J446" i="12" s="1"/>
  <c r="M446" i="12" s="1"/>
  <c r="I162" i="12"/>
  <c r="J162" i="12" s="1"/>
  <c r="M162" i="12" s="1"/>
  <c r="I238" i="12"/>
  <c r="I206" i="12"/>
  <c r="I586" i="12"/>
  <c r="I365" i="12"/>
  <c r="J365" i="12" s="1"/>
  <c r="M365" i="12" s="1"/>
  <c r="I88" i="12"/>
  <c r="J88" i="12" s="1"/>
  <c r="M88" i="12" s="1"/>
  <c r="I369" i="12"/>
  <c r="J369" i="12" s="1"/>
  <c r="M369" i="12" s="1"/>
  <c r="I242" i="12"/>
  <c r="J242" i="12" s="1"/>
  <c r="M242" i="12" s="1"/>
  <c r="I268" i="12"/>
  <c r="I543" i="12"/>
  <c r="I345" i="12"/>
  <c r="I474" i="12"/>
  <c r="I164" i="12"/>
  <c r="J164" i="12" s="1"/>
  <c r="M164" i="12" s="1"/>
  <c r="I96" i="12"/>
  <c r="J96" i="12" s="1"/>
  <c r="M96" i="12" s="1"/>
  <c r="I25" i="12"/>
  <c r="J25" i="12" s="1"/>
  <c r="M25" i="12" s="1"/>
  <c r="I324" i="12"/>
  <c r="J324" i="12" s="1"/>
  <c r="M324" i="12" s="1"/>
  <c r="I351" i="12"/>
  <c r="J351" i="12" s="1"/>
  <c r="M351" i="12" s="1"/>
  <c r="I227" i="12"/>
  <c r="J227" i="12" s="1"/>
  <c r="M227" i="12" s="1"/>
  <c r="I676" i="12"/>
  <c r="J676" i="12" s="1"/>
  <c r="M676" i="12" s="1"/>
  <c r="I115" i="12"/>
  <c r="J115" i="12" s="1"/>
  <c r="M115" i="12" s="1"/>
  <c r="I292" i="12"/>
  <c r="J292" i="12" s="1"/>
  <c r="M292" i="12" s="1"/>
  <c r="I19" i="12"/>
  <c r="J19" i="12" s="1"/>
  <c r="M19" i="12" s="1"/>
  <c r="G344" i="5"/>
  <c r="G118" i="5"/>
  <c r="L22" i="9"/>
  <c r="L18" i="9"/>
  <c r="L23" i="9"/>
  <c r="C3" i="14"/>
  <c r="L3" i="14" s="1"/>
  <c r="L16" i="9"/>
  <c r="L484" i="9"/>
  <c r="I662" i="8"/>
  <c r="J662" i="8"/>
  <c r="F662" i="8"/>
  <c r="G662" i="8" s="1"/>
  <c r="I630" i="8"/>
  <c r="J630" i="8"/>
  <c r="F630" i="8"/>
  <c r="G630" i="8" s="1"/>
  <c r="I207" i="8"/>
  <c r="J207" i="8"/>
  <c r="F207" i="8"/>
  <c r="G207" i="8" s="1"/>
  <c r="I301" i="8"/>
  <c r="J301" i="8"/>
  <c r="F301" i="8"/>
  <c r="G301" i="8" s="1"/>
  <c r="I190" i="8"/>
  <c r="J190" i="8"/>
  <c r="F190" i="8"/>
  <c r="G190" i="8" s="1"/>
  <c r="I268" i="8"/>
  <c r="J268" i="8"/>
  <c r="F268" i="8"/>
  <c r="G268" i="8" s="1"/>
  <c r="I439" i="8"/>
  <c r="J439" i="8"/>
  <c r="F439" i="8"/>
  <c r="G439" i="8" s="1"/>
  <c r="I410" i="8"/>
  <c r="J410" i="8"/>
  <c r="F410" i="8"/>
  <c r="G410" i="8" s="1"/>
  <c r="I375" i="8"/>
  <c r="J375" i="8"/>
  <c r="F375" i="8"/>
  <c r="G375" i="8" s="1"/>
  <c r="H375" i="8" s="1"/>
  <c r="I472" i="8"/>
  <c r="J472" i="8"/>
  <c r="F472" i="8"/>
  <c r="G472" i="8" s="1"/>
  <c r="I485" i="8"/>
  <c r="J485" i="8"/>
  <c r="F485" i="8"/>
  <c r="G485" i="8" s="1"/>
  <c r="I112" i="8"/>
  <c r="J112" i="8"/>
  <c r="F112" i="8"/>
  <c r="G112" i="8" s="1"/>
  <c r="H112" i="8" s="1"/>
  <c r="I538" i="8"/>
  <c r="J538" i="8"/>
  <c r="F538" i="8"/>
  <c r="G538" i="8" s="1"/>
  <c r="I506" i="8"/>
  <c r="J506" i="8"/>
  <c r="F506" i="8"/>
  <c r="G506" i="8" s="1"/>
  <c r="H506" i="8" s="1"/>
  <c r="I236" i="8"/>
  <c r="J236" i="8"/>
  <c r="F236" i="8"/>
  <c r="G236" i="8" s="1"/>
  <c r="I655" i="8"/>
  <c r="J655" i="8"/>
  <c r="F655" i="8"/>
  <c r="G655" i="8" s="1"/>
  <c r="I623" i="8"/>
  <c r="J623" i="8"/>
  <c r="F623" i="8"/>
  <c r="G623" i="8" s="1"/>
  <c r="H623" i="8" s="1"/>
  <c r="I203" i="8"/>
  <c r="J203" i="8"/>
  <c r="F203" i="8"/>
  <c r="G203" i="8" s="1"/>
  <c r="I299" i="8"/>
  <c r="J299" i="8"/>
  <c r="F299" i="8"/>
  <c r="G299" i="8" s="1"/>
  <c r="I187" i="8"/>
  <c r="J187" i="8"/>
  <c r="F187" i="8"/>
  <c r="G187" i="8" s="1"/>
  <c r="H187" i="8" s="1"/>
  <c r="I467" i="8"/>
  <c r="J467" i="8"/>
  <c r="F467" i="8"/>
  <c r="G467" i="8" s="1"/>
  <c r="I436" i="8"/>
  <c r="J436" i="8"/>
  <c r="F436" i="8"/>
  <c r="G436" i="8" s="1"/>
  <c r="H436" i="8" s="1"/>
  <c r="I407" i="8"/>
  <c r="J407" i="8"/>
  <c r="F407" i="8"/>
  <c r="G407" i="8" s="1"/>
  <c r="I376" i="8"/>
  <c r="J376" i="8"/>
  <c r="F376" i="8"/>
  <c r="G376" i="8" s="1"/>
  <c r="I143" i="8"/>
  <c r="J143" i="8"/>
  <c r="F143" i="8"/>
  <c r="G143" i="8" s="1"/>
  <c r="H143" i="8" s="1"/>
  <c r="I494" i="8"/>
  <c r="J494" i="8"/>
  <c r="F494" i="8"/>
  <c r="G494" i="8" s="1"/>
  <c r="I93" i="8"/>
  <c r="J93" i="8"/>
  <c r="F93" i="8"/>
  <c r="G93" i="8" s="1"/>
  <c r="I551" i="8"/>
  <c r="J551" i="8"/>
  <c r="F551" i="8"/>
  <c r="G551" i="8" s="1"/>
  <c r="H551" i="8" s="1"/>
  <c r="I519" i="8"/>
  <c r="J519" i="8"/>
  <c r="F519" i="8"/>
  <c r="G519" i="8" s="1"/>
  <c r="I249" i="8"/>
  <c r="J249" i="8"/>
  <c r="F249" i="8"/>
  <c r="G249" i="8" s="1"/>
  <c r="I563" i="8"/>
  <c r="J563" i="8"/>
  <c r="F563" i="8"/>
  <c r="G563" i="8" s="1"/>
  <c r="I41" i="8"/>
  <c r="J41" i="8"/>
  <c r="F41" i="8"/>
  <c r="G41" i="8" s="1"/>
  <c r="I152" i="8"/>
  <c r="J152" i="8"/>
  <c r="F152" i="8"/>
  <c r="G152" i="8" s="1"/>
  <c r="H152" i="8" s="1"/>
  <c r="I569" i="8"/>
  <c r="J569" i="8"/>
  <c r="F569" i="8"/>
  <c r="G569" i="8" s="1"/>
  <c r="I605" i="8"/>
  <c r="J605" i="8"/>
  <c r="F605" i="8"/>
  <c r="G605" i="8" s="1"/>
  <c r="I350" i="8"/>
  <c r="J350" i="8"/>
  <c r="F350" i="8"/>
  <c r="G350" i="8" s="1"/>
  <c r="H350" i="8" s="1"/>
  <c r="G441" i="7"/>
  <c r="K441" i="7"/>
  <c r="G491" i="7"/>
  <c r="K491" i="7"/>
  <c r="G425" i="7"/>
  <c r="K425" i="7"/>
  <c r="G191" i="7"/>
  <c r="K191" i="7"/>
  <c r="G460" i="7"/>
  <c r="K460" i="7"/>
  <c r="G136" i="7"/>
  <c r="K136" i="7"/>
  <c r="G37" i="7"/>
  <c r="K37" i="7"/>
  <c r="G251" i="7"/>
  <c r="K251" i="7"/>
  <c r="G56" i="7"/>
  <c r="K56" i="7"/>
  <c r="G445" i="7"/>
  <c r="K445" i="7"/>
  <c r="G30" i="7"/>
  <c r="K30" i="7"/>
  <c r="G149" i="7"/>
  <c r="K149" i="7"/>
  <c r="G315" i="7"/>
  <c r="K315" i="7"/>
  <c r="G555" i="7"/>
  <c r="K555" i="7"/>
  <c r="G72" i="7"/>
  <c r="K72" i="7"/>
  <c r="I648" i="8"/>
  <c r="J648" i="8"/>
  <c r="F648" i="8"/>
  <c r="G648" i="8" s="1"/>
  <c r="I616" i="8"/>
  <c r="J616" i="8"/>
  <c r="F616" i="8"/>
  <c r="G616" i="8" s="1"/>
  <c r="I78" i="8"/>
  <c r="J78" i="8"/>
  <c r="F78" i="8"/>
  <c r="G78" i="8" s="1"/>
  <c r="H78" i="8" s="1"/>
  <c r="I296" i="8"/>
  <c r="J296" i="8"/>
  <c r="F296" i="8"/>
  <c r="G296" i="8" s="1"/>
  <c r="I188" i="8"/>
  <c r="J188" i="8"/>
  <c r="F188" i="8"/>
  <c r="G188" i="8" s="1"/>
  <c r="I468" i="8"/>
  <c r="J468" i="8"/>
  <c r="F468" i="8"/>
  <c r="G468" i="8" s="1"/>
  <c r="H468" i="8" s="1"/>
  <c r="I437" i="8"/>
  <c r="J437" i="8"/>
  <c r="F437" i="8"/>
  <c r="G437" i="8" s="1"/>
  <c r="I400" i="8"/>
  <c r="J400" i="8"/>
  <c r="F400" i="8"/>
  <c r="G400" i="8" s="1"/>
  <c r="H400" i="8" s="1"/>
  <c r="I370" i="8"/>
  <c r="J370" i="8"/>
  <c r="F370" i="8"/>
  <c r="G370" i="8" s="1"/>
  <c r="I470" i="8"/>
  <c r="J470" i="8"/>
  <c r="F470" i="8"/>
  <c r="G470" i="8" s="1"/>
  <c r="I491" i="8"/>
  <c r="J491" i="8"/>
  <c r="F491" i="8"/>
  <c r="G491" i="8" s="1"/>
  <c r="H491" i="8" s="1"/>
  <c r="I120" i="8"/>
  <c r="J120" i="8"/>
  <c r="F120" i="8"/>
  <c r="G120" i="8" s="1"/>
  <c r="I548" i="8"/>
  <c r="J548" i="8"/>
  <c r="F548" i="8"/>
  <c r="G548" i="8" s="1"/>
  <c r="I516" i="8"/>
  <c r="J516" i="8"/>
  <c r="F516" i="8"/>
  <c r="G516" i="8" s="1"/>
  <c r="I246" i="8"/>
  <c r="J246" i="8"/>
  <c r="F246" i="8"/>
  <c r="G246" i="8" s="1"/>
  <c r="I565" i="8"/>
  <c r="J565" i="8"/>
  <c r="F565" i="8"/>
  <c r="G565" i="8" s="1"/>
  <c r="I319" i="8"/>
  <c r="J319" i="8"/>
  <c r="F319" i="8"/>
  <c r="G319" i="8" s="1"/>
  <c r="I156" i="8"/>
  <c r="J156" i="8"/>
  <c r="F156" i="8"/>
  <c r="G156" i="8" s="1"/>
  <c r="I163" i="8"/>
  <c r="J163" i="8"/>
  <c r="F163" i="8"/>
  <c r="G163" i="8" s="1"/>
  <c r="H163" i="8" s="1"/>
  <c r="I607" i="8"/>
  <c r="J607" i="8"/>
  <c r="F607" i="8"/>
  <c r="G607" i="8" s="1"/>
  <c r="I352" i="8"/>
  <c r="J352" i="8"/>
  <c r="F352" i="8"/>
  <c r="G352" i="8" s="1"/>
  <c r="I645" i="8"/>
  <c r="J645" i="8"/>
  <c r="F645" i="8"/>
  <c r="G645" i="8" s="1"/>
  <c r="I221" i="8"/>
  <c r="J221" i="8"/>
  <c r="F221" i="8"/>
  <c r="G221" i="8" s="1"/>
  <c r="I308" i="8"/>
  <c r="J308" i="8"/>
  <c r="F308" i="8"/>
  <c r="G308" i="8" s="1"/>
  <c r="I193" i="8"/>
  <c r="J193" i="8"/>
  <c r="F193" i="8"/>
  <c r="G193" i="8" s="1"/>
  <c r="I271" i="8"/>
  <c r="J271" i="8"/>
  <c r="F271" i="8"/>
  <c r="G271" i="8" s="1"/>
  <c r="I442" i="8"/>
  <c r="J442" i="8"/>
  <c r="F442" i="8"/>
  <c r="G442" i="8" s="1"/>
  <c r="H442" i="8" s="1"/>
  <c r="I409" i="8"/>
  <c r="J409" i="8"/>
  <c r="F409" i="8"/>
  <c r="G409" i="8" s="1"/>
  <c r="I378" i="8"/>
  <c r="J378" i="8"/>
  <c r="F378" i="8"/>
  <c r="G378" i="8" s="1"/>
  <c r="I471" i="8"/>
  <c r="J471" i="8"/>
  <c r="F471" i="8"/>
  <c r="G471" i="8" s="1"/>
  <c r="I484" i="8"/>
  <c r="J484" i="8"/>
  <c r="F484" i="8"/>
  <c r="G484" i="8" s="1"/>
  <c r="I19" i="8"/>
  <c r="J19" i="8"/>
  <c r="F19" i="8"/>
  <c r="I533" i="8"/>
  <c r="J533" i="8"/>
  <c r="F533" i="8"/>
  <c r="G533" i="8" s="1"/>
  <c r="I263" i="8"/>
  <c r="J263" i="8"/>
  <c r="F263" i="8"/>
  <c r="G263" i="8" s="1"/>
  <c r="I231" i="8"/>
  <c r="J231" i="8"/>
  <c r="F231" i="8"/>
  <c r="G231" i="8" s="1"/>
  <c r="H231" i="8" s="1"/>
  <c r="I55" i="8"/>
  <c r="J55" i="8"/>
  <c r="F55" i="8"/>
  <c r="G55" i="8" s="1"/>
  <c r="I28" i="8"/>
  <c r="J28" i="8"/>
  <c r="F28" i="8"/>
  <c r="G28" i="8" s="1"/>
  <c r="I105" i="8"/>
  <c r="J105" i="8"/>
  <c r="F105" i="8"/>
  <c r="G105" i="8" s="1"/>
  <c r="I672" i="8"/>
  <c r="J672" i="8"/>
  <c r="F672" i="8"/>
  <c r="G672" i="8" s="1"/>
  <c r="I588" i="8"/>
  <c r="J588" i="8"/>
  <c r="F588" i="8"/>
  <c r="G588" i="8" s="1"/>
  <c r="H588" i="8" s="1"/>
  <c r="I333" i="8"/>
  <c r="J333" i="8"/>
  <c r="F333" i="8"/>
  <c r="G333" i="8" s="1"/>
  <c r="G261" i="7"/>
  <c r="K261" i="7"/>
  <c r="G459" i="7"/>
  <c r="K459" i="7"/>
  <c r="G551" i="7"/>
  <c r="K551" i="7"/>
  <c r="G545" i="7"/>
  <c r="K545" i="7"/>
  <c r="G674" i="7"/>
  <c r="K674" i="7"/>
  <c r="I123" i="8"/>
  <c r="J123" i="8"/>
  <c r="F123" i="8"/>
  <c r="G123" i="8" s="1"/>
  <c r="I129" i="8"/>
  <c r="J129" i="8"/>
  <c r="F129" i="8"/>
  <c r="G129" i="8" s="1"/>
  <c r="I38" i="8"/>
  <c r="J38" i="8"/>
  <c r="F38" i="8"/>
  <c r="G38" i="8" s="1"/>
  <c r="I157" i="8"/>
  <c r="J157" i="8"/>
  <c r="F157" i="8"/>
  <c r="G157" i="8" s="1"/>
  <c r="H157" i="8" s="1"/>
  <c r="I166" i="8"/>
  <c r="J166" i="8"/>
  <c r="F166" i="8"/>
  <c r="G166" i="8" s="1"/>
  <c r="I610" i="8"/>
  <c r="J610" i="8"/>
  <c r="F610" i="8"/>
  <c r="G610" i="8" s="1"/>
  <c r="I578" i="8"/>
  <c r="J578" i="8"/>
  <c r="F578" i="8"/>
  <c r="G578" i="8" s="1"/>
  <c r="H578" i="8" s="1"/>
  <c r="G12" i="7"/>
  <c r="K12" i="7"/>
  <c r="G181" i="7"/>
  <c r="K181" i="7"/>
  <c r="G299" i="7"/>
  <c r="K299" i="7"/>
  <c r="G417" i="7"/>
  <c r="K417" i="7"/>
  <c r="G223" i="7"/>
  <c r="K223" i="7"/>
  <c r="G259" i="7"/>
  <c r="K259" i="7"/>
  <c r="G217" i="7"/>
  <c r="K217" i="7"/>
  <c r="G585" i="7"/>
  <c r="K585" i="7"/>
  <c r="G658" i="7"/>
  <c r="K658" i="7"/>
  <c r="G391" i="7"/>
  <c r="K391" i="7"/>
  <c r="G495" i="7"/>
  <c r="I495" i="7" s="1"/>
  <c r="J495" i="7" s="1"/>
  <c r="K495" i="7"/>
  <c r="G544" i="7"/>
  <c r="K544" i="7"/>
  <c r="G303" i="7"/>
  <c r="K303" i="7"/>
  <c r="G611" i="7"/>
  <c r="K611" i="7"/>
  <c r="G130" i="7"/>
  <c r="K130" i="7"/>
  <c r="G625" i="7"/>
  <c r="K625" i="7"/>
  <c r="G137" i="7"/>
  <c r="K137" i="7"/>
  <c r="G271" i="7"/>
  <c r="K271" i="7"/>
  <c r="G308" i="7"/>
  <c r="K308" i="7"/>
  <c r="G428" i="7"/>
  <c r="K428" i="7"/>
  <c r="J725" i="12"/>
  <c r="M725" i="12" s="1"/>
  <c r="J767" i="12"/>
  <c r="M767" i="12" s="1"/>
  <c r="J706" i="12"/>
  <c r="M706" i="12" s="1"/>
  <c r="J797" i="12"/>
  <c r="M797" i="12" s="1"/>
  <c r="J814" i="12"/>
  <c r="M814" i="12" s="1"/>
  <c r="J698" i="12"/>
  <c r="M698" i="12" s="1"/>
  <c r="J718" i="12"/>
  <c r="M718" i="12" s="1"/>
  <c r="J762" i="12"/>
  <c r="M762" i="12" s="1"/>
  <c r="J812" i="12"/>
  <c r="M812" i="12" s="1"/>
  <c r="J720" i="12"/>
  <c r="M720" i="12" s="1"/>
  <c r="J806" i="12"/>
  <c r="M806" i="12" s="1"/>
  <c r="J787" i="12"/>
  <c r="M787" i="12" s="1"/>
  <c r="J813" i="12"/>
  <c r="M813" i="12" s="1"/>
  <c r="J817" i="12"/>
  <c r="M817" i="12" s="1"/>
  <c r="J719" i="12"/>
  <c r="M719" i="12" s="1"/>
  <c r="G349" i="7"/>
  <c r="K349" i="7"/>
  <c r="G503" i="7"/>
  <c r="K503" i="7"/>
  <c r="I658" i="8"/>
  <c r="J658" i="8"/>
  <c r="F658" i="8"/>
  <c r="G658" i="8" s="1"/>
  <c r="I626" i="8"/>
  <c r="J626" i="8"/>
  <c r="F626" i="8"/>
  <c r="G626" i="8" s="1"/>
  <c r="H626" i="8" s="1"/>
  <c r="I202" i="8"/>
  <c r="J202" i="8"/>
  <c r="F202" i="8"/>
  <c r="G202" i="8" s="1"/>
  <c r="I298" i="8"/>
  <c r="J298" i="8"/>
  <c r="F298" i="8"/>
  <c r="G298" i="8" s="1"/>
  <c r="I186" i="8"/>
  <c r="J186" i="8"/>
  <c r="F186" i="8"/>
  <c r="G186" i="8" s="1"/>
  <c r="H186" i="8" s="1"/>
  <c r="I466" i="8"/>
  <c r="J466" i="8"/>
  <c r="F466" i="8"/>
  <c r="G466" i="8" s="1"/>
  <c r="I435" i="8"/>
  <c r="J435" i="8"/>
  <c r="F435" i="8"/>
  <c r="G435" i="8" s="1"/>
  <c r="H435" i="8" s="1"/>
  <c r="I406" i="8"/>
  <c r="J406" i="8"/>
  <c r="F406" i="8"/>
  <c r="G406" i="8" s="1"/>
  <c r="I371" i="8"/>
  <c r="J371" i="8"/>
  <c r="F371" i="8"/>
  <c r="G371" i="8" s="1"/>
  <c r="I89" i="8"/>
  <c r="J89" i="8"/>
  <c r="F89" i="8"/>
  <c r="G89" i="8" s="1"/>
  <c r="H89" i="8" s="1"/>
  <c r="I481" i="8"/>
  <c r="J481" i="8"/>
  <c r="F481" i="8"/>
  <c r="G481" i="8" s="1"/>
  <c r="I20" i="8"/>
  <c r="J20" i="8"/>
  <c r="F20" i="8"/>
  <c r="G20" i="8" s="1"/>
  <c r="I534" i="8"/>
  <c r="J534" i="8"/>
  <c r="F534" i="8"/>
  <c r="G534" i="8" s="1"/>
  <c r="I264" i="8"/>
  <c r="J264" i="8"/>
  <c r="F264" i="8"/>
  <c r="G264" i="8" s="1"/>
  <c r="I232" i="8"/>
  <c r="J232" i="8"/>
  <c r="F232" i="8"/>
  <c r="G232" i="8" s="1"/>
  <c r="H232" i="8" s="1"/>
  <c r="I651" i="8"/>
  <c r="J651" i="8"/>
  <c r="F651" i="8"/>
  <c r="G651" i="8" s="1"/>
  <c r="I619" i="8"/>
  <c r="J619" i="8"/>
  <c r="F619" i="8"/>
  <c r="G619" i="8" s="1"/>
  <c r="I52" i="8"/>
  <c r="J52" i="8"/>
  <c r="F52" i="8"/>
  <c r="G52" i="8" s="1"/>
  <c r="H52" i="8" s="1"/>
  <c r="I295" i="8"/>
  <c r="J295" i="8"/>
  <c r="F295" i="8"/>
  <c r="G295" i="8" s="1"/>
  <c r="I183" i="8"/>
  <c r="J183" i="8"/>
  <c r="F183" i="8"/>
  <c r="G183" i="8" s="1"/>
  <c r="I464" i="8"/>
  <c r="J464" i="8"/>
  <c r="F464" i="8"/>
  <c r="G464" i="8" s="1"/>
  <c r="H464" i="8" s="1"/>
  <c r="I433" i="8"/>
  <c r="J433" i="8"/>
  <c r="F433" i="8"/>
  <c r="G433" i="8" s="1"/>
  <c r="I403" i="8"/>
  <c r="J403" i="8"/>
  <c r="F403" i="8"/>
  <c r="G403" i="8" s="1"/>
  <c r="I372" i="8"/>
  <c r="J372" i="8"/>
  <c r="F372" i="8"/>
  <c r="G372" i="8" s="1"/>
  <c r="I139" i="8"/>
  <c r="J139" i="8"/>
  <c r="F139" i="8"/>
  <c r="G139" i="8" s="1"/>
  <c r="I490" i="8"/>
  <c r="J490" i="8"/>
  <c r="F490" i="8"/>
  <c r="G490" i="8" s="1"/>
  <c r="H490" i="8" s="1"/>
  <c r="I119" i="8"/>
  <c r="J119" i="8"/>
  <c r="F119" i="8"/>
  <c r="G119" i="8" s="1"/>
  <c r="I547" i="8"/>
  <c r="J547" i="8"/>
  <c r="F547" i="8"/>
  <c r="G547" i="8" s="1"/>
  <c r="I515" i="8"/>
  <c r="J515" i="8"/>
  <c r="F515" i="8"/>
  <c r="G515" i="8" s="1"/>
  <c r="I245" i="8"/>
  <c r="J245" i="8"/>
  <c r="F245" i="8"/>
  <c r="G245" i="8" s="1"/>
  <c r="I559" i="8"/>
  <c r="J559" i="8"/>
  <c r="F559" i="8"/>
  <c r="G559" i="8" s="1"/>
  <c r="I35" i="8"/>
  <c r="J35" i="8"/>
  <c r="F35" i="8"/>
  <c r="G35" i="8" s="1"/>
  <c r="I110" i="8"/>
  <c r="J110" i="8"/>
  <c r="F110" i="8"/>
  <c r="G110" i="8" s="1"/>
  <c r="I683" i="8"/>
  <c r="J683" i="8"/>
  <c r="F683" i="8"/>
  <c r="G683" i="8" s="1"/>
  <c r="H683" i="8" s="1"/>
  <c r="I601" i="8"/>
  <c r="J601" i="8"/>
  <c r="F601" i="8"/>
  <c r="G601" i="8" s="1"/>
  <c r="I346" i="8"/>
  <c r="J346" i="8"/>
  <c r="F346" i="8"/>
  <c r="G346" i="8" s="1"/>
  <c r="G240" i="7"/>
  <c r="K240" i="7"/>
  <c r="G688" i="7"/>
  <c r="K688" i="7"/>
  <c r="G172" i="7"/>
  <c r="K172" i="7"/>
  <c r="G236" i="7"/>
  <c r="K236" i="7"/>
  <c r="G432" i="7"/>
  <c r="K432" i="7"/>
  <c r="G65" i="7"/>
  <c r="K65" i="7"/>
  <c r="G309" i="7"/>
  <c r="K309" i="7"/>
  <c r="G161" i="7"/>
  <c r="K161" i="7"/>
  <c r="G576" i="7"/>
  <c r="K576" i="7"/>
  <c r="G307" i="7"/>
  <c r="K307" i="7"/>
  <c r="G74" i="7"/>
  <c r="K74" i="7"/>
  <c r="G669" i="7"/>
  <c r="K669" i="7"/>
  <c r="G643" i="7"/>
  <c r="K643" i="7"/>
  <c r="G622" i="7"/>
  <c r="K622" i="7"/>
  <c r="I138" i="8"/>
  <c r="J138" i="8"/>
  <c r="F138" i="8"/>
  <c r="G138" i="8" s="1"/>
  <c r="I644" i="8"/>
  <c r="J644" i="8"/>
  <c r="F644" i="8"/>
  <c r="G644" i="8" s="1"/>
  <c r="H644" i="8" s="1"/>
  <c r="I224" i="8"/>
  <c r="J224" i="8"/>
  <c r="F224" i="8"/>
  <c r="G224" i="8" s="1"/>
  <c r="I49" i="8"/>
  <c r="J49" i="8"/>
  <c r="F49" i="8"/>
  <c r="G49" i="8" s="1"/>
  <c r="I292" i="8"/>
  <c r="J292" i="8"/>
  <c r="F292" i="8"/>
  <c r="G292" i="8" s="1"/>
  <c r="I184" i="8"/>
  <c r="J184" i="8"/>
  <c r="F184" i="8"/>
  <c r="G184" i="8" s="1"/>
  <c r="I465" i="8"/>
  <c r="J465" i="8"/>
  <c r="F465" i="8"/>
  <c r="G465" i="8" s="1"/>
  <c r="I430" i="8"/>
  <c r="J430" i="8"/>
  <c r="F430" i="8"/>
  <c r="G430" i="8" s="1"/>
  <c r="I399" i="8"/>
  <c r="J399" i="8"/>
  <c r="F399" i="8"/>
  <c r="G399" i="8" s="1"/>
  <c r="I366" i="8"/>
  <c r="J366" i="8"/>
  <c r="F366" i="8"/>
  <c r="G366" i="8" s="1"/>
  <c r="H366" i="8" s="1"/>
  <c r="I91" i="8"/>
  <c r="J91" i="8"/>
  <c r="F91" i="8"/>
  <c r="G91" i="8" s="1"/>
  <c r="I487" i="8"/>
  <c r="J487" i="8"/>
  <c r="F487" i="8"/>
  <c r="G487" i="8" s="1"/>
  <c r="I118" i="8"/>
  <c r="J118" i="8"/>
  <c r="F118" i="8"/>
  <c r="G118" i="8" s="1"/>
  <c r="H118" i="8" s="1"/>
  <c r="I544" i="8"/>
  <c r="J544" i="8"/>
  <c r="F544" i="8"/>
  <c r="G544" i="8" s="1"/>
  <c r="I512" i="8"/>
  <c r="J512" i="8"/>
  <c r="F512" i="8"/>
  <c r="G512" i="8" s="1"/>
  <c r="I242" i="8"/>
  <c r="J242" i="8"/>
  <c r="F242" i="8"/>
  <c r="G242" i="8" s="1"/>
  <c r="I561" i="8"/>
  <c r="J561" i="8"/>
  <c r="F561" i="8"/>
  <c r="G561" i="8" s="1"/>
  <c r="I39" i="8"/>
  <c r="J39" i="8"/>
  <c r="F39" i="8"/>
  <c r="G39" i="8" s="1"/>
  <c r="I154" i="8"/>
  <c r="J154" i="8"/>
  <c r="F154" i="8"/>
  <c r="G154" i="8" s="1"/>
  <c r="I571" i="8"/>
  <c r="J571" i="8"/>
  <c r="F571" i="8"/>
  <c r="G571" i="8" s="1"/>
  <c r="I603" i="8"/>
  <c r="J603" i="8"/>
  <c r="F603" i="8"/>
  <c r="G603" i="8" s="1"/>
  <c r="I348" i="8"/>
  <c r="J348" i="8"/>
  <c r="F348" i="8"/>
  <c r="G348" i="8" s="1"/>
  <c r="I135" i="8"/>
  <c r="J135" i="8"/>
  <c r="F135" i="8"/>
  <c r="G135" i="8" s="1"/>
  <c r="I641" i="8"/>
  <c r="J641" i="8"/>
  <c r="F641" i="8"/>
  <c r="G641" i="8" s="1"/>
  <c r="I217" i="8"/>
  <c r="J217" i="8"/>
  <c r="F217" i="8"/>
  <c r="G217" i="8" s="1"/>
  <c r="I304" i="8"/>
  <c r="J304" i="8"/>
  <c r="F304" i="8"/>
  <c r="G304" i="8" s="1"/>
  <c r="I189" i="8"/>
  <c r="J189" i="8"/>
  <c r="F189" i="8"/>
  <c r="G189" i="8" s="1"/>
  <c r="I267" i="8"/>
  <c r="J267" i="8"/>
  <c r="F267" i="8"/>
  <c r="G267" i="8" s="1"/>
  <c r="I438" i="8"/>
  <c r="J438" i="8"/>
  <c r="F438" i="8"/>
  <c r="G438" i="8" s="1"/>
  <c r="H438" i="8" s="1"/>
  <c r="I405" i="8"/>
  <c r="J405" i="8"/>
  <c r="F405" i="8"/>
  <c r="G405" i="8" s="1"/>
  <c r="I374" i="8"/>
  <c r="J374" i="8"/>
  <c r="F374" i="8"/>
  <c r="G374" i="8" s="1"/>
  <c r="H374" i="8" s="1"/>
  <c r="I88" i="8"/>
  <c r="J88" i="8"/>
  <c r="F88" i="8"/>
  <c r="G88" i="8" s="1"/>
  <c r="I480" i="8"/>
  <c r="J480" i="8"/>
  <c r="F480" i="8"/>
  <c r="G480" i="8" s="1"/>
  <c r="I15" i="8"/>
  <c r="J15" i="8"/>
  <c r="I529" i="8"/>
  <c r="J529" i="8"/>
  <c r="F529" i="8"/>
  <c r="G529" i="8" s="1"/>
  <c r="I259" i="8"/>
  <c r="J259" i="8"/>
  <c r="F259" i="8"/>
  <c r="G259" i="8" s="1"/>
  <c r="I227" i="8"/>
  <c r="J227" i="8"/>
  <c r="F227" i="8"/>
  <c r="G227" i="8" s="1"/>
  <c r="H227" i="8" s="1"/>
  <c r="I324" i="8"/>
  <c r="J324" i="8"/>
  <c r="F324" i="8"/>
  <c r="G324" i="8" s="1"/>
  <c r="I24" i="8"/>
  <c r="J24" i="8"/>
  <c r="F24" i="8"/>
  <c r="G24" i="8" s="1"/>
  <c r="I576" i="8"/>
  <c r="J576" i="8"/>
  <c r="F576" i="8"/>
  <c r="G576" i="8" s="1"/>
  <c r="I668" i="8"/>
  <c r="J668" i="8"/>
  <c r="F668" i="8"/>
  <c r="G668" i="8" s="1"/>
  <c r="I584" i="8"/>
  <c r="J584" i="8"/>
  <c r="F584" i="8"/>
  <c r="G584" i="8" s="1"/>
  <c r="G105" i="7"/>
  <c r="K105" i="7"/>
  <c r="G246" i="7"/>
  <c r="K246" i="7"/>
  <c r="G400" i="7"/>
  <c r="K400" i="7"/>
  <c r="G639" i="7"/>
  <c r="K639" i="7"/>
  <c r="G269" i="7"/>
  <c r="K269" i="7"/>
  <c r="G559" i="7"/>
  <c r="K559" i="7"/>
  <c r="I560" i="8"/>
  <c r="J560" i="8"/>
  <c r="F560" i="8"/>
  <c r="G560" i="8" s="1"/>
  <c r="I127" i="8"/>
  <c r="J127" i="8"/>
  <c r="F127" i="8"/>
  <c r="G127" i="8" s="1"/>
  <c r="I36" i="8"/>
  <c r="J36" i="8"/>
  <c r="F36" i="8"/>
  <c r="G36" i="8" s="1"/>
  <c r="I155" i="8"/>
  <c r="J155" i="8"/>
  <c r="F155" i="8"/>
  <c r="G155" i="8" s="1"/>
  <c r="H155" i="8" s="1"/>
  <c r="I162" i="8"/>
  <c r="J162" i="8"/>
  <c r="F162" i="8"/>
  <c r="G162" i="8" s="1"/>
  <c r="I606" i="8"/>
  <c r="J606" i="8"/>
  <c r="F606" i="8"/>
  <c r="G606" i="8" s="1"/>
  <c r="I351" i="8"/>
  <c r="J351" i="8"/>
  <c r="F351" i="8"/>
  <c r="G351" i="8" s="1"/>
  <c r="H351" i="8" s="1"/>
  <c r="G175" i="7"/>
  <c r="K175" i="7"/>
  <c r="G335" i="7"/>
  <c r="K335" i="7"/>
  <c r="G266" i="7"/>
  <c r="K266" i="7"/>
  <c r="G410" i="7"/>
  <c r="K410" i="7"/>
  <c r="G192" i="7"/>
  <c r="K192" i="7"/>
  <c r="G252" i="7"/>
  <c r="K252" i="7"/>
  <c r="G277" i="7"/>
  <c r="K277" i="7"/>
  <c r="G238" i="7"/>
  <c r="K238" i="7"/>
  <c r="G380" i="7"/>
  <c r="K380" i="7"/>
  <c r="G637" i="7"/>
  <c r="K637" i="7"/>
  <c r="G229" i="7"/>
  <c r="K229" i="7"/>
  <c r="G675" i="7"/>
  <c r="K675" i="7"/>
  <c r="G592" i="7"/>
  <c r="K592" i="7"/>
  <c r="G176" i="7"/>
  <c r="K176" i="7"/>
  <c r="G59" i="7"/>
  <c r="K59" i="7"/>
  <c r="G248" i="7"/>
  <c r="K248" i="7"/>
  <c r="G431" i="7"/>
  <c r="K431" i="7"/>
  <c r="G374" i="7"/>
  <c r="K374" i="7"/>
  <c r="G382" i="7"/>
  <c r="K382" i="7"/>
  <c r="G506" i="7"/>
  <c r="K506" i="7"/>
  <c r="I556" i="8"/>
  <c r="J556" i="8"/>
  <c r="F556" i="8"/>
  <c r="G556" i="8" s="1"/>
  <c r="J707" i="12"/>
  <c r="M707" i="12" s="1"/>
  <c r="J766" i="12"/>
  <c r="M766" i="12" s="1"/>
  <c r="J816" i="12"/>
  <c r="M816" i="12" s="1"/>
  <c r="J819" i="12"/>
  <c r="M819" i="12" s="1"/>
  <c r="J693" i="12"/>
  <c r="M693" i="12" s="1"/>
  <c r="J724" i="12"/>
  <c r="M724" i="12" s="1"/>
  <c r="J695" i="12"/>
  <c r="M695" i="12" s="1"/>
  <c r="J810" i="12"/>
  <c r="M810" i="12" s="1"/>
  <c r="J700" i="12"/>
  <c r="M700" i="12" s="1"/>
  <c r="J791" i="12"/>
  <c r="M791" i="12" s="1"/>
  <c r="J770" i="12"/>
  <c r="M770" i="12" s="1"/>
  <c r="J721" i="12"/>
  <c r="M721" i="12" s="1"/>
  <c r="J788" i="12"/>
  <c r="M788" i="12" s="1"/>
  <c r="J685" i="12"/>
  <c r="M685" i="12" s="1"/>
  <c r="G300" i="7"/>
  <c r="K300" i="7"/>
  <c r="G47" i="7"/>
  <c r="K47" i="7"/>
  <c r="G384" i="7"/>
  <c r="K384" i="7"/>
  <c r="G18" i="7"/>
  <c r="K18" i="7"/>
  <c r="G209" i="7"/>
  <c r="K209" i="7"/>
  <c r="I51" i="8"/>
  <c r="J51" i="8"/>
  <c r="F51" i="8"/>
  <c r="G51" i="8" s="1"/>
  <c r="I368" i="8"/>
  <c r="J368" i="8"/>
  <c r="F368" i="8"/>
  <c r="G368" i="8" s="1"/>
  <c r="I260" i="8"/>
  <c r="J260" i="8"/>
  <c r="F260" i="8"/>
  <c r="G260" i="8" s="1"/>
  <c r="H260" i="8" s="1"/>
  <c r="I291" i="8"/>
  <c r="J291" i="8"/>
  <c r="F291" i="8"/>
  <c r="G291" i="8" s="1"/>
  <c r="I92" i="8"/>
  <c r="J92" i="8"/>
  <c r="F92" i="8"/>
  <c r="G92" i="8" s="1"/>
  <c r="I241" i="8"/>
  <c r="J241" i="8"/>
  <c r="F241" i="8"/>
  <c r="G241" i="8" s="1"/>
  <c r="I342" i="8"/>
  <c r="J342" i="8"/>
  <c r="F342" i="8"/>
  <c r="G342" i="8" s="1"/>
  <c r="G55" i="7"/>
  <c r="K55" i="7"/>
  <c r="G235" i="7"/>
  <c r="K235" i="7"/>
  <c r="G543" i="7"/>
  <c r="K543" i="7"/>
  <c r="I134" i="8"/>
  <c r="J134" i="8"/>
  <c r="F134" i="8"/>
  <c r="G134" i="8" s="1"/>
  <c r="I288" i="8"/>
  <c r="J288" i="8"/>
  <c r="F288" i="8"/>
  <c r="G288" i="8" s="1"/>
  <c r="I362" i="8"/>
  <c r="J362" i="8"/>
  <c r="F362" i="8"/>
  <c r="G362" i="8" s="1"/>
  <c r="I540" i="8"/>
  <c r="J540" i="8"/>
  <c r="F540" i="8"/>
  <c r="G540" i="8" s="1"/>
  <c r="I557" i="8"/>
  <c r="J557" i="8"/>
  <c r="F557" i="8"/>
  <c r="G557" i="8" s="1"/>
  <c r="H557" i="8" s="1"/>
  <c r="I31" i="8"/>
  <c r="J31" i="8"/>
  <c r="F31" i="8"/>
  <c r="G31" i="8" s="1"/>
  <c r="I344" i="8"/>
  <c r="J344" i="8"/>
  <c r="F344" i="8"/>
  <c r="G344" i="8" s="1"/>
  <c r="I297" i="8"/>
  <c r="J297" i="8"/>
  <c r="F297" i="8"/>
  <c r="G297" i="8" s="1"/>
  <c r="I434" i="8"/>
  <c r="J434" i="8"/>
  <c r="F434" i="8"/>
  <c r="G434" i="8" s="1"/>
  <c r="I476" i="8"/>
  <c r="J476" i="8"/>
  <c r="F476" i="8"/>
  <c r="G476" i="8" s="1"/>
  <c r="H476" i="8" s="1"/>
  <c r="I255" i="8"/>
  <c r="J255" i="8"/>
  <c r="F255" i="8"/>
  <c r="G255" i="8" s="1"/>
  <c r="I164" i="8"/>
  <c r="J164" i="8"/>
  <c r="F164" i="8"/>
  <c r="G164" i="8" s="1"/>
  <c r="G131" i="7"/>
  <c r="K131" i="7"/>
  <c r="G464" i="7"/>
  <c r="K464" i="7"/>
  <c r="G395" i="7"/>
  <c r="K395" i="7"/>
  <c r="G451" i="7"/>
  <c r="K451" i="7"/>
  <c r="J745" i="12"/>
  <c r="M745" i="12" s="1"/>
  <c r="J749" i="12"/>
  <c r="M749" i="12" s="1"/>
  <c r="J754" i="12"/>
  <c r="M754" i="12" s="1"/>
  <c r="J772" i="12"/>
  <c r="M772" i="12" s="1"/>
  <c r="J790" i="12"/>
  <c r="M790" i="12" s="1"/>
  <c r="J818" i="12"/>
  <c r="M818" i="12" s="1"/>
  <c r="J697" i="12"/>
  <c r="M697" i="12" s="1"/>
  <c r="J750" i="12"/>
  <c r="M750" i="12" s="1"/>
  <c r="J774" i="12"/>
  <c r="M774" i="12" s="1"/>
  <c r="J740" i="12"/>
  <c r="M740" i="12" s="1"/>
  <c r="J811" i="12"/>
  <c r="M811" i="12" s="1"/>
  <c r="J739" i="12"/>
  <c r="M739" i="12" s="1"/>
  <c r="J771" i="12"/>
  <c r="M771" i="12" s="1"/>
  <c r="J737" i="12"/>
  <c r="M737" i="12" s="1"/>
  <c r="J807" i="12"/>
  <c r="M807" i="12" s="1"/>
  <c r="J775" i="12"/>
  <c r="M775" i="12" s="1"/>
  <c r="J701" i="12"/>
  <c r="M701" i="12" s="1"/>
  <c r="J798" i="12"/>
  <c r="M798" i="12" s="1"/>
  <c r="G608" i="7"/>
  <c r="K608" i="7"/>
  <c r="G153" i="7"/>
  <c r="K153" i="7"/>
  <c r="G33" i="7"/>
  <c r="K33" i="7"/>
  <c r="G492" i="7"/>
  <c r="K492" i="7"/>
  <c r="G28" i="7"/>
  <c r="K28" i="7"/>
  <c r="G41" i="7"/>
  <c r="K41" i="7"/>
  <c r="G556" i="7"/>
  <c r="K556" i="7"/>
  <c r="J420" i="12"/>
  <c r="M420" i="12" s="1"/>
  <c r="J247" i="12"/>
  <c r="M247" i="12" s="1"/>
  <c r="G101" i="7"/>
  <c r="K101" i="7"/>
  <c r="G434" i="7"/>
  <c r="K434" i="7"/>
  <c r="G350" i="7"/>
  <c r="K350" i="7"/>
  <c r="G667" i="7"/>
  <c r="K667" i="7"/>
  <c r="G371" i="7"/>
  <c r="K371" i="7"/>
  <c r="G295" i="7"/>
  <c r="K295" i="7"/>
  <c r="G440" i="7"/>
  <c r="K440" i="7"/>
  <c r="G227" i="7"/>
  <c r="K227" i="7"/>
  <c r="G22" i="7"/>
  <c r="K22" i="7"/>
  <c r="G99" i="7"/>
  <c r="K99" i="7"/>
  <c r="G563" i="7"/>
  <c r="K563" i="7"/>
  <c r="G260" i="7"/>
  <c r="K260" i="7"/>
  <c r="G486" i="7"/>
  <c r="K486" i="7"/>
  <c r="G353" i="7"/>
  <c r="K353" i="7"/>
  <c r="G173" i="7"/>
  <c r="K173" i="7"/>
  <c r="G454" i="7"/>
  <c r="K454" i="7"/>
  <c r="G584" i="7"/>
  <c r="K584" i="7"/>
  <c r="G647" i="7"/>
  <c r="K647" i="7"/>
  <c r="G638" i="7"/>
  <c r="K638" i="7"/>
  <c r="G98" i="7"/>
  <c r="K98" i="7"/>
  <c r="G286" i="7"/>
  <c r="K286" i="7"/>
  <c r="G525" i="7"/>
  <c r="K525" i="7"/>
  <c r="G364" i="7"/>
  <c r="K364" i="7"/>
  <c r="J233" i="12"/>
  <c r="M233" i="12" s="1"/>
  <c r="J581" i="12"/>
  <c r="M581" i="12" s="1"/>
  <c r="I654" i="8"/>
  <c r="J654" i="8"/>
  <c r="F654" i="8"/>
  <c r="G654" i="8" s="1"/>
  <c r="I622" i="8"/>
  <c r="J622" i="8"/>
  <c r="F622" i="8"/>
  <c r="G622" i="8" s="1"/>
  <c r="I294" i="8"/>
  <c r="J294" i="8"/>
  <c r="F294" i="8"/>
  <c r="G294" i="8" s="1"/>
  <c r="H294" i="8" s="1"/>
  <c r="I182" i="8"/>
  <c r="J182" i="8"/>
  <c r="F182" i="8"/>
  <c r="G182" i="8" s="1"/>
  <c r="I463" i="8"/>
  <c r="J463" i="8"/>
  <c r="F463" i="8"/>
  <c r="G463" i="8" s="1"/>
  <c r="H463" i="8" s="1"/>
  <c r="I432" i="8"/>
  <c r="J432" i="8"/>
  <c r="F432" i="8"/>
  <c r="G432" i="8" s="1"/>
  <c r="I402" i="8"/>
  <c r="J402" i="8"/>
  <c r="F402" i="8"/>
  <c r="G402" i="8" s="1"/>
  <c r="I85" i="8"/>
  <c r="J85" i="8"/>
  <c r="F85" i="8"/>
  <c r="G85" i="8" s="1"/>
  <c r="H85" i="8" s="1"/>
  <c r="I477" i="8"/>
  <c r="J477" i="8"/>
  <c r="F477" i="8"/>
  <c r="G477" i="8" s="1"/>
  <c r="I16" i="8"/>
  <c r="J16" i="8"/>
  <c r="F16" i="8"/>
  <c r="G16" i="8" s="1"/>
  <c r="I530" i="8"/>
  <c r="J530" i="8"/>
  <c r="F530" i="8"/>
  <c r="G530" i="8" s="1"/>
  <c r="H530" i="8" s="1"/>
  <c r="I228" i="8"/>
  <c r="J228" i="8"/>
  <c r="F228" i="8"/>
  <c r="G228" i="8" s="1"/>
  <c r="I647" i="8"/>
  <c r="J647" i="8"/>
  <c r="F647" i="8"/>
  <c r="G647" i="8" s="1"/>
  <c r="I225" i="8"/>
  <c r="J225" i="8"/>
  <c r="F225" i="8"/>
  <c r="G225" i="8" s="1"/>
  <c r="I48" i="8"/>
  <c r="J48" i="8"/>
  <c r="F48" i="8"/>
  <c r="G48" i="8" s="1"/>
  <c r="I180" i="8"/>
  <c r="J180" i="8"/>
  <c r="F180" i="8"/>
  <c r="G180" i="8" s="1"/>
  <c r="H180" i="8" s="1"/>
  <c r="I460" i="8"/>
  <c r="J460" i="8"/>
  <c r="F460" i="8"/>
  <c r="G460" i="8" s="1"/>
  <c r="I429" i="8"/>
  <c r="J429" i="8"/>
  <c r="F429" i="8"/>
  <c r="G429" i="8" s="1"/>
  <c r="I398" i="8"/>
  <c r="J398" i="8"/>
  <c r="F398" i="8"/>
  <c r="G398" i="8" s="1"/>
  <c r="I369" i="8"/>
  <c r="J369" i="8"/>
  <c r="F369" i="8"/>
  <c r="G369" i="8" s="1"/>
  <c r="I486" i="8"/>
  <c r="J486" i="8"/>
  <c r="F486" i="8"/>
  <c r="G486" i="8" s="1"/>
  <c r="H486" i="8" s="1"/>
  <c r="I117" i="8"/>
  <c r="J117" i="8"/>
  <c r="F117" i="8"/>
  <c r="G117" i="8" s="1"/>
  <c r="I543" i="8"/>
  <c r="J543" i="8"/>
  <c r="F543" i="8"/>
  <c r="G543" i="8" s="1"/>
  <c r="I511" i="8"/>
  <c r="J511" i="8"/>
  <c r="F511" i="8"/>
  <c r="G511" i="8" s="1"/>
  <c r="H511" i="8" s="1"/>
  <c r="I64" i="8"/>
  <c r="J64" i="8"/>
  <c r="F64" i="8"/>
  <c r="G64" i="8" s="1"/>
  <c r="I33" i="8"/>
  <c r="J33" i="8"/>
  <c r="F33" i="8"/>
  <c r="G33" i="8" s="1"/>
  <c r="I106" i="8"/>
  <c r="J106" i="8"/>
  <c r="F106" i="8"/>
  <c r="G106" i="8" s="1"/>
  <c r="I681" i="8"/>
  <c r="J681" i="8"/>
  <c r="F681" i="8"/>
  <c r="G681" i="8" s="1"/>
  <c r="I597" i="8"/>
  <c r="J597" i="8"/>
  <c r="F597" i="8"/>
  <c r="G597" i="8" s="1"/>
  <c r="G564" i="7"/>
  <c r="K564" i="7"/>
  <c r="G97" i="7"/>
  <c r="K97" i="7"/>
  <c r="G265" i="7"/>
  <c r="K265" i="7"/>
  <c r="G177" i="7"/>
  <c r="K177" i="7"/>
  <c r="G17" i="7"/>
  <c r="K17" i="7"/>
  <c r="G82" i="7"/>
  <c r="K82" i="7"/>
  <c r="G278" i="7"/>
  <c r="K278" i="7"/>
  <c r="G452" i="7"/>
  <c r="K452" i="7"/>
  <c r="G378" i="7"/>
  <c r="K378" i="7"/>
  <c r="G587" i="7"/>
  <c r="K587" i="7"/>
  <c r="G562" i="7"/>
  <c r="K562" i="7"/>
  <c r="I640" i="8"/>
  <c r="J640" i="8"/>
  <c r="F640" i="8"/>
  <c r="G640" i="8" s="1"/>
  <c r="H640" i="8" s="1"/>
  <c r="I220" i="8"/>
  <c r="J220" i="8"/>
  <c r="F220" i="8"/>
  <c r="G220" i="8" s="1"/>
  <c r="I45" i="8"/>
  <c r="J45" i="8"/>
  <c r="F45" i="8"/>
  <c r="G45" i="8" s="1"/>
  <c r="I177" i="8"/>
  <c r="J177" i="8"/>
  <c r="F177" i="8"/>
  <c r="G177" i="8" s="1"/>
  <c r="H177" i="8" s="1"/>
  <c r="I461" i="8"/>
  <c r="J461" i="8"/>
  <c r="F461" i="8"/>
  <c r="G461" i="8" s="1"/>
  <c r="I426" i="8"/>
  <c r="J426" i="8"/>
  <c r="F426" i="8"/>
  <c r="G426" i="8" s="1"/>
  <c r="I395" i="8"/>
  <c r="J395" i="8"/>
  <c r="F395" i="8"/>
  <c r="G395" i="8" s="1"/>
  <c r="I87" i="8"/>
  <c r="J87" i="8"/>
  <c r="F87" i="8"/>
  <c r="G87" i="8" s="1"/>
  <c r="I483" i="8"/>
  <c r="J483" i="8"/>
  <c r="F483" i="8"/>
  <c r="G483" i="8" s="1"/>
  <c r="H483" i="8" s="1"/>
  <c r="I114" i="8"/>
  <c r="J114" i="8"/>
  <c r="F114" i="8"/>
  <c r="G114" i="8" s="1"/>
  <c r="I508" i="8"/>
  <c r="J508" i="8"/>
  <c r="F508" i="8"/>
  <c r="G508" i="8" s="1"/>
  <c r="I238" i="8"/>
  <c r="J238" i="8"/>
  <c r="F238" i="8"/>
  <c r="G238" i="8" s="1"/>
  <c r="H238" i="8" s="1"/>
  <c r="I150" i="8"/>
  <c r="J150" i="8"/>
  <c r="F150" i="8"/>
  <c r="G150" i="8" s="1"/>
  <c r="I684" i="8"/>
  <c r="J684" i="8"/>
  <c r="F684" i="8"/>
  <c r="G684" i="8" s="1"/>
  <c r="H684" i="8" s="1"/>
  <c r="I599" i="8"/>
  <c r="J599" i="8"/>
  <c r="F599" i="8"/>
  <c r="G599" i="8" s="1"/>
  <c r="I131" i="8"/>
  <c r="J131" i="8"/>
  <c r="F131" i="8"/>
  <c r="G131" i="8" s="1"/>
  <c r="I637" i="8"/>
  <c r="J637" i="8"/>
  <c r="F637" i="8"/>
  <c r="G637" i="8" s="1"/>
  <c r="H637" i="8" s="1"/>
  <c r="I210" i="8"/>
  <c r="J210" i="8"/>
  <c r="F210" i="8"/>
  <c r="G210" i="8" s="1"/>
  <c r="I185" i="8"/>
  <c r="J185" i="8"/>
  <c r="F185" i="8"/>
  <c r="G185" i="8" s="1"/>
  <c r="I469" i="8"/>
  <c r="J469" i="8"/>
  <c r="F469" i="8"/>
  <c r="G469" i="8" s="1"/>
  <c r="H469" i="8" s="1"/>
  <c r="I401" i="8"/>
  <c r="J401" i="8"/>
  <c r="F401" i="8"/>
  <c r="G401" i="8" s="1"/>
  <c r="I367" i="8"/>
  <c r="J367" i="8"/>
  <c r="F367" i="8"/>
  <c r="G367" i="8" s="1"/>
  <c r="H367" i="8" s="1"/>
  <c r="I84" i="8"/>
  <c r="J84" i="8"/>
  <c r="F84" i="8"/>
  <c r="G84" i="8" s="1"/>
  <c r="I11" i="8"/>
  <c r="J11" i="8"/>
  <c r="F11" i="8"/>
  <c r="G11" i="8" s="1"/>
  <c r="I525" i="8"/>
  <c r="J525" i="8"/>
  <c r="F525" i="8"/>
  <c r="G525" i="8" s="1"/>
  <c r="H525" i="8" s="1"/>
  <c r="I125" i="8"/>
  <c r="J125" i="8"/>
  <c r="F125" i="8"/>
  <c r="G125" i="8" s="1"/>
  <c r="I320" i="8"/>
  <c r="J320" i="8"/>
  <c r="F320" i="8"/>
  <c r="G320" i="8" s="1"/>
  <c r="I75" i="8"/>
  <c r="J75" i="8"/>
  <c r="F75" i="8"/>
  <c r="G75" i="8" s="1"/>
  <c r="H75" i="8" s="1"/>
  <c r="I612" i="8"/>
  <c r="J612" i="8"/>
  <c r="F612" i="8"/>
  <c r="G612" i="8" s="1"/>
  <c r="I580" i="8"/>
  <c r="J580" i="8"/>
  <c r="F580" i="8"/>
  <c r="G580" i="8" s="1"/>
  <c r="G341" i="7"/>
  <c r="K341" i="7"/>
  <c r="G582" i="7"/>
  <c r="K582" i="7"/>
  <c r="G488" i="7"/>
  <c r="K488" i="7"/>
  <c r="G502" i="7"/>
  <c r="K502" i="7"/>
  <c r="I61" i="8"/>
  <c r="J61" i="8"/>
  <c r="F61" i="8"/>
  <c r="G61" i="8" s="1"/>
  <c r="I30" i="8"/>
  <c r="J30" i="8"/>
  <c r="F30" i="8"/>
  <c r="G30" i="8" s="1"/>
  <c r="I153" i="8"/>
  <c r="J153" i="8"/>
  <c r="F153" i="8"/>
  <c r="G153" i="8" s="1"/>
  <c r="H153" i="8" s="1"/>
  <c r="I65" i="8"/>
  <c r="J65" i="8"/>
  <c r="F65" i="8"/>
  <c r="G65" i="8" s="1"/>
  <c r="I602" i="8"/>
  <c r="J602" i="8"/>
  <c r="F602" i="8"/>
  <c r="G602" i="8" s="1"/>
  <c r="I347" i="8"/>
  <c r="J347" i="8"/>
  <c r="F347" i="8"/>
  <c r="G347" i="8" s="1"/>
  <c r="G561" i="7"/>
  <c r="K561" i="7"/>
  <c r="G71" i="7"/>
  <c r="K71" i="7"/>
  <c r="G79" i="7"/>
  <c r="K79" i="7"/>
  <c r="G118" i="7"/>
  <c r="K118" i="7"/>
  <c r="G198" i="7"/>
  <c r="K198" i="7"/>
  <c r="G157" i="7"/>
  <c r="K157" i="7"/>
  <c r="G645" i="7"/>
  <c r="K645" i="7"/>
  <c r="G475" i="7"/>
  <c r="K475" i="7"/>
  <c r="G634" i="7"/>
  <c r="K634" i="7"/>
  <c r="G620" i="7"/>
  <c r="K620" i="7"/>
  <c r="G650" i="7"/>
  <c r="K650" i="7"/>
  <c r="G553" i="7"/>
  <c r="K553" i="7"/>
  <c r="G195" i="7"/>
  <c r="K195" i="7"/>
  <c r="G75" i="7"/>
  <c r="K75" i="7"/>
  <c r="G477" i="7"/>
  <c r="K477" i="7"/>
  <c r="G467" i="7"/>
  <c r="K467" i="7"/>
  <c r="G241" i="7"/>
  <c r="K241" i="7"/>
  <c r="G69" i="7"/>
  <c r="K69" i="7"/>
  <c r="G351" i="5"/>
  <c r="G357" i="7"/>
  <c r="K357" i="7"/>
  <c r="G388" i="7"/>
  <c r="K388" i="7"/>
  <c r="G568" i="7"/>
  <c r="K568" i="7"/>
  <c r="G208" i="7"/>
  <c r="K208" i="7"/>
  <c r="G183" i="7"/>
  <c r="K183" i="7"/>
  <c r="G32" i="7"/>
  <c r="K32" i="7"/>
  <c r="G178" i="7"/>
  <c r="K178" i="7"/>
  <c r="G68" i="7"/>
  <c r="K68" i="7"/>
  <c r="G414" i="7"/>
  <c r="K414" i="7"/>
  <c r="G482" i="7"/>
  <c r="K482" i="7"/>
  <c r="G342" i="7"/>
  <c r="K342" i="7"/>
  <c r="G39" i="7"/>
  <c r="K39" i="7"/>
  <c r="G558" i="7"/>
  <c r="K558" i="7"/>
  <c r="G618" i="7"/>
  <c r="K618" i="7"/>
  <c r="G510" i="7"/>
  <c r="K510" i="7"/>
  <c r="G512" i="7"/>
  <c r="K512" i="7"/>
  <c r="G221" i="7"/>
  <c r="K221" i="7"/>
  <c r="G406" i="7"/>
  <c r="K406" i="7"/>
  <c r="G256" i="7"/>
  <c r="K256" i="7"/>
  <c r="G257" i="7"/>
  <c r="K257" i="7"/>
  <c r="G143" i="7"/>
  <c r="K143" i="7"/>
  <c r="G649" i="7"/>
  <c r="K649" i="7"/>
  <c r="G663" i="7"/>
  <c r="K663" i="7"/>
  <c r="G167" i="7"/>
  <c r="K167" i="7"/>
  <c r="G517" i="7"/>
  <c r="K517" i="7"/>
  <c r="G613" i="7"/>
  <c r="K613" i="7"/>
  <c r="G110" i="7"/>
  <c r="K110" i="7"/>
  <c r="G376" i="7"/>
  <c r="K376" i="7"/>
  <c r="G44" i="7"/>
  <c r="K44" i="7"/>
  <c r="G455" i="7"/>
  <c r="K455" i="7"/>
  <c r="G67" i="7"/>
  <c r="K67" i="7"/>
  <c r="G333" i="7"/>
  <c r="K333" i="7"/>
  <c r="G670" i="7"/>
  <c r="K670" i="7"/>
  <c r="G668" i="7"/>
  <c r="K668" i="7"/>
  <c r="G642" i="7"/>
  <c r="K642" i="7"/>
  <c r="G159" i="7"/>
  <c r="K159" i="7"/>
  <c r="G284" i="7"/>
  <c r="K284" i="7"/>
  <c r="G239" i="7"/>
  <c r="K239" i="7"/>
  <c r="G205" i="7"/>
  <c r="K205" i="7"/>
  <c r="G586" i="7"/>
  <c r="K586" i="7"/>
  <c r="G297" i="7"/>
  <c r="K297" i="7"/>
  <c r="G533" i="7"/>
  <c r="K533" i="7"/>
  <c r="G394" i="7"/>
  <c r="K394" i="7"/>
  <c r="I650" i="8"/>
  <c r="J650" i="8"/>
  <c r="F650" i="8"/>
  <c r="G650" i="8" s="1"/>
  <c r="I618" i="8"/>
  <c r="J618" i="8"/>
  <c r="F618" i="8"/>
  <c r="G618" i="8" s="1"/>
  <c r="I47" i="8"/>
  <c r="J47" i="8"/>
  <c r="F47" i="8"/>
  <c r="G47" i="8" s="1"/>
  <c r="I290" i="8"/>
  <c r="J290" i="8"/>
  <c r="F290" i="8"/>
  <c r="G290" i="8" s="1"/>
  <c r="H290" i="8" s="1"/>
  <c r="I179" i="8"/>
  <c r="J179" i="8"/>
  <c r="F179" i="8"/>
  <c r="G179" i="8" s="1"/>
  <c r="I459" i="8"/>
  <c r="J459" i="8"/>
  <c r="F459" i="8"/>
  <c r="G459" i="8" s="1"/>
  <c r="I428" i="8"/>
  <c r="J428" i="8"/>
  <c r="F428" i="8"/>
  <c r="G428" i="8" s="1"/>
  <c r="H428" i="8" s="1"/>
  <c r="I397" i="8"/>
  <c r="J397" i="8"/>
  <c r="F397" i="8"/>
  <c r="G397" i="8" s="1"/>
  <c r="I364" i="8"/>
  <c r="J364" i="8"/>
  <c r="F364" i="8"/>
  <c r="G364" i="8" s="1"/>
  <c r="H364" i="8" s="1"/>
  <c r="I81" i="8"/>
  <c r="J81" i="8"/>
  <c r="F81" i="8"/>
  <c r="G81" i="8" s="1"/>
  <c r="I473" i="8"/>
  <c r="J473" i="8"/>
  <c r="F473" i="8"/>
  <c r="G473" i="8" s="1"/>
  <c r="I12" i="8"/>
  <c r="J12" i="8"/>
  <c r="F12" i="8"/>
  <c r="G12" i="8" s="1"/>
  <c r="H12" i="8" s="1"/>
  <c r="I526" i="8"/>
  <c r="J526" i="8"/>
  <c r="F526" i="8"/>
  <c r="G526" i="8" s="1"/>
  <c r="I256" i="8"/>
  <c r="J256" i="8"/>
  <c r="F256" i="8"/>
  <c r="G256" i="8" s="1"/>
  <c r="I137" i="8"/>
  <c r="J137" i="8"/>
  <c r="F137" i="8"/>
  <c r="G137" i="8" s="1"/>
  <c r="I643" i="8"/>
  <c r="J643" i="8"/>
  <c r="F643" i="8"/>
  <c r="G643" i="8" s="1"/>
  <c r="I223" i="8"/>
  <c r="J223" i="8"/>
  <c r="F223" i="8"/>
  <c r="G223" i="8" s="1"/>
  <c r="H223" i="8" s="1"/>
  <c r="I44" i="8"/>
  <c r="J44" i="8"/>
  <c r="F44" i="8"/>
  <c r="G44" i="8" s="1"/>
  <c r="I287" i="8"/>
  <c r="J287" i="8"/>
  <c r="F287" i="8"/>
  <c r="G287" i="8" s="1"/>
  <c r="I176" i="8"/>
  <c r="J176" i="8"/>
  <c r="F176" i="8"/>
  <c r="G176" i="8" s="1"/>
  <c r="H176" i="8" s="1"/>
  <c r="I456" i="8"/>
  <c r="J456" i="8"/>
  <c r="F456" i="8"/>
  <c r="G456" i="8" s="1"/>
  <c r="I425" i="8"/>
  <c r="J425" i="8"/>
  <c r="F425" i="8"/>
  <c r="G425" i="8" s="1"/>
  <c r="I394" i="8"/>
  <c r="J394" i="8"/>
  <c r="F394" i="8"/>
  <c r="G394" i="8" s="1"/>
  <c r="I365" i="8"/>
  <c r="J365" i="8"/>
  <c r="F365" i="8"/>
  <c r="G365" i="8" s="1"/>
  <c r="I90" i="8"/>
  <c r="J90" i="8"/>
  <c r="F90" i="8"/>
  <c r="G90" i="8" s="1"/>
  <c r="I482" i="8"/>
  <c r="J482" i="8"/>
  <c r="F482" i="8"/>
  <c r="G482" i="8" s="1"/>
  <c r="I113" i="8"/>
  <c r="J113" i="8"/>
  <c r="F113" i="8"/>
  <c r="G113" i="8" s="1"/>
  <c r="I539" i="8"/>
  <c r="J539" i="8"/>
  <c r="F539" i="8"/>
  <c r="G539" i="8" s="1"/>
  <c r="H539" i="8" s="1"/>
  <c r="I507" i="8"/>
  <c r="J507" i="8"/>
  <c r="F507" i="8"/>
  <c r="G507" i="8" s="1"/>
  <c r="I237" i="8"/>
  <c r="J237" i="8"/>
  <c r="F237" i="8"/>
  <c r="G237" i="8" s="1"/>
  <c r="I60" i="8"/>
  <c r="J60" i="8"/>
  <c r="F60" i="8"/>
  <c r="G60" i="8" s="1"/>
  <c r="H60" i="8" s="1"/>
  <c r="I29" i="8"/>
  <c r="J29" i="8"/>
  <c r="F29" i="8"/>
  <c r="G29" i="8" s="1"/>
  <c r="I169" i="8"/>
  <c r="J169" i="8"/>
  <c r="F169" i="8"/>
  <c r="G169" i="8" s="1"/>
  <c r="I677" i="8"/>
  <c r="J677" i="8"/>
  <c r="F677" i="8"/>
  <c r="G677" i="8" s="1"/>
  <c r="I593" i="8"/>
  <c r="J593" i="8"/>
  <c r="F593" i="8"/>
  <c r="G593" i="8" s="1"/>
  <c r="I338" i="8"/>
  <c r="J338" i="8"/>
  <c r="F338" i="8"/>
  <c r="G338" i="8" s="1"/>
  <c r="G526" i="7"/>
  <c r="K526" i="7"/>
  <c r="G225" i="7"/>
  <c r="K225" i="7"/>
  <c r="G326" i="7"/>
  <c r="K326" i="7"/>
  <c r="G179" i="7"/>
  <c r="K179" i="7"/>
  <c r="G215" i="7"/>
  <c r="K215" i="7"/>
  <c r="G81" i="7"/>
  <c r="K81" i="7"/>
  <c r="G115" i="7"/>
  <c r="K115" i="7"/>
  <c r="G116" i="7"/>
  <c r="K116" i="7"/>
  <c r="G573" i="7"/>
  <c r="K573" i="7"/>
  <c r="G603" i="7"/>
  <c r="K603" i="7"/>
  <c r="G212" i="7"/>
  <c r="K212" i="7"/>
  <c r="G569" i="7"/>
  <c r="K569" i="7"/>
  <c r="G538" i="7"/>
  <c r="K538" i="7"/>
  <c r="G662" i="7"/>
  <c r="K662" i="7"/>
  <c r="I130" i="8"/>
  <c r="J130" i="8"/>
  <c r="F130" i="8"/>
  <c r="G130" i="8" s="1"/>
  <c r="H130" i="8" s="1"/>
  <c r="I636" i="8"/>
  <c r="J636" i="8"/>
  <c r="F636" i="8"/>
  <c r="G636" i="8" s="1"/>
  <c r="I216" i="8"/>
  <c r="J216" i="8"/>
  <c r="F216" i="8"/>
  <c r="G216" i="8" s="1"/>
  <c r="I315" i="8"/>
  <c r="J315" i="8"/>
  <c r="F315" i="8"/>
  <c r="G315" i="8" s="1"/>
  <c r="H315" i="8" s="1"/>
  <c r="I284" i="8"/>
  <c r="J284" i="8"/>
  <c r="F284" i="8"/>
  <c r="G284" i="8" s="1"/>
  <c r="I173" i="8"/>
  <c r="J173" i="8"/>
  <c r="F173" i="8"/>
  <c r="G173" i="8" s="1"/>
  <c r="I457" i="8"/>
  <c r="J457" i="8"/>
  <c r="F457" i="8"/>
  <c r="G457" i="8" s="1"/>
  <c r="H457" i="8" s="1"/>
  <c r="I422" i="8"/>
  <c r="J422" i="8"/>
  <c r="F422" i="8"/>
  <c r="G422" i="8" s="1"/>
  <c r="I391" i="8"/>
  <c r="J391" i="8"/>
  <c r="F391" i="8"/>
  <c r="G391" i="8" s="1"/>
  <c r="I358" i="8"/>
  <c r="J358" i="8"/>
  <c r="F358" i="8"/>
  <c r="G358" i="8" s="1"/>
  <c r="I83" i="8"/>
  <c r="J83" i="8"/>
  <c r="F83" i="8"/>
  <c r="G83" i="8" s="1"/>
  <c r="I479" i="8"/>
  <c r="J479" i="8"/>
  <c r="F479" i="8"/>
  <c r="G479" i="8" s="1"/>
  <c r="H479" i="8" s="1"/>
  <c r="I22" i="8"/>
  <c r="J22" i="8"/>
  <c r="F22" i="8"/>
  <c r="G22" i="8" s="1"/>
  <c r="I536" i="8"/>
  <c r="J536" i="8"/>
  <c r="F536" i="8"/>
  <c r="G536" i="8" s="1"/>
  <c r="I504" i="8"/>
  <c r="J504" i="8"/>
  <c r="F504" i="8"/>
  <c r="G504" i="8" s="1"/>
  <c r="I234" i="8"/>
  <c r="J234" i="8"/>
  <c r="F234" i="8"/>
  <c r="G234" i="8" s="1"/>
  <c r="I62" i="8"/>
  <c r="J62" i="8"/>
  <c r="F62" i="8"/>
  <c r="G62" i="8" s="1"/>
  <c r="H62" i="8" s="1"/>
  <c r="I27" i="8"/>
  <c r="J27" i="8"/>
  <c r="F27" i="8"/>
  <c r="G27" i="8" s="1"/>
  <c r="I108" i="8"/>
  <c r="J108" i="8"/>
  <c r="F108" i="8"/>
  <c r="G108" i="8" s="1"/>
  <c r="I679" i="8"/>
  <c r="J679" i="8"/>
  <c r="F679" i="8"/>
  <c r="G679" i="8" s="1"/>
  <c r="H679" i="8" s="1"/>
  <c r="I595" i="8"/>
  <c r="J595" i="8"/>
  <c r="F595" i="8"/>
  <c r="G595" i="8" s="1"/>
  <c r="I340" i="8"/>
  <c r="J340" i="8"/>
  <c r="F340" i="8"/>
  <c r="G340" i="8" s="1"/>
  <c r="I665" i="8"/>
  <c r="J665" i="8"/>
  <c r="F665" i="8"/>
  <c r="G665" i="8" s="1"/>
  <c r="H665" i="8" s="1"/>
  <c r="I633" i="8"/>
  <c r="J633" i="8"/>
  <c r="F633" i="8"/>
  <c r="G633" i="8" s="1"/>
  <c r="I206" i="8"/>
  <c r="J206" i="8"/>
  <c r="F206" i="8"/>
  <c r="G206" i="8" s="1"/>
  <c r="I293" i="8"/>
  <c r="J293" i="8"/>
  <c r="F293" i="8"/>
  <c r="G293" i="8" s="1"/>
  <c r="I181" i="8"/>
  <c r="J181" i="8"/>
  <c r="F181" i="8"/>
  <c r="G181" i="8" s="1"/>
  <c r="I462" i="8"/>
  <c r="J462" i="8"/>
  <c r="F462" i="8"/>
  <c r="G462" i="8" s="1"/>
  <c r="H462" i="8" s="1"/>
  <c r="I431" i="8"/>
  <c r="J431" i="8"/>
  <c r="F431" i="8"/>
  <c r="G431" i="8" s="1"/>
  <c r="I396" i="8"/>
  <c r="J396" i="8"/>
  <c r="F396" i="8"/>
  <c r="G396" i="8" s="1"/>
  <c r="I363" i="8"/>
  <c r="J363" i="8"/>
  <c r="F363" i="8"/>
  <c r="G363" i="8" s="1"/>
  <c r="H363" i="8" s="1"/>
  <c r="I80" i="8"/>
  <c r="J80" i="8"/>
  <c r="F80" i="8"/>
  <c r="G80" i="8" s="1"/>
  <c r="I99" i="8"/>
  <c r="J99" i="8"/>
  <c r="F99" i="8"/>
  <c r="G99" i="8" s="1"/>
  <c r="H99" i="8" s="1"/>
  <c r="I553" i="8"/>
  <c r="J553" i="8"/>
  <c r="F553" i="8"/>
  <c r="G553" i="8" s="1"/>
  <c r="I521" i="8"/>
  <c r="J521" i="8"/>
  <c r="F521" i="8"/>
  <c r="G521" i="8" s="1"/>
  <c r="I251" i="8"/>
  <c r="J251" i="8"/>
  <c r="F251" i="8"/>
  <c r="G251" i="8" s="1"/>
  <c r="H251" i="8" s="1"/>
  <c r="I566" i="8"/>
  <c r="J566" i="8"/>
  <c r="F566" i="8"/>
  <c r="G566" i="8" s="1"/>
  <c r="I316" i="8"/>
  <c r="J316" i="8"/>
  <c r="F316" i="8"/>
  <c r="G316" i="8" s="1"/>
  <c r="I71" i="8"/>
  <c r="J71" i="8"/>
  <c r="F71" i="8"/>
  <c r="G71" i="8" s="1"/>
  <c r="I572" i="8"/>
  <c r="J572" i="8"/>
  <c r="F572" i="8"/>
  <c r="G572" i="8" s="1"/>
  <c r="I608" i="8"/>
  <c r="J608" i="8"/>
  <c r="F608" i="8"/>
  <c r="G608" i="8" s="1"/>
  <c r="H608" i="8" s="1"/>
  <c r="I353" i="8"/>
  <c r="J353" i="8"/>
  <c r="F353" i="8"/>
  <c r="G353" i="8" s="1"/>
  <c r="G519" i="7"/>
  <c r="K519" i="7"/>
  <c r="G461" i="7"/>
  <c r="K461" i="7"/>
  <c r="G253" i="7"/>
  <c r="K253" i="7"/>
  <c r="G132" i="7"/>
  <c r="K132" i="7"/>
  <c r="G599" i="7"/>
  <c r="K599" i="7"/>
  <c r="G678" i="7"/>
  <c r="K678" i="7"/>
  <c r="I57" i="8"/>
  <c r="J57" i="8"/>
  <c r="F57" i="8"/>
  <c r="G57" i="8" s="1"/>
  <c r="I26" i="8"/>
  <c r="J26" i="8"/>
  <c r="F26" i="8"/>
  <c r="G26" i="8" s="1"/>
  <c r="I111" i="8"/>
  <c r="J111" i="8"/>
  <c r="F111" i="8"/>
  <c r="G111" i="8" s="1"/>
  <c r="I570" i="8"/>
  <c r="J570" i="8"/>
  <c r="F570" i="8"/>
  <c r="G570" i="8" s="1"/>
  <c r="I598" i="8"/>
  <c r="J598" i="8"/>
  <c r="F598" i="8"/>
  <c r="G598" i="8" s="1"/>
  <c r="I343" i="8"/>
  <c r="J343" i="8"/>
  <c r="F343" i="8"/>
  <c r="G343" i="8" s="1"/>
  <c r="H343" i="8" s="1"/>
  <c r="G316" i="7"/>
  <c r="K316" i="7"/>
  <c r="G381" i="7"/>
  <c r="K381" i="7"/>
  <c r="G324" i="7"/>
  <c r="K324" i="7"/>
  <c r="G199" i="7"/>
  <c r="K199" i="7"/>
  <c r="G231" i="7"/>
  <c r="K231" i="7"/>
  <c r="G49" i="7"/>
  <c r="K49" i="7"/>
  <c r="G365" i="7"/>
  <c r="K365" i="7"/>
  <c r="G396" i="7"/>
  <c r="K396" i="7"/>
  <c r="G540" i="7"/>
  <c r="K540" i="7"/>
  <c r="G484" i="7"/>
  <c r="K484" i="7"/>
  <c r="G616" i="7"/>
  <c r="K616" i="7"/>
  <c r="G282" i="7"/>
  <c r="K282" i="7"/>
  <c r="G275" i="7"/>
  <c r="K275" i="7"/>
  <c r="G169" i="7"/>
  <c r="K169" i="7"/>
  <c r="G311" i="7"/>
  <c r="K311" i="7"/>
  <c r="G188" i="7"/>
  <c r="K188" i="7"/>
  <c r="G494" i="7"/>
  <c r="K494" i="7"/>
  <c r="G514" i="7"/>
  <c r="K514" i="7"/>
  <c r="G524" i="7"/>
  <c r="K524" i="7"/>
  <c r="G63" i="7"/>
  <c r="K63" i="7"/>
  <c r="G340" i="7"/>
  <c r="K340" i="7"/>
  <c r="J682" i="12"/>
  <c r="M682" i="12" s="1"/>
  <c r="J726" i="12"/>
  <c r="M726" i="12" s="1"/>
  <c r="J792" i="12"/>
  <c r="M792" i="12" s="1"/>
  <c r="J703" i="12"/>
  <c r="M703" i="12" s="1"/>
  <c r="J758" i="12"/>
  <c r="M758" i="12" s="1"/>
  <c r="J704" i="12"/>
  <c r="M704" i="12" s="1"/>
  <c r="J809" i="12"/>
  <c r="M809" i="12" s="1"/>
  <c r="J778" i="12"/>
  <c r="M778" i="12" s="1"/>
  <c r="J755" i="12"/>
  <c r="M755" i="12" s="1"/>
  <c r="J736" i="12"/>
  <c r="M736" i="12" s="1"/>
  <c r="J727" i="12"/>
  <c r="M727" i="12" s="1"/>
  <c r="J768" i="12"/>
  <c r="M768" i="12" s="1"/>
  <c r="J742" i="12"/>
  <c r="M742" i="12" s="1"/>
  <c r="J763" i="12"/>
  <c r="M763" i="12" s="1"/>
  <c r="J752" i="12"/>
  <c r="M752" i="12" s="1"/>
  <c r="J734" i="12"/>
  <c r="M734" i="12" s="1"/>
  <c r="J779" i="12"/>
  <c r="M779" i="12" s="1"/>
  <c r="J744" i="12"/>
  <c r="M744" i="12" s="1"/>
  <c r="J746" i="12"/>
  <c r="M746" i="12" s="1"/>
  <c r="J731" i="12"/>
  <c r="M731" i="12" s="1"/>
  <c r="G54" i="7"/>
  <c r="K54" i="7"/>
  <c r="G411" i="7"/>
  <c r="K411" i="7"/>
  <c r="G162" i="7"/>
  <c r="K162" i="7"/>
  <c r="G515" i="7"/>
  <c r="K515" i="7"/>
  <c r="G430" i="7"/>
  <c r="K430" i="7"/>
  <c r="I334" i="8"/>
  <c r="J334" i="8"/>
  <c r="F334" i="8"/>
  <c r="G334" i="8" s="1"/>
  <c r="H334" i="8" s="1"/>
  <c r="I247" i="8"/>
  <c r="J247" i="8"/>
  <c r="F247" i="8"/>
  <c r="G247" i="8" s="1"/>
  <c r="I53" i="8"/>
  <c r="J53" i="8"/>
  <c r="F53" i="8"/>
  <c r="G53" i="8" s="1"/>
  <c r="I77" i="8"/>
  <c r="J77" i="8"/>
  <c r="F77" i="8"/>
  <c r="G77" i="8" s="1"/>
  <c r="H77" i="8" s="1"/>
  <c r="I107" i="8"/>
  <c r="J107" i="8"/>
  <c r="F107" i="8"/>
  <c r="G107" i="8" s="1"/>
  <c r="I678" i="8"/>
  <c r="J678" i="8"/>
  <c r="F678" i="8"/>
  <c r="G678" i="8" s="1"/>
  <c r="H678" i="8" s="1"/>
  <c r="I594" i="8"/>
  <c r="J594" i="8"/>
  <c r="F594" i="8"/>
  <c r="G594" i="8" s="1"/>
  <c r="I339" i="8"/>
  <c r="J339" i="8"/>
  <c r="F339" i="8"/>
  <c r="G339" i="8" s="1"/>
  <c r="G62" i="7"/>
  <c r="K62" i="7"/>
  <c r="G290" i="7"/>
  <c r="K290" i="7"/>
  <c r="G288" i="7"/>
  <c r="K288" i="7"/>
  <c r="G38" i="7"/>
  <c r="K38" i="7"/>
  <c r="G80" i="7"/>
  <c r="K80" i="7"/>
  <c r="G135" i="7"/>
  <c r="K135" i="7"/>
  <c r="G628" i="7"/>
  <c r="K628" i="7"/>
  <c r="G226" i="7"/>
  <c r="K226" i="7"/>
  <c r="G279" i="7"/>
  <c r="K279" i="7"/>
  <c r="G233" i="7"/>
  <c r="K233" i="7"/>
  <c r="G232" i="7"/>
  <c r="K232" i="7"/>
  <c r="G285" i="7"/>
  <c r="K285" i="7"/>
  <c r="G355" i="7"/>
  <c r="K355" i="7"/>
  <c r="G211" i="7"/>
  <c r="K211" i="7"/>
  <c r="G319" i="7"/>
  <c r="K319" i="7"/>
  <c r="G541" i="7"/>
  <c r="K541" i="7"/>
  <c r="G325" i="7"/>
  <c r="K325" i="7"/>
  <c r="G322" i="7"/>
  <c r="K322" i="7"/>
  <c r="G390" i="7"/>
  <c r="K390" i="7"/>
  <c r="G479" i="7"/>
  <c r="K479" i="7"/>
  <c r="G648" i="7"/>
  <c r="K648" i="7"/>
  <c r="J730" i="12"/>
  <c r="M730" i="12" s="1"/>
  <c r="J717" i="12"/>
  <c r="M717" i="12" s="1"/>
  <c r="J723" i="12"/>
  <c r="M723" i="12" s="1"/>
  <c r="J796" i="12"/>
  <c r="M796" i="12" s="1"/>
  <c r="J691" i="12"/>
  <c r="M691" i="12" s="1"/>
  <c r="J732" i="12"/>
  <c r="M732" i="12" s="1"/>
  <c r="J735" i="12"/>
  <c r="M735" i="12" s="1"/>
  <c r="J802" i="12"/>
  <c r="M802" i="12" s="1"/>
  <c r="J795" i="12"/>
  <c r="M795" i="12" s="1"/>
  <c r="J741" i="12"/>
  <c r="M741" i="12" s="1"/>
  <c r="J714" i="12"/>
  <c r="M714" i="12" s="1"/>
  <c r="J751" i="12"/>
  <c r="M751" i="12" s="1"/>
  <c r="J773" i="12"/>
  <c r="M773" i="12" s="1"/>
  <c r="J782" i="12"/>
  <c r="M782" i="12" s="1"/>
  <c r="J684" i="12"/>
  <c r="M684" i="12" s="1"/>
  <c r="I6" i="43"/>
  <c r="R6" i="43" s="1"/>
  <c r="I18" i="43"/>
  <c r="R18" i="43" s="1"/>
  <c r="I19" i="43"/>
  <c r="R19" i="43" s="1"/>
  <c r="I13" i="43"/>
  <c r="R13" i="43" s="1"/>
  <c r="I30" i="43"/>
  <c r="R30" i="43" s="1"/>
  <c r="I12" i="43"/>
  <c r="R12" i="43" s="1"/>
  <c r="I5" i="43"/>
  <c r="R5" i="43" s="1"/>
  <c r="I8" i="43"/>
  <c r="R8" i="43" s="1"/>
  <c r="G448" i="7"/>
  <c r="K448" i="7"/>
  <c r="G77" i="7"/>
  <c r="K77" i="7"/>
  <c r="G605" i="7"/>
  <c r="K605" i="7"/>
  <c r="G505" i="7"/>
  <c r="K505" i="7"/>
  <c r="G548" i="7"/>
  <c r="K548" i="7"/>
  <c r="G377" i="7"/>
  <c r="K377" i="7"/>
  <c r="G332" i="7"/>
  <c r="K332" i="7"/>
  <c r="G398" i="7"/>
  <c r="K398" i="7"/>
  <c r="G138" i="7"/>
  <c r="K138" i="7"/>
  <c r="G356" i="7"/>
  <c r="K356" i="7"/>
  <c r="G302" i="7"/>
  <c r="K302" i="7"/>
  <c r="G575" i="7"/>
  <c r="K575" i="7"/>
  <c r="G572" i="7"/>
  <c r="K572" i="7"/>
  <c r="G14" i="7"/>
  <c r="K14" i="7"/>
  <c r="G120" i="7"/>
  <c r="K120" i="7"/>
  <c r="G580" i="7"/>
  <c r="K580" i="7"/>
  <c r="G187" i="7"/>
  <c r="K187" i="7"/>
  <c r="G389" i="7"/>
  <c r="K389" i="7"/>
  <c r="G653" i="7"/>
  <c r="K653" i="7"/>
  <c r="G46" i="7"/>
  <c r="K46" i="7"/>
  <c r="G666" i="7"/>
  <c r="K666" i="7"/>
  <c r="G497" i="7"/>
  <c r="K497" i="7"/>
  <c r="G283" i="7"/>
  <c r="K283" i="7"/>
  <c r="G665" i="7"/>
  <c r="K665" i="7"/>
  <c r="G534" i="7"/>
  <c r="K534" i="7"/>
  <c r="G426" i="7"/>
  <c r="K426" i="7"/>
  <c r="G595" i="7"/>
  <c r="K595" i="7"/>
  <c r="G45" i="7"/>
  <c r="K45" i="7"/>
  <c r="G339" i="7"/>
  <c r="K339" i="7"/>
  <c r="G594" i="7"/>
  <c r="K594" i="7"/>
  <c r="J376" i="12"/>
  <c r="M376" i="12" s="1"/>
  <c r="J243" i="12"/>
  <c r="M243" i="12" s="1"/>
  <c r="J668" i="12"/>
  <c r="M668" i="12" s="1"/>
  <c r="G416" i="7"/>
  <c r="K416" i="7"/>
  <c r="G476" i="7"/>
  <c r="K476" i="7"/>
  <c r="G93" i="7"/>
  <c r="K93" i="7"/>
  <c r="G392" i="7"/>
  <c r="K392" i="7"/>
  <c r="G402" i="7"/>
  <c r="K402" i="7"/>
  <c r="G348" i="7"/>
  <c r="K348" i="7"/>
  <c r="G420" i="7"/>
  <c r="K420" i="7"/>
  <c r="G493" i="7"/>
  <c r="K493" i="7"/>
  <c r="G224" i="7"/>
  <c r="K224" i="7"/>
  <c r="G453" i="7"/>
  <c r="K453" i="7"/>
  <c r="G91" i="7"/>
  <c r="K91" i="7"/>
  <c r="G203" i="7"/>
  <c r="K203" i="7"/>
  <c r="G146" i="7"/>
  <c r="K146" i="7"/>
  <c r="G151" i="7"/>
  <c r="K151" i="7"/>
  <c r="G254" i="7"/>
  <c r="K254" i="7"/>
  <c r="I222" i="8"/>
  <c r="J222" i="8"/>
  <c r="F222" i="8"/>
  <c r="G222" i="8" s="1"/>
  <c r="I286" i="8"/>
  <c r="J286" i="8"/>
  <c r="F286" i="8"/>
  <c r="G286" i="8" s="1"/>
  <c r="H286" i="8" s="1"/>
  <c r="I393" i="8"/>
  <c r="J393" i="8"/>
  <c r="F393" i="8"/>
  <c r="G393" i="8" s="1"/>
  <c r="I554" i="8"/>
  <c r="J554" i="8"/>
  <c r="F554" i="8"/>
  <c r="G554" i="8" s="1"/>
  <c r="I252" i="8"/>
  <c r="J252" i="8"/>
  <c r="F252" i="8"/>
  <c r="G252" i="8" s="1"/>
  <c r="H252" i="8" s="1"/>
  <c r="I314" i="8"/>
  <c r="J314" i="8"/>
  <c r="F314" i="8"/>
  <c r="G314" i="8" s="1"/>
  <c r="I452" i="8"/>
  <c r="J452" i="8"/>
  <c r="F452" i="8"/>
  <c r="G452" i="8" s="1"/>
  <c r="I361" i="8"/>
  <c r="J361" i="8"/>
  <c r="F361" i="8"/>
  <c r="G361" i="8" s="1"/>
  <c r="H361" i="8" s="1"/>
  <c r="I478" i="8"/>
  <c r="J478" i="8"/>
  <c r="F478" i="8"/>
  <c r="G478" i="8" s="1"/>
  <c r="I265" i="8"/>
  <c r="J265" i="8"/>
  <c r="F265" i="8"/>
  <c r="G265" i="8" s="1"/>
  <c r="H265" i="8" s="1"/>
  <c r="I25" i="8"/>
  <c r="J25" i="8"/>
  <c r="F25" i="8"/>
  <c r="G25" i="8" s="1"/>
  <c r="I589" i="8"/>
  <c r="J589" i="8"/>
  <c r="F589" i="8"/>
  <c r="G589" i="8" s="1"/>
  <c r="G270" i="7"/>
  <c r="K270" i="7"/>
  <c r="G35" i="7"/>
  <c r="K35" i="7"/>
  <c r="G347" i="7"/>
  <c r="K347" i="7"/>
  <c r="G435" i="7"/>
  <c r="K435" i="7"/>
  <c r="I664" i="8"/>
  <c r="J664" i="8"/>
  <c r="F664" i="8"/>
  <c r="G664" i="8" s="1"/>
  <c r="H664" i="8" s="1"/>
  <c r="I311" i="8"/>
  <c r="J311" i="8"/>
  <c r="F311" i="8"/>
  <c r="G311" i="8" s="1"/>
  <c r="I283" i="8"/>
  <c r="J283" i="8"/>
  <c r="F283" i="8"/>
  <c r="G283" i="8" s="1"/>
  <c r="I418" i="8"/>
  <c r="J418" i="8"/>
  <c r="F418" i="8"/>
  <c r="G418" i="8" s="1"/>
  <c r="I79" i="8"/>
  <c r="J79" i="8"/>
  <c r="F79" i="8"/>
  <c r="G79" i="8" s="1"/>
  <c r="I532" i="8"/>
  <c r="J532" i="8"/>
  <c r="F532" i="8"/>
  <c r="G532" i="8" s="1"/>
  <c r="H532" i="8" s="1"/>
  <c r="I230" i="8"/>
  <c r="J230" i="8"/>
  <c r="F230" i="8"/>
  <c r="G230" i="8" s="1"/>
  <c r="I74" i="8"/>
  <c r="J74" i="8"/>
  <c r="F74" i="8"/>
  <c r="G74" i="8" s="1"/>
  <c r="I675" i="8"/>
  <c r="J675" i="8"/>
  <c r="F675" i="8"/>
  <c r="G675" i="8" s="1"/>
  <c r="H675" i="8" s="1"/>
  <c r="I591" i="8"/>
  <c r="J591" i="8"/>
  <c r="F591" i="8"/>
  <c r="G591" i="8" s="1"/>
  <c r="I661" i="8"/>
  <c r="J661" i="8"/>
  <c r="F661" i="8"/>
  <c r="G661" i="8" s="1"/>
  <c r="I289" i="8"/>
  <c r="J289" i="8"/>
  <c r="F289" i="8"/>
  <c r="G289" i="8" s="1"/>
  <c r="I427" i="8"/>
  <c r="J427" i="8"/>
  <c r="F427" i="8"/>
  <c r="G427" i="8" s="1"/>
  <c r="I500" i="8"/>
  <c r="J500" i="8"/>
  <c r="F500" i="8"/>
  <c r="G500" i="8" s="1"/>
  <c r="I517" i="8"/>
  <c r="J517" i="8"/>
  <c r="F517" i="8"/>
  <c r="G517" i="8" s="1"/>
  <c r="I67" i="8"/>
  <c r="J67" i="8"/>
  <c r="F67" i="8"/>
  <c r="G67" i="8" s="1"/>
  <c r="I349" i="8"/>
  <c r="J349" i="8"/>
  <c r="F349" i="8"/>
  <c r="G349" i="8" s="1"/>
  <c r="H349" i="8" s="1"/>
  <c r="G458" i="7"/>
  <c r="K458" i="7"/>
  <c r="G95" i="7"/>
  <c r="K95" i="7"/>
  <c r="K10" i="7"/>
  <c r="G10" i="7"/>
  <c r="G401" i="7"/>
  <c r="K401" i="7"/>
  <c r="G117" i="7"/>
  <c r="K117" i="7"/>
  <c r="G60" i="7"/>
  <c r="K60" i="7"/>
  <c r="G122" i="7"/>
  <c r="K122" i="7"/>
  <c r="G90" i="7"/>
  <c r="K90" i="7"/>
  <c r="G457" i="7"/>
  <c r="K457" i="7"/>
  <c r="G673" i="7"/>
  <c r="K673" i="7"/>
  <c r="G443" i="7"/>
  <c r="K443" i="7"/>
  <c r="G306" i="7"/>
  <c r="K306" i="7"/>
  <c r="G615" i="7"/>
  <c r="K615" i="7"/>
  <c r="G640" i="7"/>
  <c r="K640" i="7"/>
  <c r="G499" i="7"/>
  <c r="K499" i="7"/>
  <c r="G490" i="7"/>
  <c r="K490" i="7"/>
  <c r="G103" i="7"/>
  <c r="K103" i="7"/>
  <c r="G415" i="7"/>
  <c r="K415" i="7"/>
  <c r="G601" i="7"/>
  <c r="K601" i="7"/>
  <c r="G255" i="7"/>
  <c r="K255" i="7"/>
  <c r="G439" i="7"/>
  <c r="K439" i="7"/>
  <c r="G483" i="7"/>
  <c r="K483" i="7"/>
  <c r="G597" i="7"/>
  <c r="K597" i="7"/>
  <c r="G471" i="7"/>
  <c r="K471" i="7"/>
  <c r="G222" i="7"/>
  <c r="K222" i="7"/>
  <c r="G243" i="7"/>
  <c r="K243" i="7"/>
  <c r="G165" i="7"/>
  <c r="K165" i="7"/>
  <c r="G234" i="7"/>
  <c r="K234" i="7"/>
  <c r="G94" i="7"/>
  <c r="K94" i="7"/>
  <c r="G34" i="7"/>
  <c r="K34" i="7"/>
  <c r="G619" i="7"/>
  <c r="K619" i="7"/>
  <c r="G219" i="7"/>
  <c r="K219" i="7"/>
  <c r="G360" i="7"/>
  <c r="K360" i="7"/>
  <c r="G577" i="7"/>
  <c r="K577" i="7"/>
  <c r="G280" i="7"/>
  <c r="K280" i="7"/>
  <c r="G535" i="7"/>
  <c r="K535" i="7"/>
  <c r="G128" i="7"/>
  <c r="K128" i="7"/>
  <c r="G230" i="7"/>
  <c r="K230" i="7"/>
  <c r="G40" i="7"/>
  <c r="K40" i="7"/>
  <c r="G244" i="7"/>
  <c r="K244" i="7"/>
  <c r="G636" i="7"/>
  <c r="K636" i="7"/>
  <c r="G474" i="7"/>
  <c r="K474" i="7"/>
  <c r="G70" i="7"/>
  <c r="K70" i="7"/>
  <c r="G621" i="7"/>
  <c r="K621" i="7"/>
  <c r="I136" i="8"/>
  <c r="J136" i="8"/>
  <c r="F136" i="8"/>
  <c r="G136" i="8" s="1"/>
  <c r="I642" i="8"/>
  <c r="J642" i="8"/>
  <c r="F642" i="8"/>
  <c r="G642" i="8" s="1"/>
  <c r="H642" i="8" s="1"/>
  <c r="I218" i="8"/>
  <c r="J218" i="8"/>
  <c r="F218" i="8"/>
  <c r="G218" i="8" s="1"/>
  <c r="I313" i="8"/>
  <c r="J313" i="8"/>
  <c r="F313" i="8"/>
  <c r="G313" i="8" s="1"/>
  <c r="I281" i="8"/>
  <c r="J281" i="8"/>
  <c r="F281" i="8"/>
  <c r="G281" i="8" s="1"/>
  <c r="H281" i="8" s="1"/>
  <c r="I280" i="8"/>
  <c r="J280" i="8"/>
  <c r="F280" i="8"/>
  <c r="G280" i="8" s="1"/>
  <c r="I451" i="8"/>
  <c r="J451" i="8"/>
  <c r="F451" i="8"/>
  <c r="G451" i="8" s="1"/>
  <c r="I420" i="8"/>
  <c r="J420" i="8"/>
  <c r="F420" i="8"/>
  <c r="G420" i="8" s="1"/>
  <c r="I389" i="8"/>
  <c r="J389" i="8"/>
  <c r="F389" i="8"/>
  <c r="G389" i="8" s="1"/>
  <c r="I356" i="8"/>
  <c r="J356" i="8"/>
  <c r="F356" i="8"/>
  <c r="G356" i="8" s="1"/>
  <c r="I497" i="8"/>
  <c r="J497" i="8"/>
  <c r="F497" i="8"/>
  <c r="G497" i="8" s="1"/>
  <c r="I96" i="8"/>
  <c r="J96" i="8"/>
  <c r="F96" i="8"/>
  <c r="G96" i="8" s="1"/>
  <c r="I550" i="8"/>
  <c r="J550" i="8"/>
  <c r="F550" i="8"/>
  <c r="G550" i="8" s="1"/>
  <c r="H550" i="8" s="1"/>
  <c r="I518" i="8"/>
  <c r="J518" i="8"/>
  <c r="F518" i="8"/>
  <c r="G518" i="8" s="1"/>
  <c r="I248" i="8"/>
  <c r="J248" i="8"/>
  <c r="F248" i="8"/>
  <c r="G248" i="8" s="1"/>
  <c r="I667" i="8"/>
  <c r="J667" i="8"/>
  <c r="F667" i="8"/>
  <c r="G667" i="8" s="1"/>
  <c r="I635" i="8"/>
  <c r="J635" i="8"/>
  <c r="F635" i="8"/>
  <c r="G635" i="8" s="1"/>
  <c r="I215" i="8"/>
  <c r="J215" i="8"/>
  <c r="F215" i="8"/>
  <c r="G215" i="8" s="1"/>
  <c r="H215" i="8" s="1"/>
  <c r="I310" i="8"/>
  <c r="J310" i="8"/>
  <c r="F310" i="8"/>
  <c r="G310" i="8" s="1"/>
  <c r="I199" i="8"/>
  <c r="J199" i="8"/>
  <c r="F199" i="8"/>
  <c r="G199" i="8" s="1"/>
  <c r="I277" i="8"/>
  <c r="J277" i="8"/>
  <c r="F277" i="8"/>
  <c r="G277" i="8" s="1"/>
  <c r="H277" i="8" s="1"/>
  <c r="I448" i="8"/>
  <c r="J448" i="8"/>
  <c r="F448" i="8"/>
  <c r="G448" i="8" s="1"/>
  <c r="I417" i="8"/>
  <c r="J417" i="8"/>
  <c r="F417" i="8"/>
  <c r="G417" i="8" s="1"/>
  <c r="I386" i="8"/>
  <c r="J386" i="8"/>
  <c r="F386" i="8"/>
  <c r="G386" i="8" s="1"/>
  <c r="I357" i="8"/>
  <c r="J357" i="8"/>
  <c r="F357" i="8"/>
  <c r="G357" i="8" s="1"/>
  <c r="I82" i="8"/>
  <c r="J82" i="8"/>
  <c r="F82" i="8"/>
  <c r="G82" i="8" s="1"/>
  <c r="H82" i="8" s="1"/>
  <c r="I474" i="8"/>
  <c r="J474" i="8"/>
  <c r="F474" i="8"/>
  <c r="G474" i="8" s="1"/>
  <c r="I17" i="8"/>
  <c r="J17" i="8"/>
  <c r="F17" i="8"/>
  <c r="G17" i="8" s="1"/>
  <c r="I531" i="8"/>
  <c r="J531" i="8"/>
  <c r="F531" i="8"/>
  <c r="G531" i="8" s="1"/>
  <c r="H531" i="8" s="1"/>
  <c r="I261" i="8"/>
  <c r="J261" i="8"/>
  <c r="F261" i="8"/>
  <c r="G261" i="8" s="1"/>
  <c r="I229" i="8"/>
  <c r="J229" i="8"/>
  <c r="F229" i="8"/>
  <c r="G229" i="8" s="1"/>
  <c r="I325" i="8"/>
  <c r="J325" i="8"/>
  <c r="F325" i="8"/>
  <c r="G325" i="8" s="1"/>
  <c r="H325" i="8" s="1"/>
  <c r="I76" i="8"/>
  <c r="J76" i="8"/>
  <c r="F76" i="8"/>
  <c r="G76" i="8" s="1"/>
  <c r="I168" i="8"/>
  <c r="J168" i="8"/>
  <c r="F168" i="8"/>
  <c r="G168" i="8" s="1"/>
  <c r="H168" i="8" s="1"/>
  <c r="I669" i="8"/>
  <c r="J669" i="8"/>
  <c r="F669" i="8"/>
  <c r="G669" i="8" s="1"/>
  <c r="I585" i="8"/>
  <c r="J585" i="8"/>
  <c r="F585" i="8"/>
  <c r="G585" i="8" s="1"/>
  <c r="I328" i="8"/>
  <c r="J328" i="8"/>
  <c r="F328" i="8"/>
  <c r="G328" i="8" s="1"/>
  <c r="H328" i="8" s="1"/>
  <c r="G527" i="7"/>
  <c r="K527" i="7"/>
  <c r="G633" i="7"/>
  <c r="K633" i="7"/>
  <c r="G202" i="7"/>
  <c r="K202" i="7"/>
  <c r="G600" i="7"/>
  <c r="K600" i="7"/>
  <c r="G29" i="7"/>
  <c r="K29" i="7"/>
  <c r="G150" i="7"/>
  <c r="K150" i="7"/>
  <c r="G409" i="7"/>
  <c r="K409" i="7"/>
  <c r="G57" i="7"/>
  <c r="K57" i="7"/>
  <c r="G196" i="7"/>
  <c r="K196" i="7"/>
  <c r="G472" i="7"/>
  <c r="K472" i="7"/>
  <c r="G337" i="7"/>
  <c r="K337" i="7"/>
  <c r="G320" i="7"/>
  <c r="K320" i="7"/>
  <c r="G680" i="7"/>
  <c r="K680" i="7"/>
  <c r="G404" i="7"/>
  <c r="K404" i="7"/>
  <c r="I660" i="8"/>
  <c r="J660" i="8"/>
  <c r="F660" i="8"/>
  <c r="G660" i="8" s="1"/>
  <c r="H660" i="8" s="1"/>
  <c r="I628" i="8"/>
  <c r="J628" i="8"/>
  <c r="F628" i="8"/>
  <c r="G628" i="8" s="1"/>
  <c r="I209" i="8"/>
  <c r="J209" i="8"/>
  <c r="F209" i="8"/>
  <c r="G209" i="8" s="1"/>
  <c r="I307" i="8"/>
  <c r="J307" i="8"/>
  <c r="F307" i="8"/>
  <c r="G307" i="8" s="1"/>
  <c r="H307" i="8" s="1"/>
  <c r="I200" i="8"/>
  <c r="J200" i="8"/>
  <c r="F200" i="8"/>
  <c r="G200" i="8" s="1"/>
  <c r="I274" i="8"/>
  <c r="J274" i="8"/>
  <c r="F274" i="8"/>
  <c r="G274" i="8" s="1"/>
  <c r="I449" i="8"/>
  <c r="J449" i="8"/>
  <c r="F449" i="8"/>
  <c r="G449" i="8" s="1"/>
  <c r="H449" i="8" s="1"/>
  <c r="I412" i="8"/>
  <c r="J412" i="8"/>
  <c r="F412" i="8"/>
  <c r="G412" i="8" s="1"/>
  <c r="I383" i="8"/>
  <c r="J383" i="8"/>
  <c r="F383" i="8"/>
  <c r="G383" i="8" s="1"/>
  <c r="H383" i="8" s="1"/>
  <c r="I146" i="8"/>
  <c r="J146" i="8"/>
  <c r="F146" i="8"/>
  <c r="G146" i="8" s="1"/>
  <c r="I503" i="8"/>
  <c r="J503" i="8"/>
  <c r="F503" i="8"/>
  <c r="G503" i="8" s="1"/>
  <c r="I102" i="8"/>
  <c r="J102" i="8"/>
  <c r="F102" i="8"/>
  <c r="G102" i="8" s="1"/>
  <c r="H102" i="8" s="1"/>
  <c r="I14" i="8"/>
  <c r="J14" i="8"/>
  <c r="F14" i="8"/>
  <c r="G14" i="8" s="1"/>
  <c r="I528" i="8"/>
  <c r="J528" i="8"/>
  <c r="F528" i="8"/>
  <c r="G528" i="8" s="1"/>
  <c r="I258" i="8"/>
  <c r="J258" i="8"/>
  <c r="F258" i="8"/>
  <c r="G258" i="8" s="1"/>
  <c r="I226" i="8"/>
  <c r="J226" i="8"/>
  <c r="F226" i="8"/>
  <c r="G226" i="8" s="1"/>
  <c r="I54" i="8"/>
  <c r="J54" i="8"/>
  <c r="F54" i="8"/>
  <c r="G54" i="8" s="1"/>
  <c r="I70" i="8"/>
  <c r="J70" i="8"/>
  <c r="F70" i="8"/>
  <c r="G70" i="8" s="1"/>
  <c r="I171" i="8"/>
  <c r="J171" i="8"/>
  <c r="F171" i="8"/>
  <c r="G171" i="8" s="1"/>
  <c r="I671" i="8"/>
  <c r="J671" i="8"/>
  <c r="F671" i="8"/>
  <c r="G671" i="8" s="1"/>
  <c r="H671" i="8" s="1"/>
  <c r="I587" i="8"/>
  <c r="J587" i="8"/>
  <c r="F587" i="8"/>
  <c r="G587" i="8" s="1"/>
  <c r="I332" i="8"/>
  <c r="J332" i="8"/>
  <c r="F332" i="8"/>
  <c r="G332" i="8" s="1"/>
  <c r="I657" i="8"/>
  <c r="J657" i="8"/>
  <c r="F657" i="8"/>
  <c r="G657" i="8" s="1"/>
  <c r="I625" i="8"/>
  <c r="J625" i="8"/>
  <c r="F625" i="8"/>
  <c r="G625" i="8" s="1"/>
  <c r="I46" i="8"/>
  <c r="J46" i="8"/>
  <c r="F46" i="8"/>
  <c r="G46" i="8" s="1"/>
  <c r="H46" i="8" s="1"/>
  <c r="I285" i="8"/>
  <c r="J285" i="8"/>
  <c r="F285" i="8"/>
  <c r="G285" i="8" s="1"/>
  <c r="I174" i="8"/>
  <c r="J174" i="8"/>
  <c r="F174" i="8"/>
  <c r="G174" i="8" s="1"/>
  <c r="I454" i="8"/>
  <c r="J454" i="8"/>
  <c r="F454" i="8"/>
  <c r="G454" i="8" s="1"/>
  <c r="H454" i="8" s="1"/>
  <c r="I423" i="8"/>
  <c r="J423" i="8"/>
  <c r="F423" i="8"/>
  <c r="G423" i="8" s="1"/>
  <c r="I388" i="8"/>
  <c r="J388" i="8"/>
  <c r="F388" i="8"/>
  <c r="G388" i="8" s="1"/>
  <c r="I355" i="8"/>
  <c r="J355" i="8"/>
  <c r="F355" i="8"/>
  <c r="G355" i="8" s="1"/>
  <c r="H355" i="8" s="1"/>
  <c r="I496" i="8"/>
  <c r="J496" i="8"/>
  <c r="F496" i="8"/>
  <c r="G496" i="8" s="1"/>
  <c r="I121" i="8"/>
  <c r="J121" i="8"/>
  <c r="F121" i="8"/>
  <c r="G121" i="8" s="1"/>
  <c r="H121" i="8" s="1"/>
  <c r="I545" i="8"/>
  <c r="J545" i="8"/>
  <c r="F545" i="8"/>
  <c r="G545" i="8" s="1"/>
  <c r="I513" i="8"/>
  <c r="J513" i="8"/>
  <c r="F513" i="8"/>
  <c r="G513" i="8" s="1"/>
  <c r="I243" i="8"/>
  <c r="J243" i="8"/>
  <c r="F243" i="8"/>
  <c r="G243" i="8" s="1"/>
  <c r="H243" i="8" s="1"/>
  <c r="I558" i="8"/>
  <c r="J558" i="8"/>
  <c r="F558" i="8"/>
  <c r="G558" i="8" s="1"/>
  <c r="I37" i="8"/>
  <c r="J37" i="8"/>
  <c r="F37" i="8"/>
  <c r="G37" i="8" s="1"/>
  <c r="I159" i="8"/>
  <c r="J159" i="8"/>
  <c r="F159" i="8"/>
  <c r="G159" i="8" s="1"/>
  <c r="I682" i="8"/>
  <c r="J682" i="8"/>
  <c r="F682" i="8"/>
  <c r="G682" i="8" s="1"/>
  <c r="I600" i="8"/>
  <c r="J600" i="8"/>
  <c r="F600" i="8"/>
  <c r="G600" i="8" s="1"/>
  <c r="I345" i="8"/>
  <c r="J345" i="8"/>
  <c r="F345" i="8"/>
  <c r="G345" i="8" s="1"/>
  <c r="G422" i="7"/>
  <c r="K422" i="7"/>
  <c r="G123" i="7"/>
  <c r="K123" i="7"/>
  <c r="G281" i="7"/>
  <c r="K281" i="7"/>
  <c r="G346" i="7"/>
  <c r="K346" i="7"/>
  <c r="G480" i="7"/>
  <c r="K480" i="7"/>
  <c r="I564" i="8"/>
  <c r="J564" i="8"/>
  <c r="F564" i="8"/>
  <c r="G564" i="8" s="1"/>
  <c r="H564" i="8" s="1"/>
  <c r="I326" i="8"/>
  <c r="J326" i="8"/>
  <c r="F326" i="8"/>
  <c r="G326" i="8" s="1"/>
  <c r="I73" i="8"/>
  <c r="J73" i="8"/>
  <c r="F73" i="8"/>
  <c r="G73" i="8" s="1"/>
  <c r="I103" i="8"/>
  <c r="J103" i="8"/>
  <c r="F103" i="8"/>
  <c r="G103" i="8" s="1"/>
  <c r="H103" i="8" s="1"/>
  <c r="I674" i="8"/>
  <c r="J674" i="8"/>
  <c r="F674" i="8"/>
  <c r="G674" i="8" s="1"/>
  <c r="I590" i="8"/>
  <c r="J590" i="8"/>
  <c r="F590" i="8"/>
  <c r="G590" i="8" s="1"/>
  <c r="I335" i="8"/>
  <c r="J335" i="8"/>
  <c r="F335" i="8"/>
  <c r="G335" i="8" s="1"/>
  <c r="H335" i="8" s="1"/>
  <c r="G148" i="7"/>
  <c r="K148" i="7"/>
  <c r="G509" i="7"/>
  <c r="K509" i="7"/>
  <c r="G51" i="7"/>
  <c r="K51" i="7"/>
  <c r="G156" i="7"/>
  <c r="K156" i="7"/>
  <c r="G111" i="7"/>
  <c r="K111" i="7"/>
  <c r="G139" i="7"/>
  <c r="K139" i="7"/>
  <c r="G31" i="7"/>
  <c r="K31" i="7"/>
  <c r="G64" i="7"/>
  <c r="K64" i="7"/>
  <c r="G473" i="7"/>
  <c r="K473" i="7"/>
  <c r="G334" i="7"/>
  <c r="K334" i="7"/>
  <c r="G100" i="7"/>
  <c r="K100" i="7"/>
  <c r="G466" i="7"/>
  <c r="K466" i="7"/>
  <c r="G469" i="7"/>
  <c r="K469" i="7"/>
  <c r="G403" i="7"/>
  <c r="K403" i="7"/>
  <c r="G386" i="7"/>
  <c r="K386" i="7"/>
  <c r="G433" i="7"/>
  <c r="K433" i="7"/>
  <c r="G405" i="7"/>
  <c r="K405" i="7"/>
  <c r="G627" i="7"/>
  <c r="K627" i="7"/>
  <c r="G501" i="7"/>
  <c r="K501" i="7"/>
  <c r="G672" i="7"/>
  <c r="K672" i="7"/>
  <c r="G539" i="7"/>
  <c r="K539" i="7"/>
  <c r="J747" i="12"/>
  <c r="M747" i="12" s="1"/>
  <c r="J769" i="12"/>
  <c r="M769" i="12" s="1"/>
  <c r="J733" i="12"/>
  <c r="M733" i="12" s="1"/>
  <c r="J781" i="12"/>
  <c r="M781" i="12" s="1"/>
  <c r="J785" i="12"/>
  <c r="M785" i="12" s="1"/>
  <c r="J702" i="12"/>
  <c r="M702" i="12" s="1"/>
  <c r="J786" i="12"/>
  <c r="M786" i="12" s="1"/>
  <c r="J686" i="12"/>
  <c r="M686" i="12" s="1"/>
  <c r="J715" i="12"/>
  <c r="M715" i="12" s="1"/>
  <c r="J711" i="12"/>
  <c r="M711" i="12" s="1"/>
  <c r="J780" i="12"/>
  <c r="M780" i="12" s="1"/>
  <c r="J712" i="12"/>
  <c r="M712" i="12" s="1"/>
  <c r="J793" i="12"/>
  <c r="M793" i="12" s="1"/>
  <c r="G182" i="7"/>
  <c r="K182" i="7"/>
  <c r="G86" i="7"/>
  <c r="K86" i="7"/>
  <c r="G550" i="7"/>
  <c r="K550" i="7"/>
  <c r="G496" i="7"/>
  <c r="K496" i="7"/>
  <c r="G546" i="7"/>
  <c r="K546" i="7"/>
  <c r="G610" i="7"/>
  <c r="K610" i="7"/>
  <c r="G407" i="7"/>
  <c r="K407" i="7"/>
  <c r="G301" i="7"/>
  <c r="K301" i="7"/>
  <c r="G206" i="7"/>
  <c r="K206" i="7"/>
  <c r="G656" i="7"/>
  <c r="K656" i="7"/>
  <c r="G247" i="7"/>
  <c r="K247" i="7"/>
  <c r="G24" i="7"/>
  <c r="K24" i="7"/>
  <c r="G419" i="7"/>
  <c r="K419" i="7"/>
  <c r="G129" i="7"/>
  <c r="K129" i="7"/>
  <c r="G329" i="7"/>
  <c r="K329" i="7"/>
  <c r="G567" i="7"/>
  <c r="K567" i="7"/>
  <c r="G590" i="7"/>
  <c r="K590" i="7"/>
  <c r="G537" i="7"/>
  <c r="K537" i="7"/>
  <c r="G397" i="7"/>
  <c r="K397" i="7"/>
  <c r="G126" i="7"/>
  <c r="K126" i="7"/>
  <c r="G164" i="7"/>
  <c r="K164" i="7"/>
  <c r="G554" i="7"/>
  <c r="K554" i="7"/>
  <c r="G478" i="7"/>
  <c r="K478" i="7"/>
  <c r="G644" i="7"/>
  <c r="K644" i="7"/>
  <c r="G268" i="7"/>
  <c r="K268" i="7"/>
  <c r="G43" i="7"/>
  <c r="K43" i="7"/>
  <c r="G16" i="7"/>
  <c r="K16" i="7"/>
  <c r="G58" i="7"/>
  <c r="K58" i="7"/>
  <c r="G11" i="7"/>
  <c r="K11" i="7"/>
  <c r="G330" i="7"/>
  <c r="K330" i="7"/>
  <c r="G387" i="7"/>
  <c r="K387" i="7"/>
  <c r="G354" i="7"/>
  <c r="K354" i="7"/>
  <c r="G124" i="7"/>
  <c r="K124" i="7"/>
  <c r="G500" i="7"/>
  <c r="K500" i="7"/>
  <c r="J335" i="12"/>
  <c r="M335" i="12" s="1"/>
  <c r="G272" i="7"/>
  <c r="K272" i="7"/>
  <c r="G102" i="7"/>
  <c r="K102" i="7"/>
  <c r="G104" i="7"/>
  <c r="K104" i="7"/>
  <c r="G258" i="7"/>
  <c r="K258" i="7"/>
  <c r="G228" i="7"/>
  <c r="K228" i="7"/>
  <c r="G498" i="7"/>
  <c r="K498" i="7"/>
  <c r="G109" i="7"/>
  <c r="K109" i="7"/>
  <c r="G216" i="7"/>
  <c r="K216" i="7"/>
  <c r="G692" i="7"/>
  <c r="K692" i="7"/>
  <c r="G92" i="7"/>
  <c r="K92" i="7"/>
  <c r="G379" i="7"/>
  <c r="K379" i="7"/>
  <c r="G313" i="7"/>
  <c r="K313" i="7"/>
  <c r="G327" i="7"/>
  <c r="K327" i="7"/>
  <c r="G134" i="7"/>
  <c r="K134" i="7"/>
  <c r="G383" i="7"/>
  <c r="K383" i="7"/>
  <c r="G444" i="7"/>
  <c r="K444" i="7"/>
  <c r="G107" i="7"/>
  <c r="K107" i="7"/>
  <c r="J108" i="12"/>
  <c r="M108" i="12" s="1"/>
  <c r="I43" i="8"/>
  <c r="J43" i="8"/>
  <c r="F43" i="8"/>
  <c r="G43" i="8" s="1"/>
  <c r="H43" i="8" s="1"/>
  <c r="I455" i="8"/>
  <c r="J455" i="8"/>
  <c r="F455" i="8"/>
  <c r="G455" i="8" s="1"/>
  <c r="I360" i="8"/>
  <c r="J360" i="8"/>
  <c r="F360" i="8"/>
  <c r="G360" i="8" s="1"/>
  <c r="I100" i="8"/>
  <c r="J100" i="8"/>
  <c r="F100" i="8"/>
  <c r="G100" i="8" s="1"/>
  <c r="H100" i="8" s="1"/>
  <c r="I133" i="8"/>
  <c r="J133" i="8"/>
  <c r="F133" i="8"/>
  <c r="G133" i="8" s="1"/>
  <c r="I219" i="8"/>
  <c r="J219" i="8"/>
  <c r="F219" i="8"/>
  <c r="G219" i="8" s="1"/>
  <c r="H219" i="8" s="1"/>
  <c r="I172" i="8"/>
  <c r="J172" i="8"/>
  <c r="F172" i="8"/>
  <c r="G172" i="8" s="1"/>
  <c r="H172" i="8" s="1"/>
  <c r="I421" i="8"/>
  <c r="J421" i="8"/>
  <c r="F421" i="8"/>
  <c r="G421" i="8" s="1"/>
  <c r="I86" i="8"/>
  <c r="J86" i="8"/>
  <c r="F86" i="8"/>
  <c r="G86" i="8" s="1"/>
  <c r="I535" i="8"/>
  <c r="J535" i="8"/>
  <c r="F535" i="8"/>
  <c r="G535" i="8" s="1"/>
  <c r="I56" i="8"/>
  <c r="J56" i="8"/>
  <c r="F56" i="8"/>
  <c r="G56" i="8" s="1"/>
  <c r="I673" i="8"/>
  <c r="J673" i="8"/>
  <c r="F673" i="8"/>
  <c r="G673" i="8" s="1"/>
  <c r="H673" i="8" s="1"/>
  <c r="G361" i="7"/>
  <c r="K361" i="7"/>
  <c r="G125" i="7"/>
  <c r="K125" i="7"/>
  <c r="G20" i="7"/>
  <c r="K20" i="7"/>
  <c r="G87" i="7"/>
  <c r="K87" i="7"/>
  <c r="G170" i="7"/>
  <c r="K170" i="7"/>
  <c r="I632" i="8"/>
  <c r="J632" i="8"/>
  <c r="F632" i="8"/>
  <c r="G632" i="8" s="1"/>
  <c r="I453" i="8"/>
  <c r="J453" i="8"/>
  <c r="F453" i="8"/>
  <c r="G453" i="8" s="1"/>
  <c r="H453" i="8" s="1"/>
  <c r="I354" i="8"/>
  <c r="J354" i="8"/>
  <c r="F354" i="8"/>
  <c r="G354" i="8" s="1"/>
  <c r="I475" i="8"/>
  <c r="J475" i="8"/>
  <c r="F475" i="8"/>
  <c r="G475" i="8" s="1"/>
  <c r="I262" i="8"/>
  <c r="J262" i="8"/>
  <c r="F262" i="8"/>
  <c r="G262" i="8" s="1"/>
  <c r="H262" i="8" s="1"/>
  <c r="I58" i="8"/>
  <c r="J58" i="8"/>
  <c r="F58" i="8"/>
  <c r="G58" i="8" s="1"/>
  <c r="I104" i="8"/>
  <c r="J104" i="8"/>
  <c r="F104" i="8"/>
  <c r="G104" i="8" s="1"/>
  <c r="H104" i="8" s="1"/>
  <c r="I336" i="8"/>
  <c r="J336" i="8"/>
  <c r="F336" i="8"/>
  <c r="G336" i="8" s="1"/>
  <c r="I50" i="8"/>
  <c r="J50" i="8"/>
  <c r="F50" i="8"/>
  <c r="G50" i="8" s="1"/>
  <c r="I458" i="8"/>
  <c r="J458" i="8"/>
  <c r="F458" i="8"/>
  <c r="G458" i="8" s="1"/>
  <c r="H458" i="8" s="1"/>
  <c r="I359" i="8"/>
  <c r="J359" i="8"/>
  <c r="F359" i="8"/>
  <c r="G359" i="8" s="1"/>
  <c r="I549" i="8"/>
  <c r="J549" i="8"/>
  <c r="F549" i="8"/>
  <c r="G549" i="8" s="1"/>
  <c r="I40" i="8"/>
  <c r="J40" i="8"/>
  <c r="F40" i="8"/>
  <c r="G40" i="8" s="1"/>
  <c r="H40" i="8" s="1"/>
  <c r="I604" i="8"/>
  <c r="J604" i="8"/>
  <c r="F604" i="8"/>
  <c r="G604" i="8" s="1"/>
  <c r="G602" i="7"/>
  <c r="K602" i="7"/>
  <c r="G220" i="7"/>
  <c r="K220" i="7"/>
  <c r="G504" i="7"/>
  <c r="K504" i="7"/>
  <c r="J575" i="9"/>
  <c r="L10" i="9"/>
  <c r="G323" i="7"/>
  <c r="K323" i="7"/>
  <c r="G626" i="7"/>
  <c r="K626" i="7"/>
  <c r="G158" i="7"/>
  <c r="K158" i="7"/>
  <c r="G78" i="7"/>
  <c r="K78" i="7"/>
  <c r="G113" i="7"/>
  <c r="K113" i="7"/>
  <c r="G250" i="7"/>
  <c r="K250" i="7"/>
  <c r="G237" i="7"/>
  <c r="K237" i="7"/>
  <c r="G442" i="7"/>
  <c r="K442" i="7"/>
  <c r="G661" i="7"/>
  <c r="K661" i="7"/>
  <c r="G89" i="7"/>
  <c r="K89" i="7"/>
  <c r="G83" i="7"/>
  <c r="K83" i="7"/>
  <c r="G36" i="7"/>
  <c r="K36" i="7"/>
  <c r="G570" i="7"/>
  <c r="K570" i="7"/>
  <c r="G508" i="7"/>
  <c r="K508" i="7"/>
  <c r="G571" i="7"/>
  <c r="K571" i="7"/>
  <c r="G201" i="7"/>
  <c r="K201" i="7"/>
  <c r="G631" i="7"/>
  <c r="K631" i="7"/>
  <c r="G516" i="7"/>
  <c r="K516" i="7"/>
  <c r="G427" i="7"/>
  <c r="K427" i="7"/>
  <c r="G581" i="7"/>
  <c r="K581" i="7"/>
  <c r="G578" i="7"/>
  <c r="K578" i="7"/>
  <c r="G108" i="7"/>
  <c r="K108" i="7"/>
  <c r="G359" i="7"/>
  <c r="K359" i="7"/>
  <c r="G23" i="7"/>
  <c r="K23" i="7"/>
  <c r="G287" i="7"/>
  <c r="K287" i="7"/>
  <c r="G15" i="7"/>
  <c r="K15" i="7"/>
  <c r="G352" i="7"/>
  <c r="K352" i="7"/>
  <c r="G140" i="7"/>
  <c r="K140" i="7"/>
  <c r="G317" i="7"/>
  <c r="K317" i="7"/>
  <c r="G197" i="7"/>
  <c r="K197" i="7"/>
  <c r="G372" i="7"/>
  <c r="K372" i="7"/>
  <c r="G589" i="7"/>
  <c r="K589" i="7"/>
  <c r="G487" i="7"/>
  <c r="K487" i="7"/>
  <c r="G13" i="7"/>
  <c r="K13" i="7"/>
  <c r="G566" i="7"/>
  <c r="K566" i="7"/>
  <c r="G338" i="7"/>
  <c r="K338" i="7"/>
  <c r="G437" i="7"/>
  <c r="K437" i="7"/>
  <c r="G25" i="7"/>
  <c r="K25" i="7"/>
  <c r="G210" i="7"/>
  <c r="K210" i="7"/>
  <c r="G596" i="7"/>
  <c r="K596" i="7"/>
  <c r="G641" i="7"/>
  <c r="K641" i="7"/>
  <c r="G408" i="7"/>
  <c r="K408" i="7"/>
  <c r="G655" i="7"/>
  <c r="K655" i="7"/>
  <c r="J238" i="12"/>
  <c r="M238" i="12" s="1"/>
  <c r="J206" i="12"/>
  <c r="M206" i="12" s="1"/>
  <c r="J586" i="12"/>
  <c r="M586" i="12" s="1"/>
  <c r="J600" i="12"/>
  <c r="M600" i="12" s="1"/>
  <c r="J471" i="12"/>
  <c r="M471" i="12" s="1"/>
  <c r="J78" i="12"/>
  <c r="M78" i="12" s="1"/>
  <c r="J294" i="12"/>
  <c r="M294" i="12" s="1"/>
  <c r="J268" i="12"/>
  <c r="M268" i="12" s="1"/>
  <c r="I132" i="8"/>
  <c r="J132" i="8"/>
  <c r="F132" i="8"/>
  <c r="G132" i="8" s="1"/>
  <c r="I638" i="8"/>
  <c r="J638" i="8"/>
  <c r="F638" i="8"/>
  <c r="G638" i="8" s="1"/>
  <c r="I214" i="8"/>
  <c r="J214" i="8"/>
  <c r="F214" i="8"/>
  <c r="G214" i="8" s="1"/>
  <c r="H214" i="8" s="1"/>
  <c r="I309" i="8"/>
  <c r="J309" i="8"/>
  <c r="F309" i="8"/>
  <c r="G309" i="8" s="1"/>
  <c r="I198" i="8"/>
  <c r="J198" i="8"/>
  <c r="F198" i="8"/>
  <c r="G198" i="8" s="1"/>
  <c r="H198" i="8" s="1"/>
  <c r="I276" i="8"/>
  <c r="J276" i="8"/>
  <c r="F276" i="8"/>
  <c r="G276" i="8" s="1"/>
  <c r="I447" i="8"/>
  <c r="J447" i="8"/>
  <c r="F447" i="8"/>
  <c r="G447" i="8" s="1"/>
  <c r="I416" i="8"/>
  <c r="J416" i="8"/>
  <c r="F416" i="8"/>
  <c r="G416" i="8" s="1"/>
  <c r="H416" i="8" s="1"/>
  <c r="I385" i="8"/>
  <c r="J385" i="8"/>
  <c r="F385" i="8"/>
  <c r="G385" i="8" s="1"/>
  <c r="I148" i="8"/>
  <c r="J148" i="8"/>
  <c r="F148" i="8"/>
  <c r="G148" i="8" s="1"/>
  <c r="H148" i="8" s="1"/>
  <c r="I493" i="8"/>
  <c r="J493" i="8"/>
  <c r="F493" i="8"/>
  <c r="G493" i="8" s="1"/>
  <c r="H493" i="8" s="1"/>
  <c r="I122" i="8"/>
  <c r="J122" i="8"/>
  <c r="F122" i="8"/>
  <c r="G122" i="8" s="1"/>
  <c r="I546" i="8"/>
  <c r="J546" i="8"/>
  <c r="F546" i="8"/>
  <c r="G546" i="8" s="1"/>
  <c r="I514" i="8"/>
  <c r="J514" i="8"/>
  <c r="F514" i="8"/>
  <c r="G514" i="8" s="1"/>
  <c r="I244" i="8"/>
  <c r="J244" i="8"/>
  <c r="F244" i="8"/>
  <c r="G244" i="8" s="1"/>
  <c r="I663" i="8"/>
  <c r="J663" i="8"/>
  <c r="F663" i="8"/>
  <c r="G663" i="8" s="1"/>
  <c r="H663" i="8" s="1"/>
  <c r="I631" i="8"/>
  <c r="J631" i="8"/>
  <c r="F631" i="8"/>
  <c r="G631" i="8" s="1"/>
  <c r="I212" i="8"/>
  <c r="J212" i="8"/>
  <c r="F212" i="8"/>
  <c r="G212" i="8" s="1"/>
  <c r="I306" i="8"/>
  <c r="J306" i="8"/>
  <c r="F306" i="8"/>
  <c r="G306" i="8" s="1"/>
  <c r="I195" i="8"/>
  <c r="J195" i="8"/>
  <c r="F195" i="8"/>
  <c r="G195" i="8" s="1"/>
  <c r="I273" i="8"/>
  <c r="J273" i="8"/>
  <c r="F273" i="8"/>
  <c r="G273" i="8" s="1"/>
  <c r="H273" i="8" s="1"/>
  <c r="I444" i="8"/>
  <c r="J444" i="8"/>
  <c r="F444" i="8"/>
  <c r="G444" i="8" s="1"/>
  <c r="I415" i="8"/>
  <c r="J415" i="8"/>
  <c r="F415" i="8"/>
  <c r="G415" i="8" s="1"/>
  <c r="I382" i="8"/>
  <c r="J382" i="8"/>
  <c r="F382" i="8"/>
  <c r="G382" i="8" s="1"/>
  <c r="H382" i="8" s="1"/>
  <c r="I149" i="8"/>
  <c r="J149" i="8"/>
  <c r="F149" i="8"/>
  <c r="G149" i="8" s="1"/>
  <c r="I502" i="8"/>
  <c r="J502" i="8"/>
  <c r="F502" i="8"/>
  <c r="G502" i="8" s="1"/>
  <c r="I101" i="8"/>
  <c r="J101" i="8"/>
  <c r="F101" i="8"/>
  <c r="G101" i="8" s="1"/>
  <c r="H101" i="8" s="1"/>
  <c r="I13" i="8"/>
  <c r="J13" i="8"/>
  <c r="F13" i="8"/>
  <c r="I527" i="8"/>
  <c r="J527" i="8"/>
  <c r="F527" i="8"/>
  <c r="G527" i="8" s="1"/>
  <c r="H527" i="8" s="1"/>
  <c r="I257" i="8"/>
  <c r="J257" i="8"/>
  <c r="F257" i="8"/>
  <c r="G257" i="8" s="1"/>
  <c r="I126" i="8"/>
  <c r="J126" i="8"/>
  <c r="F126" i="8"/>
  <c r="G126" i="8" s="1"/>
  <c r="I321" i="8"/>
  <c r="J321" i="8"/>
  <c r="F321" i="8"/>
  <c r="G321" i="8" s="1"/>
  <c r="H321" i="8" s="1"/>
  <c r="I72" i="8"/>
  <c r="J72" i="8"/>
  <c r="F72" i="8"/>
  <c r="G72" i="8" s="1"/>
  <c r="I165" i="8"/>
  <c r="J165" i="8"/>
  <c r="F165" i="8"/>
  <c r="G165" i="8" s="1"/>
  <c r="H165" i="8" s="1"/>
  <c r="I613" i="8"/>
  <c r="J613" i="8"/>
  <c r="F613" i="8"/>
  <c r="G613" i="8" s="1"/>
  <c r="I581" i="8"/>
  <c r="J581" i="8"/>
  <c r="F581" i="8"/>
  <c r="G581" i="8" s="1"/>
  <c r="I330" i="8"/>
  <c r="J330" i="8"/>
  <c r="F330" i="8"/>
  <c r="G330" i="8" s="1"/>
  <c r="H330" i="8" s="1"/>
  <c r="G436" i="7"/>
  <c r="K436" i="7"/>
  <c r="G606" i="7"/>
  <c r="K606" i="7"/>
  <c r="G106" i="7"/>
  <c r="K106" i="7"/>
  <c r="G26" i="7"/>
  <c r="K26" i="7"/>
  <c r="G27" i="7"/>
  <c r="K27" i="7"/>
  <c r="G214" i="7"/>
  <c r="K214" i="7"/>
  <c r="G612" i="7"/>
  <c r="K612" i="7"/>
  <c r="G438" i="7"/>
  <c r="K438" i="7"/>
  <c r="G485" i="7"/>
  <c r="K485" i="7"/>
  <c r="G276" i="7"/>
  <c r="K276" i="7"/>
  <c r="G513" i="7"/>
  <c r="K513" i="7"/>
  <c r="G583" i="7"/>
  <c r="K583" i="7"/>
  <c r="G218" i="7"/>
  <c r="K218" i="7"/>
  <c r="G345" i="7"/>
  <c r="K345" i="7"/>
  <c r="I656" i="8"/>
  <c r="J656" i="8"/>
  <c r="F656" i="8"/>
  <c r="G656" i="8" s="1"/>
  <c r="I624" i="8"/>
  <c r="J624" i="8"/>
  <c r="F624" i="8"/>
  <c r="G624" i="8" s="1"/>
  <c r="I205" i="8"/>
  <c r="J205" i="8"/>
  <c r="F205" i="8"/>
  <c r="G205" i="8" s="1"/>
  <c r="I303" i="8"/>
  <c r="J303" i="8"/>
  <c r="F303" i="8"/>
  <c r="G303" i="8" s="1"/>
  <c r="I196" i="8"/>
  <c r="J196" i="8"/>
  <c r="F196" i="8"/>
  <c r="G196" i="8" s="1"/>
  <c r="H196" i="8" s="1"/>
  <c r="I270" i="8"/>
  <c r="J270" i="8"/>
  <c r="F270" i="8"/>
  <c r="G270" i="8" s="1"/>
  <c r="I445" i="8"/>
  <c r="J445" i="8"/>
  <c r="F445" i="8"/>
  <c r="G445" i="8" s="1"/>
  <c r="H445" i="8" s="1"/>
  <c r="I408" i="8"/>
  <c r="J408" i="8"/>
  <c r="F408" i="8"/>
  <c r="G408" i="8" s="1"/>
  <c r="I377" i="8"/>
  <c r="J377" i="8"/>
  <c r="F377" i="8"/>
  <c r="G377" i="8" s="1"/>
  <c r="I144" i="8"/>
  <c r="J144" i="8"/>
  <c r="F144" i="8"/>
  <c r="G144" i="8" s="1"/>
  <c r="H144" i="8" s="1"/>
  <c r="I499" i="8"/>
  <c r="J499" i="8"/>
  <c r="F499" i="8"/>
  <c r="G499" i="8" s="1"/>
  <c r="I98" i="8"/>
  <c r="J98" i="8"/>
  <c r="F98" i="8"/>
  <c r="G98" i="8" s="1"/>
  <c r="H98" i="8" s="1"/>
  <c r="J10" i="8"/>
  <c r="I10" i="8"/>
  <c r="F10" i="8"/>
  <c r="I524" i="8"/>
  <c r="J524" i="8"/>
  <c r="F524" i="8"/>
  <c r="G524" i="8" s="1"/>
  <c r="I254" i="8"/>
  <c r="J254" i="8"/>
  <c r="F254" i="8"/>
  <c r="G254" i="8" s="1"/>
  <c r="H254" i="8" s="1"/>
  <c r="I128" i="8"/>
  <c r="J128" i="8"/>
  <c r="F128" i="8"/>
  <c r="G128" i="8" s="1"/>
  <c r="I327" i="8"/>
  <c r="J327" i="8"/>
  <c r="F327" i="8"/>
  <c r="G327" i="8" s="1"/>
  <c r="I66" i="8"/>
  <c r="J66" i="8"/>
  <c r="F66" i="8"/>
  <c r="G66" i="8" s="1"/>
  <c r="I575" i="8"/>
  <c r="J575" i="8"/>
  <c r="F575" i="8"/>
  <c r="G575" i="8" s="1"/>
  <c r="I615" i="8"/>
  <c r="J615" i="8"/>
  <c r="F615" i="8"/>
  <c r="G615" i="8" s="1"/>
  <c r="H615" i="8" s="1"/>
  <c r="I583" i="8"/>
  <c r="J583" i="8"/>
  <c r="F583" i="8"/>
  <c r="G583" i="8" s="1"/>
  <c r="I653" i="8"/>
  <c r="J653" i="8"/>
  <c r="F653" i="8"/>
  <c r="G653" i="8" s="1"/>
  <c r="I621" i="8"/>
  <c r="J621" i="8"/>
  <c r="F621" i="8"/>
  <c r="G621" i="8" s="1"/>
  <c r="H621" i="8" s="1"/>
  <c r="I42" i="8"/>
  <c r="J42" i="8"/>
  <c r="F42" i="8"/>
  <c r="G42" i="8" s="1"/>
  <c r="I201" i="8"/>
  <c r="J201" i="8"/>
  <c r="F201" i="8"/>
  <c r="G201" i="8" s="1"/>
  <c r="I279" i="8"/>
  <c r="J279" i="8"/>
  <c r="F279" i="8"/>
  <c r="G279" i="8" s="1"/>
  <c r="H279" i="8" s="1"/>
  <c r="I450" i="8"/>
  <c r="J450" i="8"/>
  <c r="F450" i="8"/>
  <c r="G450" i="8" s="1"/>
  <c r="I419" i="8"/>
  <c r="J419" i="8"/>
  <c r="F419" i="8"/>
  <c r="G419" i="8" s="1"/>
  <c r="I384" i="8"/>
  <c r="J384" i="8"/>
  <c r="F384" i="8"/>
  <c r="G384" i="8" s="1"/>
  <c r="I147" i="8"/>
  <c r="J147" i="8"/>
  <c r="F147" i="8"/>
  <c r="G147" i="8" s="1"/>
  <c r="I492" i="8"/>
  <c r="J492" i="8"/>
  <c r="F492" i="8"/>
  <c r="G492" i="8" s="1"/>
  <c r="H492" i="8" s="1"/>
  <c r="I115" i="8"/>
  <c r="J115" i="8"/>
  <c r="F115" i="8"/>
  <c r="G115" i="8" s="1"/>
  <c r="I541" i="8"/>
  <c r="J541" i="8"/>
  <c r="F541" i="8"/>
  <c r="G541" i="8" s="1"/>
  <c r="I509" i="8"/>
  <c r="J509" i="8"/>
  <c r="F509" i="8"/>
  <c r="G509" i="8" s="1"/>
  <c r="H509" i="8" s="1"/>
  <c r="I239" i="8"/>
  <c r="J239" i="8"/>
  <c r="F239" i="8"/>
  <c r="G239" i="8" s="1"/>
  <c r="I63" i="8"/>
  <c r="J63" i="8"/>
  <c r="F63" i="8"/>
  <c r="G63" i="8" s="1"/>
  <c r="H63" i="8" s="1"/>
  <c r="I34" i="8"/>
  <c r="J34" i="8"/>
  <c r="F34" i="8"/>
  <c r="G34" i="8" s="1"/>
  <c r="I151" i="8"/>
  <c r="J151" i="8"/>
  <c r="F151" i="8"/>
  <c r="G151" i="8" s="1"/>
  <c r="I680" i="8"/>
  <c r="J680" i="8"/>
  <c r="F680" i="8"/>
  <c r="G680" i="8" s="1"/>
  <c r="H680" i="8" s="1"/>
  <c r="I596" i="8"/>
  <c r="J596" i="8"/>
  <c r="F596" i="8"/>
  <c r="G596" i="8" s="1"/>
  <c r="I341" i="8"/>
  <c r="J341" i="8"/>
  <c r="F341" i="8"/>
  <c r="G341" i="8" s="1"/>
  <c r="G207" i="7"/>
  <c r="K207" i="7"/>
  <c r="G522" i="7"/>
  <c r="K522" i="7"/>
  <c r="G447" i="7"/>
  <c r="K447" i="7"/>
  <c r="G168" i="7"/>
  <c r="K168" i="7"/>
  <c r="G507" i="7"/>
  <c r="K507" i="7"/>
  <c r="I322" i="8"/>
  <c r="J322" i="8"/>
  <c r="F322" i="8"/>
  <c r="G322" i="8" s="1"/>
  <c r="I69" i="8"/>
  <c r="J69" i="8"/>
  <c r="F69" i="8"/>
  <c r="G69" i="8" s="1"/>
  <c r="I170" i="8"/>
  <c r="J170" i="8"/>
  <c r="F170" i="8"/>
  <c r="G170" i="8" s="1"/>
  <c r="H170" i="8" s="1"/>
  <c r="I670" i="8"/>
  <c r="J670" i="8"/>
  <c r="F670" i="8"/>
  <c r="G670" i="8" s="1"/>
  <c r="I586" i="8"/>
  <c r="J586" i="8"/>
  <c r="F586" i="8"/>
  <c r="G586" i="8" s="1"/>
  <c r="H586" i="8" s="1"/>
  <c r="I331" i="8"/>
  <c r="J331" i="8"/>
  <c r="F331" i="8"/>
  <c r="G331" i="8" s="1"/>
  <c r="G312" i="7"/>
  <c r="K312" i="7"/>
  <c r="G393" i="7"/>
  <c r="K393" i="7"/>
  <c r="G200" i="7"/>
  <c r="K200" i="7"/>
  <c r="G456" i="7"/>
  <c r="K456" i="7"/>
  <c r="G88" i="7"/>
  <c r="K88" i="7"/>
  <c r="G368" i="7"/>
  <c r="K368" i="7"/>
  <c r="G186" i="7"/>
  <c r="K186" i="7"/>
  <c r="G314" i="7"/>
  <c r="K314" i="7"/>
  <c r="G375" i="7"/>
  <c r="K375" i="7"/>
  <c r="G528" i="7"/>
  <c r="K528" i="7"/>
  <c r="G624" i="7"/>
  <c r="K624" i="7"/>
  <c r="G511" i="7"/>
  <c r="K511" i="7"/>
  <c r="G112" i="7"/>
  <c r="K112" i="7"/>
  <c r="G293" i="7"/>
  <c r="K293" i="7"/>
  <c r="G21" i="7"/>
  <c r="K21" i="7"/>
  <c r="G310" i="7"/>
  <c r="K310" i="7"/>
  <c r="G598" i="7"/>
  <c r="K598" i="7"/>
  <c r="G520" i="7"/>
  <c r="K520" i="7"/>
  <c r="G273" i="7"/>
  <c r="K273" i="7"/>
  <c r="G677" i="7"/>
  <c r="K677" i="7"/>
  <c r="G646" i="7"/>
  <c r="K646" i="7"/>
  <c r="J705" i="12"/>
  <c r="M705" i="12" s="1"/>
  <c r="J728" i="12"/>
  <c r="M728" i="12" s="1"/>
  <c r="J748" i="12"/>
  <c r="M748" i="12" s="1"/>
  <c r="J713" i="12"/>
  <c r="M713" i="12" s="1"/>
  <c r="J761" i="12"/>
  <c r="M761" i="12" s="1"/>
  <c r="J800" i="12"/>
  <c r="M800" i="12" s="1"/>
  <c r="J708" i="12"/>
  <c r="M708" i="12" s="1"/>
  <c r="J764" i="12"/>
  <c r="M764" i="12" s="1"/>
  <c r="J694" i="12"/>
  <c r="M694" i="12" s="1"/>
  <c r="J801" i="12"/>
  <c r="M801" i="12" s="1"/>
  <c r="J820" i="12"/>
  <c r="M820" i="12" s="1"/>
  <c r="J760" i="12"/>
  <c r="M760" i="12" s="1"/>
  <c r="J803" i="12"/>
  <c r="M803" i="12" s="1"/>
  <c r="J756" i="12"/>
  <c r="M756" i="12" s="1"/>
  <c r="G654" i="7"/>
  <c r="K654" i="7"/>
  <c r="G413" i="7"/>
  <c r="K413" i="7"/>
  <c r="G617" i="7"/>
  <c r="K617" i="7"/>
  <c r="G399" i="7"/>
  <c r="K399" i="7"/>
  <c r="G446" i="7"/>
  <c r="K446" i="7"/>
  <c r="G421" i="7"/>
  <c r="K421" i="7"/>
  <c r="G370" i="7"/>
  <c r="K370" i="7"/>
  <c r="G328" i="7"/>
  <c r="K328" i="7"/>
  <c r="G304" i="7"/>
  <c r="K304" i="7"/>
  <c r="G468" i="7"/>
  <c r="K468" i="7"/>
  <c r="G523" i="7"/>
  <c r="K523" i="7"/>
  <c r="J445" i="12"/>
  <c r="M445" i="12" s="1"/>
  <c r="J469" i="12"/>
  <c r="M469" i="12" s="1"/>
  <c r="G144" i="7"/>
  <c r="K144" i="7"/>
  <c r="G635" i="7"/>
  <c r="K635" i="7"/>
  <c r="G609" i="7"/>
  <c r="K609" i="7"/>
  <c r="G343" i="7"/>
  <c r="K343" i="7"/>
  <c r="G542" i="7"/>
  <c r="K542" i="7"/>
  <c r="G373" i="7"/>
  <c r="K373" i="7"/>
  <c r="G249" i="7"/>
  <c r="K249" i="7"/>
  <c r="G366" i="7"/>
  <c r="K366" i="7"/>
  <c r="G296" i="7"/>
  <c r="K296" i="7"/>
  <c r="G657" i="7"/>
  <c r="K657" i="7"/>
  <c r="G331" i="7"/>
  <c r="K331" i="7"/>
  <c r="G321" i="7"/>
  <c r="K321" i="7"/>
  <c r="G604" i="7"/>
  <c r="K604" i="7"/>
  <c r="G462" i="7"/>
  <c r="K462" i="7"/>
  <c r="G632" i="7"/>
  <c r="K632" i="7"/>
  <c r="G676" i="7"/>
  <c r="K676" i="7"/>
  <c r="G190" i="7"/>
  <c r="K190" i="7"/>
  <c r="J228" i="12"/>
  <c r="M228" i="12" s="1"/>
  <c r="G166" i="7"/>
  <c r="K166" i="7"/>
  <c r="G133" i="7"/>
  <c r="K133" i="7"/>
  <c r="G449" i="7"/>
  <c r="K449" i="7"/>
  <c r="G557" i="7"/>
  <c r="K557" i="7"/>
  <c r="G463" i="7"/>
  <c r="K463" i="7"/>
  <c r="G629" i="7"/>
  <c r="K629" i="7"/>
  <c r="G358" i="7"/>
  <c r="K358" i="7"/>
  <c r="G264" i="7"/>
  <c r="K264" i="7"/>
  <c r="G367" i="7"/>
  <c r="K367" i="7"/>
  <c r="G114" i="7"/>
  <c r="K114" i="7"/>
  <c r="J325" i="12"/>
  <c r="M325" i="12" s="1"/>
  <c r="J634" i="12"/>
  <c r="M634" i="12" s="1"/>
  <c r="I646" i="8"/>
  <c r="J646" i="8"/>
  <c r="F646" i="8"/>
  <c r="G646" i="8" s="1"/>
  <c r="H646" i="8" s="1"/>
  <c r="I175" i="8"/>
  <c r="J175" i="8"/>
  <c r="F175" i="8"/>
  <c r="G175" i="8" s="1"/>
  <c r="I424" i="8"/>
  <c r="J424" i="8"/>
  <c r="F424" i="8"/>
  <c r="G424" i="8" s="1"/>
  <c r="I501" i="8"/>
  <c r="J501" i="8"/>
  <c r="F501" i="8"/>
  <c r="G501" i="8" s="1"/>
  <c r="H501" i="8" s="1"/>
  <c r="I522" i="8"/>
  <c r="J522" i="8"/>
  <c r="F522" i="8"/>
  <c r="G522" i="8" s="1"/>
  <c r="I639" i="8"/>
  <c r="J639" i="8"/>
  <c r="F639" i="8"/>
  <c r="G639" i="8" s="1"/>
  <c r="H639" i="8" s="1"/>
  <c r="I282" i="8"/>
  <c r="J282" i="8"/>
  <c r="F282" i="8"/>
  <c r="G282" i="8" s="1"/>
  <c r="I390" i="8"/>
  <c r="J390" i="8"/>
  <c r="F390" i="8"/>
  <c r="G390" i="8" s="1"/>
  <c r="I21" i="8"/>
  <c r="J21" i="8"/>
  <c r="F21" i="8"/>
  <c r="I233" i="8"/>
  <c r="J233" i="8"/>
  <c r="F233" i="8"/>
  <c r="G233" i="8" s="1"/>
  <c r="I573" i="8"/>
  <c r="J573" i="8"/>
  <c r="F573" i="8"/>
  <c r="G573" i="8" s="1"/>
  <c r="G679" i="7"/>
  <c r="K679" i="7"/>
  <c r="G50" i="7"/>
  <c r="K50" i="7"/>
  <c r="G344" i="7"/>
  <c r="K344" i="7"/>
  <c r="G623" i="7"/>
  <c r="K623" i="7"/>
  <c r="G189" i="7"/>
  <c r="K189" i="7"/>
  <c r="I213" i="8"/>
  <c r="J213" i="8"/>
  <c r="F213" i="8"/>
  <c r="G213" i="8" s="1"/>
  <c r="I278" i="8"/>
  <c r="J278" i="8"/>
  <c r="F278" i="8"/>
  <c r="G278" i="8" s="1"/>
  <c r="H278" i="8" s="1"/>
  <c r="I387" i="8"/>
  <c r="J387" i="8"/>
  <c r="F387" i="8"/>
  <c r="G387" i="8" s="1"/>
  <c r="I18" i="8"/>
  <c r="J18" i="8"/>
  <c r="F18" i="8"/>
  <c r="G18" i="8" s="1"/>
  <c r="I629" i="8"/>
  <c r="J629" i="8"/>
  <c r="F629" i="8"/>
  <c r="G629" i="8" s="1"/>
  <c r="H629" i="8" s="1"/>
  <c r="I178" i="8"/>
  <c r="J178" i="8"/>
  <c r="F178" i="8"/>
  <c r="G178" i="8" s="1"/>
  <c r="I392" i="8"/>
  <c r="J392" i="8"/>
  <c r="F392" i="8"/>
  <c r="G392" i="8" s="1"/>
  <c r="I95" i="8"/>
  <c r="J95" i="8"/>
  <c r="F95" i="8"/>
  <c r="G95" i="8" s="1"/>
  <c r="H95" i="8" s="1"/>
  <c r="I562" i="8"/>
  <c r="J562" i="8"/>
  <c r="F562" i="8"/>
  <c r="G562" i="8" s="1"/>
  <c r="I568" i="8"/>
  <c r="J568" i="8"/>
  <c r="F568" i="8"/>
  <c r="G568" i="8" s="1"/>
  <c r="H568" i="8" s="1"/>
  <c r="G465" i="7"/>
  <c r="K465" i="7"/>
  <c r="G591" i="7"/>
  <c r="K591" i="7"/>
  <c r="G531" i="7"/>
  <c r="K531" i="7"/>
  <c r="G274" i="7"/>
  <c r="K274" i="7"/>
  <c r="G145" i="7"/>
  <c r="K145" i="7"/>
  <c r="G289" i="7"/>
  <c r="K289" i="7"/>
  <c r="G318" i="7"/>
  <c r="K318" i="7"/>
  <c r="G614" i="7"/>
  <c r="K614" i="7"/>
  <c r="G147" i="7"/>
  <c r="K147" i="7"/>
  <c r="G119" i="7"/>
  <c r="K119" i="7"/>
  <c r="G155" i="7"/>
  <c r="K155" i="7"/>
  <c r="G267" i="7"/>
  <c r="K267" i="7"/>
  <c r="G174" i="7"/>
  <c r="K174" i="7"/>
  <c r="G671" i="7"/>
  <c r="K671" i="7"/>
  <c r="G242" i="7"/>
  <c r="K242" i="7"/>
  <c r="G127" i="7"/>
  <c r="K127" i="7"/>
  <c r="G560" i="7"/>
  <c r="K560" i="7"/>
  <c r="G481" i="7"/>
  <c r="K481" i="7"/>
  <c r="G489" i="7"/>
  <c r="K489" i="7"/>
  <c r="G96" i="7"/>
  <c r="K96" i="7"/>
  <c r="G565" i="7"/>
  <c r="K565" i="7"/>
  <c r="G547" i="7"/>
  <c r="K547" i="7"/>
  <c r="G518" i="7"/>
  <c r="K518" i="7"/>
  <c r="G579" i="7"/>
  <c r="K579" i="7"/>
  <c r="G298" i="7"/>
  <c r="K298" i="7"/>
  <c r="G574" i="7"/>
  <c r="K574" i="7"/>
  <c r="G291" i="7"/>
  <c r="K291" i="7"/>
  <c r="F460" i="5"/>
  <c r="H460" i="5" s="1"/>
  <c r="G690" i="7"/>
  <c r="K690" i="7"/>
  <c r="G294" i="7"/>
  <c r="K294" i="7"/>
  <c r="G263" i="7"/>
  <c r="K263" i="7"/>
  <c r="G194" i="7"/>
  <c r="K194" i="7"/>
  <c r="G121" i="7"/>
  <c r="K121" i="7"/>
  <c r="G66" i="7"/>
  <c r="K66" i="7"/>
  <c r="G152" i="7"/>
  <c r="K152" i="7"/>
  <c r="G336" i="7"/>
  <c r="K336" i="7"/>
  <c r="G61" i="7"/>
  <c r="K61" i="7"/>
  <c r="G532" i="7"/>
  <c r="K532" i="7"/>
  <c r="G423" i="7"/>
  <c r="K423" i="7"/>
  <c r="G351" i="7"/>
  <c r="K351" i="7"/>
  <c r="G424" i="7"/>
  <c r="K424" i="7"/>
  <c r="G521" i="7"/>
  <c r="K521" i="7"/>
  <c r="G180" i="7"/>
  <c r="K180" i="7"/>
  <c r="G184" i="7"/>
  <c r="K184" i="7"/>
  <c r="G385" i="7"/>
  <c r="K385" i="7"/>
  <c r="G659" i="7"/>
  <c r="K659" i="7"/>
  <c r="G160" i="7"/>
  <c r="K160" i="7"/>
  <c r="G607" i="7"/>
  <c r="K607" i="7"/>
  <c r="G652" i="7"/>
  <c r="K652" i="7"/>
  <c r="J543" i="12"/>
  <c r="M543" i="12" s="1"/>
  <c r="J345" i="12"/>
  <c r="M345" i="12" s="1"/>
  <c r="J506" i="12"/>
  <c r="M506" i="12" s="1"/>
  <c r="J474" i="12"/>
  <c r="M474" i="12" s="1"/>
  <c r="I666" i="8"/>
  <c r="J666" i="8"/>
  <c r="F666" i="8"/>
  <c r="G666" i="8" s="1"/>
  <c r="I634" i="8"/>
  <c r="J634" i="8"/>
  <c r="F634" i="8"/>
  <c r="G634" i="8" s="1"/>
  <c r="I211" i="8"/>
  <c r="J211" i="8"/>
  <c r="F211" i="8"/>
  <c r="G211" i="8" s="1"/>
  <c r="I305" i="8"/>
  <c r="J305" i="8"/>
  <c r="F305" i="8"/>
  <c r="G305" i="8" s="1"/>
  <c r="I194" i="8"/>
  <c r="J194" i="8"/>
  <c r="F194" i="8"/>
  <c r="G194" i="8" s="1"/>
  <c r="H194" i="8" s="1"/>
  <c r="I272" i="8"/>
  <c r="J272" i="8"/>
  <c r="F272" i="8"/>
  <c r="G272" i="8" s="1"/>
  <c r="I443" i="8"/>
  <c r="J443" i="8"/>
  <c r="F443" i="8"/>
  <c r="G443" i="8" s="1"/>
  <c r="I414" i="8"/>
  <c r="J414" i="8"/>
  <c r="F414" i="8"/>
  <c r="G414" i="8" s="1"/>
  <c r="I379" i="8"/>
  <c r="J379" i="8"/>
  <c r="F379" i="8"/>
  <c r="G379" i="8" s="1"/>
  <c r="I142" i="8"/>
  <c r="J142" i="8"/>
  <c r="F142" i="8"/>
  <c r="G142" i="8" s="1"/>
  <c r="H142" i="8" s="1"/>
  <c r="I489" i="8"/>
  <c r="J489" i="8"/>
  <c r="F489" i="8"/>
  <c r="G489" i="8" s="1"/>
  <c r="I116" i="8"/>
  <c r="J116" i="8"/>
  <c r="F116" i="8"/>
  <c r="G116" i="8" s="1"/>
  <c r="I542" i="8"/>
  <c r="J542" i="8"/>
  <c r="F542" i="8"/>
  <c r="G542" i="8" s="1"/>
  <c r="H542" i="8" s="1"/>
  <c r="I510" i="8"/>
  <c r="J510" i="8"/>
  <c r="F510" i="8"/>
  <c r="G510" i="8" s="1"/>
  <c r="I240" i="8"/>
  <c r="J240" i="8"/>
  <c r="F240" i="8"/>
  <c r="G240" i="8" s="1"/>
  <c r="I659" i="8"/>
  <c r="J659" i="8"/>
  <c r="F659" i="8"/>
  <c r="G659" i="8" s="1"/>
  <c r="H659" i="8" s="1"/>
  <c r="I627" i="8"/>
  <c r="J627" i="8"/>
  <c r="F627" i="8"/>
  <c r="G627" i="8" s="1"/>
  <c r="I208" i="8"/>
  <c r="J208" i="8"/>
  <c r="F208" i="8"/>
  <c r="G208" i="8" s="1"/>
  <c r="I302" i="8"/>
  <c r="J302" i="8"/>
  <c r="F302" i="8"/>
  <c r="G302" i="8" s="1"/>
  <c r="I191" i="8"/>
  <c r="J191" i="8"/>
  <c r="F191" i="8"/>
  <c r="G191" i="8" s="1"/>
  <c r="I269" i="8"/>
  <c r="J269" i="8"/>
  <c r="F269" i="8"/>
  <c r="G269" i="8" s="1"/>
  <c r="H269" i="8" s="1"/>
  <c r="I440" i="8"/>
  <c r="J440" i="8"/>
  <c r="F440" i="8"/>
  <c r="G440" i="8" s="1"/>
  <c r="I411" i="8"/>
  <c r="J411" i="8"/>
  <c r="F411" i="8"/>
  <c r="G411" i="8" s="1"/>
  <c r="I380" i="8"/>
  <c r="J380" i="8"/>
  <c r="F380" i="8"/>
  <c r="G380" i="8" s="1"/>
  <c r="H380" i="8" s="1"/>
  <c r="I145" i="8"/>
  <c r="J145" i="8"/>
  <c r="F145" i="8"/>
  <c r="G145" i="8" s="1"/>
  <c r="I498" i="8"/>
  <c r="J498" i="8"/>
  <c r="F498" i="8"/>
  <c r="G498" i="8" s="1"/>
  <c r="I97" i="8"/>
  <c r="J97" i="8"/>
  <c r="F97" i="8"/>
  <c r="G97" i="8" s="1"/>
  <c r="H97" i="8" s="1"/>
  <c r="I555" i="8"/>
  <c r="J555" i="8"/>
  <c r="F555" i="8"/>
  <c r="G555" i="8" s="1"/>
  <c r="I523" i="8"/>
  <c r="J523" i="8"/>
  <c r="F523" i="8"/>
  <c r="G523" i="8" s="1"/>
  <c r="H523" i="8" s="1"/>
  <c r="I253" i="8"/>
  <c r="J253" i="8"/>
  <c r="F253" i="8"/>
  <c r="G253" i="8" s="1"/>
  <c r="I567" i="8"/>
  <c r="J567" i="8"/>
  <c r="F567" i="8"/>
  <c r="G567" i="8" s="1"/>
  <c r="I317" i="8"/>
  <c r="J317" i="8"/>
  <c r="F317" i="8"/>
  <c r="G317" i="8" s="1"/>
  <c r="H317" i="8" s="1"/>
  <c r="I68" i="8"/>
  <c r="J68" i="8"/>
  <c r="F68" i="8"/>
  <c r="G68" i="8" s="1"/>
  <c r="I161" i="8"/>
  <c r="J161" i="8"/>
  <c r="F161" i="8"/>
  <c r="G161" i="8" s="1"/>
  <c r="H161" i="8" s="1"/>
  <c r="I609" i="8"/>
  <c r="J609" i="8"/>
  <c r="F609" i="8"/>
  <c r="G609" i="8" s="1"/>
  <c r="I577" i="8"/>
  <c r="J577" i="8"/>
  <c r="F577" i="8"/>
  <c r="G577" i="8" s="1"/>
  <c r="G305" i="7"/>
  <c r="K305" i="7"/>
  <c r="G76" i="7"/>
  <c r="K76" i="7"/>
  <c r="G213" i="7"/>
  <c r="K213" i="7"/>
  <c r="G48" i="7"/>
  <c r="K48" i="7"/>
  <c r="G630" i="7"/>
  <c r="K630" i="7"/>
  <c r="G53" i="7"/>
  <c r="K53" i="7"/>
  <c r="G245" i="7"/>
  <c r="K245" i="7"/>
  <c r="G193" i="7"/>
  <c r="K193" i="7"/>
  <c r="G429" i="7"/>
  <c r="K429" i="7"/>
  <c r="G362" i="7"/>
  <c r="K362" i="7"/>
  <c r="G171" i="7"/>
  <c r="K171" i="7"/>
  <c r="G141" i="7"/>
  <c r="K141" i="7"/>
  <c r="G660" i="7"/>
  <c r="K660" i="7"/>
  <c r="G412" i="7"/>
  <c r="K412" i="7"/>
  <c r="G418" i="7"/>
  <c r="K418" i="7"/>
  <c r="I652" i="8"/>
  <c r="J652" i="8"/>
  <c r="F652" i="8"/>
  <c r="G652" i="8" s="1"/>
  <c r="H652" i="8" s="1"/>
  <c r="I620" i="8"/>
  <c r="J620" i="8"/>
  <c r="F620" i="8"/>
  <c r="G620" i="8" s="1"/>
  <c r="H620" i="8" s="1"/>
  <c r="I204" i="8"/>
  <c r="J204" i="8"/>
  <c r="F204" i="8"/>
  <c r="G204" i="8" s="1"/>
  <c r="I300" i="8"/>
  <c r="J300" i="8"/>
  <c r="F300" i="8"/>
  <c r="G300" i="8" s="1"/>
  <c r="I192" i="8"/>
  <c r="J192" i="8"/>
  <c r="F192" i="8"/>
  <c r="G192" i="8" s="1"/>
  <c r="H192" i="8" s="1"/>
  <c r="I266" i="8"/>
  <c r="J266" i="8"/>
  <c r="F266" i="8"/>
  <c r="G266" i="8" s="1"/>
  <c r="I441" i="8"/>
  <c r="J441" i="8"/>
  <c r="F441" i="8"/>
  <c r="G441" i="8" s="1"/>
  <c r="H441" i="8" s="1"/>
  <c r="I404" i="8"/>
  <c r="J404" i="8"/>
  <c r="F404" i="8"/>
  <c r="G404" i="8" s="1"/>
  <c r="I373" i="8"/>
  <c r="J373" i="8"/>
  <c r="F373" i="8"/>
  <c r="G373" i="8" s="1"/>
  <c r="I140" i="8"/>
  <c r="J140" i="8"/>
  <c r="F140" i="8"/>
  <c r="G140" i="8" s="1"/>
  <c r="H140" i="8" s="1"/>
  <c r="I495" i="8"/>
  <c r="J495" i="8"/>
  <c r="F495" i="8"/>
  <c r="G495" i="8" s="1"/>
  <c r="I94" i="8"/>
  <c r="J94" i="8"/>
  <c r="F94" i="8"/>
  <c r="G94" i="8" s="1"/>
  <c r="H94" i="8" s="1"/>
  <c r="I552" i="8"/>
  <c r="J552" i="8"/>
  <c r="F552" i="8"/>
  <c r="G552" i="8" s="1"/>
  <c r="H552" i="8" s="1"/>
  <c r="I520" i="8"/>
  <c r="J520" i="8"/>
  <c r="F520" i="8"/>
  <c r="G520" i="8" s="1"/>
  <c r="I250" i="8"/>
  <c r="J250" i="8"/>
  <c r="F250" i="8"/>
  <c r="G250" i="8" s="1"/>
  <c r="H250" i="8" s="1"/>
  <c r="I124" i="8"/>
  <c r="J124" i="8"/>
  <c r="F124" i="8"/>
  <c r="G124" i="8" s="1"/>
  <c r="I323" i="8"/>
  <c r="J323" i="8"/>
  <c r="F323" i="8"/>
  <c r="G323" i="8" s="1"/>
  <c r="H323" i="8" s="1"/>
  <c r="I158" i="8"/>
  <c r="J158" i="8"/>
  <c r="F158" i="8"/>
  <c r="G158" i="8" s="1"/>
  <c r="I167" i="8"/>
  <c r="J167" i="8"/>
  <c r="F167" i="8"/>
  <c r="G167" i="8" s="1"/>
  <c r="I611" i="8"/>
  <c r="J611" i="8"/>
  <c r="F611" i="8"/>
  <c r="G611" i="8" s="1"/>
  <c r="H611" i="8" s="1"/>
  <c r="I579" i="8"/>
  <c r="J579" i="8"/>
  <c r="F579" i="8"/>
  <c r="G579" i="8" s="1"/>
  <c r="H579" i="8" s="1"/>
  <c r="I649" i="8"/>
  <c r="J649" i="8"/>
  <c r="F649" i="8"/>
  <c r="G649" i="8" s="1"/>
  <c r="I617" i="8"/>
  <c r="J617" i="8"/>
  <c r="F617" i="8"/>
  <c r="G617" i="8" s="1"/>
  <c r="H617" i="8" s="1"/>
  <c r="I312" i="8"/>
  <c r="J312" i="8"/>
  <c r="F312" i="8"/>
  <c r="G312" i="8" s="1"/>
  <c r="H312" i="8" s="1"/>
  <c r="I197" i="8"/>
  <c r="J197" i="8"/>
  <c r="F197" i="8"/>
  <c r="G197" i="8" s="1"/>
  <c r="I275" i="8"/>
  <c r="J275" i="8"/>
  <c r="F275" i="8"/>
  <c r="G275" i="8" s="1"/>
  <c r="I446" i="8"/>
  <c r="J446" i="8"/>
  <c r="F446" i="8"/>
  <c r="G446" i="8" s="1"/>
  <c r="I413" i="8"/>
  <c r="J413" i="8"/>
  <c r="F413" i="8"/>
  <c r="G413" i="8" s="1"/>
  <c r="I381" i="8"/>
  <c r="J381" i="8"/>
  <c r="F381" i="8"/>
  <c r="G381" i="8" s="1"/>
  <c r="H381" i="8" s="1"/>
  <c r="I141" i="8"/>
  <c r="J141" i="8"/>
  <c r="F141" i="8"/>
  <c r="G141" i="8" s="1"/>
  <c r="I488" i="8"/>
  <c r="J488" i="8"/>
  <c r="F488" i="8"/>
  <c r="G488" i="8" s="1"/>
  <c r="H488" i="8" s="1"/>
  <c r="I23" i="8"/>
  <c r="J23" i="8"/>
  <c r="F23" i="8"/>
  <c r="G23" i="8" s="1"/>
  <c r="I537" i="8"/>
  <c r="J537" i="8"/>
  <c r="F537" i="8"/>
  <c r="G537" i="8" s="1"/>
  <c r="I505" i="8"/>
  <c r="J505" i="8"/>
  <c r="F505" i="8"/>
  <c r="G505" i="8" s="1"/>
  <c r="H505" i="8" s="1"/>
  <c r="I235" i="8"/>
  <c r="J235" i="8"/>
  <c r="F235" i="8"/>
  <c r="G235" i="8" s="1"/>
  <c r="I59" i="8"/>
  <c r="J59" i="8"/>
  <c r="F59" i="8"/>
  <c r="G59" i="8" s="1"/>
  <c r="I32" i="8"/>
  <c r="J32" i="8"/>
  <c r="F32" i="8"/>
  <c r="G32" i="8" s="1"/>
  <c r="I109" i="8"/>
  <c r="J109" i="8"/>
  <c r="F109" i="8"/>
  <c r="G109" i="8" s="1"/>
  <c r="I676" i="8"/>
  <c r="J676" i="8"/>
  <c r="F676" i="8"/>
  <c r="G676" i="8" s="1"/>
  <c r="H676" i="8" s="1"/>
  <c r="I592" i="8"/>
  <c r="J592" i="8"/>
  <c r="F592" i="8"/>
  <c r="G592" i="8" s="1"/>
  <c r="I337" i="8"/>
  <c r="J337" i="8"/>
  <c r="F337" i="8"/>
  <c r="G337" i="8" s="1"/>
  <c r="H337" i="8" s="1"/>
  <c r="G204" i="7"/>
  <c r="K204" i="7"/>
  <c r="G470" i="7"/>
  <c r="K470" i="7"/>
  <c r="G549" i="7"/>
  <c r="K549" i="7"/>
  <c r="G292" i="7"/>
  <c r="K292" i="7"/>
  <c r="G593" i="7"/>
  <c r="K593" i="7"/>
  <c r="I318" i="8"/>
  <c r="J318" i="8"/>
  <c r="F318" i="8"/>
  <c r="G318" i="8" s="1"/>
  <c r="I160" i="8"/>
  <c r="J160" i="8"/>
  <c r="F160" i="8"/>
  <c r="G160" i="8" s="1"/>
  <c r="H160" i="8" s="1"/>
  <c r="I574" i="8"/>
  <c r="J574" i="8"/>
  <c r="F574" i="8"/>
  <c r="G574" i="8" s="1"/>
  <c r="I614" i="8"/>
  <c r="J614" i="8"/>
  <c r="F614" i="8"/>
  <c r="G614" i="8" s="1"/>
  <c r="I582" i="8"/>
  <c r="J582" i="8"/>
  <c r="F582" i="8"/>
  <c r="G582" i="8" s="1"/>
  <c r="I329" i="8"/>
  <c r="J329" i="8"/>
  <c r="F329" i="8"/>
  <c r="G329" i="8" s="1"/>
  <c r="H329" i="8" s="1"/>
  <c r="G154" i="7"/>
  <c r="K154" i="7"/>
  <c r="G42" i="7"/>
  <c r="K42" i="7"/>
  <c r="G84" i="7"/>
  <c r="K84" i="7"/>
  <c r="G651" i="7"/>
  <c r="K651" i="7"/>
  <c r="G73" i="7"/>
  <c r="K73" i="7"/>
  <c r="G142" i="7"/>
  <c r="K142" i="7"/>
  <c r="G85" i="7"/>
  <c r="K85" i="7"/>
  <c r="G450" i="7"/>
  <c r="K450" i="7"/>
  <c r="G262" i="7"/>
  <c r="K262" i="7"/>
  <c r="G681" i="7"/>
  <c r="K681" i="7"/>
  <c r="G588" i="7"/>
  <c r="K588" i="7"/>
  <c r="G163" i="7"/>
  <c r="K163" i="7"/>
  <c r="G552" i="7"/>
  <c r="K552" i="7"/>
  <c r="G369" i="7"/>
  <c r="K369" i="7"/>
  <c r="G52" i="7"/>
  <c r="K52" i="7"/>
  <c r="G529" i="7"/>
  <c r="K529" i="7"/>
  <c r="G530" i="7"/>
  <c r="K530" i="7"/>
  <c r="G185" i="7"/>
  <c r="K185" i="7"/>
  <c r="G363" i="7"/>
  <c r="K363" i="7"/>
  <c r="G536" i="7"/>
  <c r="K536" i="7"/>
  <c r="G664" i="7"/>
  <c r="K664" i="7"/>
  <c r="J821" i="12"/>
  <c r="M821" i="12" s="1"/>
  <c r="J789" i="12"/>
  <c r="M789" i="12" s="1"/>
  <c r="J799" i="12"/>
  <c r="M799" i="12" s="1"/>
  <c r="J689" i="12"/>
  <c r="M689" i="12" s="1"/>
  <c r="J710" i="12"/>
  <c r="M710" i="12" s="1"/>
  <c r="J743" i="12"/>
  <c r="M743" i="12" s="1"/>
  <c r="J699" i="12"/>
  <c r="M699" i="12" s="1"/>
  <c r="J794" i="12"/>
  <c r="M794" i="12" s="1"/>
  <c r="J765" i="12"/>
  <c r="M765" i="12" s="1"/>
  <c r="J687" i="12"/>
  <c r="M687" i="12" s="1"/>
  <c r="J709" i="12"/>
  <c r="M709" i="12" s="1"/>
  <c r="J784" i="12"/>
  <c r="M784" i="12" s="1"/>
  <c r="D616" i="5"/>
  <c r="E616" i="5" s="1"/>
  <c r="K616" i="5"/>
  <c r="D622" i="5"/>
  <c r="E622" i="5" s="1"/>
  <c r="K622" i="5"/>
  <c r="F594" i="5"/>
  <c r="H594" i="5" s="1"/>
  <c r="K594" i="5"/>
  <c r="G581" i="5"/>
  <c r="K581" i="5"/>
  <c r="G604" i="5"/>
  <c r="K604" i="5"/>
  <c r="F614" i="5"/>
  <c r="H614" i="5" s="1"/>
  <c r="K614" i="5"/>
  <c r="F618" i="5"/>
  <c r="H618" i="5" s="1"/>
  <c r="K618" i="5"/>
  <c r="F592" i="5"/>
  <c r="H592" i="5" s="1"/>
  <c r="K592" i="5"/>
  <c r="G443" i="5"/>
  <c r="G597" i="5"/>
  <c r="K597" i="5"/>
  <c r="F138" i="5"/>
  <c r="H138" i="5" s="1"/>
  <c r="F610" i="5"/>
  <c r="H610" i="5" s="1"/>
  <c r="K610" i="5"/>
  <c r="D590" i="5"/>
  <c r="E590" i="5" s="1"/>
  <c r="K590" i="5"/>
  <c r="D595" i="5"/>
  <c r="E595" i="5" s="1"/>
  <c r="K595" i="5"/>
  <c r="D611" i="5"/>
  <c r="E611" i="5" s="1"/>
  <c r="K611" i="5"/>
  <c r="F600" i="5"/>
  <c r="H600" i="5" s="1"/>
  <c r="K600" i="5"/>
  <c r="G183" i="5"/>
  <c r="G596" i="5"/>
  <c r="K596" i="5"/>
  <c r="D588" i="5"/>
  <c r="E588" i="5" s="1"/>
  <c r="K588" i="5"/>
  <c r="F580" i="5"/>
  <c r="H580" i="5" s="1"/>
  <c r="K580" i="5"/>
  <c r="G589" i="5"/>
  <c r="K589" i="5"/>
  <c r="F631" i="5"/>
  <c r="H631" i="5" s="1"/>
  <c r="K631" i="5"/>
  <c r="F4" i="44"/>
  <c r="O4" i="44" s="1"/>
  <c r="D591" i="5"/>
  <c r="E591" i="5" s="1"/>
  <c r="K591" i="5"/>
  <c r="F608" i="5"/>
  <c r="H608" i="5" s="1"/>
  <c r="K608" i="5"/>
  <c r="F620" i="5"/>
  <c r="H620" i="5" s="1"/>
  <c r="K620" i="5"/>
  <c r="G613" i="5"/>
  <c r="K613" i="5"/>
  <c r="D612" i="5"/>
  <c r="E612" i="5" s="1"/>
  <c r="K612" i="5"/>
  <c r="D579" i="5"/>
  <c r="E579" i="5" s="1"/>
  <c r="K579" i="5"/>
  <c r="F598" i="5"/>
  <c r="H598" i="5" s="1"/>
  <c r="K598" i="5"/>
  <c r="D253" i="5"/>
  <c r="E253" i="5" s="1"/>
  <c r="F601" i="5"/>
  <c r="H601" i="5" s="1"/>
  <c r="K601" i="5"/>
  <c r="F627" i="5"/>
  <c r="H627" i="5" s="1"/>
  <c r="K627" i="5"/>
  <c r="D623" i="5"/>
  <c r="E623" i="5" s="1"/>
  <c r="K623" i="5"/>
  <c r="F603" i="5"/>
  <c r="H603" i="5" s="1"/>
  <c r="K603" i="5"/>
  <c r="F12" i="44"/>
  <c r="O12" i="44" s="1"/>
  <c r="F20" i="44"/>
  <c r="O20" i="44" s="1"/>
  <c r="I422" i="12"/>
  <c r="I211" i="12"/>
  <c r="H18" i="44"/>
  <c r="I121" i="12"/>
  <c r="I392" i="12"/>
  <c r="I181" i="12"/>
  <c r="I141" i="12"/>
  <c r="I553" i="12"/>
  <c r="I318" i="12"/>
  <c r="I290" i="12"/>
  <c r="I483" i="12"/>
  <c r="I548" i="12"/>
  <c r="I388" i="12"/>
  <c r="L11" i="12"/>
  <c r="G11" i="12"/>
  <c r="K333" i="12"/>
  <c r="L333" i="12"/>
  <c r="K440" i="12"/>
  <c r="L440" i="12"/>
  <c r="K307" i="12"/>
  <c r="L307" i="12"/>
  <c r="K38" i="12"/>
  <c r="L38" i="12"/>
  <c r="G37" i="12"/>
  <c r="K187" i="33"/>
  <c r="M187" i="33" s="1"/>
  <c r="P187" i="33" s="1"/>
  <c r="I25" i="47" s="1"/>
  <c r="R25" i="47" s="1"/>
  <c r="K213" i="33"/>
  <c r="M213" i="33" s="1"/>
  <c r="P213" i="33" s="1"/>
  <c r="K398" i="33"/>
  <c r="M398" i="33" s="1"/>
  <c r="P398" i="33" s="1"/>
  <c r="K38" i="33"/>
  <c r="M38" i="33" s="1"/>
  <c r="P38" i="33" s="1"/>
  <c r="K551" i="33"/>
  <c r="M551" i="33" s="1"/>
  <c r="P551" i="33" s="1"/>
  <c r="K397" i="33"/>
  <c r="M397" i="33" s="1"/>
  <c r="P397" i="33" s="1"/>
  <c r="I23" i="43" s="1"/>
  <c r="R23" i="43" s="1"/>
  <c r="K814" i="33"/>
  <c r="M814" i="33" s="1"/>
  <c r="P814" i="33" s="1"/>
  <c r="K393" i="33"/>
  <c r="M393" i="33" s="1"/>
  <c r="P393" i="33" s="1"/>
  <c r="K37" i="33"/>
  <c r="M37" i="33" s="1"/>
  <c r="P37" i="33" s="1"/>
  <c r="K165" i="33"/>
  <c r="M165" i="33" s="1"/>
  <c r="P165" i="33" s="1"/>
  <c r="K695" i="33"/>
  <c r="M695" i="33" s="1"/>
  <c r="P695" i="33" s="1"/>
  <c r="K158" i="33"/>
  <c r="M158" i="33" s="1"/>
  <c r="P158" i="33" s="1"/>
  <c r="K641" i="33"/>
  <c r="M641" i="33" s="1"/>
  <c r="P641" i="33" s="1"/>
  <c r="K810" i="33"/>
  <c r="M810" i="33" s="1"/>
  <c r="P810" i="33" s="1"/>
  <c r="K623" i="33"/>
  <c r="M623" i="33" s="1"/>
  <c r="P623" i="33" s="1"/>
  <c r="K173" i="33"/>
  <c r="M173" i="33" s="1"/>
  <c r="P173" i="33" s="1"/>
  <c r="K280" i="33"/>
  <c r="M280" i="33" s="1"/>
  <c r="P280" i="33" s="1"/>
  <c r="K195" i="33"/>
  <c r="M195" i="33" s="1"/>
  <c r="P195" i="33" s="1"/>
  <c r="K159" i="33"/>
  <c r="M159" i="33" s="1"/>
  <c r="P159" i="33" s="1"/>
  <c r="K126" i="33"/>
  <c r="M126" i="33" s="1"/>
  <c r="P126" i="33" s="1"/>
  <c r="K269" i="33"/>
  <c r="M269" i="33" s="1"/>
  <c r="P269" i="33" s="1"/>
  <c r="K244" i="33"/>
  <c r="M244" i="33" s="1"/>
  <c r="P244" i="33" s="1"/>
  <c r="K77" i="33"/>
  <c r="M77" i="33" s="1"/>
  <c r="P77" i="33" s="1"/>
  <c r="K274" i="33"/>
  <c r="M274" i="33" s="1"/>
  <c r="P274" i="33" s="1"/>
  <c r="K271" i="33"/>
  <c r="M271" i="33" s="1"/>
  <c r="P271" i="33" s="1"/>
  <c r="K506" i="33"/>
  <c r="M506" i="33" s="1"/>
  <c r="P506" i="33" s="1"/>
  <c r="K557" i="33"/>
  <c r="M557" i="33" s="1"/>
  <c r="P557" i="33" s="1"/>
  <c r="K317" i="33"/>
  <c r="M317" i="33" s="1"/>
  <c r="P317" i="33" s="1"/>
  <c r="K124" i="33"/>
  <c r="M124" i="33" s="1"/>
  <c r="P124" i="33" s="1"/>
  <c r="K444" i="33"/>
  <c r="M444" i="33" s="1"/>
  <c r="P444" i="33" s="1"/>
  <c r="K412" i="33"/>
  <c r="M412" i="33" s="1"/>
  <c r="P412" i="33" s="1"/>
  <c r="K764" i="33"/>
  <c r="K118" i="33"/>
  <c r="M118" i="33" s="1"/>
  <c r="P118" i="33" s="1"/>
  <c r="K12" i="33"/>
  <c r="M12" i="33" s="1"/>
  <c r="P12" i="33" s="1"/>
  <c r="K451" i="33"/>
  <c r="M451" i="33" s="1"/>
  <c r="P451" i="33" s="1"/>
  <c r="K212" i="33"/>
  <c r="M212" i="33" s="1"/>
  <c r="P212" i="33" s="1"/>
  <c r="K112" i="33"/>
  <c r="M112" i="33" s="1"/>
  <c r="P112" i="33" s="1"/>
  <c r="K92" i="33"/>
  <c r="M92" i="33" s="1"/>
  <c r="P92" i="33" s="1"/>
  <c r="K247" i="33"/>
  <c r="M247" i="33" s="1"/>
  <c r="P247" i="33" s="1"/>
  <c r="K580" i="33"/>
  <c r="M580" i="33" s="1"/>
  <c r="P580" i="33" s="1"/>
  <c r="K744" i="33"/>
  <c r="M744" i="33" s="1"/>
  <c r="P744" i="33" s="1"/>
  <c r="K737" i="33"/>
  <c r="M737" i="33" s="1"/>
  <c r="P737" i="33" s="1"/>
  <c r="K79" i="33"/>
  <c r="M79" i="33" s="1"/>
  <c r="P79" i="33" s="1"/>
  <c r="K184" i="33"/>
  <c r="M184" i="33" s="1"/>
  <c r="P184" i="33" s="1"/>
  <c r="K697" i="33"/>
  <c r="M697" i="33" s="1"/>
  <c r="P697" i="33" s="1"/>
  <c r="K777" i="33"/>
  <c r="K249" i="33"/>
  <c r="M249" i="33" s="1"/>
  <c r="P249" i="33" s="1"/>
  <c r="K457" i="33"/>
  <c r="M457" i="33" s="1"/>
  <c r="P457" i="33" s="1"/>
  <c r="K462" i="33"/>
  <c r="M462" i="33" s="1"/>
  <c r="P462" i="33" s="1"/>
  <c r="K422" i="33"/>
  <c r="M422" i="33" s="1"/>
  <c r="P422" i="33" s="1"/>
  <c r="K637" i="33"/>
  <c r="M637" i="33" s="1"/>
  <c r="P637" i="33" s="1"/>
  <c r="K657" i="33"/>
  <c r="M657" i="33" s="1"/>
  <c r="P657" i="33" s="1"/>
  <c r="K370" i="33"/>
  <c r="M370" i="33" s="1"/>
  <c r="P370" i="33" s="1"/>
  <c r="K334" i="33"/>
  <c r="M334" i="33" s="1"/>
  <c r="P334" i="33" s="1"/>
  <c r="K152" i="33"/>
  <c r="M152" i="33" s="1"/>
  <c r="P152" i="33" s="1"/>
  <c r="K802" i="33"/>
  <c r="M802" i="33" s="1"/>
  <c r="P802" i="33" s="1"/>
  <c r="K493" i="33"/>
  <c r="M493" i="33" s="1"/>
  <c r="P493" i="33" s="1"/>
  <c r="K52" i="33"/>
  <c r="M52" i="33" s="1"/>
  <c r="P52" i="33" s="1"/>
  <c r="I9" i="43" s="1"/>
  <c r="R9" i="43" s="1"/>
  <c r="K450" i="33"/>
  <c r="M450" i="33" s="1"/>
  <c r="P450" i="33" s="1"/>
  <c r="I22" i="43" s="1"/>
  <c r="R22" i="43" s="1"/>
  <c r="K406" i="33"/>
  <c r="M406" i="33" s="1"/>
  <c r="P406" i="33" s="1"/>
  <c r="K500" i="33"/>
  <c r="M500" i="33" s="1"/>
  <c r="P500" i="33" s="1"/>
  <c r="K13" i="33"/>
  <c r="M13" i="33" s="1"/>
  <c r="P13" i="33" s="1"/>
  <c r="K287" i="33"/>
  <c r="M287" i="33" s="1"/>
  <c r="P287" i="33" s="1"/>
  <c r="K276" i="33"/>
  <c r="M276" i="33" s="1"/>
  <c r="P276" i="33" s="1"/>
  <c r="K75" i="33"/>
  <c r="M75" i="33" s="1"/>
  <c r="P75" i="33" s="1"/>
  <c r="K636" i="33"/>
  <c r="M636" i="33" s="1"/>
  <c r="P636" i="33" s="1"/>
  <c r="K817" i="33"/>
  <c r="M817" i="33" s="1"/>
  <c r="P817" i="33" s="1"/>
  <c r="K761" i="33"/>
  <c r="M761" i="33" s="1"/>
  <c r="P761" i="33" s="1"/>
  <c r="K42" i="33"/>
  <c r="M42" i="33" s="1"/>
  <c r="P42" i="33" s="1"/>
  <c r="K127" i="33"/>
  <c r="M127" i="33" s="1"/>
  <c r="P127" i="33" s="1"/>
  <c r="K45" i="33"/>
  <c r="M45" i="33" s="1"/>
  <c r="P45" i="33" s="1"/>
  <c r="K217" i="33"/>
  <c r="M217" i="33" s="1"/>
  <c r="P217" i="33" s="1"/>
  <c r="K308" i="33"/>
  <c r="M308" i="33" s="1"/>
  <c r="P308" i="33" s="1"/>
  <c r="K742" i="33"/>
  <c r="K278" i="33"/>
  <c r="M278" i="33" s="1"/>
  <c r="P278" i="33" s="1"/>
  <c r="K634" i="33"/>
  <c r="M634" i="33" s="1"/>
  <c r="P634" i="33" s="1"/>
  <c r="K225" i="33"/>
  <c r="M225" i="33" s="1"/>
  <c r="P225" i="33" s="1"/>
  <c r="K351" i="33"/>
  <c r="M351" i="33" s="1"/>
  <c r="P351" i="33" s="1"/>
  <c r="K201" i="33"/>
  <c r="M201" i="33" s="1"/>
  <c r="P201" i="33" s="1"/>
  <c r="K466" i="33"/>
  <c r="M466" i="33" s="1"/>
  <c r="P466" i="33" s="1"/>
  <c r="K405" i="33"/>
  <c r="M405" i="33" s="1"/>
  <c r="P405" i="33" s="1"/>
  <c r="K564" i="33"/>
  <c r="M564" i="33" s="1"/>
  <c r="P564" i="33" s="1"/>
  <c r="K248" i="33"/>
  <c r="M248" i="33" s="1"/>
  <c r="P248" i="33" s="1"/>
  <c r="K160" i="33"/>
  <c r="M160" i="33" s="1"/>
  <c r="P160" i="33" s="1"/>
  <c r="K298" i="33"/>
  <c r="M298" i="33" s="1"/>
  <c r="P298" i="33" s="1"/>
  <c r="K76" i="33"/>
  <c r="M76" i="33" s="1"/>
  <c r="P76" i="33" s="1"/>
  <c r="K776" i="33"/>
  <c r="M776" i="33" s="1"/>
  <c r="P776" i="33" s="1"/>
  <c r="K774" i="33"/>
  <c r="M774" i="33" s="1"/>
  <c r="P774" i="33" s="1"/>
  <c r="K512" i="33"/>
  <c r="M512" i="33" s="1"/>
  <c r="P512" i="33" s="1"/>
  <c r="K720" i="33"/>
  <c r="M720" i="33" s="1"/>
  <c r="P720" i="33" s="1"/>
  <c r="K116" i="33"/>
  <c r="M116" i="33" s="1"/>
  <c r="P116" i="33" s="1"/>
  <c r="K491" i="33"/>
  <c r="M491" i="33" s="1"/>
  <c r="P491" i="33" s="1"/>
  <c r="K379" i="33"/>
  <c r="M379" i="33" s="1"/>
  <c r="P379" i="33" s="1"/>
  <c r="K194" i="33"/>
  <c r="M194" i="33" s="1"/>
  <c r="P194" i="33" s="1"/>
  <c r="K768" i="33"/>
  <c r="M768" i="33" s="1"/>
  <c r="P768" i="33" s="1"/>
  <c r="K284" i="33"/>
  <c r="M284" i="33" s="1"/>
  <c r="P284" i="33" s="1"/>
  <c r="K348" i="33"/>
  <c r="M348" i="33" s="1"/>
  <c r="P348" i="33" s="1"/>
  <c r="K388" i="33"/>
  <c r="M388" i="33" s="1"/>
  <c r="P388" i="33" s="1"/>
  <c r="K639" i="33"/>
  <c r="M639" i="33" s="1"/>
  <c r="P639" i="33" s="1"/>
  <c r="K389" i="33"/>
  <c r="M389" i="33" s="1"/>
  <c r="P389" i="33" s="1"/>
  <c r="K799" i="33"/>
  <c r="M799" i="33" s="1"/>
  <c r="P799" i="33" s="1"/>
  <c r="K97" i="33"/>
  <c r="M97" i="33" s="1"/>
  <c r="P97" i="33" s="1"/>
  <c r="K741" i="33"/>
  <c r="M741" i="33" s="1"/>
  <c r="P741" i="33" s="1"/>
  <c r="K179" i="33"/>
  <c r="M179" i="33" s="1"/>
  <c r="P179" i="33" s="1"/>
  <c r="K591" i="33"/>
  <c r="M591" i="33" s="1"/>
  <c r="P591" i="33" s="1"/>
  <c r="K125" i="33"/>
  <c r="M125" i="33" s="1"/>
  <c r="P125" i="33" s="1"/>
  <c r="K297" i="33"/>
  <c r="M297" i="33" s="1"/>
  <c r="P297" i="33" s="1"/>
  <c r="K110" i="33"/>
  <c r="M110" i="33" s="1"/>
  <c r="P110" i="33" s="1"/>
  <c r="K378" i="33"/>
  <c r="M378" i="33" s="1"/>
  <c r="P378" i="33" s="1"/>
  <c r="K175" i="33"/>
  <c r="M175" i="33" s="1"/>
  <c r="P175" i="33" s="1"/>
  <c r="K482" i="33"/>
  <c r="M482" i="33" s="1"/>
  <c r="P482" i="33" s="1"/>
  <c r="K778" i="33"/>
  <c r="M778" i="33" s="1"/>
  <c r="P778" i="33" s="1"/>
  <c r="I21" i="47" s="1"/>
  <c r="R21" i="47" s="1"/>
  <c r="K283" i="33"/>
  <c r="M283" i="33" s="1"/>
  <c r="P283" i="33" s="1"/>
  <c r="K243" i="33"/>
  <c r="M243" i="33" s="1"/>
  <c r="P243" i="33" s="1"/>
  <c r="K178" i="33"/>
  <c r="M178" i="33" s="1"/>
  <c r="P178" i="33" s="1"/>
  <c r="K172" i="33"/>
  <c r="M172" i="33" s="1"/>
  <c r="P172" i="33" s="1"/>
  <c r="K310" i="33"/>
  <c r="M310" i="33" s="1"/>
  <c r="P310" i="33" s="1"/>
  <c r="K582" i="33"/>
  <c r="M582" i="33" s="1"/>
  <c r="P582" i="33" s="1"/>
  <c r="K501" i="33"/>
  <c r="M501" i="33" s="1"/>
  <c r="P501" i="33" s="1"/>
  <c r="K459" i="33"/>
  <c r="M459" i="33" s="1"/>
  <c r="P459" i="33" s="1"/>
  <c r="K203" i="33"/>
  <c r="M203" i="33" s="1"/>
  <c r="P203" i="33" s="1"/>
  <c r="K144" i="33"/>
  <c r="M144" i="33" s="1"/>
  <c r="P144" i="33" s="1"/>
  <c r="K200" i="33"/>
  <c r="M200" i="33" s="1"/>
  <c r="P200" i="33" s="1"/>
  <c r="K548" i="33"/>
  <c r="K31" i="33"/>
  <c r="M31" i="33" s="1"/>
  <c r="P31" i="33" s="1"/>
  <c r="K392" i="33"/>
  <c r="M392" i="33" s="1"/>
  <c r="P392" i="33" s="1"/>
  <c r="K309" i="33"/>
  <c r="M309" i="33" s="1"/>
  <c r="P309" i="33" s="1"/>
  <c r="K508" i="33"/>
  <c r="M508" i="33" s="1"/>
  <c r="P508" i="33" s="1"/>
  <c r="K404" i="33"/>
  <c r="M404" i="33" s="1"/>
  <c r="P404" i="33" s="1"/>
  <c r="K145" i="33"/>
  <c r="M145" i="33" s="1"/>
  <c r="P145" i="33" s="1"/>
  <c r="K268" i="33"/>
  <c r="M268" i="33" s="1"/>
  <c r="P268" i="33" s="1"/>
  <c r="K302" i="33"/>
  <c r="M302" i="33" s="1"/>
  <c r="P302" i="33" s="1"/>
  <c r="K649" i="33"/>
  <c r="M649" i="33" s="1"/>
  <c r="P649" i="33" s="1"/>
  <c r="K413" i="33"/>
  <c r="M413" i="33" s="1"/>
  <c r="P413" i="33" s="1"/>
  <c r="K751" i="33"/>
  <c r="M751" i="33" s="1"/>
  <c r="P751" i="33" s="1"/>
  <c r="K465" i="33"/>
  <c r="M465" i="33" s="1"/>
  <c r="P465" i="33" s="1"/>
  <c r="K676" i="33"/>
  <c r="M676" i="33" s="1"/>
  <c r="P676" i="33" s="1"/>
  <c r="K286" i="33"/>
  <c r="M286" i="33" s="1"/>
  <c r="P286" i="33" s="1"/>
  <c r="K495" i="33"/>
  <c r="M495" i="33" s="1"/>
  <c r="P495" i="33" s="1"/>
  <c r="I10" i="47" s="1"/>
  <c r="R10" i="47" s="1"/>
  <c r="K180" i="33"/>
  <c r="M180" i="33" s="1"/>
  <c r="P180" i="33" s="1"/>
  <c r="K105" i="33"/>
  <c r="M105" i="33" s="1"/>
  <c r="P105" i="33" s="1"/>
  <c r="K632" i="33"/>
  <c r="M632" i="33" s="1"/>
  <c r="P632" i="33" s="1"/>
  <c r="K121" i="33"/>
  <c r="M121" i="33" s="1"/>
  <c r="P121" i="33" s="1"/>
  <c r="K660" i="33"/>
  <c r="M660" i="33" s="1"/>
  <c r="P660" i="33" s="1"/>
  <c r="K391" i="33"/>
  <c r="M391" i="33" s="1"/>
  <c r="P391" i="33" s="1"/>
  <c r="K285" i="33"/>
  <c r="M285" i="33" s="1"/>
  <c r="P285" i="33" s="1"/>
  <c r="K108" i="33"/>
  <c r="M108" i="33" s="1"/>
  <c r="P108" i="33" s="1"/>
  <c r="K499" i="33"/>
  <c r="M499" i="33" s="1"/>
  <c r="P499" i="33" s="1"/>
  <c r="K498" i="33"/>
  <c r="M498" i="33" s="1"/>
  <c r="P498" i="33" s="1"/>
  <c r="K115" i="33"/>
  <c r="M115" i="33" s="1"/>
  <c r="P115" i="33" s="1"/>
  <c r="K820" i="33"/>
  <c r="M820" i="33" s="1"/>
  <c r="P820" i="33" s="1"/>
  <c r="K620" i="33"/>
  <c r="M620" i="33" s="1"/>
  <c r="P620" i="33" s="1"/>
  <c r="K409" i="33"/>
  <c r="M409" i="33" s="1"/>
  <c r="P409" i="33" s="1"/>
  <c r="K640" i="33"/>
  <c r="M640" i="33" s="1"/>
  <c r="P640" i="33" s="1"/>
  <c r="K381" i="33"/>
  <c r="M381" i="33" s="1"/>
  <c r="P381" i="33" s="1"/>
  <c r="K609" i="33"/>
  <c r="M609" i="33" s="1"/>
  <c r="P609" i="33" s="1"/>
  <c r="K505" i="33"/>
  <c r="M505" i="33" s="1"/>
  <c r="P505" i="33" s="1"/>
  <c r="K763" i="33"/>
  <c r="M763" i="33" s="1"/>
  <c r="P763" i="33" s="1"/>
  <c r="K780" i="33"/>
  <c r="M780" i="33" s="1"/>
  <c r="P780" i="33" s="1"/>
  <c r="K191" i="33"/>
  <c r="M191" i="33" s="1"/>
  <c r="P191" i="33" s="1"/>
  <c r="K522" i="33"/>
  <c r="M522" i="33" s="1"/>
  <c r="P522" i="33" s="1"/>
  <c r="K731" i="33"/>
  <c r="M731" i="33" s="1"/>
  <c r="P731" i="33" s="1"/>
  <c r="K611" i="33"/>
  <c r="M611" i="33" s="1"/>
  <c r="P611" i="33" s="1"/>
  <c r="K48" i="33"/>
  <c r="M48" i="33" s="1"/>
  <c r="P48" i="33" s="1"/>
  <c r="K784" i="33"/>
  <c r="M784" i="33" s="1"/>
  <c r="P784" i="33" s="1"/>
  <c r="K294" i="33"/>
  <c r="M294" i="33" s="1"/>
  <c r="P294" i="33" s="1"/>
  <c r="K245" i="33"/>
  <c r="M245" i="33" s="1"/>
  <c r="P245" i="33" s="1"/>
  <c r="K204" i="33"/>
  <c r="M204" i="33" s="1"/>
  <c r="P204" i="33" s="1"/>
  <c r="K106" i="33"/>
  <c r="M106" i="33" s="1"/>
  <c r="P106" i="33" s="1"/>
  <c r="K473" i="33"/>
  <c r="K729" i="33"/>
  <c r="M729" i="33" s="1"/>
  <c r="P729" i="33" s="1"/>
  <c r="K28" i="33"/>
  <c r="M28" i="33" s="1"/>
  <c r="P28" i="33" s="1"/>
  <c r="K427" i="33"/>
  <c r="M427" i="33" s="1"/>
  <c r="P427" i="33" s="1"/>
  <c r="K210" i="33"/>
  <c r="M210" i="33" s="1"/>
  <c r="P210" i="33" s="1"/>
  <c r="K446" i="33"/>
  <c r="M446" i="33" s="1"/>
  <c r="P446" i="33" s="1"/>
  <c r="K612" i="33"/>
  <c r="M612" i="33" s="1"/>
  <c r="P612" i="33" s="1"/>
  <c r="K242" i="33"/>
  <c r="K156" i="33"/>
  <c r="M156" i="33" s="1"/>
  <c r="P156" i="33" s="1"/>
  <c r="K312" i="33"/>
  <c r="M312" i="33" s="1"/>
  <c r="P312" i="33" s="1"/>
  <c r="K496" i="33"/>
  <c r="M496" i="33" s="1"/>
  <c r="P496" i="33" s="1"/>
  <c r="I10" i="43" s="1"/>
  <c r="R10" i="43" s="1"/>
  <c r="K567" i="33"/>
  <c r="M567" i="33" s="1"/>
  <c r="P567" i="33" s="1"/>
  <c r="I15" i="43" s="1"/>
  <c r="R15" i="43" s="1"/>
  <c r="K629" i="33"/>
  <c r="M629" i="33" s="1"/>
  <c r="P629" i="33" s="1"/>
  <c r="K748" i="33"/>
  <c r="M748" i="33" s="1"/>
  <c r="P748" i="33" s="1"/>
  <c r="K809" i="33"/>
  <c r="M809" i="33" s="1"/>
  <c r="P809" i="33" s="1"/>
  <c r="K633" i="33"/>
  <c r="M633" i="33" s="1"/>
  <c r="P633" i="33" s="1"/>
  <c r="K396" i="33"/>
  <c r="M396" i="33" s="1"/>
  <c r="P396" i="33" s="1"/>
  <c r="K653" i="33"/>
  <c r="M653" i="33" s="1"/>
  <c r="P653" i="33" s="1"/>
  <c r="K424" i="33"/>
  <c r="M424" i="33" s="1"/>
  <c r="P424" i="33" s="1"/>
  <c r="K673" i="33"/>
  <c r="M673" i="33" s="1"/>
  <c r="P673" i="33" s="1"/>
  <c r="I4" i="47" s="1"/>
  <c r="R4" i="47" s="1"/>
  <c r="K521" i="33"/>
  <c r="M521" i="33" s="1"/>
  <c r="P521" i="33" s="1"/>
  <c r="K390" i="33"/>
  <c r="M390" i="33" s="1"/>
  <c r="P390" i="33" s="1"/>
  <c r="K233" i="33"/>
  <c r="M233" i="33" s="1"/>
  <c r="P233" i="33" s="1"/>
  <c r="K252" i="33"/>
  <c r="M252" i="33" s="1"/>
  <c r="P252" i="33" s="1"/>
  <c r="K566" i="33"/>
  <c r="M566" i="33" s="1"/>
  <c r="P566" i="33" s="1"/>
  <c r="K781" i="33"/>
  <c r="M781" i="33" s="1"/>
  <c r="P781" i="33" s="1"/>
  <c r="K556" i="33"/>
  <c r="M556" i="33" s="1"/>
  <c r="P556" i="33" s="1"/>
  <c r="I11" i="43" s="1"/>
  <c r="R11" i="43" s="1"/>
  <c r="K96" i="33"/>
  <c r="M96" i="33" s="1"/>
  <c r="P96" i="33" s="1"/>
  <c r="I28" i="47" s="1"/>
  <c r="R28" i="47" s="1"/>
  <c r="K757" i="33"/>
  <c r="M757" i="33" s="1"/>
  <c r="P757" i="33" s="1"/>
  <c r="I20" i="47" s="1"/>
  <c r="R20" i="47" s="1"/>
  <c r="K749" i="33"/>
  <c r="M749" i="33" s="1"/>
  <c r="P749" i="33" s="1"/>
  <c r="K650" i="33"/>
  <c r="M650" i="33" s="1"/>
  <c r="P650" i="33" s="1"/>
  <c r="K529" i="33"/>
  <c r="M529" i="33" s="1"/>
  <c r="P529" i="33" s="1"/>
  <c r="K150" i="33"/>
  <c r="M150" i="33" s="1"/>
  <c r="P150" i="33" s="1"/>
  <c r="K480" i="33"/>
  <c r="M480" i="33" s="1"/>
  <c r="P480" i="33" s="1"/>
  <c r="K296" i="33"/>
  <c r="M296" i="33" s="1"/>
  <c r="P296" i="33" s="1"/>
  <c r="K231" i="33"/>
  <c r="M231" i="33" s="1"/>
  <c r="P231" i="33" s="1"/>
  <c r="K622" i="33"/>
  <c r="M622" i="33" s="1"/>
  <c r="P622" i="33" s="1"/>
  <c r="K710" i="33"/>
  <c r="M710" i="33" s="1"/>
  <c r="P710" i="33" s="1"/>
  <c r="K767" i="33"/>
  <c r="M767" i="33" s="1"/>
  <c r="P767" i="33" s="1"/>
  <c r="K492" i="33"/>
  <c r="M492" i="33" s="1"/>
  <c r="P492" i="33" s="1"/>
  <c r="K169" i="33"/>
  <c r="M169" i="33" s="1"/>
  <c r="P169" i="33" s="1"/>
  <c r="K758" i="33"/>
  <c r="M758" i="33" s="1"/>
  <c r="P758" i="33" s="1"/>
  <c r="K299" i="33"/>
  <c r="M299" i="33" s="1"/>
  <c r="P299" i="33" s="1"/>
  <c r="K425" i="33"/>
  <c r="M425" i="33" s="1"/>
  <c r="P425" i="33" s="1"/>
  <c r="K436" i="33"/>
  <c r="M436" i="33" s="1"/>
  <c r="P436" i="33" s="1"/>
  <c r="K533" i="33"/>
  <c r="M533" i="33" s="1"/>
  <c r="P533" i="33" s="1"/>
  <c r="K188" i="33"/>
  <c r="M188" i="33" s="1"/>
  <c r="P188" i="33" s="1"/>
  <c r="K675" i="33"/>
  <c r="M675" i="33" s="1"/>
  <c r="P675" i="33" s="1"/>
  <c r="K189" i="33"/>
  <c r="M189" i="33" s="1"/>
  <c r="P189" i="33" s="1"/>
  <c r="K747" i="33"/>
  <c r="K811" i="33"/>
  <c r="M811" i="33" s="1"/>
  <c r="P811" i="33" s="1"/>
  <c r="K246" i="33"/>
  <c r="M246" i="33" s="1"/>
  <c r="P246" i="33" s="1"/>
  <c r="K547" i="33"/>
  <c r="M547" i="33" s="1"/>
  <c r="P547" i="33" s="1"/>
  <c r="K447" i="33"/>
  <c r="M447" i="33" s="1"/>
  <c r="P447" i="33" s="1"/>
  <c r="K137" i="33"/>
  <c r="M137" i="33" s="1"/>
  <c r="P137" i="33" s="1"/>
  <c r="K295" i="33"/>
  <c r="M295" i="33" s="1"/>
  <c r="P295" i="33" s="1"/>
  <c r="K691" i="33"/>
  <c r="M691" i="33" s="1"/>
  <c r="P691" i="33" s="1"/>
  <c r="K15" i="33"/>
  <c r="K563" i="33"/>
  <c r="M563" i="33" s="1"/>
  <c r="P563" i="33" s="1"/>
  <c r="K686" i="33"/>
  <c r="M686" i="33" s="1"/>
  <c r="P686" i="33" s="1"/>
  <c r="K452" i="33"/>
  <c r="M452" i="33" s="1"/>
  <c r="P452" i="33" s="1"/>
  <c r="K63" i="33"/>
  <c r="M63" i="33" s="1"/>
  <c r="P63" i="33" s="1"/>
  <c r="K579" i="33"/>
  <c r="M579" i="33" s="1"/>
  <c r="P579" i="33" s="1"/>
  <c r="K630" i="33"/>
  <c r="M630" i="33" s="1"/>
  <c r="P630" i="33" s="1"/>
  <c r="K401" i="33"/>
  <c r="M401" i="33" s="1"/>
  <c r="P401" i="33" s="1"/>
  <c r="I24" i="43" s="1"/>
  <c r="R24" i="43" s="1"/>
  <c r="K80" i="33"/>
  <c r="M80" i="33" s="1"/>
  <c r="P80" i="33" s="1"/>
  <c r="K735" i="33"/>
  <c r="M735" i="33" s="1"/>
  <c r="P735" i="33" s="1"/>
  <c r="K703" i="33"/>
  <c r="M703" i="33" s="1"/>
  <c r="P703" i="33" s="1"/>
  <c r="K408" i="33"/>
  <c r="M408" i="33" s="1"/>
  <c r="P408" i="33" s="1"/>
  <c r="K470" i="33"/>
  <c r="M470" i="33" s="1"/>
  <c r="P470" i="33" s="1"/>
  <c r="K367" i="33"/>
  <c r="M367" i="33" s="1"/>
  <c r="P367" i="33" s="1"/>
  <c r="K16" i="33"/>
  <c r="M16" i="33" s="1"/>
  <c r="P16" i="33" s="1"/>
  <c r="K190" i="33"/>
  <c r="M190" i="33" s="1"/>
  <c r="P190" i="33" s="1"/>
  <c r="K394" i="33"/>
  <c r="M394" i="33" s="1"/>
  <c r="P394" i="33" s="1"/>
  <c r="K693" i="33"/>
  <c r="M693" i="33" s="1"/>
  <c r="P693" i="33" s="1"/>
  <c r="K818" i="33"/>
  <c r="M818" i="33" s="1"/>
  <c r="P818" i="33" s="1"/>
  <c r="K420" i="33"/>
  <c r="M420" i="33" s="1"/>
  <c r="P420" i="33" s="1"/>
  <c r="K449" i="33"/>
  <c r="M449" i="33" s="1"/>
  <c r="P449" i="33" s="1"/>
  <c r="K138" i="33"/>
  <c r="M138" i="33" s="1"/>
  <c r="P138" i="33" s="1"/>
  <c r="K721" i="33"/>
  <c r="M721" i="33" s="1"/>
  <c r="P721" i="33" s="1"/>
  <c r="K301" i="33"/>
  <c r="M301" i="33" s="1"/>
  <c r="P301" i="33" s="1"/>
  <c r="K704" i="33"/>
  <c r="M704" i="33" s="1"/>
  <c r="P704" i="33" s="1"/>
  <c r="K530" i="33"/>
  <c r="M530" i="33" s="1"/>
  <c r="P530" i="33" s="1"/>
  <c r="K445" i="33"/>
  <c r="M445" i="33" s="1"/>
  <c r="P445" i="33" s="1"/>
  <c r="K51" i="33"/>
  <c r="M51" i="33" s="1"/>
  <c r="P51" i="33" s="1"/>
  <c r="K690" i="33"/>
  <c r="M690" i="33" s="1"/>
  <c r="P690" i="33" s="1"/>
  <c r="K206" i="33"/>
  <c r="M206" i="33" s="1"/>
  <c r="P206" i="33" s="1"/>
  <c r="K111" i="33"/>
  <c r="M111" i="33" s="1"/>
  <c r="P111" i="33" s="1"/>
  <c r="K692" i="33"/>
  <c r="M692" i="33" s="1"/>
  <c r="P692" i="33" s="1"/>
  <c r="I3" i="43" s="1"/>
  <c r="R3" i="43" s="1"/>
  <c r="K698" i="33"/>
  <c r="M698" i="33" s="1"/>
  <c r="P698" i="33" s="1"/>
  <c r="K222" i="33"/>
  <c r="M222" i="33" s="1"/>
  <c r="P222" i="33" s="1"/>
  <c r="K743" i="33"/>
  <c r="M743" i="33" s="1"/>
  <c r="P743" i="33" s="1"/>
  <c r="K655" i="33"/>
  <c r="M655" i="33" s="1"/>
  <c r="P655" i="33" s="1"/>
  <c r="K89" i="33"/>
  <c r="M89" i="33" s="1"/>
  <c r="P89" i="33" s="1"/>
  <c r="K718" i="33"/>
  <c r="M718" i="33" s="1"/>
  <c r="P718" i="33" s="1"/>
  <c r="K44" i="33"/>
  <c r="M44" i="33" s="1"/>
  <c r="P44" i="33" s="1"/>
  <c r="K511" i="33"/>
  <c r="M511" i="33" s="1"/>
  <c r="P511" i="33" s="1"/>
  <c r="K631" i="33"/>
  <c r="M631" i="33" s="1"/>
  <c r="P631" i="33" s="1"/>
  <c r="K644" i="33"/>
  <c r="M644" i="33" s="1"/>
  <c r="P644" i="33" s="1"/>
  <c r="K349" i="33"/>
  <c r="M349" i="33" s="1"/>
  <c r="P349" i="33" s="1"/>
  <c r="K211" i="33"/>
  <c r="M211" i="33" s="1"/>
  <c r="P211" i="33" s="1"/>
  <c r="K685" i="33"/>
  <c r="M685" i="33" s="1"/>
  <c r="P685" i="33" s="1"/>
  <c r="K549" i="33"/>
  <c r="M549" i="33" s="1"/>
  <c r="P549" i="33" s="1"/>
  <c r="K141" i="33"/>
  <c r="M141" i="33" s="1"/>
  <c r="P141" i="33" s="1"/>
  <c r="K98" i="33"/>
  <c r="M98" i="33" s="1"/>
  <c r="P98" i="33" s="1"/>
  <c r="K307" i="33"/>
  <c r="M307" i="33" s="1"/>
  <c r="P307" i="33" s="1"/>
  <c r="K90" i="33"/>
  <c r="M90" i="33" s="1"/>
  <c r="P90" i="33" s="1"/>
  <c r="K699" i="33"/>
  <c r="M699" i="33" s="1"/>
  <c r="P699" i="33" s="1"/>
  <c r="K513" i="33"/>
  <c r="M513" i="33" s="1"/>
  <c r="P513" i="33" s="1"/>
  <c r="K306" i="33"/>
  <c r="K520" i="33"/>
  <c r="M520" i="33" s="1"/>
  <c r="P520" i="33" s="1"/>
  <c r="K415" i="33"/>
  <c r="M415" i="33" s="1"/>
  <c r="P415" i="33" s="1"/>
  <c r="K572" i="33"/>
  <c r="M572" i="33" s="1"/>
  <c r="P572" i="33" s="1"/>
  <c r="K438" i="33"/>
  <c r="M438" i="33" s="1"/>
  <c r="P438" i="33" s="1"/>
  <c r="K263" i="33"/>
  <c r="K519" i="33"/>
  <c r="M519" i="33" s="1"/>
  <c r="P519" i="33" s="1"/>
  <c r="K91" i="33"/>
  <c r="M91" i="33" s="1"/>
  <c r="P91" i="33" s="1"/>
  <c r="K746" i="33"/>
  <c r="M746" i="33" s="1"/>
  <c r="P746" i="33" s="1"/>
  <c r="K185" i="33"/>
  <c r="M185" i="33" s="1"/>
  <c r="P185" i="33" s="1"/>
  <c r="K656" i="33"/>
  <c r="M656" i="33" s="1"/>
  <c r="P656" i="33" s="1"/>
  <c r="K300" i="33"/>
  <c r="M300" i="33" s="1"/>
  <c r="P300" i="33" s="1"/>
  <c r="K174" i="33"/>
  <c r="M174" i="33" s="1"/>
  <c r="P174" i="33" s="1"/>
  <c r="K437" i="33"/>
  <c r="M437" i="33" s="1"/>
  <c r="P437" i="33" s="1"/>
  <c r="K625" i="33"/>
  <c r="M625" i="33" s="1"/>
  <c r="P625" i="33" s="1"/>
  <c r="K504" i="33"/>
  <c r="M504" i="33" s="1"/>
  <c r="P504" i="33" s="1"/>
  <c r="K282" i="33"/>
  <c r="M282" i="33" s="1"/>
  <c r="P282" i="33" s="1"/>
  <c r="K148" i="33"/>
  <c r="M148" i="33" s="1"/>
  <c r="P148" i="33" s="1"/>
  <c r="K739" i="33"/>
  <c r="M739" i="33" s="1"/>
  <c r="P739" i="33" s="1"/>
  <c r="K730" i="33"/>
  <c r="M730" i="33" s="1"/>
  <c r="P730" i="33" s="1"/>
  <c r="K93" i="33"/>
  <c r="M93" i="33" s="1"/>
  <c r="P93" i="33" s="1"/>
  <c r="K289" i="33"/>
  <c r="M289" i="33" s="1"/>
  <c r="P289" i="33" s="1"/>
  <c r="K35" i="33"/>
  <c r="M35" i="33" s="1"/>
  <c r="P35" i="33" s="1"/>
  <c r="K570" i="33"/>
  <c r="M570" i="33" s="1"/>
  <c r="P570" i="33" s="1"/>
  <c r="K109" i="33"/>
  <c r="M109" i="33" s="1"/>
  <c r="P109" i="33" s="1"/>
  <c r="K490" i="33"/>
  <c r="M490" i="33" s="1"/>
  <c r="P490" i="33" s="1"/>
  <c r="I17" i="43" s="1"/>
  <c r="R17" i="43" s="1"/>
  <c r="K514" i="33"/>
  <c r="M514" i="33" s="1"/>
  <c r="P514" i="33" s="1"/>
  <c r="K313" i="33"/>
  <c r="M313" i="33" s="1"/>
  <c r="P313" i="33" s="1"/>
  <c r="K291" i="33"/>
  <c r="M291" i="33" s="1"/>
  <c r="P291" i="33" s="1"/>
  <c r="K168" i="33"/>
  <c r="M168" i="33" s="1"/>
  <c r="P168" i="33" s="1"/>
  <c r="K151" i="33"/>
  <c r="M151" i="33" s="1"/>
  <c r="P151" i="33" s="1"/>
  <c r="K621" i="33"/>
  <c r="M621" i="33" s="1"/>
  <c r="P621" i="33" s="1"/>
  <c r="K292" i="33"/>
  <c r="M292" i="33" s="1"/>
  <c r="P292" i="33" s="1"/>
  <c r="K705" i="33"/>
  <c r="M705" i="33" s="1"/>
  <c r="P705" i="33" s="1"/>
  <c r="K74" i="33"/>
  <c r="M74" i="33" s="1"/>
  <c r="P74" i="33" s="1"/>
  <c r="K275" i="33"/>
  <c r="M275" i="33" s="1"/>
  <c r="P275" i="33" s="1"/>
  <c r="K149" i="33"/>
  <c r="M149" i="33" s="1"/>
  <c r="P149" i="33" s="1"/>
  <c r="K366" i="33"/>
  <c r="M366" i="33" s="1"/>
  <c r="P366" i="33" s="1"/>
  <c r="K385" i="33"/>
  <c r="M385" i="33" s="1"/>
  <c r="P385" i="33" s="1"/>
  <c r="K766" i="33"/>
  <c r="K674" i="33"/>
  <c r="M674" i="33" s="1"/>
  <c r="P674" i="33" s="1"/>
  <c r="K812" i="33"/>
  <c r="M812" i="33" s="1"/>
  <c r="P812" i="33" s="1"/>
  <c r="K227" i="33"/>
  <c r="M227" i="33" s="1"/>
  <c r="P227" i="33" s="1"/>
  <c r="K113" i="33"/>
  <c r="M113" i="33" s="1"/>
  <c r="P113" i="33" s="1"/>
  <c r="K607" i="33"/>
  <c r="M607" i="33" s="1"/>
  <c r="P607" i="33" s="1"/>
  <c r="K386" i="33"/>
  <c r="M386" i="33" s="1"/>
  <c r="P386" i="33" s="1"/>
  <c r="K162" i="33"/>
  <c r="M162" i="33" s="1"/>
  <c r="P162" i="33" s="1"/>
  <c r="K49" i="33"/>
  <c r="M49" i="33" s="1"/>
  <c r="P49" i="33" s="1"/>
  <c r="K497" i="33"/>
  <c r="M497" i="33" s="1"/>
  <c r="P497" i="33" s="1"/>
  <c r="K414" i="33"/>
  <c r="K399" i="33"/>
  <c r="M399" i="33" s="1"/>
  <c r="P399" i="33" s="1"/>
  <c r="I289" i="12"/>
  <c r="G82" i="5"/>
  <c r="G398" i="5"/>
  <c r="G405" i="5"/>
  <c r="G24" i="5"/>
  <c r="G275" i="5"/>
  <c r="G321" i="5"/>
  <c r="G404" i="5"/>
  <c r="G88" i="5"/>
  <c r="G170" i="5"/>
  <c r="F268" i="5"/>
  <c r="H268" i="5" s="1"/>
  <c r="G392" i="5"/>
  <c r="F380" i="5"/>
  <c r="H380" i="5" s="1"/>
  <c r="F91" i="5"/>
  <c r="H91" i="5" s="1"/>
  <c r="D302" i="5"/>
  <c r="E302" i="5" s="1"/>
  <c r="D308" i="5"/>
  <c r="E308" i="5" s="1"/>
  <c r="F229" i="5"/>
  <c r="H229" i="5" s="1"/>
  <c r="D459" i="5"/>
  <c r="E459" i="5" s="1"/>
  <c r="G315" i="5"/>
  <c r="D68" i="5"/>
  <c r="E68" i="5" s="1"/>
  <c r="F188" i="5"/>
  <c r="H188" i="5" s="1"/>
  <c r="G424" i="5"/>
  <c r="F219" i="5"/>
  <c r="H219" i="5" s="1"/>
  <c r="F48" i="5"/>
  <c r="H48" i="5" s="1"/>
  <c r="F271" i="5"/>
  <c r="H271" i="5" s="1"/>
  <c r="D409" i="5"/>
  <c r="E409" i="5" s="1"/>
  <c r="F13" i="5"/>
  <c r="H13" i="5" s="1"/>
  <c r="F348" i="5"/>
  <c r="H348" i="5" s="1"/>
  <c r="G396" i="5"/>
  <c r="G101" i="5"/>
  <c r="G198" i="5"/>
  <c r="G22" i="5"/>
  <c r="G419" i="5"/>
  <c r="G204" i="5"/>
  <c r="G427" i="5"/>
  <c r="G206" i="5"/>
  <c r="G33" i="5"/>
  <c r="G129" i="5"/>
  <c r="G196" i="5"/>
  <c r="F133" i="5"/>
  <c r="H133" i="5" s="1"/>
  <c r="F111" i="5"/>
  <c r="H111" i="5" s="1"/>
  <c r="G217" i="5"/>
  <c r="F23" i="5"/>
  <c r="H23" i="5" s="1"/>
  <c r="D403" i="5"/>
  <c r="E403" i="5" s="1"/>
  <c r="F150" i="5"/>
  <c r="H150" i="5" s="1"/>
  <c r="D323" i="5"/>
  <c r="E323" i="5" s="1"/>
  <c r="F137" i="5"/>
  <c r="H137" i="5" s="1"/>
  <c r="F147" i="5"/>
  <c r="H147" i="5" s="1"/>
  <c r="D344" i="5"/>
  <c r="E344" i="5" s="1"/>
  <c r="F393" i="5"/>
  <c r="H393" i="5" s="1"/>
  <c r="F294" i="5"/>
  <c r="H294" i="5" s="1"/>
  <c r="F118" i="5"/>
  <c r="H118" i="5" s="1"/>
  <c r="D312" i="5"/>
  <c r="E312" i="5" s="1"/>
  <c r="F227" i="5"/>
  <c r="H227" i="5" s="1"/>
  <c r="D411" i="5"/>
  <c r="E411" i="5" s="1"/>
  <c r="G134" i="5"/>
  <c r="D230" i="5"/>
  <c r="E230" i="5" s="1"/>
  <c r="G473" i="5"/>
  <c r="G417" i="5"/>
  <c r="G356" i="5"/>
  <c r="G126" i="5"/>
  <c r="G192" i="5"/>
  <c r="G28" i="5"/>
  <c r="F238" i="5"/>
  <c r="H238" i="5" s="1"/>
  <c r="F221" i="5"/>
  <c r="H221" i="5" s="1"/>
  <c r="D458" i="5"/>
  <c r="E458" i="5" s="1"/>
  <c r="F376" i="5"/>
  <c r="H376" i="5" s="1"/>
  <c r="F354" i="5"/>
  <c r="H354" i="5" s="1"/>
  <c r="F41" i="5"/>
  <c r="H41" i="5" s="1"/>
  <c r="G288" i="5"/>
  <c r="F10" i="5"/>
  <c r="H10" i="5" s="1"/>
  <c r="G10" i="5"/>
  <c r="G255" i="5"/>
  <c r="F291" i="5"/>
  <c r="H291" i="5" s="1"/>
  <c r="F347" i="5"/>
  <c r="H347" i="5" s="1"/>
  <c r="F46" i="5"/>
  <c r="H46" i="5" s="1"/>
  <c r="G85" i="5"/>
  <c r="D385" i="5"/>
  <c r="E385" i="5" s="1"/>
  <c r="G257" i="5"/>
  <c r="F189" i="5"/>
  <c r="H189" i="5" s="1"/>
  <c r="D280" i="5"/>
  <c r="E280" i="5" s="1"/>
  <c r="F131" i="5"/>
  <c r="H131" i="5" s="1"/>
  <c r="F368" i="5"/>
  <c r="H368" i="5" s="1"/>
  <c r="G96" i="5"/>
  <c r="I96" i="5" s="1"/>
  <c r="J96" i="5" s="1"/>
  <c r="L96" i="5" s="1"/>
  <c r="G95" i="5"/>
  <c r="D163" i="5"/>
  <c r="E163" i="5" s="1"/>
  <c r="D416" i="5"/>
  <c r="E416" i="5" s="1"/>
  <c r="D32" i="5"/>
  <c r="E32" i="5" s="1"/>
  <c r="D233" i="5"/>
  <c r="E233" i="5" s="1"/>
  <c r="G292" i="5"/>
  <c r="D20" i="5"/>
  <c r="E20" i="5" s="1"/>
  <c r="F381" i="5"/>
  <c r="H381" i="5" s="1"/>
  <c r="F319" i="5"/>
  <c r="H319" i="5" s="1"/>
  <c r="F171" i="5"/>
  <c r="H171" i="5" s="1"/>
  <c r="F246" i="5"/>
  <c r="H246" i="5" s="1"/>
  <c r="D461" i="5"/>
  <c r="E461" i="5" s="1"/>
  <c r="F14" i="5"/>
  <c r="H14" i="5" s="1"/>
  <c r="D80" i="5"/>
  <c r="E80" i="5" s="1"/>
  <c r="F89" i="5"/>
  <c r="H89" i="5" s="1"/>
  <c r="F216" i="5"/>
  <c r="H216" i="5" s="1"/>
  <c r="G84" i="5"/>
  <c r="F114" i="5"/>
  <c r="H114" i="5" s="1"/>
  <c r="D443" i="5"/>
  <c r="E443" i="5" s="1"/>
  <c r="F71" i="5"/>
  <c r="H71" i="5" s="1"/>
  <c r="G290" i="5"/>
  <c r="G397" i="5"/>
  <c r="G463" i="5"/>
  <c r="G167" i="5"/>
  <c r="G370" i="5"/>
  <c r="D478" i="5"/>
  <c r="E478" i="5" s="1"/>
  <c r="G466" i="5"/>
  <c r="D330" i="5"/>
  <c r="E330" i="5" s="1"/>
  <c r="G173" i="5"/>
  <c r="G415" i="5"/>
  <c r="G65" i="5"/>
  <c r="G44" i="5"/>
  <c r="D407" i="5"/>
  <c r="E407" i="5" s="1"/>
  <c r="F265" i="5"/>
  <c r="H265" i="5" s="1"/>
  <c r="F457" i="5"/>
  <c r="H457" i="5" s="1"/>
  <c r="F446" i="5"/>
  <c r="H446" i="5" s="1"/>
  <c r="D464" i="5"/>
  <c r="E464" i="5" s="1"/>
  <c r="G172" i="5"/>
  <c r="G116" i="5"/>
  <c r="D130" i="5"/>
  <c r="E130" i="5" s="1"/>
  <c r="D406" i="5"/>
  <c r="E406" i="5" s="1"/>
  <c r="F295" i="5"/>
  <c r="H295" i="5" s="1"/>
  <c r="F359" i="5"/>
  <c r="H359" i="5" s="1"/>
  <c r="G178" i="5"/>
  <c r="D421" i="5"/>
  <c r="E421" i="5" s="1"/>
  <c r="F267" i="5"/>
  <c r="H267" i="5" s="1"/>
  <c r="F287" i="5"/>
  <c r="H287" i="5" s="1"/>
  <c r="D342" i="5"/>
  <c r="E342" i="5" s="1"/>
  <c r="G102" i="5"/>
  <c r="F307" i="5"/>
  <c r="H307" i="5" s="1"/>
  <c r="G363" i="5"/>
  <c r="D351" i="5"/>
  <c r="E351" i="5" s="1"/>
  <c r="G379" i="5"/>
  <c r="D460" i="5"/>
  <c r="E460" i="5" s="1"/>
  <c r="F200" i="5"/>
  <c r="H200" i="5" s="1"/>
  <c r="G51" i="5"/>
  <c r="F336" i="5"/>
  <c r="H336" i="5" s="1"/>
  <c r="F168" i="5"/>
  <c r="H168" i="5" s="1"/>
  <c r="G180" i="5"/>
  <c r="G390" i="5"/>
  <c r="G243" i="5"/>
  <c r="G35" i="5"/>
  <c r="G34" i="5"/>
  <c r="G127" i="5"/>
  <c r="G420" i="5"/>
  <c r="G447" i="5"/>
  <c r="G263" i="5"/>
  <c r="G193" i="5"/>
  <c r="F260" i="5"/>
  <c r="H260" i="5" s="1"/>
  <c r="D58" i="5"/>
  <c r="E58" i="5" s="1"/>
  <c r="F412" i="5"/>
  <c r="H412" i="5" s="1"/>
  <c r="G442" i="5"/>
  <c r="D369" i="5"/>
  <c r="E369" i="5" s="1"/>
  <c r="F72" i="5"/>
  <c r="H72" i="5" s="1"/>
  <c r="F270" i="5"/>
  <c r="H270" i="5" s="1"/>
  <c r="F36" i="5"/>
  <c r="H36" i="5" s="1"/>
  <c r="G317" i="5"/>
  <c r="D400" i="5"/>
  <c r="E400" i="5" s="1"/>
  <c r="F104" i="5"/>
  <c r="H104" i="5" s="1"/>
  <c r="F105" i="5"/>
  <c r="H105" i="5" s="1"/>
  <c r="F93" i="5"/>
  <c r="H93" i="5" s="1"/>
  <c r="F109" i="5"/>
  <c r="H109" i="5" s="1"/>
  <c r="G194" i="5"/>
  <c r="F175" i="5"/>
  <c r="H175" i="5" s="1"/>
  <c r="D59" i="5"/>
  <c r="E59" i="5" s="1"/>
  <c r="F431" i="5"/>
  <c r="H431" i="5" s="1"/>
  <c r="D19" i="5"/>
  <c r="E19" i="5" s="1"/>
  <c r="G462" i="5"/>
  <c r="G441" i="5"/>
  <c r="G199" i="5"/>
  <c r="F107" i="5"/>
  <c r="H107" i="5" s="1"/>
  <c r="F276" i="5"/>
  <c r="H276" i="5" s="1"/>
  <c r="G26" i="5"/>
  <c r="D273" i="5"/>
  <c r="E273" i="5" s="1"/>
  <c r="G231" i="5"/>
  <c r="D156" i="5"/>
  <c r="E156" i="5" s="1"/>
  <c r="G141" i="5"/>
  <c r="G144" i="5"/>
  <c r="D346" i="5"/>
  <c r="E346" i="5" s="1"/>
  <c r="G75" i="5"/>
  <c r="G40" i="5"/>
  <c r="D176" i="5"/>
  <c r="E176" i="5" s="1"/>
  <c r="D213" i="5"/>
  <c r="E213" i="5" s="1"/>
  <c r="G440" i="5"/>
  <c r="G186" i="5"/>
  <c r="G106" i="5"/>
  <c r="G61" i="5"/>
  <c r="F220" i="5"/>
  <c r="H220" i="5" s="1"/>
  <c r="F81" i="5"/>
  <c r="H81" i="5" s="1"/>
  <c r="G113" i="5"/>
  <c r="G328" i="5"/>
  <c r="F157" i="5"/>
  <c r="H157" i="5" s="1"/>
  <c r="F124" i="5"/>
  <c r="H124" i="5" s="1"/>
  <c r="D31" i="5"/>
  <c r="E31" i="5" s="1"/>
  <c r="D117" i="5"/>
  <c r="E117" i="5" s="1"/>
  <c r="F52" i="5"/>
  <c r="H52" i="5" s="1"/>
  <c r="D29" i="5"/>
  <c r="E29" i="5" s="1"/>
  <c r="F110" i="5"/>
  <c r="H110" i="5" s="1"/>
  <c r="F251" i="5"/>
  <c r="H251" i="5" s="1"/>
  <c r="G310" i="5"/>
  <c r="F341" i="5"/>
  <c r="H341" i="5" s="1"/>
  <c r="D395" i="5"/>
  <c r="E395" i="5" s="1"/>
  <c r="G373" i="5"/>
  <c r="D138" i="5"/>
  <c r="E138" i="5" s="1"/>
  <c r="F252" i="5"/>
  <c r="H252" i="5" s="1"/>
  <c r="F364" i="5"/>
  <c r="H364" i="5" s="1"/>
  <c r="F254" i="5"/>
  <c r="H254" i="5" s="1"/>
  <c r="F183" i="5"/>
  <c r="H183" i="5" s="1"/>
  <c r="G313" i="5"/>
  <c r="G283" i="5"/>
  <c r="G414" i="5"/>
  <c r="G413" i="5"/>
  <c r="G45" i="5"/>
  <c r="G325" i="5"/>
  <c r="G37" i="5"/>
  <c r="G151" i="5"/>
  <c r="G383" i="5"/>
  <c r="G259" i="5"/>
  <c r="G408" i="5"/>
  <c r="G83" i="5"/>
  <c r="G201" i="5"/>
  <c r="F67" i="5"/>
  <c r="H67" i="5" s="1"/>
  <c r="D224" i="5"/>
  <c r="E224" i="5" s="1"/>
  <c r="F340" i="5"/>
  <c r="H340" i="5" s="1"/>
  <c r="F304" i="5"/>
  <c r="H304" i="5" s="1"/>
  <c r="F179" i="5"/>
  <c r="H179" i="5" s="1"/>
  <c r="F281" i="5"/>
  <c r="H281" i="5" s="1"/>
  <c r="F465" i="5"/>
  <c r="H465" i="5" s="1"/>
  <c r="D222" i="5"/>
  <c r="E222" i="5" s="1"/>
  <c r="G214" i="5"/>
  <c r="D439" i="5"/>
  <c r="E439" i="5" s="1"/>
  <c r="G445" i="5"/>
  <c r="F16" i="5"/>
  <c r="H16" i="5" s="1"/>
  <c r="G64" i="5"/>
  <c r="D242" i="5"/>
  <c r="E242" i="5" s="1"/>
  <c r="G476" i="5"/>
  <c r="G303" i="5"/>
  <c r="F153" i="5"/>
  <c r="H153" i="5" s="1"/>
  <c r="F388" i="5"/>
  <c r="H388" i="5" s="1"/>
  <c r="G357" i="5"/>
  <c r="F57" i="5"/>
  <c r="H57" i="5" s="1"/>
  <c r="D432" i="5"/>
  <c r="E432" i="5" s="1"/>
  <c r="F99" i="5"/>
  <c r="H99" i="5" s="1"/>
  <c r="D131" i="5"/>
  <c r="E131" i="5" s="1"/>
  <c r="I200" i="12"/>
  <c r="I527" i="12"/>
  <c r="I106" i="12"/>
  <c r="I602" i="12"/>
  <c r="I86" i="12"/>
  <c r="I476" i="12"/>
  <c r="I110" i="12"/>
  <c r="I473" i="12"/>
  <c r="G65" i="12"/>
  <c r="K65" i="12"/>
  <c r="G453" i="12"/>
  <c r="K453" i="12"/>
  <c r="G186" i="12"/>
  <c r="K186" i="12"/>
  <c r="G618" i="12"/>
  <c r="K618" i="12"/>
  <c r="G491" i="12"/>
  <c r="K491" i="12"/>
  <c r="G371" i="12"/>
  <c r="K371" i="12"/>
  <c r="G191" i="12"/>
  <c r="K191" i="12"/>
  <c r="G171" i="12"/>
  <c r="K171" i="12"/>
  <c r="G245" i="12"/>
  <c r="K245" i="12"/>
  <c r="G585" i="12"/>
  <c r="K585" i="12"/>
  <c r="G533" i="12"/>
  <c r="K533" i="12"/>
  <c r="G107" i="12"/>
  <c r="K107" i="12"/>
  <c r="G510" i="12"/>
  <c r="K510" i="12"/>
  <c r="G663" i="12"/>
  <c r="K663" i="12"/>
  <c r="G97" i="12"/>
  <c r="K97" i="12"/>
  <c r="G12" i="12"/>
  <c r="K12" i="12"/>
  <c r="G220" i="12"/>
  <c r="K220" i="12"/>
  <c r="G185" i="12"/>
  <c r="K185" i="12"/>
  <c r="G130" i="12"/>
  <c r="K130" i="12"/>
  <c r="G111" i="12"/>
  <c r="K111" i="12"/>
  <c r="G394" i="12"/>
  <c r="K394" i="12"/>
  <c r="G524" i="12"/>
  <c r="K524" i="12"/>
  <c r="G607" i="12"/>
  <c r="K607" i="12"/>
  <c r="G657" i="12"/>
  <c r="K657" i="12"/>
  <c r="G31" i="12"/>
  <c r="K31" i="12"/>
  <c r="G295" i="12"/>
  <c r="K295" i="12"/>
  <c r="G584" i="12"/>
  <c r="K584" i="12"/>
  <c r="G34" i="12"/>
  <c r="K34" i="12"/>
  <c r="G410" i="12"/>
  <c r="K410" i="12"/>
  <c r="G430" i="12"/>
  <c r="K430" i="12"/>
  <c r="G336" i="12"/>
  <c r="K336" i="12"/>
  <c r="G352" i="12"/>
  <c r="K352" i="12"/>
  <c r="G282" i="12"/>
  <c r="K282" i="12"/>
  <c r="G620" i="12"/>
  <c r="K620" i="12"/>
  <c r="G46" i="12"/>
  <c r="K46" i="12"/>
  <c r="G456" i="12"/>
  <c r="K456" i="12"/>
  <c r="G433" i="12"/>
  <c r="K433" i="12"/>
  <c r="G443" i="12"/>
  <c r="K443" i="12"/>
  <c r="G370" i="12"/>
  <c r="K370" i="12"/>
  <c r="G283" i="12"/>
  <c r="K283" i="12"/>
  <c r="G172" i="12"/>
  <c r="K172" i="12"/>
  <c r="G265" i="12"/>
  <c r="K265" i="12"/>
  <c r="G161" i="12"/>
  <c r="K161" i="12"/>
  <c r="G147" i="12"/>
  <c r="K147" i="12"/>
  <c r="G545" i="12"/>
  <c r="K545" i="12"/>
  <c r="G484" i="12"/>
  <c r="K484" i="12"/>
  <c r="G492" i="12"/>
  <c r="K492" i="12"/>
  <c r="G658" i="12"/>
  <c r="K658" i="12"/>
  <c r="G570" i="12"/>
  <c r="K570" i="12"/>
  <c r="G102" i="12"/>
  <c r="K102" i="12"/>
  <c r="G16" i="12"/>
  <c r="K16" i="12"/>
  <c r="G87" i="12"/>
  <c r="K87" i="12"/>
  <c r="G251" i="12"/>
  <c r="K251" i="12"/>
  <c r="G205" i="12"/>
  <c r="K205" i="12"/>
  <c r="G639" i="12"/>
  <c r="K639" i="12"/>
  <c r="G148" i="12"/>
  <c r="K148" i="12"/>
  <c r="G521" i="12"/>
  <c r="K521" i="12"/>
  <c r="G103" i="12"/>
  <c r="K103" i="12"/>
  <c r="G495" i="12"/>
  <c r="K495" i="12"/>
  <c r="G640" i="12"/>
  <c r="K640" i="12"/>
  <c r="G546" i="12"/>
  <c r="K546" i="12"/>
  <c r="G99" i="12"/>
  <c r="K99" i="12"/>
  <c r="G302" i="12"/>
  <c r="K302" i="12"/>
  <c r="G441" i="12"/>
  <c r="K441" i="12"/>
  <c r="G406" i="12"/>
  <c r="K406" i="12"/>
  <c r="G509" i="12"/>
  <c r="K509" i="12"/>
  <c r="G630" i="12"/>
  <c r="K630" i="12"/>
  <c r="G68" i="12"/>
  <c r="K68" i="12"/>
  <c r="G413" i="12"/>
  <c r="K413" i="12"/>
  <c r="G651" i="12"/>
  <c r="K651" i="12"/>
  <c r="G374" i="12"/>
  <c r="K374" i="12"/>
  <c r="G447" i="12"/>
  <c r="K447" i="12"/>
  <c r="G258" i="12"/>
  <c r="K258" i="12"/>
  <c r="G237" i="12"/>
  <c r="K237" i="12"/>
  <c r="G580" i="12"/>
  <c r="K580" i="12"/>
  <c r="G48" i="12"/>
  <c r="K48" i="12"/>
  <c r="G59" i="12"/>
  <c r="K59" i="12"/>
  <c r="G653" i="12"/>
  <c r="K653" i="12"/>
  <c r="G451" i="12"/>
  <c r="K451" i="12"/>
  <c r="G375" i="12"/>
  <c r="K375" i="12"/>
  <c r="G277" i="12"/>
  <c r="K277" i="12"/>
  <c r="G240" i="12"/>
  <c r="K240" i="12"/>
  <c r="G199" i="12"/>
  <c r="K199" i="12"/>
  <c r="G257" i="12"/>
  <c r="K257" i="12"/>
  <c r="G207" i="12"/>
  <c r="K207" i="12"/>
  <c r="G530" i="12"/>
  <c r="K530" i="12"/>
  <c r="G149" i="12"/>
  <c r="K149" i="12"/>
  <c r="G541" i="12"/>
  <c r="K541" i="12"/>
  <c r="G153" i="12"/>
  <c r="K153" i="12"/>
  <c r="G578" i="12"/>
  <c r="K578" i="12"/>
  <c r="G346" i="12"/>
  <c r="K346" i="12"/>
  <c r="G493" i="12"/>
  <c r="K493" i="12"/>
  <c r="G588" i="12"/>
  <c r="K588" i="12"/>
  <c r="G560" i="12"/>
  <c r="K560" i="12"/>
  <c r="G472" i="12"/>
  <c r="K472" i="12"/>
  <c r="G30" i="12"/>
  <c r="K30" i="12"/>
  <c r="G73" i="12"/>
  <c r="K73" i="12"/>
  <c r="G316" i="12"/>
  <c r="K316" i="12"/>
  <c r="G170" i="12"/>
  <c r="K170" i="12"/>
  <c r="G279" i="12"/>
  <c r="K279" i="12"/>
  <c r="G614" i="12"/>
  <c r="K614" i="12"/>
  <c r="G532" i="12"/>
  <c r="K532" i="12"/>
  <c r="G529" i="12"/>
  <c r="K529" i="12"/>
  <c r="G128" i="12"/>
  <c r="K128" i="12"/>
  <c r="G391" i="12"/>
  <c r="K391" i="12"/>
  <c r="G631" i="12"/>
  <c r="K631" i="12"/>
  <c r="G647" i="12"/>
  <c r="K647" i="12"/>
  <c r="G512" i="12"/>
  <c r="K512" i="12"/>
  <c r="G603" i="12"/>
  <c r="K603" i="12"/>
  <c r="G562" i="12"/>
  <c r="K562" i="12"/>
  <c r="G90" i="12"/>
  <c r="K90" i="12"/>
  <c r="G303" i="12"/>
  <c r="K303" i="12"/>
  <c r="G617" i="12"/>
  <c r="K617" i="12"/>
  <c r="G63" i="12"/>
  <c r="K63" i="12"/>
  <c r="G404" i="12"/>
  <c r="K404" i="12"/>
  <c r="G52" i="12"/>
  <c r="K52" i="12"/>
  <c r="G340" i="12"/>
  <c r="K340" i="12"/>
  <c r="G70" i="12"/>
  <c r="K70" i="12"/>
  <c r="G621" i="12"/>
  <c r="K621" i="12"/>
  <c r="G434" i="12"/>
  <c r="K434" i="12"/>
  <c r="G632" i="12"/>
  <c r="K632" i="12"/>
  <c r="G229" i="12"/>
  <c r="K229" i="12"/>
  <c r="G194" i="12"/>
  <c r="K194" i="12"/>
  <c r="G627" i="12"/>
  <c r="K627" i="12"/>
  <c r="G407" i="12"/>
  <c r="K407" i="12"/>
  <c r="G338" i="12"/>
  <c r="K338" i="12"/>
  <c r="G417" i="12"/>
  <c r="K417" i="12"/>
  <c r="G281" i="12"/>
  <c r="K281" i="12"/>
  <c r="G217" i="12"/>
  <c r="K217" i="12"/>
  <c r="G209" i="12"/>
  <c r="K209" i="12"/>
  <c r="G135" i="12"/>
  <c r="K135" i="12"/>
  <c r="G125" i="12"/>
  <c r="K125" i="12"/>
  <c r="G397" i="12"/>
  <c r="K397" i="12"/>
  <c r="G343" i="12"/>
  <c r="K343" i="12"/>
  <c r="G590" i="12"/>
  <c r="K590" i="12"/>
  <c r="G648" i="12"/>
  <c r="K648" i="12"/>
  <c r="G83" i="12"/>
  <c r="K83" i="12"/>
  <c r="G182" i="12"/>
  <c r="K182" i="12"/>
  <c r="G224" i="12"/>
  <c r="K224" i="12"/>
  <c r="G157" i="12"/>
  <c r="K157" i="12"/>
  <c r="G127" i="12"/>
  <c r="K127" i="12"/>
  <c r="G386" i="12"/>
  <c r="K386" i="12"/>
  <c r="G482" i="12"/>
  <c r="K482" i="12"/>
  <c r="G467" i="12"/>
  <c r="K467" i="12"/>
  <c r="G77" i="12"/>
  <c r="K77" i="12"/>
  <c r="G624" i="12"/>
  <c r="K624" i="12"/>
  <c r="G54" i="12"/>
  <c r="K54" i="12"/>
  <c r="G623" i="12"/>
  <c r="K623" i="12"/>
  <c r="G57" i="12"/>
  <c r="K57" i="12"/>
  <c r="G432" i="12"/>
  <c r="K432" i="12"/>
  <c r="G411" i="12"/>
  <c r="K411" i="12"/>
  <c r="G523" i="12"/>
  <c r="K523" i="12"/>
  <c r="G328" i="12"/>
  <c r="K328" i="12"/>
  <c r="G423" i="12"/>
  <c r="K423" i="12"/>
  <c r="G382" i="12"/>
  <c r="K382" i="12"/>
  <c r="G263" i="12"/>
  <c r="K263" i="12"/>
  <c r="G212" i="12"/>
  <c r="K212" i="12"/>
  <c r="G58" i="12"/>
  <c r="K58" i="12"/>
  <c r="G579" i="12"/>
  <c r="K579" i="12"/>
  <c r="G75" i="12"/>
  <c r="K75" i="12"/>
  <c r="G402" i="12"/>
  <c r="K402" i="12"/>
  <c r="G498" i="12"/>
  <c r="K498" i="12"/>
  <c r="G373" i="12"/>
  <c r="K373" i="12"/>
  <c r="G425" i="12"/>
  <c r="K425" i="12"/>
  <c r="G256" i="12"/>
  <c r="K256" i="12"/>
  <c r="G271" i="12"/>
  <c r="K271" i="12"/>
  <c r="G244" i="12"/>
  <c r="K244" i="12"/>
  <c r="G604" i="12"/>
  <c r="K604" i="12"/>
  <c r="G528" i="12"/>
  <c r="K528" i="12"/>
  <c r="G133" i="12"/>
  <c r="K133" i="12"/>
  <c r="G124" i="12"/>
  <c r="K124" i="12"/>
  <c r="G364" i="12"/>
  <c r="K364" i="12"/>
  <c r="G117" i="12"/>
  <c r="K117" i="12"/>
  <c r="G344" i="12"/>
  <c r="K344" i="12"/>
  <c r="G522" i="12"/>
  <c r="K522" i="12"/>
  <c r="G478" i="12"/>
  <c r="K478" i="12"/>
  <c r="G461" i="12"/>
  <c r="K461" i="12"/>
  <c r="G665" i="12"/>
  <c r="K665" i="12"/>
  <c r="G81" i="12"/>
  <c r="K81" i="12"/>
  <c r="G278" i="12"/>
  <c r="K278" i="12"/>
  <c r="G189" i="12"/>
  <c r="K189" i="12"/>
  <c r="G547" i="12"/>
  <c r="K547" i="12"/>
  <c r="G155" i="12"/>
  <c r="K155" i="12"/>
  <c r="G629" i="12"/>
  <c r="K629" i="12"/>
  <c r="G317" i="12"/>
  <c r="K317" i="12"/>
  <c r="G525" i="12"/>
  <c r="K525" i="12"/>
  <c r="G477" i="12"/>
  <c r="K477" i="12"/>
  <c r="G464" i="12"/>
  <c r="K464" i="12"/>
  <c r="G466" i="12"/>
  <c r="K466" i="12"/>
  <c r="G21" i="12"/>
  <c r="K21" i="12"/>
  <c r="G82" i="12"/>
  <c r="K82" i="12"/>
  <c r="G308" i="12"/>
  <c r="K308" i="12"/>
  <c r="G626" i="12"/>
  <c r="K626" i="12"/>
  <c r="G61" i="12"/>
  <c r="K61" i="12"/>
  <c r="G401" i="12"/>
  <c r="K401" i="12"/>
  <c r="G659" i="12"/>
  <c r="K659" i="12"/>
  <c r="G368" i="12"/>
  <c r="K368" i="12"/>
  <c r="G372" i="12"/>
  <c r="K372" i="12"/>
  <c r="G203" i="12"/>
  <c r="K203" i="12"/>
  <c r="G60" i="12"/>
  <c r="K60" i="12"/>
  <c r="G260" i="12"/>
  <c r="K260" i="12"/>
  <c r="G132" i="12"/>
  <c r="K132" i="12"/>
  <c r="G143" i="12"/>
  <c r="K143" i="12"/>
  <c r="G505" i="12"/>
  <c r="K505" i="12"/>
  <c r="G593" i="12"/>
  <c r="K593" i="12"/>
  <c r="G67" i="12"/>
  <c r="K67" i="12"/>
  <c r="G261" i="12"/>
  <c r="K261" i="12"/>
  <c r="G673" i="12"/>
  <c r="K673" i="12"/>
  <c r="G362" i="12"/>
  <c r="K362" i="12"/>
  <c r="G109" i="12"/>
  <c r="K109" i="12"/>
  <c r="G644" i="12"/>
  <c r="K644" i="12"/>
  <c r="G95" i="12"/>
  <c r="K95" i="12"/>
  <c r="G293" i="12"/>
  <c r="K293" i="12"/>
  <c r="G56" i="12"/>
  <c r="K56" i="12"/>
  <c r="G507" i="12"/>
  <c r="K507" i="12"/>
  <c r="G55" i="12"/>
  <c r="K55" i="12"/>
  <c r="G403" i="12"/>
  <c r="K403" i="12"/>
  <c r="G327" i="12"/>
  <c r="K327" i="12"/>
  <c r="G583" i="12"/>
  <c r="K583" i="12"/>
  <c r="G437" i="12"/>
  <c r="K437" i="12"/>
  <c r="G661" i="12"/>
  <c r="K661" i="12"/>
  <c r="G269" i="12"/>
  <c r="K269" i="12"/>
  <c r="G174" i="12"/>
  <c r="K174" i="12"/>
  <c r="G540" i="12"/>
  <c r="K540" i="12"/>
  <c r="G582" i="12"/>
  <c r="K582" i="12"/>
  <c r="G519" i="12"/>
  <c r="K519" i="12"/>
  <c r="G460" i="12"/>
  <c r="K460" i="12"/>
  <c r="G10" i="12"/>
  <c r="K10" i="12"/>
  <c r="G310" i="12"/>
  <c r="K310" i="12"/>
  <c r="G622" i="12"/>
  <c r="K622" i="12"/>
  <c r="G549" i="12"/>
  <c r="K549" i="12"/>
  <c r="G156" i="12"/>
  <c r="K156" i="12"/>
  <c r="G609" i="12"/>
  <c r="K609" i="12"/>
  <c r="G486" i="12"/>
  <c r="K486" i="12"/>
  <c r="G465" i="12"/>
  <c r="K465" i="12"/>
  <c r="G20" i="12"/>
  <c r="K20" i="12"/>
  <c r="G306" i="12"/>
  <c r="K306" i="12"/>
  <c r="G409" i="12"/>
  <c r="K409" i="12"/>
  <c r="G431" i="12"/>
  <c r="K431" i="12"/>
  <c r="G36" i="12"/>
  <c r="K36" i="12"/>
  <c r="G439" i="12"/>
  <c r="K439" i="12"/>
  <c r="G500" i="12"/>
  <c r="K500" i="12"/>
  <c r="G421" i="12"/>
  <c r="K421" i="12"/>
  <c r="G285" i="12"/>
  <c r="K285" i="12"/>
  <c r="G188" i="12"/>
  <c r="K188" i="12"/>
  <c r="G592" i="12"/>
  <c r="K592" i="12"/>
  <c r="K37" i="12"/>
  <c r="G429" i="12"/>
  <c r="K429" i="12"/>
  <c r="G412" i="12"/>
  <c r="K412" i="12"/>
  <c r="G502" i="12"/>
  <c r="K502" i="12"/>
  <c r="G348" i="12"/>
  <c r="K348" i="12"/>
  <c r="G427" i="12"/>
  <c r="K427" i="12"/>
  <c r="G286" i="12"/>
  <c r="K286" i="12"/>
  <c r="G197" i="12"/>
  <c r="K197" i="12"/>
  <c r="G178" i="12"/>
  <c r="K178" i="12"/>
  <c r="G198" i="12"/>
  <c r="K198" i="12"/>
  <c r="G610" i="12"/>
  <c r="K610" i="12"/>
  <c r="G569" i="12"/>
  <c r="K569" i="12"/>
  <c r="G360" i="12"/>
  <c r="K360" i="12"/>
  <c r="G393" i="12"/>
  <c r="K393" i="12"/>
  <c r="G105" i="12"/>
  <c r="K105" i="12"/>
  <c r="G516" i="12"/>
  <c r="K516" i="12"/>
  <c r="G671" i="12"/>
  <c r="K671" i="12"/>
  <c r="G475" i="12"/>
  <c r="K475" i="12"/>
  <c r="G664" i="12"/>
  <c r="K664" i="12"/>
  <c r="K11" i="12"/>
  <c r="G80" i="12"/>
  <c r="K80" i="12"/>
  <c r="G190" i="12"/>
  <c r="K190" i="12"/>
  <c r="G234" i="12"/>
  <c r="K234" i="12"/>
  <c r="G638" i="12"/>
  <c r="K638" i="12"/>
  <c r="G163" i="12"/>
  <c r="K163" i="12"/>
  <c r="G574" i="12"/>
  <c r="K574" i="12"/>
  <c r="G357" i="12"/>
  <c r="K357" i="12"/>
  <c r="G385" i="12"/>
  <c r="K385" i="12"/>
  <c r="G625" i="12"/>
  <c r="K625" i="12"/>
  <c r="G322" i="12"/>
  <c r="K322" i="12"/>
  <c r="G494" i="12"/>
  <c r="K494" i="12"/>
  <c r="G596" i="12"/>
  <c r="K596" i="12"/>
  <c r="G643" i="12"/>
  <c r="K643" i="12"/>
  <c r="G32" i="12"/>
  <c r="K32" i="12"/>
  <c r="G71" i="12"/>
  <c r="K71" i="12"/>
  <c r="G299" i="12"/>
  <c r="K299" i="12"/>
  <c r="G628" i="12"/>
  <c r="K628" i="12"/>
  <c r="G42" i="12"/>
  <c r="K42" i="12"/>
  <c r="G400" i="12"/>
  <c r="K400" i="12"/>
  <c r="G636" i="12"/>
  <c r="K636" i="12"/>
  <c r="G353" i="12"/>
  <c r="K353" i="12"/>
  <c r="G41" i="12"/>
  <c r="K41" i="12"/>
  <c r="G349" i="12"/>
  <c r="K349" i="12"/>
  <c r="G64" i="12"/>
  <c r="K64" i="12"/>
  <c r="G39" i="12"/>
  <c r="K39" i="12"/>
  <c r="G405" i="12"/>
  <c r="K405" i="12"/>
  <c r="G331" i="12"/>
  <c r="K331" i="12"/>
  <c r="G330" i="12"/>
  <c r="K330" i="12"/>
  <c r="G418" i="12"/>
  <c r="K418" i="12"/>
  <c r="G169" i="12"/>
  <c r="K169" i="12"/>
  <c r="G248" i="12"/>
  <c r="K248" i="12"/>
  <c r="G51" i="12"/>
  <c r="K51" i="12"/>
  <c r="G47" i="12"/>
  <c r="K47" i="12"/>
  <c r="G350" i="12"/>
  <c r="K350" i="12"/>
  <c r="G419" i="12"/>
  <c r="K419" i="12"/>
  <c r="G356" i="12"/>
  <c r="K356" i="12"/>
  <c r="G250" i="12"/>
  <c r="K250" i="12"/>
  <c r="G241" i="12"/>
  <c r="K241" i="12"/>
  <c r="G158" i="12"/>
  <c r="K158" i="12"/>
  <c r="G140" i="12"/>
  <c r="K140" i="12"/>
  <c r="G565" i="12"/>
  <c r="K565" i="12"/>
  <c r="G126" i="12"/>
  <c r="K126" i="12"/>
  <c r="G145" i="12"/>
  <c r="K145" i="12"/>
  <c r="G359" i="12"/>
  <c r="K359" i="12"/>
  <c r="G675" i="12"/>
  <c r="K675" i="12"/>
  <c r="G485" i="12"/>
  <c r="K485" i="12"/>
  <c r="G642" i="12"/>
  <c r="K642" i="12"/>
  <c r="G587" i="12"/>
  <c r="K587" i="12"/>
  <c r="G29" i="12"/>
  <c r="K29" i="12"/>
  <c r="G342" i="12"/>
  <c r="K342" i="12"/>
  <c r="G196" i="12"/>
  <c r="K196" i="12"/>
  <c r="G168" i="12"/>
  <c r="K168" i="12"/>
  <c r="G216" i="12"/>
  <c r="K216" i="12"/>
  <c r="G656" i="12"/>
  <c r="K656" i="12"/>
  <c r="G154" i="12"/>
  <c r="K154" i="12"/>
  <c r="G339" i="12"/>
  <c r="K339" i="12"/>
  <c r="G116" i="12"/>
  <c r="K116" i="12"/>
  <c r="G518" i="12"/>
  <c r="K518" i="12"/>
  <c r="G670" i="12"/>
  <c r="K670" i="12"/>
  <c r="G576" i="12"/>
  <c r="K576" i="12"/>
  <c r="G662" i="12"/>
  <c r="K662" i="12"/>
  <c r="G69" i="12"/>
  <c r="K69" i="12"/>
  <c r="G36" i="15" s="1"/>
  <c r="G296" i="12"/>
  <c r="K296" i="12"/>
  <c r="G44" i="12"/>
  <c r="K44" i="12"/>
  <c r="G49" i="12"/>
  <c r="K49" i="12"/>
  <c r="G435" i="12"/>
  <c r="K435" i="12"/>
  <c r="G458" i="12"/>
  <c r="K458" i="12"/>
  <c r="G487" i="12"/>
  <c r="K487" i="12"/>
  <c r="G358" i="12"/>
  <c r="K358" i="12"/>
  <c r="G337" i="12"/>
  <c r="K337" i="12"/>
  <c r="G43" i="12"/>
  <c r="K43" i="12"/>
  <c r="G329" i="12"/>
  <c r="K329" i="12"/>
  <c r="G62" i="12"/>
  <c r="K62" i="12"/>
  <c r="G74" i="12"/>
  <c r="K74" i="12"/>
  <c r="G616" i="12"/>
  <c r="K616" i="12"/>
  <c r="G72" i="12"/>
  <c r="K72" i="12"/>
  <c r="G654" i="12"/>
  <c r="K654" i="12"/>
  <c r="G416" i="12"/>
  <c r="K416" i="12"/>
  <c r="G377" i="12"/>
  <c r="K377" i="12"/>
  <c r="G270" i="12"/>
  <c r="K270" i="12"/>
  <c r="G219" i="12"/>
  <c r="K219" i="12"/>
  <c r="G595" i="12"/>
  <c r="K595" i="12"/>
  <c r="G53" i="12"/>
  <c r="K53" i="12"/>
  <c r="G40" i="12"/>
  <c r="K40" i="12"/>
  <c r="G637" i="12"/>
  <c r="K637" i="12"/>
  <c r="G341" i="12"/>
  <c r="K341" i="12"/>
  <c r="G450" i="12"/>
  <c r="K450" i="12"/>
  <c r="G381" i="12"/>
  <c r="K381" i="12"/>
  <c r="G291" i="12"/>
  <c r="K291" i="12"/>
  <c r="G179" i="12"/>
  <c r="K179" i="12"/>
  <c r="G235" i="12"/>
  <c r="K235" i="12"/>
  <c r="G255" i="12"/>
  <c r="K255" i="12"/>
  <c r="G166" i="12"/>
  <c r="K166" i="12"/>
  <c r="G559" i="12"/>
  <c r="K559" i="12"/>
  <c r="G119" i="12"/>
  <c r="K119" i="12"/>
  <c r="G150" i="12"/>
  <c r="K150" i="12"/>
  <c r="G384" i="12"/>
  <c r="K384" i="12"/>
  <c r="G615" i="12"/>
  <c r="K615" i="12"/>
  <c r="G321" i="12"/>
  <c r="K321" i="12"/>
  <c r="G497" i="12"/>
  <c r="K497" i="12"/>
  <c r="G597" i="12"/>
  <c r="K597" i="12"/>
  <c r="G558" i="12"/>
  <c r="K558" i="12"/>
  <c r="G92" i="12"/>
  <c r="K92" i="12"/>
  <c r="G7" i="14" s="1"/>
  <c r="G298" i="12"/>
  <c r="K298" i="12"/>
  <c r="G225" i="12"/>
  <c r="K225" i="12"/>
  <c r="G608" i="12"/>
  <c r="K608" i="12"/>
  <c r="G536" i="12"/>
  <c r="K536" i="12"/>
  <c r="G537" i="12"/>
  <c r="K537" i="12"/>
  <c r="G692" i="12"/>
  <c r="K692" i="12"/>
  <c r="G144" i="12"/>
  <c r="K144" i="12"/>
  <c r="G390" i="12"/>
  <c r="K390" i="12"/>
  <c r="G571" i="12"/>
  <c r="K571" i="12"/>
  <c r="G680" i="12"/>
  <c r="K680" i="12"/>
  <c r="G488" i="12"/>
  <c r="K488" i="12"/>
  <c r="G681" i="12"/>
  <c r="K681" i="12"/>
  <c r="G544" i="12"/>
  <c r="K544" i="12"/>
  <c r="G101" i="12"/>
  <c r="K101" i="12"/>
  <c r="G15" i="12"/>
  <c r="K15" i="12"/>
  <c r="G311" i="12"/>
  <c r="K311" i="12"/>
  <c r="G312" i="12"/>
  <c r="K312" i="12"/>
  <c r="G50" i="12"/>
  <c r="K50" i="12"/>
  <c r="G457" i="12"/>
  <c r="K457" i="12"/>
  <c r="G415" i="12"/>
  <c r="K415" i="12"/>
  <c r="G326" i="12"/>
  <c r="K326" i="12"/>
  <c r="G45" i="12"/>
  <c r="K45" i="12"/>
  <c r="G35" i="12"/>
  <c r="K35" i="12"/>
  <c r="G359" i="5"/>
  <c r="G612" i="5"/>
  <c r="I612" i="5" s="1"/>
  <c r="J612" i="5" s="1"/>
  <c r="L612" i="5" s="1"/>
  <c r="G618" i="5"/>
  <c r="G99" i="5"/>
  <c r="G458" i="5"/>
  <c r="G376" i="5"/>
  <c r="G23" i="5"/>
  <c r="G580" i="5"/>
  <c r="F411" i="5"/>
  <c r="H411" i="5" s="1"/>
  <c r="F344" i="5"/>
  <c r="H344" i="5" s="1"/>
  <c r="F579" i="5"/>
  <c r="H579" i="5" s="1"/>
  <c r="D646" i="7"/>
  <c r="Y646" i="7" s="1"/>
  <c r="G411" i="5"/>
  <c r="F312" i="5"/>
  <c r="H312" i="5" s="1"/>
  <c r="G179" i="5"/>
  <c r="D319" i="7"/>
  <c r="Y319" i="7" s="1"/>
  <c r="F18" i="37"/>
  <c r="O18" i="37" s="1"/>
  <c r="F20" i="37"/>
  <c r="O20" i="37" s="1"/>
  <c r="F12" i="37"/>
  <c r="O12" i="37" s="1"/>
  <c r="G12" i="37"/>
  <c r="P12" i="37" s="1"/>
  <c r="G20" i="37"/>
  <c r="P20" i="37" s="1"/>
  <c r="H18" i="37"/>
  <c r="Q18" i="37" s="1"/>
  <c r="F4" i="37"/>
  <c r="O4" i="37" s="1"/>
  <c r="G18" i="37"/>
  <c r="P18" i="37" s="1"/>
  <c r="I4" i="19"/>
  <c r="I12" i="19"/>
  <c r="I20" i="19"/>
  <c r="I13" i="19"/>
  <c r="I29" i="19"/>
  <c r="I24" i="19"/>
  <c r="I5" i="19"/>
  <c r="I6" i="19"/>
  <c r="I22" i="19"/>
  <c r="I23" i="19"/>
  <c r="I7" i="19"/>
  <c r="I3" i="19"/>
  <c r="R3" i="19" s="1"/>
  <c r="I18" i="19"/>
  <c r="I8" i="19"/>
  <c r="I11" i="19"/>
  <c r="I19" i="19"/>
  <c r="I27" i="19"/>
  <c r="I21" i="19"/>
  <c r="F385" i="5"/>
  <c r="H385" i="5" s="1"/>
  <c r="D96" i="5"/>
  <c r="E96" i="5" s="1"/>
  <c r="G131" i="5"/>
  <c r="G623" i="5"/>
  <c r="D257" i="5"/>
  <c r="E257" i="5" s="1"/>
  <c r="F623" i="5"/>
  <c r="H623" i="5" s="1"/>
  <c r="G347" i="5"/>
  <c r="G368" i="5"/>
  <c r="F257" i="5"/>
  <c r="H257" i="5" s="1"/>
  <c r="G385" i="5"/>
  <c r="F137" i="7"/>
  <c r="H137" i="7" s="1"/>
  <c r="F323" i="5"/>
  <c r="H323" i="5" s="1"/>
  <c r="F646" i="7"/>
  <c r="H646" i="7" s="1"/>
  <c r="D137" i="5"/>
  <c r="E137" i="5" s="1"/>
  <c r="S6" i="33"/>
  <c r="F319" i="7"/>
  <c r="H319" i="7" s="1"/>
  <c r="G58" i="5"/>
  <c r="D479" i="7"/>
  <c r="Y479" i="7" s="1"/>
  <c r="G421" i="5"/>
  <c r="G138" i="5"/>
  <c r="G354" i="5"/>
  <c r="D608" i="5"/>
  <c r="E608" i="5" s="1"/>
  <c r="D183" i="5"/>
  <c r="E183" i="5" s="1"/>
  <c r="D63" i="7"/>
  <c r="Y63" i="7" s="1"/>
  <c r="G238" i="5"/>
  <c r="F310" i="5"/>
  <c r="H310" i="5" s="1"/>
  <c r="G252" i="5"/>
  <c r="G254" i="5"/>
  <c r="G364" i="5"/>
  <c r="G221" i="5"/>
  <c r="D10" i="5"/>
  <c r="E10" i="5" s="1"/>
  <c r="G117" i="5"/>
  <c r="F169" i="7"/>
  <c r="H169" i="7" s="1"/>
  <c r="F63" i="7"/>
  <c r="H63" i="7" s="1"/>
  <c r="F340" i="7"/>
  <c r="H340" i="7" s="1"/>
  <c r="F29" i="5"/>
  <c r="H29" i="5" s="1"/>
  <c r="D514" i="7"/>
  <c r="E514" i="7" s="1"/>
  <c r="G31" i="5"/>
  <c r="G81" i="5"/>
  <c r="D340" i="7"/>
  <c r="Y340" i="7" s="1"/>
  <c r="G29" i="5"/>
  <c r="F514" i="7"/>
  <c r="H514" i="7" s="1"/>
  <c r="D310" i="5"/>
  <c r="E310" i="5" s="1"/>
  <c r="F524" i="7"/>
  <c r="H524" i="7" s="1"/>
  <c r="F400" i="5"/>
  <c r="H400" i="5" s="1"/>
  <c r="D354" i="5"/>
  <c r="E354" i="5" s="1"/>
  <c r="F349" i="12"/>
  <c r="H349" i="12" s="1"/>
  <c r="F222" i="5"/>
  <c r="H222" i="5" s="1"/>
  <c r="J576" i="9"/>
  <c r="L11" i="9"/>
  <c r="F476" i="5"/>
  <c r="H476" i="5" s="1"/>
  <c r="D476" i="5"/>
  <c r="E476" i="5" s="1"/>
  <c r="G222" i="5"/>
  <c r="G153" i="5"/>
  <c r="G340" i="5"/>
  <c r="F117" i="5"/>
  <c r="H117" i="5" s="1"/>
  <c r="F64" i="12"/>
  <c r="H64" i="12" s="1"/>
  <c r="G224" i="5"/>
  <c r="J517" i="9"/>
  <c r="L13" i="9"/>
  <c r="G388" i="5"/>
  <c r="F458" i="5"/>
  <c r="H458" i="5" s="1"/>
  <c r="G281" i="5"/>
  <c r="G242" i="5"/>
  <c r="D357" i="5"/>
  <c r="E357" i="5" s="1"/>
  <c r="D288" i="5"/>
  <c r="E288" i="5" s="1"/>
  <c r="F242" i="5"/>
  <c r="H242" i="5" s="1"/>
  <c r="D81" i="5"/>
  <c r="E81" i="5" s="1"/>
  <c r="D211" i="7"/>
  <c r="J96" i="9"/>
  <c r="L483" i="9"/>
  <c r="J629" i="9"/>
  <c r="L640" i="9"/>
  <c r="D520" i="7"/>
  <c r="Y520" i="7" s="1"/>
  <c r="D310" i="7"/>
  <c r="Y310" i="7" s="1"/>
  <c r="F310" i="7"/>
  <c r="H310" i="7" s="1"/>
  <c r="D677" i="7"/>
  <c r="E677" i="7" s="1"/>
  <c r="F677" i="7"/>
  <c r="H677" i="7" s="1"/>
  <c r="D428" i="7"/>
  <c r="Y428" i="7" s="1"/>
  <c r="F271" i="7"/>
  <c r="H271" i="7" s="1"/>
  <c r="F428" i="7"/>
  <c r="H428" i="7" s="1"/>
  <c r="F627" i="7"/>
  <c r="H627" i="7" s="1"/>
  <c r="D433" i="7"/>
  <c r="Y433" i="7" s="1"/>
  <c r="D363" i="7"/>
  <c r="Y363" i="7" s="1"/>
  <c r="D386" i="7"/>
  <c r="Y386" i="7" s="1"/>
  <c r="D64" i="7"/>
  <c r="Y64" i="7" s="1"/>
  <c r="D375" i="7"/>
  <c r="Y375" i="7" s="1"/>
  <c r="D308" i="7"/>
  <c r="E308" i="7" s="1"/>
  <c r="F308" i="7"/>
  <c r="H308" i="7" s="1"/>
  <c r="D417" i="7"/>
  <c r="Y417" i="7" s="1"/>
  <c r="D271" i="7"/>
  <c r="E271" i="7" s="1"/>
  <c r="F625" i="7"/>
  <c r="H625" i="7" s="1"/>
  <c r="D64" i="5"/>
  <c r="E64" i="5" s="1"/>
  <c r="G465" i="5"/>
  <c r="D303" i="5"/>
  <c r="E303" i="5" s="1"/>
  <c r="G233" i="5"/>
  <c r="D153" i="5"/>
  <c r="E153" i="5" s="1"/>
  <c r="G16" i="5"/>
  <c r="F421" i="5"/>
  <c r="H421" i="5" s="1"/>
  <c r="K186" i="9"/>
  <c r="K891" i="9"/>
  <c r="K118" i="9"/>
  <c r="K126" i="9"/>
  <c r="K892" i="9"/>
  <c r="K116" i="9"/>
  <c r="K120" i="9"/>
  <c r="K314" i="9"/>
  <c r="K18" i="9"/>
  <c r="K46" i="9"/>
  <c r="K196" i="9"/>
  <c r="K865" i="9"/>
  <c r="K858" i="9"/>
  <c r="K535" i="9"/>
  <c r="K212" i="9"/>
  <c r="K882" i="9"/>
  <c r="K23" i="9"/>
  <c r="K870" i="9"/>
  <c r="K220" i="9"/>
  <c r="K315" i="9"/>
  <c r="K239" i="9"/>
  <c r="K73" i="9"/>
  <c r="K180" i="9"/>
  <c r="K855" i="9"/>
  <c r="K866" i="9"/>
  <c r="K857" i="9"/>
  <c r="K851" i="9"/>
  <c r="K302" i="9"/>
  <c r="K325" i="9"/>
  <c r="K875" i="9"/>
  <c r="K867" i="9"/>
  <c r="K538" i="9"/>
  <c r="K218" i="9"/>
  <c r="K113" i="9"/>
  <c r="K854" i="9"/>
  <c r="K850" i="9"/>
  <c r="K182" i="9"/>
  <c r="K294" i="9"/>
  <c r="K874" i="9"/>
  <c r="K208" i="9"/>
  <c r="K217" i="9"/>
  <c r="K306" i="9"/>
  <c r="K298" i="9"/>
  <c r="K304" i="9"/>
  <c r="K10" i="9"/>
  <c r="K67" i="9"/>
  <c r="K40" i="9"/>
  <c r="K63" i="9"/>
  <c r="K321" i="9"/>
  <c r="K209" i="9"/>
  <c r="K201" i="9"/>
  <c r="K879" i="9"/>
  <c r="K288" i="9"/>
  <c r="K16" i="9"/>
  <c r="K51" i="9"/>
  <c r="K542" i="9"/>
  <c r="K290" i="9"/>
  <c r="K318" i="9"/>
  <c r="K886" i="9"/>
  <c r="K320" i="9"/>
  <c r="K56" i="9"/>
  <c r="K537" i="9"/>
  <c r="K191" i="9"/>
  <c r="K339" i="9"/>
  <c r="K541" i="9"/>
  <c r="K338" i="9"/>
  <c r="K20" i="9"/>
  <c r="K222" i="9"/>
  <c r="K534" i="9"/>
  <c r="K215" i="9"/>
  <c r="K230" i="9"/>
  <c r="K444" i="9"/>
  <c r="K849" i="9"/>
  <c r="K442" i="9"/>
  <c r="K57" i="9"/>
  <c r="K863" i="9"/>
  <c r="K900" i="9"/>
  <c r="K912" i="9"/>
  <c r="K447" i="9"/>
  <c r="K308" i="9"/>
  <c r="K433" i="9"/>
  <c r="K327" i="9"/>
  <c r="K226" i="9"/>
  <c r="K108" i="9"/>
  <c r="K244" i="9"/>
  <c r="K445" i="9"/>
  <c r="K243" i="9"/>
  <c r="K910" i="9"/>
  <c r="K890" i="9"/>
  <c r="K883" i="9"/>
  <c r="K240" i="9"/>
  <c r="K335" i="9"/>
  <c r="K341" i="9"/>
  <c r="K65" i="9"/>
  <c r="K905" i="9"/>
  <c r="K22" i="9"/>
  <c r="K195" i="9"/>
  <c r="K216" i="9"/>
  <c r="K908" i="9"/>
  <c r="K104" i="9"/>
  <c r="K897" i="9"/>
  <c r="K242" i="9"/>
  <c r="K210" i="9"/>
  <c r="K21" i="9"/>
  <c r="K861" i="9"/>
  <c r="K211" i="9"/>
  <c r="K234" i="9"/>
  <c r="K197" i="9"/>
  <c r="K194" i="9"/>
  <c r="K438" i="9"/>
  <c r="K112" i="9"/>
  <c r="K223" i="9"/>
  <c r="K439" i="9"/>
  <c r="K434" i="9"/>
  <c r="K13" i="9"/>
  <c r="K207" i="9"/>
  <c r="K336" i="9"/>
  <c r="K548" i="9"/>
  <c r="K430" i="9"/>
  <c r="K852" i="9"/>
  <c r="K206" i="9"/>
  <c r="K127" i="9"/>
  <c r="K323" i="9"/>
  <c r="K129" i="9"/>
  <c r="K319" i="9"/>
  <c r="K188" i="9"/>
  <c r="K307" i="9"/>
  <c r="K429" i="9"/>
  <c r="K53" i="9"/>
  <c r="K909" i="9"/>
  <c r="K881" i="9"/>
  <c r="K300" i="9"/>
  <c r="K305" i="9"/>
  <c r="K322" i="9"/>
  <c r="K876" i="9"/>
  <c r="K329" i="9"/>
  <c r="K233" i="9"/>
  <c r="K111" i="9"/>
  <c r="K539" i="9"/>
  <c r="K213" i="9"/>
  <c r="K884" i="9"/>
  <c r="K896" i="9"/>
  <c r="K878" i="9"/>
  <c r="K117" i="9"/>
  <c r="K214" i="9"/>
  <c r="K440" i="9"/>
  <c r="K425" i="9"/>
  <c r="K312" i="9"/>
  <c r="K344" i="9"/>
  <c r="K893" i="9"/>
  <c r="K427" i="9"/>
  <c r="K37" i="9"/>
  <c r="K227" i="9"/>
  <c r="K235" i="9"/>
  <c r="K224" i="9"/>
  <c r="K225" i="9"/>
  <c r="K911" i="9"/>
  <c r="K69" i="9"/>
  <c r="K114" i="9"/>
  <c r="K119" i="9"/>
  <c r="K200" i="9"/>
  <c r="K862" i="9"/>
  <c r="K287" i="9"/>
  <c r="K106" i="9"/>
  <c r="K864" i="9"/>
  <c r="K12" i="9"/>
  <c r="K107" i="9"/>
  <c r="K189" i="9"/>
  <c r="K292" i="9"/>
  <c r="K128" i="9"/>
  <c r="K895" i="9"/>
  <c r="K907" i="9"/>
  <c r="K898" i="9"/>
  <c r="K888" i="9"/>
  <c r="K199" i="9"/>
  <c r="K345" i="9"/>
  <c r="H486" i="9"/>
  <c r="I486" i="9" s="1"/>
  <c r="H263" i="9"/>
  <c r="I263" i="9" s="1"/>
  <c r="K343" i="9"/>
  <c r="K309" i="9"/>
  <c r="K333" i="9"/>
  <c r="K904" i="9"/>
  <c r="K190" i="9"/>
  <c r="K915" i="9"/>
  <c r="K540" i="9"/>
  <c r="K340" i="9"/>
  <c r="K860" i="9"/>
  <c r="K330" i="9"/>
  <c r="K899" i="9"/>
  <c r="K44" i="9"/>
  <c r="D129" i="5"/>
  <c r="E129" i="5" s="1"/>
  <c r="F340" i="12"/>
  <c r="H340" i="12" s="1"/>
  <c r="F74" i="12"/>
  <c r="H74" i="12" s="1"/>
  <c r="D349" i="12"/>
  <c r="E349" i="12" s="1"/>
  <c r="D312" i="7"/>
  <c r="Y312" i="7" s="1"/>
  <c r="D393" i="7"/>
  <c r="Y393" i="7" s="1"/>
  <c r="F393" i="7"/>
  <c r="H393" i="7" s="1"/>
  <c r="D295" i="5"/>
  <c r="E295" i="5" s="1"/>
  <c r="D221" i="5"/>
  <c r="E221" i="5" s="1"/>
  <c r="G130" i="5"/>
  <c r="F406" i="5"/>
  <c r="H406" i="5" s="1"/>
  <c r="D23" i="5"/>
  <c r="E23" i="5" s="1"/>
  <c r="D200" i="7"/>
  <c r="Y200" i="7" s="1"/>
  <c r="F431" i="7"/>
  <c r="H431" i="7" s="1"/>
  <c r="F200" i="7"/>
  <c r="H200" i="7" s="1"/>
  <c r="D456" i="7"/>
  <c r="D624" i="7"/>
  <c r="Y624" i="7" s="1"/>
  <c r="F456" i="7"/>
  <c r="H456" i="7" s="1"/>
  <c r="F624" i="7"/>
  <c r="H624" i="7" s="1"/>
  <c r="D21" i="7"/>
  <c r="E21" i="7" s="1"/>
  <c r="D273" i="7"/>
  <c r="Y273" i="7" s="1"/>
  <c r="F168" i="7"/>
  <c r="H168" i="7" s="1"/>
  <c r="F88" i="7"/>
  <c r="H88" i="7" s="1"/>
  <c r="F511" i="7"/>
  <c r="H511" i="7" s="1"/>
  <c r="F273" i="7"/>
  <c r="H273" i="7" s="1"/>
  <c r="F507" i="7"/>
  <c r="H507" i="7" s="1"/>
  <c r="D528" i="7"/>
  <c r="Y528" i="7" s="1"/>
  <c r="D598" i="7"/>
  <c r="Y598" i="7" s="1"/>
  <c r="F520" i="7"/>
  <c r="H520" i="7" s="1"/>
  <c r="F528" i="7"/>
  <c r="H528" i="7" s="1"/>
  <c r="F598" i="7"/>
  <c r="H598" i="7" s="1"/>
  <c r="D382" i="7"/>
  <c r="Y382" i="7" s="1"/>
  <c r="D229" i="7"/>
  <c r="E229" i="7" s="1"/>
  <c r="F363" i="7"/>
  <c r="H363" i="7" s="1"/>
  <c r="D549" i="7"/>
  <c r="Y549" i="7" s="1"/>
  <c r="D536" i="7"/>
  <c r="E536" i="7" s="1"/>
  <c r="D664" i="7"/>
  <c r="E664" i="7" s="1"/>
  <c r="D678" i="7"/>
  <c r="E678" i="7" s="1"/>
  <c r="F536" i="7"/>
  <c r="H536" i="7" s="1"/>
  <c r="F664" i="7"/>
  <c r="H664" i="7" s="1"/>
  <c r="D12" i="7"/>
  <c r="E12" i="7" s="1"/>
  <c r="D552" i="7"/>
  <c r="Y552" i="7" s="1"/>
  <c r="F678" i="7"/>
  <c r="H678" i="7" s="1"/>
  <c r="D365" i="7"/>
  <c r="Y365" i="7" s="1"/>
  <c r="F42" i="7"/>
  <c r="H42" i="7" s="1"/>
  <c r="D196" i="7"/>
  <c r="Y196" i="7" s="1"/>
  <c r="D73" i="7"/>
  <c r="Y73" i="7" s="1"/>
  <c r="D633" i="7"/>
  <c r="Y633" i="7" s="1"/>
  <c r="D154" i="7"/>
  <c r="Y154" i="7" s="1"/>
  <c r="F73" i="7"/>
  <c r="H73" i="7" s="1"/>
  <c r="F633" i="7"/>
  <c r="H633" i="7" s="1"/>
  <c r="F154" i="7"/>
  <c r="H154" i="7" s="1"/>
  <c r="D84" i="7"/>
  <c r="E84" i="7" s="1"/>
  <c r="D142" i="7"/>
  <c r="Y142" i="7" s="1"/>
  <c r="D681" i="7"/>
  <c r="Y681" i="7" s="1"/>
  <c r="D163" i="7"/>
  <c r="E163" i="7" s="1"/>
  <c r="D530" i="7"/>
  <c r="Y530" i="7" s="1"/>
  <c r="D185" i="7"/>
  <c r="Y185" i="7" s="1"/>
  <c r="D57" i="7"/>
  <c r="Y57" i="7" s="1"/>
  <c r="F142" i="7"/>
  <c r="H142" i="7" s="1"/>
  <c r="F163" i="7"/>
  <c r="H163" i="7" s="1"/>
  <c r="F185" i="7"/>
  <c r="H185" i="7" s="1"/>
  <c r="F549" i="7"/>
  <c r="H549" i="7" s="1"/>
  <c r="F651" i="7"/>
  <c r="H651" i="7" s="1"/>
  <c r="F85" i="7"/>
  <c r="H85" i="7" s="1"/>
  <c r="D588" i="7"/>
  <c r="Y588" i="7" s="1"/>
  <c r="F552" i="7"/>
  <c r="H552" i="7" s="1"/>
  <c r="D42" i="7"/>
  <c r="E42" i="7" s="1"/>
  <c r="F588" i="7"/>
  <c r="H588" i="7" s="1"/>
  <c r="D465" i="7"/>
  <c r="Y465" i="7" s="1"/>
  <c r="D648" i="7"/>
  <c r="Y648" i="7" s="1"/>
  <c r="F226" i="7"/>
  <c r="H226" i="7" s="1"/>
  <c r="F541" i="7"/>
  <c r="H541" i="7" s="1"/>
  <c r="D679" i="7"/>
  <c r="Y679" i="7" s="1"/>
  <c r="F279" i="7"/>
  <c r="H279" i="7" s="1"/>
  <c r="F12" i="7"/>
  <c r="H12" i="7" s="1"/>
  <c r="F417" i="7"/>
  <c r="H417" i="7" s="1"/>
  <c r="D259" i="7"/>
  <c r="E259" i="7" s="1"/>
  <c r="D303" i="7"/>
  <c r="E303" i="7" s="1"/>
  <c r="F259" i="7"/>
  <c r="H259" i="7" s="1"/>
  <c r="D585" i="7"/>
  <c r="Y585" i="7" s="1"/>
  <c r="F303" i="7"/>
  <c r="H303" i="7" s="1"/>
  <c r="F612" i="7"/>
  <c r="H612" i="7" s="1"/>
  <c r="F585" i="7"/>
  <c r="H585" i="7" s="1"/>
  <c r="F391" i="7"/>
  <c r="H391" i="7" s="1"/>
  <c r="D130" i="7"/>
  <c r="Y130" i="7" s="1"/>
  <c r="D543" i="7"/>
  <c r="Y543" i="7" s="1"/>
  <c r="D223" i="7"/>
  <c r="Y223" i="7" s="1"/>
  <c r="D217" i="7"/>
  <c r="Y217" i="7" s="1"/>
  <c r="D544" i="7"/>
  <c r="Y544" i="7" s="1"/>
  <c r="D611" i="7"/>
  <c r="Y611" i="7" s="1"/>
  <c r="F299" i="7"/>
  <c r="H299" i="7" s="1"/>
  <c r="F543" i="7"/>
  <c r="H543" i="7" s="1"/>
  <c r="D181" i="7"/>
  <c r="Y181" i="7" s="1"/>
  <c r="F223" i="7"/>
  <c r="H223" i="7" s="1"/>
  <c r="F217" i="7"/>
  <c r="H217" i="7" s="1"/>
  <c r="D658" i="7"/>
  <c r="Y658" i="7" s="1"/>
  <c r="F544" i="7"/>
  <c r="H544" i="7" s="1"/>
  <c r="F611" i="7"/>
  <c r="H611" i="7" s="1"/>
  <c r="F130" i="7"/>
  <c r="H130" i="7" s="1"/>
  <c r="D562" i="7"/>
  <c r="Y562" i="7" s="1"/>
  <c r="F181" i="7"/>
  <c r="H181" i="7" s="1"/>
  <c r="D226" i="7"/>
  <c r="Y226" i="7" s="1"/>
  <c r="F658" i="7"/>
  <c r="H658" i="7" s="1"/>
  <c r="D467" i="7"/>
  <c r="Y467" i="7" s="1"/>
  <c r="D612" i="7"/>
  <c r="Y612" i="7" s="1"/>
  <c r="D168" i="7"/>
  <c r="Y168" i="7" s="1"/>
  <c r="F564" i="7"/>
  <c r="H564" i="7" s="1"/>
  <c r="D171" i="7"/>
  <c r="Y171" i="7" s="1"/>
  <c r="F238" i="7"/>
  <c r="H238" i="7" s="1"/>
  <c r="D176" i="7"/>
  <c r="Y176" i="7" s="1"/>
  <c r="D65" i="7"/>
  <c r="F171" i="7"/>
  <c r="H171" i="7" s="1"/>
  <c r="D431" i="7"/>
  <c r="Y431" i="7" s="1"/>
  <c r="F29" i="7"/>
  <c r="H29" i="7" s="1"/>
  <c r="F637" i="7"/>
  <c r="H637" i="7" s="1"/>
  <c r="F248" i="7"/>
  <c r="H248" i="7" s="1"/>
  <c r="F57" i="7"/>
  <c r="H57" i="7" s="1"/>
  <c r="F79" i="7"/>
  <c r="H79" i="7" s="1"/>
  <c r="D380" i="7"/>
  <c r="Y380" i="7" s="1"/>
  <c r="F382" i="7"/>
  <c r="H382" i="7" s="1"/>
  <c r="F470" i="7"/>
  <c r="H470" i="7" s="1"/>
  <c r="D637" i="7"/>
  <c r="Y637" i="7" s="1"/>
  <c r="D362" i="7"/>
  <c r="Y362" i="7" s="1"/>
  <c r="D204" i="7"/>
  <c r="D266" i="7"/>
  <c r="E266" i="7" s="1"/>
  <c r="F380" i="7"/>
  <c r="H380" i="7" s="1"/>
  <c r="F362" i="7"/>
  <c r="H362" i="7" s="1"/>
  <c r="F204" i="7"/>
  <c r="H204" i="7" s="1"/>
  <c r="F335" i="7"/>
  <c r="H335" i="7" s="1"/>
  <c r="F266" i="7"/>
  <c r="H266" i="7" s="1"/>
  <c r="F465" i="7"/>
  <c r="H465" i="7" s="1"/>
  <c r="F461" i="7"/>
  <c r="H461" i="7" s="1"/>
  <c r="F207" i="7"/>
  <c r="H207" i="7" s="1"/>
  <c r="F522" i="7"/>
  <c r="H522" i="7" s="1"/>
  <c r="D123" i="7"/>
  <c r="Y123" i="7" s="1"/>
  <c r="D443" i="2"/>
  <c r="E443" i="2" s="1"/>
  <c r="G614" i="5"/>
  <c r="F443" i="5"/>
  <c r="H443" i="5" s="1"/>
  <c r="D84" i="5"/>
  <c r="E84" i="5" s="1"/>
  <c r="D290" i="5"/>
  <c r="E290" i="5" s="1"/>
  <c r="G461" i="5"/>
  <c r="G307" i="5"/>
  <c r="G200" i="5"/>
  <c r="F461" i="5"/>
  <c r="H461" i="5" s="1"/>
  <c r="D194" i="5"/>
  <c r="E194" i="5" s="1"/>
  <c r="D307" i="5"/>
  <c r="E307" i="5" s="1"/>
  <c r="F290" i="5"/>
  <c r="H290" i="5" s="1"/>
  <c r="F379" i="5"/>
  <c r="H379" i="5" s="1"/>
  <c r="F589" i="5"/>
  <c r="H589" i="5" s="1"/>
  <c r="D270" i="5"/>
  <c r="E270" i="5" s="1"/>
  <c r="D614" i="5"/>
  <c r="E614" i="5" s="1"/>
  <c r="G600" i="5"/>
  <c r="F32" i="5"/>
  <c r="H32" i="5" s="1"/>
  <c r="D589" i="5"/>
  <c r="E589" i="5" s="1"/>
  <c r="G590" i="5"/>
  <c r="G14" i="5"/>
  <c r="G460" i="5"/>
  <c r="G622" i="5"/>
  <c r="G157" i="5"/>
  <c r="F194" i="5"/>
  <c r="H194" i="5" s="1"/>
  <c r="D199" i="5"/>
  <c r="E199" i="5" s="1"/>
  <c r="F369" i="5"/>
  <c r="H369" i="5" s="1"/>
  <c r="G171" i="5"/>
  <c r="G592" i="5"/>
  <c r="F84" i="5"/>
  <c r="H84" i="5" s="1"/>
  <c r="G579" i="5"/>
  <c r="D93" i="5"/>
  <c r="E93" i="5" s="1"/>
  <c r="D251" i="5"/>
  <c r="E251" i="5" s="1"/>
  <c r="D592" i="5"/>
  <c r="E592" i="5" s="1"/>
  <c r="F441" i="5"/>
  <c r="H441" i="5" s="1"/>
  <c r="F20" i="5"/>
  <c r="H20" i="5" s="1"/>
  <c r="D14" i="5"/>
  <c r="E14" i="5" s="1"/>
  <c r="G611" i="5"/>
  <c r="D600" i="5"/>
  <c r="E600" i="5" s="1"/>
  <c r="F163" i="5"/>
  <c r="H163" i="5" s="1"/>
  <c r="G93" i="5"/>
  <c r="G251" i="5"/>
  <c r="G295" i="5"/>
  <c r="G20" i="5"/>
  <c r="D618" i="5"/>
  <c r="E618" i="5" s="1"/>
  <c r="D200" i="5"/>
  <c r="E200" i="5" s="1"/>
  <c r="G163" i="5"/>
  <c r="F416" i="5"/>
  <c r="H416" i="5" s="1"/>
  <c r="G323" i="5"/>
  <c r="F611" i="5"/>
  <c r="H611" i="5" s="1"/>
  <c r="G416" i="5"/>
  <c r="G133" i="5"/>
  <c r="D133" i="5"/>
  <c r="E133" i="5" s="1"/>
  <c r="G406" i="5"/>
  <c r="G110" i="5"/>
  <c r="G610" i="5"/>
  <c r="G32" i="5"/>
  <c r="F363" i="5"/>
  <c r="H363" i="5" s="1"/>
  <c r="F622" i="5"/>
  <c r="H622" i="5" s="1"/>
  <c r="D148" i="7"/>
  <c r="Y148" i="7" s="1"/>
  <c r="D51" i="7"/>
  <c r="Y51" i="7" s="1"/>
  <c r="F71" i="7"/>
  <c r="H71" i="7" s="1"/>
  <c r="F433" i="7"/>
  <c r="H433" i="7" s="1"/>
  <c r="F148" i="7"/>
  <c r="H148" i="7" s="1"/>
  <c r="F51" i="7"/>
  <c r="H51" i="7" s="1"/>
  <c r="F156" i="7"/>
  <c r="H156" i="7" s="1"/>
  <c r="D341" i="7"/>
  <c r="Y341" i="7" s="1"/>
  <c r="D346" i="7"/>
  <c r="Y346" i="7" s="1"/>
  <c r="D334" i="7"/>
  <c r="Y334" i="7" s="1"/>
  <c r="F100" i="7"/>
  <c r="H100" i="7" s="1"/>
  <c r="F346" i="7"/>
  <c r="H346" i="7" s="1"/>
  <c r="D473" i="7"/>
  <c r="Y473" i="7" s="1"/>
  <c r="F334" i="7"/>
  <c r="H334" i="7" s="1"/>
  <c r="F281" i="7"/>
  <c r="H281" i="7" s="1"/>
  <c r="F502" i="7"/>
  <c r="H502" i="7" s="1"/>
  <c r="F473" i="7"/>
  <c r="H473" i="7" s="1"/>
  <c r="D405" i="7"/>
  <c r="Y405" i="7" s="1"/>
  <c r="D480" i="7"/>
  <c r="E480" i="7" s="1"/>
  <c r="F405" i="7"/>
  <c r="H405" i="7" s="1"/>
  <c r="F480" i="7"/>
  <c r="H480" i="7" s="1"/>
  <c r="H256" i="9"/>
  <c r="I256" i="9" s="1"/>
  <c r="H271" i="9"/>
  <c r="I271" i="9" s="1"/>
  <c r="H249" i="9"/>
  <c r="I249" i="9" s="1"/>
  <c r="H516" i="9"/>
  <c r="I516" i="9" s="1"/>
  <c r="H519" i="9"/>
  <c r="I519" i="9" s="1"/>
  <c r="H248" i="9"/>
  <c r="I248" i="9" s="1"/>
  <c r="H251" i="9"/>
  <c r="I251" i="9" s="1"/>
  <c r="K251" i="9" s="1"/>
  <c r="H492" i="9"/>
  <c r="I492" i="9" s="1"/>
  <c r="H255" i="9"/>
  <c r="I255" i="9" s="1"/>
  <c r="H265" i="9"/>
  <c r="I265" i="9" s="1"/>
  <c r="H493" i="9"/>
  <c r="I493" i="9" s="1"/>
  <c r="H75" i="9"/>
  <c r="I75" i="9" s="1"/>
  <c r="H79" i="9"/>
  <c r="I79" i="9" s="1"/>
  <c r="H266" i="9"/>
  <c r="I266" i="9" s="1"/>
  <c r="H690" i="8"/>
  <c r="K690" i="8" s="1"/>
  <c r="H685" i="8"/>
  <c r="K685" i="8" s="1"/>
  <c r="H694" i="8"/>
  <c r="K694" i="8" s="1"/>
  <c r="H702" i="8"/>
  <c r="K702" i="8" s="1"/>
  <c r="H710" i="8"/>
  <c r="K710" i="8" s="1"/>
  <c r="H718" i="8"/>
  <c r="K718" i="8" s="1"/>
  <c r="H726" i="8"/>
  <c r="K726" i="8" s="1"/>
  <c r="H734" i="8"/>
  <c r="K734" i="8" s="1"/>
  <c r="H742" i="8"/>
  <c r="K742" i="8" s="1"/>
  <c r="H750" i="8"/>
  <c r="K750" i="8" s="1"/>
  <c r="H758" i="8"/>
  <c r="K758" i="8" s="1"/>
  <c r="H766" i="8"/>
  <c r="K766" i="8" s="1"/>
  <c r="H774" i="8"/>
  <c r="K774" i="8" s="1"/>
  <c r="H782" i="8"/>
  <c r="K782" i="8" s="1"/>
  <c r="H790" i="8"/>
  <c r="K790" i="8" s="1"/>
  <c r="H689" i="8"/>
  <c r="K689" i="8" s="1"/>
  <c r="H699" i="8"/>
  <c r="K699" i="8" s="1"/>
  <c r="H708" i="8"/>
  <c r="K708" i="8" s="1"/>
  <c r="H717" i="8"/>
  <c r="K717" i="8" s="1"/>
  <c r="H727" i="8"/>
  <c r="K727" i="8" s="1"/>
  <c r="H736" i="8"/>
  <c r="K736" i="8" s="1"/>
  <c r="H745" i="8"/>
  <c r="K745" i="8" s="1"/>
  <c r="H754" i="8"/>
  <c r="K754" i="8" s="1"/>
  <c r="H763" i="8"/>
  <c r="K763" i="8" s="1"/>
  <c r="H772" i="8"/>
  <c r="K772" i="8" s="1"/>
  <c r="H781" i="8"/>
  <c r="K781" i="8" s="1"/>
  <c r="H791" i="8"/>
  <c r="K791" i="8" s="1"/>
  <c r="H799" i="8"/>
  <c r="K799" i="8" s="1"/>
  <c r="H807" i="8"/>
  <c r="K807" i="8" s="1"/>
  <c r="H815" i="8"/>
  <c r="K815" i="8" s="1"/>
  <c r="H691" i="8"/>
  <c r="K691" i="8" s="1"/>
  <c r="H700" i="8"/>
  <c r="K700" i="8" s="1"/>
  <c r="H709" i="8"/>
  <c r="K709" i="8" s="1"/>
  <c r="H719" i="8"/>
  <c r="K719" i="8" s="1"/>
  <c r="H728" i="8"/>
  <c r="K728" i="8" s="1"/>
  <c r="H737" i="8"/>
  <c r="K737" i="8" s="1"/>
  <c r="H746" i="8"/>
  <c r="K746" i="8" s="1"/>
  <c r="H755" i="8"/>
  <c r="K755" i="8" s="1"/>
  <c r="H764" i="8"/>
  <c r="K764" i="8" s="1"/>
  <c r="H773" i="8"/>
  <c r="K773" i="8" s="1"/>
  <c r="H783" i="8"/>
  <c r="K783" i="8" s="1"/>
  <c r="H792" i="8"/>
  <c r="K792" i="8" s="1"/>
  <c r="H800" i="8"/>
  <c r="K800" i="8" s="1"/>
  <c r="H808" i="8"/>
  <c r="K808" i="8" s="1"/>
  <c r="H816" i="8"/>
  <c r="K816" i="8" s="1"/>
  <c r="H692" i="8"/>
  <c r="K692" i="8" s="1"/>
  <c r="H701" i="8"/>
  <c r="K701" i="8" s="1"/>
  <c r="H711" i="8"/>
  <c r="K711" i="8" s="1"/>
  <c r="H720" i="8"/>
  <c r="K720" i="8" s="1"/>
  <c r="H729" i="8"/>
  <c r="K729" i="8" s="1"/>
  <c r="H738" i="8"/>
  <c r="K738" i="8" s="1"/>
  <c r="H747" i="8"/>
  <c r="K747" i="8" s="1"/>
  <c r="H756" i="8"/>
  <c r="K756" i="8" s="1"/>
  <c r="H765" i="8"/>
  <c r="K765" i="8" s="1"/>
  <c r="H775" i="8"/>
  <c r="K775" i="8" s="1"/>
  <c r="H784" i="8"/>
  <c r="K784" i="8" s="1"/>
  <c r="H793" i="8"/>
  <c r="K793" i="8" s="1"/>
  <c r="H801" i="8"/>
  <c r="K801" i="8" s="1"/>
  <c r="H809" i="8"/>
  <c r="K809" i="8" s="1"/>
  <c r="H817" i="8"/>
  <c r="K817" i="8" s="1"/>
  <c r="H693" i="8"/>
  <c r="K693" i="8" s="1"/>
  <c r="H703" i="8"/>
  <c r="K703" i="8" s="1"/>
  <c r="H712" i="8"/>
  <c r="K712" i="8" s="1"/>
  <c r="H721" i="8"/>
  <c r="K721" i="8" s="1"/>
  <c r="H730" i="8"/>
  <c r="K730" i="8" s="1"/>
  <c r="H739" i="8"/>
  <c r="K739" i="8" s="1"/>
  <c r="H748" i="8"/>
  <c r="K748" i="8" s="1"/>
  <c r="H757" i="8"/>
  <c r="K757" i="8" s="1"/>
  <c r="H767" i="8"/>
  <c r="K767" i="8" s="1"/>
  <c r="H776" i="8"/>
  <c r="K776" i="8" s="1"/>
  <c r="H785" i="8"/>
  <c r="K785" i="8" s="1"/>
  <c r="H794" i="8"/>
  <c r="K794" i="8" s="1"/>
  <c r="H802" i="8"/>
  <c r="K802" i="8" s="1"/>
  <c r="H810" i="8"/>
  <c r="K810" i="8" s="1"/>
  <c r="H818" i="8"/>
  <c r="K818" i="8" s="1"/>
  <c r="H695" i="8"/>
  <c r="K695" i="8" s="1"/>
  <c r="H704" i="8"/>
  <c r="K704" i="8" s="1"/>
  <c r="H713" i="8"/>
  <c r="K713" i="8" s="1"/>
  <c r="H722" i="8"/>
  <c r="K722" i="8" s="1"/>
  <c r="H731" i="8"/>
  <c r="K731" i="8" s="1"/>
  <c r="H740" i="8"/>
  <c r="K740" i="8" s="1"/>
  <c r="H749" i="8"/>
  <c r="K749" i="8" s="1"/>
  <c r="H759" i="8"/>
  <c r="K759" i="8" s="1"/>
  <c r="H768" i="8"/>
  <c r="K768" i="8" s="1"/>
  <c r="H777" i="8"/>
  <c r="K777" i="8" s="1"/>
  <c r="H786" i="8"/>
  <c r="K786" i="8" s="1"/>
  <c r="H795" i="8"/>
  <c r="K795" i="8" s="1"/>
  <c r="H803" i="8"/>
  <c r="K803" i="8" s="1"/>
  <c r="H811" i="8"/>
  <c r="K811" i="8" s="1"/>
  <c r="H819" i="8"/>
  <c r="K819" i="8" s="1"/>
  <c r="H686" i="8"/>
  <c r="K686" i="8" s="1"/>
  <c r="H696" i="8"/>
  <c r="K696" i="8" s="1"/>
  <c r="H705" i="8"/>
  <c r="K705" i="8" s="1"/>
  <c r="H714" i="8"/>
  <c r="K714" i="8" s="1"/>
  <c r="H723" i="8"/>
  <c r="K723" i="8" s="1"/>
  <c r="H732" i="8"/>
  <c r="K732" i="8" s="1"/>
  <c r="H741" i="8"/>
  <c r="K741" i="8" s="1"/>
  <c r="H751" i="8"/>
  <c r="K751" i="8" s="1"/>
  <c r="H760" i="8"/>
  <c r="K760" i="8" s="1"/>
  <c r="H769" i="8"/>
  <c r="K769" i="8" s="1"/>
  <c r="H778" i="8"/>
  <c r="K778" i="8" s="1"/>
  <c r="H787" i="8"/>
  <c r="K787" i="8" s="1"/>
  <c r="H796" i="8"/>
  <c r="K796" i="8" s="1"/>
  <c r="H804" i="8"/>
  <c r="K804" i="8" s="1"/>
  <c r="H812" i="8"/>
  <c r="K812" i="8" s="1"/>
  <c r="H820" i="8"/>
  <c r="K820" i="8" s="1"/>
  <c r="H687" i="8"/>
  <c r="K687" i="8" s="1"/>
  <c r="H697" i="8"/>
  <c r="K697" i="8" s="1"/>
  <c r="H706" i="8"/>
  <c r="K706" i="8" s="1"/>
  <c r="H715" i="8"/>
  <c r="K715" i="8" s="1"/>
  <c r="H724" i="8"/>
  <c r="K724" i="8" s="1"/>
  <c r="H733" i="8"/>
  <c r="K733" i="8" s="1"/>
  <c r="H743" i="8"/>
  <c r="K743" i="8" s="1"/>
  <c r="H752" i="8"/>
  <c r="K752" i="8" s="1"/>
  <c r="H761" i="8"/>
  <c r="K761" i="8" s="1"/>
  <c r="H770" i="8"/>
  <c r="K770" i="8" s="1"/>
  <c r="H779" i="8"/>
  <c r="K779" i="8" s="1"/>
  <c r="H788" i="8"/>
  <c r="K788" i="8" s="1"/>
  <c r="H797" i="8"/>
  <c r="K797" i="8" s="1"/>
  <c r="H805" i="8"/>
  <c r="K805" i="8" s="1"/>
  <c r="H813" i="8"/>
  <c r="K813" i="8" s="1"/>
  <c r="H821" i="8"/>
  <c r="K821" i="8" s="1"/>
  <c r="H688" i="8"/>
  <c r="K688" i="8" s="1"/>
  <c r="H698" i="8"/>
  <c r="K698" i="8" s="1"/>
  <c r="H707" i="8"/>
  <c r="K707" i="8" s="1"/>
  <c r="H716" i="8"/>
  <c r="K716" i="8" s="1"/>
  <c r="H725" i="8"/>
  <c r="K725" i="8" s="1"/>
  <c r="H735" i="8"/>
  <c r="K735" i="8" s="1"/>
  <c r="H744" i="8"/>
  <c r="K744" i="8" s="1"/>
  <c r="H753" i="8"/>
  <c r="K753" i="8" s="1"/>
  <c r="H762" i="8"/>
  <c r="K762" i="8" s="1"/>
  <c r="H771" i="8"/>
  <c r="K771" i="8" s="1"/>
  <c r="H780" i="8"/>
  <c r="K780" i="8" s="1"/>
  <c r="H789" i="8"/>
  <c r="K789" i="8" s="1"/>
  <c r="H798" i="8"/>
  <c r="K798" i="8" s="1"/>
  <c r="H806" i="8"/>
  <c r="K806" i="8" s="1"/>
  <c r="H814" i="8"/>
  <c r="K814" i="8" s="1"/>
  <c r="G27" i="14"/>
  <c r="F467" i="7"/>
  <c r="H467" i="7" s="1"/>
  <c r="F341" i="7"/>
  <c r="H341" i="7" s="1"/>
  <c r="D561" i="7"/>
  <c r="Y561" i="7" s="1"/>
  <c r="D157" i="7"/>
  <c r="Y157" i="7" s="1"/>
  <c r="D645" i="7"/>
  <c r="Y645" i="7" s="1"/>
  <c r="D553" i="7"/>
  <c r="Y553" i="7" s="1"/>
  <c r="D195" i="7"/>
  <c r="Y195" i="7" s="1"/>
  <c r="F131" i="7"/>
  <c r="H131" i="7" s="1"/>
  <c r="D488" i="7"/>
  <c r="Y488" i="7" s="1"/>
  <c r="F561" i="7"/>
  <c r="H561" i="7" s="1"/>
  <c r="F157" i="7"/>
  <c r="H157" i="7" s="1"/>
  <c r="F645" i="7"/>
  <c r="H645" i="7" s="1"/>
  <c r="D650" i="7"/>
  <c r="Y650" i="7" s="1"/>
  <c r="F553" i="7"/>
  <c r="H553" i="7" s="1"/>
  <c r="F195" i="7"/>
  <c r="H195" i="7" s="1"/>
  <c r="D75" i="7"/>
  <c r="E75" i="7" s="1"/>
  <c r="D241" i="7"/>
  <c r="Y241" i="7" s="1"/>
  <c r="F488" i="7"/>
  <c r="H488" i="7" s="1"/>
  <c r="D198" i="7"/>
  <c r="Y198" i="7" s="1"/>
  <c r="F451" i="7"/>
  <c r="H451" i="7" s="1"/>
  <c r="F650" i="7"/>
  <c r="H650" i="7" s="1"/>
  <c r="F75" i="7"/>
  <c r="H75" i="7" s="1"/>
  <c r="F241" i="7"/>
  <c r="H241" i="7" s="1"/>
  <c r="F56" i="7"/>
  <c r="H56" i="7" s="1"/>
  <c r="D395" i="7"/>
  <c r="E395" i="7" s="1"/>
  <c r="F198" i="7"/>
  <c r="H198" i="7" s="1"/>
  <c r="D475" i="7"/>
  <c r="Y475" i="7" s="1"/>
  <c r="D620" i="7"/>
  <c r="Y620" i="7" s="1"/>
  <c r="D477" i="7"/>
  <c r="Y477" i="7" s="1"/>
  <c r="F395" i="7"/>
  <c r="H395" i="7" s="1"/>
  <c r="D118" i="7"/>
  <c r="Y118" i="7" s="1"/>
  <c r="F475" i="7"/>
  <c r="H475" i="7" s="1"/>
  <c r="D634" i="7"/>
  <c r="Y634" i="7" s="1"/>
  <c r="F620" i="7"/>
  <c r="H620" i="7" s="1"/>
  <c r="F477" i="7"/>
  <c r="H477" i="7" s="1"/>
  <c r="D69" i="7"/>
  <c r="Y69" i="7" s="1"/>
  <c r="F136" i="7"/>
  <c r="H136" i="7" s="1"/>
  <c r="D502" i="7"/>
  <c r="Y502" i="7" s="1"/>
  <c r="D71" i="7"/>
  <c r="Y71" i="7" s="1"/>
  <c r="D79" i="7"/>
  <c r="Y79" i="7" s="1"/>
  <c r="F118" i="7"/>
  <c r="H118" i="7" s="1"/>
  <c r="F634" i="7"/>
  <c r="H634" i="7" s="1"/>
  <c r="F69" i="7"/>
  <c r="H69" i="7" s="1"/>
  <c r="F464" i="5"/>
  <c r="H464" i="5" s="1"/>
  <c r="D359" i="5"/>
  <c r="E359" i="5" s="1"/>
  <c r="G457" i="5"/>
  <c r="D610" i="5"/>
  <c r="E610" i="5" s="1"/>
  <c r="G464" i="5"/>
  <c r="F58" i="5"/>
  <c r="H58" i="5" s="1"/>
  <c r="K424" i="9"/>
  <c r="K313" i="9"/>
  <c r="K310" i="9"/>
  <c r="K221" i="9"/>
  <c r="K297" i="9"/>
  <c r="K316" i="9"/>
  <c r="K317" i="9"/>
  <c r="K428" i="9"/>
  <c r="K536" i="9"/>
  <c r="K443" i="9"/>
  <c r="K121" i="9"/>
  <c r="K110" i="9"/>
  <c r="K441" i="9"/>
  <c r="K229" i="9"/>
  <c r="K183" i="9"/>
  <c r="K232" i="9"/>
  <c r="K187" i="9"/>
  <c r="K241" i="9"/>
  <c r="K185" i="9"/>
  <c r="K868" i="9"/>
  <c r="G608" i="5"/>
  <c r="G409" i="5"/>
  <c r="G591" i="5"/>
  <c r="F591" i="5"/>
  <c r="H591" i="5" s="1"/>
  <c r="G104" i="5"/>
  <c r="G403" i="5"/>
  <c r="G271" i="5"/>
  <c r="G276" i="5"/>
  <c r="D104" i="5"/>
  <c r="E104" i="5" s="1"/>
  <c r="F59" i="5"/>
  <c r="H59" i="5" s="1"/>
  <c r="G219" i="5"/>
  <c r="G175" i="5"/>
  <c r="G137" i="5"/>
  <c r="G431" i="5"/>
  <c r="G631" i="5"/>
  <c r="G400" i="5"/>
  <c r="G268" i="5"/>
  <c r="D175" i="5"/>
  <c r="E175" i="5" s="1"/>
  <c r="D109" i="5"/>
  <c r="E109" i="5" s="1"/>
  <c r="D580" i="5"/>
  <c r="E580" i="5" s="1"/>
  <c r="F199" i="5"/>
  <c r="H199" i="5" s="1"/>
  <c r="D196" i="5"/>
  <c r="E196" i="5" s="1"/>
  <c r="G59" i="5"/>
  <c r="G380" i="5"/>
  <c r="D271" i="5"/>
  <c r="E271" i="5" s="1"/>
  <c r="F409" i="5"/>
  <c r="H409" i="5" s="1"/>
  <c r="F196" i="5"/>
  <c r="H196" i="5" s="1"/>
  <c r="G598" i="5"/>
  <c r="G459" i="5"/>
  <c r="G107" i="5"/>
  <c r="G105" i="5"/>
  <c r="G302" i="5"/>
  <c r="G229" i="5"/>
  <c r="D441" i="5"/>
  <c r="E441" i="5" s="1"/>
  <c r="G19" i="5"/>
  <c r="G109" i="5"/>
  <c r="G150" i="5"/>
  <c r="G620" i="5"/>
  <c r="G270" i="5"/>
  <c r="D175" i="7"/>
  <c r="Y175" i="7" s="1"/>
  <c r="D410" i="7"/>
  <c r="Y410" i="7" s="1"/>
  <c r="F229" i="7"/>
  <c r="H229" i="7" s="1"/>
  <c r="D675" i="7"/>
  <c r="E675" i="7" s="1"/>
  <c r="F592" i="7"/>
  <c r="H592" i="7" s="1"/>
  <c r="F176" i="7"/>
  <c r="H176" i="7" s="1"/>
  <c r="F123" i="7"/>
  <c r="H123" i="7" s="1"/>
  <c r="D418" i="7"/>
  <c r="Y418" i="7" s="1"/>
  <c r="D412" i="7"/>
  <c r="Y412" i="7" s="1"/>
  <c r="D573" i="7"/>
  <c r="Y573" i="7" s="1"/>
  <c r="D141" i="7"/>
  <c r="Y141" i="7" s="1"/>
  <c r="F175" i="7"/>
  <c r="H175" i="7" s="1"/>
  <c r="F410" i="7"/>
  <c r="H410" i="7" s="1"/>
  <c r="D192" i="7"/>
  <c r="Y192" i="7" s="1"/>
  <c r="D252" i="7"/>
  <c r="Y252" i="7" s="1"/>
  <c r="D277" i="7"/>
  <c r="Y277" i="7" s="1"/>
  <c r="F675" i="7"/>
  <c r="H675" i="7" s="1"/>
  <c r="F59" i="7"/>
  <c r="H59" i="7" s="1"/>
  <c r="D374" i="7"/>
  <c r="Y374" i="7" s="1"/>
  <c r="D506" i="7"/>
  <c r="Y506" i="7" s="1"/>
  <c r="D519" i="7"/>
  <c r="Y519" i="7" s="1"/>
  <c r="F573" i="7"/>
  <c r="H573" i="7" s="1"/>
  <c r="D335" i="7"/>
  <c r="Y335" i="7" s="1"/>
  <c r="F192" i="7"/>
  <c r="H192" i="7" s="1"/>
  <c r="F252" i="7"/>
  <c r="H252" i="7" s="1"/>
  <c r="F277" i="7"/>
  <c r="H277" i="7" s="1"/>
  <c r="D238" i="7"/>
  <c r="Y238" i="7" s="1"/>
  <c r="D248" i="7"/>
  <c r="Y248" i="7" s="1"/>
  <c r="F374" i="7"/>
  <c r="H374" i="7" s="1"/>
  <c r="F506" i="7"/>
  <c r="H506" i="7" s="1"/>
  <c r="D461" i="7"/>
  <c r="Y461" i="7" s="1"/>
  <c r="F602" i="7"/>
  <c r="H602" i="7" s="1"/>
  <c r="F383" i="2"/>
  <c r="F495" i="2"/>
  <c r="F30" i="2"/>
  <c r="F125" i="2"/>
  <c r="F649" i="2"/>
  <c r="F310" i="2"/>
  <c r="F499" i="2"/>
  <c r="F696" i="2"/>
  <c r="F143" i="2"/>
  <c r="F749" i="2"/>
  <c r="F684" i="2"/>
  <c r="F350" i="2"/>
  <c r="F239" i="2"/>
  <c r="F117" i="2"/>
  <c r="F317" i="2"/>
  <c r="F704" i="2"/>
  <c r="F27" i="2"/>
  <c r="F483" i="2"/>
  <c r="F112" i="2"/>
  <c r="F695" i="2"/>
  <c r="F77" i="2"/>
  <c r="F387" i="2"/>
  <c r="F316" i="2"/>
  <c r="F811" i="2"/>
  <c r="F331" i="2"/>
  <c r="F275" i="7"/>
  <c r="H275" i="7" s="1"/>
  <c r="F211" i="7"/>
  <c r="H211" i="7" s="1"/>
  <c r="F231" i="7"/>
  <c r="H231" i="7" s="1"/>
  <c r="D616" i="7"/>
  <c r="Y616" i="7" s="1"/>
  <c r="F282" i="7"/>
  <c r="H282" i="7" s="1"/>
  <c r="D316" i="7"/>
  <c r="E316" i="7" s="1"/>
  <c r="D290" i="7"/>
  <c r="Y290" i="7" s="1"/>
  <c r="D314" i="7"/>
  <c r="Y314" i="7" s="1"/>
  <c r="D484" i="7"/>
  <c r="Y484" i="7" s="1"/>
  <c r="D285" i="7"/>
  <c r="Y285" i="7" s="1"/>
  <c r="F355" i="7"/>
  <c r="H355" i="7" s="1"/>
  <c r="F403" i="7"/>
  <c r="H403" i="7" s="1"/>
  <c r="D555" i="7"/>
  <c r="Y555" i="7" s="1"/>
  <c r="D623" i="7"/>
  <c r="Y623" i="7" s="1"/>
  <c r="F643" i="7"/>
  <c r="H643" i="7" s="1"/>
  <c r="D459" i="7"/>
  <c r="Y459" i="7" s="1"/>
  <c r="D545" i="7"/>
  <c r="E545" i="7" s="1"/>
  <c r="F316" i="7"/>
  <c r="H316" i="7" s="1"/>
  <c r="F290" i="7"/>
  <c r="H290" i="7" s="1"/>
  <c r="F324" i="7"/>
  <c r="H324" i="7" s="1"/>
  <c r="F84" i="7"/>
  <c r="H84" i="7" s="1"/>
  <c r="D38" i="7"/>
  <c r="Y38" i="7" s="1"/>
  <c r="F80" i="7"/>
  <c r="H80" i="7" s="1"/>
  <c r="F139" i="7"/>
  <c r="H139" i="7" s="1"/>
  <c r="D186" i="7"/>
  <c r="E186" i="7" s="1"/>
  <c r="F314" i="7"/>
  <c r="H314" i="7" s="1"/>
  <c r="D262" i="7"/>
  <c r="E262" i="7" s="1"/>
  <c r="F484" i="7"/>
  <c r="H484" i="7" s="1"/>
  <c r="F681" i="7"/>
  <c r="H681" i="7" s="1"/>
  <c r="D232" i="7"/>
  <c r="Y232" i="7" s="1"/>
  <c r="F285" i="7"/>
  <c r="H285" i="7" s="1"/>
  <c r="F469" i="7"/>
  <c r="H469" i="7" s="1"/>
  <c r="F293" i="7"/>
  <c r="H293" i="7" s="1"/>
  <c r="F21" i="7"/>
  <c r="H21" i="7" s="1"/>
  <c r="D188" i="7"/>
  <c r="Y188" i="7" s="1"/>
  <c r="D529" i="7"/>
  <c r="Y529" i="7" s="1"/>
  <c r="F494" i="7"/>
  <c r="H494" i="7" s="1"/>
  <c r="F530" i="7"/>
  <c r="H530" i="7" s="1"/>
  <c r="D322" i="7"/>
  <c r="Y322" i="7" s="1"/>
  <c r="F390" i="7"/>
  <c r="H390" i="7" s="1"/>
  <c r="F479" i="7"/>
  <c r="H479" i="7" s="1"/>
  <c r="F648" i="7"/>
  <c r="H648" i="7" s="1"/>
  <c r="F555" i="7"/>
  <c r="H555" i="7" s="1"/>
  <c r="D591" i="7"/>
  <c r="Y591" i="7" s="1"/>
  <c r="D161" i="7"/>
  <c r="Y161" i="7" s="1"/>
  <c r="F531" i="7"/>
  <c r="H531" i="7" s="1"/>
  <c r="D49" i="7"/>
  <c r="E49" i="7" s="1"/>
  <c r="F365" i="7"/>
  <c r="H365" i="7" s="1"/>
  <c r="D275" i="7"/>
  <c r="Y275" i="7" s="1"/>
  <c r="D231" i="7"/>
  <c r="Y231" i="7" s="1"/>
  <c r="D628" i="7"/>
  <c r="Y628" i="7" s="1"/>
  <c r="D282" i="7"/>
  <c r="Y282" i="7" s="1"/>
  <c r="F135" i="7"/>
  <c r="H135" i="7" s="1"/>
  <c r="D403" i="7"/>
  <c r="Y403" i="7" s="1"/>
  <c r="F386" i="7"/>
  <c r="H386" i="7" s="1"/>
  <c r="F235" i="7"/>
  <c r="H235" i="7" s="1"/>
  <c r="D643" i="7"/>
  <c r="Y643" i="7" s="1"/>
  <c r="F199" i="7"/>
  <c r="H199" i="7" s="1"/>
  <c r="D80" i="7"/>
  <c r="Y80" i="7" s="1"/>
  <c r="D494" i="7"/>
  <c r="E494" i="7" s="1"/>
  <c r="F623" i="7"/>
  <c r="H623" i="7" s="1"/>
  <c r="D170" i="7"/>
  <c r="Y170" i="7" s="1"/>
  <c r="F459" i="7"/>
  <c r="H459" i="7" s="1"/>
  <c r="F545" i="7"/>
  <c r="H545" i="7" s="1"/>
  <c r="D62" i="7"/>
  <c r="Y62" i="7" s="1"/>
  <c r="D509" i="7"/>
  <c r="Y509" i="7" s="1"/>
  <c r="D288" i="7"/>
  <c r="Y288" i="7" s="1"/>
  <c r="F38" i="7"/>
  <c r="H38" i="7" s="1"/>
  <c r="F111" i="7"/>
  <c r="H111" i="7" s="1"/>
  <c r="D368" i="7"/>
  <c r="Y368" i="7" s="1"/>
  <c r="F186" i="7"/>
  <c r="H186" i="7" s="1"/>
  <c r="D450" i="7"/>
  <c r="Y450" i="7" s="1"/>
  <c r="F540" i="7"/>
  <c r="H540" i="7" s="1"/>
  <c r="F262" i="7"/>
  <c r="H262" i="7" s="1"/>
  <c r="D233" i="7"/>
  <c r="Y233" i="7" s="1"/>
  <c r="F232" i="7"/>
  <c r="H232" i="7" s="1"/>
  <c r="D466" i="7"/>
  <c r="Y466" i="7" s="1"/>
  <c r="D112" i="7"/>
  <c r="Y112" i="7" s="1"/>
  <c r="D369" i="7"/>
  <c r="E369" i="7" s="1"/>
  <c r="D311" i="7"/>
  <c r="E311" i="7" s="1"/>
  <c r="D52" i="7"/>
  <c r="Y52" i="7" s="1"/>
  <c r="F188" i="7"/>
  <c r="H188" i="7" s="1"/>
  <c r="F529" i="7"/>
  <c r="H529" i="7" s="1"/>
  <c r="D325" i="7"/>
  <c r="Y325" i="7" s="1"/>
  <c r="F322" i="7"/>
  <c r="H322" i="7" s="1"/>
  <c r="D501" i="7"/>
  <c r="E501" i="7" s="1"/>
  <c r="D672" i="7"/>
  <c r="Y672" i="7" s="1"/>
  <c r="D539" i="7"/>
  <c r="Y539" i="7" s="1"/>
  <c r="F662" i="7"/>
  <c r="H662" i="7" s="1"/>
  <c r="F591" i="7"/>
  <c r="H591" i="7" s="1"/>
  <c r="F559" i="7"/>
  <c r="H559" i="7" s="1"/>
  <c r="F49" i="7"/>
  <c r="H49" i="7" s="1"/>
  <c r="D381" i="7"/>
  <c r="Y381" i="7" s="1"/>
  <c r="D199" i="7"/>
  <c r="E199" i="7" s="1"/>
  <c r="F628" i="7"/>
  <c r="H628" i="7" s="1"/>
  <c r="F64" i="7"/>
  <c r="H64" i="7" s="1"/>
  <c r="D355" i="7"/>
  <c r="Y355" i="7" s="1"/>
  <c r="D324" i="7"/>
  <c r="Y324" i="7" s="1"/>
  <c r="D139" i="7"/>
  <c r="Y139" i="7" s="1"/>
  <c r="F31" i="7"/>
  <c r="H31" i="7" s="1"/>
  <c r="F375" i="7"/>
  <c r="H375" i="7" s="1"/>
  <c r="F616" i="7"/>
  <c r="H616" i="7" s="1"/>
  <c r="D390" i="7"/>
  <c r="E390" i="7" s="1"/>
  <c r="F253" i="7"/>
  <c r="H253" i="7" s="1"/>
  <c r="F639" i="7"/>
  <c r="H639" i="7" s="1"/>
  <c r="D136" i="7"/>
  <c r="Y136" i="7" s="1"/>
  <c r="D56" i="7"/>
  <c r="Y56" i="7" s="1"/>
  <c r="F170" i="7"/>
  <c r="H170" i="7" s="1"/>
  <c r="F599" i="7"/>
  <c r="H599" i="7" s="1"/>
  <c r="F62" i="7"/>
  <c r="H62" i="7" s="1"/>
  <c r="F509" i="7"/>
  <c r="H509" i="7" s="1"/>
  <c r="F288" i="7"/>
  <c r="H288" i="7" s="1"/>
  <c r="D156" i="7"/>
  <c r="Y156" i="7" s="1"/>
  <c r="D88" i="7"/>
  <c r="Y88" i="7" s="1"/>
  <c r="F368" i="7"/>
  <c r="H368" i="7" s="1"/>
  <c r="D85" i="7"/>
  <c r="Y85" i="7" s="1"/>
  <c r="F396" i="7"/>
  <c r="H396" i="7" s="1"/>
  <c r="F450" i="7"/>
  <c r="H450" i="7" s="1"/>
  <c r="D279" i="7"/>
  <c r="E279" i="7" s="1"/>
  <c r="F233" i="7"/>
  <c r="H233" i="7" s="1"/>
  <c r="D100" i="7"/>
  <c r="E100" i="7" s="1"/>
  <c r="F466" i="7"/>
  <c r="H466" i="7" s="1"/>
  <c r="F112" i="7"/>
  <c r="H112" i="7" s="1"/>
  <c r="D169" i="7"/>
  <c r="Y169" i="7" s="1"/>
  <c r="F369" i="7"/>
  <c r="H369" i="7" s="1"/>
  <c r="F311" i="7"/>
  <c r="H311" i="7" s="1"/>
  <c r="F52" i="7"/>
  <c r="H52" i="7" s="1"/>
  <c r="D541" i="7"/>
  <c r="Y541" i="7" s="1"/>
  <c r="F325" i="7"/>
  <c r="H325" i="7" s="1"/>
  <c r="D627" i="7"/>
  <c r="E627" i="7" s="1"/>
  <c r="F501" i="7"/>
  <c r="H501" i="7" s="1"/>
  <c r="F672" i="7"/>
  <c r="H672" i="7" s="1"/>
  <c r="F539" i="7"/>
  <c r="H539" i="7" s="1"/>
  <c r="D307" i="7"/>
  <c r="Y307" i="7" s="1"/>
  <c r="D74" i="7"/>
  <c r="Y74" i="7" s="1"/>
  <c r="F43" i="12"/>
  <c r="H43" i="12" s="1"/>
  <c r="D436" i="7"/>
  <c r="Y436" i="7" s="1"/>
  <c r="F149" i="7"/>
  <c r="H149" i="7" s="1"/>
  <c r="F436" i="7"/>
  <c r="H436" i="7" s="1"/>
  <c r="D236" i="7"/>
  <c r="Y236" i="7" s="1"/>
  <c r="F236" i="7"/>
  <c r="H236" i="7" s="1"/>
  <c r="H10" i="2"/>
  <c r="D593" i="7"/>
  <c r="Y593" i="7" s="1"/>
  <c r="D269" i="7"/>
  <c r="Y269" i="7" s="1"/>
  <c r="D292" i="7"/>
  <c r="Y292" i="7" s="1"/>
  <c r="F519" i="7"/>
  <c r="H519" i="7" s="1"/>
  <c r="D599" i="7"/>
  <c r="Y599" i="7" s="1"/>
  <c r="F513" i="7"/>
  <c r="H513" i="7" s="1"/>
  <c r="F269" i="7"/>
  <c r="H269" i="7" s="1"/>
  <c r="D246" i="7"/>
  <c r="Y246" i="7" s="1"/>
  <c r="D538" i="7"/>
  <c r="Y538" i="7" s="1"/>
  <c r="D235" i="7"/>
  <c r="Y235" i="7" s="1"/>
  <c r="F17" i="7"/>
  <c r="H17" i="7" s="1"/>
  <c r="F593" i="7"/>
  <c r="H593" i="7" s="1"/>
  <c r="D551" i="7"/>
  <c r="Y551" i="7" s="1"/>
  <c r="F587" i="7"/>
  <c r="H587" i="7" s="1"/>
  <c r="F292" i="7"/>
  <c r="H292" i="7" s="1"/>
  <c r="D603" i="7"/>
  <c r="Y603" i="7" s="1"/>
  <c r="D400" i="7"/>
  <c r="E400" i="7" s="1"/>
  <c r="F551" i="7"/>
  <c r="H551" i="7" s="1"/>
  <c r="D674" i="7"/>
  <c r="Y674" i="7" s="1"/>
  <c r="F225" i="7"/>
  <c r="H225" i="7" s="1"/>
  <c r="F603" i="7"/>
  <c r="H603" i="7" s="1"/>
  <c r="F400" i="7"/>
  <c r="H400" i="7" s="1"/>
  <c r="F97" i="7"/>
  <c r="H97" i="7" s="1"/>
  <c r="F674" i="7"/>
  <c r="H674" i="7" s="1"/>
  <c r="D639" i="7"/>
  <c r="Y639" i="7" s="1"/>
  <c r="F270" i="7"/>
  <c r="H270" i="7" s="1"/>
  <c r="D320" i="7"/>
  <c r="Y320" i="7" s="1"/>
  <c r="D87" i="7"/>
  <c r="Y87" i="7" s="1"/>
  <c r="D189" i="7"/>
  <c r="Y189" i="7" s="1"/>
  <c r="D587" i="7"/>
  <c r="Y587" i="7" s="1"/>
  <c r="D17" i="7"/>
  <c r="Y17" i="7" s="1"/>
  <c r="F189" i="7"/>
  <c r="H189" i="7" s="1"/>
  <c r="F337" i="7"/>
  <c r="H337" i="7" s="1"/>
  <c r="F345" i="7"/>
  <c r="H345" i="7" s="1"/>
  <c r="F425" i="7"/>
  <c r="H425" i="7" s="1"/>
  <c r="D378" i="7"/>
  <c r="Y378" i="7" s="1"/>
  <c r="D447" i="7"/>
  <c r="Y447" i="7" s="1"/>
  <c r="F220" i="7"/>
  <c r="H220" i="7" s="1"/>
  <c r="D132" i="7"/>
  <c r="Y132" i="7" s="1"/>
  <c r="F378" i="7"/>
  <c r="H378" i="7" s="1"/>
  <c r="F447" i="7"/>
  <c r="H447" i="7" s="1"/>
  <c r="D207" i="7"/>
  <c r="E207" i="7" s="1"/>
  <c r="D253" i="7"/>
  <c r="Y253" i="7" s="1"/>
  <c r="F202" i="7"/>
  <c r="H202" i="7" s="1"/>
  <c r="F278" i="7"/>
  <c r="H278" i="7" s="1"/>
  <c r="F132" i="7"/>
  <c r="H132" i="7" s="1"/>
  <c r="F280" i="5"/>
  <c r="H280" i="5" s="1"/>
  <c r="D380" i="5"/>
  <c r="E380" i="5" s="1"/>
  <c r="F308" i="5"/>
  <c r="H308" i="5" s="1"/>
  <c r="D246" i="5"/>
  <c r="E246" i="5" s="1"/>
  <c r="F302" i="5"/>
  <c r="H302" i="5" s="1"/>
  <c r="D13" i="5"/>
  <c r="E13" i="5" s="1"/>
  <c r="D71" i="5"/>
  <c r="E71" i="5" s="1"/>
  <c r="F403" i="5"/>
  <c r="H403" i="5" s="1"/>
  <c r="G71" i="5"/>
  <c r="G89" i="5"/>
  <c r="D598" i="5"/>
  <c r="E598" i="5" s="1"/>
  <c r="F68" i="5"/>
  <c r="H68" i="5" s="1"/>
  <c r="G13" i="5"/>
  <c r="D189" i="5"/>
  <c r="E189" i="5" s="1"/>
  <c r="F432" i="5"/>
  <c r="H432" i="5" s="1"/>
  <c r="G189" i="5"/>
  <c r="G280" i="5"/>
  <c r="G308" i="5"/>
  <c r="G294" i="5"/>
  <c r="G147" i="5"/>
  <c r="D85" i="5"/>
  <c r="E85" i="5" s="1"/>
  <c r="D255" i="5"/>
  <c r="E255" i="5" s="1"/>
  <c r="F129" i="5"/>
  <c r="H129" i="5" s="1"/>
  <c r="D229" i="5"/>
  <c r="E229" i="5" s="1"/>
  <c r="G412" i="5"/>
  <c r="G446" i="5"/>
  <c r="F85" i="5"/>
  <c r="H85" i="5" s="1"/>
  <c r="D445" i="5"/>
  <c r="E445" i="5" s="1"/>
  <c r="F255" i="5"/>
  <c r="H255" i="5" s="1"/>
  <c r="D238" i="5"/>
  <c r="E238" i="5" s="1"/>
  <c r="G312" i="5"/>
  <c r="D315" i="5"/>
  <c r="E315" i="5" s="1"/>
  <c r="F445" i="5"/>
  <c r="H445" i="5" s="1"/>
  <c r="D111" i="5"/>
  <c r="E111" i="5" s="1"/>
  <c r="D281" i="5"/>
  <c r="E281" i="5" s="1"/>
  <c r="G111" i="5"/>
  <c r="G36" i="5"/>
  <c r="G432" i="5"/>
  <c r="G57" i="5"/>
  <c r="G67" i="5"/>
  <c r="F315" i="5"/>
  <c r="H315" i="5" s="1"/>
  <c r="D147" i="5"/>
  <c r="E147" i="5" s="1"/>
  <c r="D67" i="5"/>
  <c r="E67" i="5" s="1"/>
  <c r="D340" i="5"/>
  <c r="E340" i="5" s="1"/>
  <c r="D172" i="5"/>
  <c r="E172" i="5" s="1"/>
  <c r="D95" i="5"/>
  <c r="E95" i="5" s="1"/>
  <c r="G188" i="5"/>
  <c r="D188" i="5"/>
  <c r="E188" i="5" s="1"/>
  <c r="F172" i="5"/>
  <c r="H172" i="5" s="1"/>
  <c r="D294" i="5"/>
  <c r="E294" i="5" s="1"/>
  <c r="D57" i="5"/>
  <c r="E57" i="5" s="1"/>
  <c r="F19" i="5"/>
  <c r="H19" i="5" s="1"/>
  <c r="D446" i="5"/>
  <c r="E446" i="5" s="1"/>
  <c r="D268" i="5"/>
  <c r="E268" i="5" s="1"/>
  <c r="D412" i="5"/>
  <c r="E412" i="5" s="1"/>
  <c r="D36" i="5"/>
  <c r="E36" i="5" s="1"/>
  <c r="G68" i="5"/>
  <c r="F288" i="5"/>
  <c r="H288" i="5" s="1"/>
  <c r="D102" i="5"/>
  <c r="E102" i="5" s="1"/>
  <c r="F357" i="5"/>
  <c r="H357" i="5" s="1"/>
  <c r="D364" i="5"/>
  <c r="E364" i="5" s="1"/>
  <c r="D276" i="5"/>
  <c r="E276" i="5" s="1"/>
  <c r="D457" i="5"/>
  <c r="E457" i="5" s="1"/>
  <c r="G220" i="5"/>
  <c r="G369" i="5"/>
  <c r="D110" i="5"/>
  <c r="E110" i="5" s="1"/>
  <c r="F102" i="5"/>
  <c r="H102" i="5" s="1"/>
  <c r="D220" i="5"/>
  <c r="E220" i="5" s="1"/>
  <c r="D392" i="5"/>
  <c r="E392" i="5" s="1"/>
  <c r="D363" i="5"/>
  <c r="E363" i="5" s="1"/>
  <c r="F392" i="5"/>
  <c r="H392" i="5" s="1"/>
  <c r="F64" i="5"/>
  <c r="H64" i="5" s="1"/>
  <c r="D105" i="5"/>
  <c r="E105" i="5" s="1"/>
  <c r="D594" i="5"/>
  <c r="E594" i="5" s="1"/>
  <c r="G594" i="5"/>
  <c r="D319" i="5"/>
  <c r="E319" i="5" s="1"/>
  <c r="G41" i="5"/>
  <c r="G381" i="5"/>
  <c r="D178" i="5"/>
  <c r="E178" i="5" s="1"/>
  <c r="G342" i="5"/>
  <c r="G319" i="5"/>
  <c r="G287" i="5"/>
  <c r="G267" i="5"/>
  <c r="F178" i="5"/>
  <c r="H178" i="5" s="1"/>
  <c r="F351" i="5"/>
  <c r="H351" i="5" s="1"/>
  <c r="G80" i="5"/>
  <c r="G395" i="5"/>
  <c r="G603" i="5"/>
  <c r="G227" i="5"/>
  <c r="G46" i="5"/>
  <c r="G48" i="5"/>
  <c r="F590" i="5"/>
  <c r="H590" i="5" s="1"/>
  <c r="D373" i="5"/>
  <c r="E373" i="5" s="1"/>
  <c r="D107" i="5"/>
  <c r="E107" i="5" s="1"/>
  <c r="D393" i="5"/>
  <c r="E393" i="5" s="1"/>
  <c r="F373" i="5"/>
  <c r="H373" i="5" s="1"/>
  <c r="F80" i="5"/>
  <c r="H80" i="5" s="1"/>
  <c r="D118" i="5"/>
  <c r="E118" i="5" s="1"/>
  <c r="D48" i="5"/>
  <c r="E48" i="5" s="1"/>
  <c r="D287" i="5"/>
  <c r="E287" i="5" s="1"/>
  <c r="D46" i="5"/>
  <c r="E46" i="5" s="1"/>
  <c r="G393" i="5"/>
  <c r="F342" i="5"/>
  <c r="H342" i="5" s="1"/>
  <c r="G304" i="5"/>
  <c r="G627" i="5"/>
  <c r="D328" i="5"/>
  <c r="E328" i="5" s="1"/>
  <c r="F395" i="5"/>
  <c r="H395" i="5" s="1"/>
  <c r="D227" i="5"/>
  <c r="E227" i="5" s="1"/>
  <c r="G341" i="5"/>
  <c r="D214" i="5"/>
  <c r="E214" i="5" s="1"/>
  <c r="F303" i="5"/>
  <c r="H303" i="5" s="1"/>
  <c r="G246" i="5"/>
  <c r="D217" i="5"/>
  <c r="E217" i="5" s="1"/>
  <c r="G336" i="5"/>
  <c r="G348" i="5"/>
  <c r="F214" i="5"/>
  <c r="H214" i="5" s="1"/>
  <c r="F328" i="5"/>
  <c r="H328" i="5" s="1"/>
  <c r="F217" i="5"/>
  <c r="H217" i="5" s="1"/>
  <c r="D336" i="5"/>
  <c r="E336" i="5" s="1"/>
  <c r="D368" i="5"/>
  <c r="E368" i="5" s="1"/>
  <c r="D134" i="5"/>
  <c r="E134" i="5" s="1"/>
  <c r="F130" i="5"/>
  <c r="H130" i="5" s="1"/>
  <c r="D341" i="5"/>
  <c r="E341" i="5" s="1"/>
  <c r="D113" i="5"/>
  <c r="E113" i="5" s="1"/>
  <c r="F134" i="5"/>
  <c r="H134" i="5" s="1"/>
  <c r="D627" i="5"/>
  <c r="E627" i="5" s="1"/>
  <c r="D317" i="5"/>
  <c r="E317" i="5" s="1"/>
  <c r="F113" i="5"/>
  <c r="H113" i="5" s="1"/>
  <c r="D462" i="5"/>
  <c r="E462" i="5" s="1"/>
  <c r="D348" i="5"/>
  <c r="E348" i="5" s="1"/>
  <c r="D613" i="5"/>
  <c r="E613" i="5" s="1"/>
  <c r="D41" i="5"/>
  <c r="E41" i="5" s="1"/>
  <c r="F317" i="5"/>
  <c r="H317" i="5" s="1"/>
  <c r="D171" i="5"/>
  <c r="E171" i="5" s="1"/>
  <c r="D267" i="5"/>
  <c r="E267" i="5" s="1"/>
  <c r="D381" i="5"/>
  <c r="E381" i="5" s="1"/>
  <c r="D52" i="5"/>
  <c r="E52" i="5" s="1"/>
  <c r="D292" i="5"/>
  <c r="E292" i="5" s="1"/>
  <c r="F462" i="5"/>
  <c r="H462" i="5" s="1"/>
  <c r="F613" i="5"/>
  <c r="H613" i="5" s="1"/>
  <c r="D304" i="5"/>
  <c r="E304" i="5" s="1"/>
  <c r="F233" i="5"/>
  <c r="H233" i="5" s="1"/>
  <c r="G216" i="5"/>
  <c r="G52" i="5"/>
  <c r="G265" i="5"/>
  <c r="G72" i="5"/>
  <c r="D291" i="5"/>
  <c r="E291" i="5" s="1"/>
  <c r="F292" i="5"/>
  <c r="H292" i="5" s="1"/>
  <c r="D114" i="5"/>
  <c r="E114" i="5" s="1"/>
  <c r="D216" i="5"/>
  <c r="E216" i="5" s="1"/>
  <c r="D603" i="5"/>
  <c r="E603" i="5" s="1"/>
  <c r="D219" i="5"/>
  <c r="E219" i="5" s="1"/>
  <c r="D99" i="5"/>
  <c r="E99" i="5" s="1"/>
  <c r="D265" i="5"/>
  <c r="E265" i="5" s="1"/>
  <c r="G291" i="5"/>
  <c r="G114" i="5"/>
  <c r="K35" i="9"/>
  <c r="K887" i="9"/>
  <c r="K853" i="9"/>
  <c r="K103" i="9"/>
  <c r="K916" i="9"/>
  <c r="K324" i="9"/>
  <c r="K346" i="9"/>
  <c r="K48" i="9"/>
  <c r="K889" i="9"/>
  <c r="K237" i="9"/>
  <c r="K184" i="9"/>
  <c r="K871" i="9"/>
  <c r="K337" i="9"/>
  <c r="K45" i="9"/>
  <c r="K124" i="9"/>
  <c r="K192" i="9"/>
  <c r="K102" i="9"/>
  <c r="K334" i="9"/>
  <c r="K342" i="9"/>
  <c r="K446" i="9"/>
  <c r="K203" i="9"/>
  <c r="K204" i="9"/>
  <c r="K19" i="9"/>
  <c r="K326" i="9"/>
  <c r="K238" i="9"/>
  <c r="K885" i="9"/>
  <c r="K115" i="9"/>
  <c r="K872" i="9"/>
  <c r="K437" i="9"/>
  <c r="K903" i="9"/>
  <c r="K880" i="9"/>
  <c r="K193" i="9"/>
  <c r="K236" i="9"/>
  <c r="K245" i="9"/>
  <c r="K296" i="9"/>
  <c r="K856" i="9"/>
  <c r="K906" i="9"/>
  <c r="K130" i="9"/>
  <c r="K105" i="9"/>
  <c r="K14" i="9"/>
  <c r="K328" i="9"/>
  <c r="K219" i="9"/>
  <c r="K289" i="9"/>
  <c r="K914" i="9"/>
  <c r="K894" i="9"/>
  <c r="K311" i="9"/>
  <c r="K295" i="9"/>
  <c r="K125" i="9"/>
  <c r="K109" i="9"/>
  <c r="K291" i="9"/>
  <c r="K15" i="9"/>
  <c r="K198" i="9"/>
  <c r="K231" i="9"/>
  <c r="K228" i="9"/>
  <c r="K123" i="9"/>
  <c r="K181" i="9"/>
  <c r="K426" i="9"/>
  <c r="K205" i="9"/>
  <c r="K17" i="9"/>
  <c r="K873" i="9"/>
  <c r="K293" i="9"/>
  <c r="K122" i="9"/>
  <c r="K246" i="9"/>
  <c r="K877" i="9"/>
  <c r="K66" i="9"/>
  <c r="K38" i="9"/>
  <c r="K869" i="9"/>
  <c r="K902" i="9"/>
  <c r="K546" i="9"/>
  <c r="K303" i="9"/>
  <c r="K901" i="9"/>
  <c r="K11" i="9"/>
  <c r="K913" i="9"/>
  <c r="K202" i="9"/>
  <c r="K859" i="9"/>
  <c r="K332" i="9"/>
  <c r="K543" i="9"/>
  <c r="K299" i="9"/>
  <c r="K331" i="9"/>
  <c r="K301" i="9"/>
  <c r="F74" i="7"/>
  <c r="H74" i="7" s="1"/>
  <c r="F418" i="7"/>
  <c r="H418" i="7" s="1"/>
  <c r="D225" i="7"/>
  <c r="Y225" i="7" s="1"/>
  <c r="D64" i="12"/>
  <c r="E64" i="12" s="1"/>
  <c r="D630" i="7"/>
  <c r="Y630" i="7" s="1"/>
  <c r="F141" i="7"/>
  <c r="H141" i="7" s="1"/>
  <c r="F562" i="7"/>
  <c r="H562" i="7" s="1"/>
  <c r="F679" i="7"/>
  <c r="H679" i="7" s="1"/>
  <c r="F214" i="7"/>
  <c r="H214" i="7" s="1"/>
  <c r="D72" i="7"/>
  <c r="Y72" i="7" s="1"/>
  <c r="D191" i="7"/>
  <c r="Y191" i="7" s="1"/>
  <c r="F161" i="7"/>
  <c r="H161" i="7" s="1"/>
  <c r="F630" i="7"/>
  <c r="H630" i="7" s="1"/>
  <c r="D309" i="7"/>
  <c r="Y309" i="7" s="1"/>
  <c r="F527" i="7"/>
  <c r="H527" i="7" s="1"/>
  <c r="F669" i="7"/>
  <c r="H669" i="7" s="1"/>
  <c r="D522" i="7"/>
  <c r="Y522" i="7" s="1"/>
  <c r="D81" i="7"/>
  <c r="Y81" i="7" s="1"/>
  <c r="D45" i="12"/>
  <c r="E45" i="12" s="1"/>
  <c r="F309" i="7"/>
  <c r="H309" i="7" s="1"/>
  <c r="D240" i="7"/>
  <c r="Y240" i="7" s="1"/>
  <c r="D583" i="7"/>
  <c r="Y583" i="7" s="1"/>
  <c r="F606" i="7"/>
  <c r="H606" i="7" s="1"/>
  <c r="D270" i="7"/>
  <c r="Y270" i="7" s="1"/>
  <c r="F429" i="7"/>
  <c r="H429" i="7" s="1"/>
  <c r="F45" i="12"/>
  <c r="H45" i="12" s="1"/>
  <c r="D97" i="7"/>
  <c r="Y97" i="7" s="1"/>
  <c r="D214" i="7"/>
  <c r="Y214" i="7" s="1"/>
  <c r="F576" i="7"/>
  <c r="H576" i="7" s="1"/>
  <c r="F583" i="7"/>
  <c r="H583" i="7" s="1"/>
  <c r="F72" i="7"/>
  <c r="H72" i="7" s="1"/>
  <c r="D149" i="7"/>
  <c r="Y149" i="7" s="1"/>
  <c r="D131" i="7"/>
  <c r="Y131" i="7" s="1"/>
  <c r="D281" i="7"/>
  <c r="Y281" i="7" s="1"/>
  <c r="F307" i="7"/>
  <c r="H307" i="7" s="1"/>
  <c r="F320" i="7"/>
  <c r="H320" i="7" s="1"/>
  <c r="D559" i="7"/>
  <c r="Y559" i="7" s="1"/>
  <c r="F191" i="7"/>
  <c r="H191" i="7" s="1"/>
  <c r="F196" i="7"/>
  <c r="H196" i="7" s="1"/>
  <c r="D261" i="7"/>
  <c r="Y261" i="7" s="1"/>
  <c r="F81" i="7"/>
  <c r="H81" i="7" s="1"/>
  <c r="F412" i="7"/>
  <c r="H412" i="7" s="1"/>
  <c r="F246" i="7"/>
  <c r="H246" i="7" s="1"/>
  <c r="D305" i="7"/>
  <c r="Y305" i="7" s="1"/>
  <c r="D265" i="7"/>
  <c r="Y265" i="7" s="1"/>
  <c r="D600" i="7"/>
  <c r="Y600" i="7" s="1"/>
  <c r="D245" i="7"/>
  <c r="Y245" i="7" s="1"/>
  <c r="F261" i="7"/>
  <c r="H261" i="7" s="1"/>
  <c r="D76" i="7"/>
  <c r="Y76" i="7" s="1"/>
  <c r="F116" i="7"/>
  <c r="H116" i="7" s="1"/>
  <c r="F305" i="7"/>
  <c r="H305" i="7" s="1"/>
  <c r="D527" i="7"/>
  <c r="E527" i="7" s="1"/>
  <c r="F472" i="7"/>
  <c r="H472" i="7" s="1"/>
  <c r="D662" i="7"/>
  <c r="Y662" i="7" s="1"/>
  <c r="F265" i="7"/>
  <c r="H265" i="7" s="1"/>
  <c r="F600" i="7"/>
  <c r="H600" i="7" s="1"/>
  <c r="F245" i="7"/>
  <c r="H245" i="7" s="1"/>
  <c r="F76" i="7"/>
  <c r="H76" i="7" s="1"/>
  <c r="D429" i="7"/>
  <c r="Y429" i="7" s="1"/>
  <c r="D470" i="7"/>
  <c r="Y470" i="7" s="1"/>
  <c r="D531" i="7"/>
  <c r="Y531" i="7" s="1"/>
  <c r="F215" i="7"/>
  <c r="H215" i="7" s="1"/>
  <c r="F20" i="7"/>
  <c r="H20" i="7" s="1"/>
  <c r="F326" i="7"/>
  <c r="H326" i="7" s="1"/>
  <c r="F409" i="7"/>
  <c r="H409" i="7" s="1"/>
  <c r="F326" i="12"/>
  <c r="H326" i="12" s="1"/>
  <c r="F62" i="12"/>
  <c r="H62" i="12" s="1"/>
  <c r="D35" i="7"/>
  <c r="Y35" i="7" s="1"/>
  <c r="F538" i="7"/>
  <c r="H538" i="7" s="1"/>
  <c r="F82" i="7"/>
  <c r="H82" i="7" s="1"/>
  <c r="F87" i="7"/>
  <c r="H87" i="7" s="1"/>
  <c r="D404" i="7"/>
  <c r="Y404" i="7" s="1"/>
  <c r="D213" i="7"/>
  <c r="Y213" i="7" s="1"/>
  <c r="D26" i="7"/>
  <c r="Y26" i="7" s="1"/>
  <c r="D37" i="7"/>
  <c r="Y37" i="7" s="1"/>
  <c r="D41" i="12"/>
  <c r="E41" i="12" s="1"/>
  <c r="G407" i="5"/>
  <c r="D441" i="7"/>
  <c r="Y441" i="7" s="1"/>
  <c r="F35" i="7"/>
  <c r="H35" i="7" s="1"/>
  <c r="D30" i="7"/>
  <c r="Y30" i="7" s="1"/>
  <c r="F361" i="7"/>
  <c r="H361" i="7" s="1"/>
  <c r="D193" i="7"/>
  <c r="Y193" i="7" s="1"/>
  <c r="D452" i="7"/>
  <c r="Y452" i="7" s="1"/>
  <c r="F404" i="7"/>
  <c r="H404" i="7" s="1"/>
  <c r="D491" i="7"/>
  <c r="Y491" i="7" s="1"/>
  <c r="F213" i="7"/>
  <c r="H213" i="7" s="1"/>
  <c r="F26" i="7"/>
  <c r="H26" i="7" s="1"/>
  <c r="F37" i="7"/>
  <c r="H37" i="7" s="1"/>
  <c r="D329" i="12"/>
  <c r="E329" i="12" s="1"/>
  <c r="F41" i="12"/>
  <c r="H41" i="12" s="1"/>
  <c r="F441" i="7"/>
  <c r="H441" i="7" s="1"/>
  <c r="D215" i="7"/>
  <c r="Y215" i="7" s="1"/>
  <c r="D20" i="7"/>
  <c r="Y20" i="7" s="1"/>
  <c r="F30" i="7"/>
  <c r="H30" i="7" s="1"/>
  <c r="F177" i="7"/>
  <c r="H177" i="7" s="1"/>
  <c r="F193" i="7"/>
  <c r="H193" i="7" s="1"/>
  <c r="F452" i="7"/>
  <c r="H452" i="7" s="1"/>
  <c r="F491" i="7"/>
  <c r="H491" i="7" s="1"/>
  <c r="D326" i="7"/>
  <c r="Y326" i="7" s="1"/>
  <c r="F460" i="7"/>
  <c r="H460" i="7" s="1"/>
  <c r="D409" i="7"/>
  <c r="Y409" i="7" s="1"/>
  <c r="F329" i="12"/>
  <c r="H329" i="12" s="1"/>
  <c r="D576" i="7"/>
  <c r="Y576" i="7" s="1"/>
  <c r="D472" i="7"/>
  <c r="Y472" i="7" s="1"/>
  <c r="D669" i="7"/>
  <c r="Y669" i="7" s="1"/>
  <c r="D507" i="7"/>
  <c r="Y507" i="7" s="1"/>
  <c r="D361" i="7"/>
  <c r="Y361" i="7" s="1"/>
  <c r="D425" i="7"/>
  <c r="Y425" i="7" s="1"/>
  <c r="D202" i="7"/>
  <c r="Y202" i="7" s="1"/>
  <c r="D82" i="7"/>
  <c r="Y82" i="7" s="1"/>
  <c r="D278" i="7"/>
  <c r="Y278" i="7" s="1"/>
  <c r="D460" i="7"/>
  <c r="Y460" i="7" s="1"/>
  <c r="D116" i="7"/>
  <c r="Y116" i="7" s="1"/>
  <c r="D602" i="7"/>
  <c r="Y602" i="7" s="1"/>
  <c r="D340" i="12"/>
  <c r="E340" i="12" s="1"/>
  <c r="D62" i="12"/>
  <c r="E62" i="12" s="1"/>
  <c r="D74" i="12"/>
  <c r="E74" i="12" s="1"/>
  <c r="F65" i="7"/>
  <c r="H65" i="7" s="1"/>
  <c r="F312" i="7"/>
  <c r="H312" i="7" s="1"/>
  <c r="F381" i="7"/>
  <c r="H381" i="7" s="1"/>
  <c r="F240" i="7"/>
  <c r="H240" i="7" s="1"/>
  <c r="D299" i="7"/>
  <c r="Y299" i="7" s="1"/>
  <c r="D651" i="7"/>
  <c r="Y651" i="7" s="1"/>
  <c r="D111" i="7"/>
  <c r="Y111" i="7" s="1"/>
  <c r="D135" i="7"/>
  <c r="Y135" i="7" s="1"/>
  <c r="D31" i="7"/>
  <c r="Y31" i="7" s="1"/>
  <c r="D396" i="7"/>
  <c r="Y396" i="7" s="1"/>
  <c r="D540" i="7"/>
  <c r="E540" i="7" s="1"/>
  <c r="D451" i="7"/>
  <c r="Y451" i="7" s="1"/>
  <c r="D391" i="7"/>
  <c r="Y391" i="7" s="1"/>
  <c r="D495" i="7"/>
  <c r="Y495" i="7" s="1"/>
  <c r="D511" i="7"/>
  <c r="Y511" i="7" s="1"/>
  <c r="D469" i="7"/>
  <c r="Y469" i="7" s="1"/>
  <c r="D592" i="7"/>
  <c r="Y592" i="7" s="1"/>
  <c r="D293" i="7"/>
  <c r="Y293" i="7" s="1"/>
  <c r="D59" i="7"/>
  <c r="Y59" i="7" s="1"/>
  <c r="D625" i="7"/>
  <c r="Y625" i="7" s="1"/>
  <c r="D137" i="7"/>
  <c r="E137" i="7" s="1"/>
  <c r="D524" i="7"/>
  <c r="E524" i="7" s="1"/>
  <c r="D660" i="7"/>
  <c r="Y660" i="7" s="1"/>
  <c r="D464" i="7"/>
  <c r="Y464" i="7" s="1"/>
  <c r="D504" i="7"/>
  <c r="E504" i="7" s="1"/>
  <c r="D485" i="7"/>
  <c r="Y485" i="7" s="1"/>
  <c r="D218" i="7"/>
  <c r="Y218" i="7" s="1"/>
  <c r="D582" i="7"/>
  <c r="Y582" i="7" s="1"/>
  <c r="D125" i="7"/>
  <c r="Y125" i="7" s="1"/>
  <c r="D115" i="7"/>
  <c r="Y115" i="7" s="1"/>
  <c r="D422" i="7"/>
  <c r="Y422" i="7" s="1"/>
  <c r="D52" i="12"/>
  <c r="E52" i="12" s="1"/>
  <c r="D432" i="7"/>
  <c r="Y432" i="7" s="1"/>
  <c r="D105" i="7"/>
  <c r="Y105" i="7" s="1"/>
  <c r="F660" i="7"/>
  <c r="H660" i="7" s="1"/>
  <c r="F464" i="7"/>
  <c r="H464" i="7" s="1"/>
  <c r="F504" i="7"/>
  <c r="H504" i="7" s="1"/>
  <c r="F485" i="7"/>
  <c r="H485" i="7" s="1"/>
  <c r="F218" i="7"/>
  <c r="H218" i="7" s="1"/>
  <c r="F582" i="7"/>
  <c r="H582" i="7" s="1"/>
  <c r="F125" i="7"/>
  <c r="H125" i="7" s="1"/>
  <c r="F115" i="7"/>
  <c r="H115" i="7" s="1"/>
  <c r="F422" i="7"/>
  <c r="H422" i="7" s="1"/>
  <c r="F52" i="12"/>
  <c r="H52" i="12" s="1"/>
  <c r="F432" i="7"/>
  <c r="H432" i="7" s="1"/>
  <c r="F105" i="7"/>
  <c r="H105" i="7" s="1"/>
  <c r="D513" i="7"/>
  <c r="Y513" i="7" s="1"/>
  <c r="D345" i="7"/>
  <c r="Y345" i="7" s="1"/>
  <c r="D220" i="7"/>
  <c r="Y220" i="7" s="1"/>
  <c r="D606" i="7"/>
  <c r="Y606" i="7" s="1"/>
  <c r="D177" i="7"/>
  <c r="Y177" i="7" s="1"/>
  <c r="D29" i="7"/>
  <c r="Y29" i="7" s="1"/>
  <c r="D337" i="7"/>
  <c r="Y337" i="7" s="1"/>
  <c r="D326" i="12"/>
  <c r="E326" i="12" s="1"/>
  <c r="D43" i="12"/>
  <c r="E43" i="12" s="1"/>
  <c r="F27" i="7"/>
  <c r="H27" i="7" s="1"/>
  <c r="F150" i="7"/>
  <c r="H150" i="7" s="1"/>
  <c r="F526" i="7"/>
  <c r="H526" i="7" s="1"/>
  <c r="F179" i="7"/>
  <c r="H179" i="7" s="1"/>
  <c r="F622" i="7"/>
  <c r="H622" i="7" s="1"/>
  <c r="F688" i="7"/>
  <c r="H688" i="7" s="1"/>
  <c r="F48" i="7"/>
  <c r="H48" i="7" s="1"/>
  <c r="F53" i="7"/>
  <c r="H53" i="7" s="1"/>
  <c r="F212" i="7"/>
  <c r="H212" i="7" s="1"/>
  <c r="F353" i="12"/>
  <c r="H353" i="12" s="1"/>
  <c r="F70" i="12"/>
  <c r="H70" i="12" s="1"/>
  <c r="D435" i="7"/>
  <c r="Y435" i="7" s="1"/>
  <c r="D564" i="7"/>
  <c r="Y564" i="7" s="1"/>
  <c r="D55" i="7"/>
  <c r="Y55" i="7" s="1"/>
  <c r="D344" i="7"/>
  <c r="Y344" i="7" s="1"/>
  <c r="D438" i="7"/>
  <c r="Y438" i="7" s="1"/>
  <c r="D445" i="7"/>
  <c r="Y445" i="7" s="1"/>
  <c r="D680" i="7"/>
  <c r="Y680" i="7" s="1"/>
  <c r="D569" i="7"/>
  <c r="Y569" i="7" s="1"/>
  <c r="D172" i="7"/>
  <c r="Y172" i="7" s="1"/>
  <c r="D106" i="7"/>
  <c r="Y106" i="7" s="1"/>
  <c r="D50" i="7"/>
  <c r="Y50" i="7" s="1"/>
  <c r="D251" i="7"/>
  <c r="Y251" i="7" s="1"/>
  <c r="D347" i="7"/>
  <c r="Y347" i="7" s="1"/>
  <c r="D276" i="7"/>
  <c r="Y276" i="7" s="1"/>
  <c r="D315" i="7"/>
  <c r="Y315" i="7" s="1"/>
  <c r="D337" i="12"/>
  <c r="E337" i="12" s="1"/>
  <c r="D368" i="12"/>
  <c r="E368" i="12" s="1"/>
  <c r="D35" i="12"/>
  <c r="E35" i="12" s="1"/>
  <c r="F435" i="7"/>
  <c r="H435" i="7" s="1"/>
  <c r="F55" i="7"/>
  <c r="H55" i="7" s="1"/>
  <c r="F344" i="7"/>
  <c r="H344" i="7" s="1"/>
  <c r="F438" i="7"/>
  <c r="H438" i="7" s="1"/>
  <c r="F445" i="7"/>
  <c r="H445" i="7" s="1"/>
  <c r="F680" i="7"/>
  <c r="H680" i="7" s="1"/>
  <c r="F569" i="7"/>
  <c r="H569" i="7" s="1"/>
  <c r="F172" i="7"/>
  <c r="H172" i="7" s="1"/>
  <c r="F106" i="7"/>
  <c r="H106" i="7" s="1"/>
  <c r="F50" i="7"/>
  <c r="H50" i="7" s="1"/>
  <c r="F251" i="7"/>
  <c r="H251" i="7" s="1"/>
  <c r="F347" i="7"/>
  <c r="H347" i="7" s="1"/>
  <c r="F276" i="7"/>
  <c r="H276" i="7" s="1"/>
  <c r="F315" i="7"/>
  <c r="H315" i="7" s="1"/>
  <c r="F337" i="12"/>
  <c r="H337" i="12" s="1"/>
  <c r="F368" i="12"/>
  <c r="H368" i="12" s="1"/>
  <c r="F35" i="12"/>
  <c r="H35" i="12" s="1"/>
  <c r="D27" i="7"/>
  <c r="Y27" i="7" s="1"/>
  <c r="D150" i="7"/>
  <c r="Y150" i="7" s="1"/>
  <c r="D526" i="7"/>
  <c r="Y526" i="7" s="1"/>
  <c r="D179" i="7"/>
  <c r="Y179" i="7" s="1"/>
  <c r="D622" i="7"/>
  <c r="Y622" i="7" s="1"/>
  <c r="D688" i="7"/>
  <c r="Y688" i="7" s="1"/>
  <c r="D48" i="7"/>
  <c r="Y48" i="7" s="1"/>
  <c r="D53" i="7"/>
  <c r="Y53" i="7" s="1"/>
  <c r="D212" i="7"/>
  <c r="Y212" i="7" s="1"/>
  <c r="D353" i="12"/>
  <c r="E353" i="12" s="1"/>
  <c r="D70" i="12"/>
  <c r="E70" i="12" s="1"/>
  <c r="F95" i="5"/>
  <c r="H95" i="5" s="1"/>
  <c r="D442" i="5"/>
  <c r="E442" i="5" s="1"/>
  <c r="F442" i="5"/>
  <c r="H442" i="5" s="1"/>
  <c r="D116" i="5"/>
  <c r="E116" i="5" s="1"/>
  <c r="D124" i="5"/>
  <c r="E124" i="5" s="1"/>
  <c r="F116" i="5"/>
  <c r="H116" i="5" s="1"/>
  <c r="G601" i="5"/>
  <c r="G91" i="5"/>
  <c r="G124" i="5"/>
  <c r="D601" i="5"/>
  <c r="E601" i="5" s="1"/>
  <c r="D91" i="5"/>
  <c r="E91" i="5" s="1"/>
  <c r="D620" i="5"/>
  <c r="E620" i="5" s="1"/>
  <c r="F439" i="5"/>
  <c r="H439" i="5" s="1"/>
  <c r="F459" i="5"/>
  <c r="H459" i="5" s="1"/>
  <c r="F31" i="5"/>
  <c r="H31" i="5" s="1"/>
  <c r="F224" i="5"/>
  <c r="H224" i="5" s="1"/>
  <c r="F407" i="5"/>
  <c r="H407" i="5" s="1"/>
  <c r="D254" i="5"/>
  <c r="E254" i="5" s="1"/>
  <c r="D376" i="5"/>
  <c r="E376" i="5" s="1"/>
  <c r="D157" i="5"/>
  <c r="E157" i="5" s="1"/>
  <c r="D379" i="5"/>
  <c r="E379" i="5" s="1"/>
  <c r="D424" i="5"/>
  <c r="E424" i="5" s="1"/>
  <c r="D252" i="5"/>
  <c r="E252" i="5" s="1"/>
  <c r="D388" i="5"/>
  <c r="E388" i="5" s="1"/>
  <c r="G439" i="5"/>
  <c r="D347" i="5"/>
  <c r="E347" i="5" s="1"/>
  <c r="D150" i="5"/>
  <c r="E150" i="5" s="1"/>
  <c r="D16" i="5"/>
  <c r="E16" i="5" s="1"/>
  <c r="F424" i="5"/>
  <c r="H424" i="5" s="1"/>
  <c r="D51" i="5"/>
  <c r="E51" i="5" s="1"/>
  <c r="D179" i="5"/>
  <c r="E179" i="5" s="1"/>
  <c r="D465" i="5"/>
  <c r="E465" i="5" s="1"/>
  <c r="D431" i="5"/>
  <c r="E431" i="5" s="1"/>
  <c r="D631" i="5"/>
  <c r="E631" i="5" s="1"/>
  <c r="D168" i="5"/>
  <c r="E168" i="5" s="1"/>
  <c r="D89" i="5"/>
  <c r="E89" i="5" s="1"/>
  <c r="F51" i="5"/>
  <c r="H51" i="5" s="1"/>
  <c r="F38" i="12"/>
  <c r="H38" i="12" s="1"/>
  <c r="G38" i="12"/>
  <c r="F440" i="12"/>
  <c r="H440" i="12" s="1"/>
  <c r="G440" i="12"/>
  <c r="F307" i="12"/>
  <c r="H307" i="12" s="1"/>
  <c r="G307" i="12"/>
  <c r="F333" i="12"/>
  <c r="H333" i="12" s="1"/>
  <c r="G333" i="12"/>
  <c r="D19" i="7"/>
  <c r="E19" i="7" s="1"/>
  <c r="G19" i="7"/>
  <c r="D294" i="8"/>
  <c r="E294" i="8" s="1"/>
  <c r="D658" i="8"/>
  <c r="E658" i="8" s="1"/>
  <c r="H658" i="8"/>
  <c r="K658" i="8" s="1"/>
  <c r="D634" i="8"/>
  <c r="E634" i="8" s="1"/>
  <c r="H634" i="8"/>
  <c r="K634" i="8" s="1"/>
  <c r="D214" i="8"/>
  <c r="E214" i="8" s="1"/>
  <c r="D43" i="8"/>
  <c r="E43" i="8" s="1"/>
  <c r="D290" i="8"/>
  <c r="E290" i="8" s="1"/>
  <c r="D182" i="8"/>
  <c r="E182" i="8" s="1"/>
  <c r="H182" i="8"/>
  <c r="K182" i="8" s="1"/>
  <c r="D466" i="8"/>
  <c r="E466" i="8" s="1"/>
  <c r="H466" i="8"/>
  <c r="K466" i="8" s="1"/>
  <c r="D447" i="8"/>
  <c r="E447" i="8" s="1"/>
  <c r="H447" i="8"/>
  <c r="K447" i="8" s="1"/>
  <c r="D424" i="8"/>
  <c r="E424" i="8" s="1"/>
  <c r="H424" i="8"/>
  <c r="K424" i="8" s="1"/>
  <c r="D402" i="8"/>
  <c r="E402" i="8" s="1"/>
  <c r="H402" i="8"/>
  <c r="K402" i="8" s="1"/>
  <c r="D375" i="8"/>
  <c r="E375" i="8" s="1"/>
  <c r="D148" i="8"/>
  <c r="E148" i="8" s="1"/>
  <c r="D489" i="8"/>
  <c r="E489" i="8" s="1"/>
  <c r="H489" i="8"/>
  <c r="K489" i="8" s="1"/>
  <c r="D554" i="8"/>
  <c r="E554" i="8" s="1"/>
  <c r="H554" i="8"/>
  <c r="K554" i="8" s="1"/>
  <c r="D530" i="8"/>
  <c r="E530" i="8" s="1"/>
  <c r="D260" i="8"/>
  <c r="E260" i="8" s="1"/>
  <c r="D240" i="8"/>
  <c r="E240" i="8" s="1"/>
  <c r="H240" i="8"/>
  <c r="K240" i="8" s="1"/>
  <c r="D667" i="8"/>
  <c r="E667" i="8" s="1"/>
  <c r="H667" i="8"/>
  <c r="D223" i="8"/>
  <c r="E223" i="8" s="1"/>
  <c r="D52" i="8"/>
  <c r="E52" i="8" s="1"/>
  <c r="D299" i="8"/>
  <c r="E299" i="8" s="1"/>
  <c r="H299" i="8"/>
  <c r="K299" i="8" s="1"/>
  <c r="D191" i="8"/>
  <c r="E191" i="8" s="1"/>
  <c r="H191" i="8"/>
  <c r="K191" i="8" s="1"/>
  <c r="D269" i="8"/>
  <c r="E269" i="8" s="1"/>
  <c r="D456" i="8"/>
  <c r="E456" i="8" s="1"/>
  <c r="H456" i="8"/>
  <c r="K456" i="8" s="1"/>
  <c r="D433" i="8"/>
  <c r="E433" i="8" s="1"/>
  <c r="H433" i="8"/>
  <c r="K433" i="8" s="1"/>
  <c r="D411" i="8"/>
  <c r="E411" i="8" s="1"/>
  <c r="H411" i="8"/>
  <c r="K411" i="8" s="1"/>
  <c r="D382" i="8"/>
  <c r="E382" i="8" s="1"/>
  <c r="D361" i="8"/>
  <c r="E361" i="8" s="1"/>
  <c r="D92" i="8"/>
  <c r="E92" i="8" s="1"/>
  <c r="H92" i="8"/>
  <c r="K92" i="8" s="1"/>
  <c r="D498" i="8"/>
  <c r="E498" i="8" s="1"/>
  <c r="H498" i="8"/>
  <c r="K498" i="8" s="1"/>
  <c r="D97" i="8"/>
  <c r="E97" i="8" s="1"/>
  <c r="D17" i="8"/>
  <c r="E17" i="8" s="1"/>
  <c r="H17" i="8"/>
  <c r="K17" i="8" s="1"/>
  <c r="D507" i="8"/>
  <c r="E507" i="8" s="1"/>
  <c r="H507" i="8"/>
  <c r="K507" i="8" s="1"/>
  <c r="D249" i="8"/>
  <c r="E249" i="8" s="1"/>
  <c r="H249" i="8"/>
  <c r="K249" i="8" s="1"/>
  <c r="D563" i="8"/>
  <c r="E563" i="8" s="1"/>
  <c r="H563" i="8"/>
  <c r="D317" i="8"/>
  <c r="E317" i="8" s="1"/>
  <c r="D25" i="8"/>
  <c r="E25" i="8" s="1"/>
  <c r="H25" i="8"/>
  <c r="K25" i="8" s="1"/>
  <c r="D169" i="8"/>
  <c r="E169" i="8" s="1"/>
  <c r="H169" i="8"/>
  <c r="K169" i="8" s="1"/>
  <c r="D168" i="8"/>
  <c r="E168" i="8" s="1"/>
  <c r="D569" i="8"/>
  <c r="E569" i="8" s="1"/>
  <c r="H569" i="8"/>
  <c r="K569" i="8" s="1"/>
  <c r="D673" i="8"/>
  <c r="E673" i="8" s="1"/>
  <c r="D589" i="8"/>
  <c r="E589" i="8" s="1"/>
  <c r="H589" i="8"/>
  <c r="K589" i="8" s="1"/>
  <c r="D342" i="8"/>
  <c r="E342" i="8" s="1"/>
  <c r="H342" i="8"/>
  <c r="K342" i="8" s="1"/>
  <c r="D130" i="8"/>
  <c r="E130" i="8" s="1"/>
  <c r="D648" i="8"/>
  <c r="E648" i="8" s="1"/>
  <c r="H648" i="8"/>
  <c r="K648" i="8" s="1"/>
  <c r="D624" i="8"/>
  <c r="E624" i="8" s="1"/>
  <c r="H624" i="8"/>
  <c r="D209" i="8"/>
  <c r="E209" i="8" s="1"/>
  <c r="H209" i="8"/>
  <c r="K209" i="8" s="1"/>
  <c r="D315" i="8"/>
  <c r="E315" i="8" s="1"/>
  <c r="D288" i="8"/>
  <c r="E288" i="8" s="1"/>
  <c r="H288" i="8"/>
  <c r="K288" i="8" s="1"/>
  <c r="D184" i="8"/>
  <c r="E184" i="8" s="1"/>
  <c r="H184" i="8"/>
  <c r="K184" i="8" s="1"/>
  <c r="D468" i="8"/>
  <c r="E468" i="8" s="1"/>
  <c r="D430" i="8"/>
  <c r="E430" i="8" s="1"/>
  <c r="H430" i="8"/>
  <c r="D408" i="8"/>
  <c r="E408" i="8" s="1"/>
  <c r="H408" i="8"/>
  <c r="K408" i="8" s="1"/>
  <c r="D79" i="8"/>
  <c r="E79" i="8" s="1"/>
  <c r="H79" i="8"/>
  <c r="K79" i="8" s="1"/>
  <c r="D479" i="8"/>
  <c r="E479" i="8" s="1"/>
  <c r="D552" i="8"/>
  <c r="E552" i="8" s="1"/>
  <c r="D512" i="8"/>
  <c r="E512" i="8" s="1"/>
  <c r="H512" i="8"/>
  <c r="K512" i="8" s="1"/>
  <c r="D234" i="8"/>
  <c r="E234" i="8" s="1"/>
  <c r="H234" i="8"/>
  <c r="K234" i="8" s="1"/>
  <c r="D561" i="8"/>
  <c r="E561" i="8" s="1"/>
  <c r="H561" i="8"/>
  <c r="K561" i="8" s="1"/>
  <c r="D31" i="8"/>
  <c r="E31" i="8" s="1"/>
  <c r="H31" i="8"/>
  <c r="K31" i="8" s="1"/>
  <c r="D108" i="8"/>
  <c r="E108" i="8" s="1"/>
  <c r="H108" i="8"/>
  <c r="K108" i="8" s="1"/>
  <c r="D675" i="8"/>
  <c r="E675" i="8" s="1"/>
  <c r="D599" i="8"/>
  <c r="E599" i="8" s="1"/>
  <c r="H599" i="8"/>
  <c r="D637" i="8"/>
  <c r="E637" i="8" s="1"/>
  <c r="D617" i="8"/>
  <c r="E617" i="8" s="1"/>
  <c r="D308" i="8"/>
  <c r="E308" i="8" s="1"/>
  <c r="H308" i="8"/>
  <c r="K308" i="8" s="1"/>
  <c r="D174" i="8"/>
  <c r="E174" i="8" s="1"/>
  <c r="H174" i="8"/>
  <c r="K174" i="8" s="1"/>
  <c r="D442" i="8"/>
  <c r="E442" i="8" s="1"/>
  <c r="D405" i="8"/>
  <c r="E405" i="8" s="1"/>
  <c r="H405" i="8"/>
  <c r="K405" i="8" s="1"/>
  <c r="D80" i="8"/>
  <c r="E80" i="8" s="1"/>
  <c r="H80" i="8"/>
  <c r="K80" i="8" s="1"/>
  <c r="D476" i="8"/>
  <c r="E476" i="8" s="1"/>
  <c r="D115" i="8"/>
  <c r="E115" i="8" s="1"/>
  <c r="H115" i="8"/>
  <c r="D541" i="8"/>
  <c r="E541" i="8" s="1"/>
  <c r="H541" i="8"/>
  <c r="K541" i="8" s="1"/>
  <c r="D517" i="8"/>
  <c r="E517" i="8" s="1"/>
  <c r="H517" i="8"/>
  <c r="K517" i="8" s="1"/>
  <c r="D231" i="8"/>
  <c r="E231" i="8" s="1"/>
  <c r="D55" i="8"/>
  <c r="E55" i="8" s="1"/>
  <c r="H55" i="8"/>
  <c r="K55" i="8" s="1"/>
  <c r="D71" i="8"/>
  <c r="E71" i="8" s="1"/>
  <c r="H71" i="8"/>
  <c r="D572" i="8"/>
  <c r="E572" i="8" s="1"/>
  <c r="H572" i="8"/>
  <c r="K572" i="8" s="1"/>
  <c r="D604" i="8"/>
  <c r="E604" i="8" s="1"/>
  <c r="H604" i="8"/>
  <c r="K604" i="8" s="1"/>
  <c r="D564" i="8"/>
  <c r="E564" i="8" s="1"/>
  <c r="D127" i="8"/>
  <c r="E127" i="8" s="1"/>
  <c r="H127" i="8"/>
  <c r="D38" i="8"/>
  <c r="E38" i="8" s="1"/>
  <c r="H38" i="8"/>
  <c r="K38" i="8" s="1"/>
  <c r="D570" i="8"/>
  <c r="E570" i="8" s="1"/>
  <c r="H570" i="8"/>
  <c r="D674" i="8"/>
  <c r="E674" i="8" s="1"/>
  <c r="H674" i="8"/>
  <c r="K674" i="8" s="1"/>
  <c r="D590" i="8"/>
  <c r="E590" i="8" s="1"/>
  <c r="H590" i="8"/>
  <c r="K590" i="8" s="1"/>
  <c r="D347" i="8"/>
  <c r="E347" i="8" s="1"/>
  <c r="H347" i="8"/>
  <c r="D218" i="8"/>
  <c r="E218" i="8" s="1"/>
  <c r="H218" i="8"/>
  <c r="D428" i="8"/>
  <c r="E428" i="8" s="1"/>
  <c r="D356" i="8"/>
  <c r="E356" i="8" s="1"/>
  <c r="H356" i="8"/>
  <c r="K356" i="8" s="1"/>
  <c r="D122" i="8"/>
  <c r="E122" i="8" s="1"/>
  <c r="H122" i="8"/>
  <c r="K122" i="8" s="1"/>
  <c r="D244" i="8"/>
  <c r="E244" i="8" s="1"/>
  <c r="H244" i="8"/>
  <c r="K244" i="8" s="1"/>
  <c r="D195" i="8"/>
  <c r="E195" i="8" s="1"/>
  <c r="H195" i="8"/>
  <c r="K195" i="8" s="1"/>
  <c r="D511" i="8"/>
  <c r="E511" i="8" s="1"/>
  <c r="D567" i="8"/>
  <c r="E567" i="8" s="1"/>
  <c r="H567" i="8"/>
  <c r="K567" i="8" s="1"/>
  <c r="D593" i="8"/>
  <c r="E593" i="8" s="1"/>
  <c r="H593" i="8"/>
  <c r="K593" i="8" s="1"/>
  <c r="D134" i="8"/>
  <c r="E134" i="8" s="1"/>
  <c r="H134" i="8"/>
  <c r="K134" i="8" s="1"/>
  <c r="D213" i="8"/>
  <c r="E213" i="8" s="1"/>
  <c r="H213" i="8"/>
  <c r="K213" i="8" s="1"/>
  <c r="D292" i="8"/>
  <c r="E292" i="8" s="1"/>
  <c r="H292" i="8"/>
  <c r="D383" i="8"/>
  <c r="E383" i="8" s="1"/>
  <c r="D470" i="8"/>
  <c r="E470" i="8" s="1"/>
  <c r="H470" i="8"/>
  <c r="K470" i="8" s="1"/>
  <c r="D319" i="8"/>
  <c r="E319" i="8" s="1"/>
  <c r="H319" i="8"/>
  <c r="K319" i="8" s="1"/>
  <c r="D66" i="8"/>
  <c r="E66" i="8" s="1"/>
  <c r="H66" i="8"/>
  <c r="D679" i="8"/>
  <c r="E679" i="8" s="1"/>
  <c r="D641" i="8"/>
  <c r="E641" i="8" s="1"/>
  <c r="H641" i="8"/>
  <c r="D206" i="8"/>
  <c r="E206" i="8" s="1"/>
  <c r="H206" i="8"/>
  <c r="K206" i="8" s="1"/>
  <c r="D312" i="8"/>
  <c r="E312" i="8" s="1"/>
  <c r="D178" i="8"/>
  <c r="E178" i="8" s="1"/>
  <c r="H178" i="8"/>
  <c r="D446" i="8"/>
  <c r="E446" i="8" s="1"/>
  <c r="H446" i="8"/>
  <c r="D84" i="8"/>
  <c r="E84" i="8" s="1"/>
  <c r="H84" i="8"/>
  <c r="K84" i="8" s="1"/>
  <c r="D59" i="8"/>
  <c r="E59" i="8" s="1"/>
  <c r="H59" i="8"/>
  <c r="K59" i="8" s="1"/>
  <c r="D170" i="8"/>
  <c r="E170" i="8" s="1"/>
  <c r="D678" i="8"/>
  <c r="E678" i="8" s="1"/>
  <c r="D351" i="8"/>
  <c r="E351" i="8" s="1"/>
  <c r="D556" i="8"/>
  <c r="E556" i="8" s="1"/>
  <c r="H556" i="8"/>
  <c r="K556" i="8" s="1"/>
  <c r="D654" i="8"/>
  <c r="E654" i="8" s="1"/>
  <c r="H654" i="8"/>
  <c r="K654" i="8" s="1"/>
  <c r="D630" i="8"/>
  <c r="E630" i="8" s="1"/>
  <c r="H630" i="8"/>
  <c r="K630" i="8" s="1"/>
  <c r="D211" i="8"/>
  <c r="E211" i="8" s="1"/>
  <c r="H211" i="8"/>
  <c r="K211" i="8" s="1"/>
  <c r="D313" i="8"/>
  <c r="E313" i="8" s="1"/>
  <c r="H313" i="8"/>
  <c r="K313" i="8" s="1"/>
  <c r="D286" i="8"/>
  <c r="E286" i="8" s="1"/>
  <c r="D179" i="8"/>
  <c r="E179" i="8" s="1"/>
  <c r="H179" i="8"/>
  <c r="K179" i="8" s="1"/>
  <c r="D443" i="8"/>
  <c r="E443" i="8" s="1"/>
  <c r="H443" i="8"/>
  <c r="K443" i="8" s="1"/>
  <c r="D420" i="8"/>
  <c r="E420" i="8" s="1"/>
  <c r="H420" i="8"/>
  <c r="D397" i="8"/>
  <c r="E397" i="8" s="1"/>
  <c r="H397" i="8"/>
  <c r="K397" i="8" s="1"/>
  <c r="D371" i="8"/>
  <c r="E371" i="8" s="1"/>
  <c r="H371" i="8"/>
  <c r="K371" i="8" s="1"/>
  <c r="D89" i="8"/>
  <c r="E89" i="8" s="1"/>
  <c r="D485" i="8"/>
  <c r="E485" i="8" s="1"/>
  <c r="H485" i="8"/>
  <c r="K485" i="8" s="1"/>
  <c r="D550" i="8"/>
  <c r="E550" i="8" s="1"/>
  <c r="D526" i="8"/>
  <c r="E526" i="8" s="1"/>
  <c r="H526" i="8"/>
  <c r="K526" i="8" s="1"/>
  <c r="D256" i="8"/>
  <c r="E256" i="8" s="1"/>
  <c r="H256" i="8"/>
  <c r="K256" i="8" s="1"/>
  <c r="D236" i="8"/>
  <c r="E236" i="8" s="1"/>
  <c r="H236" i="8"/>
  <c r="K236" i="8" s="1"/>
  <c r="D663" i="8"/>
  <c r="E663" i="8" s="1"/>
  <c r="D219" i="8"/>
  <c r="E219" i="8" s="1"/>
  <c r="D48" i="8"/>
  <c r="E48" i="8" s="1"/>
  <c r="H48" i="8"/>
  <c r="K48" i="8" s="1"/>
  <c r="D295" i="8"/>
  <c r="E295" i="8" s="1"/>
  <c r="H295" i="8"/>
  <c r="K295" i="8" s="1"/>
  <c r="D187" i="8"/>
  <c r="E187" i="8" s="1"/>
  <c r="D452" i="8"/>
  <c r="E452" i="8" s="1"/>
  <c r="H452" i="8"/>
  <c r="K452" i="8" s="1"/>
  <c r="D429" i="8"/>
  <c r="E429" i="8" s="1"/>
  <c r="H429" i="8"/>
  <c r="K429" i="8" s="1"/>
  <c r="D407" i="8"/>
  <c r="E407" i="8" s="1"/>
  <c r="H407" i="8"/>
  <c r="K407" i="8" s="1"/>
  <c r="D380" i="8"/>
  <c r="E380" i="8" s="1"/>
  <c r="D357" i="8"/>
  <c r="E357" i="8" s="1"/>
  <c r="H357" i="8"/>
  <c r="K357" i="8" s="1"/>
  <c r="D494" i="8"/>
  <c r="E494" i="8" s="1"/>
  <c r="H494" i="8"/>
  <c r="K494" i="8" s="1"/>
  <c r="D93" i="8"/>
  <c r="E93" i="8" s="1"/>
  <c r="H93" i="8"/>
  <c r="K93" i="8" s="1"/>
  <c r="D13" i="8"/>
  <c r="E13" i="8" s="1"/>
  <c r="D265" i="8"/>
  <c r="E265" i="8" s="1"/>
  <c r="D245" i="8"/>
  <c r="E245" i="8" s="1"/>
  <c r="H245" i="8"/>
  <c r="K245" i="8" s="1"/>
  <c r="D559" i="8"/>
  <c r="E559" i="8" s="1"/>
  <c r="H559" i="8"/>
  <c r="K559" i="8" s="1"/>
  <c r="D41" i="8"/>
  <c r="E41" i="8" s="1"/>
  <c r="H41" i="8"/>
  <c r="K41" i="8" s="1"/>
  <c r="D669" i="8"/>
  <c r="E669" i="8" s="1"/>
  <c r="H669" i="8"/>
  <c r="D585" i="8"/>
  <c r="E585" i="8" s="1"/>
  <c r="H585" i="8"/>
  <c r="K585" i="8" s="1"/>
  <c r="D338" i="8"/>
  <c r="E338" i="8" s="1"/>
  <c r="H338" i="8"/>
  <c r="K338" i="8" s="1"/>
  <c r="D644" i="8"/>
  <c r="E644" i="8" s="1"/>
  <c r="D620" i="8"/>
  <c r="E620" i="8" s="1"/>
  <c r="D205" i="8"/>
  <c r="E205" i="8" s="1"/>
  <c r="H205" i="8"/>
  <c r="K205" i="8" s="1"/>
  <c r="D204" i="8"/>
  <c r="E204" i="8" s="1"/>
  <c r="H204" i="8"/>
  <c r="K204" i="8" s="1"/>
  <c r="D311" i="8"/>
  <c r="E311" i="8" s="1"/>
  <c r="H311" i="8"/>
  <c r="K311" i="8" s="1"/>
  <c r="D284" i="8"/>
  <c r="E284" i="8" s="1"/>
  <c r="H284" i="8"/>
  <c r="K284" i="8" s="1"/>
  <c r="D449" i="8"/>
  <c r="E449" i="8" s="1"/>
  <c r="D426" i="8"/>
  <c r="E426" i="8" s="1"/>
  <c r="H426" i="8"/>
  <c r="K426" i="8" s="1"/>
  <c r="D503" i="8"/>
  <c r="E503" i="8" s="1"/>
  <c r="H503" i="8"/>
  <c r="K503" i="8" s="1"/>
  <c r="D475" i="8"/>
  <c r="E475" i="8" s="1"/>
  <c r="H475" i="8"/>
  <c r="K475" i="8" s="1"/>
  <c r="D118" i="8"/>
  <c r="E118" i="8" s="1"/>
  <c r="D508" i="8"/>
  <c r="E508" i="8" s="1"/>
  <c r="H508" i="8"/>
  <c r="K508" i="8" s="1"/>
  <c r="D230" i="8"/>
  <c r="E230" i="8" s="1"/>
  <c r="H230" i="8"/>
  <c r="D557" i="8"/>
  <c r="E557" i="8" s="1"/>
  <c r="D27" i="8"/>
  <c r="E27" i="8" s="1"/>
  <c r="H27" i="8"/>
  <c r="D158" i="8"/>
  <c r="E158" i="8" s="1"/>
  <c r="H158" i="8"/>
  <c r="D575" i="8"/>
  <c r="E575" i="8" s="1"/>
  <c r="H575" i="8"/>
  <c r="K575" i="8" s="1"/>
  <c r="D167" i="8"/>
  <c r="E167" i="8" s="1"/>
  <c r="H167" i="8"/>
  <c r="K167" i="8" s="1"/>
  <c r="D684" i="8"/>
  <c r="E684" i="8" s="1"/>
  <c r="D671" i="8"/>
  <c r="E671" i="8" s="1"/>
  <c r="D595" i="8"/>
  <c r="E595" i="8" s="1"/>
  <c r="H595" i="8"/>
  <c r="K595" i="8" s="1"/>
  <c r="D352" i="8"/>
  <c r="E352" i="8" s="1"/>
  <c r="H352" i="8"/>
  <c r="K352" i="8" s="1"/>
  <c r="D665" i="8"/>
  <c r="E665" i="8" s="1"/>
  <c r="D304" i="8"/>
  <c r="E304" i="8" s="1"/>
  <c r="H304" i="8"/>
  <c r="K304" i="8" s="1"/>
  <c r="D201" i="8"/>
  <c r="E201" i="8" s="1"/>
  <c r="H201" i="8"/>
  <c r="K201" i="8" s="1"/>
  <c r="D279" i="8"/>
  <c r="E279" i="8" s="1"/>
  <c r="D438" i="8"/>
  <c r="E438" i="8" s="1"/>
  <c r="D419" i="8"/>
  <c r="E419" i="8" s="1"/>
  <c r="H419" i="8"/>
  <c r="K419" i="8" s="1"/>
  <c r="D401" i="8"/>
  <c r="E401" i="8" s="1"/>
  <c r="H401" i="8"/>
  <c r="K401" i="8" s="1"/>
  <c r="D381" i="8"/>
  <c r="E381" i="8" s="1"/>
  <c r="D359" i="8"/>
  <c r="E359" i="8" s="1"/>
  <c r="H359" i="8"/>
  <c r="K359" i="8" s="1"/>
  <c r="D23" i="8"/>
  <c r="E23" i="8" s="1"/>
  <c r="H23" i="8"/>
  <c r="K23" i="8" s="1"/>
  <c r="D537" i="8"/>
  <c r="E537" i="8" s="1"/>
  <c r="H537" i="8"/>
  <c r="K537" i="8" s="1"/>
  <c r="D513" i="8"/>
  <c r="E513" i="8" s="1"/>
  <c r="H513" i="8"/>
  <c r="K513" i="8" s="1"/>
  <c r="D227" i="8"/>
  <c r="E227" i="8" s="1"/>
  <c r="D67" i="8"/>
  <c r="E67" i="8" s="1"/>
  <c r="H67" i="8"/>
  <c r="K67" i="8" s="1"/>
  <c r="D151" i="8"/>
  <c r="E151" i="8" s="1"/>
  <c r="H151" i="8"/>
  <c r="K151" i="8" s="1"/>
  <c r="D568" i="8"/>
  <c r="E568" i="8" s="1"/>
  <c r="D680" i="8"/>
  <c r="E680" i="8" s="1"/>
  <c r="D600" i="8"/>
  <c r="E600" i="8" s="1"/>
  <c r="H600" i="8"/>
  <c r="K600" i="8" s="1"/>
  <c r="D353" i="8"/>
  <c r="E353" i="8" s="1"/>
  <c r="H353" i="8"/>
  <c r="D560" i="8"/>
  <c r="E560" i="8" s="1"/>
  <c r="H560" i="8"/>
  <c r="K560" i="8" s="1"/>
  <c r="D61" i="8"/>
  <c r="E61" i="8" s="1"/>
  <c r="H61" i="8"/>
  <c r="D36" i="8"/>
  <c r="E36" i="8" s="1"/>
  <c r="H36" i="8"/>
  <c r="K36" i="8" s="1"/>
  <c r="D155" i="8"/>
  <c r="E155" i="8" s="1"/>
  <c r="D670" i="8"/>
  <c r="E670" i="8" s="1"/>
  <c r="H670" i="8"/>
  <c r="K670" i="8" s="1"/>
  <c r="D586" i="8"/>
  <c r="E586" i="8" s="1"/>
  <c r="D343" i="8"/>
  <c r="E343" i="8" s="1"/>
  <c r="D662" i="8"/>
  <c r="E662" i="8" s="1"/>
  <c r="H662" i="8"/>
  <c r="K662" i="8" s="1"/>
  <c r="D536" i="8"/>
  <c r="E536" i="8" s="1"/>
  <c r="H536" i="8"/>
  <c r="K536" i="8" s="1"/>
  <c r="D136" i="8"/>
  <c r="E136" i="8" s="1"/>
  <c r="H136" i="8"/>
  <c r="K136" i="8" s="1"/>
  <c r="D650" i="8"/>
  <c r="E650" i="8" s="1"/>
  <c r="H650" i="8"/>
  <c r="K650" i="8" s="1"/>
  <c r="D626" i="8"/>
  <c r="E626" i="8" s="1"/>
  <c r="D207" i="8"/>
  <c r="E207" i="8" s="1"/>
  <c r="H207" i="8"/>
  <c r="K207" i="8" s="1"/>
  <c r="D309" i="8"/>
  <c r="E309" i="8" s="1"/>
  <c r="H309" i="8"/>
  <c r="K309" i="8" s="1"/>
  <c r="D175" i="8"/>
  <c r="E175" i="8" s="1"/>
  <c r="H175" i="8"/>
  <c r="K175" i="8" s="1"/>
  <c r="D439" i="8"/>
  <c r="E439" i="8" s="1"/>
  <c r="H439" i="8"/>
  <c r="K439" i="8" s="1"/>
  <c r="D416" i="8"/>
  <c r="E416" i="8" s="1"/>
  <c r="D393" i="8"/>
  <c r="E393" i="8" s="1"/>
  <c r="H393" i="8"/>
  <c r="D368" i="8"/>
  <c r="E368" i="8" s="1"/>
  <c r="H368" i="8"/>
  <c r="K368" i="8" s="1"/>
  <c r="D142" i="8"/>
  <c r="E142" i="8" s="1"/>
  <c r="D85" i="8"/>
  <c r="E85" i="8" s="1"/>
  <c r="D481" i="8"/>
  <c r="E481" i="8" s="1"/>
  <c r="H481" i="8"/>
  <c r="K481" i="8" s="1"/>
  <c r="D546" i="8"/>
  <c r="E546" i="8" s="1"/>
  <c r="H546" i="8"/>
  <c r="K546" i="8" s="1"/>
  <c r="D522" i="8"/>
  <c r="E522" i="8" s="1"/>
  <c r="H522" i="8"/>
  <c r="K522" i="8" s="1"/>
  <c r="D232" i="8"/>
  <c r="E232" i="8" s="1"/>
  <c r="D659" i="8"/>
  <c r="E659" i="8" s="1"/>
  <c r="D635" i="8"/>
  <c r="E635" i="8" s="1"/>
  <c r="H635" i="8"/>
  <c r="K635" i="8" s="1"/>
  <c r="D215" i="8"/>
  <c r="E215" i="8" s="1"/>
  <c r="D44" i="8"/>
  <c r="E44" i="8" s="1"/>
  <c r="H44" i="8"/>
  <c r="D291" i="8"/>
  <c r="E291" i="8" s="1"/>
  <c r="H291" i="8"/>
  <c r="D183" i="8"/>
  <c r="E183" i="8" s="1"/>
  <c r="H183" i="8"/>
  <c r="K183" i="8" s="1"/>
  <c r="D467" i="8"/>
  <c r="E467" i="8" s="1"/>
  <c r="H467" i="8"/>
  <c r="K467" i="8" s="1"/>
  <c r="D448" i="8"/>
  <c r="E448" i="8" s="1"/>
  <c r="H448" i="8"/>
  <c r="K448" i="8" s="1"/>
  <c r="D425" i="8"/>
  <c r="E425" i="8" s="1"/>
  <c r="H425" i="8"/>
  <c r="K425" i="8" s="1"/>
  <c r="D403" i="8"/>
  <c r="E403" i="8" s="1"/>
  <c r="H403" i="8"/>
  <c r="K403" i="8" s="1"/>
  <c r="D376" i="8"/>
  <c r="E376" i="8" s="1"/>
  <c r="H376" i="8"/>
  <c r="K376" i="8" s="1"/>
  <c r="D149" i="8"/>
  <c r="E149" i="8" s="1"/>
  <c r="H149" i="8"/>
  <c r="D490" i="8"/>
  <c r="E490" i="8" s="1"/>
  <c r="D119" i="8"/>
  <c r="E119" i="8" s="1"/>
  <c r="H119" i="8"/>
  <c r="K119" i="8" s="1"/>
  <c r="D555" i="8"/>
  <c r="E555" i="8" s="1"/>
  <c r="H555" i="8"/>
  <c r="K555" i="8" s="1"/>
  <c r="D531" i="8"/>
  <c r="E531" i="8" s="1"/>
  <c r="D261" i="8"/>
  <c r="E261" i="8" s="1"/>
  <c r="H261" i="8"/>
  <c r="K261" i="8" s="1"/>
  <c r="D241" i="8"/>
  <c r="E241" i="8" s="1"/>
  <c r="H241" i="8"/>
  <c r="K241" i="8" s="1"/>
  <c r="D64" i="8"/>
  <c r="E64" i="8" s="1"/>
  <c r="H64" i="8"/>
  <c r="K64" i="8" s="1"/>
  <c r="D76" i="8"/>
  <c r="E76" i="8" s="1"/>
  <c r="H76" i="8"/>
  <c r="K76" i="8" s="1"/>
  <c r="D683" i="8"/>
  <c r="E683" i="8" s="1"/>
  <c r="D613" i="8"/>
  <c r="E613" i="8" s="1"/>
  <c r="H613" i="8"/>
  <c r="D581" i="8"/>
  <c r="E581" i="8" s="1"/>
  <c r="H581" i="8"/>
  <c r="K581" i="8" s="1"/>
  <c r="D334" i="8"/>
  <c r="E334" i="8" s="1"/>
  <c r="D640" i="8"/>
  <c r="E640" i="8" s="1"/>
  <c r="D616" i="8"/>
  <c r="E616" i="8" s="1"/>
  <c r="H616" i="8"/>
  <c r="K616" i="8" s="1"/>
  <c r="D307" i="8"/>
  <c r="E307" i="8" s="1"/>
  <c r="D283" i="8"/>
  <c r="E283" i="8" s="1"/>
  <c r="H283" i="8"/>
  <c r="K283" i="8" s="1"/>
  <c r="D177" i="8"/>
  <c r="E177" i="8" s="1"/>
  <c r="D445" i="8"/>
  <c r="E445" i="8" s="1"/>
  <c r="D422" i="8"/>
  <c r="E422" i="8" s="1"/>
  <c r="H422" i="8"/>
  <c r="K422" i="8" s="1"/>
  <c r="D404" i="8"/>
  <c r="E404" i="8" s="1"/>
  <c r="H404" i="8"/>
  <c r="D358" i="8"/>
  <c r="E358" i="8" s="1"/>
  <c r="H358" i="8"/>
  <c r="D499" i="8"/>
  <c r="E499" i="8" s="1"/>
  <c r="H499" i="8"/>
  <c r="K499" i="8" s="1"/>
  <c r="D102" i="8"/>
  <c r="E102" i="8" s="1"/>
  <c r="D114" i="8"/>
  <c r="E114" i="8" s="1"/>
  <c r="H114" i="8"/>
  <c r="K114" i="8" s="1"/>
  <c r="D548" i="8"/>
  <c r="E548" i="8" s="1"/>
  <c r="H548" i="8"/>
  <c r="K548" i="8" s="1"/>
  <c r="D504" i="8"/>
  <c r="E504" i="8" s="1"/>
  <c r="H504" i="8"/>
  <c r="D254" i="8"/>
  <c r="E254" i="8" s="1"/>
  <c r="D226" i="8"/>
  <c r="E226" i="8" s="1"/>
  <c r="H226" i="8"/>
  <c r="K226" i="8" s="1"/>
  <c r="D62" i="8"/>
  <c r="E62" i="8" s="1"/>
  <c r="D39" i="8"/>
  <c r="E39" i="8" s="1"/>
  <c r="H39" i="8"/>
  <c r="K39" i="8" s="1"/>
  <c r="D104" i="8"/>
  <c r="E104" i="8" s="1"/>
  <c r="D163" i="8"/>
  <c r="E163" i="8" s="1"/>
  <c r="D591" i="8"/>
  <c r="E591" i="8" s="1"/>
  <c r="H591" i="8"/>
  <c r="K591" i="8" s="1"/>
  <c r="D348" i="8"/>
  <c r="E348" i="8" s="1"/>
  <c r="H348" i="8"/>
  <c r="K348" i="8" s="1"/>
  <c r="D661" i="8"/>
  <c r="E661" i="8" s="1"/>
  <c r="H661" i="8"/>
  <c r="K661" i="8" s="1"/>
  <c r="D221" i="8"/>
  <c r="E221" i="8" s="1"/>
  <c r="H221" i="8"/>
  <c r="K221" i="8" s="1"/>
  <c r="D197" i="8"/>
  <c r="E197" i="8" s="1"/>
  <c r="H197" i="8"/>
  <c r="K197" i="8" s="1"/>
  <c r="D275" i="8"/>
  <c r="E275" i="8" s="1"/>
  <c r="H275" i="8"/>
  <c r="D434" i="8"/>
  <c r="E434" i="8" s="1"/>
  <c r="H434" i="8"/>
  <c r="K434" i="8" s="1"/>
  <c r="D378" i="8"/>
  <c r="E378" i="8" s="1"/>
  <c r="H378" i="8"/>
  <c r="K378" i="8" s="1"/>
  <c r="D355" i="8"/>
  <c r="E355" i="8" s="1"/>
  <c r="D500" i="8"/>
  <c r="E500" i="8" s="1"/>
  <c r="H500" i="8"/>
  <c r="K500" i="8" s="1"/>
  <c r="D99" i="8"/>
  <c r="E99" i="8" s="1"/>
  <c r="D19" i="8"/>
  <c r="E19" i="8" s="1"/>
  <c r="D509" i="8"/>
  <c r="E509" i="8" s="1"/>
  <c r="D255" i="8"/>
  <c r="E255" i="8" s="1"/>
  <c r="H255" i="8"/>
  <c r="K255" i="8" s="1"/>
  <c r="D125" i="8"/>
  <c r="E125" i="8" s="1"/>
  <c r="H125" i="8"/>
  <c r="K125" i="8" s="1"/>
  <c r="D324" i="8"/>
  <c r="E324" i="8" s="1"/>
  <c r="H324" i="8"/>
  <c r="K324" i="8" s="1"/>
  <c r="D109" i="8"/>
  <c r="E109" i="8" s="1"/>
  <c r="H109" i="8"/>
  <c r="K109" i="8" s="1"/>
  <c r="D576" i="8"/>
  <c r="E576" i="8" s="1"/>
  <c r="H576" i="8"/>
  <c r="D676" i="8"/>
  <c r="E676" i="8" s="1"/>
  <c r="D596" i="8"/>
  <c r="E596" i="8" s="1"/>
  <c r="H596" i="8"/>
  <c r="D349" i="8"/>
  <c r="E349" i="8" s="1"/>
  <c r="D57" i="8"/>
  <c r="E57" i="8" s="1"/>
  <c r="H57" i="8"/>
  <c r="D73" i="8"/>
  <c r="E73" i="8" s="1"/>
  <c r="H73" i="8"/>
  <c r="K73" i="8" s="1"/>
  <c r="D153" i="8"/>
  <c r="E153" i="8" s="1"/>
  <c r="D614" i="8"/>
  <c r="E614" i="8" s="1"/>
  <c r="H614" i="8"/>
  <c r="K614" i="8" s="1"/>
  <c r="D582" i="8"/>
  <c r="E582" i="8" s="1"/>
  <c r="H582" i="8"/>
  <c r="K582" i="8" s="1"/>
  <c r="D339" i="8"/>
  <c r="E339" i="8" s="1"/>
  <c r="H339" i="8"/>
  <c r="K339" i="8" s="1"/>
  <c r="D186" i="8"/>
  <c r="E186" i="8" s="1"/>
  <c r="D101" i="8"/>
  <c r="E101" i="8" s="1"/>
  <c r="D10" i="8"/>
  <c r="D132" i="8"/>
  <c r="E132" i="8" s="1"/>
  <c r="H132" i="8"/>
  <c r="K132" i="8" s="1"/>
  <c r="D646" i="8"/>
  <c r="E646" i="8" s="1"/>
  <c r="D622" i="8"/>
  <c r="E622" i="8" s="1"/>
  <c r="H622" i="8"/>
  <c r="K622" i="8" s="1"/>
  <c r="D202" i="8"/>
  <c r="E202" i="8" s="1"/>
  <c r="H202" i="8"/>
  <c r="K202" i="8" s="1"/>
  <c r="D305" i="8"/>
  <c r="E305" i="8" s="1"/>
  <c r="H305" i="8"/>
  <c r="K305" i="8" s="1"/>
  <c r="D281" i="8"/>
  <c r="E281" i="8" s="1"/>
  <c r="D280" i="8"/>
  <c r="E280" i="8" s="1"/>
  <c r="H280" i="8"/>
  <c r="K280" i="8" s="1"/>
  <c r="D435" i="8"/>
  <c r="E435" i="8" s="1"/>
  <c r="D389" i="8"/>
  <c r="E389" i="8" s="1"/>
  <c r="H389" i="8"/>
  <c r="K389" i="8" s="1"/>
  <c r="D364" i="8"/>
  <c r="E364" i="8" s="1"/>
  <c r="D472" i="8"/>
  <c r="E472" i="8" s="1"/>
  <c r="H472" i="8"/>
  <c r="K472" i="8" s="1"/>
  <c r="D81" i="8"/>
  <c r="E81" i="8" s="1"/>
  <c r="H81" i="8"/>
  <c r="D477" i="8"/>
  <c r="E477" i="8" s="1"/>
  <c r="H477" i="8"/>
  <c r="K477" i="8" s="1"/>
  <c r="D116" i="8"/>
  <c r="E116" i="8" s="1"/>
  <c r="H116" i="8"/>
  <c r="K116" i="8" s="1"/>
  <c r="D542" i="8"/>
  <c r="E542" i="8" s="1"/>
  <c r="D518" i="8"/>
  <c r="E518" i="8" s="1"/>
  <c r="H518" i="8"/>
  <c r="K518" i="8" s="1"/>
  <c r="D228" i="8"/>
  <c r="E228" i="8" s="1"/>
  <c r="H228" i="8"/>
  <c r="K228" i="8" s="1"/>
  <c r="D655" i="8"/>
  <c r="E655" i="8" s="1"/>
  <c r="H655" i="8"/>
  <c r="K655" i="8" s="1"/>
  <c r="D631" i="8"/>
  <c r="E631" i="8" s="1"/>
  <c r="H631" i="8"/>
  <c r="K631" i="8" s="1"/>
  <c r="D212" i="8"/>
  <c r="E212" i="8" s="1"/>
  <c r="H212" i="8"/>
  <c r="K212" i="8" s="1"/>
  <c r="D314" i="8"/>
  <c r="E314" i="8" s="1"/>
  <c r="H314" i="8"/>
  <c r="K314" i="8" s="1"/>
  <c r="D287" i="8"/>
  <c r="E287" i="8" s="1"/>
  <c r="H287" i="8"/>
  <c r="K287" i="8" s="1"/>
  <c r="D180" i="8"/>
  <c r="E180" i="8" s="1"/>
  <c r="D444" i="8"/>
  <c r="E444" i="8" s="1"/>
  <c r="H444" i="8"/>
  <c r="D421" i="8"/>
  <c r="E421" i="8" s="1"/>
  <c r="H421" i="8"/>
  <c r="K421" i="8" s="1"/>
  <c r="D398" i="8"/>
  <c r="E398" i="8" s="1"/>
  <c r="H398" i="8"/>
  <c r="D372" i="8"/>
  <c r="E372" i="8" s="1"/>
  <c r="H372" i="8"/>
  <c r="D145" i="8"/>
  <c r="E145" i="8" s="1"/>
  <c r="H145" i="8"/>
  <c r="K145" i="8" s="1"/>
  <c r="D90" i="8"/>
  <c r="E90" i="8" s="1"/>
  <c r="H90" i="8"/>
  <c r="K90" i="8" s="1"/>
  <c r="D486" i="8"/>
  <c r="E486" i="8" s="1"/>
  <c r="D551" i="8"/>
  <c r="E551" i="8" s="1"/>
  <c r="D527" i="8"/>
  <c r="E527" i="8" s="1"/>
  <c r="D257" i="8"/>
  <c r="E257" i="8" s="1"/>
  <c r="H257" i="8"/>
  <c r="K257" i="8" s="1"/>
  <c r="D237" i="8"/>
  <c r="E237" i="8" s="1"/>
  <c r="H237" i="8"/>
  <c r="K237" i="8" s="1"/>
  <c r="D60" i="8"/>
  <c r="E60" i="8" s="1"/>
  <c r="D35" i="8"/>
  <c r="E35" i="8" s="1"/>
  <c r="H35" i="8"/>
  <c r="D72" i="8"/>
  <c r="E72" i="8" s="1"/>
  <c r="H72" i="8"/>
  <c r="K72" i="8" s="1"/>
  <c r="D152" i="8"/>
  <c r="E152" i="8" s="1"/>
  <c r="D165" i="8"/>
  <c r="E165" i="8" s="1"/>
  <c r="D609" i="8"/>
  <c r="E609" i="8" s="1"/>
  <c r="H609" i="8"/>
  <c r="D577" i="8"/>
  <c r="E577" i="8" s="1"/>
  <c r="H577" i="8"/>
  <c r="K577" i="8" s="1"/>
  <c r="D664" i="8"/>
  <c r="E664" i="8" s="1"/>
  <c r="D636" i="8"/>
  <c r="E636" i="8" s="1"/>
  <c r="H636" i="8"/>
  <c r="D224" i="8"/>
  <c r="E224" i="8" s="1"/>
  <c r="H224" i="8"/>
  <c r="K224" i="8" s="1"/>
  <c r="D303" i="8"/>
  <c r="E303" i="8" s="1"/>
  <c r="H303" i="8"/>
  <c r="K303" i="8" s="1"/>
  <c r="D200" i="8"/>
  <c r="E200" i="8" s="1"/>
  <c r="H200" i="8"/>
  <c r="K200" i="8" s="1"/>
  <c r="D173" i="8"/>
  <c r="E173" i="8" s="1"/>
  <c r="H173" i="8"/>
  <c r="K173" i="8" s="1"/>
  <c r="D441" i="8"/>
  <c r="E441" i="8" s="1"/>
  <c r="D418" i="8"/>
  <c r="E418" i="8" s="1"/>
  <c r="H418" i="8"/>
  <c r="K418" i="8" s="1"/>
  <c r="D400" i="8"/>
  <c r="E400" i="8" s="1"/>
  <c r="D399" i="8"/>
  <c r="E399" i="8" s="1"/>
  <c r="H399" i="8"/>
  <c r="K399" i="8" s="1"/>
  <c r="D377" i="8"/>
  <c r="E377" i="8" s="1"/>
  <c r="H377" i="8"/>
  <c r="K377" i="8" s="1"/>
  <c r="D354" i="8"/>
  <c r="E354" i="8" s="1"/>
  <c r="H354" i="8"/>
  <c r="K354" i="8" s="1"/>
  <c r="D495" i="8"/>
  <c r="E495" i="8" s="1"/>
  <c r="H495" i="8"/>
  <c r="K495" i="8" s="1"/>
  <c r="D22" i="8"/>
  <c r="E22" i="8" s="1"/>
  <c r="H22" i="8"/>
  <c r="K22" i="8" s="1"/>
  <c r="D532" i="8"/>
  <c r="E532" i="8" s="1"/>
  <c r="D250" i="8"/>
  <c r="E250" i="8" s="1"/>
  <c r="D58" i="8"/>
  <c r="E58" i="8" s="1"/>
  <c r="H58" i="8"/>
  <c r="K58" i="8" s="1"/>
  <c r="D615" i="8"/>
  <c r="E615" i="8" s="1"/>
  <c r="D344" i="8"/>
  <c r="E344" i="8" s="1"/>
  <c r="H344" i="8"/>
  <c r="K344" i="8" s="1"/>
  <c r="D657" i="8"/>
  <c r="E657" i="8" s="1"/>
  <c r="H657" i="8"/>
  <c r="K657" i="8" s="1"/>
  <c r="D633" i="8"/>
  <c r="E633" i="8" s="1"/>
  <c r="H633" i="8"/>
  <c r="K633" i="8" s="1"/>
  <c r="D217" i="8"/>
  <c r="E217" i="8" s="1"/>
  <c r="H217" i="8"/>
  <c r="K217" i="8" s="1"/>
  <c r="D193" i="8"/>
  <c r="E193" i="8" s="1"/>
  <c r="H193" i="8"/>
  <c r="D271" i="8"/>
  <c r="E271" i="8" s="1"/>
  <c r="H271" i="8"/>
  <c r="K271" i="8" s="1"/>
  <c r="D462" i="8"/>
  <c r="E462" i="8" s="1"/>
  <c r="D374" i="8"/>
  <c r="E374" i="8" s="1"/>
  <c r="D147" i="8"/>
  <c r="E147" i="8" s="1"/>
  <c r="H147" i="8"/>
  <c r="K147" i="8" s="1"/>
  <c r="D496" i="8"/>
  <c r="E496" i="8" s="1"/>
  <c r="H496" i="8"/>
  <c r="K496" i="8" s="1"/>
  <c r="D95" i="8"/>
  <c r="E95" i="8" s="1"/>
  <c r="D15" i="8"/>
  <c r="E15" i="8" s="1"/>
  <c r="F15" i="8"/>
  <c r="D505" i="8"/>
  <c r="E505" i="8" s="1"/>
  <c r="D251" i="8"/>
  <c r="E251" i="8" s="1"/>
  <c r="D566" i="8"/>
  <c r="E566" i="8" s="1"/>
  <c r="H566" i="8"/>
  <c r="K566" i="8" s="1"/>
  <c r="D320" i="8"/>
  <c r="E320" i="8" s="1"/>
  <c r="H320" i="8"/>
  <c r="K320" i="8" s="1"/>
  <c r="D32" i="8"/>
  <c r="E32" i="8" s="1"/>
  <c r="H32" i="8"/>
  <c r="D159" i="8"/>
  <c r="E159" i="8" s="1"/>
  <c r="H159" i="8"/>
  <c r="D105" i="8"/>
  <c r="E105" i="8" s="1"/>
  <c r="H105" i="8"/>
  <c r="D682" i="8"/>
  <c r="E682" i="8" s="1"/>
  <c r="H682" i="8"/>
  <c r="K682" i="8" s="1"/>
  <c r="D672" i="8"/>
  <c r="E672" i="8" s="1"/>
  <c r="H672" i="8"/>
  <c r="K672" i="8" s="1"/>
  <c r="D592" i="8"/>
  <c r="E592" i="8" s="1"/>
  <c r="H592" i="8"/>
  <c r="K592" i="8" s="1"/>
  <c r="D345" i="8"/>
  <c r="E345" i="8" s="1"/>
  <c r="H345" i="8"/>
  <c r="D53" i="8"/>
  <c r="E53" i="8" s="1"/>
  <c r="H53" i="8"/>
  <c r="K53" i="8" s="1"/>
  <c r="D69" i="8"/>
  <c r="E69" i="8" s="1"/>
  <c r="H69" i="8"/>
  <c r="K69" i="8" s="1"/>
  <c r="D111" i="8"/>
  <c r="E111" i="8" s="1"/>
  <c r="H111" i="8"/>
  <c r="K111" i="8" s="1"/>
  <c r="D166" i="8"/>
  <c r="E166" i="8" s="1"/>
  <c r="H166" i="8"/>
  <c r="K166" i="8" s="1"/>
  <c r="D610" i="8"/>
  <c r="E610" i="8" s="1"/>
  <c r="H610" i="8"/>
  <c r="K610" i="8" s="1"/>
  <c r="D335" i="8"/>
  <c r="E335" i="8" s="1"/>
  <c r="D502" i="8"/>
  <c r="E502" i="8" s="1"/>
  <c r="H502" i="8"/>
  <c r="K502" i="8" s="1"/>
  <c r="D516" i="8"/>
  <c r="E516" i="8" s="1"/>
  <c r="H516" i="8"/>
  <c r="D642" i="8"/>
  <c r="E642" i="8" s="1"/>
  <c r="D618" i="8"/>
  <c r="E618" i="8" s="1"/>
  <c r="H618" i="8"/>
  <c r="D301" i="8"/>
  <c r="E301" i="8" s="1"/>
  <c r="H301" i="8"/>
  <c r="D198" i="8"/>
  <c r="E198" i="8" s="1"/>
  <c r="D276" i="8"/>
  <c r="E276" i="8" s="1"/>
  <c r="H276" i="8"/>
  <c r="D463" i="8"/>
  <c r="E463" i="8" s="1"/>
  <c r="D385" i="8"/>
  <c r="E385" i="8" s="1"/>
  <c r="H385" i="8"/>
  <c r="K385" i="8" s="1"/>
  <c r="D473" i="8"/>
  <c r="E473" i="8" s="1"/>
  <c r="H473" i="8"/>
  <c r="K473" i="8" s="1"/>
  <c r="D112" i="8"/>
  <c r="E112" i="8" s="1"/>
  <c r="D538" i="8"/>
  <c r="E538" i="8" s="1"/>
  <c r="H538" i="8"/>
  <c r="K538" i="8" s="1"/>
  <c r="D514" i="8"/>
  <c r="E514" i="8" s="1"/>
  <c r="H514" i="8"/>
  <c r="K514" i="8" s="1"/>
  <c r="D137" i="8"/>
  <c r="E137" i="8" s="1"/>
  <c r="H137" i="8"/>
  <c r="D651" i="8"/>
  <c r="E651" i="8" s="1"/>
  <c r="H651" i="8"/>
  <c r="D627" i="8"/>
  <c r="E627" i="8" s="1"/>
  <c r="H627" i="8"/>
  <c r="K627" i="8" s="1"/>
  <c r="D208" i="8"/>
  <c r="E208" i="8" s="1"/>
  <c r="H208" i="8"/>
  <c r="K208" i="8" s="1"/>
  <c r="D310" i="8"/>
  <c r="E310" i="8" s="1"/>
  <c r="H310" i="8"/>
  <c r="D176" i="8"/>
  <c r="E176" i="8" s="1"/>
  <c r="D440" i="8"/>
  <c r="E440" i="8" s="1"/>
  <c r="H440" i="8"/>
  <c r="K440" i="8" s="1"/>
  <c r="D417" i="8"/>
  <c r="E417" i="8" s="1"/>
  <c r="H417" i="8"/>
  <c r="K417" i="8" s="1"/>
  <c r="D394" i="8"/>
  <c r="E394" i="8" s="1"/>
  <c r="H394" i="8"/>
  <c r="D369" i="8"/>
  <c r="E369" i="8" s="1"/>
  <c r="H369" i="8"/>
  <c r="K369" i="8" s="1"/>
  <c r="D143" i="8"/>
  <c r="E143" i="8" s="1"/>
  <c r="D86" i="8"/>
  <c r="E86" i="8" s="1"/>
  <c r="H86" i="8"/>
  <c r="K86" i="8" s="1"/>
  <c r="D482" i="8"/>
  <c r="E482" i="8" s="1"/>
  <c r="H482" i="8"/>
  <c r="K482" i="8" s="1"/>
  <c r="D547" i="8"/>
  <c r="E547" i="8" s="1"/>
  <c r="H547" i="8"/>
  <c r="K547" i="8" s="1"/>
  <c r="D523" i="8"/>
  <c r="E523" i="8" s="1"/>
  <c r="D233" i="8"/>
  <c r="E233" i="8" s="1"/>
  <c r="H233" i="8"/>
  <c r="K233" i="8" s="1"/>
  <c r="D56" i="8"/>
  <c r="E56" i="8" s="1"/>
  <c r="H56" i="8"/>
  <c r="K56" i="8" s="1"/>
  <c r="D68" i="8"/>
  <c r="E68" i="8" s="1"/>
  <c r="H68" i="8"/>
  <c r="K68" i="8" s="1"/>
  <c r="D110" i="8"/>
  <c r="E110" i="8" s="1"/>
  <c r="H110" i="8"/>
  <c r="K110" i="8" s="1"/>
  <c r="D573" i="8"/>
  <c r="E573" i="8" s="1"/>
  <c r="H573" i="8"/>
  <c r="K573" i="8" s="1"/>
  <c r="D161" i="8"/>
  <c r="E161" i="8" s="1"/>
  <c r="D605" i="8"/>
  <c r="E605" i="8" s="1"/>
  <c r="H605" i="8"/>
  <c r="K605" i="8" s="1"/>
  <c r="D330" i="8"/>
  <c r="E330" i="8" s="1"/>
  <c r="D220" i="8"/>
  <c r="E220" i="8" s="1"/>
  <c r="H220" i="8"/>
  <c r="K220" i="8" s="1"/>
  <c r="D78" i="8"/>
  <c r="E78" i="8" s="1"/>
  <c r="D196" i="8"/>
  <c r="E196" i="8" s="1"/>
  <c r="D278" i="8"/>
  <c r="E278" i="8" s="1"/>
  <c r="D465" i="8"/>
  <c r="E465" i="8" s="1"/>
  <c r="H465" i="8"/>
  <c r="K465" i="8" s="1"/>
  <c r="D437" i="8"/>
  <c r="E437" i="8" s="1"/>
  <c r="H437" i="8"/>
  <c r="K437" i="8" s="1"/>
  <c r="D395" i="8"/>
  <c r="E395" i="8" s="1"/>
  <c r="H395" i="8"/>
  <c r="D373" i="8"/>
  <c r="E373" i="8" s="1"/>
  <c r="H373" i="8"/>
  <c r="K373" i="8" s="1"/>
  <c r="D146" i="8"/>
  <c r="E146" i="8" s="1"/>
  <c r="H146" i="8"/>
  <c r="K146" i="8" s="1"/>
  <c r="D491" i="8"/>
  <c r="E491" i="8" s="1"/>
  <c r="D98" i="8"/>
  <c r="E98" i="8" s="1"/>
  <c r="D18" i="8"/>
  <c r="E18" i="8" s="1"/>
  <c r="H18" i="8"/>
  <c r="K18" i="8" s="1"/>
  <c r="D544" i="8"/>
  <c r="E544" i="8" s="1"/>
  <c r="H544" i="8"/>
  <c r="K544" i="8" s="1"/>
  <c r="D528" i="8"/>
  <c r="E528" i="8" s="1"/>
  <c r="H528" i="8"/>
  <c r="K528" i="8" s="1"/>
  <c r="D262" i="8"/>
  <c r="E262" i="8" s="1"/>
  <c r="D128" i="8"/>
  <c r="E128" i="8" s="1"/>
  <c r="H128" i="8"/>
  <c r="K128" i="8" s="1"/>
  <c r="D54" i="8"/>
  <c r="E54" i="8" s="1"/>
  <c r="H54" i="8"/>
  <c r="K54" i="8" s="1"/>
  <c r="D171" i="8"/>
  <c r="E171" i="8" s="1"/>
  <c r="H171" i="8"/>
  <c r="K171" i="8" s="1"/>
  <c r="D611" i="8"/>
  <c r="E611" i="8" s="1"/>
  <c r="D587" i="8"/>
  <c r="E587" i="8" s="1"/>
  <c r="H587" i="8"/>
  <c r="K587" i="8" s="1"/>
  <c r="D340" i="8"/>
  <c r="E340" i="8" s="1"/>
  <c r="H340" i="8"/>
  <c r="K340" i="8" s="1"/>
  <c r="D653" i="8"/>
  <c r="E653" i="8" s="1"/>
  <c r="H653" i="8"/>
  <c r="K653" i="8" s="1"/>
  <c r="D629" i="8"/>
  <c r="E629" i="8" s="1"/>
  <c r="D50" i="8"/>
  <c r="E50" i="8" s="1"/>
  <c r="H50" i="8"/>
  <c r="K50" i="8" s="1"/>
  <c r="D297" i="8"/>
  <c r="E297" i="8" s="1"/>
  <c r="H297" i="8"/>
  <c r="K297" i="8" s="1"/>
  <c r="D189" i="8"/>
  <c r="E189" i="8" s="1"/>
  <c r="H189" i="8"/>
  <c r="K189" i="8" s="1"/>
  <c r="D267" i="8"/>
  <c r="E267" i="8" s="1"/>
  <c r="H267" i="8"/>
  <c r="K267" i="8" s="1"/>
  <c r="D458" i="8"/>
  <c r="E458" i="8" s="1"/>
  <c r="D396" i="8"/>
  <c r="E396" i="8" s="1"/>
  <c r="H396" i="8"/>
  <c r="K396" i="8" s="1"/>
  <c r="D492" i="8"/>
  <c r="E492" i="8" s="1"/>
  <c r="D121" i="8"/>
  <c r="E121" i="8" s="1"/>
  <c r="D11" i="8"/>
  <c r="E11" i="8" s="1"/>
  <c r="H11" i="8"/>
  <c r="K11" i="8" s="1"/>
  <c r="D533" i="8"/>
  <c r="E533" i="8" s="1"/>
  <c r="H533" i="8"/>
  <c r="K533" i="8" s="1"/>
  <c r="D263" i="8"/>
  <c r="E263" i="8" s="1"/>
  <c r="H263" i="8"/>
  <c r="K263" i="8" s="1"/>
  <c r="D247" i="8"/>
  <c r="E247" i="8" s="1"/>
  <c r="H247" i="8"/>
  <c r="K247" i="8" s="1"/>
  <c r="D562" i="8"/>
  <c r="E562" i="8" s="1"/>
  <c r="H562" i="8"/>
  <c r="K562" i="8" s="1"/>
  <c r="D316" i="8"/>
  <c r="E316" i="8" s="1"/>
  <c r="H316" i="8"/>
  <c r="K316" i="8" s="1"/>
  <c r="D28" i="8"/>
  <c r="E28" i="8" s="1"/>
  <c r="H28" i="8"/>
  <c r="K28" i="8" s="1"/>
  <c r="D164" i="8"/>
  <c r="E164" i="8" s="1"/>
  <c r="H164" i="8"/>
  <c r="K164" i="8" s="1"/>
  <c r="D588" i="8"/>
  <c r="E588" i="8" s="1"/>
  <c r="D341" i="8"/>
  <c r="E341" i="8" s="1"/>
  <c r="H341" i="8"/>
  <c r="K341" i="8" s="1"/>
  <c r="D326" i="8"/>
  <c r="E326" i="8" s="1"/>
  <c r="H326" i="8"/>
  <c r="D160" i="8"/>
  <c r="E160" i="8" s="1"/>
  <c r="D107" i="8"/>
  <c r="E107" i="8" s="1"/>
  <c r="H107" i="8"/>
  <c r="K107" i="8" s="1"/>
  <c r="D574" i="8"/>
  <c r="E574" i="8" s="1"/>
  <c r="H574" i="8"/>
  <c r="D162" i="8"/>
  <c r="E162" i="8" s="1"/>
  <c r="H162" i="8"/>
  <c r="K162" i="8" s="1"/>
  <c r="D606" i="8"/>
  <c r="E606" i="8" s="1"/>
  <c r="H606" i="8"/>
  <c r="K606" i="8" s="1"/>
  <c r="D578" i="8"/>
  <c r="E578" i="8" s="1"/>
  <c r="D331" i="8"/>
  <c r="E331" i="8" s="1"/>
  <c r="H331" i="8"/>
  <c r="K331" i="8" s="1"/>
  <c r="D406" i="8"/>
  <c r="E406" i="8" s="1"/>
  <c r="H406" i="8"/>
  <c r="K406" i="8" s="1"/>
  <c r="D12" i="8"/>
  <c r="E12" i="8" s="1"/>
  <c r="D264" i="8"/>
  <c r="E264" i="8" s="1"/>
  <c r="H264" i="8"/>
  <c r="K264" i="8" s="1"/>
  <c r="D639" i="8"/>
  <c r="E639" i="8" s="1"/>
  <c r="D273" i="8"/>
  <c r="E273" i="8" s="1"/>
  <c r="D415" i="8"/>
  <c r="E415" i="8" s="1"/>
  <c r="H415" i="8"/>
  <c r="K415" i="8" s="1"/>
  <c r="D21" i="8"/>
  <c r="E21" i="8" s="1"/>
  <c r="D253" i="8"/>
  <c r="E253" i="8" s="1"/>
  <c r="H253" i="8"/>
  <c r="K253" i="8" s="1"/>
  <c r="D321" i="8"/>
  <c r="E321" i="8" s="1"/>
  <c r="D346" i="8"/>
  <c r="E346" i="8" s="1"/>
  <c r="H346" i="8"/>
  <c r="K346" i="8" s="1"/>
  <c r="D652" i="8"/>
  <c r="E652" i="8" s="1"/>
  <c r="D453" i="8"/>
  <c r="E453" i="8" s="1"/>
  <c r="D483" i="8"/>
  <c r="E483" i="8" s="1"/>
  <c r="D409" i="8"/>
  <c r="E409" i="8" s="1"/>
  <c r="H409" i="8"/>
  <c r="K409" i="8" s="1"/>
  <c r="D545" i="8"/>
  <c r="E545" i="8" s="1"/>
  <c r="H545" i="8"/>
  <c r="D235" i="8"/>
  <c r="E235" i="8" s="1"/>
  <c r="H235" i="8"/>
  <c r="K235" i="8" s="1"/>
  <c r="D34" i="8"/>
  <c r="E34" i="8" s="1"/>
  <c r="H34" i="8"/>
  <c r="K34" i="8" s="1"/>
  <c r="D608" i="8"/>
  <c r="E608" i="8" s="1"/>
  <c r="D77" i="8"/>
  <c r="E77" i="8" s="1"/>
  <c r="D594" i="8"/>
  <c r="E594" i="8" s="1"/>
  <c r="H594" i="8"/>
  <c r="K594" i="8" s="1"/>
  <c r="D638" i="8"/>
  <c r="E638" i="8" s="1"/>
  <c r="H638" i="8"/>
  <c r="K638" i="8" s="1"/>
  <c r="D194" i="8"/>
  <c r="E194" i="8" s="1"/>
  <c r="D272" i="8"/>
  <c r="E272" i="8" s="1"/>
  <c r="H272" i="8"/>
  <c r="D459" i="8"/>
  <c r="E459" i="8" s="1"/>
  <c r="H459" i="8"/>
  <c r="K459" i="8" s="1"/>
  <c r="D414" i="8"/>
  <c r="E414" i="8" s="1"/>
  <c r="H414" i="8"/>
  <c r="D501" i="8"/>
  <c r="E501" i="8" s="1"/>
  <c r="D100" i="8"/>
  <c r="E100" i="8" s="1"/>
  <c r="D20" i="8"/>
  <c r="E20" i="8" s="1"/>
  <c r="H20" i="8"/>
  <c r="K20" i="8" s="1"/>
  <c r="D534" i="8"/>
  <c r="E534" i="8" s="1"/>
  <c r="H534" i="8"/>
  <c r="D510" i="8"/>
  <c r="E510" i="8" s="1"/>
  <c r="H510" i="8"/>
  <c r="D252" i="8"/>
  <c r="E252" i="8" s="1"/>
  <c r="D133" i="8"/>
  <c r="E133" i="8" s="1"/>
  <c r="H133" i="8"/>
  <c r="K133" i="8" s="1"/>
  <c r="D647" i="8"/>
  <c r="E647" i="8" s="1"/>
  <c r="H647" i="8"/>
  <c r="K647" i="8" s="1"/>
  <c r="D623" i="8"/>
  <c r="E623" i="8" s="1"/>
  <c r="D203" i="8"/>
  <c r="E203" i="8" s="1"/>
  <c r="H203" i="8"/>
  <c r="K203" i="8" s="1"/>
  <c r="D306" i="8"/>
  <c r="E306" i="8" s="1"/>
  <c r="H306" i="8"/>
  <c r="D282" i="8"/>
  <c r="E282" i="8" s="1"/>
  <c r="H282" i="8"/>
  <c r="K282" i="8" s="1"/>
  <c r="D172" i="8"/>
  <c r="E172" i="8" s="1"/>
  <c r="D436" i="8"/>
  <c r="E436" i="8" s="1"/>
  <c r="D390" i="8"/>
  <c r="E390" i="8" s="1"/>
  <c r="H390" i="8"/>
  <c r="K390" i="8" s="1"/>
  <c r="D365" i="8"/>
  <c r="E365" i="8" s="1"/>
  <c r="H365" i="8"/>
  <c r="K365" i="8" s="1"/>
  <c r="D139" i="8"/>
  <c r="E139" i="8" s="1"/>
  <c r="H139" i="8"/>
  <c r="K139" i="8" s="1"/>
  <c r="D82" i="8"/>
  <c r="E82" i="8" s="1"/>
  <c r="D478" i="8"/>
  <c r="E478" i="8" s="1"/>
  <c r="H478" i="8"/>
  <c r="K478" i="8" s="1"/>
  <c r="D117" i="8"/>
  <c r="E117" i="8" s="1"/>
  <c r="H117" i="8"/>
  <c r="K117" i="8" s="1"/>
  <c r="D543" i="8"/>
  <c r="E543" i="8" s="1"/>
  <c r="H543" i="8"/>
  <c r="K543" i="8" s="1"/>
  <c r="D519" i="8"/>
  <c r="E519" i="8" s="1"/>
  <c r="H519" i="8"/>
  <c r="K519" i="8" s="1"/>
  <c r="D229" i="8"/>
  <c r="E229" i="8" s="1"/>
  <c r="H229" i="8"/>
  <c r="K229" i="8" s="1"/>
  <c r="D106" i="8"/>
  <c r="E106" i="8" s="1"/>
  <c r="H106" i="8"/>
  <c r="D601" i="8"/>
  <c r="E601" i="8" s="1"/>
  <c r="H601" i="8"/>
  <c r="K601" i="8" s="1"/>
  <c r="D660" i="8"/>
  <c r="E660" i="8" s="1"/>
  <c r="D49" i="8"/>
  <c r="E49" i="8" s="1"/>
  <c r="H49" i="8"/>
  <c r="K49" i="8" s="1"/>
  <c r="D300" i="8"/>
  <c r="E300" i="8" s="1"/>
  <c r="H300" i="8"/>
  <c r="K300" i="8" s="1"/>
  <c r="D192" i="8"/>
  <c r="E192" i="8" s="1"/>
  <c r="D274" i="8"/>
  <c r="E274" i="8" s="1"/>
  <c r="H274" i="8"/>
  <c r="K274" i="8" s="1"/>
  <c r="D461" i="8"/>
  <c r="E461" i="8" s="1"/>
  <c r="H461" i="8"/>
  <c r="K461" i="8" s="1"/>
  <c r="D391" i="8"/>
  <c r="E391" i="8" s="1"/>
  <c r="H391" i="8"/>
  <c r="K391" i="8" s="1"/>
  <c r="D370" i="8"/>
  <c r="E370" i="8" s="1"/>
  <c r="H370" i="8"/>
  <c r="D144" i="8"/>
  <c r="E144" i="8" s="1"/>
  <c r="D91" i="8"/>
  <c r="E91" i="8" s="1"/>
  <c r="H91" i="8"/>
  <c r="K91" i="8" s="1"/>
  <c r="D487" i="8"/>
  <c r="E487" i="8" s="1"/>
  <c r="H487" i="8"/>
  <c r="K487" i="8" s="1"/>
  <c r="D94" i="8"/>
  <c r="E94" i="8" s="1"/>
  <c r="D524" i="8"/>
  <c r="E524" i="8" s="1"/>
  <c r="H524" i="8"/>
  <c r="K524" i="8" s="1"/>
  <c r="D258" i="8"/>
  <c r="E258" i="8" s="1"/>
  <c r="H258" i="8"/>
  <c r="D246" i="8"/>
  <c r="E246" i="8" s="1"/>
  <c r="H246" i="8"/>
  <c r="K246" i="8" s="1"/>
  <c r="D124" i="8"/>
  <c r="E124" i="8" s="1"/>
  <c r="H124" i="8"/>
  <c r="D327" i="8"/>
  <c r="E327" i="8" s="1"/>
  <c r="H327" i="8"/>
  <c r="K327" i="8" s="1"/>
  <c r="D74" i="8"/>
  <c r="E74" i="8" s="1"/>
  <c r="H74" i="8"/>
  <c r="K74" i="8" s="1"/>
  <c r="D156" i="8"/>
  <c r="E156" i="8" s="1"/>
  <c r="H156" i="8"/>
  <c r="K156" i="8" s="1"/>
  <c r="D607" i="8"/>
  <c r="E607" i="8" s="1"/>
  <c r="H607" i="8"/>
  <c r="K607" i="8" s="1"/>
  <c r="D583" i="8"/>
  <c r="E583" i="8" s="1"/>
  <c r="H583" i="8"/>
  <c r="D135" i="8"/>
  <c r="E135" i="8" s="1"/>
  <c r="H135" i="8"/>
  <c r="K135" i="8" s="1"/>
  <c r="D649" i="8"/>
  <c r="E649" i="8" s="1"/>
  <c r="H649" i="8"/>
  <c r="K649" i="8" s="1"/>
  <c r="D625" i="8"/>
  <c r="E625" i="8" s="1"/>
  <c r="H625" i="8"/>
  <c r="K625" i="8" s="1"/>
  <c r="D46" i="8"/>
  <c r="E46" i="8" s="1"/>
  <c r="D293" i="8"/>
  <c r="E293" i="8" s="1"/>
  <c r="H293" i="8"/>
  <c r="K293" i="8" s="1"/>
  <c r="D185" i="8"/>
  <c r="E185" i="8" s="1"/>
  <c r="H185" i="8"/>
  <c r="K185" i="8" s="1"/>
  <c r="D469" i="8"/>
  <c r="E469" i="8" s="1"/>
  <c r="D454" i="8"/>
  <c r="E454" i="8" s="1"/>
  <c r="D431" i="8"/>
  <c r="E431" i="8" s="1"/>
  <c r="H431" i="8"/>
  <c r="K431" i="8" s="1"/>
  <c r="D392" i="8"/>
  <c r="E392" i="8" s="1"/>
  <c r="H392" i="8"/>
  <c r="K392" i="8" s="1"/>
  <c r="D367" i="8"/>
  <c r="E367" i="8" s="1"/>
  <c r="D141" i="8"/>
  <c r="E141" i="8" s="1"/>
  <c r="H141" i="8"/>
  <c r="K141" i="8" s="1"/>
  <c r="D488" i="8"/>
  <c r="E488" i="8" s="1"/>
  <c r="D553" i="8"/>
  <c r="E553" i="8" s="1"/>
  <c r="H553" i="8"/>
  <c r="K553" i="8" s="1"/>
  <c r="D529" i="8"/>
  <c r="E529" i="8" s="1"/>
  <c r="H529" i="8"/>
  <c r="D259" i="8"/>
  <c r="E259" i="8" s="1"/>
  <c r="H259" i="8"/>
  <c r="K259" i="8" s="1"/>
  <c r="D243" i="8"/>
  <c r="E243" i="8" s="1"/>
  <c r="D558" i="8"/>
  <c r="E558" i="8" s="1"/>
  <c r="H558" i="8"/>
  <c r="K558" i="8" s="1"/>
  <c r="D40" i="8"/>
  <c r="E40" i="8" s="1"/>
  <c r="D24" i="8"/>
  <c r="E24" i="8" s="1"/>
  <c r="H24" i="8"/>
  <c r="K24" i="8" s="1"/>
  <c r="D668" i="8"/>
  <c r="E668" i="8" s="1"/>
  <c r="H668" i="8"/>
  <c r="K668" i="8" s="1"/>
  <c r="D584" i="8"/>
  <c r="E584" i="8" s="1"/>
  <c r="H584" i="8"/>
  <c r="K584" i="8" s="1"/>
  <c r="D337" i="8"/>
  <c r="E337" i="8" s="1"/>
  <c r="D322" i="8"/>
  <c r="E322" i="8" s="1"/>
  <c r="H322" i="8"/>
  <c r="K322" i="8" s="1"/>
  <c r="D30" i="8"/>
  <c r="E30" i="8" s="1"/>
  <c r="H30" i="8"/>
  <c r="K30" i="8" s="1"/>
  <c r="D103" i="8"/>
  <c r="E103" i="8" s="1"/>
  <c r="D602" i="8"/>
  <c r="E602" i="8" s="1"/>
  <c r="H602" i="8"/>
  <c r="K602" i="8" s="1"/>
  <c r="D47" i="8"/>
  <c r="E47" i="8" s="1"/>
  <c r="H47" i="8"/>
  <c r="K47" i="8" s="1"/>
  <c r="D451" i="8"/>
  <c r="E451" i="8" s="1"/>
  <c r="H451" i="8"/>
  <c r="K451" i="8" s="1"/>
  <c r="D379" i="8"/>
  <c r="E379" i="8" s="1"/>
  <c r="H379" i="8"/>
  <c r="K379" i="8" s="1"/>
  <c r="D493" i="8"/>
  <c r="E493" i="8" s="1"/>
  <c r="D225" i="8"/>
  <c r="E225" i="8" s="1"/>
  <c r="H225" i="8"/>
  <c r="D460" i="8"/>
  <c r="E460" i="8" s="1"/>
  <c r="H460" i="8"/>
  <c r="K460" i="8" s="1"/>
  <c r="D535" i="8"/>
  <c r="E535" i="8" s="1"/>
  <c r="H535" i="8"/>
  <c r="K535" i="8" s="1"/>
  <c r="D29" i="8"/>
  <c r="E29" i="8" s="1"/>
  <c r="H29" i="8"/>
  <c r="K29" i="8" s="1"/>
  <c r="D677" i="8"/>
  <c r="E677" i="8" s="1"/>
  <c r="H677" i="8"/>
  <c r="D628" i="8"/>
  <c r="E628" i="8" s="1"/>
  <c r="H628" i="8"/>
  <c r="K628" i="8" s="1"/>
  <c r="D45" i="8"/>
  <c r="E45" i="8" s="1"/>
  <c r="H45" i="8"/>
  <c r="K45" i="8" s="1"/>
  <c r="D266" i="8"/>
  <c r="E266" i="8" s="1"/>
  <c r="H266" i="8"/>
  <c r="K266" i="8" s="1"/>
  <c r="D412" i="8"/>
  <c r="E412" i="8" s="1"/>
  <c r="H412" i="8"/>
  <c r="K412" i="8" s="1"/>
  <c r="D362" i="8"/>
  <c r="E362" i="8" s="1"/>
  <c r="H362" i="8"/>
  <c r="K362" i="8" s="1"/>
  <c r="D83" i="8"/>
  <c r="E83" i="8" s="1"/>
  <c r="H83" i="8"/>
  <c r="K83" i="8" s="1"/>
  <c r="D238" i="8"/>
  <c r="E238" i="8" s="1"/>
  <c r="D150" i="8"/>
  <c r="E150" i="8" s="1"/>
  <c r="H150" i="8"/>
  <c r="K150" i="8" s="1"/>
  <c r="D571" i="8"/>
  <c r="E571" i="8" s="1"/>
  <c r="H571" i="8"/>
  <c r="K571" i="8" s="1"/>
  <c r="D332" i="8"/>
  <c r="E332" i="8" s="1"/>
  <c r="H332" i="8"/>
  <c r="K332" i="8" s="1"/>
  <c r="D285" i="8"/>
  <c r="E285" i="8" s="1"/>
  <c r="H285" i="8"/>
  <c r="D423" i="8"/>
  <c r="E423" i="8" s="1"/>
  <c r="H423" i="8"/>
  <c r="K423" i="8" s="1"/>
  <c r="D384" i="8"/>
  <c r="E384" i="8" s="1"/>
  <c r="H384" i="8"/>
  <c r="K384" i="8" s="1"/>
  <c r="D480" i="8"/>
  <c r="E480" i="8" s="1"/>
  <c r="H480" i="8"/>
  <c r="K480" i="8" s="1"/>
  <c r="D521" i="8"/>
  <c r="E521" i="8" s="1"/>
  <c r="H521" i="8"/>
  <c r="K521" i="8" s="1"/>
  <c r="D75" i="8"/>
  <c r="E75" i="8" s="1"/>
  <c r="D123" i="8"/>
  <c r="E123" i="8" s="1"/>
  <c r="H123" i="8"/>
  <c r="K123" i="8" s="1"/>
  <c r="D65" i="8"/>
  <c r="E65" i="8" s="1"/>
  <c r="H65" i="8"/>
  <c r="K65" i="8" s="1"/>
  <c r="D329" i="8"/>
  <c r="E329" i="8" s="1"/>
  <c r="D666" i="8"/>
  <c r="E666" i="8" s="1"/>
  <c r="H666" i="8"/>
  <c r="K666" i="8" s="1"/>
  <c r="D222" i="8"/>
  <c r="E222" i="8" s="1"/>
  <c r="H222" i="8"/>
  <c r="K222" i="8" s="1"/>
  <c r="D51" i="8"/>
  <c r="E51" i="8" s="1"/>
  <c r="H51" i="8"/>
  <c r="D298" i="8"/>
  <c r="E298" i="8" s="1"/>
  <c r="H298" i="8"/>
  <c r="K298" i="8" s="1"/>
  <c r="D190" i="8"/>
  <c r="E190" i="8" s="1"/>
  <c r="H190" i="8"/>
  <c r="K190" i="8" s="1"/>
  <c r="D268" i="8"/>
  <c r="E268" i="8" s="1"/>
  <c r="H268" i="8"/>
  <c r="K268" i="8" s="1"/>
  <c r="D455" i="8"/>
  <c r="E455" i="8" s="1"/>
  <c r="H455" i="8"/>
  <c r="K455" i="8" s="1"/>
  <c r="D432" i="8"/>
  <c r="E432" i="8" s="1"/>
  <c r="H432" i="8"/>
  <c r="D410" i="8"/>
  <c r="E410" i="8" s="1"/>
  <c r="H410" i="8"/>
  <c r="K410" i="8" s="1"/>
  <c r="D360" i="8"/>
  <c r="E360" i="8" s="1"/>
  <c r="H360" i="8"/>
  <c r="K360" i="8" s="1"/>
  <c r="D497" i="8"/>
  <c r="E497" i="8" s="1"/>
  <c r="H497" i="8"/>
  <c r="K497" i="8" s="1"/>
  <c r="D96" i="8"/>
  <c r="E96" i="8" s="1"/>
  <c r="H96" i="8"/>
  <c r="K96" i="8" s="1"/>
  <c r="D16" i="8"/>
  <c r="E16" i="8" s="1"/>
  <c r="H16" i="8"/>
  <c r="K16" i="8" s="1"/>
  <c r="D506" i="8"/>
  <c r="E506" i="8" s="1"/>
  <c r="D248" i="8"/>
  <c r="E248" i="8" s="1"/>
  <c r="H248" i="8"/>
  <c r="K248" i="8" s="1"/>
  <c r="D643" i="8"/>
  <c r="E643" i="8" s="1"/>
  <c r="H643" i="8"/>
  <c r="K643" i="8" s="1"/>
  <c r="D619" i="8"/>
  <c r="E619" i="8" s="1"/>
  <c r="H619" i="8"/>
  <c r="K619" i="8" s="1"/>
  <c r="D302" i="8"/>
  <c r="E302" i="8" s="1"/>
  <c r="H302" i="8"/>
  <c r="K302" i="8" s="1"/>
  <c r="D199" i="8"/>
  <c r="E199" i="8" s="1"/>
  <c r="H199" i="8"/>
  <c r="K199" i="8" s="1"/>
  <c r="D277" i="8"/>
  <c r="E277" i="8" s="1"/>
  <c r="D464" i="8"/>
  <c r="E464" i="8" s="1"/>
  <c r="D386" i="8"/>
  <c r="E386" i="8" s="1"/>
  <c r="H386" i="8"/>
  <c r="D474" i="8"/>
  <c r="E474" i="8" s="1"/>
  <c r="H474" i="8"/>
  <c r="K474" i="8" s="1"/>
  <c r="D113" i="8"/>
  <c r="E113" i="8" s="1"/>
  <c r="H113" i="8"/>
  <c r="K113" i="8" s="1"/>
  <c r="D539" i="8"/>
  <c r="E539" i="8" s="1"/>
  <c r="D515" i="8"/>
  <c r="E515" i="8" s="1"/>
  <c r="H515" i="8"/>
  <c r="D126" i="8"/>
  <c r="E126" i="8" s="1"/>
  <c r="H126" i="8"/>
  <c r="K126" i="8" s="1"/>
  <c r="D325" i="8"/>
  <c r="E325" i="8" s="1"/>
  <c r="D33" i="8"/>
  <c r="E33" i="8" s="1"/>
  <c r="H33" i="8"/>
  <c r="K33" i="8" s="1"/>
  <c r="D681" i="8"/>
  <c r="E681" i="8" s="1"/>
  <c r="H681" i="8"/>
  <c r="K681" i="8" s="1"/>
  <c r="D597" i="8"/>
  <c r="E597" i="8" s="1"/>
  <c r="H597" i="8"/>
  <c r="K597" i="8" s="1"/>
  <c r="D350" i="8"/>
  <c r="E350" i="8" s="1"/>
  <c r="D328" i="8"/>
  <c r="E328" i="8" s="1"/>
  <c r="D138" i="8"/>
  <c r="E138" i="8" s="1"/>
  <c r="H138" i="8"/>
  <c r="K138" i="8" s="1"/>
  <c r="D656" i="8"/>
  <c r="E656" i="8" s="1"/>
  <c r="H656" i="8"/>
  <c r="K656" i="8" s="1"/>
  <c r="D632" i="8"/>
  <c r="E632" i="8" s="1"/>
  <c r="H632" i="8"/>
  <c r="K632" i="8" s="1"/>
  <c r="D216" i="8"/>
  <c r="E216" i="8" s="1"/>
  <c r="H216" i="8"/>
  <c r="K216" i="8" s="1"/>
  <c r="D296" i="8"/>
  <c r="E296" i="8" s="1"/>
  <c r="H296" i="8"/>
  <c r="K296" i="8" s="1"/>
  <c r="D188" i="8"/>
  <c r="E188" i="8" s="1"/>
  <c r="H188" i="8"/>
  <c r="K188" i="8" s="1"/>
  <c r="D270" i="8"/>
  <c r="E270" i="8" s="1"/>
  <c r="H270" i="8"/>
  <c r="K270" i="8" s="1"/>
  <c r="D457" i="8"/>
  <c r="E457" i="8" s="1"/>
  <c r="D387" i="8"/>
  <c r="E387" i="8" s="1"/>
  <c r="H387" i="8"/>
  <c r="K387" i="8" s="1"/>
  <c r="D366" i="8"/>
  <c r="E366" i="8" s="1"/>
  <c r="D140" i="8"/>
  <c r="E140" i="8" s="1"/>
  <c r="D87" i="8"/>
  <c r="E87" i="8" s="1"/>
  <c r="H87" i="8"/>
  <c r="K87" i="8" s="1"/>
  <c r="D120" i="8"/>
  <c r="E120" i="8" s="1"/>
  <c r="H120" i="8"/>
  <c r="K120" i="8" s="1"/>
  <c r="D14" i="8"/>
  <c r="E14" i="8" s="1"/>
  <c r="H14" i="8"/>
  <c r="K14" i="8" s="1"/>
  <c r="D540" i="8"/>
  <c r="E540" i="8" s="1"/>
  <c r="H540" i="8"/>
  <c r="K540" i="8" s="1"/>
  <c r="D520" i="8"/>
  <c r="E520" i="8" s="1"/>
  <c r="H520" i="8"/>
  <c r="K520" i="8" s="1"/>
  <c r="D242" i="8"/>
  <c r="E242" i="8" s="1"/>
  <c r="H242" i="8"/>
  <c r="K242" i="8" s="1"/>
  <c r="D565" i="8"/>
  <c r="E565" i="8" s="1"/>
  <c r="H565" i="8"/>
  <c r="K565" i="8" s="1"/>
  <c r="D323" i="8"/>
  <c r="E323" i="8" s="1"/>
  <c r="D70" i="8"/>
  <c r="E70" i="8" s="1"/>
  <c r="H70" i="8"/>
  <c r="D154" i="8"/>
  <c r="E154" i="8" s="1"/>
  <c r="H154" i="8"/>
  <c r="K154" i="8" s="1"/>
  <c r="D603" i="8"/>
  <c r="E603" i="8" s="1"/>
  <c r="H603" i="8"/>
  <c r="D579" i="8"/>
  <c r="E579" i="8" s="1"/>
  <c r="D336" i="8"/>
  <c r="E336" i="8" s="1"/>
  <c r="H336" i="8"/>
  <c r="D131" i="8"/>
  <c r="E131" i="8" s="1"/>
  <c r="H131" i="8"/>
  <c r="K131" i="8" s="1"/>
  <c r="D645" i="8"/>
  <c r="E645" i="8" s="1"/>
  <c r="H645" i="8"/>
  <c r="K645" i="8" s="1"/>
  <c r="D621" i="8"/>
  <c r="E621" i="8" s="1"/>
  <c r="D210" i="8"/>
  <c r="E210" i="8" s="1"/>
  <c r="H210" i="8"/>
  <c r="K210" i="8" s="1"/>
  <c r="D42" i="8"/>
  <c r="E42" i="8" s="1"/>
  <c r="H42" i="8"/>
  <c r="K42" i="8" s="1"/>
  <c r="D289" i="8"/>
  <c r="E289" i="8" s="1"/>
  <c r="H289" i="8"/>
  <c r="D181" i="8"/>
  <c r="E181" i="8" s="1"/>
  <c r="H181" i="8"/>
  <c r="K181" i="8" s="1"/>
  <c r="D450" i="8"/>
  <c r="E450" i="8" s="1"/>
  <c r="H450" i="8"/>
  <c r="K450" i="8" s="1"/>
  <c r="D427" i="8"/>
  <c r="E427" i="8" s="1"/>
  <c r="H427" i="8"/>
  <c r="K427" i="8" s="1"/>
  <c r="D413" i="8"/>
  <c r="E413" i="8" s="1"/>
  <c r="H413" i="8"/>
  <c r="K413" i="8" s="1"/>
  <c r="D388" i="8"/>
  <c r="E388" i="8" s="1"/>
  <c r="H388" i="8"/>
  <c r="K388" i="8" s="1"/>
  <c r="D363" i="8"/>
  <c r="E363" i="8" s="1"/>
  <c r="D471" i="8"/>
  <c r="E471" i="8" s="1"/>
  <c r="H471" i="8"/>
  <c r="D88" i="8"/>
  <c r="E88" i="8" s="1"/>
  <c r="H88" i="8"/>
  <c r="K88" i="8" s="1"/>
  <c r="D484" i="8"/>
  <c r="E484" i="8" s="1"/>
  <c r="H484" i="8"/>
  <c r="K484" i="8" s="1"/>
  <c r="D549" i="8"/>
  <c r="E549" i="8" s="1"/>
  <c r="H549" i="8"/>
  <c r="K549" i="8" s="1"/>
  <c r="D525" i="8"/>
  <c r="E525" i="8" s="1"/>
  <c r="D239" i="8"/>
  <c r="E239" i="8" s="1"/>
  <c r="H239" i="8"/>
  <c r="K239" i="8" s="1"/>
  <c r="D63" i="8"/>
  <c r="E63" i="8" s="1"/>
  <c r="D37" i="8"/>
  <c r="E37" i="8" s="1"/>
  <c r="H37" i="8"/>
  <c r="K37" i="8" s="1"/>
  <c r="D612" i="8"/>
  <c r="E612" i="8" s="1"/>
  <c r="H612" i="8"/>
  <c r="K612" i="8" s="1"/>
  <c r="D580" i="8"/>
  <c r="E580" i="8" s="1"/>
  <c r="H580" i="8"/>
  <c r="K580" i="8" s="1"/>
  <c r="D333" i="8"/>
  <c r="E333" i="8" s="1"/>
  <c r="H333" i="8"/>
  <c r="D129" i="8"/>
  <c r="E129" i="8" s="1"/>
  <c r="H129" i="8"/>
  <c r="D318" i="8"/>
  <c r="E318" i="8" s="1"/>
  <c r="H318" i="8"/>
  <c r="K318" i="8" s="1"/>
  <c r="D26" i="8"/>
  <c r="E26" i="8" s="1"/>
  <c r="H26" i="8"/>
  <c r="K26" i="8" s="1"/>
  <c r="D157" i="8"/>
  <c r="E157" i="8" s="1"/>
  <c r="D598" i="8"/>
  <c r="E598" i="8" s="1"/>
  <c r="H598" i="8"/>
  <c r="K598" i="8" s="1"/>
  <c r="I660" i="2"/>
  <c r="H660" i="2"/>
  <c r="D764" i="2"/>
  <c r="E764" i="2" s="1"/>
  <c r="I764" i="2"/>
  <c r="H764" i="2"/>
  <c r="I731" i="2"/>
  <c r="H731" i="2"/>
  <c r="D399" i="2"/>
  <c r="E399" i="2" s="1"/>
  <c r="H399" i="2"/>
  <c r="I399" i="2"/>
  <c r="D277" i="2"/>
  <c r="E277" i="2" s="1"/>
  <c r="I277" i="2"/>
  <c r="H277" i="2"/>
  <c r="I555" i="2"/>
  <c r="H555" i="2"/>
  <c r="I458" i="2"/>
  <c r="H458" i="2"/>
  <c r="H279" i="2"/>
  <c r="I279" i="2"/>
  <c r="D325" i="2"/>
  <c r="E325" i="2" s="1"/>
  <c r="I325" i="2"/>
  <c r="H325" i="2"/>
  <c r="D275" i="2"/>
  <c r="E275" i="2" s="1"/>
  <c r="I275" i="2"/>
  <c r="H275" i="2"/>
  <c r="I263" i="2"/>
  <c r="H263" i="2"/>
  <c r="D568" i="2"/>
  <c r="E568" i="2" s="1"/>
  <c r="I568" i="2"/>
  <c r="H568" i="2"/>
  <c r="I441" i="2"/>
  <c r="H441" i="2"/>
  <c r="H33" i="2"/>
  <c r="I33" i="2"/>
  <c r="H396" i="2"/>
  <c r="I396" i="2"/>
  <c r="I775" i="2"/>
  <c r="H775" i="2"/>
  <c r="D89" i="2"/>
  <c r="E89" i="2" s="1"/>
  <c r="H89" i="2"/>
  <c r="I89" i="2"/>
  <c r="D540" i="2"/>
  <c r="E540" i="2" s="1"/>
  <c r="I540" i="2"/>
  <c r="H540" i="2"/>
  <c r="I108" i="2"/>
  <c r="H108" i="2"/>
  <c r="I402" i="2"/>
  <c r="H402" i="2"/>
  <c r="I504" i="2"/>
  <c r="H504" i="2"/>
  <c r="D785" i="2"/>
  <c r="E785" i="2" s="1"/>
  <c r="I785" i="2"/>
  <c r="H785" i="2"/>
  <c r="I365" i="2"/>
  <c r="H365" i="2"/>
  <c r="I556" i="2"/>
  <c r="H556" i="2"/>
  <c r="D646" i="2"/>
  <c r="E646" i="2" s="1"/>
  <c r="I646" i="2"/>
  <c r="H646" i="2"/>
  <c r="I165" i="2"/>
  <c r="H165" i="2"/>
  <c r="I109" i="2"/>
  <c r="H109" i="2"/>
  <c r="I74" i="2"/>
  <c r="H74" i="2"/>
  <c r="D661" i="2"/>
  <c r="E661" i="2" s="1"/>
  <c r="I661" i="2"/>
  <c r="H661" i="2"/>
  <c r="I360" i="2"/>
  <c r="H360" i="2"/>
  <c r="I367" i="2"/>
  <c r="H367" i="2"/>
  <c r="I702" i="2"/>
  <c r="H702" i="2"/>
  <c r="I559" i="2"/>
  <c r="H559" i="2"/>
  <c r="D708" i="2"/>
  <c r="E708" i="2" s="1"/>
  <c r="I708" i="2"/>
  <c r="H708" i="2"/>
  <c r="H468" i="2"/>
  <c r="I468" i="2"/>
  <c r="D433" i="2"/>
  <c r="E433" i="2" s="1"/>
  <c r="I433" i="2"/>
  <c r="H433" i="2"/>
  <c r="I538" i="2"/>
  <c r="H538" i="2"/>
  <c r="I658" i="2"/>
  <c r="H658" i="2"/>
  <c r="D582" i="2"/>
  <c r="E582" i="2" s="1"/>
  <c r="I582" i="2"/>
  <c r="H582" i="2"/>
  <c r="I690" i="2"/>
  <c r="H690" i="2"/>
  <c r="I63" i="2"/>
  <c r="H63" i="2"/>
  <c r="I289" i="2"/>
  <c r="H289" i="2"/>
  <c r="H362" i="2"/>
  <c r="I362" i="2"/>
  <c r="D103" i="2"/>
  <c r="E103" i="2" s="1"/>
  <c r="I103" i="2"/>
  <c r="H103" i="2"/>
  <c r="I283" i="2"/>
  <c r="H283" i="2"/>
  <c r="I687" i="2"/>
  <c r="H687" i="2"/>
  <c r="I537" i="2"/>
  <c r="H537" i="2"/>
  <c r="I767" i="2"/>
  <c r="H767" i="2"/>
  <c r="I243" i="2"/>
  <c r="H243" i="2"/>
  <c r="D145" i="2"/>
  <c r="E145" i="2" s="1"/>
  <c r="I145" i="2"/>
  <c r="H145" i="2"/>
  <c r="I280" i="2"/>
  <c r="H280" i="2"/>
  <c r="D371" i="2"/>
  <c r="E371" i="2" s="1"/>
  <c r="I371" i="2"/>
  <c r="H371" i="2"/>
  <c r="I265" i="2"/>
  <c r="H265" i="2"/>
  <c r="D752" i="2"/>
  <c r="E752" i="2" s="1"/>
  <c r="H752" i="2"/>
  <c r="I752" i="2"/>
  <c r="D314" i="2"/>
  <c r="E314" i="2" s="1"/>
  <c r="I314" i="2"/>
  <c r="H314" i="2"/>
  <c r="D182" i="2"/>
  <c r="E182" i="2" s="1"/>
  <c r="I182" i="2"/>
  <c r="H182" i="2"/>
  <c r="I403" i="2"/>
  <c r="H403" i="2"/>
  <c r="I713" i="2"/>
  <c r="H713" i="2"/>
  <c r="D509" i="2"/>
  <c r="E509" i="2" s="1"/>
  <c r="I509" i="2"/>
  <c r="H509" i="2"/>
  <c r="I471" i="2"/>
  <c r="H471" i="2"/>
  <c r="I774" i="2"/>
  <c r="H774" i="2"/>
  <c r="I187" i="2"/>
  <c r="H187" i="2"/>
  <c r="I281" i="2"/>
  <c r="H281" i="2"/>
  <c r="H368" i="2"/>
  <c r="I368" i="2"/>
  <c r="D456" i="2"/>
  <c r="E456" i="2" s="1"/>
  <c r="I456" i="2"/>
  <c r="H456" i="2"/>
  <c r="D158" i="2"/>
  <c r="E158" i="2" s="1"/>
  <c r="I158" i="2"/>
  <c r="H158" i="2"/>
  <c r="D290" i="2"/>
  <c r="E290" i="2" s="1"/>
  <c r="I290" i="2"/>
  <c r="H290" i="2"/>
  <c r="I722" i="2"/>
  <c r="H722" i="2"/>
  <c r="I772" i="2"/>
  <c r="H772" i="2"/>
  <c r="I261" i="2"/>
  <c r="H261" i="2"/>
  <c r="D701" i="2"/>
  <c r="E701" i="2" s="1"/>
  <c r="H701" i="2"/>
  <c r="I701" i="2"/>
  <c r="I95" i="2"/>
  <c r="H95" i="2"/>
  <c r="D244" i="2"/>
  <c r="E244" i="2" s="1"/>
  <c r="I244" i="2"/>
  <c r="H244" i="2"/>
  <c r="I714" i="2"/>
  <c r="H714" i="2"/>
  <c r="I186" i="2"/>
  <c r="H186" i="2"/>
  <c r="D163" i="2"/>
  <c r="E163" i="2" s="1"/>
  <c r="H163" i="2"/>
  <c r="I163" i="2"/>
  <c r="D196" i="2"/>
  <c r="E196" i="2" s="1"/>
  <c r="I196" i="2"/>
  <c r="H196" i="2"/>
  <c r="D721" i="2"/>
  <c r="E721" i="2" s="1"/>
  <c r="I721" i="2"/>
  <c r="H721" i="2"/>
  <c r="I786" i="2"/>
  <c r="H786" i="2"/>
  <c r="D790" i="2"/>
  <c r="E790" i="2" s="1"/>
  <c r="I790" i="2"/>
  <c r="H790" i="2"/>
  <c r="H323" i="2"/>
  <c r="I323" i="2"/>
  <c r="D542" i="2"/>
  <c r="E542" i="2" s="1"/>
  <c r="I542" i="2"/>
  <c r="H542" i="2"/>
  <c r="I574" i="2"/>
  <c r="H574" i="2"/>
  <c r="I266" i="2"/>
  <c r="H266" i="2"/>
  <c r="I444" i="2"/>
  <c r="H444" i="2"/>
  <c r="I106" i="2"/>
  <c r="H106" i="2"/>
  <c r="D651" i="2"/>
  <c r="E651" i="2" s="1"/>
  <c r="I651" i="2"/>
  <c r="H651" i="2"/>
  <c r="I88" i="2"/>
  <c r="H88" i="2"/>
  <c r="H571" i="2"/>
  <c r="I571" i="2"/>
  <c r="D372" i="2"/>
  <c r="E372" i="2" s="1"/>
  <c r="H372" i="2"/>
  <c r="I372" i="2"/>
  <c r="I662" i="2"/>
  <c r="H662" i="2"/>
  <c r="D706" i="2"/>
  <c r="E706" i="2" s="1"/>
  <c r="I706" i="2"/>
  <c r="H706" i="2"/>
  <c r="I763" i="2"/>
  <c r="H763" i="2"/>
  <c r="I25" i="2"/>
  <c r="H25" i="2"/>
  <c r="I718" i="2"/>
  <c r="H718" i="2"/>
  <c r="I157" i="2"/>
  <c r="H157" i="2"/>
  <c r="D189" i="2"/>
  <c r="E189" i="2" s="1"/>
  <c r="I189" i="2"/>
  <c r="H189" i="2"/>
  <c r="D195" i="2"/>
  <c r="E195" i="2" s="1"/>
  <c r="I195" i="2"/>
  <c r="H195" i="2"/>
  <c r="I159" i="2"/>
  <c r="H159" i="2"/>
  <c r="D190" i="2"/>
  <c r="E190" i="2" s="1"/>
  <c r="I190" i="2"/>
  <c r="H190" i="2"/>
  <c r="D575" i="2"/>
  <c r="E575" i="2" s="1"/>
  <c r="I575" i="2"/>
  <c r="H575" i="2"/>
  <c r="D231" i="2"/>
  <c r="E231" i="2" s="1"/>
  <c r="I231" i="2"/>
  <c r="H231" i="2"/>
  <c r="H554" i="2"/>
  <c r="I554" i="2"/>
  <c r="I170" i="2"/>
  <c r="H170" i="2"/>
  <c r="I278" i="2"/>
  <c r="H278" i="2"/>
  <c r="D237" i="2"/>
  <c r="E237" i="2" s="1"/>
  <c r="I237" i="2"/>
  <c r="H237" i="2"/>
  <c r="D579" i="2"/>
  <c r="E579" i="2" s="1"/>
  <c r="I579" i="2"/>
  <c r="H579" i="2"/>
  <c r="H267" i="2"/>
  <c r="I267" i="2"/>
  <c r="H97" i="2"/>
  <c r="I97" i="2"/>
  <c r="I50" i="2"/>
  <c r="H50" i="2"/>
  <c r="D373" i="2"/>
  <c r="E373" i="2" s="1"/>
  <c r="I373" i="2"/>
  <c r="H373" i="2"/>
  <c r="D341" i="2"/>
  <c r="E341" i="2" s="1"/>
  <c r="H341" i="2"/>
  <c r="I341" i="2"/>
  <c r="I446" i="2"/>
  <c r="H446" i="2"/>
  <c r="D20" i="2"/>
  <c r="E20" i="2" s="1"/>
  <c r="I20" i="2"/>
  <c r="H20" i="2"/>
  <c r="D472" i="2"/>
  <c r="E472" i="2" s="1"/>
  <c r="I472" i="2"/>
  <c r="H472" i="2"/>
  <c r="I712" i="2"/>
  <c r="H712" i="2"/>
  <c r="D788" i="2"/>
  <c r="E788" i="2" s="1"/>
  <c r="I788" i="2"/>
  <c r="H788" i="2"/>
  <c r="I536" i="2"/>
  <c r="H536" i="2"/>
  <c r="D652" i="2"/>
  <c r="E652" i="2" s="1"/>
  <c r="H652" i="2"/>
  <c r="I652" i="2"/>
  <c r="D462" i="2"/>
  <c r="E462" i="2" s="1"/>
  <c r="I462" i="2"/>
  <c r="H462" i="2"/>
  <c r="I36" i="2"/>
  <c r="H36" i="2"/>
  <c r="I241" i="2"/>
  <c r="H241" i="2"/>
  <c r="D144" i="2"/>
  <c r="E144" i="2" s="1"/>
  <c r="H144" i="2"/>
  <c r="I144" i="2"/>
  <c r="D149" i="2"/>
  <c r="E149" i="2" s="1"/>
  <c r="H149" i="2"/>
  <c r="I149" i="2"/>
  <c r="D107" i="2"/>
  <c r="E107" i="2" s="1"/>
  <c r="I107" i="2"/>
  <c r="H107" i="2"/>
  <c r="I770" i="2"/>
  <c r="H770" i="2"/>
  <c r="D787" i="2"/>
  <c r="E787" i="2" s="1"/>
  <c r="I787" i="2"/>
  <c r="H787" i="2"/>
  <c r="I320" i="2"/>
  <c r="H320" i="2"/>
  <c r="I508" i="2"/>
  <c r="H508" i="2"/>
  <c r="D636" i="2"/>
  <c r="E636" i="2" s="1"/>
  <c r="I636" i="2"/>
  <c r="H636" i="2"/>
  <c r="D41" i="2"/>
  <c r="E41" i="2" s="1"/>
  <c r="I41" i="2"/>
  <c r="H41" i="2"/>
  <c r="I324" i="2"/>
  <c r="H324" i="2"/>
  <c r="I268" i="2"/>
  <c r="H268" i="2"/>
  <c r="D168" i="2"/>
  <c r="E168" i="2" s="1"/>
  <c r="I168" i="2"/>
  <c r="H168" i="2"/>
  <c r="I24" i="2"/>
  <c r="H24" i="2"/>
  <c r="D654" i="2"/>
  <c r="E654" i="2" s="1"/>
  <c r="I654" i="2"/>
  <c r="H654" i="2"/>
  <c r="I466" i="2"/>
  <c r="H466" i="2"/>
  <c r="H369" i="2"/>
  <c r="I369" i="2"/>
  <c r="I691" i="2"/>
  <c r="H691" i="2"/>
  <c r="I230" i="2"/>
  <c r="H230" i="2"/>
  <c r="I249" i="2"/>
  <c r="H249" i="2"/>
  <c r="I40" i="2"/>
  <c r="H40" i="2"/>
  <c r="I73" i="2"/>
  <c r="H73" i="2"/>
  <c r="D473" i="2"/>
  <c r="E473" i="2" s="1"/>
  <c r="I473" i="2"/>
  <c r="H473" i="2"/>
  <c r="D576" i="2"/>
  <c r="E576" i="2" s="1"/>
  <c r="H576" i="2"/>
  <c r="I576" i="2"/>
  <c r="I342" i="2"/>
  <c r="H342" i="2"/>
  <c r="I560" i="2"/>
  <c r="H560" i="2"/>
  <c r="I477" i="2"/>
  <c r="H477" i="2"/>
  <c r="I76" i="2"/>
  <c r="H76" i="2"/>
  <c r="I769" i="2"/>
  <c r="H769" i="2"/>
  <c r="I264" i="2"/>
  <c r="H264" i="2"/>
  <c r="I273" i="2"/>
  <c r="H273" i="2"/>
  <c r="D566" i="2"/>
  <c r="E566" i="2" s="1"/>
  <c r="I566" i="2"/>
  <c r="H566" i="2"/>
  <c r="D448" i="2"/>
  <c r="E448" i="2" s="1"/>
  <c r="I448" i="2"/>
  <c r="H448" i="2"/>
  <c r="I814" i="2"/>
  <c r="H814" i="2"/>
  <c r="I457" i="2"/>
  <c r="H457" i="2"/>
  <c r="D236" i="2"/>
  <c r="E236" i="2" s="1"/>
  <c r="I236" i="2"/>
  <c r="H236" i="2"/>
  <c r="D164" i="2"/>
  <c r="E164" i="2" s="1"/>
  <c r="I164" i="2"/>
  <c r="H164" i="2"/>
  <c r="I337" i="2"/>
  <c r="H337" i="2"/>
  <c r="I725" i="2"/>
  <c r="H725" i="2"/>
  <c r="I506" i="2"/>
  <c r="H506" i="2"/>
  <c r="D535" i="2"/>
  <c r="E535" i="2" s="1"/>
  <c r="I535" i="2"/>
  <c r="H535" i="2"/>
  <c r="H578" i="2"/>
  <c r="I578" i="2"/>
  <c r="I269" i="2"/>
  <c r="H269" i="2"/>
  <c r="I191" i="2"/>
  <c r="H191" i="2"/>
  <c r="I332" i="2"/>
  <c r="H332" i="2"/>
  <c r="D150" i="2"/>
  <c r="E150" i="2" s="1"/>
  <c r="I150" i="2"/>
  <c r="H150" i="2"/>
  <c r="D272" i="2"/>
  <c r="E272" i="2" s="1"/>
  <c r="I272" i="2"/>
  <c r="H272" i="2"/>
  <c r="I370" i="2"/>
  <c r="H370" i="2"/>
  <c r="I440" i="2"/>
  <c r="H440" i="2"/>
  <c r="D287" i="2"/>
  <c r="E287" i="2" s="1"/>
  <c r="I287" i="2"/>
  <c r="H287" i="2"/>
  <c r="D784" i="2"/>
  <c r="E784" i="2" s="1"/>
  <c r="I784" i="2"/>
  <c r="H784" i="2"/>
  <c r="I194" i="2"/>
  <c r="H194" i="2"/>
  <c r="I659" i="2"/>
  <c r="H659" i="2"/>
  <c r="D813" i="2"/>
  <c r="E813" i="2" s="1"/>
  <c r="I813" i="2"/>
  <c r="H813" i="2"/>
  <c r="I92" i="2"/>
  <c r="H92" i="2"/>
  <c r="I99" i="2"/>
  <c r="H99" i="2"/>
  <c r="I449" i="2"/>
  <c r="H449" i="2"/>
  <c r="H232" i="2"/>
  <c r="I232" i="2"/>
  <c r="I151" i="2"/>
  <c r="H151" i="2"/>
  <c r="I655" i="2"/>
  <c r="H655" i="2"/>
  <c r="I354" i="2"/>
  <c r="H354" i="2"/>
  <c r="H580" i="2"/>
  <c r="I580" i="2"/>
  <c r="I242" i="2"/>
  <c r="H242" i="2"/>
  <c r="D431" i="2"/>
  <c r="E431" i="2" s="1"/>
  <c r="I431" i="2"/>
  <c r="H431" i="2"/>
  <c r="I476" i="2"/>
  <c r="H476" i="2"/>
  <c r="I709" i="2"/>
  <c r="H709" i="2"/>
  <c r="D32" i="2"/>
  <c r="E32" i="2" s="1"/>
  <c r="H32" i="2"/>
  <c r="I32" i="2"/>
  <c r="I90" i="2"/>
  <c r="H90" i="2"/>
  <c r="I474" i="2"/>
  <c r="H474" i="2"/>
  <c r="I470" i="2"/>
  <c r="H470" i="2"/>
  <c r="I465" i="2"/>
  <c r="H465" i="2"/>
  <c r="I339" i="2"/>
  <c r="H339" i="2"/>
  <c r="I94" i="2"/>
  <c r="H94" i="2"/>
  <c r="H561" i="2"/>
  <c r="I561" i="2"/>
  <c r="D127" i="2"/>
  <c r="E127" i="2" s="1"/>
  <c r="I127" i="2"/>
  <c r="H127" i="2"/>
  <c r="I773" i="2"/>
  <c r="H773" i="2"/>
  <c r="D760" i="2"/>
  <c r="E760" i="2" s="1"/>
  <c r="H760" i="2"/>
  <c r="I760" i="2"/>
  <c r="D348" i="2"/>
  <c r="E348" i="2" s="1"/>
  <c r="I348" i="2"/>
  <c r="H348" i="2"/>
  <c r="D461" i="2"/>
  <c r="E461" i="2" s="1"/>
  <c r="H461" i="2"/>
  <c r="I461" i="2"/>
  <c r="I395" i="2"/>
  <c r="H395" i="2"/>
  <c r="I634" i="2"/>
  <c r="H634" i="2"/>
  <c r="I270" i="2"/>
  <c r="H270" i="2"/>
  <c r="D366" i="2"/>
  <c r="E366" i="2" s="1"/>
  <c r="I366" i="2"/>
  <c r="H366" i="2"/>
  <c r="I766" i="2"/>
  <c r="H766" i="2"/>
  <c r="I439" i="2"/>
  <c r="H439" i="2"/>
  <c r="I791" i="2"/>
  <c r="H791" i="2"/>
  <c r="D397" i="2"/>
  <c r="E397" i="2" s="1"/>
  <c r="I397" i="2"/>
  <c r="H397" i="2"/>
  <c r="I503" i="2"/>
  <c r="H503" i="2"/>
  <c r="I475" i="2"/>
  <c r="H475" i="2"/>
  <c r="D276" i="2"/>
  <c r="E276" i="2" s="1"/>
  <c r="I276" i="2"/>
  <c r="H276" i="2"/>
  <c r="D464" i="2"/>
  <c r="E464" i="2" s="1"/>
  <c r="I464" i="2"/>
  <c r="H464" i="2"/>
  <c r="I262" i="2"/>
  <c r="H262" i="2"/>
  <c r="I91" i="2"/>
  <c r="H91" i="2"/>
  <c r="I169" i="2"/>
  <c r="H169" i="2"/>
  <c r="I450" i="2"/>
  <c r="H450" i="2"/>
  <c r="D315" i="2"/>
  <c r="E315" i="2" s="1"/>
  <c r="I315" i="2"/>
  <c r="H315" i="2"/>
  <c r="D39" i="2"/>
  <c r="E39" i="2" s="1"/>
  <c r="I39" i="2"/>
  <c r="H39" i="2"/>
  <c r="D333" i="2"/>
  <c r="E333" i="2" s="1"/>
  <c r="I333" i="2"/>
  <c r="H333" i="2"/>
  <c r="H66" i="2"/>
  <c r="I66" i="2"/>
  <c r="I358" i="2"/>
  <c r="H358" i="2"/>
  <c r="H102" i="2"/>
  <c r="I102" i="2"/>
  <c r="D455" i="2"/>
  <c r="E455" i="2" s="1"/>
  <c r="I455" i="2"/>
  <c r="H455" i="2"/>
  <c r="I645" i="2"/>
  <c r="H645" i="2"/>
  <c r="I247" i="2"/>
  <c r="H247" i="2"/>
  <c r="I539" i="2"/>
  <c r="H539" i="2"/>
  <c r="I271" i="2"/>
  <c r="H271" i="2"/>
  <c r="D338" i="2"/>
  <c r="E338" i="2" s="1"/>
  <c r="I338" i="2"/>
  <c r="H338" i="2"/>
  <c r="I344" i="2"/>
  <c r="H344" i="2"/>
  <c r="I319" i="2"/>
  <c r="H319" i="2"/>
  <c r="I359" i="2"/>
  <c r="H359" i="2"/>
  <c r="I707" i="2"/>
  <c r="H707" i="2"/>
  <c r="I340" i="2"/>
  <c r="H340" i="2"/>
  <c r="I364" i="2"/>
  <c r="H364" i="2"/>
  <c r="I336" i="2"/>
  <c r="H336" i="2"/>
  <c r="I282" i="2"/>
  <c r="H282" i="2"/>
  <c r="I657" i="2"/>
  <c r="H657" i="2"/>
  <c r="I534" i="2"/>
  <c r="H534" i="2"/>
  <c r="D349" i="2"/>
  <c r="E349" i="2" s="1"/>
  <c r="I349" i="2"/>
  <c r="H349" i="2"/>
  <c r="D500" i="2"/>
  <c r="E500" i="2" s="1"/>
  <c r="I500" i="2"/>
  <c r="H500" i="2"/>
  <c r="D496" i="2"/>
  <c r="E496" i="2" s="1"/>
  <c r="I496" i="2"/>
  <c r="H496" i="2"/>
  <c r="D704" i="2"/>
  <c r="E704" i="2" s="1"/>
  <c r="I704" i="2"/>
  <c r="H704" i="2"/>
  <c r="D585" i="2"/>
  <c r="E585" i="2" s="1"/>
  <c r="I585" i="2"/>
  <c r="H585" i="2"/>
  <c r="D681" i="2"/>
  <c r="E681" i="2" s="1"/>
  <c r="H681" i="2"/>
  <c r="I681" i="2"/>
  <c r="D484" i="2"/>
  <c r="E484" i="2" s="1"/>
  <c r="I484" i="2"/>
  <c r="H484" i="2"/>
  <c r="D258" i="2"/>
  <c r="E258" i="2" s="1"/>
  <c r="I258" i="2"/>
  <c r="H258" i="2"/>
  <c r="D434" i="2"/>
  <c r="E434" i="2" s="1"/>
  <c r="I434" i="2"/>
  <c r="H434" i="2"/>
  <c r="D121" i="2"/>
  <c r="E121" i="2" s="1"/>
  <c r="I121" i="2"/>
  <c r="H121" i="2"/>
  <c r="D481" i="2"/>
  <c r="E481" i="2" s="1"/>
  <c r="I481" i="2"/>
  <c r="H481" i="2"/>
  <c r="D782" i="2"/>
  <c r="E782" i="2" s="1"/>
  <c r="I782" i="2"/>
  <c r="H782" i="2"/>
  <c r="D156" i="2"/>
  <c r="E156" i="2" s="1"/>
  <c r="H156" i="2"/>
  <c r="I156" i="2"/>
  <c r="D351" i="2"/>
  <c r="E351" i="2" s="1"/>
  <c r="H351" i="2"/>
  <c r="I351" i="2"/>
  <c r="D780" i="2"/>
  <c r="E780" i="2" s="1"/>
  <c r="I780" i="2"/>
  <c r="H780" i="2"/>
  <c r="D622" i="2"/>
  <c r="E622" i="2" s="1"/>
  <c r="I622" i="2"/>
  <c r="H622" i="2"/>
  <c r="D86" i="2"/>
  <c r="E86" i="2" s="1"/>
  <c r="I86" i="2"/>
  <c r="H86" i="2"/>
  <c r="D743" i="2"/>
  <c r="E743" i="2" s="1"/>
  <c r="I743" i="2"/>
  <c r="H743" i="2"/>
  <c r="D405" i="2"/>
  <c r="E405" i="2" s="1"/>
  <c r="I405" i="2"/>
  <c r="H405" i="2"/>
  <c r="D78" i="2"/>
  <c r="E78" i="2" s="1"/>
  <c r="I78" i="2"/>
  <c r="H78" i="2"/>
  <c r="D620" i="2"/>
  <c r="E620" i="2" s="1"/>
  <c r="I620" i="2"/>
  <c r="H620" i="2"/>
  <c r="D694" i="2"/>
  <c r="E694" i="2" s="1"/>
  <c r="I694" i="2"/>
  <c r="H694" i="2"/>
  <c r="D641" i="2"/>
  <c r="E641" i="2" s="1"/>
  <c r="I641" i="2"/>
  <c r="H641" i="2"/>
  <c r="D111" i="2"/>
  <c r="E111" i="2" s="1"/>
  <c r="I111" i="2"/>
  <c r="H111" i="2"/>
  <c r="D250" i="2"/>
  <c r="E250" i="2" s="1"/>
  <c r="I250" i="2"/>
  <c r="H250" i="2"/>
  <c r="D202" i="2"/>
  <c r="E202" i="2" s="1"/>
  <c r="I202" i="2"/>
  <c r="H202" i="2"/>
  <c r="D543" i="2"/>
  <c r="E543" i="2" s="1"/>
  <c r="I543" i="2"/>
  <c r="H543" i="2"/>
  <c r="D65" i="2"/>
  <c r="E65" i="2" s="1"/>
  <c r="I65" i="2"/>
  <c r="H65" i="2"/>
  <c r="D749" i="2"/>
  <c r="E749" i="2" s="1"/>
  <c r="H749" i="2"/>
  <c r="I749" i="2"/>
  <c r="D70" i="2"/>
  <c r="E70" i="2" s="1"/>
  <c r="I70" i="2"/>
  <c r="H70" i="2"/>
  <c r="D617" i="2"/>
  <c r="E617" i="2" s="1"/>
  <c r="I617" i="2"/>
  <c r="H617" i="2"/>
  <c r="D684" i="2"/>
  <c r="E684" i="2" s="1"/>
  <c r="I684" i="2"/>
  <c r="H684" i="2"/>
  <c r="I626" i="2"/>
  <c r="H626" i="2"/>
  <c r="D53" i="2"/>
  <c r="E53" i="2" s="1"/>
  <c r="I53" i="2"/>
  <c r="H53" i="2"/>
  <c r="I321" i="2"/>
  <c r="H321" i="2"/>
  <c r="H375" i="2"/>
  <c r="I375" i="2"/>
  <c r="I183" i="2"/>
  <c r="H183" i="2"/>
  <c r="I460" i="2"/>
  <c r="H460" i="2"/>
  <c r="I710" i="2"/>
  <c r="H710" i="2"/>
  <c r="I245" i="2"/>
  <c r="H245" i="2"/>
  <c r="D326" i="2"/>
  <c r="E326" i="2" s="1"/>
  <c r="I326" i="2"/>
  <c r="H326" i="2"/>
  <c r="I633" i="2"/>
  <c r="H633" i="2"/>
  <c r="I374" i="2"/>
  <c r="H374" i="2"/>
  <c r="I656" i="2"/>
  <c r="H656" i="2"/>
  <c r="I400" i="2"/>
  <c r="H400" i="2"/>
  <c r="I724" i="2"/>
  <c r="H724" i="2"/>
  <c r="D138" i="2"/>
  <c r="E138" i="2" s="1"/>
  <c r="I138" i="2"/>
  <c r="H138" i="2"/>
  <c r="I445" i="2"/>
  <c r="H445" i="2"/>
  <c r="D11" i="2"/>
  <c r="E11" i="2" s="1"/>
  <c r="I11" i="2"/>
  <c r="H11" i="2"/>
  <c r="D352" i="2"/>
  <c r="E352" i="2" s="1"/>
  <c r="I352" i="2"/>
  <c r="H352" i="2"/>
  <c r="D47" i="2"/>
  <c r="E47" i="2" s="1"/>
  <c r="I47" i="2"/>
  <c r="H47" i="2"/>
  <c r="D148" i="2"/>
  <c r="E148" i="2" s="1"/>
  <c r="I148" i="2"/>
  <c r="H148" i="2"/>
  <c r="D64" i="2"/>
  <c r="E64" i="2" s="1"/>
  <c r="I64" i="2"/>
  <c r="H64" i="2"/>
  <c r="D751" i="2"/>
  <c r="E751" i="2" s="1"/>
  <c r="I751" i="2"/>
  <c r="H751" i="2"/>
  <c r="D379" i="2"/>
  <c r="E379" i="2" s="1"/>
  <c r="I379" i="2"/>
  <c r="H379" i="2"/>
  <c r="D546" i="2"/>
  <c r="E546" i="2" s="1"/>
  <c r="I546" i="2"/>
  <c r="H546" i="2"/>
  <c r="D452" i="2"/>
  <c r="E452" i="2" s="1"/>
  <c r="I452" i="2"/>
  <c r="H452" i="2"/>
  <c r="D489" i="2"/>
  <c r="E489" i="2" s="1"/>
  <c r="I489" i="2"/>
  <c r="H489" i="2"/>
  <c r="D695" i="2"/>
  <c r="E695" i="2" s="1"/>
  <c r="I695" i="2"/>
  <c r="H695" i="2"/>
  <c r="D48" i="2"/>
  <c r="E48" i="2" s="1"/>
  <c r="I48" i="2"/>
  <c r="H48" i="2"/>
  <c r="D410" i="2"/>
  <c r="E410" i="2" s="1"/>
  <c r="I410" i="2"/>
  <c r="H410" i="2"/>
  <c r="D744" i="2"/>
  <c r="E744" i="2" s="1"/>
  <c r="H744" i="2"/>
  <c r="I744" i="2"/>
  <c r="D204" i="2"/>
  <c r="E204" i="2" s="1"/>
  <c r="I204" i="2"/>
  <c r="H204" i="2"/>
  <c r="D177" i="2"/>
  <c r="E177" i="2" s="1"/>
  <c r="I177" i="2"/>
  <c r="H177" i="2"/>
  <c r="D779" i="2"/>
  <c r="E779" i="2" s="1"/>
  <c r="I779" i="2"/>
  <c r="H779" i="2"/>
  <c r="D388" i="2"/>
  <c r="E388" i="2" s="1"/>
  <c r="I388" i="2"/>
  <c r="H388" i="2"/>
  <c r="D623" i="2"/>
  <c r="E623" i="2" s="1"/>
  <c r="I623" i="2"/>
  <c r="H623" i="2"/>
  <c r="D14" i="2"/>
  <c r="E14" i="2" s="1"/>
  <c r="I14" i="2"/>
  <c r="H14" i="2"/>
  <c r="D49" i="2"/>
  <c r="E49" i="2" s="1"/>
  <c r="I49" i="2"/>
  <c r="H49" i="2"/>
  <c r="D286" i="2"/>
  <c r="E286" i="2" s="1"/>
  <c r="I286" i="2"/>
  <c r="H286" i="2"/>
  <c r="D513" i="2"/>
  <c r="E513" i="2" s="1"/>
  <c r="H513" i="2"/>
  <c r="I513" i="2"/>
  <c r="D113" i="2"/>
  <c r="E113" i="2" s="1"/>
  <c r="I113" i="2"/>
  <c r="H113" i="2"/>
  <c r="D26" i="2"/>
  <c r="E26" i="2" s="1"/>
  <c r="I26" i="2"/>
  <c r="H26" i="2"/>
  <c r="D312" i="2"/>
  <c r="E312" i="2" s="1"/>
  <c r="H312" i="2"/>
  <c r="I312" i="2"/>
  <c r="D809" i="2"/>
  <c r="E809" i="2" s="1"/>
  <c r="I809" i="2"/>
  <c r="H809" i="2"/>
  <c r="D240" i="2"/>
  <c r="E240" i="2" s="1"/>
  <c r="I240" i="2"/>
  <c r="H240" i="2"/>
  <c r="D482" i="2"/>
  <c r="E482" i="2" s="1"/>
  <c r="I482" i="2"/>
  <c r="H482" i="2"/>
  <c r="D389" i="2"/>
  <c r="E389" i="2" s="1"/>
  <c r="I389" i="2"/>
  <c r="H389" i="2"/>
  <c r="D692" i="2"/>
  <c r="E692" i="2" s="1"/>
  <c r="I692" i="2"/>
  <c r="H692" i="2"/>
  <c r="D666" i="2"/>
  <c r="E666" i="2" s="1"/>
  <c r="I666" i="2"/>
  <c r="H666" i="2"/>
  <c r="D381" i="2"/>
  <c r="E381" i="2" s="1"/>
  <c r="I381" i="2"/>
  <c r="H381" i="2"/>
  <c r="D564" i="2"/>
  <c r="E564" i="2" s="1"/>
  <c r="I564" i="2"/>
  <c r="H564" i="2"/>
  <c r="D459" i="2"/>
  <c r="E459" i="2" s="1"/>
  <c r="I459" i="2"/>
  <c r="H459" i="2"/>
  <c r="D621" i="2"/>
  <c r="E621" i="2" s="1"/>
  <c r="I621" i="2"/>
  <c r="H621" i="2"/>
  <c r="D43" i="2"/>
  <c r="E43" i="2" s="1"/>
  <c r="I43" i="2"/>
  <c r="H43" i="2"/>
  <c r="D753" i="2"/>
  <c r="E753" i="2" s="1"/>
  <c r="I753" i="2"/>
  <c r="H753" i="2"/>
  <c r="D745" i="2"/>
  <c r="E745" i="2" s="1"/>
  <c r="I745" i="2"/>
  <c r="H745" i="2"/>
  <c r="D624" i="2"/>
  <c r="E624" i="2" s="1"/>
  <c r="I624" i="2"/>
  <c r="H624" i="2"/>
  <c r="D730" i="2"/>
  <c r="E730" i="2" s="1"/>
  <c r="I730" i="2"/>
  <c r="H730" i="2"/>
  <c r="I581" i="2"/>
  <c r="H581" i="2"/>
  <c r="D761" i="2"/>
  <c r="E761" i="2" s="1"/>
  <c r="I761" i="2"/>
  <c r="H761" i="2"/>
  <c r="D643" i="2"/>
  <c r="E643" i="2" s="1"/>
  <c r="I643" i="2"/>
  <c r="H643" i="2"/>
  <c r="I447" i="2"/>
  <c r="H447" i="2"/>
  <c r="H105" i="2"/>
  <c r="I105" i="2"/>
  <c r="I82" i="2"/>
  <c r="H82" i="2"/>
  <c r="I771" i="2"/>
  <c r="H771" i="2"/>
  <c r="D583" i="2"/>
  <c r="E583" i="2" s="1"/>
  <c r="I583" i="2"/>
  <c r="H583" i="2"/>
  <c r="I629" i="2"/>
  <c r="H629" i="2"/>
  <c r="I567" i="2"/>
  <c r="H567" i="2"/>
  <c r="H558" i="2"/>
  <c r="I558" i="2"/>
  <c r="I644" i="2"/>
  <c r="H644" i="2"/>
  <c r="I727" i="2"/>
  <c r="H727" i="2"/>
  <c r="D331" i="2"/>
  <c r="E331" i="2" s="1"/>
  <c r="I331" i="2"/>
  <c r="H331" i="2"/>
  <c r="D386" i="2"/>
  <c r="E386" i="2" s="1"/>
  <c r="I386" i="2"/>
  <c r="H386" i="2"/>
  <c r="D728" i="2"/>
  <c r="E728" i="2" s="1"/>
  <c r="I728" i="2"/>
  <c r="H728" i="2"/>
  <c r="D257" i="2"/>
  <c r="E257" i="2" s="1"/>
  <c r="I257" i="2"/>
  <c r="H257" i="2"/>
  <c r="D117" i="2"/>
  <c r="E117" i="2" s="1"/>
  <c r="I117" i="2"/>
  <c r="H117" i="2"/>
  <c r="D688" i="2"/>
  <c r="E688" i="2" s="1"/>
  <c r="I688" i="2"/>
  <c r="H688" i="2"/>
  <c r="D384" i="2"/>
  <c r="E384" i="2" s="1"/>
  <c r="I384" i="2"/>
  <c r="H384" i="2"/>
  <c r="D167" i="2"/>
  <c r="E167" i="2" s="1"/>
  <c r="I167" i="2"/>
  <c r="H167" i="2"/>
  <c r="D200" i="2"/>
  <c r="E200" i="2" s="1"/>
  <c r="I200" i="2"/>
  <c r="H200" i="2"/>
  <c r="D206" i="2"/>
  <c r="E206" i="2" s="1"/>
  <c r="I206" i="2"/>
  <c r="H206" i="2"/>
  <c r="D83" i="2"/>
  <c r="E83" i="2" s="1"/>
  <c r="I83" i="2"/>
  <c r="H83" i="2"/>
  <c r="D664" i="2"/>
  <c r="E664" i="2" s="1"/>
  <c r="I664" i="2"/>
  <c r="H664" i="2"/>
  <c r="D642" i="2"/>
  <c r="E642" i="2" s="1"/>
  <c r="I642" i="2"/>
  <c r="H642" i="2"/>
  <c r="D181" i="2"/>
  <c r="E181" i="2" s="1"/>
  <c r="I181" i="2"/>
  <c r="H181" i="2"/>
  <c r="D511" i="2"/>
  <c r="E511" i="2" s="1"/>
  <c r="I511" i="2"/>
  <c r="H511" i="2"/>
  <c r="D492" i="2"/>
  <c r="E492" i="2" s="1"/>
  <c r="H492" i="2"/>
  <c r="I492" i="2"/>
  <c r="D616" i="2"/>
  <c r="E616" i="2" s="1"/>
  <c r="I616" i="2"/>
  <c r="H616" i="2"/>
  <c r="D693" i="2"/>
  <c r="E693" i="2" s="1"/>
  <c r="I693" i="2"/>
  <c r="H693" i="2"/>
  <c r="D498" i="2"/>
  <c r="E498" i="2" s="1"/>
  <c r="H498" i="2"/>
  <c r="I498" i="2"/>
  <c r="D316" i="2"/>
  <c r="E316" i="2" s="1"/>
  <c r="I316" i="2"/>
  <c r="H316" i="2"/>
  <c r="D593" i="2"/>
  <c r="E593" i="2" s="1"/>
  <c r="I593" i="2"/>
  <c r="H593" i="2"/>
  <c r="D640" i="2"/>
  <c r="E640" i="2" s="1"/>
  <c r="I640" i="2"/>
  <c r="H640" i="2"/>
  <c r="D815" i="2"/>
  <c r="E815" i="2" s="1"/>
  <c r="I815" i="2"/>
  <c r="H815" i="2"/>
  <c r="D335" i="2"/>
  <c r="E335" i="2" s="1"/>
  <c r="I335" i="2"/>
  <c r="H335" i="2"/>
  <c r="D180" i="2"/>
  <c r="E180" i="2" s="1"/>
  <c r="I180" i="2"/>
  <c r="H180" i="2"/>
  <c r="D781" i="2"/>
  <c r="E781" i="2" s="1"/>
  <c r="H781" i="2"/>
  <c r="I781" i="2"/>
  <c r="D313" i="2"/>
  <c r="E313" i="2" s="1"/>
  <c r="I313" i="2"/>
  <c r="H313" i="2"/>
  <c r="D754" i="2"/>
  <c r="E754" i="2" s="1"/>
  <c r="I754" i="2"/>
  <c r="H754" i="2"/>
  <c r="D592" i="2"/>
  <c r="E592" i="2" s="1"/>
  <c r="I592" i="2"/>
  <c r="H592" i="2"/>
  <c r="D118" i="2"/>
  <c r="E118" i="2" s="1"/>
  <c r="I118" i="2"/>
  <c r="H118" i="2"/>
  <c r="D29" i="2"/>
  <c r="E29" i="2" s="1"/>
  <c r="I29" i="2"/>
  <c r="H29" i="2"/>
  <c r="D686" i="2"/>
  <c r="E686" i="2" s="1"/>
  <c r="I686" i="2"/>
  <c r="H686" i="2"/>
  <c r="D618" i="2"/>
  <c r="E618" i="2" s="1"/>
  <c r="I618" i="2"/>
  <c r="H618" i="2"/>
  <c r="D552" i="2"/>
  <c r="E552" i="2" s="1"/>
  <c r="I552" i="2"/>
  <c r="H552" i="2"/>
  <c r="D717" i="2"/>
  <c r="E717" i="2" s="1"/>
  <c r="H717" i="2"/>
  <c r="I717" i="2"/>
  <c r="D541" i="2"/>
  <c r="E541" i="2" s="1"/>
  <c r="I541" i="2"/>
  <c r="H541" i="2"/>
  <c r="D589" i="2"/>
  <c r="E589" i="2" s="1"/>
  <c r="H589" i="2"/>
  <c r="I589" i="2"/>
  <c r="D494" i="2"/>
  <c r="E494" i="2" s="1"/>
  <c r="I494" i="2"/>
  <c r="H494" i="2"/>
  <c r="D115" i="2"/>
  <c r="E115" i="2" s="1"/>
  <c r="I115" i="2"/>
  <c r="H115" i="2"/>
  <c r="D563" i="2"/>
  <c r="E563" i="2" s="1"/>
  <c r="I563" i="2"/>
  <c r="H563" i="2"/>
  <c r="D584" i="2"/>
  <c r="E584" i="2" s="1"/>
  <c r="I584" i="2"/>
  <c r="H584" i="2"/>
  <c r="D31" i="2"/>
  <c r="E31" i="2" s="1"/>
  <c r="H31" i="2"/>
  <c r="I31" i="2"/>
  <c r="D385" i="2"/>
  <c r="E385" i="2" s="1"/>
  <c r="I385" i="2"/>
  <c r="H385" i="2"/>
  <c r="D572" i="2"/>
  <c r="E572" i="2" s="1"/>
  <c r="I572" i="2"/>
  <c r="H572" i="2"/>
  <c r="D147" i="2"/>
  <c r="E147" i="2" s="1"/>
  <c r="I147" i="2"/>
  <c r="H147" i="2"/>
  <c r="I353" i="2"/>
  <c r="H353" i="2"/>
  <c r="I631" i="2"/>
  <c r="H631" i="2"/>
  <c r="I171" i="2"/>
  <c r="H171" i="2"/>
  <c r="H34" i="2"/>
  <c r="I34" i="2"/>
  <c r="I38" i="2"/>
  <c r="H38" i="2"/>
  <c r="I632" i="2"/>
  <c r="H632" i="2"/>
  <c r="D172" i="2"/>
  <c r="E172" i="2" s="1"/>
  <c r="I172" i="2"/>
  <c r="H172" i="2"/>
  <c r="I398" i="2"/>
  <c r="H398" i="2"/>
  <c r="I185" i="2"/>
  <c r="H185" i="2"/>
  <c r="H355" i="2"/>
  <c r="I355" i="2"/>
  <c r="I93" i="2"/>
  <c r="H93" i="2"/>
  <c r="I346" i="2"/>
  <c r="H346" i="2"/>
  <c r="I361" i="2"/>
  <c r="H361" i="2"/>
  <c r="H21" i="2"/>
  <c r="I21" i="2"/>
  <c r="I569" i="2"/>
  <c r="H569" i="2"/>
  <c r="H246" i="2"/>
  <c r="I246" i="2"/>
  <c r="D505" i="2"/>
  <c r="E505" i="2" s="1"/>
  <c r="I505" i="2"/>
  <c r="H505" i="2"/>
  <c r="D557" i="2"/>
  <c r="E557" i="2" s="1"/>
  <c r="I557" i="2"/>
  <c r="H557" i="2"/>
  <c r="D759" i="2"/>
  <c r="E759" i="2" s="1"/>
  <c r="H759" i="2"/>
  <c r="I759" i="2"/>
  <c r="D46" i="2"/>
  <c r="E46" i="2" s="1"/>
  <c r="I46" i="2"/>
  <c r="H46" i="2"/>
  <c r="D239" i="2"/>
  <c r="E239" i="2" s="1"/>
  <c r="I239" i="2"/>
  <c r="H239" i="2"/>
  <c r="D317" i="2"/>
  <c r="E317" i="2" s="1"/>
  <c r="I317" i="2"/>
  <c r="H317" i="2"/>
  <c r="D311" i="2"/>
  <c r="E311" i="2" s="1"/>
  <c r="I311" i="2"/>
  <c r="H311" i="2"/>
  <c r="D205" i="2"/>
  <c r="E205" i="2" s="1"/>
  <c r="I205" i="2"/>
  <c r="H205" i="2"/>
  <c r="D318" i="2"/>
  <c r="E318" i="2" s="1"/>
  <c r="I318" i="2"/>
  <c r="H318" i="2"/>
  <c r="D532" i="2"/>
  <c r="E532" i="2" s="1"/>
  <c r="H532" i="2"/>
  <c r="I532" i="2"/>
  <c r="D17" i="2"/>
  <c r="E17" i="2" s="1"/>
  <c r="I17" i="2"/>
  <c r="H17" i="2"/>
  <c r="D139" i="2"/>
  <c r="E139" i="2" s="1"/>
  <c r="I139" i="2"/>
  <c r="H139" i="2"/>
  <c r="D378" i="2"/>
  <c r="E378" i="2" s="1"/>
  <c r="I378" i="2"/>
  <c r="H378" i="2"/>
  <c r="D783" i="2"/>
  <c r="E783" i="2" s="1"/>
  <c r="I783" i="2"/>
  <c r="H783" i="2"/>
  <c r="D512" i="2"/>
  <c r="E512" i="2" s="1"/>
  <c r="I512" i="2"/>
  <c r="H512" i="2"/>
  <c r="D553" i="2"/>
  <c r="E553" i="2" s="1"/>
  <c r="I553" i="2"/>
  <c r="H553" i="2"/>
  <c r="D698" i="2"/>
  <c r="E698" i="2" s="1"/>
  <c r="I698" i="2"/>
  <c r="H698" i="2"/>
  <c r="D71" i="2"/>
  <c r="E71" i="2" s="1"/>
  <c r="I71" i="2"/>
  <c r="H71" i="2"/>
  <c r="D479" i="2"/>
  <c r="E479" i="2" s="1"/>
  <c r="I479" i="2"/>
  <c r="H479" i="2"/>
  <c r="D544" i="2"/>
  <c r="E544" i="2" s="1"/>
  <c r="I544" i="2"/>
  <c r="H544" i="2"/>
  <c r="D430" i="2"/>
  <c r="E430" i="2" s="1"/>
  <c r="I430" i="2"/>
  <c r="H430" i="2"/>
  <c r="D490" i="2"/>
  <c r="E490" i="2" s="1"/>
  <c r="I490" i="2"/>
  <c r="H490" i="2"/>
  <c r="D777" i="2"/>
  <c r="E777" i="2" s="1"/>
  <c r="I777" i="2"/>
  <c r="H777" i="2"/>
  <c r="D671" i="2"/>
  <c r="E671" i="2" s="1"/>
  <c r="I671" i="2"/>
  <c r="H671" i="2"/>
  <c r="D122" i="2"/>
  <c r="E122" i="2" s="1"/>
  <c r="I122" i="2"/>
  <c r="H122" i="2"/>
  <c r="D28" i="2"/>
  <c r="E28" i="2" s="1"/>
  <c r="I28" i="2"/>
  <c r="H28" i="2"/>
  <c r="D670" i="2"/>
  <c r="E670" i="2" s="1"/>
  <c r="I670" i="2"/>
  <c r="H670" i="2"/>
  <c r="D478" i="2"/>
  <c r="E478" i="2" s="1"/>
  <c r="I478" i="2"/>
  <c r="H478" i="2"/>
  <c r="D234" i="2"/>
  <c r="E234" i="2" s="1"/>
  <c r="I234" i="2"/>
  <c r="H234" i="2"/>
  <c r="D429" i="2"/>
  <c r="E429" i="2" s="1"/>
  <c r="I429" i="2"/>
  <c r="H429" i="2"/>
  <c r="D284" i="2"/>
  <c r="E284" i="2" s="1"/>
  <c r="I284" i="2"/>
  <c r="H284" i="2"/>
  <c r="D667" i="2"/>
  <c r="E667" i="2" s="1"/>
  <c r="I667" i="2"/>
  <c r="H667" i="2"/>
  <c r="D79" i="2"/>
  <c r="E79" i="2" s="1"/>
  <c r="H79" i="2"/>
  <c r="I79" i="2"/>
  <c r="D485" i="2"/>
  <c r="E485" i="2" s="1"/>
  <c r="H485" i="2"/>
  <c r="I485" i="2"/>
  <c r="D382" i="2"/>
  <c r="E382" i="2" s="1"/>
  <c r="H382" i="2"/>
  <c r="I382" i="2"/>
  <c r="D750" i="2"/>
  <c r="E750" i="2" s="1"/>
  <c r="I750" i="2"/>
  <c r="H750" i="2"/>
  <c r="D647" i="2"/>
  <c r="E647" i="2" s="1"/>
  <c r="I647" i="2"/>
  <c r="H647" i="2"/>
  <c r="D487" i="2"/>
  <c r="E487" i="2" s="1"/>
  <c r="H487" i="2"/>
  <c r="I487" i="2"/>
  <c r="D394" i="2"/>
  <c r="E394" i="2" s="1"/>
  <c r="I394" i="2"/>
  <c r="H394" i="2"/>
  <c r="I637" i="2"/>
  <c r="H637" i="2"/>
  <c r="D510" i="2"/>
  <c r="E510" i="2" s="1"/>
  <c r="I510" i="2"/>
  <c r="H510" i="2"/>
  <c r="I357" i="2"/>
  <c r="H357" i="2"/>
  <c r="I711" i="2"/>
  <c r="H711" i="2"/>
  <c r="I23" i="2"/>
  <c r="H23" i="2"/>
  <c r="I173" i="2"/>
  <c r="H173" i="2"/>
  <c r="H248" i="2"/>
  <c r="I248" i="2"/>
  <c r="I152" i="2"/>
  <c r="H152" i="2"/>
  <c r="D98" i="2"/>
  <c r="E98" i="2" s="1"/>
  <c r="H98" i="2"/>
  <c r="I98" i="2"/>
  <c r="I635" i="2"/>
  <c r="H635" i="2"/>
  <c r="D507" i="2"/>
  <c r="E507" i="2" s="1"/>
  <c r="I507" i="2"/>
  <c r="H507" i="2"/>
  <c r="D322" i="2"/>
  <c r="E322" i="2" s="1"/>
  <c r="H322" i="2"/>
  <c r="I322" i="2"/>
  <c r="D570" i="2"/>
  <c r="E570" i="2" s="1"/>
  <c r="I570" i="2"/>
  <c r="H570" i="2"/>
  <c r="D719" i="2"/>
  <c r="E719" i="2" s="1"/>
  <c r="I719" i="2"/>
  <c r="H719" i="2"/>
  <c r="D794" i="2"/>
  <c r="E794" i="2" s="1"/>
  <c r="I794" i="2"/>
  <c r="H794" i="2"/>
  <c r="D42" i="2"/>
  <c r="E42" i="2" s="1"/>
  <c r="I42" i="2"/>
  <c r="H42" i="2"/>
  <c r="D166" i="2"/>
  <c r="E166" i="2" s="1"/>
  <c r="I166" i="2"/>
  <c r="H166" i="2"/>
  <c r="D590" i="2"/>
  <c r="E590" i="2" s="1"/>
  <c r="I590" i="2"/>
  <c r="H590" i="2"/>
  <c r="D551" i="2"/>
  <c r="E551" i="2" s="1"/>
  <c r="I551" i="2"/>
  <c r="H551" i="2"/>
  <c r="D253" i="2"/>
  <c r="E253" i="2" s="1"/>
  <c r="I253" i="2"/>
  <c r="H253" i="2"/>
  <c r="D547" i="2"/>
  <c r="E547" i="2" s="1"/>
  <c r="I547" i="2"/>
  <c r="H547" i="2"/>
  <c r="D591" i="2"/>
  <c r="E591" i="2" s="1"/>
  <c r="I591" i="2"/>
  <c r="H591" i="2"/>
  <c r="D252" i="2"/>
  <c r="E252" i="2" s="1"/>
  <c r="H252" i="2"/>
  <c r="I252" i="2"/>
  <c r="D757" i="2"/>
  <c r="E757" i="2" s="1"/>
  <c r="I757" i="2"/>
  <c r="H757" i="2"/>
  <c r="D390" i="2"/>
  <c r="E390" i="2" s="1"/>
  <c r="I390" i="2"/>
  <c r="H390" i="2"/>
  <c r="D81" i="2"/>
  <c r="E81" i="2" s="1"/>
  <c r="H81" i="2"/>
  <c r="I81" i="2"/>
  <c r="D586" i="2"/>
  <c r="E586" i="2" s="1"/>
  <c r="I586" i="2"/>
  <c r="H586" i="2"/>
  <c r="D689" i="2"/>
  <c r="E689" i="2" s="1"/>
  <c r="I689" i="2"/>
  <c r="H689" i="2"/>
  <c r="D747" i="2"/>
  <c r="E747" i="2" s="1"/>
  <c r="I747" i="2"/>
  <c r="H747" i="2"/>
  <c r="D428" i="2"/>
  <c r="E428" i="2" s="1"/>
  <c r="H428" i="2"/>
  <c r="I428" i="2"/>
  <c r="D256" i="2"/>
  <c r="E256" i="2" s="1"/>
  <c r="I256" i="2"/>
  <c r="H256" i="2"/>
  <c r="D45" i="2"/>
  <c r="E45" i="2" s="1"/>
  <c r="H45" i="2"/>
  <c r="I45" i="2"/>
  <c r="D16" i="2"/>
  <c r="E16" i="2" s="1"/>
  <c r="I16" i="2"/>
  <c r="H16" i="2"/>
  <c r="D383" i="2"/>
  <c r="E383" i="2" s="1"/>
  <c r="I383" i="2"/>
  <c r="H383" i="2"/>
  <c r="D669" i="2"/>
  <c r="E669" i="2" s="1"/>
  <c r="I669" i="2"/>
  <c r="H669" i="2"/>
  <c r="D495" i="2"/>
  <c r="E495" i="2" s="1"/>
  <c r="I495" i="2"/>
  <c r="H495" i="2"/>
  <c r="D141" i="2"/>
  <c r="E141" i="2" s="1"/>
  <c r="I141" i="2"/>
  <c r="H141" i="2"/>
  <c r="D101" i="2"/>
  <c r="E101" i="2" s="1"/>
  <c r="I101" i="2"/>
  <c r="H101" i="2"/>
  <c r="D697" i="2"/>
  <c r="E697" i="2" s="1"/>
  <c r="I697" i="2"/>
  <c r="H697" i="2"/>
  <c r="D30" i="2"/>
  <c r="E30" i="2" s="1"/>
  <c r="H30" i="2"/>
  <c r="I30" i="2"/>
  <c r="D668" i="2"/>
  <c r="E668" i="2" s="1"/>
  <c r="I668" i="2"/>
  <c r="H668" i="2"/>
  <c r="D746" i="2"/>
  <c r="E746" i="2" s="1"/>
  <c r="I746" i="2"/>
  <c r="H746" i="2"/>
  <c r="D810" i="2"/>
  <c r="E810" i="2" s="1"/>
  <c r="I810" i="2"/>
  <c r="H810" i="2"/>
  <c r="D685" i="2"/>
  <c r="E685" i="2" s="1"/>
  <c r="H685" i="2"/>
  <c r="I685" i="2"/>
  <c r="D756" i="2"/>
  <c r="E756" i="2" s="1"/>
  <c r="I756" i="2"/>
  <c r="H756" i="2"/>
  <c r="D548" i="2"/>
  <c r="E548" i="2" s="1"/>
  <c r="I548" i="2"/>
  <c r="H548" i="2"/>
  <c r="D648" i="2"/>
  <c r="E648" i="2" s="1"/>
  <c r="I648" i="2"/>
  <c r="H648" i="2"/>
  <c r="D80" i="2"/>
  <c r="E80" i="2" s="1"/>
  <c r="I80" i="2"/>
  <c r="H80" i="2"/>
  <c r="D486" i="2"/>
  <c r="E486" i="2" s="1"/>
  <c r="I486" i="2"/>
  <c r="H486" i="2"/>
  <c r="D376" i="2"/>
  <c r="E376" i="2" s="1"/>
  <c r="I376" i="2"/>
  <c r="H376" i="2"/>
  <c r="D588" i="2"/>
  <c r="E588" i="2" s="1"/>
  <c r="I588" i="2"/>
  <c r="H588" i="2"/>
  <c r="D285" i="2"/>
  <c r="E285" i="2" s="1"/>
  <c r="I285" i="2"/>
  <c r="H285" i="2"/>
  <c r="D755" i="2"/>
  <c r="E755" i="2" s="1"/>
  <c r="I755" i="2"/>
  <c r="H755" i="2"/>
  <c r="D533" i="2"/>
  <c r="E533" i="2" s="1"/>
  <c r="I533" i="2"/>
  <c r="H533" i="2"/>
  <c r="D732" i="2"/>
  <c r="E732" i="2" s="1"/>
  <c r="I732" i="2"/>
  <c r="H732" i="2"/>
  <c r="D565" i="2"/>
  <c r="E565" i="2" s="1"/>
  <c r="I565" i="2"/>
  <c r="H565" i="2"/>
  <c r="I18" i="2"/>
  <c r="H18" i="2"/>
  <c r="I229" i="2"/>
  <c r="H229" i="2"/>
  <c r="D153" i="2"/>
  <c r="E153" i="2" s="1"/>
  <c r="I153" i="2"/>
  <c r="H153" i="2"/>
  <c r="I193" i="2"/>
  <c r="H193" i="2"/>
  <c r="I469" i="2"/>
  <c r="H469" i="2"/>
  <c r="D162" i="2"/>
  <c r="E162" i="2" s="1"/>
  <c r="I162" i="2"/>
  <c r="H162" i="2"/>
  <c r="D12" i="2"/>
  <c r="E12" i="2" s="1"/>
  <c r="I12" i="2"/>
  <c r="H12" i="2"/>
  <c r="I812" i="2"/>
  <c r="H812" i="2"/>
  <c r="I52" i="2"/>
  <c r="H52" i="2"/>
  <c r="I729" i="2"/>
  <c r="H729" i="2"/>
  <c r="D630" i="2"/>
  <c r="E630" i="2" s="1"/>
  <c r="I630" i="2"/>
  <c r="H630" i="2"/>
  <c r="I228" i="2"/>
  <c r="H228" i="2"/>
  <c r="H765" i="2"/>
  <c r="I765" i="2"/>
  <c r="H274" i="2"/>
  <c r="I274" i="2"/>
  <c r="I663" i="2"/>
  <c r="H663" i="2"/>
  <c r="I577" i="2"/>
  <c r="H577" i="2"/>
  <c r="D347" i="2"/>
  <c r="E347" i="2" s="1"/>
  <c r="I347" i="2"/>
  <c r="H347" i="2"/>
  <c r="D401" i="2"/>
  <c r="E401" i="2" s="1"/>
  <c r="I401" i="2"/>
  <c r="H401" i="2"/>
  <c r="D96" i="2"/>
  <c r="E96" i="2" s="1"/>
  <c r="I96" i="2"/>
  <c r="H96" i="2"/>
  <c r="D501" i="2"/>
  <c r="E501" i="2" s="1"/>
  <c r="H501" i="2"/>
  <c r="I501" i="2"/>
  <c r="D793" i="2"/>
  <c r="E793" i="2" s="1"/>
  <c r="I793" i="2"/>
  <c r="H793" i="2"/>
  <c r="D10" i="2"/>
  <c r="I10" i="2"/>
  <c r="J10" i="2" s="1"/>
  <c r="K10" i="2" s="1"/>
  <c r="D638" i="2"/>
  <c r="E638" i="2" s="1"/>
  <c r="I638" i="2"/>
  <c r="H638" i="2"/>
  <c r="D488" i="2"/>
  <c r="E488" i="2" s="1"/>
  <c r="I488" i="2"/>
  <c r="H488" i="2"/>
  <c r="D778" i="2"/>
  <c r="E778" i="2" s="1"/>
  <c r="H778" i="2"/>
  <c r="I778" i="2"/>
  <c r="D227" i="2"/>
  <c r="E227" i="2" s="1"/>
  <c r="H227" i="2"/>
  <c r="I227" i="2"/>
  <c r="D84" i="2"/>
  <c r="E84" i="2" s="1"/>
  <c r="H84" i="2"/>
  <c r="I84" i="2"/>
  <c r="D705" i="2"/>
  <c r="E705" i="2" s="1"/>
  <c r="I705" i="2"/>
  <c r="H705" i="2"/>
  <c r="D387" i="2"/>
  <c r="E387" i="2" s="1"/>
  <c r="I387" i="2"/>
  <c r="H387" i="2"/>
  <c r="D327" i="2"/>
  <c r="E327" i="2" s="1"/>
  <c r="I327" i="2"/>
  <c r="H327" i="2"/>
  <c r="D307" i="2"/>
  <c r="E307" i="2" s="1"/>
  <c r="H307" i="2"/>
  <c r="I307" i="2"/>
  <c r="D179" i="2"/>
  <c r="E179" i="2" s="1"/>
  <c r="I179" i="2"/>
  <c r="H179" i="2"/>
  <c r="D438" i="2"/>
  <c r="E438" i="2" s="1"/>
  <c r="I438" i="2"/>
  <c r="H438" i="2"/>
  <c r="D748" i="2"/>
  <c r="E748" i="2" s="1"/>
  <c r="I748" i="2"/>
  <c r="H748" i="2"/>
  <c r="D235" i="2"/>
  <c r="E235" i="2" s="1"/>
  <c r="H235" i="2"/>
  <c r="I235" i="2"/>
  <c r="D665" i="2"/>
  <c r="E665" i="2" s="1"/>
  <c r="I665" i="2"/>
  <c r="H665" i="2"/>
  <c r="D260" i="2"/>
  <c r="E260" i="2" s="1"/>
  <c r="I260" i="2"/>
  <c r="H260" i="2"/>
  <c r="D120" i="2"/>
  <c r="E120" i="2" s="1"/>
  <c r="I120" i="2"/>
  <c r="H120" i="2"/>
  <c r="D330" i="2"/>
  <c r="E330" i="2" s="1"/>
  <c r="I330" i="2"/>
  <c r="H330" i="2"/>
  <c r="D442" i="2"/>
  <c r="E442" i="2" s="1"/>
  <c r="H442" i="2"/>
  <c r="I442" i="2"/>
  <c r="D436" i="2"/>
  <c r="E436" i="2" s="1"/>
  <c r="I436" i="2"/>
  <c r="H436" i="2"/>
  <c r="D251" i="2"/>
  <c r="E251" i="2" s="1"/>
  <c r="I251" i="2"/>
  <c r="H251" i="2"/>
  <c r="D201" i="2"/>
  <c r="E201" i="2" s="1"/>
  <c r="I201" i="2"/>
  <c r="H201" i="2"/>
  <c r="D545" i="2"/>
  <c r="E545" i="2" s="1"/>
  <c r="I545" i="2"/>
  <c r="H545" i="2"/>
  <c r="D146" i="2"/>
  <c r="E146" i="2" s="1"/>
  <c r="I146" i="2"/>
  <c r="H146" i="2"/>
  <c r="D123" i="2"/>
  <c r="E123" i="2" s="1"/>
  <c r="H123" i="2"/>
  <c r="I123" i="2"/>
  <c r="D334" i="2"/>
  <c r="E334" i="2" s="1"/>
  <c r="I334" i="2"/>
  <c r="H334" i="2"/>
  <c r="D124" i="2"/>
  <c r="E124" i="2" s="1"/>
  <c r="I124" i="2"/>
  <c r="H124" i="2"/>
  <c r="D549" i="2"/>
  <c r="E549" i="2" s="1"/>
  <c r="I549" i="2"/>
  <c r="H549" i="2"/>
  <c r="D13" i="2"/>
  <c r="E13" i="2" s="1"/>
  <c r="I13" i="2"/>
  <c r="H13" i="2"/>
  <c r="D758" i="2"/>
  <c r="E758" i="2" s="1"/>
  <c r="I758" i="2"/>
  <c r="H758" i="2"/>
  <c r="D100" i="2"/>
  <c r="E100" i="2" s="1"/>
  <c r="I100" i="2"/>
  <c r="H100" i="2"/>
  <c r="D649" i="2"/>
  <c r="E649" i="2" s="1"/>
  <c r="I649" i="2"/>
  <c r="H649" i="2"/>
  <c r="D309" i="2"/>
  <c r="E309" i="2" s="1"/>
  <c r="H309" i="2"/>
  <c r="I309" i="2"/>
  <c r="D391" i="2"/>
  <c r="E391" i="2" s="1"/>
  <c r="I391" i="2"/>
  <c r="H391" i="2"/>
  <c r="D716" i="2"/>
  <c r="E716" i="2" s="1"/>
  <c r="I716" i="2"/>
  <c r="H716" i="2"/>
  <c r="D154" i="2"/>
  <c r="E154" i="2" s="1"/>
  <c r="I154" i="2"/>
  <c r="H154" i="2"/>
  <c r="D140" i="2"/>
  <c r="E140" i="2" s="1"/>
  <c r="I140" i="2"/>
  <c r="H140" i="2"/>
  <c r="D226" i="2"/>
  <c r="E226" i="2" s="1"/>
  <c r="I226" i="2"/>
  <c r="H226" i="2"/>
  <c r="D696" i="2"/>
  <c r="E696" i="2" s="1"/>
  <c r="H696" i="2"/>
  <c r="I696" i="2"/>
  <c r="I443" i="2"/>
  <c r="H443" i="2"/>
  <c r="D406" i="2"/>
  <c r="E406" i="2" s="1"/>
  <c r="I406" i="2"/>
  <c r="H406" i="2"/>
  <c r="D776" i="2"/>
  <c r="E776" i="2" s="1"/>
  <c r="I776" i="2"/>
  <c r="H776" i="2"/>
  <c r="D116" i="2"/>
  <c r="E116" i="2" s="1"/>
  <c r="I116" i="2"/>
  <c r="H116" i="2"/>
  <c r="D203" i="2"/>
  <c r="E203" i="2" s="1"/>
  <c r="I203" i="2"/>
  <c r="H203" i="2"/>
  <c r="D19" i="2"/>
  <c r="E19" i="2" s="1"/>
  <c r="I19" i="2"/>
  <c r="H19" i="2"/>
  <c r="H198" i="2"/>
  <c r="I198" i="2"/>
  <c r="D762" i="2"/>
  <c r="E762" i="2" s="1"/>
  <c r="I762" i="2"/>
  <c r="H762" i="2"/>
  <c r="I463" i="2"/>
  <c r="H463" i="2"/>
  <c r="D22" i="2"/>
  <c r="E22" i="2" s="1"/>
  <c r="H22" i="2"/>
  <c r="I22" i="2"/>
  <c r="D789" i="2"/>
  <c r="E789" i="2" s="1"/>
  <c r="I789" i="2"/>
  <c r="H789" i="2"/>
  <c r="I288" i="2"/>
  <c r="H288" i="2"/>
  <c r="I723" i="2"/>
  <c r="H723" i="2"/>
  <c r="H188" i="2"/>
  <c r="I188" i="2"/>
  <c r="I363" i="2"/>
  <c r="H363" i="2"/>
  <c r="I184" i="2"/>
  <c r="H184" i="2"/>
  <c r="H628" i="2"/>
  <c r="I628" i="2"/>
  <c r="D233" i="2"/>
  <c r="E233" i="2" s="1"/>
  <c r="I233" i="2"/>
  <c r="H233" i="2"/>
  <c r="I75" i="2"/>
  <c r="H75" i="2"/>
  <c r="D653" i="2"/>
  <c r="E653" i="2" s="1"/>
  <c r="I653" i="2"/>
  <c r="H653" i="2"/>
  <c r="I174" i="2"/>
  <c r="H174" i="2"/>
  <c r="I720" i="2"/>
  <c r="H720" i="2"/>
  <c r="D67" i="2"/>
  <c r="E67" i="2" s="1"/>
  <c r="I67" i="2"/>
  <c r="H67" i="2"/>
  <c r="D562" i="2"/>
  <c r="E562" i="2" s="1"/>
  <c r="I562" i="2"/>
  <c r="H562" i="2"/>
  <c r="D51" i="2"/>
  <c r="E51" i="2" s="1"/>
  <c r="I51" i="2"/>
  <c r="H51" i="2"/>
  <c r="D573" i="2"/>
  <c r="E573" i="2" s="1"/>
  <c r="I573" i="2"/>
  <c r="H573" i="2"/>
  <c r="D407" i="2"/>
  <c r="E407" i="2" s="1"/>
  <c r="I407" i="2"/>
  <c r="H407" i="2"/>
  <c r="D160" i="2"/>
  <c r="E160" i="2" s="1"/>
  <c r="H160" i="2"/>
  <c r="I160" i="2"/>
  <c r="D742" i="2"/>
  <c r="E742" i="2" s="1"/>
  <c r="I742" i="2"/>
  <c r="H742" i="2"/>
  <c r="D27" i="2"/>
  <c r="E27" i="2" s="1"/>
  <c r="I27" i="2"/>
  <c r="H27" i="2"/>
  <c r="D587" i="2"/>
  <c r="E587" i="2" s="1"/>
  <c r="H587" i="2"/>
  <c r="I587" i="2"/>
  <c r="D350" i="2"/>
  <c r="E350" i="2" s="1"/>
  <c r="I350" i="2"/>
  <c r="H350" i="2"/>
  <c r="D480" i="2"/>
  <c r="E480" i="2" s="1"/>
  <c r="I480" i="2"/>
  <c r="H480" i="2"/>
  <c r="D550" i="2"/>
  <c r="E550" i="2" s="1"/>
  <c r="I550" i="2"/>
  <c r="H550" i="2"/>
  <c r="D77" i="2"/>
  <c r="E77" i="2" s="1"/>
  <c r="I77" i="2"/>
  <c r="H77" i="2"/>
  <c r="D715" i="2"/>
  <c r="E715" i="2" s="1"/>
  <c r="I715" i="2"/>
  <c r="H715" i="2"/>
  <c r="D497" i="2"/>
  <c r="E497" i="2" s="1"/>
  <c r="I497" i="2"/>
  <c r="H497" i="2"/>
  <c r="D703" i="2"/>
  <c r="E703" i="2" s="1"/>
  <c r="I703" i="2"/>
  <c r="H703" i="2"/>
  <c r="D259" i="2"/>
  <c r="E259" i="2" s="1"/>
  <c r="I259" i="2"/>
  <c r="H259" i="2"/>
  <c r="D792" i="2"/>
  <c r="E792" i="2" s="1"/>
  <c r="I792" i="2"/>
  <c r="H792" i="2"/>
  <c r="D308" i="2"/>
  <c r="E308" i="2" s="1"/>
  <c r="I308" i="2"/>
  <c r="H308" i="2"/>
  <c r="D811" i="2"/>
  <c r="E811" i="2" s="1"/>
  <c r="H811" i="2"/>
  <c r="I811" i="2"/>
  <c r="D161" i="2"/>
  <c r="E161" i="2" s="1"/>
  <c r="H161" i="2"/>
  <c r="I161" i="2"/>
  <c r="D627" i="2"/>
  <c r="E627" i="2" s="1"/>
  <c r="H627" i="2"/>
  <c r="I627" i="2"/>
  <c r="D491" i="2"/>
  <c r="E491" i="2" s="1"/>
  <c r="H491" i="2"/>
  <c r="I491" i="2"/>
  <c r="D69" i="2"/>
  <c r="E69" i="2" s="1"/>
  <c r="I69" i="2"/>
  <c r="H69" i="2"/>
  <c r="D594" i="2"/>
  <c r="E594" i="2" s="1"/>
  <c r="I594" i="2"/>
  <c r="H594" i="2"/>
  <c r="D155" i="2"/>
  <c r="E155" i="2" s="1"/>
  <c r="H155" i="2"/>
  <c r="I155" i="2"/>
  <c r="D816" i="2"/>
  <c r="E816" i="2" s="1"/>
  <c r="I816" i="2"/>
  <c r="H816" i="2"/>
  <c r="D15" i="2"/>
  <c r="E15" i="2" s="1"/>
  <c r="H15" i="2"/>
  <c r="I15" i="2"/>
  <c r="D87" i="2"/>
  <c r="E87" i="2" s="1"/>
  <c r="I87" i="2"/>
  <c r="H87" i="2"/>
  <c r="D514" i="2"/>
  <c r="E514" i="2" s="1"/>
  <c r="I514" i="2"/>
  <c r="H514" i="2"/>
  <c r="D818" i="2"/>
  <c r="E818" i="2" s="1"/>
  <c r="H818" i="2"/>
  <c r="I818" i="2"/>
  <c r="D435" i="2"/>
  <c r="E435" i="2" s="1"/>
  <c r="H435" i="2"/>
  <c r="I435" i="2"/>
  <c r="D409" i="2"/>
  <c r="E409" i="2" s="1"/>
  <c r="H409" i="2"/>
  <c r="I409" i="2"/>
  <c r="D393" i="2"/>
  <c r="E393" i="2" s="1"/>
  <c r="I393" i="2"/>
  <c r="H393" i="2"/>
  <c r="D176" i="2"/>
  <c r="E176" i="2" s="1"/>
  <c r="I176" i="2"/>
  <c r="H176" i="2"/>
  <c r="D499" i="2"/>
  <c r="E499" i="2" s="1"/>
  <c r="I499" i="2"/>
  <c r="H499" i="2"/>
  <c r="D408" i="2"/>
  <c r="E408" i="2" s="1"/>
  <c r="I408" i="2"/>
  <c r="H408" i="2"/>
  <c r="D143" i="2"/>
  <c r="E143" i="2" s="1"/>
  <c r="I143" i="2"/>
  <c r="H143" i="2"/>
  <c r="D329" i="2"/>
  <c r="E329" i="2" s="1"/>
  <c r="I329" i="2"/>
  <c r="H329" i="2"/>
  <c r="D682" i="2"/>
  <c r="E682" i="2" s="1"/>
  <c r="I682" i="2"/>
  <c r="H682" i="2"/>
  <c r="D700" i="2"/>
  <c r="E700" i="2" s="1"/>
  <c r="I700" i="2"/>
  <c r="H700" i="2"/>
  <c r="D68" i="2"/>
  <c r="E68" i="2" s="1"/>
  <c r="I68" i="2"/>
  <c r="H68" i="2"/>
  <c r="D530" i="2"/>
  <c r="E530" i="2" s="1"/>
  <c r="I530" i="2"/>
  <c r="H530" i="2"/>
  <c r="I199" i="2"/>
  <c r="H199" i="2"/>
  <c r="D104" i="2"/>
  <c r="E104" i="2" s="1"/>
  <c r="I104" i="2"/>
  <c r="H104" i="2"/>
  <c r="I467" i="2"/>
  <c r="H467" i="2"/>
  <c r="I343" i="2"/>
  <c r="H343" i="2"/>
  <c r="I126" i="2"/>
  <c r="H126" i="2"/>
  <c r="H72" i="2"/>
  <c r="I72" i="2"/>
  <c r="H404" i="2"/>
  <c r="I404" i="2"/>
  <c r="I726" i="2"/>
  <c r="H726" i="2"/>
  <c r="I35" i="2"/>
  <c r="H35" i="2"/>
  <c r="D356" i="2"/>
  <c r="E356" i="2" s="1"/>
  <c r="I356" i="2"/>
  <c r="H356" i="2"/>
  <c r="I768" i="2"/>
  <c r="H768" i="2"/>
  <c r="I197" i="2"/>
  <c r="H197" i="2"/>
  <c r="I37" i="2"/>
  <c r="H37" i="2"/>
  <c r="I432" i="2"/>
  <c r="H432" i="2"/>
  <c r="D502" i="2"/>
  <c r="E502" i="2" s="1"/>
  <c r="I502" i="2"/>
  <c r="H502" i="2"/>
  <c r="D192" i="2"/>
  <c r="E192" i="2" s="1"/>
  <c r="I192" i="2"/>
  <c r="H192" i="2"/>
  <c r="D345" i="2"/>
  <c r="E345" i="2" s="1"/>
  <c r="I345" i="2"/>
  <c r="H345" i="2"/>
  <c r="D820" i="2"/>
  <c r="E820" i="2" s="1"/>
  <c r="I820" i="2"/>
  <c r="H820" i="2"/>
  <c r="D238" i="2"/>
  <c r="E238" i="2" s="1"/>
  <c r="I238" i="2"/>
  <c r="H238" i="2"/>
  <c r="D175" i="2"/>
  <c r="E175" i="2" s="1"/>
  <c r="I175" i="2"/>
  <c r="H175" i="2"/>
  <c r="D454" i="2"/>
  <c r="E454" i="2" s="1"/>
  <c r="I454" i="2"/>
  <c r="H454" i="2"/>
  <c r="D483" i="2"/>
  <c r="E483" i="2" s="1"/>
  <c r="I483" i="2"/>
  <c r="H483" i="2"/>
  <c r="D254" i="2"/>
  <c r="E254" i="2" s="1"/>
  <c r="I254" i="2"/>
  <c r="H254" i="2"/>
  <c r="D85" i="2"/>
  <c r="E85" i="2" s="1"/>
  <c r="I85" i="2"/>
  <c r="H85" i="2"/>
  <c r="D112" i="2"/>
  <c r="E112" i="2" s="1"/>
  <c r="I112" i="2"/>
  <c r="H112" i="2"/>
  <c r="D699" i="2"/>
  <c r="E699" i="2" s="1"/>
  <c r="I699" i="2"/>
  <c r="H699" i="2"/>
  <c r="D531" i="2"/>
  <c r="E531" i="2" s="1"/>
  <c r="I531" i="2"/>
  <c r="H531" i="2"/>
  <c r="D619" i="2"/>
  <c r="E619" i="2" s="1"/>
  <c r="I619" i="2"/>
  <c r="H619" i="2"/>
  <c r="D255" i="2"/>
  <c r="E255" i="2" s="1"/>
  <c r="I255" i="2"/>
  <c r="H255" i="2"/>
  <c r="D817" i="2"/>
  <c r="E817" i="2" s="1"/>
  <c r="I817" i="2"/>
  <c r="H817" i="2"/>
  <c r="D328" i="2"/>
  <c r="E328" i="2" s="1"/>
  <c r="I328" i="2"/>
  <c r="H328" i="2"/>
  <c r="D437" i="2"/>
  <c r="E437" i="2" s="1"/>
  <c r="I437" i="2"/>
  <c r="H437" i="2"/>
  <c r="D380" i="2"/>
  <c r="E380" i="2" s="1"/>
  <c r="I380" i="2"/>
  <c r="H380" i="2"/>
  <c r="D392" i="2"/>
  <c r="E392" i="2" s="1"/>
  <c r="I392" i="2"/>
  <c r="H392" i="2"/>
  <c r="D795" i="2"/>
  <c r="E795" i="2" s="1"/>
  <c r="H795" i="2"/>
  <c r="I795" i="2"/>
  <c r="D114" i="2"/>
  <c r="E114" i="2" s="1"/>
  <c r="I114" i="2"/>
  <c r="H114" i="2"/>
  <c r="D650" i="2"/>
  <c r="E650" i="2" s="1"/>
  <c r="I650" i="2"/>
  <c r="H650" i="2"/>
  <c r="D142" i="2"/>
  <c r="E142" i="2" s="1"/>
  <c r="I142" i="2"/>
  <c r="H142" i="2"/>
  <c r="D451" i="2"/>
  <c r="E451" i="2" s="1"/>
  <c r="H451" i="2"/>
  <c r="I451" i="2"/>
  <c r="D625" i="2"/>
  <c r="E625" i="2" s="1"/>
  <c r="I625" i="2"/>
  <c r="H625" i="2"/>
  <c r="D683" i="2"/>
  <c r="E683" i="2" s="1"/>
  <c r="I683" i="2"/>
  <c r="H683" i="2"/>
  <c r="D377" i="2"/>
  <c r="E377" i="2" s="1"/>
  <c r="I377" i="2"/>
  <c r="H377" i="2"/>
  <c r="D411" i="2"/>
  <c r="E411" i="2" s="1"/>
  <c r="I411" i="2"/>
  <c r="H411" i="2"/>
  <c r="D639" i="2"/>
  <c r="E639" i="2" s="1"/>
  <c r="I639" i="2"/>
  <c r="H639" i="2"/>
  <c r="D819" i="2"/>
  <c r="E819" i="2" s="1"/>
  <c r="I819" i="2"/>
  <c r="H819" i="2"/>
  <c r="D125" i="2"/>
  <c r="E125" i="2" s="1"/>
  <c r="I125" i="2"/>
  <c r="H125" i="2"/>
  <c r="D178" i="2"/>
  <c r="E178" i="2" s="1"/>
  <c r="I178" i="2"/>
  <c r="H178" i="2"/>
  <c r="D310" i="2"/>
  <c r="E310" i="2" s="1"/>
  <c r="I310" i="2"/>
  <c r="H310" i="2"/>
  <c r="D44" i="2"/>
  <c r="E44" i="2" s="1"/>
  <c r="I44" i="2"/>
  <c r="H44" i="2"/>
  <c r="D493" i="2"/>
  <c r="E493" i="2" s="1"/>
  <c r="I493" i="2"/>
  <c r="H493" i="2"/>
  <c r="D291" i="2"/>
  <c r="E291" i="2" s="1"/>
  <c r="H291" i="2"/>
  <c r="I291" i="2"/>
  <c r="D119" i="2"/>
  <c r="E119" i="2" s="1"/>
  <c r="I119" i="2"/>
  <c r="H119" i="2"/>
  <c r="D453" i="2"/>
  <c r="E453" i="2" s="1"/>
  <c r="H453" i="2"/>
  <c r="I453" i="2"/>
  <c r="D110" i="2"/>
  <c r="E110" i="2" s="1"/>
  <c r="H110" i="2"/>
  <c r="I110" i="2"/>
  <c r="D333" i="12"/>
  <c r="E333" i="12" s="1"/>
  <c r="D38" i="12"/>
  <c r="E38" i="12" s="1"/>
  <c r="D440" i="12"/>
  <c r="E440" i="12" s="1"/>
  <c r="D72" i="5"/>
  <c r="E72" i="5" s="1"/>
  <c r="E319" i="7"/>
  <c r="G260" i="5"/>
  <c r="D260" i="5"/>
  <c r="E260" i="5" s="1"/>
  <c r="E382" i="7"/>
  <c r="D508" i="2"/>
  <c r="E508" i="2" s="1"/>
  <c r="D465" i="2"/>
  <c r="E465" i="2" s="1"/>
  <c r="D447" i="2"/>
  <c r="E447" i="2" s="1"/>
  <c r="D633" i="2"/>
  <c r="E633" i="2" s="1"/>
  <c r="D774" i="2"/>
  <c r="E774" i="2" s="1"/>
  <c r="D187" i="2"/>
  <c r="E187" i="2" s="1"/>
  <c r="D362" i="2"/>
  <c r="E362" i="2" s="1"/>
  <c r="D337" i="2"/>
  <c r="E337" i="2" s="1"/>
  <c r="D446" i="2"/>
  <c r="E446" i="2" s="1"/>
  <c r="D775" i="2"/>
  <c r="E775" i="2" s="1"/>
  <c r="D108" i="2"/>
  <c r="E108" i="2" s="1"/>
  <c r="D402" i="2"/>
  <c r="E402" i="2" s="1"/>
  <c r="D504" i="2"/>
  <c r="E504" i="2" s="1"/>
  <c r="D365" i="2"/>
  <c r="E365" i="2" s="1"/>
  <c r="D556" i="2"/>
  <c r="E556" i="2" s="1"/>
  <c r="D165" i="2"/>
  <c r="E165" i="2" s="1"/>
  <c r="D280" i="2"/>
  <c r="E280" i="2" s="1"/>
  <c r="D265" i="2"/>
  <c r="E265" i="2" s="1"/>
  <c r="D662" i="2"/>
  <c r="E662" i="2" s="1"/>
  <c r="D763" i="2"/>
  <c r="E763" i="2" s="1"/>
  <c r="D539" i="2"/>
  <c r="E539" i="2" s="1"/>
  <c r="D271" i="2"/>
  <c r="E271" i="2" s="1"/>
  <c r="D344" i="2"/>
  <c r="E344" i="2" s="1"/>
  <c r="D50" i="2"/>
  <c r="E50" i="2" s="1"/>
  <c r="D398" i="2"/>
  <c r="E398" i="2" s="1"/>
  <c r="D185" i="2"/>
  <c r="E185" i="2" s="1"/>
  <c r="D355" i="2"/>
  <c r="E355" i="2" s="1"/>
  <c r="D93" i="2"/>
  <c r="E93" i="2" s="1"/>
  <c r="D346" i="2"/>
  <c r="E346" i="2" s="1"/>
  <c r="D105" i="2"/>
  <c r="E105" i="2" s="1"/>
  <c r="D82" i="2"/>
  <c r="E82" i="2" s="1"/>
  <c r="D771" i="2"/>
  <c r="E771" i="2" s="1"/>
  <c r="D629" i="2"/>
  <c r="E629" i="2" s="1"/>
  <c r="D567" i="2"/>
  <c r="E567" i="2" s="1"/>
  <c r="D558" i="2"/>
  <c r="E558" i="2" s="1"/>
  <c r="D400" i="2"/>
  <c r="E400" i="2" s="1"/>
  <c r="D724" i="2"/>
  <c r="E724" i="2" s="1"/>
  <c r="D445" i="2"/>
  <c r="E445" i="2" s="1"/>
  <c r="D722" i="2"/>
  <c r="E722" i="2" s="1"/>
  <c r="D772" i="2"/>
  <c r="E772" i="2" s="1"/>
  <c r="D261" i="2"/>
  <c r="E261" i="2" s="1"/>
  <c r="D95" i="2"/>
  <c r="E95" i="2" s="1"/>
  <c r="D281" i="2"/>
  <c r="E281" i="2" s="1"/>
  <c r="D368" i="2"/>
  <c r="E368" i="2" s="1"/>
  <c r="D283" i="2"/>
  <c r="E283" i="2" s="1"/>
  <c r="D503" i="2"/>
  <c r="E503" i="2" s="1"/>
  <c r="D537" i="2"/>
  <c r="E537" i="2" s="1"/>
  <c r="D767" i="2"/>
  <c r="E767" i="2" s="1"/>
  <c r="D243" i="2"/>
  <c r="E243" i="2" s="1"/>
  <c r="D106" i="2"/>
  <c r="E106" i="2" s="1"/>
  <c r="D88" i="2"/>
  <c r="E88" i="2" s="1"/>
  <c r="D571" i="2"/>
  <c r="E571" i="2" s="1"/>
  <c r="D278" i="2"/>
  <c r="E278" i="2" s="1"/>
  <c r="D267" i="2"/>
  <c r="E267" i="2" s="1"/>
  <c r="D97" i="2"/>
  <c r="E97" i="2" s="1"/>
  <c r="D34" i="2"/>
  <c r="E34" i="2" s="1"/>
  <c r="D38" i="2"/>
  <c r="E38" i="2" s="1"/>
  <c r="D632" i="2"/>
  <c r="E632" i="2" s="1"/>
  <c r="D812" i="2"/>
  <c r="E812" i="2" s="1"/>
  <c r="D52" i="2"/>
  <c r="E52" i="2" s="1"/>
  <c r="D637" i="2"/>
  <c r="E637" i="2" s="1"/>
  <c r="D357" i="2"/>
  <c r="E357" i="2" s="1"/>
  <c r="D711" i="2"/>
  <c r="E711" i="2" s="1"/>
  <c r="D23" i="2"/>
  <c r="E23" i="2" s="1"/>
  <c r="D173" i="2"/>
  <c r="E173" i="2" s="1"/>
  <c r="D248" i="2"/>
  <c r="E248" i="2" s="1"/>
  <c r="D361" i="2"/>
  <c r="E361" i="2" s="1"/>
  <c r="D21" i="2"/>
  <c r="E21" i="2" s="1"/>
  <c r="D569" i="2"/>
  <c r="E569" i="2" s="1"/>
  <c r="D246" i="2"/>
  <c r="E246" i="2" s="1"/>
  <c r="D644" i="2"/>
  <c r="E644" i="2" s="1"/>
  <c r="D727" i="2"/>
  <c r="E727" i="2" s="1"/>
  <c r="D367" i="2"/>
  <c r="E367" i="2" s="1"/>
  <c r="D702" i="2"/>
  <c r="E702" i="2" s="1"/>
  <c r="D559" i="2"/>
  <c r="E559" i="2" s="1"/>
  <c r="D342" i="2"/>
  <c r="E342" i="2" s="1"/>
  <c r="D658" i="2"/>
  <c r="E658" i="2" s="1"/>
  <c r="D635" i="2"/>
  <c r="E635" i="2" s="1"/>
  <c r="D536" i="2"/>
  <c r="E536" i="2" s="1"/>
  <c r="D36" i="2"/>
  <c r="E36" i="2" s="1"/>
  <c r="D25" i="2"/>
  <c r="E25" i="2" s="1"/>
  <c r="D159" i="2"/>
  <c r="E159" i="2" s="1"/>
  <c r="D369" i="2"/>
  <c r="E369" i="2" s="1"/>
  <c r="D249" i="2"/>
  <c r="E249" i="2" s="1"/>
  <c r="D193" i="2"/>
  <c r="E193" i="2" s="1"/>
  <c r="D469" i="2"/>
  <c r="E469" i="2" s="1"/>
  <c r="D126" i="2"/>
  <c r="E126" i="2" s="1"/>
  <c r="D72" i="2"/>
  <c r="E72" i="2" s="1"/>
  <c r="D288" i="2"/>
  <c r="E288" i="2" s="1"/>
  <c r="D723" i="2"/>
  <c r="E723" i="2" s="1"/>
  <c r="D188" i="2"/>
  <c r="E188" i="2" s="1"/>
  <c r="D363" i="2"/>
  <c r="E363" i="2" s="1"/>
  <c r="D184" i="2"/>
  <c r="E184" i="2" s="1"/>
  <c r="D628" i="2"/>
  <c r="E628" i="2" s="1"/>
  <c r="D765" i="2"/>
  <c r="E765" i="2" s="1"/>
  <c r="D274" i="2"/>
  <c r="E274" i="2" s="1"/>
  <c r="D663" i="2"/>
  <c r="E663" i="2" s="1"/>
  <c r="D577" i="2"/>
  <c r="E577" i="2" s="1"/>
  <c r="D506" i="2"/>
  <c r="E506" i="2" s="1"/>
  <c r="D578" i="2"/>
  <c r="E578" i="2" s="1"/>
  <c r="D269" i="2"/>
  <c r="E269" i="2" s="1"/>
  <c r="D191" i="2"/>
  <c r="E191" i="2" s="1"/>
  <c r="D332" i="2"/>
  <c r="E332" i="2" s="1"/>
  <c r="D770" i="2"/>
  <c r="E770" i="2" s="1"/>
  <c r="D320" i="2"/>
  <c r="E320" i="2" s="1"/>
  <c r="D687" i="2"/>
  <c r="E687" i="2" s="1"/>
  <c r="D324" i="2"/>
  <c r="E324" i="2" s="1"/>
  <c r="D268" i="2"/>
  <c r="E268" i="2" s="1"/>
  <c r="D24" i="2"/>
  <c r="E24" i="2" s="1"/>
  <c r="D232" i="2"/>
  <c r="E232" i="2" s="1"/>
  <c r="D151" i="2"/>
  <c r="E151" i="2" s="1"/>
  <c r="D655" i="2"/>
  <c r="E655" i="2" s="1"/>
  <c r="D354" i="2"/>
  <c r="E354" i="2" s="1"/>
  <c r="D580" i="2"/>
  <c r="E580" i="2" s="1"/>
  <c r="D242" i="2"/>
  <c r="E242" i="2" s="1"/>
  <c r="D66" i="2"/>
  <c r="E66" i="2" s="1"/>
  <c r="D358" i="2"/>
  <c r="E358" i="2" s="1"/>
  <c r="D102" i="2"/>
  <c r="E102" i="2" s="1"/>
  <c r="D645" i="2"/>
  <c r="E645" i="2" s="1"/>
  <c r="D247" i="2"/>
  <c r="E247" i="2" s="1"/>
  <c r="D198" i="2"/>
  <c r="E198" i="2" s="1"/>
  <c r="D463" i="2"/>
  <c r="E463" i="2" s="1"/>
  <c r="D396" i="2"/>
  <c r="E396" i="2" s="1"/>
  <c r="D404" i="2"/>
  <c r="E404" i="2" s="1"/>
  <c r="D726" i="2"/>
  <c r="E726" i="2" s="1"/>
  <c r="D35" i="2"/>
  <c r="E35" i="2" s="1"/>
  <c r="D768" i="2"/>
  <c r="E768" i="2" s="1"/>
  <c r="D75" i="2"/>
  <c r="E75" i="2" s="1"/>
  <c r="D174" i="2"/>
  <c r="E174" i="2" s="1"/>
  <c r="D660" i="2"/>
  <c r="E660" i="2" s="1"/>
  <c r="D109" i="2"/>
  <c r="E109" i="2" s="1"/>
  <c r="D229" i="2"/>
  <c r="E229" i="2" s="1"/>
  <c r="D374" i="2"/>
  <c r="E374" i="2" s="1"/>
  <c r="D725" i="2"/>
  <c r="E725" i="2" s="1"/>
  <c r="D186" i="2"/>
  <c r="E186" i="2" s="1"/>
  <c r="D574" i="2"/>
  <c r="E574" i="2" s="1"/>
  <c r="D444" i="2"/>
  <c r="E444" i="2" s="1"/>
  <c r="D40" i="2"/>
  <c r="E40" i="2" s="1"/>
  <c r="D73" i="2"/>
  <c r="E73" i="2" s="1"/>
  <c r="D241" i="2"/>
  <c r="E241" i="2" s="1"/>
  <c r="D712" i="2"/>
  <c r="E712" i="2" s="1"/>
  <c r="D466" i="2"/>
  <c r="E466" i="2" s="1"/>
  <c r="D691" i="2"/>
  <c r="E691" i="2" s="1"/>
  <c r="D230" i="2"/>
  <c r="E230" i="2" s="1"/>
  <c r="D90" i="2"/>
  <c r="E90" i="2" s="1"/>
  <c r="D395" i="2"/>
  <c r="E395" i="2" s="1"/>
  <c r="D634" i="2"/>
  <c r="E634" i="2" s="1"/>
  <c r="D370" i="2"/>
  <c r="E370" i="2" s="1"/>
  <c r="D440" i="2"/>
  <c r="E440" i="2" s="1"/>
  <c r="D323" i="2"/>
  <c r="E323" i="2" s="1"/>
  <c r="D194" i="2"/>
  <c r="E194" i="2" s="1"/>
  <c r="D659" i="2"/>
  <c r="E659" i="2" s="1"/>
  <c r="D92" i="2"/>
  <c r="E92" i="2" s="1"/>
  <c r="D99" i="2"/>
  <c r="E99" i="2" s="1"/>
  <c r="D449" i="2"/>
  <c r="E449" i="2" s="1"/>
  <c r="D441" i="2"/>
  <c r="E441" i="2" s="1"/>
  <c r="D33" i="2"/>
  <c r="E33" i="2" s="1"/>
  <c r="D353" i="2"/>
  <c r="E353" i="2" s="1"/>
  <c r="D631" i="2"/>
  <c r="E631" i="2" s="1"/>
  <c r="D171" i="2"/>
  <c r="E171" i="2" s="1"/>
  <c r="D199" i="2"/>
  <c r="E199" i="2" s="1"/>
  <c r="D467" i="2"/>
  <c r="E467" i="2" s="1"/>
  <c r="D343" i="2"/>
  <c r="E343" i="2" s="1"/>
  <c r="D289" i="2"/>
  <c r="E289" i="2" s="1"/>
  <c r="D319" i="2"/>
  <c r="E319" i="2" s="1"/>
  <c r="D359" i="2"/>
  <c r="E359" i="2" s="1"/>
  <c r="D707" i="2"/>
  <c r="E707" i="2" s="1"/>
  <c r="D340" i="2"/>
  <c r="E340" i="2" s="1"/>
  <c r="D197" i="2"/>
  <c r="E197" i="2" s="1"/>
  <c r="D37" i="2"/>
  <c r="E37" i="2" s="1"/>
  <c r="D432" i="2"/>
  <c r="E432" i="2" s="1"/>
  <c r="D720" i="2"/>
  <c r="E720" i="2" s="1"/>
  <c r="D471" i="2"/>
  <c r="E471" i="2" s="1"/>
  <c r="D773" i="2"/>
  <c r="E773" i="2" s="1"/>
  <c r="D731" i="2"/>
  <c r="E731" i="2" s="1"/>
  <c r="D555" i="2"/>
  <c r="E555" i="2" s="1"/>
  <c r="D458" i="2"/>
  <c r="E458" i="2" s="1"/>
  <c r="D74" i="2"/>
  <c r="E74" i="2" s="1"/>
  <c r="D360" i="2"/>
  <c r="E360" i="2" s="1"/>
  <c r="D18" i="2"/>
  <c r="E18" i="2" s="1"/>
  <c r="D474" i="2"/>
  <c r="E474" i="2" s="1"/>
  <c r="D470" i="2"/>
  <c r="E470" i="2" s="1"/>
  <c r="D339" i="2"/>
  <c r="E339" i="2" s="1"/>
  <c r="D94" i="2"/>
  <c r="E94" i="2" s="1"/>
  <c r="D561" i="2"/>
  <c r="E561" i="2" s="1"/>
  <c r="D581" i="2"/>
  <c r="E581" i="2" s="1"/>
  <c r="D656" i="2"/>
  <c r="E656" i="2" s="1"/>
  <c r="D714" i="2"/>
  <c r="E714" i="2" s="1"/>
  <c r="D786" i="2"/>
  <c r="E786" i="2" s="1"/>
  <c r="D266" i="2"/>
  <c r="E266" i="2" s="1"/>
  <c r="D554" i="2"/>
  <c r="E554" i="2" s="1"/>
  <c r="D170" i="2"/>
  <c r="E170" i="2" s="1"/>
  <c r="D560" i="2"/>
  <c r="E560" i="2" s="1"/>
  <c r="D538" i="2"/>
  <c r="E538" i="2" s="1"/>
  <c r="D690" i="2"/>
  <c r="E690" i="2" s="1"/>
  <c r="D63" i="2"/>
  <c r="E63" i="2" s="1"/>
  <c r="D729" i="2"/>
  <c r="E729" i="2" s="1"/>
  <c r="D228" i="2"/>
  <c r="E228" i="2" s="1"/>
  <c r="D152" i="2"/>
  <c r="E152" i="2" s="1"/>
  <c r="D476" i="2"/>
  <c r="E476" i="2" s="1"/>
  <c r="D709" i="2"/>
  <c r="E709" i="2" s="1"/>
  <c r="D713" i="2"/>
  <c r="E713" i="2" s="1"/>
  <c r="D814" i="2"/>
  <c r="E814" i="2" s="1"/>
  <c r="D457" i="2"/>
  <c r="E457" i="2" s="1"/>
  <c r="D270" i="2"/>
  <c r="E270" i="2" s="1"/>
  <c r="D766" i="2"/>
  <c r="E766" i="2" s="1"/>
  <c r="D439" i="2"/>
  <c r="E439" i="2" s="1"/>
  <c r="D791" i="2"/>
  <c r="E791" i="2" s="1"/>
  <c r="D718" i="2"/>
  <c r="E718" i="2" s="1"/>
  <c r="D157" i="2"/>
  <c r="E157" i="2" s="1"/>
  <c r="D475" i="2"/>
  <c r="E475" i="2" s="1"/>
  <c r="D262" i="2"/>
  <c r="E262" i="2" s="1"/>
  <c r="D91" i="2"/>
  <c r="E91" i="2" s="1"/>
  <c r="D169" i="2"/>
  <c r="E169" i="2" s="1"/>
  <c r="D450" i="2"/>
  <c r="E450" i="2" s="1"/>
  <c r="D279" i="2"/>
  <c r="E279" i="2" s="1"/>
  <c r="D263" i="2"/>
  <c r="E263" i="2" s="1"/>
  <c r="D468" i="2"/>
  <c r="E468" i="2" s="1"/>
  <c r="D477" i="2"/>
  <c r="E477" i="2" s="1"/>
  <c r="D76" i="2"/>
  <c r="E76" i="2" s="1"/>
  <c r="D769" i="2"/>
  <c r="E769" i="2" s="1"/>
  <c r="D264" i="2"/>
  <c r="E264" i="2" s="1"/>
  <c r="D273" i="2"/>
  <c r="E273" i="2" s="1"/>
  <c r="D403" i="2"/>
  <c r="E403" i="2" s="1"/>
  <c r="D626" i="2"/>
  <c r="E626" i="2" s="1"/>
  <c r="D321" i="2"/>
  <c r="E321" i="2" s="1"/>
  <c r="D375" i="2"/>
  <c r="E375" i="2" s="1"/>
  <c r="D183" i="2"/>
  <c r="E183" i="2" s="1"/>
  <c r="D460" i="2"/>
  <c r="E460" i="2" s="1"/>
  <c r="D710" i="2"/>
  <c r="E710" i="2" s="1"/>
  <c r="D245" i="2"/>
  <c r="E245" i="2" s="1"/>
  <c r="D364" i="2"/>
  <c r="E364" i="2" s="1"/>
  <c r="D336" i="2"/>
  <c r="E336" i="2" s="1"/>
  <c r="D282" i="2"/>
  <c r="E282" i="2" s="1"/>
  <c r="D657" i="2"/>
  <c r="E657" i="2" s="1"/>
  <c r="D534" i="2"/>
  <c r="E534" i="2" s="1"/>
  <c r="F621" i="12"/>
  <c r="D621" i="12"/>
  <c r="E621" i="12" s="1"/>
  <c r="F55" i="12"/>
  <c r="H55" i="12" s="1"/>
  <c r="D55" i="12"/>
  <c r="E55" i="12" s="1"/>
  <c r="F68" i="12"/>
  <c r="H68" i="12" s="1"/>
  <c r="D68" i="12"/>
  <c r="E68" i="12" s="1"/>
  <c r="F651" i="12"/>
  <c r="H651" i="12" s="1"/>
  <c r="D651" i="12"/>
  <c r="E651" i="12" s="1"/>
  <c r="F374" i="12"/>
  <c r="D374" i="12"/>
  <c r="E374" i="12" s="1"/>
  <c r="F270" i="12"/>
  <c r="H270" i="12" s="1"/>
  <c r="D270" i="12"/>
  <c r="E270" i="12" s="1"/>
  <c r="F169" i="12"/>
  <c r="H169" i="12" s="1"/>
  <c r="D169" i="12"/>
  <c r="E169" i="12" s="1"/>
  <c r="F592" i="12"/>
  <c r="H592" i="12" s="1"/>
  <c r="D592" i="12"/>
  <c r="E592" i="12" s="1"/>
  <c r="F75" i="12"/>
  <c r="H75" i="12" s="1"/>
  <c r="D75" i="12"/>
  <c r="E75" i="12" s="1"/>
  <c r="F653" i="12"/>
  <c r="H653" i="12" s="1"/>
  <c r="D653" i="12"/>
  <c r="E653" i="12" s="1"/>
  <c r="F443" i="12"/>
  <c r="H443" i="12" s="1"/>
  <c r="D443" i="12"/>
  <c r="E443" i="12" s="1"/>
  <c r="F283" i="12"/>
  <c r="H283" i="12" s="1"/>
  <c r="D283" i="12"/>
  <c r="E283" i="12" s="1"/>
  <c r="F191" i="12"/>
  <c r="D191" i="12"/>
  <c r="E191" i="12" s="1"/>
  <c r="F241" i="12"/>
  <c r="H241" i="12" s="1"/>
  <c r="D241" i="12"/>
  <c r="E241" i="12" s="1"/>
  <c r="F158" i="12"/>
  <c r="H158" i="12" s="1"/>
  <c r="D158" i="12"/>
  <c r="E158" i="12" s="1"/>
  <c r="F133" i="12"/>
  <c r="H133" i="12" s="1"/>
  <c r="D133" i="12"/>
  <c r="E133" i="12" s="1"/>
  <c r="F541" i="12"/>
  <c r="H541" i="12" s="1"/>
  <c r="D541" i="12"/>
  <c r="E541" i="12" s="1"/>
  <c r="F321" i="12"/>
  <c r="H321" i="12" s="1"/>
  <c r="D321" i="12"/>
  <c r="E321" i="12" s="1"/>
  <c r="F597" i="12"/>
  <c r="H597" i="12" s="1"/>
  <c r="D597" i="12"/>
  <c r="E597" i="12" s="1"/>
  <c r="F558" i="12"/>
  <c r="H558" i="12" s="1"/>
  <c r="D558" i="12"/>
  <c r="E558" i="12" s="1"/>
  <c r="F665" i="12"/>
  <c r="H665" i="12" s="1"/>
  <c r="D665" i="12"/>
  <c r="E665" i="12" s="1"/>
  <c r="F10" i="12"/>
  <c r="H10" i="12" s="1"/>
  <c r="D10" i="12"/>
  <c r="E10" i="12" s="1"/>
  <c r="F622" i="12"/>
  <c r="H622" i="12" s="1"/>
  <c r="D622" i="12"/>
  <c r="E622" i="12" s="1"/>
  <c r="F130" i="12"/>
  <c r="H130" i="12" s="1"/>
  <c r="D130" i="12"/>
  <c r="E130" i="12" s="1"/>
  <c r="F547" i="12"/>
  <c r="H547" i="12" s="1"/>
  <c r="D547" i="12"/>
  <c r="E547" i="12" s="1"/>
  <c r="F127" i="12"/>
  <c r="H127" i="12" s="1"/>
  <c r="D127" i="12"/>
  <c r="E127" i="12" s="1"/>
  <c r="F609" i="12"/>
  <c r="D609" i="12"/>
  <c r="E609" i="12" s="1"/>
  <c r="F681" i="12"/>
  <c r="H681" i="12" s="1"/>
  <c r="D681" i="12"/>
  <c r="E681" i="12" s="1"/>
  <c r="F576" i="12"/>
  <c r="H576" i="12" s="1"/>
  <c r="D576" i="12"/>
  <c r="E576" i="12" s="1"/>
  <c r="F643" i="12"/>
  <c r="H643" i="12" s="1"/>
  <c r="D643" i="12"/>
  <c r="E643" i="12" s="1"/>
  <c r="F626" i="12"/>
  <c r="D626" i="12"/>
  <c r="E626" i="12" s="1"/>
  <c r="F63" i="12"/>
  <c r="H63" i="12" s="1"/>
  <c r="D63" i="12"/>
  <c r="E63" i="12" s="1"/>
  <c r="F458" i="12"/>
  <c r="H458" i="12" s="1"/>
  <c r="D458" i="12"/>
  <c r="E458" i="12" s="1"/>
  <c r="F623" i="12"/>
  <c r="H623" i="12" s="1"/>
  <c r="D623" i="12"/>
  <c r="E623" i="12" s="1"/>
  <c r="F57" i="12"/>
  <c r="D57" i="12"/>
  <c r="E57" i="12" s="1"/>
  <c r="F434" i="12"/>
  <c r="H434" i="12" s="1"/>
  <c r="D434" i="12"/>
  <c r="E434" i="12" s="1"/>
  <c r="F403" i="12"/>
  <c r="H403" i="12" s="1"/>
  <c r="D403" i="12"/>
  <c r="E403" i="12" s="1"/>
  <c r="F632" i="12"/>
  <c r="H632" i="12" s="1"/>
  <c r="D632" i="12"/>
  <c r="E632" i="12" s="1"/>
  <c r="F327" i="12"/>
  <c r="H327" i="12" s="1"/>
  <c r="D327" i="12"/>
  <c r="E327" i="12" s="1"/>
  <c r="F258" i="12"/>
  <c r="D258" i="12"/>
  <c r="E258" i="12" s="1"/>
  <c r="F248" i="12"/>
  <c r="H248" i="12" s="1"/>
  <c r="D248" i="12"/>
  <c r="E248" i="12" s="1"/>
  <c r="F618" i="12"/>
  <c r="H618" i="12" s="1"/>
  <c r="D618" i="12"/>
  <c r="E618" i="12" s="1"/>
  <c r="F37" i="12"/>
  <c r="D37" i="12"/>
  <c r="E37" i="12" s="1"/>
  <c r="F437" i="12"/>
  <c r="H437" i="12" s="1"/>
  <c r="D437" i="12"/>
  <c r="E437" i="12" s="1"/>
  <c r="F407" i="12"/>
  <c r="H407" i="12" s="1"/>
  <c r="D407" i="12"/>
  <c r="E407" i="12" s="1"/>
  <c r="F661" i="12"/>
  <c r="H661" i="12" s="1"/>
  <c r="D661" i="12"/>
  <c r="E661" i="12" s="1"/>
  <c r="F338" i="12"/>
  <c r="H338" i="12" s="1"/>
  <c r="D338" i="12"/>
  <c r="E338" i="12" s="1"/>
  <c r="F450" i="12"/>
  <c r="H450" i="12" s="1"/>
  <c r="D450" i="12"/>
  <c r="E450" i="12" s="1"/>
  <c r="F381" i="12"/>
  <c r="H381" i="12" s="1"/>
  <c r="D381" i="12"/>
  <c r="E381" i="12" s="1"/>
  <c r="F265" i="12"/>
  <c r="H265" i="12" s="1"/>
  <c r="D265" i="12"/>
  <c r="E265" i="12" s="1"/>
  <c r="F161" i="12"/>
  <c r="H161" i="12" s="1"/>
  <c r="D161" i="12"/>
  <c r="E161" i="12" s="1"/>
  <c r="F132" i="12"/>
  <c r="H132" i="12" s="1"/>
  <c r="D132" i="12"/>
  <c r="E132" i="12" s="1"/>
  <c r="F125" i="12"/>
  <c r="H125" i="12" s="1"/>
  <c r="D125" i="12"/>
  <c r="E125" i="12" s="1"/>
  <c r="F150" i="12"/>
  <c r="H150" i="12" s="1"/>
  <c r="D150" i="12"/>
  <c r="E150" i="12" s="1"/>
  <c r="F384" i="12"/>
  <c r="H384" i="12" s="1"/>
  <c r="D384" i="12"/>
  <c r="E384" i="12" s="1"/>
  <c r="F582" i="12"/>
  <c r="H582" i="12" s="1"/>
  <c r="D582" i="12"/>
  <c r="E582" i="12" s="1"/>
  <c r="F346" i="12"/>
  <c r="D346" i="12"/>
  <c r="E346" i="12" s="1"/>
  <c r="F493" i="12"/>
  <c r="H493" i="12" s="1"/>
  <c r="D493" i="12"/>
  <c r="E493" i="12" s="1"/>
  <c r="F588" i="12"/>
  <c r="D588" i="12"/>
  <c r="E588" i="12" s="1"/>
  <c r="F560" i="12"/>
  <c r="H560" i="12" s="1"/>
  <c r="D560" i="12"/>
  <c r="E560" i="12" s="1"/>
  <c r="F664" i="12"/>
  <c r="H664" i="12" s="1"/>
  <c r="D664" i="12"/>
  <c r="E664" i="12" s="1"/>
  <c r="F83" i="12"/>
  <c r="H83" i="12" s="1"/>
  <c r="D83" i="12"/>
  <c r="E83" i="12" s="1"/>
  <c r="F298" i="12"/>
  <c r="H298" i="12" s="1"/>
  <c r="D298" i="12"/>
  <c r="E298" i="12" s="1"/>
  <c r="F196" i="12"/>
  <c r="H196" i="12" s="1"/>
  <c r="D196" i="12"/>
  <c r="E196" i="12" s="1"/>
  <c r="F168" i="12"/>
  <c r="H168" i="12" s="1"/>
  <c r="D168" i="12"/>
  <c r="E168" i="12" s="1"/>
  <c r="F536" i="12"/>
  <c r="H536" i="12" s="1"/>
  <c r="D536" i="12"/>
  <c r="E536" i="12" s="1"/>
  <c r="F574" i="12"/>
  <c r="H574" i="12" s="1"/>
  <c r="D574" i="12"/>
  <c r="E574" i="12" s="1"/>
  <c r="F629" i="12"/>
  <c r="H629" i="12" s="1"/>
  <c r="D629" i="12"/>
  <c r="E629" i="12" s="1"/>
  <c r="F482" i="12"/>
  <c r="D482" i="12"/>
  <c r="E482" i="12" s="1"/>
  <c r="F512" i="12"/>
  <c r="H512" i="12" s="1"/>
  <c r="D512" i="12"/>
  <c r="E512" i="12" s="1"/>
  <c r="F603" i="12"/>
  <c r="D603" i="12"/>
  <c r="E603" i="12" s="1"/>
  <c r="F546" i="12"/>
  <c r="D546" i="12"/>
  <c r="E546" i="12" s="1"/>
  <c r="F99" i="12"/>
  <c r="H99" i="12" s="1"/>
  <c r="D99" i="12"/>
  <c r="E99" i="12" s="1"/>
  <c r="F657" i="12"/>
  <c r="H657" i="12" s="1"/>
  <c r="D657" i="12"/>
  <c r="E657" i="12" s="1"/>
  <c r="F293" i="12"/>
  <c r="D293" i="12"/>
  <c r="E293" i="12" s="1"/>
  <c r="F628" i="12"/>
  <c r="H628" i="12" s="1"/>
  <c r="D628" i="12"/>
  <c r="E628" i="12" s="1"/>
  <c r="F54" i="12"/>
  <c r="D54" i="12"/>
  <c r="E54" i="12" s="1"/>
  <c r="F406" i="12"/>
  <c r="H406" i="12" s="1"/>
  <c r="D406" i="12"/>
  <c r="E406" i="12" s="1"/>
  <c r="F487" i="12"/>
  <c r="H487" i="12" s="1"/>
  <c r="D487" i="12"/>
  <c r="E487" i="12" s="1"/>
  <c r="F39" i="12"/>
  <c r="H39" i="12" s="1"/>
  <c r="D39" i="12"/>
  <c r="E39" i="12" s="1"/>
  <c r="F453" i="12"/>
  <c r="H453" i="12" s="1"/>
  <c r="D453" i="12"/>
  <c r="E453" i="12" s="1"/>
  <c r="F263" i="12"/>
  <c r="H263" i="12" s="1"/>
  <c r="D263" i="12"/>
  <c r="E263" i="12" s="1"/>
  <c r="F281" i="12"/>
  <c r="H281" i="12" s="1"/>
  <c r="D281" i="12"/>
  <c r="E281" i="12" s="1"/>
  <c r="F413" i="12"/>
  <c r="D413" i="12"/>
  <c r="E413" i="12" s="1"/>
  <c r="F447" i="12"/>
  <c r="H447" i="12" s="1"/>
  <c r="D447" i="12"/>
  <c r="E447" i="12" s="1"/>
  <c r="F203" i="12"/>
  <c r="H203" i="12" s="1"/>
  <c r="D203" i="12"/>
  <c r="E203" i="12" s="1"/>
  <c r="F370" i="12"/>
  <c r="H370" i="12" s="1"/>
  <c r="D370" i="12"/>
  <c r="E370" i="12" s="1"/>
  <c r="F569" i="12"/>
  <c r="H569" i="12" s="1"/>
  <c r="D569" i="12"/>
  <c r="E569" i="12" s="1"/>
  <c r="F578" i="12"/>
  <c r="H578" i="12" s="1"/>
  <c r="D578" i="12"/>
  <c r="E578" i="12" s="1"/>
  <c r="F497" i="12"/>
  <c r="H497" i="12" s="1"/>
  <c r="D497" i="12"/>
  <c r="E497" i="12" s="1"/>
  <c r="F102" i="12"/>
  <c r="H102" i="12" s="1"/>
  <c r="D102" i="12"/>
  <c r="E102" i="12" s="1"/>
  <c r="F73" i="12"/>
  <c r="D73" i="12"/>
  <c r="E73" i="12" s="1"/>
  <c r="F261" i="12"/>
  <c r="H261" i="12" s="1"/>
  <c r="D261" i="12"/>
  <c r="E261" i="12" s="1"/>
  <c r="F144" i="12"/>
  <c r="H144" i="12" s="1"/>
  <c r="D144" i="12"/>
  <c r="E144" i="12" s="1"/>
  <c r="F394" i="12"/>
  <c r="D394" i="12"/>
  <c r="E394" i="12" s="1"/>
  <c r="F488" i="12"/>
  <c r="H488" i="12" s="1"/>
  <c r="D488" i="12"/>
  <c r="E488" i="12" s="1"/>
  <c r="F299" i="12"/>
  <c r="H299" i="12" s="1"/>
  <c r="D299" i="12"/>
  <c r="E299" i="12" s="1"/>
  <c r="F441" i="12"/>
  <c r="H441" i="12" s="1"/>
  <c r="D441" i="12"/>
  <c r="E441" i="12" s="1"/>
  <c r="F507" i="12"/>
  <c r="H507" i="12" s="1"/>
  <c r="D507" i="12"/>
  <c r="E507" i="12" s="1"/>
  <c r="F36" i="12"/>
  <c r="H36" i="12" s="1"/>
  <c r="D36" i="12"/>
  <c r="E36" i="12" s="1"/>
  <c r="F432" i="12"/>
  <c r="H432" i="12" s="1"/>
  <c r="D432" i="12"/>
  <c r="E432" i="12" s="1"/>
  <c r="F411" i="12"/>
  <c r="D411" i="12"/>
  <c r="E411" i="12" s="1"/>
  <c r="F523" i="12"/>
  <c r="H523" i="12" s="1"/>
  <c r="D523" i="12"/>
  <c r="E523" i="12" s="1"/>
  <c r="F328" i="12"/>
  <c r="D328" i="12"/>
  <c r="E328" i="12" s="1"/>
  <c r="F423" i="12"/>
  <c r="H423" i="12" s="1"/>
  <c r="D423" i="12"/>
  <c r="E423" i="12" s="1"/>
  <c r="F382" i="12"/>
  <c r="D382" i="12"/>
  <c r="E382" i="12" s="1"/>
  <c r="F229" i="12"/>
  <c r="H229" i="12" s="1"/>
  <c r="D229" i="12"/>
  <c r="E229" i="12" s="1"/>
  <c r="F219" i="12"/>
  <c r="H219" i="12" s="1"/>
  <c r="D219" i="12"/>
  <c r="E219" i="12" s="1"/>
  <c r="F620" i="12"/>
  <c r="H620" i="12" s="1"/>
  <c r="D620" i="12"/>
  <c r="E620" i="12" s="1"/>
  <c r="F60" i="12"/>
  <c r="H60" i="12" s="1"/>
  <c r="D60" i="12"/>
  <c r="E60" i="12" s="1"/>
  <c r="F402" i="12"/>
  <c r="D402" i="12"/>
  <c r="E402" i="12" s="1"/>
  <c r="F498" i="12"/>
  <c r="H498" i="12" s="1"/>
  <c r="D498" i="12"/>
  <c r="E498" i="12" s="1"/>
  <c r="F373" i="12"/>
  <c r="H373" i="12" s="1"/>
  <c r="D373" i="12"/>
  <c r="E373" i="12" s="1"/>
  <c r="F451" i="12"/>
  <c r="D451" i="12"/>
  <c r="E451" i="12" s="1"/>
  <c r="F375" i="12"/>
  <c r="H375" i="12" s="1"/>
  <c r="D375" i="12"/>
  <c r="E375" i="12" s="1"/>
  <c r="F291" i="12"/>
  <c r="H291" i="12" s="1"/>
  <c r="D291" i="12"/>
  <c r="E291" i="12" s="1"/>
  <c r="F178" i="12"/>
  <c r="H178" i="12" s="1"/>
  <c r="D178" i="12"/>
  <c r="E178" i="12" s="1"/>
  <c r="F174" i="12"/>
  <c r="H174" i="12" s="1"/>
  <c r="D174" i="12"/>
  <c r="E174" i="12" s="1"/>
  <c r="F255" i="12"/>
  <c r="H255" i="12" s="1"/>
  <c r="D255" i="12"/>
  <c r="E255" i="12" s="1"/>
  <c r="F140" i="12"/>
  <c r="H140" i="12" s="1"/>
  <c r="D140" i="12"/>
  <c r="E140" i="12" s="1"/>
  <c r="F124" i="12"/>
  <c r="H124" i="12" s="1"/>
  <c r="D124" i="12"/>
  <c r="E124" i="12" s="1"/>
  <c r="F153" i="12"/>
  <c r="H153" i="12" s="1"/>
  <c r="D153" i="12"/>
  <c r="E153" i="12" s="1"/>
  <c r="F117" i="12"/>
  <c r="D117" i="12"/>
  <c r="E117" i="12" s="1"/>
  <c r="F343" i="12"/>
  <c r="D343" i="12"/>
  <c r="E343" i="12" s="1"/>
  <c r="F519" i="12"/>
  <c r="H519" i="12" s="1"/>
  <c r="D519" i="12"/>
  <c r="E519" i="12" s="1"/>
  <c r="F590" i="12"/>
  <c r="D590" i="12"/>
  <c r="E590" i="12" s="1"/>
  <c r="F92" i="12"/>
  <c r="H92" i="12" s="1"/>
  <c r="D92" i="12"/>
  <c r="E92" i="12" s="1"/>
  <c r="F11" i="12"/>
  <c r="H11" i="12" s="1"/>
  <c r="D11" i="12"/>
  <c r="E11" i="12" s="1"/>
  <c r="F81" i="12"/>
  <c r="H81" i="12" s="1"/>
  <c r="D81" i="12"/>
  <c r="E81" i="12" s="1"/>
  <c r="F316" i="12"/>
  <c r="H316" i="12" s="1"/>
  <c r="D316" i="12"/>
  <c r="E316" i="12" s="1"/>
  <c r="F251" i="12"/>
  <c r="D251" i="12"/>
  <c r="E251" i="12" s="1"/>
  <c r="F185" i="12"/>
  <c r="D185" i="12"/>
  <c r="E185" i="12" s="1"/>
  <c r="F532" i="12"/>
  <c r="H532" i="12" s="1"/>
  <c r="D532" i="12"/>
  <c r="E532" i="12" s="1"/>
  <c r="F156" i="12"/>
  <c r="H156" i="12" s="1"/>
  <c r="D156" i="12"/>
  <c r="E156" i="12" s="1"/>
  <c r="F390" i="12"/>
  <c r="H390" i="12" s="1"/>
  <c r="D390" i="12"/>
  <c r="E390" i="12" s="1"/>
  <c r="F339" i="12"/>
  <c r="H339" i="12" s="1"/>
  <c r="D339" i="12"/>
  <c r="E339" i="12" s="1"/>
  <c r="F625" i="12"/>
  <c r="H625" i="12" s="1"/>
  <c r="D625" i="12"/>
  <c r="E625" i="12" s="1"/>
  <c r="F317" i="12"/>
  <c r="H317" i="12" s="1"/>
  <c r="D317" i="12"/>
  <c r="E317" i="12" s="1"/>
  <c r="F486" i="12"/>
  <c r="H486" i="12" s="1"/>
  <c r="D486" i="12"/>
  <c r="E486" i="12" s="1"/>
  <c r="F544" i="12"/>
  <c r="H544" i="12" s="1"/>
  <c r="D544" i="12"/>
  <c r="E544" i="12" s="1"/>
  <c r="F101" i="12"/>
  <c r="H101" i="12" s="1"/>
  <c r="D101" i="12"/>
  <c r="E101" i="12" s="1"/>
  <c r="F662" i="12"/>
  <c r="H662" i="12" s="1"/>
  <c r="D662" i="12"/>
  <c r="E662" i="12" s="1"/>
  <c r="F20" i="12"/>
  <c r="H20" i="12" s="1"/>
  <c r="D20" i="12"/>
  <c r="E20" i="12" s="1"/>
  <c r="F90" i="12"/>
  <c r="H90" i="12" s="1"/>
  <c r="D90" i="12"/>
  <c r="E90" i="12" s="1"/>
  <c r="F296" i="12"/>
  <c r="H296" i="12" s="1"/>
  <c r="D296" i="12"/>
  <c r="E296" i="12" s="1"/>
  <c r="F295" i="12"/>
  <c r="H295" i="12" s="1"/>
  <c r="D295" i="12"/>
  <c r="E295" i="12" s="1"/>
  <c r="F56" i="12"/>
  <c r="H56" i="12" s="1"/>
  <c r="D56" i="12"/>
  <c r="E56" i="12" s="1"/>
  <c r="F61" i="12"/>
  <c r="H61" i="12" s="1"/>
  <c r="D61" i="12"/>
  <c r="E61" i="12" s="1"/>
  <c r="F457" i="12"/>
  <c r="H457" i="12" s="1"/>
  <c r="D457" i="12"/>
  <c r="E457" i="12" s="1"/>
  <c r="F415" i="12"/>
  <c r="H415" i="12" s="1"/>
  <c r="D415" i="12"/>
  <c r="E415" i="12" s="1"/>
  <c r="F509" i="12"/>
  <c r="H509" i="12" s="1"/>
  <c r="D509" i="12"/>
  <c r="E509" i="12" s="1"/>
  <c r="F65" i="12"/>
  <c r="D65" i="12"/>
  <c r="E65" i="12" s="1"/>
  <c r="F439" i="12"/>
  <c r="H439" i="12" s="1"/>
  <c r="D439" i="12"/>
  <c r="E439" i="12" s="1"/>
  <c r="F500" i="12"/>
  <c r="H500" i="12" s="1"/>
  <c r="D500" i="12"/>
  <c r="E500" i="12" s="1"/>
  <c r="F421" i="12"/>
  <c r="H421" i="12" s="1"/>
  <c r="D421" i="12"/>
  <c r="E421" i="12" s="1"/>
  <c r="F237" i="12"/>
  <c r="D237" i="12"/>
  <c r="E237" i="12" s="1"/>
  <c r="F595" i="12"/>
  <c r="H595" i="12" s="1"/>
  <c r="D595" i="12"/>
  <c r="E595" i="12" s="1"/>
  <c r="F51" i="12"/>
  <c r="H51" i="12" s="1"/>
  <c r="D51" i="12"/>
  <c r="E51" i="12" s="1"/>
  <c r="F47" i="12"/>
  <c r="H47" i="12" s="1"/>
  <c r="D47" i="12"/>
  <c r="E47" i="12" s="1"/>
  <c r="F429" i="12"/>
  <c r="H429" i="12" s="1"/>
  <c r="D429" i="12"/>
  <c r="E429" i="12" s="1"/>
  <c r="F412" i="12"/>
  <c r="H412" i="12" s="1"/>
  <c r="D412" i="12"/>
  <c r="E412" i="12" s="1"/>
  <c r="F502" i="12"/>
  <c r="H502" i="12" s="1"/>
  <c r="D502" i="12"/>
  <c r="E502" i="12" s="1"/>
  <c r="F348" i="12"/>
  <c r="H348" i="12" s="1"/>
  <c r="D348" i="12"/>
  <c r="E348" i="12" s="1"/>
  <c r="F417" i="12"/>
  <c r="H417" i="12" s="1"/>
  <c r="D417" i="12"/>
  <c r="E417" i="12" s="1"/>
  <c r="F269" i="12"/>
  <c r="H269" i="12" s="1"/>
  <c r="D269" i="12"/>
  <c r="E269" i="12" s="1"/>
  <c r="F277" i="12"/>
  <c r="H277" i="12" s="1"/>
  <c r="D277" i="12"/>
  <c r="E277" i="12" s="1"/>
  <c r="F171" i="12"/>
  <c r="H171" i="12" s="1"/>
  <c r="D171" i="12"/>
  <c r="E171" i="12" s="1"/>
  <c r="F244" i="12"/>
  <c r="H244" i="12" s="1"/>
  <c r="D244" i="12"/>
  <c r="E244" i="12" s="1"/>
  <c r="F207" i="12"/>
  <c r="H207" i="12" s="1"/>
  <c r="D207" i="12"/>
  <c r="E207" i="12" s="1"/>
  <c r="F530" i="12"/>
  <c r="H530" i="12" s="1"/>
  <c r="D530" i="12"/>
  <c r="E530" i="12" s="1"/>
  <c r="F147" i="12"/>
  <c r="H147" i="12" s="1"/>
  <c r="D147" i="12"/>
  <c r="E147" i="12" s="1"/>
  <c r="F397" i="12"/>
  <c r="D397" i="12"/>
  <c r="E397" i="12" s="1"/>
  <c r="F105" i="12"/>
  <c r="H105" i="12" s="1"/>
  <c r="D105" i="12"/>
  <c r="E105" i="12" s="1"/>
  <c r="F344" i="12"/>
  <c r="H344" i="12" s="1"/>
  <c r="D344" i="12"/>
  <c r="E344" i="12" s="1"/>
  <c r="F522" i="12"/>
  <c r="H522" i="12" s="1"/>
  <c r="D522" i="12"/>
  <c r="E522" i="12" s="1"/>
  <c r="F478" i="12"/>
  <c r="H478" i="12" s="1"/>
  <c r="D478" i="12"/>
  <c r="E478" i="12" s="1"/>
  <c r="F460" i="12"/>
  <c r="H460" i="12" s="1"/>
  <c r="D460" i="12"/>
  <c r="E460" i="12" s="1"/>
  <c r="F472" i="12"/>
  <c r="D472" i="12"/>
  <c r="E472" i="12" s="1"/>
  <c r="F29" i="12"/>
  <c r="H29" i="12" s="1"/>
  <c r="D29" i="12"/>
  <c r="E29" i="12" s="1"/>
  <c r="F12" i="12"/>
  <c r="H12" i="12" s="1"/>
  <c r="D12" i="12"/>
  <c r="E12" i="12" s="1"/>
  <c r="F80" i="12"/>
  <c r="H80" i="12" s="1"/>
  <c r="D80" i="12"/>
  <c r="E80" i="12" s="1"/>
  <c r="F225" i="12"/>
  <c r="H225" i="12" s="1"/>
  <c r="D225" i="12"/>
  <c r="E225" i="12" s="1"/>
  <c r="F157" i="12"/>
  <c r="H157" i="12" s="1"/>
  <c r="D157" i="12"/>
  <c r="E157" i="12" s="1"/>
  <c r="F111" i="12"/>
  <c r="H111" i="12" s="1"/>
  <c r="D111" i="12"/>
  <c r="E111" i="12" s="1"/>
  <c r="F155" i="12"/>
  <c r="H155" i="12" s="1"/>
  <c r="D155" i="12"/>
  <c r="E155" i="12" s="1"/>
  <c r="F391" i="12"/>
  <c r="H391" i="12" s="1"/>
  <c r="D391" i="12"/>
  <c r="E391" i="12" s="1"/>
  <c r="F109" i="12"/>
  <c r="H109" i="12" s="1"/>
  <c r="D109" i="12"/>
  <c r="E109" i="12" s="1"/>
  <c r="F322" i="12"/>
  <c r="H322" i="12" s="1"/>
  <c r="D322" i="12"/>
  <c r="E322" i="12" s="1"/>
  <c r="F525" i="12"/>
  <c r="H525" i="12" s="1"/>
  <c r="D525" i="12"/>
  <c r="E525" i="12" s="1"/>
  <c r="F562" i="12"/>
  <c r="H562" i="12" s="1"/>
  <c r="D562" i="12"/>
  <c r="E562" i="12" s="1"/>
  <c r="F21" i="12"/>
  <c r="H21" i="12" s="1"/>
  <c r="D21" i="12"/>
  <c r="E21" i="12" s="1"/>
  <c r="F77" i="12"/>
  <c r="D77" i="12"/>
  <c r="E77" i="12" s="1"/>
  <c r="D307" i="12"/>
  <c r="E307" i="12" s="1"/>
  <c r="F44" i="12"/>
  <c r="H44" i="12" s="1"/>
  <c r="D44" i="12"/>
  <c r="E44" i="12" s="1"/>
  <c r="F42" i="12"/>
  <c r="H42" i="12" s="1"/>
  <c r="D42" i="12"/>
  <c r="E42" i="12" s="1"/>
  <c r="F404" i="12"/>
  <c r="H404" i="12" s="1"/>
  <c r="D404" i="12"/>
  <c r="E404" i="12" s="1"/>
  <c r="F372" i="12"/>
  <c r="H372" i="12" s="1"/>
  <c r="D372" i="12"/>
  <c r="E372" i="12" s="1"/>
  <c r="F285" i="12"/>
  <c r="H285" i="12" s="1"/>
  <c r="D285" i="12"/>
  <c r="E285" i="12" s="1"/>
  <c r="F194" i="12"/>
  <c r="H194" i="12" s="1"/>
  <c r="D194" i="12"/>
  <c r="E194" i="12" s="1"/>
  <c r="F46" i="12"/>
  <c r="D46" i="12"/>
  <c r="E46" i="12" s="1"/>
  <c r="F371" i="12"/>
  <c r="H371" i="12" s="1"/>
  <c r="D371" i="12"/>
  <c r="E371" i="12" s="1"/>
  <c r="F256" i="12"/>
  <c r="D256" i="12"/>
  <c r="E256" i="12" s="1"/>
  <c r="F240" i="12"/>
  <c r="H240" i="12" s="1"/>
  <c r="D240" i="12"/>
  <c r="E240" i="12" s="1"/>
  <c r="F364" i="12"/>
  <c r="D364" i="12"/>
  <c r="E364" i="12" s="1"/>
  <c r="F505" i="12"/>
  <c r="H505" i="12" s="1"/>
  <c r="D505" i="12"/>
  <c r="E505" i="12" s="1"/>
  <c r="F107" i="12"/>
  <c r="H107" i="12" s="1"/>
  <c r="D107" i="12"/>
  <c r="E107" i="12" s="1"/>
  <c r="F461" i="12"/>
  <c r="H461" i="12" s="1"/>
  <c r="D461" i="12"/>
  <c r="E461" i="12" s="1"/>
  <c r="F16" i="12"/>
  <c r="D16" i="12"/>
  <c r="E16" i="12" s="1"/>
  <c r="F216" i="12"/>
  <c r="H216" i="12" s="1"/>
  <c r="D216" i="12"/>
  <c r="E216" i="12" s="1"/>
  <c r="F465" i="12"/>
  <c r="D465" i="12"/>
  <c r="E465" i="12" s="1"/>
  <c r="F302" i="12"/>
  <c r="H302" i="12" s="1"/>
  <c r="D302" i="12"/>
  <c r="E302" i="12" s="1"/>
  <c r="F331" i="12"/>
  <c r="D331" i="12"/>
  <c r="E331" i="12" s="1"/>
  <c r="F188" i="12"/>
  <c r="H188" i="12" s="1"/>
  <c r="D188" i="12"/>
  <c r="E188" i="12" s="1"/>
  <c r="F271" i="12"/>
  <c r="H271" i="12" s="1"/>
  <c r="D271" i="12"/>
  <c r="E271" i="12" s="1"/>
  <c r="F604" i="12"/>
  <c r="D604" i="12"/>
  <c r="E604" i="12" s="1"/>
  <c r="F126" i="12"/>
  <c r="H126" i="12" s="1"/>
  <c r="D126" i="12"/>
  <c r="E126" i="12" s="1"/>
  <c r="F593" i="12"/>
  <c r="H593" i="12" s="1"/>
  <c r="D593" i="12"/>
  <c r="E593" i="12" s="1"/>
  <c r="F279" i="12"/>
  <c r="H279" i="12" s="1"/>
  <c r="D279" i="12"/>
  <c r="E279" i="12" s="1"/>
  <c r="F163" i="12"/>
  <c r="H163" i="12" s="1"/>
  <c r="D163" i="12"/>
  <c r="E163" i="12" s="1"/>
  <c r="F103" i="12"/>
  <c r="D103" i="12"/>
  <c r="E103" i="12" s="1"/>
  <c r="F644" i="12"/>
  <c r="H644" i="12" s="1"/>
  <c r="D644" i="12"/>
  <c r="E644" i="12" s="1"/>
  <c r="F312" i="12"/>
  <c r="H312" i="12" s="1"/>
  <c r="D312" i="12"/>
  <c r="E312" i="12" s="1"/>
  <c r="F385" i="12"/>
  <c r="H385" i="12" s="1"/>
  <c r="D385" i="12"/>
  <c r="E385" i="12" s="1"/>
  <c r="F659" i="12"/>
  <c r="D659" i="12"/>
  <c r="E659" i="12" s="1"/>
  <c r="F580" i="12"/>
  <c r="H580" i="12" s="1"/>
  <c r="D580" i="12"/>
  <c r="E580" i="12" s="1"/>
  <c r="F491" i="12"/>
  <c r="D491" i="12"/>
  <c r="E491" i="12" s="1"/>
  <c r="F425" i="12"/>
  <c r="D425" i="12"/>
  <c r="E425" i="12" s="1"/>
  <c r="F179" i="12"/>
  <c r="H179" i="12" s="1"/>
  <c r="D179" i="12"/>
  <c r="E179" i="12" s="1"/>
  <c r="F209" i="12"/>
  <c r="H209" i="12" s="1"/>
  <c r="D209" i="12"/>
  <c r="E209" i="12" s="1"/>
  <c r="F166" i="12"/>
  <c r="H166" i="12" s="1"/>
  <c r="D166" i="12"/>
  <c r="E166" i="12" s="1"/>
  <c r="F533" i="12"/>
  <c r="H533" i="12" s="1"/>
  <c r="D533" i="12"/>
  <c r="E533" i="12" s="1"/>
  <c r="F516" i="12"/>
  <c r="D516" i="12"/>
  <c r="E516" i="12" s="1"/>
  <c r="F671" i="12"/>
  <c r="H671" i="12" s="1"/>
  <c r="D671" i="12"/>
  <c r="E671" i="12" s="1"/>
  <c r="F475" i="12"/>
  <c r="D475" i="12"/>
  <c r="E475" i="12" s="1"/>
  <c r="F310" i="12"/>
  <c r="H310" i="12" s="1"/>
  <c r="D310" i="12"/>
  <c r="E310" i="12" s="1"/>
  <c r="F170" i="12"/>
  <c r="D170" i="12"/>
  <c r="E170" i="12" s="1"/>
  <c r="F638" i="12"/>
  <c r="H638" i="12" s="1"/>
  <c r="D638" i="12"/>
  <c r="E638" i="12" s="1"/>
  <c r="F154" i="12"/>
  <c r="H154" i="12" s="1"/>
  <c r="D154" i="12"/>
  <c r="E154" i="12" s="1"/>
  <c r="F386" i="12"/>
  <c r="H386" i="12" s="1"/>
  <c r="D386" i="12"/>
  <c r="E386" i="12" s="1"/>
  <c r="F116" i="12"/>
  <c r="D116" i="12"/>
  <c r="E116" i="12" s="1"/>
  <c r="F494" i="12"/>
  <c r="H494" i="12" s="1"/>
  <c r="D494" i="12"/>
  <c r="E494" i="12" s="1"/>
  <c r="F467" i="12"/>
  <c r="H467" i="12" s="1"/>
  <c r="D467" i="12"/>
  <c r="E467" i="12" s="1"/>
  <c r="F32" i="12"/>
  <c r="H32" i="12" s="1"/>
  <c r="D32" i="12"/>
  <c r="E32" i="12" s="1"/>
  <c r="F82" i="12"/>
  <c r="H82" i="12" s="1"/>
  <c r="D82" i="12"/>
  <c r="E82" i="12" s="1"/>
  <c r="F311" i="12"/>
  <c r="H311" i="12" s="1"/>
  <c r="D311" i="12"/>
  <c r="E311" i="12" s="1"/>
  <c r="F49" i="12"/>
  <c r="H49" i="12" s="1"/>
  <c r="D49" i="12"/>
  <c r="E49" i="12" s="1"/>
  <c r="F409" i="12"/>
  <c r="H409" i="12" s="1"/>
  <c r="D409" i="12"/>
  <c r="E409" i="12" s="1"/>
  <c r="F431" i="12"/>
  <c r="H431" i="12" s="1"/>
  <c r="D431" i="12"/>
  <c r="E431" i="12" s="1"/>
  <c r="F584" i="12"/>
  <c r="H584" i="12" s="1"/>
  <c r="D584" i="12"/>
  <c r="E584" i="12" s="1"/>
  <c r="F34" i="12"/>
  <c r="H34" i="12" s="1"/>
  <c r="D34" i="12"/>
  <c r="E34" i="12" s="1"/>
  <c r="F405" i="12"/>
  <c r="H405" i="12" s="1"/>
  <c r="D405" i="12"/>
  <c r="E405" i="12" s="1"/>
  <c r="F330" i="12"/>
  <c r="H330" i="12" s="1"/>
  <c r="D330" i="12"/>
  <c r="E330" i="12" s="1"/>
  <c r="F418" i="12"/>
  <c r="H418" i="12" s="1"/>
  <c r="D418" i="12"/>
  <c r="E418" i="12" s="1"/>
  <c r="F212" i="12"/>
  <c r="D212" i="12"/>
  <c r="E212" i="12" s="1"/>
  <c r="F583" i="12"/>
  <c r="H583" i="12" s="1"/>
  <c r="D583" i="12"/>
  <c r="E583" i="12" s="1"/>
  <c r="F53" i="12"/>
  <c r="H53" i="12" s="1"/>
  <c r="D53" i="12"/>
  <c r="E53" i="12" s="1"/>
  <c r="F40" i="12"/>
  <c r="H40" i="12" s="1"/>
  <c r="D40" i="12"/>
  <c r="E40" i="12" s="1"/>
  <c r="F350" i="12"/>
  <c r="D350" i="12"/>
  <c r="E350" i="12" s="1"/>
  <c r="F427" i="12"/>
  <c r="H427" i="12" s="1"/>
  <c r="D427" i="12"/>
  <c r="E427" i="12" s="1"/>
  <c r="F286" i="12"/>
  <c r="H286" i="12" s="1"/>
  <c r="D286" i="12"/>
  <c r="E286" i="12" s="1"/>
  <c r="F199" i="12"/>
  <c r="H199" i="12" s="1"/>
  <c r="D199" i="12"/>
  <c r="E199" i="12" s="1"/>
  <c r="F172" i="12"/>
  <c r="D172" i="12"/>
  <c r="E172" i="12" s="1"/>
  <c r="F198" i="12"/>
  <c r="H198" i="12" s="1"/>
  <c r="D198" i="12"/>
  <c r="E198" i="12" s="1"/>
  <c r="F540" i="12"/>
  <c r="D540" i="12"/>
  <c r="E540" i="12" s="1"/>
  <c r="F565" i="12"/>
  <c r="H565" i="12" s="1"/>
  <c r="D565" i="12"/>
  <c r="E565" i="12" s="1"/>
  <c r="F143" i="12"/>
  <c r="D143" i="12"/>
  <c r="E143" i="12" s="1"/>
  <c r="F360" i="12"/>
  <c r="H360" i="12" s="1"/>
  <c r="D360" i="12"/>
  <c r="E360" i="12" s="1"/>
  <c r="F393" i="12"/>
  <c r="H393" i="12" s="1"/>
  <c r="D393" i="12"/>
  <c r="E393" i="12" s="1"/>
  <c r="F675" i="12"/>
  <c r="H675" i="12" s="1"/>
  <c r="D675" i="12"/>
  <c r="E675" i="12" s="1"/>
  <c r="F510" i="12"/>
  <c r="D510" i="12"/>
  <c r="E510" i="12" s="1"/>
  <c r="F663" i="12"/>
  <c r="H663" i="12" s="1"/>
  <c r="D663" i="12"/>
  <c r="E663" i="12" s="1"/>
  <c r="F67" i="12"/>
  <c r="D67" i="12"/>
  <c r="E67" i="12" s="1"/>
  <c r="F182" i="12"/>
  <c r="H182" i="12" s="1"/>
  <c r="D182" i="12"/>
  <c r="E182" i="12" s="1"/>
  <c r="F205" i="12"/>
  <c r="H205" i="12" s="1"/>
  <c r="D205" i="12"/>
  <c r="E205" i="12" s="1"/>
  <c r="F673" i="12"/>
  <c r="D673" i="12"/>
  <c r="E673" i="12" s="1"/>
  <c r="F537" i="12"/>
  <c r="D537" i="12"/>
  <c r="E537" i="12" s="1"/>
  <c r="F692" i="12"/>
  <c r="H692" i="12" s="1"/>
  <c r="D692" i="12"/>
  <c r="E692" i="12" s="1"/>
  <c r="F357" i="12"/>
  <c r="H357" i="12" s="1"/>
  <c r="D357" i="12"/>
  <c r="E357" i="12" s="1"/>
  <c r="F521" i="12"/>
  <c r="D521" i="12"/>
  <c r="E521" i="12" s="1"/>
  <c r="F524" i="12"/>
  <c r="D524" i="12"/>
  <c r="E524" i="12" s="1"/>
  <c r="F477" i="12"/>
  <c r="H477" i="12" s="1"/>
  <c r="D477" i="12"/>
  <c r="E477" i="12" s="1"/>
  <c r="F464" i="12"/>
  <c r="H464" i="12" s="1"/>
  <c r="D464" i="12"/>
  <c r="E464" i="12" s="1"/>
  <c r="F31" i="12"/>
  <c r="D31" i="12"/>
  <c r="E31" i="12" s="1"/>
  <c r="F303" i="12"/>
  <c r="D303" i="12"/>
  <c r="E303" i="12" s="1"/>
  <c r="F401" i="12"/>
  <c r="H401" i="12" s="1"/>
  <c r="D401" i="12"/>
  <c r="E401" i="12" s="1"/>
  <c r="F616" i="12"/>
  <c r="H616" i="12" s="1"/>
  <c r="D616" i="12"/>
  <c r="E616" i="12" s="1"/>
  <c r="F72" i="12"/>
  <c r="H72" i="12" s="1"/>
  <c r="D72" i="12"/>
  <c r="E72" i="12" s="1"/>
  <c r="F410" i="12"/>
  <c r="D410" i="12"/>
  <c r="E410" i="12" s="1"/>
  <c r="F430" i="12"/>
  <c r="D430" i="12"/>
  <c r="E430" i="12" s="1"/>
  <c r="F336" i="12"/>
  <c r="D336" i="12"/>
  <c r="E336" i="12" s="1"/>
  <c r="F352" i="12"/>
  <c r="H352" i="12" s="1"/>
  <c r="D352" i="12"/>
  <c r="E352" i="12" s="1"/>
  <c r="F627" i="12"/>
  <c r="D627" i="12"/>
  <c r="E627" i="12" s="1"/>
  <c r="F48" i="12"/>
  <c r="D48" i="12"/>
  <c r="E48" i="12" s="1"/>
  <c r="F59" i="12"/>
  <c r="D59" i="12"/>
  <c r="E59" i="12" s="1"/>
  <c r="F456" i="12"/>
  <c r="D456" i="12"/>
  <c r="E456" i="12" s="1"/>
  <c r="F433" i="12"/>
  <c r="D433" i="12"/>
  <c r="E433" i="12" s="1"/>
  <c r="F260" i="12"/>
  <c r="H260" i="12" s="1"/>
  <c r="D260" i="12"/>
  <c r="E260" i="12" s="1"/>
  <c r="F217" i="12"/>
  <c r="D217" i="12"/>
  <c r="E217" i="12" s="1"/>
  <c r="F235" i="12"/>
  <c r="D235" i="12"/>
  <c r="E235" i="12" s="1"/>
  <c r="F245" i="12"/>
  <c r="D245" i="12"/>
  <c r="E245" i="12" s="1"/>
  <c r="F610" i="12"/>
  <c r="H610" i="12" s="1"/>
  <c r="D610" i="12"/>
  <c r="E610" i="12" s="1"/>
  <c r="F528" i="12"/>
  <c r="D528" i="12"/>
  <c r="E528" i="12" s="1"/>
  <c r="F149" i="12"/>
  <c r="H149" i="12" s="1"/>
  <c r="D149" i="12"/>
  <c r="E149" i="12" s="1"/>
  <c r="F545" i="12"/>
  <c r="D545" i="12"/>
  <c r="E545" i="12" s="1"/>
  <c r="F485" i="12"/>
  <c r="H485" i="12" s="1"/>
  <c r="D485" i="12"/>
  <c r="E485" i="12" s="1"/>
  <c r="F642" i="12"/>
  <c r="H642" i="12" s="1"/>
  <c r="D642" i="12"/>
  <c r="E642" i="12" s="1"/>
  <c r="F587" i="12"/>
  <c r="H587" i="12" s="1"/>
  <c r="D587" i="12"/>
  <c r="E587" i="12" s="1"/>
  <c r="F97" i="12"/>
  <c r="D97" i="12"/>
  <c r="E97" i="12" s="1"/>
  <c r="F87" i="12"/>
  <c r="D87" i="12"/>
  <c r="E87" i="12" s="1"/>
  <c r="F190" i="12"/>
  <c r="D190" i="12"/>
  <c r="E190" i="12" s="1"/>
  <c r="F278" i="12"/>
  <c r="D278" i="12"/>
  <c r="E278" i="12" s="1"/>
  <c r="F224" i="12"/>
  <c r="D224" i="12"/>
  <c r="E224" i="12" s="1"/>
  <c r="F608" i="12"/>
  <c r="H608" i="12" s="1"/>
  <c r="D608" i="12"/>
  <c r="E608" i="12" s="1"/>
  <c r="F656" i="12"/>
  <c r="D656" i="12"/>
  <c r="E656" i="12" s="1"/>
  <c r="F529" i="12"/>
  <c r="H529" i="12" s="1"/>
  <c r="D529" i="12"/>
  <c r="E529" i="12" s="1"/>
  <c r="F362" i="12"/>
  <c r="D362" i="12"/>
  <c r="E362" i="12" s="1"/>
  <c r="F571" i="12"/>
  <c r="H571" i="12" s="1"/>
  <c r="D571" i="12"/>
  <c r="E571" i="12" s="1"/>
  <c r="F680" i="12"/>
  <c r="H680" i="12" s="1"/>
  <c r="D680" i="12"/>
  <c r="E680" i="12" s="1"/>
  <c r="F518" i="12"/>
  <c r="H518" i="12" s="1"/>
  <c r="D518" i="12"/>
  <c r="E518" i="12" s="1"/>
  <c r="F670" i="12"/>
  <c r="H670" i="12" s="1"/>
  <c r="D670" i="12"/>
  <c r="E670" i="12" s="1"/>
  <c r="F596" i="12"/>
  <c r="H596" i="12" s="1"/>
  <c r="D596" i="12"/>
  <c r="E596" i="12" s="1"/>
  <c r="F69" i="12"/>
  <c r="D69" i="12"/>
  <c r="E69" i="12" s="1"/>
  <c r="F71" i="12"/>
  <c r="D71" i="12"/>
  <c r="E71" i="12" s="1"/>
  <c r="F306" i="12"/>
  <c r="D306" i="12"/>
  <c r="E306" i="12" s="1"/>
  <c r="F617" i="12"/>
  <c r="H617" i="12" s="1"/>
  <c r="D617" i="12"/>
  <c r="E617" i="12" s="1"/>
  <c r="F400" i="12"/>
  <c r="H400" i="12" s="1"/>
  <c r="D400" i="12"/>
  <c r="E400" i="12" s="1"/>
  <c r="F630" i="12"/>
  <c r="H630" i="12" s="1"/>
  <c r="D630" i="12"/>
  <c r="E630" i="12" s="1"/>
  <c r="F654" i="12"/>
  <c r="D654" i="12"/>
  <c r="E654" i="12" s="1"/>
  <c r="F416" i="12"/>
  <c r="H416" i="12" s="1"/>
  <c r="D416" i="12"/>
  <c r="E416" i="12" s="1"/>
  <c r="F377" i="12"/>
  <c r="H377" i="12" s="1"/>
  <c r="D377" i="12"/>
  <c r="E377" i="12" s="1"/>
  <c r="F282" i="12"/>
  <c r="D282" i="12"/>
  <c r="E282" i="12" s="1"/>
  <c r="F186" i="12"/>
  <c r="D186" i="12"/>
  <c r="E186" i="12" s="1"/>
  <c r="F58" i="12"/>
  <c r="H58" i="12" s="1"/>
  <c r="D58" i="12"/>
  <c r="E58" i="12" s="1"/>
  <c r="F579" i="12"/>
  <c r="D579" i="12"/>
  <c r="E579" i="12" s="1"/>
  <c r="F637" i="12"/>
  <c r="H637" i="12" s="1"/>
  <c r="D637" i="12"/>
  <c r="E637" i="12" s="1"/>
  <c r="F341" i="12"/>
  <c r="H341" i="12" s="1"/>
  <c r="D341" i="12"/>
  <c r="E341" i="12" s="1"/>
  <c r="F419" i="12"/>
  <c r="H419" i="12" s="1"/>
  <c r="D419" i="12"/>
  <c r="E419" i="12" s="1"/>
  <c r="F356" i="12"/>
  <c r="H356" i="12" s="1"/>
  <c r="D356" i="12"/>
  <c r="E356" i="12" s="1"/>
  <c r="F250" i="12"/>
  <c r="H250" i="12" s="1"/>
  <c r="D250" i="12"/>
  <c r="E250" i="12" s="1"/>
  <c r="F197" i="12"/>
  <c r="D197" i="12"/>
  <c r="E197" i="12" s="1"/>
  <c r="F257" i="12"/>
  <c r="D257" i="12"/>
  <c r="E257" i="12" s="1"/>
  <c r="F585" i="12"/>
  <c r="H585" i="12" s="1"/>
  <c r="D585" i="12"/>
  <c r="E585" i="12" s="1"/>
  <c r="F135" i="12"/>
  <c r="H135" i="12" s="1"/>
  <c r="D135" i="12"/>
  <c r="E135" i="12" s="1"/>
  <c r="F559" i="12"/>
  <c r="H559" i="12" s="1"/>
  <c r="D559" i="12"/>
  <c r="E559" i="12" s="1"/>
  <c r="F119" i="12"/>
  <c r="H119" i="12" s="1"/>
  <c r="D119" i="12"/>
  <c r="E119" i="12" s="1"/>
  <c r="F145" i="12"/>
  <c r="H145" i="12" s="1"/>
  <c r="D145" i="12"/>
  <c r="E145" i="12" s="1"/>
  <c r="F359" i="12"/>
  <c r="H359" i="12" s="1"/>
  <c r="D359" i="12"/>
  <c r="E359" i="12" s="1"/>
  <c r="F615" i="12"/>
  <c r="H615" i="12" s="1"/>
  <c r="D615" i="12"/>
  <c r="E615" i="12" s="1"/>
  <c r="F484" i="12"/>
  <c r="D484" i="12"/>
  <c r="E484" i="12" s="1"/>
  <c r="F492" i="12"/>
  <c r="D492" i="12"/>
  <c r="E492" i="12" s="1"/>
  <c r="F658" i="12"/>
  <c r="D658" i="12"/>
  <c r="E658" i="12" s="1"/>
  <c r="F570" i="12"/>
  <c r="D570" i="12"/>
  <c r="E570" i="12" s="1"/>
  <c r="F648" i="12"/>
  <c r="D648" i="12"/>
  <c r="E648" i="12" s="1"/>
  <c r="F30" i="12"/>
  <c r="H30" i="12" s="1"/>
  <c r="D30" i="12"/>
  <c r="E30" i="12" s="1"/>
  <c r="F342" i="12"/>
  <c r="H342" i="12" s="1"/>
  <c r="D342" i="12"/>
  <c r="E342" i="12" s="1"/>
  <c r="F220" i="12"/>
  <c r="D220" i="12"/>
  <c r="E220" i="12" s="1"/>
  <c r="F234" i="12"/>
  <c r="D234" i="12"/>
  <c r="E234" i="12" s="1"/>
  <c r="F189" i="12"/>
  <c r="D189" i="12"/>
  <c r="E189" i="12" s="1"/>
  <c r="F614" i="12"/>
  <c r="D614" i="12"/>
  <c r="E614" i="12" s="1"/>
  <c r="F639" i="12"/>
  <c r="D639" i="12"/>
  <c r="E639" i="12" s="1"/>
  <c r="F549" i="12"/>
  <c r="H549" i="12" s="1"/>
  <c r="D549" i="12"/>
  <c r="E549" i="12" s="1"/>
  <c r="F128" i="12"/>
  <c r="H128" i="12" s="1"/>
  <c r="D128" i="12"/>
  <c r="E128" i="12" s="1"/>
  <c r="F148" i="12"/>
  <c r="D148" i="12"/>
  <c r="E148" i="12" s="1"/>
  <c r="F631" i="12"/>
  <c r="D631" i="12"/>
  <c r="E631" i="12" s="1"/>
  <c r="F647" i="12"/>
  <c r="H647" i="12" s="1"/>
  <c r="D647" i="12"/>
  <c r="E647" i="12" s="1"/>
  <c r="F495" i="12"/>
  <c r="D495" i="12"/>
  <c r="E495" i="12" s="1"/>
  <c r="F640" i="12"/>
  <c r="D640" i="12"/>
  <c r="E640" i="12" s="1"/>
  <c r="F607" i="12"/>
  <c r="D607" i="12"/>
  <c r="E607" i="12" s="1"/>
  <c r="F95" i="12"/>
  <c r="D95" i="12"/>
  <c r="E95" i="12" s="1"/>
  <c r="F466" i="12"/>
  <c r="D466" i="12"/>
  <c r="E466" i="12" s="1"/>
  <c r="F15" i="12"/>
  <c r="H15" i="12" s="1"/>
  <c r="D15" i="12"/>
  <c r="E15" i="12" s="1"/>
  <c r="F308" i="12"/>
  <c r="H308" i="12" s="1"/>
  <c r="D308" i="12"/>
  <c r="E308" i="12" s="1"/>
  <c r="F624" i="12"/>
  <c r="H624" i="12" s="1"/>
  <c r="D624" i="12"/>
  <c r="E624" i="12" s="1"/>
  <c r="F50" i="12"/>
  <c r="H50" i="12" s="1"/>
  <c r="D50" i="12"/>
  <c r="E50" i="12" s="1"/>
  <c r="F435" i="12"/>
  <c r="H435" i="12" s="1"/>
  <c r="D435" i="12"/>
  <c r="E435" i="12" s="1"/>
  <c r="F636" i="12"/>
  <c r="D636" i="12"/>
  <c r="E636" i="12" s="1"/>
  <c r="F358" i="12"/>
  <c r="H358" i="12" s="1"/>
  <c r="D358" i="12"/>
  <c r="E358" i="12" s="1"/>
  <c r="F95" i="7"/>
  <c r="H95" i="7" s="1"/>
  <c r="D95" i="7"/>
  <c r="F242" i="7"/>
  <c r="H242" i="7" s="1"/>
  <c r="D242" i="7"/>
  <c r="F496" i="7"/>
  <c r="H496" i="7" s="1"/>
  <c r="D496" i="7"/>
  <c r="F103" i="7"/>
  <c r="H103" i="7" s="1"/>
  <c r="D103" i="7"/>
  <c r="F91" i="7"/>
  <c r="H91" i="7" s="1"/>
  <c r="D91" i="7"/>
  <c r="F61" i="7"/>
  <c r="H61" i="7" s="1"/>
  <c r="D61" i="7"/>
  <c r="F566" i="7"/>
  <c r="H566" i="7" s="1"/>
  <c r="D566" i="7"/>
  <c r="F244" i="7"/>
  <c r="H244" i="7" s="1"/>
  <c r="D244" i="7"/>
  <c r="F621" i="7"/>
  <c r="H621" i="7" s="1"/>
  <c r="D621" i="7"/>
  <c r="F448" i="7"/>
  <c r="H448" i="7" s="1"/>
  <c r="D448" i="7"/>
  <c r="F117" i="7"/>
  <c r="H117" i="7" s="1"/>
  <c r="D117" i="7"/>
  <c r="F32" i="7"/>
  <c r="H32" i="7" s="1"/>
  <c r="D32" i="7"/>
  <c r="F77" i="7"/>
  <c r="H77" i="7" s="1"/>
  <c r="D77" i="7"/>
  <c r="F68" i="7"/>
  <c r="H68" i="7" s="1"/>
  <c r="D68" i="7"/>
  <c r="F635" i="7"/>
  <c r="H635" i="7" s="1"/>
  <c r="D635" i="7"/>
  <c r="F673" i="7"/>
  <c r="H673" i="7" s="1"/>
  <c r="D673" i="7"/>
  <c r="F342" i="7"/>
  <c r="H342" i="7" s="1"/>
  <c r="D342" i="7"/>
  <c r="F83" i="7"/>
  <c r="H83" i="7" s="1"/>
  <c r="D83" i="7"/>
  <c r="F36" i="7"/>
  <c r="H36" i="7" s="1"/>
  <c r="D36" i="7"/>
  <c r="F567" i="7"/>
  <c r="H567" i="7" s="1"/>
  <c r="D567" i="7"/>
  <c r="F609" i="7"/>
  <c r="H609" i="7" s="1"/>
  <c r="D609" i="7"/>
  <c r="F503" i="7"/>
  <c r="H503" i="7" s="1"/>
  <c r="D503" i="7"/>
  <c r="F399" i="7"/>
  <c r="H399" i="7" s="1"/>
  <c r="D399" i="7"/>
  <c r="F201" i="7"/>
  <c r="H201" i="7" s="1"/>
  <c r="D201" i="7"/>
  <c r="F283" i="7"/>
  <c r="H283" i="7" s="1"/>
  <c r="D283" i="7"/>
  <c r="F546" i="7"/>
  <c r="H546" i="7" s="1"/>
  <c r="D546" i="7"/>
  <c r="F427" i="7"/>
  <c r="H427" i="7" s="1"/>
  <c r="D427" i="7"/>
  <c r="F28" i="7"/>
  <c r="H28" i="7" s="1"/>
  <c r="D28" i="7"/>
  <c r="F597" i="7"/>
  <c r="H597" i="7" s="1"/>
  <c r="D597" i="7"/>
  <c r="F263" i="7"/>
  <c r="H263" i="7" s="1"/>
  <c r="D263" i="7"/>
  <c r="F638" i="7"/>
  <c r="H638" i="7" s="1"/>
  <c r="D638" i="7"/>
  <c r="F352" i="7"/>
  <c r="H352" i="7" s="1"/>
  <c r="D352" i="7"/>
  <c r="F661" i="7"/>
  <c r="H661" i="7" s="1"/>
  <c r="D661" i="7"/>
  <c r="F411" i="7"/>
  <c r="H411" i="7" s="1"/>
  <c r="D411" i="7"/>
  <c r="F574" i="7"/>
  <c r="H574" i="7" s="1"/>
  <c r="D574" i="7"/>
  <c r="F398" i="7"/>
  <c r="H398" i="7" s="1"/>
  <c r="D398" i="7"/>
  <c r="F586" i="7"/>
  <c r="H586" i="7" s="1"/>
  <c r="D586" i="7"/>
  <c r="F497" i="7"/>
  <c r="H497" i="7" s="1"/>
  <c r="D497" i="7"/>
  <c r="F332" i="7"/>
  <c r="H332" i="7" s="1"/>
  <c r="D332" i="7"/>
  <c r="F222" i="7"/>
  <c r="H222" i="7" s="1"/>
  <c r="D222" i="7"/>
  <c r="F517" i="7"/>
  <c r="H517" i="7" s="1"/>
  <c r="D517" i="7"/>
  <c r="F187" i="7"/>
  <c r="H187" i="7" s="1"/>
  <c r="D187" i="7"/>
  <c r="F421" i="7"/>
  <c r="H421" i="7" s="1"/>
  <c r="D421" i="7"/>
  <c r="F93" i="7"/>
  <c r="H93" i="7" s="1"/>
  <c r="D93" i="7"/>
  <c r="F33" i="7"/>
  <c r="H33" i="7" s="1"/>
  <c r="D33" i="7"/>
  <c r="F331" i="7"/>
  <c r="H331" i="7" s="1"/>
  <c r="D331" i="7"/>
  <c r="F579" i="7"/>
  <c r="H579" i="7" s="1"/>
  <c r="D579" i="7"/>
  <c r="F108" i="7"/>
  <c r="H108" i="7" s="1"/>
  <c r="D108" i="7"/>
  <c r="F690" i="7"/>
  <c r="H690" i="7" s="1"/>
  <c r="D690" i="7"/>
  <c r="F206" i="7"/>
  <c r="H206" i="7" s="1"/>
  <c r="D206" i="7"/>
  <c r="F619" i="7"/>
  <c r="H619" i="7" s="1"/>
  <c r="D619" i="7"/>
  <c r="F556" i="7"/>
  <c r="H556" i="7" s="1"/>
  <c r="D556" i="7"/>
  <c r="F286" i="7"/>
  <c r="H286" i="7" s="1"/>
  <c r="D286" i="7"/>
  <c r="F338" i="7"/>
  <c r="H338" i="7" s="1"/>
  <c r="D338" i="7"/>
  <c r="F274" i="7"/>
  <c r="H274" i="7" s="1"/>
  <c r="D274" i="7"/>
  <c r="F458" i="7"/>
  <c r="H458" i="7" s="1"/>
  <c r="D458" i="7"/>
  <c r="F18" i="7"/>
  <c r="H18" i="7" s="1"/>
  <c r="D18" i="7"/>
  <c r="F289" i="7"/>
  <c r="H289" i="7" s="1"/>
  <c r="D289" i="7"/>
  <c r="F568" i="7"/>
  <c r="H568" i="7" s="1"/>
  <c r="D568" i="7"/>
  <c r="F182" i="7"/>
  <c r="H182" i="7" s="1"/>
  <c r="D182" i="7"/>
  <c r="F654" i="7"/>
  <c r="H654" i="7" s="1"/>
  <c r="D654" i="7"/>
  <c r="F153" i="7"/>
  <c r="H153" i="7" s="1"/>
  <c r="D153" i="7"/>
  <c r="F449" i="7"/>
  <c r="H449" i="7" s="1"/>
  <c r="D449" i="7"/>
  <c r="F666" i="7"/>
  <c r="H666" i="7" s="1"/>
  <c r="D666" i="7"/>
  <c r="F667" i="7"/>
  <c r="H667" i="7" s="1"/>
  <c r="D667" i="7"/>
  <c r="F560" i="7"/>
  <c r="H560" i="7" s="1"/>
  <c r="D560" i="7"/>
  <c r="F402" i="7"/>
  <c r="H402" i="7" s="1"/>
  <c r="D402" i="7"/>
  <c r="F498" i="7"/>
  <c r="H498" i="7" s="1"/>
  <c r="D498" i="7"/>
  <c r="F463" i="7"/>
  <c r="H463" i="7" s="1"/>
  <c r="D463" i="7"/>
  <c r="F571" i="7"/>
  <c r="H571" i="7" s="1"/>
  <c r="D571" i="7"/>
  <c r="F548" i="7"/>
  <c r="H548" i="7" s="1"/>
  <c r="D548" i="7"/>
  <c r="F348" i="7"/>
  <c r="H348" i="7" s="1"/>
  <c r="D348" i="7"/>
  <c r="F256" i="7"/>
  <c r="H256" i="7" s="1"/>
  <c r="D256" i="7"/>
  <c r="F343" i="7"/>
  <c r="H343" i="7" s="1"/>
  <c r="D343" i="7"/>
  <c r="F580" i="7"/>
  <c r="H580" i="7" s="1"/>
  <c r="D580" i="7"/>
  <c r="F439" i="7"/>
  <c r="H439" i="7" s="1"/>
  <c r="D439" i="7"/>
  <c r="F649" i="7"/>
  <c r="H649" i="7" s="1"/>
  <c r="D649" i="7"/>
  <c r="F542" i="7"/>
  <c r="H542" i="7" s="1"/>
  <c r="D542" i="7"/>
  <c r="F407" i="7"/>
  <c r="H407" i="7" s="1"/>
  <c r="D407" i="7"/>
  <c r="F373" i="7"/>
  <c r="H373" i="7" s="1"/>
  <c r="D373" i="7"/>
  <c r="F34" i="7"/>
  <c r="H34" i="7" s="1"/>
  <c r="D34" i="7"/>
  <c r="F98" i="7"/>
  <c r="H98" i="7" s="1"/>
  <c r="D98" i="7"/>
  <c r="F336" i="7"/>
  <c r="H336" i="7" s="1"/>
  <c r="D336" i="7"/>
  <c r="F379" i="7"/>
  <c r="H379" i="7" s="1"/>
  <c r="D379" i="7"/>
  <c r="F227" i="7"/>
  <c r="H227" i="7" s="1"/>
  <c r="D227" i="7"/>
  <c r="F670" i="7"/>
  <c r="H670" i="7" s="1"/>
  <c r="D670" i="7"/>
  <c r="F554" i="7"/>
  <c r="H554" i="7" s="1"/>
  <c r="D554" i="7"/>
  <c r="F209" i="7"/>
  <c r="H209" i="7" s="1"/>
  <c r="D209" i="7"/>
  <c r="F478" i="7"/>
  <c r="H478" i="7" s="1"/>
  <c r="D478" i="7"/>
  <c r="F239" i="7"/>
  <c r="H239" i="7" s="1"/>
  <c r="D239" i="7"/>
  <c r="F563" i="7"/>
  <c r="H563" i="7" s="1"/>
  <c r="D563" i="7"/>
  <c r="F636" i="7"/>
  <c r="H636" i="7" s="1"/>
  <c r="D636" i="7"/>
  <c r="F297" i="7"/>
  <c r="H297" i="7" s="1"/>
  <c r="D297" i="7"/>
  <c r="F70" i="7"/>
  <c r="H70" i="7" s="1"/>
  <c r="D70" i="7"/>
  <c r="F515" i="7"/>
  <c r="H515" i="7" s="1"/>
  <c r="D515" i="7"/>
  <c r="F575" i="7"/>
  <c r="H575" i="7" s="1"/>
  <c r="D575" i="7"/>
  <c r="F294" i="7"/>
  <c r="H294" i="7" s="1"/>
  <c r="D294" i="7"/>
  <c r="F692" i="7"/>
  <c r="H692" i="7" s="1"/>
  <c r="D692" i="7"/>
  <c r="F295" i="7"/>
  <c r="H295" i="7" s="1"/>
  <c r="D295" i="7"/>
  <c r="F165" i="7"/>
  <c r="H165" i="7" s="1"/>
  <c r="D165" i="7"/>
  <c r="F110" i="7"/>
  <c r="H110" i="7" s="1"/>
  <c r="D110" i="7"/>
  <c r="F376" i="7"/>
  <c r="H376" i="7" s="1"/>
  <c r="D376" i="7"/>
  <c r="F94" i="7"/>
  <c r="H94" i="7" s="1"/>
  <c r="D94" i="7"/>
  <c r="F45" i="7"/>
  <c r="H45" i="7" s="1"/>
  <c r="D45" i="7"/>
  <c r="F656" i="7"/>
  <c r="H656" i="7" s="1"/>
  <c r="D656" i="7"/>
  <c r="F219" i="7"/>
  <c r="H219" i="7" s="1"/>
  <c r="D219" i="7"/>
  <c r="F313" i="7"/>
  <c r="H313" i="7" s="1"/>
  <c r="D313" i="7"/>
  <c r="F351" i="7"/>
  <c r="H351" i="7" s="1"/>
  <c r="D351" i="7"/>
  <c r="F642" i="7"/>
  <c r="H642" i="7" s="1"/>
  <c r="D642" i="7"/>
  <c r="F632" i="7"/>
  <c r="H632" i="7" s="1"/>
  <c r="D632" i="7"/>
  <c r="F328" i="7"/>
  <c r="H328" i="7" s="1"/>
  <c r="D328" i="7"/>
  <c r="F230" i="7"/>
  <c r="H230" i="7" s="1"/>
  <c r="D230" i="7"/>
  <c r="F304" i="7"/>
  <c r="H304" i="7" s="1"/>
  <c r="D304" i="7"/>
  <c r="F676" i="7"/>
  <c r="H676" i="7" s="1"/>
  <c r="D676" i="7"/>
  <c r="F24" i="7"/>
  <c r="H24" i="7" s="1"/>
  <c r="D24" i="7"/>
  <c r="F430" i="7"/>
  <c r="H430" i="7" s="1"/>
  <c r="D430" i="7"/>
  <c r="F408" i="7"/>
  <c r="H408" i="7" s="1"/>
  <c r="D408" i="7"/>
  <c r="F394" i="7"/>
  <c r="H394" i="7" s="1"/>
  <c r="D394" i="7"/>
  <c r="F626" i="7"/>
  <c r="H626" i="7" s="1"/>
  <c r="D626" i="7"/>
  <c r="F78" i="7"/>
  <c r="H78" i="7" s="1"/>
  <c r="D78" i="7"/>
  <c r="F129" i="7"/>
  <c r="H129" i="7" s="1"/>
  <c r="D129" i="7"/>
  <c r="F162" i="7"/>
  <c r="H162" i="7" s="1"/>
  <c r="D162" i="7"/>
  <c r="F392" i="7"/>
  <c r="H392" i="7" s="1"/>
  <c r="D392" i="7"/>
  <c r="F518" i="7"/>
  <c r="H518" i="7" s="1"/>
  <c r="D518" i="7"/>
  <c r="F537" i="7"/>
  <c r="H537" i="7" s="1"/>
  <c r="D537" i="7"/>
  <c r="F101" i="7"/>
  <c r="H101" i="7" s="1"/>
  <c r="D101" i="7"/>
  <c r="F416" i="7"/>
  <c r="H416" i="7" s="1"/>
  <c r="D416" i="7"/>
  <c r="F166" i="7"/>
  <c r="H166" i="7" s="1"/>
  <c r="D166" i="7"/>
  <c r="F102" i="7"/>
  <c r="H102" i="7" s="1"/>
  <c r="D102" i="7"/>
  <c r="F14" i="7"/>
  <c r="H14" i="7" s="1"/>
  <c r="D14" i="7"/>
  <c r="F178" i="7"/>
  <c r="H178" i="7" s="1"/>
  <c r="D178" i="7"/>
  <c r="F228" i="7"/>
  <c r="H228" i="7" s="1"/>
  <c r="D228" i="7"/>
  <c r="F508" i="7"/>
  <c r="H508" i="7" s="1"/>
  <c r="D508" i="7"/>
  <c r="F601" i="7"/>
  <c r="H601" i="7" s="1"/>
  <c r="D601" i="7"/>
  <c r="F330" i="7"/>
  <c r="H330" i="7" s="1"/>
  <c r="D330" i="7"/>
  <c r="F426" i="7"/>
  <c r="H426" i="7" s="1"/>
  <c r="D426" i="7"/>
  <c r="F15" i="7"/>
  <c r="H15" i="7" s="1"/>
  <c r="D15" i="7"/>
  <c r="F140" i="7"/>
  <c r="H140" i="7" s="1"/>
  <c r="D140" i="7"/>
  <c r="F437" i="7"/>
  <c r="H437" i="7" s="1"/>
  <c r="D437" i="7"/>
  <c r="F596" i="7"/>
  <c r="H596" i="7" s="1"/>
  <c r="D596" i="7"/>
  <c r="F268" i="7"/>
  <c r="H268" i="7" s="1"/>
  <c r="D268" i="7"/>
  <c r="F107" i="7"/>
  <c r="H107" i="7" s="1"/>
  <c r="D107" i="7"/>
  <c r="F272" i="7"/>
  <c r="H272" i="7" s="1"/>
  <c r="D272" i="7"/>
  <c r="F572" i="7"/>
  <c r="H572" i="7" s="1"/>
  <c r="D572" i="7"/>
  <c r="F158" i="7"/>
  <c r="H158" i="7" s="1"/>
  <c r="D158" i="7"/>
  <c r="F250" i="7"/>
  <c r="H250" i="7" s="1"/>
  <c r="D250" i="7"/>
  <c r="F605" i="7"/>
  <c r="H605" i="7" s="1"/>
  <c r="D605" i="7"/>
  <c r="F127" i="7"/>
  <c r="H127" i="7" s="1"/>
  <c r="D127" i="7"/>
  <c r="F584" i="7"/>
  <c r="H584" i="7" s="1"/>
  <c r="D584" i="7"/>
  <c r="F371" i="7"/>
  <c r="H371" i="7" s="1"/>
  <c r="D371" i="7"/>
  <c r="F358" i="7"/>
  <c r="H358" i="7" s="1"/>
  <c r="D358" i="7"/>
  <c r="F124" i="7"/>
  <c r="H124" i="7" s="1"/>
  <c r="D124" i="7"/>
  <c r="F360" i="7"/>
  <c r="H360" i="7" s="1"/>
  <c r="D360" i="7"/>
  <c r="F423" i="7"/>
  <c r="H423" i="7" s="1"/>
  <c r="D423" i="7"/>
  <c r="F247" i="7"/>
  <c r="H247" i="7" s="1"/>
  <c r="D247" i="7"/>
  <c r="F284" i="7"/>
  <c r="H284" i="7" s="1"/>
  <c r="D284" i="7"/>
  <c r="F644" i="7"/>
  <c r="H644" i="7" s="1"/>
  <c r="D644" i="7"/>
  <c r="F25" i="7"/>
  <c r="H25" i="7" s="1"/>
  <c r="D25" i="7"/>
  <c r="F160" i="7"/>
  <c r="H160" i="7" s="1"/>
  <c r="D160" i="7"/>
  <c r="F533" i="7"/>
  <c r="H533" i="7" s="1"/>
  <c r="D533" i="7"/>
  <c r="F144" i="7"/>
  <c r="H144" i="7" s="1"/>
  <c r="D144" i="7"/>
  <c r="F296" i="7"/>
  <c r="H296" i="7" s="1"/>
  <c r="D296" i="7"/>
  <c r="F237" i="7"/>
  <c r="H237" i="7" s="1"/>
  <c r="D237" i="7"/>
  <c r="F482" i="7"/>
  <c r="H482" i="7" s="1"/>
  <c r="D482" i="7"/>
  <c r="F89" i="7"/>
  <c r="H89" i="7" s="1"/>
  <c r="D89" i="7"/>
  <c r="F558" i="7"/>
  <c r="H558" i="7" s="1"/>
  <c r="D558" i="7"/>
  <c r="F570" i="7"/>
  <c r="H570" i="7" s="1"/>
  <c r="D570" i="7"/>
  <c r="F490" i="7"/>
  <c r="H490" i="7" s="1"/>
  <c r="D490" i="7"/>
  <c r="F109" i="7"/>
  <c r="H109" i="7" s="1"/>
  <c r="D109" i="7"/>
  <c r="F631" i="7"/>
  <c r="H631" i="7" s="1"/>
  <c r="D631" i="7"/>
  <c r="F257" i="7"/>
  <c r="H257" i="7" s="1"/>
  <c r="D257" i="7"/>
  <c r="F298" i="7"/>
  <c r="H298" i="7" s="1"/>
  <c r="D298" i="7"/>
  <c r="F663" i="7"/>
  <c r="H663" i="7" s="1"/>
  <c r="D663" i="7"/>
  <c r="F301" i="7"/>
  <c r="H301" i="7" s="1"/>
  <c r="D301" i="7"/>
  <c r="F264" i="7"/>
  <c r="H264" i="7" s="1"/>
  <c r="D264" i="7"/>
  <c r="F455" i="7"/>
  <c r="H455" i="7" s="1"/>
  <c r="D455" i="7"/>
  <c r="F532" i="7"/>
  <c r="H532" i="7" s="1"/>
  <c r="D532" i="7"/>
  <c r="F339" i="7"/>
  <c r="H339" i="7" s="1"/>
  <c r="D339" i="7"/>
  <c r="F327" i="7"/>
  <c r="H327" i="7" s="1"/>
  <c r="D327" i="7"/>
  <c r="F383" i="7"/>
  <c r="H383" i="7" s="1"/>
  <c r="D383" i="7"/>
  <c r="F205" i="7"/>
  <c r="H205" i="7" s="1"/>
  <c r="D205" i="7"/>
  <c r="F397" i="7"/>
  <c r="H397" i="7" s="1"/>
  <c r="D397" i="7"/>
  <c r="F243" i="7"/>
  <c r="H243" i="7" s="1"/>
  <c r="D243" i="7"/>
  <c r="F194" i="7"/>
  <c r="H194" i="7" s="1"/>
  <c r="D194" i="7"/>
  <c r="F357" i="7"/>
  <c r="H357" i="7" s="1"/>
  <c r="D357" i="7"/>
  <c r="H10" i="7"/>
  <c r="D10" i="7"/>
  <c r="F476" i="7"/>
  <c r="H476" i="7" s="1"/>
  <c r="D476" i="7"/>
  <c r="F119" i="7"/>
  <c r="H119" i="7" s="1"/>
  <c r="D119" i="7"/>
  <c r="F122" i="7"/>
  <c r="H122" i="7" s="1"/>
  <c r="D122" i="7"/>
  <c r="F350" i="7"/>
  <c r="H350" i="7" s="1"/>
  <c r="D350" i="7"/>
  <c r="F413" i="7"/>
  <c r="H413" i="7" s="1"/>
  <c r="D413" i="7"/>
  <c r="F174" i="7"/>
  <c r="H174" i="7" s="1"/>
  <c r="D174" i="7"/>
  <c r="F258" i="7"/>
  <c r="H258" i="7" s="1"/>
  <c r="D258" i="7"/>
  <c r="F454" i="7"/>
  <c r="H454" i="7" s="1"/>
  <c r="D454" i="7"/>
  <c r="F306" i="7"/>
  <c r="H306" i="7" s="1"/>
  <c r="D306" i="7"/>
  <c r="F615" i="7"/>
  <c r="H615" i="7" s="1"/>
  <c r="D615" i="7"/>
  <c r="F492" i="7"/>
  <c r="H492" i="7" s="1"/>
  <c r="D492" i="7"/>
  <c r="F96" i="7"/>
  <c r="H96" i="7" s="1"/>
  <c r="D96" i="7"/>
  <c r="F255" i="7"/>
  <c r="H255" i="7" s="1"/>
  <c r="D255" i="7"/>
  <c r="F578" i="7"/>
  <c r="H578" i="7" s="1"/>
  <c r="D578" i="7"/>
  <c r="F471" i="7"/>
  <c r="H471" i="7" s="1"/>
  <c r="D471" i="7"/>
  <c r="F66" i="7"/>
  <c r="H66" i="7" s="1"/>
  <c r="D66" i="7"/>
  <c r="F317" i="7"/>
  <c r="H317" i="7" s="1"/>
  <c r="D317" i="7"/>
  <c r="F367" i="7"/>
  <c r="H367" i="7" s="1"/>
  <c r="D367" i="7"/>
  <c r="F164" i="7"/>
  <c r="H164" i="7" s="1"/>
  <c r="D164" i="7"/>
  <c r="F333" i="7"/>
  <c r="H333" i="7" s="1"/>
  <c r="D333" i="7"/>
  <c r="F366" i="7"/>
  <c r="H366" i="7" s="1"/>
  <c r="D366" i="7"/>
  <c r="F114" i="7"/>
  <c r="H114" i="7" s="1"/>
  <c r="D114" i="7"/>
  <c r="F349" i="7"/>
  <c r="H349" i="7" s="1"/>
  <c r="D349" i="7"/>
  <c r="F146" i="7"/>
  <c r="H146" i="7" s="1"/>
  <c r="D146" i="7"/>
  <c r="F500" i="7"/>
  <c r="H500" i="7" s="1"/>
  <c r="D500" i="7"/>
  <c r="F468" i="7"/>
  <c r="H468" i="7" s="1"/>
  <c r="D468" i="7"/>
  <c r="F54" i="7"/>
  <c r="H54" i="7" s="1"/>
  <c r="D54" i="7"/>
  <c r="F388" i="7"/>
  <c r="H388" i="7" s="1"/>
  <c r="D388" i="7"/>
  <c r="F434" i="7"/>
  <c r="H434" i="7" s="1"/>
  <c r="D434" i="7"/>
  <c r="F60" i="7"/>
  <c r="H60" i="7" s="1"/>
  <c r="D60" i="7"/>
  <c r="F155" i="7"/>
  <c r="H155" i="7" s="1"/>
  <c r="D155" i="7"/>
  <c r="F16" i="7"/>
  <c r="H16" i="7" s="1"/>
  <c r="D16" i="7"/>
  <c r="F90" i="7"/>
  <c r="H90" i="7" s="1"/>
  <c r="D90" i="7"/>
  <c r="F457" i="7"/>
  <c r="H457" i="7" s="1"/>
  <c r="D457" i="7"/>
  <c r="F657" i="7"/>
  <c r="H657" i="7" s="1"/>
  <c r="D657" i="7"/>
  <c r="F550" i="7"/>
  <c r="H550" i="7" s="1"/>
  <c r="D550" i="7"/>
  <c r="F443" i="7"/>
  <c r="H443" i="7" s="1"/>
  <c r="D443" i="7"/>
  <c r="F39" i="7"/>
  <c r="H39" i="7" s="1"/>
  <c r="D39" i="7"/>
  <c r="F58" i="7"/>
  <c r="H58" i="7" s="1"/>
  <c r="D58" i="7"/>
  <c r="F505" i="7"/>
  <c r="H505" i="7" s="1"/>
  <c r="D505" i="7"/>
  <c r="F640" i="7"/>
  <c r="H640" i="7" s="1"/>
  <c r="D640" i="7"/>
  <c r="F499" i="7"/>
  <c r="H499" i="7" s="1"/>
  <c r="D499" i="7"/>
  <c r="F221" i="7"/>
  <c r="H221" i="7" s="1"/>
  <c r="D221" i="7"/>
  <c r="F590" i="7"/>
  <c r="H590" i="7" s="1"/>
  <c r="D590" i="7"/>
  <c r="F415" i="7"/>
  <c r="H415" i="7" s="1"/>
  <c r="D415" i="7"/>
  <c r="F629" i="7"/>
  <c r="H629" i="7" s="1"/>
  <c r="D629" i="7"/>
  <c r="F321" i="7"/>
  <c r="H321" i="7" s="1"/>
  <c r="D321" i="7"/>
  <c r="F581" i="7"/>
  <c r="H581" i="7" s="1"/>
  <c r="D581" i="7"/>
  <c r="F493" i="7"/>
  <c r="H493" i="7" s="1"/>
  <c r="D493" i="7"/>
  <c r="F534" i="7"/>
  <c r="H534" i="7" s="1"/>
  <c r="D534" i="7"/>
  <c r="F384" i="7"/>
  <c r="H384" i="7" s="1"/>
  <c r="D384" i="7"/>
  <c r="F595" i="7"/>
  <c r="H595" i="7" s="1"/>
  <c r="D595" i="7"/>
  <c r="F613" i="7"/>
  <c r="H613" i="7" s="1"/>
  <c r="D613" i="7"/>
  <c r="F121" i="7"/>
  <c r="H121" i="7" s="1"/>
  <c r="D121" i="7"/>
  <c r="F249" i="7"/>
  <c r="H249" i="7" s="1"/>
  <c r="D249" i="7"/>
  <c r="F152" i="7"/>
  <c r="H152" i="7" s="1"/>
  <c r="D152" i="7"/>
  <c r="F203" i="7"/>
  <c r="H203" i="7" s="1"/>
  <c r="D203" i="7"/>
  <c r="F487" i="7"/>
  <c r="H487" i="7" s="1"/>
  <c r="D487" i="7"/>
  <c r="F280" i="7"/>
  <c r="H280" i="7" s="1"/>
  <c r="D280" i="7"/>
  <c r="F424" i="7"/>
  <c r="H424" i="7" s="1"/>
  <c r="D424" i="7"/>
  <c r="F128" i="7"/>
  <c r="H128" i="7" s="1"/>
  <c r="D128" i="7"/>
  <c r="F356" i="7"/>
  <c r="H356" i="7" s="1"/>
  <c r="D356" i="7"/>
  <c r="F40" i="7"/>
  <c r="H40" i="7" s="1"/>
  <c r="D40" i="7"/>
  <c r="F210" i="7"/>
  <c r="H210" i="7" s="1"/>
  <c r="D210" i="7"/>
  <c r="F594" i="7"/>
  <c r="H594" i="7" s="1"/>
  <c r="D594" i="7"/>
  <c r="F260" i="7"/>
  <c r="H260" i="7" s="1"/>
  <c r="D260" i="7"/>
  <c r="F641" i="7"/>
  <c r="H641" i="7" s="1"/>
  <c r="D641" i="7"/>
  <c r="F523" i="7"/>
  <c r="H523" i="7" s="1"/>
  <c r="D523" i="7"/>
  <c r="F655" i="7"/>
  <c r="H655" i="7" s="1"/>
  <c r="D655" i="7"/>
  <c r="F353" i="7"/>
  <c r="H353" i="7" s="1"/>
  <c r="D353" i="7"/>
  <c r="F145" i="7"/>
  <c r="H145" i="7" s="1"/>
  <c r="D145" i="7"/>
  <c r="F608" i="7"/>
  <c r="H608" i="7" s="1"/>
  <c r="D608" i="7"/>
  <c r="F43" i="7"/>
  <c r="H43" i="7" s="1"/>
  <c r="D43" i="7"/>
  <c r="F401" i="7"/>
  <c r="H401" i="7" s="1"/>
  <c r="D401" i="7"/>
  <c r="F183" i="7"/>
  <c r="H183" i="7" s="1"/>
  <c r="D183" i="7"/>
  <c r="F46" i="7"/>
  <c r="H46" i="7" s="1"/>
  <c r="D46" i="7"/>
  <c r="F113" i="7"/>
  <c r="H113" i="7" s="1"/>
  <c r="D113" i="7"/>
  <c r="F104" i="7"/>
  <c r="H104" i="7" s="1"/>
  <c r="D104" i="7"/>
  <c r="F86" i="7"/>
  <c r="H86" i="7" s="1"/>
  <c r="D86" i="7"/>
  <c r="F267" i="7"/>
  <c r="H267" i="7" s="1"/>
  <c r="D267" i="7"/>
  <c r="F442" i="7"/>
  <c r="H442" i="7" s="1"/>
  <c r="D442" i="7"/>
  <c r="F47" i="7"/>
  <c r="H47" i="7" s="1"/>
  <c r="D47" i="7"/>
  <c r="F557" i="7"/>
  <c r="H557" i="7" s="1"/>
  <c r="D557" i="7"/>
  <c r="F481" i="7"/>
  <c r="H481" i="7" s="1"/>
  <c r="D481" i="7"/>
  <c r="F489" i="7"/>
  <c r="H489" i="7" s="1"/>
  <c r="D489" i="7"/>
  <c r="F547" i="7"/>
  <c r="H547" i="7" s="1"/>
  <c r="D547" i="7"/>
  <c r="F516" i="7"/>
  <c r="H516" i="7" s="1"/>
  <c r="D516" i="7"/>
  <c r="F420" i="7"/>
  <c r="H420" i="7" s="1"/>
  <c r="D420" i="7"/>
  <c r="F143" i="7"/>
  <c r="H143" i="7" s="1"/>
  <c r="D143" i="7"/>
  <c r="F483" i="7"/>
  <c r="H483" i="7" s="1"/>
  <c r="D483" i="7"/>
  <c r="F224" i="7"/>
  <c r="H224" i="7" s="1"/>
  <c r="D224" i="7"/>
  <c r="F359" i="7"/>
  <c r="H359" i="7" s="1"/>
  <c r="D359" i="7"/>
  <c r="F167" i="7"/>
  <c r="H167" i="7" s="1"/>
  <c r="D167" i="7"/>
  <c r="F23" i="7"/>
  <c r="H23" i="7" s="1"/>
  <c r="D23" i="7"/>
  <c r="F300" i="7"/>
  <c r="H300" i="7" s="1"/>
  <c r="D300" i="7"/>
  <c r="F453" i="7"/>
  <c r="H453" i="7" s="1"/>
  <c r="D453" i="7"/>
  <c r="F354" i="7"/>
  <c r="H354" i="7" s="1"/>
  <c r="D354" i="7"/>
  <c r="F604" i="7"/>
  <c r="H604" i="7" s="1"/>
  <c r="D604" i="7"/>
  <c r="F92" i="7"/>
  <c r="H92" i="7" s="1"/>
  <c r="D92" i="7"/>
  <c r="F126" i="7"/>
  <c r="H126" i="7" s="1"/>
  <c r="D126" i="7"/>
  <c r="F440" i="7"/>
  <c r="H440" i="7" s="1"/>
  <c r="D440" i="7"/>
  <c r="F197" i="7"/>
  <c r="H197" i="7" s="1"/>
  <c r="D197" i="7"/>
  <c r="F67" i="7"/>
  <c r="H67" i="7" s="1"/>
  <c r="D67" i="7"/>
  <c r="F589" i="7"/>
  <c r="H589" i="7" s="1"/>
  <c r="D589" i="7"/>
  <c r="F138" i="7"/>
  <c r="H138" i="7" s="1"/>
  <c r="D138" i="7"/>
  <c r="F13" i="7"/>
  <c r="H13" i="7" s="1"/>
  <c r="D13" i="7"/>
  <c r="F22" i="7"/>
  <c r="H22" i="7" s="1"/>
  <c r="D22" i="7"/>
  <c r="F521" i="7"/>
  <c r="H521" i="7" s="1"/>
  <c r="D521" i="7"/>
  <c r="F134" i="7"/>
  <c r="H134" i="7" s="1"/>
  <c r="D134" i="7"/>
  <c r="F525" i="7"/>
  <c r="H525" i="7" s="1"/>
  <c r="D525" i="7"/>
  <c r="F184" i="7"/>
  <c r="H184" i="7" s="1"/>
  <c r="D184" i="7"/>
  <c r="F385" i="7"/>
  <c r="H385" i="7" s="1"/>
  <c r="D385" i="7"/>
  <c r="F444" i="7"/>
  <c r="H444" i="7" s="1"/>
  <c r="D444" i="7"/>
  <c r="F190" i="7"/>
  <c r="H190" i="7" s="1"/>
  <c r="D190" i="7"/>
  <c r="F302" i="7"/>
  <c r="H302" i="7" s="1"/>
  <c r="D302" i="7"/>
  <c r="F254" i="7"/>
  <c r="H254" i="7" s="1"/>
  <c r="D254" i="7"/>
  <c r="F486" i="7"/>
  <c r="H486" i="7" s="1"/>
  <c r="D486" i="7"/>
  <c r="F652" i="7"/>
  <c r="H652" i="7" s="1"/>
  <c r="D652" i="7"/>
  <c r="F419" i="7"/>
  <c r="H419" i="7" s="1"/>
  <c r="D419" i="7"/>
  <c r="F323" i="7"/>
  <c r="H323" i="7" s="1"/>
  <c r="D323" i="7"/>
  <c r="F653" i="7"/>
  <c r="H653" i="7" s="1"/>
  <c r="D653" i="7"/>
  <c r="F318" i="7"/>
  <c r="H318" i="7" s="1"/>
  <c r="D318" i="7"/>
  <c r="F208" i="7"/>
  <c r="H208" i="7" s="1"/>
  <c r="D208" i="7"/>
  <c r="F614" i="7"/>
  <c r="H614" i="7" s="1"/>
  <c r="D614" i="7"/>
  <c r="F147" i="7"/>
  <c r="H147" i="7" s="1"/>
  <c r="D147" i="7"/>
  <c r="F133" i="7"/>
  <c r="H133" i="7" s="1"/>
  <c r="D133" i="7"/>
  <c r="F173" i="7"/>
  <c r="H173" i="7" s="1"/>
  <c r="D173" i="7"/>
  <c r="F414" i="7"/>
  <c r="H414" i="7" s="1"/>
  <c r="D414" i="7"/>
  <c r="F329" i="7"/>
  <c r="H329" i="7" s="1"/>
  <c r="D329" i="7"/>
  <c r="F671" i="7"/>
  <c r="H671" i="7" s="1"/>
  <c r="D671" i="7"/>
  <c r="F120" i="7"/>
  <c r="H120" i="7" s="1"/>
  <c r="D120" i="7"/>
  <c r="F617" i="7"/>
  <c r="H617" i="7" s="1"/>
  <c r="D617" i="7"/>
  <c r="F618" i="7"/>
  <c r="H618" i="7" s="1"/>
  <c r="D618" i="7"/>
  <c r="F510" i="7"/>
  <c r="H510" i="7" s="1"/>
  <c r="D510" i="7"/>
  <c r="F512" i="7"/>
  <c r="H512" i="7" s="1"/>
  <c r="D512" i="7"/>
  <c r="F11" i="7"/>
  <c r="H11" i="7" s="1"/>
  <c r="D11" i="7"/>
  <c r="F565" i="7"/>
  <c r="H565" i="7" s="1"/>
  <c r="D565" i="7"/>
  <c r="F406" i="7"/>
  <c r="H406" i="7" s="1"/>
  <c r="D406" i="7"/>
  <c r="F647" i="7"/>
  <c r="H647" i="7" s="1"/>
  <c r="D647" i="7"/>
  <c r="F610" i="7"/>
  <c r="H610" i="7" s="1"/>
  <c r="D610" i="7"/>
  <c r="F446" i="7"/>
  <c r="H446" i="7" s="1"/>
  <c r="D446" i="7"/>
  <c r="F216" i="7"/>
  <c r="H216" i="7" s="1"/>
  <c r="D216" i="7"/>
  <c r="F665" i="7"/>
  <c r="H665" i="7" s="1"/>
  <c r="D665" i="7"/>
  <c r="F377" i="7"/>
  <c r="H377" i="7" s="1"/>
  <c r="D377" i="7"/>
  <c r="F291" i="7"/>
  <c r="H291" i="7" s="1"/>
  <c r="D291" i="7"/>
  <c r="F387" i="7"/>
  <c r="H387" i="7" s="1"/>
  <c r="D387" i="7"/>
  <c r="F287" i="7"/>
  <c r="H287" i="7" s="1"/>
  <c r="D287" i="7"/>
  <c r="F41" i="7"/>
  <c r="H41" i="7" s="1"/>
  <c r="D41" i="7"/>
  <c r="F234" i="7"/>
  <c r="H234" i="7" s="1"/>
  <c r="D234" i="7"/>
  <c r="F44" i="7"/>
  <c r="H44" i="7" s="1"/>
  <c r="D44" i="7"/>
  <c r="F372" i="7"/>
  <c r="H372" i="7" s="1"/>
  <c r="D372" i="7"/>
  <c r="F462" i="7"/>
  <c r="H462" i="7" s="1"/>
  <c r="D462" i="7"/>
  <c r="F370" i="7"/>
  <c r="H370" i="7" s="1"/>
  <c r="D370" i="7"/>
  <c r="F577" i="7"/>
  <c r="H577" i="7" s="1"/>
  <c r="D577" i="7"/>
  <c r="F668" i="7"/>
  <c r="H668" i="7" s="1"/>
  <c r="D668" i="7"/>
  <c r="F535" i="7"/>
  <c r="H535" i="7" s="1"/>
  <c r="D535" i="7"/>
  <c r="F159" i="7"/>
  <c r="H159" i="7" s="1"/>
  <c r="D159" i="7"/>
  <c r="F99" i="7"/>
  <c r="H99" i="7" s="1"/>
  <c r="D99" i="7"/>
  <c r="F180" i="7"/>
  <c r="H180" i="7" s="1"/>
  <c r="D180" i="7"/>
  <c r="F151" i="7"/>
  <c r="H151" i="7" s="1"/>
  <c r="D151" i="7"/>
  <c r="F389" i="7"/>
  <c r="H389" i="7" s="1"/>
  <c r="D389" i="7"/>
  <c r="F659" i="7"/>
  <c r="H659" i="7" s="1"/>
  <c r="D659" i="7"/>
  <c r="F474" i="7"/>
  <c r="H474" i="7" s="1"/>
  <c r="D474" i="7"/>
  <c r="F364" i="7"/>
  <c r="H364" i="7" s="1"/>
  <c r="D364" i="7"/>
  <c r="F607" i="7"/>
  <c r="H607" i="7" s="1"/>
  <c r="D607" i="7"/>
  <c r="F19" i="7"/>
  <c r="H19" i="7" s="1"/>
  <c r="F474" i="5"/>
  <c r="H474" i="5" s="1"/>
  <c r="D474" i="5"/>
  <c r="E474" i="5" s="1"/>
  <c r="F225" i="5"/>
  <c r="H225" i="5" s="1"/>
  <c r="D225" i="5"/>
  <c r="E225" i="5" s="1"/>
  <c r="F454" i="5"/>
  <c r="H454" i="5" s="1"/>
  <c r="D454" i="5"/>
  <c r="E454" i="5" s="1"/>
  <c r="F451" i="5"/>
  <c r="H451" i="5" s="1"/>
  <c r="D451" i="5"/>
  <c r="E451" i="5" s="1"/>
  <c r="F121" i="5"/>
  <c r="H121" i="5" s="1"/>
  <c r="D121" i="5"/>
  <c r="E121" i="5" s="1"/>
  <c r="F145" i="5"/>
  <c r="H145" i="5" s="1"/>
  <c r="D145" i="5"/>
  <c r="E145" i="5" s="1"/>
  <c r="F245" i="5"/>
  <c r="H245" i="5" s="1"/>
  <c r="D245" i="5"/>
  <c r="E245" i="5" s="1"/>
  <c r="F436" i="5"/>
  <c r="H436" i="5" s="1"/>
  <c r="D436" i="5"/>
  <c r="E436" i="5" s="1"/>
  <c r="F234" i="5"/>
  <c r="H234" i="5" s="1"/>
  <c r="D234" i="5"/>
  <c r="E234" i="5" s="1"/>
  <c r="F300" i="5"/>
  <c r="H300" i="5" s="1"/>
  <c r="D300" i="5"/>
  <c r="E300" i="5" s="1"/>
  <c r="F228" i="5"/>
  <c r="H228" i="5" s="1"/>
  <c r="D228" i="5"/>
  <c r="E228" i="5" s="1"/>
  <c r="F262" i="5"/>
  <c r="H262" i="5" s="1"/>
  <c r="D262" i="5"/>
  <c r="E262" i="5" s="1"/>
  <c r="F54" i="5"/>
  <c r="H54" i="5" s="1"/>
  <c r="D54" i="5"/>
  <c r="E54" i="5" s="1"/>
  <c r="F25" i="5"/>
  <c r="H25" i="5" s="1"/>
  <c r="D25" i="5"/>
  <c r="E25" i="5" s="1"/>
  <c r="F289" i="5"/>
  <c r="H289" i="5" s="1"/>
  <c r="D289" i="5"/>
  <c r="E289" i="5" s="1"/>
  <c r="F624" i="5"/>
  <c r="H624" i="5" s="1"/>
  <c r="D624" i="5"/>
  <c r="E624" i="5" s="1"/>
  <c r="F367" i="5"/>
  <c r="H367" i="5" s="1"/>
  <c r="D367" i="5"/>
  <c r="E367" i="5" s="1"/>
  <c r="F115" i="5"/>
  <c r="H115" i="5" s="1"/>
  <c r="D115" i="5"/>
  <c r="E115" i="5" s="1"/>
  <c r="F76" i="5"/>
  <c r="H76" i="5" s="1"/>
  <c r="D76" i="5"/>
  <c r="E76" i="5" s="1"/>
  <c r="F378" i="5"/>
  <c r="H378" i="5" s="1"/>
  <c r="D378" i="5"/>
  <c r="E378" i="5" s="1"/>
  <c r="F626" i="5"/>
  <c r="H626" i="5" s="1"/>
  <c r="D626" i="5"/>
  <c r="E626" i="5" s="1"/>
  <c r="F49" i="5"/>
  <c r="H49" i="5" s="1"/>
  <c r="D49" i="5"/>
  <c r="E49" i="5" s="1"/>
  <c r="F43" i="5"/>
  <c r="H43" i="5" s="1"/>
  <c r="D43" i="5"/>
  <c r="E43" i="5" s="1"/>
  <c r="F207" i="5"/>
  <c r="H207" i="5" s="1"/>
  <c r="D207" i="5"/>
  <c r="E207" i="5" s="1"/>
  <c r="F159" i="5"/>
  <c r="H159" i="5" s="1"/>
  <c r="D159" i="5"/>
  <c r="E159" i="5" s="1"/>
  <c r="F143" i="5"/>
  <c r="H143" i="5" s="1"/>
  <c r="D143" i="5"/>
  <c r="E143" i="5" s="1"/>
  <c r="F593" i="5"/>
  <c r="H593" i="5" s="1"/>
  <c r="D593" i="5"/>
  <c r="E593" i="5" s="1"/>
  <c r="F452" i="5"/>
  <c r="H452" i="5" s="1"/>
  <c r="D452" i="5"/>
  <c r="E452" i="5" s="1"/>
  <c r="F473" i="5"/>
  <c r="H473" i="5" s="1"/>
  <c r="D473" i="5"/>
  <c r="E473" i="5" s="1"/>
  <c r="F321" i="5"/>
  <c r="H321" i="5" s="1"/>
  <c r="D321" i="5"/>
  <c r="E321" i="5" s="1"/>
  <c r="F408" i="5"/>
  <c r="H408" i="5" s="1"/>
  <c r="D408" i="5"/>
  <c r="E408" i="5" s="1"/>
  <c r="F264" i="5"/>
  <c r="H264" i="5" s="1"/>
  <c r="D264" i="5"/>
  <c r="E264" i="5" s="1"/>
  <c r="F100" i="5"/>
  <c r="H100" i="5" s="1"/>
  <c r="D100" i="5"/>
  <c r="E100" i="5" s="1"/>
  <c r="F201" i="5"/>
  <c r="H201" i="5" s="1"/>
  <c r="D201" i="5"/>
  <c r="E201" i="5" s="1"/>
  <c r="F28" i="5"/>
  <c r="H28" i="5" s="1"/>
  <c r="D28" i="5"/>
  <c r="E28" i="5" s="1"/>
  <c r="F467" i="5"/>
  <c r="H467" i="5" s="1"/>
  <c r="D467" i="5"/>
  <c r="E467" i="5" s="1"/>
  <c r="F162" i="5"/>
  <c r="H162" i="5" s="1"/>
  <c r="D162" i="5"/>
  <c r="E162" i="5" s="1"/>
  <c r="F444" i="5"/>
  <c r="H444" i="5" s="1"/>
  <c r="D444" i="5"/>
  <c r="E444" i="5" s="1"/>
  <c r="F73" i="5"/>
  <c r="H73" i="5" s="1"/>
  <c r="D73" i="5"/>
  <c r="E73" i="5" s="1"/>
  <c r="F327" i="5"/>
  <c r="H327" i="5" s="1"/>
  <c r="D327" i="5"/>
  <c r="E327" i="5" s="1"/>
  <c r="F605" i="5"/>
  <c r="H605" i="5" s="1"/>
  <c r="D605" i="5"/>
  <c r="E605" i="5" s="1"/>
  <c r="F453" i="5"/>
  <c r="H453" i="5" s="1"/>
  <c r="D453" i="5"/>
  <c r="E453" i="5" s="1"/>
  <c r="F149" i="5"/>
  <c r="H149" i="5" s="1"/>
  <c r="D149" i="5"/>
  <c r="E149" i="5" s="1"/>
  <c r="F296" i="5"/>
  <c r="H296" i="5" s="1"/>
  <c r="D296" i="5"/>
  <c r="E296" i="5" s="1"/>
  <c r="F108" i="5"/>
  <c r="H108" i="5" s="1"/>
  <c r="D108" i="5"/>
  <c r="E108" i="5" s="1"/>
  <c r="F160" i="5"/>
  <c r="H160" i="5" s="1"/>
  <c r="D160" i="5"/>
  <c r="E160" i="5" s="1"/>
  <c r="F472" i="5"/>
  <c r="H472" i="5" s="1"/>
  <c r="D472" i="5"/>
  <c r="E472" i="5" s="1"/>
  <c r="F208" i="5"/>
  <c r="H208" i="5" s="1"/>
  <c r="D208" i="5"/>
  <c r="E208" i="5" s="1"/>
  <c r="F56" i="5"/>
  <c r="H56" i="5" s="1"/>
  <c r="D56" i="5"/>
  <c r="E56" i="5" s="1"/>
  <c r="F350" i="5"/>
  <c r="H350" i="5" s="1"/>
  <c r="D350" i="5"/>
  <c r="E350" i="5" s="1"/>
  <c r="F53" i="5"/>
  <c r="H53" i="5" s="1"/>
  <c r="D53" i="5"/>
  <c r="E53" i="5" s="1"/>
  <c r="F621" i="5"/>
  <c r="H621" i="5" s="1"/>
  <c r="D621" i="5"/>
  <c r="E621" i="5" s="1"/>
  <c r="F360" i="5"/>
  <c r="H360" i="5" s="1"/>
  <c r="D360" i="5"/>
  <c r="E360" i="5" s="1"/>
  <c r="F387" i="5"/>
  <c r="H387" i="5" s="1"/>
  <c r="D387" i="5"/>
  <c r="E387" i="5" s="1"/>
  <c r="F30" i="5"/>
  <c r="H30" i="5" s="1"/>
  <c r="D30" i="5"/>
  <c r="E30" i="5" s="1"/>
  <c r="F309" i="5"/>
  <c r="H309" i="5" s="1"/>
  <c r="D309" i="5"/>
  <c r="E309" i="5" s="1"/>
  <c r="F79" i="5"/>
  <c r="H79" i="5" s="1"/>
  <c r="D79" i="5"/>
  <c r="E79" i="5" s="1"/>
  <c r="F248" i="5"/>
  <c r="H248" i="5" s="1"/>
  <c r="D248" i="5"/>
  <c r="E248" i="5" s="1"/>
  <c r="F69" i="5"/>
  <c r="H69" i="5" s="1"/>
  <c r="D69" i="5"/>
  <c r="E69" i="5" s="1"/>
  <c r="F39" i="5"/>
  <c r="H39" i="5" s="1"/>
  <c r="D39" i="5"/>
  <c r="E39" i="5" s="1"/>
  <c r="F161" i="5"/>
  <c r="H161" i="5" s="1"/>
  <c r="D161" i="5"/>
  <c r="E161" i="5" s="1"/>
  <c r="F90" i="5"/>
  <c r="H90" i="5" s="1"/>
  <c r="D90" i="5"/>
  <c r="E90" i="5" s="1"/>
  <c r="F269" i="5"/>
  <c r="H269" i="5" s="1"/>
  <c r="D269" i="5"/>
  <c r="E269" i="5" s="1"/>
  <c r="F169" i="5"/>
  <c r="H169" i="5" s="1"/>
  <c r="D169" i="5"/>
  <c r="E169" i="5" s="1"/>
  <c r="F274" i="5"/>
  <c r="H274" i="5" s="1"/>
  <c r="D274" i="5"/>
  <c r="E274" i="5" s="1"/>
  <c r="F63" i="5"/>
  <c r="H63" i="5" s="1"/>
  <c r="D63" i="5"/>
  <c r="E63" i="5" s="1"/>
  <c r="F123" i="5"/>
  <c r="H123" i="5" s="1"/>
  <c r="D123" i="5"/>
  <c r="E123" i="5" s="1"/>
  <c r="F35" i="5"/>
  <c r="H35" i="5" s="1"/>
  <c r="D35" i="5"/>
  <c r="E35" i="5" s="1"/>
  <c r="F38" i="5"/>
  <c r="H38" i="5" s="1"/>
  <c r="D38" i="5"/>
  <c r="E38" i="5" s="1"/>
  <c r="F70" i="5"/>
  <c r="H70" i="5" s="1"/>
  <c r="D70" i="5"/>
  <c r="E70" i="5" s="1"/>
  <c r="F423" i="5"/>
  <c r="H423" i="5" s="1"/>
  <c r="D423" i="5"/>
  <c r="E423" i="5" s="1"/>
  <c r="F417" i="5"/>
  <c r="H417" i="5" s="1"/>
  <c r="D417" i="5"/>
  <c r="E417" i="5" s="1"/>
  <c r="F404" i="5"/>
  <c r="H404" i="5" s="1"/>
  <c r="D404" i="5"/>
  <c r="E404" i="5" s="1"/>
  <c r="F345" i="5"/>
  <c r="H345" i="5" s="1"/>
  <c r="D345" i="5"/>
  <c r="E345" i="5" s="1"/>
  <c r="F463" i="5"/>
  <c r="H463" i="5" s="1"/>
  <c r="D463" i="5"/>
  <c r="E463" i="5" s="1"/>
  <c r="F66" i="5"/>
  <c r="H66" i="5" s="1"/>
  <c r="D66" i="5"/>
  <c r="E66" i="5" s="1"/>
  <c r="F599" i="5"/>
  <c r="H599" i="5" s="1"/>
  <c r="D599" i="5"/>
  <c r="E599" i="5" s="1"/>
  <c r="F258" i="5"/>
  <c r="H258" i="5" s="1"/>
  <c r="D258" i="5"/>
  <c r="E258" i="5" s="1"/>
  <c r="F97" i="5"/>
  <c r="H97" i="5" s="1"/>
  <c r="D97" i="5"/>
  <c r="E97" i="5" s="1"/>
  <c r="F256" i="5"/>
  <c r="H256" i="5" s="1"/>
  <c r="D256" i="5"/>
  <c r="E256" i="5" s="1"/>
  <c r="F334" i="5"/>
  <c r="H334" i="5" s="1"/>
  <c r="D334" i="5"/>
  <c r="E334" i="5" s="1"/>
  <c r="F232" i="5"/>
  <c r="H232" i="5" s="1"/>
  <c r="D232" i="5"/>
  <c r="E232" i="5" s="1"/>
  <c r="F337" i="5"/>
  <c r="H337" i="5" s="1"/>
  <c r="D337" i="5"/>
  <c r="E337" i="5" s="1"/>
  <c r="F98" i="5"/>
  <c r="H98" i="5" s="1"/>
  <c r="D98" i="5"/>
  <c r="E98" i="5" s="1"/>
  <c r="F158" i="5"/>
  <c r="H158" i="5" s="1"/>
  <c r="D158" i="5"/>
  <c r="E158" i="5" s="1"/>
  <c r="F391" i="5"/>
  <c r="H391" i="5" s="1"/>
  <c r="D391" i="5"/>
  <c r="E391" i="5" s="1"/>
  <c r="F306" i="5"/>
  <c r="H306" i="5" s="1"/>
  <c r="D306" i="5"/>
  <c r="E306" i="5" s="1"/>
  <c r="F338" i="5"/>
  <c r="H338" i="5" s="1"/>
  <c r="D338" i="5"/>
  <c r="E338" i="5" s="1"/>
  <c r="F585" i="5"/>
  <c r="H585" i="5" s="1"/>
  <c r="D585" i="5"/>
  <c r="E585" i="5" s="1"/>
  <c r="F18" i="5"/>
  <c r="H18" i="5" s="1"/>
  <c r="D18" i="5"/>
  <c r="E18" i="5" s="1"/>
  <c r="F140" i="5"/>
  <c r="H140" i="5" s="1"/>
  <c r="D140" i="5"/>
  <c r="E140" i="5" s="1"/>
  <c r="F389" i="5"/>
  <c r="H389" i="5" s="1"/>
  <c r="D389" i="5"/>
  <c r="E389" i="5" s="1"/>
  <c r="F250" i="5"/>
  <c r="H250" i="5" s="1"/>
  <c r="D250" i="5"/>
  <c r="E250" i="5" s="1"/>
  <c r="F318" i="5"/>
  <c r="H318" i="5" s="1"/>
  <c r="D318" i="5"/>
  <c r="E318" i="5" s="1"/>
  <c r="F450" i="5"/>
  <c r="H450" i="5" s="1"/>
  <c r="D450" i="5"/>
  <c r="E450" i="5" s="1"/>
  <c r="F148" i="5"/>
  <c r="H148" i="5" s="1"/>
  <c r="D148" i="5"/>
  <c r="E148" i="5" s="1"/>
  <c r="F27" i="5"/>
  <c r="H27" i="5" s="1"/>
  <c r="D27" i="5"/>
  <c r="E27" i="5" s="1"/>
  <c r="F226" i="5"/>
  <c r="H226" i="5" s="1"/>
  <c r="D226" i="5"/>
  <c r="E226" i="5" s="1"/>
  <c r="F630" i="5"/>
  <c r="H630" i="5" s="1"/>
  <c r="D630" i="5"/>
  <c r="E630" i="5" s="1"/>
  <c r="F629" i="5"/>
  <c r="H629" i="5" s="1"/>
  <c r="D629" i="5"/>
  <c r="E629" i="5" s="1"/>
  <c r="F301" i="5"/>
  <c r="H301" i="5" s="1"/>
  <c r="D301" i="5"/>
  <c r="E301" i="5" s="1"/>
  <c r="F374" i="5"/>
  <c r="H374" i="5" s="1"/>
  <c r="D374" i="5"/>
  <c r="E374" i="5" s="1"/>
  <c r="F399" i="5"/>
  <c r="H399" i="5" s="1"/>
  <c r="D399" i="5"/>
  <c r="E399" i="5" s="1"/>
  <c r="F477" i="5"/>
  <c r="H477" i="5" s="1"/>
  <c r="D477" i="5"/>
  <c r="E477" i="5" s="1"/>
  <c r="F469" i="5"/>
  <c r="H469" i="5" s="1"/>
  <c r="D469" i="5"/>
  <c r="E469" i="5" s="1"/>
  <c r="F609" i="5"/>
  <c r="H609" i="5" s="1"/>
  <c r="D609" i="5"/>
  <c r="E609" i="5" s="1"/>
  <c r="F142" i="5"/>
  <c r="H142" i="5" s="1"/>
  <c r="D142" i="5"/>
  <c r="E142" i="5" s="1"/>
  <c r="F582" i="5"/>
  <c r="H582" i="5" s="1"/>
  <c r="D582" i="5"/>
  <c r="E582" i="5" s="1"/>
  <c r="F177" i="5"/>
  <c r="H177" i="5" s="1"/>
  <c r="D177" i="5"/>
  <c r="E177" i="5" s="1"/>
  <c r="G38" i="5"/>
  <c r="G100" i="5"/>
  <c r="F155" i="5"/>
  <c r="H155" i="5" s="1"/>
  <c r="D155" i="5"/>
  <c r="E155" i="5" s="1"/>
  <c r="F182" i="5"/>
  <c r="H182" i="5" s="1"/>
  <c r="D182" i="5"/>
  <c r="E182" i="5" s="1"/>
  <c r="F617" i="5"/>
  <c r="H617" i="5" s="1"/>
  <c r="D617" i="5"/>
  <c r="E617" i="5" s="1"/>
  <c r="F185" i="5"/>
  <c r="H185" i="5" s="1"/>
  <c r="D185" i="5"/>
  <c r="E185" i="5" s="1"/>
  <c r="F311" i="5"/>
  <c r="H311" i="5" s="1"/>
  <c r="D311" i="5"/>
  <c r="E311" i="5" s="1"/>
  <c r="F205" i="5"/>
  <c r="H205" i="5" s="1"/>
  <c r="D205" i="5"/>
  <c r="E205" i="5" s="1"/>
  <c r="F332" i="5"/>
  <c r="H332" i="5" s="1"/>
  <c r="D332" i="5"/>
  <c r="E332" i="5" s="1"/>
  <c r="F152" i="5"/>
  <c r="H152" i="5" s="1"/>
  <c r="D152" i="5"/>
  <c r="E152" i="5" s="1"/>
  <c r="F325" i="5"/>
  <c r="H325" i="5" s="1"/>
  <c r="D325" i="5"/>
  <c r="E325" i="5" s="1"/>
  <c r="F410" i="5"/>
  <c r="H410" i="5" s="1"/>
  <c r="D410" i="5"/>
  <c r="E410" i="5" s="1"/>
  <c r="F151" i="5"/>
  <c r="H151" i="5" s="1"/>
  <c r="D151" i="5"/>
  <c r="E151" i="5" s="1"/>
  <c r="F383" i="5"/>
  <c r="H383" i="5" s="1"/>
  <c r="D383" i="5"/>
  <c r="E383" i="5" s="1"/>
  <c r="F420" i="5"/>
  <c r="H420" i="5" s="1"/>
  <c r="D420" i="5"/>
  <c r="E420" i="5" s="1"/>
  <c r="F173" i="5"/>
  <c r="H173" i="5" s="1"/>
  <c r="D173" i="5"/>
  <c r="E173" i="5" s="1"/>
  <c r="F356" i="5"/>
  <c r="H356" i="5" s="1"/>
  <c r="D356" i="5"/>
  <c r="E356" i="5" s="1"/>
  <c r="F65" i="5"/>
  <c r="H65" i="5" s="1"/>
  <c r="D65" i="5"/>
  <c r="E65" i="5" s="1"/>
  <c r="F170" i="5"/>
  <c r="H170" i="5" s="1"/>
  <c r="D170" i="5"/>
  <c r="E170" i="5" s="1"/>
  <c r="F60" i="5"/>
  <c r="H60" i="5" s="1"/>
  <c r="D60" i="5"/>
  <c r="E60" i="5" s="1"/>
  <c r="F11" i="5"/>
  <c r="H11" i="5" s="1"/>
  <c r="D11" i="5"/>
  <c r="E11" i="5" s="1"/>
  <c r="F283" i="5"/>
  <c r="H283" i="5" s="1"/>
  <c r="D283" i="5"/>
  <c r="E283" i="5" s="1"/>
  <c r="F197" i="5"/>
  <c r="H197" i="5" s="1"/>
  <c r="D197" i="5"/>
  <c r="E197" i="5" s="1"/>
  <c r="F237" i="5"/>
  <c r="H237" i="5" s="1"/>
  <c r="D237" i="5"/>
  <c r="E237" i="5" s="1"/>
  <c r="F209" i="5"/>
  <c r="H209" i="5" s="1"/>
  <c r="D209" i="5"/>
  <c r="E209" i="5" s="1"/>
  <c r="F17" i="5"/>
  <c r="H17" i="5" s="1"/>
  <c r="D17" i="5"/>
  <c r="E17" i="5" s="1"/>
  <c r="F370" i="5"/>
  <c r="H370" i="5" s="1"/>
  <c r="D370" i="5"/>
  <c r="E370" i="5" s="1"/>
  <c r="F195" i="5"/>
  <c r="H195" i="5" s="1"/>
  <c r="D195" i="5"/>
  <c r="E195" i="5" s="1"/>
  <c r="F447" i="5"/>
  <c r="H447" i="5" s="1"/>
  <c r="D447" i="5"/>
  <c r="E447" i="5" s="1"/>
  <c r="F88" i="5"/>
  <c r="H88" i="5" s="1"/>
  <c r="D88" i="5"/>
  <c r="E88" i="5" s="1"/>
  <c r="F263" i="5"/>
  <c r="H263" i="5" s="1"/>
  <c r="D263" i="5"/>
  <c r="E263" i="5" s="1"/>
  <c r="F154" i="5"/>
  <c r="H154" i="5" s="1"/>
  <c r="D154" i="5"/>
  <c r="E154" i="5" s="1"/>
  <c r="F44" i="5"/>
  <c r="H44" i="5" s="1"/>
  <c r="D44" i="5"/>
  <c r="E44" i="5" s="1"/>
  <c r="F42" i="5"/>
  <c r="H42" i="5" s="1"/>
  <c r="D42" i="5"/>
  <c r="E42" i="5" s="1"/>
  <c r="F602" i="5"/>
  <c r="H602" i="5" s="1"/>
  <c r="D602" i="5"/>
  <c r="E602" i="5" s="1"/>
  <c r="F47" i="5"/>
  <c r="H47" i="5" s="1"/>
  <c r="D47" i="5"/>
  <c r="E47" i="5" s="1"/>
  <c r="F285" i="5"/>
  <c r="H285" i="5" s="1"/>
  <c r="D285" i="5"/>
  <c r="E285" i="5" s="1"/>
  <c r="F384" i="5"/>
  <c r="H384" i="5" s="1"/>
  <c r="D384" i="5"/>
  <c r="E384" i="5" s="1"/>
  <c r="F122" i="5"/>
  <c r="H122" i="5" s="1"/>
  <c r="D122" i="5"/>
  <c r="E122" i="5" s="1"/>
  <c r="F247" i="5"/>
  <c r="H247" i="5" s="1"/>
  <c r="D247" i="5"/>
  <c r="E247" i="5" s="1"/>
  <c r="F578" i="5"/>
  <c r="H578" i="5" s="1"/>
  <c r="D578" i="5"/>
  <c r="E578" i="5" s="1"/>
  <c r="F297" i="5"/>
  <c r="H297" i="5" s="1"/>
  <c r="D297" i="5"/>
  <c r="E297" i="5" s="1"/>
  <c r="F386" i="5"/>
  <c r="H386" i="5" s="1"/>
  <c r="D386" i="5"/>
  <c r="E386" i="5" s="1"/>
  <c r="F187" i="5"/>
  <c r="H187" i="5" s="1"/>
  <c r="D187" i="5"/>
  <c r="E187" i="5" s="1"/>
  <c r="F320" i="5"/>
  <c r="H320" i="5" s="1"/>
  <c r="D320" i="5"/>
  <c r="E320" i="5" s="1"/>
  <c r="F475" i="5"/>
  <c r="H475" i="5" s="1"/>
  <c r="D475" i="5"/>
  <c r="E475" i="5" s="1"/>
  <c r="F329" i="5"/>
  <c r="H329" i="5" s="1"/>
  <c r="D329" i="5"/>
  <c r="E329" i="5" s="1"/>
  <c r="F128" i="5"/>
  <c r="H128" i="5" s="1"/>
  <c r="D128" i="5"/>
  <c r="E128" i="5" s="1"/>
  <c r="F449" i="5"/>
  <c r="H449" i="5" s="1"/>
  <c r="D449" i="5"/>
  <c r="E449" i="5" s="1"/>
  <c r="F438" i="5"/>
  <c r="H438" i="5" s="1"/>
  <c r="D438" i="5"/>
  <c r="E438" i="5" s="1"/>
  <c r="F266" i="5"/>
  <c r="H266" i="5" s="1"/>
  <c r="D266" i="5"/>
  <c r="E266" i="5" s="1"/>
  <c r="F584" i="5"/>
  <c r="H584" i="5" s="1"/>
  <c r="D584" i="5"/>
  <c r="E584" i="5" s="1"/>
  <c r="F240" i="5"/>
  <c r="H240" i="5" s="1"/>
  <c r="D240" i="5"/>
  <c r="E240" i="5" s="1"/>
  <c r="F103" i="5"/>
  <c r="H103" i="5" s="1"/>
  <c r="D103" i="5"/>
  <c r="E103" i="5" s="1"/>
  <c r="F372" i="5"/>
  <c r="H372" i="5" s="1"/>
  <c r="D372" i="5"/>
  <c r="E372" i="5" s="1"/>
  <c r="F235" i="5"/>
  <c r="H235" i="5" s="1"/>
  <c r="D235" i="5"/>
  <c r="E235" i="5" s="1"/>
  <c r="F333" i="5"/>
  <c r="H333" i="5" s="1"/>
  <c r="D333" i="5"/>
  <c r="E333" i="5" s="1"/>
  <c r="F427" i="5"/>
  <c r="H427" i="5" s="1"/>
  <c r="D427" i="5"/>
  <c r="E427" i="5" s="1"/>
  <c r="F92" i="5"/>
  <c r="H92" i="5" s="1"/>
  <c r="D92" i="5"/>
  <c r="E92" i="5" s="1"/>
  <c r="F87" i="5"/>
  <c r="H87" i="5" s="1"/>
  <c r="D87" i="5"/>
  <c r="E87" i="5" s="1"/>
  <c r="F349" i="5"/>
  <c r="H349" i="5" s="1"/>
  <c r="D349" i="5"/>
  <c r="E349" i="5" s="1"/>
  <c r="F587" i="5"/>
  <c r="H587" i="5" s="1"/>
  <c r="D587" i="5"/>
  <c r="E587" i="5" s="1"/>
  <c r="F335" i="5"/>
  <c r="H335" i="5" s="1"/>
  <c r="D335" i="5"/>
  <c r="E335" i="5" s="1"/>
  <c r="F479" i="5"/>
  <c r="H479" i="5" s="1"/>
  <c r="D479" i="5"/>
  <c r="E479" i="5" s="1"/>
  <c r="F241" i="5"/>
  <c r="H241" i="5" s="1"/>
  <c r="D241" i="5"/>
  <c r="E241" i="5" s="1"/>
  <c r="F422" i="5"/>
  <c r="H422" i="5" s="1"/>
  <c r="D422" i="5"/>
  <c r="E422" i="5" s="1"/>
  <c r="F428" i="5"/>
  <c r="H428" i="5" s="1"/>
  <c r="D428" i="5"/>
  <c r="E428" i="5" s="1"/>
  <c r="F352" i="5"/>
  <c r="H352" i="5" s="1"/>
  <c r="D352" i="5"/>
  <c r="E352" i="5" s="1"/>
  <c r="F358" i="5"/>
  <c r="H358" i="5" s="1"/>
  <c r="D358" i="5"/>
  <c r="E358" i="5" s="1"/>
  <c r="F434" i="5"/>
  <c r="H434" i="5" s="1"/>
  <c r="D434" i="5"/>
  <c r="E434" i="5" s="1"/>
  <c r="F165" i="5"/>
  <c r="H165" i="5" s="1"/>
  <c r="D165" i="5"/>
  <c r="E165" i="5" s="1"/>
  <c r="F215" i="5"/>
  <c r="H215" i="5" s="1"/>
  <c r="D215" i="5"/>
  <c r="E215" i="5" s="1"/>
  <c r="F181" i="5"/>
  <c r="H181" i="5" s="1"/>
  <c r="D181" i="5"/>
  <c r="E181" i="5" s="1"/>
  <c r="F437" i="5"/>
  <c r="H437" i="5" s="1"/>
  <c r="D437" i="5"/>
  <c r="E437" i="5" s="1"/>
  <c r="F119" i="5"/>
  <c r="H119" i="5" s="1"/>
  <c r="D119" i="5"/>
  <c r="E119" i="5" s="1"/>
  <c r="F326" i="5"/>
  <c r="H326" i="5" s="1"/>
  <c r="D326" i="5"/>
  <c r="E326" i="5" s="1"/>
  <c r="F362" i="5"/>
  <c r="H362" i="5" s="1"/>
  <c r="D362" i="5"/>
  <c r="E362" i="5" s="1"/>
  <c r="F429" i="5"/>
  <c r="H429" i="5" s="1"/>
  <c r="D429" i="5"/>
  <c r="E429" i="5" s="1"/>
  <c r="F21" i="5"/>
  <c r="H21" i="5" s="1"/>
  <c r="D21" i="5"/>
  <c r="E21" i="5" s="1"/>
  <c r="F78" i="5"/>
  <c r="H78" i="5" s="1"/>
  <c r="D78" i="5"/>
  <c r="E78" i="5" s="1"/>
  <c r="F343" i="5"/>
  <c r="H343" i="5" s="1"/>
  <c r="D343" i="5"/>
  <c r="E343" i="5" s="1"/>
  <c r="F606" i="5"/>
  <c r="H606" i="5" s="1"/>
  <c r="D606" i="5"/>
  <c r="E606" i="5" s="1"/>
  <c r="F50" i="5"/>
  <c r="H50" i="5" s="1"/>
  <c r="D50" i="5"/>
  <c r="E50" i="5" s="1"/>
  <c r="F615" i="5"/>
  <c r="H615" i="5" s="1"/>
  <c r="D615" i="5"/>
  <c r="E615" i="5" s="1"/>
  <c r="F316" i="5"/>
  <c r="H316" i="5" s="1"/>
  <c r="D316" i="5"/>
  <c r="E316" i="5" s="1"/>
  <c r="F277" i="5"/>
  <c r="H277" i="5" s="1"/>
  <c r="D277" i="5"/>
  <c r="E277" i="5" s="1"/>
  <c r="F293" i="5"/>
  <c r="H293" i="5" s="1"/>
  <c r="D293" i="5"/>
  <c r="E293" i="5" s="1"/>
  <c r="F361" i="5"/>
  <c r="H361" i="5" s="1"/>
  <c r="D361" i="5"/>
  <c r="E361" i="5" s="1"/>
  <c r="F425" i="5"/>
  <c r="H425" i="5" s="1"/>
  <c r="D425" i="5"/>
  <c r="E425" i="5" s="1"/>
  <c r="F402" i="5"/>
  <c r="H402" i="5" s="1"/>
  <c r="D402" i="5"/>
  <c r="E402" i="5" s="1"/>
  <c r="F211" i="5"/>
  <c r="H211" i="5" s="1"/>
  <c r="D211" i="5"/>
  <c r="E211" i="5" s="1"/>
  <c r="F86" i="5"/>
  <c r="H86" i="5" s="1"/>
  <c r="D86" i="5"/>
  <c r="E86" i="5" s="1"/>
  <c r="F455" i="5"/>
  <c r="H455" i="5" s="1"/>
  <c r="D455" i="5"/>
  <c r="E455" i="5" s="1"/>
  <c r="F212" i="5"/>
  <c r="H212" i="5" s="1"/>
  <c r="D212" i="5"/>
  <c r="E212" i="5" s="1"/>
  <c r="F353" i="5"/>
  <c r="H353" i="5" s="1"/>
  <c r="D353" i="5"/>
  <c r="E353" i="5" s="1"/>
  <c r="F298" i="5"/>
  <c r="H298" i="5" s="1"/>
  <c r="D298" i="5"/>
  <c r="E298" i="5" s="1"/>
  <c r="F375" i="5"/>
  <c r="H375" i="5" s="1"/>
  <c r="D375" i="5"/>
  <c r="E375" i="5" s="1"/>
  <c r="F433" i="5"/>
  <c r="H433" i="5" s="1"/>
  <c r="D433" i="5"/>
  <c r="E433" i="5" s="1"/>
  <c r="F236" i="5"/>
  <c r="H236" i="5" s="1"/>
  <c r="D236" i="5"/>
  <c r="E236" i="5" s="1"/>
  <c r="F218" i="5"/>
  <c r="H218" i="5" s="1"/>
  <c r="D218" i="5"/>
  <c r="E218" i="5" s="1"/>
  <c r="F625" i="5"/>
  <c r="H625" i="5" s="1"/>
  <c r="D625" i="5"/>
  <c r="E625" i="5" s="1"/>
  <c r="F470" i="5"/>
  <c r="H470" i="5" s="1"/>
  <c r="D470" i="5"/>
  <c r="E470" i="5" s="1"/>
  <c r="F430" i="5"/>
  <c r="H430" i="5" s="1"/>
  <c r="D430" i="5"/>
  <c r="E430" i="5" s="1"/>
  <c r="F322" i="5"/>
  <c r="H322" i="5" s="1"/>
  <c r="D322" i="5"/>
  <c r="E322" i="5" s="1"/>
  <c r="F146" i="5"/>
  <c r="H146" i="5" s="1"/>
  <c r="D146" i="5"/>
  <c r="E146" i="5" s="1"/>
  <c r="F401" i="5"/>
  <c r="H401" i="5" s="1"/>
  <c r="D401" i="5"/>
  <c r="E401" i="5" s="1"/>
  <c r="F244" i="5"/>
  <c r="H244" i="5" s="1"/>
  <c r="D244" i="5"/>
  <c r="E244" i="5" s="1"/>
  <c r="G195" i="5"/>
  <c r="I195" i="5" s="1"/>
  <c r="J195" i="5" s="1"/>
  <c r="G264" i="5"/>
  <c r="G92" i="5"/>
  <c r="G345" i="5"/>
  <c r="F272" i="5"/>
  <c r="H272" i="5" s="1"/>
  <c r="D272" i="5"/>
  <c r="E272" i="5" s="1"/>
  <c r="F180" i="5"/>
  <c r="H180" i="5" s="1"/>
  <c r="D180" i="5"/>
  <c r="E180" i="5" s="1"/>
  <c r="F231" i="5"/>
  <c r="H231" i="5" s="1"/>
  <c r="D231" i="5"/>
  <c r="E231" i="5" s="1"/>
  <c r="F396" i="5"/>
  <c r="H396" i="5" s="1"/>
  <c r="D396" i="5"/>
  <c r="E396" i="5" s="1"/>
  <c r="F398" i="5"/>
  <c r="H398" i="5" s="1"/>
  <c r="D398" i="5"/>
  <c r="E398" i="5" s="1"/>
  <c r="F243" i="5"/>
  <c r="H243" i="5" s="1"/>
  <c r="D243" i="5"/>
  <c r="E243" i="5" s="1"/>
  <c r="F26" i="5"/>
  <c r="H26" i="5" s="1"/>
  <c r="D26" i="5"/>
  <c r="E26" i="5" s="1"/>
  <c r="F581" i="5"/>
  <c r="H581" i="5" s="1"/>
  <c r="D581" i="5"/>
  <c r="E581" i="5" s="1"/>
  <c r="F40" i="5"/>
  <c r="H40" i="5" s="1"/>
  <c r="D40" i="5"/>
  <c r="E40" i="5" s="1"/>
  <c r="F415" i="5"/>
  <c r="H415" i="5" s="1"/>
  <c r="D415" i="5"/>
  <c r="E415" i="5" s="1"/>
  <c r="F206" i="5"/>
  <c r="H206" i="5" s="1"/>
  <c r="D206" i="5"/>
  <c r="E206" i="5" s="1"/>
  <c r="F106" i="5"/>
  <c r="H106" i="5" s="1"/>
  <c r="D106" i="5"/>
  <c r="E106" i="5" s="1"/>
  <c r="F192" i="5"/>
  <c r="H192" i="5" s="1"/>
  <c r="D192" i="5"/>
  <c r="E192" i="5" s="1"/>
  <c r="F61" i="5"/>
  <c r="H61" i="5" s="1"/>
  <c r="D61" i="5"/>
  <c r="E61" i="5" s="1"/>
  <c r="F77" i="5"/>
  <c r="H77" i="5" s="1"/>
  <c r="D77" i="5"/>
  <c r="E77" i="5" s="1"/>
  <c r="F314" i="5"/>
  <c r="H314" i="5" s="1"/>
  <c r="D314" i="5"/>
  <c r="E314" i="5" s="1"/>
  <c r="F191" i="5"/>
  <c r="H191" i="5" s="1"/>
  <c r="D191" i="5"/>
  <c r="E191" i="5" s="1"/>
  <c r="F331" i="5"/>
  <c r="H331" i="5" s="1"/>
  <c r="D331" i="5"/>
  <c r="E331" i="5" s="1"/>
  <c r="F607" i="5"/>
  <c r="H607" i="5" s="1"/>
  <c r="D607" i="5"/>
  <c r="E607" i="5" s="1"/>
  <c r="F203" i="5"/>
  <c r="H203" i="5" s="1"/>
  <c r="D203" i="5"/>
  <c r="E203" i="5" s="1"/>
  <c r="F284" i="5"/>
  <c r="H284" i="5" s="1"/>
  <c r="D284" i="5"/>
  <c r="E284" i="5" s="1"/>
  <c r="F55" i="5"/>
  <c r="H55" i="5" s="1"/>
  <c r="D55" i="5"/>
  <c r="E55" i="5" s="1"/>
  <c r="F382" i="5"/>
  <c r="H382" i="5" s="1"/>
  <c r="D382" i="5"/>
  <c r="E382" i="5" s="1"/>
  <c r="F371" i="5"/>
  <c r="H371" i="5" s="1"/>
  <c r="D371" i="5"/>
  <c r="E371" i="5" s="1"/>
  <c r="F366" i="5"/>
  <c r="H366" i="5" s="1"/>
  <c r="D366" i="5"/>
  <c r="E366" i="5" s="1"/>
  <c r="F278" i="5"/>
  <c r="H278" i="5" s="1"/>
  <c r="D278" i="5"/>
  <c r="E278" i="5" s="1"/>
  <c r="F355" i="5"/>
  <c r="H355" i="5" s="1"/>
  <c r="D355" i="5"/>
  <c r="E355" i="5" s="1"/>
  <c r="F62" i="5"/>
  <c r="H62" i="5" s="1"/>
  <c r="D62" i="5"/>
  <c r="E62" i="5" s="1"/>
  <c r="F286" i="5"/>
  <c r="H286" i="5" s="1"/>
  <c r="D286" i="5"/>
  <c r="E286" i="5" s="1"/>
  <c r="F365" i="5"/>
  <c r="H365" i="5" s="1"/>
  <c r="D365" i="5"/>
  <c r="E365" i="5" s="1"/>
  <c r="F619" i="5"/>
  <c r="H619" i="5" s="1"/>
  <c r="D619" i="5"/>
  <c r="E619" i="5" s="1"/>
  <c r="F132" i="5"/>
  <c r="H132" i="5" s="1"/>
  <c r="D132" i="5"/>
  <c r="E132" i="5" s="1"/>
  <c r="F136" i="5"/>
  <c r="H136" i="5" s="1"/>
  <c r="D136" i="5"/>
  <c r="E136" i="5" s="1"/>
  <c r="F471" i="5"/>
  <c r="H471" i="5" s="1"/>
  <c r="D471" i="5"/>
  <c r="E471" i="5" s="1"/>
  <c r="F418" i="5"/>
  <c r="H418" i="5" s="1"/>
  <c r="D418" i="5"/>
  <c r="E418" i="5" s="1"/>
  <c r="F377" i="5"/>
  <c r="H377" i="5" s="1"/>
  <c r="D377" i="5"/>
  <c r="E377" i="5" s="1"/>
  <c r="F305" i="5"/>
  <c r="H305" i="5" s="1"/>
  <c r="D305" i="5"/>
  <c r="E305" i="5" s="1"/>
  <c r="F468" i="5"/>
  <c r="H468" i="5" s="1"/>
  <c r="D468" i="5"/>
  <c r="E468" i="5" s="1"/>
  <c r="F74" i="5"/>
  <c r="H74" i="5" s="1"/>
  <c r="D74" i="5"/>
  <c r="E74" i="5" s="1"/>
  <c r="F397" i="5"/>
  <c r="H397" i="5" s="1"/>
  <c r="D397" i="5"/>
  <c r="E397" i="5" s="1"/>
  <c r="F82" i="5"/>
  <c r="H82" i="5" s="1"/>
  <c r="D82" i="5"/>
  <c r="E82" i="5" s="1"/>
  <c r="F413" i="5"/>
  <c r="H413" i="5" s="1"/>
  <c r="D413" i="5"/>
  <c r="E413" i="5" s="1"/>
  <c r="F167" i="5"/>
  <c r="H167" i="5" s="1"/>
  <c r="D167" i="5"/>
  <c r="E167" i="5" s="1"/>
  <c r="F604" i="5"/>
  <c r="H604" i="5" s="1"/>
  <c r="D604" i="5"/>
  <c r="E604" i="5" s="1"/>
  <c r="F144" i="5"/>
  <c r="H144" i="5" s="1"/>
  <c r="D144" i="5"/>
  <c r="E144" i="5" s="1"/>
  <c r="F405" i="5"/>
  <c r="H405" i="5" s="1"/>
  <c r="D405" i="5"/>
  <c r="E405" i="5" s="1"/>
  <c r="F22" i="5"/>
  <c r="H22" i="5" s="1"/>
  <c r="D22" i="5"/>
  <c r="E22" i="5" s="1"/>
  <c r="F34" i="5"/>
  <c r="H34" i="5" s="1"/>
  <c r="D34" i="5"/>
  <c r="E34" i="5" s="1"/>
  <c r="F24" i="5"/>
  <c r="H24" i="5" s="1"/>
  <c r="D24" i="5"/>
  <c r="E24" i="5" s="1"/>
  <c r="F466" i="5"/>
  <c r="H466" i="5" s="1"/>
  <c r="D466" i="5"/>
  <c r="E466" i="5" s="1"/>
  <c r="F275" i="5"/>
  <c r="H275" i="5" s="1"/>
  <c r="D275" i="5"/>
  <c r="E275" i="5" s="1"/>
  <c r="F440" i="5"/>
  <c r="H440" i="5" s="1"/>
  <c r="D440" i="5"/>
  <c r="E440" i="5" s="1"/>
  <c r="F390" i="5"/>
  <c r="H390" i="5" s="1"/>
  <c r="D390" i="5"/>
  <c r="E390" i="5" s="1"/>
  <c r="F249" i="5"/>
  <c r="H249" i="5" s="1"/>
  <c r="D249" i="5"/>
  <c r="E249" i="5" s="1"/>
  <c r="F139" i="5"/>
  <c r="H139" i="5" s="1"/>
  <c r="D139" i="5"/>
  <c r="E139" i="5" s="1"/>
  <c r="F426" i="5"/>
  <c r="H426" i="5" s="1"/>
  <c r="D426" i="5"/>
  <c r="E426" i="5" s="1"/>
  <c r="F279" i="5"/>
  <c r="H279" i="5" s="1"/>
  <c r="D279" i="5"/>
  <c r="E279" i="5" s="1"/>
  <c r="F202" i="5"/>
  <c r="H202" i="5" s="1"/>
  <c r="D202" i="5"/>
  <c r="E202" i="5" s="1"/>
  <c r="F324" i="5"/>
  <c r="H324" i="5" s="1"/>
  <c r="D324" i="5"/>
  <c r="E324" i="5" s="1"/>
  <c r="F190" i="5"/>
  <c r="H190" i="5" s="1"/>
  <c r="D190" i="5"/>
  <c r="E190" i="5" s="1"/>
  <c r="F120" i="5"/>
  <c r="H120" i="5" s="1"/>
  <c r="D120" i="5"/>
  <c r="E120" i="5" s="1"/>
  <c r="F174" i="5"/>
  <c r="H174" i="5" s="1"/>
  <c r="D174" i="5"/>
  <c r="E174" i="5" s="1"/>
  <c r="F435" i="5"/>
  <c r="H435" i="5" s="1"/>
  <c r="D435" i="5"/>
  <c r="E435" i="5" s="1"/>
  <c r="F394" i="5"/>
  <c r="H394" i="5" s="1"/>
  <c r="D394" i="5"/>
  <c r="E394" i="5" s="1"/>
  <c r="F628" i="5"/>
  <c r="H628" i="5" s="1"/>
  <c r="D628" i="5"/>
  <c r="E628" i="5" s="1"/>
  <c r="F164" i="5"/>
  <c r="H164" i="5" s="1"/>
  <c r="D164" i="5"/>
  <c r="E164" i="5" s="1"/>
  <c r="F223" i="5"/>
  <c r="H223" i="5" s="1"/>
  <c r="D223" i="5"/>
  <c r="E223" i="5" s="1"/>
  <c r="F184" i="5"/>
  <c r="H184" i="5" s="1"/>
  <c r="D184" i="5"/>
  <c r="E184" i="5" s="1"/>
  <c r="F339" i="5"/>
  <c r="H339" i="5" s="1"/>
  <c r="D339" i="5"/>
  <c r="E339" i="5" s="1"/>
  <c r="F448" i="5"/>
  <c r="H448" i="5" s="1"/>
  <c r="D448" i="5"/>
  <c r="E448" i="5" s="1"/>
  <c r="F125" i="5"/>
  <c r="H125" i="5" s="1"/>
  <c r="D125" i="5"/>
  <c r="E125" i="5" s="1"/>
  <c r="F135" i="5"/>
  <c r="H135" i="5" s="1"/>
  <c r="D135" i="5"/>
  <c r="E135" i="5" s="1"/>
  <c r="F299" i="5"/>
  <c r="H299" i="5" s="1"/>
  <c r="D299" i="5"/>
  <c r="E299" i="5" s="1"/>
  <c r="F112" i="5"/>
  <c r="H112" i="5" s="1"/>
  <c r="D112" i="5"/>
  <c r="E112" i="5" s="1"/>
  <c r="F261" i="5"/>
  <c r="H261" i="5" s="1"/>
  <c r="D261" i="5"/>
  <c r="E261" i="5" s="1"/>
  <c r="F456" i="5"/>
  <c r="H456" i="5" s="1"/>
  <c r="D456" i="5"/>
  <c r="E456" i="5" s="1"/>
  <c r="F583" i="5"/>
  <c r="H583" i="5" s="1"/>
  <c r="D583" i="5"/>
  <c r="E583" i="5" s="1"/>
  <c r="F94" i="5"/>
  <c r="H94" i="5" s="1"/>
  <c r="D94" i="5"/>
  <c r="E94" i="5" s="1"/>
  <c r="F586" i="5"/>
  <c r="H586" i="5" s="1"/>
  <c r="D586" i="5"/>
  <c r="E586" i="5" s="1"/>
  <c r="F239" i="5"/>
  <c r="H239" i="5" s="1"/>
  <c r="D239" i="5"/>
  <c r="E239" i="5" s="1"/>
  <c r="F12" i="5"/>
  <c r="H12" i="5" s="1"/>
  <c r="D12" i="5"/>
  <c r="E12" i="5" s="1"/>
  <c r="G334" i="5"/>
  <c r="G154" i="5"/>
  <c r="F210" i="5"/>
  <c r="H210" i="5" s="1"/>
  <c r="D210" i="5"/>
  <c r="E210" i="5" s="1"/>
  <c r="F15" i="5"/>
  <c r="H15" i="5" s="1"/>
  <c r="D15" i="5"/>
  <c r="E15" i="5" s="1"/>
  <c r="F282" i="5"/>
  <c r="H282" i="5" s="1"/>
  <c r="D282" i="5"/>
  <c r="E282" i="5" s="1"/>
  <c r="F414" i="5"/>
  <c r="H414" i="5" s="1"/>
  <c r="D414" i="5"/>
  <c r="E414" i="5" s="1"/>
  <c r="F596" i="5"/>
  <c r="H596" i="5" s="1"/>
  <c r="D596" i="5"/>
  <c r="E596" i="5" s="1"/>
  <c r="F313" i="5"/>
  <c r="H313" i="5" s="1"/>
  <c r="D313" i="5"/>
  <c r="E313" i="5" s="1"/>
  <c r="F101" i="5"/>
  <c r="H101" i="5" s="1"/>
  <c r="D101" i="5"/>
  <c r="E101" i="5" s="1"/>
  <c r="F141" i="5"/>
  <c r="H141" i="5" s="1"/>
  <c r="D141" i="5"/>
  <c r="E141" i="5" s="1"/>
  <c r="F45" i="5"/>
  <c r="H45" i="5" s="1"/>
  <c r="D45" i="5"/>
  <c r="E45" i="5" s="1"/>
  <c r="F198" i="5"/>
  <c r="H198" i="5" s="1"/>
  <c r="D198" i="5"/>
  <c r="E198" i="5" s="1"/>
  <c r="F75" i="5"/>
  <c r="H75" i="5" s="1"/>
  <c r="D75" i="5"/>
  <c r="E75" i="5" s="1"/>
  <c r="F597" i="5"/>
  <c r="H597" i="5" s="1"/>
  <c r="D597" i="5"/>
  <c r="E597" i="5" s="1"/>
  <c r="F37" i="5"/>
  <c r="H37" i="5" s="1"/>
  <c r="D37" i="5"/>
  <c r="E37" i="5" s="1"/>
  <c r="F419" i="5"/>
  <c r="H419" i="5" s="1"/>
  <c r="D419" i="5"/>
  <c r="E419" i="5" s="1"/>
  <c r="F127" i="5"/>
  <c r="H127" i="5" s="1"/>
  <c r="D127" i="5"/>
  <c r="E127" i="5" s="1"/>
  <c r="F204" i="5"/>
  <c r="H204" i="5" s="1"/>
  <c r="D204" i="5"/>
  <c r="E204" i="5" s="1"/>
  <c r="F259" i="5"/>
  <c r="H259" i="5" s="1"/>
  <c r="D259" i="5"/>
  <c r="E259" i="5" s="1"/>
  <c r="F186" i="5"/>
  <c r="H186" i="5" s="1"/>
  <c r="D186" i="5"/>
  <c r="E186" i="5" s="1"/>
  <c r="F126" i="5"/>
  <c r="H126" i="5" s="1"/>
  <c r="D126" i="5"/>
  <c r="E126" i="5" s="1"/>
  <c r="F83" i="5"/>
  <c r="H83" i="5" s="1"/>
  <c r="D83" i="5"/>
  <c r="E83" i="5" s="1"/>
  <c r="F33" i="5"/>
  <c r="H33" i="5" s="1"/>
  <c r="D33" i="5"/>
  <c r="E33" i="5" s="1"/>
  <c r="F193" i="5"/>
  <c r="H193" i="5" s="1"/>
  <c r="D193" i="5"/>
  <c r="E193" i="5" s="1"/>
  <c r="G331" i="5"/>
  <c r="G423" i="5"/>
  <c r="G282" i="5"/>
  <c r="G333" i="5"/>
  <c r="G123" i="5"/>
  <c r="G70" i="5"/>
  <c r="G185" i="5"/>
  <c r="G410" i="5"/>
  <c r="G235" i="5"/>
  <c r="F70" i="9"/>
  <c r="G70" i="9"/>
  <c r="F47" i="9"/>
  <c r="G47" i="9"/>
  <c r="F798" i="9"/>
  <c r="G798" i="9"/>
  <c r="F149" i="9"/>
  <c r="G149" i="9"/>
  <c r="F41" i="9"/>
  <c r="G41" i="9"/>
  <c r="F36" i="9"/>
  <c r="G36" i="9"/>
  <c r="F154" i="9"/>
  <c r="G154" i="9"/>
  <c r="F545" i="9"/>
  <c r="G545" i="9"/>
  <c r="F769" i="9"/>
  <c r="G769" i="9"/>
  <c r="F169" i="9"/>
  <c r="G169" i="9"/>
  <c r="F452" i="9"/>
  <c r="G452" i="9"/>
  <c r="F351" i="9"/>
  <c r="G351" i="9"/>
  <c r="F734" i="9"/>
  <c r="G734" i="9"/>
  <c r="F646" i="9"/>
  <c r="G646" i="9"/>
  <c r="F760" i="9"/>
  <c r="G760" i="9"/>
  <c r="F583" i="9"/>
  <c r="G583" i="9"/>
  <c r="F708" i="9"/>
  <c r="G708" i="9"/>
  <c r="F699" i="9"/>
  <c r="G699" i="9"/>
  <c r="F665" i="9"/>
  <c r="G665" i="9"/>
  <c r="F473" i="9"/>
  <c r="G473" i="9"/>
  <c r="F688" i="9"/>
  <c r="G688" i="9"/>
  <c r="F82" i="9"/>
  <c r="G82" i="9"/>
  <c r="F471" i="9"/>
  <c r="G471" i="9"/>
  <c r="F155" i="9"/>
  <c r="G155" i="9"/>
  <c r="F43" i="9"/>
  <c r="G43" i="9"/>
  <c r="F463" i="9"/>
  <c r="G463" i="9"/>
  <c r="F458" i="9"/>
  <c r="G458" i="9"/>
  <c r="F462" i="9"/>
  <c r="G462" i="9"/>
  <c r="F276" i="9"/>
  <c r="G276" i="9"/>
  <c r="F144" i="9"/>
  <c r="G144" i="9"/>
  <c r="F349" i="9"/>
  <c r="G349" i="9"/>
  <c r="F746" i="9"/>
  <c r="G746" i="9"/>
  <c r="F607" i="9"/>
  <c r="G607" i="9"/>
  <c r="F635" i="9"/>
  <c r="G635" i="9"/>
  <c r="F761" i="9"/>
  <c r="G761" i="9"/>
  <c r="F624" i="9"/>
  <c r="G624" i="9"/>
  <c r="F622" i="9"/>
  <c r="G622" i="9"/>
  <c r="F662" i="9"/>
  <c r="G662" i="9"/>
  <c r="F696" i="9"/>
  <c r="G696" i="9"/>
  <c r="F549" i="9"/>
  <c r="G549" i="9"/>
  <c r="F637" i="9"/>
  <c r="G637" i="9"/>
  <c r="F500" i="9"/>
  <c r="G500" i="9"/>
  <c r="F77" i="9"/>
  <c r="G77" i="9"/>
  <c r="F257" i="9"/>
  <c r="G257" i="9"/>
  <c r="D148" i="9"/>
  <c r="E148" i="9" s="1"/>
  <c r="F148" i="9"/>
  <c r="G148" i="9"/>
  <c r="D91" i="9"/>
  <c r="E91" i="9" s="1"/>
  <c r="F91" i="9"/>
  <c r="G91" i="9"/>
  <c r="D456" i="9"/>
  <c r="E456" i="9" s="1"/>
  <c r="F456" i="9"/>
  <c r="G456" i="9"/>
  <c r="D159" i="9"/>
  <c r="E159" i="9" s="1"/>
  <c r="F159" i="9"/>
  <c r="G159" i="9"/>
  <c r="D352" i="9"/>
  <c r="E352" i="9" s="1"/>
  <c r="F352" i="9"/>
  <c r="G352" i="9"/>
  <c r="D595" i="9"/>
  <c r="E595" i="9" s="1"/>
  <c r="F595" i="9"/>
  <c r="G595" i="9"/>
  <c r="D608" i="9"/>
  <c r="E608" i="9" s="1"/>
  <c r="F608" i="9"/>
  <c r="G608" i="9"/>
  <c r="D626" i="9"/>
  <c r="E626" i="9" s="1"/>
  <c r="F626" i="9"/>
  <c r="G626" i="9"/>
  <c r="D577" i="9"/>
  <c r="E577" i="9" s="1"/>
  <c r="F577" i="9"/>
  <c r="G577" i="9"/>
  <c r="D730" i="9"/>
  <c r="E730" i="9" s="1"/>
  <c r="F730" i="9"/>
  <c r="G730" i="9"/>
  <c r="D642" i="9"/>
  <c r="E642" i="9" s="1"/>
  <c r="F642" i="9"/>
  <c r="G642" i="9"/>
  <c r="D479" i="9"/>
  <c r="E479" i="9" s="1"/>
  <c r="F479" i="9"/>
  <c r="G479" i="9"/>
  <c r="D474" i="9"/>
  <c r="E474" i="9" s="1"/>
  <c r="F474" i="9"/>
  <c r="G474" i="9"/>
  <c r="D470" i="9"/>
  <c r="E470" i="9" s="1"/>
  <c r="F470" i="9"/>
  <c r="G470" i="9"/>
  <c r="D150" i="9"/>
  <c r="E150" i="9" s="1"/>
  <c r="F150" i="9"/>
  <c r="G150" i="9"/>
  <c r="D96" i="9"/>
  <c r="E96" i="9" s="1"/>
  <c r="F96" i="9"/>
  <c r="G96" i="9"/>
  <c r="D790" i="9"/>
  <c r="E790" i="9" s="1"/>
  <c r="F790" i="9"/>
  <c r="G790" i="9"/>
  <c r="D39" i="9"/>
  <c r="E39" i="9" s="1"/>
  <c r="F39" i="9"/>
  <c r="G39" i="9"/>
  <c r="D285" i="9"/>
  <c r="E285" i="9" s="1"/>
  <c r="F285" i="9"/>
  <c r="G285" i="9"/>
  <c r="D278" i="9"/>
  <c r="E278" i="9" s="1"/>
  <c r="F278" i="9"/>
  <c r="G278" i="9"/>
  <c r="D138" i="9"/>
  <c r="E138" i="9" s="1"/>
  <c r="F138" i="9"/>
  <c r="G138" i="9"/>
  <c r="D676" i="9"/>
  <c r="E676" i="9" s="1"/>
  <c r="F676" i="9"/>
  <c r="G676" i="9"/>
  <c r="D672" i="9"/>
  <c r="E672" i="9" s="1"/>
  <c r="F672" i="9"/>
  <c r="G672" i="9"/>
  <c r="D555" i="9"/>
  <c r="E555" i="9" s="1"/>
  <c r="F555" i="9"/>
  <c r="G555" i="9"/>
  <c r="D591" i="9"/>
  <c r="E591" i="9" s="1"/>
  <c r="F591" i="9"/>
  <c r="G591" i="9"/>
  <c r="D565" i="9"/>
  <c r="E565" i="9" s="1"/>
  <c r="F565" i="9"/>
  <c r="G565" i="9"/>
  <c r="D484" i="9"/>
  <c r="E484" i="9" s="1"/>
  <c r="F484" i="9"/>
  <c r="G484" i="9"/>
  <c r="F157" i="9"/>
  <c r="G157" i="9"/>
  <c r="F778" i="9"/>
  <c r="G778" i="9"/>
  <c r="F90" i="9"/>
  <c r="G90" i="9"/>
  <c r="F801" i="9"/>
  <c r="G801" i="9"/>
  <c r="F370" i="9"/>
  <c r="G370" i="9"/>
  <c r="F170" i="9"/>
  <c r="G170" i="9"/>
  <c r="F773" i="9"/>
  <c r="G773" i="9"/>
  <c r="F380" i="9"/>
  <c r="G380" i="9"/>
  <c r="F141" i="9"/>
  <c r="G141" i="9"/>
  <c r="F726" i="9"/>
  <c r="G726" i="9"/>
  <c r="F681" i="9"/>
  <c r="G681" i="9"/>
  <c r="F674" i="9"/>
  <c r="G674" i="9"/>
  <c r="F757" i="9"/>
  <c r="G757" i="9"/>
  <c r="F619" i="9"/>
  <c r="G619" i="9"/>
  <c r="F623" i="9"/>
  <c r="G623" i="9"/>
  <c r="F657" i="9"/>
  <c r="G657" i="9"/>
  <c r="F641" i="9"/>
  <c r="G641" i="9"/>
  <c r="F495" i="9"/>
  <c r="G495" i="9"/>
  <c r="F491" i="9"/>
  <c r="G491" i="9"/>
  <c r="F496" i="9"/>
  <c r="G496" i="9"/>
  <c r="F55" i="9"/>
  <c r="G55" i="9"/>
  <c r="F168" i="9"/>
  <c r="G168" i="9"/>
  <c r="F54" i="9"/>
  <c r="G54" i="9"/>
  <c r="F461" i="9"/>
  <c r="G461" i="9"/>
  <c r="F135" i="9"/>
  <c r="G135" i="9"/>
  <c r="F375" i="9"/>
  <c r="G375" i="9"/>
  <c r="F594" i="9"/>
  <c r="G594" i="9"/>
  <c r="F719" i="9"/>
  <c r="G719" i="9"/>
  <c r="F644" i="9"/>
  <c r="G644" i="9"/>
  <c r="F579" i="9"/>
  <c r="G579" i="9"/>
  <c r="F590" i="9"/>
  <c r="G590" i="9"/>
  <c r="F485" i="9"/>
  <c r="G485" i="9"/>
  <c r="F515" i="9"/>
  <c r="G515" i="9"/>
  <c r="F480" i="9"/>
  <c r="G480" i="9"/>
  <c r="F252" i="9"/>
  <c r="G252" i="9"/>
  <c r="D167" i="9"/>
  <c r="E167" i="9" s="1"/>
  <c r="F167" i="9"/>
  <c r="G167" i="9"/>
  <c r="D98" i="9"/>
  <c r="E98" i="9" s="1"/>
  <c r="F98" i="9"/>
  <c r="G98" i="9"/>
  <c r="D25" i="9"/>
  <c r="E25" i="9" s="1"/>
  <c r="F25" i="9"/>
  <c r="G25" i="9"/>
  <c r="D796" i="9"/>
  <c r="E796" i="9" s="1"/>
  <c r="F796" i="9"/>
  <c r="G796" i="9"/>
  <c r="D468" i="9"/>
  <c r="E468" i="9" s="1"/>
  <c r="F468" i="9"/>
  <c r="G468" i="9"/>
  <c r="D772" i="9"/>
  <c r="E772" i="9" s="1"/>
  <c r="F772" i="9"/>
  <c r="G772" i="9"/>
  <c r="D133" i="9"/>
  <c r="E133" i="9" s="1"/>
  <c r="F133" i="9"/>
  <c r="G133" i="9"/>
  <c r="D683" i="9"/>
  <c r="E683" i="9" s="1"/>
  <c r="F683" i="9"/>
  <c r="G683" i="9"/>
  <c r="D647" i="9"/>
  <c r="E647" i="9" s="1"/>
  <c r="F647" i="9"/>
  <c r="G647" i="9"/>
  <c r="D758" i="9"/>
  <c r="E758" i="9" s="1"/>
  <c r="F758" i="9"/>
  <c r="G758" i="9"/>
  <c r="D574" i="9"/>
  <c r="E574" i="9" s="1"/>
  <c r="F574" i="9"/>
  <c r="G574" i="9"/>
  <c r="D695" i="9"/>
  <c r="E695" i="9" s="1"/>
  <c r="F695" i="9"/>
  <c r="G695" i="9"/>
  <c r="D613" i="9"/>
  <c r="E613" i="9" s="1"/>
  <c r="F613" i="9"/>
  <c r="G613" i="9"/>
  <c r="D475" i="9"/>
  <c r="E475" i="9" s="1"/>
  <c r="F475" i="9"/>
  <c r="G475" i="9"/>
  <c r="D518" i="9"/>
  <c r="E518" i="9" s="1"/>
  <c r="F518" i="9"/>
  <c r="G518" i="9"/>
  <c r="D270" i="9"/>
  <c r="E270" i="9" s="1"/>
  <c r="F270" i="9"/>
  <c r="G270" i="9"/>
  <c r="D808" i="9"/>
  <c r="E808" i="9" s="1"/>
  <c r="F808" i="9"/>
  <c r="G808" i="9"/>
  <c r="D27" i="9"/>
  <c r="E27" i="9" s="1"/>
  <c r="F27" i="9"/>
  <c r="G27" i="9"/>
  <c r="D68" i="9"/>
  <c r="E68" i="9" s="1"/>
  <c r="F68" i="9"/>
  <c r="G68" i="9"/>
  <c r="D364" i="9"/>
  <c r="E364" i="9" s="1"/>
  <c r="F364" i="9"/>
  <c r="G364" i="9"/>
  <c r="D740" i="9"/>
  <c r="E740" i="9" s="1"/>
  <c r="F740" i="9"/>
  <c r="G740" i="9"/>
  <c r="D723" i="9"/>
  <c r="E723" i="9" s="1"/>
  <c r="F723" i="9"/>
  <c r="G723" i="9"/>
  <c r="D684" i="9"/>
  <c r="E684" i="9" s="1"/>
  <c r="F684" i="9"/>
  <c r="G684" i="9"/>
  <c r="D669" i="9"/>
  <c r="E669" i="9" s="1"/>
  <c r="F669" i="9"/>
  <c r="G669" i="9"/>
  <c r="D703" i="9"/>
  <c r="E703" i="9" s="1"/>
  <c r="F703" i="9"/>
  <c r="G703" i="9"/>
  <c r="D570" i="9"/>
  <c r="E570" i="9" s="1"/>
  <c r="F570" i="9"/>
  <c r="G570" i="9"/>
  <c r="D504" i="9"/>
  <c r="E504" i="9" s="1"/>
  <c r="F504" i="9"/>
  <c r="G504" i="9"/>
  <c r="F151" i="9"/>
  <c r="G151" i="9"/>
  <c r="F94" i="9"/>
  <c r="G94" i="9"/>
  <c r="F810" i="9"/>
  <c r="G810" i="9"/>
  <c r="F42" i="9"/>
  <c r="G42" i="9"/>
  <c r="F369" i="9"/>
  <c r="G369" i="9"/>
  <c r="F776" i="9"/>
  <c r="G776" i="9"/>
  <c r="F465" i="9"/>
  <c r="G465" i="9"/>
  <c r="F140" i="9"/>
  <c r="G140" i="9"/>
  <c r="F741" i="9"/>
  <c r="G741" i="9"/>
  <c r="F682" i="9"/>
  <c r="G682" i="9"/>
  <c r="F631" i="9"/>
  <c r="G631" i="9"/>
  <c r="F562" i="9"/>
  <c r="G562" i="9"/>
  <c r="F615" i="9"/>
  <c r="G615" i="9"/>
  <c r="F554" i="9"/>
  <c r="G554" i="9"/>
  <c r="F658" i="9"/>
  <c r="G658" i="9"/>
  <c r="F659" i="9"/>
  <c r="G659" i="9"/>
  <c r="F610" i="9"/>
  <c r="G610" i="9"/>
  <c r="F566" i="9"/>
  <c r="G566" i="9"/>
  <c r="F81" i="9"/>
  <c r="G81" i="9"/>
  <c r="F250" i="9"/>
  <c r="G250" i="9"/>
  <c r="F88" i="9"/>
  <c r="G88" i="9"/>
  <c r="F779" i="9"/>
  <c r="G779" i="9"/>
  <c r="F58" i="9"/>
  <c r="G58" i="9"/>
  <c r="F449" i="9"/>
  <c r="G449" i="9"/>
  <c r="F173" i="9"/>
  <c r="G173" i="9"/>
  <c r="F176" i="9"/>
  <c r="G176" i="9"/>
  <c r="F382" i="9"/>
  <c r="G382" i="9"/>
  <c r="F735" i="9"/>
  <c r="G735" i="9"/>
  <c r="F720" i="9"/>
  <c r="G720" i="9"/>
  <c r="F739" i="9"/>
  <c r="G739" i="9"/>
  <c r="F598" i="9"/>
  <c r="G598" i="9"/>
  <c r="F750" i="9"/>
  <c r="G750" i="9"/>
  <c r="F569" i="9"/>
  <c r="G569" i="9"/>
  <c r="F80" i="9"/>
  <c r="G80" i="9"/>
  <c r="D64" i="9"/>
  <c r="E64" i="9" s="1"/>
  <c r="F64" i="9"/>
  <c r="G64" i="9"/>
  <c r="D775" i="9"/>
  <c r="E775" i="9" s="1"/>
  <c r="F775" i="9"/>
  <c r="G775" i="9"/>
  <c r="D768" i="9"/>
  <c r="E768" i="9" s="1"/>
  <c r="F768" i="9"/>
  <c r="G768" i="9"/>
  <c r="D744" i="9"/>
  <c r="E744" i="9" s="1"/>
  <c r="F744" i="9"/>
  <c r="G744" i="9"/>
  <c r="D742" i="9"/>
  <c r="E742" i="9" s="1"/>
  <c r="F742" i="9"/>
  <c r="G742" i="9"/>
  <c r="D715" i="9"/>
  <c r="E715" i="9" s="1"/>
  <c r="F715" i="9"/>
  <c r="G715" i="9"/>
  <c r="F709" i="9"/>
  <c r="G709" i="9"/>
  <c r="D621" i="9"/>
  <c r="E621" i="9" s="1"/>
  <c r="F621" i="9"/>
  <c r="G621" i="9"/>
  <c r="D748" i="9"/>
  <c r="E748" i="9" s="1"/>
  <c r="F748" i="9"/>
  <c r="G748" i="9"/>
  <c r="D694" i="9"/>
  <c r="E694" i="9" s="1"/>
  <c r="F694" i="9"/>
  <c r="G694" i="9"/>
  <c r="D494" i="9"/>
  <c r="E494" i="9" s="1"/>
  <c r="F494" i="9"/>
  <c r="G494" i="9"/>
  <c r="D490" i="9"/>
  <c r="E490" i="9" s="1"/>
  <c r="F490" i="9"/>
  <c r="G490" i="9"/>
  <c r="D253" i="9"/>
  <c r="E253" i="9" s="1"/>
  <c r="F253" i="9"/>
  <c r="G253" i="9"/>
  <c r="D264" i="9"/>
  <c r="E264" i="9" s="1"/>
  <c r="F264" i="9"/>
  <c r="G264" i="9"/>
  <c r="D31" i="9"/>
  <c r="E31" i="9" s="1"/>
  <c r="F31" i="9"/>
  <c r="G31" i="9"/>
  <c r="D780" i="9"/>
  <c r="E780" i="9" s="1"/>
  <c r="F780" i="9"/>
  <c r="G780" i="9"/>
  <c r="D165" i="9"/>
  <c r="E165" i="9" s="1"/>
  <c r="F165" i="9"/>
  <c r="G165" i="9"/>
  <c r="D156" i="9"/>
  <c r="E156" i="9" s="1"/>
  <c r="F156" i="9"/>
  <c r="G156" i="9"/>
  <c r="D175" i="9"/>
  <c r="E175" i="9" s="1"/>
  <c r="F175" i="9"/>
  <c r="G175" i="9"/>
  <c r="D280" i="9"/>
  <c r="E280" i="9" s="1"/>
  <c r="F280" i="9"/>
  <c r="G280" i="9"/>
  <c r="D361" i="9"/>
  <c r="E361" i="9" s="1"/>
  <c r="F361" i="9"/>
  <c r="G361" i="9"/>
  <c r="D685" i="9"/>
  <c r="E685" i="9" s="1"/>
  <c r="F685" i="9"/>
  <c r="G685" i="9"/>
  <c r="D705" i="9"/>
  <c r="E705" i="9" s="1"/>
  <c r="F705" i="9"/>
  <c r="G705" i="9"/>
  <c r="D701" i="9"/>
  <c r="E701" i="9" s="1"/>
  <c r="F701" i="9"/>
  <c r="G701" i="9"/>
  <c r="D752" i="9"/>
  <c r="E752" i="9" s="1"/>
  <c r="F752" i="9"/>
  <c r="G752" i="9"/>
  <c r="F166" i="9"/>
  <c r="G166" i="9"/>
  <c r="F26" i="9"/>
  <c r="G26" i="9"/>
  <c r="F49" i="9"/>
  <c r="G49" i="9"/>
  <c r="F771" i="9"/>
  <c r="G771" i="9"/>
  <c r="F363" i="9"/>
  <c r="G363" i="9"/>
  <c r="F460" i="9"/>
  <c r="G460" i="9"/>
  <c r="F732" i="9"/>
  <c r="G732" i="9"/>
  <c r="F765" i="9"/>
  <c r="G765" i="9"/>
  <c r="F630" i="9"/>
  <c r="G630" i="9"/>
  <c r="F625" i="9"/>
  <c r="G625" i="9"/>
  <c r="F707" i="9"/>
  <c r="G707" i="9"/>
  <c r="F587" i="9"/>
  <c r="G587" i="9"/>
  <c r="F656" i="9"/>
  <c r="G656" i="9"/>
  <c r="F564" i="9"/>
  <c r="G564" i="9"/>
  <c r="F499" i="9"/>
  <c r="G499" i="9"/>
  <c r="F78" i="9"/>
  <c r="G78" i="9"/>
  <c r="F259" i="9"/>
  <c r="G259" i="9"/>
  <c r="F261" i="9"/>
  <c r="H261" i="9" s="1"/>
  <c r="I261" i="9" s="1"/>
  <c r="F802" i="9"/>
  <c r="G802" i="9"/>
  <c r="F100" i="9"/>
  <c r="G100" i="9"/>
  <c r="F61" i="9"/>
  <c r="G61" i="9"/>
  <c r="F274" i="9"/>
  <c r="G274" i="9"/>
  <c r="F459" i="9"/>
  <c r="G459" i="9"/>
  <c r="F353" i="9"/>
  <c r="G353" i="9"/>
  <c r="F131" i="9"/>
  <c r="G131" i="9"/>
  <c r="F736" i="9"/>
  <c r="G736" i="9"/>
  <c r="F604" i="9"/>
  <c r="G604" i="9"/>
  <c r="F733" i="9"/>
  <c r="G733" i="9"/>
  <c r="F620" i="9"/>
  <c r="G620" i="9"/>
  <c r="F589" i="9"/>
  <c r="G589" i="9"/>
  <c r="F509" i="9"/>
  <c r="G509" i="9"/>
  <c r="F273" i="9"/>
  <c r="G273" i="9"/>
  <c r="D95" i="9"/>
  <c r="E95" i="9" s="1"/>
  <c r="F95" i="9"/>
  <c r="G95" i="9"/>
  <c r="D544" i="9"/>
  <c r="E544" i="9" s="1"/>
  <c r="F544" i="9"/>
  <c r="G544" i="9"/>
  <c r="D142" i="9"/>
  <c r="E142" i="9" s="1"/>
  <c r="F142" i="9"/>
  <c r="G142" i="9"/>
  <c r="D283" i="9"/>
  <c r="E283" i="9" s="1"/>
  <c r="F283" i="9"/>
  <c r="G283" i="9"/>
  <c r="D177" i="9"/>
  <c r="E177" i="9" s="1"/>
  <c r="F177" i="9"/>
  <c r="G177" i="9"/>
  <c r="D366" i="9"/>
  <c r="E366" i="9" s="1"/>
  <c r="F366" i="9"/>
  <c r="G366" i="9"/>
  <c r="D712" i="9"/>
  <c r="E712" i="9" s="1"/>
  <c r="F712" i="9"/>
  <c r="G712" i="9"/>
  <c r="D766" i="9"/>
  <c r="E766" i="9" s="1"/>
  <c r="F766" i="9"/>
  <c r="G766" i="9"/>
  <c r="D645" i="9"/>
  <c r="E645" i="9" s="1"/>
  <c r="F645" i="9"/>
  <c r="G645" i="9"/>
  <c r="D578" i="9"/>
  <c r="E578" i="9" s="1"/>
  <c r="F578" i="9"/>
  <c r="G578" i="9"/>
  <c r="D558" i="9"/>
  <c r="E558" i="9" s="1"/>
  <c r="F558" i="9"/>
  <c r="G558" i="9"/>
  <c r="D660" i="9"/>
  <c r="E660" i="9" s="1"/>
  <c r="F660" i="9"/>
  <c r="G660" i="9"/>
  <c r="D655" i="9"/>
  <c r="E655" i="9" s="1"/>
  <c r="F655" i="9"/>
  <c r="G655" i="9"/>
  <c r="D514" i="9"/>
  <c r="E514" i="9" s="1"/>
  <c r="F514" i="9"/>
  <c r="G514" i="9"/>
  <c r="D497" i="9"/>
  <c r="E497" i="9" s="1"/>
  <c r="F497" i="9"/>
  <c r="G497" i="9"/>
  <c r="D272" i="9"/>
  <c r="E272" i="9" s="1"/>
  <c r="F272" i="9"/>
  <c r="G272" i="9"/>
  <c r="D158" i="9"/>
  <c r="E158" i="9" s="1"/>
  <c r="F158" i="9"/>
  <c r="G158" i="9"/>
  <c r="D99" i="9"/>
  <c r="E99" i="9" s="1"/>
  <c r="F99" i="9"/>
  <c r="G99" i="9"/>
  <c r="D809" i="9"/>
  <c r="E809" i="9" s="1"/>
  <c r="F809" i="9"/>
  <c r="G809" i="9"/>
  <c r="D164" i="9"/>
  <c r="E164" i="9" s="1"/>
  <c r="F164" i="9"/>
  <c r="G164" i="9"/>
  <c r="D153" i="9"/>
  <c r="E153" i="9" s="1"/>
  <c r="F153" i="9"/>
  <c r="G153" i="9"/>
  <c r="D277" i="9"/>
  <c r="E277" i="9" s="1"/>
  <c r="F277" i="9"/>
  <c r="G277" i="9"/>
  <c r="D373" i="9"/>
  <c r="E373" i="9" s="1"/>
  <c r="F373" i="9"/>
  <c r="G373" i="9"/>
  <c r="D679" i="9"/>
  <c r="E679" i="9" s="1"/>
  <c r="F679" i="9"/>
  <c r="G679" i="9"/>
  <c r="D602" i="9"/>
  <c r="E602" i="9" s="1"/>
  <c r="F602" i="9"/>
  <c r="G602" i="9"/>
  <c r="D671" i="9"/>
  <c r="E671" i="9" s="1"/>
  <c r="F671" i="9"/>
  <c r="G671" i="9"/>
  <c r="D592" i="9"/>
  <c r="E592" i="9" s="1"/>
  <c r="F592" i="9"/>
  <c r="G592" i="9"/>
  <c r="D756" i="9"/>
  <c r="E756" i="9" s="1"/>
  <c r="F756" i="9"/>
  <c r="G756" i="9"/>
  <c r="D661" i="9"/>
  <c r="E661" i="9" s="1"/>
  <c r="F661" i="9"/>
  <c r="G661" i="9"/>
  <c r="D753" i="9"/>
  <c r="E753" i="9" s="1"/>
  <c r="F753" i="9"/>
  <c r="G753" i="9"/>
  <c r="D517" i="9"/>
  <c r="E517" i="9" s="1"/>
  <c r="F517" i="9"/>
  <c r="G517" i="9"/>
  <c r="D652" i="9"/>
  <c r="E652" i="9" s="1"/>
  <c r="F652" i="9"/>
  <c r="G652" i="9"/>
  <c r="F101" i="9"/>
  <c r="G101" i="9"/>
  <c r="F97" i="9"/>
  <c r="G97" i="9"/>
  <c r="F789" i="9"/>
  <c r="G789" i="9"/>
  <c r="F62" i="9"/>
  <c r="G62" i="9"/>
  <c r="F275" i="9"/>
  <c r="G275" i="9"/>
  <c r="F374" i="9"/>
  <c r="G374" i="9"/>
  <c r="F359" i="9"/>
  <c r="G359" i="9"/>
  <c r="F132" i="9"/>
  <c r="G132" i="9"/>
  <c r="F627" i="9"/>
  <c r="G627" i="9"/>
  <c r="F675" i="9"/>
  <c r="G675" i="9"/>
  <c r="F759" i="9"/>
  <c r="G759" i="9"/>
  <c r="F689" i="9"/>
  <c r="G689" i="9"/>
  <c r="F568" i="9"/>
  <c r="G568" i="9"/>
  <c r="F522" i="9"/>
  <c r="G522" i="9"/>
  <c r="F84" i="9"/>
  <c r="G84" i="9"/>
  <c r="F262" i="9"/>
  <c r="G262" i="9"/>
  <c r="F804" i="9"/>
  <c r="G804" i="9"/>
  <c r="F92" i="9"/>
  <c r="G92" i="9"/>
  <c r="F786" i="9"/>
  <c r="G786" i="9"/>
  <c r="F464" i="9"/>
  <c r="G464" i="9"/>
  <c r="F281" i="9"/>
  <c r="G281" i="9"/>
  <c r="F362" i="9"/>
  <c r="G362" i="9"/>
  <c r="F376" i="9"/>
  <c r="G376" i="9"/>
  <c r="F714" i="9"/>
  <c r="G714" i="9"/>
  <c r="F670" i="9"/>
  <c r="G670" i="9"/>
  <c r="F618" i="9"/>
  <c r="G618" i="9"/>
  <c r="F697" i="9"/>
  <c r="G697" i="9"/>
  <c r="F751" i="9"/>
  <c r="G751" i="9"/>
  <c r="F612" i="9"/>
  <c r="G612" i="9"/>
  <c r="F512" i="9"/>
  <c r="G512" i="9"/>
  <c r="F649" i="9"/>
  <c r="G649" i="9"/>
  <c r="F498" i="9"/>
  <c r="G498" i="9"/>
  <c r="F478" i="9"/>
  <c r="G478" i="9"/>
  <c r="F247" i="9"/>
  <c r="G247" i="9"/>
  <c r="D93" i="9"/>
  <c r="E93" i="9" s="1"/>
  <c r="F93" i="9"/>
  <c r="G93" i="9"/>
  <c r="D28" i="9"/>
  <c r="E28" i="9" s="1"/>
  <c r="F28" i="9"/>
  <c r="G28" i="9"/>
  <c r="D60" i="9"/>
  <c r="E60" i="9" s="1"/>
  <c r="F60" i="9"/>
  <c r="G60" i="9"/>
  <c r="D171" i="9"/>
  <c r="E171" i="9" s="1"/>
  <c r="F171" i="9"/>
  <c r="G171" i="9"/>
  <c r="D379" i="9"/>
  <c r="E379" i="9" s="1"/>
  <c r="F379" i="9"/>
  <c r="G379" i="9"/>
  <c r="D355" i="9"/>
  <c r="E355" i="9" s="1"/>
  <c r="F355" i="9"/>
  <c r="G355" i="9"/>
  <c r="D737" i="9"/>
  <c r="E737" i="9" s="1"/>
  <c r="F737" i="9"/>
  <c r="G737" i="9"/>
  <c r="D725" i="9"/>
  <c r="E725" i="9" s="1"/>
  <c r="F725" i="9"/>
  <c r="G725" i="9"/>
  <c r="D634" i="9"/>
  <c r="E634" i="9" s="1"/>
  <c r="F634" i="9"/>
  <c r="G634" i="9"/>
  <c r="D581" i="9"/>
  <c r="E581" i="9" s="1"/>
  <c r="F581" i="9"/>
  <c r="G581" i="9"/>
  <c r="D557" i="9"/>
  <c r="E557" i="9" s="1"/>
  <c r="F557" i="9"/>
  <c r="G557" i="9"/>
  <c r="D648" i="9"/>
  <c r="E648" i="9" s="1"/>
  <c r="F648" i="9"/>
  <c r="G648" i="9"/>
  <c r="D507" i="9"/>
  <c r="E507" i="9" s="1"/>
  <c r="F507" i="9"/>
  <c r="G507" i="9"/>
  <c r="D505" i="9"/>
  <c r="E505" i="9" s="1"/>
  <c r="F505" i="9"/>
  <c r="G505" i="9"/>
  <c r="D513" i="9"/>
  <c r="E513" i="9" s="1"/>
  <c r="F513" i="9"/>
  <c r="G513" i="9"/>
  <c r="D160" i="9"/>
  <c r="E160" i="9" s="1"/>
  <c r="F160" i="9"/>
  <c r="G160" i="9"/>
  <c r="D86" i="9"/>
  <c r="E86" i="9" s="1"/>
  <c r="F86" i="9"/>
  <c r="G86" i="9"/>
  <c r="D24" i="9"/>
  <c r="E24" i="9" s="1"/>
  <c r="F24" i="9"/>
  <c r="G24" i="9"/>
  <c r="D145" i="9"/>
  <c r="E145" i="9" s="1"/>
  <c r="F145" i="9"/>
  <c r="G145" i="9"/>
  <c r="D372" i="9"/>
  <c r="E372" i="9" s="1"/>
  <c r="F372" i="9"/>
  <c r="G372" i="9"/>
  <c r="D745" i="9"/>
  <c r="E745" i="9" s="1"/>
  <c r="F745" i="9"/>
  <c r="G745" i="9"/>
  <c r="D633" i="9"/>
  <c r="E633" i="9" s="1"/>
  <c r="F633" i="9"/>
  <c r="G633" i="9"/>
  <c r="D729" i="9"/>
  <c r="E729" i="9" s="1"/>
  <c r="F729" i="9"/>
  <c r="G729" i="9"/>
  <c r="D698" i="9"/>
  <c r="E698" i="9" s="1"/>
  <c r="F698" i="9"/>
  <c r="G698" i="9"/>
  <c r="D611" i="9"/>
  <c r="E611" i="9" s="1"/>
  <c r="F611" i="9"/>
  <c r="G611" i="9"/>
  <c r="D472" i="9"/>
  <c r="E472" i="9" s="1"/>
  <c r="F472" i="9"/>
  <c r="G472" i="9"/>
  <c r="J379" i="9"/>
  <c r="F782" i="9"/>
  <c r="G782" i="9"/>
  <c r="F806" i="9"/>
  <c r="G806" i="9"/>
  <c r="F807" i="9"/>
  <c r="G807" i="9"/>
  <c r="F781" i="9"/>
  <c r="G781" i="9"/>
  <c r="F466" i="9"/>
  <c r="G466" i="9"/>
  <c r="F767" i="9"/>
  <c r="G767" i="9"/>
  <c r="F286" i="9"/>
  <c r="G286" i="9"/>
  <c r="F381" i="9"/>
  <c r="G381" i="9"/>
  <c r="F722" i="9"/>
  <c r="G722" i="9"/>
  <c r="F686" i="9"/>
  <c r="G686" i="9"/>
  <c r="F680" i="9"/>
  <c r="G680" i="9"/>
  <c r="F706" i="9"/>
  <c r="G706" i="9"/>
  <c r="F755" i="9"/>
  <c r="G755" i="9"/>
  <c r="F700" i="9"/>
  <c r="G700" i="9"/>
  <c r="F651" i="9"/>
  <c r="G651" i="9"/>
  <c r="F482" i="9"/>
  <c r="G482" i="9"/>
  <c r="F83" i="9"/>
  <c r="G83" i="9"/>
  <c r="F268" i="9"/>
  <c r="G268" i="9"/>
  <c r="F50" i="9"/>
  <c r="G50" i="9"/>
  <c r="F805" i="9"/>
  <c r="G805" i="9"/>
  <c r="F788" i="9"/>
  <c r="G788" i="9"/>
  <c r="F368" i="9"/>
  <c r="G368" i="9"/>
  <c r="F279" i="9"/>
  <c r="G279" i="9"/>
  <c r="F357" i="9"/>
  <c r="G357" i="9"/>
  <c r="F371" i="9"/>
  <c r="G371" i="9"/>
  <c r="F606" i="9"/>
  <c r="G606" i="9"/>
  <c r="F710" i="9"/>
  <c r="G710" i="9"/>
  <c r="F582" i="9"/>
  <c r="G582" i="9"/>
  <c r="F601" i="9"/>
  <c r="G601" i="9"/>
  <c r="F664" i="9"/>
  <c r="G664" i="9"/>
  <c r="F550" i="9"/>
  <c r="G550" i="9"/>
  <c r="F691" i="9"/>
  <c r="G691" i="9"/>
  <c r="F488" i="9"/>
  <c r="G488" i="9"/>
  <c r="F690" i="9"/>
  <c r="G690" i="9"/>
  <c r="F506" i="9"/>
  <c r="G506" i="9"/>
  <c r="F254" i="9"/>
  <c r="G254" i="9"/>
  <c r="D72" i="9"/>
  <c r="E72" i="9" s="1"/>
  <c r="F72" i="9"/>
  <c r="G72" i="9"/>
  <c r="D87" i="9"/>
  <c r="E87" i="9" s="1"/>
  <c r="F87" i="9"/>
  <c r="G87" i="9"/>
  <c r="D792" i="9"/>
  <c r="E792" i="9" s="1"/>
  <c r="F792" i="9"/>
  <c r="G792" i="9"/>
  <c r="D457" i="9"/>
  <c r="E457" i="9" s="1"/>
  <c r="F457" i="9"/>
  <c r="G457" i="9"/>
  <c r="D454" i="9"/>
  <c r="E454" i="9" s="1"/>
  <c r="F454" i="9"/>
  <c r="G454" i="9"/>
  <c r="D360" i="9"/>
  <c r="E360" i="9" s="1"/>
  <c r="F360" i="9"/>
  <c r="G360" i="9"/>
  <c r="D770" i="9"/>
  <c r="E770" i="9" s="1"/>
  <c r="F770" i="9"/>
  <c r="G770" i="9"/>
  <c r="D378" i="9"/>
  <c r="E378" i="9" s="1"/>
  <c r="F378" i="9"/>
  <c r="G378" i="9"/>
  <c r="D347" i="9"/>
  <c r="E347" i="9" s="1"/>
  <c r="F347" i="9"/>
  <c r="G347" i="9"/>
  <c r="D738" i="9"/>
  <c r="E738" i="9" s="1"/>
  <c r="F738" i="9"/>
  <c r="G738" i="9"/>
  <c r="D721" i="9"/>
  <c r="E721" i="9" s="1"/>
  <c r="F721" i="9"/>
  <c r="G721" i="9"/>
  <c r="D718" i="9"/>
  <c r="E718" i="9" s="1"/>
  <c r="F718" i="9"/>
  <c r="G718" i="9"/>
  <c r="D573" i="9"/>
  <c r="E573" i="9" s="1"/>
  <c r="F573" i="9"/>
  <c r="G573" i="9"/>
  <c r="D704" i="9"/>
  <c r="E704" i="9" s="1"/>
  <c r="F704" i="9"/>
  <c r="G704" i="9"/>
  <c r="D552" i="9"/>
  <c r="E552" i="9" s="1"/>
  <c r="F552" i="9"/>
  <c r="G552" i="9"/>
  <c r="D477" i="9"/>
  <c r="E477" i="9" s="1"/>
  <c r="F477" i="9"/>
  <c r="G477" i="9"/>
  <c r="D520" i="9"/>
  <c r="E520" i="9" s="1"/>
  <c r="F520" i="9"/>
  <c r="G520" i="9"/>
  <c r="D487" i="9"/>
  <c r="E487" i="9" s="1"/>
  <c r="F487" i="9"/>
  <c r="G487" i="9"/>
  <c r="D260" i="9"/>
  <c r="E260" i="9" s="1"/>
  <c r="F260" i="9"/>
  <c r="G260" i="9"/>
  <c r="D152" i="9"/>
  <c r="E152" i="9" s="1"/>
  <c r="F152" i="9"/>
  <c r="G152" i="9"/>
  <c r="D52" i="9"/>
  <c r="E52" i="9" s="1"/>
  <c r="F52" i="9"/>
  <c r="G52" i="9"/>
  <c r="D795" i="9"/>
  <c r="E795" i="9" s="1"/>
  <c r="F795" i="9"/>
  <c r="G795" i="9"/>
  <c r="D134" i="9"/>
  <c r="E134" i="9" s="1"/>
  <c r="F134" i="9"/>
  <c r="G134" i="9"/>
  <c r="D731" i="9"/>
  <c r="E731" i="9" s="1"/>
  <c r="F731" i="9"/>
  <c r="G731" i="9"/>
  <c r="D673" i="9"/>
  <c r="E673" i="9" s="1"/>
  <c r="F673" i="9"/>
  <c r="G673" i="9"/>
  <c r="D629" i="9"/>
  <c r="E629" i="9" s="1"/>
  <c r="F629" i="9"/>
  <c r="G629" i="9"/>
  <c r="D666" i="9"/>
  <c r="E666" i="9" s="1"/>
  <c r="F666" i="9"/>
  <c r="G666" i="9"/>
  <c r="D754" i="9"/>
  <c r="E754" i="9" s="1"/>
  <c r="F754" i="9"/>
  <c r="G754" i="9"/>
  <c r="D571" i="9"/>
  <c r="E571" i="9" s="1"/>
  <c r="F571" i="9"/>
  <c r="G571" i="9"/>
  <c r="J93" i="9"/>
  <c r="F797" i="9"/>
  <c r="G797" i="9"/>
  <c r="F59" i="9"/>
  <c r="G59" i="9"/>
  <c r="F33" i="9"/>
  <c r="G33" i="9"/>
  <c r="F803" i="9"/>
  <c r="G803" i="9"/>
  <c r="F282" i="9"/>
  <c r="G282" i="9"/>
  <c r="F174" i="9"/>
  <c r="G174" i="9"/>
  <c r="F348" i="9"/>
  <c r="G348" i="9"/>
  <c r="F774" i="9"/>
  <c r="G774" i="9"/>
  <c r="F354" i="9"/>
  <c r="G354" i="9"/>
  <c r="F597" i="9"/>
  <c r="G597" i="9"/>
  <c r="F677" i="9"/>
  <c r="G677" i="9"/>
  <c r="F762" i="9"/>
  <c r="G762" i="9"/>
  <c r="F580" i="9"/>
  <c r="G580" i="9"/>
  <c r="F556" i="9"/>
  <c r="G556" i="9"/>
  <c r="F643" i="9"/>
  <c r="G643" i="9"/>
  <c r="F687" i="9"/>
  <c r="G687" i="9"/>
  <c r="F653" i="9"/>
  <c r="G653" i="9"/>
  <c r="F476" i="9"/>
  <c r="G476" i="9"/>
  <c r="F269" i="9"/>
  <c r="G269" i="9"/>
  <c r="F161" i="9"/>
  <c r="G161" i="9"/>
  <c r="F30" i="9"/>
  <c r="G30" i="9"/>
  <c r="F793" i="9"/>
  <c r="G793" i="9"/>
  <c r="F453" i="9"/>
  <c r="G453" i="9"/>
  <c r="F178" i="9"/>
  <c r="G178" i="9"/>
  <c r="F467" i="9"/>
  <c r="G467" i="9"/>
  <c r="F146" i="9"/>
  <c r="G146" i="9"/>
  <c r="F356" i="9"/>
  <c r="G356" i="9"/>
  <c r="F596" i="9"/>
  <c r="G596" i="9"/>
  <c r="F724" i="9"/>
  <c r="G724" i="9"/>
  <c r="F716" i="9"/>
  <c r="G716" i="9"/>
  <c r="F632" i="9"/>
  <c r="G632" i="9"/>
  <c r="F575" i="9"/>
  <c r="G575" i="9"/>
  <c r="F693" i="9"/>
  <c r="G693" i="9"/>
  <c r="F692" i="9"/>
  <c r="G692" i="9"/>
  <c r="F563" i="9"/>
  <c r="G563" i="9"/>
  <c r="F74" i="9"/>
  <c r="G74" i="9"/>
  <c r="F481" i="9"/>
  <c r="G481" i="9"/>
  <c r="D162" i="9"/>
  <c r="E162" i="9" s="1"/>
  <c r="F162" i="9"/>
  <c r="G162" i="9"/>
  <c r="D547" i="9"/>
  <c r="E547" i="9" s="1"/>
  <c r="F547" i="9"/>
  <c r="G547" i="9"/>
  <c r="D85" i="9"/>
  <c r="E85" i="9" s="1"/>
  <c r="F85" i="9"/>
  <c r="G85" i="9"/>
  <c r="D787" i="9"/>
  <c r="E787" i="9" s="1"/>
  <c r="F787" i="9"/>
  <c r="G787" i="9"/>
  <c r="D799" i="9"/>
  <c r="E799" i="9" s="1"/>
  <c r="F799" i="9"/>
  <c r="G799" i="9"/>
  <c r="D179" i="9"/>
  <c r="E179" i="9" s="1"/>
  <c r="F179" i="9"/>
  <c r="G179" i="9"/>
  <c r="D365" i="9"/>
  <c r="E365" i="9" s="1"/>
  <c r="F365" i="9"/>
  <c r="G365" i="9"/>
  <c r="D358" i="9"/>
  <c r="E358" i="9" s="1"/>
  <c r="F358" i="9"/>
  <c r="G358" i="9"/>
  <c r="D678" i="9"/>
  <c r="E678" i="9" s="1"/>
  <c r="F678" i="9"/>
  <c r="G678" i="9"/>
  <c r="D713" i="9"/>
  <c r="E713" i="9" s="1"/>
  <c r="F713" i="9"/>
  <c r="G713" i="9"/>
  <c r="D585" i="9"/>
  <c r="E585" i="9" s="1"/>
  <c r="F585" i="9"/>
  <c r="G585" i="9"/>
  <c r="D600" i="9"/>
  <c r="E600" i="9" s="1"/>
  <c r="F600" i="9"/>
  <c r="G600" i="9"/>
  <c r="D702" i="9"/>
  <c r="E702" i="9" s="1"/>
  <c r="F702" i="9"/>
  <c r="G702" i="9"/>
  <c r="D639" i="9"/>
  <c r="E639" i="9" s="1"/>
  <c r="F639" i="9"/>
  <c r="G639" i="9"/>
  <c r="D489" i="9"/>
  <c r="E489" i="9" s="1"/>
  <c r="F489" i="9"/>
  <c r="G489" i="9"/>
  <c r="D650" i="9"/>
  <c r="E650" i="9" s="1"/>
  <c r="F650" i="9"/>
  <c r="G650" i="9"/>
  <c r="D511" i="9"/>
  <c r="E511" i="9" s="1"/>
  <c r="F511" i="9"/>
  <c r="G511" i="9"/>
  <c r="D29" i="9"/>
  <c r="E29" i="9" s="1"/>
  <c r="F29" i="9"/>
  <c r="G29" i="9"/>
  <c r="D143" i="9"/>
  <c r="E143" i="9" s="1"/>
  <c r="F143" i="9"/>
  <c r="G143" i="9"/>
  <c r="D777" i="9"/>
  <c r="E777" i="9" s="1"/>
  <c r="F777" i="9"/>
  <c r="G777" i="9"/>
  <c r="D139" i="9"/>
  <c r="E139" i="9" s="1"/>
  <c r="F139" i="9"/>
  <c r="G139" i="9"/>
  <c r="D636" i="9"/>
  <c r="E636" i="9" s="1"/>
  <c r="F636" i="9"/>
  <c r="G636" i="9"/>
  <c r="D605" i="9"/>
  <c r="E605" i="9" s="1"/>
  <c r="F605" i="9"/>
  <c r="G605" i="9"/>
  <c r="D763" i="9"/>
  <c r="E763" i="9" s="1"/>
  <c r="F763" i="9"/>
  <c r="G763" i="9"/>
  <c r="D584" i="9"/>
  <c r="E584" i="9" s="1"/>
  <c r="F584" i="9"/>
  <c r="G584" i="9"/>
  <c r="D728" i="9"/>
  <c r="E728" i="9" s="1"/>
  <c r="F728" i="9"/>
  <c r="G728" i="9"/>
  <c r="D667" i="9"/>
  <c r="E667" i="9" s="1"/>
  <c r="F667" i="9"/>
  <c r="G667" i="9"/>
  <c r="D747" i="9"/>
  <c r="E747" i="9" s="1"/>
  <c r="F747" i="9"/>
  <c r="G747" i="9"/>
  <c r="D521" i="9"/>
  <c r="E521" i="9" s="1"/>
  <c r="F521" i="9"/>
  <c r="G521" i="9"/>
  <c r="D469" i="9"/>
  <c r="E469" i="9" s="1"/>
  <c r="F469" i="9"/>
  <c r="G469" i="9"/>
  <c r="F784" i="9"/>
  <c r="G784" i="9"/>
  <c r="F32" i="9"/>
  <c r="G32" i="9"/>
  <c r="F794" i="9"/>
  <c r="G794" i="9"/>
  <c r="F367" i="9"/>
  <c r="G367" i="9"/>
  <c r="F727" i="9"/>
  <c r="G727" i="9"/>
  <c r="F377" i="9"/>
  <c r="G377" i="9"/>
  <c r="F717" i="9"/>
  <c r="G717" i="9"/>
  <c r="F561" i="9"/>
  <c r="G561" i="9"/>
  <c r="F599" i="9"/>
  <c r="G599" i="9"/>
  <c r="F640" i="9"/>
  <c r="G640" i="9"/>
  <c r="F502" i="9"/>
  <c r="G502" i="9"/>
  <c r="F76" i="9"/>
  <c r="G76" i="9"/>
  <c r="F163" i="9"/>
  <c r="G163" i="9"/>
  <c r="F71" i="9"/>
  <c r="G71" i="9"/>
  <c r="F785" i="9"/>
  <c r="G785" i="9"/>
  <c r="F172" i="9"/>
  <c r="G172" i="9"/>
  <c r="F450" i="9"/>
  <c r="G450" i="9"/>
  <c r="F743" i="9"/>
  <c r="G743" i="9"/>
  <c r="F711" i="9"/>
  <c r="G711" i="9"/>
  <c r="F764" i="9"/>
  <c r="G764" i="9"/>
  <c r="F628" i="9"/>
  <c r="G628" i="9"/>
  <c r="F617" i="9"/>
  <c r="G617" i="9"/>
  <c r="F588" i="9"/>
  <c r="G588" i="9"/>
  <c r="F749" i="9"/>
  <c r="G749" i="9"/>
  <c r="F654" i="9"/>
  <c r="G654" i="9"/>
  <c r="F638" i="9"/>
  <c r="G638" i="9"/>
  <c r="F503" i="9"/>
  <c r="G503" i="9"/>
  <c r="F258" i="9"/>
  <c r="G258" i="9"/>
  <c r="D147" i="9"/>
  <c r="E147" i="9" s="1"/>
  <c r="F147" i="9"/>
  <c r="G147" i="9"/>
  <c r="D89" i="9"/>
  <c r="E89" i="9" s="1"/>
  <c r="F89" i="9"/>
  <c r="G89" i="9"/>
  <c r="D783" i="9"/>
  <c r="E783" i="9" s="1"/>
  <c r="F783" i="9"/>
  <c r="G783" i="9"/>
  <c r="D284" i="9"/>
  <c r="E284" i="9" s="1"/>
  <c r="F284" i="9"/>
  <c r="G284" i="9"/>
  <c r="D455" i="9"/>
  <c r="E455" i="9" s="1"/>
  <c r="F455" i="9"/>
  <c r="G455" i="9"/>
  <c r="D451" i="9"/>
  <c r="E451" i="9" s="1"/>
  <c r="F451" i="9"/>
  <c r="G451" i="9"/>
  <c r="D136" i="9"/>
  <c r="E136" i="9" s="1"/>
  <c r="F136" i="9"/>
  <c r="G136" i="9"/>
  <c r="D593" i="9"/>
  <c r="E593" i="9" s="1"/>
  <c r="F593" i="9"/>
  <c r="G593" i="9"/>
  <c r="D576" i="9"/>
  <c r="E576" i="9" s="1"/>
  <c r="F576" i="9"/>
  <c r="G576" i="9"/>
  <c r="D559" i="9"/>
  <c r="E559" i="9" s="1"/>
  <c r="F559" i="9"/>
  <c r="G559" i="9"/>
  <c r="D560" i="9"/>
  <c r="E560" i="9" s="1"/>
  <c r="F560" i="9"/>
  <c r="G560" i="9"/>
  <c r="D668" i="9"/>
  <c r="E668" i="9" s="1"/>
  <c r="F668" i="9"/>
  <c r="G668" i="9"/>
  <c r="D663" i="9"/>
  <c r="E663" i="9" s="1"/>
  <c r="F663" i="9"/>
  <c r="G663" i="9"/>
  <c r="D553" i="9"/>
  <c r="E553" i="9" s="1"/>
  <c r="F553" i="9"/>
  <c r="G553" i="9"/>
  <c r="D483" i="9"/>
  <c r="E483" i="9" s="1"/>
  <c r="F483" i="9"/>
  <c r="G483" i="9"/>
  <c r="D572" i="9"/>
  <c r="E572" i="9" s="1"/>
  <c r="F572" i="9"/>
  <c r="G572" i="9"/>
  <c r="D508" i="9"/>
  <c r="E508" i="9" s="1"/>
  <c r="F508" i="9"/>
  <c r="G508" i="9"/>
  <c r="D510" i="9"/>
  <c r="E510" i="9" s="1"/>
  <c r="F510" i="9"/>
  <c r="G510" i="9"/>
  <c r="D267" i="9"/>
  <c r="E267" i="9" s="1"/>
  <c r="F267" i="9"/>
  <c r="G267" i="9"/>
  <c r="D800" i="9"/>
  <c r="E800" i="9" s="1"/>
  <c r="F800" i="9"/>
  <c r="G800" i="9"/>
  <c r="D791" i="9"/>
  <c r="E791" i="9" s="1"/>
  <c r="F791" i="9"/>
  <c r="G791" i="9"/>
  <c r="D34" i="9"/>
  <c r="E34" i="9" s="1"/>
  <c r="F34" i="9"/>
  <c r="G34" i="9"/>
  <c r="D350" i="9"/>
  <c r="E350" i="9" s="1"/>
  <c r="F350" i="9"/>
  <c r="G350" i="9"/>
  <c r="D137" i="9"/>
  <c r="E137" i="9" s="1"/>
  <c r="F137" i="9"/>
  <c r="G137" i="9"/>
  <c r="D603" i="9"/>
  <c r="E603" i="9" s="1"/>
  <c r="F603" i="9"/>
  <c r="G603" i="9"/>
  <c r="D586" i="9"/>
  <c r="E586" i="9" s="1"/>
  <c r="F586" i="9"/>
  <c r="G586" i="9"/>
  <c r="D616" i="9"/>
  <c r="E616" i="9" s="1"/>
  <c r="F616" i="9"/>
  <c r="G616" i="9"/>
  <c r="D551" i="9"/>
  <c r="E551" i="9" s="1"/>
  <c r="F551" i="9"/>
  <c r="G551" i="9"/>
  <c r="D614" i="9"/>
  <c r="E614" i="9" s="1"/>
  <c r="F614" i="9"/>
  <c r="G614" i="9"/>
  <c r="D609" i="9"/>
  <c r="E609" i="9" s="1"/>
  <c r="F609" i="9"/>
  <c r="G609" i="9"/>
  <c r="D567" i="9"/>
  <c r="E567" i="9" s="1"/>
  <c r="F567" i="9"/>
  <c r="G567" i="9"/>
  <c r="D501" i="9"/>
  <c r="E501" i="9" s="1"/>
  <c r="F501" i="9"/>
  <c r="G501" i="9"/>
  <c r="G266" i="5"/>
  <c r="G269" i="5"/>
  <c r="G372" i="5"/>
  <c r="G103" i="5"/>
  <c r="G169" i="5"/>
  <c r="G161" i="5"/>
  <c r="F588" i="5"/>
  <c r="H588" i="5" s="1"/>
  <c r="G588" i="5"/>
  <c r="F616" i="5"/>
  <c r="H616" i="5" s="1"/>
  <c r="G616" i="5"/>
  <c r="F595" i="5"/>
  <c r="H595" i="5" s="1"/>
  <c r="G595" i="5"/>
  <c r="F156" i="5"/>
  <c r="H156" i="5" s="1"/>
  <c r="G156" i="5"/>
  <c r="F346" i="5"/>
  <c r="H346" i="5" s="1"/>
  <c r="G346" i="5"/>
  <c r="F478" i="5"/>
  <c r="H478" i="5" s="1"/>
  <c r="G478" i="5"/>
  <c r="F230" i="5"/>
  <c r="H230" i="5" s="1"/>
  <c r="G230" i="5"/>
  <c r="F176" i="5"/>
  <c r="H176" i="5" s="1"/>
  <c r="G176" i="5"/>
  <c r="F213" i="5"/>
  <c r="H213" i="5" s="1"/>
  <c r="G213" i="5"/>
  <c r="F330" i="5"/>
  <c r="H330" i="5" s="1"/>
  <c r="G330" i="5"/>
  <c r="F273" i="5"/>
  <c r="H273" i="5" s="1"/>
  <c r="G273" i="5"/>
  <c r="G143" i="5"/>
  <c r="G274" i="5"/>
  <c r="G152" i="5"/>
  <c r="G205" i="5"/>
  <c r="G90" i="5"/>
  <c r="G63" i="5"/>
  <c r="G343" i="5"/>
  <c r="G606" i="5"/>
  <c r="I606" i="5" s="1"/>
  <c r="J606" i="5" s="1"/>
  <c r="G382" i="5"/>
  <c r="G50" i="5"/>
  <c r="I50" i="5" s="1"/>
  <c r="J50" i="5" s="1"/>
  <c r="L50" i="5" s="1"/>
  <c r="G438" i="5"/>
  <c r="G332" i="5"/>
  <c r="G584" i="5"/>
  <c r="G207" i="5"/>
  <c r="G159" i="5"/>
  <c r="G311" i="5"/>
  <c r="G617" i="5"/>
  <c r="G452" i="5"/>
  <c r="G240" i="5"/>
  <c r="G593" i="5"/>
  <c r="G78" i="5"/>
  <c r="G202" i="5"/>
  <c r="G394" i="5"/>
  <c r="G97" i="5"/>
  <c r="G256" i="5"/>
  <c r="G121" i="5"/>
  <c r="G300" i="5"/>
  <c r="G387" i="5"/>
  <c r="G30" i="5"/>
  <c r="G66" i="5"/>
  <c r="G122" i="5"/>
  <c r="G599" i="5"/>
  <c r="G187" i="5"/>
  <c r="G437" i="5"/>
  <c r="G162" i="5"/>
  <c r="G149" i="5"/>
  <c r="G472" i="5"/>
  <c r="G56" i="5"/>
  <c r="I56" i="5" s="1"/>
  <c r="J56" i="5" s="1"/>
  <c r="L56" i="5" s="1"/>
  <c r="G53" i="5"/>
  <c r="G139" i="5"/>
  <c r="G628" i="5"/>
  <c r="G11" i="5"/>
  <c r="G174" i="5"/>
  <c r="G339" i="5"/>
  <c r="G320" i="5"/>
  <c r="G225" i="5"/>
  <c r="G79" i="5"/>
  <c r="G279" i="5"/>
  <c r="G223" i="5"/>
  <c r="G135" i="5"/>
  <c r="G454" i="5"/>
  <c r="G160" i="5"/>
  <c r="G301" i="5"/>
  <c r="G142" i="5"/>
  <c r="G426" i="5"/>
  <c r="G324" i="5"/>
  <c r="G435" i="5"/>
  <c r="G164" i="5"/>
  <c r="G448" i="5"/>
  <c r="G451" i="5"/>
  <c r="I451" i="5" s="1"/>
  <c r="J451" i="5" s="1"/>
  <c r="L451" i="5" s="1"/>
  <c r="G309" i="5"/>
  <c r="G248" i="5"/>
  <c r="G77" i="5"/>
  <c r="G60" i="5"/>
  <c r="G384" i="5"/>
  <c r="G578" i="5"/>
  <c r="G297" i="5"/>
  <c r="G197" i="5"/>
  <c r="G362" i="5"/>
  <c r="G55" i="5"/>
  <c r="G73" i="5"/>
  <c r="G453" i="5"/>
  <c r="I453" i="5" s="1"/>
  <c r="J453" i="5" s="1"/>
  <c r="L453" i="5" s="1"/>
  <c r="G296" i="5"/>
  <c r="G190" i="5"/>
  <c r="G184" i="5"/>
  <c r="G125" i="5"/>
  <c r="G299" i="5"/>
  <c r="G329" i="5"/>
  <c r="G145" i="5"/>
  <c r="G245" i="5"/>
  <c r="G436" i="5"/>
  <c r="G228" i="5"/>
  <c r="G25" i="5"/>
  <c r="G621" i="5"/>
  <c r="G42" i="5"/>
  <c r="G602" i="5"/>
  <c r="G285" i="5"/>
  <c r="G247" i="5"/>
  <c r="G258" i="5"/>
  <c r="G181" i="5"/>
  <c r="G326" i="5"/>
  <c r="G444" i="5"/>
  <c r="G605" i="5"/>
  <c r="G208" i="5"/>
  <c r="G249" i="5"/>
  <c r="G120" i="5"/>
  <c r="G475" i="5"/>
  <c r="G128" i="5"/>
  <c r="G474" i="5"/>
  <c r="G234" i="5"/>
  <c r="G262" i="5"/>
  <c r="G54" i="5"/>
  <c r="I54" i="5" s="1"/>
  <c r="J54" i="5" s="1"/>
  <c r="L54" i="5" s="1"/>
  <c r="G360" i="5"/>
  <c r="G47" i="5"/>
  <c r="G314" i="5"/>
  <c r="G386" i="5"/>
  <c r="G119" i="5"/>
  <c r="G284" i="5"/>
  <c r="G467" i="5"/>
  <c r="G327" i="5"/>
  <c r="G108" i="5"/>
  <c r="G350" i="5"/>
  <c r="G630" i="5"/>
  <c r="G629" i="5"/>
  <c r="G374" i="5"/>
  <c r="G399" i="5"/>
  <c r="G477" i="5"/>
  <c r="G469" i="5"/>
  <c r="G609" i="5"/>
  <c r="G582" i="5"/>
  <c r="G177" i="5"/>
  <c r="G615" i="5"/>
  <c r="G316" i="5"/>
  <c r="G277" i="5"/>
  <c r="G293" i="5"/>
  <c r="G361" i="5"/>
  <c r="G425" i="5"/>
  <c r="G402" i="5"/>
  <c r="G211" i="5"/>
  <c r="G86" i="5"/>
  <c r="G455" i="5"/>
  <c r="G212" i="5"/>
  <c r="G353" i="5"/>
  <c r="G298" i="5"/>
  <c r="G375" i="5"/>
  <c r="G433" i="5"/>
  <c r="G236" i="5"/>
  <c r="G289" i="5"/>
  <c r="G624" i="5"/>
  <c r="G367" i="5"/>
  <c r="G115" i="5"/>
  <c r="G76" i="5"/>
  <c r="G378" i="5"/>
  <c r="G626" i="5"/>
  <c r="G49" i="5"/>
  <c r="G43" i="5"/>
  <c r="I43" i="5" s="1"/>
  <c r="J43" i="5" s="1"/>
  <c r="L43" i="5" s="1"/>
  <c r="G449" i="5"/>
  <c r="G191" i="5"/>
  <c r="G69" i="5"/>
  <c r="G39" i="5"/>
  <c r="G429" i="5"/>
  <c r="G21" i="5"/>
  <c r="G155" i="5"/>
  <c r="G182" i="5"/>
  <c r="G87" i="5"/>
  <c r="G349" i="5"/>
  <c r="G587" i="5"/>
  <c r="G607" i="5"/>
  <c r="G335" i="5"/>
  <c r="G479" i="5"/>
  <c r="G241" i="5"/>
  <c r="G422" i="5"/>
  <c r="G203" i="5"/>
  <c r="G428" i="5"/>
  <c r="G352" i="5"/>
  <c r="G358" i="5"/>
  <c r="G434" i="5"/>
  <c r="G165" i="5"/>
  <c r="G215" i="5"/>
  <c r="G377" i="5"/>
  <c r="G305" i="5"/>
  <c r="G468" i="5"/>
  <c r="G74" i="5"/>
  <c r="G17" i="5"/>
  <c r="G232" i="5"/>
  <c r="G337" i="5"/>
  <c r="G98" i="5"/>
  <c r="G158" i="5"/>
  <c r="G391" i="5"/>
  <c r="G306" i="5"/>
  <c r="G338" i="5"/>
  <c r="G585" i="5"/>
  <c r="G18" i="5"/>
  <c r="G140" i="5"/>
  <c r="G389" i="5"/>
  <c r="G250" i="5"/>
  <c r="G318" i="5"/>
  <c r="G450" i="5"/>
  <c r="G148" i="5"/>
  <c r="G27" i="5"/>
  <c r="I27" i="5" s="1"/>
  <c r="J27" i="5" s="1"/>
  <c r="L27" i="5" s="1"/>
  <c r="G226" i="5"/>
  <c r="G218" i="5"/>
  <c r="G625" i="5"/>
  <c r="G470" i="5"/>
  <c r="G430" i="5"/>
  <c r="G322" i="5"/>
  <c r="G146" i="5"/>
  <c r="G401" i="5"/>
  <c r="G244" i="5"/>
  <c r="G272" i="5"/>
  <c r="G371" i="5"/>
  <c r="G237" i="5"/>
  <c r="G366" i="5"/>
  <c r="G278" i="5"/>
  <c r="G355" i="5"/>
  <c r="G62" i="5"/>
  <c r="I62" i="5" s="1"/>
  <c r="J62" i="5" s="1"/>
  <c r="L62" i="5" s="1"/>
  <c r="G286" i="5"/>
  <c r="G365" i="5"/>
  <c r="G619" i="5"/>
  <c r="G132" i="5"/>
  <c r="G136" i="5"/>
  <c r="G209" i="5"/>
  <c r="G471" i="5"/>
  <c r="G418" i="5"/>
  <c r="G112" i="5"/>
  <c r="G261" i="5"/>
  <c r="G456" i="5"/>
  <c r="G583" i="5"/>
  <c r="G94" i="5"/>
  <c r="G586" i="5"/>
  <c r="G239" i="5"/>
  <c r="G12" i="5"/>
  <c r="G210" i="5"/>
  <c r="G15" i="5"/>
  <c r="C23" i="16"/>
  <c r="J645" i="9"/>
  <c r="J497" i="9"/>
  <c r="J272" i="9"/>
  <c r="J147" i="9"/>
  <c r="J283" i="9"/>
  <c r="J284" i="9"/>
  <c r="J365" i="9"/>
  <c r="J595" i="9"/>
  <c r="J694" i="9"/>
  <c r="J474" i="9"/>
  <c r="J642" i="9"/>
  <c r="J709" i="9"/>
  <c r="J456" i="9"/>
  <c r="J715" i="9"/>
  <c r="J577" i="9"/>
  <c r="J558" i="9"/>
  <c r="J660" i="9"/>
  <c r="J655" i="9"/>
  <c r="J490" i="9"/>
  <c r="J91" i="9"/>
  <c r="J608" i="9"/>
  <c r="J148" i="9"/>
  <c r="J142" i="9"/>
  <c r="J352" i="9"/>
  <c r="J766" i="9"/>
  <c r="J578" i="9"/>
  <c r="J177" i="9"/>
  <c r="J270" i="9"/>
  <c r="J479" i="9"/>
  <c r="J366" i="9"/>
  <c r="J730" i="9"/>
  <c r="J748" i="9"/>
  <c r="J159" i="9"/>
  <c r="J718" i="9"/>
  <c r="J494" i="9"/>
  <c r="J520" i="9"/>
  <c r="J253" i="9"/>
  <c r="J704" i="9"/>
  <c r="J470" i="9"/>
  <c r="J768" i="9"/>
  <c r="J744" i="9"/>
  <c r="J647" i="9"/>
  <c r="J758" i="9"/>
  <c r="J518" i="9"/>
  <c r="J683" i="9"/>
  <c r="J613" i="9"/>
  <c r="J475" i="9"/>
  <c r="J574" i="9"/>
  <c r="J695" i="9"/>
  <c r="J133" i="9"/>
  <c r="J167" i="9"/>
  <c r="J25" i="9"/>
  <c r="J796" i="9"/>
  <c r="J468" i="9"/>
  <c r="J772" i="9"/>
  <c r="J798" i="9"/>
  <c r="D798" i="9"/>
  <c r="E798" i="9" s="1"/>
  <c r="J166" i="9"/>
  <c r="D166" i="9"/>
  <c r="E166" i="9" s="1"/>
  <c r="J154" i="9"/>
  <c r="D154" i="9"/>
  <c r="E154" i="9" s="1"/>
  <c r="J545" i="9"/>
  <c r="D545" i="9"/>
  <c r="E545" i="9" s="1"/>
  <c r="J769" i="9"/>
  <c r="D769" i="9"/>
  <c r="E769" i="9" s="1"/>
  <c r="J169" i="9"/>
  <c r="D169" i="9"/>
  <c r="E169" i="9" s="1"/>
  <c r="J452" i="9"/>
  <c r="D452" i="9"/>
  <c r="E452" i="9" s="1"/>
  <c r="J351" i="9"/>
  <c r="D351" i="9"/>
  <c r="E351" i="9" s="1"/>
  <c r="J734" i="9"/>
  <c r="D734" i="9"/>
  <c r="E734" i="9" s="1"/>
  <c r="J646" i="9"/>
  <c r="D646" i="9"/>
  <c r="E646" i="9" s="1"/>
  <c r="J760" i="9"/>
  <c r="D760" i="9"/>
  <c r="E760" i="9" s="1"/>
  <c r="J583" i="9"/>
  <c r="D583" i="9"/>
  <c r="E583" i="9" s="1"/>
  <c r="J708" i="9"/>
  <c r="D708" i="9"/>
  <c r="E708" i="9" s="1"/>
  <c r="J699" i="9"/>
  <c r="D699" i="9"/>
  <c r="E699" i="9" s="1"/>
  <c r="J665" i="9"/>
  <c r="D665" i="9"/>
  <c r="E665" i="9" s="1"/>
  <c r="J473" i="9"/>
  <c r="D473" i="9"/>
  <c r="E473" i="9" s="1"/>
  <c r="J688" i="9"/>
  <c r="D688" i="9"/>
  <c r="E688" i="9" s="1"/>
  <c r="J82" i="9"/>
  <c r="D82" i="9"/>
  <c r="E82" i="9" s="1"/>
  <c r="J471" i="9"/>
  <c r="D471" i="9"/>
  <c r="E471" i="9" s="1"/>
  <c r="J50" i="9"/>
  <c r="D50" i="9"/>
  <c r="E50" i="9" s="1"/>
  <c r="J805" i="9"/>
  <c r="D805" i="9"/>
  <c r="E805" i="9" s="1"/>
  <c r="J788" i="9"/>
  <c r="D788" i="9"/>
  <c r="E788" i="9" s="1"/>
  <c r="J368" i="9"/>
  <c r="D368" i="9"/>
  <c r="E368" i="9" s="1"/>
  <c r="J279" i="9"/>
  <c r="D279" i="9"/>
  <c r="E279" i="9" s="1"/>
  <c r="J135" i="9"/>
  <c r="D135" i="9"/>
  <c r="E135" i="9" s="1"/>
  <c r="J375" i="9"/>
  <c r="D375" i="9"/>
  <c r="E375" i="9" s="1"/>
  <c r="J594" i="9"/>
  <c r="D594" i="9"/>
  <c r="E594" i="9" s="1"/>
  <c r="J719" i="9"/>
  <c r="D719" i="9"/>
  <c r="E719" i="9" s="1"/>
  <c r="J644" i="9"/>
  <c r="D644" i="9"/>
  <c r="E644" i="9" s="1"/>
  <c r="J579" i="9"/>
  <c r="D579" i="9"/>
  <c r="E579" i="9" s="1"/>
  <c r="J590" i="9"/>
  <c r="D590" i="9"/>
  <c r="E590" i="9" s="1"/>
  <c r="J485" i="9"/>
  <c r="D485" i="9"/>
  <c r="E485" i="9" s="1"/>
  <c r="J515" i="9"/>
  <c r="D515" i="9"/>
  <c r="E515" i="9" s="1"/>
  <c r="J480" i="9"/>
  <c r="D480" i="9"/>
  <c r="E480" i="9" s="1"/>
  <c r="J252" i="9"/>
  <c r="D252" i="9"/>
  <c r="E252" i="9" s="1"/>
  <c r="J778" i="9"/>
  <c r="D778" i="9"/>
  <c r="E778" i="9" s="1"/>
  <c r="J90" i="9"/>
  <c r="D90" i="9"/>
  <c r="E90" i="9" s="1"/>
  <c r="J801" i="9"/>
  <c r="D801" i="9"/>
  <c r="E801" i="9" s="1"/>
  <c r="J370" i="9"/>
  <c r="D370" i="9"/>
  <c r="E370" i="9" s="1"/>
  <c r="J170" i="9"/>
  <c r="D170" i="9"/>
  <c r="E170" i="9" s="1"/>
  <c r="J773" i="9"/>
  <c r="D773" i="9"/>
  <c r="E773" i="9" s="1"/>
  <c r="J380" i="9"/>
  <c r="D380" i="9"/>
  <c r="E380" i="9" s="1"/>
  <c r="J141" i="9"/>
  <c r="D141" i="9"/>
  <c r="E141" i="9" s="1"/>
  <c r="J726" i="9"/>
  <c r="D726" i="9"/>
  <c r="E726" i="9" s="1"/>
  <c r="J681" i="9"/>
  <c r="D681" i="9"/>
  <c r="E681" i="9" s="1"/>
  <c r="J674" i="9"/>
  <c r="D674" i="9"/>
  <c r="E674" i="9" s="1"/>
  <c r="J757" i="9"/>
  <c r="D757" i="9"/>
  <c r="E757" i="9" s="1"/>
  <c r="J619" i="9"/>
  <c r="D619" i="9"/>
  <c r="E619" i="9" s="1"/>
  <c r="J623" i="9"/>
  <c r="D623" i="9"/>
  <c r="E623" i="9" s="1"/>
  <c r="J657" i="9"/>
  <c r="D657" i="9"/>
  <c r="E657" i="9" s="1"/>
  <c r="J641" i="9"/>
  <c r="D641" i="9"/>
  <c r="E641" i="9" s="1"/>
  <c r="J495" i="9"/>
  <c r="D495" i="9"/>
  <c r="E495" i="9" s="1"/>
  <c r="J491" i="9"/>
  <c r="D491" i="9"/>
  <c r="E491" i="9" s="1"/>
  <c r="J496" i="9"/>
  <c r="D496" i="9"/>
  <c r="E496" i="9" s="1"/>
  <c r="J161" i="9"/>
  <c r="D161" i="9"/>
  <c r="E161" i="9" s="1"/>
  <c r="J30" i="9"/>
  <c r="D30" i="9"/>
  <c r="E30" i="9" s="1"/>
  <c r="J793" i="9"/>
  <c r="D793" i="9"/>
  <c r="E793" i="9" s="1"/>
  <c r="J453" i="9"/>
  <c r="D453" i="9"/>
  <c r="E453" i="9" s="1"/>
  <c r="J178" i="9"/>
  <c r="D178" i="9"/>
  <c r="E178" i="9" s="1"/>
  <c r="J467" i="9"/>
  <c r="D467" i="9"/>
  <c r="E467" i="9" s="1"/>
  <c r="J146" i="9"/>
  <c r="D146" i="9"/>
  <c r="E146" i="9" s="1"/>
  <c r="J382" i="9"/>
  <c r="D382" i="9"/>
  <c r="E382" i="9" s="1"/>
  <c r="J735" i="9"/>
  <c r="D735" i="9"/>
  <c r="E735" i="9" s="1"/>
  <c r="J720" i="9"/>
  <c r="D720" i="9"/>
  <c r="E720" i="9" s="1"/>
  <c r="J739" i="9"/>
  <c r="D739" i="9"/>
  <c r="E739" i="9" s="1"/>
  <c r="J598" i="9"/>
  <c r="D598" i="9"/>
  <c r="E598" i="9" s="1"/>
  <c r="J750" i="9"/>
  <c r="D750" i="9"/>
  <c r="E750" i="9" s="1"/>
  <c r="J569" i="9"/>
  <c r="D569" i="9"/>
  <c r="E569" i="9" s="1"/>
  <c r="J80" i="9"/>
  <c r="D80" i="9"/>
  <c r="E80" i="9" s="1"/>
  <c r="J94" i="9"/>
  <c r="D94" i="9"/>
  <c r="E94" i="9" s="1"/>
  <c r="J810" i="9"/>
  <c r="D810" i="9"/>
  <c r="E810" i="9" s="1"/>
  <c r="J42" i="9"/>
  <c r="D42" i="9"/>
  <c r="E42" i="9" s="1"/>
  <c r="J369" i="9"/>
  <c r="D369" i="9"/>
  <c r="E369" i="9" s="1"/>
  <c r="J776" i="9"/>
  <c r="D776" i="9"/>
  <c r="E776" i="9" s="1"/>
  <c r="J465" i="9"/>
  <c r="D465" i="9"/>
  <c r="E465" i="9" s="1"/>
  <c r="J140" i="9"/>
  <c r="D140" i="9"/>
  <c r="E140" i="9" s="1"/>
  <c r="J741" i="9"/>
  <c r="D741" i="9"/>
  <c r="E741" i="9" s="1"/>
  <c r="J682" i="9"/>
  <c r="D682" i="9"/>
  <c r="E682" i="9" s="1"/>
  <c r="J631" i="9"/>
  <c r="D631" i="9"/>
  <c r="E631" i="9" s="1"/>
  <c r="J562" i="9"/>
  <c r="D562" i="9"/>
  <c r="E562" i="9" s="1"/>
  <c r="J615" i="9"/>
  <c r="D615" i="9"/>
  <c r="E615" i="9" s="1"/>
  <c r="J554" i="9"/>
  <c r="D554" i="9"/>
  <c r="E554" i="9" s="1"/>
  <c r="J658" i="9"/>
  <c r="D658" i="9"/>
  <c r="E658" i="9" s="1"/>
  <c r="J659" i="9"/>
  <c r="D659" i="9"/>
  <c r="E659" i="9" s="1"/>
  <c r="J610" i="9"/>
  <c r="D610" i="9"/>
  <c r="E610" i="9" s="1"/>
  <c r="J566" i="9"/>
  <c r="D566" i="9"/>
  <c r="E566" i="9" s="1"/>
  <c r="J81" i="9"/>
  <c r="D81" i="9"/>
  <c r="E81" i="9" s="1"/>
  <c r="J250" i="9"/>
  <c r="D250" i="9"/>
  <c r="E250" i="9" s="1"/>
  <c r="J163" i="9"/>
  <c r="D163" i="9"/>
  <c r="E163" i="9" s="1"/>
  <c r="J71" i="9"/>
  <c r="D71" i="9"/>
  <c r="E71" i="9" s="1"/>
  <c r="J785" i="9"/>
  <c r="D785" i="9"/>
  <c r="E785" i="9" s="1"/>
  <c r="J172" i="9"/>
  <c r="D172" i="9"/>
  <c r="E172" i="9" s="1"/>
  <c r="J353" i="9"/>
  <c r="D353" i="9"/>
  <c r="E353" i="9" s="1"/>
  <c r="J131" i="9"/>
  <c r="D131" i="9"/>
  <c r="E131" i="9" s="1"/>
  <c r="J736" i="9"/>
  <c r="D736" i="9"/>
  <c r="E736" i="9" s="1"/>
  <c r="J604" i="9"/>
  <c r="D604" i="9"/>
  <c r="E604" i="9" s="1"/>
  <c r="J733" i="9"/>
  <c r="D733" i="9"/>
  <c r="E733" i="9" s="1"/>
  <c r="J620" i="9"/>
  <c r="D620" i="9"/>
  <c r="E620" i="9" s="1"/>
  <c r="J589" i="9"/>
  <c r="D589" i="9"/>
  <c r="E589" i="9" s="1"/>
  <c r="J509" i="9"/>
  <c r="D509" i="9"/>
  <c r="E509" i="9" s="1"/>
  <c r="J273" i="9"/>
  <c r="D273" i="9"/>
  <c r="E273" i="9" s="1"/>
  <c r="J47" i="9"/>
  <c r="D47" i="9"/>
  <c r="E47" i="9" s="1"/>
  <c r="J26" i="9"/>
  <c r="D26" i="9"/>
  <c r="E26" i="9" s="1"/>
  <c r="J49" i="9"/>
  <c r="D49" i="9"/>
  <c r="E49" i="9" s="1"/>
  <c r="J771" i="9"/>
  <c r="D771" i="9"/>
  <c r="E771" i="9" s="1"/>
  <c r="J363" i="9"/>
  <c r="D363" i="9"/>
  <c r="E363" i="9" s="1"/>
  <c r="J460" i="9"/>
  <c r="D460" i="9"/>
  <c r="E460" i="9" s="1"/>
  <c r="J732" i="9"/>
  <c r="D732" i="9"/>
  <c r="E732" i="9" s="1"/>
  <c r="J765" i="9"/>
  <c r="D765" i="9"/>
  <c r="E765" i="9" s="1"/>
  <c r="J630" i="9"/>
  <c r="D630" i="9"/>
  <c r="E630" i="9" s="1"/>
  <c r="J625" i="9"/>
  <c r="D625" i="9"/>
  <c r="E625" i="9" s="1"/>
  <c r="J707" i="9"/>
  <c r="D707" i="9"/>
  <c r="E707" i="9" s="1"/>
  <c r="J587" i="9"/>
  <c r="D587" i="9"/>
  <c r="E587" i="9" s="1"/>
  <c r="J656" i="9"/>
  <c r="D656" i="9"/>
  <c r="E656" i="9" s="1"/>
  <c r="J564" i="9"/>
  <c r="D564" i="9"/>
  <c r="E564" i="9" s="1"/>
  <c r="J499" i="9"/>
  <c r="D499" i="9"/>
  <c r="E499" i="9" s="1"/>
  <c r="J78" i="9"/>
  <c r="D78" i="9"/>
  <c r="E78" i="9" s="1"/>
  <c r="J259" i="9"/>
  <c r="D259" i="9"/>
  <c r="E259" i="9" s="1"/>
  <c r="J261" i="9"/>
  <c r="D261" i="9"/>
  <c r="E261" i="9" s="1"/>
  <c r="J155" i="9"/>
  <c r="D155" i="9"/>
  <c r="E155" i="9" s="1"/>
  <c r="J43" i="9"/>
  <c r="D43" i="9"/>
  <c r="E43" i="9" s="1"/>
  <c r="J463" i="9"/>
  <c r="D463" i="9"/>
  <c r="E463" i="9" s="1"/>
  <c r="J458" i="9"/>
  <c r="D458" i="9"/>
  <c r="E458" i="9" s="1"/>
  <c r="J462" i="9"/>
  <c r="D462" i="9"/>
  <c r="E462" i="9" s="1"/>
  <c r="J276" i="9"/>
  <c r="D276" i="9"/>
  <c r="E276" i="9" s="1"/>
  <c r="J376" i="9"/>
  <c r="D376" i="9"/>
  <c r="E376" i="9" s="1"/>
  <c r="J714" i="9"/>
  <c r="D714" i="9"/>
  <c r="E714" i="9" s="1"/>
  <c r="J670" i="9"/>
  <c r="D670" i="9"/>
  <c r="E670" i="9" s="1"/>
  <c r="J618" i="9"/>
  <c r="D618" i="9"/>
  <c r="E618" i="9" s="1"/>
  <c r="J697" i="9"/>
  <c r="D697" i="9"/>
  <c r="E697" i="9" s="1"/>
  <c r="J751" i="9"/>
  <c r="D751" i="9"/>
  <c r="E751" i="9" s="1"/>
  <c r="J612" i="9"/>
  <c r="D612" i="9"/>
  <c r="E612" i="9" s="1"/>
  <c r="J512" i="9"/>
  <c r="D512" i="9"/>
  <c r="E512" i="9" s="1"/>
  <c r="J649" i="9"/>
  <c r="D649" i="9"/>
  <c r="E649" i="9" s="1"/>
  <c r="J498" i="9"/>
  <c r="D498" i="9"/>
  <c r="E498" i="9" s="1"/>
  <c r="J478" i="9"/>
  <c r="D478" i="9"/>
  <c r="E478" i="9" s="1"/>
  <c r="J247" i="9"/>
  <c r="D247" i="9"/>
  <c r="E247" i="9" s="1"/>
  <c r="J157" i="9"/>
  <c r="D157" i="9"/>
  <c r="E157" i="9" s="1"/>
  <c r="J101" i="9"/>
  <c r="D101" i="9"/>
  <c r="E101" i="9" s="1"/>
  <c r="J97" i="9"/>
  <c r="D97" i="9"/>
  <c r="E97" i="9" s="1"/>
  <c r="J789" i="9"/>
  <c r="D789" i="9"/>
  <c r="E789" i="9" s="1"/>
  <c r="J62" i="9"/>
  <c r="D62" i="9"/>
  <c r="E62" i="9" s="1"/>
  <c r="J275" i="9"/>
  <c r="D275" i="9"/>
  <c r="E275" i="9" s="1"/>
  <c r="J374" i="9"/>
  <c r="D374" i="9"/>
  <c r="E374" i="9" s="1"/>
  <c r="J359" i="9"/>
  <c r="D359" i="9"/>
  <c r="E359" i="9" s="1"/>
  <c r="J132" i="9"/>
  <c r="D132" i="9"/>
  <c r="E132" i="9" s="1"/>
  <c r="J627" i="9"/>
  <c r="D627" i="9"/>
  <c r="E627" i="9" s="1"/>
  <c r="J675" i="9"/>
  <c r="D675" i="9"/>
  <c r="E675" i="9" s="1"/>
  <c r="J759" i="9"/>
  <c r="D759" i="9"/>
  <c r="E759" i="9" s="1"/>
  <c r="J689" i="9"/>
  <c r="D689" i="9"/>
  <c r="E689" i="9" s="1"/>
  <c r="J568" i="9"/>
  <c r="D568" i="9"/>
  <c r="E568" i="9" s="1"/>
  <c r="J522" i="9"/>
  <c r="D522" i="9"/>
  <c r="E522" i="9" s="1"/>
  <c r="J84" i="9"/>
  <c r="D84" i="9"/>
  <c r="E84" i="9" s="1"/>
  <c r="J262" i="9"/>
  <c r="D262" i="9"/>
  <c r="E262" i="9" s="1"/>
  <c r="J55" i="9"/>
  <c r="D55" i="9"/>
  <c r="E55" i="9" s="1"/>
  <c r="J168" i="9"/>
  <c r="D168" i="9"/>
  <c r="E168" i="9" s="1"/>
  <c r="J54" i="9"/>
  <c r="D54" i="9"/>
  <c r="E54" i="9" s="1"/>
  <c r="J461" i="9"/>
  <c r="D461" i="9"/>
  <c r="E461" i="9" s="1"/>
  <c r="J357" i="9"/>
  <c r="D357" i="9"/>
  <c r="E357" i="9" s="1"/>
  <c r="J371" i="9"/>
  <c r="D371" i="9"/>
  <c r="E371" i="9" s="1"/>
  <c r="J606" i="9"/>
  <c r="D606" i="9"/>
  <c r="E606" i="9" s="1"/>
  <c r="J710" i="9"/>
  <c r="D710" i="9"/>
  <c r="E710" i="9" s="1"/>
  <c r="J582" i="9"/>
  <c r="D582" i="9"/>
  <c r="E582" i="9" s="1"/>
  <c r="J601" i="9"/>
  <c r="D601" i="9"/>
  <c r="E601" i="9" s="1"/>
  <c r="J664" i="9"/>
  <c r="D664" i="9"/>
  <c r="E664" i="9" s="1"/>
  <c r="J550" i="9"/>
  <c r="D550" i="9"/>
  <c r="E550" i="9" s="1"/>
  <c r="J691" i="9"/>
  <c r="D691" i="9"/>
  <c r="E691" i="9" s="1"/>
  <c r="J488" i="9"/>
  <c r="D488" i="9"/>
  <c r="E488" i="9" s="1"/>
  <c r="J690" i="9"/>
  <c r="D690" i="9"/>
  <c r="E690" i="9" s="1"/>
  <c r="J506" i="9"/>
  <c r="D506" i="9"/>
  <c r="E506" i="9" s="1"/>
  <c r="J254" i="9"/>
  <c r="D254" i="9"/>
  <c r="E254" i="9" s="1"/>
  <c r="J149" i="9"/>
  <c r="D149" i="9"/>
  <c r="E149" i="9" s="1"/>
  <c r="J36" i="9"/>
  <c r="D36" i="9"/>
  <c r="E36" i="9" s="1"/>
  <c r="J782" i="9"/>
  <c r="D782" i="9"/>
  <c r="E782" i="9" s="1"/>
  <c r="J806" i="9"/>
  <c r="D806" i="9"/>
  <c r="E806" i="9" s="1"/>
  <c r="J807" i="9"/>
  <c r="D807" i="9"/>
  <c r="E807" i="9" s="1"/>
  <c r="J781" i="9"/>
  <c r="D781" i="9"/>
  <c r="E781" i="9" s="1"/>
  <c r="J466" i="9"/>
  <c r="D466" i="9"/>
  <c r="E466" i="9" s="1"/>
  <c r="J767" i="9"/>
  <c r="D767" i="9"/>
  <c r="E767" i="9" s="1"/>
  <c r="J286" i="9"/>
  <c r="D286" i="9"/>
  <c r="E286" i="9" s="1"/>
  <c r="J381" i="9"/>
  <c r="D381" i="9"/>
  <c r="E381" i="9" s="1"/>
  <c r="J722" i="9"/>
  <c r="D722" i="9"/>
  <c r="E722" i="9" s="1"/>
  <c r="J686" i="9"/>
  <c r="D686" i="9"/>
  <c r="E686" i="9" s="1"/>
  <c r="J680" i="9"/>
  <c r="D680" i="9"/>
  <c r="E680" i="9" s="1"/>
  <c r="J706" i="9"/>
  <c r="D706" i="9"/>
  <c r="E706" i="9" s="1"/>
  <c r="J755" i="9"/>
  <c r="D755" i="9"/>
  <c r="E755" i="9" s="1"/>
  <c r="J700" i="9"/>
  <c r="D700" i="9"/>
  <c r="E700" i="9" s="1"/>
  <c r="J651" i="9"/>
  <c r="D651" i="9"/>
  <c r="E651" i="9" s="1"/>
  <c r="J482" i="9"/>
  <c r="D482" i="9"/>
  <c r="E482" i="9" s="1"/>
  <c r="J83" i="9"/>
  <c r="D83" i="9"/>
  <c r="E83" i="9" s="1"/>
  <c r="J268" i="9"/>
  <c r="D268" i="9"/>
  <c r="E268" i="9" s="1"/>
  <c r="J88" i="9"/>
  <c r="D88" i="9"/>
  <c r="E88" i="9" s="1"/>
  <c r="J779" i="9"/>
  <c r="D779" i="9"/>
  <c r="E779" i="9" s="1"/>
  <c r="J58" i="9"/>
  <c r="D58" i="9"/>
  <c r="E58" i="9" s="1"/>
  <c r="J449" i="9"/>
  <c r="D449" i="9"/>
  <c r="E449" i="9" s="1"/>
  <c r="J173" i="9"/>
  <c r="D173" i="9"/>
  <c r="E173" i="9" s="1"/>
  <c r="J176" i="9"/>
  <c r="D176" i="9"/>
  <c r="E176" i="9" s="1"/>
  <c r="J356" i="9"/>
  <c r="D356" i="9"/>
  <c r="E356" i="9" s="1"/>
  <c r="J596" i="9"/>
  <c r="D596" i="9"/>
  <c r="E596" i="9" s="1"/>
  <c r="J724" i="9"/>
  <c r="D724" i="9"/>
  <c r="E724" i="9" s="1"/>
  <c r="J716" i="9"/>
  <c r="D716" i="9"/>
  <c r="E716" i="9" s="1"/>
  <c r="J632" i="9"/>
  <c r="D632" i="9"/>
  <c r="E632" i="9" s="1"/>
  <c r="D575" i="9"/>
  <c r="E575" i="9" s="1"/>
  <c r="J693" i="9"/>
  <c r="D693" i="9"/>
  <c r="E693" i="9" s="1"/>
  <c r="J692" i="9"/>
  <c r="D692" i="9"/>
  <c r="E692" i="9" s="1"/>
  <c r="J563" i="9"/>
  <c r="D563" i="9"/>
  <c r="E563" i="9" s="1"/>
  <c r="J74" i="9"/>
  <c r="D74" i="9"/>
  <c r="E74" i="9" s="1"/>
  <c r="J481" i="9"/>
  <c r="D481" i="9"/>
  <c r="E481" i="9" s="1"/>
  <c r="J41" i="9"/>
  <c r="D41" i="9"/>
  <c r="E41" i="9" s="1"/>
  <c r="J797" i="9"/>
  <c r="D797" i="9"/>
  <c r="E797" i="9" s="1"/>
  <c r="J59" i="9"/>
  <c r="D59" i="9"/>
  <c r="E59" i="9" s="1"/>
  <c r="J33" i="9"/>
  <c r="D33" i="9"/>
  <c r="E33" i="9" s="1"/>
  <c r="J803" i="9"/>
  <c r="D803" i="9"/>
  <c r="E803" i="9" s="1"/>
  <c r="J282" i="9"/>
  <c r="D282" i="9"/>
  <c r="E282" i="9" s="1"/>
  <c r="J174" i="9"/>
  <c r="D174" i="9"/>
  <c r="E174" i="9" s="1"/>
  <c r="J348" i="9"/>
  <c r="D348" i="9"/>
  <c r="E348" i="9" s="1"/>
  <c r="J774" i="9"/>
  <c r="D774" i="9"/>
  <c r="E774" i="9" s="1"/>
  <c r="J354" i="9"/>
  <c r="D354" i="9"/>
  <c r="E354" i="9" s="1"/>
  <c r="J597" i="9"/>
  <c r="D597" i="9"/>
  <c r="E597" i="9" s="1"/>
  <c r="J677" i="9"/>
  <c r="D677" i="9"/>
  <c r="E677" i="9" s="1"/>
  <c r="J762" i="9"/>
  <c r="D762" i="9"/>
  <c r="E762" i="9" s="1"/>
  <c r="J580" i="9"/>
  <c r="D580" i="9"/>
  <c r="E580" i="9" s="1"/>
  <c r="J556" i="9"/>
  <c r="D556" i="9"/>
  <c r="E556" i="9" s="1"/>
  <c r="J643" i="9"/>
  <c r="D643" i="9"/>
  <c r="E643" i="9" s="1"/>
  <c r="J687" i="9"/>
  <c r="D687" i="9"/>
  <c r="E687" i="9" s="1"/>
  <c r="J653" i="9"/>
  <c r="D653" i="9"/>
  <c r="E653" i="9" s="1"/>
  <c r="J476" i="9"/>
  <c r="D476" i="9"/>
  <c r="E476" i="9" s="1"/>
  <c r="J269" i="9"/>
  <c r="D269" i="9"/>
  <c r="E269" i="9" s="1"/>
  <c r="J802" i="9"/>
  <c r="D802" i="9"/>
  <c r="E802" i="9" s="1"/>
  <c r="J100" i="9"/>
  <c r="D100" i="9"/>
  <c r="E100" i="9" s="1"/>
  <c r="J61" i="9"/>
  <c r="D61" i="9"/>
  <c r="E61" i="9" s="1"/>
  <c r="J274" i="9"/>
  <c r="D274" i="9"/>
  <c r="E274" i="9" s="1"/>
  <c r="J459" i="9"/>
  <c r="D459" i="9"/>
  <c r="E459" i="9" s="1"/>
  <c r="J450" i="9"/>
  <c r="D450" i="9"/>
  <c r="E450" i="9" s="1"/>
  <c r="J743" i="9"/>
  <c r="D743" i="9"/>
  <c r="E743" i="9" s="1"/>
  <c r="J711" i="9"/>
  <c r="D711" i="9"/>
  <c r="E711" i="9" s="1"/>
  <c r="J764" i="9"/>
  <c r="D764" i="9"/>
  <c r="E764" i="9" s="1"/>
  <c r="J628" i="9"/>
  <c r="D628" i="9"/>
  <c r="E628" i="9" s="1"/>
  <c r="J617" i="9"/>
  <c r="D617" i="9"/>
  <c r="E617" i="9" s="1"/>
  <c r="J588" i="9"/>
  <c r="D588" i="9"/>
  <c r="E588" i="9" s="1"/>
  <c r="J749" i="9"/>
  <c r="D749" i="9"/>
  <c r="E749" i="9" s="1"/>
  <c r="J654" i="9"/>
  <c r="D654" i="9"/>
  <c r="E654" i="9" s="1"/>
  <c r="J638" i="9"/>
  <c r="D638" i="9"/>
  <c r="E638" i="9" s="1"/>
  <c r="J503" i="9"/>
  <c r="D503" i="9"/>
  <c r="E503" i="9" s="1"/>
  <c r="J258" i="9"/>
  <c r="D258" i="9"/>
  <c r="E258" i="9" s="1"/>
  <c r="J70" i="9"/>
  <c r="D70" i="9"/>
  <c r="E70" i="9" s="1"/>
  <c r="J151" i="9"/>
  <c r="D151" i="9"/>
  <c r="E151" i="9" s="1"/>
  <c r="J784" i="9"/>
  <c r="D784" i="9"/>
  <c r="E784" i="9" s="1"/>
  <c r="J32" i="9"/>
  <c r="D32" i="9"/>
  <c r="E32" i="9" s="1"/>
  <c r="J794" i="9"/>
  <c r="D794" i="9"/>
  <c r="E794" i="9" s="1"/>
  <c r="J367" i="9"/>
  <c r="D367" i="9"/>
  <c r="E367" i="9" s="1"/>
  <c r="J727" i="9"/>
  <c r="D727" i="9"/>
  <c r="E727" i="9" s="1"/>
  <c r="J377" i="9"/>
  <c r="D377" i="9"/>
  <c r="E377" i="9" s="1"/>
  <c r="J717" i="9"/>
  <c r="D717" i="9"/>
  <c r="E717" i="9" s="1"/>
  <c r="J561" i="9"/>
  <c r="D561" i="9"/>
  <c r="E561" i="9" s="1"/>
  <c r="J599" i="9"/>
  <c r="D599" i="9"/>
  <c r="E599" i="9" s="1"/>
  <c r="J640" i="9"/>
  <c r="D640" i="9"/>
  <c r="E640" i="9" s="1"/>
  <c r="J502" i="9"/>
  <c r="D502" i="9"/>
  <c r="E502" i="9" s="1"/>
  <c r="J76" i="9"/>
  <c r="D76" i="9"/>
  <c r="E76" i="9" s="1"/>
  <c r="J804" i="9"/>
  <c r="D804" i="9"/>
  <c r="E804" i="9" s="1"/>
  <c r="J92" i="9"/>
  <c r="D92" i="9"/>
  <c r="E92" i="9" s="1"/>
  <c r="J786" i="9"/>
  <c r="D786" i="9"/>
  <c r="E786" i="9" s="1"/>
  <c r="J464" i="9"/>
  <c r="D464" i="9"/>
  <c r="E464" i="9" s="1"/>
  <c r="J281" i="9"/>
  <c r="D281" i="9"/>
  <c r="E281" i="9" s="1"/>
  <c r="J362" i="9"/>
  <c r="D362" i="9"/>
  <c r="E362" i="9" s="1"/>
  <c r="J144" i="9"/>
  <c r="D144" i="9"/>
  <c r="E144" i="9" s="1"/>
  <c r="J349" i="9"/>
  <c r="D349" i="9"/>
  <c r="E349" i="9" s="1"/>
  <c r="J746" i="9"/>
  <c r="D746" i="9"/>
  <c r="E746" i="9" s="1"/>
  <c r="J607" i="9"/>
  <c r="D607" i="9"/>
  <c r="E607" i="9" s="1"/>
  <c r="J635" i="9"/>
  <c r="D635" i="9"/>
  <c r="E635" i="9" s="1"/>
  <c r="J761" i="9"/>
  <c r="D761" i="9"/>
  <c r="E761" i="9" s="1"/>
  <c r="J624" i="9"/>
  <c r="D624" i="9"/>
  <c r="E624" i="9" s="1"/>
  <c r="J622" i="9"/>
  <c r="D622" i="9"/>
  <c r="E622" i="9" s="1"/>
  <c r="J662" i="9"/>
  <c r="D662" i="9"/>
  <c r="E662" i="9" s="1"/>
  <c r="J696" i="9"/>
  <c r="D696" i="9"/>
  <c r="E696" i="9" s="1"/>
  <c r="J549" i="9"/>
  <c r="D549" i="9"/>
  <c r="E549" i="9" s="1"/>
  <c r="J637" i="9"/>
  <c r="D637" i="9"/>
  <c r="E637" i="9" s="1"/>
  <c r="J500" i="9"/>
  <c r="D500" i="9"/>
  <c r="E500" i="9" s="1"/>
  <c r="J77" i="9"/>
  <c r="D77" i="9"/>
  <c r="E77" i="9" s="1"/>
  <c r="J257" i="9"/>
  <c r="D257" i="9"/>
  <c r="E257" i="9" s="1"/>
  <c r="C39" i="15"/>
  <c r="G5" i="15"/>
  <c r="G5" i="14"/>
  <c r="G20" i="15"/>
  <c r="G20" i="14"/>
  <c r="E6" i="15"/>
  <c r="E6" i="14"/>
  <c r="E23" i="14"/>
  <c r="E23" i="15"/>
  <c r="E30" i="14"/>
  <c r="E30" i="15"/>
  <c r="E12" i="15"/>
  <c r="E12" i="14"/>
  <c r="N12" i="14" s="1"/>
  <c r="E18" i="14"/>
  <c r="E4" i="14"/>
  <c r="G7" i="15"/>
  <c r="E29" i="14"/>
  <c r="E29" i="15"/>
  <c r="G11" i="15"/>
  <c r="G11" i="14"/>
  <c r="E15" i="14"/>
  <c r="G30" i="14"/>
  <c r="G30" i="15"/>
  <c r="G24" i="15"/>
  <c r="G24" i="14"/>
  <c r="E24" i="14"/>
  <c r="E24" i="15"/>
  <c r="E27" i="15"/>
  <c r="E27" i="14"/>
  <c r="E9" i="15"/>
  <c r="G39" i="15"/>
  <c r="G39" i="14"/>
  <c r="G36" i="14"/>
  <c r="E40" i="15"/>
  <c r="E40" i="14"/>
  <c r="E37" i="14"/>
  <c r="E37" i="15"/>
  <c r="E21" i="14"/>
  <c r="E21" i="15"/>
  <c r="E34" i="15"/>
  <c r="E36" i="14"/>
  <c r="E36" i="15"/>
  <c r="E38" i="15"/>
  <c r="E38" i="14"/>
  <c r="N38" i="14" s="1"/>
  <c r="E3" i="15"/>
  <c r="E3" i="14"/>
  <c r="E14" i="14"/>
  <c r="E14" i="15"/>
  <c r="E22" i="14"/>
  <c r="E22" i="15"/>
  <c r="E31" i="14"/>
  <c r="E31" i="15"/>
  <c r="G6" i="15"/>
  <c r="G6" i="14"/>
  <c r="E19" i="14"/>
  <c r="E19" i="15"/>
  <c r="E17" i="15"/>
  <c r="C3" i="15"/>
  <c r="G19" i="15"/>
  <c r="G19" i="14"/>
  <c r="C4" i="15"/>
  <c r="G23" i="15"/>
  <c r="G23" i="14"/>
  <c r="G28" i="15"/>
  <c r="G28" i="14"/>
  <c r="P28" i="14" s="1"/>
  <c r="E32" i="14"/>
  <c r="E32" i="15"/>
  <c r="E35" i="15"/>
  <c r="E35" i="14"/>
  <c r="E33" i="14"/>
  <c r="E25" i="14"/>
  <c r="E25" i="15"/>
  <c r="E28" i="15"/>
  <c r="E7" i="15"/>
  <c r="E7" i="14"/>
  <c r="E11" i="15"/>
  <c r="E11" i="14"/>
  <c r="E10" i="15"/>
  <c r="E39" i="15"/>
  <c r="E39" i="14"/>
  <c r="G27" i="15"/>
  <c r="G17" i="14"/>
  <c r="G17" i="15"/>
  <c r="G31" i="15"/>
  <c r="G31" i="14"/>
  <c r="E28" i="14"/>
  <c r="N28" i="14" s="1"/>
  <c r="E17" i="14"/>
  <c r="E20" i="14"/>
  <c r="E33" i="15"/>
  <c r="E18" i="15"/>
  <c r="E4" i="15"/>
  <c r="E13" i="15"/>
  <c r="E13" i="14"/>
  <c r="G15" i="14"/>
  <c r="G15" i="15"/>
  <c r="G4" i="14"/>
  <c r="G4" i="15"/>
  <c r="G38" i="14"/>
  <c r="P38" i="14" s="1"/>
  <c r="G38" i="15"/>
  <c r="E10" i="14"/>
  <c r="E8" i="15"/>
  <c r="E8" i="14"/>
  <c r="E15" i="15"/>
  <c r="E5" i="15"/>
  <c r="E5" i="14"/>
  <c r="E26" i="15"/>
  <c r="E26" i="14"/>
  <c r="C5" i="15"/>
  <c r="C6" i="15"/>
  <c r="G9" i="15"/>
  <c r="G9" i="14"/>
  <c r="E20" i="15"/>
  <c r="E34" i="14"/>
  <c r="E9" i="14"/>
  <c r="E16" i="14"/>
  <c r="E16" i="15"/>
  <c r="G3" i="14"/>
  <c r="G3" i="15"/>
  <c r="F4" i="14"/>
  <c r="F4" i="15"/>
  <c r="F17" i="14"/>
  <c r="F17" i="15"/>
  <c r="F5" i="15"/>
  <c r="F5" i="14"/>
  <c r="F39" i="14"/>
  <c r="F39" i="15"/>
  <c r="D35" i="14"/>
  <c r="D35" i="15"/>
  <c r="D33" i="14"/>
  <c r="D33" i="15"/>
  <c r="D4" i="15"/>
  <c r="D4" i="14"/>
  <c r="D10" i="15"/>
  <c r="D10" i="14"/>
  <c r="D39" i="15"/>
  <c r="D39" i="14"/>
  <c r="D7" i="15"/>
  <c r="D7" i="14"/>
  <c r="D40" i="14"/>
  <c r="D40" i="15"/>
  <c r="D6" i="15"/>
  <c r="D6" i="14"/>
  <c r="D34" i="15"/>
  <c r="D34" i="14"/>
  <c r="D38" i="15"/>
  <c r="D38" i="14"/>
  <c r="M38" i="14" s="1"/>
  <c r="D37" i="15"/>
  <c r="D37" i="14"/>
  <c r="D36" i="14"/>
  <c r="D36" i="15"/>
  <c r="D3" i="15"/>
  <c r="D3" i="14"/>
  <c r="D5" i="15"/>
  <c r="D5" i="14"/>
  <c r="C5" i="14"/>
  <c r="C39" i="14"/>
  <c r="C4" i="14"/>
  <c r="H14" i="47" l="1"/>
  <c r="Q14" i="47" s="1"/>
  <c r="H30" i="47"/>
  <c r="Q30" i="47" s="1"/>
  <c r="H12" i="47"/>
  <c r="Q12" i="47" s="1"/>
  <c r="H20" i="47"/>
  <c r="Q20" i="47" s="1"/>
  <c r="H23" i="47"/>
  <c r="Q23" i="47" s="1"/>
  <c r="H18" i="47"/>
  <c r="Q18" i="47" s="1"/>
  <c r="H19" i="47"/>
  <c r="Q19" i="47" s="1"/>
  <c r="H17" i="47"/>
  <c r="Q17" i="47" s="1"/>
  <c r="H7" i="47"/>
  <c r="Q7" i="47" s="1"/>
  <c r="H21" i="47"/>
  <c r="Q21" i="47" s="1"/>
  <c r="H15" i="47"/>
  <c r="Q15" i="47" s="1"/>
  <c r="H24" i="47"/>
  <c r="Q24" i="47" s="1"/>
  <c r="H5" i="47"/>
  <c r="Q5" i="47" s="1"/>
  <c r="H26" i="47"/>
  <c r="Q26" i="47" s="1"/>
  <c r="H29" i="47"/>
  <c r="Q29" i="47" s="1"/>
  <c r="H6" i="47"/>
  <c r="Q6" i="47" s="1"/>
  <c r="H16" i="47"/>
  <c r="Q16" i="47" s="1"/>
  <c r="H11" i="47"/>
  <c r="Q11" i="47" s="1"/>
  <c r="H3" i="47"/>
  <c r="Q3" i="47" s="1"/>
  <c r="I11" i="47"/>
  <c r="R11" i="47" s="1"/>
  <c r="I166" i="5"/>
  <c r="J166" i="5" s="1"/>
  <c r="L166" i="5" s="1"/>
  <c r="K104" i="8"/>
  <c r="K43" i="8"/>
  <c r="K343" i="8"/>
  <c r="K251" i="8"/>
  <c r="F4" i="47"/>
  <c r="O4" i="47" s="1"/>
  <c r="F17" i="47"/>
  <c r="O17" i="47" s="1"/>
  <c r="F9" i="47"/>
  <c r="O9" i="47" s="1"/>
  <c r="F8" i="47"/>
  <c r="O8" i="47" s="1"/>
  <c r="F7" i="47"/>
  <c r="O7" i="47" s="1"/>
  <c r="F24" i="47"/>
  <c r="O24" i="47" s="1"/>
  <c r="F12" i="47"/>
  <c r="O12" i="47" s="1"/>
  <c r="F20" i="47"/>
  <c r="O20" i="47" s="1"/>
  <c r="F23" i="47"/>
  <c r="O23" i="47" s="1"/>
  <c r="F18" i="47"/>
  <c r="O18" i="47" s="1"/>
  <c r="F21" i="47"/>
  <c r="O21" i="47" s="1"/>
  <c r="F16" i="47"/>
  <c r="O16" i="47" s="1"/>
  <c r="F6" i="47"/>
  <c r="O6" i="47" s="1"/>
  <c r="F30" i="47"/>
  <c r="O30" i="47" s="1"/>
  <c r="F26" i="47"/>
  <c r="O26" i="47" s="1"/>
  <c r="F11" i="47"/>
  <c r="O11" i="47" s="1"/>
  <c r="F10" i="47"/>
  <c r="O10" i="47" s="1"/>
  <c r="O3" i="47"/>
  <c r="F29" i="47"/>
  <c r="O29" i="47" s="1"/>
  <c r="F5" i="47"/>
  <c r="O5" i="47" s="1"/>
  <c r="F15" i="47"/>
  <c r="O15" i="47" s="1"/>
  <c r="F14" i="47"/>
  <c r="O14" i="47" s="1"/>
  <c r="F19" i="47"/>
  <c r="O19" i="47" s="1"/>
  <c r="I4" i="43"/>
  <c r="R4" i="43" s="1"/>
  <c r="E20" i="47"/>
  <c r="E30" i="47"/>
  <c r="E15" i="47"/>
  <c r="E3" i="47"/>
  <c r="E11" i="47"/>
  <c r="E23" i="47"/>
  <c r="E26" i="47"/>
  <c r="E6" i="47"/>
  <c r="E29" i="47"/>
  <c r="E19" i="47"/>
  <c r="E5" i="47"/>
  <c r="E8" i="47"/>
  <c r="E7" i="47"/>
  <c r="E14" i="47"/>
  <c r="E16" i="47"/>
  <c r="E17" i="47"/>
  <c r="E4" i="47"/>
  <c r="E13" i="47"/>
  <c r="E21" i="47"/>
  <c r="E24" i="47"/>
  <c r="E12" i="47"/>
  <c r="E18" i="47"/>
  <c r="E3" i="43"/>
  <c r="H12" i="44"/>
  <c r="H20" i="44"/>
  <c r="Q20" i="44" s="1"/>
  <c r="H12" i="37"/>
  <c r="Q12" i="37" s="1"/>
  <c r="H20" i="37"/>
  <c r="Q20" i="37" s="1"/>
  <c r="H631" i="12"/>
  <c r="I631" i="12" s="1"/>
  <c r="J631" i="12" s="1"/>
  <c r="M631" i="12" s="1"/>
  <c r="H220" i="12"/>
  <c r="I220" i="12" s="1"/>
  <c r="J220" i="12" s="1"/>
  <c r="M220" i="12" s="1"/>
  <c r="H197" i="12"/>
  <c r="I197" i="12" s="1"/>
  <c r="J197" i="12" s="1"/>
  <c r="M197" i="12" s="1"/>
  <c r="H186" i="12"/>
  <c r="I186" i="12" s="1"/>
  <c r="J186" i="12" s="1"/>
  <c r="M186" i="12" s="1"/>
  <c r="H306" i="12"/>
  <c r="I306" i="12" s="1"/>
  <c r="J306" i="12" s="1"/>
  <c r="M306" i="12" s="1"/>
  <c r="H362" i="12"/>
  <c r="I362" i="12" s="1"/>
  <c r="J362" i="12" s="1"/>
  <c r="M362" i="12" s="1"/>
  <c r="H224" i="12"/>
  <c r="I224" i="12" s="1"/>
  <c r="J224" i="12" s="1"/>
  <c r="M224" i="12" s="1"/>
  <c r="H545" i="12"/>
  <c r="I545" i="12" s="1"/>
  <c r="J545" i="12" s="1"/>
  <c r="M545" i="12" s="1"/>
  <c r="H433" i="12"/>
  <c r="I433" i="12" s="1"/>
  <c r="J433" i="12" s="1"/>
  <c r="M433" i="12" s="1"/>
  <c r="H410" i="12"/>
  <c r="I410" i="12" s="1"/>
  <c r="J410" i="12" s="1"/>
  <c r="M410" i="12" s="1"/>
  <c r="H524" i="12"/>
  <c r="I524" i="12" s="1"/>
  <c r="J524" i="12" s="1"/>
  <c r="M524" i="12" s="1"/>
  <c r="H67" i="12"/>
  <c r="I67" i="12" s="1"/>
  <c r="J67" i="12" s="1"/>
  <c r="M67" i="12" s="1"/>
  <c r="H540" i="12"/>
  <c r="I540" i="12" s="1"/>
  <c r="J540" i="12" s="1"/>
  <c r="M540" i="12" s="1"/>
  <c r="H170" i="12"/>
  <c r="I170" i="12" s="1"/>
  <c r="J170" i="12" s="1"/>
  <c r="M170" i="12" s="1"/>
  <c r="H251" i="12"/>
  <c r="I251" i="12" s="1"/>
  <c r="J251" i="12" s="1"/>
  <c r="M251" i="12" s="1"/>
  <c r="H117" i="12"/>
  <c r="I117" i="12" s="1"/>
  <c r="J117" i="12" s="1"/>
  <c r="M117" i="12" s="1"/>
  <c r="H402" i="12"/>
  <c r="I402" i="12" s="1"/>
  <c r="J402" i="12" s="1"/>
  <c r="M402" i="12" s="1"/>
  <c r="H394" i="12"/>
  <c r="I394" i="12" s="1"/>
  <c r="J394" i="12" s="1"/>
  <c r="M394" i="12" s="1"/>
  <c r="H293" i="12"/>
  <c r="I293" i="12" s="1"/>
  <c r="J293" i="12" s="1"/>
  <c r="M293" i="12" s="1"/>
  <c r="H603" i="12"/>
  <c r="I603" i="12" s="1"/>
  <c r="J603" i="12" s="1"/>
  <c r="M603" i="12" s="1"/>
  <c r="H588" i="12"/>
  <c r="I588" i="12" s="1"/>
  <c r="J588" i="12" s="1"/>
  <c r="M588" i="12" s="1"/>
  <c r="H37" i="12"/>
  <c r="I37" i="12" s="1"/>
  <c r="J37" i="12" s="1"/>
  <c r="M37" i="12" s="1"/>
  <c r="H57" i="12"/>
  <c r="I57" i="12" s="1"/>
  <c r="J57" i="12" s="1"/>
  <c r="M57" i="12" s="1"/>
  <c r="H626" i="12"/>
  <c r="I626" i="12" s="1"/>
  <c r="J626" i="12" s="1"/>
  <c r="M626" i="12" s="1"/>
  <c r="H609" i="12"/>
  <c r="I609" i="12" s="1"/>
  <c r="J609" i="12" s="1"/>
  <c r="M609" i="12" s="1"/>
  <c r="H466" i="12"/>
  <c r="I466" i="12" s="1"/>
  <c r="J466" i="12" s="1"/>
  <c r="M466" i="12" s="1"/>
  <c r="H69" i="12"/>
  <c r="I69" i="12" s="1"/>
  <c r="J69" i="12" s="1"/>
  <c r="M69" i="12" s="1"/>
  <c r="H190" i="12"/>
  <c r="I190" i="12" s="1"/>
  <c r="J190" i="12" s="1"/>
  <c r="M190" i="12" s="1"/>
  <c r="H528" i="12"/>
  <c r="I528" i="12" s="1"/>
  <c r="J528" i="12" s="1"/>
  <c r="M528" i="12" s="1"/>
  <c r="H59" i="12"/>
  <c r="I59" i="12" s="1"/>
  <c r="J59" i="12" s="1"/>
  <c r="M59" i="12" s="1"/>
  <c r="H510" i="12"/>
  <c r="I510" i="12" s="1"/>
  <c r="J510" i="12" s="1"/>
  <c r="M510" i="12" s="1"/>
  <c r="H172" i="12"/>
  <c r="I172" i="12" s="1"/>
  <c r="J172" i="12" s="1"/>
  <c r="M172" i="12" s="1"/>
  <c r="H212" i="12"/>
  <c r="I212" i="12" s="1"/>
  <c r="J212" i="12" s="1"/>
  <c r="M212" i="12" s="1"/>
  <c r="H465" i="12"/>
  <c r="I465" i="12" s="1"/>
  <c r="J465" i="12" s="1"/>
  <c r="M465" i="12" s="1"/>
  <c r="H256" i="12"/>
  <c r="I256" i="12" s="1"/>
  <c r="J256" i="12" s="1"/>
  <c r="M256" i="12" s="1"/>
  <c r="H640" i="12"/>
  <c r="I640" i="12" s="1"/>
  <c r="J640" i="12" s="1"/>
  <c r="M640" i="12" s="1"/>
  <c r="H148" i="12"/>
  <c r="I148" i="12" s="1"/>
  <c r="J148" i="12" s="1"/>
  <c r="M148" i="12" s="1"/>
  <c r="H614" i="12"/>
  <c r="I614" i="12" s="1"/>
  <c r="J614" i="12" s="1"/>
  <c r="M614" i="12" s="1"/>
  <c r="H658" i="12"/>
  <c r="I658" i="12" s="1"/>
  <c r="J658" i="12" s="1"/>
  <c r="M658" i="12" s="1"/>
  <c r="H282" i="12"/>
  <c r="I282" i="12" s="1"/>
  <c r="J282" i="12" s="1"/>
  <c r="M282" i="12" s="1"/>
  <c r="H71" i="12"/>
  <c r="I71" i="12" s="1"/>
  <c r="J71" i="12" s="1"/>
  <c r="M71" i="12" s="1"/>
  <c r="H278" i="12"/>
  <c r="I278" i="12" s="1"/>
  <c r="J278" i="12" s="1"/>
  <c r="M278" i="12" s="1"/>
  <c r="H235" i="12"/>
  <c r="I235" i="12" s="1"/>
  <c r="J235" i="12" s="1"/>
  <c r="M235" i="12" s="1"/>
  <c r="H456" i="12"/>
  <c r="I456" i="12" s="1"/>
  <c r="J456" i="12" s="1"/>
  <c r="M456" i="12" s="1"/>
  <c r="H31" i="12"/>
  <c r="I31" i="12" s="1"/>
  <c r="J31" i="12" s="1"/>
  <c r="M31" i="12" s="1"/>
  <c r="H521" i="12"/>
  <c r="I521" i="12" s="1"/>
  <c r="J521" i="12" s="1"/>
  <c r="M521" i="12" s="1"/>
  <c r="H673" i="12"/>
  <c r="I673" i="12" s="1"/>
  <c r="J673" i="12" s="1"/>
  <c r="M673" i="12" s="1"/>
  <c r="H4" i="43" s="1"/>
  <c r="H425" i="12"/>
  <c r="I425" i="12" s="1"/>
  <c r="J425" i="12" s="1"/>
  <c r="M425" i="12" s="1"/>
  <c r="H604" i="12"/>
  <c r="I604" i="12" s="1"/>
  <c r="J604" i="12" s="1"/>
  <c r="M604" i="12" s="1"/>
  <c r="H472" i="12"/>
  <c r="I472" i="12" s="1"/>
  <c r="J472" i="12" s="1"/>
  <c r="M472" i="12" s="1"/>
  <c r="H22" i="47" s="1"/>
  <c r="Q22" i="47" s="1"/>
  <c r="H590" i="12"/>
  <c r="I590" i="12" s="1"/>
  <c r="J590" i="12" s="1"/>
  <c r="M590" i="12" s="1"/>
  <c r="H451" i="12"/>
  <c r="I451" i="12" s="1"/>
  <c r="J451" i="12" s="1"/>
  <c r="M451" i="12" s="1"/>
  <c r="H382" i="12"/>
  <c r="I382" i="12" s="1"/>
  <c r="J382" i="12" s="1"/>
  <c r="M382" i="12" s="1"/>
  <c r="H411" i="12"/>
  <c r="I411" i="12" s="1"/>
  <c r="J411" i="12" s="1"/>
  <c r="M411" i="12" s="1"/>
  <c r="H492" i="12"/>
  <c r="I492" i="12" s="1"/>
  <c r="J492" i="12" s="1"/>
  <c r="M492" i="12" s="1"/>
  <c r="H217" i="12"/>
  <c r="I217" i="12" s="1"/>
  <c r="J217" i="12" s="1"/>
  <c r="M217" i="12" s="1"/>
  <c r="H336" i="12"/>
  <c r="I336" i="12" s="1"/>
  <c r="J336" i="12" s="1"/>
  <c r="M336" i="12" s="1"/>
  <c r="H143" i="12"/>
  <c r="I143" i="12" s="1"/>
  <c r="J143" i="12" s="1"/>
  <c r="M143" i="12" s="1"/>
  <c r="H350" i="12"/>
  <c r="I350" i="12" s="1"/>
  <c r="J350" i="12" s="1"/>
  <c r="M350" i="12" s="1"/>
  <c r="H475" i="12"/>
  <c r="I475" i="12" s="1"/>
  <c r="J475" i="12" s="1"/>
  <c r="M475" i="12" s="1"/>
  <c r="H491" i="12"/>
  <c r="I491" i="12" s="1"/>
  <c r="J491" i="12" s="1"/>
  <c r="M491" i="12" s="1"/>
  <c r="H54" i="12"/>
  <c r="I54" i="12" s="1"/>
  <c r="J54" i="12" s="1"/>
  <c r="M54" i="12" s="1"/>
  <c r="H482" i="12"/>
  <c r="I482" i="12" s="1"/>
  <c r="J482" i="12" s="1"/>
  <c r="M482" i="12" s="1"/>
  <c r="H346" i="12"/>
  <c r="I346" i="12" s="1"/>
  <c r="J346" i="12" s="1"/>
  <c r="M346" i="12" s="1"/>
  <c r="H191" i="12"/>
  <c r="I191" i="12" s="1"/>
  <c r="J191" i="12" s="1"/>
  <c r="M191" i="12" s="1"/>
  <c r="H374" i="12"/>
  <c r="I374" i="12" s="1"/>
  <c r="J374" i="12" s="1"/>
  <c r="M374" i="12" s="1"/>
  <c r="H621" i="12"/>
  <c r="I621" i="12" s="1"/>
  <c r="J621" i="12" s="1"/>
  <c r="M621" i="12" s="1"/>
  <c r="H656" i="12"/>
  <c r="I656" i="12" s="1"/>
  <c r="J656" i="12" s="1"/>
  <c r="M656" i="12" s="1"/>
  <c r="H95" i="12"/>
  <c r="I95" i="12" s="1"/>
  <c r="J95" i="12" s="1"/>
  <c r="M95" i="12" s="1"/>
  <c r="H234" i="12"/>
  <c r="I234" i="12" s="1"/>
  <c r="J234" i="12" s="1"/>
  <c r="M234" i="12" s="1"/>
  <c r="H648" i="12"/>
  <c r="I648" i="12" s="1"/>
  <c r="J648" i="12" s="1"/>
  <c r="M648" i="12" s="1"/>
  <c r="H484" i="12"/>
  <c r="I484" i="12" s="1"/>
  <c r="J484" i="12" s="1"/>
  <c r="M484" i="12" s="1"/>
  <c r="H257" i="12"/>
  <c r="I257" i="12" s="1"/>
  <c r="J257" i="12" s="1"/>
  <c r="M257" i="12" s="1"/>
  <c r="H87" i="12"/>
  <c r="I87" i="12" s="1"/>
  <c r="J87" i="12" s="1"/>
  <c r="M87" i="12" s="1"/>
  <c r="H48" i="12"/>
  <c r="I48" i="12" s="1"/>
  <c r="J48" i="12" s="1"/>
  <c r="M48" i="12" s="1"/>
  <c r="H430" i="12"/>
  <c r="I430" i="12" s="1"/>
  <c r="J430" i="12" s="1"/>
  <c r="M430" i="12" s="1"/>
  <c r="H495" i="12"/>
  <c r="I495" i="12" s="1"/>
  <c r="J495" i="12" s="1"/>
  <c r="M495" i="12" s="1"/>
  <c r="H10" i="47" s="1"/>
  <c r="Q10" i="47" s="1"/>
  <c r="H189" i="12"/>
  <c r="I189" i="12" s="1"/>
  <c r="J189" i="12" s="1"/>
  <c r="M189" i="12" s="1"/>
  <c r="H579" i="12"/>
  <c r="I579" i="12" s="1"/>
  <c r="J579" i="12" s="1"/>
  <c r="M579" i="12" s="1"/>
  <c r="H77" i="12"/>
  <c r="I77" i="12" s="1"/>
  <c r="J77" i="12" s="1"/>
  <c r="M77" i="12" s="1"/>
  <c r="H397" i="12"/>
  <c r="I397" i="12" s="1"/>
  <c r="J397" i="12" s="1"/>
  <c r="M397" i="12" s="1"/>
  <c r="H237" i="12"/>
  <c r="I237" i="12" s="1"/>
  <c r="J237" i="12" s="1"/>
  <c r="M237" i="12" s="1"/>
  <c r="H65" i="12"/>
  <c r="I65" i="12" s="1"/>
  <c r="J65" i="12" s="1"/>
  <c r="M65" i="12" s="1"/>
  <c r="H185" i="12"/>
  <c r="I185" i="12" s="1"/>
  <c r="J185" i="12" s="1"/>
  <c r="M185" i="12" s="1"/>
  <c r="H343" i="12"/>
  <c r="I343" i="12" s="1"/>
  <c r="J343" i="12" s="1"/>
  <c r="M343" i="12" s="1"/>
  <c r="H328" i="12"/>
  <c r="I328" i="12" s="1"/>
  <c r="J328" i="12" s="1"/>
  <c r="M328" i="12" s="1"/>
  <c r="H73" i="12"/>
  <c r="I73" i="12" s="1"/>
  <c r="J73" i="12" s="1"/>
  <c r="M73" i="12" s="1"/>
  <c r="H413" i="12"/>
  <c r="I413" i="12" s="1"/>
  <c r="J413" i="12" s="1"/>
  <c r="M413" i="12" s="1"/>
  <c r="H546" i="12"/>
  <c r="I546" i="12" s="1"/>
  <c r="J546" i="12" s="1"/>
  <c r="M546" i="12" s="1"/>
  <c r="H258" i="12"/>
  <c r="I258" i="12" s="1"/>
  <c r="J258" i="12" s="1"/>
  <c r="M258" i="12" s="1"/>
  <c r="H636" i="12"/>
  <c r="I636" i="12" s="1"/>
  <c r="J636" i="12" s="1"/>
  <c r="M636" i="12" s="1"/>
  <c r="H607" i="12"/>
  <c r="I607" i="12" s="1"/>
  <c r="J607" i="12" s="1"/>
  <c r="M607" i="12" s="1"/>
  <c r="H639" i="12"/>
  <c r="I639" i="12" s="1"/>
  <c r="J639" i="12" s="1"/>
  <c r="M639" i="12" s="1"/>
  <c r="H570" i="12"/>
  <c r="I570" i="12" s="1"/>
  <c r="J570" i="12" s="1"/>
  <c r="M570" i="12" s="1"/>
  <c r="H654" i="12"/>
  <c r="I654" i="12" s="1"/>
  <c r="J654" i="12" s="1"/>
  <c r="M654" i="12" s="1"/>
  <c r="H8" i="43" s="1"/>
  <c r="H97" i="12"/>
  <c r="I97" i="12" s="1"/>
  <c r="J97" i="12" s="1"/>
  <c r="M97" i="12" s="1"/>
  <c r="H245" i="12"/>
  <c r="I245" i="12" s="1"/>
  <c r="J245" i="12" s="1"/>
  <c r="M245" i="12" s="1"/>
  <c r="H627" i="12"/>
  <c r="I627" i="12" s="1"/>
  <c r="J627" i="12" s="1"/>
  <c r="M627" i="12" s="1"/>
  <c r="H303" i="12"/>
  <c r="I303" i="12" s="1"/>
  <c r="J303" i="12" s="1"/>
  <c r="M303" i="12" s="1"/>
  <c r="H537" i="12"/>
  <c r="I537" i="12" s="1"/>
  <c r="J537" i="12" s="1"/>
  <c r="M537" i="12" s="1"/>
  <c r="H116" i="12"/>
  <c r="I116" i="12" s="1"/>
  <c r="J116" i="12" s="1"/>
  <c r="M116" i="12" s="1"/>
  <c r="H516" i="12"/>
  <c r="I516" i="12" s="1"/>
  <c r="J516" i="12" s="1"/>
  <c r="M516" i="12" s="1"/>
  <c r="H659" i="12"/>
  <c r="I659" i="12" s="1"/>
  <c r="J659" i="12" s="1"/>
  <c r="M659" i="12" s="1"/>
  <c r="H103" i="12"/>
  <c r="I103" i="12" s="1"/>
  <c r="J103" i="12" s="1"/>
  <c r="M103" i="12" s="1"/>
  <c r="H331" i="12"/>
  <c r="I331" i="12" s="1"/>
  <c r="J331" i="12" s="1"/>
  <c r="M331" i="12" s="1"/>
  <c r="H16" i="12"/>
  <c r="I16" i="12" s="1"/>
  <c r="J16" i="12" s="1"/>
  <c r="M16" i="12" s="1"/>
  <c r="H364" i="12"/>
  <c r="I364" i="12" s="1"/>
  <c r="J364" i="12" s="1"/>
  <c r="M364" i="12" s="1"/>
  <c r="H46" i="12"/>
  <c r="I46" i="12" s="1"/>
  <c r="J46" i="12" s="1"/>
  <c r="M46" i="12" s="1"/>
  <c r="I214" i="7"/>
  <c r="J214" i="7" s="1"/>
  <c r="L214" i="7" s="1"/>
  <c r="I425" i="7"/>
  <c r="J425" i="7" s="1"/>
  <c r="L425" i="7" s="1"/>
  <c r="I479" i="7"/>
  <c r="J479" i="7" s="1"/>
  <c r="L479" i="7" s="1"/>
  <c r="I275" i="7"/>
  <c r="J275" i="7" s="1"/>
  <c r="L275" i="7" s="1"/>
  <c r="I151" i="7"/>
  <c r="J151" i="7" s="1"/>
  <c r="L151" i="7" s="1"/>
  <c r="I377" i="7"/>
  <c r="J377" i="7" s="1"/>
  <c r="L377" i="7" s="1"/>
  <c r="I414" i="7"/>
  <c r="J414" i="7" s="1"/>
  <c r="L414" i="7" s="1"/>
  <c r="I521" i="7"/>
  <c r="J521" i="7" s="1"/>
  <c r="L521" i="7" s="1"/>
  <c r="I359" i="7"/>
  <c r="J359" i="7" s="1"/>
  <c r="L359" i="7" s="1"/>
  <c r="I267" i="7"/>
  <c r="J267" i="7" s="1"/>
  <c r="L267" i="7" s="1"/>
  <c r="I424" i="7"/>
  <c r="J424" i="7" s="1"/>
  <c r="L424" i="7" s="1"/>
  <c r="I590" i="7"/>
  <c r="J590" i="7" s="1"/>
  <c r="L590" i="7" s="1"/>
  <c r="I388" i="7"/>
  <c r="J388" i="7" s="1"/>
  <c r="L388" i="7" s="1"/>
  <c r="I454" i="7"/>
  <c r="J454" i="7" s="1"/>
  <c r="L454" i="7" s="1"/>
  <c r="I339" i="7"/>
  <c r="J339" i="7" s="1"/>
  <c r="L339" i="7" s="1"/>
  <c r="I25" i="7"/>
  <c r="J25" i="7" s="1"/>
  <c r="L25" i="7" s="1"/>
  <c r="I371" i="7"/>
  <c r="J371" i="7" s="1"/>
  <c r="L371" i="7" s="1"/>
  <c r="I601" i="7"/>
  <c r="J601" i="7" s="1"/>
  <c r="L601" i="7" s="1"/>
  <c r="I560" i="7"/>
  <c r="J560" i="7" s="1"/>
  <c r="L560" i="7" s="1"/>
  <c r="I607" i="7"/>
  <c r="J607" i="7" s="1"/>
  <c r="L607" i="7" s="1"/>
  <c r="I389" i="7"/>
  <c r="J389" i="7" s="1"/>
  <c r="L389" i="7" s="1"/>
  <c r="I159" i="7"/>
  <c r="J159" i="7" s="1"/>
  <c r="L159" i="7" s="1"/>
  <c r="I370" i="7"/>
  <c r="J370" i="7" s="1"/>
  <c r="L370" i="7" s="1"/>
  <c r="I234" i="7"/>
  <c r="J234" i="7" s="1"/>
  <c r="L234" i="7" s="1"/>
  <c r="I291" i="7"/>
  <c r="J291" i="7" s="1"/>
  <c r="L291" i="7" s="1"/>
  <c r="I446" i="7"/>
  <c r="J446" i="7" s="1"/>
  <c r="L446" i="7" s="1"/>
  <c r="I565" i="7"/>
  <c r="J565" i="7" s="1"/>
  <c r="L565" i="7" s="1"/>
  <c r="I618" i="7"/>
  <c r="J618" i="7" s="1"/>
  <c r="L618" i="7" s="1"/>
  <c r="I329" i="7"/>
  <c r="J329" i="7" s="1"/>
  <c r="L329" i="7" s="1"/>
  <c r="I147" i="7"/>
  <c r="J147" i="7" s="1"/>
  <c r="L147" i="7" s="1"/>
  <c r="I653" i="7"/>
  <c r="J653" i="7" s="1"/>
  <c r="L653" i="7" s="1"/>
  <c r="I486" i="7"/>
  <c r="J486" i="7" s="1"/>
  <c r="L486" i="7" s="1"/>
  <c r="I444" i="7"/>
  <c r="J444" i="7" s="1"/>
  <c r="L444" i="7" s="1"/>
  <c r="I134" i="7"/>
  <c r="J134" i="7" s="1"/>
  <c r="L134" i="7" s="1"/>
  <c r="I138" i="7"/>
  <c r="J138" i="7" s="1"/>
  <c r="L138" i="7" s="1"/>
  <c r="I440" i="7"/>
  <c r="J440" i="7" s="1"/>
  <c r="L440" i="7" s="1"/>
  <c r="I354" i="7"/>
  <c r="J354" i="7" s="1"/>
  <c r="L354" i="7" s="1"/>
  <c r="I167" i="7"/>
  <c r="J167" i="7" s="1"/>
  <c r="L167" i="7" s="1"/>
  <c r="I143" i="7"/>
  <c r="J143" i="7" s="1"/>
  <c r="L143" i="7" s="1"/>
  <c r="I489" i="7"/>
  <c r="J489" i="7" s="1"/>
  <c r="L489" i="7" s="1"/>
  <c r="I442" i="7"/>
  <c r="J442" i="7" s="1"/>
  <c r="L442" i="7" s="1"/>
  <c r="I113" i="7"/>
  <c r="J113" i="7" s="1"/>
  <c r="L113" i="7" s="1"/>
  <c r="I43" i="7"/>
  <c r="J43" i="7" s="1"/>
  <c r="L43" i="7" s="1"/>
  <c r="I655" i="7"/>
  <c r="J655" i="7" s="1"/>
  <c r="L655" i="7" s="1"/>
  <c r="I594" i="7"/>
  <c r="J594" i="7" s="1"/>
  <c r="L594" i="7" s="1"/>
  <c r="I128" i="7"/>
  <c r="J128" i="7" s="1"/>
  <c r="L128" i="7" s="1"/>
  <c r="I203" i="7"/>
  <c r="J203" i="7" s="1"/>
  <c r="L203" i="7" s="1"/>
  <c r="I613" i="7"/>
  <c r="J613" i="7" s="1"/>
  <c r="L613" i="7" s="1"/>
  <c r="I493" i="7"/>
  <c r="J493" i="7" s="1"/>
  <c r="L493" i="7" s="1"/>
  <c r="I415" i="7"/>
  <c r="J415" i="7" s="1"/>
  <c r="L415" i="7" s="1"/>
  <c r="I640" i="7"/>
  <c r="J640" i="7" s="1"/>
  <c r="L640" i="7" s="1"/>
  <c r="I443" i="7"/>
  <c r="J443" i="7" s="1"/>
  <c r="L443" i="7" s="1"/>
  <c r="I90" i="7"/>
  <c r="J90" i="7" s="1"/>
  <c r="L90" i="7" s="1"/>
  <c r="I434" i="7"/>
  <c r="J434" i="7" s="1"/>
  <c r="L434" i="7" s="1"/>
  <c r="I500" i="7"/>
  <c r="J500" i="7" s="1"/>
  <c r="L500" i="7" s="1"/>
  <c r="I366" i="7"/>
  <c r="J366" i="7" s="1"/>
  <c r="L366" i="7" s="1"/>
  <c r="I317" i="7"/>
  <c r="J317" i="7" s="1"/>
  <c r="L317" i="7" s="1"/>
  <c r="I255" i="7"/>
  <c r="J255" i="7" s="1"/>
  <c r="L255" i="7" s="1"/>
  <c r="I306" i="7"/>
  <c r="J306" i="7" s="1"/>
  <c r="L306" i="7" s="1"/>
  <c r="I413" i="7"/>
  <c r="J413" i="7" s="1"/>
  <c r="L413" i="7" s="1"/>
  <c r="I476" i="7"/>
  <c r="J476" i="7" s="1"/>
  <c r="L476" i="7" s="1"/>
  <c r="I243" i="7"/>
  <c r="J243" i="7" s="1"/>
  <c r="L243" i="7" s="1"/>
  <c r="I327" i="7"/>
  <c r="J327" i="7" s="1"/>
  <c r="L327" i="7" s="1"/>
  <c r="I264" i="7"/>
  <c r="J264" i="7" s="1"/>
  <c r="L264" i="7" s="1"/>
  <c r="I257" i="7"/>
  <c r="J257" i="7" s="1"/>
  <c r="L257" i="7" s="1"/>
  <c r="I570" i="7"/>
  <c r="J570" i="7" s="1"/>
  <c r="L570" i="7" s="1"/>
  <c r="I237" i="7"/>
  <c r="J237" i="7" s="1"/>
  <c r="L237" i="7" s="1"/>
  <c r="I160" i="7"/>
  <c r="J160" i="7" s="1"/>
  <c r="L160" i="7" s="1"/>
  <c r="I247" i="7"/>
  <c r="J247" i="7" s="1"/>
  <c r="L247" i="7" s="1"/>
  <c r="I358" i="7"/>
  <c r="J358" i="7" s="1"/>
  <c r="L358" i="7" s="1"/>
  <c r="I605" i="7"/>
  <c r="J605" i="7" s="1"/>
  <c r="L605" i="7" s="1"/>
  <c r="I272" i="7"/>
  <c r="J272" i="7" s="1"/>
  <c r="L272" i="7" s="1"/>
  <c r="I437" i="7"/>
  <c r="J437" i="7" s="1"/>
  <c r="L437" i="7" s="1"/>
  <c r="I330" i="7"/>
  <c r="J330" i="7" s="1"/>
  <c r="L330" i="7" s="1"/>
  <c r="I178" i="7"/>
  <c r="J178" i="7" s="1"/>
  <c r="L178" i="7" s="1"/>
  <c r="I416" i="7"/>
  <c r="J416" i="7" s="1"/>
  <c r="L416" i="7" s="1"/>
  <c r="I392" i="7"/>
  <c r="J392" i="7" s="1"/>
  <c r="L392" i="7" s="1"/>
  <c r="I626" i="7"/>
  <c r="J626" i="7" s="1"/>
  <c r="L626" i="7" s="1"/>
  <c r="I24" i="7"/>
  <c r="J24" i="7" s="1"/>
  <c r="L24" i="7" s="1"/>
  <c r="I328" i="7"/>
  <c r="J328" i="7" s="1"/>
  <c r="L328" i="7" s="1"/>
  <c r="I313" i="7"/>
  <c r="J313" i="7" s="1"/>
  <c r="L313" i="7" s="1"/>
  <c r="I94" i="7"/>
  <c r="J94" i="7" s="1"/>
  <c r="L94" i="7" s="1"/>
  <c r="I295" i="7"/>
  <c r="J295" i="7" s="1"/>
  <c r="L295" i="7" s="1"/>
  <c r="I515" i="7"/>
  <c r="J515" i="7" s="1"/>
  <c r="L515" i="7" s="1"/>
  <c r="I563" i="7"/>
  <c r="J563" i="7" s="1"/>
  <c r="L563" i="7" s="1"/>
  <c r="I554" i="7"/>
  <c r="J554" i="7" s="1"/>
  <c r="L554" i="7" s="1"/>
  <c r="I336" i="7"/>
  <c r="J336" i="7" s="1"/>
  <c r="L336" i="7" s="1"/>
  <c r="I407" i="7"/>
  <c r="J407" i="7" s="1"/>
  <c r="L407" i="7" s="1"/>
  <c r="I580" i="7"/>
  <c r="J580" i="7" s="1"/>
  <c r="L580" i="7" s="1"/>
  <c r="I548" i="7"/>
  <c r="J548" i="7" s="1"/>
  <c r="L548" i="7" s="1"/>
  <c r="I402" i="7"/>
  <c r="J402" i="7" s="1"/>
  <c r="L402" i="7" s="1"/>
  <c r="I449" i="7"/>
  <c r="J449" i="7" s="1"/>
  <c r="L449" i="7" s="1"/>
  <c r="I568" i="7"/>
  <c r="J568" i="7" s="1"/>
  <c r="L568" i="7" s="1"/>
  <c r="I274" i="7"/>
  <c r="J274" i="7" s="1"/>
  <c r="L274" i="7" s="1"/>
  <c r="I619" i="7"/>
  <c r="J619" i="7" s="1"/>
  <c r="L619" i="7" s="1"/>
  <c r="I579" i="7"/>
  <c r="J579" i="7" s="1"/>
  <c r="L579" i="7" s="1"/>
  <c r="I421" i="7"/>
  <c r="J421" i="7" s="1"/>
  <c r="L421" i="7" s="1"/>
  <c r="I332" i="7"/>
  <c r="J332" i="7" s="1"/>
  <c r="L332" i="7" s="1"/>
  <c r="I574" i="7"/>
  <c r="J574" i="7" s="1"/>
  <c r="L574" i="7" s="1"/>
  <c r="I638" i="7"/>
  <c r="J638" i="7" s="1"/>
  <c r="L638" i="7" s="1"/>
  <c r="I427" i="7"/>
  <c r="J427" i="7" s="1"/>
  <c r="L427" i="7" s="1"/>
  <c r="I399" i="7"/>
  <c r="J399" i="7" s="1"/>
  <c r="L399" i="7" s="1"/>
  <c r="I36" i="7"/>
  <c r="J36" i="7" s="1"/>
  <c r="L36" i="7" s="1"/>
  <c r="I635" i="7"/>
  <c r="J635" i="7" s="1"/>
  <c r="L635" i="7" s="1"/>
  <c r="I117" i="7"/>
  <c r="J117" i="7" s="1"/>
  <c r="L117" i="7" s="1"/>
  <c r="I566" i="7"/>
  <c r="J566" i="7" s="1"/>
  <c r="L566" i="7" s="1"/>
  <c r="I496" i="7"/>
  <c r="J496" i="7" s="1"/>
  <c r="L496" i="7" s="1"/>
  <c r="I106" i="7"/>
  <c r="J106" i="7" s="1"/>
  <c r="L106" i="7" s="1"/>
  <c r="I435" i="7"/>
  <c r="J435" i="7" s="1"/>
  <c r="L435" i="7" s="1"/>
  <c r="I688" i="7"/>
  <c r="J688" i="7" s="1"/>
  <c r="L688" i="7" s="1"/>
  <c r="I432" i="7"/>
  <c r="J432" i="7" s="1"/>
  <c r="L432" i="7" s="1"/>
  <c r="I504" i="7"/>
  <c r="J504" i="7" s="1"/>
  <c r="L504" i="7" s="1"/>
  <c r="I491" i="7"/>
  <c r="J491" i="7" s="1"/>
  <c r="L491" i="7" s="1"/>
  <c r="I116" i="7"/>
  <c r="J116" i="7" s="1"/>
  <c r="L116" i="7" s="1"/>
  <c r="I418" i="7"/>
  <c r="J418" i="7" s="1"/>
  <c r="L418" i="7" s="1"/>
  <c r="I202" i="7"/>
  <c r="J202" i="7" s="1"/>
  <c r="L202" i="7" s="1"/>
  <c r="I225" i="7"/>
  <c r="J225" i="7" s="1"/>
  <c r="L225" i="7" s="1"/>
  <c r="I519" i="7"/>
  <c r="J519" i="7" s="1"/>
  <c r="L519" i="7" s="1"/>
  <c r="I149" i="7"/>
  <c r="J149" i="7" s="1"/>
  <c r="L149" i="7" s="1"/>
  <c r="I466" i="7"/>
  <c r="J466" i="7" s="1"/>
  <c r="L466" i="7" s="1"/>
  <c r="I591" i="7"/>
  <c r="J591" i="7" s="1"/>
  <c r="L591" i="7" s="1"/>
  <c r="I188" i="7"/>
  <c r="J188" i="7" s="1"/>
  <c r="L188" i="7" s="1"/>
  <c r="I262" i="7"/>
  <c r="J262" i="7" s="1"/>
  <c r="L262" i="7" s="1"/>
  <c r="I199" i="7"/>
  <c r="J199" i="7" s="1"/>
  <c r="L199" i="7" s="1"/>
  <c r="I648" i="7"/>
  <c r="J648" i="7" s="1"/>
  <c r="L648" i="7" s="1"/>
  <c r="I21" i="7"/>
  <c r="J21" i="7" s="1"/>
  <c r="L21" i="7" s="1"/>
  <c r="I314" i="7"/>
  <c r="J314" i="7" s="1"/>
  <c r="L314" i="7" s="1"/>
  <c r="I316" i="7"/>
  <c r="J316" i="7" s="1"/>
  <c r="L316" i="7" s="1"/>
  <c r="I211" i="7"/>
  <c r="J211" i="7" s="1"/>
  <c r="L211" i="7" s="1"/>
  <c r="I229" i="7"/>
  <c r="J229" i="7" s="1"/>
  <c r="L229" i="7" s="1"/>
  <c r="I241" i="7"/>
  <c r="J241" i="7" s="1"/>
  <c r="L241" i="7" s="1"/>
  <c r="I195" i="7"/>
  <c r="J195" i="7" s="1"/>
  <c r="L195" i="7" s="1"/>
  <c r="I346" i="7"/>
  <c r="J346" i="7" s="1"/>
  <c r="L346" i="7" s="1"/>
  <c r="I433" i="7"/>
  <c r="J433" i="7" s="1"/>
  <c r="L433" i="7" s="1"/>
  <c r="I522" i="7"/>
  <c r="J522" i="7" s="1"/>
  <c r="L522" i="7" s="1"/>
  <c r="I549" i="7"/>
  <c r="J549" i="7" s="1"/>
  <c r="I200" i="7"/>
  <c r="J200" i="7" s="1"/>
  <c r="L200" i="7" s="1"/>
  <c r="I428" i="7"/>
  <c r="J428" i="7" s="1"/>
  <c r="L428" i="7" s="1"/>
  <c r="I169" i="7"/>
  <c r="J169" i="7" s="1"/>
  <c r="L169" i="7" s="1"/>
  <c r="I662" i="7"/>
  <c r="J662" i="7" s="1"/>
  <c r="L662" i="7" s="1"/>
  <c r="I59" i="7"/>
  <c r="J59" i="7" s="1"/>
  <c r="L59" i="7" s="1"/>
  <c r="I395" i="7"/>
  <c r="J395" i="7" s="1"/>
  <c r="L395" i="7" s="1"/>
  <c r="I75" i="7"/>
  <c r="J75" i="7" s="1"/>
  <c r="L75" i="7" s="1"/>
  <c r="I553" i="7"/>
  <c r="J553" i="7" s="1"/>
  <c r="L553" i="7" s="1"/>
  <c r="I100" i="7"/>
  <c r="J100" i="7" s="1"/>
  <c r="L100" i="7" s="1"/>
  <c r="I71" i="7"/>
  <c r="J71" i="7" s="1"/>
  <c r="L71" i="7" s="1"/>
  <c r="I535" i="7"/>
  <c r="J535" i="7" s="1"/>
  <c r="L535" i="7" s="1"/>
  <c r="I254" i="7"/>
  <c r="J254" i="7" s="1"/>
  <c r="L254" i="7" s="1"/>
  <c r="I210" i="7"/>
  <c r="J210" i="7" s="1"/>
  <c r="L210" i="7" s="1"/>
  <c r="I96" i="7"/>
  <c r="J96" i="7" s="1"/>
  <c r="L96" i="7" s="1"/>
  <c r="I296" i="7"/>
  <c r="J296" i="7" s="1"/>
  <c r="L296" i="7" s="1"/>
  <c r="I107" i="7"/>
  <c r="J107" i="7" s="1"/>
  <c r="L107" i="7" s="1"/>
  <c r="I162" i="7"/>
  <c r="J162" i="7" s="1"/>
  <c r="L162" i="7" s="1"/>
  <c r="I632" i="7"/>
  <c r="J632" i="7" s="1"/>
  <c r="L632" i="7" s="1"/>
  <c r="I692" i="7"/>
  <c r="J692" i="7" s="1"/>
  <c r="L692" i="7" s="1"/>
  <c r="I542" i="7"/>
  <c r="J542" i="7" s="1"/>
  <c r="L542" i="7" s="1"/>
  <c r="I571" i="7"/>
  <c r="J571" i="7" s="1"/>
  <c r="L571" i="7" s="1"/>
  <c r="I153" i="7"/>
  <c r="J153" i="7" s="1"/>
  <c r="L153" i="7" s="1"/>
  <c r="I289" i="7"/>
  <c r="J289" i="7" s="1"/>
  <c r="L289" i="7" s="1"/>
  <c r="I338" i="7"/>
  <c r="J338" i="7" s="1"/>
  <c r="L338" i="7" s="1"/>
  <c r="I206" i="7"/>
  <c r="J206" i="7" s="1"/>
  <c r="L206" i="7" s="1"/>
  <c r="I187" i="7"/>
  <c r="J187" i="7" s="1"/>
  <c r="L187" i="7" s="1"/>
  <c r="I497" i="7"/>
  <c r="J497" i="7" s="1"/>
  <c r="L497" i="7" s="1"/>
  <c r="I411" i="7"/>
  <c r="J411" i="7" s="1"/>
  <c r="L411" i="7" s="1"/>
  <c r="I263" i="7"/>
  <c r="J263" i="7" s="1"/>
  <c r="L263" i="7" s="1"/>
  <c r="I546" i="7"/>
  <c r="J546" i="7" s="1"/>
  <c r="L546" i="7" s="1"/>
  <c r="I503" i="7"/>
  <c r="J503" i="7" s="1"/>
  <c r="L503" i="7" s="1"/>
  <c r="I83" i="7"/>
  <c r="J83" i="7" s="1"/>
  <c r="L83" i="7" s="1"/>
  <c r="I68" i="7"/>
  <c r="J68" i="7" s="1"/>
  <c r="L68" i="7" s="1"/>
  <c r="I448" i="7"/>
  <c r="J448" i="7" s="1"/>
  <c r="L448" i="7" s="1"/>
  <c r="I61" i="7"/>
  <c r="J61" i="7" s="1"/>
  <c r="L61" i="7" s="1"/>
  <c r="I242" i="7"/>
  <c r="J242" i="7" s="1"/>
  <c r="L242" i="7" s="1"/>
  <c r="I569" i="7"/>
  <c r="J569" i="7" s="1"/>
  <c r="L569" i="7" s="1"/>
  <c r="I179" i="7"/>
  <c r="J179" i="7" s="1"/>
  <c r="L179" i="7" s="1"/>
  <c r="I37" i="7"/>
  <c r="J37" i="7" s="1"/>
  <c r="L37" i="7" s="1"/>
  <c r="I261" i="7"/>
  <c r="J261" i="7" s="1"/>
  <c r="I669" i="7"/>
  <c r="J669" i="7" s="1"/>
  <c r="L669" i="7" s="1"/>
  <c r="I679" i="7"/>
  <c r="J679" i="7" s="1"/>
  <c r="L679" i="7" s="1"/>
  <c r="I551" i="7"/>
  <c r="J551" i="7" s="1"/>
  <c r="L551" i="7" s="1"/>
  <c r="I233" i="7"/>
  <c r="J233" i="7" s="1"/>
  <c r="L233" i="7" s="1"/>
  <c r="I253" i="7"/>
  <c r="J253" i="7" s="1"/>
  <c r="L253" i="7" s="1"/>
  <c r="I545" i="7"/>
  <c r="J545" i="7" s="1"/>
  <c r="L545" i="7" s="1"/>
  <c r="I235" i="7"/>
  <c r="J235" i="7" s="1"/>
  <c r="L235" i="7" s="1"/>
  <c r="I139" i="7"/>
  <c r="J139" i="7" s="1"/>
  <c r="L139" i="7" s="1"/>
  <c r="I252" i="7"/>
  <c r="J252" i="7" s="1"/>
  <c r="L252" i="7" s="1"/>
  <c r="I136" i="7"/>
  <c r="J136" i="7" s="1"/>
  <c r="L136" i="7" s="1"/>
  <c r="I248" i="7"/>
  <c r="J248" i="7" s="1"/>
  <c r="L248" i="7" s="1"/>
  <c r="I543" i="7"/>
  <c r="J543" i="7" s="1"/>
  <c r="L543" i="7" s="1"/>
  <c r="I391" i="7"/>
  <c r="J391" i="7" s="1"/>
  <c r="L391" i="7" s="1"/>
  <c r="I417" i="7"/>
  <c r="J417" i="7" s="1"/>
  <c r="L417" i="7" s="1"/>
  <c r="I588" i="7"/>
  <c r="J588" i="7" s="1"/>
  <c r="L588" i="7" s="1"/>
  <c r="I163" i="7"/>
  <c r="J163" i="7" s="1"/>
  <c r="L163" i="7" s="1"/>
  <c r="I42" i="7"/>
  <c r="J42" i="7" s="1"/>
  <c r="L42" i="7" s="1"/>
  <c r="I520" i="7"/>
  <c r="J520" i="7" s="1"/>
  <c r="L520" i="7" s="1"/>
  <c r="I26" i="7"/>
  <c r="J26" i="7" s="1"/>
  <c r="L26" i="7" s="1"/>
  <c r="I35" i="7"/>
  <c r="J35" i="7" s="1"/>
  <c r="L35" i="7" s="1"/>
  <c r="I87" i="7"/>
  <c r="J87" i="7" s="1"/>
  <c r="L87" i="7" s="1"/>
  <c r="I337" i="7"/>
  <c r="J337" i="7" s="1"/>
  <c r="L337" i="7" s="1"/>
  <c r="I509" i="7"/>
  <c r="J509" i="7" s="1"/>
  <c r="L509" i="7" s="1"/>
  <c r="I186" i="7"/>
  <c r="J186" i="7" s="1"/>
  <c r="L186" i="7" s="1"/>
  <c r="I80" i="7"/>
  <c r="J80" i="7" s="1"/>
  <c r="L80" i="7" s="1"/>
  <c r="I465" i="7"/>
  <c r="J465" i="7" s="1"/>
  <c r="L465" i="7" s="1"/>
  <c r="I637" i="7"/>
  <c r="J637" i="7" s="1"/>
  <c r="L637" i="7" s="1"/>
  <c r="I564" i="7"/>
  <c r="J564" i="7" s="1"/>
  <c r="L564" i="7" s="1"/>
  <c r="I130" i="7"/>
  <c r="J130" i="7" s="1"/>
  <c r="L130" i="7" s="1"/>
  <c r="I299" i="7"/>
  <c r="J299" i="7" s="1"/>
  <c r="L299" i="7" s="1"/>
  <c r="I585" i="7"/>
  <c r="J585" i="7" s="1"/>
  <c r="L585" i="7" s="1"/>
  <c r="I12" i="7"/>
  <c r="J12" i="7" s="1"/>
  <c r="L12" i="7" s="1"/>
  <c r="I142" i="7"/>
  <c r="J142" i="7" s="1"/>
  <c r="L142" i="7" s="1"/>
  <c r="I154" i="7"/>
  <c r="J154" i="7" s="1"/>
  <c r="L154" i="7" s="1"/>
  <c r="I677" i="7"/>
  <c r="J677" i="7" s="1"/>
  <c r="L677" i="7" s="1"/>
  <c r="I110" i="7"/>
  <c r="J110" i="7" s="1"/>
  <c r="L110" i="7" s="1"/>
  <c r="I583" i="7"/>
  <c r="J583" i="7" s="1"/>
  <c r="I266" i="7"/>
  <c r="J266" i="7" s="1"/>
  <c r="L266" i="7" s="1"/>
  <c r="I29" i="7"/>
  <c r="J29" i="7" s="1"/>
  <c r="L29" i="7" s="1"/>
  <c r="I611" i="7"/>
  <c r="J611" i="7" s="1"/>
  <c r="L611" i="7" s="1"/>
  <c r="I612" i="7"/>
  <c r="J612" i="7" s="1"/>
  <c r="L612" i="7" s="1"/>
  <c r="I279" i="7"/>
  <c r="J279" i="7" s="1"/>
  <c r="L279" i="7" s="1"/>
  <c r="I552" i="7"/>
  <c r="J552" i="7" s="1"/>
  <c r="L552" i="7" s="1"/>
  <c r="I633" i="7"/>
  <c r="J633" i="7" s="1"/>
  <c r="L633" i="7" s="1"/>
  <c r="I678" i="7"/>
  <c r="J678" i="7" s="1"/>
  <c r="L678" i="7" s="1"/>
  <c r="I624" i="7"/>
  <c r="J624" i="7" s="1"/>
  <c r="L624" i="7" s="1"/>
  <c r="I646" i="7"/>
  <c r="J646" i="7" s="1"/>
  <c r="L646" i="7" s="1"/>
  <c r="I452" i="7"/>
  <c r="J452" i="7" s="1"/>
  <c r="L452" i="7" s="1"/>
  <c r="I245" i="7"/>
  <c r="J245" i="7" s="1"/>
  <c r="L245" i="7" s="1"/>
  <c r="I429" i="7"/>
  <c r="J429" i="7" s="1"/>
  <c r="L429" i="7" s="1"/>
  <c r="I639" i="7"/>
  <c r="J639" i="7" s="1"/>
  <c r="L639" i="7" s="1"/>
  <c r="I540" i="7"/>
  <c r="J540" i="7" s="1"/>
  <c r="L540" i="7" s="1"/>
  <c r="I364" i="7"/>
  <c r="J364" i="7" s="1"/>
  <c r="L364" i="7" s="1"/>
  <c r="I610" i="7"/>
  <c r="J610" i="7" s="1"/>
  <c r="L610" i="7" s="1"/>
  <c r="I323" i="7"/>
  <c r="J323" i="7" s="1"/>
  <c r="L323" i="7" s="1"/>
  <c r="I126" i="7"/>
  <c r="J126" i="7" s="1"/>
  <c r="L126" i="7" s="1"/>
  <c r="I420" i="7"/>
  <c r="J420" i="7" s="1"/>
  <c r="L420" i="7" s="1"/>
  <c r="I523" i="7"/>
  <c r="J523" i="7" s="1"/>
  <c r="L523" i="7" s="1"/>
  <c r="I581" i="7"/>
  <c r="J581" i="7" s="1"/>
  <c r="L581" i="7" s="1"/>
  <c r="I16" i="7"/>
  <c r="J16" i="7" s="1"/>
  <c r="L16" i="7" s="1"/>
  <c r="I66" i="7"/>
  <c r="J66" i="7" s="1"/>
  <c r="L66" i="7" s="1"/>
  <c r="I10" i="7"/>
  <c r="L10" i="7" s="1"/>
  <c r="I631" i="7"/>
  <c r="J631" i="7" s="1"/>
  <c r="L631" i="7" s="1"/>
  <c r="I423" i="7"/>
  <c r="J423" i="7" s="1"/>
  <c r="L423" i="7" s="1"/>
  <c r="I250" i="7"/>
  <c r="J250" i="7" s="1"/>
  <c r="L250" i="7" s="1"/>
  <c r="I140" i="7"/>
  <c r="J140" i="7" s="1"/>
  <c r="L140" i="7" s="1"/>
  <c r="I14" i="7"/>
  <c r="J14" i="7" s="1"/>
  <c r="L14" i="7" s="1"/>
  <c r="I101" i="7"/>
  <c r="J101" i="7" s="1"/>
  <c r="L101" i="7" s="1"/>
  <c r="I394" i="7"/>
  <c r="J394" i="7" s="1"/>
  <c r="L394" i="7" s="1"/>
  <c r="I676" i="7"/>
  <c r="J676" i="7" s="1"/>
  <c r="L676" i="7" s="1"/>
  <c r="I219" i="7"/>
  <c r="J219" i="7" s="1"/>
  <c r="L219" i="7" s="1"/>
  <c r="I376" i="7"/>
  <c r="J376" i="7" s="1"/>
  <c r="L376" i="7" s="1"/>
  <c r="I70" i="7"/>
  <c r="J70" i="7" s="1"/>
  <c r="L70" i="7" s="1"/>
  <c r="I670" i="7"/>
  <c r="J670" i="7" s="1"/>
  <c r="L670" i="7" s="1"/>
  <c r="I343" i="7"/>
  <c r="J343" i="7" s="1"/>
  <c r="L343" i="7" s="1"/>
  <c r="I331" i="7"/>
  <c r="J331" i="7" s="1"/>
  <c r="L331" i="7" s="1"/>
  <c r="I474" i="7"/>
  <c r="J474" i="7" s="1"/>
  <c r="L474" i="7" s="1"/>
  <c r="I372" i="7"/>
  <c r="J372" i="7" s="1"/>
  <c r="L372" i="7" s="1"/>
  <c r="I512" i="7"/>
  <c r="J512" i="7" s="1"/>
  <c r="L512" i="7" s="1"/>
  <c r="I208" i="7"/>
  <c r="J208" i="7" s="1"/>
  <c r="L208" i="7" s="1"/>
  <c r="I184" i="7"/>
  <c r="J184" i="7" s="1"/>
  <c r="L184" i="7" s="1"/>
  <c r="I92" i="7"/>
  <c r="J92" i="7" s="1"/>
  <c r="L92" i="7" s="1"/>
  <c r="I516" i="7"/>
  <c r="J516" i="7" s="1"/>
  <c r="L516" i="7" s="1"/>
  <c r="I183" i="7"/>
  <c r="J183" i="7" s="1"/>
  <c r="L183" i="7" s="1"/>
  <c r="I40" i="7"/>
  <c r="J40" i="7" s="1"/>
  <c r="L40" i="7" s="1"/>
  <c r="I384" i="7"/>
  <c r="J384" i="7" s="1"/>
  <c r="L384" i="7" s="1"/>
  <c r="I221" i="7"/>
  <c r="J221" i="7" s="1"/>
  <c r="L221" i="7" s="1"/>
  <c r="I155" i="7"/>
  <c r="J155" i="7" s="1"/>
  <c r="L155" i="7" s="1"/>
  <c r="I164" i="7"/>
  <c r="J164" i="7" s="1"/>
  <c r="L164" i="7" s="1"/>
  <c r="I258" i="7"/>
  <c r="J258" i="7" s="1"/>
  <c r="L258" i="7" s="1"/>
  <c r="I205" i="7"/>
  <c r="J205" i="7" s="1"/>
  <c r="L205" i="7" s="1"/>
  <c r="I109" i="7"/>
  <c r="J109" i="7" s="1"/>
  <c r="L109" i="7" s="1"/>
  <c r="I644" i="7"/>
  <c r="J644" i="7" s="1"/>
  <c r="L644" i="7" s="1"/>
  <c r="I158" i="7"/>
  <c r="J158" i="7" s="1"/>
  <c r="L158" i="7" s="1"/>
  <c r="I508" i="7"/>
  <c r="J508" i="7" s="1"/>
  <c r="L508" i="7" s="1"/>
  <c r="I129" i="7"/>
  <c r="J129" i="7" s="1"/>
  <c r="L129" i="7" s="1"/>
  <c r="I642" i="7"/>
  <c r="J642" i="7" s="1"/>
  <c r="L642" i="7" s="1"/>
  <c r="I297" i="7"/>
  <c r="J297" i="7" s="1"/>
  <c r="L297" i="7" s="1"/>
  <c r="I649" i="7"/>
  <c r="J649" i="7" s="1"/>
  <c r="L649" i="7" s="1"/>
  <c r="I667" i="7"/>
  <c r="J667" i="7" s="1"/>
  <c r="L667" i="7" s="1"/>
  <c r="I690" i="7"/>
  <c r="J690" i="7" s="1"/>
  <c r="L690" i="7" s="1"/>
  <c r="I283" i="7"/>
  <c r="J283" i="7" s="1"/>
  <c r="L283" i="7" s="1"/>
  <c r="I82" i="7"/>
  <c r="J82" i="7" s="1"/>
  <c r="L82" i="7" s="1"/>
  <c r="E646" i="7"/>
  <c r="I347" i="7"/>
  <c r="J347" i="7" s="1"/>
  <c r="L347" i="7" s="1"/>
  <c r="I438" i="7"/>
  <c r="J438" i="7" s="1"/>
  <c r="L438" i="7" s="1"/>
  <c r="I212" i="7"/>
  <c r="J212" i="7" s="1"/>
  <c r="L212" i="7" s="1"/>
  <c r="I27" i="7"/>
  <c r="J27" i="7" s="1"/>
  <c r="L27" i="7" s="1"/>
  <c r="I582" i="7"/>
  <c r="J582" i="7" s="1"/>
  <c r="L582" i="7" s="1"/>
  <c r="I538" i="7"/>
  <c r="J538" i="7" s="1"/>
  <c r="L538" i="7" s="1"/>
  <c r="I472" i="7"/>
  <c r="J472" i="7" s="1"/>
  <c r="L472" i="7" s="1"/>
  <c r="I576" i="7"/>
  <c r="J576" i="7" s="1"/>
  <c r="L576" i="7" s="1"/>
  <c r="I630" i="7"/>
  <c r="J630" i="7" s="1"/>
  <c r="L630" i="7" s="1"/>
  <c r="I97" i="7"/>
  <c r="J97" i="7" s="1"/>
  <c r="L97" i="7" s="1"/>
  <c r="I292" i="7"/>
  <c r="J292" i="7" s="1"/>
  <c r="L292" i="7" s="1"/>
  <c r="I269" i="7"/>
  <c r="J269" i="7" s="1"/>
  <c r="L269" i="7" s="1"/>
  <c r="I236" i="7"/>
  <c r="J236" i="7" s="1"/>
  <c r="L236" i="7" s="1"/>
  <c r="I539" i="7"/>
  <c r="J539" i="7" s="1"/>
  <c r="L539" i="7" s="1"/>
  <c r="I369" i="7"/>
  <c r="J369" i="7" s="1"/>
  <c r="L369" i="7" s="1"/>
  <c r="I396" i="7"/>
  <c r="J396" i="7" s="1"/>
  <c r="L396" i="7" s="1"/>
  <c r="I599" i="7"/>
  <c r="J599" i="7" s="1"/>
  <c r="L599" i="7" s="1"/>
  <c r="I375" i="7"/>
  <c r="J375" i="7" s="1"/>
  <c r="L375" i="7" s="1"/>
  <c r="I322" i="7"/>
  <c r="J322" i="7" s="1"/>
  <c r="L322" i="7" s="1"/>
  <c r="I111" i="7"/>
  <c r="J111" i="7" s="1"/>
  <c r="L111" i="7" s="1"/>
  <c r="I623" i="7"/>
  <c r="J623" i="7" s="1"/>
  <c r="L623" i="7" s="1"/>
  <c r="I135" i="7"/>
  <c r="J135" i="7" s="1"/>
  <c r="L135" i="7" s="1"/>
  <c r="I494" i="7"/>
  <c r="J494" i="7" s="1"/>
  <c r="L494" i="7" s="1"/>
  <c r="I681" i="7"/>
  <c r="J681" i="7" s="1"/>
  <c r="L681" i="7" s="1"/>
  <c r="I84" i="7"/>
  <c r="J84" i="7" s="1"/>
  <c r="L84" i="7" s="1"/>
  <c r="I282" i="7"/>
  <c r="J282" i="7" s="1"/>
  <c r="L282" i="7" s="1"/>
  <c r="I506" i="7"/>
  <c r="J506" i="7" s="1"/>
  <c r="L506" i="7" s="1"/>
  <c r="I573" i="7"/>
  <c r="J573" i="7" s="1"/>
  <c r="L573" i="7" s="1"/>
  <c r="I176" i="7"/>
  <c r="J176" i="7" s="1"/>
  <c r="L176" i="7" s="1"/>
  <c r="I634" i="7"/>
  <c r="J634" i="7" s="1"/>
  <c r="L634" i="7" s="1"/>
  <c r="I620" i="7"/>
  <c r="J620" i="7" s="1"/>
  <c r="L620" i="7" s="1"/>
  <c r="I198" i="7"/>
  <c r="J198" i="7" s="1"/>
  <c r="L198" i="7" s="1"/>
  <c r="I488" i="7"/>
  <c r="J488" i="7" s="1"/>
  <c r="L488" i="7" s="1"/>
  <c r="I561" i="7"/>
  <c r="J561" i="7" s="1"/>
  <c r="L561" i="7" s="1"/>
  <c r="I341" i="7"/>
  <c r="J341" i="7" s="1"/>
  <c r="L341" i="7" s="1"/>
  <c r="I281" i="7"/>
  <c r="J281" i="7" s="1"/>
  <c r="L281" i="7" s="1"/>
  <c r="I156" i="7"/>
  <c r="J156" i="7" s="1"/>
  <c r="L156" i="7" s="1"/>
  <c r="I335" i="7"/>
  <c r="J335" i="7" s="1"/>
  <c r="L335" i="7" s="1"/>
  <c r="I544" i="7"/>
  <c r="J544" i="7" s="1"/>
  <c r="L544" i="7" s="1"/>
  <c r="I303" i="7"/>
  <c r="J303" i="7" s="1"/>
  <c r="L303" i="7" s="1"/>
  <c r="I73" i="7"/>
  <c r="J73" i="7" s="1"/>
  <c r="L73" i="7" s="1"/>
  <c r="I507" i="7"/>
  <c r="J507" i="7" s="1"/>
  <c r="L507" i="7" s="1"/>
  <c r="I456" i="7"/>
  <c r="J456" i="7" s="1"/>
  <c r="L456" i="7" s="1"/>
  <c r="I625" i="7"/>
  <c r="J625" i="7" s="1"/>
  <c r="L625" i="7" s="1"/>
  <c r="I310" i="7"/>
  <c r="J310" i="7" s="1"/>
  <c r="L310" i="7" s="1"/>
  <c r="I524" i="7"/>
  <c r="J524" i="7" s="1"/>
  <c r="L524" i="7" s="1"/>
  <c r="I464" i="7"/>
  <c r="J464" i="7" s="1"/>
  <c r="L464" i="7" s="1"/>
  <c r="I240" i="7"/>
  <c r="J240" i="7" s="1"/>
  <c r="L240" i="7" s="1"/>
  <c r="I361" i="7"/>
  <c r="J361" i="7" s="1"/>
  <c r="L361" i="7" s="1"/>
  <c r="I81" i="7"/>
  <c r="J81" i="7" s="1"/>
  <c r="L81" i="7" s="1"/>
  <c r="I207" i="7"/>
  <c r="J207" i="7" s="1"/>
  <c r="L207" i="7" s="1"/>
  <c r="I462" i="7"/>
  <c r="J462" i="7" s="1"/>
  <c r="L462" i="7" s="1"/>
  <c r="I11" i="7"/>
  <c r="J11" i="7" s="1"/>
  <c r="L11" i="7" s="1"/>
  <c r="I614" i="7"/>
  <c r="J614" i="7" s="1"/>
  <c r="L614" i="7" s="1"/>
  <c r="I589" i="7"/>
  <c r="J589" i="7" s="1"/>
  <c r="L589" i="7" s="1"/>
  <c r="I481" i="7"/>
  <c r="J481" i="7" s="1"/>
  <c r="L481" i="7" s="1"/>
  <c r="I46" i="7"/>
  <c r="J46" i="7" s="1"/>
  <c r="L46" i="7" s="1"/>
  <c r="I152" i="7"/>
  <c r="J152" i="7" s="1"/>
  <c r="L152" i="7" s="1"/>
  <c r="I505" i="7"/>
  <c r="J505" i="7" s="1"/>
  <c r="L505" i="7" s="1"/>
  <c r="I333" i="7"/>
  <c r="J333" i="7" s="1"/>
  <c r="L333" i="7" s="1"/>
  <c r="I397" i="7"/>
  <c r="J397" i="7" s="1"/>
  <c r="L397" i="7" s="1"/>
  <c r="I558" i="7"/>
  <c r="J558" i="7" s="1"/>
  <c r="L558" i="7" s="1"/>
  <c r="I239" i="7"/>
  <c r="J239" i="7" s="1"/>
  <c r="L239" i="7" s="1"/>
  <c r="I180" i="7"/>
  <c r="J180" i="7" s="1"/>
  <c r="L180" i="7" s="1"/>
  <c r="I287" i="7"/>
  <c r="J287" i="7" s="1"/>
  <c r="L287" i="7" s="1"/>
  <c r="I647" i="7"/>
  <c r="J647" i="7" s="1"/>
  <c r="L647" i="7" s="1"/>
  <c r="I173" i="7"/>
  <c r="J173" i="7" s="1"/>
  <c r="L173" i="7" s="1"/>
  <c r="I302" i="7"/>
  <c r="J302" i="7" s="1"/>
  <c r="L302" i="7" s="1"/>
  <c r="I67" i="7"/>
  <c r="J67" i="7" s="1"/>
  <c r="L67" i="7" s="1"/>
  <c r="I224" i="7"/>
  <c r="J224" i="7" s="1"/>
  <c r="L224" i="7" s="1"/>
  <c r="I86" i="7"/>
  <c r="J86" i="7" s="1"/>
  <c r="L86" i="7" s="1"/>
  <c r="I641" i="7"/>
  <c r="J641" i="7" s="1"/>
  <c r="L641" i="7" s="1"/>
  <c r="I249" i="7"/>
  <c r="J249" i="7" s="1"/>
  <c r="L249" i="7" s="1"/>
  <c r="I58" i="7"/>
  <c r="J58" i="7" s="1"/>
  <c r="L58" i="7" s="1"/>
  <c r="I54" i="7"/>
  <c r="J54" i="7" s="1"/>
  <c r="L54" i="7" s="1"/>
  <c r="I492" i="7"/>
  <c r="J492" i="7" s="1"/>
  <c r="L492" i="7" s="1"/>
  <c r="I357" i="7"/>
  <c r="J357" i="7" s="1"/>
  <c r="L357" i="7" s="1"/>
  <c r="I663" i="7"/>
  <c r="J663" i="7" s="1"/>
  <c r="L663" i="7" s="1"/>
  <c r="I144" i="7"/>
  <c r="J144" i="7" s="1"/>
  <c r="L144" i="7" s="1"/>
  <c r="I584" i="7"/>
  <c r="J584" i="7" s="1"/>
  <c r="L584" i="7" s="1"/>
  <c r="I15" i="7"/>
  <c r="J15" i="7" s="1"/>
  <c r="L15" i="7" s="1"/>
  <c r="I537" i="7"/>
  <c r="J537" i="7" s="1"/>
  <c r="L537" i="7" s="1"/>
  <c r="I304" i="7"/>
  <c r="J304" i="7" s="1"/>
  <c r="L304" i="7" s="1"/>
  <c r="I294" i="7"/>
  <c r="J294" i="7" s="1"/>
  <c r="L294" i="7" s="1"/>
  <c r="I227" i="7"/>
  <c r="J227" i="7" s="1"/>
  <c r="L227" i="7" s="1"/>
  <c r="I256" i="7"/>
  <c r="J256" i="7" s="1"/>
  <c r="L256" i="7" s="1"/>
  <c r="I654" i="7"/>
  <c r="J654" i="7" s="1"/>
  <c r="I286" i="7"/>
  <c r="J286" i="7" s="1"/>
  <c r="L286" i="7" s="1"/>
  <c r="I33" i="7"/>
  <c r="J33" i="7" s="1"/>
  <c r="L33" i="7" s="1"/>
  <c r="I517" i="7"/>
  <c r="J517" i="7" s="1"/>
  <c r="L517" i="7" s="1"/>
  <c r="I586" i="7"/>
  <c r="J586" i="7" s="1"/>
  <c r="L586" i="7" s="1"/>
  <c r="I661" i="7"/>
  <c r="J661" i="7" s="1"/>
  <c r="L661" i="7" s="1"/>
  <c r="I597" i="7"/>
  <c r="J597" i="7" s="1"/>
  <c r="L597" i="7" s="1"/>
  <c r="I609" i="7"/>
  <c r="J609" i="7" s="1"/>
  <c r="L609" i="7" s="1"/>
  <c r="I342" i="7"/>
  <c r="J342" i="7" s="1"/>
  <c r="L342" i="7" s="1"/>
  <c r="I621" i="7"/>
  <c r="J621" i="7" s="1"/>
  <c r="L621" i="7" s="1"/>
  <c r="I91" i="7"/>
  <c r="J91" i="7" s="1"/>
  <c r="L91" i="7" s="1"/>
  <c r="I95" i="7"/>
  <c r="J95" i="7" s="1"/>
  <c r="L95" i="7" s="1"/>
  <c r="E63" i="7"/>
  <c r="I659" i="7"/>
  <c r="J659" i="7" s="1"/>
  <c r="L659" i="7" s="1"/>
  <c r="I99" i="7"/>
  <c r="J99" i="7" s="1"/>
  <c r="L99" i="7" s="1"/>
  <c r="I577" i="7"/>
  <c r="J577" i="7" s="1"/>
  <c r="L577" i="7" s="1"/>
  <c r="I44" i="7"/>
  <c r="J44" i="7" s="1"/>
  <c r="L44" i="7" s="1"/>
  <c r="I387" i="7"/>
  <c r="J387" i="7" s="1"/>
  <c r="I216" i="7"/>
  <c r="J216" i="7" s="1"/>
  <c r="L216" i="7" s="1"/>
  <c r="I406" i="7"/>
  <c r="J406" i="7" s="1"/>
  <c r="L406" i="7" s="1"/>
  <c r="I510" i="7"/>
  <c r="J510" i="7" s="1"/>
  <c r="L510" i="7" s="1"/>
  <c r="I671" i="7"/>
  <c r="J671" i="7" s="1"/>
  <c r="L671" i="7" s="1"/>
  <c r="I652" i="7"/>
  <c r="J652" i="7" s="1"/>
  <c r="L652" i="7" s="1"/>
  <c r="I525" i="7"/>
  <c r="J525" i="7" s="1"/>
  <c r="L525" i="7" s="1"/>
  <c r="I13" i="7"/>
  <c r="J13" i="7" s="1"/>
  <c r="L13" i="7" s="1"/>
  <c r="I197" i="7"/>
  <c r="J197" i="7" s="1"/>
  <c r="L197" i="7" s="1"/>
  <c r="I23" i="7"/>
  <c r="J23" i="7" s="1"/>
  <c r="L23" i="7" s="1"/>
  <c r="I483" i="7"/>
  <c r="J483" i="7" s="1"/>
  <c r="L483" i="7" s="1"/>
  <c r="I547" i="7"/>
  <c r="J547" i="7" s="1"/>
  <c r="L547" i="7" s="1"/>
  <c r="I47" i="7"/>
  <c r="J47" i="7" s="1"/>
  <c r="L47" i="7" s="1"/>
  <c r="I104" i="7"/>
  <c r="J104" i="7" s="1"/>
  <c r="L104" i="7" s="1"/>
  <c r="I401" i="7"/>
  <c r="J401" i="7" s="1"/>
  <c r="L401" i="7" s="1"/>
  <c r="I353" i="7"/>
  <c r="J353" i="7" s="1"/>
  <c r="L353" i="7" s="1"/>
  <c r="I260" i="7"/>
  <c r="J260" i="7" s="1"/>
  <c r="L260" i="7" s="1"/>
  <c r="I356" i="7"/>
  <c r="J356" i="7" s="1"/>
  <c r="L356" i="7" s="1"/>
  <c r="I121" i="7"/>
  <c r="J121" i="7" s="1"/>
  <c r="L121" i="7" s="1"/>
  <c r="I534" i="7"/>
  <c r="J534" i="7" s="1"/>
  <c r="L534" i="7" s="1"/>
  <c r="I499" i="7"/>
  <c r="J499" i="7" s="1"/>
  <c r="L499" i="7" s="1"/>
  <c r="I39" i="7"/>
  <c r="J39" i="7" s="1"/>
  <c r="L39" i="7" s="1"/>
  <c r="I457" i="7"/>
  <c r="J457" i="7" s="1"/>
  <c r="L457" i="7" s="1"/>
  <c r="I60" i="7"/>
  <c r="J60" i="7" s="1"/>
  <c r="L60" i="7" s="1"/>
  <c r="I468" i="7"/>
  <c r="J468" i="7" s="1"/>
  <c r="L468" i="7" s="1"/>
  <c r="I367" i="7"/>
  <c r="J367" i="7" s="1"/>
  <c r="L367" i="7" s="1"/>
  <c r="I615" i="7"/>
  <c r="J615" i="7" s="1"/>
  <c r="L615" i="7" s="1"/>
  <c r="I174" i="7"/>
  <c r="J174" i="7" s="1"/>
  <c r="L174" i="7" s="1"/>
  <c r="I119" i="7"/>
  <c r="J119" i="7" s="1"/>
  <c r="I383" i="7"/>
  <c r="J383" i="7" s="1"/>
  <c r="L383" i="7" s="1"/>
  <c r="I455" i="7"/>
  <c r="J455" i="7" s="1"/>
  <c r="L455" i="7" s="1"/>
  <c r="I298" i="7"/>
  <c r="J298" i="7" s="1"/>
  <c r="L298" i="7" s="1"/>
  <c r="I490" i="7"/>
  <c r="J490" i="7" s="1"/>
  <c r="I482" i="7"/>
  <c r="J482" i="7" s="1"/>
  <c r="L482" i="7" s="1"/>
  <c r="I533" i="7"/>
  <c r="J533" i="7" s="1"/>
  <c r="L533" i="7" s="1"/>
  <c r="I284" i="7"/>
  <c r="J284" i="7" s="1"/>
  <c r="L284" i="7" s="1"/>
  <c r="I572" i="7"/>
  <c r="J572" i="7" s="1"/>
  <c r="L572" i="7" s="1"/>
  <c r="I596" i="7"/>
  <c r="J596" i="7" s="1"/>
  <c r="L596" i="7" s="1"/>
  <c r="I426" i="7"/>
  <c r="J426" i="7" s="1"/>
  <c r="L426" i="7" s="1"/>
  <c r="I166" i="7"/>
  <c r="J166" i="7" s="1"/>
  <c r="I78" i="7"/>
  <c r="J78" i="7" s="1"/>
  <c r="L78" i="7" s="1"/>
  <c r="I430" i="7"/>
  <c r="J430" i="7" s="1"/>
  <c r="L430" i="7" s="1"/>
  <c r="I230" i="7"/>
  <c r="J230" i="7" s="1"/>
  <c r="L230" i="7" s="1"/>
  <c r="I575" i="7"/>
  <c r="J575" i="7" s="1"/>
  <c r="L575" i="7" s="1"/>
  <c r="I636" i="7"/>
  <c r="J636" i="7" s="1"/>
  <c r="L636" i="7" s="1"/>
  <c r="I209" i="7"/>
  <c r="J209" i="7" s="1"/>
  <c r="L209" i="7" s="1"/>
  <c r="I379" i="7"/>
  <c r="J379" i="7" s="1"/>
  <c r="L379" i="7" s="1"/>
  <c r="I373" i="7"/>
  <c r="J373" i="7" s="1"/>
  <c r="L373" i="7" s="1"/>
  <c r="I439" i="7"/>
  <c r="J439" i="7" s="1"/>
  <c r="L439" i="7" s="1"/>
  <c r="I348" i="7"/>
  <c r="J348" i="7" s="1"/>
  <c r="L348" i="7" s="1"/>
  <c r="I498" i="7"/>
  <c r="J498" i="7" s="1"/>
  <c r="L498" i="7" s="1"/>
  <c r="I666" i="7"/>
  <c r="J666" i="7" s="1"/>
  <c r="L666" i="7" s="1"/>
  <c r="I182" i="7"/>
  <c r="J182" i="7" s="1"/>
  <c r="L182" i="7" s="1"/>
  <c r="I458" i="7"/>
  <c r="J458" i="7" s="1"/>
  <c r="L458" i="7" s="1"/>
  <c r="I556" i="7"/>
  <c r="J556" i="7" s="1"/>
  <c r="L556" i="7" s="1"/>
  <c r="I108" i="7"/>
  <c r="J108" i="7" s="1"/>
  <c r="L108" i="7" s="1"/>
  <c r="I222" i="7"/>
  <c r="J222" i="7" s="1"/>
  <c r="L222" i="7" s="1"/>
  <c r="I398" i="7"/>
  <c r="J398" i="7" s="1"/>
  <c r="L398" i="7" s="1"/>
  <c r="I352" i="7"/>
  <c r="J352" i="7" s="1"/>
  <c r="L352" i="7" s="1"/>
  <c r="I28" i="7"/>
  <c r="J28" i="7" s="1"/>
  <c r="L28" i="7" s="1"/>
  <c r="I201" i="7"/>
  <c r="J201" i="7" s="1"/>
  <c r="L201" i="7" s="1"/>
  <c r="I244" i="7"/>
  <c r="J244" i="7" s="1"/>
  <c r="L244" i="7" s="1"/>
  <c r="Y677" i="7"/>
  <c r="I251" i="7"/>
  <c r="J251" i="7" s="1"/>
  <c r="L251" i="7" s="1"/>
  <c r="I344" i="7"/>
  <c r="J344" i="7" s="1"/>
  <c r="L344" i="7" s="1"/>
  <c r="I53" i="7"/>
  <c r="J53" i="7" s="1"/>
  <c r="L53" i="7" s="1"/>
  <c r="I218" i="7"/>
  <c r="J218" i="7" s="1"/>
  <c r="L218" i="7" s="1"/>
  <c r="I460" i="7"/>
  <c r="J460" i="7" s="1"/>
  <c r="L460" i="7" s="1"/>
  <c r="I404" i="7"/>
  <c r="J404" i="7" s="1"/>
  <c r="L404" i="7" s="1"/>
  <c r="I320" i="7"/>
  <c r="J320" i="7" s="1"/>
  <c r="L320" i="7" s="1"/>
  <c r="I309" i="7"/>
  <c r="J309" i="7" s="1"/>
  <c r="L309" i="7" s="1"/>
  <c r="I161" i="7"/>
  <c r="J161" i="7" s="1"/>
  <c r="L161" i="7" s="1"/>
  <c r="I132" i="7"/>
  <c r="J132" i="7" s="1"/>
  <c r="L132" i="7" s="1"/>
  <c r="I220" i="7"/>
  <c r="J220" i="7" s="1"/>
  <c r="L220" i="7" s="1"/>
  <c r="I400" i="7"/>
  <c r="J400" i="7" s="1"/>
  <c r="L400" i="7" s="1"/>
  <c r="I587" i="7"/>
  <c r="J587" i="7" s="1"/>
  <c r="L587" i="7" s="1"/>
  <c r="I513" i="7"/>
  <c r="J513" i="7" s="1"/>
  <c r="L513" i="7" s="1"/>
  <c r="I672" i="7"/>
  <c r="J672" i="7" s="1"/>
  <c r="L672" i="7" s="1"/>
  <c r="I170" i="7"/>
  <c r="J170" i="7" s="1"/>
  <c r="L170" i="7" s="1"/>
  <c r="I31" i="7"/>
  <c r="J31" i="7" s="1"/>
  <c r="L31" i="7" s="1"/>
  <c r="I49" i="7"/>
  <c r="J49" i="7" s="1"/>
  <c r="L49" i="7" s="1"/>
  <c r="I232" i="7"/>
  <c r="J232" i="7" s="1"/>
  <c r="L232" i="7" s="1"/>
  <c r="I38" i="7"/>
  <c r="J38" i="7" s="1"/>
  <c r="L38" i="7" s="1"/>
  <c r="I484" i="7"/>
  <c r="J484" i="7" s="1"/>
  <c r="L484" i="7" s="1"/>
  <c r="I324" i="7"/>
  <c r="J324" i="7" s="1"/>
  <c r="L324" i="7" s="1"/>
  <c r="I403" i="7"/>
  <c r="J403" i="7" s="1"/>
  <c r="L403" i="7" s="1"/>
  <c r="I374" i="7"/>
  <c r="J374" i="7" s="1"/>
  <c r="L374" i="7" s="1"/>
  <c r="I410" i="7"/>
  <c r="J410" i="7" s="1"/>
  <c r="L410" i="7" s="1"/>
  <c r="I592" i="7"/>
  <c r="J592" i="7" s="1"/>
  <c r="L592" i="7" s="1"/>
  <c r="I118" i="7"/>
  <c r="J118" i="7" s="1"/>
  <c r="L118" i="7" s="1"/>
  <c r="I467" i="7"/>
  <c r="J467" i="7" s="1"/>
  <c r="L467" i="7" s="1"/>
  <c r="I334" i="7"/>
  <c r="J334" i="7" s="1"/>
  <c r="L334" i="7" s="1"/>
  <c r="I51" i="7"/>
  <c r="J51" i="7" s="1"/>
  <c r="L51" i="7" s="1"/>
  <c r="I382" i="7"/>
  <c r="J382" i="7" s="1"/>
  <c r="I171" i="7"/>
  <c r="J171" i="7" s="1"/>
  <c r="L171" i="7" s="1"/>
  <c r="I541" i="7"/>
  <c r="J541" i="7" s="1"/>
  <c r="L541" i="7" s="1"/>
  <c r="I273" i="7"/>
  <c r="J273" i="7" s="1"/>
  <c r="L273" i="7" s="1"/>
  <c r="I340" i="7"/>
  <c r="J340" i="7" s="1"/>
  <c r="I137" i="7"/>
  <c r="J137" i="7" s="1"/>
  <c r="L137" i="7" s="1"/>
  <c r="I172" i="7"/>
  <c r="J172" i="7" s="1"/>
  <c r="L172" i="7" s="1"/>
  <c r="I622" i="7"/>
  <c r="J622" i="7" s="1"/>
  <c r="L622" i="7" s="1"/>
  <c r="I409" i="7"/>
  <c r="J409" i="7" s="1"/>
  <c r="L409" i="7" s="1"/>
  <c r="I74" i="7"/>
  <c r="J74" i="7" s="1"/>
  <c r="L74" i="7" s="1"/>
  <c r="I17" i="7"/>
  <c r="J17" i="7" s="1"/>
  <c r="L17" i="7" s="1"/>
  <c r="I325" i="7"/>
  <c r="J325" i="7" s="1"/>
  <c r="L325" i="7" s="1"/>
  <c r="I277" i="7"/>
  <c r="J277" i="7" s="1"/>
  <c r="L277" i="7" s="1"/>
  <c r="I41" i="7"/>
  <c r="J41" i="7" s="1"/>
  <c r="L41" i="7" s="1"/>
  <c r="I617" i="7"/>
  <c r="J617" i="7" s="1"/>
  <c r="L617" i="7" s="1"/>
  <c r="I385" i="7"/>
  <c r="J385" i="7" s="1"/>
  <c r="L385" i="7" s="1"/>
  <c r="I453" i="7"/>
  <c r="J453" i="7" s="1"/>
  <c r="L453" i="7" s="1"/>
  <c r="I608" i="7"/>
  <c r="J608" i="7" s="1"/>
  <c r="L608" i="7" s="1"/>
  <c r="I595" i="7"/>
  <c r="J595" i="7" s="1"/>
  <c r="L595" i="7" s="1"/>
  <c r="I550" i="7"/>
  <c r="J550" i="7" s="1"/>
  <c r="L550" i="7" s="1"/>
  <c r="I146" i="7"/>
  <c r="J146" i="7" s="1"/>
  <c r="L146" i="7" s="1"/>
  <c r="I350" i="7"/>
  <c r="J350" i="7" s="1"/>
  <c r="L350" i="7" s="1"/>
  <c r="I301" i="7"/>
  <c r="J301" i="7" s="1"/>
  <c r="L301" i="7" s="1"/>
  <c r="I98" i="7"/>
  <c r="J98" i="7" s="1"/>
  <c r="L98" i="7" s="1"/>
  <c r="I668" i="7"/>
  <c r="J668" i="7" s="1"/>
  <c r="L668" i="7" s="1"/>
  <c r="I665" i="7"/>
  <c r="J665" i="7" s="1"/>
  <c r="L665" i="7" s="1"/>
  <c r="I120" i="7"/>
  <c r="J120" i="7" s="1"/>
  <c r="L120" i="7" s="1"/>
  <c r="I419" i="7"/>
  <c r="J419" i="7" s="1"/>
  <c r="L419" i="7" s="1"/>
  <c r="I22" i="7"/>
  <c r="J22" i="7" s="1"/>
  <c r="L22" i="7" s="1"/>
  <c r="I300" i="7"/>
  <c r="J300" i="7" s="1"/>
  <c r="L300" i="7" s="1"/>
  <c r="I557" i="7"/>
  <c r="J557" i="7" s="1"/>
  <c r="L557" i="7" s="1"/>
  <c r="I145" i="7"/>
  <c r="J145" i="7" s="1"/>
  <c r="L145" i="7" s="1"/>
  <c r="I280" i="7"/>
  <c r="J280" i="7" s="1"/>
  <c r="L280" i="7" s="1"/>
  <c r="I321" i="7"/>
  <c r="J321" i="7" s="1"/>
  <c r="L321" i="7" s="1"/>
  <c r="I657" i="7"/>
  <c r="J657" i="7" s="1"/>
  <c r="L657" i="7" s="1"/>
  <c r="I349" i="7"/>
  <c r="J349" i="7" s="1"/>
  <c r="L349" i="7" s="1"/>
  <c r="I471" i="7"/>
  <c r="J471" i="7" s="1"/>
  <c r="L471" i="7" s="1"/>
  <c r="I122" i="7"/>
  <c r="J122" i="7" s="1"/>
  <c r="L122" i="7" s="1"/>
  <c r="I532" i="7"/>
  <c r="J532" i="7" s="1"/>
  <c r="L532" i="7" s="1"/>
  <c r="I89" i="7"/>
  <c r="J89" i="7" s="1"/>
  <c r="L89" i="7" s="1"/>
  <c r="I360" i="7"/>
  <c r="J360" i="7" s="1"/>
  <c r="L360" i="7" s="1"/>
  <c r="I268" i="7"/>
  <c r="J268" i="7" s="1"/>
  <c r="L268" i="7" s="1"/>
  <c r="I102" i="7"/>
  <c r="J102" i="7" s="1"/>
  <c r="L102" i="7" s="1"/>
  <c r="I408" i="7"/>
  <c r="J408" i="7" s="1"/>
  <c r="L408" i="7" s="1"/>
  <c r="I656" i="7"/>
  <c r="J656" i="7" s="1"/>
  <c r="L656" i="7" s="1"/>
  <c r="I478" i="7"/>
  <c r="J478" i="7" s="1"/>
  <c r="L478" i="7" s="1"/>
  <c r="I34" i="7"/>
  <c r="J34" i="7" s="1"/>
  <c r="L34" i="7" s="1"/>
  <c r="I463" i="7"/>
  <c r="J463" i="7" s="1"/>
  <c r="L463" i="7" s="1"/>
  <c r="I18" i="7"/>
  <c r="J18" i="7" s="1"/>
  <c r="L18" i="7" s="1"/>
  <c r="I77" i="7"/>
  <c r="J77" i="7" s="1"/>
  <c r="L77" i="7" s="1"/>
  <c r="I213" i="7"/>
  <c r="J213" i="7" s="1"/>
  <c r="L213" i="7" s="1"/>
  <c r="I191" i="7"/>
  <c r="J191" i="7" s="1"/>
  <c r="L191" i="7" s="1"/>
  <c r="I50" i="7"/>
  <c r="J50" i="7" s="1"/>
  <c r="L50" i="7" s="1"/>
  <c r="I55" i="7"/>
  <c r="J55" i="7" s="1"/>
  <c r="L55" i="7" s="1"/>
  <c r="I48" i="7"/>
  <c r="J48" i="7" s="1"/>
  <c r="L48" i="7" s="1"/>
  <c r="I105" i="7"/>
  <c r="J105" i="7" s="1"/>
  <c r="L105" i="7" s="1"/>
  <c r="I485" i="7"/>
  <c r="J485" i="7" s="1"/>
  <c r="L485" i="7" s="1"/>
  <c r="I441" i="7"/>
  <c r="J441" i="7" s="1"/>
  <c r="L441" i="7" s="1"/>
  <c r="I305" i="7"/>
  <c r="J305" i="7" s="1"/>
  <c r="L305" i="7" s="1"/>
  <c r="I246" i="7"/>
  <c r="J246" i="7" s="1"/>
  <c r="L246" i="7" s="1"/>
  <c r="I307" i="7"/>
  <c r="J307" i="7" s="1"/>
  <c r="L307" i="7" s="1"/>
  <c r="I278" i="7"/>
  <c r="J278" i="7" s="1"/>
  <c r="L278" i="7" s="1"/>
  <c r="I603" i="7"/>
  <c r="J603" i="7" s="1"/>
  <c r="L603" i="7" s="1"/>
  <c r="I436" i="7"/>
  <c r="J436" i="7" s="1"/>
  <c r="L436" i="7" s="1"/>
  <c r="I501" i="7"/>
  <c r="J501" i="7" s="1"/>
  <c r="L501" i="7" s="1"/>
  <c r="I559" i="7"/>
  <c r="J559" i="7" s="1"/>
  <c r="L559" i="7" s="1"/>
  <c r="I555" i="7"/>
  <c r="J555" i="7" s="1"/>
  <c r="L555" i="7" s="1"/>
  <c r="I290" i="7"/>
  <c r="J290" i="7" s="1"/>
  <c r="L290" i="7" s="1"/>
  <c r="I355" i="7"/>
  <c r="J355" i="7" s="1"/>
  <c r="L355" i="7" s="1"/>
  <c r="I231" i="7"/>
  <c r="J231" i="7" s="1"/>
  <c r="L231" i="7" s="1"/>
  <c r="I175" i="7"/>
  <c r="J175" i="7" s="1"/>
  <c r="L175" i="7" s="1"/>
  <c r="I475" i="7"/>
  <c r="J475" i="7" s="1"/>
  <c r="L475" i="7" s="1"/>
  <c r="I56" i="7"/>
  <c r="J56" i="7" s="1"/>
  <c r="L56" i="7" s="1"/>
  <c r="I131" i="7"/>
  <c r="J131" i="7" s="1"/>
  <c r="L131" i="7" s="1"/>
  <c r="I658" i="7"/>
  <c r="J658" i="7" s="1"/>
  <c r="L658" i="7" s="1"/>
  <c r="I217" i="7"/>
  <c r="J217" i="7" s="1"/>
  <c r="L217" i="7" s="1"/>
  <c r="I259" i="7"/>
  <c r="J259" i="7" s="1"/>
  <c r="L259" i="7" s="1"/>
  <c r="I226" i="7"/>
  <c r="J226" i="7" s="1"/>
  <c r="L226" i="7" s="1"/>
  <c r="I664" i="7"/>
  <c r="J664" i="7" s="1"/>
  <c r="L664" i="7" s="1"/>
  <c r="I511" i="7"/>
  <c r="J511" i="7" s="1"/>
  <c r="L511" i="7" s="1"/>
  <c r="I627" i="7"/>
  <c r="J627" i="7" s="1"/>
  <c r="L627" i="7" s="1"/>
  <c r="I514" i="7"/>
  <c r="J514" i="7" s="1"/>
  <c r="L514" i="7" s="1"/>
  <c r="I63" i="7"/>
  <c r="J63" i="7" s="1"/>
  <c r="L63" i="7" s="1"/>
  <c r="I36" i="5"/>
  <c r="J36" i="5" s="1"/>
  <c r="L36" i="5" s="1"/>
  <c r="I37" i="5"/>
  <c r="J37" i="5" s="1"/>
  <c r="L37" i="5" s="1"/>
  <c r="I118" i="5"/>
  <c r="J118" i="5" s="1"/>
  <c r="L118" i="5" s="1"/>
  <c r="I28" i="5"/>
  <c r="J28" i="5" s="1"/>
  <c r="L28" i="5" s="1"/>
  <c r="I351" i="5"/>
  <c r="J351" i="5" s="1"/>
  <c r="L351" i="5" s="1"/>
  <c r="I34" i="5"/>
  <c r="J34" i="5" s="1"/>
  <c r="L34" i="5" s="1"/>
  <c r="I61" i="5"/>
  <c r="J61" i="5" s="1"/>
  <c r="L61" i="5" s="1"/>
  <c r="I75" i="5"/>
  <c r="J75" i="5" s="1"/>
  <c r="L75" i="5" s="1"/>
  <c r="I82" i="5"/>
  <c r="J82" i="5" s="1"/>
  <c r="L82" i="5" s="1"/>
  <c r="I65" i="5"/>
  <c r="J65" i="5" s="1"/>
  <c r="L65" i="5" s="1"/>
  <c r="I344" i="5"/>
  <c r="J344" i="5" s="1"/>
  <c r="L344" i="5" s="1"/>
  <c r="I168" i="5"/>
  <c r="J168" i="5" s="1"/>
  <c r="L168" i="5" s="1"/>
  <c r="I21" i="43"/>
  <c r="R21" i="43" s="1"/>
  <c r="I51" i="5"/>
  <c r="J51" i="5" s="1"/>
  <c r="L51" i="5" s="1"/>
  <c r="H270" i="9"/>
  <c r="I617" i="12"/>
  <c r="J617" i="12" s="1"/>
  <c r="M617" i="12" s="1"/>
  <c r="I596" i="12"/>
  <c r="J596" i="12" s="1"/>
  <c r="M596" i="12" s="1"/>
  <c r="I571" i="12"/>
  <c r="J571" i="12" s="1"/>
  <c r="M571" i="12" s="1"/>
  <c r="I260" i="12"/>
  <c r="J260" i="12" s="1"/>
  <c r="M260" i="12" s="1"/>
  <c r="I40" i="12"/>
  <c r="J40" i="12" s="1"/>
  <c r="M40" i="12" s="1"/>
  <c r="I638" i="12"/>
  <c r="J638" i="12" s="1"/>
  <c r="M638" i="12" s="1"/>
  <c r="I593" i="12"/>
  <c r="J593" i="12" s="1"/>
  <c r="M593" i="12" s="1"/>
  <c r="I188" i="12"/>
  <c r="J188" i="12" s="1"/>
  <c r="M188" i="12" s="1"/>
  <c r="J683" i="2"/>
  <c r="J39" i="2"/>
  <c r="I91" i="5"/>
  <c r="J91" i="5" s="1"/>
  <c r="L91" i="5" s="1"/>
  <c r="I319" i="5"/>
  <c r="J319" i="5" s="1"/>
  <c r="L319" i="5" s="1"/>
  <c r="I10" i="19"/>
  <c r="J34" i="2"/>
  <c r="I4" i="44"/>
  <c r="R4" i="44" s="1"/>
  <c r="K445" i="8"/>
  <c r="I88" i="5"/>
  <c r="J88" i="5" s="1"/>
  <c r="L88" i="5" s="1"/>
  <c r="I391" i="12"/>
  <c r="J391" i="12" s="1"/>
  <c r="M391" i="12" s="1"/>
  <c r="I277" i="12"/>
  <c r="J277" i="12" s="1"/>
  <c r="M277" i="12" s="1"/>
  <c r="I317" i="12"/>
  <c r="J317" i="12" s="1"/>
  <c r="M317" i="12" s="1"/>
  <c r="I406" i="12"/>
  <c r="J406" i="12" s="1"/>
  <c r="M406" i="12" s="1"/>
  <c r="I83" i="12"/>
  <c r="J83" i="12" s="1"/>
  <c r="M83" i="12" s="1"/>
  <c r="I661" i="12"/>
  <c r="J661" i="12" s="1"/>
  <c r="M661" i="12" s="1"/>
  <c r="I632" i="12"/>
  <c r="J632" i="12" s="1"/>
  <c r="M632" i="12" s="1"/>
  <c r="I127" i="12"/>
  <c r="J127" i="12" s="1"/>
  <c r="M127" i="12" s="1"/>
  <c r="I114" i="5"/>
  <c r="J114" i="5" s="1"/>
  <c r="L114" i="5" s="1"/>
  <c r="J12" i="44"/>
  <c r="S12" i="44" s="1"/>
  <c r="I23" i="44"/>
  <c r="R23" i="44" s="1"/>
  <c r="I439" i="12"/>
  <c r="J439" i="12" s="1"/>
  <c r="M439" i="12" s="1"/>
  <c r="I178" i="12"/>
  <c r="J178" i="12" s="1"/>
  <c r="M178" i="12" s="1"/>
  <c r="I407" i="12"/>
  <c r="J407" i="12" s="1"/>
  <c r="M407" i="12" s="1"/>
  <c r="I403" i="12"/>
  <c r="J403" i="12" s="1"/>
  <c r="M403" i="12" s="1"/>
  <c r="Y678" i="7"/>
  <c r="I72" i="5"/>
  <c r="J72" i="5" s="1"/>
  <c r="L72" i="5" s="1"/>
  <c r="I26" i="43"/>
  <c r="R26" i="43" s="1"/>
  <c r="E4" i="44"/>
  <c r="N4" i="44" s="1"/>
  <c r="E4" i="37"/>
  <c r="E12" i="44"/>
  <c r="N12" i="44" s="1"/>
  <c r="K97" i="8"/>
  <c r="K468" i="8"/>
  <c r="K350" i="8"/>
  <c r="K112" i="8"/>
  <c r="J20" i="44"/>
  <c r="S20" i="44" s="1"/>
  <c r="I12" i="44"/>
  <c r="R12" i="44" s="1"/>
  <c r="K464" i="8"/>
  <c r="K186" i="8"/>
  <c r="E20" i="44"/>
  <c r="N20" i="44" s="1"/>
  <c r="I27" i="43"/>
  <c r="R27" i="43" s="1"/>
  <c r="K551" i="8"/>
  <c r="E479" i="7"/>
  <c r="K250" i="8"/>
  <c r="K639" i="8"/>
  <c r="K586" i="8"/>
  <c r="K63" i="8"/>
  <c r="K615" i="8"/>
  <c r="K98" i="8"/>
  <c r="K330" i="8"/>
  <c r="K527" i="8"/>
  <c r="K273" i="8"/>
  <c r="E633" i="7"/>
  <c r="J689" i="2"/>
  <c r="J17" i="2"/>
  <c r="I9" i="19"/>
  <c r="K94" i="8"/>
  <c r="K161" i="8"/>
  <c r="K568" i="8"/>
  <c r="K278" i="8"/>
  <c r="L495" i="7"/>
  <c r="K671" i="8"/>
  <c r="K564" i="8"/>
  <c r="K121" i="8"/>
  <c r="K46" i="8"/>
  <c r="K383" i="8"/>
  <c r="K660" i="8"/>
  <c r="K168" i="8"/>
  <c r="K82" i="8"/>
  <c r="K215" i="8"/>
  <c r="K642" i="8"/>
  <c r="K265" i="8"/>
  <c r="K286" i="8"/>
  <c r="I46" i="5"/>
  <c r="J46" i="5" s="1"/>
  <c r="L46" i="5" s="1"/>
  <c r="I15" i="19"/>
  <c r="I7" i="43"/>
  <c r="R7" i="43" s="1"/>
  <c r="I26" i="19"/>
  <c r="K678" i="8"/>
  <c r="K608" i="8"/>
  <c r="K99" i="8"/>
  <c r="K62" i="8"/>
  <c r="K130" i="8"/>
  <c r="K223" i="8"/>
  <c r="K364" i="8"/>
  <c r="K367" i="8"/>
  <c r="K684" i="8"/>
  <c r="K486" i="8"/>
  <c r="K476" i="8"/>
  <c r="K260" i="8"/>
  <c r="K155" i="8"/>
  <c r="K374" i="8"/>
  <c r="K232" i="8"/>
  <c r="K435" i="8"/>
  <c r="K588" i="8"/>
  <c r="K436" i="8"/>
  <c r="K506" i="8"/>
  <c r="I430" i="5"/>
  <c r="J430" i="5" s="1"/>
  <c r="I454" i="5"/>
  <c r="J454" i="5" s="1"/>
  <c r="K160" i="8"/>
  <c r="K337" i="8"/>
  <c r="K323" i="8"/>
  <c r="K652" i="8"/>
  <c r="K165" i="8"/>
  <c r="K219" i="8"/>
  <c r="J177" i="2"/>
  <c r="K578" i="8"/>
  <c r="I471" i="5"/>
  <c r="J471" i="5" s="1"/>
  <c r="I353" i="5"/>
  <c r="J353" i="5" s="1"/>
  <c r="L353" i="5" s="1"/>
  <c r="I293" i="5"/>
  <c r="J293" i="5" s="1"/>
  <c r="L293" i="5" s="1"/>
  <c r="I472" i="5"/>
  <c r="J472" i="5" s="1"/>
  <c r="Y229" i="7"/>
  <c r="J654" i="2"/>
  <c r="K312" i="8"/>
  <c r="K613" i="8"/>
  <c r="K329" i="8"/>
  <c r="K381" i="8"/>
  <c r="K579" i="8"/>
  <c r="K552" i="8"/>
  <c r="K275" i="8"/>
  <c r="K505" i="8"/>
  <c r="K140" i="8"/>
  <c r="K620" i="8"/>
  <c r="K317" i="8"/>
  <c r="K380" i="8"/>
  <c r="K659" i="8"/>
  <c r="K95" i="8"/>
  <c r="K646" i="8"/>
  <c r="K170" i="8"/>
  <c r="K509" i="8"/>
  <c r="K279" i="8"/>
  <c r="K144" i="8"/>
  <c r="K101" i="8"/>
  <c r="K493" i="8"/>
  <c r="J10" i="44" s="1"/>
  <c r="S10" i="44" s="1"/>
  <c r="K214" i="8"/>
  <c r="K40" i="8"/>
  <c r="K262" i="8"/>
  <c r="K172" i="8"/>
  <c r="K335" i="8"/>
  <c r="K355" i="8"/>
  <c r="K449" i="8"/>
  <c r="K325" i="8"/>
  <c r="K361" i="8"/>
  <c r="K77" i="8"/>
  <c r="K363" i="8"/>
  <c r="K665" i="8"/>
  <c r="K457" i="8"/>
  <c r="K60" i="8"/>
  <c r="K428" i="8"/>
  <c r="K75" i="8"/>
  <c r="K469" i="8"/>
  <c r="K238" i="8"/>
  <c r="K177" i="8"/>
  <c r="K530" i="8"/>
  <c r="K294" i="8"/>
  <c r="K438" i="8"/>
  <c r="K118" i="8"/>
  <c r="K187" i="8"/>
  <c r="K611" i="8"/>
  <c r="K142" i="8"/>
  <c r="K198" i="8"/>
  <c r="K532" i="8"/>
  <c r="K463" i="8"/>
  <c r="K400" i="8"/>
  <c r="K158" i="8"/>
  <c r="K148" i="8"/>
  <c r="K574" i="8"/>
  <c r="K504" i="8"/>
  <c r="K159" i="8"/>
  <c r="K192" i="8"/>
  <c r="K501" i="8"/>
  <c r="K196" i="8"/>
  <c r="K676" i="8"/>
  <c r="K488" i="8"/>
  <c r="K617" i="8"/>
  <c r="K441" i="8"/>
  <c r="K523" i="8"/>
  <c r="K269" i="8"/>
  <c r="K542" i="8"/>
  <c r="K194" i="8"/>
  <c r="K629" i="8"/>
  <c r="K680" i="8"/>
  <c r="K492" i="8"/>
  <c r="K621" i="8"/>
  <c r="K254" i="8"/>
  <c r="K321" i="8"/>
  <c r="K382" i="8"/>
  <c r="K663" i="8"/>
  <c r="K416" i="8"/>
  <c r="K458" i="8"/>
  <c r="K453" i="8"/>
  <c r="K673" i="8"/>
  <c r="K100" i="8"/>
  <c r="K103" i="8"/>
  <c r="K243" i="8"/>
  <c r="K454" i="8"/>
  <c r="K102" i="8"/>
  <c r="K307" i="8"/>
  <c r="K328" i="8"/>
  <c r="K531" i="8"/>
  <c r="K277" i="8"/>
  <c r="K550" i="8"/>
  <c r="K281" i="8"/>
  <c r="K349" i="8"/>
  <c r="K675" i="8"/>
  <c r="K664" i="8"/>
  <c r="K252" i="8"/>
  <c r="K334" i="8"/>
  <c r="K462" i="8"/>
  <c r="K679" i="8"/>
  <c r="K479" i="8"/>
  <c r="K315" i="8"/>
  <c r="K539" i="8"/>
  <c r="K176" i="8"/>
  <c r="K12" i="8"/>
  <c r="K290" i="8"/>
  <c r="K153" i="8"/>
  <c r="K525" i="8"/>
  <c r="K637" i="8"/>
  <c r="K483" i="8"/>
  <c r="K640" i="8"/>
  <c r="K511" i="8"/>
  <c r="K180" i="8"/>
  <c r="K85" i="8"/>
  <c r="K557" i="8"/>
  <c r="K351" i="8"/>
  <c r="K227" i="8"/>
  <c r="K366" i="8"/>
  <c r="K644" i="8"/>
  <c r="K683" i="8"/>
  <c r="K490" i="8"/>
  <c r="K52" i="8"/>
  <c r="K89" i="8"/>
  <c r="K626" i="8"/>
  <c r="K157" i="8"/>
  <c r="K231" i="8"/>
  <c r="K442" i="8"/>
  <c r="K163" i="8"/>
  <c r="K491" i="8"/>
  <c r="K78" i="8"/>
  <c r="K152" i="8"/>
  <c r="K143" i="8"/>
  <c r="K623" i="8"/>
  <c r="K375" i="8"/>
  <c r="K446" i="8"/>
  <c r="K386" i="8"/>
  <c r="K618" i="8"/>
  <c r="K32" i="8"/>
  <c r="K609" i="8"/>
  <c r="K444" i="8"/>
  <c r="K81" i="8"/>
  <c r="K358" i="8"/>
  <c r="K333" i="8"/>
  <c r="K432" i="8"/>
  <c r="K285" i="8"/>
  <c r="K529" i="8"/>
  <c r="K124" i="8"/>
  <c r="K370" i="8"/>
  <c r="K510" i="8"/>
  <c r="K596" i="8"/>
  <c r="K178" i="8"/>
  <c r="K218" i="8"/>
  <c r="K570" i="8"/>
  <c r="K599" i="8"/>
  <c r="K563" i="8"/>
  <c r="K326" i="8"/>
  <c r="K394" i="8"/>
  <c r="K310" i="8"/>
  <c r="K137" i="8"/>
  <c r="K516" i="8"/>
  <c r="K345" i="8"/>
  <c r="K105" i="8"/>
  <c r="K398" i="8"/>
  <c r="K353" i="8"/>
  <c r="K230" i="8"/>
  <c r="K301" i="8"/>
  <c r="K289" i="8"/>
  <c r="K603" i="8"/>
  <c r="K51" i="8"/>
  <c r="K106" i="8"/>
  <c r="K534" i="8"/>
  <c r="K414" i="8"/>
  <c r="K420" i="8"/>
  <c r="K66" i="8"/>
  <c r="K292" i="8"/>
  <c r="K347" i="8"/>
  <c r="J27" i="44" s="1"/>
  <c r="S27" i="44" s="1"/>
  <c r="K624" i="8"/>
  <c r="K667" i="8"/>
  <c r="K471" i="8"/>
  <c r="K306" i="8"/>
  <c r="K57" i="8"/>
  <c r="K71" i="8"/>
  <c r="K393" i="8"/>
  <c r="K61" i="8"/>
  <c r="J28" i="44" s="1"/>
  <c r="S28" i="44" s="1"/>
  <c r="K27" i="8"/>
  <c r="K129" i="8"/>
  <c r="K336" i="8"/>
  <c r="K70" i="8"/>
  <c r="K677" i="8"/>
  <c r="K225" i="8"/>
  <c r="K583" i="8"/>
  <c r="K272" i="8"/>
  <c r="K545" i="8"/>
  <c r="K641" i="8"/>
  <c r="K115" i="8"/>
  <c r="K430" i="8"/>
  <c r="K515" i="8"/>
  <c r="K258" i="8"/>
  <c r="K576" i="8"/>
  <c r="K127" i="8"/>
  <c r="K193" i="8"/>
  <c r="K35" i="8"/>
  <c r="K291" i="8"/>
  <c r="K395" i="8"/>
  <c r="K651" i="8"/>
  <c r="K276" i="8"/>
  <c r="K636" i="8"/>
  <c r="K372" i="8"/>
  <c r="K404" i="8"/>
  <c r="K149" i="8"/>
  <c r="K44" i="8"/>
  <c r="K669" i="8"/>
  <c r="I30" i="44"/>
  <c r="R30" i="44" s="1"/>
  <c r="I13" i="44"/>
  <c r="R13" i="44" s="1"/>
  <c r="I28" i="43"/>
  <c r="R28" i="43" s="1"/>
  <c r="I15" i="44"/>
  <c r="R15" i="44" s="1"/>
  <c r="I26" i="44"/>
  <c r="R26" i="44" s="1"/>
  <c r="I29" i="43"/>
  <c r="R29" i="43" s="1"/>
  <c r="I10" i="44"/>
  <c r="R10" i="44" s="1"/>
  <c r="I27" i="44"/>
  <c r="R27" i="44" s="1"/>
  <c r="E26" i="34"/>
  <c r="F26" i="34" s="1"/>
  <c r="I3" i="44"/>
  <c r="R3" i="44" s="1"/>
  <c r="I3" i="37"/>
  <c r="R3" i="37" s="1"/>
  <c r="I5" i="44"/>
  <c r="R5" i="44" s="1"/>
  <c r="E30" i="34"/>
  <c r="F30" i="34" s="1"/>
  <c r="I358" i="12"/>
  <c r="J358" i="12" s="1"/>
  <c r="M358" i="12" s="1"/>
  <c r="I624" i="12"/>
  <c r="J624" i="12" s="1"/>
  <c r="M624" i="12" s="1"/>
  <c r="I58" i="12"/>
  <c r="J58" i="12" s="1"/>
  <c r="M58" i="12" s="1"/>
  <c r="I692" i="12"/>
  <c r="J692" i="12" s="1"/>
  <c r="I675" i="12"/>
  <c r="J675" i="12" s="1"/>
  <c r="M675" i="12" s="1"/>
  <c r="I565" i="12"/>
  <c r="J565" i="12" s="1"/>
  <c r="M565" i="12" s="1"/>
  <c r="I418" i="12"/>
  <c r="J418" i="12" s="1"/>
  <c r="M418" i="12" s="1"/>
  <c r="I209" i="12"/>
  <c r="J209" i="12" s="1"/>
  <c r="M209" i="12" s="1"/>
  <c r="I216" i="12"/>
  <c r="J216" i="12" s="1"/>
  <c r="M216" i="12" s="1"/>
  <c r="I371" i="12"/>
  <c r="J371" i="12" s="1"/>
  <c r="M371" i="12" s="1"/>
  <c r="I372" i="12"/>
  <c r="J372" i="12" s="1"/>
  <c r="M372" i="12" s="1"/>
  <c r="I663" i="12"/>
  <c r="J663" i="12" s="1"/>
  <c r="M663" i="12" s="1"/>
  <c r="I240" i="12"/>
  <c r="J240" i="12" s="1"/>
  <c r="M240" i="12" s="1"/>
  <c r="I225" i="12"/>
  <c r="J225" i="12" s="1"/>
  <c r="M225" i="12" s="1"/>
  <c r="I530" i="12"/>
  <c r="J530" i="12" s="1"/>
  <c r="M530" i="12" s="1"/>
  <c r="I295" i="12"/>
  <c r="J295" i="12" s="1"/>
  <c r="M295" i="12" s="1"/>
  <c r="I662" i="12"/>
  <c r="J662" i="12" s="1"/>
  <c r="M662" i="12" s="1"/>
  <c r="I265" i="12"/>
  <c r="J265" i="12" s="1"/>
  <c r="M265" i="12" s="1"/>
  <c r="I643" i="12"/>
  <c r="J643" i="12" s="1"/>
  <c r="M643" i="12" s="1"/>
  <c r="I653" i="12"/>
  <c r="J653" i="12" s="1"/>
  <c r="M653" i="12" s="1"/>
  <c r="I80" i="12"/>
  <c r="J80" i="12" s="1"/>
  <c r="M80" i="12" s="1"/>
  <c r="I296" i="12"/>
  <c r="J296" i="12" s="1"/>
  <c r="M296" i="12" s="1"/>
  <c r="I101" i="12"/>
  <c r="J101" i="12" s="1"/>
  <c r="M101" i="12" s="1"/>
  <c r="I625" i="12"/>
  <c r="J625" i="12" s="1"/>
  <c r="M625" i="12" s="1"/>
  <c r="I620" i="12"/>
  <c r="J620" i="12" s="1"/>
  <c r="M620" i="12" s="1"/>
  <c r="I447" i="12"/>
  <c r="J447" i="12" s="1"/>
  <c r="M447" i="12" s="1"/>
  <c r="I453" i="12"/>
  <c r="J453" i="12" s="1"/>
  <c r="M453" i="12" s="1"/>
  <c r="I125" i="12"/>
  <c r="J125" i="12" s="1"/>
  <c r="M125" i="12" s="1"/>
  <c r="I248" i="12"/>
  <c r="J248" i="12" s="1"/>
  <c r="M248" i="12" s="1"/>
  <c r="I541" i="12"/>
  <c r="J541" i="12" s="1"/>
  <c r="M541" i="12" s="1"/>
  <c r="I75" i="12"/>
  <c r="J75" i="12" s="1"/>
  <c r="M75" i="12" s="1"/>
  <c r="I21" i="12"/>
  <c r="J21" i="12" s="1"/>
  <c r="M21" i="12" s="1"/>
  <c r="I157" i="12"/>
  <c r="J157" i="12" s="1"/>
  <c r="M157" i="12" s="1"/>
  <c r="I29" i="12"/>
  <c r="J29" i="12" s="1"/>
  <c r="M29" i="12" s="1"/>
  <c r="I147" i="12"/>
  <c r="J147" i="12" s="1"/>
  <c r="M147" i="12" s="1"/>
  <c r="I171" i="12"/>
  <c r="J171" i="12" s="1"/>
  <c r="M171" i="12" s="1"/>
  <c r="I509" i="12"/>
  <c r="J509" i="12" s="1"/>
  <c r="M509" i="12" s="1"/>
  <c r="I20" i="12"/>
  <c r="J20" i="12" s="1"/>
  <c r="M20" i="12" s="1"/>
  <c r="I390" i="12"/>
  <c r="J390" i="12" s="1"/>
  <c r="M390" i="12" s="1"/>
  <c r="I92" i="12"/>
  <c r="J92" i="12" s="1"/>
  <c r="M92" i="12" s="1"/>
  <c r="I229" i="12"/>
  <c r="J229" i="12" s="1"/>
  <c r="M229" i="12" s="1"/>
  <c r="I523" i="12"/>
  <c r="J523" i="12" s="1"/>
  <c r="M523" i="12" s="1"/>
  <c r="I102" i="12"/>
  <c r="J102" i="12" s="1"/>
  <c r="M102" i="12" s="1"/>
  <c r="I281" i="12"/>
  <c r="J281" i="12" s="1"/>
  <c r="M281" i="12" s="1"/>
  <c r="I338" i="12"/>
  <c r="J338" i="12" s="1"/>
  <c r="M338" i="12" s="1"/>
  <c r="I443" i="12"/>
  <c r="J443" i="12" s="1"/>
  <c r="M443" i="12" s="1"/>
  <c r="I68" i="12"/>
  <c r="J68" i="12" s="1"/>
  <c r="M68" i="12" s="1"/>
  <c r="I50" i="12"/>
  <c r="J50" i="12" s="1"/>
  <c r="M50" i="12" s="1"/>
  <c r="I585" i="12"/>
  <c r="J585" i="12" s="1"/>
  <c r="M585" i="12" s="1"/>
  <c r="I680" i="12"/>
  <c r="J680" i="12" s="1"/>
  <c r="M680" i="12" s="1"/>
  <c r="I205" i="12"/>
  <c r="J205" i="12" s="1"/>
  <c r="M205" i="12" s="1"/>
  <c r="I70" i="12"/>
  <c r="J70" i="12" s="1"/>
  <c r="M70" i="12" s="1"/>
  <c r="Y271" i="7"/>
  <c r="Y21" i="7"/>
  <c r="E528" i="7"/>
  <c r="E204" i="7"/>
  <c r="Y204" i="7"/>
  <c r="Y211" i="7"/>
  <c r="E211" i="7"/>
  <c r="E312" i="7"/>
  <c r="Y84" i="7"/>
  <c r="I112" i="7"/>
  <c r="J112" i="7" s="1"/>
  <c r="L112" i="7" s="1"/>
  <c r="I368" i="7"/>
  <c r="J368" i="7" s="1"/>
  <c r="L368" i="7" s="1"/>
  <c r="I529" i="7"/>
  <c r="J529" i="7" s="1"/>
  <c r="L529" i="7" s="1"/>
  <c r="I480" i="7"/>
  <c r="J480" i="7" s="1"/>
  <c r="L480" i="7" s="1"/>
  <c r="I148" i="7"/>
  <c r="J148" i="7" s="1"/>
  <c r="L148" i="7" s="1"/>
  <c r="I470" i="7"/>
  <c r="J470" i="7" s="1"/>
  <c r="L470" i="7" s="1"/>
  <c r="G17" i="44" s="1"/>
  <c r="P17" i="44" s="1"/>
  <c r="I363" i="7"/>
  <c r="J363" i="7" s="1"/>
  <c r="L363" i="7" s="1"/>
  <c r="Y664" i="7"/>
  <c r="I76" i="7"/>
  <c r="J76" i="7" s="1"/>
  <c r="L76" i="7" s="1"/>
  <c r="I412" i="7"/>
  <c r="J412" i="7" s="1"/>
  <c r="L412" i="7" s="1"/>
  <c r="I593" i="7"/>
  <c r="J593" i="7" s="1"/>
  <c r="L593" i="7" s="1"/>
  <c r="I405" i="7"/>
  <c r="J405" i="7" s="1"/>
  <c r="L405" i="7" s="1"/>
  <c r="I204" i="7"/>
  <c r="J204" i="7" s="1"/>
  <c r="L204" i="7" s="1"/>
  <c r="I85" i="7"/>
  <c r="J85" i="7" s="1"/>
  <c r="L85" i="7" s="1"/>
  <c r="I293" i="7"/>
  <c r="J293" i="7" s="1"/>
  <c r="L293" i="7" s="1"/>
  <c r="I362" i="7"/>
  <c r="J362" i="7" s="1"/>
  <c r="L362" i="7" s="1"/>
  <c r="Y65" i="7"/>
  <c r="E65" i="7"/>
  <c r="I651" i="7"/>
  <c r="J651" i="7" s="1"/>
  <c r="L651" i="7" s="1"/>
  <c r="Y456" i="7"/>
  <c r="E456" i="7"/>
  <c r="E64" i="7"/>
  <c r="I133" i="7"/>
  <c r="J133" i="7" s="1"/>
  <c r="L133" i="7" s="1"/>
  <c r="I318" i="7"/>
  <c r="J318" i="7" s="1"/>
  <c r="L318" i="7" s="1"/>
  <c r="I190" i="7"/>
  <c r="J190" i="7" s="1"/>
  <c r="L190" i="7" s="1"/>
  <c r="I604" i="7"/>
  <c r="J604" i="7" s="1"/>
  <c r="L604" i="7" s="1"/>
  <c r="I487" i="7"/>
  <c r="J487" i="7" s="1"/>
  <c r="L487" i="7" s="1"/>
  <c r="I629" i="7"/>
  <c r="J629" i="7" s="1"/>
  <c r="L629" i="7" s="1"/>
  <c r="I114" i="7"/>
  <c r="J114" i="7" s="1"/>
  <c r="L114" i="7" s="1"/>
  <c r="I578" i="7"/>
  <c r="J578" i="7" s="1"/>
  <c r="L578" i="7" s="1"/>
  <c r="I194" i="7"/>
  <c r="J194" i="7" s="1"/>
  <c r="L194" i="7" s="1"/>
  <c r="I124" i="7"/>
  <c r="J124" i="7" s="1"/>
  <c r="L124" i="7" s="1"/>
  <c r="I127" i="7"/>
  <c r="J127" i="7" s="1"/>
  <c r="L127" i="7" s="1"/>
  <c r="I228" i="7"/>
  <c r="J228" i="7" s="1"/>
  <c r="L228" i="7" s="1"/>
  <c r="L166" i="7"/>
  <c r="I518" i="7"/>
  <c r="J518" i="7" s="1"/>
  <c r="L518" i="7" s="1"/>
  <c r="I351" i="7"/>
  <c r="J351" i="7" s="1"/>
  <c r="L351" i="7" s="1"/>
  <c r="I45" i="7"/>
  <c r="J45" i="7" s="1"/>
  <c r="L45" i="7" s="1"/>
  <c r="I165" i="7"/>
  <c r="J165" i="7" s="1"/>
  <c r="L165" i="7" s="1"/>
  <c r="I93" i="7"/>
  <c r="J93" i="7" s="1"/>
  <c r="L93" i="7" s="1"/>
  <c r="Y163" i="7"/>
  <c r="I422" i="7"/>
  <c r="J422" i="7" s="1"/>
  <c r="L422" i="7" s="1"/>
  <c r="I660" i="7"/>
  <c r="J660" i="7" s="1"/>
  <c r="L660" i="7" s="1"/>
  <c r="I381" i="7"/>
  <c r="J381" i="7" s="1"/>
  <c r="L381" i="7" s="1"/>
  <c r="I193" i="7"/>
  <c r="J193" i="7" s="1"/>
  <c r="L193" i="7" s="1"/>
  <c r="I326" i="7"/>
  <c r="J326" i="7" s="1"/>
  <c r="L326" i="7" s="1"/>
  <c r="I600" i="7"/>
  <c r="J600" i="7" s="1"/>
  <c r="L600" i="7" s="1"/>
  <c r="I345" i="7"/>
  <c r="J345" i="7" s="1"/>
  <c r="L345" i="7" s="1"/>
  <c r="I270" i="7"/>
  <c r="J270" i="7" s="1"/>
  <c r="L270" i="7" s="1"/>
  <c r="I288" i="7"/>
  <c r="J288" i="7" s="1"/>
  <c r="L288" i="7" s="1"/>
  <c r="I64" i="7"/>
  <c r="J64" i="7" s="1"/>
  <c r="L64" i="7" s="1"/>
  <c r="I365" i="7"/>
  <c r="J365" i="7" s="1"/>
  <c r="L365" i="7" s="1"/>
  <c r="I390" i="7"/>
  <c r="J390" i="7" s="1"/>
  <c r="L390" i="7" s="1"/>
  <c r="I469" i="7"/>
  <c r="J469" i="7" s="1"/>
  <c r="L469" i="7" s="1"/>
  <c r="I675" i="7"/>
  <c r="J675" i="7" s="1"/>
  <c r="L675" i="7" s="1"/>
  <c r="I650" i="7"/>
  <c r="J650" i="7" s="1"/>
  <c r="L650" i="7" s="1"/>
  <c r="I567" i="7"/>
  <c r="J567" i="7" s="1"/>
  <c r="L567" i="7" s="1"/>
  <c r="I673" i="7"/>
  <c r="J673" i="7" s="1"/>
  <c r="L673" i="7" s="1"/>
  <c r="I32" i="7"/>
  <c r="J32" i="7" s="1"/>
  <c r="L32" i="7" s="1"/>
  <c r="I103" i="7"/>
  <c r="J103" i="7" s="1"/>
  <c r="L103" i="7" s="1"/>
  <c r="I315" i="7"/>
  <c r="J315" i="7" s="1"/>
  <c r="L315" i="7" s="1"/>
  <c r="I680" i="7"/>
  <c r="J680" i="7" s="1"/>
  <c r="L680" i="7" s="1"/>
  <c r="I526" i="7"/>
  <c r="J526" i="7" s="1"/>
  <c r="L526" i="7" s="1"/>
  <c r="I115" i="7"/>
  <c r="J115" i="7" s="1"/>
  <c r="L115" i="7" s="1"/>
  <c r="I312" i="7"/>
  <c r="J312" i="7" s="1"/>
  <c r="L312" i="7" s="1"/>
  <c r="I177" i="7"/>
  <c r="J177" i="7" s="1"/>
  <c r="L177" i="7" s="1"/>
  <c r="I20" i="7"/>
  <c r="J20" i="7" s="1"/>
  <c r="L20" i="7" s="1"/>
  <c r="I265" i="7"/>
  <c r="J265" i="7" s="1"/>
  <c r="L265" i="7" s="1"/>
  <c r="I196" i="7"/>
  <c r="J196" i="7" s="1"/>
  <c r="L196" i="7" s="1"/>
  <c r="I72" i="7"/>
  <c r="J72" i="7" s="1"/>
  <c r="L72" i="7" s="1"/>
  <c r="I606" i="7"/>
  <c r="J606" i="7" s="1"/>
  <c r="L606" i="7" s="1"/>
  <c r="I527" i="7"/>
  <c r="J527" i="7" s="1"/>
  <c r="L527" i="7" s="1"/>
  <c r="I562" i="7"/>
  <c r="J562" i="7" s="1"/>
  <c r="L562" i="7" s="1"/>
  <c r="G15" i="44" s="1"/>
  <c r="P15" i="44" s="1"/>
  <c r="I447" i="7"/>
  <c r="J447" i="7" s="1"/>
  <c r="L447" i="7" s="1"/>
  <c r="I52" i="7"/>
  <c r="J52" i="7" s="1"/>
  <c r="L52" i="7" s="1"/>
  <c r="I628" i="7"/>
  <c r="J628" i="7" s="1"/>
  <c r="L628" i="7" s="1"/>
  <c r="I459" i="7"/>
  <c r="J459" i="7" s="1"/>
  <c r="L459" i="7" s="1"/>
  <c r="I386" i="7"/>
  <c r="J386" i="7" s="1"/>
  <c r="L386" i="7" s="1"/>
  <c r="I285" i="7"/>
  <c r="J285" i="7" s="1"/>
  <c r="L285" i="7" s="1"/>
  <c r="I643" i="7"/>
  <c r="J643" i="7" s="1"/>
  <c r="L643" i="7" s="1"/>
  <c r="I602" i="7"/>
  <c r="J602" i="7" s="1"/>
  <c r="L602" i="7" s="1"/>
  <c r="I192" i="7"/>
  <c r="J192" i="7" s="1"/>
  <c r="L192" i="7" s="1"/>
  <c r="I451" i="7"/>
  <c r="J451" i="7" s="1"/>
  <c r="L451" i="7" s="1"/>
  <c r="I645" i="7"/>
  <c r="J645" i="7" s="1"/>
  <c r="L645" i="7" s="1"/>
  <c r="I473" i="7"/>
  <c r="J473" i="7" s="1"/>
  <c r="L473" i="7" s="1"/>
  <c r="I380" i="7"/>
  <c r="J380" i="7" s="1"/>
  <c r="L380" i="7" s="1"/>
  <c r="I79" i="7"/>
  <c r="J79" i="7" s="1"/>
  <c r="L79" i="7" s="1"/>
  <c r="I223" i="7"/>
  <c r="J223" i="7" s="1"/>
  <c r="L223" i="7" s="1"/>
  <c r="L549" i="7"/>
  <c r="I536" i="7"/>
  <c r="J536" i="7" s="1"/>
  <c r="L536" i="7" s="1"/>
  <c r="I598" i="7"/>
  <c r="J598" i="7" s="1"/>
  <c r="L598" i="7" s="1"/>
  <c r="I88" i="7"/>
  <c r="J88" i="7" s="1"/>
  <c r="L88" i="7" s="1"/>
  <c r="I393" i="7"/>
  <c r="J393" i="7" s="1"/>
  <c r="L393" i="7" s="1"/>
  <c r="I308" i="7"/>
  <c r="J308" i="7" s="1"/>
  <c r="L308" i="7" s="1"/>
  <c r="I276" i="7"/>
  <c r="J276" i="7" s="1"/>
  <c r="L276" i="7" s="1"/>
  <c r="I445" i="7"/>
  <c r="J445" i="7" s="1"/>
  <c r="L445" i="7" s="1"/>
  <c r="I150" i="7"/>
  <c r="J150" i="7" s="1"/>
  <c r="L150" i="7" s="1"/>
  <c r="I125" i="7"/>
  <c r="J125" i="7" s="1"/>
  <c r="L125" i="7" s="1"/>
  <c r="I65" i="7"/>
  <c r="J65" i="7" s="1"/>
  <c r="L65" i="7" s="1"/>
  <c r="I30" i="7"/>
  <c r="J30" i="7" s="1"/>
  <c r="L30" i="7" s="1"/>
  <c r="I215" i="7"/>
  <c r="J215" i="7" s="1"/>
  <c r="L215" i="7" s="1"/>
  <c r="L583" i="7"/>
  <c r="I141" i="7"/>
  <c r="J141" i="7" s="1"/>
  <c r="L141" i="7" s="1"/>
  <c r="I378" i="7"/>
  <c r="J378" i="7" s="1"/>
  <c r="L378" i="7" s="1"/>
  <c r="I189" i="7"/>
  <c r="J189" i="7" s="1"/>
  <c r="L189" i="7" s="1"/>
  <c r="I674" i="7"/>
  <c r="J674" i="7" s="1"/>
  <c r="L674" i="7" s="1"/>
  <c r="I311" i="7"/>
  <c r="J311" i="7" s="1"/>
  <c r="L311" i="7" s="1"/>
  <c r="I450" i="7"/>
  <c r="J450" i="7" s="1"/>
  <c r="L450" i="7" s="1"/>
  <c r="I62" i="7"/>
  <c r="J62" i="7" s="1"/>
  <c r="L62" i="7" s="1"/>
  <c r="I616" i="7"/>
  <c r="J616" i="7" s="1"/>
  <c r="L616" i="7" s="1"/>
  <c r="I531" i="7"/>
  <c r="J531" i="7" s="1"/>
  <c r="L531" i="7" s="1"/>
  <c r="I530" i="7"/>
  <c r="J530" i="7" s="1"/>
  <c r="L530" i="7" s="1"/>
  <c r="I123" i="7"/>
  <c r="J123" i="7" s="1"/>
  <c r="L123" i="7" s="1"/>
  <c r="I69" i="7"/>
  <c r="J69" i="7" s="1"/>
  <c r="L69" i="7" s="1"/>
  <c r="I477" i="7"/>
  <c r="J477" i="7" s="1"/>
  <c r="L477" i="7" s="1"/>
  <c r="I157" i="7"/>
  <c r="J157" i="7" s="1"/>
  <c r="L157" i="7" s="1"/>
  <c r="I502" i="7"/>
  <c r="J502" i="7" s="1"/>
  <c r="L502" i="7" s="1"/>
  <c r="I461" i="7"/>
  <c r="J461" i="7" s="1"/>
  <c r="L461" i="7" s="1"/>
  <c r="I57" i="7"/>
  <c r="J57" i="7" s="1"/>
  <c r="L57" i="7" s="1"/>
  <c r="I238" i="7"/>
  <c r="J238" i="7" s="1"/>
  <c r="L238" i="7" s="1"/>
  <c r="I181" i="7"/>
  <c r="J181" i="7" s="1"/>
  <c r="L181" i="7" s="1"/>
  <c r="I185" i="7"/>
  <c r="J185" i="7" s="1"/>
  <c r="L185" i="7" s="1"/>
  <c r="I528" i="7"/>
  <c r="J528" i="7" s="1"/>
  <c r="L528" i="7" s="1"/>
  <c r="I168" i="7"/>
  <c r="J168" i="7" s="1"/>
  <c r="L168" i="7" s="1"/>
  <c r="I431" i="7"/>
  <c r="J431" i="7" s="1"/>
  <c r="L431" i="7" s="1"/>
  <c r="I271" i="7"/>
  <c r="J271" i="7" s="1"/>
  <c r="L271" i="7" s="1"/>
  <c r="I319" i="7"/>
  <c r="J319" i="7" s="1"/>
  <c r="L319" i="7" s="1"/>
  <c r="I85" i="5"/>
  <c r="J85" i="5" s="1"/>
  <c r="L85" i="5" s="1"/>
  <c r="I278" i="5"/>
  <c r="J278" i="5" s="1"/>
  <c r="I450" i="5"/>
  <c r="J450" i="5" s="1"/>
  <c r="I306" i="5"/>
  <c r="J306" i="5" s="1"/>
  <c r="I468" i="5"/>
  <c r="J468" i="5" s="1"/>
  <c r="I428" i="5"/>
  <c r="J428" i="5" s="1"/>
  <c r="I399" i="5"/>
  <c r="J399" i="5" s="1"/>
  <c r="I197" i="5"/>
  <c r="J197" i="5" s="1"/>
  <c r="L197" i="5" s="1"/>
  <c r="I149" i="5"/>
  <c r="J149" i="5" s="1"/>
  <c r="I593" i="5"/>
  <c r="J593" i="5" s="1"/>
  <c r="I213" i="5"/>
  <c r="J213" i="5" s="1"/>
  <c r="L213" i="5" s="1"/>
  <c r="I346" i="5"/>
  <c r="J346" i="5" s="1"/>
  <c r="I588" i="5"/>
  <c r="J588" i="5" s="1"/>
  <c r="I123" i="5"/>
  <c r="J123" i="5" s="1"/>
  <c r="I33" i="5"/>
  <c r="J33" i="5" s="1"/>
  <c r="L33" i="5" s="1"/>
  <c r="I93" i="5"/>
  <c r="J93" i="5" s="1"/>
  <c r="L93" i="5" s="1"/>
  <c r="I163" i="5"/>
  <c r="J163" i="5" s="1"/>
  <c r="I622" i="5"/>
  <c r="J622" i="5" s="1"/>
  <c r="I172" i="5"/>
  <c r="J172" i="5" s="1"/>
  <c r="L172" i="5" s="1"/>
  <c r="I57" i="5"/>
  <c r="J57" i="5" s="1"/>
  <c r="L57" i="5" s="1"/>
  <c r="I24" i="5"/>
  <c r="J24" i="5" s="1"/>
  <c r="L24" i="5" s="1"/>
  <c r="I406" i="5"/>
  <c r="J406" i="5" s="1"/>
  <c r="I84" i="5"/>
  <c r="J84" i="5" s="1"/>
  <c r="L84" i="5" s="1"/>
  <c r="I359" i="5"/>
  <c r="J359" i="5" s="1"/>
  <c r="L359" i="5" s="1"/>
  <c r="I10" i="5"/>
  <c r="L10" i="5" s="1"/>
  <c r="I212" i="5"/>
  <c r="J212" i="5" s="1"/>
  <c r="I444" i="5"/>
  <c r="J444" i="5" s="1"/>
  <c r="I35" i="5"/>
  <c r="J35" i="5" s="1"/>
  <c r="L35" i="5" s="1"/>
  <c r="I587" i="5"/>
  <c r="J587" i="5" s="1"/>
  <c r="I299" i="5"/>
  <c r="J299" i="5" s="1"/>
  <c r="I284" i="5"/>
  <c r="J284" i="5" s="1"/>
  <c r="I45" i="5"/>
  <c r="J45" i="5" s="1"/>
  <c r="L45" i="5" s="1"/>
  <c r="I136" i="5"/>
  <c r="J136" i="5" s="1"/>
  <c r="I366" i="5"/>
  <c r="J366" i="5" s="1"/>
  <c r="I318" i="5"/>
  <c r="J318" i="5" s="1"/>
  <c r="I391" i="5"/>
  <c r="J391" i="5" s="1"/>
  <c r="I305" i="5"/>
  <c r="J305" i="5" s="1"/>
  <c r="I374" i="5"/>
  <c r="J374" i="5" s="1"/>
  <c r="I297" i="5"/>
  <c r="J297" i="5" s="1"/>
  <c r="L297" i="5" s="1"/>
  <c r="I300" i="5"/>
  <c r="J300" i="5" s="1"/>
  <c r="I438" i="5"/>
  <c r="J438" i="5" s="1"/>
  <c r="L438" i="5" s="1"/>
  <c r="I152" i="5"/>
  <c r="J152" i="5" s="1"/>
  <c r="I369" i="5"/>
  <c r="J369" i="5" s="1"/>
  <c r="L369" i="5" s="1"/>
  <c r="I242" i="5"/>
  <c r="J242" i="5" s="1"/>
  <c r="I14" i="5"/>
  <c r="J14" i="5" s="1"/>
  <c r="L14" i="5" s="1"/>
  <c r="I277" i="5"/>
  <c r="J277" i="5" s="1"/>
  <c r="I339" i="5"/>
  <c r="J339" i="5" s="1"/>
  <c r="I387" i="5"/>
  <c r="J387" i="5" s="1"/>
  <c r="I22" i="5"/>
  <c r="J22" i="5" s="1"/>
  <c r="L22" i="5" s="1"/>
  <c r="I583" i="5"/>
  <c r="J583" i="5" s="1"/>
  <c r="I470" i="5"/>
  <c r="J470" i="5" s="1"/>
  <c r="L470" i="5" s="1"/>
  <c r="I422" i="5"/>
  <c r="J422" i="5" s="1"/>
  <c r="I437" i="5"/>
  <c r="J437" i="5" s="1"/>
  <c r="I282" i="5"/>
  <c r="J282" i="5" s="1"/>
  <c r="I83" i="5"/>
  <c r="J83" i="5" s="1"/>
  <c r="L83" i="5" s="1"/>
  <c r="I67" i="5"/>
  <c r="J67" i="5" s="1"/>
  <c r="L67" i="5" s="1"/>
  <c r="I81" i="5"/>
  <c r="J81" i="5" s="1"/>
  <c r="L81" i="5" s="1"/>
  <c r="I115" i="5"/>
  <c r="J115" i="5" s="1"/>
  <c r="I191" i="5"/>
  <c r="J191" i="5" s="1"/>
  <c r="L191" i="5" s="1"/>
  <c r="I160" i="5"/>
  <c r="J160" i="5" s="1"/>
  <c r="I26" i="5"/>
  <c r="J26" i="5" s="1"/>
  <c r="L26" i="5" s="1"/>
  <c r="I475" i="5"/>
  <c r="J475" i="5" s="1"/>
  <c r="I258" i="5"/>
  <c r="J258" i="5" s="1"/>
  <c r="L258" i="5" s="1"/>
  <c r="I384" i="5"/>
  <c r="J384" i="5" s="1"/>
  <c r="L384" i="5" s="1"/>
  <c r="I628" i="5"/>
  <c r="J628" i="5" s="1"/>
  <c r="I143" i="5"/>
  <c r="J143" i="5" s="1"/>
  <c r="I591" i="5"/>
  <c r="J591" i="5" s="1"/>
  <c r="L591" i="5" s="1"/>
  <c r="I221" i="5"/>
  <c r="J221" i="5" s="1"/>
  <c r="L221" i="5" s="1"/>
  <c r="I315" i="5"/>
  <c r="J315" i="5" s="1"/>
  <c r="L315" i="5" s="1"/>
  <c r="I367" i="5"/>
  <c r="J367" i="5" s="1"/>
  <c r="I456" i="5"/>
  <c r="J456" i="5" s="1"/>
  <c r="I371" i="5"/>
  <c r="J371" i="5" s="1"/>
  <c r="L371" i="5" s="1"/>
  <c r="I625" i="5"/>
  <c r="J625" i="5" s="1"/>
  <c r="L625" i="5" s="1"/>
  <c r="I389" i="5"/>
  <c r="J389" i="5" s="1"/>
  <c r="I98" i="5"/>
  <c r="J98" i="5" s="1"/>
  <c r="L98" i="5" s="1"/>
  <c r="I241" i="5"/>
  <c r="J241" i="5" s="1"/>
  <c r="I177" i="5"/>
  <c r="J177" i="5" s="1"/>
  <c r="I314" i="5"/>
  <c r="J314" i="5" s="1"/>
  <c r="I436" i="5"/>
  <c r="J436" i="5" s="1"/>
  <c r="I296" i="5"/>
  <c r="J296" i="5" s="1"/>
  <c r="I256" i="5"/>
  <c r="J256" i="5" s="1"/>
  <c r="L256" i="5" s="1"/>
  <c r="I617" i="5"/>
  <c r="J617" i="5" s="1"/>
  <c r="I169" i="5"/>
  <c r="J169" i="5" s="1"/>
  <c r="L169" i="5" s="1"/>
  <c r="I100" i="5"/>
  <c r="J100" i="5" s="1"/>
  <c r="E386" i="7"/>
  <c r="I403" i="5"/>
  <c r="J403" i="5" s="1"/>
  <c r="J602" i="12"/>
  <c r="M602" i="12" s="1"/>
  <c r="H13" i="47" s="1"/>
  <c r="Q13" i="47" s="1"/>
  <c r="I396" i="5"/>
  <c r="J396" i="5" s="1"/>
  <c r="L396" i="5" s="1"/>
  <c r="I28" i="19"/>
  <c r="M766" i="33"/>
  <c r="P766" i="33" s="1"/>
  <c r="J553" i="12"/>
  <c r="M553" i="12" s="1"/>
  <c r="J211" i="12"/>
  <c r="M211" i="12" s="1"/>
  <c r="E12" i="40"/>
  <c r="F12" i="40" s="1"/>
  <c r="G21" i="8"/>
  <c r="H21" i="8" s="1"/>
  <c r="K21" i="8" s="1"/>
  <c r="I626" i="5"/>
  <c r="J626" i="5" s="1"/>
  <c r="I599" i="5"/>
  <c r="J599" i="5" s="1"/>
  <c r="I273" i="5"/>
  <c r="J273" i="5" s="1"/>
  <c r="L273" i="5" s="1"/>
  <c r="I230" i="5"/>
  <c r="J230" i="5" s="1"/>
  <c r="I595" i="5"/>
  <c r="J595" i="5" s="1"/>
  <c r="L595" i="5" s="1"/>
  <c r="J759" i="2"/>
  <c r="J181" i="2"/>
  <c r="I71" i="5"/>
  <c r="J71" i="5" s="1"/>
  <c r="L71" i="5" s="1"/>
  <c r="I459" i="5"/>
  <c r="J459" i="5" s="1"/>
  <c r="I104" i="5"/>
  <c r="J104" i="5" s="1"/>
  <c r="L104" i="5" s="1"/>
  <c r="E32" i="34"/>
  <c r="F32" i="34" s="1"/>
  <c r="I99" i="5"/>
  <c r="J99" i="5" s="1"/>
  <c r="L99" i="5" s="1"/>
  <c r="J106" i="12"/>
  <c r="M106" i="12" s="1"/>
  <c r="I328" i="5"/>
  <c r="J328" i="5" s="1"/>
  <c r="L328" i="5" s="1"/>
  <c r="M777" i="33"/>
  <c r="P777" i="33" s="1"/>
  <c r="I6" i="44" s="1"/>
  <c r="R6" i="44" s="1"/>
  <c r="J141" i="12"/>
  <c r="M141" i="12" s="1"/>
  <c r="J422" i="12"/>
  <c r="M422" i="12" s="1"/>
  <c r="I375" i="5"/>
  <c r="J375" i="5" s="1"/>
  <c r="I425" i="5"/>
  <c r="J425" i="5" s="1"/>
  <c r="I108" i="5"/>
  <c r="J108" i="5" s="1"/>
  <c r="I360" i="5"/>
  <c r="J360" i="5" s="1"/>
  <c r="L360" i="5" s="1"/>
  <c r="I285" i="5"/>
  <c r="J285" i="5" s="1"/>
  <c r="I426" i="5"/>
  <c r="J426" i="5" s="1"/>
  <c r="I394" i="5"/>
  <c r="J394" i="5" s="1"/>
  <c r="L394" i="5" s="1"/>
  <c r="I159" i="5"/>
  <c r="J159" i="5" s="1"/>
  <c r="I343" i="5"/>
  <c r="J343" i="5" s="1"/>
  <c r="J17" i="44"/>
  <c r="S17" i="44" s="1"/>
  <c r="J15" i="44"/>
  <c r="S15" i="44" s="1"/>
  <c r="J13" i="44"/>
  <c r="S13" i="44" s="1"/>
  <c r="J527" i="12"/>
  <c r="M527" i="12" s="1"/>
  <c r="M263" i="33"/>
  <c r="P263" i="33" s="1"/>
  <c r="I24" i="44" s="1"/>
  <c r="R24" i="44" s="1"/>
  <c r="I11" i="44"/>
  <c r="R11" i="44" s="1"/>
  <c r="J181" i="12"/>
  <c r="M181" i="12" s="1"/>
  <c r="E21" i="40"/>
  <c r="F21" i="40" s="1"/>
  <c r="G13" i="8"/>
  <c r="H13" i="8" s="1"/>
  <c r="K13" i="8" s="1"/>
  <c r="J200" i="12"/>
  <c r="M200" i="12" s="1"/>
  <c r="I303" i="5"/>
  <c r="J303" i="5" s="1"/>
  <c r="L303" i="5" s="1"/>
  <c r="I201" i="5"/>
  <c r="J201" i="5" s="1"/>
  <c r="L201" i="5" s="1"/>
  <c r="I397" i="5"/>
  <c r="J397" i="5" s="1"/>
  <c r="I473" i="5"/>
  <c r="J473" i="5" s="1"/>
  <c r="E38" i="34"/>
  <c r="F38" i="34" s="1"/>
  <c r="M15" i="33"/>
  <c r="P15" i="33" s="1"/>
  <c r="I29" i="44" s="1"/>
  <c r="R29" i="44" s="1"/>
  <c r="I30" i="19"/>
  <c r="M747" i="33"/>
  <c r="P747" i="33" s="1"/>
  <c r="I20" i="44" s="1"/>
  <c r="I8" i="37"/>
  <c r="R8" i="37" s="1"/>
  <c r="M548" i="33"/>
  <c r="P548" i="33" s="1"/>
  <c r="I28" i="44" s="1"/>
  <c r="R28" i="44" s="1"/>
  <c r="J388" i="12"/>
  <c r="M388" i="12" s="1"/>
  <c r="E17" i="40"/>
  <c r="F17" i="40" s="1"/>
  <c r="G19" i="8"/>
  <c r="H19" i="8" s="1"/>
  <c r="K19" i="8" s="1"/>
  <c r="E8" i="43"/>
  <c r="N8" i="43" s="1"/>
  <c r="E11" i="43"/>
  <c r="N11" i="43" s="1"/>
  <c r="E5" i="43"/>
  <c r="N5" i="43" s="1"/>
  <c r="E6" i="43"/>
  <c r="N6" i="43" s="1"/>
  <c r="E4" i="43"/>
  <c r="N4" i="43" s="1"/>
  <c r="E20" i="43"/>
  <c r="N20" i="43" s="1"/>
  <c r="E12" i="43"/>
  <c r="N12" i="43" s="1"/>
  <c r="E18" i="43"/>
  <c r="N18" i="43" s="1"/>
  <c r="E15" i="43"/>
  <c r="N15" i="43" s="1"/>
  <c r="E19" i="43"/>
  <c r="N19" i="43" s="1"/>
  <c r="I239" i="5"/>
  <c r="J239" i="5" s="1"/>
  <c r="I355" i="5"/>
  <c r="J355" i="5" s="1"/>
  <c r="I146" i="5"/>
  <c r="J146" i="5" s="1"/>
  <c r="L146" i="5" s="1"/>
  <c r="I148" i="5"/>
  <c r="J148" i="5" s="1"/>
  <c r="I338" i="5"/>
  <c r="J338" i="5" s="1"/>
  <c r="I352" i="5"/>
  <c r="J352" i="5" s="1"/>
  <c r="L352" i="5" s="1"/>
  <c r="I477" i="5"/>
  <c r="J477" i="5" s="1"/>
  <c r="L477" i="5" s="1"/>
  <c r="I467" i="5"/>
  <c r="J467" i="5" s="1"/>
  <c r="I262" i="5"/>
  <c r="J262" i="5" s="1"/>
  <c r="I605" i="5"/>
  <c r="J605" i="5" s="1"/>
  <c r="L605" i="5" s="1"/>
  <c r="I362" i="5"/>
  <c r="J362" i="5" s="1"/>
  <c r="L362" i="5" s="1"/>
  <c r="I309" i="5"/>
  <c r="J309" i="5" s="1"/>
  <c r="I301" i="5"/>
  <c r="J301" i="5" s="1"/>
  <c r="I320" i="5"/>
  <c r="J320" i="5" s="1"/>
  <c r="I584" i="5"/>
  <c r="J584" i="5" s="1"/>
  <c r="L584" i="5" s="1"/>
  <c r="I264" i="5"/>
  <c r="J264" i="5" s="1"/>
  <c r="J315" i="2"/>
  <c r="J14" i="44"/>
  <c r="S14" i="44" s="1"/>
  <c r="J5" i="44"/>
  <c r="S5" i="44" s="1"/>
  <c r="J11" i="44"/>
  <c r="S11" i="44" s="1"/>
  <c r="I432" i="5"/>
  <c r="J432" i="5" s="1"/>
  <c r="I110" i="5"/>
  <c r="J110" i="5" s="1"/>
  <c r="L110" i="5" s="1"/>
  <c r="J473" i="12"/>
  <c r="M473" i="12" s="1"/>
  <c r="I476" i="5"/>
  <c r="J476" i="5" s="1"/>
  <c r="L476" i="5" s="1"/>
  <c r="I317" i="5"/>
  <c r="J317" i="5" s="1"/>
  <c r="L317" i="5" s="1"/>
  <c r="I379" i="5"/>
  <c r="J379" i="5" s="1"/>
  <c r="L379" i="5" s="1"/>
  <c r="J289" i="12"/>
  <c r="M289" i="12" s="1"/>
  <c r="J548" i="12"/>
  <c r="M548" i="12" s="1"/>
  <c r="J392" i="12"/>
  <c r="M392" i="12" s="1"/>
  <c r="G10" i="8"/>
  <c r="H10" i="8" s="1"/>
  <c r="K10" i="8" s="1"/>
  <c r="E9" i="40"/>
  <c r="F9" i="40" s="1"/>
  <c r="E25" i="40"/>
  <c r="F25" i="40" s="1"/>
  <c r="E5" i="40"/>
  <c r="E13" i="40"/>
  <c r="F13" i="40" s="1"/>
  <c r="E10" i="40"/>
  <c r="F10" i="40" s="1"/>
  <c r="E6" i="40"/>
  <c r="F6" i="40" s="1"/>
  <c r="E22" i="40"/>
  <c r="F22" i="40" s="1"/>
  <c r="E24" i="40"/>
  <c r="F24" i="40" s="1"/>
  <c r="E19" i="40"/>
  <c r="F19" i="40" s="1"/>
  <c r="E16" i="40"/>
  <c r="F16" i="40" s="1"/>
  <c r="E23" i="40"/>
  <c r="F23" i="40" s="1"/>
  <c r="E18" i="40"/>
  <c r="F18" i="40" s="1"/>
  <c r="E11" i="40"/>
  <c r="F11" i="40" s="1"/>
  <c r="E8" i="40"/>
  <c r="F8" i="40" s="1"/>
  <c r="E20" i="40"/>
  <c r="F20" i="40" s="1"/>
  <c r="E7" i="40"/>
  <c r="F7" i="40" s="1"/>
  <c r="E15" i="40"/>
  <c r="F15" i="40" s="1"/>
  <c r="E14" i="40"/>
  <c r="F14" i="40" s="1"/>
  <c r="I349" i="5"/>
  <c r="J349" i="5" s="1"/>
  <c r="L349" i="5" s="1"/>
  <c r="I332" i="5"/>
  <c r="J332" i="5" s="1"/>
  <c r="J110" i="12"/>
  <c r="M110" i="12" s="1"/>
  <c r="I134" i="5"/>
  <c r="J134" i="5" s="1"/>
  <c r="L134" i="5" s="1"/>
  <c r="I404" i="5"/>
  <c r="J404" i="5" s="1"/>
  <c r="L404" i="5" s="1"/>
  <c r="I15" i="37"/>
  <c r="R15" i="37" s="1"/>
  <c r="M473" i="33"/>
  <c r="I17" i="37" s="1"/>
  <c r="R17" i="37" s="1"/>
  <c r="M742" i="33"/>
  <c r="P742" i="33" s="1"/>
  <c r="I14" i="43" s="1"/>
  <c r="R14" i="43" s="1"/>
  <c r="J483" i="12"/>
  <c r="M483" i="12" s="1"/>
  <c r="J121" i="12"/>
  <c r="M121" i="12" s="1"/>
  <c r="I209" i="5"/>
  <c r="J209" i="5" s="1"/>
  <c r="L209" i="5" s="1"/>
  <c r="I234" i="5"/>
  <c r="J234" i="5" s="1"/>
  <c r="I203" i="5"/>
  <c r="J203" i="5" s="1"/>
  <c r="I449" i="5"/>
  <c r="J449" i="5" s="1"/>
  <c r="I624" i="5"/>
  <c r="J624" i="5" s="1"/>
  <c r="L624" i="5" s="1"/>
  <c r="I455" i="5"/>
  <c r="J455" i="5" s="1"/>
  <c r="L455" i="5" s="1"/>
  <c r="I316" i="5"/>
  <c r="J316" i="5" s="1"/>
  <c r="I474" i="5"/>
  <c r="J474" i="5" s="1"/>
  <c r="I326" i="5"/>
  <c r="J326" i="5" s="1"/>
  <c r="I184" i="5"/>
  <c r="J184" i="5" s="1"/>
  <c r="I162" i="5"/>
  <c r="J162" i="5" s="1"/>
  <c r="I240" i="5"/>
  <c r="J240" i="5" s="1"/>
  <c r="L240" i="5" s="1"/>
  <c r="I333" i="5"/>
  <c r="J333" i="5" s="1"/>
  <c r="L333" i="5" s="1"/>
  <c r="I154" i="5"/>
  <c r="J154" i="5" s="1"/>
  <c r="E340" i="7"/>
  <c r="E598" i="7"/>
  <c r="J538" i="2"/>
  <c r="J6" i="44"/>
  <c r="S6" i="44" s="1"/>
  <c r="J3" i="44"/>
  <c r="S3" i="44" s="1"/>
  <c r="G15" i="8"/>
  <c r="H15" i="8" s="1"/>
  <c r="J8" i="44"/>
  <c r="S8" i="44" s="1"/>
  <c r="J16" i="44"/>
  <c r="S16" i="44" s="1"/>
  <c r="J24" i="44"/>
  <c r="S24" i="44" s="1"/>
  <c r="J29" i="44"/>
  <c r="S29" i="44" s="1"/>
  <c r="L261" i="7"/>
  <c r="I302" i="5"/>
  <c r="J302" i="5" s="1"/>
  <c r="I400" i="5"/>
  <c r="J400" i="5" s="1"/>
  <c r="I611" i="5"/>
  <c r="J611" i="5" s="1"/>
  <c r="E15" i="44"/>
  <c r="N15" i="44" s="1"/>
  <c r="J476" i="12"/>
  <c r="M476" i="12" s="1"/>
  <c r="I106" i="5"/>
  <c r="J106" i="5" s="1"/>
  <c r="L106" i="5" s="1"/>
  <c r="I194" i="5"/>
  <c r="J194" i="5" s="1"/>
  <c r="L194" i="5" s="1"/>
  <c r="I363" i="5"/>
  <c r="J363" i="5" s="1"/>
  <c r="L363" i="5" s="1"/>
  <c r="I23" i="37"/>
  <c r="R23" i="37" s="1"/>
  <c r="M414" i="33"/>
  <c r="P414" i="33" s="1"/>
  <c r="M242" i="33"/>
  <c r="P242" i="33" s="1"/>
  <c r="J290" i="12"/>
  <c r="M290" i="12" s="1"/>
  <c r="I132" i="5"/>
  <c r="J132" i="5" s="1"/>
  <c r="I237" i="5"/>
  <c r="J237" i="5" s="1"/>
  <c r="I250" i="5"/>
  <c r="J250" i="5" s="1"/>
  <c r="L250" i="5" s="1"/>
  <c r="I158" i="5"/>
  <c r="J158" i="5" s="1"/>
  <c r="L158" i="5" s="1"/>
  <c r="I377" i="5"/>
  <c r="J377" i="5" s="1"/>
  <c r="L377" i="5" s="1"/>
  <c r="I182" i="5"/>
  <c r="J182" i="5" s="1"/>
  <c r="I615" i="5"/>
  <c r="J615" i="5" s="1"/>
  <c r="I629" i="5"/>
  <c r="J629" i="5" s="1"/>
  <c r="I128" i="5"/>
  <c r="J128" i="5" s="1"/>
  <c r="I181" i="5"/>
  <c r="J181" i="5" s="1"/>
  <c r="I190" i="5"/>
  <c r="J190" i="5" s="1"/>
  <c r="I578" i="5"/>
  <c r="J578" i="5" s="1"/>
  <c r="I135" i="5"/>
  <c r="J135" i="5" s="1"/>
  <c r="I121" i="5"/>
  <c r="J121" i="5" s="1"/>
  <c r="L121" i="5" s="1"/>
  <c r="I452" i="5"/>
  <c r="J452" i="5" s="1"/>
  <c r="L452" i="5" s="1"/>
  <c r="I274" i="5"/>
  <c r="J274" i="5" s="1"/>
  <c r="L274" i="5" s="1"/>
  <c r="I176" i="5"/>
  <c r="J176" i="5" s="1"/>
  <c r="L176" i="5" s="1"/>
  <c r="I156" i="5"/>
  <c r="J156" i="5" s="1"/>
  <c r="L156" i="5" s="1"/>
  <c r="I161" i="5"/>
  <c r="J161" i="5" s="1"/>
  <c r="I334" i="5"/>
  <c r="J334" i="5" s="1"/>
  <c r="Y514" i="7"/>
  <c r="J765" i="2"/>
  <c r="J652" i="2"/>
  <c r="I48" i="5"/>
  <c r="J48" i="5" s="1"/>
  <c r="L48" i="5" s="1"/>
  <c r="J86" i="12"/>
  <c r="M86" i="12" s="1"/>
  <c r="I4" i="37"/>
  <c r="R4" i="37" s="1"/>
  <c r="M306" i="33"/>
  <c r="P306" i="33" s="1"/>
  <c r="I25" i="43" s="1"/>
  <c r="R25" i="43" s="1"/>
  <c r="I7" i="44"/>
  <c r="R7" i="44" s="1"/>
  <c r="I17" i="19"/>
  <c r="M764" i="33"/>
  <c r="P764" i="33" s="1"/>
  <c r="I20" i="43" s="1"/>
  <c r="R20" i="43" s="1"/>
  <c r="J318" i="12"/>
  <c r="M318" i="12" s="1"/>
  <c r="I205" i="5"/>
  <c r="J205" i="5" s="1"/>
  <c r="L205" i="5" s="1"/>
  <c r="I341" i="5"/>
  <c r="J341" i="5" s="1"/>
  <c r="L341" i="5" s="1"/>
  <c r="I41" i="5"/>
  <c r="J41" i="5" s="1"/>
  <c r="L41" i="5" s="1"/>
  <c r="I13" i="5"/>
  <c r="J13" i="5" s="1"/>
  <c r="L13" i="5" s="1"/>
  <c r="I229" i="5"/>
  <c r="J229" i="5" s="1"/>
  <c r="L229" i="5" s="1"/>
  <c r="I268" i="5"/>
  <c r="J268" i="5" s="1"/>
  <c r="L268" i="5" s="1"/>
  <c r="I608" i="5"/>
  <c r="J608" i="5" s="1"/>
  <c r="L608" i="5" s="1"/>
  <c r="I457" i="5"/>
  <c r="J457" i="5" s="1"/>
  <c r="L457" i="5" s="1"/>
  <c r="I323" i="5"/>
  <c r="J323" i="5" s="1"/>
  <c r="L323" i="5" s="1"/>
  <c r="I614" i="5"/>
  <c r="J614" i="5" s="1"/>
  <c r="L614" i="5" s="1"/>
  <c r="I281" i="5"/>
  <c r="J281" i="5" s="1"/>
  <c r="L281" i="5" s="1"/>
  <c r="I340" i="5"/>
  <c r="J340" i="5" s="1"/>
  <c r="L340" i="5" s="1"/>
  <c r="I117" i="5"/>
  <c r="J117" i="5" s="1"/>
  <c r="I368" i="5"/>
  <c r="J368" i="5" s="1"/>
  <c r="L368" i="5" s="1"/>
  <c r="I618" i="5"/>
  <c r="J618" i="5" s="1"/>
  <c r="L618" i="5" s="1"/>
  <c r="I214" i="5"/>
  <c r="J214" i="5" s="1"/>
  <c r="L214" i="5" s="1"/>
  <c r="I325" i="5"/>
  <c r="J325" i="5" s="1"/>
  <c r="L325" i="5" s="1"/>
  <c r="I113" i="5"/>
  <c r="J113" i="5" s="1"/>
  <c r="L113" i="5" s="1"/>
  <c r="I116" i="5"/>
  <c r="J116" i="5" s="1"/>
  <c r="L116" i="5" s="1"/>
  <c r="I356" i="5"/>
  <c r="J356" i="5" s="1"/>
  <c r="L356" i="5" s="1"/>
  <c r="I206" i="5"/>
  <c r="J206" i="5" s="1"/>
  <c r="L206" i="5" s="1"/>
  <c r="I392" i="5"/>
  <c r="J392" i="5" s="1"/>
  <c r="L392" i="5" s="1"/>
  <c r="I405" i="5"/>
  <c r="J405" i="5" s="1"/>
  <c r="L405" i="5" s="1"/>
  <c r="I581" i="5"/>
  <c r="J581" i="5" s="1"/>
  <c r="L581" i="5" s="1"/>
  <c r="I94" i="5"/>
  <c r="J94" i="5" s="1"/>
  <c r="I119" i="5"/>
  <c r="J119" i="5" s="1"/>
  <c r="I448" i="5"/>
  <c r="J448" i="5" s="1"/>
  <c r="L448" i="5" s="1"/>
  <c r="I174" i="5"/>
  <c r="J174" i="5" s="1"/>
  <c r="I111" i="5"/>
  <c r="J111" i="5" s="1"/>
  <c r="L111" i="5" s="1"/>
  <c r="I147" i="5"/>
  <c r="J147" i="5" s="1"/>
  <c r="L147" i="5" s="1"/>
  <c r="I380" i="5"/>
  <c r="J380" i="5" s="1"/>
  <c r="L380" i="5" s="1"/>
  <c r="I276" i="5"/>
  <c r="J276" i="5" s="1"/>
  <c r="L276" i="5" s="1"/>
  <c r="I157" i="5"/>
  <c r="J157" i="5" s="1"/>
  <c r="L157" i="5" s="1"/>
  <c r="I600" i="5"/>
  <c r="J600" i="5" s="1"/>
  <c r="L600" i="5" s="1"/>
  <c r="I465" i="5"/>
  <c r="J465" i="5" s="1"/>
  <c r="L465" i="5" s="1"/>
  <c r="I153" i="5"/>
  <c r="J153" i="5" s="1"/>
  <c r="L153" i="5" s="1"/>
  <c r="F6" i="43"/>
  <c r="O6" i="43" s="1"/>
  <c r="F15" i="43"/>
  <c r="O15" i="43" s="1"/>
  <c r="F8" i="43"/>
  <c r="O8" i="43" s="1"/>
  <c r="F10" i="43"/>
  <c r="O10" i="43" s="1"/>
  <c r="F11" i="43"/>
  <c r="O11" i="43" s="1"/>
  <c r="F4" i="43"/>
  <c r="O4" i="43" s="1"/>
  <c r="F5" i="43"/>
  <c r="O5" i="43" s="1"/>
  <c r="F18" i="43"/>
  <c r="O18" i="43" s="1"/>
  <c r="F19" i="43"/>
  <c r="O19" i="43" s="1"/>
  <c r="F20" i="43"/>
  <c r="O20" i="43" s="1"/>
  <c r="F12" i="43"/>
  <c r="O12" i="43" s="1"/>
  <c r="I347" i="5"/>
  <c r="J347" i="5" s="1"/>
  <c r="L347" i="5" s="1"/>
  <c r="I179" i="5"/>
  <c r="J179" i="5" s="1"/>
  <c r="L179" i="5" s="1"/>
  <c r="I415" i="5"/>
  <c r="J415" i="5" s="1"/>
  <c r="L415" i="5" s="1"/>
  <c r="I463" i="5"/>
  <c r="J463" i="5" s="1"/>
  <c r="L463" i="5" s="1"/>
  <c r="I417" i="5"/>
  <c r="J417" i="5" s="1"/>
  <c r="L417" i="5" s="1"/>
  <c r="I427" i="5"/>
  <c r="J427" i="5" s="1"/>
  <c r="L427" i="5" s="1"/>
  <c r="I398" i="5"/>
  <c r="J398" i="5" s="1"/>
  <c r="L398" i="5" s="1"/>
  <c r="I613" i="5"/>
  <c r="J613" i="5" s="1"/>
  <c r="L613" i="5" s="1"/>
  <c r="I228" i="5"/>
  <c r="J228" i="5" s="1"/>
  <c r="L228" i="5" s="1"/>
  <c r="I291" i="5"/>
  <c r="J291" i="5" s="1"/>
  <c r="L291" i="5" s="1"/>
  <c r="I348" i="5"/>
  <c r="J348" i="5" s="1"/>
  <c r="L348" i="5" s="1"/>
  <c r="I267" i="5"/>
  <c r="J267" i="5" s="1"/>
  <c r="L267" i="5" s="1"/>
  <c r="I594" i="5"/>
  <c r="J594" i="5" s="1"/>
  <c r="L594" i="5" s="1"/>
  <c r="I294" i="5"/>
  <c r="J294" i="5" s="1"/>
  <c r="L294" i="5" s="1"/>
  <c r="I270" i="5"/>
  <c r="J270" i="5" s="1"/>
  <c r="L270" i="5" s="1"/>
  <c r="I105" i="5"/>
  <c r="J105" i="5" s="1"/>
  <c r="L105" i="5" s="1"/>
  <c r="I631" i="5"/>
  <c r="J631" i="5" s="1"/>
  <c r="L631" i="5" s="1"/>
  <c r="I271" i="5"/>
  <c r="J271" i="5" s="1"/>
  <c r="L271" i="5" s="1"/>
  <c r="I579" i="5"/>
  <c r="J579" i="5" s="1"/>
  <c r="L579" i="5" s="1"/>
  <c r="I200" i="5"/>
  <c r="J200" i="5" s="1"/>
  <c r="L200" i="5" s="1"/>
  <c r="I388" i="5"/>
  <c r="J388" i="5" s="1"/>
  <c r="L388" i="5" s="1"/>
  <c r="I222" i="5"/>
  <c r="J222" i="5" s="1"/>
  <c r="L222" i="5" s="1"/>
  <c r="I413" i="5"/>
  <c r="J413" i="5" s="1"/>
  <c r="L413" i="5" s="1"/>
  <c r="I243" i="5"/>
  <c r="J243" i="5" s="1"/>
  <c r="L243" i="5" s="1"/>
  <c r="I173" i="5"/>
  <c r="J173" i="5" s="1"/>
  <c r="L173" i="5" s="1"/>
  <c r="I292" i="5"/>
  <c r="J292" i="5" s="1"/>
  <c r="L292" i="5" s="1"/>
  <c r="I217" i="5"/>
  <c r="J217" i="5" s="1"/>
  <c r="L217" i="5" s="1"/>
  <c r="I204" i="5"/>
  <c r="J204" i="5" s="1"/>
  <c r="L204" i="5" s="1"/>
  <c r="I170" i="5"/>
  <c r="J170" i="5" s="1"/>
  <c r="L170" i="5" s="1"/>
  <c r="I386" i="5"/>
  <c r="J386" i="5" s="1"/>
  <c r="L386" i="5" s="1"/>
  <c r="I439" i="5"/>
  <c r="J439" i="5" s="1"/>
  <c r="L439" i="5" s="1"/>
  <c r="I124" i="5"/>
  <c r="J124" i="5" s="1"/>
  <c r="L124" i="5" s="1"/>
  <c r="I336" i="5"/>
  <c r="J336" i="5" s="1"/>
  <c r="L336" i="5" s="1"/>
  <c r="I287" i="5"/>
  <c r="J287" i="5" s="1"/>
  <c r="L287" i="5" s="1"/>
  <c r="I446" i="5"/>
  <c r="J446" i="5" s="1"/>
  <c r="L446" i="5" s="1"/>
  <c r="I308" i="5"/>
  <c r="J308" i="5" s="1"/>
  <c r="L308" i="5" s="1"/>
  <c r="I89" i="5"/>
  <c r="J89" i="5" s="1"/>
  <c r="L89" i="5" s="1"/>
  <c r="I620" i="5"/>
  <c r="J620" i="5" s="1"/>
  <c r="L620" i="5" s="1"/>
  <c r="I107" i="5"/>
  <c r="J107" i="5" s="1"/>
  <c r="L107" i="5" s="1"/>
  <c r="F3" i="43" s="1"/>
  <c r="O3" i="43" s="1"/>
  <c r="I431" i="5"/>
  <c r="J431" i="5" s="1"/>
  <c r="L431" i="5" s="1"/>
  <c r="I133" i="5"/>
  <c r="J133" i="5" s="1"/>
  <c r="L133" i="5" s="1"/>
  <c r="I307" i="5"/>
  <c r="J307" i="5" s="1"/>
  <c r="L307" i="5" s="1"/>
  <c r="I130" i="5"/>
  <c r="J130" i="5" s="1"/>
  <c r="L130" i="5" s="1"/>
  <c r="I364" i="5"/>
  <c r="J364" i="5" s="1"/>
  <c r="L364" i="5" s="1"/>
  <c r="I354" i="5"/>
  <c r="J354" i="5" s="1"/>
  <c r="L354" i="5" s="1"/>
  <c r="I580" i="5"/>
  <c r="J580" i="5" s="1"/>
  <c r="L580" i="5" s="1"/>
  <c r="I408" i="5"/>
  <c r="J408" i="5" s="1"/>
  <c r="L408" i="5" s="1"/>
  <c r="I414" i="5"/>
  <c r="J414" i="5" s="1"/>
  <c r="L414" i="5" s="1"/>
  <c r="I373" i="5"/>
  <c r="J373" i="5" s="1"/>
  <c r="L373" i="5" s="1"/>
  <c r="I193" i="5"/>
  <c r="J193" i="5" s="1"/>
  <c r="L193" i="5" s="1"/>
  <c r="I390" i="5"/>
  <c r="J390" i="5" s="1"/>
  <c r="L390" i="5" s="1"/>
  <c r="I178" i="5"/>
  <c r="J178" i="5" s="1"/>
  <c r="L178" i="5" s="1"/>
  <c r="I290" i="5"/>
  <c r="J290" i="5" s="1"/>
  <c r="L290" i="5" s="1"/>
  <c r="I255" i="5"/>
  <c r="J255" i="5" s="1"/>
  <c r="L255" i="5" s="1"/>
  <c r="I419" i="5"/>
  <c r="J419" i="5" s="1"/>
  <c r="L419" i="5" s="1"/>
  <c r="I623" i="5"/>
  <c r="J623" i="5" s="1"/>
  <c r="L623" i="5" s="1"/>
  <c r="I23" i="5"/>
  <c r="J23" i="5" s="1"/>
  <c r="L23" i="5" s="1"/>
  <c r="I259" i="5"/>
  <c r="J259" i="5" s="1"/>
  <c r="L259" i="5" s="1"/>
  <c r="I283" i="5"/>
  <c r="J283" i="5" s="1"/>
  <c r="L283" i="5" s="1"/>
  <c r="I144" i="5"/>
  <c r="J144" i="5" s="1"/>
  <c r="L144" i="5" s="1"/>
  <c r="I263" i="5"/>
  <c r="J263" i="5" s="1"/>
  <c r="L263" i="5" s="1"/>
  <c r="I180" i="5"/>
  <c r="J180" i="5" s="1"/>
  <c r="L180" i="5" s="1"/>
  <c r="I466" i="5"/>
  <c r="J466" i="5" s="1"/>
  <c r="L466" i="5" s="1"/>
  <c r="I621" i="5"/>
  <c r="J621" i="5" s="1"/>
  <c r="L621" i="5" s="1"/>
  <c r="I289" i="5"/>
  <c r="J289" i="5" s="1"/>
  <c r="L289" i="5" s="1"/>
  <c r="I164" i="5"/>
  <c r="J164" i="5" s="1"/>
  <c r="L164" i="5" s="1"/>
  <c r="I619" i="5"/>
  <c r="J619" i="5" s="1"/>
  <c r="L619" i="5" s="1"/>
  <c r="I215" i="5"/>
  <c r="J215" i="5" s="1"/>
  <c r="L215" i="5" s="1"/>
  <c r="I155" i="5"/>
  <c r="J155" i="5" s="1"/>
  <c r="L155" i="5" s="1"/>
  <c r="I236" i="5"/>
  <c r="J236" i="5" s="1"/>
  <c r="L236" i="5" s="1"/>
  <c r="I211" i="5"/>
  <c r="J211" i="5" s="1"/>
  <c r="L211" i="5" s="1"/>
  <c r="I630" i="5"/>
  <c r="J630" i="5" s="1"/>
  <c r="L630" i="5" s="1"/>
  <c r="I435" i="5"/>
  <c r="J435" i="5" s="1"/>
  <c r="L435" i="5" s="1"/>
  <c r="I223" i="5"/>
  <c r="J223" i="5" s="1"/>
  <c r="L223" i="5" s="1"/>
  <c r="I187" i="5"/>
  <c r="J187" i="5" s="1"/>
  <c r="L187" i="5" s="1"/>
  <c r="F25" i="47" s="1"/>
  <c r="O25" i="47" s="1"/>
  <c r="I402" i="5"/>
  <c r="J402" i="5" s="1"/>
  <c r="L402" i="5" s="1"/>
  <c r="I350" i="5"/>
  <c r="J350" i="5" s="1"/>
  <c r="L350" i="5" s="1"/>
  <c r="I120" i="5"/>
  <c r="J120" i="5" s="1"/>
  <c r="L120" i="5" s="1"/>
  <c r="I324" i="5"/>
  <c r="J324" i="5" s="1"/>
  <c r="L324" i="5" s="1"/>
  <c r="I139" i="5"/>
  <c r="J139" i="5" s="1"/>
  <c r="L139" i="5" s="1"/>
  <c r="I235" i="5"/>
  <c r="J235" i="5" s="1"/>
  <c r="L235" i="5" s="1"/>
  <c r="I40" i="5"/>
  <c r="J40" i="5" s="1"/>
  <c r="L40" i="5" s="1"/>
  <c r="I260" i="5"/>
  <c r="J260" i="5" s="1"/>
  <c r="L260" i="5" s="1"/>
  <c r="I407" i="5"/>
  <c r="J407" i="5" s="1"/>
  <c r="L407" i="5" s="1"/>
  <c r="I150" i="5"/>
  <c r="J150" i="5" s="1"/>
  <c r="L150" i="5" s="1"/>
  <c r="I460" i="5"/>
  <c r="J460" i="5" s="1"/>
  <c r="L460" i="5" s="1"/>
  <c r="I461" i="5"/>
  <c r="J461" i="5" s="1"/>
  <c r="L461" i="5" s="1"/>
  <c r="I254" i="5"/>
  <c r="J254" i="5" s="1"/>
  <c r="L254" i="5" s="1"/>
  <c r="I138" i="5"/>
  <c r="J138" i="5" s="1"/>
  <c r="L138" i="5" s="1"/>
  <c r="I210" i="5"/>
  <c r="J210" i="5" s="1"/>
  <c r="L210" i="5" s="1"/>
  <c r="I112" i="5"/>
  <c r="J112" i="5" s="1"/>
  <c r="L112" i="5" s="1"/>
  <c r="I286" i="5"/>
  <c r="J286" i="5" s="1"/>
  <c r="L286" i="5" s="1"/>
  <c r="I244" i="5"/>
  <c r="J244" i="5" s="1"/>
  <c r="L244" i="5" s="1"/>
  <c r="I226" i="5"/>
  <c r="J226" i="5" s="1"/>
  <c r="L226" i="5" s="1"/>
  <c r="I232" i="5"/>
  <c r="J232" i="5" s="1"/>
  <c r="L232" i="5" s="1"/>
  <c r="I434" i="5"/>
  <c r="J434" i="5" s="1"/>
  <c r="L434" i="5" s="1"/>
  <c r="I335" i="5"/>
  <c r="J335" i="5" s="1"/>
  <c r="L335" i="5" s="1"/>
  <c r="I429" i="5"/>
  <c r="J429" i="5" s="1"/>
  <c r="L429" i="5" s="1"/>
  <c r="I378" i="5"/>
  <c r="J378" i="5" s="1"/>
  <c r="L378" i="5" s="1"/>
  <c r="I609" i="5"/>
  <c r="J609" i="5" s="1"/>
  <c r="L609" i="5" s="1"/>
  <c r="I249" i="5"/>
  <c r="J249" i="5" s="1"/>
  <c r="L249" i="5" s="1"/>
  <c r="I145" i="5"/>
  <c r="J145" i="5" s="1"/>
  <c r="L145" i="5" s="1"/>
  <c r="I122" i="5"/>
  <c r="J122" i="5" s="1"/>
  <c r="L122" i="5" s="1"/>
  <c r="I372" i="5"/>
  <c r="J372" i="5" s="1"/>
  <c r="L372" i="5" s="1"/>
  <c r="I410" i="5"/>
  <c r="J410" i="5" s="1"/>
  <c r="L410" i="5" s="1"/>
  <c r="I345" i="5"/>
  <c r="J345" i="5" s="1"/>
  <c r="L345" i="5" s="1"/>
  <c r="I601" i="5"/>
  <c r="J601" i="5" s="1"/>
  <c r="L601" i="5" s="1"/>
  <c r="I52" i="5"/>
  <c r="J52" i="5" s="1"/>
  <c r="L52" i="5" s="1"/>
  <c r="F9" i="43" s="1"/>
  <c r="O9" i="43" s="1"/>
  <c r="I246" i="5"/>
  <c r="J246" i="5" s="1"/>
  <c r="L246" i="5" s="1"/>
  <c r="I304" i="5"/>
  <c r="J304" i="5" s="1"/>
  <c r="L304" i="5" s="1"/>
  <c r="I603" i="5"/>
  <c r="J603" i="5" s="1"/>
  <c r="L603" i="5" s="1"/>
  <c r="I342" i="5"/>
  <c r="J342" i="5" s="1"/>
  <c r="L342" i="5" s="1"/>
  <c r="I64" i="5"/>
  <c r="J64" i="5" s="1"/>
  <c r="L64" i="5" s="1"/>
  <c r="F28" i="47" s="1"/>
  <c r="O28" i="47" s="1"/>
  <c r="I220" i="5"/>
  <c r="J220" i="5" s="1"/>
  <c r="L220" i="5" s="1"/>
  <c r="I189" i="5"/>
  <c r="J189" i="5" s="1"/>
  <c r="L189" i="5" s="1"/>
  <c r="I109" i="5"/>
  <c r="J109" i="5" s="1"/>
  <c r="L109" i="5" s="1"/>
  <c r="I598" i="5"/>
  <c r="J598" i="5" s="1"/>
  <c r="L598" i="5" s="1"/>
  <c r="I175" i="5"/>
  <c r="J175" i="5" s="1"/>
  <c r="L175" i="5" s="1"/>
  <c r="I416" i="5"/>
  <c r="J416" i="5" s="1"/>
  <c r="L416" i="5" s="1"/>
  <c r="I171" i="5"/>
  <c r="J171" i="5" s="1"/>
  <c r="L171" i="5" s="1"/>
  <c r="I224" i="5"/>
  <c r="J224" i="5" s="1"/>
  <c r="L224" i="5" s="1"/>
  <c r="I252" i="5"/>
  <c r="J252" i="5" s="1"/>
  <c r="L252" i="5" s="1"/>
  <c r="I421" i="5"/>
  <c r="J421" i="5" s="1"/>
  <c r="L421" i="5" s="1"/>
  <c r="I131" i="5"/>
  <c r="J131" i="5" s="1"/>
  <c r="L131" i="5" s="1"/>
  <c r="I411" i="5"/>
  <c r="J411" i="5" s="1"/>
  <c r="L411" i="5" s="1"/>
  <c r="I376" i="5"/>
  <c r="J376" i="5" s="1"/>
  <c r="L376" i="5" s="1"/>
  <c r="I383" i="5"/>
  <c r="J383" i="5" s="1"/>
  <c r="L383" i="5" s="1"/>
  <c r="I313" i="5"/>
  <c r="J313" i="5" s="1"/>
  <c r="L313" i="5" s="1"/>
  <c r="I186" i="5"/>
  <c r="J186" i="5" s="1"/>
  <c r="L186" i="5" s="1"/>
  <c r="I141" i="5"/>
  <c r="J141" i="5" s="1"/>
  <c r="L141" i="5" s="1"/>
  <c r="I199" i="5"/>
  <c r="J199" i="5" s="1"/>
  <c r="L199" i="5" s="1"/>
  <c r="I447" i="5"/>
  <c r="J447" i="5" s="1"/>
  <c r="L447" i="5" s="1"/>
  <c r="I257" i="5"/>
  <c r="J257" i="5" s="1"/>
  <c r="L257" i="5" s="1"/>
  <c r="I196" i="5"/>
  <c r="J196" i="5" s="1"/>
  <c r="L196" i="5" s="1"/>
  <c r="I198" i="5"/>
  <c r="J198" i="5" s="1"/>
  <c r="L198" i="5" s="1"/>
  <c r="I321" i="5"/>
  <c r="J321" i="5" s="1"/>
  <c r="L321" i="5" s="1"/>
  <c r="I589" i="5"/>
  <c r="J589" i="5" s="1"/>
  <c r="L589" i="5" s="1"/>
  <c r="I596" i="5"/>
  <c r="J596" i="5" s="1"/>
  <c r="L596" i="5" s="1"/>
  <c r="I597" i="5"/>
  <c r="J597" i="5" s="1"/>
  <c r="L597" i="5" s="1"/>
  <c r="I586" i="5"/>
  <c r="J586" i="5" s="1"/>
  <c r="L586" i="5" s="1"/>
  <c r="I382" i="5"/>
  <c r="J382" i="5" s="1"/>
  <c r="L382" i="5" s="1"/>
  <c r="I423" i="5"/>
  <c r="J423" i="5" s="1"/>
  <c r="L423" i="5" s="1"/>
  <c r="I261" i="5"/>
  <c r="J261" i="5" s="1"/>
  <c r="L261" i="5" s="1"/>
  <c r="I365" i="5"/>
  <c r="J365" i="5" s="1"/>
  <c r="L365" i="5" s="1"/>
  <c r="I272" i="5"/>
  <c r="J272" i="5" s="1"/>
  <c r="L272" i="5" s="1"/>
  <c r="I218" i="5"/>
  <c r="J218" i="5" s="1"/>
  <c r="L218" i="5" s="1"/>
  <c r="I140" i="5"/>
  <c r="J140" i="5" s="1"/>
  <c r="L140" i="5" s="1"/>
  <c r="I337" i="5"/>
  <c r="J337" i="5" s="1"/>
  <c r="L337" i="5" s="1"/>
  <c r="I165" i="5"/>
  <c r="J165" i="5" s="1"/>
  <c r="L165" i="5" s="1"/>
  <c r="I479" i="5"/>
  <c r="J479" i="5" s="1"/>
  <c r="L479" i="5" s="1"/>
  <c r="I433" i="5"/>
  <c r="J433" i="5" s="1"/>
  <c r="L433" i="5" s="1"/>
  <c r="I582" i="5"/>
  <c r="J582" i="5" s="1"/>
  <c r="L582" i="5" s="1"/>
  <c r="I247" i="5"/>
  <c r="J247" i="5" s="1"/>
  <c r="L247" i="5" s="1"/>
  <c r="I245" i="5"/>
  <c r="J245" i="5" s="1"/>
  <c r="L245" i="5" s="1"/>
  <c r="I279" i="5"/>
  <c r="J279" i="5" s="1"/>
  <c r="L279" i="5" s="1"/>
  <c r="I97" i="5"/>
  <c r="J97" i="5" s="1"/>
  <c r="L97" i="5" s="1"/>
  <c r="I311" i="5"/>
  <c r="J311" i="5" s="1"/>
  <c r="L311" i="5" s="1"/>
  <c r="I103" i="5"/>
  <c r="J103" i="5" s="1"/>
  <c r="L103" i="5" s="1"/>
  <c r="I331" i="5"/>
  <c r="J331" i="5" s="1"/>
  <c r="L331" i="5" s="1"/>
  <c r="I265" i="5"/>
  <c r="J265" i="5" s="1"/>
  <c r="L265" i="5" s="1"/>
  <c r="I627" i="5"/>
  <c r="J627" i="5" s="1"/>
  <c r="L627" i="5" s="1"/>
  <c r="I227" i="5"/>
  <c r="J227" i="5" s="1"/>
  <c r="L227" i="5" s="1"/>
  <c r="I412" i="5"/>
  <c r="J412" i="5" s="1"/>
  <c r="L412" i="5" s="1"/>
  <c r="I280" i="5"/>
  <c r="J280" i="5" s="1"/>
  <c r="L280" i="5" s="1"/>
  <c r="I137" i="5"/>
  <c r="J137" i="5" s="1"/>
  <c r="L137" i="5" s="1"/>
  <c r="I592" i="5"/>
  <c r="J592" i="5" s="1"/>
  <c r="L592" i="5" s="1"/>
  <c r="I418" i="5"/>
  <c r="J418" i="5" s="1"/>
  <c r="L418" i="5" s="1"/>
  <c r="I401" i="5"/>
  <c r="J401" i="5" s="1"/>
  <c r="L401" i="5" s="1"/>
  <c r="I585" i="5"/>
  <c r="J585" i="5" s="1"/>
  <c r="L585" i="5" s="1"/>
  <c r="I358" i="5"/>
  <c r="J358" i="5" s="1"/>
  <c r="L358" i="5" s="1"/>
  <c r="I607" i="5"/>
  <c r="J607" i="5" s="1"/>
  <c r="L607" i="5" s="1"/>
  <c r="I298" i="5"/>
  <c r="J298" i="5" s="1"/>
  <c r="L298" i="5" s="1"/>
  <c r="I361" i="5"/>
  <c r="J361" i="5" s="1"/>
  <c r="L361" i="5" s="1"/>
  <c r="I469" i="5"/>
  <c r="J469" i="5" s="1"/>
  <c r="L469" i="5" s="1"/>
  <c r="I327" i="5"/>
  <c r="J327" i="5" s="1"/>
  <c r="L327" i="5" s="1"/>
  <c r="I208" i="5"/>
  <c r="J208" i="5" s="1"/>
  <c r="L208" i="5" s="1"/>
  <c r="I602" i="5"/>
  <c r="J602" i="5" s="1"/>
  <c r="L602" i="5" s="1"/>
  <c r="F13" i="47" s="1"/>
  <c r="O13" i="47" s="1"/>
  <c r="I329" i="5"/>
  <c r="J329" i="5" s="1"/>
  <c r="L329" i="5" s="1"/>
  <c r="I248" i="5"/>
  <c r="J248" i="5" s="1"/>
  <c r="L248" i="5" s="1"/>
  <c r="I142" i="5"/>
  <c r="J142" i="5" s="1"/>
  <c r="L142" i="5" s="1"/>
  <c r="I225" i="5"/>
  <c r="J225" i="5" s="1"/>
  <c r="L225" i="5" s="1"/>
  <c r="I202" i="5"/>
  <c r="J202" i="5" s="1"/>
  <c r="L202" i="5" s="1"/>
  <c r="I207" i="5"/>
  <c r="J207" i="5" s="1"/>
  <c r="L207" i="5" s="1"/>
  <c r="I330" i="5"/>
  <c r="J330" i="5" s="1"/>
  <c r="L330" i="5" s="1"/>
  <c r="I478" i="5"/>
  <c r="J478" i="5" s="1"/>
  <c r="L478" i="5" s="1"/>
  <c r="I616" i="5"/>
  <c r="J616" i="5" s="1"/>
  <c r="L616" i="5" s="1"/>
  <c r="I269" i="5"/>
  <c r="J269" i="5" s="1"/>
  <c r="L269" i="5" s="1"/>
  <c r="I185" i="5"/>
  <c r="J185" i="5" s="1"/>
  <c r="L185" i="5" s="1"/>
  <c r="L397" i="5"/>
  <c r="F23" i="43" s="1"/>
  <c r="O23" i="43" s="1"/>
  <c r="I44" i="5"/>
  <c r="J44" i="5" s="1"/>
  <c r="L44" i="5" s="1"/>
  <c r="L473" i="5"/>
  <c r="I216" i="5"/>
  <c r="J216" i="5" s="1"/>
  <c r="L216" i="5" s="1"/>
  <c r="I395" i="5"/>
  <c r="J395" i="5" s="1"/>
  <c r="L395" i="5" s="1"/>
  <c r="I188" i="5"/>
  <c r="J188" i="5" s="1"/>
  <c r="L188" i="5" s="1"/>
  <c r="I312" i="5"/>
  <c r="J312" i="5" s="1"/>
  <c r="L312" i="5" s="1"/>
  <c r="I219" i="5"/>
  <c r="J219" i="5" s="1"/>
  <c r="L219" i="5" s="1"/>
  <c r="I464" i="5"/>
  <c r="J464" i="5" s="1"/>
  <c r="L464" i="5" s="1"/>
  <c r="I295" i="5"/>
  <c r="J295" i="5" s="1"/>
  <c r="L295" i="5" s="1"/>
  <c r="I590" i="5"/>
  <c r="J590" i="5" s="1"/>
  <c r="L590" i="5" s="1"/>
  <c r="I233" i="5"/>
  <c r="J233" i="5" s="1"/>
  <c r="L233" i="5" s="1"/>
  <c r="I385" i="5"/>
  <c r="J385" i="5" s="1"/>
  <c r="L385" i="5" s="1"/>
  <c r="I458" i="5"/>
  <c r="J458" i="5" s="1"/>
  <c r="L458" i="5" s="1"/>
  <c r="I357" i="5"/>
  <c r="J357" i="5" s="1"/>
  <c r="L357" i="5" s="1"/>
  <c r="I445" i="5"/>
  <c r="J445" i="5" s="1"/>
  <c r="L445" i="5" s="1"/>
  <c r="I151" i="5"/>
  <c r="J151" i="5" s="1"/>
  <c r="L151" i="5" s="1"/>
  <c r="I310" i="5"/>
  <c r="J310" i="5" s="1"/>
  <c r="L310" i="5" s="1"/>
  <c r="I440" i="5"/>
  <c r="J440" i="5" s="1"/>
  <c r="L440" i="5" s="1"/>
  <c r="I441" i="5"/>
  <c r="J441" i="5" s="1"/>
  <c r="L441" i="5" s="1"/>
  <c r="I420" i="5"/>
  <c r="J420" i="5" s="1"/>
  <c r="L420" i="5" s="1"/>
  <c r="I102" i="5"/>
  <c r="J102" i="5" s="1"/>
  <c r="L102" i="5" s="1"/>
  <c r="I370" i="5"/>
  <c r="J370" i="5" s="1"/>
  <c r="L370" i="5" s="1"/>
  <c r="I288" i="5"/>
  <c r="J288" i="5" s="1"/>
  <c r="L288" i="5" s="1"/>
  <c r="I192" i="5"/>
  <c r="J192" i="5" s="1"/>
  <c r="L192" i="5" s="1"/>
  <c r="I129" i="5"/>
  <c r="J129" i="5" s="1"/>
  <c r="L129" i="5" s="1"/>
  <c r="I101" i="5"/>
  <c r="J101" i="5" s="1"/>
  <c r="L101" i="5" s="1"/>
  <c r="I424" i="5"/>
  <c r="J424" i="5" s="1"/>
  <c r="L424" i="5" s="1"/>
  <c r="I275" i="5"/>
  <c r="J275" i="5" s="1"/>
  <c r="L275" i="5" s="1"/>
  <c r="I183" i="5"/>
  <c r="J183" i="5" s="1"/>
  <c r="L183" i="5" s="1"/>
  <c r="I443" i="5"/>
  <c r="J443" i="5" s="1"/>
  <c r="L443" i="5" s="1"/>
  <c r="I604" i="5"/>
  <c r="J604" i="5" s="1"/>
  <c r="L604" i="5" s="1"/>
  <c r="I322" i="5"/>
  <c r="J322" i="5" s="1"/>
  <c r="L322" i="5" s="1"/>
  <c r="I125" i="5"/>
  <c r="J125" i="5" s="1"/>
  <c r="L125" i="5" s="1"/>
  <c r="I266" i="5"/>
  <c r="J266" i="5" s="1"/>
  <c r="L266" i="5" s="1"/>
  <c r="I393" i="5"/>
  <c r="J393" i="5" s="1"/>
  <c r="L393" i="5" s="1"/>
  <c r="I381" i="5"/>
  <c r="J381" i="5" s="1"/>
  <c r="L381" i="5" s="1"/>
  <c r="I409" i="5"/>
  <c r="J409" i="5" s="1"/>
  <c r="L409" i="5" s="1"/>
  <c r="I610" i="5"/>
  <c r="J610" i="5" s="1"/>
  <c r="L610" i="5" s="1"/>
  <c r="I251" i="5"/>
  <c r="J251" i="5" s="1"/>
  <c r="L251" i="5" s="1"/>
  <c r="I238" i="5"/>
  <c r="J238" i="5" s="1"/>
  <c r="L238" i="5" s="1"/>
  <c r="I231" i="5"/>
  <c r="J231" i="5" s="1"/>
  <c r="L231" i="5" s="1"/>
  <c r="I462" i="5"/>
  <c r="J462" i="5" s="1"/>
  <c r="L462" i="5" s="1"/>
  <c r="I442" i="5"/>
  <c r="J442" i="5" s="1"/>
  <c r="L442" i="5" s="1"/>
  <c r="I127" i="5"/>
  <c r="J127" i="5" s="1"/>
  <c r="L127" i="5" s="1"/>
  <c r="I167" i="5"/>
  <c r="J167" i="5" s="1"/>
  <c r="L167" i="5" s="1"/>
  <c r="I95" i="5"/>
  <c r="J95" i="5" s="1"/>
  <c r="L95" i="5" s="1"/>
  <c r="I126" i="5"/>
  <c r="J126" i="5" s="1"/>
  <c r="L126" i="5" s="1"/>
  <c r="I128" i="12"/>
  <c r="I30" i="12"/>
  <c r="J30" i="12" s="1"/>
  <c r="M30" i="12" s="1"/>
  <c r="I400" i="12"/>
  <c r="I464" i="12"/>
  <c r="I357" i="12"/>
  <c r="I34" i="12"/>
  <c r="J34" i="12" s="1"/>
  <c r="M34" i="12" s="1"/>
  <c r="I49" i="12"/>
  <c r="I467" i="12"/>
  <c r="I166" i="12"/>
  <c r="I279" i="12"/>
  <c r="I107" i="12"/>
  <c r="I285" i="12"/>
  <c r="I494" i="12"/>
  <c r="I505" i="12"/>
  <c r="I111" i="12"/>
  <c r="I12" i="12"/>
  <c r="J12" i="12" s="1"/>
  <c r="M12" i="12" s="1"/>
  <c r="I478" i="12"/>
  <c r="I291" i="12"/>
  <c r="I219" i="12"/>
  <c r="I36" i="12"/>
  <c r="J36" i="12" s="1"/>
  <c r="M36" i="12" s="1"/>
  <c r="I39" i="12"/>
  <c r="I628" i="12"/>
  <c r="I629" i="12"/>
  <c r="I560" i="12"/>
  <c r="I437" i="12"/>
  <c r="I434" i="12"/>
  <c r="I63" i="12"/>
  <c r="I283" i="12"/>
  <c r="I651" i="12"/>
  <c r="I52" i="12"/>
  <c r="I156" i="12"/>
  <c r="I60" i="12"/>
  <c r="I441" i="12"/>
  <c r="I263" i="12"/>
  <c r="I657" i="12"/>
  <c r="I512" i="12"/>
  <c r="I493" i="12"/>
  <c r="I618" i="12"/>
  <c r="I623" i="12"/>
  <c r="I55" i="12"/>
  <c r="Q18" i="44"/>
  <c r="T18" i="44" s="1"/>
  <c r="K18" i="44"/>
  <c r="I199" i="12"/>
  <c r="I584" i="12"/>
  <c r="I671" i="12"/>
  <c r="I580" i="12"/>
  <c r="I647" i="12"/>
  <c r="I417" i="12"/>
  <c r="I90" i="12"/>
  <c r="I582" i="12"/>
  <c r="I130" i="12"/>
  <c r="I368" i="12"/>
  <c r="I404" i="12"/>
  <c r="I370" i="12"/>
  <c r="I574" i="12"/>
  <c r="I161" i="12"/>
  <c r="I169" i="12"/>
  <c r="Q12" i="44"/>
  <c r="T12" i="44" s="1"/>
  <c r="K12" i="44"/>
  <c r="I135" i="12"/>
  <c r="I630" i="12"/>
  <c r="I529" i="12"/>
  <c r="I149" i="12"/>
  <c r="I533" i="12"/>
  <c r="I302" i="12"/>
  <c r="I194" i="12"/>
  <c r="I340" i="12"/>
  <c r="I145" i="12"/>
  <c r="I377" i="12"/>
  <c r="I642" i="12"/>
  <c r="I616" i="12"/>
  <c r="I154" i="12"/>
  <c r="I119" i="12"/>
  <c r="I419" i="12"/>
  <c r="I311" i="12"/>
  <c r="I196" i="12"/>
  <c r="I450" i="12"/>
  <c r="I681" i="12"/>
  <c r="I670" i="12"/>
  <c r="I53" i="12"/>
  <c r="I43" i="12"/>
  <c r="I435" i="12"/>
  <c r="I15" i="12"/>
  <c r="J15" i="12" s="1"/>
  <c r="M15" i="12" s="1"/>
  <c r="I342" i="12"/>
  <c r="I518" i="12"/>
  <c r="I198" i="12"/>
  <c r="I427" i="12"/>
  <c r="I405" i="12"/>
  <c r="I32" i="12"/>
  <c r="J32" i="12" s="1"/>
  <c r="M32" i="12" s="1"/>
  <c r="I42" i="12"/>
  <c r="H18" i="43"/>
  <c r="H19" i="43"/>
  <c r="H11" i="43"/>
  <c r="H20" i="43"/>
  <c r="H12" i="43"/>
  <c r="H13" i="43"/>
  <c r="H15" i="43"/>
  <c r="H5" i="43"/>
  <c r="H6" i="43"/>
  <c r="I174" i="12"/>
  <c r="I144" i="12"/>
  <c r="I203" i="12"/>
  <c r="I241" i="12"/>
  <c r="I38" i="12"/>
  <c r="I155" i="12"/>
  <c r="I105" i="12"/>
  <c r="I412" i="12"/>
  <c r="I457" i="12"/>
  <c r="I261" i="12"/>
  <c r="I664" i="12"/>
  <c r="I549" i="12"/>
  <c r="I416" i="12"/>
  <c r="I608" i="12"/>
  <c r="I485" i="12"/>
  <c r="I610" i="12"/>
  <c r="I401" i="12"/>
  <c r="I477" i="12"/>
  <c r="M692" i="12"/>
  <c r="I644" i="12"/>
  <c r="I35" i="12"/>
  <c r="J35" i="12" s="1"/>
  <c r="M35" i="12" s="1"/>
  <c r="I41" i="12"/>
  <c r="I460" i="12"/>
  <c r="I81" i="12"/>
  <c r="I124" i="12"/>
  <c r="I373" i="12"/>
  <c r="I322" i="12"/>
  <c r="I244" i="12"/>
  <c r="I429" i="12"/>
  <c r="I488" i="12"/>
  <c r="I558" i="12"/>
  <c r="I11" i="12"/>
  <c r="J11" i="12" s="1"/>
  <c r="M11" i="12" s="1"/>
  <c r="I595" i="12"/>
  <c r="I615" i="12"/>
  <c r="I559" i="12"/>
  <c r="I341" i="12"/>
  <c r="I393" i="12"/>
  <c r="I286" i="12"/>
  <c r="I431" i="12"/>
  <c r="I82" i="12"/>
  <c r="I179" i="12"/>
  <c r="I126" i="12"/>
  <c r="I337" i="12"/>
  <c r="I18" i="37"/>
  <c r="R18" i="37" s="1"/>
  <c r="I5" i="37"/>
  <c r="R5" i="37" s="1"/>
  <c r="E15" i="34"/>
  <c r="F15" i="34" s="1"/>
  <c r="E11" i="34"/>
  <c r="F11" i="34" s="1"/>
  <c r="E17" i="34"/>
  <c r="F17" i="34" s="1"/>
  <c r="E10" i="34"/>
  <c r="F10" i="34" s="1"/>
  <c r="E7" i="34"/>
  <c r="F7" i="34" s="1"/>
  <c r="I21" i="37"/>
  <c r="R21" i="37" s="1"/>
  <c r="E8" i="34"/>
  <c r="F8" i="34" s="1"/>
  <c r="E37" i="34"/>
  <c r="F37" i="34" s="1"/>
  <c r="I30" i="37"/>
  <c r="R30" i="37" s="1"/>
  <c r="I20" i="37"/>
  <c r="R20" i="37" s="1"/>
  <c r="I10" i="37"/>
  <c r="R10" i="37" s="1"/>
  <c r="E33" i="36"/>
  <c r="F33" i="36" s="1"/>
  <c r="E25" i="34"/>
  <c r="F25" i="34" s="1"/>
  <c r="E33" i="34"/>
  <c r="E12" i="34"/>
  <c r="F12" i="34" s="1"/>
  <c r="E18" i="34"/>
  <c r="F18" i="34" s="1"/>
  <c r="E39" i="34"/>
  <c r="F39" i="34" s="1"/>
  <c r="E35" i="34"/>
  <c r="F35" i="34" s="1"/>
  <c r="E22" i="34"/>
  <c r="F22" i="34" s="1"/>
  <c r="I12" i="37"/>
  <c r="R12" i="37" s="1"/>
  <c r="E31" i="34"/>
  <c r="F31" i="34" s="1"/>
  <c r="E27" i="34"/>
  <c r="F27" i="34" s="1"/>
  <c r="E20" i="34"/>
  <c r="F20" i="34" s="1"/>
  <c r="I14" i="37"/>
  <c r="R14" i="37" s="1"/>
  <c r="E23" i="34"/>
  <c r="F23" i="34" s="1"/>
  <c r="E19" i="34"/>
  <c r="F19" i="34" s="1"/>
  <c r="I9" i="37"/>
  <c r="R9" i="37" s="1"/>
  <c r="E9" i="34"/>
  <c r="F9" i="34" s="1"/>
  <c r="E13" i="34"/>
  <c r="F13" i="34" s="1"/>
  <c r="E34" i="34"/>
  <c r="F34" i="34" s="1"/>
  <c r="I25" i="37"/>
  <c r="R25" i="37" s="1"/>
  <c r="I27" i="37"/>
  <c r="R27" i="37" s="1"/>
  <c r="I13" i="37"/>
  <c r="R13" i="37" s="1"/>
  <c r="I22" i="37"/>
  <c r="R22" i="37" s="1"/>
  <c r="I28" i="37"/>
  <c r="R28" i="37" s="1"/>
  <c r="I26" i="37"/>
  <c r="R26" i="37" s="1"/>
  <c r="I11" i="37"/>
  <c r="R11" i="37" s="1"/>
  <c r="E34" i="36"/>
  <c r="F34" i="36" s="1"/>
  <c r="I7" i="37"/>
  <c r="R7" i="37" s="1"/>
  <c r="E5" i="34"/>
  <c r="F5" i="34" s="1"/>
  <c r="E39" i="36"/>
  <c r="F39" i="36" s="1"/>
  <c r="E24" i="34"/>
  <c r="F24" i="34" s="1"/>
  <c r="E28" i="34"/>
  <c r="F28" i="34" s="1"/>
  <c r="E6" i="34"/>
  <c r="F6" i="34" s="1"/>
  <c r="E21" i="34"/>
  <c r="F21" i="34" s="1"/>
  <c r="E38" i="36"/>
  <c r="F38" i="36" s="1"/>
  <c r="E36" i="36"/>
  <c r="F36" i="36" s="1"/>
  <c r="E16" i="34"/>
  <c r="F16" i="34" s="1"/>
  <c r="E29" i="34"/>
  <c r="F29" i="34" s="1"/>
  <c r="E14" i="34"/>
  <c r="F14" i="34" s="1"/>
  <c r="E35" i="36"/>
  <c r="F35" i="36" s="1"/>
  <c r="E37" i="36"/>
  <c r="F37" i="36" s="1"/>
  <c r="I62" i="12"/>
  <c r="E57" i="7"/>
  <c r="E223" i="7"/>
  <c r="E549" i="7"/>
  <c r="E380" i="7"/>
  <c r="E433" i="7"/>
  <c r="I16" i="5"/>
  <c r="J16" i="5" s="1"/>
  <c r="L16" i="5" s="1"/>
  <c r="L606" i="5"/>
  <c r="I326" i="12"/>
  <c r="I587" i="12"/>
  <c r="I72" i="12"/>
  <c r="I409" i="12"/>
  <c r="I386" i="12"/>
  <c r="I385" i="12"/>
  <c r="I562" i="12"/>
  <c r="I316" i="12"/>
  <c r="I536" i="12"/>
  <c r="I321" i="12"/>
  <c r="I525" i="12"/>
  <c r="I269" i="12"/>
  <c r="I532" i="12"/>
  <c r="I519" i="12"/>
  <c r="I423" i="12"/>
  <c r="I432" i="12"/>
  <c r="I299" i="12"/>
  <c r="I578" i="12"/>
  <c r="I168" i="12"/>
  <c r="I381" i="12"/>
  <c r="I458" i="12"/>
  <c r="I576" i="12"/>
  <c r="I547" i="12"/>
  <c r="I665" i="12"/>
  <c r="I356" i="12"/>
  <c r="I312" i="12"/>
  <c r="I271" i="12"/>
  <c r="I44" i="12"/>
  <c r="I61" i="12"/>
  <c r="I544" i="12"/>
  <c r="I339" i="12"/>
  <c r="I140" i="12"/>
  <c r="I498" i="12"/>
  <c r="I569" i="12"/>
  <c r="I132" i="12"/>
  <c r="I133" i="12"/>
  <c r="I592" i="12"/>
  <c r="I109" i="12"/>
  <c r="I56" i="12"/>
  <c r="I486" i="12"/>
  <c r="I255" i="12"/>
  <c r="I487" i="12"/>
  <c r="I298" i="12"/>
  <c r="I327" i="12"/>
  <c r="I622" i="12"/>
  <c r="I344" i="12"/>
  <c r="I502" i="12"/>
  <c r="I51" i="12"/>
  <c r="I500" i="12"/>
  <c r="I497" i="12"/>
  <c r="I150" i="12"/>
  <c r="I270" i="12"/>
  <c r="I329" i="12"/>
  <c r="I64" i="12"/>
  <c r="I349" i="12"/>
  <c r="I250" i="12"/>
  <c r="I637" i="12"/>
  <c r="I360" i="12"/>
  <c r="I583" i="12"/>
  <c r="I163" i="12"/>
  <c r="I522" i="12"/>
  <c r="I348" i="12"/>
  <c r="I47" i="12"/>
  <c r="I421" i="12"/>
  <c r="I507" i="12"/>
  <c r="I384" i="12"/>
  <c r="I597" i="12"/>
  <c r="I353" i="12"/>
  <c r="I45" i="12"/>
  <c r="I74" i="12"/>
  <c r="J74" i="12" s="1"/>
  <c r="G12" i="15"/>
  <c r="E418" i="7"/>
  <c r="E130" i="7"/>
  <c r="E157" i="7"/>
  <c r="E69" i="7"/>
  <c r="E417" i="7"/>
  <c r="E520" i="7"/>
  <c r="E142" i="7"/>
  <c r="E562" i="7"/>
  <c r="E620" i="7"/>
  <c r="E200" i="7"/>
  <c r="Y259" i="7"/>
  <c r="Y536" i="7"/>
  <c r="E181" i="7"/>
  <c r="E196" i="7"/>
  <c r="L163" i="5"/>
  <c r="I29" i="5"/>
  <c r="J29" i="5" s="1"/>
  <c r="L29" i="5" s="1"/>
  <c r="L195" i="5"/>
  <c r="I58" i="5"/>
  <c r="J58" i="5" s="1"/>
  <c r="L58" i="5" s="1"/>
  <c r="E616" i="7"/>
  <c r="E273" i="7"/>
  <c r="E310" i="7"/>
  <c r="E171" i="7"/>
  <c r="G17" i="37"/>
  <c r="P17" i="37" s="1"/>
  <c r="E465" i="7"/>
  <c r="Y303" i="7"/>
  <c r="J23" i="37"/>
  <c r="S23" i="37" s="1"/>
  <c r="L400" i="5"/>
  <c r="E56" i="7"/>
  <c r="Y308" i="7"/>
  <c r="J24" i="37"/>
  <c r="S24" i="37" s="1"/>
  <c r="I31" i="5"/>
  <c r="J31" i="5" s="1"/>
  <c r="L31" i="5" s="1"/>
  <c r="J15" i="37"/>
  <c r="S15" i="37" s="1"/>
  <c r="J27" i="37"/>
  <c r="S27" i="37" s="1"/>
  <c r="J5" i="37"/>
  <c r="S5" i="37" s="1"/>
  <c r="J17" i="37"/>
  <c r="S17" i="37" s="1"/>
  <c r="J6" i="37"/>
  <c r="S6" i="37" s="1"/>
  <c r="J11" i="37"/>
  <c r="S11" i="37" s="1"/>
  <c r="J22" i="37"/>
  <c r="S22" i="37" s="1"/>
  <c r="E20" i="37"/>
  <c r="G21" i="37"/>
  <c r="P21" i="37" s="1"/>
  <c r="E20" i="19"/>
  <c r="E11" i="19"/>
  <c r="E12" i="19"/>
  <c r="N12" i="19" s="1"/>
  <c r="E22" i="19"/>
  <c r="N22" i="19" s="1"/>
  <c r="E18" i="19"/>
  <c r="N18" i="19" s="1"/>
  <c r="E4" i="19"/>
  <c r="N4" i="19" s="1"/>
  <c r="E6" i="19"/>
  <c r="E5" i="19"/>
  <c r="E19" i="19"/>
  <c r="E8" i="19"/>
  <c r="E23" i="19"/>
  <c r="N23" i="19" s="1"/>
  <c r="E15" i="19"/>
  <c r="J14" i="37"/>
  <c r="S14" i="37" s="1"/>
  <c r="J10" i="37"/>
  <c r="S10" i="37" s="1"/>
  <c r="J30" i="37"/>
  <c r="S30" i="37" s="1"/>
  <c r="J29" i="37"/>
  <c r="S29" i="37" s="1"/>
  <c r="J16" i="37"/>
  <c r="S16" i="37" s="1"/>
  <c r="J21" i="37"/>
  <c r="S21" i="37" s="1"/>
  <c r="J20" i="37"/>
  <c r="S20" i="37" s="1"/>
  <c r="J13" i="37"/>
  <c r="S13" i="37" s="1"/>
  <c r="J7" i="37"/>
  <c r="S7" i="37" s="1"/>
  <c r="J3" i="37"/>
  <c r="S3" i="37" s="1"/>
  <c r="Y42" i="7"/>
  <c r="G15" i="37"/>
  <c r="P15" i="37" s="1"/>
  <c r="J4" i="37"/>
  <c r="S4" i="37" s="1"/>
  <c r="E12" i="37"/>
  <c r="J25" i="37"/>
  <c r="S25" i="37" s="1"/>
  <c r="J8" i="37"/>
  <c r="S8" i="37" s="1"/>
  <c r="J9" i="37"/>
  <c r="S9" i="37" s="1"/>
  <c r="J26" i="37"/>
  <c r="S26" i="37" s="1"/>
  <c r="J28" i="37"/>
  <c r="S28" i="37" s="1"/>
  <c r="G16" i="14"/>
  <c r="P16" i="14" s="1"/>
  <c r="J18" i="37"/>
  <c r="S18" i="37" s="1"/>
  <c r="J12" i="37"/>
  <c r="S12" i="37" s="1"/>
  <c r="G16" i="37"/>
  <c r="P16" i="37" s="1"/>
  <c r="E18" i="37"/>
  <c r="E543" i="7"/>
  <c r="E648" i="7"/>
  <c r="E591" i="7"/>
  <c r="E73" i="7"/>
  <c r="E363" i="7"/>
  <c r="E681" i="7"/>
  <c r="L242" i="5"/>
  <c r="L117" i="5"/>
  <c r="E375" i="7"/>
  <c r="G40" i="15"/>
  <c r="E624" i="7"/>
  <c r="E428" i="7"/>
  <c r="E530" i="7"/>
  <c r="G18" i="14"/>
  <c r="P18" i="14" s="1"/>
  <c r="G33" i="15"/>
  <c r="G22" i="14"/>
  <c r="P22" i="14" s="1"/>
  <c r="G8" i="15"/>
  <c r="G8" i="14"/>
  <c r="P8" i="14" s="1"/>
  <c r="G33" i="14"/>
  <c r="P33" i="14" s="1"/>
  <c r="L432" i="5"/>
  <c r="G22" i="15"/>
  <c r="G40" i="14"/>
  <c r="P40" i="14" s="1"/>
  <c r="G29" i="15"/>
  <c r="G21" i="15"/>
  <c r="G16" i="15"/>
  <c r="G13" i="15"/>
  <c r="G12" i="14"/>
  <c r="P12" i="14" s="1"/>
  <c r="G37" i="14"/>
  <c r="P37" i="14" s="1"/>
  <c r="G26" i="15"/>
  <c r="G18" i="15"/>
  <c r="G29" i="14"/>
  <c r="P29" i="14" s="1"/>
  <c r="G13" i="14"/>
  <c r="P13" i="14" s="1"/>
  <c r="G21" i="14"/>
  <c r="P21" i="14" s="1"/>
  <c r="G26" i="14"/>
  <c r="P26" i="14" s="1"/>
  <c r="G37" i="15"/>
  <c r="L367" i="5"/>
  <c r="L234" i="5"/>
  <c r="I307" i="12"/>
  <c r="J307" i="12" s="1"/>
  <c r="L474" i="5"/>
  <c r="L162" i="5"/>
  <c r="J326" i="2"/>
  <c r="K326" i="2" s="1"/>
  <c r="L326" i="2" s="1"/>
  <c r="I49" i="5"/>
  <c r="J49" i="5" s="1"/>
  <c r="L49" i="5" s="1"/>
  <c r="L143" i="5"/>
  <c r="H589" i="9"/>
  <c r="I589" i="9" s="1"/>
  <c r="H755" i="9"/>
  <c r="I755" i="9" s="1"/>
  <c r="E509" i="7"/>
  <c r="E154" i="7"/>
  <c r="E658" i="7"/>
  <c r="E450" i="7"/>
  <c r="E585" i="7"/>
  <c r="E467" i="7"/>
  <c r="Y12" i="7"/>
  <c r="E236" i="7"/>
  <c r="E282" i="7"/>
  <c r="E459" i="7"/>
  <c r="Y207" i="7"/>
  <c r="E412" i="7"/>
  <c r="E541" i="7"/>
  <c r="E314" i="7"/>
  <c r="Y311" i="7"/>
  <c r="E552" i="7"/>
  <c r="E679" i="7"/>
  <c r="E544" i="7"/>
  <c r="E588" i="7"/>
  <c r="E539" i="7"/>
  <c r="E393" i="7"/>
  <c r="E175" i="7"/>
  <c r="E185" i="7"/>
  <c r="E680" i="7"/>
  <c r="E192" i="7"/>
  <c r="E226" i="7"/>
  <c r="E176" i="7"/>
  <c r="E583" i="7"/>
  <c r="Y545" i="7"/>
  <c r="E346" i="7"/>
  <c r="E431" i="7"/>
  <c r="Y75" i="7"/>
  <c r="I20" i="5"/>
  <c r="J20" i="5" s="1"/>
  <c r="L20" i="5" s="1"/>
  <c r="L375" i="5"/>
  <c r="L425" i="5"/>
  <c r="L108" i="5"/>
  <c r="L285" i="5"/>
  <c r="L426" i="5"/>
  <c r="I79" i="5"/>
  <c r="J79" i="5" s="1"/>
  <c r="L79" i="5" s="1"/>
  <c r="L343" i="5"/>
  <c r="K75" i="9"/>
  <c r="K492" i="9"/>
  <c r="K249" i="9"/>
  <c r="H641" i="9"/>
  <c r="I641" i="9" s="1"/>
  <c r="H757" i="9"/>
  <c r="I757" i="9" s="1"/>
  <c r="H141" i="9"/>
  <c r="I141" i="9" s="1"/>
  <c r="H370" i="9"/>
  <c r="I370" i="9" s="1"/>
  <c r="H157" i="9"/>
  <c r="I157" i="9" s="1"/>
  <c r="H591" i="9"/>
  <c r="I591" i="9" s="1"/>
  <c r="L611" i="5"/>
  <c r="L115" i="5"/>
  <c r="L332" i="5"/>
  <c r="H278" i="9"/>
  <c r="I278" i="9" s="1"/>
  <c r="H479" i="9"/>
  <c r="I479" i="9" s="1"/>
  <c r="H159" i="9"/>
  <c r="I159" i="9" s="1"/>
  <c r="H500" i="9"/>
  <c r="I500" i="9" s="1"/>
  <c r="H662" i="9"/>
  <c r="I662" i="9" s="1"/>
  <c r="H635" i="9"/>
  <c r="I635" i="9" s="1"/>
  <c r="H144" i="9"/>
  <c r="I144" i="9" s="1"/>
  <c r="H463" i="9"/>
  <c r="I463" i="9" s="1"/>
  <c r="H82" i="9"/>
  <c r="I82" i="9" s="1"/>
  <c r="H699" i="9"/>
  <c r="I699" i="9" s="1"/>
  <c r="H646" i="9"/>
  <c r="I646" i="9" s="1"/>
  <c r="H169" i="9"/>
  <c r="I169" i="9" s="1"/>
  <c r="H36" i="9"/>
  <c r="I36" i="9" s="1"/>
  <c r="H47" i="9"/>
  <c r="I47" i="9" s="1"/>
  <c r="I25" i="5"/>
  <c r="J25" i="5" s="1"/>
  <c r="L25" i="5" s="1"/>
  <c r="L300" i="5"/>
  <c r="H790" i="9"/>
  <c r="I790" i="9" s="1"/>
  <c r="H577" i="9"/>
  <c r="I577" i="9" s="1"/>
  <c r="I68" i="5"/>
  <c r="J68" i="5" s="1"/>
  <c r="L68" i="5" s="1"/>
  <c r="I333" i="12"/>
  <c r="J333" i="12" s="1"/>
  <c r="L406" i="5"/>
  <c r="E553" i="7"/>
  <c r="L159" i="5"/>
  <c r="L239" i="5"/>
  <c r="L355" i="5"/>
  <c r="L148" i="5"/>
  <c r="L338" i="5"/>
  <c r="F27" i="47" s="1"/>
  <c r="O27" i="47" s="1"/>
  <c r="I74" i="5"/>
  <c r="J74" i="5" s="1"/>
  <c r="L74" i="5" s="1"/>
  <c r="L467" i="5"/>
  <c r="L309" i="5"/>
  <c r="L301" i="5"/>
  <c r="L320" i="5"/>
  <c r="I78" i="5"/>
  <c r="J78" i="5" s="1"/>
  <c r="L78" i="5" s="1"/>
  <c r="L264" i="5"/>
  <c r="L622" i="5"/>
  <c r="L449" i="5"/>
  <c r="L132" i="5"/>
  <c r="L181" i="5"/>
  <c r="L190" i="5"/>
  <c r="L578" i="5"/>
  <c r="L135" i="5"/>
  <c r="I11" i="5"/>
  <c r="J11" i="5" s="1"/>
  <c r="L11" i="5" s="1"/>
  <c r="L161" i="5"/>
  <c r="L334" i="5"/>
  <c r="L316" i="5"/>
  <c r="L184" i="5"/>
  <c r="L456" i="5"/>
  <c r="L241" i="5"/>
  <c r="L177" i="5"/>
  <c r="L314" i="5"/>
  <c r="L436" i="5"/>
  <c r="L617" i="5"/>
  <c r="L100" i="5"/>
  <c r="L203" i="5"/>
  <c r="F21" i="43" s="1"/>
  <c r="O21" i="43" s="1"/>
  <c r="I15" i="5"/>
  <c r="J15" i="5" s="1"/>
  <c r="L15" i="5" s="1"/>
  <c r="L626" i="5"/>
  <c r="L599" i="5"/>
  <c r="I38" i="5"/>
  <c r="J38" i="5" s="1"/>
  <c r="L38" i="5" s="1"/>
  <c r="I440" i="12"/>
  <c r="J440" i="12" s="1"/>
  <c r="E645" i="7"/>
  <c r="E452" i="7"/>
  <c r="E365" i="7"/>
  <c r="E62" i="7"/>
  <c r="E320" i="7"/>
  <c r="E362" i="7"/>
  <c r="Y100" i="7"/>
  <c r="E52" i="7"/>
  <c r="E410" i="7"/>
  <c r="E275" i="7"/>
  <c r="E611" i="7"/>
  <c r="E141" i="7"/>
  <c r="E238" i="7"/>
  <c r="Y395" i="7"/>
  <c r="E488" i="7"/>
  <c r="E637" i="7"/>
  <c r="E612" i="7"/>
  <c r="E233" i="7"/>
  <c r="E51" i="7"/>
  <c r="E80" i="7"/>
  <c r="E168" i="7"/>
  <c r="E139" i="7"/>
  <c r="Y262" i="7"/>
  <c r="Y675" i="7"/>
  <c r="E628" i="7"/>
  <c r="E188" i="7"/>
  <c r="E195" i="7"/>
  <c r="E519" i="7"/>
  <c r="E391" i="7"/>
  <c r="Y494" i="7"/>
  <c r="E288" i="7"/>
  <c r="E334" i="7"/>
  <c r="E248" i="7"/>
  <c r="E341" i="7"/>
  <c r="E506" i="7"/>
  <c r="E529" i="7"/>
  <c r="E71" i="7"/>
  <c r="E79" i="7"/>
  <c r="E131" i="7"/>
  <c r="E217" i="7"/>
  <c r="E118" i="7"/>
  <c r="E405" i="7"/>
  <c r="E198" i="7"/>
  <c r="Y266" i="7"/>
  <c r="Y186" i="7"/>
  <c r="E650" i="7"/>
  <c r="E473" i="7"/>
  <c r="E290" i="7"/>
  <c r="E643" i="7"/>
  <c r="E292" i="7"/>
  <c r="E477" i="7"/>
  <c r="E355" i="7"/>
  <c r="Y480" i="7"/>
  <c r="E76" i="7"/>
  <c r="E484" i="7"/>
  <c r="E436" i="7"/>
  <c r="E253" i="7"/>
  <c r="E674" i="7"/>
  <c r="E156" i="7"/>
  <c r="E573" i="7"/>
  <c r="E561" i="7"/>
  <c r="E475" i="7"/>
  <c r="Y49" i="7"/>
  <c r="E277" i="7"/>
  <c r="E669" i="7"/>
  <c r="E179" i="7"/>
  <c r="Y627" i="7"/>
  <c r="E324" i="7"/>
  <c r="E87" i="7"/>
  <c r="E30" i="7"/>
  <c r="E502" i="7"/>
  <c r="E245" i="7"/>
  <c r="E231" i="7"/>
  <c r="E374" i="7"/>
  <c r="E285" i="7"/>
  <c r="E600" i="7"/>
  <c r="E309" i="7"/>
  <c r="E172" i="7"/>
  <c r="E261" i="7"/>
  <c r="E507" i="7"/>
  <c r="E378" i="7"/>
  <c r="E270" i="7"/>
  <c r="E88" i="7"/>
  <c r="E404" i="7"/>
  <c r="E136" i="7"/>
  <c r="E559" i="7"/>
  <c r="Y369" i="7"/>
  <c r="E214" i="7"/>
  <c r="E38" i="7"/>
  <c r="Y524" i="7"/>
  <c r="E470" i="7"/>
  <c r="E35" i="7"/>
  <c r="E241" i="7"/>
  <c r="E148" i="7"/>
  <c r="E555" i="7"/>
  <c r="E123" i="7"/>
  <c r="E634" i="7"/>
  <c r="E326" i="7"/>
  <c r="Y137" i="7"/>
  <c r="Y527" i="7"/>
  <c r="Y400" i="7"/>
  <c r="Y279" i="7"/>
  <c r="I19" i="7"/>
  <c r="E630" i="7"/>
  <c r="E538" i="7"/>
  <c r="E531" i="7"/>
  <c r="E639" i="7"/>
  <c r="E269" i="7"/>
  <c r="E593" i="7"/>
  <c r="E662" i="7"/>
  <c r="E53" i="7"/>
  <c r="E240" i="7"/>
  <c r="E265" i="7"/>
  <c r="E235" i="7"/>
  <c r="J618" i="2"/>
  <c r="K618" i="2" s="1"/>
  <c r="L618" i="2" s="1"/>
  <c r="J616" i="2"/>
  <c r="K616" i="2" s="1"/>
  <c r="L616" i="2" s="1"/>
  <c r="J530" i="2"/>
  <c r="K530" i="2" s="1"/>
  <c r="L530" i="2" s="1"/>
  <c r="I73" i="5"/>
  <c r="J73" i="5" s="1"/>
  <c r="L73" i="5" s="1"/>
  <c r="L454" i="5"/>
  <c r="I76" i="5"/>
  <c r="J76" i="5" s="1"/>
  <c r="L76" i="5" s="1"/>
  <c r="I32" i="5"/>
  <c r="J32" i="5" s="1"/>
  <c r="L32" i="5" s="1"/>
  <c r="I53" i="5"/>
  <c r="J53" i="5" s="1"/>
  <c r="L53" i="5" s="1"/>
  <c r="I69" i="5"/>
  <c r="J69" i="5" s="1"/>
  <c r="L69" i="5" s="1"/>
  <c r="L593" i="5"/>
  <c r="L262" i="5"/>
  <c r="L237" i="5"/>
  <c r="L615" i="5"/>
  <c r="L128" i="5"/>
  <c r="I21" i="5"/>
  <c r="J21" i="5" s="1"/>
  <c r="L21" i="5" s="1"/>
  <c r="I47" i="5"/>
  <c r="J47" i="5" s="1"/>
  <c r="L47" i="5" s="1"/>
  <c r="I60" i="5"/>
  <c r="J60" i="5" s="1"/>
  <c r="L60" i="5" s="1"/>
  <c r="L230" i="5"/>
  <c r="L182" i="5"/>
  <c r="I86" i="5"/>
  <c r="J86" i="5" s="1"/>
  <c r="L86" i="5" s="1"/>
  <c r="L629" i="5"/>
  <c r="I77" i="5"/>
  <c r="J77" i="5" s="1"/>
  <c r="L77" i="5" s="1"/>
  <c r="I39" i="5"/>
  <c r="J39" i="5" s="1"/>
  <c r="L39" i="5" s="1"/>
  <c r="I66" i="5"/>
  <c r="J66" i="5" s="1"/>
  <c r="L66" i="5" s="1"/>
  <c r="L94" i="5"/>
  <c r="L430" i="5"/>
  <c r="I87" i="5"/>
  <c r="J87" i="5" s="1"/>
  <c r="L87" i="5" s="1"/>
  <c r="L119" i="5"/>
  <c r="L326" i="5"/>
  <c r="L174" i="5"/>
  <c r="L154" i="5"/>
  <c r="I59" i="5"/>
  <c r="J59" i="5" s="1"/>
  <c r="L59" i="5" s="1"/>
  <c r="L389" i="5"/>
  <c r="L296" i="5"/>
  <c r="L136" i="5"/>
  <c r="L318" i="5"/>
  <c r="L302" i="5"/>
  <c r="L282" i="5"/>
  <c r="L366" i="5"/>
  <c r="L391" i="5"/>
  <c r="L305" i="5"/>
  <c r="L374" i="5"/>
  <c r="L152" i="5"/>
  <c r="L583" i="5"/>
  <c r="L422" i="5"/>
  <c r="L437" i="5"/>
  <c r="L475" i="5"/>
  <c r="L628" i="5"/>
  <c r="L403" i="5"/>
  <c r="L459" i="5"/>
  <c r="I12" i="5"/>
  <c r="J12" i="5" s="1"/>
  <c r="L12" i="5" s="1"/>
  <c r="I17" i="5"/>
  <c r="J17" i="5" s="1"/>
  <c r="L17" i="5" s="1"/>
  <c r="I55" i="5"/>
  <c r="J55" i="5" s="1"/>
  <c r="L55" i="5" s="1"/>
  <c r="I63" i="5"/>
  <c r="J63" i="5" s="1"/>
  <c r="L63" i="5" s="1"/>
  <c r="I92" i="5"/>
  <c r="J92" i="5" s="1"/>
  <c r="L92" i="5" s="1"/>
  <c r="I19" i="5"/>
  <c r="J19" i="5" s="1"/>
  <c r="L19" i="5" s="1"/>
  <c r="L471" i="5"/>
  <c r="L587" i="5"/>
  <c r="I42" i="5"/>
  <c r="J42" i="5" s="1"/>
  <c r="L42" i="5" s="1"/>
  <c r="L299" i="5"/>
  <c r="L472" i="5"/>
  <c r="F22" i="47" s="1"/>
  <c r="O22" i="47" s="1"/>
  <c r="I30" i="5"/>
  <c r="J30" i="5" s="1"/>
  <c r="L30" i="5" s="1"/>
  <c r="I90" i="5"/>
  <c r="J90" i="5" s="1"/>
  <c r="L90" i="5" s="1"/>
  <c r="I70" i="5"/>
  <c r="J70" i="5" s="1"/>
  <c r="L70" i="5" s="1"/>
  <c r="I18" i="5"/>
  <c r="J18" i="5" s="1"/>
  <c r="L18" i="5" s="1"/>
  <c r="L278" i="5"/>
  <c r="L450" i="5"/>
  <c r="L306" i="5"/>
  <c r="L468" i="5"/>
  <c r="L428" i="5"/>
  <c r="L212" i="5"/>
  <c r="L277" i="5"/>
  <c r="L399" i="5"/>
  <c r="L284" i="5"/>
  <c r="L444" i="5"/>
  <c r="L160" i="5"/>
  <c r="L339" i="5"/>
  <c r="L149" i="5"/>
  <c r="L387" i="5"/>
  <c r="L346" i="5"/>
  <c r="L588" i="5"/>
  <c r="L123" i="5"/>
  <c r="I80" i="5"/>
  <c r="J80" i="5" s="1"/>
  <c r="L80" i="5" s="1"/>
  <c r="E106" i="7"/>
  <c r="E625" i="7"/>
  <c r="E125" i="7"/>
  <c r="E299" i="7"/>
  <c r="E361" i="7"/>
  <c r="H551" i="9"/>
  <c r="I551" i="9" s="1"/>
  <c r="H800" i="9"/>
  <c r="I800" i="9" s="1"/>
  <c r="H668" i="9"/>
  <c r="I668" i="9" s="1"/>
  <c r="H284" i="9"/>
  <c r="I284" i="9" s="1"/>
  <c r="H638" i="9"/>
  <c r="I638" i="9" s="1"/>
  <c r="H617" i="9"/>
  <c r="I617" i="9" s="1"/>
  <c r="H743" i="9"/>
  <c r="I743" i="9" s="1"/>
  <c r="H71" i="9"/>
  <c r="I71" i="9" s="1"/>
  <c r="H640" i="9"/>
  <c r="I640" i="9" s="1"/>
  <c r="H377" i="9"/>
  <c r="I377" i="9" s="1"/>
  <c r="H32" i="9"/>
  <c r="I32" i="9" s="1"/>
  <c r="H728" i="9"/>
  <c r="I728" i="9" s="1"/>
  <c r="H29" i="9"/>
  <c r="I29" i="9" s="1"/>
  <c r="H713" i="9"/>
  <c r="I713" i="9" s="1"/>
  <c r="H547" i="9"/>
  <c r="I547" i="9" s="1"/>
  <c r="H74" i="9"/>
  <c r="I74" i="9" s="1"/>
  <c r="H575" i="9"/>
  <c r="I575" i="9" s="1"/>
  <c r="H596" i="9"/>
  <c r="I596" i="9" s="1"/>
  <c r="H178" i="9"/>
  <c r="I178" i="9" s="1"/>
  <c r="H161" i="9"/>
  <c r="I161" i="9" s="1"/>
  <c r="H687" i="9"/>
  <c r="I687" i="9" s="1"/>
  <c r="H762" i="9"/>
  <c r="I762" i="9" s="1"/>
  <c r="H774" i="9"/>
  <c r="I774" i="9" s="1"/>
  <c r="H803" i="9"/>
  <c r="I803" i="9" s="1"/>
  <c r="H731" i="9"/>
  <c r="I731" i="9" s="1"/>
  <c r="H477" i="9"/>
  <c r="I477" i="9" s="1"/>
  <c r="H378" i="9"/>
  <c r="I378" i="9" s="1"/>
  <c r="H254" i="9"/>
  <c r="I254" i="9" s="1"/>
  <c r="H691" i="9"/>
  <c r="I691" i="9" s="1"/>
  <c r="H582" i="9"/>
  <c r="I582" i="9" s="1"/>
  <c r="H357" i="9"/>
  <c r="I357" i="9" s="1"/>
  <c r="H805" i="9"/>
  <c r="I805" i="9" s="1"/>
  <c r="H482" i="9"/>
  <c r="I482" i="9" s="1"/>
  <c r="H706" i="9"/>
  <c r="I706" i="9" s="1"/>
  <c r="H381" i="9"/>
  <c r="I381" i="9" s="1"/>
  <c r="H781" i="9"/>
  <c r="I781" i="9" s="1"/>
  <c r="H745" i="9"/>
  <c r="I745" i="9" s="1"/>
  <c r="H507" i="9"/>
  <c r="I507" i="9" s="1"/>
  <c r="H379" i="9"/>
  <c r="I379" i="9" s="1"/>
  <c r="H602" i="9"/>
  <c r="I602" i="9" s="1"/>
  <c r="H158" i="9"/>
  <c r="I158" i="9" s="1"/>
  <c r="H645" i="9"/>
  <c r="I645" i="9" s="1"/>
  <c r="H95" i="9"/>
  <c r="I95" i="9" s="1"/>
  <c r="H259" i="9"/>
  <c r="I259" i="9" s="1"/>
  <c r="H656" i="9"/>
  <c r="I656" i="9" s="1"/>
  <c r="H630" i="9"/>
  <c r="I630" i="9" s="1"/>
  <c r="H363" i="9"/>
  <c r="I363" i="9" s="1"/>
  <c r="H166" i="9"/>
  <c r="I166" i="9" s="1"/>
  <c r="H705" i="9"/>
  <c r="I705" i="9" s="1"/>
  <c r="H31" i="9"/>
  <c r="I31" i="9" s="1"/>
  <c r="H709" i="9"/>
  <c r="I709" i="9" s="1"/>
  <c r="H744" i="9"/>
  <c r="I744" i="9" s="1"/>
  <c r="H750" i="9"/>
  <c r="I750" i="9" s="1"/>
  <c r="H735" i="9"/>
  <c r="I735" i="9" s="1"/>
  <c r="H449" i="9"/>
  <c r="I449" i="9" s="1"/>
  <c r="H250" i="9"/>
  <c r="I250" i="9" s="1"/>
  <c r="H659" i="9"/>
  <c r="I659" i="9" s="1"/>
  <c r="H562" i="9"/>
  <c r="I562" i="9" s="1"/>
  <c r="H140" i="9"/>
  <c r="I140" i="9" s="1"/>
  <c r="H42" i="9"/>
  <c r="I42" i="9" s="1"/>
  <c r="H504" i="9"/>
  <c r="I504" i="9" s="1"/>
  <c r="H68" i="9"/>
  <c r="I68" i="9" s="1"/>
  <c r="H25" i="9"/>
  <c r="I25" i="9" s="1"/>
  <c r="H555" i="9"/>
  <c r="I555" i="9" s="1"/>
  <c r="H96" i="9"/>
  <c r="I96" i="9" s="1"/>
  <c r="H626" i="9"/>
  <c r="I626" i="9" s="1"/>
  <c r="H257" i="9"/>
  <c r="I257" i="9" s="1"/>
  <c r="H549" i="9"/>
  <c r="I549" i="9" s="1"/>
  <c r="H624" i="9"/>
  <c r="I624" i="9" s="1"/>
  <c r="H746" i="9"/>
  <c r="I746" i="9" s="1"/>
  <c r="H462" i="9"/>
  <c r="I462" i="9" s="1"/>
  <c r="H155" i="9"/>
  <c r="I155" i="9" s="1"/>
  <c r="H473" i="9"/>
  <c r="I473" i="9" s="1"/>
  <c r="H583" i="9"/>
  <c r="I583" i="9" s="1"/>
  <c r="H351" i="9"/>
  <c r="I351" i="9" s="1"/>
  <c r="H545" i="9"/>
  <c r="I545" i="9" s="1"/>
  <c r="H149" i="9"/>
  <c r="I149" i="9" s="1"/>
  <c r="H702" i="9"/>
  <c r="I702" i="9" s="1"/>
  <c r="H799" i="9"/>
  <c r="I799" i="9" s="1"/>
  <c r="H666" i="9"/>
  <c r="I666" i="9" s="1"/>
  <c r="H260" i="9"/>
  <c r="I260" i="9" s="1"/>
  <c r="H721" i="9"/>
  <c r="I721" i="9" s="1"/>
  <c r="H792" i="9"/>
  <c r="I792" i="9" s="1"/>
  <c r="H698" i="9"/>
  <c r="I698" i="9" s="1"/>
  <c r="H160" i="9"/>
  <c r="I160" i="9" s="1"/>
  <c r="H725" i="9"/>
  <c r="I725" i="9" s="1"/>
  <c r="H247" i="9"/>
  <c r="H512" i="9"/>
  <c r="I512" i="9" s="1"/>
  <c r="H618" i="9"/>
  <c r="I618" i="9" s="1"/>
  <c r="H362" i="9"/>
  <c r="I362" i="9" s="1"/>
  <c r="H374" i="9"/>
  <c r="I374" i="9" s="1"/>
  <c r="H97" i="9"/>
  <c r="I97" i="9" s="1"/>
  <c r="H756" i="9"/>
  <c r="I756" i="9" s="1"/>
  <c r="H164" i="9"/>
  <c r="I164" i="9" s="1"/>
  <c r="H660" i="9"/>
  <c r="I660" i="9" s="1"/>
  <c r="H283" i="9"/>
  <c r="I283" i="9" s="1"/>
  <c r="H736" i="9"/>
  <c r="I736" i="9" s="1"/>
  <c r="H156" i="9"/>
  <c r="I156" i="9" s="1"/>
  <c r="H694" i="9"/>
  <c r="I694" i="9" s="1"/>
  <c r="H723" i="9"/>
  <c r="I723" i="9" s="1"/>
  <c r="H475" i="9"/>
  <c r="I475" i="9" s="1"/>
  <c r="H772" i="9"/>
  <c r="I772" i="9" s="1"/>
  <c r="H485" i="9"/>
  <c r="I485" i="9" s="1"/>
  <c r="H719" i="9"/>
  <c r="I719" i="9" s="1"/>
  <c r="H461" i="9"/>
  <c r="I461" i="9" s="1"/>
  <c r="H496" i="9"/>
  <c r="I496" i="9" s="1"/>
  <c r="H657" i="9"/>
  <c r="I657" i="9" s="1"/>
  <c r="H674" i="9"/>
  <c r="I674" i="9" s="1"/>
  <c r="H380" i="9"/>
  <c r="I380" i="9" s="1"/>
  <c r="H801" i="9"/>
  <c r="I801" i="9" s="1"/>
  <c r="H484" i="9"/>
  <c r="I484" i="9" s="1"/>
  <c r="H285" i="9"/>
  <c r="I285" i="9" s="1"/>
  <c r="H642" i="9"/>
  <c r="I642" i="9" s="1"/>
  <c r="H456" i="9"/>
  <c r="I456" i="9" s="1"/>
  <c r="H501" i="9"/>
  <c r="I501" i="9" s="1"/>
  <c r="H137" i="9"/>
  <c r="I137" i="9" s="1"/>
  <c r="H572" i="9"/>
  <c r="I572" i="9" s="1"/>
  <c r="H593" i="9"/>
  <c r="I593" i="9" s="1"/>
  <c r="H258" i="9"/>
  <c r="I258" i="9" s="1"/>
  <c r="H749" i="9"/>
  <c r="I749" i="9" s="1"/>
  <c r="H764" i="9"/>
  <c r="I764" i="9" s="1"/>
  <c r="H172" i="9"/>
  <c r="I172" i="9" s="1"/>
  <c r="H76" i="9"/>
  <c r="I76" i="9" s="1"/>
  <c r="H561" i="9"/>
  <c r="I561" i="9" s="1"/>
  <c r="H367" i="9"/>
  <c r="I367" i="9" s="1"/>
  <c r="H469" i="9"/>
  <c r="I469" i="9" s="1"/>
  <c r="H636" i="9"/>
  <c r="I636" i="9" s="1"/>
  <c r="H639" i="9"/>
  <c r="I639" i="9" s="1"/>
  <c r="H179" i="9"/>
  <c r="I179" i="9" s="1"/>
  <c r="H692" i="9"/>
  <c r="I692" i="9" s="1"/>
  <c r="H716" i="9"/>
  <c r="I716" i="9" s="1"/>
  <c r="H146" i="9"/>
  <c r="I146" i="9" s="1"/>
  <c r="H793" i="9"/>
  <c r="I793" i="9" s="1"/>
  <c r="H476" i="9"/>
  <c r="I476" i="9" s="1"/>
  <c r="H556" i="9"/>
  <c r="I556" i="9" s="1"/>
  <c r="H597" i="9"/>
  <c r="I597" i="9" s="1"/>
  <c r="H174" i="9"/>
  <c r="I174" i="9" s="1"/>
  <c r="H59" i="9"/>
  <c r="I59" i="9" s="1"/>
  <c r="H754" i="9"/>
  <c r="I754" i="9" s="1"/>
  <c r="H152" i="9"/>
  <c r="I152" i="9" s="1"/>
  <c r="H718" i="9"/>
  <c r="I718" i="9" s="1"/>
  <c r="H457" i="9"/>
  <c r="I457" i="9" s="1"/>
  <c r="H690" i="9"/>
  <c r="I690" i="9" s="1"/>
  <c r="H664" i="9"/>
  <c r="I664" i="9" s="1"/>
  <c r="H606" i="9"/>
  <c r="I606" i="9" s="1"/>
  <c r="H368" i="9"/>
  <c r="I368" i="9" s="1"/>
  <c r="H268" i="9"/>
  <c r="I268" i="9" s="1"/>
  <c r="H700" i="9"/>
  <c r="I700" i="9" s="1"/>
  <c r="H686" i="9"/>
  <c r="I686" i="9" s="1"/>
  <c r="H767" i="9"/>
  <c r="I767" i="9" s="1"/>
  <c r="H806" i="9"/>
  <c r="I806" i="9" s="1"/>
  <c r="H611" i="9"/>
  <c r="I611" i="9" s="1"/>
  <c r="H86" i="9"/>
  <c r="I86" i="9" s="1"/>
  <c r="H634" i="9"/>
  <c r="I634" i="9" s="1"/>
  <c r="H93" i="9"/>
  <c r="I93" i="9" s="1"/>
  <c r="H661" i="9"/>
  <c r="I661" i="9" s="1"/>
  <c r="H153" i="9"/>
  <c r="I153" i="9" s="1"/>
  <c r="H655" i="9"/>
  <c r="I655" i="9" s="1"/>
  <c r="H177" i="9"/>
  <c r="I177" i="9" s="1"/>
  <c r="H499" i="9"/>
  <c r="I499" i="9" s="1"/>
  <c r="H707" i="9"/>
  <c r="I707" i="9" s="1"/>
  <c r="H732" i="9"/>
  <c r="I732" i="9" s="1"/>
  <c r="H49" i="9"/>
  <c r="I49" i="9" s="1"/>
  <c r="H175" i="9"/>
  <c r="I175" i="9" s="1"/>
  <c r="H494" i="9"/>
  <c r="I494" i="9" s="1"/>
  <c r="H80" i="9"/>
  <c r="I80" i="9" s="1"/>
  <c r="H739" i="9"/>
  <c r="I739" i="9" s="1"/>
  <c r="H176" i="9"/>
  <c r="I176" i="9" s="1"/>
  <c r="H779" i="9"/>
  <c r="I779" i="9" s="1"/>
  <c r="H566" i="9"/>
  <c r="I566" i="9" s="1"/>
  <c r="H554" i="9"/>
  <c r="I554" i="9" s="1"/>
  <c r="H682" i="9"/>
  <c r="I682" i="9" s="1"/>
  <c r="H776" i="9"/>
  <c r="I776" i="9" s="1"/>
  <c r="H94" i="9"/>
  <c r="I94" i="9" s="1"/>
  <c r="H684" i="9"/>
  <c r="I684" i="9" s="1"/>
  <c r="H518" i="9"/>
  <c r="I518" i="9" s="1"/>
  <c r="H133" i="9"/>
  <c r="I133" i="9" s="1"/>
  <c r="H614" i="9"/>
  <c r="I614" i="9" s="1"/>
  <c r="H791" i="9"/>
  <c r="I791" i="9" s="1"/>
  <c r="H663" i="9"/>
  <c r="I663" i="9" s="1"/>
  <c r="H455" i="9"/>
  <c r="I455" i="9" s="1"/>
  <c r="H667" i="9"/>
  <c r="I667" i="9" s="1"/>
  <c r="H143" i="9"/>
  <c r="I143" i="9" s="1"/>
  <c r="H585" i="9"/>
  <c r="I585" i="9" s="1"/>
  <c r="H85" i="9"/>
  <c r="I85" i="9" s="1"/>
  <c r="H673" i="9"/>
  <c r="I673" i="9" s="1"/>
  <c r="H520" i="9"/>
  <c r="I520" i="9" s="1"/>
  <c r="H347" i="9"/>
  <c r="I347" i="9" s="1"/>
  <c r="H72" i="9"/>
  <c r="I72" i="9" s="1"/>
  <c r="H633" i="9"/>
  <c r="I633" i="9" s="1"/>
  <c r="H505" i="9"/>
  <c r="I505" i="9" s="1"/>
  <c r="H355" i="9"/>
  <c r="I355" i="9" s="1"/>
  <c r="H649" i="9"/>
  <c r="I649" i="9" s="1"/>
  <c r="H697" i="9"/>
  <c r="I697" i="9" s="1"/>
  <c r="H376" i="9"/>
  <c r="I376" i="9" s="1"/>
  <c r="H786" i="9"/>
  <c r="I786" i="9" s="1"/>
  <c r="H84" i="9"/>
  <c r="I84" i="9" s="1"/>
  <c r="H759" i="9"/>
  <c r="I759" i="9" s="1"/>
  <c r="H359" i="9"/>
  <c r="I359" i="9" s="1"/>
  <c r="H789" i="9"/>
  <c r="I789" i="9" s="1"/>
  <c r="H671" i="9"/>
  <c r="I671" i="9" s="1"/>
  <c r="H99" i="9"/>
  <c r="I99" i="9" s="1"/>
  <c r="H578" i="9"/>
  <c r="I578" i="9" s="1"/>
  <c r="H544" i="9"/>
  <c r="I544" i="9" s="1"/>
  <c r="H509" i="9"/>
  <c r="I509" i="9" s="1"/>
  <c r="H604" i="9"/>
  <c r="I604" i="9" s="1"/>
  <c r="H459" i="9"/>
  <c r="I459" i="9" s="1"/>
  <c r="H802" i="9"/>
  <c r="I802" i="9" s="1"/>
  <c r="H701" i="9"/>
  <c r="I701" i="9" s="1"/>
  <c r="H780" i="9"/>
  <c r="I780" i="9" s="1"/>
  <c r="H621" i="9"/>
  <c r="I621" i="9" s="1"/>
  <c r="H742" i="9"/>
  <c r="I742" i="9" s="1"/>
  <c r="H364" i="9"/>
  <c r="I364" i="9" s="1"/>
  <c r="H695" i="9"/>
  <c r="I695" i="9" s="1"/>
  <c r="H796" i="9"/>
  <c r="I796" i="9" s="1"/>
  <c r="H515" i="9"/>
  <c r="I515" i="9" s="1"/>
  <c r="H644" i="9"/>
  <c r="I644" i="9" s="1"/>
  <c r="H135" i="9"/>
  <c r="I135" i="9" s="1"/>
  <c r="H55" i="9"/>
  <c r="I55" i="9" s="1"/>
  <c r="H148" i="9"/>
  <c r="I148" i="9" s="1"/>
  <c r="H567" i="9"/>
  <c r="I567" i="9" s="1"/>
  <c r="H350" i="9"/>
  <c r="I350" i="9" s="1"/>
  <c r="H483" i="9"/>
  <c r="I483" i="9" s="1"/>
  <c r="H136" i="9"/>
  <c r="I136" i="9" s="1"/>
  <c r="H521" i="9"/>
  <c r="I521" i="9" s="1"/>
  <c r="H139" i="9"/>
  <c r="I139" i="9" s="1"/>
  <c r="H92" i="9"/>
  <c r="I92" i="9" s="1"/>
  <c r="H522" i="9"/>
  <c r="I522" i="9" s="1"/>
  <c r="H675" i="9"/>
  <c r="I675" i="9" s="1"/>
  <c r="H274" i="9"/>
  <c r="I274" i="9" s="1"/>
  <c r="H603" i="9"/>
  <c r="I603" i="9" s="1"/>
  <c r="H508" i="9"/>
  <c r="I508" i="9" s="1"/>
  <c r="H576" i="9"/>
  <c r="I576" i="9" s="1"/>
  <c r="H147" i="9"/>
  <c r="I147" i="9" s="1"/>
  <c r="H605" i="9"/>
  <c r="I605" i="9" s="1"/>
  <c r="H489" i="9"/>
  <c r="I489" i="9" s="1"/>
  <c r="H573" i="9"/>
  <c r="I573" i="9" s="1"/>
  <c r="H454" i="9"/>
  <c r="I454" i="9" s="1"/>
  <c r="H472" i="9"/>
  <c r="I472" i="9" s="1"/>
  <c r="H24" i="9"/>
  <c r="I24" i="9" s="1"/>
  <c r="H581" i="9"/>
  <c r="I581" i="9" s="1"/>
  <c r="H28" i="9"/>
  <c r="I28" i="9" s="1"/>
  <c r="H478" i="9"/>
  <c r="I478" i="9" s="1"/>
  <c r="H669" i="9"/>
  <c r="I669" i="9" s="1"/>
  <c r="I270" i="9"/>
  <c r="H683" i="9"/>
  <c r="I683" i="9" s="1"/>
  <c r="H252" i="9"/>
  <c r="I252" i="9" s="1"/>
  <c r="H590" i="9"/>
  <c r="I590" i="9" s="1"/>
  <c r="H594" i="9"/>
  <c r="I594" i="9" s="1"/>
  <c r="H54" i="9"/>
  <c r="I54" i="9" s="1"/>
  <c r="H491" i="9"/>
  <c r="I491" i="9" s="1"/>
  <c r="H623" i="9"/>
  <c r="I623" i="9" s="1"/>
  <c r="H681" i="9"/>
  <c r="I681" i="9" s="1"/>
  <c r="H773" i="9"/>
  <c r="I773" i="9" s="1"/>
  <c r="H616" i="9"/>
  <c r="I616" i="9" s="1"/>
  <c r="H267" i="9"/>
  <c r="I267" i="9" s="1"/>
  <c r="H560" i="9"/>
  <c r="I560" i="9" s="1"/>
  <c r="H783" i="9"/>
  <c r="I783" i="9" s="1"/>
  <c r="H584" i="9"/>
  <c r="I584" i="9" s="1"/>
  <c r="H511" i="9"/>
  <c r="I511" i="9" s="1"/>
  <c r="H678" i="9"/>
  <c r="I678" i="9" s="1"/>
  <c r="H162" i="9"/>
  <c r="I162" i="9" s="1"/>
  <c r="H134" i="9"/>
  <c r="I134" i="9" s="1"/>
  <c r="H552" i="9"/>
  <c r="I552" i="9" s="1"/>
  <c r="H770" i="9"/>
  <c r="I770" i="9" s="1"/>
  <c r="H372" i="9"/>
  <c r="I372" i="9" s="1"/>
  <c r="H648" i="9"/>
  <c r="I648" i="9" s="1"/>
  <c r="H171" i="9"/>
  <c r="I171" i="9" s="1"/>
  <c r="H498" i="9"/>
  <c r="I498" i="9" s="1"/>
  <c r="H751" i="9"/>
  <c r="I751" i="9" s="1"/>
  <c r="H714" i="9"/>
  <c r="I714" i="9" s="1"/>
  <c r="H464" i="9"/>
  <c r="I464" i="9" s="1"/>
  <c r="H262" i="9"/>
  <c r="I262" i="9" s="1"/>
  <c r="H689" i="9"/>
  <c r="I689" i="9" s="1"/>
  <c r="H132" i="9"/>
  <c r="I132" i="9" s="1"/>
  <c r="H62" i="9"/>
  <c r="I62" i="9" s="1"/>
  <c r="H652" i="9"/>
  <c r="I652" i="9" s="1"/>
  <c r="H679" i="9"/>
  <c r="I679" i="9" s="1"/>
  <c r="H272" i="9"/>
  <c r="I272" i="9" s="1"/>
  <c r="H766" i="9"/>
  <c r="I766" i="9" s="1"/>
  <c r="H273" i="9"/>
  <c r="I273" i="9" s="1"/>
  <c r="H733" i="9"/>
  <c r="I733" i="9" s="1"/>
  <c r="H353" i="9"/>
  <c r="I353" i="9" s="1"/>
  <c r="H100" i="9"/>
  <c r="I100" i="9" s="1"/>
  <c r="H685" i="9"/>
  <c r="I685" i="9" s="1"/>
  <c r="H264" i="9"/>
  <c r="I264" i="9" s="1"/>
  <c r="H768" i="9"/>
  <c r="I768" i="9" s="1"/>
  <c r="H570" i="9"/>
  <c r="I570" i="9" s="1"/>
  <c r="H27" i="9"/>
  <c r="I27" i="9" s="1"/>
  <c r="H758" i="9"/>
  <c r="I758" i="9" s="1"/>
  <c r="H98" i="9"/>
  <c r="I98" i="9" s="1"/>
  <c r="H480" i="9"/>
  <c r="I480" i="9" s="1"/>
  <c r="H579" i="9"/>
  <c r="I579" i="9" s="1"/>
  <c r="H375" i="9"/>
  <c r="I375" i="9" s="1"/>
  <c r="H168" i="9"/>
  <c r="I168" i="9" s="1"/>
  <c r="H495" i="9"/>
  <c r="I495" i="9" s="1"/>
  <c r="H619" i="9"/>
  <c r="I619" i="9" s="1"/>
  <c r="H726" i="9"/>
  <c r="I726" i="9" s="1"/>
  <c r="H170" i="9"/>
  <c r="I170" i="9" s="1"/>
  <c r="H778" i="9"/>
  <c r="I778" i="9" s="1"/>
  <c r="H672" i="9"/>
  <c r="I672" i="9" s="1"/>
  <c r="H150" i="9"/>
  <c r="I150" i="9" s="1"/>
  <c r="H608" i="9"/>
  <c r="I608" i="9" s="1"/>
  <c r="H586" i="9"/>
  <c r="I586" i="9" s="1"/>
  <c r="H510" i="9"/>
  <c r="I510" i="9" s="1"/>
  <c r="H559" i="9"/>
  <c r="I559" i="9" s="1"/>
  <c r="H89" i="9"/>
  <c r="I89" i="9" s="1"/>
  <c r="H503" i="9"/>
  <c r="I503" i="9" s="1"/>
  <c r="H588" i="9"/>
  <c r="I588" i="9" s="1"/>
  <c r="H711" i="9"/>
  <c r="I711" i="9" s="1"/>
  <c r="H785" i="9"/>
  <c r="I785" i="9" s="1"/>
  <c r="H502" i="9"/>
  <c r="I502" i="9" s="1"/>
  <c r="H717" i="9"/>
  <c r="I717" i="9" s="1"/>
  <c r="H794" i="9"/>
  <c r="I794" i="9" s="1"/>
  <c r="H763" i="9"/>
  <c r="I763" i="9" s="1"/>
  <c r="H650" i="9"/>
  <c r="I650" i="9" s="1"/>
  <c r="H358" i="9"/>
  <c r="I358" i="9" s="1"/>
  <c r="H481" i="9"/>
  <c r="I481" i="9" s="1"/>
  <c r="H693" i="9"/>
  <c r="I693" i="9" s="1"/>
  <c r="H724" i="9"/>
  <c r="I724" i="9" s="1"/>
  <c r="H467" i="9"/>
  <c r="I467" i="9" s="1"/>
  <c r="H30" i="9"/>
  <c r="I30" i="9" s="1"/>
  <c r="H653" i="9"/>
  <c r="I653" i="9" s="1"/>
  <c r="H580" i="9"/>
  <c r="I580" i="9" s="1"/>
  <c r="H354" i="9"/>
  <c r="I354" i="9" s="1"/>
  <c r="H282" i="9"/>
  <c r="I282" i="9" s="1"/>
  <c r="H797" i="9"/>
  <c r="I797" i="9" s="1"/>
  <c r="H795" i="9"/>
  <c r="I795" i="9" s="1"/>
  <c r="H704" i="9"/>
  <c r="I704" i="9" s="1"/>
  <c r="H360" i="9"/>
  <c r="I360" i="9" s="1"/>
  <c r="H488" i="9"/>
  <c r="I488" i="9" s="1"/>
  <c r="H601" i="9"/>
  <c r="I601" i="9" s="1"/>
  <c r="H371" i="9"/>
  <c r="I371" i="9" s="1"/>
  <c r="H788" i="9"/>
  <c r="I788" i="9" s="1"/>
  <c r="H83" i="9"/>
  <c r="I83" i="9" s="1"/>
  <c r="H722" i="9"/>
  <c r="I722" i="9" s="1"/>
  <c r="H466" i="9"/>
  <c r="I466" i="9" s="1"/>
  <c r="H782" i="9"/>
  <c r="I782" i="9" s="1"/>
  <c r="H145" i="9"/>
  <c r="I145" i="9" s="1"/>
  <c r="H557" i="9"/>
  <c r="I557" i="9" s="1"/>
  <c r="H60" i="9"/>
  <c r="I60" i="9" s="1"/>
  <c r="H517" i="9"/>
  <c r="I517" i="9" s="1"/>
  <c r="H373" i="9"/>
  <c r="I373" i="9" s="1"/>
  <c r="H497" i="9"/>
  <c r="I497" i="9" s="1"/>
  <c r="H712" i="9"/>
  <c r="I712" i="9" s="1"/>
  <c r="H564" i="9"/>
  <c r="I564" i="9" s="1"/>
  <c r="H625" i="9"/>
  <c r="I625" i="9" s="1"/>
  <c r="H460" i="9"/>
  <c r="I460" i="9" s="1"/>
  <c r="H26" i="9"/>
  <c r="I26" i="9" s="1"/>
  <c r="H361" i="9"/>
  <c r="I361" i="9" s="1"/>
  <c r="H253" i="9"/>
  <c r="I253" i="9" s="1"/>
  <c r="H775" i="9"/>
  <c r="I775" i="9" s="1"/>
  <c r="H569" i="9"/>
  <c r="I569" i="9" s="1"/>
  <c r="H720" i="9"/>
  <c r="I720" i="9" s="1"/>
  <c r="H173" i="9"/>
  <c r="I173" i="9" s="1"/>
  <c r="H88" i="9"/>
  <c r="I88" i="9" s="1"/>
  <c r="H610" i="9"/>
  <c r="I610" i="9" s="1"/>
  <c r="H615" i="9"/>
  <c r="I615" i="9" s="1"/>
  <c r="H741" i="9"/>
  <c r="I741" i="9" s="1"/>
  <c r="H369" i="9"/>
  <c r="I369" i="9" s="1"/>
  <c r="H151" i="9"/>
  <c r="I151" i="9" s="1"/>
  <c r="H703" i="9"/>
  <c r="I703" i="9" s="1"/>
  <c r="H808" i="9"/>
  <c r="I808" i="9" s="1"/>
  <c r="H647" i="9"/>
  <c r="I647" i="9" s="1"/>
  <c r="H167" i="9"/>
  <c r="I167" i="9" s="1"/>
  <c r="H676" i="9"/>
  <c r="I676" i="9" s="1"/>
  <c r="H470" i="9"/>
  <c r="I470" i="9" s="1"/>
  <c r="H595" i="9"/>
  <c r="I595" i="9" s="1"/>
  <c r="H637" i="9"/>
  <c r="I637" i="9" s="1"/>
  <c r="H622" i="9"/>
  <c r="I622" i="9" s="1"/>
  <c r="H607" i="9"/>
  <c r="I607" i="9" s="1"/>
  <c r="H276" i="9"/>
  <c r="I276" i="9" s="1"/>
  <c r="H43" i="9"/>
  <c r="I43" i="9" s="1"/>
  <c r="H688" i="9"/>
  <c r="I688" i="9" s="1"/>
  <c r="H708" i="9"/>
  <c r="I708" i="9" s="1"/>
  <c r="H734" i="9"/>
  <c r="I734" i="9" s="1"/>
  <c r="H769" i="9"/>
  <c r="I769" i="9" s="1"/>
  <c r="H41" i="9"/>
  <c r="I41" i="9" s="1"/>
  <c r="H70" i="9"/>
  <c r="I70" i="9" s="1"/>
  <c r="H574" i="9"/>
  <c r="I574" i="9" s="1"/>
  <c r="H365" i="9"/>
  <c r="I365" i="9" s="1"/>
  <c r="H571" i="9"/>
  <c r="I571" i="9" s="1"/>
  <c r="H52" i="9"/>
  <c r="I52" i="9" s="1"/>
  <c r="H612" i="9"/>
  <c r="I612" i="9" s="1"/>
  <c r="H670" i="9"/>
  <c r="I670" i="9" s="1"/>
  <c r="H281" i="9"/>
  <c r="I281" i="9" s="1"/>
  <c r="H804" i="9"/>
  <c r="I804" i="9" s="1"/>
  <c r="H568" i="9"/>
  <c r="I568" i="9" s="1"/>
  <c r="H627" i="9"/>
  <c r="I627" i="9" s="1"/>
  <c r="H275" i="9"/>
  <c r="I275" i="9" s="1"/>
  <c r="H101" i="9"/>
  <c r="I101" i="9" s="1"/>
  <c r="H753" i="9"/>
  <c r="I753" i="9" s="1"/>
  <c r="H277" i="9"/>
  <c r="I277" i="9" s="1"/>
  <c r="H514" i="9"/>
  <c r="I514" i="9" s="1"/>
  <c r="H366" i="9"/>
  <c r="I366" i="9" s="1"/>
  <c r="H620" i="9"/>
  <c r="I620" i="9" s="1"/>
  <c r="H131" i="9"/>
  <c r="I131" i="9" s="1"/>
  <c r="H61" i="9"/>
  <c r="I61" i="9" s="1"/>
  <c r="H280" i="9"/>
  <c r="I280" i="9" s="1"/>
  <c r="H490" i="9"/>
  <c r="I490" i="9" s="1"/>
  <c r="H64" i="9"/>
  <c r="I64" i="9" s="1"/>
  <c r="H90" i="9"/>
  <c r="I90" i="9" s="1"/>
  <c r="H138" i="9"/>
  <c r="I138" i="9" s="1"/>
  <c r="H474" i="9"/>
  <c r="I474" i="9" s="1"/>
  <c r="H352" i="9"/>
  <c r="I352" i="9" s="1"/>
  <c r="H609" i="9"/>
  <c r="I609" i="9" s="1"/>
  <c r="H34" i="9"/>
  <c r="I34" i="9" s="1"/>
  <c r="H553" i="9"/>
  <c r="I553" i="9" s="1"/>
  <c r="H451" i="9"/>
  <c r="I451" i="9" s="1"/>
  <c r="H654" i="9"/>
  <c r="I654" i="9" s="1"/>
  <c r="H628" i="9"/>
  <c r="I628" i="9" s="1"/>
  <c r="H450" i="9"/>
  <c r="I450" i="9" s="1"/>
  <c r="H163" i="9"/>
  <c r="I163" i="9" s="1"/>
  <c r="H599" i="9"/>
  <c r="I599" i="9" s="1"/>
  <c r="H727" i="9"/>
  <c r="I727" i="9" s="1"/>
  <c r="H784" i="9"/>
  <c r="I784" i="9" s="1"/>
  <c r="H747" i="9"/>
  <c r="I747" i="9" s="1"/>
  <c r="H777" i="9"/>
  <c r="I777" i="9" s="1"/>
  <c r="H600" i="9"/>
  <c r="I600" i="9" s="1"/>
  <c r="H787" i="9"/>
  <c r="I787" i="9" s="1"/>
  <c r="H563" i="9"/>
  <c r="I563" i="9" s="1"/>
  <c r="H632" i="9"/>
  <c r="I632" i="9" s="1"/>
  <c r="H356" i="9"/>
  <c r="I356" i="9" s="1"/>
  <c r="H453" i="9"/>
  <c r="I453" i="9" s="1"/>
  <c r="H269" i="9"/>
  <c r="I269" i="9" s="1"/>
  <c r="H643" i="9"/>
  <c r="I643" i="9" s="1"/>
  <c r="H677" i="9"/>
  <c r="I677" i="9" s="1"/>
  <c r="H348" i="9"/>
  <c r="I348" i="9" s="1"/>
  <c r="H33" i="9"/>
  <c r="I33" i="9" s="1"/>
  <c r="H629" i="9"/>
  <c r="I629" i="9" s="1"/>
  <c r="H487" i="9"/>
  <c r="I487" i="9" s="1"/>
  <c r="H738" i="9"/>
  <c r="I738" i="9" s="1"/>
  <c r="H87" i="9"/>
  <c r="I87" i="9" s="1"/>
  <c r="H506" i="9"/>
  <c r="I506" i="9" s="1"/>
  <c r="H550" i="9"/>
  <c r="I550" i="9" s="1"/>
  <c r="H710" i="9"/>
  <c r="I710" i="9" s="1"/>
  <c r="H279" i="9"/>
  <c r="I279" i="9" s="1"/>
  <c r="H50" i="9"/>
  <c r="I50" i="9" s="1"/>
  <c r="H651" i="9"/>
  <c r="I651" i="9" s="1"/>
  <c r="H680" i="9"/>
  <c r="I680" i="9" s="1"/>
  <c r="H286" i="9"/>
  <c r="I286" i="9" s="1"/>
  <c r="H807" i="9"/>
  <c r="I807" i="9" s="1"/>
  <c r="H729" i="9"/>
  <c r="I729" i="9" s="1"/>
  <c r="H513" i="9"/>
  <c r="I513" i="9" s="1"/>
  <c r="H737" i="9"/>
  <c r="I737" i="9" s="1"/>
  <c r="H592" i="9"/>
  <c r="I592" i="9" s="1"/>
  <c r="H809" i="9"/>
  <c r="I809" i="9" s="1"/>
  <c r="H558" i="9"/>
  <c r="I558" i="9" s="1"/>
  <c r="H142" i="9"/>
  <c r="I142" i="9" s="1"/>
  <c r="H78" i="9"/>
  <c r="I78" i="9" s="1"/>
  <c r="H587" i="9"/>
  <c r="I587" i="9" s="1"/>
  <c r="H765" i="9"/>
  <c r="I765" i="9" s="1"/>
  <c r="H771" i="9"/>
  <c r="I771" i="9" s="1"/>
  <c r="H752" i="9"/>
  <c r="I752" i="9" s="1"/>
  <c r="H165" i="9"/>
  <c r="I165" i="9" s="1"/>
  <c r="H748" i="9"/>
  <c r="I748" i="9" s="1"/>
  <c r="H715" i="9"/>
  <c r="I715" i="9" s="1"/>
  <c r="H598" i="9"/>
  <c r="I598" i="9" s="1"/>
  <c r="H382" i="9"/>
  <c r="I382" i="9" s="1"/>
  <c r="H58" i="9"/>
  <c r="I58" i="9" s="1"/>
  <c r="H81" i="9"/>
  <c r="I81" i="9" s="1"/>
  <c r="H658" i="9"/>
  <c r="I658" i="9" s="1"/>
  <c r="H631" i="9"/>
  <c r="I631" i="9" s="1"/>
  <c r="H465" i="9"/>
  <c r="I465" i="9" s="1"/>
  <c r="H810" i="9"/>
  <c r="I810" i="9" s="1"/>
  <c r="H740" i="9"/>
  <c r="I740" i="9" s="1"/>
  <c r="H613" i="9"/>
  <c r="I613" i="9" s="1"/>
  <c r="H468" i="9"/>
  <c r="I468" i="9" s="1"/>
  <c r="H565" i="9"/>
  <c r="I565" i="9" s="1"/>
  <c r="H39" i="9"/>
  <c r="I39" i="9" s="1"/>
  <c r="H730" i="9"/>
  <c r="I730" i="9" s="1"/>
  <c r="H91" i="9"/>
  <c r="I91" i="9" s="1"/>
  <c r="H77" i="9"/>
  <c r="I77" i="9" s="1"/>
  <c r="H696" i="9"/>
  <c r="I696" i="9" s="1"/>
  <c r="H761" i="9"/>
  <c r="I761" i="9" s="1"/>
  <c r="H349" i="9"/>
  <c r="I349" i="9" s="1"/>
  <c r="H458" i="9"/>
  <c r="I458" i="9" s="1"/>
  <c r="H471" i="9"/>
  <c r="I471" i="9" s="1"/>
  <c r="H665" i="9"/>
  <c r="I665" i="9" s="1"/>
  <c r="H760" i="9"/>
  <c r="I760" i="9" s="1"/>
  <c r="H452" i="9"/>
  <c r="I452" i="9" s="1"/>
  <c r="H154" i="9"/>
  <c r="I154" i="9" s="1"/>
  <c r="H798" i="9"/>
  <c r="I798" i="9" s="1"/>
  <c r="E10" i="8"/>
  <c r="K6" i="8"/>
  <c r="L6" i="8" s="1"/>
  <c r="I10" i="12"/>
  <c r="J10" i="12" s="1"/>
  <c r="M10" i="12" s="1"/>
  <c r="J6" i="12"/>
  <c r="G32" i="14"/>
  <c r="P32" i="14" s="1"/>
  <c r="E551" i="7"/>
  <c r="E325" i="7"/>
  <c r="E305" i="7"/>
  <c r="Y316" i="7"/>
  <c r="E368" i="7"/>
  <c r="E85" i="7"/>
  <c r="E213" i="7"/>
  <c r="Y501" i="7"/>
  <c r="E513" i="7"/>
  <c r="E511" i="7"/>
  <c r="E55" i="7"/>
  <c r="E472" i="7"/>
  <c r="E189" i="7"/>
  <c r="E149" i="7"/>
  <c r="E447" i="7"/>
  <c r="E169" i="7"/>
  <c r="E422" i="7"/>
  <c r="E526" i="7"/>
  <c r="E599" i="7"/>
  <c r="E132" i="7"/>
  <c r="K486" i="9"/>
  <c r="K263" i="9"/>
  <c r="K493" i="9"/>
  <c r="K79" i="9"/>
  <c r="K256" i="9"/>
  <c r="K516" i="9"/>
  <c r="E335" i="7"/>
  <c r="Y199" i="7"/>
  <c r="E252" i="7"/>
  <c r="E72" i="7"/>
  <c r="E232" i="7"/>
  <c r="E623" i="7"/>
  <c r="Y504" i="7"/>
  <c r="E81" i="7"/>
  <c r="E461" i="7"/>
  <c r="Y540" i="7"/>
  <c r="E218" i="7"/>
  <c r="E59" i="7"/>
  <c r="E177" i="7"/>
  <c r="E460" i="7"/>
  <c r="E622" i="7"/>
  <c r="J307" i="2"/>
  <c r="J138" i="2"/>
  <c r="K138" i="2" s="1"/>
  <c r="L138" i="2" s="1"/>
  <c r="J139" i="2"/>
  <c r="K139" i="2" s="1"/>
  <c r="L139" i="2" s="1"/>
  <c r="J682" i="2"/>
  <c r="J617" i="2"/>
  <c r="K617" i="2" s="1"/>
  <c r="L617" i="2" s="1"/>
  <c r="M3" i="2"/>
  <c r="E10" i="2"/>
  <c r="P6" i="2"/>
  <c r="J428" i="2"/>
  <c r="K428" i="2" s="1"/>
  <c r="L428" i="2" s="1"/>
  <c r="J681" i="2"/>
  <c r="K681" i="2" s="1"/>
  <c r="L681" i="2" s="1"/>
  <c r="H3" i="8"/>
  <c r="E74" i="7"/>
  <c r="E115" i="7"/>
  <c r="E672" i="7"/>
  <c r="E347" i="7"/>
  <c r="E438" i="7"/>
  <c r="E225" i="7"/>
  <c r="E97" i="7"/>
  <c r="E27" i="7"/>
  <c r="E464" i="7"/>
  <c r="E37" i="7"/>
  <c r="E688" i="7"/>
  <c r="E322" i="7"/>
  <c r="E469" i="7"/>
  <c r="E495" i="7"/>
  <c r="E451" i="7"/>
  <c r="E135" i="7"/>
  <c r="E651" i="7"/>
  <c r="Y19" i="7"/>
  <c r="E170" i="7"/>
  <c r="E161" i="7"/>
  <c r="E191" i="7"/>
  <c r="E403" i="7"/>
  <c r="E466" i="7"/>
  <c r="E112" i="7"/>
  <c r="E381" i="7"/>
  <c r="E429" i="7"/>
  <c r="E660" i="7"/>
  <c r="E116" i="7"/>
  <c r="E345" i="7"/>
  <c r="Y390" i="7"/>
  <c r="E111" i="7"/>
  <c r="E17" i="7"/>
  <c r="E215" i="7"/>
  <c r="E491" i="7"/>
  <c r="E50" i="7"/>
  <c r="E29" i="7"/>
  <c r="E564" i="7"/>
  <c r="E193" i="7"/>
  <c r="E202" i="7"/>
  <c r="E20" i="7"/>
  <c r="E48" i="7"/>
  <c r="E281" i="7"/>
  <c r="E603" i="7"/>
  <c r="E307" i="7"/>
  <c r="E587" i="7"/>
  <c r="E246" i="7"/>
  <c r="E602" i="7"/>
  <c r="E425" i="7"/>
  <c r="E344" i="7"/>
  <c r="E522" i="7"/>
  <c r="E435" i="7"/>
  <c r="E582" i="7"/>
  <c r="H6" i="7"/>
  <c r="I6" i="7" s="1"/>
  <c r="E212" i="7"/>
  <c r="E432" i="7"/>
  <c r="E82" i="7"/>
  <c r="E31" i="7"/>
  <c r="E220" i="7"/>
  <c r="E276" i="7"/>
  <c r="E293" i="7"/>
  <c r="E485" i="7"/>
  <c r="E315" i="7"/>
  <c r="E606" i="7"/>
  <c r="E278" i="7"/>
  <c r="E150" i="7"/>
  <c r="E105" i="7"/>
  <c r="E409" i="7"/>
  <c r="E26" i="7"/>
  <c r="E337" i="7"/>
  <c r="E441" i="7"/>
  <c r="E576" i="7"/>
  <c r="E592" i="7"/>
  <c r="E396" i="7"/>
  <c r="E251" i="7"/>
  <c r="C6" i="14"/>
  <c r="L6" i="14" s="1"/>
  <c r="K519" i="9"/>
  <c r="J280" i="2"/>
  <c r="K280" i="2" s="1"/>
  <c r="L280" i="2" s="1"/>
  <c r="J283" i="2"/>
  <c r="J660" i="2"/>
  <c r="K660" i="2" s="1"/>
  <c r="L660" i="2" s="1"/>
  <c r="J310" i="2"/>
  <c r="K310" i="2" s="1"/>
  <c r="L310" i="2" s="1"/>
  <c r="J820" i="2"/>
  <c r="K820" i="2" s="1"/>
  <c r="L820" i="2" s="1"/>
  <c r="J573" i="2"/>
  <c r="K573" i="2" s="1"/>
  <c r="L573" i="2" s="1"/>
  <c r="J776" i="2"/>
  <c r="K776" i="2" s="1"/>
  <c r="L776" i="2" s="1"/>
  <c r="J383" i="2"/>
  <c r="K383" i="2" s="1"/>
  <c r="L383" i="2" s="1"/>
  <c r="J586" i="2"/>
  <c r="K586" i="2" s="1"/>
  <c r="L586" i="2" s="1"/>
  <c r="J547" i="2"/>
  <c r="K547" i="2" s="1"/>
  <c r="L547" i="2" s="1"/>
  <c r="J152" i="2"/>
  <c r="K152" i="2" s="1"/>
  <c r="L152" i="2" s="1"/>
  <c r="J750" i="2"/>
  <c r="K750" i="2" s="1"/>
  <c r="L750" i="2" s="1"/>
  <c r="J667" i="2"/>
  <c r="K667" i="2" s="1"/>
  <c r="L667" i="2" s="1"/>
  <c r="J783" i="2"/>
  <c r="K783" i="2" s="1"/>
  <c r="L783" i="2" s="1"/>
  <c r="J185" i="2"/>
  <c r="K185" i="2" s="1"/>
  <c r="L185" i="2" s="1"/>
  <c r="J353" i="2"/>
  <c r="K353" i="2" s="1"/>
  <c r="L353" i="2" s="1"/>
  <c r="J552" i="2"/>
  <c r="K552" i="2" s="1"/>
  <c r="L552" i="2" s="1"/>
  <c r="J592" i="2"/>
  <c r="K592" i="2" s="1"/>
  <c r="L592" i="2" s="1"/>
  <c r="J335" i="2"/>
  <c r="K335" i="2" s="1"/>
  <c r="L335" i="2" s="1"/>
  <c r="J200" i="2"/>
  <c r="K200" i="2" s="1"/>
  <c r="L200" i="2" s="1"/>
  <c r="J386" i="2"/>
  <c r="J771" i="2"/>
  <c r="K771" i="2" s="1"/>
  <c r="L771" i="2" s="1"/>
  <c r="J745" i="2"/>
  <c r="K745" i="2" s="1"/>
  <c r="J482" i="2"/>
  <c r="K482" i="2" s="1"/>
  <c r="L482" i="2" s="1"/>
  <c r="J460" i="2"/>
  <c r="K460" i="2" s="1"/>
  <c r="L460" i="2" s="1"/>
  <c r="J65" i="2"/>
  <c r="K65" i="2" s="1"/>
  <c r="L65" i="2" s="1"/>
  <c r="J86" i="2"/>
  <c r="K86" i="2" s="1"/>
  <c r="L86" i="2" s="1"/>
  <c r="J476" i="2"/>
  <c r="K476" i="2" s="1"/>
  <c r="L476" i="2" s="1"/>
  <c r="J236" i="2"/>
  <c r="K236" i="2" s="1"/>
  <c r="L236" i="2" s="1"/>
  <c r="J473" i="2"/>
  <c r="K473" i="2" s="1"/>
  <c r="L473" i="2" s="1"/>
  <c r="J190" i="2"/>
  <c r="K190" i="2" s="1"/>
  <c r="L190" i="2" s="1"/>
  <c r="J189" i="2"/>
  <c r="K189" i="2" s="1"/>
  <c r="L189" i="2" s="1"/>
  <c r="J772" i="2"/>
  <c r="K772" i="2" s="1"/>
  <c r="L772" i="2" s="1"/>
  <c r="J360" i="2"/>
  <c r="K360" i="2" s="1"/>
  <c r="L360" i="2" s="1"/>
  <c r="J108" i="2"/>
  <c r="K108" i="2" s="1"/>
  <c r="L108" i="2" s="1"/>
  <c r="J291" i="2"/>
  <c r="K291" i="2" s="1"/>
  <c r="J409" i="2"/>
  <c r="K409" i="2" s="1"/>
  <c r="L409" i="2" s="1"/>
  <c r="J811" i="2"/>
  <c r="K811" i="2" s="1"/>
  <c r="L811" i="2" s="1"/>
  <c r="J160" i="2"/>
  <c r="K160" i="2" s="1"/>
  <c r="L160" i="2" s="1"/>
  <c r="J274" i="2"/>
  <c r="K274" i="2" s="1"/>
  <c r="L274" i="2" s="1"/>
  <c r="J252" i="2"/>
  <c r="K252" i="2" s="1"/>
  <c r="L252" i="2" s="1"/>
  <c r="J513" i="2"/>
  <c r="K513" i="2" s="1"/>
  <c r="L513" i="2" s="1"/>
  <c r="J580" i="2"/>
  <c r="K580" i="2" s="1"/>
  <c r="L580" i="2" s="1"/>
  <c r="J232" i="2"/>
  <c r="K232" i="2" s="1"/>
  <c r="L232" i="2" s="1"/>
  <c r="J377" i="2"/>
  <c r="K377" i="2" s="1"/>
  <c r="L377" i="2" s="1"/>
  <c r="J531" i="2"/>
  <c r="K531" i="2" s="1"/>
  <c r="L531" i="2" s="1"/>
  <c r="J768" i="2"/>
  <c r="K768" i="2" s="1"/>
  <c r="L768" i="2" s="1"/>
  <c r="J69" i="2"/>
  <c r="K69" i="2" s="1"/>
  <c r="L69" i="2" s="1"/>
  <c r="J259" i="2"/>
  <c r="K259" i="2" s="1"/>
  <c r="L259" i="2" s="1"/>
  <c r="J758" i="2"/>
  <c r="K758" i="2" s="1"/>
  <c r="L758" i="2" s="1"/>
  <c r="J748" i="2"/>
  <c r="K748" i="2" s="1"/>
  <c r="L748" i="2" s="1"/>
  <c r="J705" i="2"/>
  <c r="K705" i="2" s="1"/>
  <c r="L705" i="2" s="1"/>
  <c r="J376" i="2"/>
  <c r="K376" i="2" s="1"/>
  <c r="L376" i="2" s="1"/>
  <c r="J101" i="2"/>
  <c r="K101" i="2" s="1"/>
  <c r="L101" i="2" s="1"/>
  <c r="J794" i="2"/>
  <c r="J429" i="2"/>
  <c r="K429" i="2" s="1"/>
  <c r="L429" i="2" s="1"/>
  <c r="J28" i="2"/>
  <c r="K28" i="2" s="1"/>
  <c r="L28" i="2" s="1"/>
  <c r="J777" i="2"/>
  <c r="K777" i="2" s="1"/>
  <c r="L777" i="2" s="1"/>
  <c r="J317" i="2"/>
  <c r="K317" i="2" s="1"/>
  <c r="L317" i="2" s="1"/>
  <c r="J584" i="2"/>
  <c r="K584" i="2" s="1"/>
  <c r="L584" i="2" s="1"/>
  <c r="J686" i="2"/>
  <c r="K686" i="2" s="1"/>
  <c r="L686" i="2" s="1"/>
  <c r="J313" i="2"/>
  <c r="K313" i="2" s="1"/>
  <c r="L313" i="2" s="1"/>
  <c r="J593" i="2"/>
  <c r="K593" i="2" s="1"/>
  <c r="L593" i="2" s="1"/>
  <c r="J621" i="2"/>
  <c r="K621" i="2" s="1"/>
  <c r="L621" i="2" s="1"/>
  <c r="J809" i="2"/>
  <c r="K809" i="2" s="1"/>
  <c r="L809" i="2" s="1"/>
  <c r="J623" i="2"/>
  <c r="J546" i="2"/>
  <c r="K546" i="2" s="1"/>
  <c r="L546" i="2" s="1"/>
  <c r="J352" i="2"/>
  <c r="K352" i="2" s="1"/>
  <c r="L352" i="2" s="1"/>
  <c r="J111" i="2"/>
  <c r="K111" i="2" s="1"/>
  <c r="L111" i="2" s="1"/>
  <c r="J121" i="2"/>
  <c r="K121" i="2" s="1"/>
  <c r="L121" i="2" s="1"/>
  <c r="J110" i="2"/>
  <c r="K110" i="2" s="1"/>
  <c r="L110" i="2" s="1"/>
  <c r="J15" i="2"/>
  <c r="K15" i="2" s="1"/>
  <c r="L15" i="2" s="1"/>
  <c r="J198" i="2"/>
  <c r="K198" i="2" s="1"/>
  <c r="L198" i="2" s="1"/>
  <c r="J79" i="2"/>
  <c r="J717" i="2"/>
  <c r="K717" i="2" s="1"/>
  <c r="L717" i="2" s="1"/>
  <c r="J156" i="2"/>
  <c r="K156" i="2" s="1"/>
  <c r="L156" i="2" s="1"/>
  <c r="J576" i="2"/>
  <c r="K576" i="2" s="1"/>
  <c r="L576" i="2" s="1"/>
  <c r="J369" i="2"/>
  <c r="K369" i="2" s="1"/>
  <c r="L369" i="2" s="1"/>
  <c r="J368" i="2"/>
  <c r="K368" i="2" s="1"/>
  <c r="L368" i="2" s="1"/>
  <c r="J33" i="2"/>
  <c r="K33" i="2" s="1"/>
  <c r="L33" i="2" s="1"/>
  <c r="J435" i="2"/>
  <c r="K435" i="2" s="1"/>
  <c r="L435" i="2" s="1"/>
  <c r="J188" i="2"/>
  <c r="J487" i="2"/>
  <c r="K487" i="2" s="1"/>
  <c r="L487" i="2" s="1"/>
  <c r="J532" i="2"/>
  <c r="K532" i="2" s="1"/>
  <c r="L532" i="2" s="1"/>
  <c r="J620" i="2"/>
  <c r="K620" i="2" s="1"/>
  <c r="L620" i="2" s="1"/>
  <c r="J351" i="2"/>
  <c r="K351" i="2" s="1"/>
  <c r="L351" i="2" s="1"/>
  <c r="J474" i="2"/>
  <c r="K474" i="2" s="1"/>
  <c r="L474" i="2" s="1"/>
  <c r="J769" i="2"/>
  <c r="K769" i="2" s="1"/>
  <c r="L769" i="2" s="1"/>
  <c r="J36" i="2"/>
  <c r="K36" i="2" s="1"/>
  <c r="L36" i="2" s="1"/>
  <c r="J536" i="2"/>
  <c r="K536" i="2" s="1"/>
  <c r="L536" i="2" s="1"/>
  <c r="J237" i="2"/>
  <c r="K237" i="2" s="1"/>
  <c r="L237" i="2" s="1"/>
  <c r="J763" i="2"/>
  <c r="K763" i="2" s="1"/>
  <c r="L763" i="2" s="1"/>
  <c r="J662" i="2"/>
  <c r="K662" i="2" s="1"/>
  <c r="L662" i="2" s="1"/>
  <c r="J261" i="2"/>
  <c r="K261" i="2" s="1"/>
  <c r="L261" i="2" s="1"/>
  <c r="J281" i="2"/>
  <c r="K281" i="2" s="1"/>
  <c r="L281" i="2" s="1"/>
  <c r="J582" i="2"/>
  <c r="K582" i="2" s="1"/>
  <c r="L582" i="2" s="1"/>
  <c r="J263" i="2"/>
  <c r="K263" i="2" s="1"/>
  <c r="L263" i="2" s="1"/>
  <c r="J178" i="2"/>
  <c r="K178" i="2" s="1"/>
  <c r="L178" i="2" s="1"/>
  <c r="J639" i="2"/>
  <c r="K639" i="2" s="1"/>
  <c r="L639" i="2" s="1"/>
  <c r="K683" i="2"/>
  <c r="L683" i="2" s="1"/>
  <c r="J255" i="2"/>
  <c r="K255" i="2" s="1"/>
  <c r="L255" i="2" s="1"/>
  <c r="J356" i="2"/>
  <c r="K356" i="2" s="1"/>
  <c r="L356" i="2" s="1"/>
  <c r="J72" i="2"/>
  <c r="K72" i="2" s="1"/>
  <c r="L72" i="2" s="1"/>
  <c r="J68" i="2"/>
  <c r="K68" i="2" s="1"/>
  <c r="L68" i="2" s="1"/>
  <c r="J176" i="2"/>
  <c r="K176" i="2" s="1"/>
  <c r="L176" i="2" s="1"/>
  <c r="J161" i="2"/>
  <c r="K161" i="2" s="1"/>
  <c r="L161" i="2" s="1"/>
  <c r="J715" i="2"/>
  <c r="K715" i="2" s="1"/>
  <c r="L715" i="2" s="1"/>
  <c r="J463" i="2"/>
  <c r="K463" i="2" s="1"/>
  <c r="L463" i="2" s="1"/>
  <c r="J406" i="2"/>
  <c r="K406" i="2" s="1"/>
  <c r="L406" i="2" s="1"/>
  <c r="J649" i="2"/>
  <c r="K649" i="2" s="1"/>
  <c r="L649" i="2" s="1"/>
  <c r="J436" i="2"/>
  <c r="K436" i="2" s="1"/>
  <c r="L436" i="2" s="1"/>
  <c r="J327" i="2"/>
  <c r="K327" i="2" s="1"/>
  <c r="L327" i="2" s="1"/>
  <c r="J84" i="2"/>
  <c r="K84" i="2" s="1"/>
  <c r="L84" i="2" s="1"/>
  <c r="J793" i="2"/>
  <c r="J577" i="2"/>
  <c r="K577" i="2" s="1"/>
  <c r="L577" i="2" s="1"/>
  <c r="J285" i="2"/>
  <c r="K285" i="2" s="1"/>
  <c r="L285" i="2" s="1"/>
  <c r="J697" i="2"/>
  <c r="K697" i="2" s="1"/>
  <c r="L697" i="2" s="1"/>
  <c r="J747" i="2"/>
  <c r="K747" i="2" s="1"/>
  <c r="L747" i="2" s="1"/>
  <c r="K689" i="2"/>
  <c r="L689" i="2" s="1"/>
  <c r="J253" i="2"/>
  <c r="K253" i="2" s="1"/>
  <c r="L253" i="2" s="1"/>
  <c r="J671" i="2"/>
  <c r="K671" i="2" s="1"/>
  <c r="L671" i="2" s="1"/>
  <c r="J385" i="2"/>
  <c r="K385" i="2" s="1"/>
  <c r="L385" i="2" s="1"/>
  <c r="J693" i="2"/>
  <c r="K693" i="2" s="1"/>
  <c r="L693" i="2" s="1"/>
  <c r="J492" i="2"/>
  <c r="K492" i="2" s="1"/>
  <c r="L492" i="2" s="1"/>
  <c r="J167" i="2"/>
  <c r="K167" i="2" s="1"/>
  <c r="L167" i="2" s="1"/>
  <c r="J105" i="2"/>
  <c r="K105" i="2" s="1"/>
  <c r="L105" i="2" s="1"/>
  <c r="J753" i="2"/>
  <c r="J240" i="2"/>
  <c r="K240" i="2" s="1"/>
  <c r="L240" i="2" s="1"/>
  <c r="J312" i="2"/>
  <c r="K312" i="2" s="1"/>
  <c r="L312" i="2" s="1"/>
  <c r="J452" i="2"/>
  <c r="J375" i="2"/>
  <c r="K375" i="2" s="1"/>
  <c r="L375" i="2" s="1"/>
  <c r="J626" i="2"/>
  <c r="K626" i="2" s="1"/>
  <c r="L626" i="2" s="1"/>
  <c r="J70" i="2"/>
  <c r="K70" i="2" s="1"/>
  <c r="L70" i="2" s="1"/>
  <c r="J694" i="2"/>
  <c r="K694" i="2" s="1"/>
  <c r="L694" i="2" s="1"/>
  <c r="J622" i="2"/>
  <c r="K622" i="2" s="1"/>
  <c r="L622" i="2" s="1"/>
  <c r="J481" i="2"/>
  <c r="K481" i="2" s="1"/>
  <c r="L481" i="2" s="1"/>
  <c r="J262" i="2"/>
  <c r="K262" i="2" s="1"/>
  <c r="L262" i="2" s="1"/>
  <c r="J475" i="2"/>
  <c r="K475" i="2" s="1"/>
  <c r="L475" i="2" s="1"/>
  <c r="J465" i="2"/>
  <c r="K465" i="2" s="1"/>
  <c r="L465" i="2" s="1"/>
  <c r="J655" i="2"/>
  <c r="K655" i="2" s="1"/>
  <c r="L655" i="2" s="1"/>
  <c r="J440" i="2"/>
  <c r="K440" i="2" s="1"/>
  <c r="L440" i="2" s="1"/>
  <c r="J462" i="2"/>
  <c r="K462" i="2" s="1"/>
  <c r="L462" i="2" s="1"/>
  <c r="J579" i="2"/>
  <c r="K579" i="2" s="1"/>
  <c r="L579" i="2" s="1"/>
  <c r="J231" i="2"/>
  <c r="K231" i="2" s="1"/>
  <c r="L231" i="2" s="1"/>
  <c r="J575" i="2"/>
  <c r="K575" i="2" s="1"/>
  <c r="L575" i="2" s="1"/>
  <c r="J159" i="2"/>
  <c r="J157" i="2"/>
  <c r="K157" i="2" s="1"/>
  <c r="L157" i="2" s="1"/>
  <c r="J542" i="2"/>
  <c r="K542" i="2" s="1"/>
  <c r="L542" i="2" s="1"/>
  <c r="J774" i="2"/>
  <c r="K774" i="2" s="1"/>
  <c r="L774" i="2" s="1"/>
  <c r="J314" i="2"/>
  <c r="K314" i="2" s="1"/>
  <c r="L314" i="2" s="1"/>
  <c r="J767" i="2"/>
  <c r="K767" i="2" s="1"/>
  <c r="L767" i="2" s="1"/>
  <c r="J537" i="2"/>
  <c r="K537" i="2" s="1"/>
  <c r="L537" i="2" s="1"/>
  <c r="J275" i="2"/>
  <c r="K275" i="2" s="1"/>
  <c r="L275" i="2" s="1"/>
  <c r="J411" i="2"/>
  <c r="J114" i="2"/>
  <c r="K114" i="2" s="1"/>
  <c r="L114" i="2" s="1"/>
  <c r="J619" i="2"/>
  <c r="K619" i="2" s="1"/>
  <c r="L619" i="2" s="1"/>
  <c r="J454" i="2"/>
  <c r="K454" i="2" s="1"/>
  <c r="L454" i="2" s="1"/>
  <c r="J35" i="2"/>
  <c r="K35" i="2" s="1"/>
  <c r="L35" i="2" s="1"/>
  <c r="J104" i="2"/>
  <c r="K104" i="2" s="1"/>
  <c r="L104" i="2" s="1"/>
  <c r="J199" i="2"/>
  <c r="K199" i="2" s="1"/>
  <c r="L199" i="2" s="1"/>
  <c r="J700" i="2"/>
  <c r="K700" i="2" s="1"/>
  <c r="L700" i="2" s="1"/>
  <c r="J594" i="2"/>
  <c r="K594" i="2" s="1"/>
  <c r="L594" i="2" s="1"/>
  <c r="J792" i="2"/>
  <c r="K792" i="2" s="1"/>
  <c r="L792" i="2" s="1"/>
  <c r="J77" i="2"/>
  <c r="K77" i="2" s="1"/>
  <c r="L77" i="2" s="1"/>
  <c r="J27" i="2"/>
  <c r="K27" i="2" s="1"/>
  <c r="L27" i="2" s="1"/>
  <c r="J184" i="2"/>
  <c r="K184" i="2" s="1"/>
  <c r="L184" i="2" s="1"/>
  <c r="J443" i="2"/>
  <c r="K443" i="2" s="1"/>
  <c r="L443" i="2" s="1"/>
  <c r="J140" i="2"/>
  <c r="K140" i="2" s="1"/>
  <c r="L140" i="2" s="1"/>
  <c r="J100" i="2"/>
  <c r="K100" i="2" s="1"/>
  <c r="L100" i="2" s="1"/>
  <c r="J387" i="2"/>
  <c r="K387" i="2" s="1"/>
  <c r="L387" i="2" s="1"/>
  <c r="J756" i="2"/>
  <c r="K756" i="2" s="1"/>
  <c r="L756" i="2" s="1"/>
  <c r="J16" i="2"/>
  <c r="K16" i="2" s="1"/>
  <c r="L16" i="2" s="1"/>
  <c r="J551" i="2"/>
  <c r="K551" i="2" s="1"/>
  <c r="L551" i="2" s="1"/>
  <c r="J42" i="2"/>
  <c r="K42" i="2" s="1"/>
  <c r="L42" i="2" s="1"/>
  <c r="J284" i="2"/>
  <c r="K284" i="2" s="1"/>
  <c r="L284" i="2" s="1"/>
  <c r="J479" i="2"/>
  <c r="K479" i="2" s="1"/>
  <c r="L479" i="2" s="1"/>
  <c r="J378" i="2"/>
  <c r="K378" i="2" s="1"/>
  <c r="L378" i="2" s="1"/>
  <c r="J311" i="2"/>
  <c r="K311" i="2" s="1"/>
  <c r="L311" i="2" s="1"/>
  <c r="J754" i="2"/>
  <c r="K754" i="2" s="1"/>
  <c r="L754" i="2" s="1"/>
  <c r="J640" i="2"/>
  <c r="K640" i="2" s="1"/>
  <c r="L640" i="2" s="1"/>
  <c r="J642" i="2"/>
  <c r="K642" i="2" s="1"/>
  <c r="L642" i="2" s="1"/>
  <c r="J43" i="2"/>
  <c r="K43" i="2" s="1"/>
  <c r="L43" i="2" s="1"/>
  <c r="J381" i="2"/>
  <c r="K381" i="2" s="1"/>
  <c r="L381" i="2" s="1"/>
  <c r="J14" i="2"/>
  <c r="K14" i="2" s="1"/>
  <c r="L14" i="2" s="1"/>
  <c r="J321" i="2"/>
  <c r="K321" i="2" s="1"/>
  <c r="L321" i="2" s="1"/>
  <c r="J543" i="2"/>
  <c r="K543" i="2" s="1"/>
  <c r="L543" i="2" s="1"/>
  <c r="J439" i="2"/>
  <c r="K439" i="2" s="1"/>
  <c r="L439" i="2" s="1"/>
  <c r="J773" i="2"/>
  <c r="K773" i="2" s="1"/>
  <c r="L773" i="2" s="1"/>
  <c r="J194" i="2"/>
  <c r="K194" i="2" s="1"/>
  <c r="L194" i="2" s="1"/>
  <c r="J107" i="2"/>
  <c r="K652" i="2"/>
  <c r="L652" i="2" s="1"/>
  <c r="J706" i="2"/>
  <c r="K706" i="2" s="1"/>
  <c r="L706" i="2" s="1"/>
  <c r="J187" i="2"/>
  <c r="K187" i="2" s="1"/>
  <c r="L187" i="2" s="1"/>
  <c r="J182" i="2"/>
  <c r="J103" i="2"/>
  <c r="K103" i="2" s="1"/>
  <c r="L103" i="2" s="1"/>
  <c r="J658" i="2"/>
  <c r="K658" i="2" s="1"/>
  <c r="L658" i="2" s="1"/>
  <c r="J775" i="2"/>
  <c r="K775" i="2" s="1"/>
  <c r="L775" i="2" s="1"/>
  <c r="J325" i="2"/>
  <c r="J334" i="2"/>
  <c r="J251" i="2"/>
  <c r="K251" i="2" s="1"/>
  <c r="L251" i="2" s="1"/>
  <c r="J727" i="2"/>
  <c r="K727" i="2" s="1"/>
  <c r="L727" i="2" s="1"/>
  <c r="J49" i="2"/>
  <c r="K49" i="2" s="1"/>
  <c r="L49" i="2" s="1"/>
  <c r="J271" i="2"/>
  <c r="K271" i="2" s="1"/>
  <c r="L271" i="2" s="1"/>
  <c r="J276" i="2"/>
  <c r="K276" i="2" s="1"/>
  <c r="L276" i="2" s="1"/>
  <c r="J345" i="2"/>
  <c r="K345" i="2" s="1"/>
  <c r="L345" i="2" s="1"/>
  <c r="J126" i="2"/>
  <c r="K126" i="2" s="1"/>
  <c r="L126" i="2" s="1"/>
  <c r="J393" i="2"/>
  <c r="K393" i="2" s="1"/>
  <c r="L393" i="2" s="1"/>
  <c r="J562" i="2"/>
  <c r="K562" i="2" s="1"/>
  <c r="L562" i="2" s="1"/>
  <c r="J288" i="2"/>
  <c r="K288" i="2" s="1"/>
  <c r="L288" i="2" s="1"/>
  <c r="J588" i="2"/>
  <c r="K588" i="2" s="1"/>
  <c r="L588" i="2" s="1"/>
  <c r="J45" i="2"/>
  <c r="K45" i="2" s="1"/>
  <c r="L45" i="2" s="1"/>
  <c r="J507" i="2"/>
  <c r="K507" i="2" s="1"/>
  <c r="L507" i="2" s="1"/>
  <c r="J248" i="2"/>
  <c r="K248" i="2" s="1"/>
  <c r="L248" i="2" s="1"/>
  <c r="J670" i="2"/>
  <c r="K670" i="2" s="1"/>
  <c r="L670" i="2" s="1"/>
  <c r="J569" i="2"/>
  <c r="K569" i="2" s="1"/>
  <c r="L569" i="2" s="1"/>
  <c r="J494" i="2"/>
  <c r="K494" i="2" s="1"/>
  <c r="L494" i="2" s="1"/>
  <c r="J384" i="2"/>
  <c r="K384" i="2" s="1"/>
  <c r="L384" i="2" s="1"/>
  <c r="J558" i="2"/>
  <c r="K558" i="2" s="1"/>
  <c r="L558" i="2" s="1"/>
  <c r="J47" i="2"/>
  <c r="K47" i="2" s="1"/>
  <c r="J400" i="2"/>
  <c r="K400" i="2" s="1"/>
  <c r="L400" i="2" s="1"/>
  <c r="J710" i="2"/>
  <c r="K710" i="2" s="1"/>
  <c r="L710" i="2" s="1"/>
  <c r="J349" i="2"/>
  <c r="K349" i="2" s="1"/>
  <c r="L349" i="2" s="1"/>
  <c r="J336" i="2"/>
  <c r="K336" i="2" s="1"/>
  <c r="L336" i="2" s="1"/>
  <c r="J340" i="2"/>
  <c r="K340" i="2" s="1"/>
  <c r="L340" i="2" s="1"/>
  <c r="J645" i="2"/>
  <c r="K645" i="2" s="1"/>
  <c r="L645" i="2" s="1"/>
  <c r="J333" i="2"/>
  <c r="K333" i="2" s="1"/>
  <c r="L333" i="2" s="1"/>
  <c r="J269" i="2"/>
  <c r="K269" i="2" s="1"/>
  <c r="L269" i="2" s="1"/>
  <c r="J24" i="2"/>
  <c r="K24" i="2" s="1"/>
  <c r="L24" i="2" s="1"/>
  <c r="J97" i="2"/>
  <c r="K97" i="2" s="1"/>
  <c r="L97" i="2" s="1"/>
  <c r="J145" i="2"/>
  <c r="K145" i="2" s="1"/>
  <c r="L145" i="2" s="1"/>
  <c r="J367" i="2"/>
  <c r="K367" i="2" s="1"/>
  <c r="L367" i="2" s="1"/>
  <c r="J556" i="2"/>
  <c r="K556" i="2" s="1"/>
  <c r="L556" i="2" s="1"/>
  <c r="J402" i="2"/>
  <c r="K402" i="2" s="1"/>
  <c r="L402" i="2" s="1"/>
  <c r="J458" i="2"/>
  <c r="K458" i="2" s="1"/>
  <c r="L458" i="2" s="1"/>
  <c r="H23" i="19"/>
  <c r="Q23" i="19" s="1"/>
  <c r="H14" i="19"/>
  <c r="Q14" i="19" s="1"/>
  <c r="F20" i="19"/>
  <c r="O20" i="19" s="1"/>
  <c r="F4" i="19"/>
  <c r="O4" i="19" s="1"/>
  <c r="E569" i="7"/>
  <c r="E445" i="7"/>
  <c r="J380" i="2"/>
  <c r="K380" i="2" s="1"/>
  <c r="L380" i="2" s="1"/>
  <c r="J112" i="2"/>
  <c r="K112" i="2" s="1"/>
  <c r="L112" i="2" s="1"/>
  <c r="J238" i="2"/>
  <c r="K238" i="2" s="1"/>
  <c r="L238" i="2" s="1"/>
  <c r="J432" i="2"/>
  <c r="K432" i="2" s="1"/>
  <c r="L432" i="2" s="1"/>
  <c r="J329" i="2"/>
  <c r="K329" i="2" s="1"/>
  <c r="L329" i="2" s="1"/>
  <c r="J514" i="2"/>
  <c r="K514" i="2" s="1"/>
  <c r="L514" i="2" s="1"/>
  <c r="J480" i="2"/>
  <c r="K480" i="2" s="1"/>
  <c r="L480" i="2" s="1"/>
  <c r="J720" i="2"/>
  <c r="K720" i="2" s="1"/>
  <c r="L720" i="2" s="1"/>
  <c r="J22" i="2"/>
  <c r="K22" i="2" s="1"/>
  <c r="L22" i="2" s="1"/>
  <c r="J696" i="2"/>
  <c r="K696" i="2" s="1"/>
  <c r="L696" i="2" s="1"/>
  <c r="J154" i="2"/>
  <c r="K154" i="2" s="1"/>
  <c r="L154" i="2" s="1"/>
  <c r="J309" i="2"/>
  <c r="K309" i="2" s="1"/>
  <c r="L309" i="2" s="1"/>
  <c r="J549" i="2"/>
  <c r="K549" i="2" s="1"/>
  <c r="L549" i="2" s="1"/>
  <c r="J120" i="2"/>
  <c r="K120" i="2" s="1"/>
  <c r="L120" i="2" s="1"/>
  <c r="J778" i="2"/>
  <c r="K778" i="2" s="1"/>
  <c r="L778" i="2" s="1"/>
  <c r="J96" i="2"/>
  <c r="K96" i="2" s="1"/>
  <c r="L96" i="2" s="1"/>
  <c r="J12" i="2"/>
  <c r="K12" i="2" s="1"/>
  <c r="L12" i="2" s="1"/>
  <c r="J193" i="2"/>
  <c r="K193" i="2" s="1"/>
  <c r="L193" i="2" s="1"/>
  <c r="J732" i="2"/>
  <c r="K732" i="2" s="1"/>
  <c r="L732" i="2" s="1"/>
  <c r="J80" i="2"/>
  <c r="K80" i="2" s="1"/>
  <c r="L80" i="2" s="1"/>
  <c r="J30" i="2"/>
  <c r="K30" i="2" s="1"/>
  <c r="L30" i="2" s="1"/>
  <c r="J141" i="2"/>
  <c r="K141" i="2" s="1"/>
  <c r="L141" i="2" s="1"/>
  <c r="J590" i="2"/>
  <c r="K590" i="2" s="1"/>
  <c r="L590" i="2" s="1"/>
  <c r="J719" i="2"/>
  <c r="K719" i="2" s="1"/>
  <c r="L719" i="2" s="1"/>
  <c r="J357" i="2"/>
  <c r="K357" i="2" s="1"/>
  <c r="L357" i="2" s="1"/>
  <c r="J637" i="2"/>
  <c r="K637" i="2" s="1"/>
  <c r="L637" i="2" s="1"/>
  <c r="J234" i="2"/>
  <c r="K234" i="2" s="1"/>
  <c r="L234" i="2" s="1"/>
  <c r="J430" i="2"/>
  <c r="K430" i="2" s="1"/>
  <c r="L430" i="2" s="1"/>
  <c r="J698" i="2"/>
  <c r="K698" i="2" s="1"/>
  <c r="L698" i="2" s="1"/>
  <c r="J46" i="2"/>
  <c r="K46" i="2" s="1"/>
  <c r="L46" i="2" s="1"/>
  <c r="J21" i="2"/>
  <c r="K21" i="2" s="1"/>
  <c r="L21" i="2" s="1"/>
  <c r="J346" i="2"/>
  <c r="K346" i="2" s="1"/>
  <c r="L346" i="2" s="1"/>
  <c r="J541" i="2"/>
  <c r="K541" i="2" s="1"/>
  <c r="L541" i="2" s="1"/>
  <c r="J29" i="2"/>
  <c r="K29" i="2" s="1"/>
  <c r="L29" i="2" s="1"/>
  <c r="J316" i="2"/>
  <c r="K316" i="2" s="1"/>
  <c r="L316" i="2" s="1"/>
  <c r="J206" i="2"/>
  <c r="K206" i="2" s="1"/>
  <c r="L206" i="2" s="1"/>
  <c r="J117" i="2"/>
  <c r="K117" i="2" s="1"/>
  <c r="L117" i="2" s="1"/>
  <c r="J730" i="2"/>
  <c r="K730" i="2" s="1"/>
  <c r="L730" i="2" s="1"/>
  <c r="J26" i="2"/>
  <c r="J388" i="2"/>
  <c r="K388" i="2" s="1"/>
  <c r="L388" i="2" s="1"/>
  <c r="J751" i="2"/>
  <c r="K751" i="2" s="1"/>
  <c r="L751" i="2" s="1"/>
  <c r="J445" i="2"/>
  <c r="K445" i="2" s="1"/>
  <c r="L445" i="2" s="1"/>
  <c r="J374" i="2"/>
  <c r="K374" i="2" s="1"/>
  <c r="L374" i="2" s="1"/>
  <c r="J202" i="2"/>
  <c r="K202" i="2" s="1"/>
  <c r="L202" i="2" s="1"/>
  <c r="J405" i="2"/>
  <c r="K405" i="2" s="1"/>
  <c r="L405" i="2" s="1"/>
  <c r="J780" i="2"/>
  <c r="K780" i="2" s="1"/>
  <c r="L780" i="2" s="1"/>
  <c r="J434" i="2"/>
  <c r="K434" i="2" s="1"/>
  <c r="L434" i="2" s="1"/>
  <c r="J657" i="2"/>
  <c r="K657" i="2" s="1"/>
  <c r="L657" i="2" s="1"/>
  <c r="J319" i="2"/>
  <c r="K319" i="2" s="1"/>
  <c r="L319" i="2" s="1"/>
  <c r="J344" i="2"/>
  <c r="K344" i="2" s="1"/>
  <c r="L344" i="2" s="1"/>
  <c r="J358" i="2"/>
  <c r="K358" i="2" s="1"/>
  <c r="L358" i="2" s="1"/>
  <c r="J169" i="2"/>
  <c r="K169" i="2" s="1"/>
  <c r="L169" i="2" s="1"/>
  <c r="J397" i="2"/>
  <c r="K397" i="2" s="1"/>
  <c r="L397" i="2" s="1"/>
  <c r="J94" i="2"/>
  <c r="K94" i="2" s="1"/>
  <c r="L94" i="2" s="1"/>
  <c r="J90" i="2"/>
  <c r="K90" i="2" s="1"/>
  <c r="L90" i="2" s="1"/>
  <c r="J813" i="2"/>
  <c r="K813" i="2" s="1"/>
  <c r="L813" i="2" s="1"/>
  <c r="J272" i="2"/>
  <c r="K272" i="2" s="1"/>
  <c r="L272" i="2" s="1"/>
  <c r="J578" i="2"/>
  <c r="J506" i="2"/>
  <c r="K506" i="2" s="1"/>
  <c r="L506" i="2" s="1"/>
  <c r="J448" i="2"/>
  <c r="K448" i="2" s="1"/>
  <c r="L448" i="2" s="1"/>
  <c r="J264" i="2"/>
  <c r="K264" i="2" s="1"/>
  <c r="L264" i="2" s="1"/>
  <c r="J560" i="2"/>
  <c r="K560" i="2" s="1"/>
  <c r="L560" i="2" s="1"/>
  <c r="J249" i="2"/>
  <c r="K249" i="2" s="1"/>
  <c r="L249" i="2" s="1"/>
  <c r="J466" i="2"/>
  <c r="K466" i="2" s="1"/>
  <c r="L466" i="2" s="1"/>
  <c r="J636" i="2"/>
  <c r="K636" i="2" s="1"/>
  <c r="L636" i="2" s="1"/>
  <c r="J241" i="2"/>
  <c r="K241" i="2" s="1"/>
  <c r="L241" i="2" s="1"/>
  <c r="J446" i="2"/>
  <c r="K446" i="2" s="1"/>
  <c r="L446" i="2" s="1"/>
  <c r="J25" i="2"/>
  <c r="K25" i="2" s="1"/>
  <c r="L25" i="2" s="1"/>
  <c r="J574" i="2"/>
  <c r="K574" i="2" s="1"/>
  <c r="L574" i="2" s="1"/>
  <c r="J714" i="2"/>
  <c r="K714" i="2" s="1"/>
  <c r="L714" i="2" s="1"/>
  <c r="J158" i="2"/>
  <c r="K158" i="2" s="1"/>
  <c r="L158" i="2" s="1"/>
  <c r="J509" i="2"/>
  <c r="K509" i="2" s="1"/>
  <c r="L509" i="2" s="1"/>
  <c r="J403" i="2"/>
  <c r="K403" i="2" s="1"/>
  <c r="L403" i="2" s="1"/>
  <c r="J265" i="2"/>
  <c r="K265" i="2" s="1"/>
  <c r="L265" i="2" s="1"/>
  <c r="J690" i="2"/>
  <c r="K690" i="2" s="1"/>
  <c r="L690" i="2" s="1"/>
  <c r="K538" i="2"/>
  <c r="L538" i="2" s="1"/>
  <c r="J109" i="2"/>
  <c r="K109" i="2" s="1"/>
  <c r="L109" i="2" s="1"/>
  <c r="J441" i="2"/>
  <c r="K441" i="2" s="1"/>
  <c r="L441" i="2" s="1"/>
  <c r="J399" i="2"/>
  <c r="K399" i="2" s="1"/>
  <c r="L399" i="2" s="1"/>
  <c r="J764" i="2"/>
  <c r="K764" i="2" s="1"/>
  <c r="L764" i="2" s="1"/>
  <c r="H13" i="19"/>
  <c r="Q13" i="19" s="1"/>
  <c r="F18" i="19"/>
  <c r="O18" i="19" s="1"/>
  <c r="J819" i="2"/>
  <c r="K819" i="2" s="1"/>
  <c r="L819" i="2" s="1"/>
  <c r="J795" i="2"/>
  <c r="K795" i="2" s="1"/>
  <c r="L795" i="2" s="1"/>
  <c r="J817" i="2"/>
  <c r="K817" i="2" s="1"/>
  <c r="L817" i="2" s="1"/>
  <c r="J726" i="2"/>
  <c r="K726" i="2" s="1"/>
  <c r="L726" i="2" s="1"/>
  <c r="J499" i="2"/>
  <c r="K499" i="2" s="1"/>
  <c r="L499" i="2" s="1"/>
  <c r="J816" i="2"/>
  <c r="K816" i="2" s="1"/>
  <c r="L816" i="2" s="1"/>
  <c r="J497" i="2"/>
  <c r="K497" i="2" s="1"/>
  <c r="L497" i="2" s="1"/>
  <c r="J75" i="2"/>
  <c r="K75" i="2" s="1"/>
  <c r="L75" i="2" s="1"/>
  <c r="J363" i="2"/>
  <c r="K363" i="2" s="1"/>
  <c r="L363" i="2" s="1"/>
  <c r="J442" i="2"/>
  <c r="K442" i="2" s="1"/>
  <c r="L442" i="2" s="1"/>
  <c r="J665" i="2"/>
  <c r="K665" i="2" s="1"/>
  <c r="L665" i="2" s="1"/>
  <c r="J501" i="2"/>
  <c r="K501" i="2" s="1"/>
  <c r="L501" i="2" s="1"/>
  <c r="J347" i="2"/>
  <c r="K347" i="2" s="1"/>
  <c r="L347" i="2" s="1"/>
  <c r="J229" i="2"/>
  <c r="K229" i="2" s="1"/>
  <c r="L229" i="2" s="1"/>
  <c r="J685" i="2"/>
  <c r="K685" i="2" s="1"/>
  <c r="L685" i="2" s="1"/>
  <c r="J570" i="2"/>
  <c r="K570" i="2" s="1"/>
  <c r="L570" i="2" s="1"/>
  <c r="J485" i="2"/>
  <c r="K485" i="2" s="1"/>
  <c r="L485" i="2" s="1"/>
  <c r="J172" i="2"/>
  <c r="K172" i="2" s="1"/>
  <c r="L172" i="2" s="1"/>
  <c r="J589" i="2"/>
  <c r="K589" i="2" s="1"/>
  <c r="L589" i="2" s="1"/>
  <c r="J489" i="2"/>
  <c r="K489" i="2" s="1"/>
  <c r="L489" i="2" s="1"/>
  <c r="J53" i="2"/>
  <c r="K53" i="2" s="1"/>
  <c r="J782" i="2"/>
  <c r="K782" i="2" s="1"/>
  <c r="L782" i="2" s="1"/>
  <c r="J500" i="2"/>
  <c r="K500" i="2" s="1"/>
  <c r="L500" i="2" s="1"/>
  <c r="J364" i="2"/>
  <c r="K364" i="2" s="1"/>
  <c r="L364" i="2" s="1"/>
  <c r="J707" i="2"/>
  <c r="K707" i="2" s="1"/>
  <c r="L707" i="2" s="1"/>
  <c r="J455" i="2"/>
  <c r="K455" i="2" s="1"/>
  <c r="L455" i="2" s="1"/>
  <c r="J66" i="2"/>
  <c r="K66" i="2" s="1"/>
  <c r="L66" i="2" s="1"/>
  <c r="J766" i="2"/>
  <c r="K766" i="2" s="1"/>
  <c r="L766" i="2" s="1"/>
  <c r="J395" i="2"/>
  <c r="K395" i="2" s="1"/>
  <c r="L395" i="2" s="1"/>
  <c r="J348" i="2"/>
  <c r="K348" i="2" s="1"/>
  <c r="L348" i="2" s="1"/>
  <c r="J32" i="2"/>
  <c r="K32" i="2" s="1"/>
  <c r="L32" i="2" s="1"/>
  <c r="J784" i="2"/>
  <c r="K784" i="2" s="1"/>
  <c r="L784" i="2" s="1"/>
  <c r="J168" i="2"/>
  <c r="K168" i="2" s="1"/>
  <c r="L168" i="2" s="1"/>
  <c r="J149" i="2"/>
  <c r="K149" i="2" s="1"/>
  <c r="L149" i="2" s="1"/>
  <c r="J341" i="2"/>
  <c r="K341" i="2" s="1"/>
  <c r="L341" i="2" s="1"/>
  <c r="J267" i="2"/>
  <c r="K267" i="2" s="1"/>
  <c r="L267" i="2" s="1"/>
  <c r="J170" i="2"/>
  <c r="K170" i="2" s="1"/>
  <c r="L170" i="2" s="1"/>
  <c r="J571" i="2"/>
  <c r="K571" i="2" s="1"/>
  <c r="L571" i="2" s="1"/>
  <c r="J790" i="2"/>
  <c r="K790" i="2" s="1"/>
  <c r="L790" i="2" s="1"/>
  <c r="J362" i="2"/>
  <c r="K362" i="2" s="1"/>
  <c r="L362" i="2" s="1"/>
  <c r="J468" i="2"/>
  <c r="K468" i="2" s="1"/>
  <c r="L468" i="2" s="1"/>
  <c r="J279" i="2"/>
  <c r="K279" i="2" s="1"/>
  <c r="L279" i="2" s="1"/>
  <c r="J555" i="2"/>
  <c r="K555" i="2" s="1"/>
  <c r="L555" i="2" s="1"/>
  <c r="H8" i="19"/>
  <c r="Q8" i="19" s="1"/>
  <c r="J119" i="2"/>
  <c r="K119" i="2" s="1"/>
  <c r="L119" i="2" s="1"/>
  <c r="J192" i="2"/>
  <c r="K192" i="2" s="1"/>
  <c r="L192" i="2" s="1"/>
  <c r="J404" i="2"/>
  <c r="K404" i="2" s="1"/>
  <c r="L404" i="2" s="1"/>
  <c r="J19" i="2"/>
  <c r="K19" i="2" s="1"/>
  <c r="L19" i="2" s="1"/>
  <c r="J227" i="2"/>
  <c r="K227" i="2" s="1"/>
  <c r="L227" i="2" s="1"/>
  <c r="J488" i="2"/>
  <c r="K488" i="2" s="1"/>
  <c r="L488" i="2" s="1"/>
  <c r="J729" i="2"/>
  <c r="K729" i="2" s="1"/>
  <c r="L729" i="2" s="1"/>
  <c r="J390" i="2"/>
  <c r="K390" i="2" s="1"/>
  <c r="L390" i="2" s="1"/>
  <c r="J635" i="2"/>
  <c r="K635" i="2" s="1"/>
  <c r="L635" i="2" s="1"/>
  <c r="J173" i="2"/>
  <c r="K173" i="2" s="1"/>
  <c r="L173" i="2" s="1"/>
  <c r="J505" i="2"/>
  <c r="K505" i="2" s="1"/>
  <c r="L505" i="2" s="1"/>
  <c r="J93" i="2"/>
  <c r="K93" i="2" s="1"/>
  <c r="L93" i="2" s="1"/>
  <c r="J171" i="2"/>
  <c r="K171" i="2" s="1"/>
  <c r="L171" i="2" s="1"/>
  <c r="J781" i="2"/>
  <c r="K781" i="2" s="1"/>
  <c r="L781" i="2" s="1"/>
  <c r="J664" i="2"/>
  <c r="K664" i="2" s="1"/>
  <c r="L664" i="2" s="1"/>
  <c r="J567" i="2"/>
  <c r="K567" i="2" s="1"/>
  <c r="L567" i="2" s="1"/>
  <c r="J447" i="2"/>
  <c r="K447" i="2" s="1"/>
  <c r="L447" i="2" s="1"/>
  <c r="J633" i="2"/>
  <c r="K633" i="2" s="1"/>
  <c r="L633" i="2" s="1"/>
  <c r="J245" i="2"/>
  <c r="K245" i="2" s="1"/>
  <c r="L245" i="2" s="1"/>
  <c r="J338" i="2"/>
  <c r="K338" i="2" s="1"/>
  <c r="L338" i="2" s="1"/>
  <c r="J91" i="2"/>
  <c r="K91" i="2" s="1"/>
  <c r="L91" i="2" s="1"/>
  <c r="J339" i="2"/>
  <c r="K339" i="2" s="1"/>
  <c r="L339" i="2" s="1"/>
  <c r="J354" i="2"/>
  <c r="K354" i="2" s="1"/>
  <c r="L354" i="2" s="1"/>
  <c r="J449" i="2"/>
  <c r="K449" i="2" s="1"/>
  <c r="L449" i="2" s="1"/>
  <c r="J725" i="2"/>
  <c r="K725" i="2" s="1"/>
  <c r="L725" i="2" s="1"/>
  <c r="J342" i="2"/>
  <c r="K342" i="2" s="1"/>
  <c r="L342" i="2" s="1"/>
  <c r="J230" i="2"/>
  <c r="K230" i="2" s="1"/>
  <c r="L230" i="2" s="1"/>
  <c r="J787" i="2"/>
  <c r="K787" i="2" s="1"/>
  <c r="L787" i="2" s="1"/>
  <c r="J554" i="2"/>
  <c r="K554" i="2" s="1"/>
  <c r="L554" i="2" s="1"/>
  <c r="J444" i="2"/>
  <c r="K444" i="2" s="1"/>
  <c r="L444" i="2" s="1"/>
  <c r="J244" i="2"/>
  <c r="K244" i="2" s="1"/>
  <c r="L244" i="2" s="1"/>
  <c r="J752" i="2"/>
  <c r="K752" i="2" s="1"/>
  <c r="L752" i="2" s="1"/>
  <c r="J371" i="2"/>
  <c r="K371" i="2" s="1"/>
  <c r="L371" i="2" s="1"/>
  <c r="J243" i="2"/>
  <c r="K243" i="2" s="1"/>
  <c r="L243" i="2" s="1"/>
  <c r="J289" i="2"/>
  <c r="K289" i="2" s="1"/>
  <c r="L289" i="2" s="1"/>
  <c r="J165" i="2"/>
  <c r="K165" i="2" s="1"/>
  <c r="L165" i="2" s="1"/>
  <c r="J785" i="2"/>
  <c r="K785" i="2" s="1"/>
  <c r="L785" i="2" s="1"/>
  <c r="H15" i="19"/>
  <c r="Q15" i="19" s="1"/>
  <c r="H22" i="19"/>
  <c r="Q22" i="19" s="1"/>
  <c r="F12" i="19"/>
  <c r="O12" i="19" s="1"/>
  <c r="F23" i="19"/>
  <c r="O23" i="19" s="1"/>
  <c r="J493" i="2"/>
  <c r="K493" i="2" s="1"/>
  <c r="L493" i="2" s="1"/>
  <c r="J125" i="2"/>
  <c r="K125" i="2" s="1"/>
  <c r="L125" i="2" s="1"/>
  <c r="J625" i="2"/>
  <c r="K625" i="2" s="1"/>
  <c r="L625" i="2" s="1"/>
  <c r="J437" i="2"/>
  <c r="K437" i="2" s="1"/>
  <c r="L437" i="2" s="1"/>
  <c r="J85" i="2"/>
  <c r="K85" i="2" s="1"/>
  <c r="L85" i="2" s="1"/>
  <c r="J343" i="2"/>
  <c r="K343" i="2" s="1"/>
  <c r="L343" i="2" s="1"/>
  <c r="J143" i="2"/>
  <c r="K143" i="2" s="1"/>
  <c r="L143" i="2" s="1"/>
  <c r="J87" i="2"/>
  <c r="K87" i="2" s="1"/>
  <c r="L87" i="2" s="1"/>
  <c r="J155" i="2"/>
  <c r="K155" i="2" s="1"/>
  <c r="L155" i="2" s="1"/>
  <c r="J627" i="2"/>
  <c r="K627" i="2" s="1"/>
  <c r="L627" i="2" s="1"/>
  <c r="J587" i="2"/>
  <c r="K587" i="2" s="1"/>
  <c r="L587" i="2" s="1"/>
  <c r="J233" i="2"/>
  <c r="K233" i="2" s="1"/>
  <c r="L233" i="2" s="1"/>
  <c r="J789" i="2"/>
  <c r="K789" i="2" s="1"/>
  <c r="L789" i="2" s="1"/>
  <c r="J716" i="2"/>
  <c r="K716" i="2" s="1"/>
  <c r="L716" i="2" s="1"/>
  <c r="J545" i="2"/>
  <c r="K545" i="2" s="1"/>
  <c r="L545" i="2" s="1"/>
  <c r="J260" i="2"/>
  <c r="K260" i="2" s="1"/>
  <c r="L260" i="2" s="1"/>
  <c r="J235" i="2"/>
  <c r="K235" i="2" s="1"/>
  <c r="L235" i="2" s="1"/>
  <c r="J438" i="2"/>
  <c r="K438" i="2" s="1"/>
  <c r="L438" i="2" s="1"/>
  <c r="J401" i="2"/>
  <c r="K401" i="2" s="1"/>
  <c r="L401" i="2" s="1"/>
  <c r="J162" i="2"/>
  <c r="K162" i="2" s="1"/>
  <c r="L162" i="2" s="1"/>
  <c r="J18" i="2"/>
  <c r="K18" i="2" s="1"/>
  <c r="L18" i="2" s="1"/>
  <c r="J533" i="2"/>
  <c r="K533" i="2" s="1"/>
  <c r="L533" i="2" s="1"/>
  <c r="J648" i="2"/>
  <c r="K648" i="2" s="1"/>
  <c r="L648" i="2" s="1"/>
  <c r="J746" i="2"/>
  <c r="K746" i="2" s="1"/>
  <c r="L746" i="2" s="1"/>
  <c r="J495" i="2"/>
  <c r="K495" i="2" s="1"/>
  <c r="L495" i="2" s="1"/>
  <c r="J256" i="2"/>
  <c r="K256" i="2" s="1"/>
  <c r="L256" i="2" s="1"/>
  <c r="J81" i="2"/>
  <c r="K81" i="2" s="1"/>
  <c r="L81" i="2" s="1"/>
  <c r="J166" i="2"/>
  <c r="K166" i="2" s="1"/>
  <c r="L166" i="2" s="1"/>
  <c r="J322" i="2"/>
  <c r="K322" i="2" s="1"/>
  <c r="L322" i="2" s="1"/>
  <c r="J98" i="2"/>
  <c r="K98" i="2" s="1"/>
  <c r="L98" i="2" s="1"/>
  <c r="J382" i="2"/>
  <c r="K382" i="2" s="1"/>
  <c r="L382" i="2" s="1"/>
  <c r="J544" i="2"/>
  <c r="K544" i="2" s="1"/>
  <c r="L544" i="2" s="1"/>
  <c r="J553" i="2"/>
  <c r="K553" i="2" s="1"/>
  <c r="L553" i="2" s="1"/>
  <c r="J361" i="2"/>
  <c r="K361" i="2" s="1"/>
  <c r="L361" i="2" s="1"/>
  <c r="J398" i="2"/>
  <c r="K398" i="2" s="1"/>
  <c r="L398" i="2" s="1"/>
  <c r="J147" i="2"/>
  <c r="K147" i="2" s="1"/>
  <c r="L147" i="2" s="1"/>
  <c r="J563" i="2"/>
  <c r="K563" i="2" s="1"/>
  <c r="L563" i="2" s="1"/>
  <c r="R22" i="19"/>
  <c r="R12" i="19"/>
  <c r="R4" i="19"/>
  <c r="R18" i="19"/>
  <c r="J511" i="2"/>
  <c r="K511" i="2" s="1"/>
  <c r="L511" i="2" s="1"/>
  <c r="J257" i="2"/>
  <c r="K257" i="2" s="1"/>
  <c r="L257" i="2" s="1"/>
  <c r="J82" i="2"/>
  <c r="K82" i="2" s="1"/>
  <c r="L82" i="2" s="1"/>
  <c r="J761" i="2"/>
  <c r="K761" i="2" s="1"/>
  <c r="L761" i="2" s="1"/>
  <c r="J564" i="2"/>
  <c r="K564" i="2" s="1"/>
  <c r="L564" i="2" s="1"/>
  <c r="J692" i="2"/>
  <c r="K692" i="2" s="1"/>
  <c r="L692" i="2" s="1"/>
  <c r="J286" i="2"/>
  <c r="K286" i="2" s="1"/>
  <c r="L286" i="2" s="1"/>
  <c r="J779" i="2"/>
  <c r="K779" i="2" s="1"/>
  <c r="L779" i="2" s="1"/>
  <c r="J48" i="2"/>
  <c r="K48" i="2" s="1"/>
  <c r="L48" i="2" s="1"/>
  <c r="J64" i="2"/>
  <c r="K64" i="2" s="1"/>
  <c r="L64" i="2" s="1"/>
  <c r="J656" i="2"/>
  <c r="K656" i="2" s="1"/>
  <c r="L656" i="2" s="1"/>
  <c r="J183" i="2"/>
  <c r="K183" i="2" s="1"/>
  <c r="L183" i="2" s="1"/>
  <c r="J641" i="2"/>
  <c r="K641" i="2" s="1"/>
  <c r="L641" i="2" s="1"/>
  <c r="J743" i="2"/>
  <c r="K743" i="2" s="1"/>
  <c r="L743" i="2" s="1"/>
  <c r="J258" i="2"/>
  <c r="K258" i="2" s="1"/>
  <c r="L258" i="2" s="1"/>
  <c r="J704" i="2"/>
  <c r="K704" i="2" s="1"/>
  <c r="L704" i="2" s="1"/>
  <c r="J359" i="2"/>
  <c r="K359" i="2" s="1"/>
  <c r="L359" i="2" s="1"/>
  <c r="J539" i="2"/>
  <c r="K539" i="2" s="1"/>
  <c r="L539" i="2" s="1"/>
  <c r="J102" i="2"/>
  <c r="K102" i="2" s="1"/>
  <c r="L102" i="2" s="1"/>
  <c r="J366" i="2"/>
  <c r="K366" i="2" s="1"/>
  <c r="L366" i="2" s="1"/>
  <c r="J760" i="2"/>
  <c r="K760" i="2" s="1"/>
  <c r="L760" i="2" s="1"/>
  <c r="J127" i="2"/>
  <c r="K127" i="2" s="1"/>
  <c r="L127" i="2" s="1"/>
  <c r="J431" i="2"/>
  <c r="K431" i="2" s="1"/>
  <c r="L431" i="2" s="1"/>
  <c r="J659" i="2"/>
  <c r="K659" i="2" s="1"/>
  <c r="L659" i="2" s="1"/>
  <c r="J332" i="2"/>
  <c r="K332" i="2" s="1"/>
  <c r="L332" i="2" s="1"/>
  <c r="J535" i="2"/>
  <c r="K535" i="2" s="1"/>
  <c r="L535" i="2" s="1"/>
  <c r="J566" i="2"/>
  <c r="K566" i="2" s="1"/>
  <c r="L566" i="2" s="1"/>
  <c r="J324" i="2"/>
  <c r="K324" i="2" s="1"/>
  <c r="L324" i="2" s="1"/>
  <c r="J508" i="2"/>
  <c r="K508" i="2" s="1"/>
  <c r="L508" i="2" s="1"/>
  <c r="J770" i="2"/>
  <c r="K770" i="2" s="1"/>
  <c r="L770" i="2" s="1"/>
  <c r="J712" i="2"/>
  <c r="K712" i="2" s="1"/>
  <c r="L712" i="2" s="1"/>
  <c r="J20" i="2"/>
  <c r="K20" i="2" s="1"/>
  <c r="L20" i="2" s="1"/>
  <c r="J372" i="2"/>
  <c r="K372" i="2" s="1"/>
  <c r="L372" i="2" s="1"/>
  <c r="J106" i="2"/>
  <c r="K106" i="2" s="1"/>
  <c r="L106" i="2" s="1"/>
  <c r="J196" i="2"/>
  <c r="K196" i="2" s="1"/>
  <c r="L196" i="2" s="1"/>
  <c r="J186" i="2"/>
  <c r="K186" i="2" s="1"/>
  <c r="L186" i="2" s="1"/>
  <c r="J722" i="2"/>
  <c r="K722" i="2" s="1"/>
  <c r="L722" i="2" s="1"/>
  <c r="J456" i="2"/>
  <c r="K456" i="2" s="1"/>
  <c r="L456" i="2" s="1"/>
  <c r="J559" i="2"/>
  <c r="K559" i="2" s="1"/>
  <c r="L559" i="2" s="1"/>
  <c r="J661" i="2"/>
  <c r="K661" i="2" s="1"/>
  <c r="L661" i="2" s="1"/>
  <c r="J365" i="2"/>
  <c r="K365" i="2" s="1"/>
  <c r="L365" i="2" s="1"/>
  <c r="J540" i="2"/>
  <c r="K540" i="2" s="1"/>
  <c r="L540" i="2" s="1"/>
  <c r="J396" i="2"/>
  <c r="K396" i="2" s="1"/>
  <c r="L396" i="2" s="1"/>
  <c r="J277" i="2"/>
  <c r="K277" i="2" s="1"/>
  <c r="L277" i="2" s="1"/>
  <c r="H20" i="19"/>
  <c r="Q20" i="19" s="1"/>
  <c r="H12" i="19"/>
  <c r="Q12" i="19" s="1"/>
  <c r="J483" i="2"/>
  <c r="K483" i="2" s="1"/>
  <c r="L483" i="2" s="1"/>
  <c r="J37" i="2"/>
  <c r="K37" i="2" s="1"/>
  <c r="L37" i="2" s="1"/>
  <c r="J51" i="2"/>
  <c r="K51" i="2" s="1"/>
  <c r="L51" i="2" s="1"/>
  <c r="J174" i="2"/>
  <c r="K174" i="2" s="1"/>
  <c r="L174" i="2" s="1"/>
  <c r="J628" i="2"/>
  <c r="K628" i="2" s="1"/>
  <c r="L628" i="2" s="1"/>
  <c r="J226" i="2"/>
  <c r="K226" i="2" s="1"/>
  <c r="L226" i="2" s="1"/>
  <c r="J228" i="2"/>
  <c r="K228" i="2" s="1"/>
  <c r="L228" i="2" s="1"/>
  <c r="J52" i="2"/>
  <c r="K52" i="2" s="1"/>
  <c r="J23" i="2"/>
  <c r="K23" i="2" s="1"/>
  <c r="L23" i="2" s="1"/>
  <c r="J205" i="2"/>
  <c r="K205" i="2" s="1"/>
  <c r="L205" i="2" s="1"/>
  <c r="J557" i="2"/>
  <c r="K557" i="2" s="1"/>
  <c r="L557" i="2" s="1"/>
  <c r="J246" i="2"/>
  <c r="K246" i="2" s="1"/>
  <c r="L246" i="2" s="1"/>
  <c r="J632" i="2"/>
  <c r="K632" i="2" s="1"/>
  <c r="L632" i="2" s="1"/>
  <c r="J631" i="2"/>
  <c r="K631" i="2" s="1"/>
  <c r="L631" i="2" s="1"/>
  <c r="J115" i="2"/>
  <c r="K115" i="2" s="1"/>
  <c r="L115" i="2" s="1"/>
  <c r="J815" i="2"/>
  <c r="K815" i="2" s="1"/>
  <c r="L815" i="2" s="1"/>
  <c r="J629" i="2"/>
  <c r="K629" i="2" s="1"/>
  <c r="L629" i="2" s="1"/>
  <c r="J204" i="2"/>
  <c r="K204" i="2" s="1"/>
  <c r="L204" i="2" s="1"/>
  <c r="J634" i="2"/>
  <c r="K634" i="2" s="1"/>
  <c r="L634" i="2" s="1"/>
  <c r="J99" i="2"/>
  <c r="K99" i="2" s="1"/>
  <c r="L99" i="2" s="1"/>
  <c r="J287" i="2"/>
  <c r="K287" i="2" s="1"/>
  <c r="J337" i="2"/>
  <c r="K337" i="2" s="1"/>
  <c r="L337" i="2" s="1"/>
  <c r="J457" i="2"/>
  <c r="K457" i="2" s="1"/>
  <c r="L457" i="2" s="1"/>
  <c r="J76" i="2"/>
  <c r="K76" i="2" s="1"/>
  <c r="L76" i="2" s="1"/>
  <c r="J73" i="2"/>
  <c r="K73" i="2" s="1"/>
  <c r="L73" i="2" s="1"/>
  <c r="J691" i="2"/>
  <c r="K691" i="2" s="1"/>
  <c r="L691" i="2" s="1"/>
  <c r="J268" i="2"/>
  <c r="K268" i="2" s="1"/>
  <c r="L268" i="2" s="1"/>
  <c r="J144" i="2"/>
  <c r="K144" i="2" s="1"/>
  <c r="L144" i="2" s="1"/>
  <c r="J50" i="2"/>
  <c r="K50" i="2" s="1"/>
  <c r="L50" i="2" s="1"/>
  <c r="J88" i="2"/>
  <c r="K88" i="2" s="1"/>
  <c r="L88" i="2" s="1"/>
  <c r="J786" i="2"/>
  <c r="K786" i="2" s="1"/>
  <c r="L786" i="2" s="1"/>
  <c r="J708" i="2"/>
  <c r="K708" i="2" s="1"/>
  <c r="L708" i="2" s="1"/>
  <c r="J646" i="2"/>
  <c r="K646" i="2" s="1"/>
  <c r="L646" i="2" s="1"/>
  <c r="J731" i="2"/>
  <c r="K731" i="2" s="1"/>
  <c r="L731" i="2" s="1"/>
  <c r="H11" i="19"/>
  <c r="Q11" i="19" s="1"/>
  <c r="H4" i="19"/>
  <c r="Q4" i="19" s="1"/>
  <c r="J142" i="2"/>
  <c r="K142" i="2" s="1"/>
  <c r="L142" i="2" s="1"/>
  <c r="J392" i="2"/>
  <c r="K392" i="2" s="1"/>
  <c r="L392" i="2" s="1"/>
  <c r="J699" i="2"/>
  <c r="K699" i="2" s="1"/>
  <c r="L699" i="2" s="1"/>
  <c r="J175" i="2"/>
  <c r="K175" i="2" s="1"/>
  <c r="L175" i="2" s="1"/>
  <c r="J502" i="2"/>
  <c r="K502" i="2" s="1"/>
  <c r="L502" i="2" s="1"/>
  <c r="J467" i="2"/>
  <c r="K467" i="2" s="1"/>
  <c r="L467" i="2" s="1"/>
  <c r="J818" i="2"/>
  <c r="K818" i="2" s="1"/>
  <c r="L818" i="2" s="1"/>
  <c r="J491" i="2"/>
  <c r="K491" i="2" s="1"/>
  <c r="L491" i="2" s="1"/>
  <c r="J703" i="2"/>
  <c r="K703" i="2" s="1"/>
  <c r="L703" i="2" s="1"/>
  <c r="J550" i="2"/>
  <c r="K550" i="2" s="1"/>
  <c r="L550" i="2" s="1"/>
  <c r="J742" i="2"/>
  <c r="K742" i="2" s="1"/>
  <c r="L742" i="2" s="1"/>
  <c r="J67" i="2"/>
  <c r="K67" i="2" s="1"/>
  <c r="L67" i="2" s="1"/>
  <c r="J723" i="2"/>
  <c r="K723" i="2" s="1"/>
  <c r="L723" i="2" s="1"/>
  <c r="J203" i="2"/>
  <c r="K203" i="2" s="1"/>
  <c r="L203" i="2" s="1"/>
  <c r="J13" i="2"/>
  <c r="J146" i="2"/>
  <c r="K146" i="2" s="1"/>
  <c r="L146" i="2" s="1"/>
  <c r="J330" i="2"/>
  <c r="K330" i="2" s="1"/>
  <c r="L330" i="2" s="1"/>
  <c r="J638" i="2"/>
  <c r="K638" i="2" s="1"/>
  <c r="L638" i="2" s="1"/>
  <c r="J565" i="2"/>
  <c r="K565" i="2" s="1"/>
  <c r="L565" i="2" s="1"/>
  <c r="J486" i="2"/>
  <c r="K486" i="2" s="1"/>
  <c r="L486" i="2" s="1"/>
  <c r="J810" i="2"/>
  <c r="K810" i="2" s="1"/>
  <c r="L810" i="2" s="1"/>
  <c r="J757" i="2"/>
  <c r="K757" i="2" s="1"/>
  <c r="L757" i="2" s="1"/>
  <c r="J510" i="2"/>
  <c r="K510" i="2" s="1"/>
  <c r="L510" i="2" s="1"/>
  <c r="J394" i="2"/>
  <c r="K394" i="2" s="1"/>
  <c r="L394" i="2" s="1"/>
  <c r="J490" i="2"/>
  <c r="K490" i="2" s="1"/>
  <c r="L490" i="2" s="1"/>
  <c r="J71" i="2"/>
  <c r="K71" i="2" s="1"/>
  <c r="L71" i="2" s="1"/>
  <c r="J239" i="2"/>
  <c r="K239" i="2" s="1"/>
  <c r="L239" i="2" s="1"/>
  <c r="J498" i="2"/>
  <c r="K498" i="2" s="1"/>
  <c r="L498" i="2" s="1"/>
  <c r="J83" i="2"/>
  <c r="K83" i="2" s="1"/>
  <c r="L83" i="2" s="1"/>
  <c r="J688" i="2"/>
  <c r="K688" i="2" s="1"/>
  <c r="L688" i="2" s="1"/>
  <c r="J459" i="2"/>
  <c r="K459" i="2" s="1"/>
  <c r="L459" i="2" s="1"/>
  <c r="J666" i="2"/>
  <c r="K666" i="2" s="1"/>
  <c r="L666" i="2" s="1"/>
  <c r="J113" i="2"/>
  <c r="K113" i="2" s="1"/>
  <c r="L113" i="2" s="1"/>
  <c r="J410" i="2"/>
  <c r="K410" i="2" s="1"/>
  <c r="L410" i="2" s="1"/>
  <c r="J379" i="2"/>
  <c r="K379" i="2" s="1"/>
  <c r="L379" i="2" s="1"/>
  <c r="J11" i="2"/>
  <c r="K11" i="2" s="1"/>
  <c r="L11" i="2" s="1"/>
  <c r="J724" i="2"/>
  <c r="K724" i="2" s="1"/>
  <c r="L724" i="2" s="1"/>
  <c r="J78" i="2"/>
  <c r="K78" i="2" s="1"/>
  <c r="L78" i="2" s="1"/>
  <c r="J585" i="2"/>
  <c r="K585" i="2" s="1"/>
  <c r="L585" i="2" s="1"/>
  <c r="J282" i="2"/>
  <c r="K282" i="2" s="1"/>
  <c r="L282" i="2" s="1"/>
  <c r="J247" i="2"/>
  <c r="K247" i="2" s="1"/>
  <c r="L247" i="2" s="1"/>
  <c r="J791" i="2"/>
  <c r="K791" i="2" s="1"/>
  <c r="L791" i="2" s="1"/>
  <c r="J461" i="2"/>
  <c r="K461" i="2" s="1"/>
  <c r="L461" i="2" s="1"/>
  <c r="J561" i="2"/>
  <c r="K561" i="2" s="1"/>
  <c r="L561" i="2" s="1"/>
  <c r="J709" i="2"/>
  <c r="K709" i="2" s="1"/>
  <c r="L709" i="2" s="1"/>
  <c r="J191" i="2"/>
  <c r="K191" i="2" s="1"/>
  <c r="L191" i="2" s="1"/>
  <c r="J41" i="2"/>
  <c r="K41" i="2" s="1"/>
  <c r="L41" i="2" s="1"/>
  <c r="J320" i="2"/>
  <c r="K320" i="2" s="1"/>
  <c r="L320" i="2" s="1"/>
  <c r="J472" i="2"/>
  <c r="K472" i="2" s="1"/>
  <c r="L472" i="2" s="1"/>
  <c r="J373" i="2"/>
  <c r="K373" i="2" s="1"/>
  <c r="L373" i="2" s="1"/>
  <c r="J278" i="2"/>
  <c r="K278" i="2" s="1"/>
  <c r="L278" i="2" s="1"/>
  <c r="J163" i="2"/>
  <c r="K163" i="2" s="1"/>
  <c r="L163" i="2" s="1"/>
  <c r="J95" i="2"/>
  <c r="K95" i="2" s="1"/>
  <c r="L95" i="2" s="1"/>
  <c r="J290" i="2"/>
  <c r="K290" i="2" s="1"/>
  <c r="L290" i="2" s="1"/>
  <c r="J433" i="2"/>
  <c r="K433" i="2" s="1"/>
  <c r="L433" i="2" s="1"/>
  <c r="J702" i="2"/>
  <c r="K702" i="2" s="1"/>
  <c r="L702" i="2" s="1"/>
  <c r="J504" i="2"/>
  <c r="K504" i="2" s="1"/>
  <c r="L504" i="2" s="1"/>
  <c r="J89" i="2"/>
  <c r="K89" i="2" s="1"/>
  <c r="L89" i="2" s="1"/>
  <c r="J568" i="2"/>
  <c r="K568" i="2" s="1"/>
  <c r="L568" i="2" s="1"/>
  <c r="H18" i="19"/>
  <c r="Q18" i="19" s="1"/>
  <c r="F22" i="19"/>
  <c r="O22" i="19" s="1"/>
  <c r="J453" i="2"/>
  <c r="K453" i="2" s="1"/>
  <c r="L453" i="2" s="1"/>
  <c r="J44" i="2"/>
  <c r="K44" i="2" s="1"/>
  <c r="L44" i="2" s="1"/>
  <c r="J451" i="2"/>
  <c r="K451" i="2" s="1"/>
  <c r="L451" i="2" s="1"/>
  <c r="J650" i="2"/>
  <c r="K650" i="2" s="1"/>
  <c r="L650" i="2" s="1"/>
  <c r="J328" i="2"/>
  <c r="K328" i="2" s="1"/>
  <c r="L328" i="2" s="1"/>
  <c r="J254" i="2"/>
  <c r="K254" i="2" s="1"/>
  <c r="L254" i="2" s="1"/>
  <c r="J197" i="2"/>
  <c r="K197" i="2" s="1"/>
  <c r="L197" i="2" s="1"/>
  <c r="J408" i="2"/>
  <c r="K408" i="2" s="1"/>
  <c r="L408" i="2" s="1"/>
  <c r="J308" i="2"/>
  <c r="K308" i="2" s="1"/>
  <c r="L308" i="2" s="1"/>
  <c r="J350" i="2"/>
  <c r="K350" i="2" s="1"/>
  <c r="L350" i="2" s="1"/>
  <c r="J407" i="2"/>
  <c r="K407" i="2" s="1"/>
  <c r="L407" i="2" s="1"/>
  <c r="J653" i="2"/>
  <c r="K653" i="2" s="1"/>
  <c r="L653" i="2" s="1"/>
  <c r="J762" i="2"/>
  <c r="K762" i="2" s="1"/>
  <c r="L762" i="2" s="1"/>
  <c r="J116" i="2"/>
  <c r="K116" i="2" s="1"/>
  <c r="L116" i="2" s="1"/>
  <c r="J391" i="2"/>
  <c r="K391" i="2" s="1"/>
  <c r="L391" i="2" s="1"/>
  <c r="J124" i="2"/>
  <c r="K124" i="2" s="1"/>
  <c r="L124" i="2" s="1"/>
  <c r="J123" i="2"/>
  <c r="K123" i="2" s="1"/>
  <c r="L123" i="2" s="1"/>
  <c r="J201" i="2"/>
  <c r="K201" i="2" s="1"/>
  <c r="L201" i="2" s="1"/>
  <c r="J179" i="2"/>
  <c r="K179" i="2" s="1"/>
  <c r="L179" i="2" s="1"/>
  <c r="J663" i="2"/>
  <c r="K663" i="2" s="1"/>
  <c r="L663" i="2" s="1"/>
  <c r="J630" i="2"/>
  <c r="K630" i="2" s="1"/>
  <c r="L630" i="2" s="1"/>
  <c r="J812" i="2"/>
  <c r="K812" i="2" s="1"/>
  <c r="L812" i="2" s="1"/>
  <c r="J469" i="2"/>
  <c r="K469" i="2" s="1"/>
  <c r="L469" i="2" s="1"/>
  <c r="J153" i="2"/>
  <c r="K153" i="2" s="1"/>
  <c r="L153" i="2" s="1"/>
  <c r="J755" i="2"/>
  <c r="K755" i="2" s="1"/>
  <c r="L755" i="2" s="1"/>
  <c r="J548" i="2"/>
  <c r="K548" i="2" s="1"/>
  <c r="L548" i="2" s="1"/>
  <c r="J668" i="2"/>
  <c r="K668" i="2" s="1"/>
  <c r="L668" i="2" s="1"/>
  <c r="J669" i="2"/>
  <c r="K669" i="2" s="1"/>
  <c r="L669" i="2" s="1"/>
  <c r="J591" i="2"/>
  <c r="K591" i="2" s="1"/>
  <c r="L591" i="2" s="1"/>
  <c r="J711" i="2"/>
  <c r="K711" i="2" s="1"/>
  <c r="L711" i="2" s="1"/>
  <c r="J647" i="2"/>
  <c r="K647" i="2" s="1"/>
  <c r="L647" i="2" s="1"/>
  <c r="K79" i="2"/>
  <c r="L79" i="2" s="1"/>
  <c r="J478" i="2"/>
  <c r="K478" i="2" s="1"/>
  <c r="L478" i="2" s="1"/>
  <c r="J122" i="2"/>
  <c r="K122" i="2" s="1"/>
  <c r="L122" i="2" s="1"/>
  <c r="J512" i="2"/>
  <c r="K512" i="2" s="1"/>
  <c r="L512" i="2" s="1"/>
  <c r="J318" i="2"/>
  <c r="K318" i="2" s="1"/>
  <c r="L318" i="2" s="1"/>
  <c r="J355" i="2"/>
  <c r="K355" i="2" s="1"/>
  <c r="L355" i="2" s="1"/>
  <c r="J38" i="2"/>
  <c r="K38" i="2" s="1"/>
  <c r="L38" i="2" s="1"/>
  <c r="J572" i="2"/>
  <c r="K572" i="2" s="1"/>
  <c r="L572" i="2" s="1"/>
  <c r="J31" i="2"/>
  <c r="K31" i="2" s="1"/>
  <c r="L31" i="2" s="1"/>
  <c r="J118" i="2"/>
  <c r="K118" i="2" s="1"/>
  <c r="L118" i="2" s="1"/>
  <c r="J180" i="2"/>
  <c r="K180" i="2" s="1"/>
  <c r="L180" i="2" s="1"/>
  <c r="J728" i="2"/>
  <c r="K728" i="2" s="1"/>
  <c r="L728" i="2" s="1"/>
  <c r="J331" i="2"/>
  <c r="K331" i="2" s="1"/>
  <c r="L331" i="2" s="1"/>
  <c r="J644" i="2"/>
  <c r="K644" i="2" s="1"/>
  <c r="L644" i="2" s="1"/>
  <c r="J583" i="2"/>
  <c r="K583" i="2" s="1"/>
  <c r="J643" i="2"/>
  <c r="K643" i="2" s="1"/>
  <c r="L643" i="2" s="1"/>
  <c r="J581" i="2"/>
  <c r="K581" i="2" s="1"/>
  <c r="L581" i="2" s="1"/>
  <c r="J624" i="2"/>
  <c r="K624" i="2" s="1"/>
  <c r="L624" i="2" s="1"/>
  <c r="J389" i="2"/>
  <c r="K389" i="2" s="1"/>
  <c r="L389" i="2" s="1"/>
  <c r="J744" i="2"/>
  <c r="K744" i="2" s="1"/>
  <c r="L744" i="2" s="1"/>
  <c r="J695" i="2"/>
  <c r="K695" i="2" s="1"/>
  <c r="L695" i="2" s="1"/>
  <c r="J148" i="2"/>
  <c r="K148" i="2" s="1"/>
  <c r="L148" i="2" s="1"/>
  <c r="J684" i="2"/>
  <c r="K684" i="2" s="1"/>
  <c r="L684" i="2" s="1"/>
  <c r="J749" i="2"/>
  <c r="K749" i="2" s="1"/>
  <c r="L749" i="2" s="1"/>
  <c r="J250" i="2"/>
  <c r="K250" i="2" s="1"/>
  <c r="L250" i="2" s="1"/>
  <c r="J484" i="2"/>
  <c r="K484" i="2" s="1"/>
  <c r="L484" i="2" s="1"/>
  <c r="J496" i="2"/>
  <c r="K496" i="2" s="1"/>
  <c r="L496" i="2" s="1"/>
  <c r="J534" i="2"/>
  <c r="K534" i="2" s="1"/>
  <c r="L534" i="2" s="1"/>
  <c r="J450" i="2"/>
  <c r="K450" i="2" s="1"/>
  <c r="L450" i="2" s="1"/>
  <c r="J464" i="2"/>
  <c r="K464" i="2" s="1"/>
  <c r="L464" i="2" s="1"/>
  <c r="J503" i="2"/>
  <c r="K503" i="2" s="1"/>
  <c r="L503" i="2" s="1"/>
  <c r="J270" i="2"/>
  <c r="K270" i="2" s="1"/>
  <c r="L270" i="2" s="1"/>
  <c r="J470" i="2"/>
  <c r="K470" i="2" s="1"/>
  <c r="L470" i="2" s="1"/>
  <c r="J242" i="2"/>
  <c r="K242" i="2" s="1"/>
  <c r="L242" i="2" s="1"/>
  <c r="J151" i="2"/>
  <c r="K151" i="2" s="1"/>
  <c r="L151" i="2" s="1"/>
  <c r="J92" i="2"/>
  <c r="K92" i="2" s="1"/>
  <c r="L92" i="2" s="1"/>
  <c r="J370" i="2"/>
  <c r="K370" i="2" s="1"/>
  <c r="L370" i="2" s="1"/>
  <c r="J150" i="2"/>
  <c r="K150" i="2" s="1"/>
  <c r="L150" i="2" s="1"/>
  <c r="J164" i="2"/>
  <c r="K164" i="2" s="1"/>
  <c r="L164" i="2" s="1"/>
  <c r="J814" i="2"/>
  <c r="K814" i="2" s="1"/>
  <c r="L814" i="2" s="1"/>
  <c r="J273" i="2"/>
  <c r="K273" i="2" s="1"/>
  <c r="L273" i="2" s="1"/>
  <c r="J477" i="2"/>
  <c r="K477" i="2" s="1"/>
  <c r="L477" i="2" s="1"/>
  <c r="J40" i="2"/>
  <c r="J788" i="2"/>
  <c r="K788" i="2" s="1"/>
  <c r="L788" i="2" s="1"/>
  <c r="J195" i="2"/>
  <c r="K195" i="2" s="1"/>
  <c r="L195" i="2" s="1"/>
  <c r="J718" i="2"/>
  <c r="K718" i="2" s="1"/>
  <c r="L718" i="2" s="1"/>
  <c r="J651" i="2"/>
  <c r="K651" i="2" s="1"/>
  <c r="L651" i="2" s="1"/>
  <c r="J266" i="2"/>
  <c r="K266" i="2" s="1"/>
  <c r="L266" i="2" s="1"/>
  <c r="J323" i="2"/>
  <c r="K323" i="2" s="1"/>
  <c r="L323" i="2" s="1"/>
  <c r="J721" i="2"/>
  <c r="K721" i="2" s="1"/>
  <c r="L721" i="2" s="1"/>
  <c r="J701" i="2"/>
  <c r="K701" i="2" s="1"/>
  <c r="L701" i="2" s="1"/>
  <c r="J471" i="2"/>
  <c r="K471" i="2" s="1"/>
  <c r="L471" i="2" s="1"/>
  <c r="J713" i="2"/>
  <c r="K713" i="2" s="1"/>
  <c r="L713" i="2" s="1"/>
  <c r="J687" i="2"/>
  <c r="K687" i="2" s="1"/>
  <c r="L687" i="2" s="1"/>
  <c r="J63" i="2"/>
  <c r="K63" i="2" s="1"/>
  <c r="L63" i="2" s="1"/>
  <c r="J74" i="2"/>
  <c r="K74" i="2" s="1"/>
  <c r="L74" i="2" s="1"/>
  <c r="H19" i="19"/>
  <c r="Q19" i="19" s="1"/>
  <c r="H6" i="19"/>
  <c r="Q6" i="19" s="1"/>
  <c r="H5" i="19"/>
  <c r="Q5" i="19" s="1"/>
  <c r="K266" i="9"/>
  <c r="K271" i="9"/>
  <c r="K255" i="9"/>
  <c r="K248" i="9"/>
  <c r="K265" i="9"/>
  <c r="G4" i="12"/>
  <c r="G3" i="12"/>
  <c r="G5" i="12"/>
  <c r="G6" i="12"/>
  <c r="K623" i="2"/>
  <c r="L623" i="2" s="1"/>
  <c r="K411" i="2"/>
  <c r="L411" i="2" s="1"/>
  <c r="K107" i="2"/>
  <c r="L107" i="2" s="1"/>
  <c r="K182" i="2"/>
  <c r="L182" i="2" s="1"/>
  <c r="K325" i="2"/>
  <c r="L325" i="2" s="1"/>
  <c r="H4" i="8"/>
  <c r="H5" i="8"/>
  <c r="H6" i="8"/>
  <c r="K765" i="2"/>
  <c r="L765" i="2" s="1"/>
  <c r="K188" i="2"/>
  <c r="L188" i="2" s="1"/>
  <c r="K793" i="2"/>
  <c r="L793" i="2" s="1"/>
  <c r="K794" i="2"/>
  <c r="L794" i="2" s="1"/>
  <c r="K39" i="2"/>
  <c r="M6" i="2"/>
  <c r="M5" i="2"/>
  <c r="M4" i="2"/>
  <c r="K315" i="2"/>
  <c r="L315" i="2" s="1"/>
  <c r="K759" i="2"/>
  <c r="L759" i="2" s="1"/>
  <c r="K34" i="2"/>
  <c r="K753" i="2"/>
  <c r="L753" i="2" s="1"/>
  <c r="K452" i="2"/>
  <c r="L452" i="2" s="1"/>
  <c r="K682" i="2"/>
  <c r="L682" i="2" s="1"/>
  <c r="K181" i="2"/>
  <c r="L181" i="2" s="1"/>
  <c r="K177" i="2"/>
  <c r="L177" i="2" s="1"/>
  <c r="K578" i="2"/>
  <c r="L578" i="2" s="1"/>
  <c r="K654" i="2"/>
  <c r="L654" i="2" s="1"/>
  <c r="K17" i="2"/>
  <c r="L17" i="2" s="1"/>
  <c r="K26" i="2"/>
  <c r="L26" i="2" s="1"/>
  <c r="K334" i="2"/>
  <c r="L334" i="2" s="1"/>
  <c r="K307" i="2"/>
  <c r="L307" i="2" s="1"/>
  <c r="K386" i="2"/>
  <c r="L386" i="2" s="1"/>
  <c r="K159" i="2"/>
  <c r="L159" i="2" s="1"/>
  <c r="K283" i="2"/>
  <c r="L283" i="2" s="1"/>
  <c r="P24" i="14"/>
  <c r="P5" i="14"/>
  <c r="N27" i="14"/>
  <c r="Y659" i="7"/>
  <c r="E659" i="7"/>
  <c r="Y535" i="7"/>
  <c r="E535" i="7"/>
  <c r="Y370" i="7"/>
  <c r="E370" i="7"/>
  <c r="Y287" i="7"/>
  <c r="E287" i="7"/>
  <c r="Y377" i="7"/>
  <c r="E377" i="7"/>
  <c r="Y610" i="7"/>
  <c r="E610" i="7"/>
  <c r="Y11" i="7"/>
  <c r="E11" i="7"/>
  <c r="Y618" i="7"/>
  <c r="E618" i="7"/>
  <c r="Y133" i="7"/>
  <c r="E133" i="7"/>
  <c r="Y318" i="7"/>
  <c r="E318" i="7"/>
  <c r="Y302" i="7"/>
  <c r="E302" i="7"/>
  <c r="Y521" i="7"/>
  <c r="E521" i="7"/>
  <c r="Y138" i="7"/>
  <c r="E138" i="7"/>
  <c r="Y67" i="7"/>
  <c r="E67" i="7"/>
  <c r="Y126" i="7"/>
  <c r="E126" i="7"/>
  <c r="Y354" i="7"/>
  <c r="E354" i="7"/>
  <c r="Y23" i="7"/>
  <c r="E23" i="7"/>
  <c r="Y224" i="7"/>
  <c r="E224" i="7"/>
  <c r="Y420" i="7"/>
  <c r="E420" i="7"/>
  <c r="Y481" i="7"/>
  <c r="E481" i="7"/>
  <c r="Y267" i="7"/>
  <c r="E267" i="7"/>
  <c r="Y113" i="7"/>
  <c r="E113" i="7"/>
  <c r="Y43" i="7"/>
  <c r="E43" i="7"/>
  <c r="Y145" i="7"/>
  <c r="E145" i="7"/>
  <c r="Y210" i="7"/>
  <c r="E210" i="7"/>
  <c r="Y280" i="7"/>
  <c r="E280" i="7"/>
  <c r="Y493" i="7"/>
  <c r="E493" i="7"/>
  <c r="Y629" i="7"/>
  <c r="E629" i="7"/>
  <c r="Y505" i="7"/>
  <c r="E505" i="7"/>
  <c r="Y550" i="7"/>
  <c r="E550" i="7"/>
  <c r="Y16" i="7"/>
  <c r="E16" i="7"/>
  <c r="Y54" i="7"/>
  <c r="E54" i="7"/>
  <c r="Y146" i="7"/>
  <c r="E146" i="7"/>
  <c r="Y333" i="7"/>
  <c r="E333" i="7"/>
  <c r="Y66" i="7"/>
  <c r="E66" i="7"/>
  <c r="Y96" i="7"/>
  <c r="E96" i="7"/>
  <c r="Y615" i="7"/>
  <c r="E615" i="7"/>
  <c r="Y174" i="7"/>
  <c r="E174" i="7"/>
  <c r="Y122" i="7"/>
  <c r="E122" i="7"/>
  <c r="Y357" i="7"/>
  <c r="E357" i="7"/>
  <c r="Y205" i="7"/>
  <c r="E205" i="7"/>
  <c r="Y339" i="7"/>
  <c r="E339" i="7"/>
  <c r="Y301" i="7"/>
  <c r="E301" i="7"/>
  <c r="Y257" i="7"/>
  <c r="E257" i="7"/>
  <c r="Y570" i="7"/>
  <c r="E570" i="7"/>
  <c r="Y237" i="7"/>
  <c r="E237" i="7"/>
  <c r="Y144" i="7"/>
  <c r="E144" i="7"/>
  <c r="Y533" i="7"/>
  <c r="E533" i="7"/>
  <c r="Y247" i="7"/>
  <c r="E247" i="7"/>
  <c r="Y124" i="7"/>
  <c r="E124" i="7"/>
  <c r="Y605" i="7"/>
  <c r="E605" i="7"/>
  <c r="Y572" i="7"/>
  <c r="E572" i="7"/>
  <c r="Y268" i="7"/>
  <c r="E268" i="7"/>
  <c r="Y437" i="7"/>
  <c r="E437" i="7"/>
  <c r="Y426" i="7"/>
  <c r="E426" i="7"/>
  <c r="Y228" i="7"/>
  <c r="E228" i="7"/>
  <c r="Y178" i="7"/>
  <c r="E178" i="7"/>
  <c r="Y416" i="7"/>
  <c r="E416" i="7"/>
  <c r="Y430" i="7"/>
  <c r="E430" i="7"/>
  <c r="Y304" i="7"/>
  <c r="E304" i="7"/>
  <c r="Y632" i="7"/>
  <c r="E632" i="7"/>
  <c r="Y313" i="7"/>
  <c r="E313" i="7"/>
  <c r="Y656" i="7"/>
  <c r="E656" i="7"/>
  <c r="Y94" i="7"/>
  <c r="E94" i="7"/>
  <c r="Y165" i="7"/>
  <c r="E165" i="7"/>
  <c r="Y70" i="7"/>
  <c r="E70" i="7"/>
  <c r="Y227" i="7"/>
  <c r="E227" i="7"/>
  <c r="Y34" i="7"/>
  <c r="E34" i="7"/>
  <c r="Y407" i="7"/>
  <c r="E407" i="7"/>
  <c r="Y580" i="7"/>
  <c r="E580" i="7"/>
  <c r="Y548" i="7"/>
  <c r="E548" i="7"/>
  <c r="Y498" i="7"/>
  <c r="E498" i="7"/>
  <c r="Y666" i="7"/>
  <c r="E666" i="7"/>
  <c r="Y449" i="7"/>
  <c r="E449" i="7"/>
  <c r="Y18" i="7"/>
  <c r="E18" i="7"/>
  <c r="Y286" i="7"/>
  <c r="E286" i="7"/>
  <c r="Y690" i="7"/>
  <c r="E690" i="7"/>
  <c r="Y331" i="7"/>
  <c r="E331" i="7"/>
  <c r="Y421" i="7"/>
  <c r="E421" i="7"/>
  <c r="Y517" i="7"/>
  <c r="E517" i="7"/>
  <c r="Y586" i="7"/>
  <c r="E586" i="7"/>
  <c r="Y411" i="7"/>
  <c r="E411" i="7"/>
  <c r="Y352" i="7"/>
  <c r="E352" i="7"/>
  <c r="Y283" i="7"/>
  <c r="E283" i="7"/>
  <c r="Y503" i="7"/>
  <c r="E503" i="7"/>
  <c r="Y83" i="7"/>
  <c r="E83" i="7"/>
  <c r="Y496" i="7"/>
  <c r="E496" i="7"/>
  <c r="Y607" i="7"/>
  <c r="E607" i="7"/>
  <c r="Y389" i="7"/>
  <c r="E389" i="7"/>
  <c r="Y180" i="7"/>
  <c r="E180" i="7"/>
  <c r="Y462" i="7"/>
  <c r="E462" i="7"/>
  <c r="Y234" i="7"/>
  <c r="E234" i="7"/>
  <c r="Y665" i="7"/>
  <c r="E665" i="7"/>
  <c r="Y647" i="7"/>
  <c r="E647" i="7"/>
  <c r="Y671" i="7"/>
  <c r="E671" i="7"/>
  <c r="Y147" i="7"/>
  <c r="E147" i="7"/>
  <c r="Y653" i="7"/>
  <c r="E653" i="7"/>
  <c r="Y652" i="7"/>
  <c r="E652" i="7"/>
  <c r="Y190" i="7"/>
  <c r="E190" i="7"/>
  <c r="Y184" i="7"/>
  <c r="E184" i="7"/>
  <c r="Y197" i="7"/>
  <c r="E197" i="7"/>
  <c r="Y92" i="7"/>
  <c r="E92" i="7"/>
  <c r="Y453" i="7"/>
  <c r="E453" i="7"/>
  <c r="Y167" i="7"/>
  <c r="E167" i="7"/>
  <c r="Y483" i="7"/>
  <c r="E483" i="7"/>
  <c r="Y516" i="7"/>
  <c r="E516" i="7"/>
  <c r="Y47" i="7"/>
  <c r="E47" i="7"/>
  <c r="Y46" i="7"/>
  <c r="E46" i="7"/>
  <c r="Y353" i="7"/>
  <c r="E353" i="7"/>
  <c r="Y641" i="7"/>
  <c r="E641" i="7"/>
  <c r="Y128" i="7"/>
  <c r="E128" i="7"/>
  <c r="Y487" i="7"/>
  <c r="E487" i="7"/>
  <c r="Y613" i="7"/>
  <c r="E613" i="7"/>
  <c r="Y581" i="7"/>
  <c r="E581" i="7"/>
  <c r="Y415" i="7"/>
  <c r="E415" i="7"/>
  <c r="Y58" i="7"/>
  <c r="E58" i="7"/>
  <c r="Y657" i="7"/>
  <c r="E657" i="7"/>
  <c r="Y155" i="7"/>
  <c r="E155" i="7"/>
  <c r="Y434" i="7"/>
  <c r="E434" i="7"/>
  <c r="Y349" i="7"/>
  <c r="E349" i="7"/>
  <c r="Y164" i="7"/>
  <c r="E164" i="7"/>
  <c r="Y471" i="7"/>
  <c r="E471" i="7"/>
  <c r="Y255" i="7"/>
  <c r="E255" i="7"/>
  <c r="Y306" i="7"/>
  <c r="E306" i="7"/>
  <c r="Y413" i="7"/>
  <c r="E413" i="7"/>
  <c r="Y119" i="7"/>
  <c r="E119" i="7"/>
  <c r="Y10" i="7"/>
  <c r="E10" i="7"/>
  <c r="Y243" i="7"/>
  <c r="E243" i="7"/>
  <c r="Y383" i="7"/>
  <c r="E383" i="7"/>
  <c r="Y532" i="7"/>
  <c r="E532" i="7"/>
  <c r="Y631" i="7"/>
  <c r="E631" i="7"/>
  <c r="Y558" i="7"/>
  <c r="E558" i="7"/>
  <c r="Y160" i="7"/>
  <c r="E160" i="7"/>
  <c r="Y25" i="7"/>
  <c r="E25" i="7"/>
  <c r="Y371" i="7"/>
  <c r="E371" i="7"/>
  <c r="Y250" i="7"/>
  <c r="E250" i="7"/>
  <c r="Y272" i="7"/>
  <c r="E272" i="7"/>
  <c r="Y596" i="7"/>
  <c r="E596" i="7"/>
  <c r="Y15" i="7"/>
  <c r="E15" i="7"/>
  <c r="Y14" i="7"/>
  <c r="E14" i="7"/>
  <c r="Y101" i="7"/>
  <c r="E101" i="7"/>
  <c r="Y129" i="7"/>
  <c r="E129" i="7"/>
  <c r="Y394" i="7"/>
  <c r="E394" i="7"/>
  <c r="Y642" i="7"/>
  <c r="E642" i="7"/>
  <c r="Y376" i="7"/>
  <c r="E376" i="7"/>
  <c r="Y295" i="7"/>
  <c r="E295" i="7"/>
  <c r="Y563" i="7"/>
  <c r="E563" i="7"/>
  <c r="Y554" i="7"/>
  <c r="E554" i="7"/>
  <c r="Y379" i="7"/>
  <c r="E379" i="7"/>
  <c r="Y542" i="7"/>
  <c r="E542" i="7"/>
  <c r="Y343" i="7"/>
  <c r="E343" i="7"/>
  <c r="Y402" i="7"/>
  <c r="E402" i="7"/>
  <c r="Y182" i="7"/>
  <c r="E182" i="7"/>
  <c r="Y458" i="7"/>
  <c r="E458" i="7"/>
  <c r="Y556" i="7"/>
  <c r="E556" i="7"/>
  <c r="Y108" i="7"/>
  <c r="E108" i="7"/>
  <c r="Y33" i="7"/>
  <c r="E33" i="7"/>
  <c r="Y187" i="7"/>
  <c r="E187" i="7"/>
  <c r="Y222" i="7"/>
  <c r="E222" i="7"/>
  <c r="Y661" i="7"/>
  <c r="E661" i="7"/>
  <c r="Y597" i="7"/>
  <c r="E597" i="7"/>
  <c r="Y427" i="7"/>
  <c r="E427" i="7"/>
  <c r="Y201" i="7"/>
  <c r="E201" i="7"/>
  <c r="Y609" i="7"/>
  <c r="E609" i="7"/>
  <c r="Y635" i="7"/>
  <c r="E635" i="7"/>
  <c r="Y77" i="7"/>
  <c r="E77" i="7"/>
  <c r="Y448" i="7"/>
  <c r="E448" i="7"/>
  <c r="Y244" i="7"/>
  <c r="E244" i="7"/>
  <c r="Y61" i="7"/>
  <c r="E61" i="7"/>
  <c r="Y242" i="7"/>
  <c r="E242" i="7"/>
  <c r="Y364" i="7"/>
  <c r="E364" i="7"/>
  <c r="Y151" i="7"/>
  <c r="E151" i="7"/>
  <c r="Y99" i="7"/>
  <c r="E99" i="7"/>
  <c r="Y668" i="7"/>
  <c r="E668" i="7"/>
  <c r="Y372" i="7"/>
  <c r="E372" i="7"/>
  <c r="Y44" i="7"/>
  <c r="E44" i="7"/>
  <c r="Y41" i="7"/>
  <c r="E41" i="7"/>
  <c r="Y387" i="7"/>
  <c r="E387" i="7"/>
  <c r="Y216" i="7"/>
  <c r="E216" i="7"/>
  <c r="Y406" i="7"/>
  <c r="E406" i="7"/>
  <c r="Y512" i="7"/>
  <c r="E512" i="7"/>
  <c r="Y617" i="7"/>
  <c r="E617" i="7"/>
  <c r="Y329" i="7"/>
  <c r="E329" i="7"/>
  <c r="Y614" i="7"/>
  <c r="E614" i="7"/>
  <c r="Y323" i="7"/>
  <c r="E323" i="7"/>
  <c r="Y486" i="7"/>
  <c r="E486" i="7"/>
  <c r="Y444" i="7"/>
  <c r="E444" i="7"/>
  <c r="Y525" i="7"/>
  <c r="E525" i="7"/>
  <c r="Y22" i="7"/>
  <c r="E22" i="7"/>
  <c r="Y589" i="7"/>
  <c r="E589" i="7"/>
  <c r="Y440" i="7"/>
  <c r="E440" i="7"/>
  <c r="Y604" i="7"/>
  <c r="E604" i="7"/>
  <c r="Y300" i="7"/>
  <c r="E300" i="7"/>
  <c r="Y359" i="7"/>
  <c r="E359" i="7"/>
  <c r="Y547" i="7"/>
  <c r="E547" i="7"/>
  <c r="Y557" i="7"/>
  <c r="E557" i="7"/>
  <c r="Y86" i="7"/>
  <c r="E86" i="7"/>
  <c r="Y183" i="7"/>
  <c r="E183" i="7"/>
  <c r="Y608" i="7"/>
  <c r="E608" i="7"/>
  <c r="Y655" i="7"/>
  <c r="E655" i="7"/>
  <c r="Y260" i="7"/>
  <c r="E260" i="7"/>
  <c r="Y40" i="7"/>
  <c r="E40" i="7"/>
  <c r="Y424" i="7"/>
  <c r="E424" i="7"/>
  <c r="Y249" i="7"/>
  <c r="E249" i="7"/>
  <c r="Y384" i="7"/>
  <c r="E384" i="7"/>
  <c r="Y590" i="7"/>
  <c r="E590" i="7"/>
  <c r="Y499" i="7"/>
  <c r="E499" i="7"/>
  <c r="Y39" i="7"/>
  <c r="E39" i="7"/>
  <c r="Y457" i="7"/>
  <c r="E457" i="7"/>
  <c r="Y388" i="7"/>
  <c r="E388" i="7"/>
  <c r="Y114" i="7"/>
  <c r="E114" i="7"/>
  <c r="Y367" i="7"/>
  <c r="E367" i="7"/>
  <c r="Y492" i="7"/>
  <c r="E492" i="7"/>
  <c r="Y454" i="7"/>
  <c r="E454" i="7"/>
  <c r="Y476" i="7"/>
  <c r="E476" i="7"/>
  <c r="Y397" i="7"/>
  <c r="E397" i="7"/>
  <c r="Y264" i="7"/>
  <c r="E264" i="7"/>
  <c r="Y663" i="7"/>
  <c r="E663" i="7"/>
  <c r="Y109" i="7"/>
  <c r="E109" i="7"/>
  <c r="Y89" i="7"/>
  <c r="E89" i="7"/>
  <c r="Y644" i="7"/>
  <c r="E644" i="7"/>
  <c r="Y423" i="7"/>
  <c r="E423" i="7"/>
  <c r="Y584" i="7"/>
  <c r="E584" i="7"/>
  <c r="Y107" i="7"/>
  <c r="E107" i="7"/>
  <c r="Y330" i="7"/>
  <c r="E330" i="7"/>
  <c r="Y508" i="7"/>
  <c r="E508" i="7"/>
  <c r="Y102" i="7"/>
  <c r="E102" i="7"/>
  <c r="Y537" i="7"/>
  <c r="E537" i="7"/>
  <c r="Y392" i="7"/>
  <c r="E392" i="7"/>
  <c r="Y78" i="7"/>
  <c r="E78" i="7"/>
  <c r="Y408" i="7"/>
  <c r="E408" i="7"/>
  <c r="Y24" i="7"/>
  <c r="E24" i="7"/>
  <c r="Y230" i="7"/>
  <c r="E230" i="7"/>
  <c r="Y351" i="7"/>
  <c r="E351" i="7"/>
  <c r="Y692" i="7"/>
  <c r="E692" i="7"/>
  <c r="Y575" i="7"/>
  <c r="E575" i="7"/>
  <c r="Y297" i="7"/>
  <c r="E297" i="7"/>
  <c r="Y478" i="7"/>
  <c r="E478" i="7"/>
  <c r="Y670" i="7"/>
  <c r="E670" i="7"/>
  <c r="Y336" i="7"/>
  <c r="E336" i="7"/>
  <c r="Y649" i="7"/>
  <c r="E649" i="7"/>
  <c r="Y256" i="7"/>
  <c r="E256" i="7"/>
  <c r="Y571" i="7"/>
  <c r="E571" i="7"/>
  <c r="Y560" i="7"/>
  <c r="E560" i="7"/>
  <c r="Y153" i="7"/>
  <c r="E153" i="7"/>
  <c r="Y568" i="7"/>
  <c r="E568" i="7"/>
  <c r="Y274" i="7"/>
  <c r="E274" i="7"/>
  <c r="Y619" i="7"/>
  <c r="E619" i="7"/>
  <c r="Y579" i="7"/>
  <c r="E579" i="7"/>
  <c r="Y93" i="7"/>
  <c r="E93" i="7"/>
  <c r="Y332" i="7"/>
  <c r="E332" i="7"/>
  <c r="Y398" i="7"/>
  <c r="E398" i="7"/>
  <c r="Y638" i="7"/>
  <c r="E638" i="7"/>
  <c r="Y399" i="7"/>
  <c r="E399" i="7"/>
  <c r="Y567" i="7"/>
  <c r="E567" i="7"/>
  <c r="Y342" i="7"/>
  <c r="E342" i="7"/>
  <c r="Y68" i="7"/>
  <c r="E68" i="7"/>
  <c r="Y32" i="7"/>
  <c r="E32" i="7"/>
  <c r="Y91" i="7"/>
  <c r="E91" i="7"/>
  <c r="Y474" i="7"/>
  <c r="E474" i="7"/>
  <c r="Y159" i="7"/>
  <c r="E159" i="7"/>
  <c r="Y577" i="7"/>
  <c r="E577" i="7"/>
  <c r="Y291" i="7"/>
  <c r="E291" i="7"/>
  <c r="Y446" i="7"/>
  <c r="E446" i="7"/>
  <c r="Y565" i="7"/>
  <c r="E565" i="7"/>
  <c r="Y510" i="7"/>
  <c r="E510" i="7"/>
  <c r="Y120" i="7"/>
  <c r="E120" i="7"/>
  <c r="Y414" i="7"/>
  <c r="E414" i="7"/>
  <c r="Y173" i="7"/>
  <c r="E173" i="7"/>
  <c r="Y208" i="7"/>
  <c r="E208" i="7"/>
  <c r="Y419" i="7"/>
  <c r="E419" i="7"/>
  <c r="Y254" i="7"/>
  <c r="E254" i="7"/>
  <c r="Y385" i="7"/>
  <c r="E385" i="7"/>
  <c r="Y134" i="7"/>
  <c r="E134" i="7"/>
  <c r="Y13" i="7"/>
  <c r="E13" i="7"/>
  <c r="Y143" i="7"/>
  <c r="E143" i="7"/>
  <c r="Y489" i="7"/>
  <c r="E489" i="7"/>
  <c r="Y442" i="7"/>
  <c r="E442" i="7"/>
  <c r="Y104" i="7"/>
  <c r="E104" i="7"/>
  <c r="Y401" i="7"/>
  <c r="E401" i="7"/>
  <c r="Y523" i="7"/>
  <c r="E523" i="7"/>
  <c r="Y594" i="7"/>
  <c r="E594" i="7"/>
  <c r="Y356" i="7"/>
  <c r="E356" i="7"/>
  <c r="Y203" i="7"/>
  <c r="E203" i="7"/>
  <c r="Y152" i="7"/>
  <c r="E152" i="7"/>
  <c r="Y121" i="7"/>
  <c r="E121" i="7"/>
  <c r="Y595" i="7"/>
  <c r="E595" i="7"/>
  <c r="Y534" i="7"/>
  <c r="E534" i="7"/>
  <c r="Y321" i="7"/>
  <c r="E321" i="7"/>
  <c r="Y221" i="7"/>
  <c r="E221" i="7"/>
  <c r="Y640" i="7"/>
  <c r="E640" i="7"/>
  <c r="Y443" i="7"/>
  <c r="E443" i="7"/>
  <c r="Y90" i="7"/>
  <c r="E90" i="7"/>
  <c r="Y60" i="7"/>
  <c r="E60" i="7"/>
  <c r="Y468" i="7"/>
  <c r="E468" i="7"/>
  <c r="Y500" i="7"/>
  <c r="E500" i="7"/>
  <c r="Y366" i="7"/>
  <c r="E366" i="7"/>
  <c r="Y317" i="7"/>
  <c r="E317" i="7"/>
  <c r="Y578" i="7"/>
  <c r="E578" i="7"/>
  <c r="Y258" i="7"/>
  <c r="E258" i="7"/>
  <c r="Y350" i="7"/>
  <c r="E350" i="7"/>
  <c r="Y194" i="7"/>
  <c r="E194" i="7"/>
  <c r="Y327" i="7"/>
  <c r="E327" i="7"/>
  <c r="Y455" i="7"/>
  <c r="E455" i="7"/>
  <c r="Y298" i="7"/>
  <c r="E298" i="7"/>
  <c r="Y490" i="7"/>
  <c r="E490" i="7"/>
  <c r="Y482" i="7"/>
  <c r="E482" i="7"/>
  <c r="Y296" i="7"/>
  <c r="E296" i="7"/>
  <c r="Y284" i="7"/>
  <c r="E284" i="7"/>
  <c r="Y360" i="7"/>
  <c r="E360" i="7"/>
  <c r="Y358" i="7"/>
  <c r="E358" i="7"/>
  <c r="Y127" i="7"/>
  <c r="E127" i="7"/>
  <c r="Y158" i="7"/>
  <c r="E158" i="7"/>
  <c r="Y140" i="7"/>
  <c r="E140" i="7"/>
  <c r="Y601" i="7"/>
  <c r="E601" i="7"/>
  <c r="Y166" i="7"/>
  <c r="E166" i="7"/>
  <c r="Y518" i="7"/>
  <c r="E518" i="7"/>
  <c r="Y162" i="7"/>
  <c r="E162" i="7"/>
  <c r="Y626" i="7"/>
  <c r="E626" i="7"/>
  <c r="Y676" i="7"/>
  <c r="E676" i="7"/>
  <c r="Y328" i="7"/>
  <c r="E328" i="7"/>
  <c r="Y219" i="7"/>
  <c r="E219" i="7"/>
  <c r="Y45" i="7"/>
  <c r="E45" i="7"/>
  <c r="Y110" i="7"/>
  <c r="E110" i="7"/>
  <c r="Y294" i="7"/>
  <c r="E294" i="7"/>
  <c r="Y515" i="7"/>
  <c r="E515" i="7"/>
  <c r="Y636" i="7"/>
  <c r="E636" i="7"/>
  <c r="Y239" i="7"/>
  <c r="E239" i="7"/>
  <c r="Y209" i="7"/>
  <c r="E209" i="7"/>
  <c r="Y98" i="7"/>
  <c r="E98" i="7"/>
  <c r="Y373" i="7"/>
  <c r="E373" i="7"/>
  <c r="Y439" i="7"/>
  <c r="E439" i="7"/>
  <c r="Y348" i="7"/>
  <c r="E348" i="7"/>
  <c r="Y463" i="7"/>
  <c r="E463" i="7"/>
  <c r="Y667" i="7"/>
  <c r="E667" i="7"/>
  <c r="Y654" i="7"/>
  <c r="E654" i="7"/>
  <c r="Y289" i="7"/>
  <c r="E289" i="7"/>
  <c r="Y338" i="7"/>
  <c r="E338" i="7"/>
  <c r="Y206" i="7"/>
  <c r="E206" i="7"/>
  <c r="Y497" i="7"/>
  <c r="E497" i="7"/>
  <c r="Y574" i="7"/>
  <c r="E574" i="7"/>
  <c r="Y263" i="7"/>
  <c r="E263" i="7"/>
  <c r="Y28" i="7"/>
  <c r="E28" i="7"/>
  <c r="Y546" i="7"/>
  <c r="E546" i="7"/>
  <c r="Y36" i="7"/>
  <c r="E36" i="7"/>
  <c r="Y673" i="7"/>
  <c r="E673" i="7"/>
  <c r="Y117" i="7"/>
  <c r="E117" i="7"/>
  <c r="Y621" i="7"/>
  <c r="E621" i="7"/>
  <c r="Y566" i="7"/>
  <c r="E566" i="7"/>
  <c r="Y103" i="7"/>
  <c r="E103" i="7"/>
  <c r="Y95" i="7"/>
  <c r="E95" i="7"/>
  <c r="P39" i="14"/>
  <c r="N30" i="14"/>
  <c r="N36" i="14"/>
  <c r="N4" i="14"/>
  <c r="N15" i="14"/>
  <c r="N40" i="14"/>
  <c r="N24" i="14"/>
  <c r="H6" i="9"/>
  <c r="I6" i="9" s="1"/>
  <c r="P23" i="14"/>
  <c r="H4" i="5"/>
  <c r="H5" i="5"/>
  <c r="H6" i="5"/>
  <c r="H3" i="5"/>
  <c r="C24" i="16"/>
  <c r="M6" i="14"/>
  <c r="N37" i="14"/>
  <c r="N6" i="14"/>
  <c r="P20" i="14"/>
  <c r="N29" i="14"/>
  <c r="M33" i="14"/>
  <c r="P19" i="14"/>
  <c r="N21" i="14"/>
  <c r="P15" i="14"/>
  <c r="N23" i="14"/>
  <c r="M35" i="14"/>
  <c r="P6" i="14"/>
  <c r="P17" i="14"/>
  <c r="N18" i="14"/>
  <c r="M39" i="14"/>
  <c r="N31" i="14"/>
  <c r="N25" i="14"/>
  <c r="M10" i="14"/>
  <c r="N10" i="14"/>
  <c r="N14" i="14"/>
  <c r="P27" i="14"/>
  <c r="N11" i="14"/>
  <c r="N39" i="14"/>
  <c r="P7" i="14"/>
  <c r="N3" i="14"/>
  <c r="N8" i="14"/>
  <c r="N13" i="14"/>
  <c r="N19" i="14"/>
  <c r="P31" i="14"/>
  <c r="N22" i="14"/>
  <c r="N35" i="14"/>
  <c r="N17" i="14"/>
  <c r="N9" i="14"/>
  <c r="N16" i="14"/>
  <c r="L5" i="14"/>
  <c r="N34" i="14"/>
  <c r="P9" i="14"/>
  <c r="P4" i="14"/>
  <c r="H3" i="15"/>
  <c r="O17" i="14"/>
  <c r="N33" i="14"/>
  <c r="M36" i="14"/>
  <c r="P3" i="14"/>
  <c r="N7" i="14"/>
  <c r="N5" i="14"/>
  <c r="N26" i="14"/>
  <c r="N32" i="14"/>
  <c r="P36" i="14"/>
  <c r="N20" i="14"/>
  <c r="P30" i="14"/>
  <c r="P11" i="14"/>
  <c r="H15" i="15"/>
  <c r="H15" i="14"/>
  <c r="H19" i="15"/>
  <c r="H19" i="14"/>
  <c r="H28" i="14"/>
  <c r="Q28" i="14" s="1"/>
  <c r="H28" i="15"/>
  <c r="H17" i="14"/>
  <c r="H10" i="15"/>
  <c r="H37" i="15"/>
  <c r="H14" i="15"/>
  <c r="H14" i="14"/>
  <c r="H26" i="15"/>
  <c r="H26" i="14"/>
  <c r="H27" i="15"/>
  <c r="H27" i="14"/>
  <c r="H29" i="15"/>
  <c r="H29" i="14"/>
  <c r="H10" i="14"/>
  <c r="H23" i="15"/>
  <c r="H23" i="14"/>
  <c r="H21" i="15"/>
  <c r="H21" i="14"/>
  <c r="H13" i="15"/>
  <c r="H13" i="14"/>
  <c r="H8" i="15"/>
  <c r="H8" i="14"/>
  <c r="H31" i="15"/>
  <c r="H31" i="14"/>
  <c r="H4" i="15"/>
  <c r="H4" i="14"/>
  <c r="H40" i="15"/>
  <c r="H40" i="14"/>
  <c r="H24" i="15"/>
  <c r="H24" i="14"/>
  <c r="H32" i="14"/>
  <c r="H32" i="15"/>
  <c r="H11" i="15"/>
  <c r="H11" i="14"/>
  <c r="H39" i="15"/>
  <c r="H39" i="14"/>
  <c r="H12" i="15"/>
  <c r="H12" i="14"/>
  <c r="Q12" i="14" s="1"/>
  <c r="H22" i="14"/>
  <c r="H22" i="15"/>
  <c r="H38" i="15"/>
  <c r="H38" i="14"/>
  <c r="Q38" i="14" s="1"/>
  <c r="H20" i="14"/>
  <c r="H20" i="15"/>
  <c r="H34" i="14"/>
  <c r="H34" i="15"/>
  <c r="H5" i="14"/>
  <c r="H5" i="15"/>
  <c r="H3" i="14"/>
  <c r="H35" i="14"/>
  <c r="Q21" i="14" s="1"/>
  <c r="H35" i="15"/>
  <c r="H7" i="14"/>
  <c r="H7" i="15"/>
  <c r="H18" i="15"/>
  <c r="H18" i="14"/>
  <c r="H17" i="15"/>
  <c r="H30" i="15"/>
  <c r="H30" i="14"/>
  <c r="H9" i="15"/>
  <c r="H9" i="14"/>
  <c r="H16" i="14"/>
  <c r="H16" i="15"/>
  <c r="H36" i="15"/>
  <c r="H36" i="14"/>
  <c r="H33" i="14"/>
  <c r="H33" i="15"/>
  <c r="H6" i="14"/>
  <c r="H6" i="15"/>
  <c r="H37" i="14"/>
  <c r="O39" i="14"/>
  <c r="O5" i="14"/>
  <c r="M5" i="14"/>
  <c r="M34" i="14"/>
  <c r="M40" i="14"/>
  <c r="M4" i="14"/>
  <c r="M7" i="14"/>
  <c r="M37" i="14"/>
  <c r="M3" i="14"/>
  <c r="L39" i="14"/>
  <c r="L4" i="14"/>
  <c r="N14" i="47" l="1"/>
  <c r="N26" i="47"/>
  <c r="N20" i="47"/>
  <c r="N24" i="47"/>
  <c r="N7" i="47"/>
  <c r="N23" i="47"/>
  <c r="J23" i="44"/>
  <c r="S23" i="44" s="1"/>
  <c r="J26" i="44"/>
  <c r="S26" i="44" s="1"/>
  <c r="N11" i="47"/>
  <c r="N21" i="47"/>
  <c r="N8" i="47"/>
  <c r="N3" i="47"/>
  <c r="H4" i="47"/>
  <c r="Q4" i="47" s="1"/>
  <c r="N13" i="47"/>
  <c r="N5" i="47"/>
  <c r="N15" i="47"/>
  <c r="G17" i="47"/>
  <c r="P17" i="47" s="1"/>
  <c r="G13" i="47"/>
  <c r="P13" i="47" s="1"/>
  <c r="G9" i="47"/>
  <c r="P9" i="47" s="1"/>
  <c r="G7" i="47"/>
  <c r="P7" i="47" s="1"/>
  <c r="G25" i="47"/>
  <c r="P25" i="47" s="1"/>
  <c r="G14" i="47"/>
  <c r="P14" i="47" s="1"/>
  <c r="G30" i="47"/>
  <c r="P30" i="47" s="1"/>
  <c r="G12" i="47"/>
  <c r="P12" i="47" s="1"/>
  <c r="G20" i="47"/>
  <c r="P20" i="47" s="1"/>
  <c r="G28" i="47"/>
  <c r="P28" i="47" s="1"/>
  <c r="G23" i="47"/>
  <c r="P23" i="47" s="1"/>
  <c r="G18" i="47"/>
  <c r="P18" i="47" s="1"/>
  <c r="G4" i="47"/>
  <c r="P4" i="47" s="1"/>
  <c r="G22" i="47"/>
  <c r="P22" i="47" s="1"/>
  <c r="G5" i="47"/>
  <c r="P5" i="47" s="1"/>
  <c r="G24" i="47"/>
  <c r="P24" i="47" s="1"/>
  <c r="G10" i="47"/>
  <c r="P10" i="47" s="1"/>
  <c r="G27" i="47"/>
  <c r="P27" i="47" s="1"/>
  <c r="G16" i="47"/>
  <c r="P16" i="47" s="1"/>
  <c r="G3" i="47"/>
  <c r="P3" i="47" s="1"/>
  <c r="G29" i="47"/>
  <c r="P29" i="47" s="1"/>
  <c r="G11" i="47"/>
  <c r="P11" i="47" s="1"/>
  <c r="G19" i="47"/>
  <c r="P19" i="47" s="1"/>
  <c r="G21" i="47"/>
  <c r="P21" i="47" s="1"/>
  <c r="G15" i="47"/>
  <c r="P15" i="47" s="1"/>
  <c r="G6" i="47"/>
  <c r="P6" i="47" s="1"/>
  <c r="G26" i="47"/>
  <c r="P26" i="47" s="1"/>
  <c r="J30" i="47"/>
  <c r="S30" i="47" s="1"/>
  <c r="J24" i="47"/>
  <c r="S24" i="47" s="1"/>
  <c r="J12" i="47"/>
  <c r="S12" i="47" s="1"/>
  <c r="J9" i="47"/>
  <c r="S9" i="47" s="1"/>
  <c r="J20" i="47"/>
  <c r="S20" i="47" s="1"/>
  <c r="J28" i="47"/>
  <c r="S28" i="47" s="1"/>
  <c r="J4" i="47"/>
  <c r="S4" i="47" s="1"/>
  <c r="J19" i="47"/>
  <c r="S19" i="47" s="1"/>
  <c r="J17" i="47"/>
  <c r="S17" i="47" s="1"/>
  <c r="J29" i="47"/>
  <c r="S29" i="47" s="1"/>
  <c r="J25" i="47"/>
  <c r="S25" i="47" s="1"/>
  <c r="J14" i="47"/>
  <c r="S14" i="47" s="1"/>
  <c r="J13" i="47"/>
  <c r="S13" i="47" s="1"/>
  <c r="J8" i="47"/>
  <c r="S8" i="47" s="1"/>
  <c r="J3" i="47"/>
  <c r="S3" i="47" s="1"/>
  <c r="J5" i="47"/>
  <c r="S5" i="47" s="1"/>
  <c r="J23" i="47"/>
  <c r="S23" i="47" s="1"/>
  <c r="J7" i="47"/>
  <c r="S7" i="47" s="1"/>
  <c r="T7" i="47" s="1"/>
  <c r="J26" i="47"/>
  <c r="S26" i="47" s="1"/>
  <c r="J15" i="47"/>
  <c r="S15" i="47" s="1"/>
  <c r="J6" i="47"/>
  <c r="S6" i="47" s="1"/>
  <c r="J16" i="47"/>
  <c r="S16" i="47" s="1"/>
  <c r="J18" i="47"/>
  <c r="S18" i="47" s="1"/>
  <c r="J10" i="47"/>
  <c r="S10" i="47" s="1"/>
  <c r="J27" i="47"/>
  <c r="S27" i="47" s="1"/>
  <c r="J11" i="47"/>
  <c r="S11" i="47" s="1"/>
  <c r="J21" i="47"/>
  <c r="S21" i="47" s="1"/>
  <c r="J22" i="47"/>
  <c r="S22" i="47" s="1"/>
  <c r="N18" i="47"/>
  <c r="N4" i="47"/>
  <c r="N19" i="47"/>
  <c r="T19" i="47" s="1"/>
  <c r="K19" i="47"/>
  <c r="I19" i="37"/>
  <c r="R19" i="37" s="1"/>
  <c r="N17" i="47"/>
  <c r="T17" i="47" s="1"/>
  <c r="K17" i="47"/>
  <c r="N29" i="47"/>
  <c r="N30" i="47"/>
  <c r="T30" i="47" s="1"/>
  <c r="K30" i="47"/>
  <c r="H8" i="47"/>
  <c r="Q8" i="47" s="1"/>
  <c r="K12" i="47"/>
  <c r="N12" i="47"/>
  <c r="T12" i="47" s="1"/>
  <c r="N16" i="47"/>
  <c r="N6" i="47"/>
  <c r="F22" i="43"/>
  <c r="O22" i="43" s="1"/>
  <c r="L340" i="7"/>
  <c r="G27" i="44" s="1"/>
  <c r="P27" i="44" s="1"/>
  <c r="G27" i="37"/>
  <c r="P27" i="37" s="1"/>
  <c r="L490" i="7"/>
  <c r="G14" i="37"/>
  <c r="P14" i="37" s="1"/>
  <c r="L387" i="7"/>
  <c r="G23" i="37"/>
  <c r="P23" i="37" s="1"/>
  <c r="L382" i="7"/>
  <c r="G26" i="37"/>
  <c r="P26" i="37" s="1"/>
  <c r="L119" i="7"/>
  <c r="G25" i="37"/>
  <c r="P25" i="37" s="1"/>
  <c r="G30" i="37"/>
  <c r="P30" i="37" s="1"/>
  <c r="L654" i="7"/>
  <c r="G8" i="47" s="1"/>
  <c r="G8" i="37"/>
  <c r="P8" i="37" s="1"/>
  <c r="G30" i="44"/>
  <c r="P30" i="44" s="1"/>
  <c r="G14" i="44"/>
  <c r="P14" i="44" s="1"/>
  <c r="G24" i="37"/>
  <c r="P24" i="37" s="1"/>
  <c r="G6" i="44"/>
  <c r="P6" i="44" s="1"/>
  <c r="G29" i="37"/>
  <c r="P29" i="37" s="1"/>
  <c r="G13" i="37"/>
  <c r="P13" i="37" s="1"/>
  <c r="G8" i="44"/>
  <c r="P8" i="44" s="1"/>
  <c r="G23" i="44"/>
  <c r="P23" i="44" s="1"/>
  <c r="E3" i="7"/>
  <c r="G22" i="44"/>
  <c r="P22" i="44" s="1"/>
  <c r="E4" i="7"/>
  <c r="E23" i="36"/>
  <c r="F23" i="36" s="1"/>
  <c r="E6" i="7"/>
  <c r="G11" i="44"/>
  <c r="P11" i="44" s="1"/>
  <c r="E5" i="7"/>
  <c r="G28" i="37"/>
  <c r="P28" i="37" s="1"/>
  <c r="G11" i="37"/>
  <c r="P11" i="37" s="1"/>
  <c r="F13" i="43"/>
  <c r="O13" i="43" s="1"/>
  <c r="G26" i="44"/>
  <c r="P26" i="44" s="1"/>
  <c r="J7" i="44"/>
  <c r="S7" i="44" s="1"/>
  <c r="J30" i="44"/>
  <c r="S30" i="44" s="1"/>
  <c r="J25" i="44"/>
  <c r="S25" i="44" s="1"/>
  <c r="F23" i="44"/>
  <c r="O23" i="44" s="1"/>
  <c r="R20" i="44"/>
  <c r="T20" i="44" s="1"/>
  <c r="K20" i="44"/>
  <c r="L291" i="2"/>
  <c r="F9" i="14"/>
  <c r="O9" i="14" s="1"/>
  <c r="F9" i="15"/>
  <c r="F26" i="43"/>
  <c r="O26" i="43" s="1"/>
  <c r="F23" i="37"/>
  <c r="O23" i="37" s="1"/>
  <c r="J4" i="44"/>
  <c r="S4" i="44" s="1"/>
  <c r="G4" i="37"/>
  <c r="P4" i="37" s="1"/>
  <c r="G25" i="44"/>
  <c r="P25" i="44" s="1"/>
  <c r="G4" i="44"/>
  <c r="J22" i="44"/>
  <c r="S22" i="44" s="1"/>
  <c r="L53" i="2"/>
  <c r="F6" i="15"/>
  <c r="F6" i="14"/>
  <c r="O6" i="14" s="1"/>
  <c r="F22" i="37"/>
  <c r="O22" i="37" s="1"/>
  <c r="I21" i="44"/>
  <c r="R21" i="44" s="1"/>
  <c r="I9" i="44"/>
  <c r="R9" i="44" s="1"/>
  <c r="G22" i="37"/>
  <c r="P22" i="37" s="1"/>
  <c r="L39" i="2"/>
  <c r="F28" i="15"/>
  <c r="F28" i="14"/>
  <c r="O28" i="14" s="1"/>
  <c r="F25" i="43"/>
  <c r="O25" i="43" s="1"/>
  <c r="F22" i="44"/>
  <c r="O22" i="44" s="1"/>
  <c r="J21" i="44"/>
  <c r="S21" i="44" s="1"/>
  <c r="G5" i="37"/>
  <c r="P5" i="37" s="1"/>
  <c r="G3" i="37"/>
  <c r="P3" i="37" s="1"/>
  <c r="G5" i="34"/>
  <c r="H5" i="34" s="1"/>
  <c r="G13" i="44"/>
  <c r="P13" i="44" s="1"/>
  <c r="G7" i="37"/>
  <c r="P7" i="37" s="1"/>
  <c r="G7" i="44"/>
  <c r="P7" i="44" s="1"/>
  <c r="G9" i="37"/>
  <c r="P9" i="37" s="1"/>
  <c r="G16" i="44"/>
  <c r="P16" i="44" s="1"/>
  <c r="F14" i="43"/>
  <c r="O14" i="43" s="1"/>
  <c r="H19" i="44"/>
  <c r="Q19" i="44" s="1"/>
  <c r="I19" i="44"/>
  <c r="R19" i="44" s="1"/>
  <c r="G10" i="44"/>
  <c r="P10" i="44" s="1"/>
  <c r="G9" i="44"/>
  <c r="P9" i="44" s="1"/>
  <c r="G5" i="44"/>
  <c r="P5" i="44" s="1"/>
  <c r="G28" i="44"/>
  <c r="P28" i="44" s="1"/>
  <c r="F3" i="19"/>
  <c r="I25" i="44"/>
  <c r="R25" i="44" s="1"/>
  <c r="J9" i="44"/>
  <c r="S9" i="44" s="1"/>
  <c r="K15" i="8"/>
  <c r="H25" i="14"/>
  <c r="J19" i="37"/>
  <c r="S19" i="37" s="1"/>
  <c r="K3" i="8"/>
  <c r="K4" i="8"/>
  <c r="I24" i="37"/>
  <c r="R24" i="37" s="1"/>
  <c r="G3" i="44"/>
  <c r="P3" i="44" s="1"/>
  <c r="G29" i="44"/>
  <c r="P29" i="44" s="1"/>
  <c r="G10" i="37"/>
  <c r="P10" i="37" s="1"/>
  <c r="G21" i="44"/>
  <c r="P21" i="44" s="1"/>
  <c r="G6" i="37"/>
  <c r="P6" i="37" s="1"/>
  <c r="G24" i="44"/>
  <c r="P24" i="44" s="1"/>
  <c r="F30" i="43"/>
  <c r="O30" i="43" s="1"/>
  <c r="F29" i="43"/>
  <c r="O29" i="43" s="1"/>
  <c r="F14" i="44"/>
  <c r="O14" i="44" s="1"/>
  <c r="F27" i="43"/>
  <c r="O27" i="43" s="1"/>
  <c r="F9" i="44"/>
  <c r="O9" i="44" s="1"/>
  <c r="F16" i="43"/>
  <c r="O16" i="43" s="1"/>
  <c r="J507" i="12"/>
  <c r="M507" i="12" s="1"/>
  <c r="J360" i="12"/>
  <c r="M360" i="12" s="1"/>
  <c r="H27" i="47" s="1"/>
  <c r="Q27" i="47" s="1"/>
  <c r="J497" i="12"/>
  <c r="J487" i="12"/>
  <c r="M487" i="12" s="1"/>
  <c r="J569" i="12"/>
  <c r="M569" i="12" s="1"/>
  <c r="J312" i="12"/>
  <c r="M312" i="12" s="1"/>
  <c r="J578" i="12"/>
  <c r="M578" i="12" s="1"/>
  <c r="J321" i="12"/>
  <c r="M321" i="12" s="1"/>
  <c r="J587" i="12"/>
  <c r="M587" i="12" s="1"/>
  <c r="J341" i="12"/>
  <c r="M341" i="12" s="1"/>
  <c r="J244" i="12"/>
  <c r="M244" i="12" s="1"/>
  <c r="J416" i="12"/>
  <c r="M416" i="12" s="1"/>
  <c r="J38" i="12"/>
  <c r="M38" i="12" s="1"/>
  <c r="J198" i="12"/>
  <c r="M198" i="12" s="1"/>
  <c r="J681" i="12"/>
  <c r="M681" i="12" s="1"/>
  <c r="J642" i="12"/>
  <c r="M642" i="12" s="1"/>
  <c r="J149" i="12"/>
  <c r="M149" i="12" s="1"/>
  <c r="J574" i="12"/>
  <c r="J417" i="12"/>
  <c r="M417" i="12" s="1"/>
  <c r="J493" i="12"/>
  <c r="M493" i="12" s="1"/>
  <c r="J52" i="12"/>
  <c r="J628" i="12"/>
  <c r="M628" i="12" s="1"/>
  <c r="J505" i="12"/>
  <c r="M505" i="12" s="1"/>
  <c r="F17" i="43"/>
  <c r="O17" i="43" s="1"/>
  <c r="J421" i="12"/>
  <c r="M421" i="12" s="1"/>
  <c r="J637" i="12"/>
  <c r="M637" i="12" s="1"/>
  <c r="J500" i="12"/>
  <c r="M500" i="12" s="1"/>
  <c r="J255" i="12"/>
  <c r="M255" i="12" s="1"/>
  <c r="J498" i="12"/>
  <c r="M498" i="12" s="1"/>
  <c r="J356" i="12"/>
  <c r="M356" i="12" s="1"/>
  <c r="J299" i="12"/>
  <c r="M299" i="12" s="1"/>
  <c r="J536" i="12"/>
  <c r="M536" i="12" s="1"/>
  <c r="J326" i="12"/>
  <c r="M326" i="12" s="1"/>
  <c r="J62" i="12"/>
  <c r="M62" i="12" s="1"/>
  <c r="J337" i="12"/>
  <c r="M337" i="12" s="1"/>
  <c r="J559" i="12"/>
  <c r="M559" i="12" s="1"/>
  <c r="J322" i="12"/>
  <c r="M322" i="12" s="1"/>
  <c r="J644" i="12"/>
  <c r="M644" i="12" s="1"/>
  <c r="J549" i="12"/>
  <c r="M549" i="12" s="1"/>
  <c r="J241" i="12"/>
  <c r="M241" i="12" s="1"/>
  <c r="J518" i="12"/>
  <c r="M518" i="12" s="1"/>
  <c r="J450" i="12"/>
  <c r="J377" i="12"/>
  <c r="M377" i="12" s="1"/>
  <c r="J529" i="12"/>
  <c r="M529" i="12" s="1"/>
  <c r="J370" i="12"/>
  <c r="M370" i="12" s="1"/>
  <c r="J647" i="12"/>
  <c r="M647" i="12" s="1"/>
  <c r="J512" i="12"/>
  <c r="M512" i="12" s="1"/>
  <c r="J651" i="12"/>
  <c r="M651" i="12" s="1"/>
  <c r="J39" i="12"/>
  <c r="M39" i="12" s="1"/>
  <c r="J494" i="12"/>
  <c r="J357" i="12"/>
  <c r="M357" i="12" s="1"/>
  <c r="F19" i="44"/>
  <c r="O19" i="44" s="1"/>
  <c r="F7" i="44"/>
  <c r="O7" i="44" s="1"/>
  <c r="F24" i="43"/>
  <c r="O24" i="43" s="1"/>
  <c r="J47" i="12"/>
  <c r="M47" i="12" s="1"/>
  <c r="J250" i="12"/>
  <c r="M250" i="12" s="1"/>
  <c r="J51" i="12"/>
  <c r="M51" i="12" s="1"/>
  <c r="J486" i="12"/>
  <c r="J140" i="12"/>
  <c r="M140" i="12" s="1"/>
  <c r="J665" i="12"/>
  <c r="M665" i="12" s="1"/>
  <c r="J432" i="12"/>
  <c r="M432" i="12" s="1"/>
  <c r="J316" i="12"/>
  <c r="M316" i="12" s="1"/>
  <c r="J126" i="12"/>
  <c r="M126" i="12" s="1"/>
  <c r="J615" i="12"/>
  <c r="M615" i="12" s="1"/>
  <c r="J373" i="12"/>
  <c r="M373" i="12" s="1"/>
  <c r="J664" i="12"/>
  <c r="M664" i="12" s="1"/>
  <c r="J203" i="12"/>
  <c r="M203" i="12" s="1"/>
  <c r="J342" i="12"/>
  <c r="M342" i="12" s="1"/>
  <c r="J196" i="12"/>
  <c r="M196" i="12" s="1"/>
  <c r="J145" i="12"/>
  <c r="M145" i="12" s="1"/>
  <c r="J630" i="12"/>
  <c r="M630" i="12" s="1"/>
  <c r="J580" i="12"/>
  <c r="M580" i="12" s="1"/>
  <c r="J657" i="12"/>
  <c r="M657" i="12" s="1"/>
  <c r="J283" i="12"/>
  <c r="M283" i="12" s="1"/>
  <c r="J285" i="12"/>
  <c r="H7" i="19" s="1"/>
  <c r="Q7" i="19" s="1"/>
  <c r="J464" i="12"/>
  <c r="M464" i="12" s="1"/>
  <c r="F8" i="44"/>
  <c r="O8" i="44" s="1"/>
  <c r="F5" i="40"/>
  <c r="G6" i="40"/>
  <c r="G5" i="40"/>
  <c r="H5" i="40" s="1"/>
  <c r="F28" i="43"/>
  <c r="O28" i="43" s="1"/>
  <c r="J348" i="12"/>
  <c r="M348" i="12" s="1"/>
  <c r="J349" i="12"/>
  <c r="M349" i="12" s="1"/>
  <c r="J502" i="12"/>
  <c r="M502" i="12" s="1"/>
  <c r="J56" i="12"/>
  <c r="M56" i="12" s="1"/>
  <c r="J339" i="12"/>
  <c r="M339" i="12" s="1"/>
  <c r="J547" i="12"/>
  <c r="M547" i="12" s="1"/>
  <c r="J423" i="12"/>
  <c r="M423" i="12" s="1"/>
  <c r="J562" i="12"/>
  <c r="M562" i="12" s="1"/>
  <c r="J179" i="12"/>
  <c r="M179" i="12" s="1"/>
  <c r="J595" i="12"/>
  <c r="M595" i="12" s="1"/>
  <c r="J124" i="12"/>
  <c r="M124" i="12" s="1"/>
  <c r="J477" i="12"/>
  <c r="M477" i="12" s="1"/>
  <c r="J261" i="12"/>
  <c r="M261" i="12" s="1"/>
  <c r="J144" i="12"/>
  <c r="M144" i="12" s="1"/>
  <c r="J311" i="12"/>
  <c r="M311" i="12" s="1"/>
  <c r="J340" i="12"/>
  <c r="M340" i="12" s="1"/>
  <c r="J135" i="12"/>
  <c r="M135" i="12" s="1"/>
  <c r="J404" i="12"/>
  <c r="M404" i="12" s="1"/>
  <c r="J671" i="12"/>
  <c r="J263" i="12"/>
  <c r="J63" i="12"/>
  <c r="M63" i="12" s="1"/>
  <c r="J219" i="12"/>
  <c r="J107" i="12"/>
  <c r="J400" i="12"/>
  <c r="M400" i="12" s="1"/>
  <c r="I14" i="19"/>
  <c r="R14" i="19" s="1"/>
  <c r="J45" i="12"/>
  <c r="M45" i="12" s="1"/>
  <c r="J522" i="12"/>
  <c r="M522" i="12" s="1"/>
  <c r="J64" i="12"/>
  <c r="M64" i="12" s="1"/>
  <c r="H28" i="47" s="1"/>
  <c r="Q28" i="47" s="1"/>
  <c r="J344" i="12"/>
  <c r="M344" i="12" s="1"/>
  <c r="J109" i="12"/>
  <c r="M109" i="12" s="1"/>
  <c r="J544" i="12"/>
  <c r="M544" i="12" s="1"/>
  <c r="J576" i="12"/>
  <c r="M576" i="12" s="1"/>
  <c r="J519" i="12"/>
  <c r="M519" i="12" s="1"/>
  <c r="J385" i="12"/>
  <c r="M385" i="12" s="1"/>
  <c r="J82" i="12"/>
  <c r="M82" i="12" s="1"/>
  <c r="J81" i="12"/>
  <c r="M81" i="12" s="1"/>
  <c r="J401" i="12"/>
  <c r="M401" i="12" s="1"/>
  <c r="J457" i="12"/>
  <c r="M457" i="12" s="1"/>
  <c r="J174" i="12"/>
  <c r="M174" i="12" s="1"/>
  <c r="J42" i="12"/>
  <c r="M42" i="12" s="1"/>
  <c r="J435" i="12"/>
  <c r="M435" i="12" s="1"/>
  <c r="J419" i="12"/>
  <c r="M419" i="12" s="1"/>
  <c r="J368" i="12"/>
  <c r="M368" i="12" s="1"/>
  <c r="J584" i="12"/>
  <c r="M584" i="12" s="1"/>
  <c r="J441" i="12"/>
  <c r="M441" i="12" s="1"/>
  <c r="J434" i="12"/>
  <c r="M434" i="12" s="1"/>
  <c r="J291" i="12"/>
  <c r="M291" i="12" s="1"/>
  <c r="J279" i="12"/>
  <c r="M279" i="12" s="1"/>
  <c r="P473" i="33"/>
  <c r="I22" i="44" s="1"/>
  <c r="R22" i="44" s="1"/>
  <c r="I16" i="19"/>
  <c r="R16" i="19" s="1"/>
  <c r="I16" i="37"/>
  <c r="R16" i="37" s="1"/>
  <c r="I25" i="19"/>
  <c r="R25" i="19" s="1"/>
  <c r="C38" i="15"/>
  <c r="C38" i="14"/>
  <c r="L38" i="14" s="1"/>
  <c r="R38" i="14" s="1"/>
  <c r="G28" i="43"/>
  <c r="P28" i="43" s="1"/>
  <c r="G19" i="43"/>
  <c r="P19" i="43" s="1"/>
  <c r="G12" i="43"/>
  <c r="P12" i="43" s="1"/>
  <c r="G6" i="43"/>
  <c r="P6" i="43" s="1"/>
  <c r="G29" i="43"/>
  <c r="P29" i="43" s="1"/>
  <c r="G20" i="43"/>
  <c r="P20" i="43" s="1"/>
  <c r="G13" i="43"/>
  <c r="P13" i="43" s="1"/>
  <c r="G7" i="43"/>
  <c r="P7" i="43" s="1"/>
  <c r="G27" i="43"/>
  <c r="P27" i="43" s="1"/>
  <c r="G17" i="43"/>
  <c r="P17" i="43" s="1"/>
  <c r="G8" i="43"/>
  <c r="P8" i="43" s="1"/>
  <c r="G22" i="43"/>
  <c r="P22" i="43" s="1"/>
  <c r="G14" i="43"/>
  <c r="P14" i="43" s="1"/>
  <c r="G23" i="43"/>
  <c r="P23" i="43" s="1"/>
  <c r="G9" i="43"/>
  <c r="P9" i="43" s="1"/>
  <c r="G18" i="43"/>
  <c r="P18" i="43" s="1"/>
  <c r="G10" i="43"/>
  <c r="P10" i="43" s="1"/>
  <c r="G21" i="43"/>
  <c r="P21" i="43" s="1"/>
  <c r="G25" i="43"/>
  <c r="P25" i="43" s="1"/>
  <c r="G26" i="43"/>
  <c r="P26" i="43" s="1"/>
  <c r="G24" i="43"/>
  <c r="P24" i="43" s="1"/>
  <c r="G16" i="43"/>
  <c r="P16" i="43" s="1"/>
  <c r="G11" i="43"/>
  <c r="P11" i="43" s="1"/>
  <c r="G15" i="43"/>
  <c r="P15" i="43" s="1"/>
  <c r="G30" i="43"/>
  <c r="P30" i="43" s="1"/>
  <c r="G3" i="43"/>
  <c r="P3" i="43" s="1"/>
  <c r="G4" i="43"/>
  <c r="P4" i="43" s="1"/>
  <c r="G5" i="43"/>
  <c r="P5" i="43" s="1"/>
  <c r="L34" i="2"/>
  <c r="F38" i="14"/>
  <c r="O38" i="14" s="1"/>
  <c r="F38" i="15"/>
  <c r="F29" i="44"/>
  <c r="O29" i="44" s="1"/>
  <c r="J353" i="12"/>
  <c r="M353" i="12" s="1"/>
  <c r="J329" i="12"/>
  <c r="M329" i="12" s="1"/>
  <c r="J622" i="12"/>
  <c r="M622" i="12" s="1"/>
  <c r="J592" i="12"/>
  <c r="M592" i="12" s="1"/>
  <c r="J61" i="12"/>
  <c r="M61" i="12" s="1"/>
  <c r="J458" i="12"/>
  <c r="M458" i="12" s="1"/>
  <c r="J532" i="12"/>
  <c r="M532" i="12" s="1"/>
  <c r="J386" i="12"/>
  <c r="M386" i="12" s="1"/>
  <c r="J431" i="12"/>
  <c r="M431" i="12" s="1"/>
  <c r="J558" i="12"/>
  <c r="M558" i="12" s="1"/>
  <c r="J460" i="12"/>
  <c r="J610" i="12"/>
  <c r="M610" i="12" s="1"/>
  <c r="J412" i="12"/>
  <c r="M412" i="12" s="1"/>
  <c r="J43" i="12"/>
  <c r="M43" i="12" s="1"/>
  <c r="J119" i="12"/>
  <c r="M119" i="12" s="1"/>
  <c r="J194" i="12"/>
  <c r="M194" i="12" s="1"/>
  <c r="J130" i="12"/>
  <c r="H30" i="19" s="1"/>
  <c r="Q30" i="19" s="1"/>
  <c r="J199" i="12"/>
  <c r="J55" i="12"/>
  <c r="M55" i="12" s="1"/>
  <c r="J60" i="12"/>
  <c r="M60" i="12" s="1"/>
  <c r="J437" i="12"/>
  <c r="M437" i="12" s="1"/>
  <c r="J478" i="12"/>
  <c r="M478" i="12" s="1"/>
  <c r="J166" i="12"/>
  <c r="M166" i="12" s="1"/>
  <c r="J128" i="12"/>
  <c r="M128" i="12" s="1"/>
  <c r="J19" i="44"/>
  <c r="S19" i="44" s="1"/>
  <c r="J597" i="12"/>
  <c r="M597" i="12" s="1"/>
  <c r="J163" i="12"/>
  <c r="M163" i="12" s="1"/>
  <c r="J270" i="12"/>
  <c r="M270" i="12" s="1"/>
  <c r="J327" i="12"/>
  <c r="M327" i="12" s="1"/>
  <c r="J133" i="12"/>
  <c r="M133" i="12" s="1"/>
  <c r="J44" i="12"/>
  <c r="M44" i="12" s="1"/>
  <c r="J381" i="12"/>
  <c r="M381" i="12" s="1"/>
  <c r="J269" i="12"/>
  <c r="H24" i="19" s="1"/>
  <c r="Q24" i="19" s="1"/>
  <c r="J409" i="12"/>
  <c r="M409" i="12" s="1"/>
  <c r="J286" i="12"/>
  <c r="M286" i="12" s="1"/>
  <c r="J488" i="12"/>
  <c r="M488" i="12" s="1"/>
  <c r="J485" i="12"/>
  <c r="M485" i="12" s="1"/>
  <c r="J105" i="12"/>
  <c r="M105" i="12" s="1"/>
  <c r="J405" i="12"/>
  <c r="M405" i="12" s="1"/>
  <c r="J53" i="12"/>
  <c r="M53" i="12" s="1"/>
  <c r="J154" i="12"/>
  <c r="M154" i="12" s="1"/>
  <c r="J302" i="12"/>
  <c r="M302" i="12" s="1"/>
  <c r="J169" i="12"/>
  <c r="M169" i="12" s="1"/>
  <c r="J582" i="12"/>
  <c r="M582" i="12" s="1"/>
  <c r="J623" i="12"/>
  <c r="M623" i="12" s="1"/>
  <c r="J156" i="12"/>
  <c r="M156" i="12" s="1"/>
  <c r="J560" i="12"/>
  <c r="M560" i="12" s="1"/>
  <c r="J467" i="12"/>
  <c r="M467" i="12" s="1"/>
  <c r="I6" i="37"/>
  <c r="R6" i="37" s="1"/>
  <c r="I14" i="44"/>
  <c r="R14" i="44" s="1"/>
  <c r="I8" i="44"/>
  <c r="R8" i="44" s="1"/>
  <c r="L47" i="2"/>
  <c r="F3" i="15"/>
  <c r="F3" i="14"/>
  <c r="O3" i="14" s="1"/>
  <c r="J27" i="19"/>
  <c r="S27" i="19" s="1"/>
  <c r="J29" i="43"/>
  <c r="S29" i="43" s="1"/>
  <c r="J22" i="43"/>
  <c r="S22" i="43" s="1"/>
  <c r="J10" i="43"/>
  <c r="S10" i="43" s="1"/>
  <c r="J7" i="43"/>
  <c r="S7" i="43" s="1"/>
  <c r="J30" i="43"/>
  <c r="S30" i="43" s="1"/>
  <c r="J23" i="43"/>
  <c r="S23" i="43" s="1"/>
  <c r="J11" i="43"/>
  <c r="S11" i="43" s="1"/>
  <c r="J8" i="43"/>
  <c r="S8" i="43" s="1"/>
  <c r="J24" i="43"/>
  <c r="S24" i="43" s="1"/>
  <c r="J18" i="43"/>
  <c r="S18" i="43" s="1"/>
  <c r="J12" i="43"/>
  <c r="S12" i="43" s="1"/>
  <c r="J3" i="43"/>
  <c r="S3" i="43" s="1"/>
  <c r="J26" i="43"/>
  <c r="S26" i="43" s="1"/>
  <c r="J15" i="43"/>
  <c r="S15" i="43" s="1"/>
  <c r="J14" i="43"/>
  <c r="S14" i="43" s="1"/>
  <c r="J27" i="43"/>
  <c r="S27" i="43" s="1"/>
  <c r="J4" i="43"/>
  <c r="S4" i="43" s="1"/>
  <c r="J20" i="43"/>
  <c r="S20" i="43" s="1"/>
  <c r="J19" i="43"/>
  <c r="S19" i="43" s="1"/>
  <c r="J17" i="43"/>
  <c r="S17" i="43" s="1"/>
  <c r="J28" i="43"/>
  <c r="S28" i="43" s="1"/>
  <c r="J9" i="43"/>
  <c r="S9" i="43" s="1"/>
  <c r="J21" i="43"/>
  <c r="S21" i="43" s="1"/>
  <c r="J5" i="43"/>
  <c r="S5" i="43" s="1"/>
  <c r="J6" i="43"/>
  <c r="S6" i="43" s="1"/>
  <c r="J25" i="43"/>
  <c r="S25" i="43" s="1"/>
  <c r="J16" i="43"/>
  <c r="S16" i="43" s="1"/>
  <c r="J13" i="43"/>
  <c r="S13" i="43" s="1"/>
  <c r="J384" i="12"/>
  <c r="M384" i="12" s="1"/>
  <c r="J583" i="12"/>
  <c r="M583" i="12" s="1"/>
  <c r="J150" i="12"/>
  <c r="M150" i="12" s="1"/>
  <c r="J298" i="12"/>
  <c r="M298" i="12" s="1"/>
  <c r="J132" i="12"/>
  <c r="M132" i="12" s="1"/>
  <c r="J271" i="12"/>
  <c r="M271" i="12" s="1"/>
  <c r="J168" i="12"/>
  <c r="M168" i="12" s="1"/>
  <c r="J525" i="12"/>
  <c r="M525" i="12" s="1"/>
  <c r="H9" i="47" s="1"/>
  <c r="Q9" i="47" s="1"/>
  <c r="J72" i="12"/>
  <c r="J393" i="12"/>
  <c r="M393" i="12" s="1"/>
  <c r="H23" i="44" s="1"/>
  <c r="J429" i="12"/>
  <c r="M429" i="12" s="1"/>
  <c r="J41" i="12"/>
  <c r="M41" i="12" s="1"/>
  <c r="J608" i="12"/>
  <c r="M608" i="12" s="1"/>
  <c r="J155" i="12"/>
  <c r="M155" i="12" s="1"/>
  <c r="J427" i="12"/>
  <c r="M427" i="12" s="1"/>
  <c r="J670" i="12"/>
  <c r="M670" i="12" s="1"/>
  <c r="J616" i="12"/>
  <c r="M616" i="12" s="1"/>
  <c r="J533" i="12"/>
  <c r="M533" i="12" s="1"/>
  <c r="J161" i="12"/>
  <c r="M161" i="12" s="1"/>
  <c r="J90" i="12"/>
  <c r="M90" i="12" s="1"/>
  <c r="J618" i="12"/>
  <c r="M618" i="12" s="1"/>
  <c r="J629" i="12"/>
  <c r="M629" i="12" s="1"/>
  <c r="J111" i="12"/>
  <c r="M111" i="12" s="1"/>
  <c r="J49" i="12"/>
  <c r="M49" i="12" s="1"/>
  <c r="F7" i="43"/>
  <c r="O7" i="43" s="1"/>
  <c r="F28" i="44"/>
  <c r="O28" i="44" s="1"/>
  <c r="F16" i="44"/>
  <c r="O16" i="44" s="1"/>
  <c r="F6" i="44"/>
  <c r="O6" i="44" s="1"/>
  <c r="F21" i="44"/>
  <c r="O21" i="44" s="1"/>
  <c r="F5" i="44"/>
  <c r="O5" i="44" s="1"/>
  <c r="F24" i="44"/>
  <c r="O24" i="44" s="1"/>
  <c r="F27" i="44"/>
  <c r="O27" i="44" s="1"/>
  <c r="F3" i="44"/>
  <c r="O3" i="44" s="1"/>
  <c r="F17" i="44"/>
  <c r="O17" i="44" s="1"/>
  <c r="F11" i="44"/>
  <c r="O11" i="44" s="1"/>
  <c r="F30" i="44"/>
  <c r="O30" i="44" s="1"/>
  <c r="F10" i="44"/>
  <c r="O10" i="44" s="1"/>
  <c r="F15" i="44"/>
  <c r="O15" i="44" s="1"/>
  <c r="F13" i="44"/>
  <c r="O13" i="44" s="1"/>
  <c r="F26" i="44"/>
  <c r="O26" i="44" s="1"/>
  <c r="F25" i="44"/>
  <c r="O25" i="44" s="1"/>
  <c r="H23" i="37"/>
  <c r="Q23" i="37" s="1"/>
  <c r="H27" i="19"/>
  <c r="Q27" i="19" s="1"/>
  <c r="H23" i="43"/>
  <c r="Q23" i="43" s="1"/>
  <c r="Q4" i="43"/>
  <c r="Q13" i="43"/>
  <c r="Q11" i="43"/>
  <c r="Q15" i="43"/>
  <c r="Q19" i="43"/>
  <c r="Q6" i="43"/>
  <c r="M307" i="12"/>
  <c r="Q8" i="43"/>
  <c r="M333" i="12"/>
  <c r="Q5" i="43"/>
  <c r="Q12" i="43"/>
  <c r="Q18" i="43"/>
  <c r="H15" i="37"/>
  <c r="Q15" i="37" s="1"/>
  <c r="Q20" i="43"/>
  <c r="M440" i="12"/>
  <c r="I29" i="37"/>
  <c r="R29" i="37" s="1"/>
  <c r="R4" i="33"/>
  <c r="R3" i="33"/>
  <c r="S3" i="33" s="1"/>
  <c r="F17" i="37"/>
  <c r="O17" i="37" s="1"/>
  <c r="E11" i="39"/>
  <c r="F11" i="39" s="1"/>
  <c r="E21" i="39"/>
  <c r="F21" i="39" s="1"/>
  <c r="E9" i="39"/>
  <c r="F9" i="39" s="1"/>
  <c r="E8" i="39"/>
  <c r="F8" i="39" s="1"/>
  <c r="E27" i="39"/>
  <c r="F27" i="39" s="1"/>
  <c r="E29" i="39"/>
  <c r="F29" i="39" s="1"/>
  <c r="E19" i="39"/>
  <c r="F19" i="39" s="1"/>
  <c r="E16" i="39"/>
  <c r="F16" i="39" s="1"/>
  <c r="E12" i="39"/>
  <c r="F12" i="39" s="1"/>
  <c r="E24" i="39"/>
  <c r="F24" i="39" s="1"/>
  <c r="E5" i="39"/>
  <c r="E32" i="39"/>
  <c r="F32" i="39" s="1"/>
  <c r="E20" i="39"/>
  <c r="F20" i="39" s="1"/>
  <c r="E25" i="39"/>
  <c r="F25" i="39" s="1"/>
  <c r="E7" i="39"/>
  <c r="F7" i="39" s="1"/>
  <c r="E33" i="39"/>
  <c r="F33" i="39" s="1"/>
  <c r="E28" i="39"/>
  <c r="F28" i="39" s="1"/>
  <c r="E6" i="39"/>
  <c r="F6" i="39" s="1"/>
  <c r="E15" i="39"/>
  <c r="F15" i="39" s="1"/>
  <c r="E10" i="39"/>
  <c r="F10" i="39" s="1"/>
  <c r="E17" i="39"/>
  <c r="F17" i="39" s="1"/>
  <c r="E14" i="39"/>
  <c r="F14" i="39" s="1"/>
  <c r="E23" i="39"/>
  <c r="F23" i="39" s="1"/>
  <c r="E18" i="39"/>
  <c r="F18" i="39" s="1"/>
  <c r="E26" i="39"/>
  <c r="F26" i="39" s="1"/>
  <c r="E22" i="39"/>
  <c r="F22" i="39" s="1"/>
  <c r="E31" i="39"/>
  <c r="F31" i="39" s="1"/>
  <c r="E34" i="39"/>
  <c r="F34" i="39" s="1"/>
  <c r="E13" i="39"/>
  <c r="F13" i="39" s="1"/>
  <c r="E30" i="39"/>
  <c r="F30" i="39" s="1"/>
  <c r="H19" i="37"/>
  <c r="Q19" i="37" s="1"/>
  <c r="E35" i="42"/>
  <c r="F35" i="42" s="1"/>
  <c r="E27" i="42"/>
  <c r="F27" i="42" s="1"/>
  <c r="E19" i="42"/>
  <c r="F19" i="42" s="1"/>
  <c r="E11" i="42"/>
  <c r="F11" i="42" s="1"/>
  <c r="E34" i="42"/>
  <c r="F34" i="42" s="1"/>
  <c r="E26" i="42"/>
  <c r="F26" i="42" s="1"/>
  <c r="E18" i="42"/>
  <c r="F18" i="42" s="1"/>
  <c r="E10" i="42"/>
  <c r="F10" i="42" s="1"/>
  <c r="E33" i="42"/>
  <c r="F33" i="42" s="1"/>
  <c r="E25" i="42"/>
  <c r="F25" i="42" s="1"/>
  <c r="E17" i="42"/>
  <c r="F17" i="42" s="1"/>
  <c r="E9" i="42"/>
  <c r="F9" i="42" s="1"/>
  <c r="E32" i="42"/>
  <c r="F32" i="42" s="1"/>
  <c r="E24" i="42"/>
  <c r="F24" i="42" s="1"/>
  <c r="E16" i="42"/>
  <c r="F16" i="42" s="1"/>
  <c r="E8" i="42"/>
  <c r="F8" i="42" s="1"/>
  <c r="E31" i="42"/>
  <c r="F31" i="42" s="1"/>
  <c r="E23" i="42"/>
  <c r="F23" i="42" s="1"/>
  <c r="E15" i="42"/>
  <c r="F15" i="42" s="1"/>
  <c r="E7" i="42"/>
  <c r="F7" i="42" s="1"/>
  <c r="E30" i="42"/>
  <c r="F30" i="42" s="1"/>
  <c r="E22" i="42"/>
  <c r="F22" i="42" s="1"/>
  <c r="E14" i="42"/>
  <c r="F14" i="42" s="1"/>
  <c r="E6" i="42"/>
  <c r="F6" i="42" s="1"/>
  <c r="E29" i="42"/>
  <c r="F29" i="42" s="1"/>
  <c r="E21" i="42"/>
  <c r="F21" i="42" s="1"/>
  <c r="E13" i="42"/>
  <c r="F13" i="42" s="1"/>
  <c r="E5" i="42"/>
  <c r="E28" i="42"/>
  <c r="F28" i="42" s="1"/>
  <c r="E20" i="42"/>
  <c r="F20" i="42" s="1"/>
  <c r="E12" i="42"/>
  <c r="F12" i="42" s="1"/>
  <c r="J28" i="19"/>
  <c r="S28" i="19" s="1"/>
  <c r="F29" i="37"/>
  <c r="O29" i="37" s="1"/>
  <c r="J12" i="19"/>
  <c r="S12" i="19" s="1"/>
  <c r="J17" i="19"/>
  <c r="S17" i="19" s="1"/>
  <c r="J13" i="19"/>
  <c r="S13" i="19" s="1"/>
  <c r="F8" i="37"/>
  <c r="O8" i="37" s="1"/>
  <c r="J10" i="19"/>
  <c r="S10" i="19" s="1"/>
  <c r="J4" i="19"/>
  <c r="S4" i="19" s="1"/>
  <c r="F15" i="37"/>
  <c r="O15" i="37" s="1"/>
  <c r="F11" i="37"/>
  <c r="O11" i="37" s="1"/>
  <c r="J23" i="19"/>
  <c r="S23" i="19" s="1"/>
  <c r="J5" i="19"/>
  <c r="S5" i="19" s="1"/>
  <c r="F26" i="37"/>
  <c r="O26" i="37" s="1"/>
  <c r="F13" i="37"/>
  <c r="O13" i="37" s="1"/>
  <c r="F24" i="37"/>
  <c r="O24" i="37" s="1"/>
  <c r="F9" i="37"/>
  <c r="O9" i="37" s="1"/>
  <c r="J19" i="19"/>
  <c r="S19" i="19" s="1"/>
  <c r="J14" i="19"/>
  <c r="S14" i="19" s="1"/>
  <c r="F19" i="37"/>
  <c r="O19" i="37" s="1"/>
  <c r="F14" i="37"/>
  <c r="O14" i="37" s="1"/>
  <c r="F16" i="37"/>
  <c r="O16" i="37" s="1"/>
  <c r="J11" i="19"/>
  <c r="S11" i="19" s="1"/>
  <c r="J21" i="19"/>
  <c r="S21" i="19" s="1"/>
  <c r="J26" i="19"/>
  <c r="S26" i="19" s="1"/>
  <c r="J16" i="19"/>
  <c r="S16" i="19" s="1"/>
  <c r="F6" i="37"/>
  <c r="O6" i="37" s="1"/>
  <c r="J20" i="19"/>
  <c r="S20" i="19" s="1"/>
  <c r="J22" i="19"/>
  <c r="S22" i="19" s="1"/>
  <c r="J3" i="19"/>
  <c r="S3" i="19" s="1"/>
  <c r="J29" i="19"/>
  <c r="S29" i="19" s="1"/>
  <c r="J6" i="19"/>
  <c r="S6" i="19" s="1"/>
  <c r="J15" i="19"/>
  <c r="S15" i="19" s="1"/>
  <c r="N18" i="37"/>
  <c r="T18" i="37" s="1"/>
  <c r="K18" i="37"/>
  <c r="E32" i="36"/>
  <c r="F32" i="36" s="1"/>
  <c r="E15" i="36"/>
  <c r="F15" i="36" s="1"/>
  <c r="E28" i="36"/>
  <c r="F28" i="36" s="1"/>
  <c r="E31" i="36"/>
  <c r="F31" i="36" s="1"/>
  <c r="E10" i="36"/>
  <c r="F10" i="36" s="1"/>
  <c r="E21" i="36"/>
  <c r="F21" i="36" s="1"/>
  <c r="E5" i="36"/>
  <c r="J24" i="19"/>
  <c r="S24" i="19" s="1"/>
  <c r="J8" i="19"/>
  <c r="S8" i="19" s="1"/>
  <c r="J25" i="19"/>
  <c r="S25" i="19" s="1"/>
  <c r="F21" i="37"/>
  <c r="O21" i="37" s="1"/>
  <c r="E19" i="36"/>
  <c r="F19" i="36" s="1"/>
  <c r="E30" i="36"/>
  <c r="F30" i="36" s="1"/>
  <c r="E14" i="36"/>
  <c r="F14" i="36" s="1"/>
  <c r="F27" i="37"/>
  <c r="O27" i="37" s="1"/>
  <c r="E26" i="36"/>
  <c r="F26" i="36" s="1"/>
  <c r="E9" i="36"/>
  <c r="F9" i="36" s="1"/>
  <c r="E20" i="36"/>
  <c r="F20" i="36" s="1"/>
  <c r="N4" i="37"/>
  <c r="J9" i="19"/>
  <c r="S9" i="19" s="1"/>
  <c r="F3" i="37"/>
  <c r="O3" i="37" s="1"/>
  <c r="F28" i="37"/>
  <c r="O28" i="37" s="1"/>
  <c r="E12" i="36"/>
  <c r="F12" i="36" s="1"/>
  <c r="E18" i="36"/>
  <c r="F18" i="36" s="1"/>
  <c r="E29" i="36"/>
  <c r="F29" i="36" s="1"/>
  <c r="J18" i="19"/>
  <c r="S18" i="19" s="1"/>
  <c r="F30" i="37"/>
  <c r="O30" i="37" s="1"/>
  <c r="F25" i="37"/>
  <c r="O25" i="37" s="1"/>
  <c r="F5" i="37"/>
  <c r="O5" i="37" s="1"/>
  <c r="E8" i="36"/>
  <c r="F8" i="36" s="1"/>
  <c r="E11" i="36"/>
  <c r="F11" i="36" s="1"/>
  <c r="E25" i="36"/>
  <c r="F25" i="36" s="1"/>
  <c r="E7" i="36"/>
  <c r="F7" i="36" s="1"/>
  <c r="N12" i="37"/>
  <c r="T12" i="37" s="1"/>
  <c r="K12" i="37"/>
  <c r="N20" i="37"/>
  <c r="T20" i="37" s="1"/>
  <c r="K20" i="37"/>
  <c r="F10" i="37"/>
  <c r="O10" i="37" s="1"/>
  <c r="E17" i="36"/>
  <c r="F17" i="36" s="1"/>
  <c r="E27" i="36"/>
  <c r="F27" i="36" s="1"/>
  <c r="E13" i="36"/>
  <c r="F13" i="36" s="1"/>
  <c r="E16" i="36"/>
  <c r="F16" i="36" s="1"/>
  <c r="J7" i="19"/>
  <c r="S7" i="19" s="1"/>
  <c r="J30" i="19"/>
  <c r="S30" i="19" s="1"/>
  <c r="F7" i="37"/>
  <c r="O7" i="37" s="1"/>
  <c r="E24" i="36"/>
  <c r="F24" i="36" s="1"/>
  <c r="E6" i="36"/>
  <c r="F6" i="36" s="1"/>
  <c r="E22" i="36"/>
  <c r="F22" i="36" s="1"/>
  <c r="G6" i="34"/>
  <c r="G32" i="15"/>
  <c r="L52" i="2"/>
  <c r="F24" i="15"/>
  <c r="F24" i="14"/>
  <c r="O24" i="14" s="1"/>
  <c r="R20" i="19"/>
  <c r="L287" i="2"/>
  <c r="F23" i="14"/>
  <c r="O23" i="14" s="1"/>
  <c r="F23" i="15"/>
  <c r="K13" i="2"/>
  <c r="L13" i="2" s="1"/>
  <c r="L10" i="2"/>
  <c r="J19" i="7"/>
  <c r="I247" i="9"/>
  <c r="H4" i="9" s="1"/>
  <c r="E8" i="16"/>
  <c r="E9" i="16"/>
  <c r="E11" i="16"/>
  <c r="E10" i="16"/>
  <c r="E12" i="16"/>
  <c r="E5" i="16"/>
  <c r="E6" i="16"/>
  <c r="E7" i="16"/>
  <c r="E47" i="16"/>
  <c r="E42" i="16"/>
  <c r="E44" i="16"/>
  <c r="E43" i="16"/>
  <c r="E41" i="16"/>
  <c r="E39" i="16"/>
  <c r="E46" i="16"/>
  <c r="E40" i="16"/>
  <c r="E45" i="16"/>
  <c r="R29" i="19"/>
  <c r="L745" i="2"/>
  <c r="R15" i="19"/>
  <c r="L583" i="2"/>
  <c r="K40" i="2"/>
  <c r="L40" i="2" s="1"/>
  <c r="K4" i="5"/>
  <c r="G10" i="14"/>
  <c r="P10" i="14" s="1"/>
  <c r="G10" i="15"/>
  <c r="G34" i="14"/>
  <c r="P34" i="14" s="1"/>
  <c r="G34" i="15"/>
  <c r="G14" i="14"/>
  <c r="P14" i="14" s="1"/>
  <c r="G14" i="15"/>
  <c r="K6" i="12"/>
  <c r="G35" i="14"/>
  <c r="P35" i="14" s="1"/>
  <c r="G35" i="15"/>
  <c r="K643" i="9"/>
  <c r="Q6" i="2"/>
  <c r="T4" i="2"/>
  <c r="R23" i="19"/>
  <c r="L3" i="8"/>
  <c r="H25" i="15"/>
  <c r="F17" i="19"/>
  <c r="O17" i="19" s="1"/>
  <c r="F19" i="19"/>
  <c r="O19" i="19" s="1"/>
  <c r="O3" i="19"/>
  <c r="F15" i="19"/>
  <c r="O15" i="19" s="1"/>
  <c r="F13" i="19"/>
  <c r="O13" i="19" s="1"/>
  <c r="F8" i="19"/>
  <c r="O8" i="19" s="1"/>
  <c r="F7" i="19"/>
  <c r="O7" i="19" s="1"/>
  <c r="F26" i="19"/>
  <c r="O26" i="19" s="1"/>
  <c r="F21" i="19"/>
  <c r="O21" i="19" s="1"/>
  <c r="F6" i="19"/>
  <c r="O6" i="19" s="1"/>
  <c r="F5" i="19"/>
  <c r="O5" i="19" s="1"/>
  <c r="F10" i="19"/>
  <c r="O10" i="19" s="1"/>
  <c r="R26" i="19"/>
  <c r="F14" i="19"/>
  <c r="O14" i="19" s="1"/>
  <c r="F30" i="19"/>
  <c r="O30" i="19" s="1"/>
  <c r="F29" i="19"/>
  <c r="O29" i="19" s="1"/>
  <c r="R13" i="19"/>
  <c r="F28" i="19"/>
  <c r="O28" i="19" s="1"/>
  <c r="F27" i="19"/>
  <c r="O27" i="19" s="1"/>
  <c r="F24" i="19"/>
  <c r="O24" i="19" s="1"/>
  <c r="R7" i="19"/>
  <c r="F16" i="19"/>
  <c r="O16" i="19" s="1"/>
  <c r="F11" i="19"/>
  <c r="O11" i="19" s="1"/>
  <c r="F25" i="19"/>
  <c r="O25" i="19" s="1"/>
  <c r="R9" i="19"/>
  <c r="F9" i="19"/>
  <c r="O9" i="19" s="1"/>
  <c r="R8" i="19"/>
  <c r="R6" i="19"/>
  <c r="R5" i="19"/>
  <c r="R11" i="19"/>
  <c r="F26" i="15"/>
  <c r="R28" i="19"/>
  <c r="F18" i="15"/>
  <c r="F18" i="14"/>
  <c r="O18" i="14" s="1"/>
  <c r="R21" i="19"/>
  <c r="F8" i="15"/>
  <c r="F8" i="14"/>
  <c r="G19" i="19"/>
  <c r="P19" i="19" s="1"/>
  <c r="G29" i="19"/>
  <c r="P29" i="19" s="1"/>
  <c r="G5" i="19"/>
  <c r="P5" i="19" s="1"/>
  <c r="R19" i="19"/>
  <c r="G9" i="19"/>
  <c r="P9" i="19" s="1"/>
  <c r="G8" i="19"/>
  <c r="P8" i="19" s="1"/>
  <c r="G15" i="19"/>
  <c r="P15" i="19" s="1"/>
  <c r="G30" i="19"/>
  <c r="P30" i="19" s="1"/>
  <c r="R17" i="19"/>
  <c r="R10" i="19"/>
  <c r="G12" i="19"/>
  <c r="P12" i="19" s="1"/>
  <c r="G18" i="19"/>
  <c r="P18" i="19" s="1"/>
  <c r="G14" i="19"/>
  <c r="P14" i="19" s="1"/>
  <c r="Q27" i="14"/>
  <c r="F26" i="14"/>
  <c r="O26" i="14" s="1"/>
  <c r="G24" i="19"/>
  <c r="P24" i="19" s="1"/>
  <c r="G4" i="19"/>
  <c r="P4" i="19" s="1"/>
  <c r="G28" i="19"/>
  <c r="P28" i="19" s="1"/>
  <c r="G16" i="19"/>
  <c r="P16" i="19" s="1"/>
  <c r="G17" i="19"/>
  <c r="P17" i="19" s="1"/>
  <c r="G26" i="19"/>
  <c r="P26" i="19" s="1"/>
  <c r="G25" i="19"/>
  <c r="P25" i="19" s="1"/>
  <c r="G3" i="19"/>
  <c r="P3" i="19" s="1"/>
  <c r="G22" i="19"/>
  <c r="P22" i="19" s="1"/>
  <c r="R24" i="19"/>
  <c r="G23" i="19"/>
  <c r="P23" i="19" s="1"/>
  <c r="G21" i="19"/>
  <c r="P21" i="19" s="1"/>
  <c r="G13" i="19"/>
  <c r="P13" i="19" s="1"/>
  <c r="G27" i="19"/>
  <c r="P27" i="19" s="1"/>
  <c r="R30" i="19"/>
  <c r="G10" i="19"/>
  <c r="P10" i="19" s="1"/>
  <c r="G11" i="19"/>
  <c r="P11" i="19" s="1"/>
  <c r="G6" i="19"/>
  <c r="P6" i="19" s="1"/>
  <c r="G7" i="19"/>
  <c r="P7" i="19" s="1"/>
  <c r="R27" i="19"/>
  <c r="G20" i="19"/>
  <c r="P20" i="19" s="1"/>
  <c r="K450" i="9"/>
  <c r="K762" i="9"/>
  <c r="K711" i="9"/>
  <c r="K481" i="9"/>
  <c r="K462" i="9"/>
  <c r="K369" i="9"/>
  <c r="K144" i="9"/>
  <c r="K61" i="9"/>
  <c r="K716" i="9"/>
  <c r="K550" i="9"/>
  <c r="K471" i="9"/>
  <c r="K654" i="9"/>
  <c r="K155" i="9"/>
  <c r="K269" i="9"/>
  <c r="K354" i="9"/>
  <c r="F10" i="15"/>
  <c r="F10" i="14"/>
  <c r="O10" i="14" s="1"/>
  <c r="F31" i="14"/>
  <c r="O31" i="14" s="1"/>
  <c r="F31" i="15"/>
  <c r="F30" i="14"/>
  <c r="O30" i="14" s="1"/>
  <c r="F34" i="15"/>
  <c r="F34" i="14"/>
  <c r="O34" i="14" s="1"/>
  <c r="F22" i="15"/>
  <c r="F22" i="14"/>
  <c r="O22" i="14" s="1"/>
  <c r="F21" i="15"/>
  <c r="F21" i="14"/>
  <c r="O21" i="14" s="1"/>
  <c r="F19" i="14"/>
  <c r="O19" i="14" s="1"/>
  <c r="F19" i="15"/>
  <c r="F32" i="15"/>
  <c r="F32" i="14"/>
  <c r="O32" i="14" s="1"/>
  <c r="F20" i="14"/>
  <c r="O20" i="14" s="1"/>
  <c r="F20" i="15"/>
  <c r="F30" i="15"/>
  <c r="F7" i="14"/>
  <c r="O7" i="14" s="1"/>
  <c r="F7" i="15"/>
  <c r="F36" i="14"/>
  <c r="O36" i="14" s="1"/>
  <c r="F36" i="15"/>
  <c r="F15" i="14"/>
  <c r="O15" i="14" s="1"/>
  <c r="F15" i="15"/>
  <c r="F25" i="14"/>
  <c r="O25" i="14" s="1"/>
  <c r="F25" i="15"/>
  <c r="F33" i="15"/>
  <c r="F33" i="14"/>
  <c r="O33" i="14" s="1"/>
  <c r="F11" i="15"/>
  <c r="F11" i="14"/>
  <c r="O11" i="14" s="1"/>
  <c r="F40" i="14"/>
  <c r="O40" i="14" s="1"/>
  <c r="F40" i="15"/>
  <c r="F12" i="14"/>
  <c r="O12" i="14" s="1"/>
  <c r="F12" i="15"/>
  <c r="F13" i="15"/>
  <c r="F13" i="14"/>
  <c r="O13" i="14" s="1"/>
  <c r="F27" i="14"/>
  <c r="O27" i="14" s="1"/>
  <c r="F27" i="15"/>
  <c r="F29" i="15"/>
  <c r="F29" i="14"/>
  <c r="O29" i="14" s="1"/>
  <c r="F37" i="15"/>
  <c r="F37" i="14"/>
  <c r="O37" i="14" s="1"/>
  <c r="F14" i="15"/>
  <c r="Q13" i="14"/>
  <c r="Q24" i="14"/>
  <c r="K613" i="9"/>
  <c r="K361" i="9"/>
  <c r="K259" i="9"/>
  <c r="K766" i="9"/>
  <c r="K651" i="9"/>
  <c r="K457" i="9"/>
  <c r="K638" i="9"/>
  <c r="K47" i="9"/>
  <c r="K43" i="9"/>
  <c r="K681" i="9"/>
  <c r="K577" i="9"/>
  <c r="K141" i="9"/>
  <c r="K590" i="9"/>
  <c r="K703" i="9"/>
  <c r="K58" i="9"/>
  <c r="K804" i="9"/>
  <c r="K557" i="9"/>
  <c r="K52" i="9"/>
  <c r="K476" i="9"/>
  <c r="K668" i="9"/>
  <c r="K131" i="9"/>
  <c r="K153" i="9"/>
  <c r="K611" i="9"/>
  <c r="K368" i="9"/>
  <c r="K487" i="9"/>
  <c r="E28" i="47" s="1"/>
  <c r="K636" i="9"/>
  <c r="K576" i="9"/>
  <c r="K639" i="9"/>
  <c r="K381" i="9"/>
  <c r="K666" i="9"/>
  <c r="K367" i="9"/>
  <c r="K790" i="9"/>
  <c r="K645" i="9"/>
  <c r="K512" i="9"/>
  <c r="K454" i="9"/>
  <c r="K597" i="9"/>
  <c r="K728" i="9"/>
  <c r="K715" i="9"/>
  <c r="K498" i="9"/>
  <c r="K347" i="9"/>
  <c r="K776" i="9"/>
  <c r="K705" i="9"/>
  <c r="K261" i="9"/>
  <c r="K159" i="9"/>
  <c r="K380" i="9"/>
  <c r="K779" i="9"/>
  <c r="K707" i="9"/>
  <c r="K725" i="9"/>
  <c r="K706" i="9"/>
  <c r="K599" i="9"/>
  <c r="K70" i="9"/>
  <c r="K608" i="9"/>
  <c r="K726" i="9"/>
  <c r="K504" i="9"/>
  <c r="K449" i="9"/>
  <c r="K165" i="9"/>
  <c r="K517" i="9"/>
  <c r="K786" i="9"/>
  <c r="K648" i="9"/>
  <c r="K629" i="9"/>
  <c r="K808" i="9"/>
  <c r="K701" i="9"/>
  <c r="K655" i="9"/>
  <c r="K145" i="9"/>
  <c r="K83" i="9"/>
  <c r="K718" i="9"/>
  <c r="K640" i="9"/>
  <c r="K36" i="9"/>
  <c r="K458" i="9"/>
  <c r="K642" i="9"/>
  <c r="K623" i="9"/>
  <c r="K149" i="9"/>
  <c r="K757" i="9"/>
  <c r="K94" i="9"/>
  <c r="K253" i="9"/>
  <c r="K756" i="9"/>
  <c r="K281" i="9"/>
  <c r="K513" i="9"/>
  <c r="K30" i="9"/>
  <c r="K510" i="9"/>
  <c r="K768" i="9"/>
  <c r="K671" i="9"/>
  <c r="K807" i="9"/>
  <c r="K747" i="9"/>
  <c r="K785" i="9"/>
  <c r="K572" i="9"/>
  <c r="K29" i="9"/>
  <c r="K488" i="9"/>
  <c r="K628" i="9"/>
  <c r="K580" i="9"/>
  <c r="K563" i="9"/>
  <c r="K783" i="9"/>
  <c r="K468" i="9"/>
  <c r="K692" i="9"/>
  <c r="K758" i="9"/>
  <c r="K682" i="9"/>
  <c r="K750" i="9"/>
  <c r="K660" i="9"/>
  <c r="K798" i="9"/>
  <c r="K730" i="9"/>
  <c r="K674" i="9"/>
  <c r="K176" i="9"/>
  <c r="K780" i="9"/>
  <c r="K656" i="9"/>
  <c r="K283" i="9"/>
  <c r="K360" i="9"/>
  <c r="K41" i="9"/>
  <c r="K463" i="9"/>
  <c r="K619" i="9"/>
  <c r="K485" i="9"/>
  <c r="K810" i="9"/>
  <c r="K382" i="9"/>
  <c r="K362" i="9"/>
  <c r="K571" i="9"/>
  <c r="K479" i="9"/>
  <c r="K364" i="9"/>
  <c r="K99" i="9"/>
  <c r="K729" i="9"/>
  <c r="K143" i="9"/>
  <c r="K76" i="9"/>
  <c r="K89" i="9"/>
  <c r="K349" i="9"/>
  <c r="K545" i="9"/>
  <c r="K276" i="9"/>
  <c r="K39" i="9"/>
  <c r="K657" i="9"/>
  <c r="K480" i="9"/>
  <c r="K739" i="9"/>
  <c r="K280" i="9"/>
  <c r="K97" i="9"/>
  <c r="K376" i="9"/>
  <c r="K754" i="9"/>
  <c r="K178" i="9"/>
  <c r="K511" i="9"/>
  <c r="K591" i="9"/>
  <c r="K652" i="9"/>
  <c r="K582" i="9"/>
  <c r="K32" i="9"/>
  <c r="K172" i="9"/>
  <c r="K34" i="9"/>
  <c r="K139" i="9"/>
  <c r="K505" i="9"/>
  <c r="K700" i="9"/>
  <c r="K600" i="9"/>
  <c r="K717" i="9"/>
  <c r="K501" i="9"/>
  <c r="K568" i="9"/>
  <c r="K28" i="9"/>
  <c r="K136" i="9"/>
  <c r="K647" i="9"/>
  <c r="K277" i="9"/>
  <c r="K581" i="9"/>
  <c r="K260" i="9"/>
  <c r="K556" i="9"/>
  <c r="K74" i="9"/>
  <c r="K559" i="9"/>
  <c r="K26" i="9"/>
  <c r="K353" i="9"/>
  <c r="K154" i="9"/>
  <c r="K474" i="9"/>
  <c r="K720" i="9"/>
  <c r="K685" i="9"/>
  <c r="K78" i="9"/>
  <c r="K578" i="9"/>
  <c r="K86" i="9"/>
  <c r="K482" i="9"/>
  <c r="K96" i="9"/>
  <c r="K641" i="9"/>
  <c r="K252" i="9"/>
  <c r="K62" i="9"/>
  <c r="K59" i="9"/>
  <c r="K146" i="9"/>
  <c r="K771" i="9"/>
  <c r="K604" i="9"/>
  <c r="K373" i="9"/>
  <c r="K782" i="9"/>
  <c r="K279" i="9"/>
  <c r="K71" i="9"/>
  <c r="K452" i="9"/>
  <c r="K761" i="9"/>
  <c r="K769" i="9"/>
  <c r="K607" i="9"/>
  <c r="K676" i="9"/>
  <c r="K98" i="9"/>
  <c r="K140" i="9"/>
  <c r="K598" i="9"/>
  <c r="K670" i="9"/>
  <c r="K803" i="9"/>
  <c r="K596" i="9"/>
  <c r="K494" i="9"/>
  <c r="K171" i="9"/>
  <c r="K722" i="9"/>
  <c r="K664" i="9"/>
  <c r="K743" i="9"/>
  <c r="K603" i="9"/>
  <c r="K87" i="9"/>
  <c r="E10" i="47" s="1"/>
  <c r="K167" i="9"/>
  <c r="K694" i="9"/>
  <c r="K262" i="9"/>
  <c r="K737" i="9"/>
  <c r="K795" i="9"/>
  <c r="K547" i="9"/>
  <c r="K148" i="9"/>
  <c r="K175" i="9"/>
  <c r="K592" i="9"/>
  <c r="K92" i="9"/>
  <c r="K507" i="9"/>
  <c r="K687" i="9"/>
  <c r="K179" i="9"/>
  <c r="K68" i="9"/>
  <c r="K610" i="9"/>
  <c r="K733" i="9"/>
  <c r="K746" i="9"/>
  <c r="K285" i="9"/>
  <c r="K495" i="9"/>
  <c r="K796" i="9"/>
  <c r="K465" i="9"/>
  <c r="K752" i="9"/>
  <c r="K100" i="9"/>
  <c r="K514" i="9"/>
  <c r="K745" i="9"/>
  <c r="K805" i="9"/>
  <c r="K477" i="9"/>
  <c r="K163" i="9"/>
  <c r="K169" i="9"/>
  <c r="K635" i="9"/>
  <c r="K138" i="9"/>
  <c r="K772" i="9"/>
  <c r="K741" i="9"/>
  <c r="K374" i="9"/>
  <c r="K174" i="9"/>
  <c r="K661" i="9"/>
  <c r="K466" i="9"/>
  <c r="K606" i="9"/>
  <c r="K134" i="9"/>
  <c r="K469" i="9"/>
  <c r="K663" i="9"/>
  <c r="K734" i="9"/>
  <c r="K555" i="9"/>
  <c r="K55" i="9"/>
  <c r="K133" i="9"/>
  <c r="K562" i="9"/>
  <c r="K132" i="9"/>
  <c r="K697" i="9"/>
  <c r="K774" i="9"/>
  <c r="K575" i="9"/>
  <c r="K584" i="9"/>
  <c r="K156" i="9"/>
  <c r="K273" i="9"/>
  <c r="K690" i="9"/>
  <c r="K799" i="9"/>
  <c r="K727" i="9"/>
  <c r="K609" i="9"/>
  <c r="K284" i="9"/>
  <c r="K268" i="9"/>
  <c r="K738" i="9"/>
  <c r="K258" i="9"/>
  <c r="K31" i="9"/>
  <c r="K753" i="9"/>
  <c r="K464" i="9"/>
  <c r="K731" i="9"/>
  <c r="K161" i="9"/>
  <c r="K358" i="9"/>
  <c r="K352" i="9"/>
  <c r="K585" i="9"/>
  <c r="K684" i="9"/>
  <c r="K81" i="9"/>
  <c r="K589" i="9"/>
  <c r="K351" i="9"/>
  <c r="K624" i="9"/>
  <c r="K672" i="9"/>
  <c r="K496" i="9"/>
  <c r="K683" i="9"/>
  <c r="K631" i="9"/>
  <c r="K459" i="9"/>
  <c r="K698" i="9"/>
  <c r="K667" i="9"/>
  <c r="K553" i="9"/>
  <c r="K622" i="9"/>
  <c r="K574" i="9"/>
  <c r="K569" i="9"/>
  <c r="K612" i="9"/>
  <c r="K770" i="9"/>
  <c r="K565" i="9"/>
  <c r="K744" i="9"/>
  <c r="K630" i="9"/>
  <c r="K93" i="9"/>
  <c r="K267" i="9"/>
  <c r="K708" i="9"/>
  <c r="K637" i="9"/>
  <c r="K760" i="9"/>
  <c r="K696" i="9"/>
  <c r="K157" i="9"/>
  <c r="K54" i="9"/>
  <c r="K695" i="9"/>
  <c r="K80" i="9"/>
  <c r="K712" i="9"/>
  <c r="K759" i="9"/>
  <c r="K649" i="9"/>
  <c r="K792" i="9"/>
  <c r="K677" i="9"/>
  <c r="K693" i="9"/>
  <c r="K521" i="9"/>
  <c r="K177" i="9"/>
  <c r="K713" i="9"/>
  <c r="K561" i="9"/>
  <c r="K749" i="9"/>
  <c r="K593" i="9"/>
  <c r="K552" i="9"/>
  <c r="K763" i="9"/>
  <c r="K451" i="9"/>
  <c r="K456" i="9"/>
  <c r="K101" i="9"/>
  <c r="K160" i="9"/>
  <c r="K453" i="9"/>
  <c r="K350" i="9"/>
  <c r="K723" i="9"/>
  <c r="K789" i="9"/>
  <c r="K633" i="9"/>
  <c r="K793" i="9"/>
  <c r="K650" i="9"/>
  <c r="K586" i="9"/>
  <c r="K570" i="9"/>
  <c r="K88" i="9"/>
  <c r="K621" i="9"/>
  <c r="K625" i="9"/>
  <c r="K646" i="9"/>
  <c r="K662" i="9"/>
  <c r="K484" i="9"/>
  <c r="K168" i="9"/>
  <c r="K49" i="9"/>
  <c r="K736" i="9"/>
  <c r="K679" i="9"/>
  <c r="K781" i="9"/>
  <c r="K371" i="9"/>
  <c r="K673" i="9"/>
  <c r="K794" i="9"/>
  <c r="K583" i="9"/>
  <c r="K778" i="9"/>
  <c r="K518" i="9"/>
  <c r="K659" i="9"/>
  <c r="K478" i="9"/>
  <c r="K573" i="9"/>
  <c r="K25" i="9"/>
  <c r="K748" i="9"/>
  <c r="K587" i="9"/>
  <c r="K355" i="9"/>
  <c r="K680" i="9"/>
  <c r="K691" i="9"/>
  <c r="K162" i="9"/>
  <c r="K801" i="9"/>
  <c r="K665" i="9"/>
  <c r="K90" i="9"/>
  <c r="K135" i="9"/>
  <c r="K64" i="9"/>
  <c r="K721" i="9"/>
  <c r="K147" i="9"/>
  <c r="K595" i="9"/>
  <c r="K802" i="9"/>
  <c r="K558" i="9"/>
  <c r="K24" i="9"/>
  <c r="K378" i="9"/>
  <c r="K489" i="9"/>
  <c r="K503" i="9"/>
  <c r="K806" i="9"/>
  <c r="N20" i="19" s="1"/>
  <c r="K357" i="9"/>
  <c r="K152" i="9"/>
  <c r="K560" i="9"/>
  <c r="K626" i="9"/>
  <c r="K275" i="9"/>
  <c r="K714" i="9"/>
  <c r="K372" i="9"/>
  <c r="K33" i="9"/>
  <c r="K356" i="9"/>
  <c r="K470" i="9"/>
  <c r="K618" i="9"/>
  <c r="K472" i="9"/>
  <c r="K797" i="9"/>
  <c r="K467" i="9"/>
  <c r="K567" i="9"/>
  <c r="K151" i="9"/>
  <c r="K173" i="9"/>
  <c r="K509" i="9"/>
  <c r="K699" i="9"/>
  <c r="K500" i="9"/>
  <c r="K461" i="9"/>
  <c r="K27" i="9"/>
  <c r="K566" i="9"/>
  <c r="K363" i="9"/>
  <c r="K620" i="9"/>
  <c r="K286" i="9"/>
  <c r="K601" i="9"/>
  <c r="K137" i="9"/>
  <c r="K77" i="9"/>
  <c r="K375" i="9"/>
  <c r="K164" i="9"/>
  <c r="K689" i="9"/>
  <c r="K60" i="9"/>
  <c r="K264" i="9"/>
  <c r="K544" i="9"/>
  <c r="K254" i="9"/>
  <c r="K365" i="9"/>
  <c r="K588" i="9"/>
  <c r="K616" i="9"/>
  <c r="K82" i="9"/>
  <c r="K91" i="9"/>
  <c r="K773" i="9"/>
  <c r="K579" i="9"/>
  <c r="K688" i="9"/>
  <c r="K719" i="9"/>
  <c r="K158" i="9"/>
  <c r="K522" i="9"/>
  <c r="K166" i="9"/>
  <c r="K274" i="9"/>
  <c r="K497" i="9"/>
  <c r="K50" i="9"/>
  <c r="K704" i="9"/>
  <c r="K455" i="9"/>
  <c r="K678" i="9"/>
  <c r="K791" i="9"/>
  <c r="K767" i="9"/>
  <c r="E23" i="43" s="1"/>
  <c r="N23" i="43" s="1"/>
  <c r="K710" i="9"/>
  <c r="K784" i="9"/>
  <c r="K508" i="9"/>
  <c r="K142" i="9"/>
  <c r="K359" i="9"/>
  <c r="K348" i="9"/>
  <c r="K278" i="9"/>
  <c r="K775" i="9"/>
  <c r="K751" i="9"/>
  <c r="K72" i="9"/>
  <c r="K282" i="9"/>
  <c r="K724" i="9"/>
  <c r="K605" i="9"/>
  <c r="K515" i="9"/>
  <c r="K42" i="9"/>
  <c r="E9" i="47" s="1"/>
  <c r="K735" i="9"/>
  <c r="K499" i="9"/>
  <c r="K95" i="9"/>
  <c r="K473" i="9"/>
  <c r="K257" i="9"/>
  <c r="K594" i="9"/>
  <c r="K740" i="9"/>
  <c r="K742" i="9"/>
  <c r="K765" i="9"/>
  <c r="K85" i="9"/>
  <c r="K377" i="9"/>
  <c r="K617" i="9"/>
  <c r="K551" i="9"/>
  <c r="K170" i="9"/>
  <c r="K644" i="9"/>
  <c r="K669" i="9"/>
  <c r="K602" i="9"/>
  <c r="K84" i="9"/>
  <c r="K634" i="9"/>
  <c r="K653" i="9"/>
  <c r="K787" i="9"/>
  <c r="K658" i="9"/>
  <c r="K764" i="9"/>
  <c r="C9" i="14"/>
  <c r="L9" i="14" s="1"/>
  <c r="K150" i="9"/>
  <c r="K250" i="9"/>
  <c r="K702" i="9"/>
  <c r="E26" i="16"/>
  <c r="E24" i="16"/>
  <c r="E38" i="16"/>
  <c r="E28" i="16"/>
  <c r="E19" i="16"/>
  <c r="E17" i="16"/>
  <c r="E23" i="16"/>
  <c r="E37" i="16"/>
  <c r="E34" i="16"/>
  <c r="E36" i="16"/>
  <c r="E6" i="9"/>
  <c r="E18" i="16"/>
  <c r="E20" i="16"/>
  <c r="E29" i="16"/>
  <c r="E31" i="16"/>
  <c r="E21" i="16"/>
  <c r="E4" i="9"/>
  <c r="E33" i="16"/>
  <c r="E15" i="16"/>
  <c r="E3" i="9"/>
  <c r="E25" i="16"/>
  <c r="B1" i="16"/>
  <c r="F12" i="16" s="1"/>
  <c r="E35" i="16"/>
  <c r="E30" i="16"/>
  <c r="E27" i="16"/>
  <c r="E32" i="16"/>
  <c r="E22" i="16"/>
  <c r="E13" i="16"/>
  <c r="E16" i="16"/>
  <c r="E14" i="16"/>
  <c r="F14" i="16" s="1"/>
  <c r="E5" i="9"/>
  <c r="C24" i="14"/>
  <c r="L24" i="14" s="1"/>
  <c r="C24" i="15"/>
  <c r="K732" i="9"/>
  <c r="K788" i="9"/>
  <c r="C28" i="14"/>
  <c r="L28" i="14" s="1"/>
  <c r="C28" i="15"/>
  <c r="C30" i="14"/>
  <c r="L30" i="14" s="1"/>
  <c r="K491" i="9"/>
  <c r="D16" i="14"/>
  <c r="M16" i="14" s="1"/>
  <c r="D16" i="15"/>
  <c r="D9" i="14"/>
  <c r="M9" i="14" s="1"/>
  <c r="D9" i="15"/>
  <c r="D26" i="14"/>
  <c r="M26" i="14" s="1"/>
  <c r="D26" i="15"/>
  <c r="D11" i="14"/>
  <c r="M11" i="14" s="1"/>
  <c r="D11" i="15"/>
  <c r="D12" i="14"/>
  <c r="M12" i="14" s="1"/>
  <c r="D12" i="15"/>
  <c r="D13" i="14"/>
  <c r="M13" i="14" s="1"/>
  <c r="D13" i="15"/>
  <c r="D15" i="14"/>
  <c r="M15" i="14" s="1"/>
  <c r="D15" i="15"/>
  <c r="D28" i="14"/>
  <c r="M28" i="14" s="1"/>
  <c r="D28" i="15"/>
  <c r="D21" i="15"/>
  <c r="D21" i="14"/>
  <c r="M21" i="14" s="1"/>
  <c r="D17" i="14"/>
  <c r="M17" i="14" s="1"/>
  <c r="D17" i="15"/>
  <c r="D8" i="14"/>
  <c r="M8" i="14" s="1"/>
  <c r="D8" i="15"/>
  <c r="D18" i="15"/>
  <c r="D18" i="14"/>
  <c r="D22" i="15"/>
  <c r="D22" i="14"/>
  <c r="D19" i="15"/>
  <c r="D19" i="14"/>
  <c r="M19" i="14" s="1"/>
  <c r="D32" i="14"/>
  <c r="M32" i="14" s="1"/>
  <c r="D32" i="15"/>
  <c r="D20" i="14"/>
  <c r="D20" i="15"/>
  <c r="D31" i="15"/>
  <c r="D31" i="14"/>
  <c r="M31" i="14" s="1"/>
  <c r="D30" i="14"/>
  <c r="D30" i="15"/>
  <c r="D14" i="15"/>
  <c r="D14" i="14"/>
  <c r="M14" i="14" s="1"/>
  <c r="D25" i="14"/>
  <c r="M25" i="14" s="1"/>
  <c r="D25" i="15"/>
  <c r="D27" i="15"/>
  <c r="D27" i="14"/>
  <c r="M27" i="14" s="1"/>
  <c r="D29" i="14"/>
  <c r="M29" i="14" s="1"/>
  <c r="D29" i="15"/>
  <c r="D24" i="14"/>
  <c r="M24" i="14" s="1"/>
  <c r="D24" i="15"/>
  <c r="D23" i="14"/>
  <c r="M23" i="14" s="1"/>
  <c r="D23" i="15"/>
  <c r="C25" i="16"/>
  <c r="Q23" i="14"/>
  <c r="Q18" i="14"/>
  <c r="Q22" i="14"/>
  <c r="Q17" i="14"/>
  <c r="Q11" i="14"/>
  <c r="Q30" i="14"/>
  <c r="Q4" i="14"/>
  <c r="R4" i="14" s="1"/>
  <c r="Q40" i="14"/>
  <c r="Q14" i="14"/>
  <c r="Q16" i="14"/>
  <c r="Q19" i="14"/>
  <c r="Q29" i="14"/>
  <c r="Q26" i="14"/>
  <c r="Q15" i="14"/>
  <c r="Q9" i="14"/>
  <c r="Q6" i="14"/>
  <c r="R6" i="14" s="1"/>
  <c r="Q20" i="14"/>
  <c r="Q35" i="14"/>
  <c r="Q34" i="14"/>
  <c r="Q36" i="14"/>
  <c r="Q39" i="14"/>
  <c r="R39" i="14" s="1"/>
  <c r="Q3" i="14"/>
  <c r="R3" i="14" s="1"/>
  <c r="Q33" i="14"/>
  <c r="Q8" i="14"/>
  <c r="Q37" i="14"/>
  <c r="Q5" i="14"/>
  <c r="R5" i="14" s="1"/>
  <c r="Q32" i="14"/>
  <c r="Q31" i="14"/>
  <c r="Q7" i="14"/>
  <c r="Q10" i="14"/>
  <c r="Q25" i="14"/>
  <c r="L4" i="8"/>
  <c r="T4" i="47" l="1"/>
  <c r="K4" i="47"/>
  <c r="K16" i="47"/>
  <c r="K18" i="47"/>
  <c r="T6" i="47"/>
  <c r="T29" i="47"/>
  <c r="T18" i="47"/>
  <c r="P8" i="47"/>
  <c r="T8" i="47" s="1"/>
  <c r="K8" i="47"/>
  <c r="N28" i="47"/>
  <c r="T28" i="47" s="1"/>
  <c r="K28" i="47"/>
  <c r="K5" i="47"/>
  <c r="K23" i="47"/>
  <c r="K26" i="47"/>
  <c r="N10" i="47"/>
  <c r="T10" i="47" s="1"/>
  <c r="K10" i="47"/>
  <c r="T5" i="47"/>
  <c r="T23" i="47"/>
  <c r="T26" i="47"/>
  <c r="K13" i="47"/>
  <c r="T21" i="47"/>
  <c r="K7" i="47"/>
  <c r="K14" i="47"/>
  <c r="K6" i="47"/>
  <c r="K29" i="47"/>
  <c r="T13" i="47"/>
  <c r="K21" i="47"/>
  <c r="T14" i="47"/>
  <c r="K11" i="47"/>
  <c r="K24" i="47"/>
  <c r="N9" i="47"/>
  <c r="T9" i="47" s="1"/>
  <c r="K9" i="47"/>
  <c r="E25" i="47"/>
  <c r="T16" i="47"/>
  <c r="T11" i="47"/>
  <c r="T24" i="47"/>
  <c r="T15" i="47"/>
  <c r="T3" i="47"/>
  <c r="K20" i="47"/>
  <c r="E27" i="47"/>
  <c r="E22" i="47"/>
  <c r="K15" i="47"/>
  <c r="K3" i="47"/>
  <c r="T20" i="47"/>
  <c r="E22" i="43"/>
  <c r="N22" i="43" s="1"/>
  <c r="H27" i="43"/>
  <c r="H25" i="19"/>
  <c r="Q25" i="19" s="1"/>
  <c r="H6" i="37"/>
  <c r="Q6" i="37" s="1"/>
  <c r="H11" i="37"/>
  <c r="Q11" i="37" s="1"/>
  <c r="F35" i="15"/>
  <c r="H25" i="37"/>
  <c r="Q25" i="37" s="1"/>
  <c r="K12" i="43"/>
  <c r="F35" i="14"/>
  <c r="O35" i="14" s="1"/>
  <c r="E11" i="44"/>
  <c r="N11" i="44" s="1"/>
  <c r="H14" i="37"/>
  <c r="Q14" i="37" s="1"/>
  <c r="M671" i="12"/>
  <c r="H4" i="44" s="1"/>
  <c r="Q4" i="44" s="1"/>
  <c r="H4" i="37"/>
  <c r="P4" i="44"/>
  <c r="M497" i="12"/>
  <c r="H10" i="43" s="1"/>
  <c r="Q10" i="43" s="1"/>
  <c r="H10" i="19"/>
  <c r="Q10" i="19" s="1"/>
  <c r="F16" i="15"/>
  <c r="H26" i="37"/>
  <c r="Q26" i="37" s="1"/>
  <c r="M450" i="12"/>
  <c r="H22" i="37"/>
  <c r="Q22" i="37" s="1"/>
  <c r="F16" i="14"/>
  <c r="O16" i="14" s="1"/>
  <c r="F14" i="14"/>
  <c r="O14" i="14" s="1"/>
  <c r="H16" i="37"/>
  <c r="Q16" i="37" s="1"/>
  <c r="H24" i="37"/>
  <c r="Q24" i="37" s="1"/>
  <c r="H7" i="37"/>
  <c r="Q7" i="37" s="1"/>
  <c r="M130" i="12"/>
  <c r="H30" i="43" s="1"/>
  <c r="Q30" i="43" s="1"/>
  <c r="M199" i="12"/>
  <c r="H21" i="43" s="1"/>
  <c r="Q21" i="43" s="1"/>
  <c r="H21" i="19"/>
  <c r="Q21" i="19" s="1"/>
  <c r="M52" i="12"/>
  <c r="H9" i="43" s="1"/>
  <c r="Q9" i="43" s="1"/>
  <c r="H9" i="19"/>
  <c r="Q9" i="19" s="1"/>
  <c r="H3" i="37"/>
  <c r="Q3" i="37" s="1"/>
  <c r="H3" i="19"/>
  <c r="Q3" i="19" s="1"/>
  <c r="M494" i="12"/>
  <c r="H26" i="43" s="1"/>
  <c r="Q26" i="43" s="1"/>
  <c r="H26" i="19"/>
  <c r="Q26" i="19" s="1"/>
  <c r="E10" i="43"/>
  <c r="N10" i="43" s="1"/>
  <c r="E26" i="43"/>
  <c r="N26" i="43" s="1"/>
  <c r="E21" i="43"/>
  <c r="N21" i="43" s="1"/>
  <c r="E3" i="19"/>
  <c r="N3" i="43"/>
  <c r="E9" i="19"/>
  <c r="E9" i="43"/>
  <c r="N9" i="43" s="1"/>
  <c r="E13" i="19"/>
  <c r="N13" i="19" s="1"/>
  <c r="E13" i="43"/>
  <c r="N13" i="43" s="1"/>
  <c r="T13" i="43" s="1"/>
  <c r="T12" i="43"/>
  <c r="T19" i="43"/>
  <c r="E7" i="43"/>
  <c r="N7" i="43" s="1"/>
  <c r="E26" i="19"/>
  <c r="N26" i="19" s="1"/>
  <c r="E10" i="19"/>
  <c r="E17" i="43"/>
  <c r="N17" i="43" s="1"/>
  <c r="E21" i="19"/>
  <c r="N21" i="19" s="1"/>
  <c r="K20" i="43"/>
  <c r="T20" i="43"/>
  <c r="K6" i="43"/>
  <c r="K19" i="43"/>
  <c r="T6" i="43"/>
  <c r="T18" i="43"/>
  <c r="T8" i="43"/>
  <c r="I16" i="43"/>
  <c r="R16" i="43" s="1"/>
  <c r="I17" i="44"/>
  <c r="R17" i="44" s="1"/>
  <c r="H21" i="44"/>
  <c r="Q21" i="44" s="1"/>
  <c r="M486" i="12"/>
  <c r="H17" i="19"/>
  <c r="Q17" i="19" s="1"/>
  <c r="J3" i="12"/>
  <c r="K3" i="12" s="1"/>
  <c r="M269" i="12"/>
  <c r="H24" i="43" s="1"/>
  <c r="Q24" i="43" s="1"/>
  <c r="H17" i="37"/>
  <c r="Q17" i="37" s="1"/>
  <c r="H8" i="44"/>
  <c r="Q8" i="44" s="1"/>
  <c r="M460" i="12"/>
  <c r="H16" i="44" s="1"/>
  <c r="Q16" i="44" s="1"/>
  <c r="H16" i="19"/>
  <c r="Q16" i="19" s="1"/>
  <c r="H6" i="44"/>
  <c r="Q6" i="44" s="1"/>
  <c r="H30" i="44"/>
  <c r="Q30" i="44" s="1"/>
  <c r="H9" i="37"/>
  <c r="Q9" i="37" s="1"/>
  <c r="H10" i="37"/>
  <c r="Q10" i="37" s="1"/>
  <c r="M219" i="12"/>
  <c r="H13" i="44" s="1"/>
  <c r="Q13" i="44" s="1"/>
  <c r="H13" i="37"/>
  <c r="Q13" i="37" s="1"/>
  <c r="H21" i="37"/>
  <c r="Q21" i="37" s="1"/>
  <c r="M72" i="12"/>
  <c r="H17" i="44"/>
  <c r="Q17" i="44" s="1"/>
  <c r="M263" i="12"/>
  <c r="H24" i="44" s="1"/>
  <c r="Q24" i="44" s="1"/>
  <c r="H8" i="37"/>
  <c r="Q8" i="37" s="1"/>
  <c r="H30" i="37"/>
  <c r="Q30" i="37" s="1"/>
  <c r="K4" i="43"/>
  <c r="T4" i="43"/>
  <c r="K11" i="43"/>
  <c r="K18" i="43"/>
  <c r="K15" i="43"/>
  <c r="T23" i="43"/>
  <c r="T15" i="43"/>
  <c r="K8" i="43"/>
  <c r="K5" i="43"/>
  <c r="T5" i="43"/>
  <c r="T11" i="43"/>
  <c r="E24" i="19"/>
  <c r="N24" i="19" s="1"/>
  <c r="E7" i="19"/>
  <c r="N7" i="19" s="1"/>
  <c r="E17" i="19"/>
  <c r="N17" i="19" s="1"/>
  <c r="E14" i="43"/>
  <c r="N14" i="43" s="1"/>
  <c r="H28" i="19"/>
  <c r="Q28" i="19" s="1"/>
  <c r="I16" i="44"/>
  <c r="R16" i="44" s="1"/>
  <c r="M574" i="12"/>
  <c r="H28" i="43" s="1"/>
  <c r="Q28" i="43" s="1"/>
  <c r="E14" i="44"/>
  <c r="E24" i="43"/>
  <c r="E27" i="43"/>
  <c r="N27" i="43" s="1"/>
  <c r="E5" i="37"/>
  <c r="N5" i="37" s="1"/>
  <c r="M285" i="12"/>
  <c r="H25" i="47" s="1"/>
  <c r="Q25" i="47" s="1"/>
  <c r="E5" i="44"/>
  <c r="N5" i="44" s="1"/>
  <c r="H27" i="44"/>
  <c r="Q27" i="44" s="1"/>
  <c r="H11" i="44"/>
  <c r="Q11" i="44" s="1"/>
  <c r="T11" i="44" s="1"/>
  <c r="H3" i="7"/>
  <c r="I3" i="7" s="1"/>
  <c r="L19" i="7"/>
  <c r="G19" i="44" s="1"/>
  <c r="P19" i="44" s="1"/>
  <c r="H6" i="40"/>
  <c r="G7" i="40"/>
  <c r="E30" i="44"/>
  <c r="N30" i="44" s="1"/>
  <c r="E30" i="43"/>
  <c r="E7" i="44"/>
  <c r="N7" i="44" s="1"/>
  <c r="H5" i="44"/>
  <c r="Q5" i="44" s="1"/>
  <c r="M107" i="12"/>
  <c r="Q27" i="43"/>
  <c r="H28" i="37"/>
  <c r="Q28" i="37" s="1"/>
  <c r="K23" i="43"/>
  <c r="Q23" i="44"/>
  <c r="H5" i="37"/>
  <c r="Q5" i="37" s="1"/>
  <c r="H27" i="37"/>
  <c r="Q27" i="37" s="1"/>
  <c r="J4" i="12"/>
  <c r="K4" i="12" s="1"/>
  <c r="M74" i="12"/>
  <c r="H29" i="43" s="1"/>
  <c r="H29" i="19"/>
  <c r="Q29" i="19" s="1"/>
  <c r="H29" i="37"/>
  <c r="Q29" i="37" s="1"/>
  <c r="S4" i="33"/>
  <c r="R5" i="33"/>
  <c r="S5" i="33" s="1"/>
  <c r="F5" i="39"/>
  <c r="G5" i="39"/>
  <c r="F5" i="42"/>
  <c r="G5" i="42"/>
  <c r="G6" i="42" s="1"/>
  <c r="G19" i="37"/>
  <c r="P19" i="37" s="1"/>
  <c r="E14" i="19"/>
  <c r="N14" i="19" s="1"/>
  <c r="G5" i="36"/>
  <c r="F5" i="36"/>
  <c r="E25" i="19"/>
  <c r="N25" i="19" s="1"/>
  <c r="E11" i="37"/>
  <c r="E14" i="37"/>
  <c r="G7" i="34"/>
  <c r="H6" i="34"/>
  <c r="H4" i="7"/>
  <c r="I4" i="7" s="1"/>
  <c r="K247" i="9"/>
  <c r="P4" i="2"/>
  <c r="Q4" i="2" s="1"/>
  <c r="P3" i="2"/>
  <c r="Q3" i="2" s="1"/>
  <c r="F16" i="16"/>
  <c r="F6" i="16"/>
  <c r="G5" i="16"/>
  <c r="F5" i="16"/>
  <c r="F27" i="16"/>
  <c r="F10" i="16"/>
  <c r="F9" i="16"/>
  <c r="F8" i="16"/>
  <c r="F7" i="16"/>
  <c r="F22" i="16"/>
  <c r="F32" i="16"/>
  <c r="F30" i="16"/>
  <c r="F21" i="16"/>
  <c r="F35" i="16"/>
  <c r="F13" i="16"/>
  <c r="F25" i="16"/>
  <c r="F15" i="16"/>
  <c r="F33" i="16"/>
  <c r="F31" i="16"/>
  <c r="F28" i="16"/>
  <c r="F37" i="16"/>
  <c r="F46" i="16"/>
  <c r="F36" i="16"/>
  <c r="F38" i="16"/>
  <c r="F39" i="16"/>
  <c r="F11" i="16"/>
  <c r="F24" i="16"/>
  <c r="F41" i="16"/>
  <c r="F34" i="16"/>
  <c r="F26" i="16"/>
  <c r="F43" i="16"/>
  <c r="F44" i="16"/>
  <c r="F29" i="16"/>
  <c r="F23" i="16"/>
  <c r="F42" i="16"/>
  <c r="F20" i="16"/>
  <c r="F17" i="16"/>
  <c r="F45" i="16"/>
  <c r="F47" i="16"/>
  <c r="F18" i="16"/>
  <c r="F19" i="16"/>
  <c r="F40" i="16"/>
  <c r="G25" i="15"/>
  <c r="G25" i="14"/>
  <c r="P25" i="14" s="1"/>
  <c r="K5" i="8"/>
  <c r="L5" i="8" s="1"/>
  <c r="L4" i="5"/>
  <c r="K3" i="5"/>
  <c r="L3" i="5" s="1"/>
  <c r="H3" i="9"/>
  <c r="I3" i="9" s="1"/>
  <c r="K22" i="19"/>
  <c r="T12" i="19"/>
  <c r="K4" i="19"/>
  <c r="N8" i="19"/>
  <c r="N15" i="19"/>
  <c r="T22" i="19"/>
  <c r="K23" i="19"/>
  <c r="T23" i="19"/>
  <c r="K20" i="19"/>
  <c r="K12" i="19"/>
  <c r="O4" i="14"/>
  <c r="O8" i="14"/>
  <c r="T20" i="19"/>
  <c r="T4" i="19"/>
  <c r="K18" i="19"/>
  <c r="T18" i="19"/>
  <c r="N11" i="19"/>
  <c r="N5" i="19"/>
  <c r="N9" i="19"/>
  <c r="C14" i="15"/>
  <c r="C11" i="14"/>
  <c r="L11" i="14" s="1"/>
  <c r="R11" i="14" s="1"/>
  <c r="C14" i="14"/>
  <c r="L14" i="14" s="1"/>
  <c r="R14" i="14" s="1"/>
  <c r="C12" i="14"/>
  <c r="L12" i="14" s="1"/>
  <c r="R12" i="14" s="1"/>
  <c r="C13" i="15"/>
  <c r="K475" i="9"/>
  <c r="E28" i="43" s="1"/>
  <c r="N28" i="43" s="1"/>
  <c r="C36" i="15"/>
  <c r="C36" i="14"/>
  <c r="L36" i="14" s="1"/>
  <c r="R36" i="14" s="1"/>
  <c r="K502" i="9"/>
  <c r="C15" i="14"/>
  <c r="L15" i="14" s="1"/>
  <c r="R15" i="14" s="1"/>
  <c r="C15" i="15"/>
  <c r="C11" i="15"/>
  <c r="C12" i="15"/>
  <c r="C29" i="14"/>
  <c r="L29" i="14" s="1"/>
  <c r="R29" i="14" s="1"/>
  <c r="C31" i="15"/>
  <c r="C27" i="14"/>
  <c r="L27" i="14" s="1"/>
  <c r="R27" i="14" s="1"/>
  <c r="C35" i="14"/>
  <c r="L35" i="14" s="1"/>
  <c r="R35" i="14" s="1"/>
  <c r="C35" i="15"/>
  <c r="C34" i="15"/>
  <c r="C30" i="15"/>
  <c r="C31" i="14"/>
  <c r="L31" i="14" s="1"/>
  <c r="R31" i="14" s="1"/>
  <c r="C34" i="14"/>
  <c r="L34" i="14" s="1"/>
  <c r="R34" i="14" s="1"/>
  <c r="K627" i="9"/>
  <c r="E7" i="37" s="1"/>
  <c r="C13" i="14"/>
  <c r="L13" i="14" s="1"/>
  <c r="R13" i="14" s="1"/>
  <c r="K632" i="9"/>
  <c r="C10" i="14"/>
  <c r="L10" i="14" s="1"/>
  <c r="R10" i="14" s="1"/>
  <c r="C10" i="15"/>
  <c r="K755" i="9"/>
  <c r="E6" i="44" s="1"/>
  <c r="C40" i="15"/>
  <c r="C40" i="14"/>
  <c r="L40" i="14" s="1"/>
  <c r="R40" i="14" s="1"/>
  <c r="C33" i="14"/>
  <c r="L33" i="14" s="1"/>
  <c r="R33" i="14" s="1"/>
  <c r="C33" i="15"/>
  <c r="K490" i="9"/>
  <c r="C7" i="14"/>
  <c r="L7" i="14" s="1"/>
  <c r="R7" i="14" s="1"/>
  <c r="C7" i="15"/>
  <c r="K506" i="9"/>
  <c r="C37" i="14"/>
  <c r="L37" i="14" s="1"/>
  <c r="R37" i="14" s="1"/>
  <c r="C37" i="15"/>
  <c r="C29" i="15"/>
  <c r="C27" i="15"/>
  <c r="K777" i="9"/>
  <c r="E23" i="44" s="1"/>
  <c r="K800" i="9"/>
  <c r="K554" i="9"/>
  <c r="N6" i="19" s="1"/>
  <c r="K270" i="9"/>
  <c r="K460" i="9"/>
  <c r="E26" i="44" s="1"/>
  <c r="N26" i="44" s="1"/>
  <c r="K675" i="9"/>
  <c r="K564" i="9"/>
  <c r="K615" i="9"/>
  <c r="E21" i="37" s="1"/>
  <c r="K809" i="9"/>
  <c r="E15" i="37" s="1"/>
  <c r="K272" i="9"/>
  <c r="K370" i="9"/>
  <c r="K549" i="9"/>
  <c r="E30" i="37" s="1"/>
  <c r="K614" i="9"/>
  <c r="K686" i="9"/>
  <c r="K379" i="9"/>
  <c r="E27" i="19" s="1"/>
  <c r="K520" i="9"/>
  <c r="K483" i="9"/>
  <c r="E10" i="44" s="1"/>
  <c r="C32" i="14"/>
  <c r="L32" i="14" s="1"/>
  <c r="R32" i="14" s="1"/>
  <c r="C9" i="15"/>
  <c r="C19" i="15"/>
  <c r="C32" i="15"/>
  <c r="C20" i="14"/>
  <c r="L20" i="14" s="1"/>
  <c r="C17" i="15"/>
  <c r="C21" i="14"/>
  <c r="L21" i="14" s="1"/>
  <c r="R21" i="14" s="1"/>
  <c r="C20" i="15"/>
  <c r="C19" i="14"/>
  <c r="L19" i="14" s="1"/>
  <c r="R19" i="14" s="1"/>
  <c r="C26" i="15"/>
  <c r="C21" i="15"/>
  <c r="C8" i="15"/>
  <c r="C18" i="14"/>
  <c r="L18" i="14" s="1"/>
  <c r="C23" i="14"/>
  <c r="L23" i="14" s="1"/>
  <c r="R23" i="14" s="1"/>
  <c r="C23" i="15"/>
  <c r="C16" i="15"/>
  <c r="K366" i="9"/>
  <c r="C26" i="14"/>
  <c r="L26" i="14" s="1"/>
  <c r="R26" i="14" s="1"/>
  <c r="C16" i="14"/>
  <c r="L16" i="14" s="1"/>
  <c r="R16" i="14" s="1"/>
  <c r="C8" i="14"/>
  <c r="L8" i="14" s="1"/>
  <c r="R8" i="14" s="1"/>
  <c r="C25" i="14"/>
  <c r="L25" i="14" s="1"/>
  <c r="R25" i="14" s="1"/>
  <c r="C18" i="15"/>
  <c r="C17" i="14"/>
  <c r="L17" i="14" s="1"/>
  <c r="R17" i="14" s="1"/>
  <c r="C25" i="15"/>
  <c r="R9" i="14"/>
  <c r="R28" i="14"/>
  <c r="R24" i="14"/>
  <c r="C22" i="14"/>
  <c r="L22" i="14" s="1"/>
  <c r="K709" i="9"/>
  <c r="E13" i="37" s="1"/>
  <c r="C22" i="15"/>
  <c r="M22" i="14"/>
  <c r="M18" i="14"/>
  <c r="M20" i="14"/>
  <c r="M30" i="14"/>
  <c r="R30" i="14" s="1"/>
  <c r="C26" i="16"/>
  <c r="N22" i="47" l="1"/>
  <c r="T22" i="47" s="1"/>
  <c r="K22" i="47"/>
  <c r="N25" i="47"/>
  <c r="T25" i="47" s="1"/>
  <c r="K25" i="47"/>
  <c r="N27" i="47"/>
  <c r="T27" i="47" s="1"/>
  <c r="K27" i="47"/>
  <c r="H25" i="43"/>
  <c r="Q25" i="43" s="1"/>
  <c r="T10" i="43"/>
  <c r="E25" i="44"/>
  <c r="N25" i="44" s="1"/>
  <c r="E28" i="44"/>
  <c r="N28" i="44" s="1"/>
  <c r="N23" i="44"/>
  <c r="T23" i="44" s="1"/>
  <c r="K23" i="44"/>
  <c r="E26" i="37"/>
  <c r="N26" i="37" s="1"/>
  <c r="T26" i="37" s="1"/>
  <c r="H25" i="44"/>
  <c r="Q25" i="44" s="1"/>
  <c r="H17" i="43"/>
  <c r="Q17" i="43" s="1"/>
  <c r="T17" i="43" s="1"/>
  <c r="H14" i="43"/>
  <c r="Q14" i="43" s="1"/>
  <c r="T14" i="43" s="1"/>
  <c r="Q4" i="37"/>
  <c r="T4" i="37" s="1"/>
  <c r="K4" i="37"/>
  <c r="E28" i="37"/>
  <c r="H22" i="44"/>
  <c r="Q22" i="44" s="1"/>
  <c r="H22" i="43"/>
  <c r="E25" i="37"/>
  <c r="K25" i="37" s="1"/>
  <c r="E25" i="43"/>
  <c r="T9" i="43"/>
  <c r="E23" i="37"/>
  <c r="E28" i="19"/>
  <c r="N28" i="19" s="1"/>
  <c r="T28" i="19" s="1"/>
  <c r="H10" i="44"/>
  <c r="Q10" i="44" s="1"/>
  <c r="H28" i="44"/>
  <c r="Q28" i="44" s="1"/>
  <c r="E22" i="37"/>
  <c r="K4" i="44"/>
  <c r="E22" i="44"/>
  <c r="T4" i="44"/>
  <c r="H14" i="44"/>
  <c r="Q14" i="44" s="1"/>
  <c r="K21" i="43"/>
  <c r="H26" i="44"/>
  <c r="Q26" i="44" s="1"/>
  <c r="T26" i="44" s="1"/>
  <c r="T21" i="43"/>
  <c r="T26" i="43"/>
  <c r="H3" i="44"/>
  <c r="Q3" i="44" s="1"/>
  <c r="H3" i="43"/>
  <c r="Q3" i="43" s="1"/>
  <c r="T3" i="43" s="1"/>
  <c r="K9" i="43"/>
  <c r="N10" i="19"/>
  <c r="T10" i="19" s="1"/>
  <c r="K10" i="43"/>
  <c r="N3" i="19"/>
  <c r="K26" i="43"/>
  <c r="K13" i="43"/>
  <c r="E24" i="37"/>
  <c r="K24" i="37" s="1"/>
  <c r="J5" i="12"/>
  <c r="K5" i="12" s="1"/>
  <c r="H15" i="44"/>
  <c r="H16" i="43"/>
  <c r="Q16" i="43" s="1"/>
  <c r="K11" i="44"/>
  <c r="E8" i="37"/>
  <c r="K8" i="37" s="1"/>
  <c r="E29" i="43"/>
  <c r="N29" i="43" s="1"/>
  <c r="T5" i="44"/>
  <c r="T28" i="43"/>
  <c r="E27" i="37"/>
  <c r="N27" i="37" s="1"/>
  <c r="T27" i="37" s="1"/>
  <c r="E9" i="37"/>
  <c r="K9" i="37" s="1"/>
  <c r="N10" i="44"/>
  <c r="E19" i="44"/>
  <c r="N6" i="44"/>
  <c r="T6" i="44" s="1"/>
  <c r="K6" i="44"/>
  <c r="T30" i="44"/>
  <c r="E16" i="43"/>
  <c r="E3" i="44"/>
  <c r="E27" i="44"/>
  <c r="H7" i="43"/>
  <c r="H7" i="44"/>
  <c r="Q7" i="44" s="1"/>
  <c r="T7" i="44" s="1"/>
  <c r="E17" i="37"/>
  <c r="N17" i="37" s="1"/>
  <c r="T17" i="37" s="1"/>
  <c r="E3" i="37"/>
  <c r="N30" i="43"/>
  <c r="T30" i="43" s="1"/>
  <c r="K30" i="43"/>
  <c r="E29" i="44"/>
  <c r="N29" i="44" s="1"/>
  <c r="K27" i="43"/>
  <c r="E13" i="44"/>
  <c r="H7" i="40"/>
  <c r="G8" i="40"/>
  <c r="N14" i="44"/>
  <c r="E9" i="44"/>
  <c r="K5" i="44"/>
  <c r="E16" i="44"/>
  <c r="N24" i="43"/>
  <c r="T24" i="43" s="1"/>
  <c r="K24" i="43"/>
  <c r="E17" i="44"/>
  <c r="H9" i="44"/>
  <c r="Q9" i="44" s="1"/>
  <c r="E16" i="19"/>
  <c r="N16" i="19" s="1"/>
  <c r="T16" i="19" s="1"/>
  <c r="K30" i="44"/>
  <c r="T27" i="43"/>
  <c r="K28" i="43"/>
  <c r="E21" i="44"/>
  <c r="E24" i="44"/>
  <c r="E8" i="44"/>
  <c r="H29" i="44"/>
  <c r="T5" i="37"/>
  <c r="K5" i="37"/>
  <c r="Q29" i="43"/>
  <c r="G7" i="42"/>
  <c r="H6" i="42"/>
  <c r="G6" i="39"/>
  <c r="H5" i="39"/>
  <c r="H5" i="42"/>
  <c r="E6" i="37"/>
  <c r="N6" i="37" s="1"/>
  <c r="T6" i="37" s="1"/>
  <c r="N24" i="37"/>
  <c r="T24" i="37" s="1"/>
  <c r="N30" i="37"/>
  <c r="T30" i="37" s="1"/>
  <c r="K30" i="37"/>
  <c r="K13" i="37"/>
  <c r="N13" i="37"/>
  <c r="T13" i="37" s="1"/>
  <c r="N25" i="37"/>
  <c r="T25" i="37" s="1"/>
  <c r="K15" i="37"/>
  <c r="N15" i="37"/>
  <c r="T15" i="37" s="1"/>
  <c r="K7" i="37"/>
  <c r="N7" i="37"/>
  <c r="T7" i="37" s="1"/>
  <c r="E30" i="19"/>
  <c r="K30" i="19" s="1"/>
  <c r="N19" i="19"/>
  <c r="T19" i="19" s="1"/>
  <c r="E19" i="37"/>
  <c r="E16" i="37"/>
  <c r="N11" i="37"/>
  <c r="T11" i="37" s="1"/>
  <c r="K11" i="37"/>
  <c r="N14" i="37"/>
  <c r="T14" i="37" s="1"/>
  <c r="K14" i="37"/>
  <c r="N21" i="37"/>
  <c r="T21" i="37" s="1"/>
  <c r="K21" i="37"/>
  <c r="E10" i="37"/>
  <c r="H5" i="36"/>
  <c r="G6" i="36"/>
  <c r="N27" i="19"/>
  <c r="T27" i="19" s="1"/>
  <c r="E29" i="19"/>
  <c r="K29" i="19" s="1"/>
  <c r="N28" i="37"/>
  <c r="T28" i="37" s="1"/>
  <c r="K28" i="37"/>
  <c r="E29" i="37"/>
  <c r="G8" i="34"/>
  <c r="H7" i="34"/>
  <c r="P5" i="2"/>
  <c r="Q5" i="2" s="1"/>
  <c r="G6" i="16"/>
  <c r="H5" i="16"/>
  <c r="H5" i="7"/>
  <c r="I5" i="7" s="1"/>
  <c r="K19" i="19"/>
  <c r="K3" i="19"/>
  <c r="T26" i="19"/>
  <c r="T8" i="19"/>
  <c r="T15" i="19"/>
  <c r="T13" i="19"/>
  <c r="T6" i="19"/>
  <c r="T14" i="19"/>
  <c r="T7" i="19"/>
  <c r="T3" i="19"/>
  <c r="K13" i="19"/>
  <c r="K5" i="5"/>
  <c r="L5" i="5" s="1"/>
  <c r="K7" i="19"/>
  <c r="K8" i="19"/>
  <c r="K26" i="19"/>
  <c r="K27" i="19"/>
  <c r="K6" i="19"/>
  <c r="K15" i="19"/>
  <c r="K14" i="19"/>
  <c r="T21" i="19"/>
  <c r="K21" i="19"/>
  <c r="T24" i="19"/>
  <c r="K24" i="19"/>
  <c r="T17" i="19"/>
  <c r="K17" i="19"/>
  <c r="T25" i="19"/>
  <c r="K25" i="19"/>
  <c r="T9" i="19"/>
  <c r="K9" i="19"/>
  <c r="T5" i="19"/>
  <c r="K5" i="19"/>
  <c r="K10" i="19"/>
  <c r="T11" i="19"/>
  <c r="K11" i="19"/>
  <c r="R20" i="14"/>
  <c r="R18" i="14"/>
  <c r="R22" i="14"/>
  <c r="I4" i="9"/>
  <c r="H5" i="9"/>
  <c r="I5" i="9" s="1"/>
  <c r="C27" i="16"/>
  <c r="T28" i="44" l="1"/>
  <c r="K28" i="44"/>
  <c r="T10" i="44"/>
  <c r="K26" i="37"/>
  <c r="K10" i="44"/>
  <c r="K28" i="19"/>
  <c r="T25" i="44"/>
  <c r="K14" i="43"/>
  <c r="K14" i="44"/>
  <c r="T14" i="44"/>
  <c r="K25" i="44"/>
  <c r="N22" i="44"/>
  <c r="K22" i="44"/>
  <c r="N25" i="43"/>
  <c r="T25" i="43" s="1"/>
  <c r="K25" i="43"/>
  <c r="K22" i="37"/>
  <c r="N22" i="37"/>
  <c r="T22" i="37" s="1"/>
  <c r="Q22" i="43"/>
  <c r="T22" i="43" s="1"/>
  <c r="K22" i="43"/>
  <c r="T22" i="44"/>
  <c r="K17" i="43"/>
  <c r="N23" i="37"/>
  <c r="T23" i="37" s="1"/>
  <c r="K23" i="37"/>
  <c r="K26" i="44"/>
  <c r="K3" i="43"/>
  <c r="N9" i="37"/>
  <c r="T9" i="37" s="1"/>
  <c r="Q15" i="44"/>
  <c r="T15" i="44" s="1"/>
  <c r="K15" i="44"/>
  <c r="N8" i="37"/>
  <c r="T8" i="37" s="1"/>
  <c r="K27" i="37"/>
  <c r="T29" i="43"/>
  <c r="K29" i="43"/>
  <c r="K17" i="37"/>
  <c r="N16" i="43"/>
  <c r="T16" i="43" s="1"/>
  <c r="K16" i="43"/>
  <c r="N8" i="44"/>
  <c r="T8" i="44" s="1"/>
  <c r="K8" i="44"/>
  <c r="N13" i="44"/>
  <c r="T13" i="44" s="1"/>
  <c r="K13" i="44"/>
  <c r="K16" i="19"/>
  <c r="N24" i="44"/>
  <c r="T24" i="44" s="1"/>
  <c r="K24" i="44"/>
  <c r="N21" i="44"/>
  <c r="T21" i="44" s="1"/>
  <c r="K21" i="44"/>
  <c r="G9" i="40"/>
  <c r="H8" i="40"/>
  <c r="K7" i="44"/>
  <c r="N16" i="44"/>
  <c r="T16" i="44" s="1"/>
  <c r="K16" i="44"/>
  <c r="N19" i="44"/>
  <c r="T19" i="44" s="1"/>
  <c r="K19" i="44"/>
  <c r="Q7" i="43"/>
  <c r="T7" i="43" s="1"/>
  <c r="K7" i="43"/>
  <c r="N27" i="44"/>
  <c r="T27" i="44" s="1"/>
  <c r="K27" i="44"/>
  <c r="N17" i="44"/>
  <c r="T17" i="44" s="1"/>
  <c r="K17" i="44"/>
  <c r="N9" i="44"/>
  <c r="T9" i="44" s="1"/>
  <c r="K9" i="44"/>
  <c r="N3" i="44"/>
  <c r="T3" i="44" s="1"/>
  <c r="K3" i="44"/>
  <c r="Q29" i="44"/>
  <c r="T29" i="44" s="1"/>
  <c r="K29" i="44"/>
  <c r="G8" i="42"/>
  <c r="H7" i="42"/>
  <c r="H6" i="39"/>
  <c r="G7" i="39"/>
  <c r="K6" i="37"/>
  <c r="N10" i="37"/>
  <c r="T10" i="37" s="1"/>
  <c r="K10" i="37"/>
  <c r="N29" i="19"/>
  <c r="T29" i="19" s="1"/>
  <c r="G7" i="36"/>
  <c r="H6" i="36"/>
  <c r="N30" i="19"/>
  <c r="T30" i="19" s="1"/>
  <c r="N3" i="37"/>
  <c r="T3" i="37" s="1"/>
  <c r="K3" i="37"/>
  <c r="N16" i="37"/>
  <c r="T16" i="37" s="1"/>
  <c r="K16" i="37"/>
  <c r="N29" i="37"/>
  <c r="T29" i="37" s="1"/>
  <c r="K29" i="37"/>
  <c r="N19" i="37"/>
  <c r="T19" i="37" s="1"/>
  <c r="K19" i="37"/>
  <c r="G9" i="34"/>
  <c r="H8" i="34"/>
  <c r="G7" i="16"/>
  <c r="H6" i="16"/>
  <c r="C28" i="16"/>
  <c r="H9" i="40" l="1"/>
  <c r="G10" i="40"/>
  <c r="G9" i="42"/>
  <c r="H8" i="42"/>
  <c r="H7" i="39"/>
  <c r="G8" i="39"/>
  <c r="H7" i="36"/>
  <c r="G8" i="36"/>
  <c r="H9" i="34"/>
  <c r="G10" i="34"/>
  <c r="G8" i="16"/>
  <c r="H7" i="16"/>
  <c r="C29" i="16"/>
  <c r="H10" i="40" l="1"/>
  <c r="G11" i="40"/>
  <c r="G10" i="42"/>
  <c r="H9" i="42"/>
  <c r="G9" i="39"/>
  <c r="H8" i="39"/>
  <c r="H8" i="36"/>
  <c r="G9" i="36"/>
  <c r="H10" i="34"/>
  <c r="G11" i="34"/>
  <c r="G9" i="16"/>
  <c r="H8" i="16"/>
  <c r="C30" i="16"/>
  <c r="G12" i="40" l="1"/>
  <c r="H11" i="40"/>
  <c r="G11" i="42"/>
  <c r="H10" i="42"/>
  <c r="G10" i="39"/>
  <c r="H9" i="39"/>
  <c r="H9" i="36"/>
  <c r="G10" i="36"/>
  <c r="G12" i="34"/>
  <c r="H11" i="34"/>
  <c r="G10" i="16"/>
  <c r="H9" i="16"/>
  <c r="C31" i="16"/>
  <c r="G13" i="40" l="1"/>
  <c r="H12" i="40"/>
  <c r="G12" i="42"/>
  <c r="H11" i="42"/>
  <c r="H10" i="39"/>
  <c r="G11" i="39"/>
  <c r="G11" i="36"/>
  <c r="H10" i="36"/>
  <c r="G13" i="34"/>
  <c r="H12" i="34"/>
  <c r="G11" i="16"/>
  <c r="H10" i="16"/>
  <c r="C32" i="16"/>
  <c r="H13" i="40" l="1"/>
  <c r="G14" i="40"/>
  <c r="G13" i="42"/>
  <c r="H12" i="42"/>
  <c r="G12" i="39"/>
  <c r="H11" i="39"/>
  <c r="H11" i="36"/>
  <c r="G12" i="36"/>
  <c r="G14" i="34"/>
  <c r="H13" i="34"/>
  <c r="G12" i="16"/>
  <c r="H11" i="16"/>
  <c r="C33" i="16"/>
  <c r="H14" i="40" l="1"/>
  <c r="G15" i="40"/>
  <c r="G14" i="42"/>
  <c r="H13" i="42"/>
  <c r="H12" i="39"/>
  <c r="G13" i="39"/>
  <c r="H12" i="36"/>
  <c r="G13" i="36"/>
  <c r="G15" i="34"/>
  <c r="H14" i="34"/>
  <c r="H12" i="16"/>
  <c r="G13" i="16"/>
  <c r="C34" i="16"/>
  <c r="G16" i="40" l="1"/>
  <c r="H15" i="40"/>
  <c r="G15" i="42"/>
  <c r="H14" i="42"/>
  <c r="G14" i="39"/>
  <c r="H13" i="39"/>
  <c r="G14" i="36"/>
  <c r="H13" i="36"/>
  <c r="G16" i="34"/>
  <c r="H15" i="34"/>
  <c r="G14" i="16"/>
  <c r="H13" i="16"/>
  <c r="C35" i="16"/>
  <c r="G17" i="40" l="1"/>
  <c r="H16" i="40"/>
  <c r="G16" i="42"/>
  <c r="H15" i="42"/>
  <c r="H14" i="39"/>
  <c r="G15" i="39"/>
  <c r="G15" i="36"/>
  <c r="H14" i="36"/>
  <c r="G17" i="34"/>
  <c r="H16" i="34"/>
  <c r="G15" i="16"/>
  <c r="H14" i="16"/>
  <c r="C36" i="16"/>
  <c r="G18" i="40" l="1"/>
  <c r="H17" i="40"/>
  <c r="G17" i="42"/>
  <c r="H16" i="42"/>
  <c r="H15" i="39"/>
  <c r="G16" i="39"/>
  <c r="H15" i="36"/>
  <c r="G16" i="36"/>
  <c r="G18" i="34"/>
  <c r="H17" i="34"/>
  <c r="G16" i="16"/>
  <c r="H15" i="16"/>
  <c r="C37" i="16"/>
  <c r="C38" i="16"/>
  <c r="H18" i="40" l="1"/>
  <c r="G19" i="40"/>
  <c r="G18" i="42"/>
  <c r="H17" i="42"/>
  <c r="G17" i="39"/>
  <c r="H16" i="39"/>
  <c r="H16" i="36"/>
  <c r="G17" i="36"/>
  <c r="G19" i="34"/>
  <c r="H18" i="34"/>
  <c r="G17" i="16"/>
  <c r="H16" i="16"/>
  <c r="G20" i="40" l="1"/>
  <c r="H19" i="40"/>
  <c r="G19" i="42"/>
  <c r="H18" i="42"/>
  <c r="G18" i="39"/>
  <c r="H17" i="39"/>
  <c r="H17" i="36"/>
  <c r="G18" i="36"/>
  <c r="G20" i="34"/>
  <c r="H19" i="34"/>
  <c r="H17" i="16"/>
  <c r="G18" i="16"/>
  <c r="H20" i="40" l="1"/>
  <c r="G21" i="40"/>
  <c r="G20" i="42"/>
  <c r="H19" i="42"/>
  <c r="H18" i="39"/>
  <c r="G19" i="39"/>
  <c r="G19" i="36"/>
  <c r="H18" i="36"/>
  <c r="G21" i="34"/>
  <c r="H20" i="34"/>
  <c r="G19" i="16"/>
  <c r="H18" i="16"/>
  <c r="G22" i="40" l="1"/>
  <c r="H21" i="40"/>
  <c r="G21" i="42"/>
  <c r="H20" i="42"/>
  <c r="H19" i="39"/>
  <c r="G20" i="39"/>
  <c r="H19" i="36"/>
  <c r="G20" i="36"/>
  <c r="G22" i="34"/>
  <c r="H21" i="34"/>
  <c r="H19" i="16"/>
  <c r="G20" i="16"/>
  <c r="H22" i="40" l="1"/>
  <c r="G23" i="40"/>
  <c r="G22" i="42"/>
  <c r="H21" i="42"/>
  <c r="H20" i="39"/>
  <c r="G21" i="39"/>
  <c r="H20" i="36"/>
  <c r="G21" i="36"/>
  <c r="G23" i="34"/>
  <c r="H22" i="34"/>
  <c r="H20" i="16"/>
  <c r="G21" i="16"/>
  <c r="H23" i="40" l="1"/>
  <c r="G24" i="40"/>
  <c r="G23" i="42"/>
  <c r="H22" i="42"/>
  <c r="G22" i="39"/>
  <c r="H21" i="39"/>
  <c r="G22" i="36"/>
  <c r="H21" i="36"/>
  <c r="G24" i="34"/>
  <c r="H23" i="34"/>
  <c r="G22" i="16"/>
  <c r="H21" i="16"/>
  <c r="G25" i="40" l="1"/>
  <c r="H25" i="40" s="1"/>
  <c r="H24" i="40"/>
  <c r="G24" i="42"/>
  <c r="H23" i="42"/>
  <c r="H22" i="39"/>
  <c r="G23" i="39"/>
  <c r="G23" i="36"/>
  <c r="H22" i="36"/>
  <c r="G25" i="34"/>
  <c r="H24" i="34"/>
  <c r="H22" i="16"/>
  <c r="G23" i="16"/>
  <c r="G25" i="42" l="1"/>
  <c r="H24" i="42"/>
  <c r="H23" i="39"/>
  <c r="G24" i="39"/>
  <c r="H23" i="36"/>
  <c r="G24" i="36"/>
  <c r="G26" i="34"/>
  <c r="H25" i="34"/>
  <c r="G24" i="16"/>
  <c r="H23" i="16"/>
  <c r="G26" i="42" l="1"/>
  <c r="H25" i="42"/>
  <c r="G25" i="39"/>
  <c r="H24" i="39"/>
  <c r="H24" i="36"/>
  <c r="G25" i="36"/>
  <c r="G27" i="34"/>
  <c r="H26" i="34"/>
  <c r="H24" i="16"/>
  <c r="G25" i="16"/>
  <c r="G27" i="42" l="1"/>
  <c r="H26" i="42"/>
  <c r="H25" i="39"/>
  <c r="G26" i="39"/>
  <c r="G26" i="36"/>
  <c r="H25" i="36"/>
  <c r="G28" i="34"/>
  <c r="H27" i="34"/>
  <c r="G26" i="16"/>
  <c r="H25" i="16"/>
  <c r="G28" i="42" l="1"/>
  <c r="H27" i="42"/>
  <c r="G27" i="39"/>
  <c r="H26" i="39"/>
  <c r="G27" i="36"/>
  <c r="H26" i="36"/>
  <c r="G29" i="34"/>
  <c r="H28" i="34"/>
  <c r="H26" i="16"/>
  <c r="G27" i="16"/>
  <c r="G29" i="42" l="1"/>
  <c r="H28" i="42"/>
  <c r="H27" i="39"/>
  <c r="G28" i="39"/>
  <c r="H27" i="36"/>
  <c r="G28" i="36"/>
  <c r="G30" i="34"/>
  <c r="H29" i="34"/>
  <c r="G28" i="16"/>
  <c r="H27" i="16"/>
  <c r="G30" i="42" l="1"/>
  <c r="H29" i="42"/>
  <c r="G29" i="39"/>
  <c r="H28" i="39"/>
  <c r="H28" i="36"/>
  <c r="G29" i="36"/>
  <c r="G31" i="34"/>
  <c r="H30" i="34"/>
  <c r="H28" i="16"/>
  <c r="G29" i="16"/>
  <c r="G31" i="42" l="1"/>
  <c r="H30" i="42"/>
  <c r="H29" i="39"/>
  <c r="G30" i="39"/>
  <c r="H29" i="36"/>
  <c r="G30" i="36"/>
  <c r="G32" i="34"/>
  <c r="H32" i="34" s="1"/>
  <c r="H31" i="34"/>
  <c r="G30" i="16"/>
  <c r="H29" i="16"/>
  <c r="G32" i="42" l="1"/>
  <c r="H31" i="42"/>
  <c r="G31" i="39"/>
  <c r="H30" i="39"/>
  <c r="H30" i="36"/>
  <c r="G31" i="36"/>
  <c r="H30" i="16"/>
  <c r="G31" i="16"/>
  <c r="G33" i="42" l="1"/>
  <c r="H32" i="42"/>
  <c r="H31" i="39"/>
  <c r="G32" i="39"/>
  <c r="G32" i="36"/>
  <c r="H31" i="36"/>
  <c r="H31" i="16"/>
  <c r="G32" i="16"/>
  <c r="G34" i="42" l="1"/>
  <c r="H33" i="42"/>
  <c r="H32" i="39"/>
  <c r="G33" i="39"/>
  <c r="H32" i="36"/>
  <c r="G33" i="36"/>
  <c r="H32" i="16"/>
  <c r="G33" i="16"/>
  <c r="G35" i="42" l="1"/>
  <c r="H35" i="42" s="1"/>
  <c r="H34" i="42"/>
  <c r="G34" i="39"/>
  <c r="H34" i="39" s="1"/>
  <c r="H33" i="39"/>
  <c r="G34" i="36"/>
  <c r="H33" i="36"/>
  <c r="G34" i="16"/>
  <c r="H33" i="16"/>
  <c r="H34" i="36" l="1"/>
  <c r="G35" i="36"/>
  <c r="G35" i="16"/>
  <c r="H34" i="16"/>
  <c r="G36" i="36" l="1"/>
  <c r="H35" i="36"/>
  <c r="H35" i="16"/>
  <c r="G36" i="16"/>
  <c r="H36" i="36" l="1"/>
  <c r="G37" i="36"/>
  <c r="H36" i="16"/>
  <c r="G37" i="16"/>
  <c r="H37" i="36" l="1"/>
  <c r="G38" i="36"/>
  <c r="H37" i="16"/>
  <c r="G38" i="16"/>
  <c r="G39" i="36" l="1"/>
  <c r="H39" i="36" s="1"/>
  <c r="H38" i="36"/>
  <c r="G39" i="16"/>
  <c r="H38" i="16"/>
  <c r="H39" i="16" l="1"/>
  <c r="G40" i="16"/>
  <c r="G41" i="16" l="1"/>
  <c r="H40" i="16"/>
  <c r="G42" i="16" l="1"/>
  <c r="H41" i="16"/>
  <c r="G43" i="16" l="1"/>
  <c r="H42" i="16"/>
  <c r="H43" i="16" l="1"/>
  <c r="G44" i="16"/>
  <c r="G45" i="16" l="1"/>
  <c r="H44" i="16"/>
  <c r="G46" i="16" l="1"/>
  <c r="H45" i="16"/>
  <c r="H46" i="16" l="1"/>
  <c r="G47" i="16"/>
  <c r="H47" i="16" s="1"/>
  <c r="F33" i="34" l="1"/>
  <c r="G33" i="34"/>
  <c r="H33" i="34" s="1"/>
  <c r="G34" i="34" l="1"/>
  <c r="H34" i="34" l="1"/>
  <c r="G35" i="34"/>
  <c r="G36" i="34" l="1"/>
  <c r="H35" i="34"/>
  <c r="H36" i="34" l="1"/>
  <c r="G37" i="34"/>
  <c r="G38" i="34" l="1"/>
  <c r="H37" i="34"/>
  <c r="G39" i="34" l="1"/>
  <c r="H39" i="34" s="1"/>
  <c r="H38" i="34"/>
</calcChain>
</file>

<file path=xl/sharedStrings.xml><?xml version="1.0" encoding="utf-8"?>
<sst xmlns="http://schemas.openxmlformats.org/spreadsheetml/2006/main" count="20773" uniqueCount="2894">
  <si>
    <t>Team</t>
  </si>
  <si>
    <t>Farm</t>
  </si>
  <si>
    <t>Responsible Person</t>
  </si>
  <si>
    <t>Pond</t>
  </si>
  <si>
    <t>Area (Rai)</t>
  </si>
  <si>
    <t>Water Depth (m)</t>
  </si>
  <si>
    <t>Pond Bottom</t>
  </si>
  <si>
    <t>Pond Type</t>
  </si>
  <si>
    <t>Treatment   (บ่อน้ำพร้อมใช้)</t>
  </si>
  <si>
    <t>Culture Type</t>
  </si>
  <si>
    <t>Culture Type Actual</t>
  </si>
  <si>
    <t>Water/Feed (m3/kg)</t>
  </si>
  <si>
    <t>Prepare Date</t>
  </si>
  <si>
    <t>Stocking Date</t>
  </si>
  <si>
    <t>Million Pcs</t>
  </si>
  <si>
    <t>Den (m3)</t>
  </si>
  <si>
    <t>Pullet (g)</t>
  </si>
  <si>
    <t>Product</t>
  </si>
  <si>
    <t>Harvest Times</t>
  </si>
  <si>
    <t>Closed Date</t>
  </si>
  <si>
    <t>S</t>
  </si>
  <si>
    <t>Success Fail Drain</t>
  </si>
  <si>
    <t>DoC Culture</t>
  </si>
  <si>
    <t>Ton</t>
  </si>
  <si>
    <t>Yield (Ton/Rai)</t>
  </si>
  <si>
    <t>Avg Size</t>
  </si>
  <si>
    <t>%SR</t>
  </si>
  <si>
    <t>MBW</t>
  </si>
  <si>
    <t>ADG (g)</t>
  </si>
  <si>
    <t>FCR</t>
  </si>
  <si>
    <t>Total Feed (Kg)</t>
  </si>
  <si>
    <t>Act Water Stocking (m3)</t>
  </si>
  <si>
    <t>Act Water Usage (m3)</t>
  </si>
  <si>
    <t>Disease</t>
  </si>
  <si>
    <t>Disease PCR</t>
  </si>
  <si>
    <t>PCR DOC</t>
  </si>
  <si>
    <t>Size Closed</t>
  </si>
  <si>
    <t>Ton Closed</t>
  </si>
  <si>
    <t>Closed By</t>
  </si>
  <si>
    <t>First Salinity</t>
  </si>
  <si>
    <t>First Salinity Date</t>
  </si>
  <si>
    <t>Last Salinity</t>
  </si>
  <si>
    <t>Last Salinity Date</t>
  </si>
  <si>
    <t>Selling Price ( /Kg)</t>
  </si>
  <si>
    <t>B</t>
  </si>
  <si>
    <t>Seed</t>
  </si>
  <si>
    <t>Feed</t>
  </si>
  <si>
    <t>Probiotic</t>
  </si>
  <si>
    <t>RM</t>
  </si>
  <si>
    <t>Wage</t>
  </si>
  <si>
    <t>Energy</t>
  </si>
  <si>
    <t>Maint Pond</t>
  </si>
  <si>
    <t>Maintenance</t>
  </si>
  <si>
    <t>Others</t>
  </si>
  <si>
    <t>VC</t>
  </si>
  <si>
    <t>CM</t>
  </si>
  <si>
    <t>Depreciation</t>
  </si>
  <si>
    <t>Rent</t>
  </si>
  <si>
    <t>FC</t>
  </si>
  <si>
    <t>Production Cost (Est)  (/Kg)</t>
  </si>
  <si>
    <t>STD Cost (/kg)</t>
  </si>
  <si>
    <t>Gross Profit ( /Kg)</t>
  </si>
  <si>
    <t>Gross Profit ('000)</t>
  </si>
  <si>
    <t>Farm Org</t>
  </si>
  <si>
    <t>CT</t>
  </si>
  <si>
    <t>Thailand</t>
  </si>
  <si>
    <t>Roiphet Research</t>
  </si>
  <si>
    <t>Greenhouse</t>
  </si>
  <si>
    <t>UF+Ozone</t>
  </si>
  <si>
    <t>จุลินทรีย์บำบัด + เปลี่ยนถ่ายน้ำ</t>
  </si>
  <si>
    <t>Van</t>
  </si>
  <si>
    <t>Fail</t>
  </si>
  <si>
    <t>PE 0.75 mm.</t>
  </si>
  <si>
    <t>EHP</t>
  </si>
  <si>
    <t>37</t>
  </si>
  <si>
    <t>Outdoor</t>
  </si>
  <si>
    <t>กุ้งร่วง</t>
  </si>
  <si>
    <t>ทยอยตาย</t>
  </si>
  <si>
    <t>46</t>
  </si>
  <si>
    <t>ระบบเปลี่ยนถ่ายน้ำ</t>
  </si>
  <si>
    <t>52</t>
  </si>
  <si>
    <t>Normal</t>
  </si>
  <si>
    <t>51</t>
  </si>
  <si>
    <t>39</t>
  </si>
  <si>
    <t>PE 1.00 mm.</t>
  </si>
  <si>
    <t>อัตรารอดต่ำ</t>
  </si>
  <si>
    <t>Success</t>
  </si>
  <si>
    <t>Yisan</t>
  </si>
  <si>
    <t>PE 1.50 mm.</t>
  </si>
  <si>
    <t>จุลินทรีย์บำบัด</t>
  </si>
  <si>
    <t>13</t>
  </si>
  <si>
    <t>Tank</t>
  </si>
  <si>
    <t>15</t>
  </si>
  <si>
    <t>18</t>
  </si>
  <si>
    <t>20</t>
  </si>
  <si>
    <t>คลอรีนไดออกไซด์(ClO2)</t>
  </si>
  <si>
    <t>21</t>
  </si>
  <si>
    <t>22</t>
  </si>
  <si>
    <t>AHPND</t>
  </si>
  <si>
    <t>11</t>
  </si>
  <si>
    <t>WSSV</t>
  </si>
  <si>
    <t>8</t>
  </si>
  <si>
    <t>14</t>
  </si>
  <si>
    <t>38</t>
  </si>
  <si>
    <t>9</t>
  </si>
  <si>
    <t>10</t>
  </si>
  <si>
    <t>12</t>
  </si>
  <si>
    <t>Yisan Research</t>
  </si>
  <si>
    <t>23</t>
  </si>
  <si>
    <t>7</t>
  </si>
  <si>
    <t>3</t>
  </si>
  <si>
    <t>Slow Growth</t>
  </si>
  <si>
    <t>คลอรีนน้ำ (NaClO)</t>
  </si>
  <si>
    <t>K Chan</t>
  </si>
  <si>
    <t>752801-A1-047-0009</t>
  </si>
  <si>
    <t>Talaytong</t>
  </si>
  <si>
    <t>31</t>
  </si>
  <si>
    <t>34</t>
  </si>
  <si>
    <t>769303-A1-034-0008</t>
  </si>
  <si>
    <t>A1-034-0008</t>
  </si>
  <si>
    <t>K Samrerng.cha</t>
  </si>
  <si>
    <t>769303-A1-038-0008</t>
  </si>
  <si>
    <t>B1-032-0008</t>
  </si>
  <si>
    <t>30</t>
  </si>
  <si>
    <t>769303-B1-032-0008</t>
  </si>
  <si>
    <t>A1-039-0006</t>
  </si>
  <si>
    <t>WFD</t>
  </si>
  <si>
    <t>33</t>
  </si>
  <si>
    <t>769303-A1-039-0006</t>
  </si>
  <si>
    <t>A1-038-0010</t>
  </si>
  <si>
    <t>48</t>
  </si>
  <si>
    <t>27</t>
  </si>
  <si>
    <t>769303-A1-038-0010</t>
  </si>
  <si>
    <t>A1-038-0008</t>
  </si>
  <si>
    <t>35</t>
  </si>
  <si>
    <t>A1-039-0007</t>
  </si>
  <si>
    <t>26</t>
  </si>
  <si>
    <t>769303-A1-039-0007</t>
  </si>
  <si>
    <t>Chantaburi3</t>
  </si>
  <si>
    <t>753201-A1-009-0042</t>
  </si>
  <si>
    <t>K Sompon.pon</t>
  </si>
  <si>
    <t>A1-009-0043</t>
  </si>
  <si>
    <t>753201-A1-009-0043</t>
  </si>
  <si>
    <t>B1-024-0041</t>
  </si>
  <si>
    <t>32</t>
  </si>
  <si>
    <t>753201-B1-024-0041</t>
  </si>
  <si>
    <t>A1-011-0044</t>
  </si>
  <si>
    <t>40</t>
  </si>
  <si>
    <t>19</t>
  </si>
  <si>
    <t>753201-A1-011-0044</t>
  </si>
  <si>
    <t>A1-010-0047</t>
  </si>
  <si>
    <t>753201-A1-010-0047</t>
  </si>
  <si>
    <t>A1-010-0046</t>
  </si>
  <si>
    <t>753201-A1-010-0046</t>
  </si>
  <si>
    <t>A1-009-0042</t>
  </si>
  <si>
    <t>B1-023-0027</t>
  </si>
  <si>
    <t>85</t>
  </si>
  <si>
    <t>36</t>
  </si>
  <si>
    <t>753201-B1-023-0027</t>
  </si>
  <si>
    <t>A1-011-0043</t>
  </si>
  <si>
    <t>753201-A1-011-0043</t>
  </si>
  <si>
    <t>B1-024-0042</t>
  </si>
  <si>
    <t>753201-B1-024-0042</t>
  </si>
  <si>
    <t>K Sompong.opp</t>
  </si>
  <si>
    <t>B1-023-0029</t>
  </si>
  <si>
    <t>753201-B1-023-0029</t>
  </si>
  <si>
    <t>Lucky2</t>
  </si>
  <si>
    <t>753901-AC-001-0008</t>
  </si>
  <si>
    <t>K Teerawut.udk</t>
  </si>
  <si>
    <t>A1-045-0005</t>
  </si>
  <si>
    <t>29</t>
  </si>
  <si>
    <t>753903-A1-045-0005</t>
  </si>
  <si>
    <t>AC-004-0010</t>
  </si>
  <si>
    <t>Tank 800 m³</t>
  </si>
  <si>
    <t>753901-AC-004-0010</t>
  </si>
  <si>
    <t>AC-003-0009</t>
  </si>
  <si>
    <t>25</t>
  </si>
  <si>
    <t>753901-AC-003-0009</t>
  </si>
  <si>
    <t>AC-005-0010</t>
  </si>
  <si>
    <t>753901-AC-005-0010</t>
  </si>
  <si>
    <t>AC-002-0009</t>
  </si>
  <si>
    <t>753901-AC-002-0009</t>
  </si>
  <si>
    <t>A1-045-0004</t>
  </si>
  <si>
    <t>753903-A1-045-0004</t>
  </si>
  <si>
    <t>AC-001-0009</t>
  </si>
  <si>
    <t>753901-AC-001-0009</t>
  </si>
  <si>
    <t>AC-005-0009</t>
  </si>
  <si>
    <t>753901-AC-005-0009</t>
  </si>
  <si>
    <t>AC-004-0009</t>
  </si>
  <si>
    <t>24</t>
  </si>
  <si>
    <t>753901-AC-004-0009</t>
  </si>
  <si>
    <t>AC-002-0010</t>
  </si>
  <si>
    <t>753901-AC-002-0010</t>
  </si>
  <si>
    <t>AC-003-0008</t>
  </si>
  <si>
    <t>6</t>
  </si>
  <si>
    <t>753901-AC-003-0008</t>
  </si>
  <si>
    <t>AC-002-0008</t>
  </si>
  <si>
    <t>5</t>
  </si>
  <si>
    <t>28</t>
  </si>
  <si>
    <t>753901-AC-002-0008</t>
  </si>
  <si>
    <t>AC-001-0010</t>
  </si>
  <si>
    <t>753901-AC-001-0010</t>
  </si>
  <si>
    <t>AC-001-0008</t>
  </si>
  <si>
    <t>AC-005-0008</t>
  </si>
  <si>
    <t>753901-AC-005-0008</t>
  </si>
  <si>
    <t>A1-045-0003</t>
  </si>
  <si>
    <t>753903-A1-045-0003</t>
  </si>
  <si>
    <t>AC-004-0008</t>
  </si>
  <si>
    <t>753901-AC-004-0008</t>
  </si>
  <si>
    <t>Tamai2</t>
  </si>
  <si>
    <t>770801-A1-006-0026</t>
  </si>
  <si>
    <t>K Supot.bus</t>
  </si>
  <si>
    <t>770804-C1-058-0011</t>
  </si>
  <si>
    <t>C1-058-0011</t>
  </si>
  <si>
    <t>D1-073-0010</t>
  </si>
  <si>
    <t>16</t>
  </si>
  <si>
    <t>770805-D1-073-0010</t>
  </si>
  <si>
    <t>D1-040-0028</t>
  </si>
  <si>
    <t>58</t>
  </si>
  <si>
    <t>770805-D1-040-0028</t>
  </si>
  <si>
    <t>D1-039-0028</t>
  </si>
  <si>
    <t>770805-D1-039-0028</t>
  </si>
  <si>
    <t>D1-068-0004</t>
  </si>
  <si>
    <t>770805-D1-068-0004</t>
  </si>
  <si>
    <t>D1-073-0009</t>
  </si>
  <si>
    <t>770805-D1-073-0009</t>
  </si>
  <si>
    <t>K Jirapat.num</t>
  </si>
  <si>
    <t>C1-057-0010</t>
  </si>
  <si>
    <t>770804-C1-057-0010</t>
  </si>
  <si>
    <t>C1-058-0010</t>
  </si>
  <si>
    <t>770804-C1-058-0010</t>
  </si>
  <si>
    <t>C1-093-0008</t>
  </si>
  <si>
    <t>770804-C1-093-0008</t>
  </si>
  <si>
    <t>C1-057-0011</t>
  </si>
  <si>
    <t>770804-C1-057-0011</t>
  </si>
  <si>
    <t>E1-032-0037</t>
  </si>
  <si>
    <t>770801-E1-032-0037</t>
  </si>
  <si>
    <t>A1-082-0008</t>
  </si>
  <si>
    <t>770801-A1-082-0008</t>
  </si>
  <si>
    <t>E1-032-0036</t>
  </si>
  <si>
    <t>770801-E1-032-0036</t>
  </si>
  <si>
    <t>A1-006-0026</t>
  </si>
  <si>
    <t>C1-057-0009</t>
  </si>
  <si>
    <t>770804-C1-057-0009</t>
  </si>
  <si>
    <t>E1-027-0035</t>
  </si>
  <si>
    <t>770801-E1-027-0035</t>
  </si>
  <si>
    <t>A1-006-0027</t>
  </si>
  <si>
    <t>A1-032-0033</t>
  </si>
  <si>
    <t>Lucky3</t>
  </si>
  <si>
    <t>754001-B1-011-0027</t>
  </si>
  <si>
    <t>K Weerachai.sre</t>
  </si>
  <si>
    <t>BG-027-0012</t>
  </si>
  <si>
    <t>754001-BG-027-0012</t>
  </si>
  <si>
    <t>B1-024-0010</t>
  </si>
  <si>
    <t>754001-B1-024-0010</t>
  </si>
  <si>
    <t>BG-026-0011</t>
  </si>
  <si>
    <t>ลอกคราบตาย</t>
  </si>
  <si>
    <t>754001-BG-026-0011</t>
  </si>
  <si>
    <t>B1-022-0012</t>
  </si>
  <si>
    <t>Nitrite</t>
  </si>
  <si>
    <t>754001-B1-022-0012</t>
  </si>
  <si>
    <t>BG-027-0011</t>
  </si>
  <si>
    <t>754001-BG-027-0011</t>
  </si>
  <si>
    <t>B1-023-0012</t>
  </si>
  <si>
    <t>754001-B1-023-0012</t>
  </si>
  <si>
    <t>B1-011-0028</t>
  </si>
  <si>
    <t>57</t>
  </si>
  <si>
    <t>754001-B1-011-0028</t>
  </si>
  <si>
    <t>B1-023-0011</t>
  </si>
  <si>
    <t>754001-B1-023-0011</t>
  </si>
  <si>
    <t>BG-027-0010</t>
  </si>
  <si>
    <t>754001-BG-027-0010</t>
  </si>
  <si>
    <t>B1-022-0011</t>
  </si>
  <si>
    <t>754001-B1-022-0011</t>
  </si>
  <si>
    <t>B1-024-0009</t>
  </si>
  <si>
    <t>754001-B1-024-0009</t>
  </si>
  <si>
    <t>B1-025-0010</t>
  </si>
  <si>
    <t>754001-B1-025-0010</t>
  </si>
  <si>
    <t>BG-026-0010</t>
  </si>
  <si>
    <t>754001-BG-026-0010</t>
  </si>
  <si>
    <t>B1-011-0027</t>
  </si>
  <si>
    <t>B1-025-0011</t>
  </si>
  <si>
    <t>BG-026-0012</t>
  </si>
  <si>
    <t>Kamong</t>
  </si>
  <si>
    <t>752901-C1-006-0030</t>
  </si>
  <si>
    <t>K Watcharapong.kru</t>
  </si>
  <si>
    <t>752901-D1-022-0038</t>
  </si>
  <si>
    <t>D1-022-0039</t>
  </si>
  <si>
    <t>752901-D1-022-0039</t>
  </si>
  <si>
    <t>D1-022-0040</t>
  </si>
  <si>
    <t>752901-D1-022-0040</t>
  </si>
  <si>
    <t>D1-027-0002</t>
  </si>
  <si>
    <t>752901-D1-027-0002</t>
  </si>
  <si>
    <t>D1-027-0001</t>
  </si>
  <si>
    <t>752901-D1-027-0001</t>
  </si>
  <si>
    <t>D1-022-0038</t>
  </si>
  <si>
    <t>D1-032-0008</t>
  </si>
  <si>
    <t>752901-D1-032-0008</t>
  </si>
  <si>
    <t>K Jirapong.mas</t>
  </si>
  <si>
    <t>752903-AG-011-0008</t>
  </si>
  <si>
    <t>AG-011-0008</t>
  </si>
  <si>
    <t>K Methanart.kul</t>
  </si>
  <si>
    <t>C1-024-0042</t>
  </si>
  <si>
    <t>752901-C1-024-0042</t>
  </si>
  <si>
    <t>C1-018-0018</t>
  </si>
  <si>
    <t>752901-C1-018-0018</t>
  </si>
  <si>
    <t>C1-006-0030</t>
  </si>
  <si>
    <t>C1-006-0031</t>
  </si>
  <si>
    <t>109</t>
  </si>
  <si>
    <t>752901-C1-006-0031</t>
  </si>
  <si>
    <t>K Teerapong.pua</t>
  </si>
  <si>
    <t>752903-AG-011-0009</t>
  </si>
  <si>
    <t>AG-011-0009</t>
  </si>
  <si>
    <t>AG-031-0013</t>
  </si>
  <si>
    <t>752903-AG-031-0013</t>
  </si>
  <si>
    <t>AG-031-0012</t>
  </si>
  <si>
    <t>752903-AG-031-0012</t>
  </si>
  <si>
    <t>Lucky1</t>
  </si>
  <si>
    <t>787801-B1-015-0007</t>
  </si>
  <si>
    <t>K Kodchakarn.jam</t>
  </si>
  <si>
    <t>B1-020-0011</t>
  </si>
  <si>
    <t>787801-B1-020-0011</t>
  </si>
  <si>
    <t>B1-019-0013</t>
  </si>
  <si>
    <t>787801-B1-019-0013</t>
  </si>
  <si>
    <t>B1-021-0014</t>
  </si>
  <si>
    <t>787801-B1-021-0014</t>
  </si>
  <si>
    <t>B1-021-0015</t>
  </si>
  <si>
    <t>787801-B1-021-0015</t>
  </si>
  <si>
    <t>B1-017-0014</t>
  </si>
  <si>
    <t>787801-B1-017-0014</t>
  </si>
  <si>
    <t>B1-023-0013</t>
  </si>
  <si>
    <t>787801-B1-023-0013</t>
  </si>
  <si>
    <t>B1-016-0004</t>
  </si>
  <si>
    <t>56</t>
  </si>
  <si>
    <t>787801-B1-016-0004</t>
  </si>
  <si>
    <t>B1-024-0011</t>
  </si>
  <si>
    <t>787801-B1-024-0011</t>
  </si>
  <si>
    <t>B1-017-0012</t>
  </si>
  <si>
    <t>78</t>
  </si>
  <si>
    <t>787801-B1-017-0012</t>
  </si>
  <si>
    <t>B1-022-0010</t>
  </si>
  <si>
    <t>787801-B1-022-0010</t>
  </si>
  <si>
    <t>B1-015-0007</t>
  </si>
  <si>
    <t>B1-017-0013</t>
  </si>
  <si>
    <t>787801-B1-017-0013</t>
  </si>
  <si>
    <t>B1-019-0012</t>
  </si>
  <si>
    <t>787801-B1-019-0012</t>
  </si>
  <si>
    <t>B1-018-0011</t>
  </si>
  <si>
    <t>787801-B1-018-0011</t>
  </si>
  <si>
    <t>B1-020-0010</t>
  </si>
  <si>
    <t>787801-B1-020-0010</t>
  </si>
  <si>
    <t>B1-021-0013</t>
  </si>
  <si>
    <t>787801-B1-021-0013</t>
  </si>
  <si>
    <t>B1-018-0012</t>
  </si>
  <si>
    <t>K Manit.ler</t>
  </si>
  <si>
    <t>787803-BG-025-0009</t>
  </si>
  <si>
    <t>BG-028-0013</t>
  </si>
  <si>
    <t>UF</t>
  </si>
  <si>
    <t>787803-BG-028-0013</t>
  </si>
  <si>
    <t>BG-026-0013</t>
  </si>
  <si>
    <t>787803-BG-026-0013</t>
  </si>
  <si>
    <t>787803-BG-027-0011</t>
  </si>
  <si>
    <t>787803-BG-026-0012</t>
  </si>
  <si>
    <t>92</t>
  </si>
  <si>
    <t>787803-BG-027-0012</t>
  </si>
  <si>
    <t>BG-028-0012</t>
  </si>
  <si>
    <t>787803-BG-028-0012</t>
  </si>
  <si>
    <t>BG-028-0011</t>
  </si>
  <si>
    <t>787803-BG-028-0011</t>
  </si>
  <si>
    <t>BG-025-0009</t>
  </si>
  <si>
    <t>787803-BG-027-0010</t>
  </si>
  <si>
    <t>787803-BG-026-0011</t>
  </si>
  <si>
    <t>BG-025-0010</t>
  </si>
  <si>
    <t>787803-BG-025-0010</t>
  </si>
  <si>
    <t>CHBR1</t>
  </si>
  <si>
    <t>773101-A1-009-0033</t>
  </si>
  <si>
    <t>K Anek.pro</t>
  </si>
  <si>
    <t>A1-009-0034</t>
  </si>
  <si>
    <t>773101-A1-009-0034</t>
  </si>
  <si>
    <t>A1-012-0040</t>
  </si>
  <si>
    <t>773101-A1-012-0040</t>
  </si>
  <si>
    <t>A1-015-0017</t>
  </si>
  <si>
    <t>773101-A1-015-0017</t>
  </si>
  <si>
    <t>A1-016-0013</t>
  </si>
  <si>
    <t>773101-A1-016-0013</t>
  </si>
  <si>
    <t>A1-017-0013</t>
  </si>
  <si>
    <t>773101-A1-017-0013</t>
  </si>
  <si>
    <t>A1-012-0039</t>
  </si>
  <si>
    <t>773101-A1-012-0039</t>
  </si>
  <si>
    <t>A1-019-0004</t>
  </si>
  <si>
    <t>773101-A1-019-0004</t>
  </si>
  <si>
    <t>A1-011-0013</t>
  </si>
  <si>
    <t>773101-A1-011-0013</t>
  </si>
  <si>
    <t>A1-009-0033</t>
  </si>
  <si>
    <t>A1-018-0013</t>
  </si>
  <si>
    <t>773101-A1-018-0013</t>
  </si>
  <si>
    <t>A1-011-0014</t>
  </si>
  <si>
    <t>773101-A1-011-0014</t>
  </si>
  <si>
    <t>A1-015-0018</t>
  </si>
  <si>
    <t>773101-A1-015-0018</t>
  </si>
  <si>
    <t>A1-016-0012</t>
  </si>
  <si>
    <t>773101-A1-016-0012</t>
  </si>
  <si>
    <t>A1-018-0012</t>
  </si>
  <si>
    <t>773101-A1-018-0012</t>
  </si>
  <si>
    <t>A1-019-0005</t>
  </si>
  <si>
    <t>773101-A1-019-0005</t>
  </si>
  <si>
    <t>A1-017-0014</t>
  </si>
  <si>
    <t>773101-A1-017-0014</t>
  </si>
  <si>
    <t>Bangsakao</t>
  </si>
  <si>
    <t>784703-B1-003-0009</t>
  </si>
  <si>
    <t>K Phitakchon.jam</t>
  </si>
  <si>
    <t>B1-003-0010</t>
  </si>
  <si>
    <t>784703-B1-003-0010</t>
  </si>
  <si>
    <t>B1-003-0009</t>
  </si>
  <si>
    <t>B1-006-0013</t>
  </si>
  <si>
    <t>784703-B1-006-0013</t>
  </si>
  <si>
    <t>B1-006-0015</t>
  </si>
  <si>
    <t>K Bancha.pat</t>
  </si>
  <si>
    <t>784705-CG-002-0027</t>
  </si>
  <si>
    <t>CG-003-0027</t>
  </si>
  <si>
    <t>784705-CG-003-0027</t>
  </si>
  <si>
    <t>CG-004-0026</t>
  </si>
  <si>
    <t>784705-CG-004-0026</t>
  </si>
  <si>
    <t>CG-007-0025</t>
  </si>
  <si>
    <t>784705-CG-007-0025</t>
  </si>
  <si>
    <t>CG-006-0029</t>
  </si>
  <si>
    <t>784705-CG-006-0029</t>
  </si>
  <si>
    <t>CG-003-0026</t>
  </si>
  <si>
    <t>784705-CG-003-0026</t>
  </si>
  <si>
    <t>CG-008-0029</t>
  </si>
  <si>
    <t>784705-CG-008-0029</t>
  </si>
  <si>
    <t>CG-004-0025</t>
  </si>
  <si>
    <t>784705-CG-004-0025</t>
  </si>
  <si>
    <t>CG-002-0028</t>
  </si>
  <si>
    <t>784705-CG-002-0028</t>
  </si>
  <si>
    <t>CG-003-0025</t>
  </si>
  <si>
    <t>784705-CG-003-0025</t>
  </si>
  <si>
    <t>CG-006-0028</t>
  </si>
  <si>
    <t>17</t>
  </si>
  <si>
    <t>784705-CG-006-0028</t>
  </si>
  <si>
    <t>CG-007-0024</t>
  </si>
  <si>
    <t>784705-CG-007-0024</t>
  </si>
  <si>
    <t>CG-002-0027</t>
  </si>
  <si>
    <t>CG-009-0024</t>
  </si>
  <si>
    <t>784705-CG-009-0024</t>
  </si>
  <si>
    <t>CG-009-0025</t>
  </si>
  <si>
    <t>784705-CG-009-0025</t>
  </si>
  <si>
    <t>CG-008-0028</t>
  </si>
  <si>
    <t>784705-CG-008-0028</t>
  </si>
  <si>
    <t>K Boonchauy.pon</t>
  </si>
  <si>
    <t>784707-DG-001-0026</t>
  </si>
  <si>
    <t>DG-006-0026</t>
  </si>
  <si>
    <t>784707-DG-006-0026</t>
  </si>
  <si>
    <t>DG-001-0026</t>
  </si>
  <si>
    <t>DG-003-0024</t>
  </si>
  <si>
    <t>784707-DG-003-0024</t>
  </si>
  <si>
    <t>DG-004-0022</t>
  </si>
  <si>
    <t>784707-DG-004-0022</t>
  </si>
  <si>
    <t>DG-005-0024</t>
  </si>
  <si>
    <t>784707-DG-005-0024</t>
  </si>
  <si>
    <t>DG-006-0025</t>
  </si>
  <si>
    <t>784707-DG-006-0025</t>
  </si>
  <si>
    <t>DG-003-0025</t>
  </si>
  <si>
    <t>784707-DG-003-0025</t>
  </si>
  <si>
    <t>DG-002-0024</t>
  </si>
  <si>
    <t>784707-DG-002-0024</t>
  </si>
  <si>
    <t>DG-004-0023</t>
  </si>
  <si>
    <t>784707-DG-004-0023</t>
  </si>
  <si>
    <t>DG-002-0025</t>
  </si>
  <si>
    <t>784707-DG-002-0025</t>
  </si>
  <si>
    <t>DG-001-0027</t>
  </si>
  <si>
    <t>784707-DG-001-0027</t>
  </si>
  <si>
    <t>DG-005-0025</t>
  </si>
  <si>
    <t>784707-DG-005-0025</t>
  </si>
  <si>
    <t>Rayong3</t>
  </si>
  <si>
    <t>754301-A1-005-0028</t>
  </si>
  <si>
    <t>K Somrat.cha</t>
  </si>
  <si>
    <t>A1-005-0028</t>
  </si>
  <si>
    <t>A1-042-0009</t>
  </si>
  <si>
    <t>754301-A1-042-0009</t>
  </si>
  <si>
    <t>754301-C1-016-0037</t>
  </si>
  <si>
    <t>C1-016-0038</t>
  </si>
  <si>
    <t>754301-C1-016-0038</t>
  </si>
  <si>
    <t>C1-016-0037</t>
  </si>
  <si>
    <t>K Kosin.cho</t>
  </si>
  <si>
    <t>754301-D1-030-0016</t>
  </si>
  <si>
    <t>D1-031-0042</t>
  </si>
  <si>
    <t>754301-D1-031-0042</t>
  </si>
  <si>
    <t>D1-047-0011</t>
  </si>
  <si>
    <t>754301-D1-047-0011</t>
  </si>
  <si>
    <t>D1-030-0017</t>
  </si>
  <si>
    <t>99</t>
  </si>
  <si>
    <t>754301-D1-030-0017</t>
  </si>
  <si>
    <t>D1-046-0011</t>
  </si>
  <si>
    <t>754301-D1-046-0011</t>
  </si>
  <si>
    <t>D1-030-0016</t>
  </si>
  <si>
    <t>D1-031-0041</t>
  </si>
  <si>
    <t>754301-D1-031-0041</t>
  </si>
  <si>
    <t>K Pisit.boo</t>
  </si>
  <si>
    <t>754301-A1-023-0031</t>
  </si>
  <si>
    <t>A1-043-0009</t>
  </si>
  <si>
    <t>754301-A1-043-0009</t>
  </si>
  <si>
    <t>A1-045-0009</t>
  </si>
  <si>
    <t>754301-A1-045-0009</t>
  </si>
  <si>
    <t>A1-044-0012</t>
  </si>
  <si>
    <t>754301-A1-044-0012</t>
  </si>
  <si>
    <t>A1-023-0031</t>
  </si>
  <si>
    <t>Bo Thong</t>
  </si>
  <si>
    <t>จุลินทรีย์บำบัด + รีไซด์เคิล</t>
  </si>
  <si>
    <t>41</t>
  </si>
  <si>
    <t>788503-BG-001-0012</t>
  </si>
  <si>
    <t>BG-001-0012</t>
  </si>
  <si>
    <t>K Supunya.won</t>
  </si>
  <si>
    <t>788501-B1-010-0010</t>
  </si>
  <si>
    <t>B1-010-0011</t>
  </si>
  <si>
    <t>788501-B1-010-0011</t>
  </si>
  <si>
    <t>B1-011-0013</t>
  </si>
  <si>
    <t>788501-B1-011-0013</t>
  </si>
  <si>
    <t>B1-013-0013</t>
  </si>
  <si>
    <t>Melanization</t>
  </si>
  <si>
    <t>788501-B1-013-0013</t>
  </si>
  <si>
    <t>B1-015-0013</t>
  </si>
  <si>
    <t>788501-B1-015-0013</t>
  </si>
  <si>
    <t>B1-014-0012</t>
  </si>
  <si>
    <t>788501-B1-014-0012</t>
  </si>
  <si>
    <t>B1-013-0012</t>
  </si>
  <si>
    <t>788501-B1-013-0012</t>
  </si>
  <si>
    <t>B1-010-0010</t>
  </si>
  <si>
    <t>B1-011-0012</t>
  </si>
  <si>
    <t>788501-B1-011-0012</t>
  </si>
  <si>
    <t>B1-015-0012</t>
  </si>
  <si>
    <t>788501-B1-015-0012</t>
  </si>
  <si>
    <t>B1-014-0011</t>
  </si>
  <si>
    <t>788501-B1-014-0011</t>
  </si>
  <si>
    <t>K Teerawut.dec</t>
  </si>
  <si>
    <t>788503-BG-002-0013</t>
  </si>
  <si>
    <t>BG-002-0014</t>
  </si>
  <si>
    <t>788503-BG-002-0014</t>
  </si>
  <si>
    <t>BG-002-0013</t>
  </si>
  <si>
    <t>BG-002-0015</t>
  </si>
  <si>
    <t>Tachalab</t>
  </si>
  <si>
    <t>784801-A1-003-0023</t>
  </si>
  <si>
    <t>K Apichai.aqu</t>
  </si>
  <si>
    <t>A1-012-0016</t>
  </si>
  <si>
    <t>กุ้งไม่โต</t>
  </si>
  <si>
    <t>784801-A1-012-0016</t>
  </si>
  <si>
    <t>A1-011-0017</t>
  </si>
  <si>
    <t>784801-A1-011-0017</t>
  </si>
  <si>
    <t>B1-025-0015</t>
  </si>
  <si>
    <t>114</t>
  </si>
  <si>
    <t>784801-B1-025-0015</t>
  </si>
  <si>
    <t>B1-025-0014</t>
  </si>
  <si>
    <t>784801-B1-025-0014</t>
  </si>
  <si>
    <t>A1-006-0016</t>
  </si>
  <si>
    <t>784801-A1-006-0016</t>
  </si>
  <si>
    <t>A1-013-0011</t>
  </si>
  <si>
    <t>784801-A1-013-0011</t>
  </si>
  <si>
    <t>A1-003-0023</t>
  </si>
  <si>
    <t>A1-005-0024</t>
  </si>
  <si>
    <t>784801-A1-005-0024</t>
  </si>
  <si>
    <t>784801-B1-023-0012</t>
  </si>
  <si>
    <t>A1-013-0012</t>
  </si>
  <si>
    <t>784801-A1-013-0012</t>
  </si>
  <si>
    <t>A1-011-0018</t>
  </si>
  <si>
    <t>784801-A1-011-0018</t>
  </si>
  <si>
    <t>A1-012-0017</t>
  </si>
  <si>
    <t>784801-A1-012-0017</t>
  </si>
  <si>
    <t>Laemsing</t>
  </si>
  <si>
    <t>753701-A1-002-0037</t>
  </si>
  <si>
    <t>K Ataphon.saw</t>
  </si>
  <si>
    <t>753701-B1-006-0040</t>
  </si>
  <si>
    <t>B1-012-0031</t>
  </si>
  <si>
    <t>753701-B1-012-0031</t>
  </si>
  <si>
    <t>B1-028-0013</t>
  </si>
  <si>
    <t>60</t>
  </si>
  <si>
    <t>753701-B1-028-0013</t>
  </si>
  <si>
    <t>B1-027-0015</t>
  </si>
  <si>
    <t>753701-B1-027-0015</t>
  </si>
  <si>
    <t>B1-013-0033</t>
  </si>
  <si>
    <t>55</t>
  </si>
  <si>
    <t>753701-B1-013-0033</t>
  </si>
  <si>
    <t>B1-012-0030</t>
  </si>
  <si>
    <t>753701-B1-012-0030</t>
  </si>
  <si>
    <t>B1-006-0040</t>
  </si>
  <si>
    <t>B1-027-0014</t>
  </si>
  <si>
    <t>753701-B1-027-0014</t>
  </si>
  <si>
    <t>B1-013-0032</t>
  </si>
  <si>
    <t>753701-B1-013-0032</t>
  </si>
  <si>
    <t>B1-028-0014</t>
  </si>
  <si>
    <t>753701-B1-028-0014</t>
  </si>
  <si>
    <t>K Anuwats.aqu</t>
  </si>
  <si>
    <t>A1-019-0029</t>
  </si>
  <si>
    <t>753701-A1-019-0029</t>
  </si>
  <si>
    <t>A1-025-0014</t>
  </si>
  <si>
    <t>753701-A1-025-0014</t>
  </si>
  <si>
    <t>A1-026-0016</t>
  </si>
  <si>
    <t>753701-A1-026-0016</t>
  </si>
  <si>
    <t>A1-018-0026</t>
  </si>
  <si>
    <t>753701-A1-018-0026</t>
  </si>
  <si>
    <t>A1-026-0015</t>
  </si>
  <si>
    <t>753701-A1-026-0015</t>
  </si>
  <si>
    <t>A1-019-0028</t>
  </si>
  <si>
    <t>753701-A1-019-0028</t>
  </si>
  <si>
    <t>A1-002-0037</t>
  </si>
  <si>
    <t>A1-025-0013</t>
  </si>
  <si>
    <t>753701-A1-025-0013</t>
  </si>
  <si>
    <t>A1-002-0038</t>
  </si>
  <si>
    <t>753701-A1-002-0038</t>
  </si>
  <si>
    <t>753701-B1-006-0041</t>
  </si>
  <si>
    <t>B1-006-0041</t>
  </si>
  <si>
    <t>Bangkachai1</t>
  </si>
  <si>
    <t>K Thongchai.mue</t>
  </si>
  <si>
    <t>A1-060-0005</t>
  </si>
  <si>
    <t>752801-A1-060-0005</t>
  </si>
  <si>
    <t>A1-047-0010</t>
  </si>
  <si>
    <t>752801-A1-047-0010</t>
  </si>
  <si>
    <t>BG-044-0010</t>
  </si>
  <si>
    <t>752804-BG-044-0010</t>
  </si>
  <si>
    <t>A1-061-0006</t>
  </si>
  <si>
    <t>752801-A1-061-0006</t>
  </si>
  <si>
    <t>BG-045-0013</t>
  </si>
  <si>
    <t>752804-BG-045-0013</t>
  </si>
  <si>
    <t>BG-044-0009</t>
  </si>
  <si>
    <t>752804-BG-044-0009</t>
  </si>
  <si>
    <t>A1-047-0009</t>
  </si>
  <si>
    <t>BG-045-0012</t>
  </si>
  <si>
    <t>752804-BG-045-0012</t>
  </si>
  <si>
    <t>A1-060-0006</t>
  </si>
  <si>
    <t>752801-A1-060-0006</t>
  </si>
  <si>
    <t>A1-061-0007</t>
  </si>
  <si>
    <t>752801-A1-061-0007</t>
  </si>
  <si>
    <t>K Wichai</t>
  </si>
  <si>
    <t>Ranode</t>
  </si>
  <si>
    <t>759501-A1-015-0033</t>
  </si>
  <si>
    <t>K Sirakorn.pra</t>
  </si>
  <si>
    <t>A1-015-0033</t>
  </si>
  <si>
    <t>A1-083-0016</t>
  </si>
  <si>
    <t>759501-A1-083-0016</t>
  </si>
  <si>
    <t>A1-082-0016</t>
  </si>
  <si>
    <t>759501-A1-082-0016</t>
  </si>
  <si>
    <t>AG-093-0013</t>
  </si>
  <si>
    <t>Glass Filter+คลอรีนไดออกไซด์</t>
  </si>
  <si>
    <t>AHPND,EHP</t>
  </si>
  <si>
    <t>759501-AG-093-0013</t>
  </si>
  <si>
    <t>AG-093-0012</t>
  </si>
  <si>
    <t>AHPND,EHP,EHP</t>
  </si>
  <si>
    <t>759501-AG-093-0012</t>
  </si>
  <si>
    <t>AG-091-0012</t>
  </si>
  <si>
    <t>759501-AG-091-0012</t>
  </si>
  <si>
    <t>AG-090-0010</t>
  </si>
  <si>
    <t>759501-AG-090-0010</t>
  </si>
  <si>
    <t>Nakornfarm</t>
  </si>
  <si>
    <t>771001-A1-098-0005</t>
  </si>
  <si>
    <t>K Kompon.chr</t>
  </si>
  <si>
    <t>771001-D1-080-0015</t>
  </si>
  <si>
    <t>D1-083-0013</t>
  </si>
  <si>
    <t>771001-D1-083-0013</t>
  </si>
  <si>
    <t>D1-080-0015</t>
  </si>
  <si>
    <t>E1-077-0015</t>
  </si>
  <si>
    <t>771001-E1-077-0015</t>
  </si>
  <si>
    <t>E1-077-0016</t>
  </si>
  <si>
    <t>771001-E1-077-0016</t>
  </si>
  <si>
    <t>D1-081-0013</t>
  </si>
  <si>
    <t>771001-D1-081-0013</t>
  </si>
  <si>
    <t>E1-074-0012</t>
  </si>
  <si>
    <t>771001-E1-074-0012</t>
  </si>
  <si>
    <t>E1-075-0011</t>
  </si>
  <si>
    <t>53</t>
  </si>
  <si>
    <t>771001-E1-075-0011</t>
  </si>
  <si>
    <t>K Nirus.sri</t>
  </si>
  <si>
    <t>B1-108-0005</t>
  </si>
  <si>
    <t>771001-B1-108-0005</t>
  </si>
  <si>
    <t>B1-107-0005</t>
  </si>
  <si>
    <t>771001-B1-107-0005</t>
  </si>
  <si>
    <t>B1-108-0006</t>
  </si>
  <si>
    <t>771001-B1-108-0006</t>
  </si>
  <si>
    <t>A1-098-0005</t>
  </si>
  <si>
    <t>45</t>
  </si>
  <si>
    <t>A1-099-0007</t>
  </si>
  <si>
    <t>771001-A1-099-0007</t>
  </si>
  <si>
    <t>A1-099-0008</t>
  </si>
  <si>
    <t>771001-A1-099-0008</t>
  </si>
  <si>
    <t>A1-098-0006</t>
  </si>
  <si>
    <t>771001-A1-098-0006</t>
  </si>
  <si>
    <t>K Somporn.thn</t>
  </si>
  <si>
    <t>F1-090-0013</t>
  </si>
  <si>
    <t>771001-F1-090-0013</t>
  </si>
  <si>
    <t>F1-070-0019</t>
  </si>
  <si>
    <t>771001-F1-070-0019</t>
  </si>
  <si>
    <t>F1-124-0008</t>
  </si>
  <si>
    <t>771001-F1-124-0008</t>
  </si>
  <si>
    <t>F1-089-0013</t>
  </si>
  <si>
    <t>771001-F1-089-0013</t>
  </si>
  <si>
    <t>F1-090-0012</t>
  </si>
  <si>
    <t>771001-F1-090-0012</t>
  </si>
  <si>
    <t>FG-125-0010</t>
  </si>
  <si>
    <t>771001-FG-125-0010</t>
  </si>
  <si>
    <t>F1-089-0012</t>
  </si>
  <si>
    <t>771001-F1-089-0012</t>
  </si>
  <si>
    <t>FG-125-0009</t>
  </si>
  <si>
    <t>771001-FG-125-0009</t>
  </si>
  <si>
    <t>K Piwan.san</t>
  </si>
  <si>
    <t>BG-102-0010</t>
  </si>
  <si>
    <t>771003-BG-102-0010</t>
  </si>
  <si>
    <t>BG-116-0009</t>
  </si>
  <si>
    <t>771003-BG-116-0009</t>
  </si>
  <si>
    <t>BG-102-0011</t>
  </si>
  <si>
    <t>771003-BG-102-0011</t>
  </si>
  <si>
    <t>BG-119-0011</t>
  </si>
  <si>
    <t>771003-BG-119-0011</t>
  </si>
  <si>
    <t>BG-111-0010</t>
  </si>
  <si>
    <t>771003-BG-111-0010</t>
  </si>
  <si>
    <t>BG-116-0011</t>
  </si>
  <si>
    <t>771003-BG-116-0011</t>
  </si>
  <si>
    <t>BG-119-0010</t>
  </si>
  <si>
    <t>771003-BG-119-0010</t>
  </si>
  <si>
    <t>BG-110-0011</t>
  </si>
  <si>
    <t>771003-BG-110-0011</t>
  </si>
  <si>
    <t>BG-113-0010</t>
  </si>
  <si>
    <t>771003-BG-113-0010</t>
  </si>
  <si>
    <t>BG-101-0010</t>
  </si>
  <si>
    <t>771003-BG-101-0010</t>
  </si>
  <si>
    <t>BG-110-0012</t>
  </si>
  <si>
    <t>BG-113-0009</t>
  </si>
  <si>
    <t>Pakpanang1</t>
  </si>
  <si>
    <t>758601-A1-180-0009</t>
  </si>
  <si>
    <t>K Patiparn.sat</t>
  </si>
  <si>
    <t>A1-180-0009</t>
  </si>
  <si>
    <t>C1-140-0009</t>
  </si>
  <si>
    <t>758601-C1-140-0009</t>
  </si>
  <si>
    <t>D1-174-0008</t>
  </si>
  <si>
    <t>758601-D1-174-0008</t>
  </si>
  <si>
    <t>D1-177-0009</t>
  </si>
  <si>
    <t>758601-D1-177-0009</t>
  </si>
  <si>
    <t>C1-141-0009</t>
  </si>
  <si>
    <t>758601-C1-141-0009</t>
  </si>
  <si>
    <t>A1-181-0008</t>
  </si>
  <si>
    <t>758601-A1-181-0008</t>
  </si>
  <si>
    <t>D1-173-0008</t>
  </si>
  <si>
    <t>758601-D1-173-0008</t>
  </si>
  <si>
    <t>C1-139-0009</t>
  </si>
  <si>
    <t>758601-C1-139-0009</t>
  </si>
  <si>
    <t>A1-192-0009</t>
  </si>
  <si>
    <t>758601-A1-192-0009</t>
  </si>
  <si>
    <t>D1-172-0008</t>
  </si>
  <si>
    <t>758601-D1-172-0008</t>
  </si>
  <si>
    <t>A1-183-0010</t>
  </si>
  <si>
    <t>758601-A1-183-0010</t>
  </si>
  <si>
    <t>C1-138-0010</t>
  </si>
  <si>
    <t>758601-C1-138-0010</t>
  </si>
  <si>
    <t>A1-184-0010</t>
  </si>
  <si>
    <t>758601-A1-184-0010</t>
  </si>
  <si>
    <t>D1-171-0009</t>
  </si>
  <si>
    <t>758601-D1-171-0009</t>
  </si>
  <si>
    <t>D1-173-0009</t>
  </si>
  <si>
    <t>758601-D1-173-0009</t>
  </si>
  <si>
    <t>C1-136-0009</t>
  </si>
  <si>
    <t>758601-C1-136-0009</t>
  </si>
  <si>
    <t>C1-137-0010</t>
  </si>
  <si>
    <t>758601-C1-137-0010</t>
  </si>
  <si>
    <t>SR1</t>
  </si>
  <si>
    <t>756501-A1-026-0028</t>
  </si>
  <si>
    <t>K Kampayak.poo</t>
  </si>
  <si>
    <t>756501-H1-094-0029</t>
  </si>
  <si>
    <t>H1-095-0038</t>
  </si>
  <si>
    <t>756501-H1-095-0038</t>
  </si>
  <si>
    <t>H1-094-0029</t>
  </si>
  <si>
    <t>H1-125-0011</t>
  </si>
  <si>
    <t>756501-H1-125-0011</t>
  </si>
  <si>
    <t>H1-126-0009</t>
  </si>
  <si>
    <t>จับกุ้งฉุกเฉินเนื่องจากไฟดับ</t>
  </si>
  <si>
    <t>756501-H1-126-0009</t>
  </si>
  <si>
    <t>K Kripob.aum</t>
  </si>
  <si>
    <t>756501-A1-028-0036</t>
  </si>
  <si>
    <t>H1-125-0010</t>
  </si>
  <si>
    <t>756501-H1-125-0010</t>
  </si>
  <si>
    <t>G1-130-0010</t>
  </si>
  <si>
    <t>756501-G1-130-0010</t>
  </si>
  <si>
    <t>H1-126-0008</t>
  </si>
  <si>
    <t>756501-H1-126-0008</t>
  </si>
  <si>
    <t>G1-130-0008</t>
  </si>
  <si>
    <t>756501-G1-130-0008</t>
  </si>
  <si>
    <t>H1-095-0037</t>
  </si>
  <si>
    <t>756501-H1-095-0037</t>
  </si>
  <si>
    <t>H1-092-0039</t>
  </si>
  <si>
    <t>756501-H1-092-0039</t>
  </si>
  <si>
    <t>G1-129-0008</t>
  </si>
  <si>
    <t>756501-G1-129-0008</t>
  </si>
  <si>
    <t>G1-129-0010</t>
  </si>
  <si>
    <t>756501-G1-129-0010</t>
  </si>
  <si>
    <t>G1-129-0009</t>
  </si>
  <si>
    <t>ปรับแผนให้ตรงตามควทมต้องการของโรงงาน</t>
  </si>
  <si>
    <t>756501-G1-129-0009</t>
  </si>
  <si>
    <t>G1-130-0009</t>
  </si>
  <si>
    <t>756501-G1-130-0009</t>
  </si>
  <si>
    <t>A1-028-0036</t>
  </si>
  <si>
    <t>G1-128-0005</t>
  </si>
  <si>
    <t>756501-G1-128-0005</t>
  </si>
  <si>
    <t>K Mongkol.sug</t>
  </si>
  <si>
    <t>756501-A1-027-0031</t>
  </si>
  <si>
    <t>C1-050-0014</t>
  </si>
  <si>
    <t>756501-C1-050-0014</t>
  </si>
  <si>
    <t>C1-063-0004</t>
  </si>
  <si>
    <t>756501-C1-063-0004</t>
  </si>
  <si>
    <t>A1-027-0031</t>
  </si>
  <si>
    <t>D1-066-0037</t>
  </si>
  <si>
    <t>756501-D1-066-0037</t>
  </si>
  <si>
    <t>C1-061-0038</t>
  </si>
  <si>
    <t>756501-C1-061-0038</t>
  </si>
  <si>
    <t>C1-062-0037</t>
  </si>
  <si>
    <t>756501-C1-062-0037</t>
  </si>
  <si>
    <t>C1-051-0032</t>
  </si>
  <si>
    <t>756501-C1-051-0032</t>
  </si>
  <si>
    <t>D1-067-0005</t>
  </si>
  <si>
    <t>756501-D1-067-0005</t>
  </si>
  <si>
    <t>D1-067-0004</t>
  </si>
  <si>
    <t>756501-D1-067-0004</t>
  </si>
  <si>
    <t>C1-059-0036</t>
  </si>
  <si>
    <t>756501-C1-059-0036</t>
  </si>
  <si>
    <t>C1-050-0015</t>
  </si>
  <si>
    <t>756501-C1-050-0015</t>
  </si>
  <si>
    <t>D1-068-0006</t>
  </si>
  <si>
    <t>756501-D1-068-0006</t>
  </si>
  <si>
    <t>C1-060-0035</t>
  </si>
  <si>
    <t>756501-C1-060-0035</t>
  </si>
  <si>
    <t>C1-061-0039</t>
  </si>
  <si>
    <t>756501-C1-061-0039</t>
  </si>
  <si>
    <t>C1-050-0016</t>
  </si>
  <si>
    <t>756501-C1-050-0016</t>
  </si>
  <si>
    <t>K Anupong.kum</t>
  </si>
  <si>
    <t>A1-028-0037</t>
  </si>
  <si>
    <t>756501-A1-028-0037</t>
  </si>
  <si>
    <t>A1-027-0032</t>
  </si>
  <si>
    <t>756501-A1-027-0032</t>
  </si>
  <si>
    <t>A1-026-0028</t>
  </si>
  <si>
    <t>SR4</t>
  </si>
  <si>
    <t>762901-A1-082-0008</t>
  </si>
  <si>
    <t>K Ussawapon.bun</t>
  </si>
  <si>
    <t>762901-F1-022-0003</t>
  </si>
  <si>
    <t>F1-022-0003</t>
  </si>
  <si>
    <t>K Komen.boo</t>
  </si>
  <si>
    <t>47</t>
  </si>
  <si>
    <t>B1-067-0009</t>
  </si>
  <si>
    <t>762901-B1-067-0009</t>
  </si>
  <si>
    <t>A1-085-0008</t>
  </si>
  <si>
    <t>762901-A1-085-0008</t>
  </si>
  <si>
    <t>B1-066-0009</t>
  </si>
  <si>
    <t>762901-B1-066-0009</t>
  </si>
  <si>
    <t>B1-067-0011</t>
  </si>
  <si>
    <t>71</t>
  </si>
  <si>
    <t>762901-B1-067-0011</t>
  </si>
  <si>
    <t>B1-067-0010</t>
  </si>
  <si>
    <t>762901-B1-067-0010</t>
  </si>
  <si>
    <t>B1-064-0008</t>
  </si>
  <si>
    <t>762901-B1-064-0008</t>
  </si>
  <si>
    <t>B1-063-0009</t>
  </si>
  <si>
    <t>762901-B1-063-0009</t>
  </si>
  <si>
    <t>B1-068-0003</t>
  </si>
  <si>
    <t>762901-B1-068-0003</t>
  </si>
  <si>
    <t>B1-065-0002</t>
  </si>
  <si>
    <t>762901-B1-065-0002</t>
  </si>
  <si>
    <t>B1-066-0008</t>
  </si>
  <si>
    <t>762901-B1-066-0008</t>
  </si>
  <si>
    <t>K Pramote.suk</t>
  </si>
  <si>
    <t>762901-H1-047-0012</t>
  </si>
  <si>
    <t>H1-047-0012</t>
  </si>
  <si>
    <t>H1-048-0014</t>
  </si>
  <si>
    <t>762901-H1-048-0014</t>
  </si>
  <si>
    <t>K Boonlerd.man</t>
  </si>
  <si>
    <t>762903-G1-051-0009</t>
  </si>
  <si>
    <t>G2-057-0008</t>
  </si>
  <si>
    <t>762903-G2-057-0008</t>
  </si>
  <si>
    <t>G2-058-0006</t>
  </si>
  <si>
    <t>762903-G2-058-0006</t>
  </si>
  <si>
    <t>G2-059-0010</t>
  </si>
  <si>
    <t>762903-G2-059-0010</t>
  </si>
  <si>
    <t>G1-053-0008</t>
  </si>
  <si>
    <t>762903-G1-053-0008</t>
  </si>
  <si>
    <t>G1-051-0009</t>
  </si>
  <si>
    <t>G1-052-0011</t>
  </si>
  <si>
    <t>ปิดบ่อตามแผนจับปกติ</t>
  </si>
  <si>
    <t>762903-G1-052-0011</t>
  </si>
  <si>
    <t>G2-057-0010</t>
  </si>
  <si>
    <t>762903-G2-057-0010</t>
  </si>
  <si>
    <t>G2-059-0011</t>
  </si>
  <si>
    <t>762903-G2-059-0011</t>
  </si>
  <si>
    <t>G1-051-0010</t>
  </si>
  <si>
    <t>762903-G1-051-0010</t>
  </si>
  <si>
    <t>G1-053-0009</t>
  </si>
  <si>
    <t>762903-G1-053-0009</t>
  </si>
  <si>
    <t>G2-058-0007</t>
  </si>
  <si>
    <t>762903-G2-058-0007</t>
  </si>
  <si>
    <t>G2-057-0009</t>
  </si>
  <si>
    <t>Andaman</t>
  </si>
  <si>
    <t>757601-A1-004-0047</t>
  </si>
  <si>
    <t>K Saroj.pro</t>
  </si>
  <si>
    <t>A1-013-0019</t>
  </si>
  <si>
    <t>757601-A1-013-0019</t>
  </si>
  <si>
    <t>A1-004-0048</t>
  </si>
  <si>
    <t>757601-A1-004-0048</t>
  </si>
  <si>
    <t>A1-014-0019</t>
  </si>
  <si>
    <t>757601-A1-014-0019</t>
  </si>
  <si>
    <t>A1-016-0014</t>
  </si>
  <si>
    <t>757601-A1-016-0014</t>
  </si>
  <si>
    <t>A1-008-0046</t>
  </si>
  <si>
    <t>757601-A1-008-0046</t>
  </si>
  <si>
    <t>A1-012-0023</t>
  </si>
  <si>
    <t>757601-A1-012-0023</t>
  </si>
  <si>
    <t>A1-004-0047</t>
  </si>
  <si>
    <t>A1-008-0045</t>
  </si>
  <si>
    <t>757601-A1-008-0045</t>
  </si>
  <si>
    <t>A1-014-0018</t>
  </si>
  <si>
    <t>757601-A1-014-0018</t>
  </si>
  <si>
    <t>A1-009-0047</t>
  </si>
  <si>
    <t>757601-A1-009-0047</t>
  </si>
  <si>
    <t>A1-016-0015</t>
  </si>
  <si>
    <t>WFD+EHP</t>
  </si>
  <si>
    <t>757601-A1-016-0015</t>
  </si>
  <si>
    <t>A1-012-0022</t>
  </si>
  <si>
    <t>757601-A1-012-0022</t>
  </si>
  <si>
    <t>A1-013-0018</t>
  </si>
  <si>
    <t>757601-A1-013-0018</t>
  </si>
  <si>
    <t>A1-009-0046</t>
  </si>
  <si>
    <t>757601-A1-009-0046</t>
  </si>
  <si>
    <t>Kanchanadit</t>
  </si>
  <si>
    <t>756601-C1-040-0015</t>
  </si>
  <si>
    <t>K Tevalit.uth</t>
  </si>
  <si>
    <t>756601-D1-048-0011</t>
  </si>
  <si>
    <t>D1-051-0005</t>
  </si>
  <si>
    <t>756601-D1-051-0005</t>
  </si>
  <si>
    <t>D1-052-0011</t>
  </si>
  <si>
    <t>756601-D1-052-0011</t>
  </si>
  <si>
    <t>D1-048-0011</t>
  </si>
  <si>
    <t>D1-053-0005</t>
  </si>
  <si>
    <t>756601-D1-053-0005</t>
  </si>
  <si>
    <t>D1-050-0012</t>
  </si>
  <si>
    <t>756601-D1-050-0012</t>
  </si>
  <si>
    <t>D1-052-0013</t>
  </si>
  <si>
    <t>756601-D1-052-0013</t>
  </si>
  <si>
    <t>D1-048-0012</t>
  </si>
  <si>
    <t>756601-D1-048-0012</t>
  </si>
  <si>
    <t>D1-049-0011</t>
  </si>
  <si>
    <t>756601-D1-049-0011</t>
  </si>
  <si>
    <t>D1-050-0013</t>
  </si>
  <si>
    <t>756601-D1-050-0013</t>
  </si>
  <si>
    <t>D1-051-0006</t>
  </si>
  <si>
    <t>756601-D1-051-0006</t>
  </si>
  <si>
    <t>D1-053-0006</t>
  </si>
  <si>
    <t>756601-D1-053-0006</t>
  </si>
  <si>
    <t>K Kraengkri.noo</t>
  </si>
  <si>
    <t>C1-043-0013</t>
  </si>
  <si>
    <t>756601-C1-043-0013</t>
  </si>
  <si>
    <t>C1-042-0005</t>
  </si>
  <si>
    <t>756601-C1-042-0005</t>
  </si>
  <si>
    <t>C1-043-0014</t>
  </si>
  <si>
    <t>756601-C1-043-0014</t>
  </si>
  <si>
    <t>C1-044-0014</t>
  </si>
  <si>
    <t>756601-C1-044-0014</t>
  </si>
  <si>
    <t>C1-041-0015</t>
  </si>
  <si>
    <t>756601-C1-041-0015</t>
  </si>
  <si>
    <t>C1-040-0015</t>
  </si>
  <si>
    <t>C1-045-0011</t>
  </si>
  <si>
    <t>756601-C1-045-0011</t>
  </si>
  <si>
    <t>C1-047-0006</t>
  </si>
  <si>
    <t>756601-C1-047-0006</t>
  </si>
  <si>
    <t>C1-046-0012</t>
  </si>
  <si>
    <t>756601-C1-046-0012</t>
  </si>
  <si>
    <t>K Pharipat</t>
  </si>
  <si>
    <t>PE 0.30 mm.</t>
  </si>
  <si>
    <t>751701-A1-020-0015</t>
  </si>
  <si>
    <t>CS4</t>
  </si>
  <si>
    <t>774001-A1-002-0046</t>
  </si>
  <si>
    <t>K Worachet.tan</t>
  </si>
  <si>
    <t>A1-026-0014</t>
  </si>
  <si>
    <t>774001-A1-026-0014</t>
  </si>
  <si>
    <t>A1-023-0008</t>
  </si>
  <si>
    <t>AHPND,YHV</t>
  </si>
  <si>
    <t>42</t>
  </si>
  <si>
    <t>YHV</t>
  </si>
  <si>
    <t>774001-A1-023-0008</t>
  </si>
  <si>
    <t>A1-002-0046</t>
  </si>
  <si>
    <t>68</t>
  </si>
  <si>
    <t>K Thisakorn.tec</t>
  </si>
  <si>
    <t>774001-A1-002-0047</t>
  </si>
  <si>
    <t>A1-002-0047</t>
  </si>
  <si>
    <t>774001-A1-026-0015</t>
  </si>
  <si>
    <t>A1-023-0009</t>
  </si>
  <si>
    <t>774001-A1-023-0009</t>
  </si>
  <si>
    <t>A1-011-0046</t>
  </si>
  <si>
    <t>774001-A1-011-0046</t>
  </si>
  <si>
    <t>A1-011-0045</t>
  </si>
  <si>
    <t>774001-A1-011-0045</t>
  </si>
  <si>
    <t>A1-003-0037</t>
  </si>
  <si>
    <t>พบขี้ขาวลอย</t>
  </si>
  <si>
    <t>774001-A1-003-0037</t>
  </si>
  <si>
    <t>A1-025-0017</t>
  </si>
  <si>
    <t>774001-A1-025-0017</t>
  </si>
  <si>
    <t>A1-002-0048</t>
  </si>
  <si>
    <t>A1-011-0047</t>
  </si>
  <si>
    <t>Roiphet3</t>
  </si>
  <si>
    <t>780401-A1-006-0011</t>
  </si>
  <si>
    <t>K Boonlue.tho</t>
  </si>
  <si>
    <t>A1-026-0022</t>
  </si>
  <si>
    <t>780401-A1-026-0022</t>
  </si>
  <si>
    <t>A1-006-0012</t>
  </si>
  <si>
    <t>780401-A1-006-0012</t>
  </si>
  <si>
    <t>A1-023-0016</t>
  </si>
  <si>
    <t>780401-A1-023-0016</t>
  </si>
  <si>
    <t>A1-024-0032</t>
  </si>
  <si>
    <t>780401-A1-024-0032</t>
  </si>
  <si>
    <t>A1-007-0012</t>
  </si>
  <si>
    <t>59</t>
  </si>
  <si>
    <t>780401-A1-007-0012</t>
  </si>
  <si>
    <t>A1-027-0027</t>
  </si>
  <si>
    <t>780401-A1-027-0027</t>
  </si>
  <si>
    <t>A1-006-0011</t>
  </si>
  <si>
    <t>A1-016-0029</t>
  </si>
  <si>
    <t>780401-A1-016-0029</t>
  </si>
  <si>
    <t>A1-008-0022</t>
  </si>
  <si>
    <t>780401-A1-008-0022</t>
  </si>
  <si>
    <t>K Suriyun.cha</t>
  </si>
  <si>
    <t>780401-A1-008-0023</t>
  </si>
  <si>
    <t>A1-016-0031</t>
  </si>
  <si>
    <t>780401-A1-016-0031</t>
  </si>
  <si>
    <t>A1-008-0023</t>
  </si>
  <si>
    <t>K Suchat.yia</t>
  </si>
  <si>
    <t>780404-C1-041-0005</t>
  </si>
  <si>
    <t>C1-041-0006</t>
  </si>
  <si>
    <t>780404-C1-041-0006</t>
  </si>
  <si>
    <t>C1-045-0026</t>
  </si>
  <si>
    <t>780404-C1-045-0026</t>
  </si>
  <si>
    <t>C1-044-0018</t>
  </si>
  <si>
    <t>780404-C1-044-0018</t>
  </si>
  <si>
    <t>C1-042-0016</t>
  </si>
  <si>
    <t>780404-C1-042-0016</t>
  </si>
  <si>
    <t>C1-054-0008</t>
  </si>
  <si>
    <t>780404-C1-054-0008</t>
  </si>
  <si>
    <t>C1-043-0026</t>
  </si>
  <si>
    <t>780404-C1-043-0026</t>
  </si>
  <si>
    <t>C1-051-0026</t>
  </si>
  <si>
    <t>780404-C1-051-0026</t>
  </si>
  <si>
    <t>C1-046-0005</t>
  </si>
  <si>
    <t>780404-C1-046-0005</t>
  </si>
  <si>
    <t>C1-057-0018</t>
  </si>
  <si>
    <t>780404-C1-057-0018</t>
  </si>
  <si>
    <t>C1-048-0021</t>
  </si>
  <si>
    <t>780404-C1-048-0021</t>
  </si>
  <si>
    <t>C1-057-0017</t>
  </si>
  <si>
    <t>780404-C1-057-0017</t>
  </si>
  <si>
    <t>C1-051-0025</t>
  </si>
  <si>
    <t>780404-C1-051-0025</t>
  </si>
  <si>
    <t>C1-054-0007</t>
  </si>
  <si>
    <t>780404-C1-054-0007</t>
  </si>
  <si>
    <t>C1-047-0011</t>
  </si>
  <si>
    <t>780404-C1-047-0011</t>
  </si>
  <si>
    <t>C1-041-0005</t>
  </si>
  <si>
    <t>C1-045-0025</t>
  </si>
  <si>
    <t>780404-C1-045-0025</t>
  </si>
  <si>
    <t>C1-042-0015</t>
  </si>
  <si>
    <t>780404-C1-042-0015</t>
  </si>
  <si>
    <t>C1-043-0025</t>
  </si>
  <si>
    <t>780404-C1-043-0025</t>
  </si>
  <si>
    <t>C1-044-0017</t>
  </si>
  <si>
    <t>780404-C1-044-0017</t>
  </si>
  <si>
    <t>C1-046-0004</t>
  </si>
  <si>
    <t>780404-C1-046-0004</t>
  </si>
  <si>
    <t>CS1</t>
  </si>
  <si>
    <t>762501-A1-004-0040</t>
  </si>
  <si>
    <t>762505-C1-084-0020</t>
  </si>
  <si>
    <t>C1-084-0020</t>
  </si>
  <si>
    <t>C1-085-0020</t>
  </si>
  <si>
    <t>762505-C1-085-0020</t>
  </si>
  <si>
    <t>K Chainarong.mua</t>
  </si>
  <si>
    <t>762505-C1-056-0019</t>
  </si>
  <si>
    <t>C1-063-0020</t>
  </si>
  <si>
    <t>762505-C1-063-0020</t>
  </si>
  <si>
    <t>C1-056-0019</t>
  </si>
  <si>
    <t>C1-083-0020</t>
  </si>
  <si>
    <t>762505-C1-083-0020</t>
  </si>
  <si>
    <t>C1-0B4-0017</t>
  </si>
  <si>
    <t>762505-C1-0B4-0017</t>
  </si>
  <si>
    <t>C1-063-0019</t>
  </si>
  <si>
    <t>762505-C1-063-0019</t>
  </si>
  <si>
    <t>C1-062-0020</t>
  </si>
  <si>
    <t>50</t>
  </si>
  <si>
    <t>762505-C1-062-0020</t>
  </si>
  <si>
    <t>C1-084-0019</t>
  </si>
  <si>
    <t>762505-C1-084-0019</t>
  </si>
  <si>
    <t>C1-080-0018</t>
  </si>
  <si>
    <t>762505-C1-080-0018</t>
  </si>
  <si>
    <t>C1-062-0019</t>
  </si>
  <si>
    <t>762505-C1-062-0019</t>
  </si>
  <si>
    <t>C1-085-0019</t>
  </si>
  <si>
    <t>762505-C1-085-0019</t>
  </si>
  <si>
    <t>C1-084-0018</t>
  </si>
  <si>
    <t>762505-C1-084-0018</t>
  </si>
  <si>
    <t>C1-083-0019</t>
  </si>
  <si>
    <t>762505-C1-083-0019</t>
  </si>
  <si>
    <t>C1-080-0017</t>
  </si>
  <si>
    <t>762505-C1-080-0017</t>
  </si>
  <si>
    <t>A1-010-0050</t>
  </si>
  <si>
    <t>762501-A1-010-0050</t>
  </si>
  <si>
    <t>A1-007-0049</t>
  </si>
  <si>
    <t>762501-A1-007-0049</t>
  </si>
  <si>
    <t>A1-008-0031</t>
  </si>
  <si>
    <t>762501-A1-008-0031</t>
  </si>
  <si>
    <t>A1-096-0028</t>
  </si>
  <si>
    <t>762501-A1-096-0028</t>
  </si>
  <si>
    <t>A1-014-0045</t>
  </si>
  <si>
    <t>762501-A1-014-0045</t>
  </si>
  <si>
    <t>A1-008-0030</t>
  </si>
  <si>
    <t>762501-A1-008-0030</t>
  </si>
  <si>
    <t>A1-007-0048</t>
  </si>
  <si>
    <t>762501-A1-007-0048</t>
  </si>
  <si>
    <t>A1-096-0027</t>
  </si>
  <si>
    <t>762501-A1-096-0027</t>
  </si>
  <si>
    <t>A1-010-0049</t>
  </si>
  <si>
    <t>762501-A1-010-0049</t>
  </si>
  <si>
    <t>A1-004-0040</t>
  </si>
  <si>
    <t>762501-A1-007-0050</t>
  </si>
  <si>
    <t>A1-010-0051</t>
  </si>
  <si>
    <t>762501-A1-010-0051</t>
  </si>
  <si>
    <t>A1-007-0050</t>
  </si>
  <si>
    <t>Roiphet2</t>
  </si>
  <si>
    <t>764101-A1-001-0031</t>
  </si>
  <si>
    <t>B1-014-0046</t>
  </si>
  <si>
    <t>764101-B1-014-0046</t>
  </si>
  <si>
    <t>B1-009-0044</t>
  </si>
  <si>
    <t>764101-B1-009-0044</t>
  </si>
  <si>
    <t>A1-007-0051</t>
  </si>
  <si>
    <t>K Sayan.api</t>
  </si>
  <si>
    <t>B1-013-0036</t>
  </si>
  <si>
    <t>764101-B1-013-0036</t>
  </si>
  <si>
    <t>B1-013-0035</t>
  </si>
  <si>
    <t>764101-B1-013-0035</t>
  </si>
  <si>
    <t>A1-008-0034</t>
  </si>
  <si>
    <t>764101-A1-008-0034</t>
  </si>
  <si>
    <t>764101-A1-007-0050</t>
  </si>
  <si>
    <t>B1-014-0044</t>
  </si>
  <si>
    <t>764101-B1-014-0044</t>
  </si>
  <si>
    <t>764101-A1-002-0048</t>
  </si>
  <si>
    <t>A1-006-0045</t>
  </si>
  <si>
    <t>764101-A1-006-0045</t>
  </si>
  <si>
    <t>B1-009-0042</t>
  </si>
  <si>
    <t>764101-B1-009-0042</t>
  </si>
  <si>
    <t>A1-001-0031</t>
  </si>
  <si>
    <t>Lamlaung</t>
  </si>
  <si>
    <t>773801-A1-001-0019</t>
  </si>
  <si>
    <t>K Suriyun.chu</t>
  </si>
  <si>
    <t>A1-001-0019</t>
  </si>
  <si>
    <t>B1-110-0005</t>
  </si>
  <si>
    <t>773801-B1-110-0005</t>
  </si>
  <si>
    <t>B1-112-0007</t>
  </si>
  <si>
    <t>คลอรีนผง (Ca(Ocl)2</t>
  </si>
  <si>
    <t>773801-B1-112-0007</t>
  </si>
  <si>
    <t>A1-003-0045</t>
  </si>
  <si>
    <t>773801-A1-003-0045</t>
  </si>
  <si>
    <t>A1-002-0045</t>
  </si>
  <si>
    <t>773801-A1-002-0045</t>
  </si>
  <si>
    <t>A1-004-0045</t>
  </si>
  <si>
    <t>773801-A1-004-0045</t>
  </si>
  <si>
    <t>B1-111-0007</t>
  </si>
  <si>
    <t>773801-B1-111-0007</t>
  </si>
  <si>
    <t>B1-112-0006</t>
  </si>
  <si>
    <t>773801-B1-112-0006</t>
  </si>
  <si>
    <t>A1-003-0044</t>
  </si>
  <si>
    <t>773801-A1-003-0044</t>
  </si>
  <si>
    <t>A1-005-0008</t>
  </si>
  <si>
    <t>773801-A1-005-0008</t>
  </si>
  <si>
    <t>773801-A1-002-0046</t>
  </si>
  <si>
    <t>B1-111-0008</t>
  </si>
  <si>
    <t>773801-B1-111-0008</t>
  </si>
  <si>
    <t>A1-004-0046</t>
  </si>
  <si>
    <t>773801-A1-004-0046</t>
  </si>
  <si>
    <t>Roiphet1</t>
  </si>
  <si>
    <t>763601-A1-G01-0062</t>
  </si>
  <si>
    <t>K Teerasak.kru</t>
  </si>
  <si>
    <t>763603-C1-G01-0072</t>
  </si>
  <si>
    <t>C3-G06-0078</t>
  </si>
  <si>
    <t>763603-C3-G06-0078</t>
  </si>
  <si>
    <t>C2-G04-0064</t>
  </si>
  <si>
    <t>763603-C2-G04-0064</t>
  </si>
  <si>
    <t>C2-G03-0066</t>
  </si>
  <si>
    <t>763603-C2-G03-0066</t>
  </si>
  <si>
    <t>C3-I06-0063</t>
  </si>
  <si>
    <t>763603-C3-I06-0063</t>
  </si>
  <si>
    <t>C3-G05-0074</t>
  </si>
  <si>
    <t>763603-C3-G05-0074</t>
  </si>
  <si>
    <t>C3-I05-0066</t>
  </si>
  <si>
    <t>763603-C3-I05-0066</t>
  </si>
  <si>
    <t>C2-I03-0059</t>
  </si>
  <si>
    <t>763603-C2-I03-0059</t>
  </si>
  <si>
    <t>C2-I04-0067</t>
  </si>
  <si>
    <t>763603-C2-I04-0067</t>
  </si>
  <si>
    <t>C3-G06-0079</t>
  </si>
  <si>
    <t>763603-C3-G06-0079</t>
  </si>
  <si>
    <t>C3-G05-0075</t>
  </si>
  <si>
    <t>763603-C3-G05-0075</t>
  </si>
  <si>
    <t>C2-G04-0065</t>
  </si>
  <si>
    <t>763603-C2-G04-0065</t>
  </si>
  <si>
    <t>C2-G03-0067</t>
  </si>
  <si>
    <t>763603-C2-G03-0067</t>
  </si>
  <si>
    <t>C2-I04-0068</t>
  </si>
  <si>
    <t>763603-C2-I04-0068</t>
  </si>
  <si>
    <t>C3-G05-0073</t>
  </si>
  <si>
    <t>763603-C3-G05-0073</t>
  </si>
  <si>
    <t>C3-G06-0077</t>
  </si>
  <si>
    <t>763603-C3-G06-0077</t>
  </si>
  <si>
    <t>C3-I05-0065</t>
  </si>
  <si>
    <t>763603-C3-I05-0065</t>
  </si>
  <si>
    <t>C3-I06-0062</t>
  </si>
  <si>
    <t>763603-C3-I06-0062</t>
  </si>
  <si>
    <t>C5-G10-0065</t>
  </si>
  <si>
    <t>763603-C5-G10-0065</t>
  </si>
  <si>
    <t>C1-G02-0074</t>
  </si>
  <si>
    <t>763603-C1-G02-0074</t>
  </si>
  <si>
    <t>C2-I03-0060</t>
  </si>
  <si>
    <t>763603-C2-I03-0060</t>
  </si>
  <si>
    <t>C4-I08-0063</t>
  </si>
  <si>
    <t>763603-C4-I08-0063</t>
  </si>
  <si>
    <t>C4-G07-0056</t>
  </si>
  <si>
    <t>763603-C4-G07-0056</t>
  </si>
  <si>
    <t>C2-G04-0063</t>
  </si>
  <si>
    <t>763603-C2-G04-0063</t>
  </si>
  <si>
    <t>C4-G08-0060</t>
  </si>
  <si>
    <t>763603-C4-G08-0060</t>
  </si>
  <si>
    <t>C2-G03-0065</t>
  </si>
  <si>
    <t>763603-C2-G03-0065</t>
  </si>
  <si>
    <t>C1-I02-0072</t>
  </si>
  <si>
    <t>763603-C1-I02-0072</t>
  </si>
  <si>
    <t>C5-I10-0065</t>
  </si>
  <si>
    <t>763603-C5-I10-0065</t>
  </si>
  <si>
    <t>C4-I07-0059</t>
  </si>
  <si>
    <t>763603-C4-I07-0059</t>
  </si>
  <si>
    <t>C6-I11-0064</t>
  </si>
  <si>
    <t>763603-C6-I11-0064</t>
  </si>
  <si>
    <t>C5-G09-0058</t>
  </si>
  <si>
    <t>763603-C5-G09-0058</t>
  </si>
  <si>
    <t>C6-G12-0060</t>
  </si>
  <si>
    <t>763603-C6-G12-0060</t>
  </si>
  <si>
    <t>C1-G01-0073</t>
  </si>
  <si>
    <t>763603-C1-G01-0073</t>
  </si>
  <si>
    <t>C6-G11-0058</t>
  </si>
  <si>
    <t>763603-C6-G11-0058</t>
  </si>
  <si>
    <t>C5-I09-0065</t>
  </si>
  <si>
    <t>763603-C5-I09-0065</t>
  </si>
  <si>
    <t>C2-I03-0058</t>
  </si>
  <si>
    <t>763603-C2-I03-0058</t>
  </si>
  <si>
    <t>C5-I09-0064</t>
  </si>
  <si>
    <t>763603-C5-I09-0064</t>
  </si>
  <si>
    <t>C5-G10-0064</t>
  </si>
  <si>
    <t>763603-C5-G10-0064</t>
  </si>
  <si>
    <t>C5-I10-0066</t>
  </si>
  <si>
    <t>763603-C5-I10-0066</t>
  </si>
  <si>
    <t>C5-G09-0057</t>
  </si>
  <si>
    <t>763603-C5-G09-0057</t>
  </si>
  <si>
    <t>C6-I12-0061</t>
  </si>
  <si>
    <t>763603-C6-I12-0061</t>
  </si>
  <si>
    <t>C2-I04-0066</t>
  </si>
  <si>
    <t>763603-C2-I04-0066</t>
  </si>
  <si>
    <t>C1-G02-0073</t>
  </si>
  <si>
    <t>763603-C1-G02-0073</t>
  </si>
  <si>
    <t>C1-I01-0080</t>
  </si>
  <si>
    <t>763603-C1-I01-0080</t>
  </si>
  <si>
    <t>C1-I02-0071</t>
  </si>
  <si>
    <t>763603-C1-I02-0071</t>
  </si>
  <si>
    <t>C6-G12-0059</t>
  </si>
  <si>
    <t>763603-C6-G12-0059</t>
  </si>
  <si>
    <t>C1-I01-0079</t>
  </si>
  <si>
    <t>763603-C1-I01-0079</t>
  </si>
  <si>
    <t>C6-G11-0059</t>
  </si>
  <si>
    <t>763603-C6-G11-0059</t>
  </si>
  <si>
    <t>C1-G01-0072</t>
  </si>
  <si>
    <t>C6-I11-0065</t>
  </si>
  <si>
    <t>763603-C6-I11-0065</t>
  </si>
  <si>
    <t>C6-I12-0062</t>
  </si>
  <si>
    <t>763603-C6-I12-0062</t>
  </si>
  <si>
    <t>C4-G07-0057</t>
  </si>
  <si>
    <t>763603-C4-G07-0057</t>
  </si>
  <si>
    <t>C4-G08-0061</t>
  </si>
  <si>
    <t>763603-C4-G08-0061</t>
  </si>
  <si>
    <t>C4-I07-0060</t>
  </si>
  <si>
    <t>763603-C4-I07-0060</t>
  </si>
  <si>
    <t>C4-I08-0064</t>
  </si>
  <si>
    <t>763603-C4-I08-0064</t>
  </si>
  <si>
    <t>K Marut.kha</t>
  </si>
  <si>
    <t>763602-B1-G01-0084</t>
  </si>
  <si>
    <t>B3-G05-0093</t>
  </si>
  <si>
    <t>763602-B3-G05-0093</t>
  </si>
  <si>
    <t>B6-G12-0088</t>
  </si>
  <si>
    <t>763602-B6-G12-0088</t>
  </si>
  <si>
    <t>B6-G11-0083</t>
  </si>
  <si>
    <t>763602-B6-G11-0083</t>
  </si>
  <si>
    <t>B6-I11-0084</t>
  </si>
  <si>
    <t>763602-B6-I11-0084</t>
  </si>
  <si>
    <t>B6-I12-0087</t>
  </si>
  <si>
    <t>763602-B6-I12-0087</t>
  </si>
  <si>
    <t>B3-G06-0082</t>
  </si>
  <si>
    <t>763602-B3-G06-0082</t>
  </si>
  <si>
    <t>B3-I05-0093</t>
  </si>
  <si>
    <t>763602-B3-I05-0093</t>
  </si>
  <si>
    <t>B5-G10-0084</t>
  </si>
  <si>
    <t>763602-B5-G10-0084</t>
  </si>
  <si>
    <t>B5-I09-0094</t>
  </si>
  <si>
    <t>763602-B5-I09-0094</t>
  </si>
  <si>
    <t>B5-G09-0085</t>
  </si>
  <si>
    <t>763602-B5-G09-0085</t>
  </si>
  <si>
    <t>B2-G03-0080</t>
  </si>
  <si>
    <t>763602-B2-G03-0080</t>
  </si>
  <si>
    <t>B5-I10-0091</t>
  </si>
  <si>
    <t>763602-B5-I10-0091</t>
  </si>
  <si>
    <t>B1-G02-0088</t>
  </si>
  <si>
    <t>763602-B1-G02-0088</t>
  </si>
  <si>
    <t>B4-G07-0077</t>
  </si>
  <si>
    <t>763602-B4-G07-0077</t>
  </si>
  <si>
    <t>B3-I06-0095</t>
  </si>
  <si>
    <t>763602-B3-I06-0095</t>
  </si>
  <si>
    <t>B1-G01-0084</t>
  </si>
  <si>
    <t>B2-I03-0095</t>
  </si>
  <si>
    <t>763602-B2-I03-0095</t>
  </si>
  <si>
    <t>B2-I04-0098</t>
  </si>
  <si>
    <t>763602-B2-I04-0098</t>
  </si>
  <si>
    <t>B4-G08-0080</t>
  </si>
  <si>
    <t>763602-B4-G08-0080</t>
  </si>
  <si>
    <t>B2-G04-0092</t>
  </si>
  <si>
    <t>763602-B2-G04-0092</t>
  </si>
  <si>
    <t>B1-I02-0095</t>
  </si>
  <si>
    <t>763602-B1-I02-0095</t>
  </si>
  <si>
    <t>B4-G07-0076</t>
  </si>
  <si>
    <t>763602-B4-G07-0076</t>
  </si>
  <si>
    <t>B6-I11-0083</t>
  </si>
  <si>
    <t>763602-B6-I11-0083</t>
  </si>
  <si>
    <t>B4-I07-0089</t>
  </si>
  <si>
    <t>763602-B4-I07-0089</t>
  </si>
  <si>
    <t>B4-I08-0089</t>
  </si>
  <si>
    <t>763602-B4-I08-0089</t>
  </si>
  <si>
    <t>B6-I12-0086</t>
  </si>
  <si>
    <t>763602-B6-I12-0086</t>
  </si>
  <si>
    <t>B3-G06-0081</t>
  </si>
  <si>
    <t>763602-B3-G06-0081</t>
  </si>
  <si>
    <t>B4-I08-0088</t>
  </si>
  <si>
    <t>763602-B4-I08-0088</t>
  </si>
  <si>
    <t>B3-I06-0094</t>
  </si>
  <si>
    <t>763602-B3-I06-0094</t>
  </si>
  <si>
    <t>B4-I07-0088</t>
  </si>
  <si>
    <t>763602-B4-I07-0088</t>
  </si>
  <si>
    <t>B5-G09-0084</t>
  </si>
  <si>
    <t>763602-B5-G09-0084</t>
  </si>
  <si>
    <t>B1-I01-0095</t>
  </si>
  <si>
    <t>763602-B1-I01-0095</t>
  </si>
  <si>
    <t>B5-G10-0083</t>
  </si>
  <si>
    <t>763602-B5-G10-0083</t>
  </si>
  <si>
    <t>B3-I05-0092</t>
  </si>
  <si>
    <t>763602-B3-I05-0092</t>
  </si>
  <si>
    <t>B6-G12-0087</t>
  </si>
  <si>
    <t>763602-B6-G12-0087</t>
  </si>
  <si>
    <t>B3-G05-0092</t>
  </si>
  <si>
    <t>763602-B3-G05-0092</t>
  </si>
  <si>
    <t>B5-I09-0093</t>
  </si>
  <si>
    <t>763602-B5-I09-0093</t>
  </si>
  <si>
    <t>B6-G11-0082</t>
  </si>
  <si>
    <t>763602-B6-G11-0082</t>
  </si>
  <si>
    <t>B5-I10-0090</t>
  </si>
  <si>
    <t>763602-B5-I10-0090</t>
  </si>
  <si>
    <t>K Gomes.pir</t>
  </si>
  <si>
    <t>763602-B1-G01-0083</t>
  </si>
  <si>
    <t>B1-G01-0083</t>
  </si>
  <si>
    <t>B6-I11-0082</t>
  </si>
  <si>
    <t>763602-B6-I11-0082</t>
  </si>
  <si>
    <t>B1-I01-0094</t>
  </si>
  <si>
    <t>763602-B1-I01-0094</t>
  </si>
  <si>
    <t>B6-G11-0081</t>
  </si>
  <si>
    <t>763602-B6-G11-0081</t>
  </si>
  <si>
    <t>B1-G02-0087</t>
  </si>
  <si>
    <t>763602-B1-G02-0087</t>
  </si>
  <si>
    <t>B6-I12-0085</t>
  </si>
  <si>
    <t>763602-B6-I12-0085</t>
  </si>
  <si>
    <t>B1-I02-0094</t>
  </si>
  <si>
    <t>763602-B1-I02-0094</t>
  </si>
  <si>
    <t>B4-G08-0079</t>
  </si>
  <si>
    <t>763602-B4-G08-0079</t>
  </si>
  <si>
    <t>B6-G12-0086</t>
  </si>
  <si>
    <t>763602-B6-G12-0086</t>
  </si>
  <si>
    <t>B2-G04-0091</t>
  </si>
  <si>
    <t>763602-B2-G04-0091</t>
  </si>
  <si>
    <t>B2-I03-0094</t>
  </si>
  <si>
    <t>763602-B2-I03-0094</t>
  </si>
  <si>
    <t>B2-G03-0079</t>
  </si>
  <si>
    <t>763602-B2-G03-0079</t>
  </si>
  <si>
    <t>B2-I04-0097</t>
  </si>
  <si>
    <t>763602-B2-I04-0097</t>
  </si>
  <si>
    <t>K Tada.run</t>
  </si>
  <si>
    <t>763604-D1-G01-0076</t>
  </si>
  <si>
    <t>D4-G08-0058</t>
  </si>
  <si>
    <t>เคลียร์บ่อเพื่อลงกุ้งชุดใหม่</t>
  </si>
  <si>
    <t>763604-D4-G08-0058</t>
  </si>
  <si>
    <t>D1-G01-0077</t>
  </si>
  <si>
    <t>763604-D1-G01-0077</t>
  </si>
  <si>
    <t>D1-G02-0079</t>
  </si>
  <si>
    <t>763604-D1-G02-0079</t>
  </si>
  <si>
    <t>D1-I02-0089</t>
  </si>
  <si>
    <t>763604-D1-I02-0089</t>
  </si>
  <si>
    <t>D1-I02-0088</t>
  </si>
  <si>
    <t>ไฟฟ้าดับ</t>
  </si>
  <si>
    <t>763604-D1-I02-0088</t>
  </si>
  <si>
    <t>D3-G05-0081</t>
  </si>
  <si>
    <t>763604-D3-G05-0081</t>
  </si>
  <si>
    <t>D1-I01-0090</t>
  </si>
  <si>
    <t>763604-D1-I01-0090</t>
  </si>
  <si>
    <t>D4-I07-0075</t>
  </si>
  <si>
    <t>763604-D4-I07-0075</t>
  </si>
  <si>
    <t>D6-G12-0078</t>
  </si>
  <si>
    <t>763604-D6-G12-0078</t>
  </si>
  <si>
    <t>D4-G07-0062</t>
  </si>
  <si>
    <t>763604-D4-G07-0062</t>
  </si>
  <si>
    <t>D5-I09-0083</t>
  </si>
  <si>
    <t>763604-D5-I09-0083</t>
  </si>
  <si>
    <t>D3-G06-0084</t>
  </si>
  <si>
    <t>763604-D3-G06-0084</t>
  </si>
  <si>
    <t>D1-I01-0091</t>
  </si>
  <si>
    <t>763604-D1-I01-0091</t>
  </si>
  <si>
    <t>D4-I08-0070</t>
  </si>
  <si>
    <t>763604-D4-I08-0070</t>
  </si>
  <si>
    <t>D3-I06-0080</t>
  </si>
  <si>
    <t>763604-D3-I06-0080</t>
  </si>
  <si>
    <t>D1-G01-0076</t>
  </si>
  <si>
    <t>D4-I07-0076</t>
  </si>
  <si>
    <t>763604-D4-I07-0076</t>
  </si>
  <si>
    <t>D2-I03-0085</t>
  </si>
  <si>
    <t>763604-D2-I03-0085</t>
  </si>
  <si>
    <t>D5-I10-0074</t>
  </si>
  <si>
    <t>763604-D5-I10-0074</t>
  </si>
  <si>
    <t>D5-I10-0075</t>
  </si>
  <si>
    <t>763604-D5-I10-0075</t>
  </si>
  <si>
    <t>D6-G11-0075</t>
  </si>
  <si>
    <t>763604-D6-G11-0075</t>
  </si>
  <si>
    <t>D2-G04-0079</t>
  </si>
  <si>
    <t>763604-D2-G04-0079</t>
  </si>
  <si>
    <t>D5-I09-0082</t>
  </si>
  <si>
    <t>763604-D5-I09-0082</t>
  </si>
  <si>
    <t>D5-G10-0070</t>
  </si>
  <si>
    <t>763604-D5-G10-0070</t>
  </si>
  <si>
    <t>D1-G02-0078</t>
  </si>
  <si>
    <t>763604-D1-G02-0078</t>
  </si>
  <si>
    <t>D2-I03-0086</t>
  </si>
  <si>
    <t>763604-D2-I03-0086</t>
  </si>
  <si>
    <t>D2-G03-0080</t>
  </si>
  <si>
    <t>763604-D2-G03-0080</t>
  </si>
  <si>
    <t>D3-I05-0094</t>
  </si>
  <si>
    <t>763604-D3-I05-0094</t>
  </si>
  <si>
    <t>D5-G09-0068</t>
  </si>
  <si>
    <t>763604-D5-G09-0068</t>
  </si>
  <si>
    <t>D2-I04-0091</t>
  </si>
  <si>
    <t>763604-D2-I04-0091</t>
  </si>
  <si>
    <t>D4-G08-0059</t>
  </si>
  <si>
    <t>763604-D4-G08-0059</t>
  </si>
  <si>
    <t>D2-G04-0080</t>
  </si>
  <si>
    <t>763604-D2-G04-0080</t>
  </si>
  <si>
    <t>D6-I11-0082</t>
  </si>
  <si>
    <t>763604-D6-I11-0082</t>
  </si>
  <si>
    <t>D5-G10-0069</t>
  </si>
  <si>
    <t>763604-D5-G10-0069</t>
  </si>
  <si>
    <t>D3-G05-0080</t>
  </si>
  <si>
    <t>763604-D3-G05-0080</t>
  </si>
  <si>
    <t>D2-G03-0081</t>
  </si>
  <si>
    <t>763604-D2-G03-0081</t>
  </si>
  <si>
    <t>D5-G09-0069</t>
  </si>
  <si>
    <t>763604-D5-G09-0069</t>
  </si>
  <si>
    <t>D4-I08-0071</t>
  </si>
  <si>
    <t>763604-D4-I08-0071</t>
  </si>
  <si>
    <t>D3-G06-0083</t>
  </si>
  <si>
    <t>763604-D3-G06-0083</t>
  </si>
  <si>
    <t>D6-G11-0076</t>
  </si>
  <si>
    <t>763604-D6-G11-0076</t>
  </si>
  <si>
    <t>D6-G12-0079</t>
  </si>
  <si>
    <t>763604-D6-G12-0079</t>
  </si>
  <si>
    <t>D6-I11-0083</t>
  </si>
  <si>
    <t>763604-D6-I11-0083</t>
  </si>
  <si>
    <t>D6-I12-0085</t>
  </si>
  <si>
    <t>763604-D6-I12-0085</t>
  </si>
  <si>
    <t>D2-I04-0092</t>
  </si>
  <si>
    <t>763604-D2-I04-0092</t>
  </si>
  <si>
    <t>K Wichien.bon</t>
  </si>
  <si>
    <t>A1-G02-0075</t>
  </si>
  <si>
    <t>763601-A1-G02-0075</t>
  </si>
  <si>
    <t>A1-G01-0064</t>
  </si>
  <si>
    <t>763601-A1-G01-0064</t>
  </si>
  <si>
    <t>A3-G05-0075</t>
  </si>
  <si>
    <t>763601-A3-G05-0075</t>
  </si>
  <si>
    <t>A4-I08-0100</t>
  </si>
  <si>
    <t>763601-A4-I08-0100</t>
  </si>
  <si>
    <t>A3-I05-0085</t>
  </si>
  <si>
    <t>763601-A3-I05-0085</t>
  </si>
  <si>
    <t>A3-G05-0077</t>
  </si>
  <si>
    <t>763601-A3-G05-0077</t>
  </si>
  <si>
    <t>A6-G11-0092</t>
  </si>
  <si>
    <t>763601-A6-G11-0092</t>
  </si>
  <si>
    <t>A1-G01-0062</t>
  </si>
  <si>
    <t>A4-G08-0070</t>
  </si>
  <si>
    <t>763601-A4-G08-0070</t>
  </si>
  <si>
    <t>A1-I01-0089</t>
  </si>
  <si>
    <t>763601-A1-I01-0089</t>
  </si>
  <si>
    <t>A3-I05-0083</t>
  </si>
  <si>
    <t>763601-A3-I05-0083</t>
  </si>
  <si>
    <t>A2-G03-0083</t>
  </si>
  <si>
    <t>763601-A2-G03-0083</t>
  </si>
  <si>
    <t>A4-G07-0072</t>
  </si>
  <si>
    <t>763601-A4-G07-0072</t>
  </si>
  <si>
    <t>A1-I01-0087</t>
  </si>
  <si>
    <t>763601-A1-I01-0087</t>
  </si>
  <si>
    <t>A4-I07-0095</t>
  </si>
  <si>
    <t>763601-A4-I07-0095</t>
  </si>
  <si>
    <t>A4-I08-0099</t>
  </si>
  <si>
    <t>763601-A4-I08-0099</t>
  </si>
  <si>
    <t>A5-G10-0069</t>
  </si>
  <si>
    <t>763601-A5-G10-0069</t>
  </si>
  <si>
    <t>A2-I03-0095</t>
  </si>
  <si>
    <t>763601-A2-I03-0095</t>
  </si>
  <si>
    <t>A5-G09-0084</t>
  </si>
  <si>
    <t>763601-A5-G09-0084</t>
  </si>
  <si>
    <t>A1-I02-0095</t>
  </si>
  <si>
    <t>763601-A1-I02-0095</t>
  </si>
  <si>
    <t>A1-G01-0063</t>
  </si>
  <si>
    <t>763601-A1-G01-0063</t>
  </si>
  <si>
    <t>A2-G04-0082</t>
  </si>
  <si>
    <t>763601-A2-G04-0082</t>
  </si>
  <si>
    <t>A1-I01-0088</t>
  </si>
  <si>
    <t>763601-A1-I01-0088</t>
  </si>
  <si>
    <t>A2-I04-0100</t>
  </si>
  <si>
    <t>763601-A2-I04-0100</t>
  </si>
  <si>
    <t>A2-G04-0081</t>
  </si>
  <si>
    <t>763601-A2-G04-0081</t>
  </si>
  <si>
    <t>A2-I04-0099</t>
  </si>
  <si>
    <t>763601-A2-I04-0099</t>
  </si>
  <si>
    <t>A3-G05-0076</t>
  </si>
  <si>
    <t>763601-A3-G05-0076</t>
  </si>
  <si>
    <t>A4-I07-0094</t>
  </si>
  <si>
    <t>763601-A4-I07-0094</t>
  </si>
  <si>
    <t>A3-I05-0084</t>
  </si>
  <si>
    <t>763601-A3-I05-0084</t>
  </si>
  <si>
    <t>A4-G08-0069</t>
  </si>
  <si>
    <t>763601-A4-G08-0069</t>
  </si>
  <si>
    <t>A4-G07-0071</t>
  </si>
  <si>
    <t>763601-A4-G07-0071</t>
  </si>
  <si>
    <t>A1-G02-0074</t>
  </si>
  <si>
    <t>763601-A1-G02-0074</t>
  </si>
  <si>
    <t>A1-I02-0094</t>
  </si>
  <si>
    <t>763601-A1-I02-0094</t>
  </si>
  <si>
    <t>A3-G06-0081</t>
  </si>
  <si>
    <t>763601-A3-G06-0081</t>
  </si>
  <si>
    <t>A6-I11-0101</t>
  </si>
  <si>
    <t>763601-A6-I11-0101</t>
  </si>
  <si>
    <t>A5-I09-0098</t>
  </si>
  <si>
    <t>763601-A5-I09-0098</t>
  </si>
  <si>
    <t>A5-I10-0094</t>
  </si>
  <si>
    <t>763601-A5-I10-0094</t>
  </si>
  <si>
    <t>A5-G10-0068</t>
  </si>
  <si>
    <t>763601-A5-G10-0068</t>
  </si>
  <si>
    <t>A5-G09-0083</t>
  </si>
  <si>
    <t>763601-A5-G09-0083</t>
  </si>
  <si>
    <t>A6-G11-0091</t>
  </si>
  <si>
    <t>763601-A6-G11-0091</t>
  </si>
  <si>
    <t>A2-I03-0094</t>
  </si>
  <si>
    <t>763601-A2-I03-0094</t>
  </si>
  <si>
    <t>A5-I09-0099</t>
  </si>
  <si>
    <t>763601-A5-I09-0099</t>
  </si>
  <si>
    <t>A6-I11-0102</t>
  </si>
  <si>
    <t>763601-A6-I11-0102</t>
  </si>
  <si>
    <t>A2-G03-0082</t>
  </si>
  <si>
    <t>763601-A2-G03-0082</t>
  </si>
  <si>
    <t>A5-I10-0095</t>
  </si>
  <si>
    <t>763601-A5-I10-0095</t>
  </si>
  <si>
    <t>A3-I06-0089</t>
  </si>
  <si>
    <t>763601-A3-I06-0089</t>
  </si>
  <si>
    <t>PB5</t>
  </si>
  <si>
    <t>773701-A1-005-0051</t>
  </si>
  <si>
    <t>K Jeerasuk.ket</t>
  </si>
  <si>
    <t>B1-023-0049</t>
  </si>
  <si>
    <t>773701-B1-023-0049</t>
  </si>
  <si>
    <t>773701-A1-007-0051</t>
  </si>
  <si>
    <t>B1-022-0050</t>
  </si>
  <si>
    <t>773701-B1-022-0050</t>
  </si>
  <si>
    <t>A1-005-0052</t>
  </si>
  <si>
    <t>98</t>
  </si>
  <si>
    <t>773701-A1-005-0052</t>
  </si>
  <si>
    <t>773701-A1-011-0046</t>
  </si>
  <si>
    <t>773701-A1-011-0047</t>
  </si>
  <si>
    <t>B1-021-0046</t>
  </si>
  <si>
    <t>773701-B1-021-0046</t>
  </si>
  <si>
    <t>A1-009-0048</t>
  </si>
  <si>
    <t>773701-A1-009-0048</t>
  </si>
  <si>
    <t>B1-023-0048</t>
  </si>
  <si>
    <t>773701-B1-023-0048</t>
  </si>
  <si>
    <t>B1-021-0047</t>
  </si>
  <si>
    <t>773701-B1-021-0047</t>
  </si>
  <si>
    <t>B1-022-0049</t>
  </si>
  <si>
    <t>773701-B1-022-0049</t>
  </si>
  <si>
    <t>773701-A1-009-0047</t>
  </si>
  <si>
    <t>A1-005-0051</t>
  </si>
  <si>
    <t>773701-A1-007-0050</t>
  </si>
  <si>
    <t>Maeklong1</t>
  </si>
  <si>
    <t>780501-A1-002-0033</t>
  </si>
  <si>
    <t>K Vorn.reu</t>
  </si>
  <si>
    <t>A1-005-0042</t>
  </si>
  <si>
    <t>780501-A1-005-0042</t>
  </si>
  <si>
    <t>A1-002-0033</t>
  </si>
  <si>
    <t>69</t>
  </si>
  <si>
    <t>80</t>
  </si>
  <si>
    <t>780501-A1-009-0042</t>
  </si>
  <si>
    <t>A1-002-0035</t>
  </si>
  <si>
    <t>780501-A1-002-0035</t>
  </si>
  <si>
    <t>A1-029-0012</t>
  </si>
  <si>
    <t>780501-A1-029-0012</t>
  </si>
  <si>
    <t>A1-006-0041</t>
  </si>
  <si>
    <t>780501-A1-006-0041</t>
  </si>
  <si>
    <t>A1-030-0006</t>
  </si>
  <si>
    <t>780501-A1-030-0006</t>
  </si>
  <si>
    <t>A1-029-0013</t>
  </si>
  <si>
    <t>780501-A1-029-0013</t>
  </si>
  <si>
    <t>A1-029-0014</t>
  </si>
  <si>
    <t>780501-A1-029-0014</t>
  </si>
  <si>
    <t>A1-030-0007</t>
  </si>
  <si>
    <t>780501-A1-030-0007</t>
  </si>
  <si>
    <t>780501-A1-009-0043</t>
  </si>
  <si>
    <t>A1-006-0042</t>
  </si>
  <si>
    <t>780501-A1-006-0042</t>
  </si>
  <si>
    <t>A1-002-0034</t>
  </si>
  <si>
    <t>780501-A1-002-0034</t>
  </si>
  <si>
    <t>A1-005-0044</t>
  </si>
  <si>
    <t>780501-A1-005-0044</t>
  </si>
  <si>
    <t>A1-005-0043</t>
  </si>
  <si>
    <t>K Punya.trp</t>
  </si>
  <si>
    <t>780502-A1-015-0035</t>
  </si>
  <si>
    <t>A1-023-0018</t>
  </si>
  <si>
    <t>780502-A1-023-0018</t>
  </si>
  <si>
    <t>A1-017-0029</t>
  </si>
  <si>
    <t>79</t>
  </si>
  <si>
    <t>780502-A1-017-0029</t>
  </si>
  <si>
    <t>A1-015-0037</t>
  </si>
  <si>
    <t>780502-A1-015-0037</t>
  </si>
  <si>
    <t>A1-015-0035</t>
  </si>
  <si>
    <t>A1-021-0024</t>
  </si>
  <si>
    <t>780502-A1-021-0024</t>
  </si>
  <si>
    <t>A1-017-0031</t>
  </si>
  <si>
    <t>780502-A1-017-0031</t>
  </si>
  <si>
    <t>A1-015-0036</t>
  </si>
  <si>
    <t>780502-A1-015-0036</t>
  </si>
  <si>
    <t>A1-019-0023</t>
  </si>
  <si>
    <t>780502-A1-019-0023</t>
  </si>
  <si>
    <t>A1-024-0012</t>
  </si>
  <si>
    <t>780502-A1-024-0012</t>
  </si>
  <si>
    <t>A1-019-0024</t>
  </si>
  <si>
    <t>780502-A1-019-0024</t>
  </si>
  <si>
    <t>A1-023-0017</t>
  </si>
  <si>
    <t>780502-A1-023-0017</t>
  </si>
  <si>
    <t>A1-021-0025</t>
  </si>
  <si>
    <t>780502-A1-021-0025</t>
  </si>
  <si>
    <t>A1-024-0011</t>
  </si>
  <si>
    <t>780502-A1-024-0011</t>
  </si>
  <si>
    <t>780502-A1-023-0016</t>
  </si>
  <si>
    <t>Petchburi5</t>
  </si>
  <si>
    <t>K Pongsathon.jai</t>
  </si>
  <si>
    <t>751703-G1-G01-0002</t>
  </si>
  <si>
    <t>G1-G01-0003</t>
  </si>
  <si>
    <t>751703-G1-G01-0003</t>
  </si>
  <si>
    <t>G1-G02-0002</t>
  </si>
  <si>
    <t>751703-G1-G02-0002</t>
  </si>
  <si>
    <t>G1-G02-0001</t>
  </si>
  <si>
    <t>751703-G1-G02-0001</t>
  </si>
  <si>
    <t>G1-G01-0002</t>
  </si>
  <si>
    <t>K Nathapong.taw</t>
  </si>
  <si>
    <t>AG-001-0013</t>
  </si>
  <si>
    <t>751703-AG-001-0013</t>
  </si>
  <si>
    <t>AG-004-0012</t>
  </si>
  <si>
    <t>751703-AG-004-0012</t>
  </si>
  <si>
    <t>AG-006-0012</t>
  </si>
  <si>
    <t>751703-AG-006-0012</t>
  </si>
  <si>
    <t>AG-003-0013</t>
  </si>
  <si>
    <t>751703-AG-003-0013</t>
  </si>
  <si>
    <t>AG-005-0011</t>
  </si>
  <si>
    <t>751703-AG-005-0011</t>
  </si>
  <si>
    <t>AG-006-0011</t>
  </si>
  <si>
    <t>751703-AG-006-0011</t>
  </si>
  <si>
    <t>AG-004-0011</t>
  </si>
  <si>
    <t>751703-AG-004-0011</t>
  </si>
  <si>
    <t>AG-005-0012</t>
  </si>
  <si>
    <t>751703-AG-005-0012</t>
  </si>
  <si>
    <t>AG-002-0012</t>
  </si>
  <si>
    <t>751703-AG-002-0012</t>
  </si>
  <si>
    <t>AG-003-0012</t>
  </si>
  <si>
    <t>751703-AG-003-0012</t>
  </si>
  <si>
    <t>AG-001-0012</t>
  </si>
  <si>
    <t>751703-AG-001-0012</t>
  </si>
  <si>
    <t>AG-002-0013</t>
  </si>
  <si>
    <t>751703-AG-002-0013</t>
  </si>
  <si>
    <t>AG-006-0010</t>
  </si>
  <si>
    <t>751703-AG-006-0010</t>
  </si>
  <si>
    <t>AG-003-0011</t>
  </si>
  <si>
    <t>751703-AG-003-0011</t>
  </si>
  <si>
    <t>K Netipong.nam</t>
  </si>
  <si>
    <t>751701-B1-115-0007</t>
  </si>
  <si>
    <t>B1-126-0008</t>
  </si>
  <si>
    <t>751701-B1-126-0008</t>
  </si>
  <si>
    <t>B1-126-0007</t>
  </si>
  <si>
    <t>751701-B1-126-0007</t>
  </si>
  <si>
    <t>B1-127-0008</t>
  </si>
  <si>
    <t>751701-B1-127-0008</t>
  </si>
  <si>
    <t>B1-115-0008</t>
  </si>
  <si>
    <t>751701-B1-115-0008</t>
  </si>
  <si>
    <t>B1-124-0008</t>
  </si>
  <si>
    <t>751701-B1-124-0008</t>
  </si>
  <si>
    <t>B1-127-0009</t>
  </si>
  <si>
    <t>751701-B1-127-0009</t>
  </si>
  <si>
    <t>B1-125-0008</t>
  </si>
  <si>
    <t>751701-B1-125-0008</t>
  </si>
  <si>
    <t>B1-116-0007</t>
  </si>
  <si>
    <t>751701-B1-116-0007</t>
  </si>
  <si>
    <t>B1-116-0006</t>
  </si>
  <si>
    <t>751701-B1-116-0006</t>
  </si>
  <si>
    <t>B1-125-0007</t>
  </si>
  <si>
    <t>751701-B1-125-0007</t>
  </si>
  <si>
    <t>B1-124-0007</t>
  </si>
  <si>
    <t>751701-B1-124-0007</t>
  </si>
  <si>
    <t>B1-127-0007</t>
  </si>
  <si>
    <t>751701-B1-127-0007</t>
  </si>
  <si>
    <t>B1-115-0007</t>
  </si>
  <si>
    <t>K Jeerawuth.mah</t>
  </si>
  <si>
    <t>A1-035-0007</t>
  </si>
  <si>
    <t>751701-A1-035-0007</t>
  </si>
  <si>
    <t>A1-033-0009</t>
  </si>
  <si>
    <t>751701-A1-033-0009</t>
  </si>
  <si>
    <t>A1-032-0008</t>
  </si>
  <si>
    <t>751701-A1-032-0008</t>
  </si>
  <si>
    <t>751701-A1-034-0008</t>
  </si>
  <si>
    <t>A1-020-0016</t>
  </si>
  <si>
    <t>751701-A1-020-0016</t>
  </si>
  <si>
    <t>A1-020-0015</t>
  </si>
  <si>
    <t>A1-021-0020</t>
  </si>
  <si>
    <t>751701-A1-021-0020</t>
  </si>
  <si>
    <t>A1-032-0007</t>
  </si>
  <si>
    <t>751701-A1-032-0007</t>
  </si>
  <si>
    <t>A1-021-0019</t>
  </si>
  <si>
    <t>751701-A1-021-0019</t>
  </si>
  <si>
    <t>A1-033-0008</t>
  </si>
  <si>
    <t>751701-A1-033-0008</t>
  </si>
  <si>
    <t>A1-035-0006</t>
  </si>
  <si>
    <t>751701-A1-035-0006</t>
  </si>
  <si>
    <t>Bansang</t>
  </si>
  <si>
    <t>783901-A1-005-0014</t>
  </si>
  <si>
    <t>K Jarin.khu</t>
  </si>
  <si>
    <t>A1-007-0018</t>
  </si>
  <si>
    <t>783901-A1-007-0018</t>
  </si>
  <si>
    <t>A1-005-0016</t>
  </si>
  <si>
    <t>783901-A1-005-0016</t>
  </si>
  <si>
    <t>A1-008-0014</t>
  </si>
  <si>
    <t>783901-A1-008-0014</t>
  </si>
  <si>
    <t>A1-007-0016</t>
  </si>
  <si>
    <t>783901-A1-007-0016</t>
  </si>
  <si>
    <t>A1-006-0014</t>
  </si>
  <si>
    <t>783901-A1-006-0014</t>
  </si>
  <si>
    <t>A1-007-0017</t>
  </si>
  <si>
    <t>783901-A1-007-0017</t>
  </si>
  <si>
    <t>A1-005-0015</t>
  </si>
  <si>
    <t>783901-A1-005-0015</t>
  </si>
  <si>
    <t>A1-005-0014</t>
  </si>
  <si>
    <t>A1-008-0015</t>
  </si>
  <si>
    <t>783901-A1-008-0015</t>
  </si>
  <si>
    <t>A1-006-0015</t>
  </si>
  <si>
    <t>783901-A1-006-0015</t>
  </si>
  <si>
    <t>A1-006-0013</t>
  </si>
  <si>
    <t>783901-A1-006-0013</t>
  </si>
  <si>
    <t>Choknavy</t>
  </si>
  <si>
    <t>784901-A1-001-0040</t>
  </si>
  <si>
    <t>K Somkuan.pan</t>
  </si>
  <si>
    <t>G1-G01-0001</t>
  </si>
  <si>
    <t>784901-G1-G01-0001</t>
  </si>
  <si>
    <t>A1-006-0032</t>
  </si>
  <si>
    <t>784901-A1-006-0032</t>
  </si>
  <si>
    <t>A1-005-0006</t>
  </si>
  <si>
    <t>784901-A1-005-0006</t>
  </si>
  <si>
    <t>A1-001-0041</t>
  </si>
  <si>
    <t>784901-A1-001-0041</t>
  </si>
  <si>
    <t>784901-A1-002-0037</t>
  </si>
  <si>
    <t>A1-003-0036</t>
  </si>
  <si>
    <t>784901-A1-003-0036</t>
  </si>
  <si>
    <t>A1-001-0040</t>
  </si>
  <si>
    <t>A1-006-0031</t>
  </si>
  <si>
    <t>784901-A1-006-0031</t>
  </si>
  <si>
    <t>A1-002-0036</t>
  </si>
  <si>
    <t>784901-A1-002-0036</t>
  </si>
  <si>
    <t>A1-003-0035</t>
  </si>
  <si>
    <t>Maeklong2 Research</t>
  </si>
  <si>
    <t>Yisan Marine Research</t>
  </si>
  <si>
    <t>K Nantana</t>
  </si>
  <si>
    <t>757501-A1-007-0044</t>
  </si>
  <si>
    <t>Lamae</t>
  </si>
  <si>
    <t>K Prasart.saa</t>
  </si>
  <si>
    <t>B1-018-0013</t>
  </si>
  <si>
    <t>757501-B1-018-0013</t>
  </si>
  <si>
    <t>A1-013-0015</t>
  </si>
  <si>
    <t>757501-A1-013-0015</t>
  </si>
  <si>
    <t>A1-012-0014</t>
  </si>
  <si>
    <t>757501-A1-012-0014</t>
  </si>
  <si>
    <t>757501-B1-022-0012</t>
  </si>
  <si>
    <t>A1-012-0013</t>
  </si>
  <si>
    <t>757501-A1-012-0013</t>
  </si>
  <si>
    <t>A1-011-0023</t>
  </si>
  <si>
    <t>757501-A1-011-0023</t>
  </si>
  <si>
    <t>A1-009-0020</t>
  </si>
  <si>
    <t>757501-A1-009-0020</t>
  </si>
  <si>
    <t>A1-010-0022</t>
  </si>
  <si>
    <t>757501-A1-010-0022</t>
  </si>
  <si>
    <t>A1-007-0044</t>
  </si>
  <si>
    <t>A1-013-0016</t>
  </si>
  <si>
    <t>757501-A1-013-0016</t>
  </si>
  <si>
    <t>757501-B1-018-0012</t>
  </si>
  <si>
    <t>A1-011-0022</t>
  </si>
  <si>
    <t>757501-A1-011-0022</t>
  </si>
  <si>
    <t>757501-B1-021-0013</t>
  </si>
  <si>
    <t>757501-B1-022-0011</t>
  </si>
  <si>
    <t>B1-021-0012</t>
  </si>
  <si>
    <t>757501-B1-021-0012</t>
  </si>
  <si>
    <t>A1-012-0012</t>
  </si>
  <si>
    <t>757501-A1-012-0012</t>
  </si>
  <si>
    <t>A1-007-0045</t>
  </si>
  <si>
    <t>757501-A1-007-0045</t>
  </si>
  <si>
    <t>max</t>
  </si>
  <si>
    <t>min</t>
  </si>
  <si>
    <t>2-4</t>
  </si>
  <si>
    <t>คะแนนดิบ</t>
  </si>
  <si>
    <t>+</t>
  </si>
  <si>
    <t>-</t>
  </si>
  <si>
    <t>POINT</t>
  </si>
  <si>
    <t>range</t>
  </si>
  <si>
    <t>ปรับฐาน</t>
  </si>
  <si>
    <t>POINT/UNIT</t>
  </si>
  <si>
    <t>ผลประหยัด</t>
  </si>
  <si>
    <t>average</t>
  </si>
  <si>
    <t>median</t>
  </si>
  <si>
    <t>ผลคะแนน</t>
  </si>
  <si>
    <t>&gt;max</t>
  </si>
  <si>
    <t>&lt;min</t>
  </si>
  <si>
    <t>อยู่ในเกณฑ์</t>
  </si>
  <si>
    <t>Total</t>
  </si>
  <si>
    <t>COUNT</t>
  </si>
  <si>
    <t>%</t>
  </si>
  <si>
    <t>เกณฑ์</t>
  </si>
  <si>
    <t>เกิดจริงSR</t>
  </si>
  <si>
    <t>เกณฑ์SR</t>
  </si>
  <si>
    <t>เกิดจริงADG</t>
  </si>
  <si>
    <t>SR</t>
  </si>
  <si>
    <t>ADG</t>
  </si>
  <si>
    <t>YIELD</t>
  </si>
  <si>
    <t>SIZE</t>
  </si>
  <si>
    <t>WEIGHT (Ton)</t>
  </si>
  <si>
    <t>DOC</t>
  </si>
  <si>
    <t>PML</t>
  </si>
  <si>
    <t>TOTAL</t>
  </si>
  <si>
    <t>Accumulate 2023 JAN-OCT</t>
  </si>
  <si>
    <t>FEEDBACK</t>
  </si>
  <si>
    <t>Status</t>
  </si>
  <si>
    <t>เปลี่ยนจากช่วงเป็บัญญัติไตรยาง</t>
  </si>
  <si>
    <t>ปรับน้ำหนักเกณฑ์ต่าง ๆ</t>
  </si>
  <si>
    <t>ปรับเกณฑ์การให้คะแนน</t>
  </si>
  <si>
    <t>complete</t>
  </si>
  <si>
    <t>ongoing</t>
  </si>
  <si>
    <t>DATA UPDATE 31/10/66</t>
  </si>
  <si>
    <t>ตัด Re</t>
  </si>
  <si>
    <t>ถ้าอิงกลุ่ม จัด distribution</t>
  </si>
  <si>
    <t>ถ้าอิงเกณฑ์ หาค่าSTD</t>
  </si>
  <si>
    <t>**ดูการทำงานจริง</t>
  </si>
  <si>
    <t>steps</t>
  </si>
  <si>
    <t>ตัดทีมที่ไม่ใช่ออก</t>
  </si>
  <si>
    <t>month closed</t>
  </si>
  <si>
    <t>Count</t>
  </si>
  <si>
    <t>D1-032-0010</t>
  </si>
  <si>
    <t>752901-D1-032-0010</t>
  </si>
  <si>
    <t>DG-005-0026</t>
  </si>
  <si>
    <t>784707-DG-005-0026</t>
  </si>
  <si>
    <t>K Teerakawarin.kia</t>
  </si>
  <si>
    <t>B1-015-0014</t>
  </si>
  <si>
    <t>788501-B1-015-0014</t>
  </si>
  <si>
    <t>D1-083-0015</t>
  </si>
  <si>
    <t>771001-D1-083-0015</t>
  </si>
  <si>
    <t>G1-052-0012</t>
  </si>
  <si>
    <t>762903-G1-052-0012</t>
  </si>
  <si>
    <t>D6-G12-0080</t>
  </si>
  <si>
    <t>763604-D6-G12-0080</t>
  </si>
  <si>
    <t>D4-G07-0063</t>
  </si>
  <si>
    <t>763604-D4-G07-0063</t>
  </si>
  <si>
    <t>D6-G11-0077</t>
  </si>
  <si>
    <t>763604-D6-G11-0077</t>
  </si>
  <si>
    <t>D6-I12-0086</t>
  </si>
  <si>
    <t>763604-D6-I12-0086</t>
  </si>
  <si>
    <t>D6-I11-0084</t>
  </si>
  <si>
    <t>763604-D6-I11-0084</t>
  </si>
  <si>
    <t>D4-G08-0060</t>
  </si>
  <si>
    <t>763604-D4-G08-0060</t>
  </si>
  <si>
    <t>B1-022-0051</t>
  </si>
  <si>
    <t>773701-B1-022-0051</t>
  </si>
  <si>
    <t>784901-A1-003-0037</t>
  </si>
  <si>
    <t>A1-007-0046</t>
  </si>
  <si>
    <t>757501-A1-007-0046</t>
  </si>
  <si>
    <t>Forvlookup</t>
  </si>
  <si>
    <t>MIN</t>
  </si>
  <si>
    <t>MAX</t>
  </si>
  <si>
    <t>count Accum</t>
  </si>
  <si>
    <t>Size</t>
  </si>
  <si>
    <t>SIZE (AVG)</t>
  </si>
  <si>
    <t>STD SR</t>
  </si>
  <si>
    <t>%เทียบSTD</t>
  </si>
  <si>
    <t>Size AVG</t>
  </si>
  <si>
    <t>STD ADG</t>
  </si>
  <si>
    <t>FCR STD</t>
  </si>
  <si>
    <t>%เทียบ STD</t>
  </si>
  <si>
    <t>Forsumif</t>
  </si>
  <si>
    <t>sr</t>
  </si>
  <si>
    <t>Yield</t>
  </si>
  <si>
    <t>%Achieved STD</t>
  </si>
  <si>
    <t>…</t>
  </si>
  <si>
    <t>ไม่เจอ STD ใช้ DOC แทน</t>
  </si>
  <si>
    <t>…..</t>
  </si>
  <si>
    <t>POINT = 5</t>
  </si>
  <si>
    <t>AVG SIZE</t>
  </si>
  <si>
    <t>Month</t>
  </si>
  <si>
    <t>2 Rai</t>
  </si>
  <si>
    <t>2-4 Rai</t>
  </si>
  <si>
    <t>4 Rai</t>
  </si>
  <si>
    <t xml:space="preserve">YIELD (Ton/Rai) ตามโมเดล </t>
  </si>
  <si>
    <t>เกิดจริงผลประหยัด</t>
  </si>
  <si>
    <t>เกิดจริงYield</t>
  </si>
  <si>
    <t>คะแนน</t>
  </si>
  <si>
    <t>กุ้ง Size avg น้อยกว่า30</t>
  </si>
  <si>
    <t>กุ้ง Size avg 30-45</t>
  </si>
  <si>
    <t>กุ้ง Size avg 46-60</t>
  </si>
  <si>
    <t>กุ้ง Size avg 61-75</t>
  </si>
  <si>
    <t>JAN</t>
  </si>
  <si>
    <t>FEB</t>
  </si>
  <si>
    <t>MAR</t>
  </si>
  <si>
    <t>APR</t>
  </si>
  <si>
    <t>MAY</t>
  </si>
  <si>
    <t>JUNE</t>
  </si>
  <si>
    <t>JULY</t>
  </si>
  <si>
    <t>AUG</t>
  </si>
  <si>
    <t>SEP</t>
  </si>
  <si>
    <t>OCT</t>
  </si>
  <si>
    <t>AVG</t>
  </si>
  <si>
    <t>CHOM</t>
  </si>
  <si>
    <t>บัญชี</t>
  </si>
  <si>
    <t>BD</t>
  </si>
  <si>
    <t>Yeild</t>
  </si>
  <si>
    <t>Outdoor2</t>
  </si>
  <si>
    <t>TYPE</t>
  </si>
  <si>
    <t>FOR SUMIF</t>
  </si>
  <si>
    <t>outdoor2-4</t>
  </si>
  <si>
    <t>Outdoor4</t>
  </si>
  <si>
    <t>Row Labels</t>
  </si>
  <si>
    <t>Grand Total</t>
  </si>
  <si>
    <t>คะแนนปัด</t>
  </si>
  <si>
    <t>Average of คะแนนดิบ2</t>
  </si>
  <si>
    <t>Average of Yield (Ton/Rai)</t>
  </si>
  <si>
    <t>จำนวนบ่อ</t>
  </si>
  <si>
    <t>% Accum</t>
  </si>
  <si>
    <t xml:space="preserve"> Production Cost (/Kg) </t>
  </si>
  <si>
    <t>LamaeA1-012-0014</t>
  </si>
  <si>
    <t>Lamae9</t>
  </si>
  <si>
    <t>TalaytongA1-038-0010</t>
  </si>
  <si>
    <t>Talaytong10</t>
  </si>
  <si>
    <t>CHBR1A1-016-0012</t>
  </si>
  <si>
    <t>CHBR12</t>
  </si>
  <si>
    <t>Roiphet1D2-I03-0086</t>
  </si>
  <si>
    <t>Roiphet19</t>
  </si>
  <si>
    <t>ChoknavyA1-006-0032</t>
  </si>
  <si>
    <t>Choknavy7</t>
  </si>
  <si>
    <t>LamaeB1-022-0012</t>
  </si>
  <si>
    <t>Average of คะแนนดิบ</t>
  </si>
  <si>
    <t>ขนาดบ่อ</t>
  </si>
  <si>
    <t>Petchburi56</t>
  </si>
  <si>
    <t>Size Average</t>
  </si>
  <si>
    <t>SR4G1-052-0012</t>
  </si>
  <si>
    <t>SR411</t>
  </si>
  <si>
    <t>BangsakaoCG-003-0025</t>
  </si>
  <si>
    <t>Bangsakao1</t>
  </si>
  <si>
    <t>BangsakaoCG-009-0024</t>
  </si>
  <si>
    <t>BangsakaoDG-001-0026</t>
  </si>
  <si>
    <t>BangsakaoDG-005-0024</t>
  </si>
  <si>
    <t>Roiphet1D4-G08-0060</t>
  </si>
  <si>
    <t>Roiphet111</t>
  </si>
  <si>
    <t>Roiphet1D6-I11-0084</t>
  </si>
  <si>
    <t>Roiphet1D6-I12-0086</t>
  </si>
  <si>
    <t>Roiphet1D6-G11-0077</t>
  </si>
  <si>
    <t>Roiphet1D4-G07-0063</t>
  </si>
  <si>
    <t>Roiphet1D6-G12-0080</t>
  </si>
  <si>
    <t>BangsakaoDG-005-0026</t>
  </si>
  <si>
    <t>Bangsakao11</t>
  </si>
  <si>
    <t>SR4G1-053-0009</t>
  </si>
  <si>
    <t>SR410</t>
  </si>
  <si>
    <t>SR4G1-051-0010</t>
  </si>
  <si>
    <t>SR1G1-129-0010</t>
  </si>
  <si>
    <t>SR110</t>
  </si>
  <si>
    <t>SR1G1-130-0010</t>
  </si>
  <si>
    <t>Roiphet1A5-I10-0095</t>
  </si>
  <si>
    <t>Roiphet110</t>
  </si>
  <si>
    <t>Roiphet1A6-I11-0102</t>
  </si>
  <si>
    <t>Roiphet1A5-I09-0099</t>
  </si>
  <si>
    <t>Roiphet1A5-G09-0084</t>
  </si>
  <si>
    <t>Roiphet1A5-G10-0069</t>
  </si>
  <si>
    <t>Roiphet1A4-I07-0095</t>
  </si>
  <si>
    <t>Roiphet1A4-G07-0072</t>
  </si>
  <si>
    <t>Roiphet1A6-G11-0092</t>
  </si>
  <si>
    <t>NakornfarmBG-113-0009</t>
  </si>
  <si>
    <t>Nakornfarm1</t>
  </si>
  <si>
    <t>Petchburi5G1-G01-0002</t>
  </si>
  <si>
    <t>Petchburi51</t>
  </si>
  <si>
    <t>Petchburi5AG-006-0010</t>
  </si>
  <si>
    <t>Petchburi5AG-003-0011</t>
  </si>
  <si>
    <t>Roiphet1A3-G05-0077</t>
  </si>
  <si>
    <t>Roiphet1A3-I05-0085</t>
  </si>
  <si>
    <t>Roiphet1C4-G07-0056</t>
  </si>
  <si>
    <t>Roiphet11</t>
  </si>
  <si>
    <t>Roiphet1C4-G08-0060</t>
  </si>
  <si>
    <t>Roiphet1B6-I11-0082</t>
  </si>
  <si>
    <t>Roiphet1B6-G11-0081</t>
  </si>
  <si>
    <t>Roiphet1B6-I12-0085</t>
  </si>
  <si>
    <t>Roiphet1B6-G12-0086</t>
  </si>
  <si>
    <t>Roiphet1D4-G08-0058</t>
  </si>
  <si>
    <t>Roiphet1D1-I02-0088</t>
  </si>
  <si>
    <t>Roiphet1D4-I07-0075</t>
  </si>
  <si>
    <t>Roiphet1D4-I08-0070</t>
  </si>
  <si>
    <t>Roiphet1A3-G05-0075</t>
  </si>
  <si>
    <t>Roiphet1A1-G01-0062</t>
  </si>
  <si>
    <t>Roiphet1A3-I05-0083</t>
  </si>
  <si>
    <t>Roiphet1A1-I01-0087</t>
  </si>
  <si>
    <t>Roiphet1D5-G09-0069</t>
  </si>
  <si>
    <t>Roiphet1D5-G10-0070</t>
  </si>
  <si>
    <t>Roiphet1D5-I10-0075</t>
  </si>
  <si>
    <t>Roiphet1D3-G06-0084</t>
  </si>
  <si>
    <t>Roiphet1D5-I09-0083</t>
  </si>
  <si>
    <t>Roiphet1D3-G05-0081</t>
  </si>
  <si>
    <t>Roiphet1C5-I10-0066</t>
  </si>
  <si>
    <t>SR4G2-057-0008</t>
  </si>
  <si>
    <t>SR41</t>
  </si>
  <si>
    <t>Roiphet1C5-I09-0065</t>
  </si>
  <si>
    <t>BangsakaoCG-006-0028</t>
  </si>
  <si>
    <t>Bangsakao2</t>
  </si>
  <si>
    <t>BangsakaoDG-003-0024</t>
  </si>
  <si>
    <t>BangsakaoDG-004-0022</t>
  </si>
  <si>
    <t>Bo ThongBG-002-0013</t>
  </si>
  <si>
    <t>Bo Thong2</t>
  </si>
  <si>
    <t>Roiphet1C5-G09-0058</t>
  </si>
  <si>
    <t>Roiphet1C2-I03-0060</t>
  </si>
  <si>
    <t>Roiphet1C5-G10-0065</t>
  </si>
  <si>
    <t>Roiphet1C2-I04-0068</t>
  </si>
  <si>
    <t>Roiphet1C2-G03-0067</t>
  </si>
  <si>
    <t>Roiphet1C2-G04-0065</t>
  </si>
  <si>
    <t>Petchburi5AG-005-0012</t>
  </si>
  <si>
    <t>Petchburi510</t>
  </si>
  <si>
    <t>Petchburi5AG-003-0013</t>
  </si>
  <si>
    <t>Petchburi5AG-006-0012</t>
  </si>
  <si>
    <t>Petchburi5AG-004-0012</t>
  </si>
  <si>
    <t>NakornfarmBG-113-0010</t>
  </si>
  <si>
    <t>Nakornfarm10</t>
  </si>
  <si>
    <t>NakornfarmBG-116-0011</t>
  </si>
  <si>
    <t>NakornfarmBG-119-0011</t>
  </si>
  <si>
    <t>Lucky1BG-027-0012</t>
  </si>
  <si>
    <t>Lucky110</t>
  </si>
  <si>
    <t>Bangkachai1BG-045-0013</t>
  </si>
  <si>
    <t>Bangkachai110</t>
  </si>
  <si>
    <t>SR4G2-057-0010</t>
  </si>
  <si>
    <t>SR49</t>
  </si>
  <si>
    <t>Roiphet1A2-I04-0100</t>
  </si>
  <si>
    <t>Roiphet1A2-G04-0082</t>
  </si>
  <si>
    <t>Roiphet1A1-I02-0095</t>
  </si>
  <si>
    <t>Roiphet1A2-I03-0095</t>
  </si>
  <si>
    <t>Roiphet1A2-G03-0083</t>
  </si>
  <si>
    <t>Roiphet1A1-I01-0089</t>
  </si>
  <si>
    <t>Roiphet1A4-G08-0070</t>
  </si>
  <si>
    <t>Roiphet1A4-I08-0100</t>
  </si>
  <si>
    <t>Roiphet1A1-G01-0064</t>
  </si>
  <si>
    <t>Lucky1BG-028-0011</t>
  </si>
  <si>
    <t>Lucky12</t>
  </si>
  <si>
    <t>Lucky1BG-025-0009</t>
  </si>
  <si>
    <t>Lucky1BG-027-0010</t>
  </si>
  <si>
    <t>Lucky1BG-026-0011</t>
  </si>
  <si>
    <t>Lucky2AC-002-0008</t>
  </si>
  <si>
    <t>Lucky22</t>
  </si>
  <si>
    <t>Lucky2AC-001-0008</t>
  </si>
  <si>
    <t>Lucky2AC-005-0008</t>
  </si>
  <si>
    <t>Lucky2AC-004-0008</t>
  </si>
  <si>
    <t>Roiphet1A1-G02-0075</t>
  </si>
  <si>
    <t>Roiphet1D2-I04-0092</t>
  </si>
  <si>
    <t>Roiphet1D2-G03-0081</t>
  </si>
  <si>
    <t>Roiphet1D2-G04-0080</t>
  </si>
  <si>
    <t>NakornfarmBG-102-0010</t>
  </si>
  <si>
    <t>Nakornfarm2</t>
  </si>
  <si>
    <t>Roiphet1C1-I01-0080</t>
  </si>
  <si>
    <t>Roiphet1C1-G01-0073</t>
  </si>
  <si>
    <t>Roiphet1C1-I02-0072</t>
  </si>
  <si>
    <t>Roiphet1C4-I08-0063</t>
  </si>
  <si>
    <t>Roiphet12</t>
  </si>
  <si>
    <t>Roiphet1C4-I07-0059</t>
  </si>
  <si>
    <t>Roiphet1C6-I11-0064</t>
  </si>
  <si>
    <t>Roiphet1C6-G11-0058</t>
  </si>
  <si>
    <t>Roiphet1B1-G01-0083</t>
  </si>
  <si>
    <t>Roiphet1B1-I01-0094</t>
  </si>
  <si>
    <t>Roiphet1B1-G02-0087</t>
  </si>
  <si>
    <t>Roiphet1B1-I02-0094</t>
  </si>
  <si>
    <t>Roiphet1B4-G08-0079</t>
  </si>
  <si>
    <t>Roiphet1B2-G04-0091</t>
  </si>
  <si>
    <t>Roiphet1B2-I03-0094</t>
  </si>
  <si>
    <t>Roiphet1B2-G03-0079</t>
  </si>
  <si>
    <t>Roiphet1B2-I04-0097</t>
  </si>
  <si>
    <t>Roiphet1D1-I01-0090</t>
  </si>
  <si>
    <t>Roiphet1D6-G12-0078</t>
  </si>
  <si>
    <t>Roiphet1D1-G01-0076</t>
  </si>
  <si>
    <t>Roiphet1D6-G11-0075</t>
  </si>
  <si>
    <t>Roiphet1D1-G02-0078</t>
  </si>
  <si>
    <t>Roiphet1D6-I11-0082</t>
  </si>
  <si>
    <t>Roiphet1C1-G02-0074</t>
  </si>
  <si>
    <t>Roiphet1C3-G05-0075</t>
  </si>
  <si>
    <t>SR1G1-130-0008</t>
  </si>
  <si>
    <t>SR12</t>
  </si>
  <si>
    <t>SR1G1-129-0008</t>
  </si>
  <si>
    <t>Roiphet1C3-G06-0079</t>
  </si>
  <si>
    <t>NakornfarmBG-102-0011</t>
  </si>
  <si>
    <t>Nakornfarm9</t>
  </si>
  <si>
    <t>Lucky1BG-028-0013</t>
  </si>
  <si>
    <t>Lucky19</t>
  </si>
  <si>
    <t>SR4G2-058-0006</t>
  </si>
  <si>
    <t>SR42</t>
  </si>
  <si>
    <t>KamongAG-031-0013</t>
  </si>
  <si>
    <t>Kamong9</t>
  </si>
  <si>
    <t>KamongAG-011-0009</t>
  </si>
  <si>
    <t>SR4G2-059-0011</t>
  </si>
  <si>
    <t>SR48</t>
  </si>
  <si>
    <t>Roiphet1B3-I06-0095</t>
  </si>
  <si>
    <t>Roiphet18</t>
  </si>
  <si>
    <t>Roiphet1B3-I05-0093</t>
  </si>
  <si>
    <t>Bangkachai1BG-044-0009</t>
  </si>
  <si>
    <t>Bangkachai13</t>
  </si>
  <si>
    <t>Roiphet1B3-G06-0082</t>
  </si>
  <si>
    <t>Roiphet1B6-I12-0087</t>
  </si>
  <si>
    <t>BangsakaoCG-007-0024</t>
  </si>
  <si>
    <t>Bangsakao3</t>
  </si>
  <si>
    <t>BangsakaoCG-002-0027</t>
  </si>
  <si>
    <t>BangsakaoDG-006-0025</t>
  </si>
  <si>
    <t>BangsakaoDG-002-0024</t>
  </si>
  <si>
    <t>Roiphet1B6-I11-0084</t>
  </si>
  <si>
    <t>Roiphet1B6-G11-0083</t>
  </si>
  <si>
    <t>Roiphet1B6-G12-0088</t>
  </si>
  <si>
    <t>Roiphet1B3-G05-0093</t>
  </si>
  <si>
    <t>Petchburi5AG-002-0013</t>
  </si>
  <si>
    <t>Petchburi58</t>
  </si>
  <si>
    <t>Petchburi5G1-G02-0002</t>
  </si>
  <si>
    <t>NakornfarmBG-110-0012</t>
  </si>
  <si>
    <t>Nakornfarm8</t>
  </si>
  <si>
    <t>NakornfarmFG-125-0010</t>
  </si>
  <si>
    <t>Lucky1BG-025-0010</t>
  </si>
  <si>
    <t>Lucky18</t>
  </si>
  <si>
    <t>Lucky1BG-026-0013</t>
  </si>
  <si>
    <t>BangsakaoDG-002-0025</t>
  </si>
  <si>
    <t>Bangsakao8</t>
  </si>
  <si>
    <t>Bangkachai1BG-044-0010</t>
  </si>
  <si>
    <t>Bangkachai18</t>
  </si>
  <si>
    <t>SR4G2-058-0007</t>
  </si>
  <si>
    <t>SR47</t>
  </si>
  <si>
    <t>SR1G1-130-0009</t>
  </si>
  <si>
    <t>SR17</t>
  </si>
  <si>
    <t>SR1G1-129-0009</t>
  </si>
  <si>
    <t>Roiphet1B4-I08-0089</t>
  </si>
  <si>
    <t>Roiphet17</t>
  </si>
  <si>
    <t>Roiphet1B4-I07-0089</t>
  </si>
  <si>
    <t>Roiphet1B4-G08-0080</t>
  </si>
  <si>
    <t>Roiphet1B4-G07-0077</t>
  </si>
  <si>
    <t>Roiphet1B5-I10-0091</t>
  </si>
  <si>
    <t>Lucky2AC-003-0008</t>
  </si>
  <si>
    <t>Lucky23</t>
  </si>
  <si>
    <t>Roiphet1B5-G09-0085</t>
  </si>
  <si>
    <t>Roiphet1B5-I09-0094</t>
  </si>
  <si>
    <t>Lucky3BG-027-0010</t>
  </si>
  <si>
    <t>Lucky33</t>
  </si>
  <si>
    <t>Roiphet1B5-G10-0084</t>
  </si>
  <si>
    <t>Lucky3BG-026-0010</t>
  </si>
  <si>
    <t>Roiphet1C6-I12-0062</t>
  </si>
  <si>
    <t>Roiphet1C6-I11-0065</t>
  </si>
  <si>
    <t>Roiphet1C6-G11-0059</t>
  </si>
  <si>
    <t>NakornfarmBG-101-0010</t>
  </si>
  <si>
    <t>Nakornfarm7</t>
  </si>
  <si>
    <t>Lucky3BG-027-0012</t>
  </si>
  <si>
    <t>Lucky37</t>
  </si>
  <si>
    <t>Lucky2AC-001-0010</t>
  </si>
  <si>
    <t>Lucky27</t>
  </si>
  <si>
    <t>Lucky2AC-002-0010</t>
  </si>
  <si>
    <t>Lucky2AC-005-0010</t>
  </si>
  <si>
    <t>Lucky2AC-003-0009</t>
  </si>
  <si>
    <t>NakornfarmBG-116-0009</t>
  </si>
  <si>
    <t>Nakornfarm3</t>
  </si>
  <si>
    <t>Lucky2AC-004-0010</t>
  </si>
  <si>
    <t>Bo ThongBG-002-0015</t>
  </si>
  <si>
    <t>Bo Thong7</t>
  </si>
  <si>
    <t>Bo ThongBG-001-0012</t>
  </si>
  <si>
    <t>Petchburi5AG-001-0012</t>
  </si>
  <si>
    <t>Petchburi53</t>
  </si>
  <si>
    <t>BangsakaoDG-003-0025</t>
  </si>
  <si>
    <t>Bangsakao7</t>
  </si>
  <si>
    <t>BangsakaoCG-004-0026</t>
  </si>
  <si>
    <t>BangsakaoCG-003-0027</t>
  </si>
  <si>
    <t>SR4G1-052-0011</t>
  </si>
  <si>
    <t>SR46</t>
  </si>
  <si>
    <t>SR1G1-128-0005</t>
  </si>
  <si>
    <t>SR16</t>
  </si>
  <si>
    <t>Roiphet1A3-I06-0089</t>
  </si>
  <si>
    <t>Roiphet16</t>
  </si>
  <si>
    <t>Roiphet1A5-G09-0083</t>
  </si>
  <si>
    <t>Roiphet1A5-I09-0098</t>
  </si>
  <si>
    <t>Roiphet1A3-G06-0081</t>
  </si>
  <si>
    <t>Roiphet1A4-G08-0069</t>
  </si>
  <si>
    <t>Roiphet1C3-G05-0073</t>
  </si>
  <si>
    <t>Roiphet13</t>
  </si>
  <si>
    <t>Roiphet1C3-G06-0077</t>
  </si>
  <si>
    <t>Roiphet1C2-I03-0058</t>
  </si>
  <si>
    <t>Roiphet1C6-I12-0061</t>
  </si>
  <si>
    <t>Roiphet1C2-I04-0066</t>
  </si>
  <si>
    <t>Roiphet1C6-G12-0059</t>
  </si>
  <si>
    <t>Roiphet1B4-G07-0076</t>
  </si>
  <si>
    <t>Roiphet1B4-I08-0088</t>
  </si>
  <si>
    <t>Roiphet1B4-I07-0088</t>
  </si>
  <si>
    <t>Roiphet1A3-I05-0084</t>
  </si>
  <si>
    <t>Roiphet1A3-G05-0076</t>
  </si>
  <si>
    <t>Roiphet1A1-I01-0088</t>
  </si>
  <si>
    <t>Roiphet1A1-G01-0063</t>
  </si>
  <si>
    <t>Roiphet1A4-I08-0099</t>
  </si>
  <si>
    <t>Roiphet1D6-I12-0085</t>
  </si>
  <si>
    <t>Roiphet1D6-I11-0083</t>
  </si>
  <si>
    <t>Roiphet1D6-G12-0079</t>
  </si>
  <si>
    <t>Roiphet1D6-G11-0076</t>
  </si>
  <si>
    <t>Roiphet1D1-I01-0091</t>
  </si>
  <si>
    <t>Roiphet1D1-I02-0089</t>
  </si>
  <si>
    <t>SR4G2-057-0009</t>
  </si>
  <si>
    <t>SR43</t>
  </si>
  <si>
    <t>Roiphet1D1-G02-0079</t>
  </si>
  <si>
    <t>Roiphet1D1-G01-0077</t>
  </si>
  <si>
    <t>Roiphet1B6-G11-0082</t>
  </si>
  <si>
    <t>Roiphet1B6-G12-0087</t>
  </si>
  <si>
    <t>Roiphet1B1-I01-0095</t>
  </si>
  <si>
    <t>Roiphet1B3-I06-0094</t>
  </si>
  <si>
    <t>Roiphet1B3-G06-0081</t>
  </si>
  <si>
    <t>Roiphet1B6-I12-0086</t>
  </si>
  <si>
    <t>Roiphet1B6-I11-0083</t>
  </si>
  <si>
    <t>BangsakaoCG-003-0026</t>
  </si>
  <si>
    <t>Bangsakao4</t>
  </si>
  <si>
    <t>BangsakaoCG-004-0025</t>
  </si>
  <si>
    <t>BangsakaoCG-008-0028</t>
  </si>
  <si>
    <t>Roiphet1B1-I02-0095</t>
  </si>
  <si>
    <t>Roiphet1B2-G04-0092</t>
  </si>
  <si>
    <t>Roiphet1B2-I04-0098</t>
  </si>
  <si>
    <t>Roiphet1B2-I03-0095</t>
  </si>
  <si>
    <t>Roiphet1B1-G01-0084</t>
  </si>
  <si>
    <t>Roiphet1B1-G02-0088</t>
  </si>
  <si>
    <t>Roiphet1B2-G03-0080</t>
  </si>
  <si>
    <t>Roiphet1C4-I08-0064</t>
  </si>
  <si>
    <t>Roiphet1C4-I07-0060</t>
  </si>
  <si>
    <t>Roiphet1C4-G08-0061</t>
  </si>
  <si>
    <t>Roiphet1C4-G07-0057</t>
  </si>
  <si>
    <t>KamongAG-011-0008</t>
  </si>
  <si>
    <t>Kamong4</t>
  </si>
  <si>
    <t>Roiphet1C6-G12-0060</t>
  </si>
  <si>
    <t>Roiphet1C2-I04-0067</t>
  </si>
  <si>
    <t>Roiphet1C2-I03-0059</t>
  </si>
  <si>
    <t>Roiphet1C2-G03-0066</t>
  </si>
  <si>
    <t>Roiphet1C2-G04-0064</t>
  </si>
  <si>
    <t>RanodeAG-090-0010</t>
  </si>
  <si>
    <t>Ranode6</t>
  </si>
  <si>
    <t>RanodeAG-091-0012</t>
  </si>
  <si>
    <t>RanodeAG-093-0013</t>
  </si>
  <si>
    <t>Petchburi5AG-003-0012</t>
  </si>
  <si>
    <t>Petchburi5AG-001-0013</t>
  </si>
  <si>
    <t>Petchburi5G1-G01-0003</t>
  </si>
  <si>
    <t>NakornfarmBG-110-0011</t>
  </si>
  <si>
    <t>Nakornfarm6</t>
  </si>
  <si>
    <t>NakornfarmBG-111-0010</t>
  </si>
  <si>
    <t>Lucky1BG-028-0012</t>
  </si>
  <si>
    <t>Lucky16</t>
  </si>
  <si>
    <t>Lucky1BG-027-0011</t>
  </si>
  <si>
    <t>KamongAG-031-0012</t>
  </si>
  <si>
    <t>Kamong6</t>
  </si>
  <si>
    <t>Bo ThongBG-002-0014</t>
  </si>
  <si>
    <t>Bo Thong6</t>
  </si>
  <si>
    <t>BangsakaoDG-001-0027</t>
  </si>
  <si>
    <t>Bangsakao6</t>
  </si>
  <si>
    <t>BangsakaoDG-004-0023</t>
  </si>
  <si>
    <t>BangsakaoDG-006-0026</t>
  </si>
  <si>
    <t>NakornfarmFG-125-0009</t>
  </si>
  <si>
    <t>Nakornfarm4</t>
  </si>
  <si>
    <t>BangsakaoCG-009-0025</t>
  </si>
  <si>
    <t>BangsakaoCG-002-0028</t>
  </si>
  <si>
    <t>BangsakaoCG-008-0029</t>
  </si>
  <si>
    <t>BangsakaoCG-007-0025</t>
  </si>
  <si>
    <t>SR4G1-051-0009</t>
  </si>
  <si>
    <t>SR45</t>
  </si>
  <si>
    <t>SR4G1-053-0008</t>
  </si>
  <si>
    <t>Petchburi5G1-G02-0001</t>
  </si>
  <si>
    <t>Petchburi54</t>
  </si>
  <si>
    <t>Petchburi5AG-002-0012</t>
  </si>
  <si>
    <t>Roiphet1A2-G03-0082</t>
  </si>
  <si>
    <t>Roiphet15</t>
  </si>
  <si>
    <t>Roiphet1A6-G11-0091</t>
  </si>
  <si>
    <t>Roiphet1A5-G10-0068</t>
  </si>
  <si>
    <t>Roiphet1A5-I10-0094</t>
  </si>
  <si>
    <t>Roiphet1A6-I11-0101</t>
  </si>
  <si>
    <t>RanodeAG-093-0012</t>
  </si>
  <si>
    <t>Ranode4</t>
  </si>
  <si>
    <t>Roiphet1A1-I02-0094</t>
  </si>
  <si>
    <t>Roiphet1A1-G02-0074</t>
  </si>
  <si>
    <t>Roiphet1A4-G07-0071</t>
  </si>
  <si>
    <t>Roiphet1C3-I05-0065</t>
  </si>
  <si>
    <t>Roiphet14</t>
  </si>
  <si>
    <t>Roiphet1C3-I06-0062</t>
  </si>
  <si>
    <t>Roiphet1C2-G04-0063</t>
  </si>
  <si>
    <t>Roiphet1C2-G03-0065</t>
  </si>
  <si>
    <t>Roiphet1D3-I06-0080</t>
  </si>
  <si>
    <t>Roiphet1D2-I03-0085</t>
  </si>
  <si>
    <t>Roiphet1D2-G03-0080</t>
  </si>
  <si>
    <t>Roiphet1D3-I05-0094</t>
  </si>
  <si>
    <t>Roiphet1D3-G05-0080</t>
  </si>
  <si>
    <t>Roiphet1D3-G06-0083</t>
  </si>
  <si>
    <t>Roiphet1A2-I03-0094</t>
  </si>
  <si>
    <t>Roiphet1A4-I07-0094</t>
  </si>
  <si>
    <t>Roiphet1A2-I04-0099</t>
  </si>
  <si>
    <t>Roiphet1A2-G04-0081</t>
  </si>
  <si>
    <t>Roiphet1D4-I08-0071</t>
  </si>
  <si>
    <t>Roiphet1D5-G10-0069</t>
  </si>
  <si>
    <t>Roiphet1D4-G08-0059</t>
  </si>
  <si>
    <t>Roiphet1D2-I04-0091</t>
  </si>
  <si>
    <t>Roiphet1D5-G09-0068</t>
  </si>
  <si>
    <t>Roiphet1D5-I09-0082</t>
  </si>
  <si>
    <t>Roiphet1D2-G04-0079</t>
  </si>
  <si>
    <t>Roiphet1D5-I10-0074</t>
  </si>
  <si>
    <t>SR4G2-059-0010</t>
  </si>
  <si>
    <t>SR44</t>
  </si>
  <si>
    <t>Roiphet1D4-I07-0076</t>
  </si>
  <si>
    <t>Roiphet1D4-G07-0062</t>
  </si>
  <si>
    <t>Roiphet1B5-I10-0090</t>
  </si>
  <si>
    <t>Roiphet1B5-I09-0093</t>
  </si>
  <si>
    <t>Roiphet1B3-G05-0092</t>
  </si>
  <si>
    <t>Roiphet1B3-I05-0092</t>
  </si>
  <si>
    <t>Bangkachai1BG-045-0012</t>
  </si>
  <si>
    <t>Bangkachai15</t>
  </si>
  <si>
    <t>BangsakaoCG-006-0029</t>
  </si>
  <si>
    <t>Bangsakao5</t>
  </si>
  <si>
    <t>BangsakaoDG-005-0025</t>
  </si>
  <si>
    <t>Roiphet1B5-G10-0083</t>
  </si>
  <si>
    <t>Roiphet1B5-G09-0084</t>
  </si>
  <si>
    <t>Roiphet1C1-G01-0072</t>
  </si>
  <si>
    <t>Roiphet1C1-I01-0079</t>
  </si>
  <si>
    <t>Roiphet1C1-I02-0071</t>
  </si>
  <si>
    <t>ChoknavyG1-G01-0001</t>
  </si>
  <si>
    <t>Choknavy5</t>
  </si>
  <si>
    <t>Roiphet1C1-G02-0073</t>
  </si>
  <si>
    <t>Roiphet1C5-G09-0057</t>
  </si>
  <si>
    <t>Roiphet1C5-G10-0064</t>
  </si>
  <si>
    <t>Roiphet1C5-I09-0064</t>
  </si>
  <si>
    <t>Roiphet1C5-I10-0065</t>
  </si>
  <si>
    <t>Roiphet1C3-I05-0066</t>
  </si>
  <si>
    <t>Roiphet1C3-G05-0074</t>
  </si>
  <si>
    <t>Roiphet1C3-I06-0063</t>
  </si>
  <si>
    <t>Roiphet1C3-G06-0078</t>
  </si>
  <si>
    <t>Petchburi5AG-004-0011</t>
  </si>
  <si>
    <t>Petchburi55</t>
  </si>
  <si>
    <t>Petchburi5AG-006-0011</t>
  </si>
  <si>
    <t>Petchburi5AG-005-0011</t>
  </si>
  <si>
    <t>NakornfarmBG-119-0010</t>
  </si>
  <si>
    <t>Nakornfarm5</t>
  </si>
  <si>
    <t>Lucky3BG-027-0011</t>
  </si>
  <si>
    <t>Lucky35</t>
  </si>
  <si>
    <t>Lucky3BG-026-0011</t>
  </si>
  <si>
    <t>Lucky2AC-004-0009</t>
  </si>
  <si>
    <t>Lucky25</t>
  </si>
  <si>
    <t>Lucky2AC-005-0009</t>
  </si>
  <si>
    <t>Lucky2AC-001-0009</t>
  </si>
  <si>
    <t>Lucky2AC-002-0009</t>
  </si>
  <si>
    <t>Lucky1BG-026-0012</t>
  </si>
  <si>
    <t>Lucky15</t>
  </si>
  <si>
    <t>BangsakaoB1-003-0009</t>
  </si>
  <si>
    <t>PB5B1-022-0051</t>
  </si>
  <si>
    <t>PB511</t>
  </si>
  <si>
    <t>LamaeA1-007-0046</t>
  </si>
  <si>
    <t>Lamae11</t>
  </si>
  <si>
    <t>ChoknavyA1-003-0037</t>
  </si>
  <si>
    <t>Choknavy11</t>
  </si>
  <si>
    <t>Tamai2A1-032-0033</t>
  </si>
  <si>
    <t>Tamai210</t>
  </si>
  <si>
    <t>Roiphet3A1-016-0031</t>
  </si>
  <si>
    <t>Roiphet310</t>
  </si>
  <si>
    <t>ChoknavyA1-003-0035</t>
  </si>
  <si>
    <t>Choknavy1</t>
  </si>
  <si>
    <t>Roiphet2B1-014-0046</t>
  </si>
  <si>
    <t>Roiphet210</t>
  </si>
  <si>
    <t>Maeklong1A1-019-0024</t>
  </si>
  <si>
    <t>Maeklong110</t>
  </si>
  <si>
    <t>LamlaungA1-002-0046</t>
  </si>
  <si>
    <t>Lamlaung10</t>
  </si>
  <si>
    <t>LamlaungA1-003-0045</t>
  </si>
  <si>
    <t>ChoknavyA1-002-0037</t>
  </si>
  <si>
    <t>Choknavy10</t>
  </si>
  <si>
    <t>Roiphet3A1-008-0023</t>
  </si>
  <si>
    <t>Roiphet39</t>
  </si>
  <si>
    <t>Roiphet2B1-009-0044</t>
  </si>
  <si>
    <t>Roiphet29</t>
  </si>
  <si>
    <t>Lucky2A1-045-0005</t>
  </si>
  <si>
    <t>Lucky29</t>
  </si>
  <si>
    <t>LamlaungB1-110-0005</t>
  </si>
  <si>
    <t>Lamlaung1</t>
  </si>
  <si>
    <t>LamlaungA1-004-0046</t>
  </si>
  <si>
    <t>Lamlaung9</t>
  </si>
  <si>
    <t>LamlaungB1-111-0008</t>
  </si>
  <si>
    <t>LamlaungA1-005-0008</t>
  </si>
  <si>
    <t>LamlaungB1-112-0007</t>
  </si>
  <si>
    <t>ChoknavyA1-001-0041</t>
  </si>
  <si>
    <t>Choknavy9</t>
  </si>
  <si>
    <t>BangsakaoB1-006-0015</t>
  </si>
  <si>
    <t>Bangsakao9</t>
  </si>
  <si>
    <t>TalaytongA1-039-0007</t>
  </si>
  <si>
    <t>Talaytong8</t>
  </si>
  <si>
    <t>Roiphet3A1-006-0012</t>
  </si>
  <si>
    <t>Roiphet38</t>
  </si>
  <si>
    <t>Rayong3D1-030-0017</t>
  </si>
  <si>
    <t>Rayong38</t>
  </si>
  <si>
    <t>Rayong3D1-031-0042</t>
  </si>
  <si>
    <t>Rayong3C1-016-0038</t>
  </si>
  <si>
    <t>Rayong3A1-005-0028</t>
  </si>
  <si>
    <t>PB5A1-009-0048</t>
  </si>
  <si>
    <t>PB58</t>
  </si>
  <si>
    <t>LamlaungA1-003-0044</t>
  </si>
  <si>
    <t>Lamlaung8</t>
  </si>
  <si>
    <t>LamaeB1-021-0013</t>
  </si>
  <si>
    <t>Lamae8</t>
  </si>
  <si>
    <t>LamaeA1-010-0022</t>
  </si>
  <si>
    <t>LamaeA1-009-0020</t>
  </si>
  <si>
    <t>KamongC1-006-0031</t>
  </si>
  <si>
    <t>Kamong8</t>
  </si>
  <si>
    <t>ChoknavyA1-005-0006</t>
  </si>
  <si>
    <t>Choknavy8</t>
  </si>
  <si>
    <t>Tamai2A1-006-0027</t>
  </si>
  <si>
    <t>Tamai27</t>
  </si>
  <si>
    <t>Tamai2E1-032-0037</t>
  </si>
  <si>
    <t>SR4F1-022-0003</t>
  </si>
  <si>
    <t>Roiphet3C1-057-0018</t>
  </si>
  <si>
    <t>Roiphet37</t>
  </si>
  <si>
    <t>Roiphet3C1-046-0005</t>
  </si>
  <si>
    <t>Roiphet3C1-051-0026</t>
  </si>
  <si>
    <t>Roiphet3C1-043-0026</t>
  </si>
  <si>
    <t>Roiphet3C1-054-0008</t>
  </si>
  <si>
    <t>Roiphet3C1-044-0018</t>
  </si>
  <si>
    <t>Roiphet3C1-045-0026</t>
  </si>
  <si>
    <t>RanodeA1-015-0033</t>
  </si>
  <si>
    <t>Ranode7</t>
  </si>
  <si>
    <t>PB5B1-021-0047</t>
  </si>
  <si>
    <t>PB57</t>
  </si>
  <si>
    <t>PB5A1-005-0052</t>
  </si>
  <si>
    <t>LamlaungB1-112-0006</t>
  </si>
  <si>
    <t>Lamlaung7</t>
  </si>
  <si>
    <t>LamaeA1-007-0045</t>
  </si>
  <si>
    <t>Lamae7</t>
  </si>
  <si>
    <t>LamaeB1-018-0013</t>
  </si>
  <si>
    <t>ChoknavyA1-003-0036</t>
  </si>
  <si>
    <t>Chantaburi3A1-009-0043</t>
  </si>
  <si>
    <t>Chantaburi37</t>
  </si>
  <si>
    <t>Bo ThongB1-010-0011</t>
  </si>
  <si>
    <t>Tamai2A1-006-0026</t>
  </si>
  <si>
    <t>Tamai26</t>
  </si>
  <si>
    <t>Tamai2D1-040-0028</t>
  </si>
  <si>
    <t>Roiphet3C1-041-0006</t>
  </si>
  <si>
    <t>Roiphet36</t>
  </si>
  <si>
    <t>PB5B1-022-0050</t>
  </si>
  <si>
    <t>PB56</t>
  </si>
  <si>
    <t>PB5A1-007-0051</t>
  </si>
  <si>
    <t>PB5B1-023-0049</t>
  </si>
  <si>
    <t>Lucky2A1-045-0004</t>
  </si>
  <si>
    <t>Lucky26</t>
  </si>
  <si>
    <t>BangsakaoB1-006-0013</t>
  </si>
  <si>
    <t>Tamai2E1-027-0035</t>
  </si>
  <si>
    <t>Tamai25</t>
  </si>
  <si>
    <t>Tamai2A1-082-0008</t>
  </si>
  <si>
    <t>TalaytongA1-038-0008</t>
  </si>
  <si>
    <t>Talaytong5</t>
  </si>
  <si>
    <t>TalaytongA1-034-0008</t>
  </si>
  <si>
    <t>Roiphet3A1-027-0027</t>
  </si>
  <si>
    <t>Roiphet35</t>
  </si>
  <si>
    <t>CS1A1-004-0040</t>
  </si>
  <si>
    <t>CS12</t>
  </si>
  <si>
    <t>Roiphet3A1-024-0032</t>
  </si>
  <si>
    <t>Roiphet3A1-026-0022</t>
  </si>
  <si>
    <t>LamaeA1-007-0044</t>
  </si>
  <si>
    <t>Lamae2</t>
  </si>
  <si>
    <t>LamaeB1-022-0011</t>
  </si>
  <si>
    <t>LamaeB1-021-0012</t>
  </si>
  <si>
    <t>Roiphet2A1-001-0031</t>
  </si>
  <si>
    <t>Roiphet25</t>
  </si>
  <si>
    <t>Roiphet2A1-006-0045</t>
  </si>
  <si>
    <t>Roiphet2A1-002-0048</t>
  </si>
  <si>
    <t>Roiphet2B1-014-0044</t>
  </si>
  <si>
    <t>Roiphet2A1-008-0034</t>
  </si>
  <si>
    <t>Roiphet2B1-013-0036</t>
  </si>
  <si>
    <t>Rayong3C1-016-0037</t>
  </si>
  <si>
    <t>Rayong35</t>
  </si>
  <si>
    <t>Maeklong1A1-019-0023</t>
  </si>
  <si>
    <t>Maeklong15</t>
  </si>
  <si>
    <t>KamongC1-018-0018</t>
  </si>
  <si>
    <t>Kamong5</t>
  </si>
  <si>
    <t>KamongC1-024-0042</t>
  </si>
  <si>
    <t>CS1C1-056-0019</t>
  </si>
  <si>
    <t>CS15</t>
  </si>
  <si>
    <t>Chantaburi3A1-009-0042</t>
  </si>
  <si>
    <t>Chantaburi35</t>
  </si>
  <si>
    <t>TalaytongA1-039-0006</t>
  </si>
  <si>
    <t>Talaytong4</t>
  </si>
  <si>
    <t>Roiphet3C1-046-0004</t>
  </si>
  <si>
    <t>Roiphet34</t>
  </si>
  <si>
    <t>Roiphet3C1-043-0025</t>
  </si>
  <si>
    <t>Roiphet3C1-045-0025</t>
  </si>
  <si>
    <t>Roiphet3C1-047-0011</t>
  </si>
  <si>
    <t>Roiphet3C1-054-0007</t>
  </si>
  <si>
    <t>Roiphet3C1-051-0025</t>
  </si>
  <si>
    <t>PB5B1-021-0046</t>
  </si>
  <si>
    <t>PB52</t>
  </si>
  <si>
    <t>PB5A1-005-0051</t>
  </si>
  <si>
    <t>Roiphet3C1-057-0017</t>
  </si>
  <si>
    <t>Roiphet3C1-048-0021</t>
  </si>
  <si>
    <t>Roiphet3A1-023-0016</t>
  </si>
  <si>
    <t>Roiphet2A1-007-0050</t>
  </si>
  <si>
    <t>Roiphet24</t>
  </si>
  <si>
    <t>Rayong3A1-023-0031</t>
  </si>
  <si>
    <t>Rayong34</t>
  </si>
  <si>
    <t>Rayong3D1-031-0041</t>
  </si>
  <si>
    <t>PB5B1-023-0048</t>
  </si>
  <si>
    <t>PB54</t>
  </si>
  <si>
    <t>LamlaungB1-111-0007</t>
  </si>
  <si>
    <t>Lamlaung4</t>
  </si>
  <si>
    <t>LamlaungA1-004-0045</t>
  </si>
  <si>
    <t>LamlaungA1-002-0045</t>
  </si>
  <si>
    <t>KamongC1-006-0030</t>
  </si>
  <si>
    <t>ChoknavyA1-002-0036</t>
  </si>
  <si>
    <t>Choknavy4</t>
  </si>
  <si>
    <t>ChoknavyA1-001-0040</t>
  </si>
  <si>
    <t>Bo ThongB1-010-0010</t>
  </si>
  <si>
    <t>Bo Thong4</t>
  </si>
  <si>
    <t>Tamai2E1-032-0036</t>
  </si>
  <si>
    <t>Tamai23</t>
  </si>
  <si>
    <t>Roiphet3C1-044-0017</t>
  </si>
  <si>
    <t>Roiphet33</t>
  </si>
  <si>
    <t>Roiphet3C1-041-0005</t>
  </si>
  <si>
    <t>Roiphet3A1-008-0022</t>
  </si>
  <si>
    <t>Roiphet3A1-016-0029</t>
  </si>
  <si>
    <t>Roiphet3A1-006-0011</t>
  </si>
  <si>
    <t>Roiphet2B1-009-0042</t>
  </si>
  <si>
    <t>Roiphet23</t>
  </si>
  <si>
    <t>Roiphet3A1-007-0012</t>
  </si>
  <si>
    <t>Roiphet32</t>
  </si>
  <si>
    <t>Roiphet2B1-013-0035</t>
  </si>
  <si>
    <t>Rayong3D1-030-0016</t>
  </si>
  <si>
    <t>Rayong33</t>
  </si>
  <si>
    <t>PB5A1-007-0050</t>
  </si>
  <si>
    <t>PB53</t>
  </si>
  <si>
    <t>PB5A1-009-0047</t>
  </si>
  <si>
    <t>PB5B1-022-0049</t>
  </si>
  <si>
    <t>Lucky2A1-045-0003</t>
  </si>
  <si>
    <t>LamlaungA1-001-0019</t>
  </si>
  <si>
    <t>Lamlaung3</t>
  </si>
  <si>
    <t>LamaeB1-018-0012</t>
  </si>
  <si>
    <t>Lamae3</t>
  </si>
  <si>
    <t>ChoknavyA1-006-0031</t>
  </si>
  <si>
    <t>Choknavy3</t>
  </si>
  <si>
    <t>BangsakaoB1-003-0010</t>
  </si>
  <si>
    <t>DEN</t>
  </si>
  <si>
    <t>Yeild (KG/Rai)</t>
  </si>
  <si>
    <t>Yeild (Ton/Rai)</t>
  </si>
  <si>
    <t>Yield (Model)</t>
  </si>
  <si>
    <t>%เทียบModel</t>
  </si>
  <si>
    <t>ขึ้นไป</t>
  </si>
  <si>
    <t>MIN DEN</t>
  </si>
  <si>
    <t>MODEL</t>
  </si>
  <si>
    <t>MAX DEN</t>
  </si>
  <si>
    <t>ALL</t>
  </si>
  <si>
    <t>ติดลบโรค</t>
  </si>
  <si>
    <t>ฟาร์ม</t>
  </si>
  <si>
    <t>แหลมสิงห์1</t>
  </si>
  <si>
    <t>เพชรบุรี5</t>
  </si>
  <si>
    <t>ระยอง3</t>
  </si>
  <si>
    <t>อันดามัน</t>
  </si>
  <si>
    <t>บ้านสร้าง</t>
  </si>
  <si>
    <t>แม่กลอง1</t>
  </si>
  <si>
    <t>โชคนาวี</t>
  </si>
  <si>
    <t>แหลมหลวง</t>
  </si>
  <si>
    <t>กาญจนดิษฐ์</t>
  </si>
  <si>
    <t>บางสระเก้า</t>
  </si>
  <si>
    <t>บ่อทอง</t>
  </si>
  <si>
    <t>บางกะไชย1</t>
  </si>
  <si>
    <t>เอสอาร์4</t>
  </si>
  <si>
    <t>ซีเอชบีอาร์1</t>
  </si>
  <si>
    <t>เอสอาร์1</t>
  </si>
  <si>
    <t>ปากพนัง1</t>
  </si>
  <si>
    <t>ร้อยเพชร3</t>
  </si>
  <si>
    <t>โขมง</t>
  </si>
  <si>
    <t>ร้อยเพชร2</t>
  </si>
  <si>
    <t>ลักกี้1</t>
  </si>
  <si>
    <t>ลักกี้3</t>
  </si>
  <si>
    <t>ร้อยเพชร1</t>
  </si>
  <si>
    <t>ระโนด</t>
  </si>
  <si>
    <t>นครฟาร์ม</t>
  </si>
  <si>
    <t>Rankig บัญชี</t>
  </si>
  <si>
    <t>อันดับ</t>
  </si>
  <si>
    <t>กำไรระดับโซน%</t>
  </si>
  <si>
    <t>Rankig PML</t>
  </si>
  <si>
    <t>รายได้ (ลบ.)</t>
  </si>
  <si>
    <t>กำไรระดับโซน (ลบ.)</t>
  </si>
  <si>
    <t>เทียบกับงบบัญชี สะสม เดือน 1-10 ปี 2023</t>
  </si>
  <si>
    <t>ตัดคนได้ SR เกิน100</t>
  </si>
  <si>
    <t>ไม่นับติดโรค</t>
  </si>
  <si>
    <t>นับติดโรค</t>
  </si>
  <si>
    <t>ตัด ADG=0 ออก</t>
  </si>
  <si>
    <t>ตัดคนได้ FCR = 0</t>
  </si>
  <si>
    <t>Foravgif</t>
  </si>
  <si>
    <t>weight</t>
  </si>
  <si>
    <t>RAI</t>
  </si>
  <si>
    <t>Weight</t>
  </si>
  <si>
    <t>โรค</t>
  </si>
  <si>
    <t>งบเดือนตุลาคม</t>
  </si>
  <si>
    <t>FARM</t>
  </si>
  <si>
    <t>SALES</t>
  </si>
  <si>
    <t>กำไรระดับโซน</t>
  </si>
  <si>
    <t>%กำไรระดับโซน</t>
  </si>
  <si>
    <t>แบบเดิม</t>
  </si>
  <si>
    <t>NEW ปรับเกณฑ์</t>
  </si>
  <si>
    <t>ติดลบ (-100)</t>
  </si>
  <si>
    <t>ถ่วงนน.แบบ1</t>
  </si>
  <si>
    <t>ถ่วงนน.แบบ2</t>
  </si>
  <si>
    <t>แบบใหม่</t>
  </si>
  <si>
    <t>no w</t>
  </si>
  <si>
    <t>w</t>
  </si>
  <si>
    <t>Ranking ถ่วงเฉพาะผลประหยัด</t>
  </si>
  <si>
    <t>Rankig ถ่วงน้ำหนักทุกเกณฑ์</t>
  </si>
  <si>
    <t>อันดับห่างกว่าเดิม</t>
  </si>
  <si>
    <t>อันดับใกล้เคียงกว่าเดิม</t>
  </si>
  <si>
    <t>year</t>
  </si>
  <si>
    <t>DG-003-0026</t>
  </si>
  <si>
    <t>784707-DG-003-0026</t>
  </si>
  <si>
    <t>DG-004-0024</t>
  </si>
  <si>
    <t>784707-DG-004-0024</t>
  </si>
  <si>
    <t>DG-002-0026</t>
  </si>
  <si>
    <t>784707-DG-002-0026</t>
  </si>
  <si>
    <t>DG-001-0028</t>
  </si>
  <si>
    <t>784707-DG-001-0028</t>
  </si>
  <si>
    <t>CG-008-0030</t>
  </si>
  <si>
    <t>784705-CG-008-0030</t>
  </si>
  <si>
    <t>DG-006-0027</t>
  </si>
  <si>
    <t>784707-DG-006-0027</t>
  </si>
  <si>
    <t>K Bundit.pai</t>
  </si>
  <si>
    <t>BG-002-0016</t>
  </si>
  <si>
    <t>788503-BG-002-0016</t>
  </si>
  <si>
    <t>B1-014-0013</t>
  </si>
  <si>
    <t>788501-B1-014-0013</t>
  </si>
  <si>
    <t>753201-A1-008-0045</t>
  </si>
  <si>
    <t>C1-026-0043</t>
  </si>
  <si>
    <t>752901-C1-026-0043</t>
  </si>
  <si>
    <t>D1-048-0013</t>
  </si>
  <si>
    <t>756601-D1-048-0013</t>
  </si>
  <si>
    <t>D1-049-0012</t>
  </si>
  <si>
    <t>756601-D1-049-0012</t>
  </si>
  <si>
    <t>C1-044-0016</t>
  </si>
  <si>
    <t>756601-C1-044-0016</t>
  </si>
  <si>
    <t>C1-046-0013</t>
  </si>
  <si>
    <t>756601-C1-046-0013</t>
  </si>
  <si>
    <t>C1-045-0012</t>
  </si>
  <si>
    <t>756601-C1-045-0012</t>
  </si>
  <si>
    <t>C1-047-0008</t>
  </si>
  <si>
    <t>756601-C1-047-0008</t>
  </si>
  <si>
    <t>B1-013-0034</t>
  </si>
  <si>
    <t>54</t>
  </si>
  <si>
    <t>753701-B1-013-0034</t>
  </si>
  <si>
    <t>B1-028-0016</t>
  </si>
  <si>
    <t>753701-B1-028-0016</t>
  </si>
  <si>
    <t>A1-010-0023</t>
  </si>
  <si>
    <t>757501-A1-010-0023</t>
  </si>
  <si>
    <t>A1-009-0021</t>
  </si>
  <si>
    <t>757501-A1-009-0021</t>
  </si>
  <si>
    <t>B1-018-0014</t>
  </si>
  <si>
    <t>757501-B1-018-0014</t>
  </si>
  <si>
    <t>A1-009-0044</t>
  </si>
  <si>
    <t>780501-A1-009-0044</t>
  </si>
  <si>
    <t>A1-029-0015</t>
  </si>
  <si>
    <t>780501-A1-029-0015</t>
  </si>
  <si>
    <t>A1-006-0043</t>
  </si>
  <si>
    <t>780501-A1-006-0043</t>
  </si>
  <si>
    <t>A1-030-0008</t>
  </si>
  <si>
    <t>780501-A1-030-0008</t>
  </si>
  <si>
    <t>A1-021-0026</t>
  </si>
  <si>
    <t>780502-A1-021-0026</t>
  </si>
  <si>
    <t>BG-102-0012</t>
  </si>
  <si>
    <t>771003-BG-102-0012</t>
  </si>
  <si>
    <t>BG-101-0011</t>
  </si>
  <si>
    <t>75</t>
  </si>
  <si>
    <t>771003-BG-101-0011</t>
  </si>
  <si>
    <t>E1-075-0013</t>
  </si>
  <si>
    <t>771001-E1-075-0013</t>
  </si>
  <si>
    <t>FG-125-0011</t>
  </si>
  <si>
    <t>771001-FG-125-0011</t>
  </si>
  <si>
    <t>D1-081-0015</t>
  </si>
  <si>
    <t>771001-D1-081-0015</t>
  </si>
  <si>
    <t>D1-172-0010</t>
  </si>
  <si>
    <t>758601-D1-172-0010</t>
  </si>
  <si>
    <t>D1-171-0011</t>
  </si>
  <si>
    <t>758601-D1-171-0011</t>
  </si>
  <si>
    <t>A1-004-0020</t>
  </si>
  <si>
    <t>758601-A1-004-0020</t>
  </si>
  <si>
    <t>C1-140-0010</t>
  </si>
  <si>
    <t>758601-C1-140-0010</t>
  </si>
  <si>
    <t>C1-138-0011</t>
  </si>
  <si>
    <t>758601-C1-138-0011</t>
  </si>
  <si>
    <t>A1-183-0011</t>
  </si>
  <si>
    <t>758601-A1-183-0011</t>
  </si>
  <si>
    <t>D1-174-0009</t>
  </si>
  <si>
    <t>758601-D1-174-0009</t>
  </si>
  <si>
    <t>C1-139-0010</t>
  </si>
  <si>
    <t>758601-C1-139-0010</t>
  </si>
  <si>
    <t>A1-009-0049</t>
  </si>
  <si>
    <t>ปิดฟาร์ม</t>
  </si>
  <si>
    <t>773701-A1-009-0049</t>
  </si>
  <si>
    <t>A1-005-0053</t>
  </si>
  <si>
    <t>773701-A1-005-0053</t>
  </si>
  <si>
    <t>B1-023-0050</t>
  </si>
  <si>
    <t>773701-B1-023-0050</t>
  </si>
  <si>
    <t>B1-021-0048</t>
  </si>
  <si>
    <t>773701-B1-021-0048</t>
  </si>
  <si>
    <t>G1-G01-0004</t>
  </si>
  <si>
    <t>751703-G1-G01-0004</t>
  </si>
  <si>
    <t>AG-001-0014</t>
  </si>
  <si>
    <t>751703-AG-001-0014</t>
  </si>
  <si>
    <t>B1-126-0009</t>
  </si>
  <si>
    <t>751701-B1-126-0009</t>
  </si>
  <si>
    <t>B1-124-0009</t>
  </si>
  <si>
    <t>751701-B1-124-0009</t>
  </si>
  <si>
    <t>B1-125-0009</t>
  </si>
  <si>
    <t>751701-B1-125-0009</t>
  </si>
  <si>
    <t>A1-033-0010</t>
  </si>
  <si>
    <t>751701-A1-033-0010</t>
  </si>
  <si>
    <t>A1-032-0009</t>
  </si>
  <si>
    <t>751701-A1-032-0009</t>
  </si>
  <si>
    <t>A1-034-0009</t>
  </si>
  <si>
    <t>751701-A1-034-0009</t>
  </si>
  <si>
    <t>AG-093-0014</t>
  </si>
  <si>
    <t>759501-AG-093-0014</t>
  </si>
  <si>
    <t>A1-016-0028</t>
  </si>
  <si>
    <t>70</t>
  </si>
  <si>
    <t>759501-A1-016-0028</t>
  </si>
  <si>
    <t>AG-091-0013</t>
  </si>
  <si>
    <t>759501-AG-091-0013</t>
  </si>
  <si>
    <t>AG-090-0011</t>
  </si>
  <si>
    <t>759501-AG-090-0011</t>
  </si>
  <si>
    <t>C1-005-0001</t>
  </si>
  <si>
    <t>754301-C1-005-0001</t>
  </si>
  <si>
    <t>B5-I10-0092</t>
  </si>
  <si>
    <t>763602-B5-I10-0092</t>
  </si>
  <si>
    <t>B5-G10-0085</t>
  </si>
  <si>
    <t>763602-B5-G10-0085</t>
  </si>
  <si>
    <t>B5-G09-0086</t>
  </si>
  <si>
    <t>763602-B5-G09-0086</t>
  </si>
  <si>
    <t>B5-I09-0095</t>
  </si>
  <si>
    <t>763602-B5-I09-0095</t>
  </si>
  <si>
    <t>B1-I02-0096</t>
  </si>
  <si>
    <t>763602-B1-I02-0096</t>
  </si>
  <si>
    <t>B1-I01-0096</t>
  </si>
  <si>
    <t>763602-B1-I01-0096</t>
  </si>
  <si>
    <t>B1-G01-0085</t>
  </si>
  <si>
    <t>763602-B1-G01-0085</t>
  </si>
  <si>
    <t>B1-G02-0089</t>
  </si>
  <si>
    <t>763602-B1-G02-0089</t>
  </si>
  <si>
    <t>K Saran.dul</t>
  </si>
  <si>
    <t>D1-I01-0092</t>
  </si>
  <si>
    <t>763604-D1-I01-0092</t>
  </si>
  <si>
    <t>D1-G01-0078</t>
  </si>
  <si>
    <t>763604-D1-G01-0078</t>
  </si>
  <si>
    <t>D1-G02-0080</t>
  </si>
  <si>
    <t>763604-D1-G02-0080</t>
  </si>
  <si>
    <t>D1-I02-0090</t>
  </si>
  <si>
    <t>763604-D1-I02-0090</t>
  </si>
  <si>
    <t>C4-G07-0058</t>
  </si>
  <si>
    <t>763603-C4-G07-0058</t>
  </si>
  <si>
    <t>C4-G08-0062</t>
  </si>
  <si>
    <t>763603-C4-G08-0062</t>
  </si>
  <si>
    <t>C4-I07-0061</t>
  </si>
  <si>
    <t>763603-C4-I07-0061</t>
  </si>
  <si>
    <t>C4-I08-0065</t>
  </si>
  <si>
    <t>763603-C4-I08-0065</t>
  </si>
  <si>
    <t>K Kritsada.aqu</t>
  </si>
  <si>
    <t>C1-044-0020</t>
  </si>
  <si>
    <t>780404-C1-044-0020</t>
  </si>
  <si>
    <t>C1-043-0028</t>
  </si>
  <si>
    <t>780404-C1-043-0028</t>
  </si>
  <si>
    <t>G1-128-0006</t>
  </si>
  <si>
    <t>756501-G1-128-0006</t>
  </si>
  <si>
    <t>A1-026-0029</t>
  </si>
  <si>
    <t>756501-A1-026-0029</t>
  </si>
  <si>
    <t>C1-060-0036</t>
  </si>
  <si>
    <t>756501-C1-060-0036</t>
  </si>
  <si>
    <t>G2-059-0012</t>
  </si>
  <si>
    <t>762903-G2-059-0012</t>
  </si>
  <si>
    <t>G2-058-0008</t>
  </si>
  <si>
    <t>762903-G2-058-0008</t>
  </si>
  <si>
    <t>A1-006-0017</t>
  </si>
  <si>
    <t>784801-A1-006-0017</t>
  </si>
  <si>
    <t>D1-068-0005</t>
  </si>
  <si>
    <t>770805-D1-068-0005</t>
  </si>
  <si>
    <t>A1-007-0047</t>
  </si>
  <si>
    <t>รายได้</t>
  </si>
  <si>
    <t>เดือนพฤศจิกายน 2023</t>
  </si>
  <si>
    <t>ผลคะแนนสะสม เดือน1-12 (ข้อมูลอัพเดทล่าสุด26/12/66)</t>
  </si>
  <si>
    <t>saving 000</t>
  </si>
  <si>
    <t>forsumif</t>
  </si>
  <si>
    <t>sales 000</t>
  </si>
  <si>
    <t>sales ('000)</t>
  </si>
  <si>
    <t>Grossprofit ('000)</t>
  </si>
  <si>
    <t>Saving ('000)</t>
  </si>
  <si>
    <t>saving</t>
  </si>
  <si>
    <t>IFERROR(SUMIF(ผลประหยัด!$E$10:$E$1297,'PML! weight'!D3,ผลประหยัด!$K$10:$K$1297)</t>
  </si>
  <si>
    <t>Saving (Baht/kg)</t>
  </si>
  <si>
    <t>ลำดับ</t>
  </si>
  <si>
    <t>เดือนตุลาคม 2023</t>
  </si>
  <si>
    <t>757501-B1-021-0014</t>
  </si>
  <si>
    <t>B1-022-0013</t>
  </si>
  <si>
    <t>757501-B1-022-0013</t>
  </si>
  <si>
    <t>Drain</t>
  </si>
  <si>
    <t>757501-A1-007-0047</t>
  </si>
  <si>
    <t>A1-011-0024</t>
  </si>
  <si>
    <t>757501-A1-011-0024</t>
  </si>
  <si>
    <t>A1-012-0015</t>
  </si>
  <si>
    <t>757501-A1-012-0015</t>
  </si>
  <si>
    <t>A1-013-0017</t>
  </si>
  <si>
    <t>757501-A1-013-0017</t>
  </si>
  <si>
    <t>K Detphong.lac</t>
  </si>
  <si>
    <t>B1-115-0009</t>
  </si>
  <si>
    <t>751701-B1-115-0009</t>
  </si>
  <si>
    <t>B1-116-0008</t>
  </si>
  <si>
    <t>751701-B1-116-0008</t>
  </si>
  <si>
    <t>A1-034-0007</t>
  </si>
  <si>
    <t>751701-A1-034-0007</t>
  </si>
  <si>
    <t>AG-002-0014</t>
  </si>
  <si>
    <t>751703-AG-002-0014</t>
  </si>
  <si>
    <t>784901-A1-003-0035</t>
  </si>
  <si>
    <t>A1-017-0030</t>
  </si>
  <si>
    <t>780502-A1-017-0030</t>
  </si>
  <si>
    <t>A1-017-0032</t>
  </si>
  <si>
    <t>780502-A1-017-0032</t>
  </si>
  <si>
    <t>780501-A1-005-0043</t>
  </si>
  <si>
    <t>A1-011-0048</t>
  </si>
  <si>
    <t>773701-A1-011-0048</t>
  </si>
  <si>
    <t>774001-A1-002-0048</t>
  </si>
  <si>
    <t>788503-BG-002-0015</t>
  </si>
  <si>
    <t>CG-006-0031</t>
  </si>
  <si>
    <t>784705-CG-006-0031</t>
  </si>
  <si>
    <t>CG-009-0026</t>
  </si>
  <si>
    <t>784705-CG-009-0026</t>
  </si>
  <si>
    <t>784703-B1-006-0015</t>
  </si>
  <si>
    <t>A1-018-0025</t>
  </si>
  <si>
    <t>753701-A1-018-0025</t>
  </si>
  <si>
    <t>787801-B1-018-0012</t>
  </si>
  <si>
    <t>D1-032-0009</t>
  </si>
  <si>
    <t>752901-D1-032-0009</t>
  </si>
  <si>
    <t>A1-015-0019</t>
  </si>
  <si>
    <t>773101-A1-015-0019</t>
  </si>
  <si>
    <t>D1-068-0003</t>
  </si>
  <si>
    <t>770805-D1-068-0003</t>
  </si>
  <si>
    <t>770801-A1-006-0027</t>
  </si>
  <si>
    <t>770801-A1-032-0033</t>
  </si>
  <si>
    <t>B1-023-0028</t>
  </si>
  <si>
    <t>753201-B1-023-0028</t>
  </si>
  <si>
    <t>754001-B1-025-0011</t>
  </si>
  <si>
    <t>762903-G2-057-0009</t>
  </si>
  <si>
    <t>C1-040-0016</t>
  </si>
  <si>
    <t>756601-C1-040-0016</t>
  </si>
  <si>
    <t>D1-052-0012</t>
  </si>
  <si>
    <t>756601-D1-052-0012</t>
  </si>
  <si>
    <t>D1-062-0038</t>
  </si>
  <si>
    <t>756501-D1-062-0038</t>
  </si>
  <si>
    <t>771003-BG-110-0012</t>
  </si>
  <si>
    <t>771003-BG-113-0009</t>
  </si>
  <si>
    <t>B1-107-0006</t>
  </si>
  <si>
    <t>771001-B1-107-0006</t>
  </si>
  <si>
    <t>เดือนธันวาคม 2023</t>
  </si>
  <si>
    <t>FCR WEEK</t>
  </si>
  <si>
    <t>ADG WEEK</t>
  </si>
  <si>
    <t>FCR acc</t>
  </si>
  <si>
    <t>ADG acc</t>
  </si>
  <si>
    <t>ปิดบ่อ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</si>
</sst>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dd/mm/yyyy"/>
    <numFmt numFmtId="165" formatCode="_(* #,##0.0_);_(* \(#,##0.0\);_(* &quot;-&quot;??_);_(@_)"/>
    <numFmt numFmtId="166" formatCode="_(* #,##0.000_);_(* \(#,##0.000\);_(* &quot;-&quot;??_);_(@_)"/>
    <numFmt numFmtId="167" formatCode="0.0"/>
    <numFmt numFmtId="168" formatCode="_(* #,##0_);_(* \(#,##0\);_(* &quot;-&quot;??_);_(@_)"/>
    <numFmt numFmtId="169" formatCode="0.0%"/>
    <numFmt numFmtId="170" formatCode="_(* #,##0.0_);_(* \(#,##0.0\);_(* &quot;-&quot;?_);_(@_)"/>
  </numFmts>
  <fonts count="40">
    <font>
      <sz val="12"/>
      <name val="Calibri"/>
    </font>
    <font>
      <b/>
      <sz val="12"/>
      <name val="Calibri"/>
      <family val="2"/>
    </font>
    <font>
      <sz val="12"/>
      <name val="Calibri"/>
      <family val="2"/>
    </font>
    <font>
      <sz val="12"/>
      <color theme="1"/>
      <name val="Calibri"/>
      <family val="2"/>
    </font>
    <font>
      <b/>
      <sz val="12"/>
      <color theme="1"/>
      <name val="Calibri"/>
      <family val="2"/>
    </font>
    <font>
      <sz val="11"/>
      <color indexed="8"/>
      <name val="Calibri"/>
      <family val="2"/>
      <scheme val="minor"/>
    </font>
    <font>
      <b/>
      <sz val="11"/>
      <color indexed="8"/>
      <name val="Calibri"/>
      <family val="2"/>
      <scheme val="minor"/>
    </font>
    <font>
      <b/>
      <sz val="11"/>
      <color theme="0"/>
      <name val="Calibri"/>
      <family val="2"/>
      <scheme val="minor"/>
    </font>
    <font>
      <sz val="11"/>
      <name val="Dialog"/>
    </font>
    <font>
      <sz val="12"/>
      <name val="CPF Imm Sook"/>
    </font>
    <font>
      <sz val="14"/>
      <name val="CPF Imm Sook"/>
    </font>
    <font>
      <b/>
      <sz val="14"/>
      <name val="CPF Imm Sook"/>
    </font>
    <font>
      <b/>
      <sz val="14"/>
      <color theme="0"/>
      <name val="CPF Imm Sook"/>
    </font>
    <font>
      <sz val="12"/>
      <color theme="1"/>
      <name val="CPF Imm Sook"/>
    </font>
    <font>
      <sz val="12"/>
      <color theme="5" tint="0.79998168889431442"/>
      <name val="Calibri"/>
      <family val="2"/>
    </font>
    <font>
      <b/>
      <sz val="12"/>
      <name val="CPF Imm Sook"/>
    </font>
    <font>
      <sz val="8"/>
      <name val="Calibri"/>
      <family val="2"/>
    </font>
    <font>
      <sz val="12"/>
      <color theme="0"/>
      <name val="Calibri"/>
      <family val="2"/>
    </font>
    <font>
      <b/>
      <sz val="12"/>
      <color theme="0"/>
      <name val="Calibri"/>
      <family val="2"/>
    </font>
    <font>
      <b/>
      <sz val="18"/>
      <color theme="0"/>
      <name val="FreesiaUPC"/>
      <family val="2"/>
    </font>
    <font>
      <b/>
      <sz val="18"/>
      <name val="FreesiaUPC"/>
      <family val="2"/>
    </font>
    <font>
      <b/>
      <sz val="16"/>
      <color theme="0"/>
      <name val="CPF Imm Sook"/>
    </font>
    <font>
      <b/>
      <sz val="12"/>
      <color rgb="FF000000"/>
      <name val="FreesiaUPC"/>
      <family val="2"/>
    </font>
    <font>
      <b/>
      <sz val="12"/>
      <color theme="1"/>
      <name val="FreesiaUPC"/>
      <family val="2"/>
    </font>
    <font>
      <sz val="18"/>
      <color theme="1"/>
      <name val="CPF Imm Sook"/>
    </font>
    <font>
      <sz val="18"/>
      <name val="CPF Imm Sook"/>
    </font>
    <font>
      <b/>
      <sz val="18"/>
      <color theme="1"/>
      <name val="CPF Imm Sook"/>
    </font>
    <font>
      <sz val="16"/>
      <name val="CPF Imm Sook"/>
    </font>
    <font>
      <b/>
      <sz val="16"/>
      <name val="CPF Imm Sook"/>
    </font>
    <font>
      <b/>
      <sz val="16"/>
      <color theme="1"/>
      <name val="CPF Imm Sook"/>
    </font>
    <font>
      <sz val="18"/>
      <name val="Calibri"/>
      <family val="2"/>
    </font>
    <font>
      <sz val="20"/>
      <name val="Calibri"/>
      <family val="2"/>
    </font>
    <font>
      <b/>
      <sz val="20"/>
      <color theme="0"/>
      <name val="CPF Imm Sook"/>
    </font>
    <font>
      <b/>
      <sz val="18"/>
      <color theme="0"/>
      <name val="CPF Imm Sook"/>
    </font>
    <font>
      <sz val="16"/>
      <name val="FreesiaUPC"/>
      <family val="2"/>
    </font>
    <font>
      <b/>
      <sz val="16"/>
      <name val="FreesiaUPC"/>
      <family val="2"/>
    </font>
    <font>
      <sz val="18"/>
      <color theme="0"/>
      <name val="CPF Imm Sook"/>
    </font>
    <font>
      <b/>
      <sz val="12"/>
      <color theme="1"/>
      <name val="CPF Imm Sook"/>
    </font>
    <font>
      <sz val="16"/>
      <color theme="1"/>
      <name val="CPF Imm Sook"/>
    </font>
    <font>
      <sz val="16"/>
      <color theme="5" tint="0.79998168889431442"/>
      <name val="CPF Imm Sook"/>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rgb="FF92D050"/>
        <bgColor indexed="64"/>
      </patternFill>
    </fill>
    <fill>
      <patternFill patternType="solid">
        <fgColor theme="4" tint="-0.249977111117893"/>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rgb="FF00B050"/>
        <bgColor indexed="64"/>
      </patternFill>
    </fill>
    <fill>
      <patternFill patternType="solid">
        <fgColor rgb="FF002060"/>
        <bgColor indexed="64"/>
      </patternFill>
    </fill>
    <fill>
      <patternFill patternType="solid">
        <fgColor theme="1"/>
        <bgColor indexed="64"/>
      </patternFill>
    </fill>
    <fill>
      <patternFill patternType="solid">
        <fgColor rgb="FF00B0F0"/>
        <bgColor indexed="64"/>
      </patternFill>
    </fill>
    <fill>
      <patternFill patternType="solid">
        <fgColor theme="8" tint="0.79998168889431442"/>
        <bgColor indexed="64"/>
      </patternFill>
    </fill>
    <fill>
      <patternFill patternType="solid">
        <fgColor rgb="FFDDEBF7"/>
        <bgColor rgb="FF000000"/>
      </patternFill>
    </fill>
    <fill>
      <patternFill patternType="solid">
        <fgColor theme="4" tint="-0.499984740745262"/>
        <bgColor indexed="64"/>
      </patternFill>
    </fill>
    <fill>
      <patternFill patternType="solid">
        <fgColor theme="2"/>
        <bgColor indexed="64"/>
      </patternFill>
    </fill>
    <fill>
      <patternFill patternType="solid">
        <fgColor theme="0" tint="-4.9989318521683403E-2"/>
        <bgColor indexed="64"/>
      </patternFill>
    </fill>
    <fill>
      <patternFill patternType="solid">
        <fgColor rgb="FF0070C0"/>
        <bgColor indexed="64"/>
      </patternFill>
    </fill>
    <fill>
      <patternFill patternType="solid">
        <fgColor theme="8" tint="0.59999389629810485"/>
        <bgColor indexed="64"/>
      </patternFill>
    </fill>
  </fills>
  <borders count="12">
    <border>
      <left/>
      <right/>
      <top/>
      <bottom/>
      <diagonal/>
    </border>
    <border>
      <left/>
      <right/>
      <top/>
      <bottom style="thin">
        <color auto="1"/>
      </bottom>
      <diagonal/>
    </border>
    <border>
      <left/>
      <right style="thin">
        <color auto="1"/>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top style="thin">
        <color indexed="64"/>
      </top>
      <bottom/>
      <diagonal/>
    </border>
    <border>
      <left style="thin">
        <color indexed="64"/>
      </left>
      <right style="thin">
        <color indexed="64"/>
      </right>
      <top/>
      <bottom/>
      <diagonal/>
    </border>
  </borders>
  <cellStyleXfs count="4">
    <xf numFmtId="0" fontId="0" fillId="0" borderId="0"/>
    <xf numFmtId="43" fontId="2" fillId="0" borderId="0" applyFont="0" applyFill="0" applyBorder="0" applyAlignment="0" applyProtection="0"/>
    <xf numFmtId="9" fontId="2" fillId="0" borderId="0" applyFont="0" applyFill="0" applyBorder="0" applyAlignment="0" applyProtection="0"/>
    <xf numFmtId="0" fontId="5" fillId="0" borderId="0"/>
  </cellStyleXfs>
  <cellXfs count="495">
    <xf numFmtId="0" fontId="0" fillId="0" borderId="0" xfId="0"/>
    <xf numFmtId="0" fontId="0" fillId="0" borderId="1" xfId="0" applyBorder="1"/>
    <xf numFmtId="0" fontId="0" fillId="0" borderId="2" xfId="0" applyBorder="1"/>
    <xf numFmtId="0" fontId="0" fillId="0" borderId="0" xfId="0" applyAlignment="1">
      <alignment vertical="top"/>
    </xf>
    <xf numFmtId="3" fontId="0" fillId="0" borderId="0" xfId="0" applyNumberFormat="1"/>
    <xf numFmtId="164" fontId="0" fillId="0" borderId="0" xfId="0" applyNumberFormat="1"/>
    <xf numFmtId="1" fontId="0" fillId="0" borderId="0" xfId="0" applyNumberFormat="1"/>
    <xf numFmtId="165" fontId="0" fillId="0" borderId="0" xfId="1" applyNumberFormat="1" applyFont="1"/>
    <xf numFmtId="166" fontId="0" fillId="0" borderId="0" xfId="1" applyNumberFormat="1" applyFont="1"/>
    <xf numFmtId="16" fontId="2" fillId="0" borderId="0" xfId="0" quotePrefix="1" applyNumberFormat="1" applyFont="1" applyAlignment="1">
      <alignment horizontal="center"/>
    </xf>
    <xf numFmtId="0" fontId="0" fillId="0" borderId="0" xfId="0" applyAlignment="1">
      <alignment horizontal="center"/>
    </xf>
    <xf numFmtId="49" fontId="0" fillId="0" borderId="0" xfId="0" applyNumberFormat="1" applyAlignment="1">
      <alignment horizontal="center"/>
    </xf>
    <xf numFmtId="0" fontId="2" fillId="0" borderId="0" xfId="0" applyFont="1" applyAlignment="1">
      <alignment horizontal="center"/>
    </xf>
    <xf numFmtId="43" fontId="0" fillId="0" borderId="0" xfId="1" applyFont="1" applyAlignment="1">
      <alignment horizontal="center"/>
    </xf>
    <xf numFmtId="168" fontId="0" fillId="0" borderId="0" xfId="1" applyNumberFormat="1" applyFont="1"/>
    <xf numFmtId="165" fontId="2" fillId="0" borderId="0" xfId="1" applyNumberFormat="1" applyFont="1"/>
    <xf numFmtId="43" fontId="0" fillId="0" borderId="0" xfId="1" applyFont="1" applyFill="1"/>
    <xf numFmtId="0" fontId="2" fillId="0" borderId="0" xfId="0" applyFont="1"/>
    <xf numFmtId="43" fontId="0" fillId="0" borderId="0" xfId="1" applyFont="1" applyFill="1" applyAlignment="1">
      <alignment horizontal="center"/>
    </xf>
    <xf numFmtId="167" fontId="0" fillId="0" borderId="0" xfId="1" applyNumberFormat="1" applyFont="1"/>
    <xf numFmtId="168" fontId="2" fillId="0" borderId="0" xfId="1" applyNumberFormat="1" applyFont="1"/>
    <xf numFmtId="9" fontId="0" fillId="0" borderId="0" xfId="2" applyFont="1" applyFill="1"/>
    <xf numFmtId="168" fontId="0" fillId="0" borderId="0" xfId="1" applyNumberFormat="1" applyFont="1" applyFill="1"/>
    <xf numFmtId="0" fontId="1" fillId="4" borderId="0" xfId="0" quotePrefix="1" applyFont="1" applyFill="1"/>
    <xf numFmtId="9" fontId="0" fillId="0" borderId="0" xfId="2" applyFont="1"/>
    <xf numFmtId="43" fontId="0" fillId="0" borderId="0" xfId="1" applyFont="1"/>
    <xf numFmtId="0" fontId="0" fillId="0" borderId="3" xfId="0" applyBorder="1"/>
    <xf numFmtId="0" fontId="0" fillId="0" borderId="3" xfId="0" applyBorder="1" applyAlignment="1">
      <alignment vertical="top"/>
    </xf>
    <xf numFmtId="168" fontId="0" fillId="0" borderId="3" xfId="1" applyNumberFormat="1" applyFont="1" applyBorder="1"/>
    <xf numFmtId="165" fontId="0" fillId="0" borderId="3" xfId="1" applyNumberFormat="1" applyFont="1" applyBorder="1"/>
    <xf numFmtId="168" fontId="2" fillId="0" borderId="3" xfId="1" applyNumberFormat="1" applyFont="1" applyBorder="1"/>
    <xf numFmtId="0" fontId="2" fillId="6" borderId="3" xfId="0" applyFont="1" applyFill="1" applyBorder="1" applyAlignment="1">
      <alignment horizontal="center" wrapText="1"/>
    </xf>
    <xf numFmtId="9" fontId="2" fillId="5" borderId="3" xfId="2" applyFont="1" applyFill="1" applyBorder="1" applyAlignment="1">
      <alignment horizontal="right" wrapText="1"/>
    </xf>
    <xf numFmtId="0" fontId="2" fillId="5" borderId="3" xfId="0" applyFont="1" applyFill="1" applyBorder="1" applyAlignment="1">
      <alignment horizontal="right" wrapText="1"/>
    </xf>
    <xf numFmtId="0" fontId="0" fillId="0" borderId="0" xfId="0" applyAlignment="1">
      <alignment horizontal="center" wrapText="1"/>
    </xf>
    <xf numFmtId="0" fontId="0" fillId="6" borderId="3" xfId="0" applyFill="1" applyBorder="1" applyAlignment="1">
      <alignment horizontal="center"/>
    </xf>
    <xf numFmtId="0" fontId="0" fillId="5" borderId="3" xfId="1" applyNumberFormat="1" applyFont="1" applyFill="1" applyBorder="1" applyAlignment="1">
      <alignment horizontal="center"/>
    </xf>
    <xf numFmtId="1" fontId="0" fillId="5" borderId="3" xfId="1" applyNumberFormat="1" applyFont="1" applyFill="1" applyBorder="1" applyAlignment="1">
      <alignment horizontal="center"/>
    </xf>
    <xf numFmtId="1" fontId="0" fillId="7" borderId="3" xfId="0" applyNumberFormat="1" applyFill="1" applyBorder="1" applyAlignment="1">
      <alignment horizontal="center"/>
    </xf>
    <xf numFmtId="1" fontId="2" fillId="5" borderId="3" xfId="2" applyNumberFormat="1" applyFont="1" applyFill="1" applyBorder="1" applyAlignment="1">
      <alignment horizontal="center" wrapText="1"/>
    </xf>
    <xf numFmtId="1" fontId="2" fillId="5" borderId="3" xfId="0" applyNumberFormat="1" applyFont="1" applyFill="1" applyBorder="1" applyAlignment="1">
      <alignment horizontal="center" wrapText="1"/>
    </xf>
    <xf numFmtId="1" fontId="2" fillId="7" borderId="3" xfId="0" applyNumberFormat="1" applyFont="1" applyFill="1" applyBorder="1" applyAlignment="1">
      <alignment horizontal="center" wrapText="1"/>
    </xf>
    <xf numFmtId="1" fontId="2" fillId="0" borderId="3" xfId="1" applyNumberFormat="1" applyFont="1" applyBorder="1"/>
    <xf numFmtId="1" fontId="0" fillId="0" borderId="3" xfId="1" applyNumberFormat="1" applyFont="1" applyBorder="1"/>
    <xf numFmtId="1" fontId="0" fillId="0" borderId="3" xfId="0" applyNumberFormat="1" applyBorder="1"/>
    <xf numFmtId="0" fontId="2" fillId="0" borderId="3" xfId="0" applyFont="1" applyBorder="1" applyAlignment="1">
      <alignment horizontal="center"/>
    </xf>
    <xf numFmtId="0" fontId="2" fillId="8" borderId="3" xfId="0" applyFont="1" applyFill="1" applyBorder="1" applyAlignment="1">
      <alignment horizontal="center"/>
    </xf>
    <xf numFmtId="0" fontId="2" fillId="2" borderId="3" xfId="0" applyFont="1" applyFill="1" applyBorder="1" applyAlignment="1">
      <alignment horizontal="center"/>
    </xf>
    <xf numFmtId="0" fontId="1" fillId="0" borderId="0" xfId="0" applyFont="1"/>
    <xf numFmtId="168" fontId="1" fillId="0" borderId="0" xfId="1" applyNumberFormat="1" applyFont="1"/>
    <xf numFmtId="0" fontId="1" fillId="0" borderId="0" xfId="0" applyFont="1" applyAlignment="1">
      <alignment horizontal="left"/>
    </xf>
    <xf numFmtId="0" fontId="1" fillId="0" borderId="0" xfId="0" applyFont="1" applyAlignment="1">
      <alignment horizontal="center"/>
    </xf>
    <xf numFmtId="0" fontId="1" fillId="0" borderId="0" xfId="0" applyFont="1" applyAlignment="1">
      <alignment horizontal="right"/>
    </xf>
    <xf numFmtId="168" fontId="1" fillId="0" borderId="0" xfId="0" applyNumberFormat="1" applyFont="1"/>
    <xf numFmtId="9" fontId="1" fillId="0" borderId="0" xfId="2" applyFont="1"/>
    <xf numFmtId="2" fontId="1" fillId="0" borderId="0" xfId="0" applyNumberFormat="1" applyFont="1"/>
    <xf numFmtId="43" fontId="1" fillId="0" borderId="0" xfId="1" applyFont="1" applyAlignment="1">
      <alignment horizontal="right"/>
    </xf>
    <xf numFmtId="165" fontId="1" fillId="0" borderId="0" xfId="1" applyNumberFormat="1" applyFont="1"/>
    <xf numFmtId="167" fontId="1" fillId="0" borderId="0" xfId="1" applyNumberFormat="1" applyFont="1"/>
    <xf numFmtId="0" fontId="1" fillId="3" borderId="0" xfId="0" applyFont="1" applyFill="1" applyAlignment="1">
      <alignment horizontal="center"/>
    </xf>
    <xf numFmtId="0" fontId="1" fillId="3" borderId="0" xfId="0" applyFont="1" applyFill="1" applyAlignment="1">
      <alignment horizontal="right"/>
    </xf>
    <xf numFmtId="43" fontId="1" fillId="3" borderId="0" xfId="1" applyFont="1" applyFill="1" applyAlignment="1">
      <alignment horizontal="right"/>
    </xf>
    <xf numFmtId="2" fontId="1" fillId="0" borderId="0" xfId="1" applyNumberFormat="1" applyFont="1"/>
    <xf numFmtId="0" fontId="3" fillId="0" borderId="0" xfId="0" applyFont="1"/>
    <xf numFmtId="0" fontId="4" fillId="0" borderId="0" xfId="0" applyFont="1"/>
    <xf numFmtId="0" fontId="4" fillId="0" borderId="0" xfId="0" applyFont="1" applyAlignment="1">
      <alignment horizontal="left"/>
    </xf>
    <xf numFmtId="0" fontId="4" fillId="0" borderId="0" xfId="0" applyFont="1" applyAlignment="1">
      <alignment horizontal="center"/>
    </xf>
    <xf numFmtId="9" fontId="4" fillId="0" borderId="0" xfId="2" applyFont="1"/>
    <xf numFmtId="0" fontId="3" fillId="0" borderId="0" xfId="0" applyFont="1" applyAlignment="1">
      <alignment horizontal="center"/>
    </xf>
    <xf numFmtId="168" fontId="3" fillId="0" borderId="0" xfId="1" applyNumberFormat="1" applyFont="1" applyFill="1"/>
    <xf numFmtId="9" fontId="3" fillId="0" borderId="0" xfId="2" applyFont="1" applyFill="1"/>
    <xf numFmtId="0" fontId="3" fillId="0" borderId="0" xfId="0" applyFont="1" applyAlignment="1">
      <alignment wrapText="1"/>
    </xf>
    <xf numFmtId="43" fontId="3" fillId="0" borderId="0" xfId="0" applyNumberFormat="1" applyFont="1"/>
    <xf numFmtId="167" fontId="3" fillId="0" borderId="0" xfId="0" applyNumberFormat="1" applyFont="1"/>
    <xf numFmtId="165" fontId="3" fillId="0" borderId="0" xfId="1" applyNumberFormat="1" applyFont="1"/>
    <xf numFmtId="16" fontId="3" fillId="0" borderId="0" xfId="0" quotePrefix="1" applyNumberFormat="1" applyFont="1" applyAlignment="1">
      <alignment horizontal="center"/>
    </xf>
    <xf numFmtId="0" fontId="0" fillId="0" borderId="0" xfId="0" applyAlignment="1">
      <alignment wrapText="1"/>
    </xf>
    <xf numFmtId="168" fontId="4" fillId="0" borderId="0" xfId="1" applyNumberFormat="1" applyFont="1"/>
    <xf numFmtId="165" fontId="4" fillId="0" borderId="0" xfId="1" applyNumberFormat="1" applyFont="1"/>
    <xf numFmtId="168" fontId="3" fillId="0" borderId="0" xfId="1" applyNumberFormat="1" applyFont="1"/>
    <xf numFmtId="167" fontId="3" fillId="0" borderId="0" xfId="1" applyNumberFormat="1" applyFont="1" applyFill="1"/>
    <xf numFmtId="0" fontId="4" fillId="4" borderId="3" xfId="0" quotePrefix="1" applyFont="1" applyFill="1" applyBorder="1"/>
    <xf numFmtId="0" fontId="4" fillId="0" borderId="3" xfId="0" applyFont="1" applyBorder="1"/>
    <xf numFmtId="0" fontId="4" fillId="0" borderId="3" xfId="0" applyFont="1" applyBorder="1" applyAlignment="1">
      <alignment horizontal="center"/>
    </xf>
    <xf numFmtId="0" fontId="4" fillId="0" borderId="3" xfId="0" applyFont="1" applyBorder="1" applyAlignment="1">
      <alignment horizontal="right"/>
    </xf>
    <xf numFmtId="0" fontId="6" fillId="0" borderId="0" xfId="3" applyFont="1" applyAlignment="1">
      <alignment horizontal="center"/>
    </xf>
    <xf numFmtId="0" fontId="7" fillId="9" borderId="0" xfId="3" applyFont="1" applyFill="1"/>
    <xf numFmtId="0" fontId="6" fillId="10" borderId="0" xfId="3" applyFont="1" applyFill="1"/>
    <xf numFmtId="0" fontId="6" fillId="11" borderId="0" xfId="3" applyFont="1" applyFill="1"/>
    <xf numFmtId="0" fontId="6" fillId="12" borderId="0" xfId="3" applyFont="1" applyFill="1"/>
    <xf numFmtId="0" fontId="6" fillId="0" borderId="0" xfId="3" applyFont="1"/>
    <xf numFmtId="0" fontId="8" fillId="0" borderId="0" xfId="3" applyFont="1" applyAlignment="1">
      <alignment horizontal="center"/>
    </xf>
    <xf numFmtId="0" fontId="8" fillId="13" borderId="0" xfId="3" applyFont="1" applyFill="1" applyAlignment="1">
      <alignment horizontal="right"/>
    </xf>
    <xf numFmtId="0" fontId="8" fillId="14" borderId="0" xfId="3" applyFont="1" applyFill="1" applyAlignment="1">
      <alignment horizontal="right"/>
    </xf>
    <xf numFmtId="0" fontId="8" fillId="5" borderId="0" xfId="3" applyFont="1" applyFill="1" applyAlignment="1">
      <alignment horizontal="right"/>
    </xf>
    <xf numFmtId="0" fontId="8" fillId="2" borderId="0" xfId="3" applyFont="1" applyFill="1" applyAlignment="1">
      <alignment horizontal="right"/>
    </xf>
    <xf numFmtId="0" fontId="8" fillId="7" borderId="0" xfId="3" applyFont="1" applyFill="1" applyAlignment="1">
      <alignment horizontal="right"/>
    </xf>
    <xf numFmtId="0" fontId="8" fillId="15" borderId="0" xfId="3" applyFont="1" applyFill="1" applyAlignment="1">
      <alignment horizontal="right"/>
    </xf>
    <xf numFmtId="0" fontId="5" fillId="0" borderId="0" xfId="3"/>
    <xf numFmtId="0" fontId="5" fillId="0" borderId="0" xfId="3" applyAlignment="1">
      <alignment horizontal="center"/>
    </xf>
    <xf numFmtId="9" fontId="3" fillId="0" borderId="0" xfId="2" applyFont="1"/>
    <xf numFmtId="166" fontId="3" fillId="0" borderId="0" xfId="1" applyNumberFormat="1" applyFont="1"/>
    <xf numFmtId="2" fontId="4" fillId="0" borderId="0" xfId="0" applyNumberFormat="1" applyFont="1"/>
    <xf numFmtId="2" fontId="4" fillId="0" borderId="0" xfId="1" applyNumberFormat="1" applyFont="1"/>
    <xf numFmtId="43" fontId="3" fillId="0" borderId="0" xfId="1" applyFont="1" applyAlignment="1">
      <alignment horizontal="center"/>
    </xf>
    <xf numFmtId="2" fontId="3" fillId="0" borderId="0" xfId="1" applyNumberFormat="1" applyFont="1"/>
    <xf numFmtId="43" fontId="3" fillId="0" borderId="0" xfId="1" applyFont="1" applyFill="1"/>
    <xf numFmtId="0" fontId="3" fillId="0" borderId="0" xfId="0" applyFont="1" applyAlignment="1">
      <alignment horizontal="left"/>
    </xf>
    <xf numFmtId="165" fontId="3" fillId="0" borderId="0" xfId="0" applyNumberFormat="1" applyFont="1"/>
    <xf numFmtId="165" fontId="3" fillId="0" borderId="0" xfId="1" applyNumberFormat="1" applyFont="1" applyFill="1"/>
    <xf numFmtId="0" fontId="3" fillId="5" borderId="0" xfId="0" applyFont="1" applyFill="1"/>
    <xf numFmtId="0" fontId="3" fillId="3" borderId="0" xfId="0" applyFont="1" applyFill="1"/>
    <xf numFmtId="43" fontId="2" fillId="0" borderId="0" xfId="1" applyFont="1" applyFill="1"/>
    <xf numFmtId="0" fontId="1" fillId="3" borderId="3" xfId="0" applyFont="1" applyFill="1" applyBorder="1" applyAlignment="1">
      <alignment horizontal="center"/>
    </xf>
    <xf numFmtId="0" fontId="1" fillId="3" borderId="3" xfId="0" applyFont="1" applyFill="1" applyBorder="1" applyAlignment="1">
      <alignment horizontal="right"/>
    </xf>
    <xf numFmtId="43" fontId="1" fillId="3" borderId="3" xfId="1" applyFont="1" applyFill="1" applyBorder="1" applyAlignment="1">
      <alignment horizontal="right"/>
    </xf>
    <xf numFmtId="9" fontId="4" fillId="0" borderId="3" xfId="2" applyFont="1" applyFill="1" applyBorder="1" applyAlignment="1">
      <alignment horizontal="right"/>
    </xf>
    <xf numFmtId="43" fontId="4" fillId="0" borderId="3" xfId="1" applyFont="1" applyFill="1" applyBorder="1" applyAlignment="1">
      <alignment horizontal="right"/>
    </xf>
    <xf numFmtId="43" fontId="1" fillId="0" borderId="0" xfId="1" applyFont="1"/>
    <xf numFmtId="43" fontId="4" fillId="0" borderId="0" xfId="1" applyFont="1"/>
    <xf numFmtId="43" fontId="3" fillId="0" borderId="0" xfId="1" applyFont="1"/>
    <xf numFmtId="167" fontId="3" fillId="0" borderId="0" xfId="1" applyNumberFormat="1" applyFont="1"/>
    <xf numFmtId="9" fontId="2" fillId="0" borderId="0" xfId="2" applyFont="1" applyFill="1"/>
    <xf numFmtId="170" fontId="3" fillId="0" borderId="0" xfId="0" applyNumberFormat="1" applyFont="1"/>
    <xf numFmtId="43" fontId="1" fillId="0" borderId="0" xfId="1" applyFont="1" applyFill="1" applyAlignment="1">
      <alignment horizontal="right"/>
    </xf>
    <xf numFmtId="0" fontId="2" fillId="0" borderId="0" xfId="0" applyFont="1" applyAlignment="1">
      <alignment wrapText="1"/>
    </xf>
    <xf numFmtId="0" fontId="9" fillId="0" borderId="0" xfId="0" applyFont="1"/>
    <xf numFmtId="0" fontId="9" fillId="0" borderId="0" xfId="0" applyFont="1" applyAlignment="1">
      <alignment vertical="top"/>
    </xf>
    <xf numFmtId="0" fontId="10" fillId="3" borderId="3" xfId="0" applyFont="1" applyFill="1" applyBorder="1" applyAlignment="1">
      <alignment horizontal="center"/>
    </xf>
    <xf numFmtId="0" fontId="10" fillId="0" borderId="0" xfId="0" applyFont="1"/>
    <xf numFmtId="0" fontId="10" fillId="0" borderId="3" xfId="0" applyFont="1" applyBorder="1" applyAlignment="1">
      <alignment horizontal="center"/>
    </xf>
    <xf numFmtId="0" fontId="11" fillId="0" borderId="0" xfId="0" applyFont="1" applyAlignment="1">
      <alignment horizontal="center"/>
    </xf>
    <xf numFmtId="1" fontId="10" fillId="0" borderId="0" xfId="1" applyNumberFormat="1" applyFont="1"/>
    <xf numFmtId="0" fontId="11" fillId="0" borderId="0" xfId="0" applyFont="1"/>
    <xf numFmtId="0" fontId="12" fillId="17" borderId="3" xfId="0" applyFont="1" applyFill="1" applyBorder="1" applyAlignment="1">
      <alignment horizontal="center"/>
    </xf>
    <xf numFmtId="1" fontId="12" fillId="17" borderId="3" xfId="1" applyNumberFormat="1" applyFont="1" applyFill="1" applyBorder="1" applyAlignment="1">
      <alignment horizontal="center"/>
    </xf>
    <xf numFmtId="0" fontId="10" fillId="0" borderId="3" xfId="0" applyFont="1" applyBorder="1" applyAlignment="1">
      <alignment vertical="top"/>
    </xf>
    <xf numFmtId="0" fontId="10" fillId="0" borderId="3" xfId="0" applyFont="1" applyBorder="1"/>
    <xf numFmtId="1" fontId="10" fillId="0" borderId="3" xfId="1" applyNumberFormat="1" applyFont="1" applyBorder="1"/>
    <xf numFmtId="1" fontId="11" fillId="0" borderId="3" xfId="0" applyNumberFormat="1" applyFont="1" applyBorder="1"/>
    <xf numFmtId="168" fontId="10" fillId="0" borderId="3" xfId="1" applyNumberFormat="1" applyFont="1" applyBorder="1"/>
    <xf numFmtId="0" fontId="12" fillId="17" borderId="4" xfId="0" applyFont="1" applyFill="1" applyBorder="1" applyAlignment="1">
      <alignment horizontal="center"/>
    </xf>
    <xf numFmtId="168" fontId="10" fillId="0" borderId="4" xfId="0" applyNumberFormat="1" applyFont="1" applyBorder="1"/>
    <xf numFmtId="2" fontId="9" fillId="0" borderId="0" xfId="2" applyNumberFormat="1" applyFont="1"/>
    <xf numFmtId="0" fontId="9" fillId="13" borderId="3" xfId="0" applyFont="1" applyFill="1" applyBorder="1" applyAlignment="1">
      <alignment horizontal="center"/>
    </xf>
    <xf numFmtId="0" fontId="9" fillId="0" borderId="0" xfId="0" applyFont="1" applyAlignment="1">
      <alignment horizontal="center"/>
    </xf>
    <xf numFmtId="0" fontId="9" fillId="4" borderId="3" xfId="0" applyFont="1" applyFill="1" applyBorder="1" applyAlignment="1">
      <alignment horizontal="center"/>
    </xf>
    <xf numFmtId="2" fontId="9" fillId="4" borderId="3" xfId="2" applyNumberFormat="1" applyFont="1" applyFill="1" applyBorder="1" applyAlignment="1">
      <alignment horizontal="center"/>
    </xf>
    <xf numFmtId="168" fontId="9" fillId="0" borderId="0" xfId="1" applyNumberFormat="1" applyFont="1"/>
    <xf numFmtId="9" fontId="9" fillId="0" borderId="3" xfId="2" applyFont="1" applyBorder="1" applyAlignment="1">
      <alignment horizontal="center"/>
    </xf>
    <xf numFmtId="0" fontId="9" fillId="0" borderId="3" xfId="2" applyNumberFormat="1" applyFont="1" applyBorder="1" applyAlignment="1">
      <alignment horizontal="center"/>
    </xf>
    <xf numFmtId="9" fontId="9" fillId="0" borderId="3" xfId="2" applyFont="1" applyBorder="1" applyAlignment="1">
      <alignment horizontal="center" vertical="top"/>
    </xf>
    <xf numFmtId="0" fontId="9" fillId="0" borderId="3" xfId="1" applyNumberFormat="1" applyFont="1" applyBorder="1" applyAlignment="1">
      <alignment horizontal="center"/>
    </xf>
    <xf numFmtId="49" fontId="13" fillId="5" borderId="3" xfId="0" applyNumberFormat="1" applyFont="1" applyFill="1" applyBorder="1" applyAlignment="1">
      <alignment horizontal="center"/>
    </xf>
    <xf numFmtId="0" fontId="13" fillId="5" borderId="3" xfId="0" applyFont="1" applyFill="1" applyBorder="1" applyAlignment="1">
      <alignment horizontal="center"/>
    </xf>
    <xf numFmtId="0" fontId="13" fillId="0" borderId="0" xfId="0" applyFont="1" applyAlignment="1">
      <alignment horizontal="center"/>
    </xf>
    <xf numFmtId="0" fontId="13" fillId="5" borderId="3" xfId="1" applyNumberFormat="1" applyFont="1" applyFill="1" applyBorder="1" applyAlignment="1">
      <alignment horizontal="center"/>
    </xf>
    <xf numFmtId="0" fontId="13" fillId="5" borderId="3" xfId="1" quotePrefix="1" applyNumberFormat="1" applyFont="1" applyFill="1" applyBorder="1" applyAlignment="1">
      <alignment horizontal="center"/>
    </xf>
    <xf numFmtId="0" fontId="13" fillId="0" borderId="3" xfId="0" applyFont="1" applyBorder="1" applyAlignment="1">
      <alignment horizontal="center"/>
    </xf>
    <xf numFmtId="0" fontId="13" fillId="0" borderId="3" xfId="1" applyNumberFormat="1" applyFont="1" applyBorder="1" applyAlignment="1">
      <alignment horizontal="center"/>
    </xf>
    <xf numFmtId="43" fontId="13" fillId="0" borderId="0" xfId="1" applyFont="1" applyFill="1" applyAlignment="1">
      <alignment horizontal="center"/>
    </xf>
    <xf numFmtId="0" fontId="9" fillId="14" borderId="3" xfId="0" applyFont="1" applyFill="1" applyBorder="1" applyAlignment="1">
      <alignment horizontal="center"/>
    </xf>
    <xf numFmtId="2" fontId="9" fillId="14" borderId="3" xfId="2" applyNumberFormat="1" applyFont="1" applyFill="1" applyBorder="1" applyAlignment="1">
      <alignment horizontal="center"/>
    </xf>
    <xf numFmtId="165" fontId="9" fillId="0" borderId="0" xfId="1" applyNumberFormat="1" applyFont="1"/>
    <xf numFmtId="1" fontId="9" fillId="0" borderId="3" xfId="2" applyNumberFormat="1" applyFont="1" applyBorder="1" applyAlignment="1">
      <alignment horizontal="center"/>
    </xf>
    <xf numFmtId="2" fontId="9" fillId="0" borderId="0" xfId="1" applyNumberFormat="1" applyFont="1"/>
    <xf numFmtId="1" fontId="9" fillId="13" borderId="3" xfId="2" applyNumberFormat="1" applyFont="1" applyFill="1" applyBorder="1" applyAlignment="1">
      <alignment horizontal="center"/>
    </xf>
    <xf numFmtId="43" fontId="14" fillId="16" borderId="0" xfId="1" applyFont="1" applyFill="1"/>
    <xf numFmtId="0" fontId="3" fillId="0" borderId="3" xfId="0" applyFont="1" applyBorder="1" applyAlignment="1">
      <alignment horizontal="center"/>
    </xf>
    <xf numFmtId="165" fontId="3" fillId="0" borderId="3" xfId="1" applyNumberFormat="1" applyFont="1" applyBorder="1" applyAlignment="1">
      <alignment horizontal="center"/>
    </xf>
    <xf numFmtId="165" fontId="3" fillId="0" borderId="3" xfId="1" quotePrefix="1" applyNumberFormat="1" applyFont="1" applyBorder="1" applyAlignment="1">
      <alignment horizontal="center"/>
    </xf>
    <xf numFmtId="0" fontId="3" fillId="0" borderId="3" xfId="0" applyFont="1" applyBorder="1"/>
    <xf numFmtId="43" fontId="3" fillId="0" borderId="3" xfId="1" applyFont="1" applyFill="1" applyBorder="1" applyAlignment="1">
      <alignment horizontal="center"/>
    </xf>
    <xf numFmtId="2" fontId="4" fillId="0" borderId="3" xfId="1" applyNumberFormat="1" applyFont="1" applyBorder="1" applyAlignment="1">
      <alignment horizontal="center"/>
    </xf>
    <xf numFmtId="9" fontId="1" fillId="3" borderId="3" xfId="2" applyFont="1" applyFill="1" applyBorder="1" applyAlignment="1">
      <alignment horizontal="right"/>
    </xf>
    <xf numFmtId="0" fontId="4" fillId="18" borderId="3" xfId="0" applyFont="1" applyFill="1" applyBorder="1" applyAlignment="1">
      <alignment horizontal="center"/>
    </xf>
    <xf numFmtId="9" fontId="4" fillId="18" borderId="3" xfId="2" applyFont="1" applyFill="1" applyBorder="1" applyAlignment="1">
      <alignment horizontal="right"/>
    </xf>
    <xf numFmtId="0" fontId="4" fillId="2" borderId="3" xfId="0" applyFont="1" applyFill="1" applyBorder="1" applyAlignment="1">
      <alignment horizontal="center"/>
    </xf>
    <xf numFmtId="9" fontId="4" fillId="2" borderId="3" xfId="2" applyFont="1" applyFill="1" applyBorder="1" applyAlignment="1">
      <alignment horizontal="right"/>
    </xf>
    <xf numFmtId="0" fontId="4" fillId="2" borderId="3" xfId="0" applyFont="1" applyFill="1" applyBorder="1" applyAlignment="1">
      <alignment horizontal="right"/>
    </xf>
    <xf numFmtId="43" fontId="4" fillId="2" borderId="3" xfId="1" applyFont="1" applyFill="1" applyBorder="1" applyAlignment="1">
      <alignment horizontal="right"/>
    </xf>
    <xf numFmtId="0" fontId="4" fillId="4" borderId="3" xfId="0" quotePrefix="1" applyFont="1" applyFill="1" applyBorder="1" applyAlignment="1">
      <alignment horizontal="center"/>
    </xf>
    <xf numFmtId="9" fontId="4" fillId="0" borderId="3" xfId="2" applyFont="1" applyBorder="1" applyAlignment="1">
      <alignment horizontal="center"/>
    </xf>
    <xf numFmtId="43" fontId="4" fillId="0" borderId="3" xfId="1" applyFont="1" applyBorder="1" applyAlignment="1">
      <alignment horizontal="center"/>
    </xf>
    <xf numFmtId="9" fontId="4" fillId="0" borderId="3" xfId="0" applyNumberFormat="1" applyFont="1" applyBorder="1" applyAlignment="1">
      <alignment horizontal="center"/>
    </xf>
    <xf numFmtId="0" fontId="4" fillId="0" borderId="3" xfId="0" applyFont="1" applyBorder="1" applyAlignment="1">
      <alignment horizontal="left"/>
    </xf>
    <xf numFmtId="0" fontId="15" fillId="0" borderId="3" xfId="0" applyFont="1" applyBorder="1" applyAlignment="1">
      <alignment horizontal="center"/>
    </xf>
    <xf numFmtId="0" fontId="15" fillId="5" borderId="3" xfId="0" quotePrefix="1" applyFont="1" applyFill="1" applyBorder="1" applyAlignment="1">
      <alignment horizontal="center"/>
    </xf>
    <xf numFmtId="168" fontId="0" fillId="0" borderId="0" xfId="0" applyNumberFormat="1"/>
    <xf numFmtId="168" fontId="10" fillId="0" borderId="0" xfId="0" applyNumberFormat="1" applyFont="1"/>
    <xf numFmtId="0" fontId="18" fillId="17" borderId="0" xfId="0" applyFont="1" applyFill="1" applyAlignment="1">
      <alignment horizontal="center"/>
    </xf>
    <xf numFmtId="0" fontId="19" fillId="17" borderId="3" xfId="0" applyFont="1" applyFill="1" applyBorder="1" applyAlignment="1">
      <alignment horizontal="center"/>
    </xf>
    <xf numFmtId="0" fontId="20" fillId="0" borderId="3" xfId="0" applyFont="1" applyBorder="1" applyAlignment="1">
      <alignment horizontal="center"/>
    </xf>
    <xf numFmtId="0" fontId="20" fillId="0" borderId="3" xfId="0" applyFont="1" applyBorder="1" applyAlignment="1">
      <alignment horizontal="center" vertical="top"/>
    </xf>
    <xf numFmtId="0" fontId="1" fillId="0" borderId="3" xfId="0" applyFont="1" applyBorder="1" applyAlignment="1">
      <alignment horizontal="center"/>
    </xf>
    <xf numFmtId="9" fontId="1" fillId="0" borderId="3" xfId="0" applyNumberFormat="1" applyFont="1" applyBorder="1" applyAlignment="1">
      <alignment horizontal="right"/>
    </xf>
    <xf numFmtId="2" fontId="12" fillId="17" borderId="3" xfId="1" applyNumberFormat="1" applyFont="1" applyFill="1" applyBorder="1" applyAlignment="1">
      <alignment horizontal="center"/>
    </xf>
    <xf numFmtId="2" fontId="10" fillId="0" borderId="3" xfId="1" applyNumberFormat="1" applyFont="1" applyBorder="1"/>
    <xf numFmtId="2" fontId="10" fillId="0" borderId="0" xfId="1" applyNumberFormat="1" applyFont="1"/>
    <xf numFmtId="43" fontId="3" fillId="0" borderId="0" xfId="1" applyFont="1" applyFill="1" applyBorder="1" applyAlignment="1">
      <alignment horizontal="center"/>
    </xf>
    <xf numFmtId="0" fontId="0" fillId="0" borderId="0" xfId="0" pivotButton="1"/>
    <xf numFmtId="0" fontId="0" fillId="0" borderId="0" xfId="0" applyAlignment="1">
      <alignment horizontal="left"/>
    </xf>
    <xf numFmtId="0" fontId="21" fillId="17" borderId="3" xfId="0" applyFont="1" applyFill="1" applyBorder="1" applyAlignment="1">
      <alignment horizontal="center"/>
    </xf>
    <xf numFmtId="168" fontId="3" fillId="0" borderId="0" xfId="1" applyNumberFormat="1" applyFont="1" applyFill="1" applyAlignment="1">
      <alignment horizontal="center" wrapText="1"/>
    </xf>
    <xf numFmtId="0" fontId="3" fillId="0" borderId="0" xfId="0" applyFont="1" applyAlignment="1">
      <alignment horizontal="center" wrapText="1"/>
    </xf>
    <xf numFmtId="169" fontId="3" fillId="0" borderId="0" xfId="2" applyNumberFormat="1" applyFont="1" applyFill="1" applyAlignment="1">
      <alignment horizontal="center" wrapText="1"/>
    </xf>
    <xf numFmtId="9" fontId="4" fillId="0" borderId="0" xfId="2" applyFont="1" applyAlignment="1">
      <alignment horizontal="center"/>
    </xf>
    <xf numFmtId="9" fontId="3" fillId="0" borderId="0" xfId="2" applyFont="1" applyAlignment="1">
      <alignment horizontal="center"/>
    </xf>
    <xf numFmtId="0" fontId="18" fillId="0" borderId="0" xfId="0" applyFont="1"/>
    <xf numFmtId="9" fontId="0" fillId="0" borderId="0" xfId="2" applyFont="1" applyAlignment="1">
      <alignment horizontal="center"/>
    </xf>
    <xf numFmtId="9" fontId="22" fillId="0" borderId="0" xfId="2" applyFont="1" applyAlignment="1">
      <alignment horizontal="center" wrapText="1"/>
    </xf>
    <xf numFmtId="9" fontId="23" fillId="0" borderId="0" xfId="2" applyFont="1" applyFill="1" applyAlignment="1">
      <alignment horizontal="center"/>
    </xf>
    <xf numFmtId="2" fontId="0" fillId="0" borderId="0" xfId="1" applyNumberFormat="1" applyFont="1" applyAlignment="1">
      <alignment horizontal="center"/>
    </xf>
    <xf numFmtId="1" fontId="22" fillId="0" borderId="0" xfId="0" applyNumberFormat="1" applyFont="1" applyAlignment="1">
      <alignment horizontal="center" wrapText="1"/>
    </xf>
    <xf numFmtId="1" fontId="22" fillId="0" borderId="0" xfId="1" applyNumberFormat="1" applyFont="1" applyAlignment="1">
      <alignment horizontal="center" wrapText="1"/>
    </xf>
    <xf numFmtId="1" fontId="23" fillId="0" borderId="0" xfId="1" applyNumberFormat="1" applyFont="1" applyFill="1" applyAlignment="1">
      <alignment horizontal="center"/>
    </xf>
    <xf numFmtId="1" fontId="23" fillId="0" borderId="0" xfId="0" applyNumberFormat="1" applyFont="1" applyAlignment="1">
      <alignment horizontal="center"/>
    </xf>
    <xf numFmtId="1" fontId="23" fillId="0" borderId="0" xfId="1" applyNumberFormat="1" applyFont="1" applyAlignment="1">
      <alignment horizontal="center"/>
    </xf>
    <xf numFmtId="9" fontId="3" fillId="0" borderId="3" xfId="2" applyFont="1" applyBorder="1" applyAlignment="1">
      <alignment horizontal="center"/>
    </xf>
    <xf numFmtId="9" fontId="0" fillId="0" borderId="3" xfId="2" applyFont="1" applyBorder="1" applyAlignment="1">
      <alignment horizontal="center"/>
    </xf>
    <xf numFmtId="9" fontId="3" fillId="0" borderId="3" xfId="0" applyNumberFormat="1" applyFont="1" applyBorder="1" applyAlignment="1">
      <alignment horizontal="center"/>
    </xf>
    <xf numFmtId="1" fontId="12" fillId="17" borderId="3" xfId="0" applyNumberFormat="1" applyFont="1" applyFill="1" applyBorder="1" applyAlignment="1">
      <alignment horizontal="center"/>
    </xf>
    <xf numFmtId="1" fontId="12" fillId="17" borderId="4" xfId="0" applyNumberFormat="1" applyFont="1" applyFill="1" applyBorder="1" applyAlignment="1">
      <alignment horizontal="center"/>
    </xf>
    <xf numFmtId="1" fontId="10" fillId="0" borderId="3" xfId="0" applyNumberFormat="1" applyFont="1" applyBorder="1" applyAlignment="1">
      <alignment vertical="top"/>
    </xf>
    <xf numFmtId="1" fontId="10" fillId="0" borderId="4" xfId="0" applyNumberFormat="1" applyFont="1" applyBorder="1"/>
    <xf numFmtId="165" fontId="3" fillId="0" borderId="0" xfId="1" applyNumberFormat="1" applyFont="1" applyAlignment="1">
      <alignment horizontal="center" wrapText="1"/>
    </xf>
    <xf numFmtId="168" fontId="24" fillId="0" borderId="0" xfId="1" applyNumberFormat="1" applyFont="1" applyFill="1" applyAlignment="1">
      <alignment horizontal="center" wrapText="1"/>
    </xf>
    <xf numFmtId="0" fontId="24" fillId="0" borderId="0" xfId="0" applyFont="1" applyAlignment="1">
      <alignment horizontal="center" wrapText="1"/>
    </xf>
    <xf numFmtId="169" fontId="24" fillId="0" borderId="0" xfId="2" applyNumberFormat="1" applyFont="1" applyFill="1" applyAlignment="1">
      <alignment horizontal="center" wrapText="1"/>
    </xf>
    <xf numFmtId="0" fontId="25" fillId="0" borderId="0" xfId="0" applyFont="1"/>
    <xf numFmtId="9" fontId="25" fillId="0" borderId="0" xfId="2" applyFont="1"/>
    <xf numFmtId="167" fontId="25" fillId="0" borderId="0" xfId="0" applyNumberFormat="1" applyFont="1"/>
    <xf numFmtId="0" fontId="24" fillId="0" borderId="0" xfId="0" applyFont="1" applyAlignment="1">
      <alignment wrapText="1"/>
    </xf>
    <xf numFmtId="0" fontId="25" fillId="0" borderId="0" xfId="0" applyFont="1" applyAlignment="1">
      <alignment wrapText="1"/>
    </xf>
    <xf numFmtId="9" fontId="24" fillId="0" borderId="0" xfId="2" applyFont="1" applyFill="1" applyAlignment="1">
      <alignment horizontal="center" wrapText="1"/>
    </xf>
    <xf numFmtId="167" fontId="24" fillId="0" borderId="0" xfId="1" applyNumberFormat="1" applyFont="1" applyAlignment="1">
      <alignment horizontal="center" wrapText="1"/>
    </xf>
    <xf numFmtId="0" fontId="24" fillId="0" borderId="0" xfId="0" applyFont="1"/>
    <xf numFmtId="168" fontId="24" fillId="0" borderId="0" xfId="1" applyNumberFormat="1" applyFont="1" applyFill="1"/>
    <xf numFmtId="9" fontId="24" fillId="0" borderId="0" xfId="2" applyFont="1" applyFill="1"/>
    <xf numFmtId="167" fontId="24" fillId="0" borderId="0" xfId="1" applyNumberFormat="1" applyFont="1"/>
    <xf numFmtId="167" fontId="24" fillId="0" borderId="0" xfId="0" applyNumberFormat="1" applyFont="1"/>
    <xf numFmtId="165" fontId="24" fillId="0" borderId="0" xfId="1" applyNumberFormat="1" applyFont="1"/>
    <xf numFmtId="168" fontId="26" fillId="0" borderId="0" xfId="1" applyNumberFormat="1" applyFont="1" applyAlignment="1">
      <alignment horizontal="center"/>
    </xf>
    <xf numFmtId="43" fontId="26" fillId="0" borderId="0" xfId="1" applyFont="1" applyAlignment="1">
      <alignment horizontal="center"/>
    </xf>
    <xf numFmtId="168" fontId="24" fillId="0" borderId="0" xfId="1" applyNumberFormat="1" applyFont="1" applyAlignment="1">
      <alignment horizontal="center"/>
    </xf>
    <xf numFmtId="9" fontId="24" fillId="0" borderId="0" xfId="2" applyFont="1" applyAlignment="1">
      <alignment horizontal="center"/>
    </xf>
    <xf numFmtId="165" fontId="24" fillId="0" borderId="0" xfId="1" applyNumberFormat="1" applyFont="1" applyAlignment="1">
      <alignment horizontal="center"/>
    </xf>
    <xf numFmtId="167" fontId="4" fillId="0" borderId="0" xfId="0" applyNumberFormat="1" applyFont="1"/>
    <xf numFmtId="167" fontId="3" fillId="16" borderId="0" xfId="1" applyNumberFormat="1" applyFont="1" applyFill="1"/>
    <xf numFmtId="167" fontId="3" fillId="0" borderId="0" xfId="2" applyNumberFormat="1" applyFont="1"/>
    <xf numFmtId="0" fontId="25" fillId="0" borderId="0" xfId="0" applyFont="1" applyAlignment="1">
      <alignment horizontal="center"/>
    </xf>
    <xf numFmtId="43" fontId="25" fillId="0" borderId="0" xfId="1" applyFont="1" applyAlignment="1">
      <alignment horizontal="center"/>
    </xf>
    <xf numFmtId="9" fontId="25" fillId="0" borderId="0" xfId="2" applyFont="1" applyAlignment="1">
      <alignment horizontal="center"/>
    </xf>
    <xf numFmtId="1" fontId="25" fillId="0" borderId="0" xfId="1" applyNumberFormat="1" applyFont="1" applyAlignment="1">
      <alignment horizontal="center"/>
    </xf>
    <xf numFmtId="2" fontId="25" fillId="0" borderId="0" xfId="1" applyNumberFormat="1" applyFont="1" applyAlignment="1">
      <alignment horizontal="center"/>
    </xf>
    <xf numFmtId="2" fontId="25" fillId="0" borderId="0" xfId="0" applyNumberFormat="1" applyFont="1" applyAlignment="1">
      <alignment horizontal="center"/>
    </xf>
    <xf numFmtId="1" fontId="25" fillId="0" borderId="0" xfId="0" applyNumberFormat="1" applyFont="1" applyAlignment="1">
      <alignment horizontal="center"/>
    </xf>
    <xf numFmtId="167" fontId="25" fillId="0" borderId="0" xfId="1" applyNumberFormat="1" applyFont="1" applyAlignment="1">
      <alignment horizontal="center"/>
    </xf>
    <xf numFmtId="43" fontId="3" fillId="3" borderId="0" xfId="0" applyNumberFormat="1" applyFont="1" applyFill="1"/>
    <xf numFmtId="167" fontId="25" fillId="3" borderId="0" xfId="0" applyNumberFormat="1" applyFont="1" applyFill="1"/>
    <xf numFmtId="0" fontId="25" fillId="3" borderId="0" xfId="0" applyFont="1" applyFill="1"/>
    <xf numFmtId="2" fontId="13" fillId="0" borderId="0" xfId="0" applyNumberFormat="1" applyFont="1" applyAlignment="1">
      <alignment horizontal="center"/>
    </xf>
    <xf numFmtId="2" fontId="13" fillId="0" borderId="0" xfId="1" applyNumberFormat="1" applyFont="1" applyFill="1" applyAlignment="1">
      <alignment horizontal="center"/>
    </xf>
    <xf numFmtId="1" fontId="13" fillId="0" borderId="0" xfId="1" applyNumberFormat="1" applyFont="1" applyFill="1" applyAlignment="1">
      <alignment horizontal="center"/>
    </xf>
    <xf numFmtId="2" fontId="9" fillId="0" borderId="0" xfId="1" applyNumberFormat="1" applyFont="1" applyAlignment="1">
      <alignment horizontal="center"/>
    </xf>
    <xf numFmtId="167" fontId="9" fillId="0" borderId="0" xfId="1" applyNumberFormat="1" applyFont="1" applyAlignment="1">
      <alignment horizontal="center"/>
    </xf>
    <xf numFmtId="1" fontId="9" fillId="0" borderId="0" xfId="1" applyNumberFormat="1" applyFont="1" applyAlignment="1">
      <alignment horizontal="center"/>
    </xf>
    <xf numFmtId="165" fontId="0" fillId="0" borderId="0" xfId="0" applyNumberFormat="1"/>
    <xf numFmtId="43" fontId="0" fillId="0" borderId="0" xfId="0" applyNumberFormat="1"/>
    <xf numFmtId="0" fontId="3" fillId="3" borderId="3" xfId="0" applyFont="1" applyFill="1" applyBorder="1" applyAlignment="1">
      <alignment horizontal="center"/>
    </xf>
    <xf numFmtId="49" fontId="3" fillId="3" borderId="3" xfId="0" applyNumberFormat="1" applyFont="1" applyFill="1" applyBorder="1" applyAlignment="1">
      <alignment horizontal="center"/>
    </xf>
    <xf numFmtId="168" fontId="3" fillId="0" borderId="0" xfId="1" applyNumberFormat="1" applyFont="1" applyFill="1" applyAlignment="1">
      <alignment horizontal="center"/>
    </xf>
    <xf numFmtId="10" fontId="3" fillId="0" borderId="0" xfId="2" applyNumberFormat="1" applyFont="1" applyFill="1" applyAlignment="1">
      <alignment horizontal="center"/>
    </xf>
    <xf numFmtId="165" fontId="3" fillId="0" borderId="0" xfId="1" applyNumberFormat="1" applyFont="1" applyAlignment="1">
      <alignment horizontal="center"/>
    </xf>
    <xf numFmtId="167" fontId="3" fillId="0" borderId="0" xfId="0" applyNumberFormat="1" applyFont="1" applyAlignment="1">
      <alignment horizontal="center"/>
    </xf>
    <xf numFmtId="169" fontId="3" fillId="0" borderId="0" xfId="2" applyNumberFormat="1" applyFont="1" applyFill="1" applyAlignment="1">
      <alignment horizontal="center"/>
    </xf>
    <xf numFmtId="9" fontId="3" fillId="0" borderId="0" xfId="2" applyFont="1" applyFill="1" applyAlignment="1">
      <alignment horizontal="center"/>
    </xf>
    <xf numFmtId="0" fontId="0" fillId="3" borderId="0" xfId="0" applyFill="1" applyAlignment="1">
      <alignment horizontal="left"/>
    </xf>
    <xf numFmtId="43" fontId="0" fillId="3" borderId="0" xfId="1" applyFont="1" applyFill="1"/>
    <xf numFmtId="165" fontId="0" fillId="3" borderId="0" xfId="0" applyNumberFormat="1" applyFill="1"/>
    <xf numFmtId="9" fontId="1" fillId="3" borderId="4" xfId="2" applyFont="1" applyFill="1" applyBorder="1" applyAlignment="1">
      <alignment horizontal="right"/>
    </xf>
    <xf numFmtId="9" fontId="1" fillId="0" borderId="4" xfId="0" applyNumberFormat="1" applyFont="1" applyBorder="1" applyAlignment="1">
      <alignment horizontal="right"/>
    </xf>
    <xf numFmtId="0" fontId="1" fillId="3" borderId="4" xfId="0" applyFont="1" applyFill="1" applyBorder="1" applyAlignment="1">
      <alignment horizontal="right"/>
    </xf>
    <xf numFmtId="43" fontId="1" fillId="3" borderId="4" xfId="1" applyFont="1" applyFill="1" applyBorder="1" applyAlignment="1">
      <alignment horizontal="right"/>
    </xf>
    <xf numFmtId="165" fontId="3" fillId="0" borderId="0" xfId="1" applyNumberFormat="1" applyFont="1" applyBorder="1" applyAlignment="1">
      <alignment horizontal="center"/>
    </xf>
    <xf numFmtId="0" fontId="4" fillId="5" borderId="3" xfId="0" applyFont="1" applyFill="1" applyBorder="1" applyAlignment="1">
      <alignment horizontal="center"/>
    </xf>
    <xf numFmtId="0" fontId="0" fillId="5" borderId="3" xfId="0" applyFill="1" applyBorder="1" applyAlignment="1">
      <alignment horizontal="center"/>
    </xf>
    <xf numFmtId="0" fontId="3" fillId="5" borderId="3" xfId="0" applyFont="1" applyFill="1" applyBorder="1" applyAlignment="1">
      <alignment horizontal="center"/>
    </xf>
    <xf numFmtId="0" fontId="18" fillId="0" borderId="0" xfId="0" applyFont="1" applyAlignment="1">
      <alignment horizontal="center"/>
    </xf>
    <xf numFmtId="0" fontId="2" fillId="19" borderId="0" xfId="0" applyFont="1" applyFill="1" applyAlignment="1">
      <alignment horizontal="center"/>
    </xf>
    <xf numFmtId="0" fontId="27" fillId="0" borderId="0" xfId="0" applyFont="1"/>
    <xf numFmtId="2" fontId="21" fillId="17" borderId="3" xfId="1" applyNumberFormat="1" applyFont="1" applyFill="1" applyBorder="1" applyAlignment="1">
      <alignment horizontal="center"/>
    </xf>
    <xf numFmtId="0" fontId="21" fillId="17" borderId="4" xfId="0" applyFont="1" applyFill="1" applyBorder="1" applyAlignment="1">
      <alignment horizontal="center"/>
    </xf>
    <xf numFmtId="0" fontId="27" fillId="0" borderId="0" xfId="0" applyFont="1" applyAlignment="1">
      <alignment horizontal="center"/>
    </xf>
    <xf numFmtId="0" fontId="27" fillId="5" borderId="3" xfId="0" applyFont="1" applyFill="1" applyBorder="1" applyAlignment="1">
      <alignment vertical="top"/>
    </xf>
    <xf numFmtId="2" fontId="27" fillId="0" borderId="3" xfId="1" applyNumberFormat="1" applyFont="1" applyBorder="1"/>
    <xf numFmtId="2" fontId="27" fillId="0" borderId="3" xfId="1" applyNumberFormat="1" applyFont="1" applyBorder="1" applyAlignment="1">
      <alignment horizontal="center"/>
    </xf>
    <xf numFmtId="168" fontId="27" fillId="0" borderId="4" xfId="0" applyNumberFormat="1" applyFont="1" applyBorder="1"/>
    <xf numFmtId="0" fontId="10" fillId="14" borderId="3" xfId="0" applyFont="1" applyFill="1" applyBorder="1" applyAlignment="1">
      <alignment vertical="top"/>
    </xf>
    <xf numFmtId="1" fontId="28" fillId="0" borderId="3" xfId="1" applyNumberFormat="1" applyFont="1" applyFill="1" applyBorder="1" applyAlignment="1">
      <alignment horizontal="center"/>
    </xf>
    <xf numFmtId="0" fontId="28" fillId="0" borderId="3" xfId="0" applyFont="1" applyBorder="1" applyAlignment="1">
      <alignment vertical="top"/>
    </xf>
    <xf numFmtId="167" fontId="28" fillId="0" borderId="3" xfId="1" applyNumberFormat="1" applyFont="1" applyBorder="1" applyAlignment="1">
      <alignment horizontal="center"/>
    </xf>
    <xf numFmtId="167" fontId="28" fillId="0" borderId="4" xfId="0" applyNumberFormat="1" applyFont="1" applyBorder="1"/>
    <xf numFmtId="0" fontId="29" fillId="20" borderId="3" xfId="0" applyFont="1" applyFill="1" applyBorder="1" applyAlignment="1">
      <alignment horizontal="center"/>
    </xf>
    <xf numFmtId="0" fontId="28" fillId="0" borderId="3" xfId="0" applyFont="1" applyBorder="1" applyAlignment="1">
      <alignment horizontal="center"/>
    </xf>
    <xf numFmtId="9" fontId="28" fillId="0" borderId="3" xfId="2" applyFont="1" applyBorder="1" applyAlignment="1">
      <alignment horizontal="center"/>
    </xf>
    <xf numFmtId="0" fontId="30" fillId="0" borderId="0" xfId="0" applyFont="1"/>
    <xf numFmtId="0" fontId="0" fillId="20" borderId="0" xfId="0" applyFill="1" applyAlignment="1">
      <alignment horizontal="center"/>
    </xf>
    <xf numFmtId="0" fontId="17" fillId="0" borderId="0" xfId="0" applyFont="1" applyAlignment="1">
      <alignment horizontal="center"/>
    </xf>
    <xf numFmtId="0" fontId="2" fillId="21" borderId="0" xfId="0" applyFont="1" applyFill="1" applyAlignment="1">
      <alignment horizontal="center"/>
    </xf>
    <xf numFmtId="0" fontId="30" fillId="0" borderId="0" xfId="0" applyFont="1" applyAlignment="1">
      <alignment horizontal="center"/>
    </xf>
    <xf numFmtId="1" fontId="4" fillId="0" borderId="3" xfId="1" applyNumberFormat="1" applyFont="1" applyBorder="1" applyAlignment="1">
      <alignment horizontal="center"/>
    </xf>
    <xf numFmtId="0" fontId="31" fillId="0" borderId="0" xfId="0" applyFont="1" applyAlignment="1">
      <alignment horizontal="center"/>
    </xf>
    <xf numFmtId="2" fontId="3" fillId="0" borderId="0" xfId="1" applyNumberFormat="1" applyFont="1" applyFill="1"/>
    <xf numFmtId="9" fontId="4" fillId="5" borderId="3" xfId="2" applyFont="1" applyFill="1" applyBorder="1" applyAlignment="1">
      <alignment horizontal="center"/>
    </xf>
    <xf numFmtId="9" fontId="4" fillId="14" borderId="3" xfId="0" applyNumberFormat="1" applyFont="1" applyFill="1" applyBorder="1" applyAlignment="1">
      <alignment horizontal="center"/>
    </xf>
    <xf numFmtId="9" fontId="4" fillId="14" borderId="3" xfId="2" applyFont="1" applyFill="1" applyBorder="1" applyAlignment="1">
      <alignment horizontal="center"/>
    </xf>
    <xf numFmtId="9" fontId="3" fillId="14" borderId="3" xfId="0" applyNumberFormat="1" applyFont="1" applyFill="1" applyBorder="1" applyAlignment="1">
      <alignment horizontal="center"/>
    </xf>
    <xf numFmtId="1" fontId="4" fillId="14" borderId="3" xfId="1" applyNumberFormat="1" applyFont="1" applyFill="1" applyBorder="1" applyAlignment="1">
      <alignment horizontal="center"/>
    </xf>
    <xf numFmtId="1" fontId="4" fillId="0" borderId="3" xfId="1" applyNumberFormat="1" applyFont="1" applyFill="1" applyBorder="1" applyAlignment="1">
      <alignment horizontal="center"/>
    </xf>
    <xf numFmtId="168" fontId="2" fillId="0" borderId="0" xfId="1" applyNumberFormat="1" applyFont="1" applyFill="1"/>
    <xf numFmtId="43" fontId="2" fillId="0" borderId="0" xfId="1" quotePrefix="1" applyFont="1" applyFill="1"/>
    <xf numFmtId="168" fontId="3" fillId="0" borderId="0" xfId="0" applyNumberFormat="1" applyFont="1"/>
    <xf numFmtId="0" fontId="3" fillId="5" borderId="0" xfId="0" applyFont="1" applyFill="1" applyAlignment="1">
      <alignment horizontal="center"/>
    </xf>
    <xf numFmtId="0" fontId="2" fillId="0" borderId="2" xfId="0" applyFont="1" applyBorder="1"/>
    <xf numFmtId="0" fontId="4" fillId="0" borderId="3" xfId="0" applyFont="1" applyBorder="1" applyAlignment="1">
      <alignment horizontal="center" wrapText="1"/>
    </xf>
    <xf numFmtId="165" fontId="3" fillId="17" borderId="0" xfId="0" applyNumberFormat="1" applyFont="1" applyFill="1"/>
    <xf numFmtId="0" fontId="32" fillId="17" borderId="0" xfId="0" applyFont="1" applyFill="1" applyAlignment="1">
      <alignment horizontal="center"/>
    </xf>
    <xf numFmtId="167" fontId="19" fillId="22" borderId="3" xfId="1" applyNumberFormat="1" applyFont="1" applyFill="1" applyBorder="1" applyAlignment="1">
      <alignment horizontal="center"/>
    </xf>
    <xf numFmtId="168" fontId="19" fillId="22" borderId="3" xfId="1" applyNumberFormat="1" applyFont="1" applyFill="1" applyBorder="1" applyAlignment="1">
      <alignment horizontal="center"/>
    </xf>
    <xf numFmtId="168" fontId="33" fillId="22" borderId="3" xfId="1" applyNumberFormat="1" applyFont="1" applyFill="1" applyBorder="1" applyAlignment="1">
      <alignment horizontal="center"/>
    </xf>
    <xf numFmtId="0" fontId="34" fillId="0" borderId="3" xfId="0" applyFont="1" applyBorder="1" applyAlignment="1">
      <alignment wrapText="1"/>
    </xf>
    <xf numFmtId="168" fontId="34" fillId="0" borderId="3" xfId="1" applyNumberFormat="1" applyFont="1" applyBorder="1" applyAlignment="1">
      <alignment wrapText="1"/>
    </xf>
    <xf numFmtId="9" fontId="34" fillId="0" borderId="3" xfId="2" applyFont="1" applyFill="1" applyBorder="1" applyAlignment="1">
      <alignment horizontal="center" wrapText="1"/>
    </xf>
    <xf numFmtId="0" fontId="35" fillId="14" borderId="3" xfId="0" applyFont="1" applyFill="1" applyBorder="1" applyAlignment="1">
      <alignment horizontal="center" wrapText="1"/>
    </xf>
    <xf numFmtId="0" fontId="34" fillId="0" borderId="3" xfId="0" applyFont="1" applyBorder="1" applyAlignment="1">
      <alignment horizontal="center" wrapText="1"/>
    </xf>
    <xf numFmtId="0" fontId="35" fillId="14" borderId="3" xfId="0" applyFont="1" applyFill="1" applyBorder="1" applyAlignment="1">
      <alignment horizontal="center"/>
    </xf>
    <xf numFmtId="0" fontId="34" fillId="14" borderId="3" xfId="0" applyFont="1" applyFill="1" applyBorder="1" applyAlignment="1">
      <alignment horizontal="center" wrapText="1"/>
    </xf>
    <xf numFmtId="0" fontId="34" fillId="0" borderId="3" xfId="0" applyFont="1" applyBorder="1"/>
    <xf numFmtId="168" fontId="34" fillId="0" borderId="3" xfId="1" applyNumberFormat="1" applyFont="1" applyBorder="1"/>
    <xf numFmtId="9" fontId="34" fillId="0" borderId="3" xfId="2" applyFont="1" applyFill="1" applyBorder="1" applyAlignment="1">
      <alignment horizontal="center"/>
    </xf>
    <xf numFmtId="0" fontId="34" fillId="0" borderId="3" xfId="0" applyFont="1" applyBorder="1" applyAlignment="1">
      <alignment horizontal="center"/>
    </xf>
    <xf numFmtId="0" fontId="34" fillId="14" borderId="3" xfId="0" applyFont="1" applyFill="1" applyBorder="1" applyAlignment="1">
      <alignment horizontal="center"/>
    </xf>
    <xf numFmtId="0" fontId="35" fillId="0" borderId="3" xfId="0" applyFont="1" applyBorder="1" applyAlignment="1">
      <alignment horizontal="center"/>
    </xf>
    <xf numFmtId="168" fontId="33" fillId="22" borderId="4" xfId="1" applyNumberFormat="1" applyFont="1" applyFill="1" applyBorder="1" applyAlignment="1">
      <alignment horizontal="center"/>
    </xf>
    <xf numFmtId="0" fontId="34" fillId="0" borderId="4" xfId="0" applyFont="1" applyBorder="1" applyAlignment="1">
      <alignment horizontal="center" wrapText="1"/>
    </xf>
    <xf numFmtId="0" fontId="34" fillId="0" borderId="4" xfId="0" applyFont="1" applyBorder="1" applyAlignment="1">
      <alignment horizontal="center"/>
    </xf>
    <xf numFmtId="0" fontId="32" fillId="17" borderId="3" xfId="0" applyFont="1" applyFill="1" applyBorder="1" applyAlignment="1">
      <alignment horizontal="center"/>
    </xf>
    <xf numFmtId="0" fontId="27" fillId="0" borderId="3" xfId="0" applyFont="1" applyBorder="1"/>
    <xf numFmtId="167" fontId="10" fillId="0" borderId="3" xfId="1" applyNumberFormat="1" applyFont="1" applyBorder="1" applyAlignment="1">
      <alignment horizontal="center"/>
    </xf>
    <xf numFmtId="0" fontId="28" fillId="14" borderId="3" xfId="0" applyFont="1" applyFill="1" applyBorder="1" applyAlignment="1">
      <alignment horizontal="center"/>
    </xf>
    <xf numFmtId="167" fontId="10" fillId="0" borderId="3" xfId="1" applyNumberFormat="1" applyFont="1" applyBorder="1"/>
    <xf numFmtId="0" fontId="21" fillId="17" borderId="5" xfId="0" applyFont="1" applyFill="1" applyBorder="1" applyAlignment="1">
      <alignment horizontal="center"/>
    </xf>
    <xf numFmtId="1" fontId="28" fillId="0" borderId="5" xfId="1" applyNumberFormat="1" applyFont="1" applyFill="1" applyBorder="1" applyAlignment="1">
      <alignment horizontal="center"/>
    </xf>
    <xf numFmtId="2" fontId="21" fillId="17" borderId="4" xfId="1" applyNumberFormat="1" applyFont="1" applyFill="1" applyBorder="1" applyAlignment="1">
      <alignment horizontal="center"/>
    </xf>
    <xf numFmtId="2" fontId="27" fillId="0" borderId="4" xfId="1" applyNumberFormat="1" applyFont="1" applyBorder="1"/>
    <xf numFmtId="2" fontId="10" fillId="0" borderId="4" xfId="1" applyNumberFormat="1" applyFont="1" applyBorder="1"/>
    <xf numFmtId="0" fontId="21" fillId="17" borderId="6" xfId="0" applyFont="1" applyFill="1" applyBorder="1" applyAlignment="1">
      <alignment horizontal="center"/>
    </xf>
    <xf numFmtId="168" fontId="27" fillId="0" borderId="6" xfId="0" applyNumberFormat="1" applyFont="1" applyBorder="1"/>
    <xf numFmtId="168" fontId="10" fillId="0" borderId="6" xfId="0" applyNumberFormat="1" applyFont="1" applyBorder="1"/>
    <xf numFmtId="0" fontId="21" fillId="17" borderId="5" xfId="0" applyFont="1" applyFill="1" applyBorder="1"/>
    <xf numFmtId="2" fontId="10" fillId="0" borderId="9" xfId="1" applyNumberFormat="1" applyFont="1" applyBorder="1"/>
    <xf numFmtId="2" fontId="27" fillId="0" borderId="9" xfId="1" applyNumberFormat="1" applyFont="1" applyBorder="1"/>
    <xf numFmtId="2" fontId="21" fillId="17" borderId="0" xfId="1" applyNumberFormat="1" applyFont="1" applyFill="1" applyBorder="1" applyAlignment="1">
      <alignment horizontal="center"/>
    </xf>
    <xf numFmtId="2" fontId="27" fillId="0" borderId="0" xfId="1" applyNumberFormat="1" applyFont="1" applyBorder="1"/>
    <xf numFmtId="2" fontId="10" fillId="0" borderId="0" xfId="1" applyNumberFormat="1" applyFont="1" applyBorder="1"/>
    <xf numFmtId="0" fontId="28" fillId="20" borderId="4" xfId="0" applyFont="1" applyFill="1" applyBorder="1"/>
    <xf numFmtId="0" fontId="28" fillId="20" borderId="6" xfId="0" applyFont="1" applyFill="1" applyBorder="1"/>
    <xf numFmtId="0" fontId="28" fillId="20" borderId="5" xfId="0" applyFont="1" applyFill="1" applyBorder="1"/>
    <xf numFmtId="0" fontId="29" fillId="20" borderId="4" xfId="0" applyFont="1" applyFill="1" applyBorder="1" applyAlignment="1">
      <alignment horizontal="center" wrapText="1"/>
    </xf>
    <xf numFmtId="168" fontId="27" fillId="0" borderId="0" xfId="1" applyNumberFormat="1" applyFont="1" applyBorder="1" applyAlignment="1">
      <alignment horizontal="center"/>
    </xf>
    <xf numFmtId="0" fontId="29" fillId="20" borderId="3" xfId="0" applyFont="1" applyFill="1" applyBorder="1" applyAlignment="1">
      <alignment horizontal="center" wrapText="1"/>
    </xf>
    <xf numFmtId="0" fontId="21" fillId="17" borderId="3" xfId="0" applyFont="1" applyFill="1" applyBorder="1" applyAlignment="1">
      <alignment horizontal="center" wrapText="1"/>
    </xf>
    <xf numFmtId="0" fontId="21" fillId="17" borderId="4" xfId="0" applyFont="1" applyFill="1" applyBorder="1" applyAlignment="1">
      <alignment horizontal="center" wrapText="1"/>
    </xf>
    <xf numFmtId="167" fontId="19" fillId="17" borderId="3" xfId="1" applyNumberFormat="1" applyFont="1" applyFill="1" applyBorder="1" applyAlignment="1">
      <alignment horizontal="center" wrapText="1"/>
    </xf>
    <xf numFmtId="168" fontId="19" fillId="17" borderId="3" xfId="1" applyNumberFormat="1" applyFont="1" applyFill="1" applyBorder="1" applyAlignment="1">
      <alignment horizontal="center" wrapText="1"/>
    </xf>
    <xf numFmtId="0" fontId="33" fillId="17" borderId="3" xfId="0" applyFont="1" applyFill="1" applyBorder="1" applyAlignment="1">
      <alignment horizontal="center"/>
    </xf>
    <xf numFmtId="2" fontId="33" fillId="17" borderId="3" xfId="1" applyNumberFormat="1" applyFont="1" applyFill="1" applyBorder="1" applyAlignment="1">
      <alignment horizontal="center"/>
    </xf>
    <xf numFmtId="0" fontId="33" fillId="17" borderId="4" xfId="0" applyFont="1" applyFill="1" applyBorder="1" applyAlignment="1">
      <alignment horizontal="center"/>
    </xf>
    <xf numFmtId="0" fontId="34" fillId="23" borderId="3" xfId="0" applyFont="1" applyFill="1" applyBorder="1" applyAlignment="1">
      <alignment horizontal="center" wrapText="1"/>
    </xf>
    <xf numFmtId="0" fontId="34" fillId="23" borderId="3" xfId="0" applyFont="1" applyFill="1" applyBorder="1" applyAlignment="1">
      <alignment horizontal="center"/>
    </xf>
    <xf numFmtId="0" fontId="27" fillId="20" borderId="10" xfId="0" applyFont="1" applyFill="1" applyBorder="1"/>
    <xf numFmtId="0" fontId="27" fillId="2" borderId="3" xfId="0" applyFont="1" applyFill="1" applyBorder="1"/>
    <xf numFmtId="0" fontId="27" fillId="14" borderId="3" xfId="0" applyFont="1" applyFill="1" applyBorder="1"/>
    <xf numFmtId="0" fontId="28" fillId="2" borderId="3" xfId="0" applyFont="1" applyFill="1" applyBorder="1" applyAlignment="1">
      <alignment horizontal="center"/>
    </xf>
    <xf numFmtId="0" fontId="28" fillId="24" borderId="4" xfId="0" applyFont="1" applyFill="1" applyBorder="1" applyAlignment="1">
      <alignment horizontal="center"/>
    </xf>
    <xf numFmtId="0" fontId="35" fillId="0" borderId="3" xfId="0" applyFont="1" applyBorder="1" applyAlignment="1">
      <alignment horizontal="center" wrapText="1"/>
    </xf>
    <xf numFmtId="168" fontId="27" fillId="14" borderId="0" xfId="1" applyNumberFormat="1" applyFont="1" applyFill="1" applyBorder="1" applyAlignment="1">
      <alignment horizontal="center"/>
    </xf>
    <xf numFmtId="168" fontId="27" fillId="2" borderId="0" xfId="1" applyNumberFormat="1" applyFont="1" applyFill="1" applyBorder="1" applyAlignment="1">
      <alignment horizontal="center"/>
    </xf>
    <xf numFmtId="168" fontId="3" fillId="0" borderId="0" xfId="1" applyNumberFormat="1" applyFont="1" applyFill="1" applyAlignment="1"/>
    <xf numFmtId="9" fontId="3" fillId="0" borderId="0" xfId="2" applyFont="1" applyFill="1" applyAlignment="1"/>
    <xf numFmtId="169" fontId="3" fillId="0" borderId="0" xfId="0" applyNumberFormat="1" applyFont="1"/>
    <xf numFmtId="0" fontId="4" fillId="0" borderId="4" xfId="0" applyFont="1" applyBorder="1"/>
    <xf numFmtId="0" fontId="4" fillId="0" borderId="5" xfId="0" applyFont="1" applyBorder="1"/>
    <xf numFmtId="9" fontId="4" fillId="0" borderId="3" xfId="2" applyFont="1" applyBorder="1" applyAlignment="1"/>
    <xf numFmtId="169" fontId="4" fillId="0" borderId="0" xfId="0" applyNumberFormat="1" applyFont="1"/>
    <xf numFmtId="168" fontId="3" fillId="0" borderId="0" xfId="1" applyNumberFormat="1" applyFont="1" applyFill="1" applyBorder="1" applyAlignment="1"/>
    <xf numFmtId="10" fontId="3" fillId="0" borderId="0" xfId="2" applyNumberFormat="1" applyFont="1" applyFill="1" applyAlignment="1"/>
    <xf numFmtId="165" fontId="3" fillId="0" borderId="0" xfId="1" applyNumberFormat="1" applyFont="1" applyAlignment="1"/>
    <xf numFmtId="169" fontId="3" fillId="0" borderId="0" xfId="2" applyNumberFormat="1" applyFont="1" applyFill="1" applyAlignment="1"/>
    <xf numFmtId="9" fontId="4" fillId="0" borderId="0" xfId="2" applyFont="1" applyAlignment="1"/>
    <xf numFmtId="167" fontId="12" fillId="17" borderId="3" xfId="0" applyNumberFormat="1" applyFont="1" applyFill="1" applyBorder="1" applyAlignment="1">
      <alignment horizontal="center"/>
    </xf>
    <xf numFmtId="167" fontId="12" fillId="17" borderId="3" xfId="1" applyNumberFormat="1" applyFont="1" applyFill="1" applyBorder="1" applyAlignment="1">
      <alignment horizontal="center"/>
    </xf>
    <xf numFmtId="167" fontId="12" fillId="17" borderId="4" xfId="0" applyNumberFormat="1" applyFont="1" applyFill="1" applyBorder="1" applyAlignment="1">
      <alignment horizontal="center"/>
    </xf>
    <xf numFmtId="167" fontId="10" fillId="0" borderId="3" xfId="0" applyNumberFormat="1" applyFont="1" applyBorder="1" applyAlignment="1">
      <alignment vertical="top"/>
    </xf>
    <xf numFmtId="167" fontId="10" fillId="0" borderId="4" xfId="0" applyNumberFormat="1" applyFont="1" applyBorder="1"/>
    <xf numFmtId="167" fontId="0" fillId="0" borderId="0" xfId="1" applyNumberFormat="1" applyFont="1" applyAlignment="1">
      <alignment horizontal="center"/>
    </xf>
    <xf numFmtId="168" fontId="0" fillId="0" borderId="0" xfId="1" applyNumberFormat="1" applyFont="1" applyAlignment="1">
      <alignment horizontal="center"/>
    </xf>
    <xf numFmtId="168" fontId="2" fillId="0" borderId="0" xfId="1" applyNumberFormat="1" applyFont="1" applyAlignment="1">
      <alignment horizontal="center"/>
    </xf>
    <xf numFmtId="167" fontId="27" fillId="0" borderId="0" xfId="1" applyNumberFormat="1" applyFont="1" applyAlignment="1">
      <alignment horizontal="center"/>
    </xf>
    <xf numFmtId="0" fontId="10" fillId="0" borderId="0" xfId="0" applyFont="1" applyAlignment="1">
      <alignment horizontal="center"/>
    </xf>
    <xf numFmtId="43" fontId="2" fillId="3" borderId="0" xfId="1" applyFont="1" applyFill="1"/>
    <xf numFmtId="38" fontId="10" fillId="0" borderId="3" xfId="1" applyNumberFormat="1" applyFont="1" applyBorder="1" applyAlignment="1">
      <alignment horizontal="center"/>
    </xf>
    <xf numFmtId="38" fontId="10" fillId="0" borderId="0" xfId="1" applyNumberFormat="1" applyFont="1" applyAlignment="1">
      <alignment horizontal="center"/>
    </xf>
    <xf numFmtId="167" fontId="10" fillId="0" borderId="3" xfId="0" applyNumberFormat="1" applyFont="1" applyBorder="1" applyAlignment="1">
      <alignment horizontal="center"/>
    </xf>
    <xf numFmtId="2" fontId="10" fillId="0" borderId="0" xfId="1" applyNumberFormat="1" applyFont="1" applyAlignment="1">
      <alignment horizontal="center"/>
    </xf>
    <xf numFmtId="38" fontId="10" fillId="3" borderId="3" xfId="1" applyNumberFormat="1" applyFont="1" applyFill="1" applyBorder="1" applyAlignment="1">
      <alignment wrapText="1"/>
    </xf>
    <xf numFmtId="38" fontId="10" fillId="3" borderId="3" xfId="1" applyNumberFormat="1" applyFont="1" applyFill="1" applyBorder="1" applyAlignment="1"/>
    <xf numFmtId="38" fontId="10" fillId="0" borderId="0" xfId="0" applyNumberFormat="1" applyFont="1"/>
    <xf numFmtId="38" fontId="10" fillId="0" borderId="0" xfId="0" applyNumberFormat="1" applyFont="1" applyAlignment="1">
      <alignment horizontal="center"/>
    </xf>
    <xf numFmtId="0" fontId="37" fillId="0" borderId="0" xfId="0" applyFont="1"/>
    <xf numFmtId="0" fontId="15" fillId="0" borderId="0" xfId="0" applyFont="1" applyAlignment="1">
      <alignment horizontal="center"/>
    </xf>
    <xf numFmtId="167" fontId="37" fillId="0" borderId="0" xfId="0" applyNumberFormat="1" applyFont="1" applyAlignment="1">
      <alignment horizontal="center"/>
    </xf>
    <xf numFmtId="167" fontId="15" fillId="0" borderId="0" xfId="0" applyNumberFormat="1" applyFont="1" applyAlignment="1">
      <alignment horizontal="center"/>
    </xf>
    <xf numFmtId="1" fontId="37" fillId="0" borderId="0" xfId="0" applyNumberFormat="1" applyFont="1" applyAlignment="1">
      <alignment horizontal="center"/>
    </xf>
    <xf numFmtId="1" fontId="0" fillId="5" borderId="0" xfId="0" applyNumberFormat="1" applyFill="1"/>
    <xf numFmtId="0" fontId="0" fillId="16" borderId="1" xfId="0" applyFill="1" applyBorder="1"/>
    <xf numFmtId="0" fontId="10" fillId="0" borderId="11" xfId="0" applyFont="1" applyBorder="1" applyAlignment="1">
      <alignment horizontal="center"/>
    </xf>
    <xf numFmtId="38" fontId="10" fillId="0" borderId="3" xfId="0" applyNumberFormat="1" applyFont="1" applyBorder="1" applyAlignment="1">
      <alignment horizontal="center"/>
    </xf>
    <xf numFmtId="0" fontId="38" fillId="0" borderId="0" xfId="0" applyFont="1" applyAlignment="1">
      <alignment wrapText="1"/>
    </xf>
    <xf numFmtId="0" fontId="27" fillId="0" borderId="0" xfId="0" applyFont="1" applyAlignment="1">
      <alignment wrapText="1"/>
    </xf>
    <xf numFmtId="0" fontId="27" fillId="0" borderId="1" xfId="0" applyFont="1" applyBorder="1"/>
    <xf numFmtId="0" fontId="28" fillId="0" borderId="0" xfId="0" applyFont="1" applyAlignment="1">
      <alignment horizontal="center"/>
    </xf>
    <xf numFmtId="0" fontId="38" fillId="0" borderId="0" xfId="0" applyFont="1"/>
    <xf numFmtId="9" fontId="38" fillId="0" borderId="0" xfId="2" applyFont="1"/>
    <xf numFmtId="43" fontId="27" fillId="0" borderId="0" xfId="0" applyNumberFormat="1" applyFont="1"/>
    <xf numFmtId="0" fontId="27" fillId="0" borderId="0" xfId="0" applyFont="1" applyAlignment="1">
      <alignment horizontal="center" wrapText="1"/>
    </xf>
    <xf numFmtId="0" fontId="38" fillId="0" borderId="0" xfId="0" applyFont="1" applyAlignment="1">
      <alignment horizontal="center" wrapText="1"/>
    </xf>
    <xf numFmtId="0" fontId="38" fillId="0" borderId="0" xfId="0" applyFont="1" applyAlignment="1">
      <alignment horizontal="center"/>
    </xf>
    <xf numFmtId="9" fontId="38" fillId="0" borderId="0" xfId="2" applyFont="1" applyAlignment="1">
      <alignment horizontal="center"/>
    </xf>
    <xf numFmtId="2" fontId="29" fillId="0" borderId="0" xfId="1" applyNumberFormat="1" applyFont="1" applyAlignment="1">
      <alignment horizontal="center"/>
    </xf>
    <xf numFmtId="2" fontId="38" fillId="0" borderId="0" xfId="1" applyNumberFormat="1" applyFont="1" applyAlignment="1">
      <alignment horizontal="center"/>
    </xf>
    <xf numFmtId="1" fontId="38" fillId="0" borderId="0" xfId="0" applyNumberFormat="1" applyFont="1" applyAlignment="1">
      <alignment horizontal="center" wrapText="1"/>
    </xf>
    <xf numFmtId="1" fontId="29" fillId="0" borderId="0" xfId="1" applyNumberFormat="1" applyFont="1" applyAlignment="1">
      <alignment horizontal="center"/>
    </xf>
    <xf numFmtId="1" fontId="38" fillId="0" borderId="0" xfId="1" applyNumberFormat="1" applyFont="1" applyAlignment="1">
      <alignment horizontal="center"/>
    </xf>
    <xf numFmtId="9" fontId="29" fillId="0" borderId="0" xfId="2" applyFont="1" applyAlignment="1">
      <alignment horizontal="center"/>
    </xf>
    <xf numFmtId="9" fontId="27" fillId="0" borderId="0" xfId="2" applyFont="1"/>
    <xf numFmtId="167" fontId="38" fillId="0" borderId="0" xfId="2" applyNumberFormat="1" applyFont="1"/>
    <xf numFmtId="168" fontId="38" fillId="0" borderId="0" xfId="0" applyNumberFormat="1" applyFont="1"/>
    <xf numFmtId="2" fontId="38" fillId="0" borderId="0" xfId="1" applyNumberFormat="1" applyFont="1"/>
    <xf numFmtId="2" fontId="29" fillId="0" borderId="0" xfId="1" applyNumberFormat="1" applyFont="1"/>
    <xf numFmtId="2" fontId="27" fillId="0" borderId="0" xfId="0" applyNumberFormat="1" applyFont="1"/>
    <xf numFmtId="1" fontId="38" fillId="0" borderId="0" xfId="1" applyNumberFormat="1" applyFont="1"/>
    <xf numFmtId="1" fontId="38" fillId="0" borderId="0" xfId="2" applyNumberFormat="1" applyFont="1"/>
    <xf numFmtId="1" fontId="38" fillId="0" borderId="0" xfId="0" applyNumberFormat="1" applyFont="1"/>
    <xf numFmtId="1" fontId="38" fillId="16" borderId="0" xfId="1" applyNumberFormat="1" applyFont="1" applyFill="1"/>
    <xf numFmtId="1" fontId="27" fillId="0" borderId="0" xfId="0" applyNumberFormat="1" applyFont="1"/>
    <xf numFmtId="9" fontId="29" fillId="0" borderId="0" xfId="2" applyFont="1"/>
    <xf numFmtId="9" fontId="27" fillId="0" borderId="0" xfId="2" applyFont="1" applyFill="1" applyAlignment="1">
      <alignment horizontal="center"/>
    </xf>
    <xf numFmtId="43" fontId="39" fillId="16" borderId="0" xfId="1" applyFont="1" applyFill="1" applyAlignment="1">
      <alignment horizontal="center"/>
    </xf>
    <xf numFmtId="2" fontId="27" fillId="0" borderId="0" xfId="1" applyNumberFormat="1" applyFont="1" applyFill="1" applyAlignment="1">
      <alignment horizontal="center"/>
    </xf>
    <xf numFmtId="1" fontId="27" fillId="0" borderId="0" xfId="1" applyNumberFormat="1" applyFont="1" applyFill="1" applyAlignment="1">
      <alignment horizontal="center"/>
    </xf>
    <xf numFmtId="0" fontId="8" fillId="26" borderId="0" xfId="3" applyFont="1" applyFill="1" applyAlignment="1">
      <alignment horizontal="right"/>
    </xf>
    <xf numFmtId="0" fontId="5" fillId="26" borderId="0" xfId="3" applyFill="1"/>
    <xf numFmtId="1" fontId="9" fillId="0" borderId="0" xfId="2" applyNumberFormat="1" applyFont="1" applyFill="1" applyBorder="1" applyAlignment="1">
      <alignment horizontal="center"/>
    </xf>
    <xf numFmtId="2" fontId="9" fillId="0" borderId="0" xfId="2" applyNumberFormat="1" applyFont="1" applyFill="1" applyBorder="1" applyAlignment="1">
      <alignment horizontal="center"/>
    </xf>
    <xf numFmtId="9" fontId="9" fillId="0" borderId="0" xfId="2" applyFont="1" applyFill="1" applyBorder="1" applyAlignment="1">
      <alignment horizontal="center"/>
    </xf>
    <xf numFmtId="0" fontId="9" fillId="0" borderId="0" xfId="2" applyNumberFormat="1" applyFont="1" applyFill="1" applyBorder="1" applyAlignment="1">
      <alignment horizontal="center"/>
    </xf>
    <xf numFmtId="9" fontId="9" fillId="0" borderId="0" xfId="2" applyFont="1" applyFill="1" applyBorder="1" applyAlignment="1">
      <alignment horizontal="center" vertical="top"/>
    </xf>
    <xf numFmtId="0" fontId="9" fillId="0" borderId="0" xfId="1" applyNumberFormat="1" applyFont="1" applyFill="1" applyBorder="1" applyAlignment="1">
      <alignment horizontal="center"/>
    </xf>
    <xf numFmtId="0" fontId="15" fillId="5" borderId="4" xfId="0" applyFont="1" applyFill="1" applyBorder="1" applyAlignment="1">
      <alignment horizontal="center"/>
    </xf>
    <xf numFmtId="0" fontId="15" fillId="5" borderId="6" xfId="0" applyFont="1" applyFill="1" applyBorder="1" applyAlignment="1">
      <alignment horizontal="center"/>
    </xf>
    <xf numFmtId="0" fontId="15" fillId="5" borderId="5" xfId="0" applyFont="1" applyFill="1" applyBorder="1" applyAlignment="1">
      <alignment horizontal="center"/>
    </xf>
    <xf numFmtId="168" fontId="9" fillId="5" borderId="7" xfId="1" applyNumberFormat="1" applyFont="1" applyFill="1" applyBorder="1" applyAlignment="1">
      <alignment horizontal="center" vertical="center"/>
    </xf>
    <xf numFmtId="168" fontId="9" fillId="5" borderId="8" xfId="1" applyNumberFormat="1" applyFont="1" applyFill="1" applyBorder="1" applyAlignment="1">
      <alignment horizontal="center" vertical="center"/>
    </xf>
    <xf numFmtId="168" fontId="9" fillId="5" borderId="3" xfId="1" applyNumberFormat="1" applyFont="1" applyFill="1" applyBorder="1" applyAlignment="1">
      <alignment horizontal="center" vertical="center"/>
    </xf>
    <xf numFmtId="0" fontId="9" fillId="5" borderId="4" xfId="0" applyFont="1" applyFill="1" applyBorder="1" applyAlignment="1">
      <alignment horizontal="center"/>
    </xf>
    <xf numFmtId="0" fontId="9" fillId="5" borderId="6" xfId="0" applyFont="1" applyFill="1" applyBorder="1" applyAlignment="1">
      <alignment horizontal="center"/>
    </xf>
    <xf numFmtId="0" fontId="9" fillId="5" borderId="5" xfId="0" applyFont="1" applyFill="1" applyBorder="1" applyAlignment="1">
      <alignment horizontal="center"/>
    </xf>
    <xf numFmtId="0" fontId="36" fillId="25" borderId="1" xfId="0" applyFont="1" applyFill="1" applyBorder="1" applyAlignment="1">
      <alignment horizontal="center"/>
    </xf>
    <xf numFmtId="38" fontId="10" fillId="3" borderId="3" xfId="1" applyNumberFormat="1" applyFont="1" applyFill="1" applyBorder="1" applyAlignment="1">
      <alignment horizontal="center"/>
    </xf>
    <xf numFmtId="38" fontId="10" fillId="3" borderId="3" xfId="1" applyNumberFormat="1" applyFont="1" applyFill="1" applyBorder="1" applyAlignment="1">
      <alignment horizontal="center" wrapText="1"/>
    </xf>
    <xf numFmtId="0" fontId="36" fillId="17" borderId="2" xfId="0" applyFont="1" applyFill="1" applyBorder="1" applyAlignment="1">
      <alignment horizontal="center"/>
    </xf>
    <xf numFmtId="38" fontId="10" fillId="3" borderId="7" xfId="1" applyNumberFormat="1" applyFont="1" applyFill="1" applyBorder="1" applyAlignment="1">
      <alignment horizontal="center" wrapText="1"/>
    </xf>
    <xf numFmtId="38" fontId="10" fillId="3" borderId="8" xfId="1" applyNumberFormat="1" applyFont="1" applyFill="1" applyBorder="1" applyAlignment="1">
      <alignment horizontal="center" wrapText="1"/>
    </xf>
    <xf numFmtId="38" fontId="10" fillId="3" borderId="7" xfId="1" applyNumberFormat="1" applyFont="1" applyFill="1" applyBorder="1" applyAlignment="1">
      <alignment horizontal="center"/>
    </xf>
    <xf numFmtId="38" fontId="10" fillId="3" borderId="8" xfId="1" applyNumberFormat="1" applyFont="1" applyFill="1" applyBorder="1" applyAlignment="1">
      <alignment horizontal="center"/>
    </xf>
    <xf numFmtId="0" fontId="28" fillId="20" borderId="4" xfId="0" applyFont="1" applyFill="1" applyBorder="1" applyAlignment="1">
      <alignment horizontal="center"/>
    </xf>
    <xf numFmtId="0" fontId="28" fillId="20" borderId="6" xfId="0" applyFont="1" applyFill="1" applyBorder="1" applyAlignment="1">
      <alignment horizontal="center"/>
    </xf>
    <xf numFmtId="0" fontId="28" fillId="20" borderId="5" xfId="0" applyFont="1" applyFill="1" applyBorder="1" applyAlignment="1">
      <alignment horizontal="center"/>
    </xf>
    <xf numFmtId="0" fontId="36" fillId="17" borderId="1" xfId="0" applyFont="1" applyFill="1" applyBorder="1" applyAlignment="1">
      <alignment horizontal="center"/>
    </xf>
    <xf numFmtId="0" fontId="33" fillId="17" borderId="1" xfId="0" applyFont="1" applyFill="1" applyBorder="1" applyAlignment="1">
      <alignment horizontal="center"/>
    </xf>
    <xf numFmtId="0" fontId="2" fillId="0" borderId="0" xfId="0" applyFont="1" applyAlignment="1">
      <alignment horizontal="center"/>
    </xf>
    <xf numFmtId="0" fontId="2" fillId="0" borderId="2" xfId="0" applyFont="1" applyBorder="1" applyAlignment="1">
      <alignment horizontal="center"/>
    </xf>
    <xf numFmtId="0" fontId="0" fillId="0" borderId="1" xfId="0" applyBorder="1" applyAlignment="1">
      <alignment vertical="top"/>
    </xf>
  </cellXfs>
  <cellStyles count="4">
    <cellStyle name="Comma" xfId="1" builtinId="3"/>
    <cellStyle name="Normal" xfId="0" builtinId="0"/>
    <cellStyle name="Normal 2" xfId="3" xr:uid="{ABF58469-FEB9-2342-B282-A8EB7AEA8D49}"/>
    <cellStyle name="Percent" xfId="2" builtinId="5"/>
  </cellStyles>
  <dxfs count="15">
    <dxf>
      <numFmt numFmtId="35" formatCode="_(* #,##0.00_);_(* \(#,##0.00\);_(* &quot;-&quot;??_);_(@_)"/>
    </dxf>
    <dxf>
      <numFmt numFmtId="165" formatCode="_(* #,##0.0_);_(* \(#,##0.0\);_(* &quot;-&quot;??_);_(@_)"/>
    </dxf>
    <dxf>
      <numFmt numFmtId="165" formatCode="_(* #,##0.0_);_(* \(#,##0.0\);_(* &quot;-&quot;??_);_(@_)"/>
    </dxf>
    <dxf>
      <numFmt numFmtId="165" formatCode="_(* #,##0.0_);_(* \(#,##0.0\);_(* &quot;-&quot;??_);_(@_)"/>
    </dxf>
    <dxf>
      <numFmt numFmtId="165" formatCode="_(* #,##0.0_);_(* \(#,##0.0\);_(*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_(* #,##0.0_);_(* \(#,##0.0\);_(*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3.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pivotCacheDefinition" Target="pivotCache/pivotCacheDefinition1.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07/relationships/slicerCache" Target="slicerCaches/slicerCach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_rels/drawing5.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15</xdr:col>
      <xdr:colOff>797852</xdr:colOff>
      <xdr:row>11</xdr:row>
      <xdr:rowOff>184705</xdr:rowOff>
    </xdr:from>
    <xdr:to>
      <xdr:col>17</xdr:col>
      <xdr:colOff>731447</xdr:colOff>
      <xdr:row>25</xdr:row>
      <xdr:rowOff>136247</xdr:rowOff>
    </xdr:to>
    <xdr:pic>
      <xdr:nvPicPr>
        <xdr:cNvPr id="9" name="Picture 8">
          <a:extLst>
            <a:ext uri="{FF2B5EF4-FFF2-40B4-BE49-F238E27FC236}">
              <a16:creationId xmlns:a16="http://schemas.microsoft.com/office/drawing/2014/main" id="{D8342CA0-0B3E-58E5-8016-AEFB6383AAB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5461" t="-303" r="49603" b="303"/>
        <a:stretch/>
      </xdr:blipFill>
      <xdr:spPr>
        <a:xfrm>
          <a:off x="19074077" y="2632188"/>
          <a:ext cx="1582072" cy="27775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21</xdr:col>
      <xdr:colOff>722312</xdr:colOff>
      <xdr:row>0</xdr:row>
      <xdr:rowOff>0</xdr:rowOff>
    </xdr:from>
    <xdr:to>
      <xdr:col>23</xdr:col>
      <xdr:colOff>648436</xdr:colOff>
      <xdr:row>13</xdr:row>
      <xdr:rowOff>84137</xdr:rowOff>
    </xdr:to>
    <xdr:pic>
      <xdr:nvPicPr>
        <xdr:cNvPr id="2" name="Picture 1">
          <a:extLst>
            <a:ext uri="{FF2B5EF4-FFF2-40B4-BE49-F238E27FC236}">
              <a16:creationId xmlns:a16="http://schemas.microsoft.com/office/drawing/2014/main" id="{F6334E47-333C-584A-871D-1A8CCEFE119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0001" t="926" r="25064" b="-926"/>
        <a:stretch/>
      </xdr:blipFill>
      <xdr:spPr>
        <a:xfrm>
          <a:off x="20105687" y="0"/>
          <a:ext cx="1577124" cy="27749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25</xdr:col>
      <xdr:colOff>390771</xdr:colOff>
      <xdr:row>40</xdr:row>
      <xdr:rowOff>49653</xdr:rowOff>
    </xdr:from>
    <xdr:to>
      <xdr:col>31</xdr:col>
      <xdr:colOff>627652</xdr:colOff>
      <xdr:row>55</xdr:row>
      <xdr:rowOff>184899</xdr:rowOff>
    </xdr:to>
    <xdr:pic>
      <xdr:nvPicPr>
        <xdr:cNvPr id="2" name="Picture 1">
          <a:extLst>
            <a:ext uri="{FF2B5EF4-FFF2-40B4-BE49-F238E27FC236}">
              <a16:creationId xmlns:a16="http://schemas.microsoft.com/office/drawing/2014/main" id="{2ACA0F5D-2DB7-9645-B437-13100FD9045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4391" t="18229" r="14553" b="17971"/>
        <a:stretch/>
      </xdr:blipFill>
      <xdr:spPr>
        <a:xfrm>
          <a:off x="21244171" y="3073400"/>
          <a:ext cx="5507381" cy="31832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11</xdr:col>
      <xdr:colOff>812800</xdr:colOff>
      <xdr:row>0</xdr:row>
      <xdr:rowOff>0</xdr:rowOff>
    </xdr:from>
    <xdr:to>
      <xdr:col>13</xdr:col>
      <xdr:colOff>825500</xdr:colOff>
      <xdr:row>12</xdr:row>
      <xdr:rowOff>180972</xdr:rowOff>
    </xdr:to>
    <mc:AlternateContent xmlns:mc="http://schemas.openxmlformats.org/markup-compatibility/2006" xmlns:sle15="http://schemas.microsoft.com/office/drawing/2012/slicer">
      <mc:Choice Requires="sle15">
        <xdr:graphicFrame macro="">
          <xdr:nvGraphicFramePr>
            <xdr:cNvPr id="2" name="Farm">
              <a:extLst>
                <a:ext uri="{FF2B5EF4-FFF2-40B4-BE49-F238E27FC236}">
                  <a16:creationId xmlns:a16="http://schemas.microsoft.com/office/drawing/2014/main" id="{30E52508-3A30-1CB6-C461-B7B17C8C8F53}"/>
                </a:ext>
              </a:extLst>
            </xdr:cNvPr>
            <xdr:cNvGraphicFramePr/>
          </xdr:nvGraphicFramePr>
          <xdr:xfrm>
            <a:off x="0" y="0"/>
            <a:ext cx="0" cy="0"/>
          </xdr:xfrm>
          <a:graphic>
            <a:graphicData uri="http://schemas.microsoft.com/office/drawing/2010/slicer">
              <sle:slicer xmlns:sle="http://schemas.microsoft.com/office/drawing/2010/slicer" name="Farm"/>
            </a:graphicData>
          </a:graphic>
        </xdr:graphicFrame>
      </mc:Choice>
      <mc:Fallback xmlns="">
        <xdr:sp macro="" textlink="">
          <xdr:nvSpPr>
            <xdr:cNvPr id="0" name=""/>
            <xdr:cNvSpPr>
              <a:spLocks noTextEdit="1"/>
            </xdr:cNvSpPr>
          </xdr:nvSpPr>
          <xdr:spPr>
            <a:xfrm>
              <a:off x="11074400" y="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390771</xdr:colOff>
      <xdr:row>40</xdr:row>
      <xdr:rowOff>49653</xdr:rowOff>
    </xdr:from>
    <xdr:to>
      <xdr:col>28</xdr:col>
      <xdr:colOff>119652</xdr:colOff>
      <xdr:row>191</xdr:row>
      <xdr:rowOff>135245</xdr:rowOff>
    </xdr:to>
    <xdr:pic>
      <xdr:nvPicPr>
        <xdr:cNvPr id="5" name="Picture 4">
          <a:extLst>
            <a:ext uri="{FF2B5EF4-FFF2-40B4-BE49-F238E27FC236}">
              <a16:creationId xmlns:a16="http://schemas.microsoft.com/office/drawing/2014/main" id="{43FBD7D3-5CE2-8A84-BC9F-684B23FF5DE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4391" t="18229" r="14553" b="17971"/>
        <a:stretch/>
      </xdr:blipFill>
      <xdr:spPr>
        <a:xfrm>
          <a:off x="20271156" y="2120730"/>
          <a:ext cx="5541573" cy="321255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nyanut yustue" refreshedDate="45281.43216689815" createdVersion="7" refreshedVersion="7" minRefreshableVersion="3" recordCount="812" xr:uid="{7EC3EDDD-0274-4F41-894F-11BF9DFAD088}">
  <cacheSource type="worksheet">
    <worksheetSource ref="A9:L821" sheet="YIELD"/>
  </cacheSource>
  <cacheFields count="12">
    <cacheField name="Farm" numFmtId="0">
      <sharedItems/>
    </cacheField>
    <cacheField name="Pond" numFmtId="0">
      <sharedItems/>
    </cacheField>
    <cacheField name="Forvlookup" numFmtId="0">
      <sharedItems/>
    </cacheField>
    <cacheField name="month closed" numFmtId="0">
      <sharedItems containsSemiMixedTypes="0" containsString="0" containsNumber="1" containsInteger="1" minValue="1" maxValue="11"/>
    </cacheField>
    <cacheField name="FOR SUMIF" numFmtId="0">
      <sharedItems/>
    </cacheField>
    <cacheField name="Pond Type" numFmtId="0">
      <sharedItems/>
    </cacheField>
    <cacheField name="TYPE" numFmtId="0">
      <sharedItems count="4">
        <s v="Outdoor4"/>
        <s v="Greenhouse"/>
        <s v="outdoor2-4"/>
        <s v="Outdoor2"/>
      </sharedItems>
    </cacheField>
    <cacheField name="Area (Rai)" numFmtId="0">
      <sharedItems containsSemiMixedTypes="0" containsString="0" containsNumber="1" minValue="0.5" maxValue="8.5"/>
    </cacheField>
    <cacheField name="Yield (Ton/Rai)" numFmtId="43">
      <sharedItems containsSemiMixedTypes="0" containsString="0" containsNumber="1" minValue="0" maxValue="20.371466666666667"/>
    </cacheField>
    <cacheField name="ปรับฐาน" numFmtId="43">
      <sharedItems containsSemiMixedTypes="0" containsString="0" containsNumber="1" minValue="-4.7257777777777781" maxValue="16.16797"/>
    </cacheField>
    <cacheField name="คะแนนดิบ" numFmtId="165">
      <sharedItems containsSemiMixedTypes="0" containsString="0" containsNumber="1" minValue="-7.8762962962962968" maxValue="26.946616666666667"/>
    </cacheField>
    <cacheField name="คะแนนปัด" numFmtId="0">
      <sharedItems containsSemiMixedTypes="0" containsString="0" containsNumber="1" minValue="0" maxValue="6.2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nyanut yustue" refreshedDate="45282.037186805559" createdVersion="7" refreshedVersion="7" minRefreshableVersion="3" recordCount="329" xr:uid="{DD66E047-E711-9E4A-969C-843D3B0893D3}">
  <cacheSource type="worksheet">
    <worksheetSource name="Table1"/>
  </cacheSource>
  <cacheFields count="10">
    <cacheField name="Farm" numFmtId="0">
      <sharedItems count="14">
        <s v="Bangkachai1"/>
        <s v="Bangsakao"/>
        <s v="Bo Thong"/>
        <s v="Choknavy"/>
        <s v="Kamong"/>
        <s v="Lucky1"/>
        <s v="Lucky2"/>
        <s v="Lucky3"/>
        <s v="Nakornfarm"/>
        <s v="Petchburi5"/>
        <s v="Ranode"/>
        <s v="Roiphet1"/>
        <s v="SR1"/>
        <s v="SR4"/>
      </sharedItems>
    </cacheField>
    <cacheField name="Pond" numFmtId="0">
      <sharedItems/>
    </cacheField>
    <cacheField name="Forvlookup" numFmtId="0">
      <sharedItems/>
    </cacheField>
    <cacheField name="month closed" numFmtId="0">
      <sharedItems containsSemiMixedTypes="0" containsString="0" containsNumber="1" containsInteger="1" minValue="1" maxValue="11"/>
    </cacheField>
    <cacheField name="FOR SUMIF" numFmtId="0">
      <sharedItems/>
    </cacheField>
    <cacheField name="Pond Type" numFmtId="0">
      <sharedItems/>
    </cacheField>
    <cacheField name="TYPE" numFmtId="0">
      <sharedItems/>
    </cacheField>
    <cacheField name="Area (Rai)" numFmtId="0">
      <sharedItems containsSemiMixedTypes="0" containsString="0" containsNumber="1" minValue="0.5" maxValue="5.36"/>
    </cacheField>
    <cacheField name="Yield (Ton/Rai)" numFmtId="165">
      <sharedItems containsSemiMixedTypes="0" containsString="0" containsNumber="1" minValue="0" maxValue="20.16797" count="326">
        <n v="7.2373571428571433"/>
        <n v="9.5902428571428562"/>
        <n v="8.7993380952380953"/>
        <n v="10.179671428571428"/>
        <n v="7.8208947368421056"/>
        <n v="7.1982552631578942"/>
        <n v="9.8239900000000002"/>
        <n v="9.1268999999999991"/>
        <n v="7.2801350000000005"/>
        <n v="7.8630466417910441"/>
        <n v="9.484963157894736"/>
        <n v="9.87425"/>
        <n v="8.6188923884514441"/>
        <n v="9.9564202898550729"/>
        <n v="11.443770000000001"/>
        <n v="12.750080000000001"/>
        <n v="9.7317700000000009"/>
        <n v="11.475621052631579"/>
        <n v="2.4845652173913044"/>
        <n v="2.8117105263157893"/>
        <n v="5.8869627192982454"/>
        <n v="8.202165217391304"/>
        <n v="10.232302949061662"/>
        <n v="13.929559999999999"/>
        <n v="11.235989999999999"/>
        <n v="6.0914399999999995"/>
        <n v="9.6817289473684216"/>
        <n v="8.7178434782608694"/>
        <n v="4.6767024128686323"/>
        <n v="3.3107506561679787"/>
        <n v="4.3461175373134324"/>
        <n v="10.940895000000001"/>
        <n v="9.3746436170212775"/>
        <n v="0"/>
        <n v="4.1880312499999999"/>
        <n v="8.7195691489361717"/>
        <n v="7.3647866666666673"/>
        <n v="7.2612899999999998"/>
        <n v="11.353235"/>
        <n v="14.81024"/>
        <n v="13.48485"/>
        <n v="10.855028571428571"/>
        <n v="4.0879190476190468"/>
        <n v="4.1755095238095237"/>
        <n v="6.1906333333333334"/>
        <n v="3.3544714285714283"/>
        <n v="6.0682380952380948"/>
        <n v="10.880095238095238"/>
        <n v="3.9348047619047617"/>
        <n v="8.9890857142857161"/>
        <n v="3.4778190476190476"/>
        <n v="2.8420285714285711"/>
        <n v="7.2637200000000002"/>
        <n v="6.7498000000000005"/>
        <n v="5.7474799999999995"/>
        <n v="5.4089999999999998"/>
        <n v="6.3956200000000001"/>
        <n v="6.4164200000000005"/>
        <n v="8.0628399999999996"/>
        <n v="6.2941400000000005"/>
        <n v="10.158719999999999"/>
        <n v="8.7763200000000001"/>
        <n v="4.1474799999999998"/>
        <n v="5.2615600000000002"/>
        <n v="5.56874"/>
        <n v="5.9432799999999997"/>
        <n v="8.3280666666666665"/>
        <n v="7.4206533333333331"/>
        <n v="2.9789066666666666"/>
        <n v="3.1145933333333335"/>
        <n v="2.6868133333333333"/>
        <n v="11.185146666666668"/>
        <n v="15.443773333333333"/>
        <n v="13.19139189189189"/>
        <n v="2.712979591836735"/>
        <n v="10.237319999999999"/>
        <n v="10.570557142857144"/>
        <n v="10.3728"/>
        <n v="2.3604965986394557"/>
        <n v="11.884740000000001"/>
        <n v="14.849254999999999"/>
        <n v="12.757885714285715"/>
        <n v="13.813810810810811"/>
        <n v="13.1435"/>
        <n v="16.101566666666667"/>
        <n v="12.104693333333335"/>
        <n v="14.321266666666668"/>
        <n v="7.8171933333333348"/>
        <n v="12.897513333333334"/>
        <n v="12.276633333333335"/>
        <n v="10.219306666666666"/>
        <n v="20.16797"/>
        <n v="12.677373333333335"/>
        <n v="14.17966"/>
        <n v="6.5484133333333334"/>
        <n v="14.975200000000001"/>
        <n v="15.27791"/>
        <n v="12.428493333333334"/>
        <n v="11.570819999999999"/>
        <n v="13.364973333333332"/>
        <n v="13.07582"/>
        <n v="11.011277777777778"/>
        <n v="13.968638888888886"/>
        <n v="6.1444222222222216"/>
        <n v="4.361188888888889"/>
        <n v="7.7309734513274346"/>
        <n v="3.9815277777777776"/>
        <n v="5.3458888888888891"/>
        <n v="6.3774247787610623"/>
        <n v="8.2109734513274333"/>
        <n v="5.3292389380530976"/>
        <n v="4.4443055555555553"/>
        <n v="3.9314166666666663"/>
        <n v="4.5623472222222219"/>
        <n v="6.6824955752212398"/>
        <n v="5.7100619469026554"/>
        <n v="5.4604722222222222"/>
        <n v="6.4483628318584074"/>
        <n v="6.3925752212389382"/>
        <n v="5.6074867256637173"/>
        <n v="4.4227638888888894"/>
        <n v="6.725300884955753"/>
        <n v="7.2075752212389386"/>
        <n v="4.7051388888888885"/>
        <n v="5.9715663716814165"/>
        <n v="4.948722222222222"/>
        <n v="7.1049823008849557"/>
        <n v="6.8455044247787624"/>
        <n v="5.7323611111111115"/>
        <n v="5.3092916666666667"/>
        <n v="7.9090277777777773"/>
        <n v="5.1117522123893808"/>
        <n v="4.8262831858407083"/>
        <n v="4.2550277777777774"/>
        <n v="4.4229722222222225"/>
        <n v="12.1252389380531"/>
        <n v="9.2553185840707979"/>
        <n v="6.9261527777777783"/>
        <n v="7.999973451327433"/>
        <n v="7.2012499999999999"/>
        <n v="7.6966814159292047"/>
        <n v="6.082416666666667"/>
        <n v="4.6338611111111119"/>
        <n v="7.3060265486725671"/>
        <n v="4.9276111111111112"/>
        <n v="6.3073982300884959"/>
        <n v="4.2101111111111118"/>
        <n v="5.1011415929203547"/>
        <n v="4.5055486725663725"/>
        <n v="4.1594722222222229"/>
        <n v="5.5695044247787617"/>
        <n v="4.4508888888888887"/>
        <n v="4.8289444444444447"/>
        <n v="4.7650619469026552"/>
        <n v="4.473958333333333"/>
        <n v="5.1540707964601777"/>
        <n v="3.8858194444444445"/>
        <n v="4.6014424778761063"/>
        <n v="6.3674247787610616"/>
        <n v="6.4538888888888888"/>
        <n v="10.934867256637169"/>
        <n v="11.323309734513275"/>
        <n v="8.1516527777777785"/>
        <n v="4.8285"/>
        <n v="5.1203893805309741"/>
        <n v="4.8971388888888887"/>
        <n v="6.6730416666666672"/>
        <n v="5.8085833333333348"/>
        <n v="6.3292916666666672"/>
        <n v="6.1085486725663722"/>
        <n v="5.5950442477876114"/>
        <n v="4.9309722222222225"/>
        <n v="7.1540973451327439"/>
        <n v="6.825277777777778"/>
        <n v="6.7139292035398235"/>
        <n v="6.1874778761061959"/>
        <n v="3.9459305555555559"/>
        <n v="4.8915221238938056"/>
        <n v="4.667583333333333"/>
        <n v="6.4015972222222217"/>
        <n v="6.9734247787610624"/>
        <n v="9.3965486725663734"/>
        <n v="8.3763893805309753"/>
        <n v="10.446716814159293"/>
        <n v="5.7737083333333334"/>
        <n v="5.8821415929203544"/>
        <n v="3.9879026548672574"/>
        <n v="3.6308141592920351"/>
        <n v="2.771527777777778"/>
        <n v="2.9153472222222225"/>
        <n v="4.0597610619469036"/>
        <n v="3.3106944444444442"/>
        <n v="2.6742222222222223"/>
        <n v="3.4487610619469029"/>
        <n v="3.0093982300884958"/>
        <n v="2.210256637168142"/>
        <n v="4.8766805555555557"/>
        <n v="5.0922083333333337"/>
        <n v="6.6914601769911508"/>
        <n v="5.6413008849557524"/>
        <n v="3.5375277777777776"/>
        <n v="5.2008849557522128"/>
        <n v="3.8736527777777785"/>
        <n v="2.4771415929203542"/>
        <n v="5.5523472222222221"/>
        <n v="6.1241805555555562"/>
        <n v="7.8509203539823025"/>
        <n v="4.8982083333333337"/>
        <n v="6.0895575221238945"/>
        <n v="5.469611111111111"/>
        <n v="5.4823362831858411"/>
        <n v="5.0652920353982305"/>
        <n v="5.8711681415929213"/>
        <n v="6.9510530973451328"/>
        <n v="9.3016527777777789"/>
        <n v="6.5565277777777782"/>
        <n v="9.909527777777777"/>
        <n v="9.9567787610619476"/>
        <n v="6.9169734513274346"/>
        <n v="5.8466944444444451"/>
        <n v="6.5184583333333341"/>
        <n v="5.431055555555556"/>
        <n v="6.2335840707964607"/>
        <n v="6.5020138888888885"/>
        <n v="5.8968053097345141"/>
        <n v="4.7674583333333338"/>
        <n v="3.915430555555556"/>
        <n v="3.5612499999999998"/>
        <n v="5.8067964601769919"/>
        <n v="5.658283185840709"/>
        <n v="5.9523333333333337"/>
        <n v="6.6756388888888898"/>
        <n v="7.0125663716814168"/>
        <n v="6.2035840707964613"/>
        <n v="6.7530442477876109"/>
        <n v="7.5503362831858407"/>
        <n v="6.6656111111111116"/>
        <n v="7.0005138888888894"/>
        <n v="8.9557256637168141"/>
        <n v="6.2286527777777785"/>
        <n v="6.1293055555555558"/>
        <n v="7.8475972222222232"/>
        <n v="5.2594424778761066"/>
        <n v="4.7564305555555562"/>
        <n v="4.5602777777777774"/>
        <n v="7.0180530973451329"/>
        <n v="7.8953185840707967"/>
        <n v="5.1312035398230096"/>
        <n v="4.290486111111111"/>
        <n v="4.379402777777778"/>
        <n v="5.8269203539823016"/>
        <n v="5.5015929203539828"/>
        <n v="7.126424778761062"/>
        <n v="3.7113750000000003"/>
        <n v="3.1706805555555557"/>
        <n v="3.2967345132743366"/>
        <n v="3.1751415929203541"/>
        <n v="6.8285044247787621"/>
        <n v="5.2871858407079655"/>
        <n v="6.0484070796460179"/>
        <n v="4.8111805555555565"/>
        <n v="4.6213055555555558"/>
        <n v="6.9745833333333334"/>
        <n v="7.919734513274336"/>
        <n v="8.834398230088496"/>
        <n v="5.1777500000000005"/>
        <n v="5.7765555555555554"/>
        <n v="10.483707964601772"/>
        <n v="9.9499380530973465"/>
        <n v="6.4425833333333333"/>
        <n v="6.0539722222222228"/>
        <n v="8.4893097345132755"/>
        <n v="6.4069722222222234"/>
        <n v="8.0369469026548668"/>
        <n v="9.6466548672566379"/>
        <n v="6.6172222222222219"/>
        <n v="7.109430555555555"/>
        <n v="6.1501250000000001"/>
        <n v="7.4836725663716823"/>
        <n v="5.6074722222222224"/>
        <n v="9.6553628318584082"/>
        <n v="8.5474070796460175"/>
        <n v="6.1246111111111112"/>
        <n v="10.665699115044248"/>
        <n v="6.8775694444444451"/>
        <n v="7.0548141592920359"/>
        <n v="9.1990138888888886"/>
        <n v="6.9358055555555556"/>
        <n v="7.3515663716814172"/>
        <n v="6.7899305555555554"/>
        <n v="6.9570833333333342"/>
        <n v="7.7662212389380532"/>
        <n v="6.2116111111111119"/>
        <n v="7.661522123893806"/>
        <n v="9.5306194690265507"/>
        <n v="6.3897610619469036"/>
        <n v="6.6060138888888895"/>
        <n v="6.4782777777777776"/>
        <n v="7.232893805309736"/>
        <n v="8.2240442477876119"/>
        <n v="7.3095309734513281"/>
        <n v="6.7585555555555556"/>
        <n v="6.3479722222222232"/>
        <n v="2.3845694444444447"/>
        <n v="3.0837610619469031"/>
        <n v="2.1116111111111109"/>
        <n v="2.883690265486726"/>
        <n v="4.0716549999999998"/>
        <n v="3.346085"/>
        <n v="3.6077249999999998"/>
        <n v="3.9628049999999999"/>
        <n v="6.4621499999999994"/>
        <n v="5.4654099999999994"/>
        <n v="6.47058"/>
        <n v="8.7903700000000011"/>
        <n v="10.32339"/>
        <n v="9.370569999999999"/>
        <n v="1.80392"/>
        <n v="15.89927027027027"/>
        <n v="3.2405949999999999"/>
        <n v="11.046643243243242"/>
        <n v="7.7850000000000001"/>
        <n v="11.41343"/>
        <n v="11.69525"/>
        <n v="3.7672699999999999"/>
        <n v="5.0203621621621624"/>
      </sharedItems>
    </cacheField>
    <cacheField name="คะแนนดิบ" numFmtId="165">
      <sharedItems containsSemiMixedTypes="0" containsString="0" containsNumber="1" minValue="-3.6601333333333339" maxValue="26.94661666666666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nyanut yustue" refreshedDate="45282.042471759261" createdVersion="7" refreshedVersion="7" minRefreshableVersion="3" recordCount="129" xr:uid="{DA7B4751-58E5-1243-8A8A-94B25E9634B8}">
  <cacheSource type="worksheet">
    <worksheetSource name="Table2"/>
  </cacheSource>
  <cacheFields count="12">
    <cacheField name="Farm" numFmtId="0">
      <sharedItems count="18">
        <s v="Bangsakao"/>
        <s v="PB5"/>
        <s v="Lamae"/>
        <s v="Choknavy"/>
        <s v="Tamai2"/>
        <s v="Talaytong"/>
        <s v="Roiphet3"/>
        <s v="Roiphet2"/>
        <s v="Maeklong1"/>
        <s v="Lamlaung"/>
        <s v="Lucky2"/>
        <s v="Rayong3"/>
        <s v="Kamong"/>
        <s v="SR4"/>
        <s v="Ranode"/>
        <s v="Chantaburi3"/>
        <s v="Bo Thong"/>
        <s v="CS1"/>
      </sharedItems>
    </cacheField>
    <cacheField name="Pond" numFmtId="0">
      <sharedItems/>
    </cacheField>
    <cacheField name="Forvlookup" numFmtId="0">
      <sharedItems/>
    </cacheField>
    <cacheField name="month closed" numFmtId="0">
      <sharedItems containsSemiMixedTypes="0" containsString="0" containsNumber="1" containsInteger="1" minValue="1" maxValue="11"/>
    </cacheField>
    <cacheField name="FOR SUMIF" numFmtId="0">
      <sharedItems/>
    </cacheField>
    <cacheField name="Pond Type" numFmtId="0">
      <sharedItems/>
    </cacheField>
    <cacheField name="TYPE" numFmtId="0">
      <sharedItems/>
    </cacheField>
    <cacheField name="Area (Rai)" numFmtId="0">
      <sharedItems containsSemiMixedTypes="0" containsString="0" containsNumber="1" minValue="4.2" maxValue="8.5"/>
    </cacheField>
    <cacheField name="Yield (Ton/Rai)" numFmtId="0">
      <sharedItems containsSemiMixedTypes="0" containsString="0" containsNumber="1" minValue="0" maxValue="16.080868799999998" count="126">
        <n v="2.3868348837209301"/>
        <n v="3.8918601398601402"/>
        <n v="5.5114425000000002"/>
        <n v="5.5434999999999999"/>
        <n v="0"/>
        <n v="6.2722477064220188"/>
        <n v="2.8025533333333335"/>
        <n v="3.9914199999999997"/>
        <n v="11.133864503816792"/>
        <n v="9.5009759999999996"/>
        <n v="5.2693640000000004"/>
        <n v="7.4003527272727272"/>
        <n v="4.6518022727272719"/>
        <n v="4.9031693877551019"/>
        <n v="4.2543433962264157"/>
        <n v="1.960904"/>
        <n v="7.6342060000000007"/>
        <n v="11.605546"/>
        <n v="12.5245"/>
        <n v="4.9445800000000002"/>
        <n v="5.0910517647058828"/>
        <n v="8.0455199999999998"/>
        <n v="9.0466899766899775"/>
        <n v="2.9688155555555555"/>
        <n v="15.6816336"/>
        <n v="4.1617376000000004"/>
        <n v="4.8919600000000001"/>
        <n v="5.3328144000000002"/>
        <n v="6.6622943722943715"/>
        <n v="8.9294479999999989"/>
        <n v="5.3971247058823533"/>
        <n v="6.4384479999999993"/>
        <n v="6.7963700000000005"/>
        <n v="11.884479430379747"/>
        <n v="6.7299272727272728"/>
        <n v="5.693732954545454"/>
        <n v="10.681272727272727"/>
        <n v="2.368266666666667"/>
        <n v="2.3042844444444444"/>
        <n v="3.9834777777777779"/>
        <n v="1.6248177777777777"/>
        <n v="1.8158444444444446"/>
        <n v="2.3336311111111114"/>
        <n v="1.5769111111111114"/>
        <n v="2.3236879999999998"/>
        <n v="5.0387325174825177"/>
        <n v="2.5505789473684213"/>
        <n v="11.409408000000001"/>
        <n v="2.8335987500000002"/>
        <n v="4.2321749999999998"/>
        <n v="5.5964709090909093"/>
        <n v="6.3440218181818189"/>
        <n v="2.3369976190476187"/>
        <n v="8.5513048016701454"/>
        <n v="6.8195717017208404"/>
        <n v="4.3060575221238944"/>
        <n v="2.0382758620689656"/>
        <n v="4.4222167832167836"/>
        <n v="2.4887190265486727"/>
        <n v="1.3349322033898305"/>
        <n v="4.6213566037735845"/>
        <n v="6.6267052631578949"/>
        <n v="5.1587627450980396"/>
        <n v="4.9543151658767774"/>
        <n v="5.6472036697247701"/>
        <n v="3.2719194312796209"/>
        <n v="6.0665061224489794"/>
        <n v="2.7803200000000001"/>
        <n v="3.1337177777777776"/>
        <n v="5.5537897959183669"/>
        <n v="0.99416499999999997"/>
        <n v="2.8354752941176469"/>
        <n v="2.7157788235294116"/>
        <n v="3.1428499999999997"/>
        <n v="5.6923867924528304"/>
        <n v="3.6580288461538464"/>
        <n v="3.279355555555556"/>
        <n v="4.6165288888888893"/>
        <n v="5.3942866666666669"/>
        <n v="16.080868799999998"/>
        <n v="9.8537977099236649"/>
        <n v="4.4905024390243913"/>
        <n v="3.7136262499999999"/>
        <n v="1.2076095238095237"/>
        <n v="6.8879357142857138"/>
        <n v="3.6191095571095566"/>
        <n v="4.9599622222222228"/>
        <n v="3.8017955555555556"/>
        <n v="3.502971111111111"/>
        <n v="4.1126022222222218"/>
        <n v="5.7259311111111106"/>
        <n v="7.5922377777777781"/>
        <n v="2.6411503496503497"/>
        <n v="2.6454485125858125"/>
        <n v="4.5831955555555561"/>
        <n v="6.1955422222222216"/>
        <n v="3.7954377777777779"/>
        <n v="4.7938425531914888"/>
        <n v="7.6210880000000012"/>
        <n v="10.129568000000001"/>
        <n v="3.1966491525423724"/>
        <n v="6.3795960000000003"/>
        <n v="5.2900640000000001"/>
        <n v="7.0380820000000002"/>
        <n v="12.451768987341771"/>
        <n v="3.7339236363636363"/>
        <n v="4.2900599999999995"/>
        <n v="11.752227557411272"/>
        <n v="7.7127746212121204"/>
        <n v="3.5227244444444441"/>
        <n v="5.2043172413793108"/>
        <n v="6.6639204545454538"/>
        <n v="6.1515777777777778"/>
        <n v="6.9997133333333332"/>
        <n v="3.6834612244897951"/>
        <n v="4.2985244444444444"/>
        <n v="2.8733133333333334"/>
        <n v="8.7230144000000003"/>
        <n v="1.5869955752212392"/>
        <n v="3.1593398268398265"/>
        <n v="2.5625384615384617"/>
        <n v="7.4231547169811325"/>
        <n v="2.7170720000000004"/>
        <n v="5.7046016666666661"/>
        <n v="5.7263927272727271"/>
        <n v="1.1890837209302327"/>
      </sharedItems>
    </cacheField>
    <cacheField name="ปรับฐาน" numFmtId="0">
      <sharedItems containsSemiMixedTypes="0" containsString="0" containsNumber="1" minValue="-1.005835" maxValue="14.080868799999998"/>
    </cacheField>
    <cacheField name="คะแนนดิบ" numFmtId="0">
      <sharedItems containsSemiMixedTypes="0" containsString="0" containsNumber="1" minValue="-1.6763916666666667" maxValue="23.468114666666665"/>
    </cacheField>
    <cacheField name="คะแนนปัด" numFmtId="0">
      <sharedItems containsSemiMixedTypes="0" containsString="0" containsNumber="1" minValue="0" maxValue="6.2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2">
  <r>
    <s v="Bangsakao"/>
    <s v="B1-003-0009"/>
    <s v="BangsakaoB1-003-0009"/>
    <n v="1"/>
    <s v="Bangsakao1"/>
    <s v="Outdoor"/>
    <x v="0"/>
    <n v="4.3"/>
    <n v="2.3868348837209301"/>
    <n v="0.38683488372093011"/>
    <n v="0.64472480620155026"/>
    <n v="0.64472480620155026"/>
  </r>
  <r>
    <s v="Bangsakao"/>
    <s v="CG-003-0025"/>
    <s v="BangsakaoCG-003-0025"/>
    <n v="1"/>
    <s v="Bangsakao1"/>
    <s v="Greenhouse"/>
    <x v="1"/>
    <n v="4.5599999999999996"/>
    <n v="7.8208947368421056"/>
    <n v="3.8208947368421056"/>
    <n v="6.3681578947368429"/>
    <n v="6.25"/>
  </r>
  <r>
    <s v="Bangsakao"/>
    <s v="CG-009-0024"/>
    <s v="BangsakaoCG-009-0024"/>
    <n v="1"/>
    <s v="Bangsakao1"/>
    <s v="Greenhouse"/>
    <x v="1"/>
    <n v="3.8"/>
    <n v="7.1982552631578942"/>
    <n v="3.1982552631578942"/>
    <n v="5.3304254385964907"/>
    <n v="5.3304254385964907"/>
  </r>
  <r>
    <s v="Bangsakao"/>
    <s v="DG-001-0026"/>
    <s v="BangsakaoDG-001-0026"/>
    <n v="1"/>
    <s v="Bangsakao1"/>
    <s v="Greenhouse"/>
    <x v="1"/>
    <n v="2"/>
    <n v="9.8239900000000002"/>
    <n v="5.8239900000000002"/>
    <n v="9.7066500000000016"/>
    <n v="6.25"/>
  </r>
  <r>
    <s v="Bangsakao"/>
    <s v="DG-005-0024"/>
    <s v="BangsakaoDG-005-0024"/>
    <n v="1"/>
    <s v="Bangsakao1"/>
    <s v="Greenhouse"/>
    <x v="1"/>
    <n v="2"/>
    <n v="9.1268999999999991"/>
    <n v="5.1268999999999991"/>
    <n v="8.5448333333333331"/>
    <n v="6.25"/>
  </r>
  <r>
    <s v="Bansang"/>
    <s v="A1-005-0014"/>
    <s v="BansangA1-005-0014"/>
    <n v="1"/>
    <s v="Bansang1"/>
    <s v="Outdoor"/>
    <x v="2"/>
    <n v="3.38"/>
    <n v="5.0772189349112429"/>
    <n v="2.0772189349112429"/>
    <n v="3.4620315581854051"/>
    <n v="3.4620315581854051"/>
  </r>
  <r>
    <s v="Bansang"/>
    <s v="A1-006-0013"/>
    <s v="BansangA1-006-0013"/>
    <n v="1"/>
    <s v="Bansang1"/>
    <s v="Outdoor"/>
    <x v="2"/>
    <n v="3.38"/>
    <n v="4.6969674556213024"/>
    <n v="1.6969674556213024"/>
    <n v="2.8282790927021706"/>
    <n v="2.8282790927021706"/>
  </r>
  <r>
    <s v="Choknavy"/>
    <s v="A1-003-0035"/>
    <s v="ChoknavyA1-003-0035"/>
    <n v="1"/>
    <s v="Choknavy1"/>
    <s v="Outdoor"/>
    <x v="0"/>
    <n v="5.5"/>
    <n v="0"/>
    <n v="0"/>
    <n v="0"/>
    <n v="0"/>
  </r>
  <r>
    <s v="Kanchanadit"/>
    <s v="D1-051-0005"/>
    <s v="KanchanaditD1-051-0005"/>
    <n v="1"/>
    <s v="Kanchanadit1"/>
    <s v="Outdoor"/>
    <x v="2"/>
    <n v="2"/>
    <n v="3.1565400000000001"/>
    <n v="-2.8434599999999999"/>
    <n v="-4.7390999999999996"/>
    <n v="0"/>
  </r>
  <r>
    <s v="Kanchanadit"/>
    <s v="D1-052-0011"/>
    <s v="KanchanaditD1-052-0011"/>
    <n v="1"/>
    <s v="Kanchanadit1"/>
    <s v="Outdoor"/>
    <x v="2"/>
    <n v="2"/>
    <n v="7.1872799999999994"/>
    <n v="1.1872799999999994"/>
    <n v="1.9787999999999992"/>
    <n v="1.9787999999999992"/>
  </r>
  <r>
    <s v="Kanchanadit"/>
    <s v="D1-048-0011"/>
    <s v="KanchanaditD1-048-0011"/>
    <n v="1"/>
    <s v="Kanchanadit1"/>
    <s v="Outdoor"/>
    <x v="2"/>
    <n v="2"/>
    <n v="4.241625"/>
    <n v="-1.758375"/>
    <n v="-2.930625"/>
    <n v="0"/>
  </r>
  <r>
    <s v="Kanchanadit"/>
    <s v="D1-053-0005"/>
    <s v="KanchanaditD1-053-0005"/>
    <n v="1"/>
    <s v="Kanchanadit1"/>
    <s v="Outdoor"/>
    <x v="2"/>
    <n v="2"/>
    <n v="8.0838599999999996"/>
    <n v="2.0838599999999996"/>
    <n v="3.4730999999999996"/>
    <n v="3.4730999999999996"/>
  </r>
  <r>
    <s v="Kanchanadit"/>
    <s v="D1-050-0012"/>
    <s v="KanchanaditD1-050-0012"/>
    <n v="1"/>
    <s v="Kanchanadit1"/>
    <s v="Outdoor"/>
    <x v="2"/>
    <n v="2"/>
    <n v="6.8427949999999997"/>
    <n v="0.84279499999999974"/>
    <n v="1.4046583333333329"/>
    <n v="1.4046583333333329"/>
  </r>
  <r>
    <s v="Kanchanadit"/>
    <s v="C1-043-0013"/>
    <s v="KanchanaditC1-043-0013"/>
    <n v="1"/>
    <s v="Kanchanadit1"/>
    <s v="Outdoor"/>
    <x v="3"/>
    <n v="1.53"/>
    <n v="3.9335686274509798"/>
    <n v="-2.0664313725490202"/>
    <n v="-3.4440522875817003"/>
    <n v="0"/>
  </r>
  <r>
    <s v="Laemsing"/>
    <s v="B1-028-0013"/>
    <s v="LaemsingB1-028-0013"/>
    <n v="1"/>
    <s v="Laemsing1"/>
    <s v="Outdoor"/>
    <x v="2"/>
    <n v="2.1"/>
    <n v="5.3276571428571424"/>
    <n v="2.3276571428571424"/>
    <n v="3.879428571428571"/>
    <n v="3.879428571428571"/>
  </r>
  <r>
    <s v="Laemsing"/>
    <s v="A1-018-0025"/>
    <s v="LaemsingA1-018-0025"/>
    <n v="1"/>
    <s v="Laemsing1"/>
    <s v="Outdoor"/>
    <x v="2"/>
    <n v="2"/>
    <n v="0"/>
    <n v="0"/>
    <n v="0"/>
    <n v="0"/>
  </r>
  <r>
    <s v="Lamlaung"/>
    <s v="B1-110-0005"/>
    <s v="LamlaungB1-110-0005"/>
    <n v="1"/>
    <s v="Lamlaung1"/>
    <s v="Outdoor"/>
    <x v="0"/>
    <n v="5"/>
    <n v="1.960904"/>
    <n v="-3.909600000000002E-2"/>
    <n v="-6.5160000000000037E-2"/>
    <n v="0"/>
  </r>
  <r>
    <s v="Lucky1"/>
    <s v="B1-023-0013"/>
    <s v="Lucky1B1-023-0013"/>
    <n v="1"/>
    <s v="Lucky11"/>
    <s v="Outdoor"/>
    <x v="2"/>
    <n v="2.1"/>
    <n v="3.6430809523809522"/>
    <n v="0.6430809523809522"/>
    <n v="1.0718015873015871"/>
    <n v="1.0718015873015871"/>
  </r>
  <r>
    <s v="Lucky1"/>
    <s v="B1-024-0011"/>
    <s v="Lucky1B1-024-0011"/>
    <n v="1"/>
    <s v="Lucky11"/>
    <s v="Outdoor"/>
    <x v="2"/>
    <n v="2.1"/>
    <n v="5.1611761904761897"/>
    <n v="2.1611761904761897"/>
    <n v="3.6019603174603163"/>
    <n v="3.6019603174603163"/>
  </r>
  <r>
    <s v="Lucky1"/>
    <s v="B1-017-0012"/>
    <s v="Lucky1B1-017-0012"/>
    <n v="1"/>
    <s v="Lucky11"/>
    <s v="Outdoor"/>
    <x v="2"/>
    <n v="2.1"/>
    <n v="5.0198476190476189"/>
    <n v="2.0198476190476189"/>
    <n v="3.3664126984126983"/>
    <n v="3.3664126984126983"/>
  </r>
  <r>
    <s v="Maeklong1"/>
    <s v="A1-005-0042"/>
    <s v="Maeklong1A1-005-0042"/>
    <n v="1"/>
    <s v="Maeklong11"/>
    <s v="Outdoor"/>
    <x v="2"/>
    <n v="3.42"/>
    <n v="4.3738713450292392"/>
    <n v="1.3738713450292392"/>
    <n v="2.2897855750487324"/>
    <n v="2.2897855750487324"/>
  </r>
  <r>
    <s v="Maeklong1"/>
    <s v="A1-029-0012"/>
    <s v="Maeklong1A1-029-0012"/>
    <n v="1"/>
    <s v="Maeklong11"/>
    <s v="Outdoor"/>
    <x v="3"/>
    <n v="1.3"/>
    <n v="13.883023076923077"/>
    <n v="7.8830230769230774"/>
    <n v="13.138371794871796"/>
    <n v="6.25"/>
  </r>
  <r>
    <s v="Nakornfarm"/>
    <s v="A1-098-0005"/>
    <s v="NakornfarmA1-098-0005"/>
    <n v="1"/>
    <s v="Nakornfarm1"/>
    <s v="Outdoor"/>
    <x v="3"/>
    <n v="1.6"/>
    <n v="4.7338874999999998"/>
    <n v="-1.2661125000000002"/>
    <n v="-2.1101875000000003"/>
    <n v="0"/>
  </r>
  <r>
    <s v="Nakornfarm"/>
    <s v="A1-099-0007"/>
    <s v="NakornfarmA1-099-0007"/>
    <n v="1"/>
    <s v="Nakornfarm1"/>
    <s v="Outdoor"/>
    <x v="3"/>
    <n v="1.5"/>
    <n v="5.8557066666666664"/>
    <n v="-0.14429333333333361"/>
    <n v="-0.24048888888888936"/>
    <n v="0"/>
  </r>
  <r>
    <s v="Nakornfarm"/>
    <s v="BG-113-0009"/>
    <s v="NakornfarmBG-113-0009"/>
    <n v="1"/>
    <s v="Nakornfarm1"/>
    <s v="Greenhouse"/>
    <x v="1"/>
    <n v="1.44"/>
    <n v="0"/>
    <n v="0"/>
    <n v="0"/>
    <n v="0"/>
  </r>
  <r>
    <s v="Petchburi5"/>
    <s v="G1-G01-0002"/>
    <s v="Petchburi5G1-G01-0002"/>
    <n v="1"/>
    <s v="Petchburi51"/>
    <s v="Greenhouse"/>
    <x v="1"/>
    <n v="1"/>
    <n v="13.1435"/>
    <n v="9.1434999999999995"/>
    <n v="15.239166666666666"/>
    <n v="6.25"/>
  </r>
  <r>
    <s v="Petchburi5"/>
    <s v="AG-006-0010"/>
    <s v="Petchburi5AG-006-0010"/>
    <n v="1"/>
    <s v="Petchburi51"/>
    <s v="Greenhouse"/>
    <x v="1"/>
    <n v="1.5"/>
    <n v="16.101566666666667"/>
    <n v="12.101566666666667"/>
    <n v="20.169277777777779"/>
    <n v="6.25"/>
  </r>
  <r>
    <s v="Petchburi5"/>
    <s v="AG-003-0011"/>
    <s v="Petchburi5AG-003-0011"/>
    <n v="1"/>
    <s v="Petchburi51"/>
    <s v="Greenhouse"/>
    <x v="1"/>
    <n v="1.5"/>
    <n v="12.104693333333335"/>
    <n v="8.1046933333333353"/>
    <n v="13.507822222222226"/>
    <n v="6.25"/>
  </r>
  <r>
    <s v="Petchburi5"/>
    <s v="B1-127-0007"/>
    <s v="Petchburi5B1-127-0007"/>
    <n v="1"/>
    <s v="Petchburi51"/>
    <s v="Outdoor"/>
    <x v="3"/>
    <n v="1.5"/>
    <n v="8.6354400000000009"/>
    <n v="2.6354400000000009"/>
    <n v="4.3924000000000021"/>
    <n v="4.3924000000000021"/>
  </r>
  <r>
    <s v="Petchburi5"/>
    <s v="A1-034-0007"/>
    <s v="Petchburi5A1-034-0007"/>
    <n v="1"/>
    <s v="Petchburi51"/>
    <s v="Outdoor"/>
    <x v="3"/>
    <n v="1.5"/>
    <n v="0"/>
    <n v="0"/>
    <n v="0"/>
    <n v="0"/>
  </r>
  <r>
    <s v="Roiphet1"/>
    <s v="C4-G07-0056"/>
    <s v="Roiphet1C4-G07-0056"/>
    <n v="1"/>
    <s v="Roiphet11"/>
    <s v="Greenhouse"/>
    <x v="1"/>
    <n v="1.1299999999999999"/>
    <n v="6.725300884955753"/>
    <n v="2.725300884955753"/>
    <n v="4.5421681415929216"/>
    <n v="4.5421681415929216"/>
  </r>
  <r>
    <s v="Roiphet1"/>
    <s v="C4-G08-0060"/>
    <s v="Roiphet1C4-G08-0060"/>
    <n v="1"/>
    <s v="Roiphet11"/>
    <s v="Greenhouse"/>
    <x v="1"/>
    <n v="1.1299999999999999"/>
    <n v="7.2075752212389386"/>
    <n v="3.2075752212389386"/>
    <n v="5.3459587020648982"/>
    <n v="5.3459587020648982"/>
  </r>
  <r>
    <s v="Roiphet1"/>
    <s v="B6-I11-0082"/>
    <s v="Roiphet1B6-I11-0082"/>
    <n v="1"/>
    <s v="Roiphet11"/>
    <s v="Greenhouse"/>
    <x v="1"/>
    <n v="0.72"/>
    <n v="4.7051388888888885"/>
    <n v="0.70513888888888854"/>
    <n v="1.175231481481481"/>
    <n v="1.175231481481481"/>
  </r>
  <r>
    <s v="Roiphet1"/>
    <s v="B6-G11-0081"/>
    <s v="Roiphet1B6-G11-0081"/>
    <n v="1"/>
    <s v="Roiphet11"/>
    <s v="Greenhouse"/>
    <x v="1"/>
    <n v="1.1299999999999999"/>
    <n v="5.9715663716814165"/>
    <n v="1.9715663716814165"/>
    <n v="3.2859439528023611"/>
    <n v="3.2859439528023611"/>
  </r>
  <r>
    <s v="Roiphet1"/>
    <s v="B6-I12-0085"/>
    <s v="Roiphet1B6-I12-0085"/>
    <n v="1"/>
    <s v="Roiphet11"/>
    <s v="Greenhouse"/>
    <x v="1"/>
    <n v="0.72"/>
    <n v="4.948722222222222"/>
    <n v="0.94872222222222202"/>
    <n v="1.5812037037037034"/>
    <n v="1.5812037037037034"/>
  </r>
  <r>
    <s v="Roiphet1"/>
    <s v="B6-G12-0086"/>
    <s v="Roiphet1B6-G12-0086"/>
    <n v="1"/>
    <s v="Roiphet11"/>
    <s v="Greenhouse"/>
    <x v="1"/>
    <n v="1.1299999999999999"/>
    <n v="7.1049823008849557"/>
    <n v="3.1049823008849557"/>
    <n v="5.1749705014749265"/>
    <n v="5.1749705014749265"/>
  </r>
  <r>
    <s v="Roiphet1"/>
    <s v="D4-G08-0058"/>
    <s v="Roiphet1D4-G08-0058"/>
    <n v="1"/>
    <s v="Roiphet11"/>
    <s v="Greenhouse"/>
    <x v="1"/>
    <n v="1.1299999999999999"/>
    <n v="6.8455044247787624"/>
    <n v="2.8455044247787624"/>
    <n v="4.7425073746312707"/>
    <n v="4.7425073746312707"/>
  </r>
  <r>
    <s v="Roiphet1"/>
    <s v="D1-I02-0088"/>
    <s v="Roiphet1D1-I02-0088"/>
    <n v="1"/>
    <s v="Roiphet11"/>
    <s v="Greenhouse"/>
    <x v="1"/>
    <n v="0.72"/>
    <n v="5.7323611111111115"/>
    <n v="1.7323611111111115"/>
    <n v="2.8872685185185194"/>
    <n v="2.8872685185185194"/>
  </r>
  <r>
    <s v="Roiphet1"/>
    <s v="D4-I07-0075"/>
    <s v="Roiphet1D4-I07-0075"/>
    <n v="1"/>
    <s v="Roiphet11"/>
    <s v="Greenhouse"/>
    <x v="1"/>
    <n v="0.72"/>
    <n v="5.3092916666666667"/>
    <n v="1.3092916666666667"/>
    <n v="2.1821527777777781"/>
    <n v="2.1821527777777781"/>
  </r>
  <r>
    <s v="Roiphet1"/>
    <s v="D4-I08-0070"/>
    <s v="Roiphet1D4-I08-0070"/>
    <n v="1"/>
    <s v="Roiphet11"/>
    <s v="Greenhouse"/>
    <x v="1"/>
    <n v="0.72"/>
    <n v="7.9090277777777773"/>
    <n v="3.9090277777777773"/>
    <n v="6.5150462962962958"/>
    <n v="6.25"/>
  </r>
  <r>
    <s v="Roiphet1"/>
    <s v="A3-G05-0075"/>
    <s v="Roiphet1A3-G05-0075"/>
    <n v="1"/>
    <s v="Roiphet11"/>
    <s v="Greenhouse"/>
    <x v="1"/>
    <n v="1.1299999999999999"/>
    <n v="5.1117522123893808"/>
    <n v="1.1117522123893808"/>
    <n v="1.8529203539823014"/>
    <n v="1.8529203539823014"/>
  </r>
  <r>
    <s v="Roiphet1"/>
    <s v="A1-G01-0062"/>
    <s v="Roiphet1A1-G01-0062"/>
    <n v="1"/>
    <s v="Roiphet11"/>
    <s v="Greenhouse"/>
    <x v="1"/>
    <n v="1.1299999999999999"/>
    <n v="4.8262831858407083"/>
    <n v="0.82628318584070826"/>
    <n v="1.3771386430678472"/>
    <n v="1.3771386430678472"/>
  </r>
  <r>
    <s v="Roiphet1"/>
    <s v="A3-I05-0083"/>
    <s v="Roiphet1A3-I05-0083"/>
    <n v="1"/>
    <s v="Roiphet11"/>
    <s v="Greenhouse"/>
    <x v="1"/>
    <n v="0.72"/>
    <n v="4.2550277777777774"/>
    <n v="0.25502777777777741"/>
    <n v="0.4250462962962957"/>
    <n v="0.4250462962962957"/>
  </r>
  <r>
    <s v="Roiphet1"/>
    <s v="A1-I01-0087"/>
    <s v="Roiphet1A1-I01-0087"/>
    <n v="1"/>
    <s v="Roiphet11"/>
    <s v="Greenhouse"/>
    <x v="1"/>
    <n v="0.72"/>
    <n v="4.4229722222222225"/>
    <n v="0.42297222222222253"/>
    <n v="0.70495370370370425"/>
    <n v="0.70495370370370425"/>
  </r>
  <r>
    <s v="SR1"/>
    <s v="H1-095-0037"/>
    <s v="SR1H1-095-0037"/>
    <n v="1"/>
    <s v="SR11"/>
    <s v="Outdoor"/>
    <x v="2"/>
    <n v="2.5"/>
    <n v="1.9680759999999999"/>
    <n v="-1.0319240000000001"/>
    <n v="-1.7198733333333336"/>
    <n v="0"/>
  </r>
  <r>
    <s v="SR1"/>
    <s v="H1-092-0039"/>
    <s v="SR1H1-092-0039"/>
    <n v="1"/>
    <s v="SR11"/>
    <s v="Outdoor"/>
    <x v="2"/>
    <n v="2.5"/>
    <n v="1.7765200000000001"/>
    <n v="-1.2234799999999999"/>
    <n v="-2.0391333333333335"/>
    <n v="0"/>
  </r>
  <r>
    <s v="SR1"/>
    <s v="A1-027-0031"/>
    <s v="SR1A1-027-0031"/>
    <n v="1"/>
    <s v="SR11"/>
    <s v="Outdoor"/>
    <x v="2"/>
    <n v="3.78"/>
    <n v="1.5106005291005291"/>
    <n v="-1.4893994708994709"/>
    <n v="-2.4823324514991181"/>
    <n v="0"/>
  </r>
  <r>
    <s v="SR1"/>
    <s v="C1-061-0038"/>
    <s v="SR1C1-061-0038"/>
    <n v="1"/>
    <s v="SR11"/>
    <s v="Outdoor"/>
    <x v="3"/>
    <n v="1.9"/>
    <n v="7.1404789473684218"/>
    <n v="1.1404789473684218"/>
    <n v="1.9007982456140364"/>
    <n v="1.9007982456140364"/>
  </r>
  <r>
    <s v="SR4"/>
    <s v="A1-082-0008"/>
    <s v="SR4A1-082-0008"/>
    <n v="1"/>
    <s v="SR41"/>
    <s v="Outdoor"/>
    <x v="2"/>
    <n v="2"/>
    <n v="1.4420200000000001"/>
    <n v="-4.5579799999999997"/>
    <n v="-7.5966333333333331"/>
    <n v="0"/>
  </r>
  <r>
    <s v="SR4"/>
    <s v="B1-067-0009"/>
    <s v="SR4B1-067-0009"/>
    <n v="1"/>
    <s v="SR41"/>
    <s v="Outdoor"/>
    <x v="2"/>
    <n v="2"/>
    <n v="1.4200299999999999"/>
    <n v="-4.5799700000000003"/>
    <n v="-7.6332833333333339"/>
    <n v="0"/>
  </r>
  <r>
    <s v="SR4"/>
    <s v="A1-085-0008"/>
    <s v="SR4A1-085-0008"/>
    <n v="1"/>
    <s v="SR41"/>
    <s v="Outdoor"/>
    <x v="2"/>
    <n v="2"/>
    <n v="2.2923749999999998"/>
    <n v="-3.7076250000000002"/>
    <n v="-6.1793750000000003"/>
    <n v="0"/>
  </r>
  <r>
    <s v="SR4"/>
    <s v="G2-057-0008"/>
    <s v="SR4G2-057-0008"/>
    <n v="1"/>
    <s v="SR41"/>
    <s v="Greenhouse"/>
    <x v="1"/>
    <n v="2"/>
    <n v="1.80392"/>
    <n v="-2.1960800000000003"/>
    <n v="-3.6601333333333339"/>
    <n v="0"/>
  </r>
  <r>
    <s v="Talaytong"/>
    <s v="B1-032-0008"/>
    <s v="TalaytongB1-032-0008"/>
    <n v="1"/>
    <s v="Talaytong1"/>
    <s v="Outdoor"/>
    <x v="2"/>
    <n v="2.73"/>
    <n v="2.0547838827838829"/>
    <n v="-0.94521611721611709"/>
    <n v="-1.5753601953601952"/>
    <n v="0"/>
  </r>
  <r>
    <s v="Bangsakao"/>
    <s v="CG-006-0028"/>
    <s v="BangsakaoCG-006-0028"/>
    <n v="2"/>
    <s v="Bangsakao2"/>
    <s v="Greenhouse"/>
    <x v="1"/>
    <n v="5.36"/>
    <n v="7.8630466417910441"/>
    <n v="3.8630466417910441"/>
    <n v="6.4384110696517407"/>
    <n v="6.25"/>
  </r>
  <r>
    <s v="Bangsakao"/>
    <s v="DG-003-0024"/>
    <s v="BangsakaoDG-003-0024"/>
    <n v="2"/>
    <s v="Bangsakao2"/>
    <s v="Greenhouse"/>
    <x v="1"/>
    <n v="1.9"/>
    <n v="9.484963157894736"/>
    <n v="5.484963157894736"/>
    <n v="9.1416052631578939"/>
    <n v="6.25"/>
  </r>
  <r>
    <s v="Bangsakao"/>
    <s v="DG-004-0022"/>
    <s v="BangsakaoDG-004-0022"/>
    <n v="2"/>
    <s v="Bangsakao2"/>
    <s v="Greenhouse"/>
    <x v="1"/>
    <n v="2"/>
    <n v="9.87425"/>
    <n v="5.87425"/>
    <n v="9.7904166666666672"/>
    <n v="6.25"/>
  </r>
  <r>
    <s v="Bo Thong"/>
    <s v="BG-002-0013"/>
    <s v="Bo ThongBG-002-0013"/>
    <n v="2"/>
    <s v="Bo Thong2"/>
    <s v="Greenhouse"/>
    <x v="1"/>
    <n v="1.88"/>
    <n v="9.3746436170212775"/>
    <n v="5.3746436170212775"/>
    <n v="8.9577393617021297"/>
    <n v="6.25"/>
  </r>
  <r>
    <s v="Chantaburi3"/>
    <s v="B1-024-0041"/>
    <s v="Chantaburi3B1-024-0041"/>
    <n v="2"/>
    <s v="Chantaburi32"/>
    <s v="Outdoor"/>
    <x v="2"/>
    <n v="2.5"/>
    <n v="3.65144"/>
    <n v="0.65144000000000002"/>
    <n v="1.0857333333333334"/>
    <n v="1.0857333333333334"/>
  </r>
  <r>
    <s v="CHBR1"/>
    <s v="A1-015-0017"/>
    <s v="CHBR1A1-015-0017"/>
    <n v="2"/>
    <s v="CHBR12"/>
    <s v="Outdoor"/>
    <x v="2"/>
    <n v="2"/>
    <n v="4.2846299999999999"/>
    <n v="-1.7153700000000001"/>
    <n v="-2.8589500000000001"/>
    <n v="0"/>
  </r>
  <r>
    <s v="CHBR1"/>
    <s v="A1-017-0013"/>
    <s v="CHBR1A1-017-0013"/>
    <n v="2"/>
    <s v="CHBR12"/>
    <s v="Outdoor"/>
    <x v="2"/>
    <n v="2"/>
    <n v="5.8559599999999996"/>
    <n v="-0.14404000000000039"/>
    <n v="-0.24006666666666732"/>
    <n v="0"/>
  </r>
  <r>
    <s v="CHBR1"/>
    <s v="A1-011-0013"/>
    <s v="CHBR1A1-011-0013"/>
    <n v="2"/>
    <s v="CHBR12"/>
    <s v="Outdoor"/>
    <x v="2"/>
    <n v="2"/>
    <n v="3.4512150000000004"/>
    <n v="-2.5487849999999996"/>
    <n v="-4.2479749999999994"/>
    <n v="0"/>
  </r>
  <r>
    <s v="CHBR1"/>
    <s v="A1-016-0012"/>
    <s v="CHBR1A1-016-0012"/>
    <n v="2"/>
    <s v="CHBR12"/>
    <s v="Outdoor"/>
    <x v="2"/>
    <n v="2"/>
    <n v="4.6984899999999996"/>
    <n v="-1.3015100000000004"/>
    <n v="-2.1691833333333341"/>
    <n v="0"/>
  </r>
  <r>
    <s v="CS1"/>
    <s v="C1-063-0019"/>
    <s v="CS1C1-063-0019"/>
    <n v="2"/>
    <s v="CS12"/>
    <s v="Outdoor"/>
    <x v="2"/>
    <n v="3.46"/>
    <n v="2.7523872832369944"/>
    <n v="-0.24761271676300556"/>
    <n v="-0.41268786127167595"/>
    <n v="0"/>
  </r>
  <r>
    <s v="CS1"/>
    <s v="C1-062-0019"/>
    <s v="CS1C1-062-0019"/>
    <n v="2"/>
    <s v="CS12"/>
    <s v="Outdoor"/>
    <x v="2"/>
    <n v="3.5"/>
    <n v="2.7096114285714283"/>
    <n v="-0.29038857142857166"/>
    <n v="-0.48398095238095279"/>
    <n v="0"/>
  </r>
  <r>
    <s v="CS1"/>
    <s v="C1-084-0018"/>
    <s v="CS1C1-084-0018"/>
    <n v="2"/>
    <s v="CS12"/>
    <s v="Outdoor"/>
    <x v="2"/>
    <n v="2.25"/>
    <n v="5.0782266666666667"/>
    <n v="2.0782266666666667"/>
    <n v="3.4637111111111114"/>
    <n v="3.4637111111111114"/>
  </r>
  <r>
    <s v="CS1"/>
    <s v="C1-083-0019"/>
    <s v="CS1C1-083-0019"/>
    <n v="2"/>
    <s v="CS12"/>
    <s v="Outdoor"/>
    <x v="2"/>
    <n v="2.7"/>
    <n v="5.248525925925926"/>
    <n v="2.248525925925926"/>
    <n v="3.7475432098765435"/>
    <n v="3.7475432098765435"/>
  </r>
  <r>
    <s v="CS1"/>
    <s v="C1-080-0017"/>
    <s v="CS1C1-080-0017"/>
    <n v="2"/>
    <s v="CS12"/>
    <s v="Outdoor"/>
    <x v="2"/>
    <n v="2.25"/>
    <n v="6.8155999999999999"/>
    <n v="3.8155999999999999"/>
    <n v="6.3593333333333337"/>
    <n v="6.25"/>
  </r>
  <r>
    <s v="CS1"/>
    <s v="A1-007-0048"/>
    <s v="CS1A1-007-0048"/>
    <n v="2"/>
    <s v="CS12"/>
    <s v="Outdoor"/>
    <x v="2"/>
    <n v="3.1"/>
    <n v="5.7954322580645163"/>
    <n v="2.7954322580645163"/>
    <n v="4.6590537634408609"/>
    <n v="4.6590537634408609"/>
  </r>
  <r>
    <s v="CS1"/>
    <s v="A1-096-0027"/>
    <s v="CS1A1-096-0027"/>
    <n v="2"/>
    <s v="CS12"/>
    <s v="Outdoor"/>
    <x v="2"/>
    <n v="2.79"/>
    <n v="4.6912759856630819"/>
    <n v="1.6912759856630819"/>
    <n v="2.8187933094384698"/>
    <n v="2.8187933094384698"/>
  </r>
  <r>
    <s v="CS1"/>
    <s v="A1-010-0049"/>
    <s v="CS1A1-010-0049"/>
    <n v="2"/>
    <s v="CS12"/>
    <s v="Outdoor"/>
    <x v="2"/>
    <n v="3.1"/>
    <n v="5.6792838709677413"/>
    <n v="2.6792838709677413"/>
    <n v="4.4654731182795695"/>
    <n v="4.4654731182795695"/>
  </r>
  <r>
    <s v="CS1"/>
    <s v="A1-004-0040"/>
    <s v="CS1A1-004-0040"/>
    <n v="2"/>
    <s v="CS12"/>
    <s v="Outdoor"/>
    <x v="0"/>
    <n v="4.25"/>
    <n v="2.7803200000000001"/>
    <n v="0.78032000000000012"/>
    <n v="1.3005333333333335"/>
    <n v="1.3005333333333335"/>
  </r>
  <r>
    <s v="CS4"/>
    <s v="A1-002-0046"/>
    <s v="CS4A1-002-0046"/>
    <n v="2"/>
    <s v="CS42"/>
    <s v="Outdoor"/>
    <x v="2"/>
    <n v="2"/>
    <n v="6.3490200000000003"/>
    <n v="0.34902000000000033"/>
    <n v="0.58170000000000055"/>
    <n v="0.58170000000000055"/>
  </r>
  <r>
    <s v="Kamong"/>
    <s v="D1-022-0038"/>
    <s v="KamongD1-022-0038"/>
    <n v="2"/>
    <s v="Kamong2"/>
    <s v="Outdoor"/>
    <x v="2"/>
    <n v="3"/>
    <n v="5.2450799999999997"/>
    <n v="2.2450799999999997"/>
    <n v="3.7417999999999996"/>
    <n v="3.7417999999999996"/>
  </r>
  <r>
    <s v="Lamae"/>
    <s v="A1-007-0044"/>
    <s v="LamaeA1-007-0044"/>
    <n v="2"/>
    <s v="Lamae2"/>
    <s v="Outdoor"/>
    <x v="0"/>
    <n v="8"/>
    <n v="0.99416499999999997"/>
    <n v="-1.005835"/>
    <n v="-1.6763916666666667"/>
    <n v="0"/>
  </r>
  <r>
    <s v="Lamae"/>
    <s v="B1-022-0011"/>
    <s v="LamaeB1-022-0011"/>
    <n v="2"/>
    <s v="Lamae2"/>
    <s v="Outdoor"/>
    <x v="0"/>
    <n v="8.5"/>
    <n v="2.8354752941176469"/>
    <n v="0.83547529411764687"/>
    <n v="1.3924588235294115"/>
    <n v="1.3924588235294115"/>
  </r>
  <r>
    <s v="Lamae"/>
    <s v="B1-021-0012"/>
    <s v="LamaeB1-021-0012"/>
    <n v="2"/>
    <s v="Lamae2"/>
    <s v="Outdoor"/>
    <x v="0"/>
    <n v="8.5"/>
    <n v="2.7157788235294116"/>
    <n v="0.71577882352941158"/>
    <n v="1.1929647058823527"/>
    <n v="1.1929647058823527"/>
  </r>
  <r>
    <s v="Lamae"/>
    <s v="A1-012-0012"/>
    <s v="LamaeA1-012-0012"/>
    <n v="2"/>
    <s v="Lamae2"/>
    <s v="Outdoor"/>
    <x v="2"/>
    <n v="4"/>
    <n v="3.16974"/>
    <n v="0.16974"/>
    <n v="0.28290000000000004"/>
    <n v="0.28290000000000004"/>
  </r>
  <r>
    <s v="Lucky1"/>
    <s v="B1-022-0010"/>
    <s v="Lucky1B1-022-0010"/>
    <n v="2"/>
    <s v="Lucky12"/>
    <s v="Outdoor"/>
    <x v="2"/>
    <n v="2.1"/>
    <n v="5.9935857142857136"/>
    <n v="2.9935857142857136"/>
    <n v="4.9893095238095233"/>
    <n v="4.9893095238095233"/>
  </r>
  <r>
    <s v="Lucky1"/>
    <s v="B1-019-0012"/>
    <s v="Lucky1B1-019-0012"/>
    <n v="2"/>
    <s v="Lucky12"/>
    <s v="Outdoor"/>
    <x v="2"/>
    <n v="2.1"/>
    <n v="7.4811571428571426"/>
    <n v="4.4811571428571426"/>
    <n v="7.4685952380952383"/>
    <n v="6.25"/>
  </r>
  <r>
    <s v="Lucky1"/>
    <s v="B1-018-0011"/>
    <s v="Lucky1B1-018-0011"/>
    <n v="2"/>
    <s v="Lucky12"/>
    <s v="Outdoor"/>
    <x v="2"/>
    <n v="2.1"/>
    <n v="7.0477333333333334"/>
    <n v="4.0477333333333334"/>
    <n v="6.7462222222222223"/>
    <n v="6.25"/>
  </r>
  <r>
    <s v="Lucky1"/>
    <s v="B1-020-0010"/>
    <s v="Lucky1B1-020-0010"/>
    <n v="2"/>
    <s v="Lucky12"/>
    <s v="Outdoor"/>
    <x v="2"/>
    <n v="2.1"/>
    <n v="8.0651952380952388"/>
    <n v="5.0651952380952388"/>
    <n v="8.4419920634920658"/>
    <n v="6.25"/>
  </r>
  <r>
    <s v="Lucky1"/>
    <s v="B1-021-0013"/>
    <s v="Lucky1B1-021-0013"/>
    <n v="2"/>
    <s v="Lucky12"/>
    <s v="Outdoor"/>
    <x v="2"/>
    <n v="2.1"/>
    <n v="8.5767904761904763"/>
    <n v="5.5767904761904763"/>
    <n v="9.2946507936507938"/>
    <n v="6.25"/>
  </r>
  <r>
    <s v="Lucky1"/>
    <s v="BG-028-0011"/>
    <s v="Lucky1BG-028-0011"/>
    <n v="2"/>
    <s v="Lucky12"/>
    <s v="Greenhouse"/>
    <x v="1"/>
    <n v="2.1"/>
    <n v="4.0879190476190468"/>
    <n v="8.7919047619046786E-2"/>
    <n v="0.14653174603174465"/>
    <n v="0.14653174603174465"/>
  </r>
  <r>
    <s v="Lucky1"/>
    <s v="BG-025-0009"/>
    <s v="Lucky1BG-025-0009"/>
    <n v="2"/>
    <s v="Lucky12"/>
    <s v="Greenhouse"/>
    <x v="1"/>
    <n v="2.1"/>
    <n v="4.1755095238095237"/>
    <n v="0.17550952380952367"/>
    <n v="0.29251587301587278"/>
    <n v="0.29251587301587278"/>
  </r>
  <r>
    <s v="Lucky1"/>
    <s v="BG-027-0010"/>
    <s v="Lucky1BG-027-0010"/>
    <n v="2"/>
    <s v="Lucky12"/>
    <s v="Greenhouse"/>
    <x v="1"/>
    <n v="2.1"/>
    <n v="6.1906333333333334"/>
    <n v="2.1906333333333334"/>
    <n v="3.6510555555555557"/>
    <n v="3.6510555555555557"/>
  </r>
  <r>
    <s v="Lucky1"/>
    <s v="BG-026-0011"/>
    <s v="Lucky1BG-026-0011"/>
    <n v="2"/>
    <s v="Lucky12"/>
    <s v="Greenhouse"/>
    <x v="1"/>
    <n v="2.1"/>
    <n v="3.3544714285714283"/>
    <n v="-0.64552857142857167"/>
    <n v="-1.0758809523809529"/>
    <n v="0"/>
  </r>
  <r>
    <s v="Lucky2"/>
    <s v="AC-002-0008"/>
    <s v="Lucky2AC-002-0008"/>
    <n v="2"/>
    <s v="Lucky22"/>
    <s v="Tank"/>
    <x v="1"/>
    <n v="0.5"/>
    <n v="7.2637200000000002"/>
    <n v="1.2637200000000002"/>
    <n v="2.1062000000000003"/>
    <n v="2.1062000000000003"/>
  </r>
  <r>
    <s v="Lucky2"/>
    <s v="AC-001-0008"/>
    <s v="Lucky2AC-001-0008"/>
    <n v="2"/>
    <s v="Lucky22"/>
    <s v="Tank"/>
    <x v="1"/>
    <n v="0.5"/>
    <n v="6.7498000000000005"/>
    <n v="0.74980000000000047"/>
    <n v="1.2496666666666676"/>
    <n v="1.2496666666666676"/>
  </r>
  <r>
    <s v="Lucky2"/>
    <s v="AC-005-0008"/>
    <s v="Lucky2AC-005-0008"/>
    <n v="2"/>
    <s v="Lucky22"/>
    <s v="Tank"/>
    <x v="1"/>
    <n v="0.5"/>
    <n v="5.7474799999999995"/>
    <n v="-0.25252000000000052"/>
    <n v="-0.42086666666666755"/>
    <n v="0"/>
  </r>
  <r>
    <s v="Lucky2"/>
    <s v="AC-004-0008"/>
    <s v="Lucky2AC-004-0008"/>
    <n v="2"/>
    <s v="Lucky22"/>
    <s v="Tank"/>
    <x v="1"/>
    <n v="0.5"/>
    <n v="5.4089999999999998"/>
    <n v="-0.59100000000000019"/>
    <n v="-0.98500000000000032"/>
    <n v="0"/>
  </r>
  <r>
    <s v="Maeklong1"/>
    <s v="A1-002-0033"/>
    <s v="Maeklong1A1-002-0033"/>
    <n v="2"/>
    <s v="Maeklong12"/>
    <s v="Outdoor"/>
    <x v="2"/>
    <n v="3.61"/>
    <n v="3.7685152354570639"/>
    <n v="0.76851523545706391"/>
    <n v="1.2808587257617732"/>
    <n v="1.2808587257617732"/>
  </r>
  <r>
    <s v="Maeklong1"/>
    <s v="A1-017-0029"/>
    <s v="Maeklong1A1-017-0029"/>
    <n v="2"/>
    <s v="Maeklong12"/>
    <s v="Outdoor"/>
    <x v="2"/>
    <n v="2.89"/>
    <n v="6.1135778546712807"/>
    <n v="3.1135778546712807"/>
    <n v="5.1892964244521345"/>
    <n v="5.1892964244521345"/>
  </r>
  <r>
    <s v="Nakornfarm"/>
    <s v="B1-108-0005"/>
    <s v="NakornfarmB1-108-0005"/>
    <n v="2"/>
    <s v="Nakornfarm2"/>
    <s v="Outdoor"/>
    <x v="3"/>
    <n v="1.5"/>
    <n v="3.327666666666667"/>
    <n v="-2.672333333333333"/>
    <n v="-4.4538888888888888"/>
    <n v="0"/>
  </r>
  <r>
    <s v="Nakornfarm"/>
    <s v="B1-107-0005"/>
    <s v="NakornfarmB1-107-0005"/>
    <n v="2"/>
    <s v="Nakornfarm2"/>
    <s v="Outdoor"/>
    <x v="3"/>
    <n v="1.5"/>
    <n v="3.468973333333333"/>
    <n v="-2.531026666666667"/>
    <n v="-4.2183777777777784"/>
    <n v="0"/>
  </r>
  <r>
    <s v="Nakornfarm"/>
    <s v="BG-102-0010"/>
    <s v="NakornfarmBG-102-0010"/>
    <n v="2"/>
    <s v="Nakornfarm2"/>
    <s v="Greenhouse"/>
    <x v="1"/>
    <n v="1.47"/>
    <n v="2.712979591836735"/>
    <n v="-1.287020408163265"/>
    <n v="-2.145034013605442"/>
    <n v="0"/>
  </r>
  <r>
    <s v="PB5"/>
    <s v="B1-021-0046"/>
    <s v="PB5B1-021-0046"/>
    <n v="2"/>
    <s v="PB52"/>
    <s v="Outdoor"/>
    <x v="0"/>
    <n v="5.72"/>
    <n v="2.6411503496503497"/>
    <n v="0.64115034965034967"/>
    <n v="1.0685839160839161"/>
    <n v="1.0685839160839161"/>
  </r>
  <r>
    <s v="PB5"/>
    <s v="A1-005-0051"/>
    <s v="PB5A1-005-0051"/>
    <n v="2"/>
    <s v="PB52"/>
    <s v="Outdoor"/>
    <x v="0"/>
    <n v="4.37"/>
    <n v="2.6454485125858125"/>
    <n v="0.64544851258581248"/>
    <n v="1.0757475209763543"/>
    <n v="1.0757475209763543"/>
  </r>
  <r>
    <s v="Petchburi5"/>
    <s v="B1-125-0007"/>
    <s v="Petchburi5B1-125-0007"/>
    <n v="2"/>
    <s v="Petchburi52"/>
    <s v="Outdoor"/>
    <x v="3"/>
    <n v="1.5"/>
    <n v="10.67226"/>
    <n v="4.6722599999999996"/>
    <n v="7.7870999999999997"/>
    <n v="6.25"/>
  </r>
  <r>
    <s v="Rayong3"/>
    <s v="D1-047-0011"/>
    <s v="Rayong3D1-047-0011"/>
    <n v="2"/>
    <s v="Rayong32"/>
    <s v="Outdoor"/>
    <x v="3"/>
    <n v="1.5"/>
    <n v="14.128746666666666"/>
    <n v="8.1287466666666663"/>
    <n v="13.547911111111111"/>
    <n v="6.25"/>
  </r>
  <r>
    <s v="Roiphet1"/>
    <s v="C4-I08-0063"/>
    <s v="Roiphet1C4-I08-0063"/>
    <n v="2"/>
    <s v="Roiphet12"/>
    <s v="Greenhouse"/>
    <x v="1"/>
    <n v="0.72"/>
    <n v="6.6730416666666672"/>
    <n v="2.6730416666666672"/>
    <n v="4.4550694444444456"/>
    <n v="4.4550694444444456"/>
  </r>
  <r>
    <s v="Roiphet1"/>
    <s v="C4-I07-0059"/>
    <s v="Roiphet1C4-I07-0059"/>
    <n v="2"/>
    <s v="Roiphet12"/>
    <s v="Greenhouse"/>
    <x v="1"/>
    <n v="0.72"/>
    <n v="5.8085833333333348"/>
    <n v="1.8085833333333348"/>
    <n v="3.0143055555555582"/>
    <n v="3.0143055555555582"/>
  </r>
  <r>
    <s v="Roiphet1"/>
    <s v="C6-I11-0064"/>
    <s v="Roiphet1C6-I11-0064"/>
    <n v="2"/>
    <s v="Roiphet12"/>
    <s v="Greenhouse"/>
    <x v="1"/>
    <n v="0.72"/>
    <n v="6.3292916666666672"/>
    <n v="2.3292916666666672"/>
    <n v="3.8821527777777787"/>
    <n v="3.8821527777777787"/>
  </r>
  <r>
    <s v="Roiphet1"/>
    <s v="C6-G11-0058"/>
    <s v="Roiphet1C6-G11-0058"/>
    <n v="2"/>
    <s v="Roiphet12"/>
    <s v="Greenhouse"/>
    <x v="1"/>
    <n v="1.1299999999999999"/>
    <n v="6.1085486725663722"/>
    <n v="2.1085486725663722"/>
    <n v="3.5142477876106204"/>
    <n v="3.5142477876106204"/>
  </r>
  <r>
    <s v="Roiphet1"/>
    <s v="B1-G01-0083"/>
    <s v="Roiphet1B1-G01-0083"/>
    <n v="2"/>
    <s v="Roiphet12"/>
    <s v="Greenhouse"/>
    <x v="1"/>
    <n v="1.1299999999999999"/>
    <n v="5.5950442477876114"/>
    <n v="1.5950442477876114"/>
    <n v="2.6584070796460191"/>
    <n v="2.6584070796460191"/>
  </r>
  <r>
    <s v="Roiphet1"/>
    <s v="B1-I01-0094"/>
    <s v="Roiphet1B1-I01-0094"/>
    <n v="2"/>
    <s v="Roiphet12"/>
    <s v="Greenhouse"/>
    <x v="1"/>
    <n v="0.72"/>
    <n v="4.9309722222222225"/>
    <n v="0.93097222222222253"/>
    <n v="1.551620370370371"/>
    <n v="1.551620370370371"/>
  </r>
  <r>
    <s v="Roiphet1"/>
    <s v="B1-G02-0087"/>
    <s v="Roiphet1B1-G02-0087"/>
    <n v="2"/>
    <s v="Roiphet12"/>
    <s v="Greenhouse"/>
    <x v="1"/>
    <n v="1.1299999999999999"/>
    <n v="7.1540973451327439"/>
    <n v="3.1540973451327439"/>
    <n v="5.2568289085545734"/>
    <n v="5.2568289085545734"/>
  </r>
  <r>
    <s v="Roiphet1"/>
    <s v="B1-I02-0094"/>
    <s v="Roiphet1B1-I02-0094"/>
    <n v="2"/>
    <s v="Roiphet12"/>
    <s v="Greenhouse"/>
    <x v="1"/>
    <n v="0.72"/>
    <n v="6.825277777777778"/>
    <n v="2.825277777777778"/>
    <n v="4.7087962962962973"/>
    <n v="4.7087962962962973"/>
  </r>
  <r>
    <s v="Roiphet1"/>
    <s v="B4-G08-0079"/>
    <s v="Roiphet1B4-G08-0079"/>
    <n v="2"/>
    <s v="Roiphet12"/>
    <s v="Greenhouse"/>
    <x v="1"/>
    <n v="1.1299999999999999"/>
    <n v="6.7139292035398235"/>
    <n v="2.7139292035398235"/>
    <n v="4.5232153392330394"/>
    <n v="4.5232153392330394"/>
  </r>
  <r>
    <s v="Roiphet1"/>
    <s v="B2-G04-0091"/>
    <s v="Roiphet1B2-G04-0091"/>
    <n v="2"/>
    <s v="Roiphet12"/>
    <s v="Greenhouse"/>
    <x v="1"/>
    <n v="1.1299999999999999"/>
    <n v="6.1874778761061959"/>
    <n v="2.1874778761061959"/>
    <n v="3.6457964601769932"/>
    <n v="3.6457964601769932"/>
  </r>
  <r>
    <s v="Roiphet1"/>
    <s v="B2-I03-0094"/>
    <s v="Roiphet1B2-I03-0094"/>
    <n v="2"/>
    <s v="Roiphet12"/>
    <s v="Greenhouse"/>
    <x v="1"/>
    <n v="0.72"/>
    <n v="3.9459305555555559"/>
    <n v="-5.4069444444444059E-2"/>
    <n v="-9.0115740740740108E-2"/>
    <n v="0"/>
  </r>
  <r>
    <s v="Roiphet1"/>
    <s v="B2-G03-0079"/>
    <s v="Roiphet1B2-G03-0079"/>
    <n v="2"/>
    <s v="Roiphet12"/>
    <s v="Greenhouse"/>
    <x v="1"/>
    <n v="1.1299999999999999"/>
    <n v="4.8915221238938056"/>
    <n v="0.89152212389380558"/>
    <n v="1.485870206489676"/>
    <n v="1.485870206489676"/>
  </r>
  <r>
    <s v="Roiphet1"/>
    <s v="B2-I04-0097"/>
    <s v="Roiphet1B2-I04-0097"/>
    <n v="2"/>
    <s v="Roiphet12"/>
    <s v="Greenhouse"/>
    <x v="1"/>
    <n v="0.72"/>
    <n v="4.667583333333333"/>
    <n v="0.66758333333333297"/>
    <n v="1.1126388888888883"/>
    <n v="1.1126388888888883"/>
  </r>
  <r>
    <s v="Roiphet1"/>
    <s v="D1-I01-0090"/>
    <s v="Roiphet1D1-I01-0090"/>
    <n v="2"/>
    <s v="Roiphet12"/>
    <s v="Greenhouse"/>
    <x v="1"/>
    <n v="0.72"/>
    <n v="6.4015972222222217"/>
    <n v="2.4015972222222217"/>
    <n v="4.0026620370370365"/>
    <n v="4.0026620370370365"/>
  </r>
  <r>
    <s v="Roiphet1"/>
    <s v="D6-G12-0078"/>
    <s v="Roiphet1D6-G12-0078"/>
    <n v="2"/>
    <s v="Roiphet12"/>
    <s v="Greenhouse"/>
    <x v="1"/>
    <n v="1.1299999999999999"/>
    <n v="6.9734247787610624"/>
    <n v="2.9734247787610624"/>
    <n v="4.9557079646017712"/>
    <n v="4.9557079646017712"/>
  </r>
  <r>
    <s v="Roiphet1"/>
    <s v="D1-G01-0076"/>
    <s v="Roiphet1D1-G01-0076"/>
    <n v="2"/>
    <s v="Roiphet12"/>
    <s v="Greenhouse"/>
    <x v="1"/>
    <n v="1.1299999999999999"/>
    <n v="9.3965486725663734"/>
    <n v="5.3965486725663734"/>
    <n v="8.9942477876106235"/>
    <n v="6.25"/>
  </r>
  <r>
    <s v="Roiphet1"/>
    <s v="D6-G11-0075"/>
    <s v="Roiphet1D6-G11-0075"/>
    <n v="2"/>
    <s v="Roiphet12"/>
    <s v="Greenhouse"/>
    <x v="1"/>
    <n v="1.1299999999999999"/>
    <n v="8.3763893805309753"/>
    <n v="4.3763893805309753"/>
    <n v="7.2939823008849594"/>
    <n v="6.25"/>
  </r>
  <r>
    <s v="Roiphet1"/>
    <s v="D1-G02-0078"/>
    <s v="Roiphet1D1-G02-0078"/>
    <n v="2"/>
    <s v="Roiphet12"/>
    <s v="Greenhouse"/>
    <x v="1"/>
    <n v="1.1299999999999999"/>
    <n v="10.446716814159293"/>
    <n v="6.4467168141592932"/>
    <n v="10.744528023598823"/>
    <n v="6.25"/>
  </r>
  <r>
    <s v="Roiphet1"/>
    <s v="D6-I11-0082"/>
    <s v="Roiphet1D6-I11-0082"/>
    <n v="2"/>
    <s v="Roiphet12"/>
    <s v="Greenhouse"/>
    <x v="1"/>
    <n v="0.72"/>
    <n v="5.7737083333333334"/>
    <n v="1.7737083333333334"/>
    <n v="2.956180555555556"/>
    <n v="2.956180555555556"/>
  </r>
  <r>
    <s v="Roiphet3"/>
    <s v="A1-007-0012"/>
    <s v="Roiphet3A1-007-0012"/>
    <n v="2"/>
    <s v="Roiphet32"/>
    <s v="Outdoor"/>
    <x v="0"/>
    <n v="4.5"/>
    <n v="4.2985244444444444"/>
    <n v="2.2985244444444444"/>
    <n v="3.8308740740740741"/>
    <n v="3.8308740740740741"/>
  </r>
  <r>
    <s v="SR1"/>
    <s v="H1-126-0008"/>
    <s v="SR1H1-126-0008"/>
    <n v="2"/>
    <s v="SR12"/>
    <s v="Outdoor"/>
    <x v="2"/>
    <n v="2"/>
    <n v="2.8849749999999998"/>
    <n v="-3.1150250000000002"/>
    <n v="-5.1917083333333336"/>
    <n v="0"/>
  </r>
  <r>
    <s v="SR1"/>
    <s v="G1-130-0008"/>
    <s v="SR1G1-130-0008"/>
    <n v="2"/>
    <s v="SR12"/>
    <s v="Greenhouse"/>
    <x v="1"/>
    <n v="2"/>
    <n v="3.6077249999999998"/>
    <n v="-0.39227500000000015"/>
    <n v="-0.65379166666666699"/>
    <n v="0"/>
  </r>
  <r>
    <s v="SR1"/>
    <s v="G1-129-0008"/>
    <s v="SR1G1-129-0008"/>
    <n v="2"/>
    <s v="SR12"/>
    <s v="Greenhouse"/>
    <x v="1"/>
    <n v="2"/>
    <n v="3.9628049999999999"/>
    <n v="-3.7195000000000089E-2"/>
    <n v="-6.199166666666682E-2"/>
    <n v="0"/>
  </r>
  <r>
    <s v="SR1"/>
    <s v="C1-050-0014"/>
    <s v="SR1C1-050-0014"/>
    <n v="2"/>
    <s v="SR12"/>
    <s v="Outdoor"/>
    <x v="3"/>
    <n v="1.8"/>
    <n v="2.2440888888888888"/>
    <n v="-3.7559111111111112"/>
    <n v="-6.2598518518518524"/>
    <n v="0"/>
  </r>
  <r>
    <s v="SR1"/>
    <s v="C1-062-0037"/>
    <s v="SR1C1-062-0037"/>
    <n v="2"/>
    <s v="SR12"/>
    <s v="Outdoor"/>
    <x v="2"/>
    <n v="3.2"/>
    <n v="5.5355906249999993"/>
    <n v="2.5355906249999993"/>
    <n v="4.2259843749999995"/>
    <n v="4.2259843749999995"/>
  </r>
  <r>
    <s v="SR1"/>
    <s v="C1-060-0035"/>
    <s v="SR1C1-060-0035"/>
    <n v="2"/>
    <s v="SR12"/>
    <s v="Outdoor"/>
    <x v="2"/>
    <n v="3"/>
    <n v="6.5595500000000007"/>
    <n v="3.5595500000000007"/>
    <n v="5.9325833333333344"/>
    <n v="5.9325833333333344"/>
  </r>
  <r>
    <s v="SR4"/>
    <s v="G2-058-0006"/>
    <s v="SR4G2-058-0006"/>
    <n v="2"/>
    <s v="SR42"/>
    <s v="Greenhouse"/>
    <x v="1"/>
    <n v="2"/>
    <n v="3.2405949999999999"/>
    <n v="-0.75940500000000011"/>
    <n v="-1.2656750000000003"/>
    <n v="0"/>
  </r>
  <r>
    <s v="Tachalab"/>
    <s v="B1-025-0014"/>
    <s v="TachalabB1-025-0014"/>
    <n v="2"/>
    <s v="Tachalab2"/>
    <s v="Outdoor"/>
    <x v="2"/>
    <n v="3.2"/>
    <n v="3.7143124999999997"/>
    <n v="0.71431249999999968"/>
    <n v="1.1905208333333328"/>
    <n v="1.1905208333333328"/>
  </r>
  <r>
    <s v="Tachalab"/>
    <s v="B1-023-0012"/>
    <s v="TachalabB1-023-0012"/>
    <n v="2"/>
    <s v="Tachalab2"/>
    <s v="Outdoor"/>
    <x v="2"/>
    <n v="3.4"/>
    <n v="6.6738823529411775"/>
    <n v="3.6738823529411775"/>
    <n v="6.1231372549019625"/>
    <n v="6.1231372549019625"/>
  </r>
  <r>
    <s v="Andaman"/>
    <s v="A1-008-0045"/>
    <s v="AndamanA1-008-0045"/>
    <n v="3"/>
    <s v="Andaman3"/>
    <s v="Outdoor"/>
    <x v="2"/>
    <n v="2.5"/>
    <n v="9.4481839999999995"/>
    <n v="6.4481839999999995"/>
    <n v="10.746973333333333"/>
    <n v="6.25"/>
  </r>
  <r>
    <s v="Andaman"/>
    <s v="A1-012-0022"/>
    <s v="AndamanA1-012-0022"/>
    <n v="3"/>
    <s v="Andaman3"/>
    <s v="Outdoor"/>
    <x v="2"/>
    <n v="2.5"/>
    <n v="7.693244"/>
    <n v="4.693244"/>
    <n v="7.8220733333333339"/>
    <n v="6.25"/>
  </r>
  <r>
    <s v="Andaman"/>
    <s v="A1-009-0046"/>
    <s v="AndamanA1-009-0046"/>
    <n v="3"/>
    <s v="Andaman3"/>
    <s v="Outdoor"/>
    <x v="2"/>
    <n v="2.5"/>
    <n v="8.5140679999999982"/>
    <n v="5.5140679999999982"/>
    <n v="9.1901133333333309"/>
    <n v="6.25"/>
  </r>
  <r>
    <s v="Bangkachai1"/>
    <s v="BG-044-0009"/>
    <s v="Bangkachai1BG-044-0009"/>
    <n v="3"/>
    <s v="Bangkachai13"/>
    <s v="Greenhouse"/>
    <x v="1"/>
    <n v="2.1"/>
    <n v="9.5902428571428562"/>
    <n v="5.5902428571428562"/>
    <n v="9.3170714285714276"/>
    <n v="6.25"/>
  </r>
  <r>
    <s v="Bangkachai1"/>
    <s v="A1-047-0009"/>
    <s v="Bangkachai1A1-047-0009"/>
    <n v="3"/>
    <s v="Bangkachai13"/>
    <s v="Outdoor"/>
    <x v="2"/>
    <n v="2.1"/>
    <n v="9.838733333333332"/>
    <n v="6.838733333333332"/>
    <n v="11.397888888888888"/>
    <n v="6.25"/>
  </r>
  <r>
    <s v="Bangsakao"/>
    <s v="B1-003-0010"/>
    <s v="BangsakaoB1-003-0010"/>
    <n v="3"/>
    <s v="Bangsakao3"/>
    <s v="Outdoor"/>
    <x v="0"/>
    <n v="4.3"/>
    <n v="1.1890837209302327"/>
    <n v="-0.81091627906976727"/>
    <n v="-1.3515271317829456"/>
    <n v="0"/>
  </r>
  <r>
    <s v="Bangsakao"/>
    <s v="CG-007-0024"/>
    <s v="BangsakaoCG-007-0024"/>
    <n v="3"/>
    <s v="Bangsakao3"/>
    <s v="Greenhouse"/>
    <x v="1"/>
    <n v="3.81"/>
    <n v="8.6188923884514441"/>
    <n v="4.6188923884514441"/>
    <n v="7.6981539807524069"/>
    <n v="6.25"/>
  </r>
  <r>
    <s v="Bangsakao"/>
    <s v="CG-002-0027"/>
    <s v="BangsakaoCG-002-0027"/>
    <n v="3"/>
    <s v="Bangsakao3"/>
    <s v="Greenhouse"/>
    <x v="1"/>
    <n v="3.45"/>
    <n v="9.9564202898550729"/>
    <n v="5.9564202898550729"/>
    <n v="9.9273671497584548"/>
    <n v="6.25"/>
  </r>
  <r>
    <s v="Bangsakao"/>
    <s v="DG-006-0025"/>
    <s v="BangsakaoDG-006-0025"/>
    <n v="3"/>
    <s v="Bangsakao3"/>
    <s v="Greenhouse"/>
    <x v="1"/>
    <n v="2"/>
    <n v="11.443770000000001"/>
    <n v="7.4437700000000007"/>
    <n v="12.406283333333334"/>
    <n v="6.25"/>
  </r>
  <r>
    <s v="Bangsakao"/>
    <s v="DG-002-0024"/>
    <s v="BangsakaoDG-002-0024"/>
    <n v="3"/>
    <s v="Bangsakao3"/>
    <s v="Greenhouse"/>
    <x v="1"/>
    <n v="2"/>
    <n v="12.750080000000001"/>
    <n v="8.7500800000000005"/>
    <n v="14.583466666666668"/>
    <n v="6.25"/>
  </r>
  <r>
    <s v="Bansang"/>
    <s v="A1-007-0016"/>
    <s v="BansangA1-007-0016"/>
    <n v="3"/>
    <s v="Bansang3"/>
    <s v="Outdoor"/>
    <x v="2"/>
    <n v="3.38"/>
    <n v="6.0915798816568048"/>
    <n v="3.0915798816568048"/>
    <n v="5.1526331360946749"/>
    <n v="5.1526331360946749"/>
  </r>
  <r>
    <s v="Bo Thong"/>
    <s v="B1-013-0012"/>
    <s v="Bo ThongB1-013-0012"/>
    <n v="3"/>
    <s v="Bo Thong3"/>
    <s v="Outdoor"/>
    <x v="2"/>
    <n v="2.76"/>
    <n v="9.6329456521739125"/>
    <n v="6.6329456521739125"/>
    <n v="11.054909420289855"/>
    <n v="6.25"/>
  </r>
  <r>
    <s v="Bo Thong"/>
    <s v="B1-011-0012"/>
    <s v="Bo ThongB1-011-0012"/>
    <n v="3"/>
    <s v="Bo Thong3"/>
    <s v="Outdoor"/>
    <x v="2"/>
    <n v="2.89"/>
    <n v="9.183692041522491"/>
    <n v="6.183692041522491"/>
    <n v="10.306153402537486"/>
    <n v="6.25"/>
  </r>
  <r>
    <s v="Bo Thong"/>
    <s v="B1-015-0012"/>
    <s v="Bo ThongB1-015-0012"/>
    <n v="3"/>
    <s v="Bo Thong3"/>
    <s v="Outdoor"/>
    <x v="2"/>
    <n v="2.76"/>
    <n v="8.3971485507246388"/>
    <n v="5.3971485507246388"/>
    <n v="8.9952475845410653"/>
    <n v="6.25"/>
  </r>
  <r>
    <s v="Bo Thong"/>
    <s v="B1-014-0011"/>
    <s v="Bo ThongB1-014-0011"/>
    <n v="3"/>
    <s v="Bo Thong3"/>
    <s v="Outdoor"/>
    <x v="2"/>
    <n v="2.52"/>
    <n v="9.3843650793650788"/>
    <n v="6.3843650793650788"/>
    <n v="10.640608465608466"/>
    <n v="6.25"/>
  </r>
  <r>
    <s v="Chantaburi3"/>
    <s v="B1-023-0027"/>
    <s v="Chantaburi3B1-023-0027"/>
    <n v="3"/>
    <s v="Chantaburi33"/>
    <s v="Outdoor"/>
    <x v="2"/>
    <n v="2.2999999999999998"/>
    <n v="10.735734782608697"/>
    <n v="7.7357347826086968"/>
    <n v="12.892891304347829"/>
    <n v="6.25"/>
  </r>
  <r>
    <s v="CHBR1"/>
    <s v="A1-019-0004"/>
    <s v="CHBR1A1-019-0004"/>
    <n v="3"/>
    <s v="CHBR13"/>
    <s v="Outdoor"/>
    <x v="2"/>
    <n v="2"/>
    <n v="6.2659500000000001"/>
    <n v="0.26595000000000013"/>
    <n v="0.44325000000000025"/>
    <n v="0.44325000000000025"/>
  </r>
  <r>
    <s v="CHBR1"/>
    <s v="A1-018-0012"/>
    <s v="CHBR1A1-018-0012"/>
    <n v="3"/>
    <s v="CHBR13"/>
    <s v="Outdoor"/>
    <x v="2"/>
    <n v="2"/>
    <n v="7.3770850000000001"/>
    <n v="1.3770850000000001"/>
    <n v="2.2951416666666669"/>
    <n v="2.2951416666666669"/>
  </r>
  <r>
    <s v="Choknavy"/>
    <s v="A1-006-0031"/>
    <s v="ChoknavyA1-006-0031"/>
    <n v="3"/>
    <s v="Choknavy3"/>
    <s v="Outdoor"/>
    <x v="0"/>
    <n v="5.5"/>
    <n v="5.7263927272727271"/>
    <n v="3.7263927272727271"/>
    <n v="6.2106545454545454"/>
    <n v="6.2106545454545454"/>
  </r>
  <r>
    <s v="CS1"/>
    <s v="C1-0B4-0017"/>
    <s v="CS1C1-0B4-0017"/>
    <n v="3"/>
    <s v="CS13"/>
    <s v="Outdoor"/>
    <x v="2"/>
    <n v="2.25"/>
    <n v="2.2803688888888889"/>
    <n v="-0.71963111111111111"/>
    <n v="-1.1993851851851853"/>
    <n v="0"/>
  </r>
  <r>
    <s v="CS1"/>
    <s v="C1-085-0019"/>
    <s v="CS1C1-085-0019"/>
    <n v="3"/>
    <s v="CS13"/>
    <s v="Outdoor"/>
    <x v="2"/>
    <n v="2.6"/>
    <n v="6.3162076923076915"/>
    <n v="3.3162076923076915"/>
    <n v="5.5270128205128195"/>
    <n v="5.5270128205128195"/>
  </r>
  <r>
    <s v="CS1"/>
    <s v="A1-014-0045"/>
    <s v="CS1A1-014-0045"/>
    <n v="3"/>
    <s v="CS13"/>
    <s v="Outdoor"/>
    <x v="2"/>
    <n v="2.86"/>
    <n v="6.7327587412587411"/>
    <n v="3.7327587412587411"/>
    <n v="6.2212645687645685"/>
    <n v="6.2212645687645685"/>
  </r>
  <r>
    <s v="CS1"/>
    <s v="A1-008-0030"/>
    <s v="CS1A1-008-0030"/>
    <n v="3"/>
    <s v="CS13"/>
    <s v="Outdoor"/>
    <x v="2"/>
    <n v="3.45"/>
    <n v="4.9599217391304338"/>
    <n v="1.9599217391304338"/>
    <n v="3.2665362318840563"/>
    <n v="3.2665362318840563"/>
  </r>
  <r>
    <s v="CS4"/>
    <s v="A1-023-0008"/>
    <s v="CS4A1-023-0008"/>
    <n v="3"/>
    <s v="CS43"/>
    <s v="Outdoor"/>
    <x v="3"/>
    <n v="1.1200000000000001"/>
    <n v="3.0309374999999998"/>
    <n v="-2.9690625000000002"/>
    <n v="-4.9484375000000007"/>
    <n v="0"/>
  </r>
  <r>
    <s v="Kamong"/>
    <s v="D1-032-0008"/>
    <s v="KamongD1-032-0008"/>
    <n v="3"/>
    <s v="Kamong3"/>
    <s v="Outdoor"/>
    <x v="2"/>
    <n v="3"/>
    <n v="6.7263366666666657"/>
    <n v="3.7263366666666657"/>
    <n v="6.2105611111111099"/>
    <n v="6.2105611111111099"/>
  </r>
  <r>
    <s v="Kanchanadit"/>
    <s v="D1-052-0012"/>
    <s v="KanchanaditD1-052-0012"/>
    <n v="3"/>
    <s v="Kanchanadit3"/>
    <s v="Outdoor"/>
    <x v="2"/>
    <n v="2"/>
    <n v="0"/>
    <n v="0"/>
    <n v="0"/>
    <n v="0"/>
  </r>
  <r>
    <s v="Laemsing"/>
    <s v="B1-006-0040"/>
    <s v="LaemsingB1-006-0040"/>
    <n v="3"/>
    <s v="Laemsing3"/>
    <s v="Outdoor"/>
    <x v="2"/>
    <n v="3"/>
    <n v="6.8835000000000006"/>
    <n v="3.8835000000000006"/>
    <n v="6.472500000000001"/>
    <n v="6.25"/>
  </r>
  <r>
    <s v="Laemsing"/>
    <s v="A1-002-0037"/>
    <s v="LaemsingA1-002-0037"/>
    <n v="3"/>
    <s v="Laemsing3"/>
    <s v="Outdoor"/>
    <x v="2"/>
    <n v="3"/>
    <n v="6.2272100000000004"/>
    <n v="3.2272100000000004"/>
    <n v="5.3786833333333339"/>
    <n v="5.3786833333333339"/>
  </r>
  <r>
    <s v="Lamae"/>
    <s v="B1-018-0012"/>
    <s v="LamaeB1-018-0012"/>
    <n v="3"/>
    <s v="Lamae3"/>
    <s v="Outdoor"/>
    <x v="0"/>
    <n v="6"/>
    <n v="5.7046016666666661"/>
    <n v="3.7046016666666661"/>
    <n v="6.1743361111111108"/>
    <n v="6.1743361111111108"/>
  </r>
  <r>
    <s v="Lamlaung"/>
    <s v="A1-001-0019"/>
    <s v="LamlaungA1-001-0019"/>
    <n v="3"/>
    <s v="Lamlaung3"/>
    <s v="Outdoor"/>
    <x v="0"/>
    <n v="5"/>
    <n v="2.7170720000000004"/>
    <n v="0.71707200000000038"/>
    <n v="1.1951200000000006"/>
    <n v="1.1951200000000006"/>
  </r>
  <r>
    <s v="Lucky2"/>
    <s v="AC-003-0008"/>
    <s v="Lucky2AC-003-0008"/>
    <n v="3"/>
    <s v="Lucky23"/>
    <s v="Tank"/>
    <x v="1"/>
    <n v="0.5"/>
    <n v="6.3956200000000001"/>
    <n v="0.39562000000000008"/>
    <n v="0.65936666666666688"/>
    <n v="0.65936666666666688"/>
  </r>
  <r>
    <s v="Lucky2"/>
    <s v="A1-045-0003"/>
    <s v="Lucky2A1-045-0003"/>
    <n v="3"/>
    <s v="Lucky23"/>
    <s v="Outdoor"/>
    <x v="0"/>
    <n v="5.3"/>
    <n v="7.4231547169811325"/>
    <n v="5.4231547169811325"/>
    <n v="9.0385911949685553"/>
    <n v="6.25"/>
  </r>
  <r>
    <s v="Lucky3"/>
    <s v="B1-023-0011"/>
    <s v="Lucky3B1-023-0011"/>
    <n v="3"/>
    <s v="Lucky33"/>
    <s v="Outdoor"/>
    <x v="3"/>
    <n v="1.5"/>
    <n v="7.7906533333333323"/>
    <n v="1.7906533333333323"/>
    <n v="2.9844222222222205"/>
    <n v="2.9844222222222205"/>
  </r>
  <r>
    <s v="Lucky3"/>
    <s v="BG-027-0010"/>
    <s v="Lucky3BG-027-0010"/>
    <n v="3"/>
    <s v="Lucky33"/>
    <s v="Greenhouse"/>
    <x v="1"/>
    <n v="1.5"/>
    <n v="8.3280666666666665"/>
    <n v="4.3280666666666665"/>
    <n v="7.2134444444444448"/>
    <n v="6.25"/>
  </r>
  <r>
    <s v="Lucky3"/>
    <s v="B1-022-0011"/>
    <s v="Lucky3B1-022-0011"/>
    <n v="3"/>
    <s v="Lucky33"/>
    <s v="Outdoor"/>
    <x v="3"/>
    <n v="1.5"/>
    <n v="9.3957933333333337"/>
    <n v="3.3957933333333337"/>
    <n v="5.6596555555555561"/>
    <n v="5.6596555555555561"/>
  </r>
  <r>
    <s v="Lucky3"/>
    <s v="BG-026-0010"/>
    <s v="Lucky3BG-026-0010"/>
    <n v="3"/>
    <s v="Lucky33"/>
    <s v="Greenhouse"/>
    <x v="1"/>
    <n v="1.5"/>
    <n v="7.4206533333333331"/>
    <n v="3.4206533333333331"/>
    <n v="5.7010888888888891"/>
    <n v="5.7010888888888891"/>
  </r>
  <r>
    <s v="Lucky3"/>
    <s v="B1-011-0027"/>
    <s v="Lucky3B1-011-0027"/>
    <n v="3"/>
    <s v="Lucky33"/>
    <s v="Outdoor"/>
    <x v="2"/>
    <n v="3.82"/>
    <n v="7.2044999999999995"/>
    <n v="4.2044999999999995"/>
    <n v="7.0074999999999994"/>
    <n v="6.25"/>
  </r>
  <r>
    <s v="Maeklong1"/>
    <s v="A1-006-0041"/>
    <s v="Maeklong1A1-006-0041"/>
    <n v="3"/>
    <s v="Maeklong13"/>
    <s v="Outdoor"/>
    <x v="2"/>
    <n v="3.42"/>
    <n v="6.7696140350877201"/>
    <n v="3.7696140350877201"/>
    <n v="6.2826900584795338"/>
    <n v="6.25"/>
  </r>
  <r>
    <s v="Maeklong1"/>
    <s v="A1-030-0006"/>
    <s v="Maeklong1A1-030-0006"/>
    <n v="3"/>
    <s v="Maeklong13"/>
    <s v="Outdoor"/>
    <x v="3"/>
    <n v="1.3"/>
    <n v="11.53763846153846"/>
    <n v="5.5376384615384602"/>
    <n v="9.2293974358974342"/>
    <n v="6.25"/>
  </r>
  <r>
    <s v="Maeklong1"/>
    <s v="A1-005-0043"/>
    <s v="Maeklong1A1-005-0043"/>
    <n v="3"/>
    <s v="Maeklong13"/>
    <s v="Outdoor"/>
    <x v="2"/>
    <n v="3.42"/>
    <n v="0"/>
    <n v="0"/>
    <n v="0"/>
    <n v="0"/>
  </r>
  <r>
    <s v="Maeklong1"/>
    <s v="A1-015-0035"/>
    <s v="Maeklong1A1-015-0035"/>
    <n v="3"/>
    <s v="Maeklong13"/>
    <s v="Outdoor"/>
    <x v="2"/>
    <n v="2.4300000000000002"/>
    <n v="11.777613168724278"/>
    <n v="8.7776131687242778"/>
    <n v="14.629355281207131"/>
    <n v="6.25"/>
  </r>
  <r>
    <s v="Maeklong1"/>
    <s v="A1-021-0024"/>
    <s v="Maeklong1A1-021-0024"/>
    <n v="3"/>
    <s v="Maeklong13"/>
    <s v="Outdoor"/>
    <x v="2"/>
    <n v="3.82"/>
    <n v="8.6401518324607327"/>
    <n v="5.6401518324607327"/>
    <n v="9.4002530541012224"/>
    <n v="6.25"/>
  </r>
  <r>
    <s v="Maeklong1"/>
    <s v="A1-023-0016"/>
    <s v="Maeklong1A1-023-0016"/>
    <n v="3"/>
    <s v="Maeklong13"/>
    <s v="Outdoor"/>
    <x v="2"/>
    <n v="3.91"/>
    <n v="6.0275677749360614"/>
    <n v="3.0275677749360614"/>
    <n v="5.045946291560103"/>
    <n v="5.045946291560103"/>
  </r>
  <r>
    <s v="Maeklong1"/>
    <s v="A1-017-0030"/>
    <s v="Maeklong1A1-017-0030"/>
    <n v="3"/>
    <s v="Maeklong13"/>
    <s v="Outdoor"/>
    <x v="2"/>
    <n v="2.89"/>
    <n v="0"/>
    <n v="0"/>
    <n v="0"/>
    <n v="0"/>
  </r>
  <r>
    <s v="Nakornfarm"/>
    <s v="F1-090-0012"/>
    <s v="NakornfarmF1-090-0012"/>
    <n v="3"/>
    <s v="Nakornfarm3"/>
    <s v="Outdoor"/>
    <x v="3"/>
    <n v="1.8"/>
    <n v="6.5991111111111103"/>
    <n v="0.59911111111111026"/>
    <n v="0.99851851851851714"/>
    <n v="0.99851851851851714"/>
  </r>
  <r>
    <s v="Nakornfarm"/>
    <s v="BG-116-0009"/>
    <s v="NakornfarmBG-116-0009"/>
    <n v="3"/>
    <s v="Nakornfarm3"/>
    <s v="Greenhouse"/>
    <x v="1"/>
    <n v="1.47"/>
    <n v="2.3604965986394557"/>
    <n v="-1.6395034013605443"/>
    <n v="-2.7325056689342406"/>
    <n v="0"/>
  </r>
  <r>
    <s v="PB5"/>
    <s v="B1-022-0049"/>
    <s v="PB5B1-022-0049"/>
    <n v="3"/>
    <s v="PB53"/>
    <s v="Outdoor"/>
    <x v="0"/>
    <n v="5.72"/>
    <n v="2.5625384615384617"/>
    <n v="0.56253846153846165"/>
    <n v="0.93756410256410283"/>
    <n v="0.93756410256410283"/>
  </r>
  <r>
    <s v="PB5"/>
    <s v="A1-009-0047"/>
    <s v="PB5A1-009-0047"/>
    <n v="3"/>
    <s v="PB53"/>
    <s v="Outdoor"/>
    <x v="0"/>
    <n v="4.62"/>
    <n v="3.1593398268398265"/>
    <n v="1.1593398268398265"/>
    <n v="1.9322330447330442"/>
    <n v="1.9322330447330442"/>
  </r>
  <r>
    <s v="PB5"/>
    <s v="A1-007-0050"/>
    <s v="PB5A1-007-0050"/>
    <n v="3"/>
    <s v="PB53"/>
    <s v="Outdoor"/>
    <x v="0"/>
    <n v="4.5199999999999996"/>
    <n v="1.5869955752212392"/>
    <n v="-0.41300442477876076"/>
    <n v="-0.68834070796460134"/>
    <n v="0"/>
  </r>
  <r>
    <s v="Petchburi5"/>
    <s v="AG-001-0012"/>
    <s v="Petchburi5AG-001-0012"/>
    <n v="3"/>
    <s v="Petchburi53"/>
    <s v="Greenhouse"/>
    <x v="1"/>
    <n v="1.5"/>
    <n v="12.677373333333335"/>
    <n v="8.6773733333333354"/>
    <n v="14.462288888888892"/>
    <n v="6.25"/>
  </r>
  <r>
    <s v="Petchburi5"/>
    <s v="B1-126-0007"/>
    <s v="Petchburi5B1-126-0007"/>
    <n v="3"/>
    <s v="Petchburi53"/>
    <s v="Outdoor"/>
    <x v="3"/>
    <n v="1.5"/>
    <n v="11.284626666666666"/>
    <n v="5.2846266666666661"/>
    <n v="8.8077111111111108"/>
    <n v="6.25"/>
  </r>
  <r>
    <s v="Petchburi5"/>
    <s v="B1-124-0007"/>
    <s v="Petchburi5B1-124-0007"/>
    <n v="3"/>
    <s v="Petchburi53"/>
    <s v="Outdoor"/>
    <x v="3"/>
    <n v="1.5"/>
    <n v="9.7495333333333338"/>
    <n v="3.7495333333333338"/>
    <n v="6.2492222222222233"/>
    <n v="6.2492222222222233"/>
  </r>
  <r>
    <s v="Petchburi5"/>
    <s v="A1-032-0007"/>
    <s v="Petchburi5A1-032-0007"/>
    <n v="3"/>
    <s v="Petchburi53"/>
    <s v="Outdoor"/>
    <x v="3"/>
    <n v="1.5"/>
    <n v="12.026986666666666"/>
    <n v="6.0269866666666658"/>
    <n v="10.044977777777778"/>
    <n v="6.25"/>
  </r>
  <r>
    <s v="Petchburi5"/>
    <s v="A1-033-0008"/>
    <s v="Petchburi5A1-033-0008"/>
    <n v="3"/>
    <s v="Petchburi53"/>
    <s v="Outdoor"/>
    <x v="3"/>
    <n v="1.5"/>
    <n v="17.575926666666664"/>
    <n v="11.575926666666664"/>
    <n v="19.293211111111109"/>
    <n v="6.25"/>
  </r>
  <r>
    <s v="Ranode"/>
    <s v="A1-083-0016"/>
    <s v="RanodeA1-083-0016"/>
    <n v="3"/>
    <s v="Ranode3"/>
    <s v="Outdoor"/>
    <x v="3"/>
    <n v="1.5"/>
    <n v="2.1001333333333334"/>
    <n v="-3.8998666666666666"/>
    <n v="-6.4997777777777781"/>
    <n v="0"/>
  </r>
  <r>
    <s v="Ranode"/>
    <s v="A1-082-0016"/>
    <s v="RanodeA1-082-0016"/>
    <n v="3"/>
    <s v="Ranode3"/>
    <s v="Outdoor"/>
    <x v="3"/>
    <n v="1.5"/>
    <n v="3.2199066666666667"/>
    <n v="-2.7800933333333333"/>
    <n v="-4.6334888888888894"/>
    <n v="0"/>
  </r>
  <r>
    <s v="Rayong3"/>
    <s v="D1-046-0011"/>
    <s v="Rayong3D1-046-0011"/>
    <n v="3"/>
    <s v="Rayong33"/>
    <s v="Outdoor"/>
    <x v="3"/>
    <n v="1.5"/>
    <n v="13.700286666666665"/>
    <n v="7.7002866666666652"/>
    <n v="12.833811111111109"/>
    <n v="6.25"/>
  </r>
  <r>
    <s v="Rayong3"/>
    <s v="D1-030-0016"/>
    <s v="Rayong3D1-030-0016"/>
    <n v="3"/>
    <s v="Rayong33"/>
    <s v="Outdoor"/>
    <x v="0"/>
    <n v="6.25"/>
    <n v="8.7230144000000003"/>
    <n v="6.7230144000000003"/>
    <n v="11.205024000000002"/>
    <n v="6.25"/>
  </r>
  <r>
    <s v="Rayong3"/>
    <s v="A1-043-0009"/>
    <s v="Rayong3A1-043-0009"/>
    <n v="3"/>
    <s v="Rayong33"/>
    <s v="Outdoor"/>
    <x v="3"/>
    <n v="1.5"/>
    <n v="13.9039"/>
    <n v="7.9039000000000001"/>
    <n v="13.173166666666667"/>
    <n v="6.25"/>
  </r>
  <r>
    <s v="Rayong3"/>
    <s v="A1-044-0012"/>
    <s v="Rayong3A1-044-0012"/>
    <n v="3"/>
    <s v="Rayong33"/>
    <s v="Outdoor"/>
    <x v="3"/>
    <n v="1.5"/>
    <n v="9.9593866666666671"/>
    <n v="3.9593866666666671"/>
    <n v="6.5989777777777787"/>
    <n v="6.25"/>
  </r>
  <r>
    <s v="Roiphet1"/>
    <s v="C3-G05-0073"/>
    <s v="Roiphet1C3-G05-0073"/>
    <n v="3"/>
    <s v="Roiphet13"/>
    <s v="Greenhouse"/>
    <x v="1"/>
    <n v="1.1299999999999999"/>
    <n v="5.8711681415929213"/>
    <n v="1.8711681415929213"/>
    <n v="3.1186135693215356"/>
    <n v="3.1186135693215356"/>
  </r>
  <r>
    <s v="Roiphet1"/>
    <s v="C3-G06-0077"/>
    <s v="Roiphet1C3-G06-0077"/>
    <n v="3"/>
    <s v="Roiphet13"/>
    <s v="Greenhouse"/>
    <x v="1"/>
    <n v="1.1299999999999999"/>
    <n v="6.9510530973451328"/>
    <n v="2.9510530973451328"/>
    <n v="4.9184218289085546"/>
    <n v="4.9184218289085546"/>
  </r>
  <r>
    <s v="Roiphet1"/>
    <s v="C2-I03-0058"/>
    <s v="Roiphet1C2-I03-0058"/>
    <n v="3"/>
    <s v="Roiphet13"/>
    <s v="Greenhouse"/>
    <x v="1"/>
    <n v="0.72"/>
    <n v="9.3016527777777789"/>
    <n v="5.3016527777777789"/>
    <n v="8.8360879629629654"/>
    <n v="6.25"/>
  </r>
  <r>
    <s v="Roiphet1"/>
    <s v="C6-I12-0061"/>
    <s v="Roiphet1C6-I12-0061"/>
    <n v="3"/>
    <s v="Roiphet13"/>
    <s v="Greenhouse"/>
    <x v="1"/>
    <n v="0.72"/>
    <n v="6.5565277777777782"/>
    <n v="2.5565277777777782"/>
    <n v="4.2608796296296303"/>
    <n v="4.2608796296296303"/>
  </r>
  <r>
    <s v="Roiphet1"/>
    <s v="C2-I04-0066"/>
    <s v="Roiphet1C2-I04-0066"/>
    <n v="3"/>
    <s v="Roiphet13"/>
    <s v="Greenhouse"/>
    <x v="1"/>
    <n v="0.72"/>
    <n v="9.909527777777777"/>
    <n v="5.909527777777777"/>
    <n v="9.8492129629629623"/>
    <n v="6.25"/>
  </r>
  <r>
    <s v="Roiphet1"/>
    <s v="C6-G12-0059"/>
    <s v="Roiphet1C6-G12-0059"/>
    <n v="3"/>
    <s v="Roiphet13"/>
    <s v="Greenhouse"/>
    <x v="1"/>
    <n v="1.1299999999999999"/>
    <n v="9.9567787610619476"/>
    <n v="5.9567787610619476"/>
    <n v="9.9279646017699132"/>
    <n v="6.25"/>
  </r>
  <r>
    <s v="Roiphet1"/>
    <s v="B4-G07-0076"/>
    <s v="Roiphet1B4-G07-0076"/>
    <n v="3"/>
    <s v="Roiphet13"/>
    <s v="Greenhouse"/>
    <x v="1"/>
    <n v="1.1299999999999999"/>
    <n v="6.9169734513274346"/>
    <n v="2.9169734513274346"/>
    <n v="4.8616224188790582"/>
    <n v="4.8616224188790582"/>
  </r>
  <r>
    <s v="Roiphet1"/>
    <s v="B4-I08-0088"/>
    <s v="Roiphet1B4-I08-0088"/>
    <n v="3"/>
    <s v="Roiphet13"/>
    <s v="Greenhouse"/>
    <x v="1"/>
    <n v="0.72"/>
    <n v="5.8466944444444451"/>
    <n v="1.8466944444444451"/>
    <n v="3.0778240740740754"/>
    <n v="3.0778240740740754"/>
  </r>
  <r>
    <s v="Roiphet1"/>
    <s v="B4-I07-0088"/>
    <s v="Roiphet1B4-I07-0088"/>
    <n v="3"/>
    <s v="Roiphet13"/>
    <s v="Greenhouse"/>
    <x v="1"/>
    <n v="0.72"/>
    <n v="6.5184583333333341"/>
    <n v="2.5184583333333341"/>
    <n v="4.1974305555555569"/>
    <n v="4.1974305555555569"/>
  </r>
  <r>
    <s v="Roiphet2"/>
    <s v="B1-013-0035"/>
    <s v="Roiphet2B1-013-0035"/>
    <n v="3"/>
    <s v="Roiphet23"/>
    <s v="Outdoor"/>
    <x v="0"/>
    <n v="4.5"/>
    <n v="2.8733133333333334"/>
    <n v="0.87331333333333339"/>
    <n v="1.4555222222222224"/>
    <n v="1.4555222222222224"/>
  </r>
  <r>
    <s v="Roiphet2"/>
    <s v="B1-009-0042"/>
    <s v="Roiphet2B1-009-0042"/>
    <n v="3"/>
    <s v="Roiphet23"/>
    <s v="Outdoor"/>
    <x v="0"/>
    <n v="4.9000000000000004"/>
    <n v="3.6834612244897951"/>
    <n v="1.6834612244897951"/>
    <n v="2.8057687074829918"/>
    <n v="2.8057687074829918"/>
  </r>
  <r>
    <s v="Roiphet3"/>
    <s v="A1-006-0011"/>
    <s v="Roiphet3A1-006-0011"/>
    <n v="3"/>
    <s v="Roiphet33"/>
    <s v="Outdoor"/>
    <x v="0"/>
    <n v="4.5"/>
    <n v="6.9997133333333332"/>
    <n v="4.9997133333333332"/>
    <n v="8.3328555555555557"/>
    <n v="6.25"/>
  </r>
  <r>
    <s v="Roiphet3"/>
    <s v="A1-016-0029"/>
    <s v="Roiphet3A1-016-0029"/>
    <n v="3"/>
    <s v="Roiphet33"/>
    <s v="Outdoor"/>
    <x v="0"/>
    <n v="4.5"/>
    <n v="6.1515777777777778"/>
    <n v="4.1515777777777778"/>
    <n v="6.9192962962962969"/>
    <n v="6.25"/>
  </r>
  <r>
    <s v="Roiphet3"/>
    <s v="A1-008-0022"/>
    <s v="Roiphet3A1-008-0022"/>
    <n v="3"/>
    <s v="Roiphet33"/>
    <s v="Outdoor"/>
    <x v="0"/>
    <n v="4.4000000000000004"/>
    <n v="6.6639204545454538"/>
    <n v="4.6639204545454538"/>
    <n v="7.7732007575757569"/>
    <n v="6.25"/>
  </r>
  <r>
    <s v="Roiphet3"/>
    <s v="C1-041-0005"/>
    <s v="Roiphet3C1-041-0005"/>
    <n v="3"/>
    <s v="Roiphet33"/>
    <s v="Outdoor"/>
    <x v="0"/>
    <n v="5.8"/>
    <n v="5.2043172413793108"/>
    <n v="3.2043172413793108"/>
    <n v="5.3405287356321853"/>
    <n v="5.3405287356321853"/>
  </r>
  <r>
    <s v="Roiphet3"/>
    <s v="C1-044-0017"/>
    <s v="Roiphet3C1-044-0017"/>
    <n v="3"/>
    <s v="Roiphet33"/>
    <s v="Outdoor"/>
    <x v="0"/>
    <n v="4.5"/>
    <n v="3.5227244444444441"/>
    <n v="1.5227244444444441"/>
    <n v="2.5378740740740735"/>
    <n v="2.5378740740740735"/>
  </r>
  <r>
    <s v="SR1"/>
    <s v="H1-125-0010"/>
    <s v="SR1H1-125-0010"/>
    <n v="3"/>
    <s v="SR13"/>
    <s v="Outdoor"/>
    <x v="2"/>
    <n v="2"/>
    <n v="2.087275"/>
    <n v="-3.912725"/>
    <n v="-6.5212083333333339"/>
    <n v="0"/>
  </r>
  <r>
    <s v="SR1"/>
    <s v="C1-063-0004"/>
    <s v="SR1C1-063-0004"/>
    <n v="3"/>
    <s v="SR13"/>
    <s v="Outdoor"/>
    <x v="2"/>
    <n v="2.5"/>
    <n v="2.2751840000000003"/>
    <n v="-0.72481599999999968"/>
    <n v="-1.2080266666666661"/>
    <n v="0"/>
  </r>
  <r>
    <s v="SR1"/>
    <s v="D1-066-0037"/>
    <s v="SR1D1-066-0037"/>
    <n v="3"/>
    <s v="SR13"/>
    <s v="Outdoor"/>
    <x v="2"/>
    <n v="3.4"/>
    <n v="4.2927382352941175"/>
    <n v="1.2927382352941175"/>
    <n v="2.1545637254901959"/>
    <n v="2.1545637254901959"/>
  </r>
  <r>
    <s v="SR1"/>
    <s v="D1-067-0004"/>
    <s v="SR1D1-067-0004"/>
    <n v="3"/>
    <s v="SR13"/>
    <s v="Outdoor"/>
    <x v="2"/>
    <n v="2.5"/>
    <n v="8.2283640000000009"/>
    <n v="5.2283640000000009"/>
    <n v="8.7139400000000027"/>
    <n v="6.25"/>
  </r>
  <r>
    <s v="SR4"/>
    <s v="G2-057-0009"/>
    <s v="SR4G2-057-0009"/>
    <n v="3"/>
    <s v="SR43"/>
    <s v="Greenhouse"/>
    <x v="1"/>
    <n v="2"/>
    <n v="0"/>
    <n v="0"/>
    <n v="0"/>
    <n v="0"/>
  </r>
  <r>
    <s v="Tachalab"/>
    <s v="A1-012-0016"/>
    <s v="TachalabA1-012-0016"/>
    <n v="3"/>
    <s v="Tachalab3"/>
    <s v="Outdoor"/>
    <x v="2"/>
    <n v="2.2999999999999998"/>
    <n v="4.5978130434782605"/>
    <n v="1.5978130434782605"/>
    <n v="2.6630217391304343"/>
    <n v="2.6630217391304343"/>
  </r>
  <r>
    <s v="Tachalab"/>
    <s v="A1-011-0017"/>
    <s v="TachalabA1-011-0017"/>
    <n v="3"/>
    <s v="Tachalab3"/>
    <s v="Outdoor"/>
    <x v="2"/>
    <n v="2.8"/>
    <n v="4.8484321428571437"/>
    <n v="1.8484321428571437"/>
    <n v="3.0807202380952399"/>
    <n v="3.0807202380952399"/>
  </r>
  <r>
    <s v="Tachalab"/>
    <s v="A1-006-0016"/>
    <s v="TachalabA1-006-0016"/>
    <n v="3"/>
    <s v="Tachalab3"/>
    <s v="Outdoor"/>
    <x v="2"/>
    <n v="4"/>
    <n v="3.8664899999999998"/>
    <n v="0.86648999999999976"/>
    <n v="1.4441499999999996"/>
    <n v="1.4441499999999996"/>
  </r>
  <r>
    <s v="Tachalab"/>
    <s v="A1-013-0011"/>
    <s v="TachalabA1-013-0011"/>
    <n v="3"/>
    <s v="Tachalab3"/>
    <s v="Outdoor"/>
    <x v="2"/>
    <n v="2.2999999999999998"/>
    <n v="5.8129391304347831"/>
    <n v="2.8129391304347831"/>
    <n v="4.6882318840579718"/>
    <n v="4.6882318840579718"/>
  </r>
  <r>
    <s v="Tachalab"/>
    <s v="A1-003-0023"/>
    <s v="TachalabA1-003-0023"/>
    <n v="3"/>
    <s v="Tachalab3"/>
    <s v="Outdoor"/>
    <x v="2"/>
    <n v="3.8"/>
    <n v="4.210252631578947"/>
    <n v="1.210252631578947"/>
    <n v="2.017087719298245"/>
    <n v="2.017087719298245"/>
  </r>
  <r>
    <s v="Tamai2"/>
    <s v="D1-068-0003"/>
    <s v="Tamai2D1-068-0003"/>
    <n v="3"/>
    <s v="Tamai23"/>
    <s v="Outdoor"/>
    <x v="2"/>
    <n v="2.59"/>
    <n v="0"/>
    <n v="0"/>
    <n v="0"/>
    <n v="0"/>
  </r>
  <r>
    <s v="Tamai2"/>
    <s v="E1-032-0036"/>
    <s v="Tamai2E1-032-0036"/>
    <n v="3"/>
    <s v="Tamai23"/>
    <s v="Outdoor"/>
    <x v="0"/>
    <n v="5.28"/>
    <n v="7.7127746212121204"/>
    <n v="5.7127746212121204"/>
    <n v="9.5212910353535349"/>
    <n v="6.25"/>
  </r>
  <r>
    <s v="Andaman"/>
    <s v="A1-016-0014"/>
    <s v="AndamanA1-016-0014"/>
    <n v="4"/>
    <s v="Andaman4"/>
    <s v="Outdoor"/>
    <x v="3"/>
    <n v="1.5"/>
    <n v="8.3304333333333336"/>
    <n v="2.3304333333333336"/>
    <n v="3.8840555555555563"/>
    <n v="3.8840555555555563"/>
  </r>
  <r>
    <s v="Andaman"/>
    <s v="A1-004-0047"/>
    <s v="AndamanA1-004-0047"/>
    <n v="4"/>
    <s v="Andaman4"/>
    <s v="Outdoor"/>
    <x v="2"/>
    <n v="2"/>
    <n v="8.3372600000000006"/>
    <n v="2.3372600000000006"/>
    <n v="3.8954333333333344"/>
    <n v="3.8954333333333344"/>
  </r>
  <r>
    <s v="Bangsakao"/>
    <s v="CG-003-0026"/>
    <s v="BangsakaoCG-003-0026"/>
    <n v="4"/>
    <s v="Bangsakao4"/>
    <s v="Greenhouse"/>
    <x v="1"/>
    <n v="4.5599999999999996"/>
    <n v="5.8869627192982454"/>
    <n v="1.8869627192982454"/>
    <n v="3.1449378654970759"/>
    <n v="3.1449378654970759"/>
  </r>
  <r>
    <s v="Bangsakao"/>
    <s v="CG-004-0025"/>
    <s v="BangsakaoCG-004-0025"/>
    <n v="4"/>
    <s v="Bangsakao4"/>
    <s v="Greenhouse"/>
    <x v="1"/>
    <n v="4.5999999999999996"/>
    <n v="8.202165217391304"/>
    <n v="4.202165217391304"/>
    <n v="7.0036086956521739"/>
    <n v="6.25"/>
  </r>
  <r>
    <s v="Bangsakao"/>
    <s v="CG-008-0028"/>
    <s v="BangsakaoCG-008-0028"/>
    <n v="4"/>
    <s v="Bangsakao4"/>
    <s v="Greenhouse"/>
    <x v="1"/>
    <n v="3.73"/>
    <n v="10.232302949061662"/>
    <n v="6.2323029490616619"/>
    <n v="10.387171581769437"/>
    <n v="6.25"/>
  </r>
  <r>
    <s v="Bo Thong"/>
    <s v="B1-010-0010"/>
    <s v="Bo ThongB1-010-0010"/>
    <n v="4"/>
    <s v="Bo Thong4"/>
    <s v="Outdoor"/>
    <x v="0"/>
    <n v="4.79"/>
    <n v="11.752227557411272"/>
    <n v="9.7522275574112722"/>
    <n v="16.253712595685453"/>
    <n v="6.25"/>
  </r>
  <r>
    <s v="Chantaburi3"/>
    <s v="A1-010-0046"/>
    <s v="Chantaburi3A1-010-0046"/>
    <n v="4"/>
    <s v="Chantaburi34"/>
    <s v="Outdoor"/>
    <x v="2"/>
    <n v="3.9"/>
    <n v="4.2801589743589741"/>
    <n v="1.2801589743589741"/>
    <n v="2.1335982905982904"/>
    <n v="2.1335982905982904"/>
  </r>
  <r>
    <s v="Chantaburi3"/>
    <s v="A1-011-0043"/>
    <s v="Chantaburi3A1-011-0043"/>
    <n v="4"/>
    <s v="Chantaburi34"/>
    <s v="Outdoor"/>
    <x v="2"/>
    <n v="3.8"/>
    <n v="6.3272105263157901"/>
    <n v="3.3272105263157901"/>
    <n v="5.545350877192984"/>
    <n v="5.545350877192984"/>
  </r>
  <r>
    <s v="Choknavy"/>
    <s v="A1-001-0040"/>
    <s v="ChoknavyA1-001-0040"/>
    <n v="4"/>
    <s v="Choknavy4"/>
    <s v="Outdoor"/>
    <x v="0"/>
    <n v="5"/>
    <n v="4.2900599999999995"/>
    <n v="2.2900599999999995"/>
    <n v="3.8167666666666662"/>
    <n v="3.8167666666666662"/>
  </r>
  <r>
    <s v="Choknavy"/>
    <s v="A1-002-0036"/>
    <s v="ChoknavyA1-002-0036"/>
    <n v="4"/>
    <s v="Choknavy4"/>
    <s v="Outdoor"/>
    <x v="0"/>
    <n v="5.5"/>
    <n v="3.7339236363636363"/>
    <n v="1.7339236363636363"/>
    <n v="2.8898727272727274"/>
    <n v="2.8898727272727274"/>
  </r>
  <r>
    <s v="CS1"/>
    <s v="A1-010-0050"/>
    <s v="CS1A1-010-0050"/>
    <n v="4"/>
    <s v="CS14"/>
    <s v="Outdoor"/>
    <x v="2"/>
    <n v="3.1"/>
    <n v="2.560109677419355"/>
    <n v="-0.43989032258064498"/>
    <n v="-0.73315053763440829"/>
    <n v="0"/>
  </r>
  <r>
    <s v="CS1"/>
    <s v="A1-007-0049"/>
    <s v="CS1A1-007-0049"/>
    <n v="4"/>
    <s v="CS14"/>
    <s v="Outdoor"/>
    <x v="2"/>
    <n v="3.1"/>
    <n v="2.9031096774193546"/>
    <n v="-9.6890322580645449E-2"/>
    <n v="-0.16148387096774242"/>
    <n v="0"/>
  </r>
  <r>
    <s v="CS4"/>
    <s v="A1-026-0014"/>
    <s v="CS4A1-026-0014"/>
    <n v="4"/>
    <s v="CS44"/>
    <s v="Outdoor"/>
    <x v="2"/>
    <n v="2"/>
    <n v="2.3967550000000002"/>
    <n v="-3.6032449999999998"/>
    <n v="-6.0054083333333335"/>
    <n v="0"/>
  </r>
  <r>
    <s v="CS4"/>
    <s v="A1-003-0037"/>
    <s v="CS4A1-003-0037"/>
    <n v="4"/>
    <s v="CS44"/>
    <s v="Outdoor"/>
    <x v="2"/>
    <n v="2"/>
    <n v="7.0587900000000001"/>
    <n v="1.0587900000000001"/>
    <n v="1.7646500000000003"/>
    <n v="1.7646500000000003"/>
  </r>
  <r>
    <s v="Kamong"/>
    <s v="D1-022-0039"/>
    <s v="KamongD1-022-0039"/>
    <n v="4"/>
    <s v="Kamong4"/>
    <s v="Outdoor"/>
    <x v="2"/>
    <n v="3"/>
    <n v="2.6391899999999997"/>
    <n v="-0.3608100000000003"/>
    <n v="-0.6013500000000005"/>
    <n v="0"/>
  </r>
  <r>
    <s v="Kamong"/>
    <s v="D1-027-0001"/>
    <s v="KamongD1-027-0001"/>
    <n v="4"/>
    <s v="Kamong4"/>
    <s v="Outdoor"/>
    <x v="2"/>
    <n v="2"/>
    <n v="7.3809049999999994"/>
    <n v="1.3809049999999994"/>
    <n v="2.3015083333333326"/>
    <n v="2.3015083333333326"/>
  </r>
  <r>
    <s v="Kamong"/>
    <s v="AG-011-0008"/>
    <s v="KamongAG-011-0008"/>
    <n v="4"/>
    <s v="Kamong4"/>
    <s v="Greenhouse"/>
    <x v="1"/>
    <n v="2"/>
    <n v="14.81024"/>
    <n v="10.81024"/>
    <n v="18.017066666666668"/>
    <n v="6.25"/>
  </r>
  <r>
    <s v="Kamong"/>
    <s v="C1-006-0030"/>
    <s v="KamongC1-006-0030"/>
    <n v="4"/>
    <s v="Kamong4"/>
    <s v="Outdoor"/>
    <x v="0"/>
    <n v="6.32"/>
    <n v="12.451768987341771"/>
    <n v="10.451768987341771"/>
    <n v="17.419614978902953"/>
    <n v="6.25"/>
  </r>
  <r>
    <s v="Kanchanadit"/>
    <s v="C1-046-0012"/>
    <s v="KanchanaditC1-046-0012"/>
    <n v="4"/>
    <s v="Kanchanadit4"/>
    <s v="Outdoor"/>
    <x v="3"/>
    <n v="1.53"/>
    <n v="6.2365490196078426"/>
    <n v="0.23654901960784258"/>
    <n v="0.39424836601307101"/>
    <n v="0.39424836601307101"/>
  </r>
  <r>
    <s v="Laemsing"/>
    <s v="B1-027-0014"/>
    <s v="LaemsingB1-027-0014"/>
    <n v="4"/>
    <s v="Laemsing4"/>
    <s v="Outdoor"/>
    <x v="2"/>
    <n v="2.1"/>
    <n v="12.261547619047619"/>
    <n v="9.2615476190476187"/>
    <n v="15.435912698412698"/>
    <n v="6.25"/>
  </r>
  <r>
    <s v="Laemsing"/>
    <s v="B1-013-0032"/>
    <s v="LaemsingB1-013-0032"/>
    <n v="4"/>
    <s v="Laemsing4"/>
    <s v="Outdoor"/>
    <x v="2"/>
    <n v="2.1"/>
    <n v="8.5853285714285708"/>
    <n v="5.5853285714285708"/>
    <n v="9.3088809523809513"/>
    <n v="6.25"/>
  </r>
  <r>
    <s v="Laemsing"/>
    <s v="A1-026-0015"/>
    <s v="LaemsingA1-026-0015"/>
    <n v="4"/>
    <s v="Laemsing4"/>
    <s v="Outdoor"/>
    <x v="2"/>
    <n v="2.2000000000000002"/>
    <n v="10.276222727272726"/>
    <n v="7.2762227272727262"/>
    <n v="12.127037878787878"/>
    <n v="6.25"/>
  </r>
  <r>
    <s v="Laemsing"/>
    <s v="A1-019-0028"/>
    <s v="LaemsingA1-019-0028"/>
    <n v="4"/>
    <s v="Laemsing4"/>
    <s v="Outdoor"/>
    <x v="2"/>
    <n v="2.2000000000000002"/>
    <n v="8.3291454545454542"/>
    <n v="5.3291454545454542"/>
    <n v="8.8819090909090903"/>
    <n v="6.25"/>
  </r>
  <r>
    <s v="Laemsing"/>
    <s v="A1-025-0013"/>
    <s v="LaemsingA1-025-0013"/>
    <n v="4"/>
    <s v="Laemsing4"/>
    <s v="Outdoor"/>
    <x v="2"/>
    <n v="2.5"/>
    <n v="10.032272000000001"/>
    <n v="7.0322720000000007"/>
    <n v="11.720453333333335"/>
    <n v="6.25"/>
  </r>
  <r>
    <s v="Lamlaung"/>
    <s v="A1-002-0045"/>
    <s v="LamlaungA1-002-0045"/>
    <n v="4"/>
    <s v="Lamlaung4"/>
    <s v="Outdoor"/>
    <x v="0"/>
    <n v="5"/>
    <n v="7.0380820000000002"/>
    <n v="5.0380820000000002"/>
    <n v="8.3968033333333345"/>
    <n v="6.25"/>
  </r>
  <r>
    <s v="Lamlaung"/>
    <s v="A1-004-0045"/>
    <s v="LamlaungA1-004-0045"/>
    <n v="4"/>
    <s v="Lamlaung4"/>
    <s v="Outdoor"/>
    <x v="0"/>
    <n v="5"/>
    <n v="5.2900640000000001"/>
    <n v="3.2900640000000001"/>
    <n v="5.4834400000000008"/>
    <n v="5.4834400000000008"/>
  </r>
  <r>
    <s v="Lamlaung"/>
    <s v="B1-111-0007"/>
    <s v="LamlaungB1-111-0007"/>
    <n v="4"/>
    <s v="Lamlaung4"/>
    <s v="Outdoor"/>
    <x v="0"/>
    <n v="5"/>
    <n v="6.3795960000000003"/>
    <n v="4.3795960000000003"/>
    <n v="7.2993266666666674"/>
    <n v="6.25"/>
  </r>
  <r>
    <s v="Lucky1"/>
    <s v="B1-021-0014"/>
    <s v="Lucky1B1-021-0014"/>
    <n v="4"/>
    <s v="Lucky14"/>
    <s v="Outdoor"/>
    <x v="2"/>
    <n v="2.1"/>
    <n v="2.7868952380952381"/>
    <n v="-0.21310476190476191"/>
    <n v="-0.3551746031746032"/>
    <n v="0"/>
  </r>
  <r>
    <s v="Maeklong1"/>
    <s v="A1-009-0042"/>
    <s v="Maeklong1A1-009-0042"/>
    <n v="4"/>
    <s v="Maeklong14"/>
    <s v="Outdoor"/>
    <x v="2"/>
    <n v="3.65"/>
    <n v="4.3374383561643839"/>
    <n v="1.3374383561643839"/>
    <n v="2.2290639269406398"/>
    <n v="2.2290639269406398"/>
  </r>
  <r>
    <s v="Nakornfarm"/>
    <s v="D1-083-0013"/>
    <s v="NakornfarmD1-083-0013"/>
    <n v="4"/>
    <s v="Nakornfarm4"/>
    <s v="Outdoor"/>
    <x v="3"/>
    <n v="1.8"/>
    <n v="1.2742222222222221"/>
    <n v="-4.7257777777777781"/>
    <n v="-7.8762962962962968"/>
    <n v="0"/>
  </r>
  <r>
    <s v="Nakornfarm"/>
    <s v="D1-080-0015"/>
    <s v="NakornfarmD1-080-0015"/>
    <n v="4"/>
    <s v="Nakornfarm4"/>
    <s v="Outdoor"/>
    <x v="3"/>
    <n v="1.8"/>
    <n v="2.9711222222222222"/>
    <n v="-3.0288777777777778"/>
    <n v="-5.0481296296296296"/>
    <n v="0"/>
  </r>
  <r>
    <s v="Nakornfarm"/>
    <s v="E1-077-0015"/>
    <s v="NakornfarmE1-077-0015"/>
    <n v="4"/>
    <s v="Nakornfarm4"/>
    <s v="Outdoor"/>
    <x v="3"/>
    <n v="1.5"/>
    <n v="2.750386666666667"/>
    <n v="-3.249613333333333"/>
    <n v="-5.4160222222222218"/>
    <n v="0"/>
  </r>
  <r>
    <s v="Nakornfarm"/>
    <s v="D1-081-0013"/>
    <s v="NakornfarmD1-081-0013"/>
    <n v="4"/>
    <s v="Nakornfarm4"/>
    <s v="Outdoor"/>
    <x v="3"/>
    <n v="1.8"/>
    <n v="3.0325944444444444"/>
    <n v="-2.9674055555555556"/>
    <n v="-4.9456759259259266"/>
    <n v="0"/>
  </r>
  <r>
    <s v="Nakornfarm"/>
    <s v="E1-074-0012"/>
    <s v="NakornfarmE1-074-0012"/>
    <n v="4"/>
    <s v="Nakornfarm4"/>
    <s v="Outdoor"/>
    <x v="3"/>
    <n v="1.7"/>
    <n v="3.8728941176470588"/>
    <n v="-2.1271058823529412"/>
    <n v="-3.5451764705882356"/>
    <n v="0"/>
  </r>
  <r>
    <s v="Nakornfarm"/>
    <s v="E1-075-0011"/>
    <s v="NakornfarmE1-075-0011"/>
    <n v="4"/>
    <s v="Nakornfarm4"/>
    <s v="Outdoor"/>
    <x v="3"/>
    <n v="1.7"/>
    <n v="6.2901882352941181"/>
    <n v="0.29018823529411808"/>
    <n v="0.48364705882353015"/>
    <n v="0.48364705882353015"/>
  </r>
  <r>
    <s v="Nakornfarm"/>
    <s v="F1-124-0008"/>
    <s v="NakornfarmF1-124-0008"/>
    <n v="4"/>
    <s v="Nakornfarm4"/>
    <s v="Outdoor"/>
    <x v="3"/>
    <n v="1.5"/>
    <n v="3.8502066666666668"/>
    <n v="-2.1497933333333332"/>
    <n v="-3.582988888888889"/>
    <n v="0"/>
  </r>
  <r>
    <s v="Nakornfarm"/>
    <s v="F1-089-0012"/>
    <s v="NakornfarmF1-089-0012"/>
    <n v="4"/>
    <s v="Nakornfarm4"/>
    <s v="Outdoor"/>
    <x v="3"/>
    <n v="1.8"/>
    <n v="8.5569611111111108"/>
    <n v="2.5569611111111108"/>
    <n v="4.2616018518518519"/>
    <n v="4.2616018518518519"/>
  </r>
  <r>
    <s v="Nakornfarm"/>
    <s v="FG-125-0009"/>
    <s v="NakornfarmFG-125-0009"/>
    <n v="4"/>
    <s v="Nakornfarm4"/>
    <s v="Greenhouse"/>
    <x v="1"/>
    <n v="1.4"/>
    <n v="12.757885714285715"/>
    <n v="8.7578857142857149"/>
    <n v="14.596476190476192"/>
    <n v="6.25"/>
  </r>
  <r>
    <s v="Pakpanang1"/>
    <s v="C1-140-0009"/>
    <s v="Pakpanang1C1-140-0009"/>
    <n v="4"/>
    <s v="Pakpanang14"/>
    <s v="Outdoor"/>
    <x v="3"/>
    <n v="1.5"/>
    <n v="4.6047000000000002"/>
    <n v="-1.3952999999999998"/>
    <n v="-2.3254999999999999"/>
    <n v="0"/>
  </r>
  <r>
    <s v="Pakpanang1"/>
    <s v="D1-174-0008"/>
    <s v="Pakpanang1D1-174-0008"/>
    <n v="4"/>
    <s v="Pakpanang14"/>
    <s v="Outdoor"/>
    <x v="3"/>
    <n v="1.8"/>
    <n v="3.7661888888888888"/>
    <n v="-2.2338111111111112"/>
    <n v="-3.7230185185185189"/>
    <n v="0"/>
  </r>
  <r>
    <s v="Pakpanang1"/>
    <s v="D1-177-0009"/>
    <s v="Pakpanang1D1-177-0009"/>
    <n v="4"/>
    <s v="Pakpanang14"/>
    <s v="Outdoor"/>
    <x v="3"/>
    <n v="1.8"/>
    <n v="3.8802055555555555"/>
    <n v="-2.1197944444444445"/>
    <n v="-3.532990740740741"/>
    <n v="0"/>
  </r>
  <r>
    <s v="Pakpanang1"/>
    <s v="A1-181-0008"/>
    <s v="Pakpanang1A1-181-0008"/>
    <n v="4"/>
    <s v="Pakpanang14"/>
    <s v="Outdoor"/>
    <x v="3"/>
    <n v="1.8"/>
    <n v="5.7717055555555552"/>
    <n v="-0.2282944444444448"/>
    <n v="-0.38049074074074135"/>
    <n v="0"/>
  </r>
  <r>
    <s v="PB5"/>
    <s v="A1-011-0046"/>
    <s v="PB5A1-011-0046"/>
    <n v="4"/>
    <s v="PB54"/>
    <s v="Outdoor"/>
    <x v="2"/>
    <n v="2.35"/>
    <n v="8.1044808510638298"/>
    <n v="5.1044808510638298"/>
    <n v="8.5074680851063835"/>
    <n v="6.25"/>
  </r>
  <r>
    <s v="PB5"/>
    <s v="B1-023-0048"/>
    <s v="PB5B1-023-0048"/>
    <n v="4"/>
    <s v="PB54"/>
    <s v="Outdoor"/>
    <x v="0"/>
    <n v="5.9"/>
    <n v="3.1966491525423724"/>
    <n v="1.1966491525423724"/>
    <n v="1.9944152542372873"/>
    <n v="1.9944152542372873"/>
  </r>
  <r>
    <s v="Petchburi5"/>
    <s v="G1-G02-0001"/>
    <s v="Petchburi5G1-G02-0001"/>
    <n v="4"/>
    <s v="Petchburi54"/>
    <s v="Greenhouse"/>
    <x v="1"/>
    <n v="1"/>
    <n v="15.27791"/>
    <n v="11.27791"/>
    <n v="18.796516666666669"/>
    <n v="6.25"/>
  </r>
  <r>
    <s v="Petchburi5"/>
    <s v="AG-002-0012"/>
    <s v="Petchburi5AG-002-0012"/>
    <n v="4"/>
    <s v="Petchburi54"/>
    <s v="Greenhouse"/>
    <x v="1"/>
    <n v="1.5"/>
    <n v="12.428493333333334"/>
    <n v="8.4284933333333338"/>
    <n v="14.047488888888891"/>
    <n v="6.25"/>
  </r>
  <r>
    <s v="Petchburi5"/>
    <s v="B1-116-0006"/>
    <s v="Petchburi5B1-116-0006"/>
    <n v="4"/>
    <s v="Petchburi54"/>
    <s v="Outdoor"/>
    <x v="3"/>
    <n v="1.85"/>
    <n v="17.090070270270271"/>
    <n v="11.090070270270271"/>
    <n v="18.483450450450452"/>
    <n v="6.25"/>
  </r>
  <r>
    <s v="Petchburi5"/>
    <s v="B1-115-0007"/>
    <s v="Petchburi5B1-115-0007"/>
    <n v="4"/>
    <s v="Petchburi54"/>
    <s v="Outdoor"/>
    <x v="2"/>
    <n v="2.0299999999999998"/>
    <n v="13.288310344827588"/>
    <n v="10.288310344827588"/>
    <n v="17.147183908045982"/>
    <n v="6.25"/>
  </r>
  <r>
    <s v="Petchburi5"/>
    <s v="A1-020-0015"/>
    <s v="Petchburi5A1-020-0015"/>
    <n v="4"/>
    <s v="Petchburi54"/>
    <s v="Outdoor"/>
    <x v="3"/>
    <n v="1.5"/>
    <n v="12.641353333333333"/>
    <n v="6.641353333333333"/>
    <n v="11.068922222222222"/>
    <n v="6.25"/>
  </r>
  <r>
    <s v="Petchburi5"/>
    <s v="A1-021-0019"/>
    <s v="Petchburi5A1-021-0019"/>
    <n v="4"/>
    <s v="Petchburi54"/>
    <s v="Outdoor"/>
    <x v="3"/>
    <n v="1.5"/>
    <n v="11.105693333333335"/>
    <n v="5.1056933333333347"/>
    <n v="8.5094888888888924"/>
    <n v="6.25"/>
  </r>
  <r>
    <s v="Petchburi5"/>
    <s v="A1-035-0006"/>
    <s v="Petchburi5A1-035-0006"/>
    <n v="4"/>
    <s v="Petchburi54"/>
    <s v="Outdoor"/>
    <x v="3"/>
    <n v="1.5"/>
    <n v="10.178833333333333"/>
    <n v="4.1788333333333334"/>
    <n v="6.9647222222222229"/>
    <n v="6.25"/>
  </r>
  <r>
    <s v="Ranode"/>
    <s v="AG-093-0012"/>
    <s v="RanodeAG-093-0012"/>
    <n v="4"/>
    <s v="Ranode4"/>
    <s v="Greenhouse"/>
    <x v="1"/>
    <n v="1.8"/>
    <n v="4.361188888888889"/>
    <n v="0.361188888888889"/>
    <n v="0.60198148148148167"/>
    <n v="0.60198148148148167"/>
  </r>
  <r>
    <s v="Rayong3"/>
    <s v="D1-031-0041"/>
    <s v="Rayong3D1-031-0041"/>
    <n v="4"/>
    <s v="Rayong34"/>
    <s v="Outdoor"/>
    <x v="0"/>
    <n v="6.25"/>
    <n v="10.129568000000001"/>
    <n v="8.1295680000000008"/>
    <n v="13.549280000000001"/>
    <n v="6.25"/>
  </r>
  <r>
    <s v="Rayong3"/>
    <s v="A1-045-0009"/>
    <s v="Rayong3A1-045-0009"/>
    <n v="4"/>
    <s v="Rayong34"/>
    <s v="Outdoor"/>
    <x v="3"/>
    <n v="1.5"/>
    <n v="10.47784"/>
    <n v="4.4778400000000005"/>
    <n v="7.4630666666666681"/>
    <n v="6.25"/>
  </r>
  <r>
    <s v="Rayong3"/>
    <s v="A1-023-0031"/>
    <s v="Rayong3A1-023-0031"/>
    <n v="4"/>
    <s v="Rayong34"/>
    <s v="Outdoor"/>
    <x v="0"/>
    <n v="6.25"/>
    <n v="7.6210880000000012"/>
    <n v="5.6210880000000012"/>
    <n v="9.3684800000000017"/>
    <n v="6.25"/>
  </r>
  <r>
    <s v="Roiphet1"/>
    <s v="C3-I05-0065"/>
    <s v="Roiphet1C3-I05-0065"/>
    <n v="4"/>
    <s v="Roiphet14"/>
    <s v="Greenhouse"/>
    <x v="1"/>
    <n v="0.72"/>
    <n v="5.1777500000000005"/>
    <n v="1.1777500000000005"/>
    <n v="1.9629166666666675"/>
    <n v="1.9629166666666675"/>
  </r>
  <r>
    <s v="Roiphet1"/>
    <s v="C3-I06-0062"/>
    <s v="Roiphet1C3-I06-0062"/>
    <n v="4"/>
    <s v="Roiphet14"/>
    <s v="Greenhouse"/>
    <x v="1"/>
    <n v="0.72"/>
    <n v="5.7765555555555554"/>
    <n v="1.7765555555555554"/>
    <n v="2.9609259259259257"/>
    <n v="2.9609259259259257"/>
  </r>
  <r>
    <s v="Roiphet1"/>
    <s v="C2-G04-0063"/>
    <s v="Roiphet1C2-G04-0063"/>
    <n v="4"/>
    <s v="Roiphet14"/>
    <s v="Greenhouse"/>
    <x v="1"/>
    <n v="1.1299999999999999"/>
    <n v="10.483707964601772"/>
    <n v="6.4837079646017717"/>
    <n v="10.806179941002954"/>
    <n v="6.25"/>
  </r>
  <r>
    <s v="Roiphet1"/>
    <s v="C2-G03-0065"/>
    <s v="Roiphet1C2-G03-0065"/>
    <n v="4"/>
    <s v="Roiphet14"/>
    <s v="Greenhouse"/>
    <x v="1"/>
    <n v="1.1299999999999999"/>
    <n v="9.9499380530973465"/>
    <n v="5.9499380530973465"/>
    <n v="9.9165634218289114"/>
    <n v="6.25"/>
  </r>
  <r>
    <s v="Roiphet1"/>
    <s v="D3-I06-0080"/>
    <s v="Roiphet1D3-I06-0080"/>
    <n v="4"/>
    <s v="Roiphet14"/>
    <s v="Greenhouse"/>
    <x v="1"/>
    <n v="0.72"/>
    <n v="6.4425833333333333"/>
    <n v="2.4425833333333333"/>
    <n v="4.0709722222222222"/>
    <n v="4.0709722222222222"/>
  </r>
  <r>
    <s v="Roiphet1"/>
    <s v="D2-I03-0085"/>
    <s v="Roiphet1D2-I03-0085"/>
    <n v="4"/>
    <s v="Roiphet14"/>
    <s v="Greenhouse"/>
    <x v="1"/>
    <n v="0.72"/>
    <n v="6.0539722222222228"/>
    <n v="2.0539722222222228"/>
    <n v="3.4232870370370381"/>
    <n v="3.4232870370370381"/>
  </r>
  <r>
    <s v="Roiphet1"/>
    <s v="D2-G03-0080"/>
    <s v="Roiphet1D2-G03-0080"/>
    <n v="4"/>
    <s v="Roiphet14"/>
    <s v="Greenhouse"/>
    <x v="1"/>
    <n v="1.1299999999999999"/>
    <n v="8.4893097345132755"/>
    <n v="4.4893097345132755"/>
    <n v="7.4821828908554595"/>
    <n v="6.25"/>
  </r>
  <r>
    <s v="Roiphet1"/>
    <s v="D3-I05-0094"/>
    <s v="Roiphet1D3-I05-0094"/>
    <n v="4"/>
    <s v="Roiphet14"/>
    <s v="Greenhouse"/>
    <x v="1"/>
    <n v="0.72"/>
    <n v="6.4069722222222234"/>
    <n v="2.4069722222222234"/>
    <n v="4.0116203703703723"/>
    <n v="4.0116203703703723"/>
  </r>
  <r>
    <s v="Roiphet1"/>
    <s v="D3-G05-0080"/>
    <s v="Roiphet1D3-G05-0080"/>
    <n v="4"/>
    <s v="Roiphet14"/>
    <s v="Greenhouse"/>
    <x v="1"/>
    <n v="1.1299999999999999"/>
    <n v="8.0369469026548668"/>
    <n v="4.0369469026548668"/>
    <n v="6.7282448377581119"/>
    <n v="6.25"/>
  </r>
  <r>
    <s v="Roiphet1"/>
    <s v="D3-G06-0083"/>
    <s v="Roiphet1D3-G06-0083"/>
    <n v="4"/>
    <s v="Roiphet14"/>
    <s v="Greenhouse"/>
    <x v="1"/>
    <n v="1.1299999999999999"/>
    <n v="9.6466548672566379"/>
    <n v="5.6466548672566379"/>
    <n v="9.411091445427731"/>
    <n v="6.25"/>
  </r>
  <r>
    <s v="Roiphet1"/>
    <s v="A2-I03-0094"/>
    <s v="Roiphet1A2-I03-0094"/>
    <n v="4"/>
    <s v="Roiphet14"/>
    <s v="Greenhouse"/>
    <x v="1"/>
    <n v="0.72"/>
    <n v="6.6172222222222219"/>
    <n v="2.6172222222222219"/>
    <n v="4.3620370370370365"/>
    <n v="4.3620370370370365"/>
  </r>
  <r>
    <s v="Roiphet2"/>
    <s v="A1-007-0050"/>
    <s v="Roiphet2A1-007-0050"/>
    <n v="4"/>
    <s v="Roiphet24"/>
    <s v="Outdoor"/>
    <x v="0"/>
    <n v="4.7"/>
    <n v="4.7938425531914888"/>
    <n v="2.7938425531914888"/>
    <n v="4.6564042553191483"/>
    <n v="4.6564042553191483"/>
  </r>
  <r>
    <s v="Roiphet3"/>
    <s v="A1-023-0016"/>
    <s v="Roiphet3A1-023-0016"/>
    <n v="4"/>
    <s v="Roiphet34"/>
    <s v="Outdoor"/>
    <x v="0"/>
    <n v="4.5"/>
    <n v="3.7954377777777779"/>
    <n v="1.7954377777777779"/>
    <n v="2.9923962962962967"/>
    <n v="2.9923962962962967"/>
  </r>
  <r>
    <s v="Roiphet3"/>
    <s v="C1-048-0021"/>
    <s v="Roiphet3C1-048-0021"/>
    <n v="4"/>
    <s v="Roiphet34"/>
    <s v="Outdoor"/>
    <x v="0"/>
    <n v="4.5"/>
    <n v="6.1955422222222216"/>
    <n v="4.1955422222222216"/>
    <n v="6.9925703703703697"/>
    <n v="6.25"/>
  </r>
  <r>
    <s v="Roiphet3"/>
    <s v="C1-057-0017"/>
    <s v="Roiphet3C1-057-0017"/>
    <n v="4"/>
    <s v="Roiphet34"/>
    <s v="Outdoor"/>
    <x v="0"/>
    <n v="4.5"/>
    <n v="4.5831955555555561"/>
    <n v="2.5831955555555561"/>
    <n v="4.3053259259259269"/>
    <n v="4.3053259259259269"/>
  </r>
  <r>
    <s v="Roiphet3"/>
    <s v="C1-051-0025"/>
    <s v="Roiphet3C1-051-0025"/>
    <n v="4"/>
    <s v="Roiphet34"/>
    <s v="Outdoor"/>
    <x v="0"/>
    <n v="4.5"/>
    <n v="7.5922377777777781"/>
    <n v="5.5922377777777781"/>
    <n v="9.3203962962962965"/>
    <n v="6.25"/>
  </r>
  <r>
    <s v="Roiphet3"/>
    <s v="C1-054-0007"/>
    <s v="Roiphet3C1-054-0007"/>
    <n v="4"/>
    <s v="Roiphet34"/>
    <s v="Outdoor"/>
    <x v="0"/>
    <n v="4.5"/>
    <n v="5.7259311111111106"/>
    <n v="3.7259311111111106"/>
    <n v="6.2098851851851844"/>
    <n v="6.2098851851851844"/>
  </r>
  <r>
    <s v="Roiphet3"/>
    <s v="C1-047-0011"/>
    <s v="Roiphet3C1-047-0011"/>
    <n v="4"/>
    <s v="Roiphet34"/>
    <s v="Outdoor"/>
    <x v="0"/>
    <n v="4.5"/>
    <n v="4.1126022222222218"/>
    <n v="2.1126022222222218"/>
    <n v="3.5210037037037032"/>
    <n v="3.5210037037037032"/>
  </r>
  <r>
    <s v="Roiphet3"/>
    <s v="C1-045-0025"/>
    <s v="Roiphet3C1-045-0025"/>
    <n v="4"/>
    <s v="Roiphet34"/>
    <s v="Outdoor"/>
    <x v="0"/>
    <n v="4.5"/>
    <n v="3.502971111111111"/>
    <n v="1.502971111111111"/>
    <n v="2.5049518518518519"/>
    <n v="2.5049518518518519"/>
  </r>
  <r>
    <s v="Roiphet3"/>
    <s v="C1-042-0015"/>
    <s v="Roiphet3C1-042-0015"/>
    <n v="4"/>
    <s v="Roiphet34"/>
    <s v="Outdoor"/>
    <x v="2"/>
    <n v="3.5"/>
    <n v="4.0753057142857143"/>
    <n v="1.0753057142857143"/>
    <n v="1.7921761904761906"/>
    <n v="1.7921761904761906"/>
  </r>
  <r>
    <s v="Roiphet3"/>
    <s v="C1-043-0025"/>
    <s v="Roiphet3C1-043-0025"/>
    <n v="4"/>
    <s v="Roiphet34"/>
    <s v="Outdoor"/>
    <x v="0"/>
    <n v="4.5"/>
    <n v="3.8017955555555556"/>
    <n v="1.8017955555555556"/>
    <n v="3.0029925925925927"/>
    <n v="3.0029925925925927"/>
  </r>
  <r>
    <s v="Roiphet3"/>
    <s v="C1-046-0004"/>
    <s v="Roiphet3C1-046-0004"/>
    <n v="4"/>
    <s v="Roiphet34"/>
    <s v="Outdoor"/>
    <x v="0"/>
    <n v="4.5"/>
    <n v="4.9599622222222228"/>
    <n v="2.9599622222222228"/>
    <n v="4.933270370370372"/>
    <n v="4.933270370370372"/>
  </r>
  <r>
    <s v="SR4"/>
    <s v="G2-059-0010"/>
    <s v="SR4G2-059-0010"/>
    <n v="4"/>
    <s v="SR44"/>
    <s v="Greenhouse"/>
    <x v="1"/>
    <n v="1.85"/>
    <n v="5.0203621621621624"/>
    <n v="1.0203621621621624"/>
    <n v="1.7006036036036041"/>
    <n v="1.7006036036036041"/>
  </r>
  <r>
    <s v="Talaytong"/>
    <s v="A1-039-0006"/>
    <s v="TalaytongA1-039-0006"/>
    <n v="4"/>
    <s v="Talaytong4"/>
    <s v="Outdoor"/>
    <x v="0"/>
    <n v="4.29"/>
    <n v="3.6191095571095566"/>
    <n v="1.6191095571095566"/>
    <n v="2.6985159285159277"/>
    <n v="2.6985159285159277"/>
  </r>
  <r>
    <s v="Tamai2"/>
    <s v="C1-058-0010"/>
    <s v="Tamai2C1-058-0010"/>
    <n v="4"/>
    <s v="Tamai24"/>
    <s v="Outdoor"/>
    <x v="2"/>
    <n v="3.42"/>
    <n v="1.4923099415204679"/>
    <n v="-1.5076900584795321"/>
    <n v="-2.5128167641325536"/>
    <n v="0"/>
  </r>
  <r>
    <s v="Tamai2"/>
    <s v="C1-057-0009"/>
    <s v="Tamai2C1-057-0009"/>
    <n v="4"/>
    <s v="Tamai24"/>
    <s v="Outdoor"/>
    <x v="2"/>
    <n v="3.29"/>
    <n v="7.1950000000000003"/>
    <n v="4.1950000000000003"/>
    <n v="6.9916666666666671"/>
    <n v="6.25"/>
  </r>
  <r>
    <s v="Andaman"/>
    <s v="A1-014-0018"/>
    <s v="AndamanA1-014-0018"/>
    <n v="5"/>
    <s v="Andaman5"/>
    <s v="Outdoor"/>
    <x v="3"/>
    <n v="1.5"/>
    <n v="8.4573866666666664"/>
    <n v="2.4573866666666664"/>
    <n v="4.095644444444444"/>
    <n v="4.095644444444444"/>
  </r>
  <r>
    <s v="Bangkachai1"/>
    <s v="A1-060-0005"/>
    <s v="Bangkachai1A1-060-0005"/>
    <n v="5"/>
    <s v="Bangkachai15"/>
    <s v="Outdoor"/>
    <x v="2"/>
    <n v="2"/>
    <n v="9.4425000000000008"/>
    <n v="3.4425000000000008"/>
    <n v="5.7375000000000016"/>
    <n v="5.7375000000000016"/>
  </r>
  <r>
    <s v="Bangkachai1"/>
    <s v="A1-061-0006"/>
    <s v="Bangkachai1A1-061-0006"/>
    <n v="5"/>
    <s v="Bangkachai15"/>
    <s v="Outdoor"/>
    <x v="2"/>
    <n v="2"/>
    <n v="7.3140400000000003"/>
    <n v="1.3140400000000003"/>
    <n v="2.1900666666666675"/>
    <n v="2.1900666666666675"/>
  </r>
  <r>
    <s v="Bangkachai1"/>
    <s v="BG-045-0012"/>
    <s v="Bangkachai1BG-045-0012"/>
    <n v="5"/>
    <s v="Bangkachai15"/>
    <s v="Greenhouse"/>
    <x v="1"/>
    <n v="2.1"/>
    <n v="10.179671428571428"/>
    <n v="6.179671428571428"/>
    <n v="10.299452380952381"/>
    <n v="6.25"/>
  </r>
  <r>
    <s v="Bangsakao"/>
    <s v="CG-006-0029"/>
    <s v="BangsakaoCG-006-0029"/>
    <n v="5"/>
    <s v="Bangsakao5"/>
    <s v="Greenhouse"/>
    <x v="1"/>
    <n v="5.36"/>
    <n v="4.3461175373134324"/>
    <n v="0.34611753731343242"/>
    <n v="0.57686256218905407"/>
    <n v="0.57686256218905407"/>
  </r>
  <r>
    <s v="Bangsakao"/>
    <s v="DG-005-0025"/>
    <s v="BangsakaoDG-005-0025"/>
    <n v="5"/>
    <s v="Bangsakao5"/>
    <s v="Greenhouse"/>
    <x v="1"/>
    <n v="2"/>
    <n v="10.940895000000001"/>
    <n v="6.9408950000000011"/>
    <n v="11.568158333333336"/>
    <n v="6.25"/>
  </r>
  <r>
    <s v="Bansang"/>
    <s v="A1-008-0014"/>
    <s v="BansangA1-008-0014"/>
    <n v="5"/>
    <s v="Bansang5"/>
    <s v="Outdoor"/>
    <x v="2"/>
    <n v="3.38"/>
    <n v="6.8228491124260353"/>
    <n v="3.8228491124260353"/>
    <n v="6.3714151873767255"/>
    <n v="6.25"/>
  </r>
  <r>
    <s v="Chantaburi3"/>
    <s v="A1-009-0042"/>
    <s v="Chantaburi3A1-009-0042"/>
    <n v="5"/>
    <s v="Chantaburi35"/>
    <s v="Outdoor"/>
    <x v="0"/>
    <n v="4.2"/>
    <n v="6.8879357142857138"/>
    <n v="4.8879357142857138"/>
    <n v="8.1465595238095236"/>
    <n v="6.25"/>
  </r>
  <r>
    <s v="Chantaburi3"/>
    <s v="B1-023-0028"/>
    <s v="Chantaburi3B1-023-0028"/>
    <n v="5"/>
    <s v="Chantaburi35"/>
    <s v="Outdoor"/>
    <x v="2"/>
    <n v="2.2999999999999998"/>
    <n v="0"/>
    <n v="0"/>
    <n v="0"/>
    <n v="0"/>
  </r>
  <r>
    <s v="CHBR1"/>
    <s v="A1-012-0039"/>
    <s v="CHBR1A1-012-0039"/>
    <n v="5"/>
    <s v="CHBR15"/>
    <s v="Outdoor"/>
    <x v="2"/>
    <n v="2"/>
    <n v="4.40801"/>
    <n v="-1.59199"/>
    <n v="-2.653316666666667"/>
    <n v="0"/>
  </r>
  <r>
    <s v="CHBR1"/>
    <s v="A1-009-0033"/>
    <s v="CHBR1A1-009-0033"/>
    <n v="5"/>
    <s v="CHBR15"/>
    <s v="Outdoor"/>
    <x v="2"/>
    <n v="2"/>
    <n v="4.8065299999999995"/>
    <n v="-1.1934700000000005"/>
    <n v="-1.9891166666666675"/>
    <n v="0"/>
  </r>
  <r>
    <s v="Choknavy"/>
    <s v="G1-G01-0001"/>
    <s v="ChoknavyG1-G01-0001"/>
    <n v="5"/>
    <s v="Choknavy5"/>
    <s v="Greenhouse"/>
    <x v="1"/>
    <n v="0.75"/>
    <n v="7.3647866666666673"/>
    <n v="3.3647866666666673"/>
    <n v="5.6079777777777791"/>
    <n v="5.6079777777777791"/>
  </r>
  <r>
    <s v="CS1"/>
    <s v="C1-063-0020"/>
    <s v="CS1C1-063-0020"/>
    <n v="5"/>
    <s v="CS15"/>
    <s v="Outdoor"/>
    <x v="2"/>
    <n v="3.46"/>
    <n v="0.76749132947976884"/>
    <n v="-2.2325086705202311"/>
    <n v="-3.7208477842003851"/>
    <n v="0"/>
  </r>
  <r>
    <s v="CS1"/>
    <s v="C1-056-0019"/>
    <s v="CS1C1-056-0019"/>
    <n v="5"/>
    <s v="CS15"/>
    <s v="Outdoor"/>
    <x v="0"/>
    <n v="4.2"/>
    <n v="1.2076095238095237"/>
    <n v="-0.79239047619047631"/>
    <n v="-1.3206507936507939"/>
    <n v="0"/>
  </r>
  <r>
    <s v="CS1"/>
    <s v="C1-083-0020"/>
    <s v="CS1C1-083-0020"/>
    <n v="5"/>
    <s v="CS15"/>
    <s v="Outdoor"/>
    <x v="2"/>
    <n v="2.7"/>
    <n v="1.9539444444444443"/>
    <n v="-1.0460555555555557"/>
    <n v="-1.7434259259259264"/>
    <n v="0"/>
  </r>
  <r>
    <s v="CS1"/>
    <s v="C1-062-0020"/>
    <s v="CS1C1-062-0020"/>
    <n v="5"/>
    <s v="CS15"/>
    <s v="Outdoor"/>
    <x v="2"/>
    <n v="3.5"/>
    <n v="3.3276628571428573"/>
    <n v="0.32766285714285726"/>
    <n v="0.54610476190476209"/>
    <n v="0.54610476190476209"/>
  </r>
  <r>
    <s v="CS1"/>
    <s v="C1-084-0019"/>
    <s v="CS1C1-084-0019"/>
    <n v="5"/>
    <s v="CS15"/>
    <s v="Outdoor"/>
    <x v="2"/>
    <n v="2.25"/>
    <n v="5.0292755555555555"/>
    <n v="2.0292755555555555"/>
    <n v="3.382125925925926"/>
    <n v="3.382125925925926"/>
  </r>
  <r>
    <s v="CS1"/>
    <s v="C1-080-0018"/>
    <s v="CS1C1-080-0018"/>
    <n v="5"/>
    <s v="CS15"/>
    <s v="Outdoor"/>
    <x v="2"/>
    <n v="2.25"/>
    <n v="3.6627777777777784"/>
    <n v="0.66277777777777835"/>
    <n v="1.1046296296296307"/>
    <n v="1.1046296296296307"/>
  </r>
  <r>
    <s v="CS1"/>
    <s v="A1-008-0031"/>
    <s v="CS1A1-008-0031"/>
    <n v="5"/>
    <s v="CS15"/>
    <s v="Outdoor"/>
    <x v="2"/>
    <n v="3.45"/>
    <n v="1.2264289855072463"/>
    <n v="-1.7735710144927537"/>
    <n v="-2.9559516908212564"/>
    <n v="0"/>
  </r>
  <r>
    <s v="CS1"/>
    <s v="A1-096-0028"/>
    <s v="CS1A1-096-0028"/>
    <n v="5"/>
    <s v="CS15"/>
    <s v="Outdoor"/>
    <x v="2"/>
    <n v="2.79"/>
    <n v="3.5845412186379932"/>
    <n v="0.58454121863799324"/>
    <n v="0.97423536439665548"/>
    <n v="0.97423536439665548"/>
  </r>
  <r>
    <s v="CS4"/>
    <s v="A1-002-0047"/>
    <s v="CS4A1-002-0047"/>
    <n v="5"/>
    <s v="CS45"/>
    <s v="Outdoor"/>
    <x v="2"/>
    <n v="2"/>
    <n v="2.1857600000000001"/>
    <n v="-3.8142399999999999"/>
    <n v="-6.3570666666666664"/>
    <n v="0"/>
  </r>
  <r>
    <s v="CS4"/>
    <s v="A1-023-0009"/>
    <s v="CS4A1-023-0009"/>
    <n v="5"/>
    <s v="CS45"/>
    <s v="Outdoor"/>
    <x v="3"/>
    <n v="1.1200000000000001"/>
    <n v="5.5427678571428558"/>
    <n v="-0.4572321428571442"/>
    <n v="-0.76205357142857366"/>
    <n v="0"/>
  </r>
  <r>
    <s v="CS4"/>
    <s v="A1-011-0045"/>
    <s v="CS4A1-011-0045"/>
    <n v="5"/>
    <s v="CS45"/>
    <s v="Outdoor"/>
    <x v="2"/>
    <n v="2.65"/>
    <n v="4.2912641509433964"/>
    <n v="1.2912641509433964"/>
    <n v="2.152106918238994"/>
    <n v="2.152106918238994"/>
  </r>
  <r>
    <s v="CS4"/>
    <s v="A1-025-0017"/>
    <s v="CS4A1-025-0017"/>
    <n v="5"/>
    <s v="CS45"/>
    <s v="Outdoor"/>
    <x v="2"/>
    <n v="2"/>
    <n v="7.9508299999999998"/>
    <n v="1.9508299999999998"/>
    <n v="3.2513833333333331"/>
    <n v="3.2513833333333331"/>
  </r>
  <r>
    <s v="Kamong"/>
    <s v="D1-032-0009"/>
    <s v="KamongD1-032-0009"/>
    <n v="5"/>
    <s v="Kamong5"/>
    <s v="Outdoor"/>
    <x v="2"/>
    <n v="3"/>
    <n v="0"/>
    <n v="0"/>
    <n v="0"/>
    <n v="0"/>
  </r>
  <r>
    <s v="Kamong"/>
    <s v="C1-024-0042"/>
    <s v="KamongC1-024-0042"/>
    <n v="5"/>
    <s v="Kamong5"/>
    <s v="Outdoor"/>
    <x v="0"/>
    <n v="8"/>
    <n v="3.7136262499999999"/>
    <n v="1.7136262499999999"/>
    <n v="2.85604375"/>
    <n v="2.85604375"/>
  </r>
  <r>
    <s v="Kamong"/>
    <s v="C1-018-0018"/>
    <s v="KamongC1-018-0018"/>
    <n v="5"/>
    <s v="Kamong5"/>
    <s v="Outdoor"/>
    <x v="0"/>
    <n v="8.1999999999999993"/>
    <n v="4.4905024390243913"/>
    <n v="2.4905024390243913"/>
    <n v="4.1508373983739855"/>
    <n v="4.1508373983739855"/>
  </r>
  <r>
    <s v="Lamae"/>
    <s v="A1-013-0015"/>
    <s v="LamaeA1-013-0015"/>
    <n v="5"/>
    <s v="Lamae5"/>
    <s v="Outdoor"/>
    <x v="2"/>
    <n v="4"/>
    <n v="8.9127475"/>
    <n v="5.9127475"/>
    <n v="9.8545791666666673"/>
    <n v="6.25"/>
  </r>
  <r>
    <s v="Lucky1"/>
    <s v="B1-016-0004"/>
    <s v="Lucky1B1-016-0004"/>
    <n v="5"/>
    <s v="Lucky15"/>
    <s v="Outdoor"/>
    <x v="2"/>
    <n v="2.1"/>
    <n v="6.9942761904761896"/>
    <n v="3.9942761904761896"/>
    <n v="6.6571269841269833"/>
    <n v="6.25"/>
  </r>
  <r>
    <s v="Lucky1"/>
    <s v="B1-015-0007"/>
    <s v="Lucky1B1-015-0007"/>
    <n v="5"/>
    <s v="Lucky15"/>
    <s v="Outdoor"/>
    <x v="2"/>
    <n v="2.1"/>
    <n v="8.2567999999999984"/>
    <n v="5.2567999999999984"/>
    <n v="8.7613333333333312"/>
    <n v="6.25"/>
  </r>
  <r>
    <s v="Lucky1"/>
    <s v="B1-017-0013"/>
    <s v="Lucky1B1-017-0013"/>
    <n v="5"/>
    <s v="Lucky15"/>
    <s v="Outdoor"/>
    <x v="2"/>
    <n v="2.1"/>
    <n v="7.9766904761904751"/>
    <n v="4.9766904761904751"/>
    <n v="8.2944841269841252"/>
    <n v="6.25"/>
  </r>
  <r>
    <s v="Lucky1"/>
    <s v="B1-018-0012"/>
    <s v="Lucky1B1-018-0012"/>
    <n v="5"/>
    <s v="Lucky15"/>
    <s v="Outdoor"/>
    <x v="2"/>
    <n v="2.1"/>
    <n v="0"/>
    <n v="0"/>
    <n v="0"/>
    <n v="0"/>
  </r>
  <r>
    <s v="Lucky1"/>
    <s v="BG-026-0012"/>
    <s v="Lucky1BG-026-0012"/>
    <n v="5"/>
    <s v="Lucky15"/>
    <s v="Greenhouse"/>
    <x v="1"/>
    <n v="2.1"/>
    <n v="2.8420285714285711"/>
    <n v="-1.1579714285714289"/>
    <n v="-1.9299523809523815"/>
    <n v="0"/>
  </r>
  <r>
    <s v="Lucky2"/>
    <s v="AC-002-0009"/>
    <s v="Lucky2AC-002-0009"/>
    <n v="5"/>
    <s v="Lucky25"/>
    <s v="Tank"/>
    <x v="1"/>
    <n v="0.5"/>
    <n v="5.9432799999999997"/>
    <n v="-5.6720000000000326E-2"/>
    <n v="-9.4533333333333885E-2"/>
    <n v="0"/>
  </r>
  <r>
    <s v="Lucky2"/>
    <s v="AC-001-0009"/>
    <s v="Lucky2AC-001-0009"/>
    <n v="5"/>
    <s v="Lucky25"/>
    <s v="Tank"/>
    <x v="1"/>
    <n v="0.5"/>
    <n v="5.56874"/>
    <n v="-0.43125999999999998"/>
    <n v="-0.71876666666666666"/>
    <n v="0"/>
  </r>
  <r>
    <s v="Lucky2"/>
    <s v="AC-005-0009"/>
    <s v="Lucky2AC-005-0009"/>
    <n v="5"/>
    <s v="Lucky25"/>
    <s v="Tank"/>
    <x v="1"/>
    <n v="0.5"/>
    <n v="5.2615600000000002"/>
    <n v="-0.73843999999999976"/>
    <n v="-1.230733333333333"/>
    <n v="0"/>
  </r>
  <r>
    <s v="Lucky2"/>
    <s v="AC-004-0009"/>
    <s v="Lucky2AC-004-0009"/>
    <n v="5"/>
    <s v="Lucky25"/>
    <s v="Tank"/>
    <x v="1"/>
    <n v="0.5"/>
    <n v="4.1474799999999998"/>
    <n v="-1.8525200000000002"/>
    <n v="-3.0875333333333339"/>
    <n v="0"/>
  </r>
  <r>
    <s v="Lucky3"/>
    <s v="BG-026-0011"/>
    <s v="Lucky3BG-026-0011"/>
    <n v="5"/>
    <s v="Lucky35"/>
    <s v="Greenhouse"/>
    <x v="1"/>
    <n v="1.5"/>
    <n v="2.6868133333333333"/>
    <n v="-1.3131866666666667"/>
    <n v="-2.1886444444444448"/>
    <n v="0"/>
  </r>
  <r>
    <s v="Lucky3"/>
    <s v="B1-022-0012"/>
    <s v="Lucky3B1-022-0012"/>
    <n v="5"/>
    <s v="Lucky35"/>
    <s v="Outdoor"/>
    <x v="3"/>
    <n v="1.5"/>
    <n v="1.7345933333333334"/>
    <n v="-4.2654066666666663"/>
    <n v="-7.1090111111111112"/>
    <n v="0"/>
  </r>
  <r>
    <s v="Lucky3"/>
    <s v="BG-027-0011"/>
    <s v="Lucky3BG-027-0011"/>
    <n v="5"/>
    <s v="Lucky35"/>
    <s v="Greenhouse"/>
    <x v="1"/>
    <n v="1.5"/>
    <n v="3.1145933333333335"/>
    <n v="-0.88540666666666645"/>
    <n v="-1.4756777777777774"/>
    <n v="0"/>
  </r>
  <r>
    <s v="Lucky3"/>
    <s v="B1-023-0012"/>
    <s v="Lucky3B1-023-0012"/>
    <n v="5"/>
    <s v="Lucky35"/>
    <s v="Outdoor"/>
    <x v="3"/>
    <n v="1.5"/>
    <n v="3.1660933333333339"/>
    <n v="-2.8339066666666661"/>
    <n v="-4.723177777777777"/>
    <n v="0"/>
  </r>
  <r>
    <s v="Lucky3"/>
    <s v="B1-024-0009"/>
    <s v="Lucky3B1-024-0009"/>
    <n v="5"/>
    <s v="Lucky35"/>
    <s v="Outdoor"/>
    <x v="3"/>
    <n v="1.5"/>
    <n v="8.6725733333333341"/>
    <n v="2.6725733333333341"/>
    <n v="4.4542888888888905"/>
    <n v="4.4542888888888905"/>
  </r>
  <r>
    <s v="Lucky3"/>
    <s v="B1-025-0010"/>
    <s v="Lucky3B1-025-0010"/>
    <n v="5"/>
    <s v="Lucky35"/>
    <s v="Outdoor"/>
    <x v="3"/>
    <n v="1.5"/>
    <n v="8.8823466666666668"/>
    <n v="2.8823466666666668"/>
    <n v="4.8039111111111117"/>
    <n v="4.8039111111111117"/>
  </r>
  <r>
    <s v="Maeklong1"/>
    <s v="A1-029-0013"/>
    <s v="Maeklong1A1-029-0013"/>
    <n v="5"/>
    <s v="Maeklong15"/>
    <s v="Outdoor"/>
    <x v="3"/>
    <n v="1.3"/>
    <n v="11.557630769230769"/>
    <n v="5.5576307692307694"/>
    <n v="9.262717948717949"/>
    <n v="6.25"/>
  </r>
  <r>
    <s v="Maeklong1"/>
    <s v="A1-019-0023"/>
    <s v="Maeklong1A1-019-0023"/>
    <n v="5"/>
    <s v="Maeklong15"/>
    <s v="Outdoor"/>
    <x v="0"/>
    <n v="5.24"/>
    <n v="9.8537977099236649"/>
    <n v="7.8537977099236649"/>
    <n v="13.089662849872775"/>
    <n v="6.25"/>
  </r>
  <r>
    <s v="Maeklong1"/>
    <s v="A1-024-0011"/>
    <s v="Maeklong1A1-024-0011"/>
    <n v="5"/>
    <s v="Maeklong15"/>
    <s v="Outdoor"/>
    <x v="2"/>
    <n v="3.92"/>
    <n v="7.5768188775510215"/>
    <n v="4.5768188775510215"/>
    <n v="7.6280314625850361"/>
    <n v="6.25"/>
  </r>
  <r>
    <s v="Nakornfarm"/>
    <s v="BG-119-0010"/>
    <s v="NakornfarmBG-119-0010"/>
    <n v="5"/>
    <s v="Nakornfarm5"/>
    <s v="Greenhouse"/>
    <x v="1"/>
    <n v="1.48"/>
    <n v="13.813810810810811"/>
    <n v="9.8138108108108106"/>
    <n v="16.356351351351353"/>
    <n v="6.25"/>
  </r>
  <r>
    <s v="Pakpanang1"/>
    <s v="A1-180-0009"/>
    <s v="Pakpanang1A1-180-0009"/>
    <n v="5"/>
    <s v="Pakpanang15"/>
    <s v="Outdoor"/>
    <x v="3"/>
    <n v="1.8"/>
    <n v="3.2212111111111112"/>
    <n v="-2.7787888888888888"/>
    <n v="-4.6313148148148144"/>
    <n v="0"/>
  </r>
  <r>
    <s v="Pakpanang1"/>
    <s v="C1-141-0009"/>
    <s v="Pakpanang1C1-141-0009"/>
    <n v="5"/>
    <s v="Pakpanang15"/>
    <s v="Outdoor"/>
    <x v="3"/>
    <n v="1.5"/>
    <n v="4.1953266666666664"/>
    <n v="-1.8046733333333336"/>
    <n v="-3.0077888888888893"/>
    <n v="0"/>
  </r>
  <r>
    <s v="Pakpanang1"/>
    <s v="D1-173-0008"/>
    <s v="Pakpanang1D1-173-0008"/>
    <n v="5"/>
    <s v="Pakpanang15"/>
    <s v="Outdoor"/>
    <x v="3"/>
    <n v="1.8"/>
    <n v="4.4592888888888895"/>
    <n v="-1.5407111111111105"/>
    <n v="-2.5678518518518509"/>
    <n v="0"/>
  </r>
  <r>
    <s v="Pakpanang1"/>
    <s v="C1-139-0009"/>
    <s v="Pakpanang1C1-139-0009"/>
    <n v="5"/>
    <s v="Pakpanang15"/>
    <s v="Outdoor"/>
    <x v="3"/>
    <n v="1.5"/>
    <n v="4.916173333333334"/>
    <n v="-1.083826666666666"/>
    <n v="-1.8063777777777767"/>
    <n v="0"/>
  </r>
  <r>
    <s v="Pakpanang1"/>
    <s v="A1-192-0009"/>
    <s v="Pakpanang1A1-192-0009"/>
    <n v="5"/>
    <s v="Pakpanang15"/>
    <s v="Outdoor"/>
    <x v="3"/>
    <n v="1.8"/>
    <n v="5.7706722222222222"/>
    <n v="-0.2293277777777778"/>
    <n v="-0.38221296296296303"/>
    <n v="0"/>
  </r>
  <r>
    <s v="Pakpanang1"/>
    <s v="D1-172-0008"/>
    <s v="Pakpanang1D1-172-0008"/>
    <n v="5"/>
    <s v="Pakpanang15"/>
    <s v="Outdoor"/>
    <x v="3"/>
    <n v="1.8"/>
    <n v="8.1535611111111113"/>
    <n v="2.1535611111111113"/>
    <n v="3.5892685185185189"/>
    <n v="3.5892685185185189"/>
  </r>
  <r>
    <s v="Pakpanang1"/>
    <s v="A1-183-0010"/>
    <s v="Pakpanang1A1-183-0010"/>
    <n v="5"/>
    <s v="Pakpanang15"/>
    <s v="Outdoor"/>
    <x v="3"/>
    <n v="1.8"/>
    <n v="7.9817111111111103"/>
    <n v="1.9817111111111103"/>
    <n v="3.3028518518518508"/>
    <n v="3.3028518518518508"/>
  </r>
  <r>
    <s v="Pakpanang1"/>
    <s v="C1-138-0010"/>
    <s v="Pakpanang1C1-138-0010"/>
    <n v="5"/>
    <s v="Pakpanang15"/>
    <s v="Outdoor"/>
    <x v="3"/>
    <n v="1.5"/>
    <n v="9.7477266666666669"/>
    <n v="3.7477266666666669"/>
    <n v="6.246211111111112"/>
    <n v="6.246211111111112"/>
  </r>
  <r>
    <s v="Pakpanang1"/>
    <s v="A1-184-0010"/>
    <s v="Pakpanang1A1-184-0010"/>
    <n v="5"/>
    <s v="Pakpanang15"/>
    <s v="Outdoor"/>
    <x v="3"/>
    <n v="1.8"/>
    <n v="9.1188000000000002"/>
    <n v="3.1188000000000002"/>
    <n v="5.1980000000000004"/>
    <n v="5.1980000000000004"/>
  </r>
  <r>
    <s v="Pakpanang1"/>
    <s v="D1-171-0009"/>
    <s v="Pakpanang1D1-171-0009"/>
    <n v="5"/>
    <s v="Pakpanang15"/>
    <s v="Outdoor"/>
    <x v="3"/>
    <n v="1.8"/>
    <n v="12.30186111111111"/>
    <n v="6.3018611111111102"/>
    <n v="10.50310185185185"/>
    <n v="6.25"/>
  </r>
  <r>
    <s v="Pakpanang1"/>
    <s v="C1-136-0009"/>
    <s v="Pakpanang1C1-136-0009"/>
    <n v="5"/>
    <s v="Pakpanang15"/>
    <s v="Outdoor"/>
    <x v="3"/>
    <n v="1.5"/>
    <n v="13.0627"/>
    <n v="7.0626999999999995"/>
    <n v="11.771166666666666"/>
    <n v="6.25"/>
  </r>
  <r>
    <s v="Pakpanang1"/>
    <s v="C1-137-0010"/>
    <s v="Pakpanang1C1-137-0010"/>
    <n v="5"/>
    <s v="Pakpanang15"/>
    <s v="Outdoor"/>
    <x v="3"/>
    <n v="1.5"/>
    <n v="15.249653333333333"/>
    <n v="9.2496533333333328"/>
    <n v="15.416088888888888"/>
    <n v="6.25"/>
  </r>
  <r>
    <s v="Petchburi5"/>
    <s v="AG-005-0011"/>
    <s v="Petchburi5AG-005-0011"/>
    <n v="5"/>
    <s v="Petchburi55"/>
    <s v="Greenhouse"/>
    <x v="1"/>
    <n v="1.5"/>
    <n v="13.07582"/>
    <n v="9.0758200000000002"/>
    <n v="15.126366666666668"/>
    <n v="6.25"/>
  </r>
  <r>
    <s v="Petchburi5"/>
    <s v="AG-006-0011"/>
    <s v="Petchburi5AG-006-0011"/>
    <n v="5"/>
    <s v="Petchburi55"/>
    <s v="Greenhouse"/>
    <x v="1"/>
    <n v="1.5"/>
    <n v="13.364973333333332"/>
    <n v="9.3649733333333316"/>
    <n v="15.608288888888886"/>
    <n v="6.25"/>
  </r>
  <r>
    <s v="Petchburi5"/>
    <s v="AG-004-0011"/>
    <s v="Petchburi5AG-004-0011"/>
    <n v="5"/>
    <s v="Petchburi55"/>
    <s v="Greenhouse"/>
    <x v="1"/>
    <n v="1.5"/>
    <n v="11.570819999999999"/>
    <n v="7.5708199999999994"/>
    <n v="12.618033333333333"/>
    <n v="6.25"/>
  </r>
  <r>
    <s v="Petchburi5"/>
    <s v="B1-127-0008"/>
    <s v="Petchburi5B1-127-0008"/>
    <n v="5"/>
    <s v="Petchburi55"/>
    <s v="Outdoor"/>
    <x v="3"/>
    <n v="1.5"/>
    <n v="12.938273333333333"/>
    <n v="6.9382733333333331"/>
    <n v="11.563788888888888"/>
    <n v="6.25"/>
  </r>
  <r>
    <s v="Petchburi5"/>
    <s v="A1-034-0008"/>
    <s v="Petchburi5A1-034-0008"/>
    <n v="5"/>
    <s v="Petchburi55"/>
    <s v="Outdoor"/>
    <x v="3"/>
    <n v="1.5"/>
    <n v="15.976226666666667"/>
    <n v="9.9762266666666672"/>
    <n v="16.627044444444447"/>
    <n v="6.25"/>
  </r>
  <r>
    <s v="Rayong3"/>
    <s v="C1-016-0037"/>
    <s v="Rayong3C1-016-0037"/>
    <n v="5"/>
    <s v="Rayong35"/>
    <s v="Outdoor"/>
    <x v="0"/>
    <n v="6.25"/>
    <n v="16.080868799999998"/>
    <n v="14.080868799999998"/>
    <n v="23.468114666666665"/>
    <n v="6.25"/>
  </r>
  <r>
    <s v="Roiphet1"/>
    <s v="C3-G06-0078"/>
    <s v="Roiphet1C3-G06-0078"/>
    <n v="5"/>
    <s v="Roiphet15"/>
    <s v="Greenhouse"/>
    <x v="1"/>
    <n v="1.1299999999999999"/>
    <n v="2.883690265486726"/>
    <n v="-1.116309734513274"/>
    <n v="-1.86051622418879"/>
    <n v="0"/>
  </r>
  <r>
    <s v="Roiphet1"/>
    <s v="C3-I06-0063"/>
    <s v="Roiphet1C3-I06-0063"/>
    <n v="5"/>
    <s v="Roiphet15"/>
    <s v="Greenhouse"/>
    <x v="1"/>
    <n v="0.72"/>
    <n v="2.1116111111111109"/>
    <n v="-1.8883888888888891"/>
    <n v="-3.1473148148148153"/>
    <n v="0"/>
  </r>
  <r>
    <s v="Roiphet1"/>
    <s v="C3-G05-0074"/>
    <s v="Roiphet1C3-G05-0074"/>
    <n v="5"/>
    <s v="Roiphet15"/>
    <s v="Greenhouse"/>
    <x v="1"/>
    <n v="1.1299999999999999"/>
    <n v="3.0837610619469031"/>
    <n v="-0.91623893805309686"/>
    <n v="-1.5270648967551614"/>
    <n v="0"/>
  </r>
  <r>
    <s v="Roiphet1"/>
    <s v="C3-I05-0066"/>
    <s v="Roiphet1C3-I05-0066"/>
    <n v="5"/>
    <s v="Roiphet15"/>
    <s v="Greenhouse"/>
    <x v="1"/>
    <n v="0.72"/>
    <n v="2.3845694444444447"/>
    <n v="-1.6154305555555553"/>
    <n v="-2.6923842592592591"/>
    <n v="0"/>
  </r>
  <r>
    <s v="Roiphet1"/>
    <s v="C5-I10-0065"/>
    <s v="Roiphet1C5-I10-0065"/>
    <n v="5"/>
    <s v="Roiphet15"/>
    <s v="Greenhouse"/>
    <x v="1"/>
    <n v="0.72"/>
    <n v="6.3479722222222232"/>
    <n v="2.3479722222222232"/>
    <n v="3.9132870370370387"/>
    <n v="3.9132870370370387"/>
  </r>
  <r>
    <s v="Roiphet1"/>
    <s v="C5-I09-0064"/>
    <s v="Roiphet1C5-I09-0064"/>
    <n v="5"/>
    <s v="Roiphet15"/>
    <s v="Greenhouse"/>
    <x v="1"/>
    <n v="0.72"/>
    <n v="6.7585555555555556"/>
    <n v="2.7585555555555556"/>
    <n v="4.5975925925925933"/>
    <n v="4.5975925925925933"/>
  </r>
  <r>
    <s v="Roiphet1"/>
    <s v="C5-G10-0064"/>
    <s v="Roiphet1C5-G10-0064"/>
    <n v="5"/>
    <s v="Roiphet15"/>
    <s v="Greenhouse"/>
    <x v="1"/>
    <n v="1.1299999999999999"/>
    <n v="7.3095309734513281"/>
    <n v="3.3095309734513281"/>
    <n v="5.515884955752214"/>
    <n v="5.515884955752214"/>
  </r>
  <r>
    <s v="Roiphet1"/>
    <s v="C5-G09-0057"/>
    <s v="Roiphet1C5-G09-0057"/>
    <n v="5"/>
    <s v="Roiphet15"/>
    <s v="Greenhouse"/>
    <x v="1"/>
    <n v="1.1299999999999999"/>
    <n v="8.2240442477876119"/>
    <n v="4.2240442477876119"/>
    <n v="7.0400737463126868"/>
    <n v="6.25"/>
  </r>
  <r>
    <s v="Roiphet1"/>
    <s v="C1-G02-0073"/>
    <s v="Roiphet1C1-G02-0073"/>
    <n v="5"/>
    <s v="Roiphet15"/>
    <s v="Greenhouse"/>
    <x v="1"/>
    <n v="1.1299999999999999"/>
    <n v="7.232893805309736"/>
    <n v="3.232893805309736"/>
    <n v="5.388156342182894"/>
    <n v="5.388156342182894"/>
  </r>
  <r>
    <s v="Roiphet1"/>
    <s v="C1-I02-0071"/>
    <s v="Roiphet1C1-I02-0071"/>
    <n v="5"/>
    <s v="Roiphet15"/>
    <s v="Greenhouse"/>
    <x v="1"/>
    <n v="0.72"/>
    <n v="6.4782777777777776"/>
    <n v="2.4782777777777776"/>
    <n v="4.1304629629629632"/>
    <n v="4.1304629629629632"/>
  </r>
  <r>
    <s v="Roiphet1"/>
    <s v="C1-I01-0079"/>
    <s v="Roiphet1C1-I01-0079"/>
    <n v="5"/>
    <s v="Roiphet15"/>
    <s v="Greenhouse"/>
    <x v="1"/>
    <n v="0.72"/>
    <n v="6.6060138888888895"/>
    <n v="2.6060138888888895"/>
    <n v="4.3433564814814831"/>
    <n v="4.3433564814814831"/>
  </r>
  <r>
    <s v="Roiphet1"/>
    <s v="C1-G01-0072"/>
    <s v="Roiphet1C1-G01-0072"/>
    <n v="5"/>
    <s v="Roiphet15"/>
    <s v="Greenhouse"/>
    <x v="1"/>
    <n v="1.1299999999999999"/>
    <n v="6.3897610619469036"/>
    <n v="2.3897610619469036"/>
    <n v="3.9829351032448397"/>
    <n v="3.9829351032448397"/>
  </r>
  <r>
    <s v="Roiphet1"/>
    <s v="B5-G09-0084"/>
    <s v="Roiphet1B5-G09-0084"/>
    <n v="5"/>
    <s v="Roiphet15"/>
    <s v="Greenhouse"/>
    <x v="1"/>
    <n v="1.1299999999999999"/>
    <n v="9.5306194690265507"/>
    <n v="5.5306194690265507"/>
    <n v="9.2176991150442511"/>
    <n v="6.25"/>
  </r>
  <r>
    <s v="Roiphet1"/>
    <s v="B5-G10-0083"/>
    <s v="Roiphet1B5-G10-0083"/>
    <n v="5"/>
    <s v="Roiphet15"/>
    <s v="Greenhouse"/>
    <x v="1"/>
    <n v="1.1299999999999999"/>
    <n v="7.661522123893806"/>
    <n v="3.661522123893806"/>
    <n v="6.1025368731563434"/>
    <n v="6.1025368731563434"/>
  </r>
  <r>
    <s v="Roiphet1"/>
    <s v="B3-I05-0092"/>
    <s v="Roiphet1B3-I05-0092"/>
    <n v="5"/>
    <s v="Roiphet15"/>
    <s v="Greenhouse"/>
    <x v="1"/>
    <n v="0.72"/>
    <n v="6.2116111111111119"/>
    <n v="2.2116111111111119"/>
    <n v="3.6860185185185199"/>
    <n v="3.6860185185185199"/>
  </r>
  <r>
    <s v="Roiphet1"/>
    <s v="B3-G05-0092"/>
    <s v="Roiphet1B3-G05-0092"/>
    <n v="5"/>
    <s v="Roiphet15"/>
    <s v="Greenhouse"/>
    <x v="1"/>
    <n v="1.1299999999999999"/>
    <n v="7.7662212389380532"/>
    <n v="3.7662212389380532"/>
    <n v="6.2770353982300886"/>
    <n v="6.25"/>
  </r>
  <r>
    <s v="Roiphet1"/>
    <s v="B5-I09-0093"/>
    <s v="Roiphet1B5-I09-0093"/>
    <n v="5"/>
    <s v="Roiphet15"/>
    <s v="Greenhouse"/>
    <x v="1"/>
    <n v="0.72"/>
    <n v="6.9570833333333342"/>
    <n v="2.9570833333333342"/>
    <n v="4.9284722222222239"/>
    <n v="4.9284722222222239"/>
  </r>
  <r>
    <s v="Roiphet1"/>
    <s v="B5-I10-0090"/>
    <s v="Roiphet1B5-I10-0090"/>
    <n v="5"/>
    <s v="Roiphet15"/>
    <s v="Greenhouse"/>
    <x v="1"/>
    <n v="0.72"/>
    <n v="6.7899305555555554"/>
    <n v="2.7899305555555554"/>
    <n v="4.6498842592592595"/>
    <n v="4.6498842592592595"/>
  </r>
  <r>
    <s v="Roiphet1"/>
    <s v="D4-G07-0062"/>
    <s v="Roiphet1D4-G07-0062"/>
    <n v="5"/>
    <s v="Roiphet15"/>
    <s v="Greenhouse"/>
    <x v="1"/>
    <n v="1.1299999999999999"/>
    <n v="7.3515663716814172"/>
    <n v="3.3515663716814172"/>
    <n v="5.5859439528023627"/>
    <n v="5.5859439528023627"/>
  </r>
  <r>
    <s v="Roiphet1"/>
    <s v="D4-I07-0076"/>
    <s v="Roiphet1D4-I07-0076"/>
    <n v="5"/>
    <s v="Roiphet15"/>
    <s v="Greenhouse"/>
    <x v="1"/>
    <n v="0.72"/>
    <n v="6.9358055555555556"/>
    <n v="2.9358055555555556"/>
    <n v="4.8930092592592596"/>
    <n v="4.8930092592592596"/>
  </r>
  <r>
    <s v="Roiphet1"/>
    <s v="D5-I10-0074"/>
    <s v="Roiphet1D5-I10-0074"/>
    <n v="5"/>
    <s v="Roiphet15"/>
    <s v="Greenhouse"/>
    <x v="1"/>
    <n v="0.72"/>
    <n v="9.1990138888888886"/>
    <n v="5.1990138888888886"/>
    <n v="8.6650231481481477"/>
    <n v="6.25"/>
  </r>
  <r>
    <s v="Roiphet1"/>
    <s v="D2-G04-0079"/>
    <s v="Roiphet1D2-G04-0079"/>
    <n v="5"/>
    <s v="Roiphet15"/>
    <s v="Greenhouse"/>
    <x v="1"/>
    <n v="1.1299999999999999"/>
    <n v="7.0548141592920359"/>
    <n v="3.0548141592920359"/>
    <n v="5.0913569321533938"/>
    <n v="5.0913569321533938"/>
  </r>
  <r>
    <s v="Roiphet1"/>
    <s v="D5-I09-0082"/>
    <s v="Roiphet1D5-I09-0082"/>
    <n v="5"/>
    <s v="Roiphet15"/>
    <s v="Greenhouse"/>
    <x v="1"/>
    <n v="0.72"/>
    <n v="6.8775694444444451"/>
    <n v="2.8775694444444451"/>
    <n v="4.7959490740740751"/>
    <n v="4.7959490740740751"/>
  </r>
  <r>
    <s v="Roiphet1"/>
    <s v="D5-G09-0068"/>
    <s v="Roiphet1D5-G09-0068"/>
    <n v="5"/>
    <s v="Roiphet15"/>
    <s v="Greenhouse"/>
    <x v="1"/>
    <n v="1.1299999999999999"/>
    <n v="10.665699115044248"/>
    <n v="6.6656991150442479"/>
    <n v="11.109498525073747"/>
    <n v="6.25"/>
  </r>
  <r>
    <s v="Roiphet1"/>
    <s v="D2-I04-0091"/>
    <s v="Roiphet1D2-I04-0091"/>
    <n v="5"/>
    <s v="Roiphet15"/>
    <s v="Greenhouse"/>
    <x v="1"/>
    <n v="0.72"/>
    <n v="6.1246111111111112"/>
    <n v="2.1246111111111112"/>
    <n v="3.541018518518519"/>
    <n v="3.541018518518519"/>
  </r>
  <r>
    <s v="Roiphet1"/>
    <s v="D4-G08-0059"/>
    <s v="Roiphet1D4-G08-0059"/>
    <n v="5"/>
    <s v="Roiphet15"/>
    <s v="Greenhouse"/>
    <x v="1"/>
    <n v="1.1299999999999999"/>
    <n v="8.5474070796460175"/>
    <n v="4.5474070796460175"/>
    <n v="7.5790117994100292"/>
    <n v="6.25"/>
  </r>
  <r>
    <s v="Roiphet1"/>
    <s v="D5-G10-0069"/>
    <s v="Roiphet1D5-G10-0069"/>
    <n v="5"/>
    <s v="Roiphet15"/>
    <s v="Greenhouse"/>
    <x v="1"/>
    <n v="1.1299999999999999"/>
    <n v="9.6553628318584082"/>
    <n v="5.6553628318584082"/>
    <n v="9.4256047197640136"/>
    <n v="6.25"/>
  </r>
  <r>
    <s v="Roiphet1"/>
    <s v="D4-I08-0071"/>
    <s v="Roiphet1D4-I08-0071"/>
    <n v="5"/>
    <s v="Roiphet15"/>
    <s v="Greenhouse"/>
    <x v="1"/>
    <n v="0.72"/>
    <n v="5.6074722222222224"/>
    <n v="1.6074722222222224"/>
    <n v="2.679120370370371"/>
    <n v="2.679120370370371"/>
  </r>
  <r>
    <s v="Roiphet1"/>
    <s v="A2-G04-0081"/>
    <s v="Roiphet1A2-G04-0081"/>
    <n v="5"/>
    <s v="Roiphet15"/>
    <s v="Greenhouse"/>
    <x v="1"/>
    <n v="1.1299999999999999"/>
    <n v="7.4836725663716823"/>
    <n v="3.4836725663716823"/>
    <n v="5.8061209439528039"/>
    <n v="5.8061209439528039"/>
  </r>
  <r>
    <s v="Roiphet1"/>
    <s v="A2-I04-0099"/>
    <s v="Roiphet1A2-I04-0099"/>
    <n v="5"/>
    <s v="Roiphet15"/>
    <s v="Greenhouse"/>
    <x v="1"/>
    <n v="0.72"/>
    <n v="6.1501250000000001"/>
    <n v="2.1501250000000001"/>
    <n v="3.5835416666666671"/>
    <n v="3.5835416666666671"/>
  </r>
  <r>
    <s v="Roiphet1"/>
    <s v="A4-I07-0094"/>
    <s v="Roiphet1A4-I07-0094"/>
    <n v="5"/>
    <s v="Roiphet15"/>
    <s v="Greenhouse"/>
    <x v="1"/>
    <n v="0.72"/>
    <n v="7.109430555555555"/>
    <n v="3.109430555555555"/>
    <n v="5.1823842592592584"/>
    <n v="5.1823842592592584"/>
  </r>
  <r>
    <s v="Roiphet1"/>
    <s v="A4-G07-0071"/>
    <s v="Roiphet1A4-G07-0071"/>
    <n v="5"/>
    <s v="Roiphet15"/>
    <s v="Greenhouse"/>
    <x v="1"/>
    <n v="1.1299999999999999"/>
    <n v="8.834398230088496"/>
    <n v="4.834398230088496"/>
    <n v="8.0573303834808279"/>
    <n v="6.25"/>
  </r>
  <r>
    <s v="Roiphet1"/>
    <s v="A1-G02-0074"/>
    <s v="Roiphet1A1-G02-0074"/>
    <n v="5"/>
    <s v="Roiphet15"/>
    <s v="Greenhouse"/>
    <x v="1"/>
    <n v="1.1299999999999999"/>
    <n v="7.919734513274336"/>
    <n v="3.919734513274336"/>
    <n v="6.5328908554572269"/>
    <n v="6.25"/>
  </r>
  <r>
    <s v="Roiphet1"/>
    <s v="A1-I02-0094"/>
    <s v="Roiphet1A1-I02-0094"/>
    <n v="5"/>
    <s v="Roiphet15"/>
    <s v="Greenhouse"/>
    <x v="1"/>
    <n v="0.72"/>
    <n v="6.9745833333333334"/>
    <n v="2.9745833333333334"/>
    <n v="4.9576388888888889"/>
    <n v="4.9576388888888889"/>
  </r>
  <r>
    <s v="Roiphet1"/>
    <s v="A6-I11-0101"/>
    <s v="Roiphet1A6-I11-0101"/>
    <n v="5"/>
    <s v="Roiphet15"/>
    <s v="Greenhouse"/>
    <x v="1"/>
    <n v="0.72"/>
    <n v="4.6213055555555558"/>
    <n v="0.62130555555555578"/>
    <n v="1.0355092592592596"/>
    <n v="1.0355092592592596"/>
  </r>
  <r>
    <s v="Roiphet1"/>
    <s v="A5-I10-0094"/>
    <s v="Roiphet1A5-I10-0094"/>
    <n v="5"/>
    <s v="Roiphet15"/>
    <s v="Greenhouse"/>
    <x v="1"/>
    <n v="0.72"/>
    <n v="4.8111805555555565"/>
    <n v="0.81118055555555646"/>
    <n v="1.3519675925925942"/>
    <n v="1.3519675925925942"/>
  </r>
  <r>
    <s v="Roiphet1"/>
    <s v="A5-G10-0068"/>
    <s v="Roiphet1A5-G10-0068"/>
    <n v="5"/>
    <s v="Roiphet15"/>
    <s v="Greenhouse"/>
    <x v="1"/>
    <n v="1.1299999999999999"/>
    <n v="6.0484070796460179"/>
    <n v="2.0484070796460179"/>
    <n v="3.4140117994100301"/>
    <n v="3.4140117994100301"/>
  </r>
  <r>
    <s v="Roiphet1"/>
    <s v="A6-G11-0091"/>
    <s v="Roiphet1A6-G11-0091"/>
    <n v="5"/>
    <s v="Roiphet15"/>
    <s v="Greenhouse"/>
    <x v="1"/>
    <n v="1.1299999999999999"/>
    <n v="5.2871858407079655"/>
    <n v="1.2871858407079655"/>
    <n v="2.1453097345132761"/>
    <n v="2.1453097345132761"/>
  </r>
  <r>
    <s v="Roiphet1"/>
    <s v="A2-G03-0082"/>
    <s v="Roiphet1A2-G03-0082"/>
    <n v="5"/>
    <s v="Roiphet15"/>
    <s v="Greenhouse"/>
    <x v="1"/>
    <n v="1.1299999999999999"/>
    <n v="6.8285044247787621"/>
    <n v="2.8285044247787621"/>
    <n v="4.7141740412979374"/>
    <n v="4.7141740412979374"/>
  </r>
  <r>
    <s v="Roiphet2"/>
    <s v="B1-013-0036"/>
    <s v="Roiphet2B1-013-0036"/>
    <n v="5"/>
    <s v="Roiphet25"/>
    <s v="Outdoor"/>
    <x v="0"/>
    <n v="4.5"/>
    <n v="5.3942866666666669"/>
    <n v="3.3942866666666669"/>
    <n v="5.6571444444444454"/>
    <n v="5.6571444444444454"/>
  </r>
  <r>
    <s v="Roiphet2"/>
    <s v="A1-008-0034"/>
    <s v="Roiphet2A1-008-0034"/>
    <n v="5"/>
    <s v="Roiphet25"/>
    <s v="Outdoor"/>
    <x v="0"/>
    <n v="4.5"/>
    <n v="4.6165288888888893"/>
    <n v="2.6165288888888893"/>
    <n v="4.3608814814814822"/>
    <n v="4.3608814814814822"/>
  </r>
  <r>
    <s v="Roiphet2"/>
    <s v="B1-014-0044"/>
    <s v="Roiphet2B1-014-0044"/>
    <n v="5"/>
    <s v="Roiphet25"/>
    <s v="Outdoor"/>
    <x v="0"/>
    <n v="4.5"/>
    <n v="3.279355555555556"/>
    <n v="1.279355555555556"/>
    <n v="2.1322592592592602"/>
    <n v="2.1322592592592602"/>
  </r>
  <r>
    <s v="Roiphet2"/>
    <s v="A1-002-0048"/>
    <s v="Roiphet2A1-002-0048"/>
    <n v="5"/>
    <s v="Roiphet25"/>
    <s v="Outdoor"/>
    <x v="0"/>
    <n v="5.2"/>
    <n v="3.6580288461538464"/>
    <n v="1.6580288461538464"/>
    <n v="2.7633814102564109"/>
    <n v="2.7633814102564109"/>
  </r>
  <r>
    <s v="Roiphet2"/>
    <s v="A1-006-0045"/>
    <s v="Roiphet2A1-006-0045"/>
    <n v="5"/>
    <s v="Roiphet25"/>
    <s v="Outdoor"/>
    <x v="0"/>
    <n v="5.3"/>
    <n v="5.6923867924528304"/>
    <n v="3.6923867924528304"/>
    <n v="6.153977987421384"/>
    <n v="6.153977987421384"/>
  </r>
  <r>
    <s v="Roiphet2"/>
    <s v="A1-001-0031"/>
    <s v="Roiphet2A1-001-0031"/>
    <n v="5"/>
    <s v="Roiphet25"/>
    <s v="Outdoor"/>
    <x v="0"/>
    <n v="4.2"/>
    <n v="3.1428499999999997"/>
    <n v="1.1428499999999997"/>
    <n v="1.9047499999999995"/>
    <n v="1.9047499999999995"/>
  </r>
  <r>
    <s v="Roiphet3"/>
    <s v="A1-026-0022"/>
    <s v="Roiphet3A1-026-0022"/>
    <n v="5"/>
    <s v="Roiphet35"/>
    <s v="Outdoor"/>
    <x v="0"/>
    <n v="4.9000000000000004"/>
    <n v="5.5537897959183669"/>
    <n v="3.5537897959183669"/>
    <n v="5.9229829931972784"/>
    <n v="5.9229829931972784"/>
  </r>
  <r>
    <s v="Roiphet3"/>
    <s v="A1-024-0032"/>
    <s v="Roiphet3A1-024-0032"/>
    <n v="5"/>
    <s v="Roiphet35"/>
    <s v="Outdoor"/>
    <x v="0"/>
    <n v="4.5"/>
    <n v="3.1337177777777776"/>
    <n v="1.1337177777777776"/>
    <n v="1.8895296296296293"/>
    <n v="1.8895296296296293"/>
  </r>
  <r>
    <s v="Roiphet3"/>
    <s v="A1-027-0027"/>
    <s v="Roiphet3A1-027-0027"/>
    <n v="5"/>
    <s v="Roiphet35"/>
    <s v="Outdoor"/>
    <x v="0"/>
    <n v="4.9000000000000004"/>
    <n v="6.0665061224489794"/>
    <n v="4.0665061224489794"/>
    <n v="6.7775102040816328"/>
    <n v="6.25"/>
  </r>
  <r>
    <s v="SR1"/>
    <s v="A1-028-0036"/>
    <s v="SR1A1-028-0036"/>
    <n v="5"/>
    <s v="SR15"/>
    <s v="Outdoor"/>
    <x v="2"/>
    <n v="4"/>
    <n v="7.0337250000000004"/>
    <n v="4.0337250000000004"/>
    <n v="6.722875000000001"/>
    <n v="6.25"/>
  </r>
  <r>
    <s v="SR4"/>
    <s v="G1-053-0008"/>
    <s v="SR4G1-053-0008"/>
    <n v="5"/>
    <s v="SR45"/>
    <s v="Greenhouse"/>
    <x v="1"/>
    <n v="2"/>
    <n v="3.7672699999999999"/>
    <n v="-0.2327300000000001"/>
    <n v="-0.38788333333333352"/>
    <n v="0"/>
  </r>
  <r>
    <s v="SR4"/>
    <s v="G1-051-0009"/>
    <s v="SR4G1-051-0009"/>
    <n v="5"/>
    <s v="SR45"/>
    <s v="Greenhouse"/>
    <x v="1"/>
    <n v="2"/>
    <n v="11.69525"/>
    <n v="7.6952499999999997"/>
    <n v="12.825416666666667"/>
    <n v="6.25"/>
  </r>
  <r>
    <s v="Talaytong"/>
    <s v="A1-034-0008"/>
    <s v="TalaytongA1-034-0008"/>
    <n v="5"/>
    <s v="Talaytong5"/>
    <s v="Outdoor"/>
    <x v="0"/>
    <n v="4.22"/>
    <n v="3.2719194312796209"/>
    <n v="1.2719194312796209"/>
    <n v="2.1198657187993684"/>
    <n v="2.1198657187993684"/>
  </r>
  <r>
    <s v="Talaytong"/>
    <s v="A1-038-0008"/>
    <s v="TalaytongA1-038-0008"/>
    <n v="5"/>
    <s v="Talaytong5"/>
    <s v="Outdoor"/>
    <x v="0"/>
    <n v="5.45"/>
    <n v="5.6472036697247701"/>
    <n v="3.6472036697247701"/>
    <n v="6.0786727828746168"/>
    <n v="6.0786727828746168"/>
  </r>
  <r>
    <s v="Tamai2"/>
    <s v="D1-073-0009"/>
    <s v="Tamai2D1-073-0009"/>
    <n v="5"/>
    <s v="Tamai25"/>
    <s v="Outdoor"/>
    <x v="2"/>
    <n v="2.4300000000000002"/>
    <n v="13.719917695473253"/>
    <n v="10.719917695473253"/>
    <n v="17.866529492455424"/>
    <n v="6.25"/>
  </r>
  <r>
    <s v="Tamai2"/>
    <s v="A1-082-0008"/>
    <s v="Tamai2A1-082-0008"/>
    <n v="5"/>
    <s v="Tamai25"/>
    <s v="Outdoor"/>
    <x v="0"/>
    <n v="4.22"/>
    <n v="4.9543151658767774"/>
    <n v="2.9543151658767774"/>
    <n v="4.9238586097946291"/>
    <n v="4.9238586097946291"/>
  </r>
  <r>
    <s v="Tamai2"/>
    <s v="E1-027-0035"/>
    <s v="Tamai2E1-027-0035"/>
    <n v="5"/>
    <s v="Tamai25"/>
    <s v="Outdoor"/>
    <x v="0"/>
    <n v="5.0999999999999996"/>
    <n v="5.1587627450980396"/>
    <n v="3.1587627450980396"/>
    <n v="5.2646045751633999"/>
    <n v="5.2646045751633999"/>
  </r>
  <r>
    <s v="Andaman"/>
    <s v="A1-013-0018"/>
    <s v="AndamanA1-013-0018"/>
    <n v="6"/>
    <s v="Andaman6"/>
    <s v="Outdoor"/>
    <x v="3"/>
    <n v="1.5"/>
    <n v="8.5943400000000008"/>
    <n v="2.5943400000000008"/>
    <n v="4.3239000000000019"/>
    <n v="4.3239000000000019"/>
  </r>
  <r>
    <s v="Bangsakao"/>
    <s v="B1-006-0013"/>
    <s v="BangsakaoB1-006-0013"/>
    <n v="6"/>
    <s v="Bangsakao6"/>
    <s v="Outdoor"/>
    <x v="0"/>
    <n v="4.75"/>
    <n v="6.6267052631578949"/>
    <n v="4.6267052631578949"/>
    <n v="7.7111754385964915"/>
    <n v="6.25"/>
  </r>
  <r>
    <s v="Bangsakao"/>
    <s v="CG-007-0025"/>
    <s v="BangsakaoCG-007-0025"/>
    <n v="6"/>
    <s v="Bangsakao6"/>
    <s v="Greenhouse"/>
    <x v="1"/>
    <n v="3.81"/>
    <n v="3.3107506561679787"/>
    <n v="-0.6892493438320213"/>
    <n v="-1.1487489063867022"/>
    <n v="0"/>
  </r>
  <r>
    <s v="Bangsakao"/>
    <s v="CG-008-0029"/>
    <s v="BangsakaoCG-008-0029"/>
    <n v="6"/>
    <s v="Bangsakao6"/>
    <s v="Greenhouse"/>
    <x v="1"/>
    <n v="3.73"/>
    <n v="4.6767024128686323"/>
    <n v="0.67670241286863231"/>
    <n v="1.1278373547810538"/>
    <n v="1.1278373547810538"/>
  </r>
  <r>
    <s v="Bangsakao"/>
    <s v="CG-002-0028"/>
    <s v="BangsakaoCG-002-0028"/>
    <n v="6"/>
    <s v="Bangsakao6"/>
    <s v="Greenhouse"/>
    <x v="1"/>
    <n v="3.45"/>
    <n v="8.7178434782608694"/>
    <n v="4.7178434782608694"/>
    <n v="7.8630724637681162"/>
    <n v="6.25"/>
  </r>
  <r>
    <s v="Bangsakao"/>
    <s v="CG-009-0025"/>
    <s v="BangsakaoCG-009-0025"/>
    <n v="6"/>
    <s v="Bangsakao6"/>
    <s v="Greenhouse"/>
    <x v="1"/>
    <n v="3.8"/>
    <n v="9.6817289473684216"/>
    <n v="5.6817289473684216"/>
    <n v="9.4695482456140372"/>
    <n v="6.25"/>
  </r>
  <r>
    <s v="Bangsakao"/>
    <s v="DG-006-0026"/>
    <s v="BangsakaoDG-006-0026"/>
    <n v="6"/>
    <s v="Bangsakao6"/>
    <s v="Greenhouse"/>
    <x v="1"/>
    <n v="2"/>
    <n v="6.0914399999999995"/>
    <n v="2.0914399999999995"/>
    <n v="3.4857333333333327"/>
    <n v="3.4857333333333327"/>
  </r>
  <r>
    <s v="Bangsakao"/>
    <s v="DG-004-0023"/>
    <s v="BangsakaoDG-004-0023"/>
    <n v="6"/>
    <s v="Bangsakao6"/>
    <s v="Greenhouse"/>
    <x v="1"/>
    <n v="2"/>
    <n v="11.235989999999999"/>
    <n v="7.2359899999999993"/>
    <n v="12.059983333333333"/>
    <n v="6.25"/>
  </r>
  <r>
    <s v="Bangsakao"/>
    <s v="DG-001-0027"/>
    <s v="BangsakaoDG-001-0027"/>
    <n v="6"/>
    <s v="Bangsakao6"/>
    <s v="Greenhouse"/>
    <x v="1"/>
    <n v="2"/>
    <n v="13.929559999999999"/>
    <n v="9.9295599999999986"/>
    <n v="16.549266666666664"/>
    <n v="6.25"/>
  </r>
  <r>
    <s v="Bansang"/>
    <s v="A1-006-0014"/>
    <s v="BansangA1-006-0014"/>
    <n v="6"/>
    <s v="Bansang6"/>
    <s v="Outdoor"/>
    <x v="2"/>
    <n v="3.38"/>
    <n v="7.0364881656804741"/>
    <n v="4.0364881656804741"/>
    <n v="6.7274802761341235"/>
    <n v="6.25"/>
  </r>
  <r>
    <s v="Bansang"/>
    <s v="A1-005-0015"/>
    <s v="BansangA1-005-0015"/>
    <n v="6"/>
    <s v="Bansang6"/>
    <s v="Outdoor"/>
    <x v="2"/>
    <n v="3.38"/>
    <n v="7.1529585798816573"/>
    <n v="4.1529585798816573"/>
    <n v="6.9215976331360958"/>
    <n v="6.25"/>
  </r>
  <r>
    <s v="Bo Thong"/>
    <s v="B1-013-0013"/>
    <s v="Bo ThongB1-013-0013"/>
    <n v="6"/>
    <s v="Bo Thong6"/>
    <s v="Outdoor"/>
    <x v="2"/>
    <n v="2.76"/>
    <n v="7.8226376811594207"/>
    <n v="4.8226376811594207"/>
    <n v="8.0377294685990357"/>
    <n v="6.25"/>
  </r>
  <r>
    <s v="Bo Thong"/>
    <s v="B1-014-0012"/>
    <s v="Bo ThongB1-014-0012"/>
    <n v="6"/>
    <s v="Bo Thong6"/>
    <s v="Outdoor"/>
    <x v="2"/>
    <n v="2.52"/>
    <n v="11.920063492063493"/>
    <n v="8.9200634920634929"/>
    <n v="14.866772486772488"/>
    <n v="6.25"/>
  </r>
  <r>
    <s v="Bo Thong"/>
    <s v="BG-002-0014"/>
    <s v="Bo ThongBG-002-0014"/>
    <n v="6"/>
    <s v="Bo Thong6"/>
    <s v="Greenhouse"/>
    <x v="1"/>
    <n v="1.88"/>
    <n v="8.7195691489361717"/>
    <n v="4.7195691489361717"/>
    <n v="7.8659485815602865"/>
    <n v="6.25"/>
  </r>
  <r>
    <s v="CHBR1"/>
    <s v="A1-016-0013"/>
    <s v="CHBR1A1-016-0013"/>
    <n v="6"/>
    <s v="CHBR16"/>
    <s v="Outdoor"/>
    <x v="2"/>
    <n v="2"/>
    <n v="6.7981099999999994"/>
    <n v="0.79810999999999943"/>
    <n v="1.3301833333333324"/>
    <n v="1.3301833333333324"/>
  </r>
  <r>
    <s v="CS4"/>
    <s v="A1-026-0015"/>
    <s v="CS4A1-026-0015"/>
    <n v="6"/>
    <s v="CS46"/>
    <s v="Outdoor"/>
    <x v="2"/>
    <n v="2"/>
    <n v="2.7323949999999999"/>
    <n v="-3.2676050000000001"/>
    <n v="-5.4460083333333333"/>
    <n v="0"/>
  </r>
  <r>
    <s v="Kamong"/>
    <s v="AG-031-0012"/>
    <s v="KamongAG-031-0012"/>
    <n v="6"/>
    <s v="Kamong6"/>
    <s v="Greenhouse"/>
    <x v="1"/>
    <n v="2"/>
    <n v="13.48485"/>
    <n v="9.4848499999999998"/>
    <n v="15.808083333333334"/>
    <n v="6.25"/>
  </r>
  <r>
    <s v="Kanchanadit"/>
    <s v="C1-044-0014"/>
    <s v="KanchanaditC1-044-0014"/>
    <n v="6"/>
    <s v="Kanchanadit6"/>
    <s v="Outdoor"/>
    <x v="3"/>
    <n v="1.53"/>
    <n v="8.592032679738562"/>
    <n v="2.592032679738562"/>
    <n v="4.3200544662309373"/>
    <n v="4.3200544662309373"/>
  </r>
  <r>
    <s v="Kanchanadit"/>
    <s v="C1-045-0011"/>
    <s v="KanchanaditC1-045-0011"/>
    <n v="6"/>
    <s v="Kanchanadit6"/>
    <s v="Outdoor"/>
    <x v="3"/>
    <n v="1.53"/>
    <n v="6.9953137254901963"/>
    <n v="0.99531372549019625"/>
    <n v="1.6588562091503272"/>
    <n v="1.6588562091503272"/>
  </r>
  <r>
    <s v="Kanchanadit"/>
    <s v="C1-047-0006"/>
    <s v="KanchanaditC1-047-0006"/>
    <n v="6"/>
    <s v="Kanchanadit6"/>
    <s v="Outdoor"/>
    <x v="3"/>
    <n v="1.53"/>
    <n v="7.9336797385620921"/>
    <n v="1.9336797385620921"/>
    <n v="3.2227995642701535"/>
    <n v="3.2227995642701535"/>
  </r>
  <r>
    <s v="Laemsing"/>
    <s v="B1-012-0030"/>
    <s v="LaemsingB1-012-0030"/>
    <n v="6"/>
    <s v="Laemsing6"/>
    <s v="Outdoor"/>
    <x v="3"/>
    <n v="1.6"/>
    <n v="19.013556249999997"/>
    <n v="13.013556249999997"/>
    <n v="21.689260416666663"/>
    <n v="6.25"/>
  </r>
  <r>
    <s v="Laemsing"/>
    <s v="B1-028-0014"/>
    <s v="LaemsingB1-028-0014"/>
    <n v="6"/>
    <s v="Laemsing6"/>
    <s v="Outdoor"/>
    <x v="2"/>
    <n v="2.1"/>
    <n v="13.080071428571429"/>
    <n v="10.080071428571429"/>
    <n v="16.800119047619049"/>
    <n v="6.25"/>
  </r>
  <r>
    <s v="Laemsing"/>
    <s v="A1-018-0026"/>
    <s v="LaemsingA1-018-0026"/>
    <n v="6"/>
    <s v="Laemsing6"/>
    <s v="Outdoor"/>
    <x v="2"/>
    <n v="2"/>
    <n v="13.49329"/>
    <n v="7.49329"/>
    <n v="12.488816666666667"/>
    <n v="6.25"/>
  </r>
  <r>
    <s v="Lamae"/>
    <s v="A1-012-0013"/>
    <s v="LamaeA1-012-0013"/>
    <n v="6"/>
    <s v="Lamae6"/>
    <s v="Outdoor"/>
    <x v="2"/>
    <n v="4"/>
    <n v="9.184075"/>
    <n v="6.184075"/>
    <n v="10.306791666666667"/>
    <n v="6.25"/>
  </r>
  <r>
    <s v="Lamae"/>
    <s v="A1-011-0022"/>
    <s v="LamaeA1-011-0022"/>
    <n v="6"/>
    <s v="Lamae6"/>
    <s v="Outdoor"/>
    <x v="2"/>
    <n v="4"/>
    <n v="7.2499599999999997"/>
    <n v="4.2499599999999997"/>
    <n v="7.0832666666666668"/>
    <n v="6.25"/>
  </r>
  <r>
    <s v="Lucky1"/>
    <s v="B1-020-0011"/>
    <s v="Lucky1B1-020-0011"/>
    <n v="6"/>
    <s v="Lucky16"/>
    <s v="Outdoor"/>
    <x v="2"/>
    <n v="2.1"/>
    <n v="3.2221761904761901"/>
    <n v="0.22217619047619008"/>
    <n v="0.37029365079365018"/>
    <n v="0.37029365079365018"/>
  </r>
  <r>
    <s v="Lucky1"/>
    <s v="B1-019-0013"/>
    <s v="Lucky1B1-019-0013"/>
    <n v="6"/>
    <s v="Lucky16"/>
    <s v="Outdoor"/>
    <x v="2"/>
    <n v="2.1"/>
    <n v="1.667485714285714"/>
    <n v="-1.332514285714286"/>
    <n v="-2.2208571428571435"/>
    <n v="0"/>
  </r>
  <r>
    <s v="Lucky1"/>
    <s v="BG-027-0011"/>
    <s v="Lucky1BG-027-0011"/>
    <n v="6"/>
    <s v="Lucky16"/>
    <s v="Greenhouse"/>
    <x v="1"/>
    <n v="2.1"/>
    <n v="3.4778190476190476"/>
    <n v="-0.52218095238095241"/>
    <n v="-0.87030158730158735"/>
    <n v="0"/>
  </r>
  <r>
    <s v="Lucky1"/>
    <s v="BG-028-0012"/>
    <s v="Lucky1BG-028-0012"/>
    <n v="6"/>
    <s v="Lucky16"/>
    <s v="Greenhouse"/>
    <x v="1"/>
    <n v="2.1"/>
    <n v="8.9890857142857161"/>
    <n v="4.9890857142857161"/>
    <n v="8.3151428571428614"/>
    <n v="6.25"/>
  </r>
  <r>
    <s v="Lucky2"/>
    <s v="A1-045-0004"/>
    <s v="Lucky2A1-045-0004"/>
    <n v="6"/>
    <s v="Lucky26"/>
    <s v="Outdoor"/>
    <x v="0"/>
    <n v="5.3"/>
    <n v="4.6213566037735845"/>
    <n v="2.6213566037735845"/>
    <n v="4.3689276729559747"/>
    <n v="4.3689276729559747"/>
  </r>
  <r>
    <s v="Lucky3"/>
    <s v="B1-011-0028"/>
    <s v="Lucky3B1-011-0028"/>
    <n v="6"/>
    <s v="Lucky36"/>
    <s v="Outdoor"/>
    <x v="2"/>
    <n v="3.82"/>
    <n v="4.795835078534032"/>
    <n v="1.795835078534032"/>
    <n v="2.9930584642233868"/>
    <n v="2.9930584642233868"/>
  </r>
  <r>
    <s v="Maeklong1"/>
    <s v="A1-015-0036"/>
    <s v="Maeklong1A1-015-0036"/>
    <n v="6"/>
    <s v="Maeklong16"/>
    <s v="Outdoor"/>
    <x v="2"/>
    <n v="2.4300000000000002"/>
    <n v="11.305106995884772"/>
    <n v="8.3051069958847723"/>
    <n v="13.841844993141288"/>
    <n v="6.25"/>
  </r>
  <r>
    <s v="Nakornfarm"/>
    <s v="A1-099-0008"/>
    <s v="NakornfarmA1-099-0008"/>
    <n v="6"/>
    <s v="Nakornfarm6"/>
    <s v="Outdoor"/>
    <x v="3"/>
    <n v="1.5"/>
    <n v="4.9438066666666662"/>
    <n v="-1.0561933333333338"/>
    <n v="-1.760322222222223"/>
    <n v="0"/>
  </r>
  <r>
    <s v="Nakornfarm"/>
    <s v="BG-111-0010"/>
    <s v="NakornfarmBG-111-0010"/>
    <n v="6"/>
    <s v="Nakornfarm6"/>
    <s v="Greenhouse"/>
    <x v="1"/>
    <n v="2"/>
    <n v="14.849254999999999"/>
    <n v="10.849254999999999"/>
    <n v="18.082091666666667"/>
    <n v="6.25"/>
  </r>
  <r>
    <s v="Nakornfarm"/>
    <s v="BG-110-0011"/>
    <s v="NakornfarmBG-110-0011"/>
    <n v="6"/>
    <s v="Nakornfarm6"/>
    <s v="Greenhouse"/>
    <x v="1"/>
    <n v="1.5"/>
    <n v="11.884740000000001"/>
    <n v="7.8847400000000007"/>
    <n v="13.141233333333336"/>
    <n v="6.25"/>
  </r>
  <r>
    <s v="PB5"/>
    <s v="B1-023-0049"/>
    <s v="PB5B1-023-0049"/>
    <n v="6"/>
    <s v="PB56"/>
    <s v="Outdoor"/>
    <x v="0"/>
    <n v="5.9"/>
    <n v="1.3349322033898305"/>
    <n v="-0.66506779661016946"/>
    <n v="-1.1084463276836158"/>
    <n v="0"/>
  </r>
  <r>
    <s v="PB5"/>
    <s v="A1-007-0051"/>
    <s v="PB5A1-007-0051"/>
    <n v="6"/>
    <s v="PB56"/>
    <s v="Outdoor"/>
    <x v="0"/>
    <n v="4.5199999999999996"/>
    <n v="2.4887190265486727"/>
    <n v="0.48871902654867272"/>
    <n v="0.81453171091445453"/>
    <n v="0.81453171091445453"/>
  </r>
  <r>
    <s v="PB5"/>
    <s v="B1-022-0050"/>
    <s v="PB5B1-022-0050"/>
    <n v="6"/>
    <s v="PB56"/>
    <s v="Outdoor"/>
    <x v="0"/>
    <n v="5.72"/>
    <n v="4.4222167832167836"/>
    <n v="2.4222167832167836"/>
    <n v="4.0370279720279729"/>
    <n v="4.0370279720279729"/>
  </r>
  <r>
    <s v="Petchburi5"/>
    <s v="G1-G01-0003"/>
    <s v="Petchburi5G1-G01-0003"/>
    <n v="6"/>
    <s v="Petchburi56"/>
    <s v="Greenhouse"/>
    <x v="1"/>
    <n v="1"/>
    <n v="14.975200000000001"/>
    <n v="10.975200000000001"/>
    <n v="18.292000000000002"/>
    <n v="6.25"/>
  </r>
  <r>
    <s v="Petchburi5"/>
    <s v="AG-001-0013"/>
    <s v="Petchburi5AG-001-0013"/>
    <n v="6"/>
    <s v="Petchburi56"/>
    <s v="Greenhouse"/>
    <x v="1"/>
    <n v="1.5"/>
    <n v="6.5484133333333334"/>
    <n v="2.5484133333333334"/>
    <n v="4.247355555555556"/>
    <n v="4.247355555555556"/>
  </r>
  <r>
    <s v="Petchburi5"/>
    <s v="AG-003-0012"/>
    <s v="Petchburi5AG-003-0012"/>
    <n v="6"/>
    <s v="Petchburi56"/>
    <s v="Greenhouse"/>
    <x v="1"/>
    <n v="1.5"/>
    <n v="14.17966"/>
    <n v="10.17966"/>
    <n v="16.966100000000001"/>
    <n v="6.25"/>
  </r>
  <r>
    <s v="Petchburi5"/>
    <s v="B1-126-0008"/>
    <s v="Petchburi5B1-126-0008"/>
    <n v="6"/>
    <s v="Petchburi56"/>
    <s v="Outdoor"/>
    <x v="3"/>
    <n v="1.5"/>
    <n v="18.21078"/>
    <n v="12.21078"/>
    <n v="20.351300000000002"/>
    <n v="6.25"/>
  </r>
  <r>
    <s v="Petchburi5"/>
    <s v="B1-125-0008"/>
    <s v="Petchburi5B1-125-0008"/>
    <n v="6"/>
    <s v="Petchburi56"/>
    <s v="Outdoor"/>
    <x v="3"/>
    <n v="1.5"/>
    <n v="13.083980000000002"/>
    <n v="7.0839800000000022"/>
    <n v="11.806633333333338"/>
    <n v="6.25"/>
  </r>
  <r>
    <s v="Ranode"/>
    <s v="AG-093-0013"/>
    <s v="RanodeAG-093-0013"/>
    <n v="6"/>
    <s v="Ranode6"/>
    <s v="Greenhouse"/>
    <x v="1"/>
    <n v="1.8"/>
    <n v="6.1444222222222216"/>
    <n v="2.1444222222222216"/>
    <n v="3.5740370370370362"/>
    <n v="3.5740370370370362"/>
  </r>
  <r>
    <s v="Ranode"/>
    <s v="AG-091-0012"/>
    <s v="RanodeAG-091-0012"/>
    <n v="6"/>
    <s v="Ranode6"/>
    <s v="Greenhouse"/>
    <x v="1"/>
    <n v="1.8"/>
    <n v="13.968638888888886"/>
    <n v="9.9686388888888864"/>
    <n v="16.614398148148144"/>
    <n v="6.25"/>
  </r>
  <r>
    <s v="Ranode"/>
    <s v="AG-090-0010"/>
    <s v="RanodeAG-090-0010"/>
    <n v="6"/>
    <s v="Ranode6"/>
    <s v="Greenhouse"/>
    <x v="1"/>
    <n v="1.8"/>
    <n v="11.011277777777778"/>
    <n v="7.0112777777777779"/>
    <n v="11.685462962962964"/>
    <n v="6.25"/>
  </r>
  <r>
    <s v="Roiphet1"/>
    <s v="C2-G04-0064"/>
    <s v="Roiphet1C2-G04-0064"/>
    <n v="6"/>
    <s v="Roiphet16"/>
    <s v="Greenhouse"/>
    <x v="1"/>
    <n v="1.1299999999999999"/>
    <n v="3.1751415929203541"/>
    <n v="-0.82485840707964586"/>
    <n v="-1.3747640117994098"/>
    <n v="0"/>
  </r>
  <r>
    <s v="Roiphet1"/>
    <s v="C2-G03-0066"/>
    <s v="Roiphet1C2-G03-0066"/>
    <n v="6"/>
    <s v="Roiphet16"/>
    <s v="Greenhouse"/>
    <x v="1"/>
    <n v="1.1299999999999999"/>
    <n v="3.2967345132743366"/>
    <n v="-0.70326548672566336"/>
    <n v="-1.1721091445427723"/>
    <n v="0"/>
  </r>
  <r>
    <s v="Roiphet1"/>
    <s v="C2-I03-0059"/>
    <s v="Roiphet1C2-I03-0059"/>
    <n v="6"/>
    <s v="Roiphet16"/>
    <s v="Greenhouse"/>
    <x v="1"/>
    <n v="0.72"/>
    <n v="3.1706805555555557"/>
    <n v="-0.82931944444444428"/>
    <n v="-1.3821990740740739"/>
    <n v="0"/>
  </r>
  <r>
    <s v="Roiphet1"/>
    <s v="C2-I04-0067"/>
    <s v="Roiphet1C2-I04-0067"/>
    <n v="6"/>
    <s v="Roiphet16"/>
    <s v="Greenhouse"/>
    <x v="1"/>
    <n v="0.72"/>
    <n v="3.7113750000000003"/>
    <n v="-0.28862499999999969"/>
    <n v="-0.48104166666666615"/>
    <n v="0"/>
  </r>
  <r>
    <s v="Roiphet1"/>
    <s v="C6-G12-0060"/>
    <s v="Roiphet1C6-G12-0060"/>
    <n v="6"/>
    <s v="Roiphet16"/>
    <s v="Greenhouse"/>
    <x v="1"/>
    <n v="1.1299999999999999"/>
    <n v="7.126424778761062"/>
    <n v="3.126424778761062"/>
    <n v="5.2107079646017702"/>
    <n v="5.2107079646017702"/>
  </r>
  <r>
    <s v="Roiphet1"/>
    <s v="C4-G07-0057"/>
    <s v="Roiphet1C4-G07-0057"/>
    <n v="6"/>
    <s v="Roiphet16"/>
    <s v="Greenhouse"/>
    <x v="1"/>
    <n v="1.1299999999999999"/>
    <n v="5.5015929203539828"/>
    <n v="1.5015929203539828"/>
    <n v="2.5026548672566382"/>
    <n v="2.5026548672566382"/>
  </r>
  <r>
    <s v="Roiphet1"/>
    <s v="C4-G08-0061"/>
    <s v="Roiphet1C4-G08-0061"/>
    <n v="6"/>
    <s v="Roiphet16"/>
    <s v="Greenhouse"/>
    <x v="1"/>
    <n v="1.1299999999999999"/>
    <n v="5.8269203539823016"/>
    <n v="1.8269203539823016"/>
    <n v="3.0448672566371693"/>
    <n v="3.0448672566371693"/>
  </r>
  <r>
    <s v="Roiphet1"/>
    <s v="C4-I07-0060"/>
    <s v="Roiphet1C4-I07-0060"/>
    <n v="6"/>
    <s v="Roiphet16"/>
    <s v="Greenhouse"/>
    <x v="1"/>
    <n v="0.72"/>
    <n v="4.379402777777778"/>
    <n v="0.37940277777777798"/>
    <n v="0.6323379629629633"/>
    <n v="0.6323379629629633"/>
  </r>
  <r>
    <s v="Roiphet1"/>
    <s v="C4-I08-0064"/>
    <s v="Roiphet1C4-I08-0064"/>
    <n v="6"/>
    <s v="Roiphet16"/>
    <s v="Greenhouse"/>
    <x v="1"/>
    <n v="0.72"/>
    <n v="4.290486111111111"/>
    <n v="0.290486111111111"/>
    <n v="0.48414351851851833"/>
    <n v="0.48414351851851833"/>
  </r>
  <r>
    <s v="Roiphet1"/>
    <s v="B2-G03-0080"/>
    <s v="Roiphet1B2-G03-0080"/>
    <n v="6"/>
    <s v="Roiphet16"/>
    <s v="Greenhouse"/>
    <x v="1"/>
    <n v="1.1299999999999999"/>
    <n v="5.1312035398230096"/>
    <n v="1.1312035398230096"/>
    <n v="1.8853392330383494"/>
    <n v="1.8853392330383494"/>
  </r>
  <r>
    <s v="Roiphet1"/>
    <s v="B1-G02-0088"/>
    <s v="Roiphet1B1-G02-0088"/>
    <n v="6"/>
    <s v="Roiphet16"/>
    <s v="Greenhouse"/>
    <x v="1"/>
    <n v="1.1299999999999999"/>
    <n v="7.8953185840707967"/>
    <n v="3.8953185840707967"/>
    <n v="6.492197640117995"/>
    <n v="6.25"/>
  </r>
  <r>
    <s v="Roiphet1"/>
    <s v="B1-G01-0084"/>
    <s v="Roiphet1B1-G01-0084"/>
    <n v="6"/>
    <s v="Roiphet16"/>
    <s v="Greenhouse"/>
    <x v="1"/>
    <n v="1.1299999999999999"/>
    <n v="7.0180530973451329"/>
    <n v="3.0180530973451329"/>
    <n v="5.0300884955752219"/>
    <n v="5.0300884955752219"/>
  </r>
  <r>
    <s v="Roiphet1"/>
    <s v="B2-I03-0095"/>
    <s v="Roiphet1B2-I03-0095"/>
    <n v="6"/>
    <s v="Roiphet16"/>
    <s v="Greenhouse"/>
    <x v="1"/>
    <n v="0.72"/>
    <n v="4.5602777777777774"/>
    <n v="0.56027777777777743"/>
    <n v="0.93379629629629579"/>
    <n v="0.93379629629629579"/>
  </r>
  <r>
    <s v="Roiphet1"/>
    <s v="B2-I04-0098"/>
    <s v="Roiphet1B2-I04-0098"/>
    <n v="6"/>
    <s v="Roiphet16"/>
    <s v="Greenhouse"/>
    <x v="1"/>
    <n v="0.72"/>
    <n v="4.7564305555555562"/>
    <n v="0.75643055555555616"/>
    <n v="1.2607175925925937"/>
    <n v="1.2607175925925937"/>
  </r>
  <r>
    <s v="Roiphet1"/>
    <s v="B2-G04-0092"/>
    <s v="Roiphet1B2-G04-0092"/>
    <n v="6"/>
    <s v="Roiphet16"/>
    <s v="Greenhouse"/>
    <x v="1"/>
    <n v="1.1299999999999999"/>
    <n v="5.2594424778761066"/>
    <n v="1.2594424778761066"/>
    <n v="2.099070796460178"/>
    <n v="2.099070796460178"/>
  </r>
  <r>
    <s v="Roiphet1"/>
    <s v="B1-I02-0095"/>
    <s v="Roiphet1B1-I02-0095"/>
    <n v="6"/>
    <s v="Roiphet16"/>
    <s v="Greenhouse"/>
    <x v="1"/>
    <n v="0.72"/>
    <n v="7.8475972222222232"/>
    <n v="3.8475972222222232"/>
    <n v="6.4126620370370393"/>
    <n v="6.25"/>
  </r>
  <r>
    <s v="Roiphet1"/>
    <s v="B6-I11-0083"/>
    <s v="Roiphet1B6-I11-0083"/>
    <n v="6"/>
    <s v="Roiphet16"/>
    <s v="Greenhouse"/>
    <x v="1"/>
    <n v="0.72"/>
    <n v="6.1293055555555558"/>
    <n v="2.1293055555555558"/>
    <n v="3.5488425925925933"/>
    <n v="3.5488425925925933"/>
  </r>
  <r>
    <s v="Roiphet1"/>
    <s v="B6-I12-0086"/>
    <s v="Roiphet1B6-I12-0086"/>
    <n v="6"/>
    <s v="Roiphet16"/>
    <s v="Greenhouse"/>
    <x v="1"/>
    <n v="0.72"/>
    <n v="6.2286527777777785"/>
    <n v="2.2286527777777785"/>
    <n v="3.7144212962962975"/>
    <n v="3.7144212962962975"/>
  </r>
  <r>
    <s v="Roiphet1"/>
    <s v="B3-G06-0081"/>
    <s v="Roiphet1B3-G06-0081"/>
    <n v="6"/>
    <s v="Roiphet16"/>
    <s v="Greenhouse"/>
    <x v="1"/>
    <n v="1.1299999999999999"/>
    <n v="8.9557256637168141"/>
    <n v="4.9557256637168141"/>
    <n v="8.2595427728613569"/>
    <n v="6.25"/>
  </r>
  <r>
    <s v="Roiphet1"/>
    <s v="B3-I06-0094"/>
    <s v="Roiphet1B3-I06-0094"/>
    <n v="6"/>
    <s v="Roiphet16"/>
    <s v="Greenhouse"/>
    <x v="1"/>
    <n v="0.72"/>
    <n v="7.0005138888888894"/>
    <n v="3.0005138888888894"/>
    <n v="5.0008564814814829"/>
    <n v="5.0008564814814829"/>
  </r>
  <r>
    <s v="Roiphet1"/>
    <s v="B1-I01-0095"/>
    <s v="Roiphet1B1-I01-0095"/>
    <n v="6"/>
    <s v="Roiphet16"/>
    <s v="Greenhouse"/>
    <x v="1"/>
    <n v="0.72"/>
    <n v="6.6656111111111116"/>
    <n v="2.6656111111111116"/>
    <n v="4.4426851851851863"/>
    <n v="4.4426851851851863"/>
  </r>
  <r>
    <s v="Roiphet1"/>
    <s v="B6-G12-0087"/>
    <s v="Roiphet1B6-G12-0087"/>
    <n v="6"/>
    <s v="Roiphet16"/>
    <s v="Greenhouse"/>
    <x v="1"/>
    <n v="1.1299999999999999"/>
    <n v="7.5503362831858407"/>
    <n v="3.5503362831858407"/>
    <n v="5.9172271386430682"/>
    <n v="5.9172271386430682"/>
  </r>
  <r>
    <s v="Roiphet1"/>
    <s v="B6-G11-0082"/>
    <s v="Roiphet1B6-G11-0082"/>
    <n v="6"/>
    <s v="Roiphet16"/>
    <s v="Greenhouse"/>
    <x v="1"/>
    <n v="1.1299999999999999"/>
    <n v="6.7530442477876109"/>
    <n v="2.7530442477876109"/>
    <n v="4.5884070796460188"/>
    <n v="4.5884070796460188"/>
  </r>
  <r>
    <s v="Roiphet1"/>
    <s v="D1-G01-0077"/>
    <s v="Roiphet1D1-G01-0077"/>
    <n v="6"/>
    <s v="Roiphet16"/>
    <s v="Greenhouse"/>
    <x v="1"/>
    <n v="1.1299999999999999"/>
    <n v="6.2035840707964613"/>
    <n v="2.2035840707964613"/>
    <n v="3.6726401179941024"/>
    <n v="3.6726401179941024"/>
  </r>
  <r>
    <s v="Roiphet1"/>
    <s v="D1-G02-0079"/>
    <s v="Roiphet1D1-G02-0079"/>
    <n v="6"/>
    <s v="Roiphet16"/>
    <s v="Greenhouse"/>
    <x v="1"/>
    <n v="1.1299999999999999"/>
    <n v="7.0125663716814168"/>
    <n v="3.0125663716814168"/>
    <n v="5.0209439528023614"/>
    <n v="5.0209439528023614"/>
  </r>
  <r>
    <s v="Roiphet1"/>
    <s v="D1-I02-0089"/>
    <s v="Roiphet1D1-I02-0089"/>
    <n v="6"/>
    <s v="Roiphet16"/>
    <s v="Greenhouse"/>
    <x v="1"/>
    <n v="0.72"/>
    <n v="6.6756388888888898"/>
    <n v="2.6756388888888898"/>
    <n v="4.4593981481481499"/>
    <n v="4.4593981481481499"/>
  </r>
  <r>
    <s v="Roiphet1"/>
    <s v="D1-I01-0091"/>
    <s v="Roiphet1D1-I01-0091"/>
    <n v="6"/>
    <s v="Roiphet16"/>
    <s v="Greenhouse"/>
    <x v="1"/>
    <n v="0.72"/>
    <n v="5.9523333333333337"/>
    <n v="1.9523333333333337"/>
    <n v="3.2538888888888895"/>
    <n v="3.2538888888888895"/>
  </r>
  <r>
    <s v="Roiphet1"/>
    <s v="D6-G11-0076"/>
    <s v="Roiphet1D6-G11-0076"/>
    <n v="6"/>
    <s v="Roiphet16"/>
    <s v="Greenhouse"/>
    <x v="1"/>
    <n v="1.1299999999999999"/>
    <n v="5.658283185840709"/>
    <n v="1.658283185840709"/>
    <n v="2.763805309734515"/>
    <n v="2.763805309734515"/>
  </r>
  <r>
    <s v="Roiphet1"/>
    <s v="D6-G12-0079"/>
    <s v="Roiphet1D6-G12-0079"/>
    <n v="6"/>
    <s v="Roiphet16"/>
    <s v="Greenhouse"/>
    <x v="1"/>
    <n v="1.1299999999999999"/>
    <n v="5.8067964601769919"/>
    <n v="1.8067964601769919"/>
    <n v="3.01132743362832"/>
    <n v="3.01132743362832"/>
  </r>
  <r>
    <s v="Roiphet1"/>
    <s v="D6-I11-0083"/>
    <s v="Roiphet1D6-I11-0083"/>
    <n v="6"/>
    <s v="Roiphet16"/>
    <s v="Greenhouse"/>
    <x v="1"/>
    <n v="0.72"/>
    <n v="3.5612499999999998"/>
    <n v="-0.4387500000000002"/>
    <n v="-0.7312500000000004"/>
    <n v="0"/>
  </r>
  <r>
    <s v="Roiphet1"/>
    <s v="D6-I12-0085"/>
    <s v="Roiphet1D6-I12-0085"/>
    <n v="6"/>
    <s v="Roiphet16"/>
    <s v="Greenhouse"/>
    <x v="1"/>
    <n v="0.72"/>
    <n v="3.915430555555556"/>
    <n v="-8.4569444444444031E-2"/>
    <n v="-0.14094907407407339"/>
    <n v="0"/>
  </r>
  <r>
    <s v="Roiphet1"/>
    <s v="A4-I08-0099"/>
    <s v="Roiphet1A4-I08-0099"/>
    <n v="6"/>
    <s v="Roiphet16"/>
    <s v="Greenhouse"/>
    <x v="1"/>
    <n v="0.72"/>
    <n v="4.7674583333333338"/>
    <n v="0.7674583333333338"/>
    <n v="1.279097222222223"/>
    <n v="1.279097222222223"/>
  </r>
  <r>
    <s v="Roiphet1"/>
    <s v="A1-G01-0063"/>
    <s v="Roiphet1A1-G01-0063"/>
    <n v="6"/>
    <s v="Roiphet16"/>
    <s v="Greenhouse"/>
    <x v="1"/>
    <n v="1.1299999999999999"/>
    <n v="5.8968053097345141"/>
    <n v="1.8968053097345141"/>
    <n v="3.161342182890857"/>
    <n v="3.161342182890857"/>
  </r>
  <r>
    <s v="Roiphet1"/>
    <s v="A1-I01-0088"/>
    <s v="Roiphet1A1-I01-0088"/>
    <n v="6"/>
    <s v="Roiphet16"/>
    <s v="Greenhouse"/>
    <x v="1"/>
    <n v="0.72"/>
    <n v="6.5020138888888885"/>
    <n v="2.5020138888888885"/>
    <n v="4.1700231481481476"/>
    <n v="4.1700231481481476"/>
  </r>
  <r>
    <s v="Roiphet1"/>
    <s v="A3-G05-0076"/>
    <s v="Roiphet1A3-G05-0076"/>
    <n v="6"/>
    <s v="Roiphet16"/>
    <s v="Greenhouse"/>
    <x v="1"/>
    <n v="1.1299999999999999"/>
    <n v="6.2335840707964607"/>
    <n v="2.2335840707964607"/>
    <n v="3.7226401179941013"/>
    <n v="3.7226401179941013"/>
  </r>
  <r>
    <s v="Roiphet1"/>
    <s v="A3-I05-0084"/>
    <s v="Roiphet1A3-I05-0084"/>
    <n v="6"/>
    <s v="Roiphet16"/>
    <s v="Greenhouse"/>
    <x v="1"/>
    <n v="0.72"/>
    <n v="5.431055555555556"/>
    <n v="1.431055555555556"/>
    <n v="2.3850925925925934"/>
    <n v="2.3850925925925934"/>
  </r>
  <r>
    <s v="Roiphet1"/>
    <s v="A4-G08-0069"/>
    <s v="Roiphet1A4-G08-0069"/>
    <n v="6"/>
    <s v="Roiphet16"/>
    <s v="Greenhouse"/>
    <x v="1"/>
    <n v="1.1299999999999999"/>
    <n v="5.0652920353982305"/>
    <n v="1.0652920353982305"/>
    <n v="1.7754867256637175"/>
    <n v="1.7754867256637175"/>
  </r>
  <r>
    <s v="Roiphet1"/>
    <s v="A3-G06-0081"/>
    <s v="Roiphet1A3-G06-0081"/>
    <n v="6"/>
    <s v="Roiphet16"/>
    <s v="Greenhouse"/>
    <x v="1"/>
    <n v="1.1299999999999999"/>
    <n v="5.4823362831858411"/>
    <n v="1.4823362831858411"/>
    <n v="2.4705604719764018"/>
    <n v="2.4705604719764018"/>
  </r>
  <r>
    <s v="Roiphet1"/>
    <s v="A5-I09-0098"/>
    <s v="Roiphet1A5-I09-0098"/>
    <n v="6"/>
    <s v="Roiphet16"/>
    <s v="Greenhouse"/>
    <x v="1"/>
    <n v="0.72"/>
    <n v="5.469611111111111"/>
    <n v="1.469611111111111"/>
    <n v="2.4493518518518518"/>
    <n v="2.4493518518518518"/>
  </r>
  <r>
    <s v="Roiphet1"/>
    <s v="A5-G09-0083"/>
    <s v="Roiphet1A5-G09-0083"/>
    <n v="6"/>
    <s v="Roiphet16"/>
    <s v="Greenhouse"/>
    <x v="1"/>
    <n v="1.1299999999999999"/>
    <n v="6.0895575221238945"/>
    <n v="2.0895575221238945"/>
    <n v="3.4825958702064908"/>
    <n v="3.4825958702064908"/>
  </r>
  <r>
    <s v="Roiphet1"/>
    <s v="A3-I06-0089"/>
    <s v="Roiphet1A3-I06-0089"/>
    <n v="6"/>
    <s v="Roiphet16"/>
    <s v="Greenhouse"/>
    <x v="1"/>
    <n v="0.72"/>
    <n v="4.8982083333333337"/>
    <n v="0.89820833333333372"/>
    <n v="1.4970138888888895"/>
    <n v="1.4970138888888895"/>
  </r>
  <r>
    <s v="Roiphet3"/>
    <s v="C1-041-0006"/>
    <s v="Roiphet3C1-041-0006"/>
    <n v="6"/>
    <s v="Roiphet36"/>
    <s v="Outdoor"/>
    <x v="0"/>
    <n v="5.8"/>
    <n v="2.0382758620689656"/>
    <n v="3.8275862068965605E-2"/>
    <n v="6.3793103448276017E-2"/>
    <n v="6.3793103448276017E-2"/>
  </r>
  <r>
    <s v="SR1"/>
    <s v="H1-095-0038"/>
    <s v="SR1H1-095-0038"/>
    <n v="6"/>
    <s v="SR16"/>
    <s v="Outdoor"/>
    <x v="2"/>
    <n v="2.5"/>
    <n v="2.5401560000000001"/>
    <n v="-0.45984399999999992"/>
    <n v="-0.76640666666666657"/>
    <n v="0"/>
  </r>
  <r>
    <s v="SR1"/>
    <s v="H1-126-0009"/>
    <s v="SR1H1-126-0009"/>
    <n v="6"/>
    <s v="SR16"/>
    <s v="Outdoor"/>
    <x v="2"/>
    <n v="2"/>
    <n v="4.5380249999999993"/>
    <n v="-1.4619750000000007"/>
    <n v="-2.4366250000000012"/>
    <n v="0"/>
  </r>
  <r>
    <s v="SR1"/>
    <s v="G1-128-0005"/>
    <s v="SR1G1-128-0005"/>
    <n v="6"/>
    <s v="SR16"/>
    <s v="Greenhouse"/>
    <x v="1"/>
    <n v="2"/>
    <n v="6.47058"/>
    <n v="2.47058"/>
    <n v="4.1176333333333339"/>
    <n v="4.1176333333333339"/>
  </r>
  <r>
    <s v="SR1"/>
    <s v="C1-050-0015"/>
    <s v="SR1C1-050-0015"/>
    <n v="6"/>
    <s v="SR16"/>
    <s v="Outdoor"/>
    <x v="3"/>
    <n v="1.8"/>
    <n v="5.8791333333333329"/>
    <n v="-0.12086666666666712"/>
    <n v="-0.2014444444444452"/>
    <n v="0"/>
  </r>
  <r>
    <s v="SR4"/>
    <s v="B1-067-0010"/>
    <s v="SR4B1-067-0010"/>
    <n v="6"/>
    <s v="SR46"/>
    <s v="Outdoor"/>
    <x v="3"/>
    <n v="1.85"/>
    <n v="6.7366378378378373"/>
    <n v="0.73663783783783732"/>
    <n v="1.2277297297297289"/>
    <n v="1.2277297297297289"/>
  </r>
  <r>
    <s v="SR4"/>
    <s v="B1-068-0003"/>
    <s v="SR4B1-068-0003"/>
    <n v="6"/>
    <s v="SR46"/>
    <s v="Outdoor"/>
    <x v="3"/>
    <n v="1.85"/>
    <n v="6.2679351351351347"/>
    <n v="0.26793513513513467"/>
    <n v="0.44655855855855781"/>
    <n v="0.44655855855855781"/>
  </r>
  <r>
    <s v="SR4"/>
    <s v="B1-065-0002"/>
    <s v="SR4B1-065-0002"/>
    <n v="6"/>
    <s v="SR46"/>
    <s v="Outdoor"/>
    <x v="3"/>
    <n v="1.85"/>
    <n v="6.9062324324324322"/>
    <n v="0.90623243243243223"/>
    <n v="1.5103873873873872"/>
    <n v="1.5103873873873872"/>
  </r>
  <r>
    <s v="SR4"/>
    <s v="G1-052-0011"/>
    <s v="SR4G1-052-0011"/>
    <n v="6"/>
    <s v="SR46"/>
    <s v="Greenhouse"/>
    <x v="1"/>
    <n v="2"/>
    <n v="11.41343"/>
    <n v="7.41343"/>
    <n v="12.355716666666668"/>
    <n v="6.25"/>
  </r>
  <r>
    <s v="Tachalab"/>
    <s v="B1-025-0015"/>
    <s v="TachalabB1-025-0015"/>
    <n v="6"/>
    <s v="Tachalab6"/>
    <s v="Outdoor"/>
    <x v="2"/>
    <n v="3.2"/>
    <n v="8.7833593749999999"/>
    <n v="5.7833593749999999"/>
    <n v="9.6389322916666664"/>
    <n v="6.25"/>
  </r>
  <r>
    <s v="Tamai2"/>
    <s v="D1-040-0028"/>
    <s v="Tamai2D1-040-0028"/>
    <n v="6"/>
    <s v="Tamai26"/>
    <s v="Outdoor"/>
    <x v="0"/>
    <n v="4.5199999999999996"/>
    <n v="4.3060575221238944"/>
    <n v="2.3060575221238944"/>
    <n v="3.8434292035398241"/>
    <n v="3.8434292035398241"/>
  </r>
  <r>
    <s v="Tamai2"/>
    <s v="D1-039-0028"/>
    <s v="Tamai2D1-039-0028"/>
    <n v="6"/>
    <s v="Tamai26"/>
    <s v="Outdoor"/>
    <x v="2"/>
    <n v="4"/>
    <n v="4.7012600000000004"/>
    <n v="1.7012600000000004"/>
    <n v="2.8354333333333344"/>
    <n v="2.8354333333333344"/>
  </r>
  <r>
    <s v="Tamai2"/>
    <s v="C1-057-0010"/>
    <s v="Tamai2C1-057-0010"/>
    <n v="6"/>
    <s v="Tamai26"/>
    <s v="Outdoor"/>
    <x v="2"/>
    <n v="3.29"/>
    <n v="1.3729969604863221"/>
    <n v="-1.6270030395136779"/>
    <n v="-2.7116717325227966"/>
    <n v="0"/>
  </r>
  <r>
    <s v="Tamai2"/>
    <s v="C1-093-0008"/>
    <s v="Tamai2C1-093-0008"/>
    <n v="6"/>
    <s v="Tamai26"/>
    <s v="Outdoor"/>
    <x v="2"/>
    <n v="3.63"/>
    <n v="1.4241101928374658"/>
    <n v="-1.5758898071625342"/>
    <n v="-2.6264830119375571"/>
    <n v="0"/>
  </r>
  <r>
    <s v="Tamai2"/>
    <s v="A1-006-0026"/>
    <s v="Tamai2A1-006-0026"/>
    <n v="6"/>
    <s v="Tamai26"/>
    <s v="Outdoor"/>
    <x v="0"/>
    <n v="5.23"/>
    <n v="6.8195717017208404"/>
    <n v="4.8195717017208404"/>
    <n v="8.0326195028680676"/>
    <n v="6.25"/>
  </r>
  <r>
    <s v="Andaman"/>
    <s v="A1-012-0023"/>
    <s v="AndamanA1-012-0023"/>
    <n v="7"/>
    <s v="Andaman7"/>
    <s v="Outdoor"/>
    <x v="2"/>
    <n v="2.5"/>
    <n v="6.9050399999999996"/>
    <n v="3.9050399999999996"/>
    <n v="6.5084"/>
    <n v="6.25"/>
  </r>
  <r>
    <s v="Bangsakao"/>
    <s v="CG-003-0027"/>
    <s v="BangsakaoCG-003-0027"/>
    <n v="7"/>
    <s v="Bangsakao7"/>
    <s v="Greenhouse"/>
    <x v="1"/>
    <n v="4.5599999999999996"/>
    <n v="2.8117105263157893"/>
    <n v="-1.1882894736842107"/>
    <n v="-1.9804824561403511"/>
    <n v="0"/>
  </r>
  <r>
    <s v="Bangsakao"/>
    <s v="CG-004-0026"/>
    <s v="BangsakaoCG-004-0026"/>
    <n v="7"/>
    <s v="Bangsakao7"/>
    <s v="Greenhouse"/>
    <x v="1"/>
    <n v="4.5999999999999996"/>
    <n v="2.4845652173913044"/>
    <n v="-1.5154347826086956"/>
    <n v="-2.5257246376811593"/>
    <n v="0"/>
  </r>
  <r>
    <s v="Bangsakao"/>
    <s v="DG-003-0025"/>
    <s v="BangsakaoDG-003-0025"/>
    <n v="7"/>
    <s v="Bangsakao7"/>
    <s v="Greenhouse"/>
    <x v="1"/>
    <n v="1.9"/>
    <n v="11.475621052631579"/>
    <n v="7.4756210526315794"/>
    <n v="12.459368421052632"/>
    <n v="6.25"/>
  </r>
  <r>
    <s v="Bo Thong"/>
    <s v="BG-001-0012"/>
    <s v="Bo ThongBG-001-0012"/>
    <n v="7"/>
    <s v="Bo Thong7"/>
    <s v="Greenhouse"/>
    <x v="1"/>
    <n v="1.92"/>
    <n v="4.1880312499999999"/>
    <n v="0.18803124999999987"/>
    <n v="0.31338541666666647"/>
    <n v="0.31338541666666647"/>
  </r>
  <r>
    <s v="Bo Thong"/>
    <s v="B1-010-0011"/>
    <s v="Bo ThongB1-010-0011"/>
    <n v="7"/>
    <s v="Bo Thong7"/>
    <s v="Outdoor"/>
    <x v="0"/>
    <n v="4.79"/>
    <n v="8.5513048016701454"/>
    <n v="6.5513048016701454"/>
    <n v="10.918841336116909"/>
    <n v="6.25"/>
  </r>
  <r>
    <s v="Bo Thong"/>
    <s v="B1-011-0013"/>
    <s v="Bo ThongB1-011-0013"/>
    <n v="7"/>
    <s v="Bo Thong7"/>
    <s v="Outdoor"/>
    <x v="2"/>
    <n v="2.89"/>
    <n v="10.54811418685121"/>
    <n v="7.5481141868512101"/>
    <n v="12.580190311418685"/>
    <n v="6.25"/>
  </r>
  <r>
    <s v="Bo Thong"/>
    <s v="B1-015-0013"/>
    <s v="Bo ThongB1-015-0013"/>
    <n v="7"/>
    <s v="Bo Thong7"/>
    <s v="Outdoor"/>
    <x v="2"/>
    <n v="2.76"/>
    <n v="9.9862536231884071"/>
    <n v="6.9862536231884071"/>
    <n v="11.643756038647346"/>
    <n v="6.25"/>
  </r>
  <r>
    <s v="Bo Thong"/>
    <s v="BG-002-0015"/>
    <s v="Bo ThongBG-002-0015"/>
    <n v="7"/>
    <s v="Bo Thong7"/>
    <s v="Greenhouse"/>
    <x v="1"/>
    <n v="1.88"/>
    <n v="0"/>
    <n v="0"/>
    <n v="0"/>
    <n v="0"/>
  </r>
  <r>
    <s v="Chantaburi3"/>
    <s v="A1-009-0043"/>
    <s v="Chantaburi3A1-009-0043"/>
    <n v="7"/>
    <s v="Chantaburi37"/>
    <s v="Outdoor"/>
    <x v="0"/>
    <n v="4.2"/>
    <n v="2.3369976190476187"/>
    <n v="0.33699761904761871"/>
    <n v="0.56166269841269789"/>
    <n v="0.56166269841269789"/>
  </r>
  <r>
    <s v="Chantaburi3"/>
    <s v="A1-011-0044"/>
    <s v="Chantaburi3A1-011-0044"/>
    <n v="7"/>
    <s v="Chantaburi37"/>
    <s v="Outdoor"/>
    <x v="2"/>
    <n v="3.8"/>
    <n v="3.4207078947368421"/>
    <n v="0.42070789473684211"/>
    <n v="0.7011798245614036"/>
    <n v="0.7011798245614036"/>
  </r>
  <r>
    <s v="Chantaburi3"/>
    <s v="A1-010-0047"/>
    <s v="Chantaburi3A1-010-0047"/>
    <n v="7"/>
    <s v="Chantaburi37"/>
    <s v="Outdoor"/>
    <x v="2"/>
    <n v="3.9"/>
    <n v="3.6759538461538459"/>
    <n v="0.67595384615384591"/>
    <n v="1.1265897435897432"/>
    <n v="1.1265897435897432"/>
  </r>
  <r>
    <s v="Chantaburi3"/>
    <s v="B1-024-0042"/>
    <s v="Chantaburi3B1-024-0042"/>
    <n v="7"/>
    <s v="Chantaburi37"/>
    <s v="Outdoor"/>
    <x v="2"/>
    <n v="2.5"/>
    <n v="11.9008"/>
    <n v="8.9008000000000003"/>
    <n v="14.834666666666667"/>
    <n v="6.25"/>
  </r>
  <r>
    <s v="CHBR1"/>
    <s v="A1-009-0034"/>
    <s v="CHBR1A1-009-0034"/>
    <n v="7"/>
    <s v="CHBR17"/>
    <s v="Outdoor"/>
    <x v="2"/>
    <n v="2"/>
    <n v="2.9800200000000001"/>
    <n v="-3.0199799999999999"/>
    <n v="-5.0332999999999997"/>
    <n v="0"/>
  </r>
  <r>
    <s v="CHBR1"/>
    <s v="A1-012-0040"/>
    <s v="CHBR1A1-012-0040"/>
    <n v="7"/>
    <s v="CHBR17"/>
    <s v="Outdoor"/>
    <x v="2"/>
    <n v="2"/>
    <n v="2.8364499999999997"/>
    <n v="-3.1635500000000003"/>
    <n v="-5.2725833333333343"/>
    <n v="0"/>
  </r>
  <r>
    <s v="CHBR1"/>
    <s v="A1-018-0013"/>
    <s v="CHBR1A1-018-0013"/>
    <n v="7"/>
    <s v="CHBR17"/>
    <s v="Outdoor"/>
    <x v="2"/>
    <n v="2"/>
    <n v="6.8332499999999996"/>
    <n v="0.8332499999999996"/>
    <n v="1.3887499999999995"/>
    <n v="1.3887499999999995"/>
  </r>
  <r>
    <s v="CHBR1"/>
    <s v="A1-011-0014"/>
    <s v="CHBR1A1-011-0014"/>
    <n v="7"/>
    <s v="CHBR17"/>
    <s v="Outdoor"/>
    <x v="2"/>
    <n v="2"/>
    <n v="7.1434750000000005"/>
    <n v="1.1434750000000005"/>
    <n v="1.9057916666666674"/>
    <n v="1.9057916666666674"/>
  </r>
  <r>
    <s v="CHBR1"/>
    <s v="A1-015-0018"/>
    <s v="CHBR1A1-015-0018"/>
    <n v="7"/>
    <s v="CHBR17"/>
    <s v="Outdoor"/>
    <x v="2"/>
    <n v="2"/>
    <n v="8.583260000000001"/>
    <n v="2.583260000000001"/>
    <n v="4.305433333333335"/>
    <n v="4.305433333333335"/>
  </r>
  <r>
    <s v="CHBR1"/>
    <s v="A1-019-0005"/>
    <s v="CHBR1A1-019-0005"/>
    <n v="7"/>
    <s v="CHBR17"/>
    <s v="Outdoor"/>
    <x v="2"/>
    <n v="2"/>
    <n v="5.2656499999999999"/>
    <n v="-0.73435000000000006"/>
    <n v="-1.2239166666666668"/>
    <n v="0"/>
  </r>
  <r>
    <s v="CHBR1"/>
    <s v="A1-017-0014"/>
    <s v="CHBR1A1-017-0014"/>
    <n v="7"/>
    <s v="CHBR17"/>
    <s v="Outdoor"/>
    <x v="2"/>
    <n v="2"/>
    <n v="8.4053550000000001"/>
    <n v="2.4053550000000001"/>
    <n v="4.0089250000000005"/>
    <n v="4.0089250000000005"/>
  </r>
  <r>
    <s v="Choknavy"/>
    <s v="A1-006-0032"/>
    <s v="ChoknavyA1-006-0032"/>
    <n v="7"/>
    <s v="Choknavy7"/>
    <s v="Outdoor"/>
    <x v="0"/>
    <n v="5.5"/>
    <n v="6.3440218181818189"/>
    <n v="4.3440218181818189"/>
    <n v="7.2400363636363654"/>
    <n v="6.25"/>
  </r>
  <r>
    <s v="Choknavy"/>
    <s v="A1-003-0036"/>
    <s v="ChoknavyA1-003-0036"/>
    <n v="7"/>
    <s v="Choknavy7"/>
    <s v="Outdoor"/>
    <x v="0"/>
    <n v="5.5"/>
    <n v="5.5964709090909093"/>
    <n v="3.5964709090909093"/>
    <n v="5.9941181818181821"/>
    <n v="5.9941181818181821"/>
  </r>
  <r>
    <s v="Kamong"/>
    <s v="D1-022-0040"/>
    <s v="KamongD1-022-0040"/>
    <n v="7"/>
    <s v="Kamong7"/>
    <s v="Outdoor"/>
    <x v="2"/>
    <n v="3"/>
    <n v="3.0127566666666667"/>
    <n v="1.2756666666666749E-2"/>
    <n v="2.1261111111111251E-2"/>
    <n v="2.1261111111111251E-2"/>
  </r>
  <r>
    <s v="Kamong"/>
    <s v="D1-027-0002"/>
    <s v="KamongD1-027-0002"/>
    <n v="7"/>
    <s v="Kamong7"/>
    <s v="Outdoor"/>
    <x v="2"/>
    <n v="2"/>
    <n v="4.2084200000000003"/>
    <n v="-1.7915799999999997"/>
    <n v="-2.9859666666666662"/>
    <n v="0"/>
  </r>
  <r>
    <s v="Kanchanadit"/>
    <s v="D1-048-0012"/>
    <s v="KanchanaditD1-048-0012"/>
    <n v="7"/>
    <s v="Kanchanadit7"/>
    <s v="Outdoor"/>
    <x v="2"/>
    <n v="2"/>
    <n v="10.459425"/>
    <n v="4.4594249999999995"/>
    <n v="7.4323749999999995"/>
    <n v="6.25"/>
  </r>
  <r>
    <s v="Kanchanadit"/>
    <s v="D1-049-0011"/>
    <s v="KanchanaditD1-049-0011"/>
    <n v="7"/>
    <s v="Kanchanadit7"/>
    <s v="Outdoor"/>
    <x v="2"/>
    <n v="2"/>
    <n v="12.240729999999999"/>
    <n v="6.2407299999999992"/>
    <n v="10.401216666666667"/>
    <n v="6.25"/>
  </r>
  <r>
    <s v="Kanchanadit"/>
    <s v="C1-043-0014"/>
    <s v="KanchanaditC1-043-0014"/>
    <n v="7"/>
    <s v="Kanchanadit7"/>
    <s v="Outdoor"/>
    <x v="3"/>
    <n v="1.53"/>
    <n v="5.0254183006535955"/>
    <n v="-0.97458169934640448"/>
    <n v="-1.6243028322440076"/>
    <n v="0"/>
  </r>
  <r>
    <s v="Kanchanadit"/>
    <s v="C1-040-0015"/>
    <s v="KanchanaditC1-040-0015"/>
    <n v="7"/>
    <s v="Kanchanadit7"/>
    <s v="Outdoor"/>
    <x v="3"/>
    <n v="1.53"/>
    <n v="7.154908496732026"/>
    <n v="1.154908496732026"/>
    <n v="1.9248474945533767"/>
    <n v="1.9248474945533767"/>
  </r>
  <r>
    <s v="Laemsing"/>
    <s v="B1-012-0031"/>
    <s v="LaemsingB1-012-0031"/>
    <n v="7"/>
    <s v="Laemsing7"/>
    <s v="Outdoor"/>
    <x v="3"/>
    <n v="1.6"/>
    <n v="3.4987999999999997"/>
    <n v="-2.5012000000000003"/>
    <n v="-4.1686666666666676"/>
    <n v="0"/>
  </r>
  <r>
    <s v="Laemsing"/>
    <s v="B1-027-0015"/>
    <s v="LaemsingB1-027-0015"/>
    <n v="7"/>
    <s v="Laemsing7"/>
    <s v="Outdoor"/>
    <x v="2"/>
    <n v="2.1"/>
    <n v="7.0838761904761895"/>
    <n v="4.0838761904761895"/>
    <n v="6.8064603174603162"/>
    <n v="6.25"/>
  </r>
  <r>
    <s v="Laemsing"/>
    <s v="B1-013-0033"/>
    <s v="LaemsingB1-013-0033"/>
    <n v="7"/>
    <s v="Laemsing7"/>
    <s v="Outdoor"/>
    <x v="2"/>
    <n v="2.1"/>
    <n v="6.4874523809523801"/>
    <n v="3.4874523809523801"/>
    <n v="5.8124206349206338"/>
    <n v="5.8124206349206338"/>
  </r>
  <r>
    <s v="Laemsing"/>
    <s v="A1-019-0029"/>
    <s v="LaemsingA1-019-0029"/>
    <n v="7"/>
    <s v="Laemsing7"/>
    <s v="Outdoor"/>
    <x v="2"/>
    <n v="2.2000000000000002"/>
    <n v="4.6777818181818187"/>
    <n v="1.6777818181818187"/>
    <n v="2.7963030303030312"/>
    <n v="2.7963030303030312"/>
  </r>
  <r>
    <s v="Laemsing"/>
    <s v="A1-025-0014"/>
    <s v="LaemsingA1-025-0014"/>
    <n v="7"/>
    <s v="Laemsing7"/>
    <s v="Outdoor"/>
    <x v="2"/>
    <n v="2.5"/>
    <n v="4.9529519999999998"/>
    <n v="1.9529519999999998"/>
    <n v="3.2549199999999998"/>
    <n v="3.2549199999999998"/>
  </r>
  <r>
    <s v="Lamae"/>
    <s v="B1-018-0013"/>
    <s v="LamaeB1-018-0013"/>
    <n v="7"/>
    <s v="Lamae7"/>
    <s v="Outdoor"/>
    <x v="0"/>
    <n v="6"/>
    <n v="4.2321749999999998"/>
    <n v="2.2321749999999998"/>
    <n v="3.7202916666666663"/>
    <n v="3.7202916666666663"/>
  </r>
  <r>
    <s v="Lamae"/>
    <s v="A1-007-0045"/>
    <s v="LamaeA1-007-0045"/>
    <n v="7"/>
    <s v="Lamae7"/>
    <s v="Outdoor"/>
    <x v="0"/>
    <n v="8"/>
    <n v="2.8335987500000002"/>
    <n v="0.83359875000000017"/>
    <n v="1.3893312500000004"/>
    <n v="1.3893312500000004"/>
  </r>
  <r>
    <s v="Lamlaung"/>
    <s v="B1-112-0006"/>
    <s v="LamlaungB1-112-0006"/>
    <n v="7"/>
    <s v="Lamlaung7"/>
    <s v="Outdoor"/>
    <x v="0"/>
    <n v="5"/>
    <n v="11.409408000000001"/>
    <n v="9.4094080000000009"/>
    <n v="15.682346666666669"/>
    <n v="6.25"/>
  </r>
  <r>
    <s v="Lucky2"/>
    <s v="AC-004-0010"/>
    <s v="Lucky2AC-004-0010"/>
    <n v="7"/>
    <s v="Lucky27"/>
    <s v="Tank"/>
    <x v="1"/>
    <n v="0.5"/>
    <n v="8.7763200000000001"/>
    <n v="2.7763200000000001"/>
    <n v="4.6272000000000002"/>
    <n v="4.6272000000000002"/>
  </r>
  <r>
    <s v="Lucky2"/>
    <s v="AC-003-0009"/>
    <s v="Lucky2AC-003-0009"/>
    <n v="7"/>
    <s v="Lucky27"/>
    <s v="Tank"/>
    <x v="1"/>
    <n v="0.5"/>
    <n v="10.158719999999999"/>
    <n v="4.1587199999999989"/>
    <n v="6.9311999999999987"/>
    <n v="6.25"/>
  </r>
  <r>
    <s v="Lucky2"/>
    <s v="AC-005-0010"/>
    <s v="Lucky2AC-005-0010"/>
    <n v="7"/>
    <s v="Lucky27"/>
    <s v="Tank"/>
    <x v="1"/>
    <n v="0.5"/>
    <n v="6.2941400000000005"/>
    <n v="0.29414000000000051"/>
    <n v="0.49023333333333419"/>
    <n v="0.49023333333333419"/>
  </r>
  <r>
    <s v="Lucky2"/>
    <s v="AC-002-0010"/>
    <s v="Lucky2AC-002-0010"/>
    <n v="7"/>
    <s v="Lucky27"/>
    <s v="Tank"/>
    <x v="1"/>
    <n v="0.5"/>
    <n v="8.0628399999999996"/>
    <n v="2.0628399999999996"/>
    <n v="3.4380666666666659"/>
    <n v="3.4380666666666659"/>
  </r>
  <r>
    <s v="Lucky2"/>
    <s v="AC-001-0010"/>
    <s v="Lucky2AC-001-0010"/>
    <n v="7"/>
    <s v="Lucky27"/>
    <s v="Tank"/>
    <x v="1"/>
    <n v="0.5"/>
    <n v="6.4164200000000005"/>
    <n v="0.41642000000000046"/>
    <n v="0.69403333333333417"/>
    <n v="0.69403333333333417"/>
  </r>
  <r>
    <s v="Lucky3"/>
    <s v="BG-027-0012"/>
    <s v="Lucky3BG-027-0012"/>
    <n v="7"/>
    <s v="Lucky37"/>
    <s v="Greenhouse"/>
    <x v="1"/>
    <n v="1.5"/>
    <n v="2.9789066666666666"/>
    <n v="-1.0210933333333334"/>
    <n v="-1.7018222222222223"/>
    <n v="0"/>
  </r>
  <r>
    <s v="Maeklong1"/>
    <s v="A1-002-0034"/>
    <s v="Maeklong1A1-002-0034"/>
    <n v="7"/>
    <s v="Maeklong17"/>
    <s v="Outdoor"/>
    <x v="2"/>
    <n v="3.61"/>
    <n v="10.74014404432133"/>
    <n v="7.7401440443213296"/>
    <n v="12.900240073868883"/>
    <n v="6.25"/>
  </r>
  <r>
    <s v="Nakornfarm"/>
    <s v="E1-077-0016"/>
    <s v="NakornfarmE1-077-0016"/>
    <n v="7"/>
    <s v="Nakornfarm7"/>
    <s v="Outdoor"/>
    <x v="3"/>
    <n v="1.5"/>
    <n v="2.8783400000000001"/>
    <n v="-3.1216599999999999"/>
    <n v="-5.2027666666666663"/>
    <n v="0"/>
  </r>
  <r>
    <s v="Nakornfarm"/>
    <s v="A1-098-0006"/>
    <s v="NakornfarmA1-098-0006"/>
    <n v="7"/>
    <s v="Nakornfarm7"/>
    <s v="Outdoor"/>
    <x v="3"/>
    <n v="1.6"/>
    <n v="11.246275000000001"/>
    <n v="5.2462750000000007"/>
    <n v="8.7437916666666684"/>
    <n v="6.25"/>
  </r>
  <r>
    <s v="Nakornfarm"/>
    <s v="F1-070-0019"/>
    <s v="NakornfarmF1-070-0019"/>
    <n v="7"/>
    <s v="Nakornfarm7"/>
    <s v="Outdoor"/>
    <x v="3"/>
    <n v="1.3"/>
    <n v="2.8764230769230767"/>
    <n v="-3.1235769230769233"/>
    <n v="-5.2059615384615388"/>
    <n v="0"/>
  </r>
  <r>
    <s v="Nakornfarm"/>
    <s v="F1-089-0013"/>
    <s v="NakornfarmF1-089-0013"/>
    <n v="7"/>
    <s v="Nakornfarm7"/>
    <s v="Outdoor"/>
    <x v="3"/>
    <n v="1.8"/>
    <n v="5.8464055555555561"/>
    <n v="-0.15359444444444392"/>
    <n v="-0.25599074074073991"/>
    <n v="0"/>
  </r>
  <r>
    <s v="Nakornfarm"/>
    <s v="BG-101-0010"/>
    <s v="NakornfarmBG-101-0010"/>
    <n v="7"/>
    <s v="Nakornfarm7"/>
    <s v="Greenhouse"/>
    <x v="1"/>
    <n v="1.5"/>
    <n v="10.3728"/>
    <n v="6.3727999999999998"/>
    <n v="10.621333333333334"/>
    <n v="6.25"/>
  </r>
  <r>
    <s v="PB5"/>
    <s v="A1-005-0052"/>
    <s v="PB5A1-005-0052"/>
    <n v="7"/>
    <s v="PB57"/>
    <s v="Outdoor"/>
    <x v="0"/>
    <n v="4.37"/>
    <n v="2.5505789473684213"/>
    <n v="0.55057894736842128"/>
    <n v="0.9176315789473688"/>
    <n v="0.9176315789473688"/>
  </r>
  <r>
    <s v="PB5"/>
    <s v="B1-021-0047"/>
    <s v="PB5B1-021-0047"/>
    <n v="7"/>
    <s v="PB57"/>
    <s v="Outdoor"/>
    <x v="0"/>
    <n v="5.72"/>
    <n v="5.0387325174825177"/>
    <n v="3.0387325174825177"/>
    <n v="5.0645541958041962"/>
    <n v="5.0645541958041962"/>
  </r>
  <r>
    <s v="Petchburi5"/>
    <s v="B1-124-0008"/>
    <s v="Petchburi5B1-124-0008"/>
    <n v="7"/>
    <s v="Petchburi57"/>
    <s v="Outdoor"/>
    <x v="3"/>
    <n v="1.5"/>
    <n v="11.595406666666667"/>
    <n v="5.5954066666666673"/>
    <n v="9.3256777777777788"/>
    <n v="6.25"/>
  </r>
  <r>
    <s v="Petchburi5"/>
    <s v="A1-033-0009"/>
    <s v="Petchburi5A1-033-0009"/>
    <n v="7"/>
    <s v="Petchburi57"/>
    <s v="Outdoor"/>
    <x v="3"/>
    <n v="1.5"/>
    <n v="17.384446666666665"/>
    <n v="11.384446666666665"/>
    <n v="18.974077777777776"/>
    <n v="6.25"/>
  </r>
  <r>
    <s v="Petchburi5"/>
    <s v="A1-032-0008"/>
    <s v="Petchburi5A1-032-0008"/>
    <n v="7"/>
    <s v="Petchburi57"/>
    <s v="Outdoor"/>
    <x v="3"/>
    <n v="1.5"/>
    <n v="20.371466666666667"/>
    <n v="14.371466666666667"/>
    <n v="23.952444444444446"/>
    <n v="6.25"/>
  </r>
  <r>
    <s v="Ranode"/>
    <s v="A1-015-0033"/>
    <s v="RanodeA1-015-0033"/>
    <n v="7"/>
    <s v="Ranode7"/>
    <s v="Outdoor"/>
    <x v="0"/>
    <n v="5"/>
    <n v="2.3236879999999998"/>
    <n v="0.32368799999999975"/>
    <n v="0.53947999999999963"/>
    <n v="0.53947999999999963"/>
  </r>
  <r>
    <s v="Roiphet1"/>
    <s v="C6-G11-0059"/>
    <s v="Roiphet1C6-G11-0059"/>
    <n v="7"/>
    <s v="Roiphet17"/>
    <s v="Greenhouse"/>
    <x v="1"/>
    <n v="1.1299999999999999"/>
    <n v="7.8509203539823025"/>
    <n v="3.8509203539823025"/>
    <n v="6.4182005899705041"/>
    <n v="6.25"/>
  </r>
  <r>
    <s v="Roiphet1"/>
    <s v="C6-I11-0065"/>
    <s v="Roiphet1C6-I11-0065"/>
    <n v="7"/>
    <s v="Roiphet17"/>
    <s v="Greenhouse"/>
    <x v="1"/>
    <n v="0.72"/>
    <n v="6.1241805555555562"/>
    <n v="2.1241805555555562"/>
    <n v="3.5403009259259273"/>
    <n v="3.5403009259259273"/>
  </r>
  <r>
    <s v="Roiphet1"/>
    <s v="C6-I12-0062"/>
    <s v="Roiphet1C6-I12-0062"/>
    <n v="7"/>
    <s v="Roiphet17"/>
    <s v="Greenhouse"/>
    <x v="1"/>
    <n v="0.72"/>
    <n v="5.5523472222222221"/>
    <n v="1.5523472222222221"/>
    <n v="2.5872453703703702"/>
    <n v="2.5872453703703702"/>
  </r>
  <r>
    <s v="Roiphet1"/>
    <s v="B5-G10-0084"/>
    <s v="Roiphet1B5-G10-0084"/>
    <n v="7"/>
    <s v="Roiphet17"/>
    <s v="Greenhouse"/>
    <x v="1"/>
    <n v="1.1299999999999999"/>
    <n v="2.4771415929203542"/>
    <n v="-1.5228584070796458"/>
    <n v="-2.5380973451327433"/>
    <n v="0"/>
  </r>
  <r>
    <s v="Roiphet1"/>
    <s v="B5-I09-0094"/>
    <s v="Roiphet1B5-I09-0094"/>
    <n v="7"/>
    <s v="Roiphet17"/>
    <s v="Greenhouse"/>
    <x v="1"/>
    <n v="0.72"/>
    <n v="3.8736527777777785"/>
    <n v="-0.1263472222222215"/>
    <n v="-0.21057870370370252"/>
    <n v="0"/>
  </r>
  <r>
    <s v="Roiphet1"/>
    <s v="B5-G09-0085"/>
    <s v="Roiphet1B5-G09-0085"/>
    <n v="7"/>
    <s v="Roiphet17"/>
    <s v="Greenhouse"/>
    <x v="1"/>
    <n v="1.1299999999999999"/>
    <n v="5.2008849557522128"/>
    <n v="1.2008849557522128"/>
    <n v="2.0014749262536879"/>
    <n v="2.0014749262536879"/>
  </r>
  <r>
    <s v="Roiphet1"/>
    <s v="B5-I10-0091"/>
    <s v="Roiphet1B5-I10-0091"/>
    <n v="7"/>
    <s v="Roiphet17"/>
    <s v="Greenhouse"/>
    <x v="1"/>
    <n v="0.72"/>
    <n v="3.5375277777777776"/>
    <n v="-0.4624722222222224"/>
    <n v="-0.77078703703703733"/>
    <n v="0"/>
  </r>
  <r>
    <s v="Roiphet1"/>
    <s v="B4-G07-0077"/>
    <s v="Roiphet1B4-G07-0077"/>
    <n v="7"/>
    <s v="Roiphet17"/>
    <s v="Greenhouse"/>
    <x v="1"/>
    <n v="1.1299999999999999"/>
    <n v="5.6413008849557524"/>
    <n v="1.6413008849557524"/>
    <n v="2.7355014749262541"/>
    <n v="2.7355014749262541"/>
  </r>
  <r>
    <s v="Roiphet1"/>
    <s v="B4-G08-0080"/>
    <s v="Roiphet1B4-G08-0080"/>
    <n v="7"/>
    <s v="Roiphet17"/>
    <s v="Greenhouse"/>
    <x v="1"/>
    <n v="1.1299999999999999"/>
    <n v="6.6914601769911508"/>
    <n v="2.6914601769911508"/>
    <n v="4.485766961651918"/>
    <n v="4.485766961651918"/>
  </r>
  <r>
    <s v="Roiphet1"/>
    <s v="B4-I07-0089"/>
    <s v="Roiphet1B4-I07-0089"/>
    <n v="7"/>
    <s v="Roiphet17"/>
    <s v="Greenhouse"/>
    <x v="1"/>
    <n v="0.72"/>
    <n v="5.0922083333333337"/>
    <n v="1.0922083333333337"/>
    <n v="1.8203472222222228"/>
    <n v="1.8203472222222228"/>
  </r>
  <r>
    <s v="Roiphet1"/>
    <s v="B4-I08-0089"/>
    <s v="Roiphet1B4-I08-0089"/>
    <n v="7"/>
    <s v="Roiphet17"/>
    <s v="Greenhouse"/>
    <x v="1"/>
    <n v="0.72"/>
    <n v="4.8766805555555557"/>
    <n v="0.87668055555555569"/>
    <n v="1.4611342592592595"/>
    <n v="1.4611342592592595"/>
  </r>
  <r>
    <s v="Roiphet3"/>
    <s v="C1-045-0026"/>
    <s v="Roiphet3C1-045-0026"/>
    <n v="7"/>
    <s v="Roiphet37"/>
    <s v="Outdoor"/>
    <x v="0"/>
    <n v="4.5"/>
    <n v="1.5769111111111114"/>
    <n v="-0.42308888888888863"/>
    <n v="-0.70514814814814775"/>
    <n v="0"/>
  </r>
  <r>
    <s v="Roiphet3"/>
    <s v="C1-044-0018"/>
    <s v="Roiphet3C1-044-0018"/>
    <n v="7"/>
    <s v="Roiphet37"/>
    <s v="Outdoor"/>
    <x v="0"/>
    <n v="4.5"/>
    <n v="2.3336311111111114"/>
    <n v="0.33363111111111143"/>
    <n v="0.55605185185185246"/>
    <n v="0.55605185185185246"/>
  </r>
  <r>
    <s v="Roiphet3"/>
    <s v="C1-042-0016"/>
    <s v="Roiphet3C1-042-0016"/>
    <n v="7"/>
    <s v="Roiphet37"/>
    <s v="Outdoor"/>
    <x v="2"/>
    <n v="3.5"/>
    <n v="1.4949485714285713"/>
    <n v="-1.5050514285714287"/>
    <n v="-2.5084190476190478"/>
    <n v="0"/>
  </r>
  <r>
    <s v="Roiphet3"/>
    <s v="C1-054-0008"/>
    <s v="Roiphet3C1-054-0008"/>
    <n v="7"/>
    <s v="Roiphet37"/>
    <s v="Outdoor"/>
    <x v="0"/>
    <n v="4.5"/>
    <n v="1.8158444444444446"/>
    <n v="-0.18415555555555541"/>
    <n v="-0.30692592592592571"/>
    <n v="0"/>
  </r>
  <r>
    <s v="Roiphet3"/>
    <s v="C1-043-0026"/>
    <s v="Roiphet3C1-043-0026"/>
    <n v="7"/>
    <s v="Roiphet37"/>
    <s v="Outdoor"/>
    <x v="0"/>
    <n v="4.5"/>
    <n v="1.6248177777777777"/>
    <n v="-0.37518222222222231"/>
    <n v="-0.62530370370370392"/>
    <n v="0"/>
  </r>
  <r>
    <s v="Roiphet3"/>
    <s v="C1-051-0026"/>
    <s v="Roiphet3C1-051-0026"/>
    <n v="7"/>
    <s v="Roiphet37"/>
    <s v="Outdoor"/>
    <x v="0"/>
    <n v="4.5"/>
    <n v="3.9834777777777779"/>
    <n v="1.9834777777777779"/>
    <n v="3.3057962962962968"/>
    <n v="3.3057962962962968"/>
  </r>
  <r>
    <s v="Roiphet3"/>
    <s v="C1-046-0005"/>
    <s v="Roiphet3C1-046-0005"/>
    <n v="7"/>
    <s v="Roiphet37"/>
    <s v="Outdoor"/>
    <x v="0"/>
    <n v="4.5"/>
    <n v="2.3042844444444444"/>
    <n v="0.30428444444444436"/>
    <n v="0.50714074074074067"/>
    <n v="0.50714074074074067"/>
  </r>
  <r>
    <s v="Roiphet3"/>
    <s v="C1-057-0018"/>
    <s v="Roiphet3C1-057-0018"/>
    <n v="7"/>
    <s v="Roiphet37"/>
    <s v="Outdoor"/>
    <x v="0"/>
    <n v="4.5"/>
    <n v="2.368266666666667"/>
    <n v="0.36826666666666696"/>
    <n v="0.61377777777777831"/>
    <n v="0.61377777777777831"/>
  </r>
  <r>
    <s v="SR1"/>
    <s v="H1-094-0029"/>
    <s v="SR1H1-094-0029"/>
    <n v="7"/>
    <s v="SR17"/>
    <s v="Outdoor"/>
    <x v="2"/>
    <n v="2.5"/>
    <n v="2.9465159999999999"/>
    <n v="-5.3484000000000087E-2"/>
    <n v="-8.914000000000015E-2"/>
    <n v="0"/>
  </r>
  <r>
    <s v="SR1"/>
    <s v="H1-125-0011"/>
    <s v="SR1H1-125-0011"/>
    <n v="7"/>
    <s v="SR17"/>
    <s v="Outdoor"/>
    <x v="2"/>
    <n v="2"/>
    <n v="2.4276799999999996"/>
    <n v="-3.5723200000000004"/>
    <n v="-5.9538666666666673"/>
    <n v="0"/>
  </r>
  <r>
    <s v="SR1"/>
    <s v="G1-129-0009"/>
    <s v="SR1G1-129-0009"/>
    <n v="7"/>
    <s v="SR17"/>
    <s v="Greenhouse"/>
    <x v="1"/>
    <n v="2"/>
    <n v="5.4654099999999994"/>
    <n v="1.4654099999999994"/>
    <n v="2.4423499999999994"/>
    <n v="2.4423499999999994"/>
  </r>
  <r>
    <s v="SR1"/>
    <s v="G1-130-0009"/>
    <s v="SR1G1-130-0009"/>
    <n v="7"/>
    <s v="SR17"/>
    <s v="Greenhouse"/>
    <x v="1"/>
    <n v="2"/>
    <n v="6.4621499999999994"/>
    <n v="2.4621499999999994"/>
    <n v="4.1035833333333329"/>
    <n v="4.1035833333333329"/>
  </r>
  <r>
    <s v="SR1"/>
    <s v="C1-059-0036"/>
    <s v="SR1C1-059-0036"/>
    <n v="7"/>
    <s v="SR17"/>
    <s v="Outdoor"/>
    <x v="2"/>
    <n v="3"/>
    <n v="8.9318899999999992"/>
    <n v="5.9318899999999992"/>
    <n v="9.8864833333333326"/>
    <n v="6.25"/>
  </r>
  <r>
    <s v="SR4"/>
    <s v="F1-022-0003"/>
    <s v="SR4F1-022-0003"/>
    <n v="7"/>
    <s v="SR47"/>
    <s v="Outdoor"/>
    <x v="0"/>
    <n v="5.5"/>
    <n v="10.681272727272727"/>
    <n v="8.6812727272727273"/>
    <n v="14.468787878787879"/>
    <n v="6.25"/>
  </r>
  <r>
    <s v="SR4"/>
    <s v="B1-066-0008"/>
    <s v="SR4B1-066-0008"/>
    <n v="7"/>
    <s v="SR47"/>
    <s v="Outdoor"/>
    <x v="3"/>
    <n v="1.85"/>
    <n v="5.0588918918918919"/>
    <n v="-0.94110810810810808"/>
    <n v="-1.5685135135135135"/>
    <n v="0"/>
  </r>
  <r>
    <s v="SR4"/>
    <s v="G2-058-0007"/>
    <s v="SR4G2-058-0007"/>
    <n v="7"/>
    <s v="SR47"/>
    <s v="Greenhouse"/>
    <x v="1"/>
    <n v="1.85"/>
    <n v="7.7850000000000001"/>
    <n v="3.7850000000000001"/>
    <n v="6.3083333333333336"/>
    <n v="6.25"/>
  </r>
  <r>
    <s v="Tachalab"/>
    <s v="A1-005-0024"/>
    <s v="TachalabA1-005-0024"/>
    <n v="7"/>
    <s v="Tachalab7"/>
    <s v="Outdoor"/>
    <x v="2"/>
    <n v="4"/>
    <n v="8.2225774999999999"/>
    <n v="5.2225774999999999"/>
    <n v="8.7042958333333331"/>
    <n v="6.25"/>
  </r>
  <r>
    <s v="Tachalab"/>
    <s v="A1-013-0012"/>
    <s v="TachalabA1-013-0012"/>
    <n v="7"/>
    <s v="Tachalab7"/>
    <s v="Outdoor"/>
    <x v="2"/>
    <n v="2.2999999999999998"/>
    <n v="8.0141913043478272"/>
    <n v="5.0141913043478272"/>
    <n v="8.3569855072463799"/>
    <n v="6.25"/>
  </r>
  <r>
    <s v="Tamai2"/>
    <s v="D1-068-0004"/>
    <s v="Tamai2D1-068-0004"/>
    <n v="7"/>
    <s v="Tamai27"/>
    <s v="Outdoor"/>
    <x v="2"/>
    <n v="2.59"/>
    <n v="9.6082046332046342"/>
    <n v="6.6082046332046342"/>
    <n v="11.01367438867439"/>
    <n v="6.25"/>
  </r>
  <r>
    <s v="Tamai2"/>
    <s v="E1-032-0037"/>
    <s v="Tamai2E1-032-0037"/>
    <n v="7"/>
    <s v="Tamai27"/>
    <s v="Outdoor"/>
    <x v="0"/>
    <n v="5.28"/>
    <n v="5.693732954545454"/>
    <n v="3.693732954545454"/>
    <n v="6.15622159090909"/>
    <n v="6.15622159090909"/>
  </r>
  <r>
    <s v="Tamai2"/>
    <s v="A1-006-0027"/>
    <s v="Tamai2A1-006-0027"/>
    <n v="7"/>
    <s v="Tamai27"/>
    <s v="Outdoor"/>
    <x v="0"/>
    <n v="5.23"/>
    <n v="0"/>
    <n v="0"/>
    <n v="0"/>
    <n v="0"/>
  </r>
  <r>
    <s v="Andaman"/>
    <s v="A1-013-0019"/>
    <s v="AndamanA1-013-0019"/>
    <n v="8"/>
    <s v="Andaman8"/>
    <s v="Outdoor"/>
    <x v="3"/>
    <n v="1.5"/>
    <n v="3.3545199999999995"/>
    <n v="-2.6454800000000005"/>
    <n v="-4.409133333333334"/>
    <n v="0"/>
  </r>
  <r>
    <s v="Andaman"/>
    <s v="A1-004-0048"/>
    <s v="AndamanA1-004-0048"/>
    <n v="8"/>
    <s v="Andaman8"/>
    <s v="Outdoor"/>
    <x v="2"/>
    <n v="2"/>
    <n v="6.0151349999999999"/>
    <n v="1.5134999999999899E-2"/>
    <n v="2.5224999999999831E-2"/>
    <n v="2.5224999999999831E-2"/>
  </r>
  <r>
    <s v="Andaman"/>
    <s v="A1-008-0046"/>
    <s v="AndamanA1-008-0046"/>
    <n v="8"/>
    <s v="Andaman8"/>
    <s v="Outdoor"/>
    <x v="2"/>
    <n v="2.5"/>
    <n v="9.6764679999999998"/>
    <n v="6.6764679999999998"/>
    <n v="11.127446666666668"/>
    <n v="6.25"/>
  </r>
  <r>
    <s v="Andaman"/>
    <s v="A1-009-0047"/>
    <s v="AndamanA1-009-0047"/>
    <n v="8"/>
    <s v="Andaman8"/>
    <s v="Outdoor"/>
    <x v="2"/>
    <n v="2.5"/>
    <n v="10.411256"/>
    <n v="7.4112559999999998"/>
    <n v="12.352093333333334"/>
    <n v="6.25"/>
  </r>
  <r>
    <s v="Bangkachai1"/>
    <s v="A1-047-0010"/>
    <s v="Bangkachai1A1-047-0010"/>
    <n v="8"/>
    <s v="Bangkachai18"/>
    <s v="Outdoor"/>
    <x v="2"/>
    <n v="2.1"/>
    <n v="11.840733333333333"/>
    <n v="8.8407333333333327"/>
    <n v="14.734555555555556"/>
    <n v="6.25"/>
  </r>
  <r>
    <s v="Bangkachai1"/>
    <s v="BG-044-0010"/>
    <s v="Bangkachai1BG-044-0010"/>
    <n v="8"/>
    <s v="Bangkachai18"/>
    <s v="Greenhouse"/>
    <x v="1"/>
    <n v="2.1"/>
    <n v="8.7993380952380953"/>
    <n v="4.7993380952380953"/>
    <n v="7.9988968253968258"/>
    <n v="6.25"/>
  </r>
  <r>
    <s v="Bangsakao"/>
    <s v="DG-002-0025"/>
    <s v="BangsakaoDG-002-0025"/>
    <n v="8"/>
    <s v="Bangsakao8"/>
    <s v="Greenhouse"/>
    <x v="1"/>
    <n v="2"/>
    <n v="9.7317700000000009"/>
    <n v="5.7317700000000009"/>
    <n v="9.5529500000000027"/>
    <n v="6.25"/>
  </r>
  <r>
    <s v="Bansang"/>
    <s v="A1-007-0017"/>
    <s v="BansangA1-007-0017"/>
    <n v="8"/>
    <s v="Bansang8"/>
    <s v="Outdoor"/>
    <x v="2"/>
    <n v="3.38"/>
    <n v="8.1066153846153846"/>
    <n v="5.1066153846153846"/>
    <n v="8.5110256410256415"/>
    <n v="6.25"/>
  </r>
  <r>
    <s v="Chantaburi3"/>
    <s v="B1-023-0029"/>
    <s v="Chantaburi3B1-023-0029"/>
    <n v="8"/>
    <s v="Chantaburi38"/>
    <s v="Outdoor"/>
    <x v="2"/>
    <n v="2.2999999999999998"/>
    <n v="6.5282782608695662"/>
    <n v="3.5282782608695662"/>
    <n v="5.880463768115944"/>
    <n v="5.880463768115944"/>
  </r>
  <r>
    <s v="Choknavy"/>
    <s v="A1-005-0006"/>
    <s v="ChoknavyA1-005-0006"/>
    <n v="8"/>
    <s v="Choknavy8"/>
    <s v="Outdoor"/>
    <x v="0"/>
    <n v="5.5"/>
    <n v="6.7299272727272728"/>
    <n v="4.7299272727272728"/>
    <n v="7.8832121212121216"/>
    <n v="6.25"/>
  </r>
  <r>
    <s v="CS1"/>
    <s v="C1-084-0020"/>
    <s v="CS1C1-084-0020"/>
    <n v="8"/>
    <s v="CS18"/>
    <s v="Outdoor"/>
    <x v="2"/>
    <n v="2.25"/>
    <n v="2.6116355555555559"/>
    <n v="-0.38836444444444407"/>
    <n v="-0.64727407407407345"/>
    <n v="0"/>
  </r>
  <r>
    <s v="Kamong"/>
    <s v="D1-032-0010"/>
    <s v="KamongD1-032-0010"/>
    <n v="8"/>
    <s v="Kamong8"/>
    <s v="Outdoor"/>
    <x v="2"/>
    <n v="3"/>
    <n v="2.4362333333333335"/>
    <n v="-0.56376666666666653"/>
    <n v="-0.93961111111111095"/>
    <n v="0"/>
  </r>
  <r>
    <s v="Kamong"/>
    <s v="C1-006-0031"/>
    <s v="KamongC1-006-0031"/>
    <n v="8"/>
    <s v="Kamong8"/>
    <s v="Outdoor"/>
    <x v="0"/>
    <n v="6.32"/>
    <n v="11.884479430379747"/>
    <n v="9.8844794303797467"/>
    <n v="16.474132383966246"/>
    <n v="6.25"/>
  </r>
  <r>
    <s v="Kanchanadit"/>
    <s v="D1-052-0013"/>
    <s v="KanchanaditD1-052-0013"/>
    <n v="8"/>
    <s v="Kanchanadit8"/>
    <s v="Outdoor"/>
    <x v="2"/>
    <n v="2"/>
    <n v="10.304195"/>
    <n v="4.304195"/>
    <n v="7.1736583333333339"/>
    <n v="6.25"/>
  </r>
  <r>
    <s v="Kanchanadit"/>
    <s v="D1-050-0013"/>
    <s v="KanchanaditD1-050-0013"/>
    <n v="8"/>
    <s v="Kanchanadit8"/>
    <s v="Outdoor"/>
    <x v="2"/>
    <n v="2"/>
    <n v="10.825014999999999"/>
    <n v="4.8250149999999987"/>
    <n v="8.0416916666666651"/>
    <n v="6.25"/>
  </r>
  <r>
    <s v="Kanchanadit"/>
    <s v="D1-051-0006"/>
    <s v="KanchanaditD1-051-0006"/>
    <n v="8"/>
    <s v="Kanchanadit8"/>
    <s v="Outdoor"/>
    <x v="2"/>
    <n v="2"/>
    <n v="10.024415000000001"/>
    <n v="4.0244150000000012"/>
    <n v="6.7073583333333353"/>
    <n v="6.25"/>
  </r>
  <r>
    <s v="Kanchanadit"/>
    <s v="D1-053-0006"/>
    <s v="KanchanaditD1-053-0006"/>
    <n v="8"/>
    <s v="Kanchanadit8"/>
    <s v="Outdoor"/>
    <x v="2"/>
    <n v="2"/>
    <n v="11.32649"/>
    <n v="5.3264899999999997"/>
    <n v="8.8774833333333341"/>
    <n v="6.25"/>
  </r>
  <r>
    <s v="Kanchanadit"/>
    <s v="C1-042-0005"/>
    <s v="KanchanaditC1-042-0005"/>
    <n v="8"/>
    <s v="Kanchanadit8"/>
    <s v="Outdoor"/>
    <x v="3"/>
    <n v="1.53"/>
    <n v="7.4131241830065351"/>
    <n v="1.4131241830065351"/>
    <n v="2.3552069716775588"/>
    <n v="2.3552069716775588"/>
  </r>
  <r>
    <s v="Kanchanadit"/>
    <s v="C1-041-0015"/>
    <s v="KanchanaditC1-041-0015"/>
    <n v="8"/>
    <s v="Kanchanadit8"/>
    <s v="Outdoor"/>
    <x v="3"/>
    <n v="1.53"/>
    <n v="5.5711633986928089"/>
    <n v="-0.42883660130719115"/>
    <n v="-0.71472766884531858"/>
    <n v="0"/>
  </r>
  <r>
    <s v="Laemsing"/>
    <s v="A1-026-0016"/>
    <s v="LaemsingA1-026-0016"/>
    <n v="8"/>
    <s v="Laemsing8"/>
    <s v="Outdoor"/>
    <x v="2"/>
    <n v="2.2000000000000002"/>
    <n v="7.7922590909090914"/>
    <n v="4.7922590909090914"/>
    <n v="7.9870984848484863"/>
    <n v="6.25"/>
  </r>
  <r>
    <s v="Laemsing"/>
    <s v="A1-002-0038"/>
    <s v="LaemsingA1-002-0038"/>
    <n v="8"/>
    <s v="Laemsing8"/>
    <s v="Outdoor"/>
    <x v="2"/>
    <n v="3"/>
    <n v="5.1323733333333337"/>
    <n v="2.1323733333333337"/>
    <n v="3.5539555555555564"/>
    <n v="3.5539555555555564"/>
  </r>
  <r>
    <s v="Laemsing"/>
    <s v="B1-006-0041"/>
    <s v="LaemsingB1-006-0041"/>
    <n v="8"/>
    <s v="Laemsing8"/>
    <s v="Outdoor"/>
    <x v="2"/>
    <n v="3"/>
    <n v="5.8102200000000002"/>
    <n v="2.8102200000000002"/>
    <n v="4.6837000000000009"/>
    <n v="4.6837000000000009"/>
  </r>
  <r>
    <s v="Lamae"/>
    <s v="A1-009-0020"/>
    <s v="LamaeA1-009-0020"/>
    <n v="8"/>
    <s v="Lamae8"/>
    <s v="Outdoor"/>
    <x v="0"/>
    <n v="5"/>
    <n v="6.7963700000000005"/>
    <n v="4.7963700000000005"/>
    <n v="7.9939500000000008"/>
    <n v="6.25"/>
  </r>
  <r>
    <s v="Lamae"/>
    <s v="A1-010-0022"/>
    <s v="LamaeA1-010-0022"/>
    <n v="8"/>
    <s v="Lamae8"/>
    <s v="Outdoor"/>
    <x v="0"/>
    <n v="5"/>
    <n v="6.4384479999999993"/>
    <n v="4.4384479999999993"/>
    <n v="7.3974133333333327"/>
    <n v="6.25"/>
  </r>
  <r>
    <s v="Lamae"/>
    <s v="B1-021-0013"/>
    <s v="LamaeB1-021-0013"/>
    <n v="8"/>
    <s v="Lamae8"/>
    <s v="Outdoor"/>
    <x v="0"/>
    <n v="8.5"/>
    <n v="5.3971247058823533"/>
    <n v="3.3971247058823533"/>
    <n v="5.6618745098039227"/>
    <n v="5.6618745098039227"/>
  </r>
  <r>
    <s v="Lamlaung"/>
    <s v="A1-003-0044"/>
    <s v="LamlaungA1-003-0044"/>
    <n v="8"/>
    <s v="Lamlaung8"/>
    <s v="Outdoor"/>
    <x v="0"/>
    <n v="5"/>
    <n v="8.9294479999999989"/>
    <n v="6.9294479999999989"/>
    <n v="11.549079999999998"/>
    <n v="6.25"/>
  </r>
  <r>
    <s v="Lucky1"/>
    <s v="B1-021-0015"/>
    <s v="Lucky1B1-021-0015"/>
    <n v="8"/>
    <s v="Lucky18"/>
    <s v="Outdoor"/>
    <x v="2"/>
    <n v="2.1"/>
    <n v="3.6465380952380952"/>
    <n v="0.64653809523809525"/>
    <n v="1.0775634920634922"/>
    <n v="1.0775634920634922"/>
  </r>
  <r>
    <s v="Lucky1"/>
    <s v="BG-026-0013"/>
    <s v="Lucky1BG-026-0013"/>
    <n v="8"/>
    <s v="Lucky18"/>
    <s v="Greenhouse"/>
    <x v="1"/>
    <n v="2.1"/>
    <n v="3.9348047619047617"/>
    <n v="-6.5195238095238306E-2"/>
    <n v="-0.10865873015873051"/>
    <n v="0"/>
  </r>
  <r>
    <s v="Lucky1"/>
    <s v="BG-025-0010"/>
    <s v="Lucky1BG-025-0010"/>
    <n v="8"/>
    <s v="Lucky18"/>
    <s v="Greenhouse"/>
    <x v="1"/>
    <n v="2.1"/>
    <n v="10.880095238095238"/>
    <n v="6.8800952380952385"/>
    <n v="11.466825396825397"/>
    <n v="6.25"/>
  </r>
  <r>
    <s v="Lucky3"/>
    <s v="B1-024-0010"/>
    <s v="Lucky3B1-024-0010"/>
    <n v="8"/>
    <s v="Lucky38"/>
    <s v="Outdoor"/>
    <x v="3"/>
    <n v="1.5"/>
    <n v="3.153"/>
    <n v="-2.847"/>
    <n v="-4.7450000000000001"/>
    <n v="0"/>
  </r>
  <r>
    <s v="Lucky3"/>
    <s v="B1-025-0011"/>
    <s v="Lucky3B1-025-0011"/>
    <n v="8"/>
    <s v="Lucky38"/>
    <s v="Outdoor"/>
    <x v="3"/>
    <n v="1.5"/>
    <n v="0"/>
    <n v="0"/>
    <n v="0"/>
    <n v="0"/>
  </r>
  <r>
    <s v="Maeklong1"/>
    <s v="A1-030-0007"/>
    <s v="Maeklong1A1-030-0007"/>
    <n v="8"/>
    <s v="Maeklong18"/>
    <s v="Outdoor"/>
    <x v="3"/>
    <n v="1.3"/>
    <n v="11.135215384615384"/>
    <n v="5.1352153846153836"/>
    <n v="8.558692307692306"/>
    <n v="6.25"/>
  </r>
  <r>
    <s v="Maeklong1"/>
    <s v="A1-017-0031"/>
    <s v="Maeklong1A1-017-0031"/>
    <n v="8"/>
    <s v="Maeklong18"/>
    <s v="Outdoor"/>
    <x v="2"/>
    <n v="2.89"/>
    <n v="12.480304498269897"/>
    <n v="9.4803044982698967"/>
    <n v="15.800507497116495"/>
    <n v="6.25"/>
  </r>
  <r>
    <s v="Maeklong1"/>
    <s v="A1-023-0017"/>
    <s v="Maeklong1A1-023-0017"/>
    <n v="8"/>
    <s v="Maeklong18"/>
    <s v="Outdoor"/>
    <x v="2"/>
    <n v="3.91"/>
    <n v="8.7958976982097177"/>
    <n v="5.7958976982097177"/>
    <n v="9.6598294970161973"/>
    <n v="6.25"/>
  </r>
  <r>
    <s v="Maeklong1"/>
    <s v="A1-021-0025"/>
    <s v="Maeklong1A1-021-0025"/>
    <n v="8"/>
    <s v="Maeklong18"/>
    <s v="Outdoor"/>
    <x v="2"/>
    <n v="3.82"/>
    <n v="11.074285340314137"/>
    <n v="8.0742853403141375"/>
    <n v="13.457142233856896"/>
    <n v="6.25"/>
  </r>
  <r>
    <s v="Nakornfarm"/>
    <s v="B1-108-0006"/>
    <s v="NakornfarmB1-108-0006"/>
    <n v="8"/>
    <s v="Nakornfarm8"/>
    <s v="Outdoor"/>
    <x v="3"/>
    <n v="1.5"/>
    <n v="4.5843266666666667"/>
    <n v="-1.4156733333333333"/>
    <n v="-2.3594555555555559"/>
    <n v="0"/>
  </r>
  <r>
    <s v="Nakornfarm"/>
    <s v="B1-107-0006"/>
    <s v="NakornfarmB1-107-0006"/>
    <n v="8"/>
    <s v="Nakornfarm8"/>
    <s v="Outdoor"/>
    <x v="3"/>
    <n v="1.5"/>
    <n v="0"/>
    <n v="0"/>
    <n v="0"/>
    <n v="0"/>
  </r>
  <r>
    <s v="Nakornfarm"/>
    <s v="FG-125-0010"/>
    <s v="NakornfarmFG-125-0010"/>
    <n v="8"/>
    <s v="Nakornfarm8"/>
    <s v="Greenhouse"/>
    <x v="1"/>
    <n v="1.4"/>
    <n v="10.570557142857144"/>
    <n v="6.5705571428571439"/>
    <n v="10.950928571428573"/>
    <n v="6.25"/>
  </r>
  <r>
    <s v="Nakornfarm"/>
    <s v="BG-110-0012"/>
    <s v="NakornfarmBG-110-0012"/>
    <n v="8"/>
    <s v="Nakornfarm8"/>
    <s v="Greenhouse"/>
    <x v="1"/>
    <n v="1.5"/>
    <n v="0"/>
    <n v="0"/>
    <n v="0"/>
    <n v="0"/>
  </r>
  <r>
    <s v="PB5"/>
    <s v="A1-011-0047"/>
    <s v="PB5A1-011-0047"/>
    <n v="8"/>
    <s v="PB58"/>
    <s v="Outdoor"/>
    <x v="2"/>
    <n v="2.35"/>
    <n v="7.0376468085106385"/>
    <n v="4.0376468085106385"/>
    <n v="6.7294113475177308"/>
    <n v="6.25"/>
  </r>
  <r>
    <s v="PB5"/>
    <s v="A1-009-0048"/>
    <s v="PB5A1-009-0048"/>
    <n v="8"/>
    <s v="PB58"/>
    <s v="Outdoor"/>
    <x v="0"/>
    <n v="4.62"/>
    <n v="6.6622943722943715"/>
    <n v="4.6622943722943715"/>
    <n v="7.7704906204906194"/>
    <n v="6.25"/>
  </r>
  <r>
    <s v="Petchburi5"/>
    <s v="G1-G02-0002"/>
    <s v="Petchburi5G1-G02-0002"/>
    <n v="8"/>
    <s v="Petchburi58"/>
    <s v="Greenhouse"/>
    <x v="1"/>
    <n v="1"/>
    <n v="20.16797"/>
    <n v="16.16797"/>
    <n v="26.946616666666667"/>
    <n v="6.25"/>
  </r>
  <r>
    <s v="Petchburi5"/>
    <s v="AG-002-0013"/>
    <s v="Petchburi5AG-002-0013"/>
    <n v="8"/>
    <s v="Petchburi58"/>
    <s v="Greenhouse"/>
    <x v="1"/>
    <n v="1.5"/>
    <n v="10.219306666666666"/>
    <n v="6.2193066666666663"/>
    <n v="10.365511111111111"/>
    <n v="6.25"/>
  </r>
  <r>
    <s v="Rayong3"/>
    <s v="A1-005-0028"/>
    <s v="Rayong3A1-005-0028"/>
    <n v="8"/>
    <s v="Rayong38"/>
    <s v="Outdoor"/>
    <x v="0"/>
    <n v="6.25"/>
    <n v="5.3328144000000002"/>
    <n v="3.3328144000000002"/>
    <n v="5.5546906666666676"/>
    <n v="5.5546906666666676"/>
  </r>
  <r>
    <s v="Rayong3"/>
    <s v="A1-042-0009"/>
    <s v="Rayong3A1-042-0009"/>
    <n v="8"/>
    <s v="Rayong38"/>
    <s v="Outdoor"/>
    <x v="3"/>
    <n v="1.5"/>
    <n v="15.119133333333332"/>
    <n v="9.1191333333333322"/>
    <n v="15.198555555555554"/>
    <n v="6.25"/>
  </r>
  <r>
    <s v="Rayong3"/>
    <s v="C1-016-0038"/>
    <s v="Rayong3C1-016-0038"/>
    <n v="8"/>
    <s v="Rayong38"/>
    <s v="Outdoor"/>
    <x v="0"/>
    <n v="6.25"/>
    <n v="4.8919600000000001"/>
    <n v="2.8919600000000001"/>
    <n v="4.8199333333333341"/>
    <n v="4.8199333333333341"/>
  </r>
  <r>
    <s v="Rayong3"/>
    <s v="D1-031-0042"/>
    <s v="Rayong3D1-031-0042"/>
    <n v="8"/>
    <s v="Rayong38"/>
    <s v="Outdoor"/>
    <x v="0"/>
    <n v="6.25"/>
    <n v="4.1617376000000004"/>
    <n v="2.1617376000000004"/>
    <n v="3.6028960000000008"/>
    <n v="3.6028960000000008"/>
  </r>
  <r>
    <s v="Rayong3"/>
    <s v="D1-030-0017"/>
    <s v="Rayong3D1-030-0017"/>
    <n v="8"/>
    <s v="Rayong38"/>
    <s v="Outdoor"/>
    <x v="0"/>
    <n v="6.25"/>
    <n v="15.6816336"/>
    <n v="13.6816336"/>
    <n v="22.802722666666668"/>
    <n v="6.25"/>
  </r>
  <r>
    <s v="Roiphet1"/>
    <s v="B3-G05-0093"/>
    <s v="Roiphet1B3-G05-0093"/>
    <n v="8"/>
    <s v="Roiphet18"/>
    <s v="Greenhouse"/>
    <x v="1"/>
    <n v="1.1299999999999999"/>
    <n v="2.210256637168142"/>
    <n v="-1.789743362831858"/>
    <n v="-2.9829056047197633"/>
    <n v="0"/>
  </r>
  <r>
    <s v="Roiphet1"/>
    <s v="B6-G12-0088"/>
    <s v="Roiphet1B6-G12-0088"/>
    <n v="8"/>
    <s v="Roiphet18"/>
    <s v="Greenhouse"/>
    <x v="1"/>
    <n v="1.1299999999999999"/>
    <n v="3.0093982300884958"/>
    <n v="-0.99060176991150417"/>
    <n v="-1.651002949852507"/>
    <n v="0"/>
  </r>
  <r>
    <s v="Roiphet1"/>
    <s v="B6-G11-0083"/>
    <s v="Roiphet1B6-G11-0083"/>
    <n v="8"/>
    <s v="Roiphet18"/>
    <s v="Greenhouse"/>
    <x v="1"/>
    <n v="1.1299999999999999"/>
    <n v="3.4487610619469029"/>
    <n v="-0.55123893805309709"/>
    <n v="-0.91873156342182849"/>
    <n v="0"/>
  </r>
  <r>
    <s v="Roiphet1"/>
    <s v="B6-I11-0084"/>
    <s v="Roiphet1B6-I11-0084"/>
    <n v="8"/>
    <s v="Roiphet18"/>
    <s v="Greenhouse"/>
    <x v="1"/>
    <n v="0.72"/>
    <n v="2.6742222222222223"/>
    <n v="-1.3257777777777777"/>
    <n v="-2.2096296296296298"/>
    <n v="0"/>
  </r>
  <r>
    <s v="Roiphet1"/>
    <s v="B6-I12-0087"/>
    <s v="Roiphet1B6-I12-0087"/>
    <n v="8"/>
    <s v="Roiphet18"/>
    <s v="Greenhouse"/>
    <x v="1"/>
    <n v="0.72"/>
    <n v="3.3106944444444442"/>
    <n v="-0.68930555555555584"/>
    <n v="-1.1488425925925931"/>
    <n v="0"/>
  </r>
  <r>
    <s v="Roiphet1"/>
    <s v="B3-G06-0082"/>
    <s v="Roiphet1B3-G06-0082"/>
    <n v="8"/>
    <s v="Roiphet18"/>
    <s v="Greenhouse"/>
    <x v="1"/>
    <n v="1.1299999999999999"/>
    <n v="4.0597610619469036"/>
    <n v="5.976106194690356E-2"/>
    <n v="9.9601769911505933E-2"/>
    <n v="9.9601769911505933E-2"/>
  </r>
  <r>
    <s v="Roiphet1"/>
    <s v="B3-I05-0093"/>
    <s v="Roiphet1B3-I05-0093"/>
    <n v="8"/>
    <s v="Roiphet18"/>
    <s v="Greenhouse"/>
    <x v="1"/>
    <n v="0.72"/>
    <n v="2.9153472222222225"/>
    <n v="-1.0846527777777775"/>
    <n v="-1.8077546296296292"/>
    <n v="0"/>
  </r>
  <r>
    <s v="Roiphet1"/>
    <s v="B3-I06-0095"/>
    <s v="Roiphet1B3-I06-0095"/>
    <n v="8"/>
    <s v="Roiphet18"/>
    <s v="Greenhouse"/>
    <x v="1"/>
    <n v="0.72"/>
    <n v="2.771527777777778"/>
    <n v="-1.228472222222222"/>
    <n v="-2.0474537037037033"/>
    <n v="0"/>
  </r>
  <r>
    <s v="Roiphet3"/>
    <s v="A1-006-0012"/>
    <s v="Roiphet3A1-006-0012"/>
    <n v="8"/>
    <s v="Roiphet38"/>
    <s v="Outdoor"/>
    <x v="0"/>
    <n v="4.5"/>
    <n v="2.9688155555555555"/>
    <n v="0.96881555555555554"/>
    <n v="1.6146925925925926"/>
    <n v="1.6146925925925926"/>
  </r>
  <r>
    <s v="SR1"/>
    <s v="C1-051-0032"/>
    <s v="SR1C1-051-0032"/>
    <n v="8"/>
    <s v="SR18"/>
    <s v="Outdoor"/>
    <x v="2"/>
    <n v="3.6"/>
    <n v="9.1180000000000003"/>
    <n v="6.1180000000000003"/>
    <n v="10.196666666666667"/>
    <n v="6.25"/>
  </r>
  <r>
    <s v="SR4"/>
    <s v="G2-059-0011"/>
    <s v="SR4G2-059-0011"/>
    <n v="8"/>
    <s v="SR48"/>
    <s v="Greenhouse"/>
    <x v="1"/>
    <n v="1.85"/>
    <n v="11.046643243243242"/>
    <n v="7.046643243243242"/>
    <n v="11.744405405405404"/>
    <n v="6.25"/>
  </r>
  <r>
    <s v="Tachalab"/>
    <s v="A1-011-0018"/>
    <s v="TachalabA1-011-0018"/>
    <n v="8"/>
    <s v="Tachalab8"/>
    <s v="Outdoor"/>
    <x v="2"/>
    <n v="2.8"/>
    <n v="10.210000000000001"/>
    <n v="7.2100000000000009"/>
    <n v="12.016666666666669"/>
    <n v="6.25"/>
  </r>
  <r>
    <s v="Tachalab"/>
    <s v="A1-012-0017"/>
    <s v="TachalabA1-012-0017"/>
    <n v="8"/>
    <s v="Tachalab8"/>
    <s v="Outdoor"/>
    <x v="2"/>
    <n v="2.2999999999999998"/>
    <n v="8.5806782608695649"/>
    <n v="5.5806782608695649"/>
    <n v="9.3011304347826087"/>
    <n v="6.25"/>
  </r>
  <r>
    <s v="Talaytong"/>
    <s v="A1-039-0007"/>
    <s v="TalaytongA1-039-0007"/>
    <n v="8"/>
    <s v="Talaytong8"/>
    <s v="Outdoor"/>
    <x v="0"/>
    <n v="4.29"/>
    <n v="9.0466899766899775"/>
    <n v="7.0466899766899775"/>
    <n v="11.744483294483297"/>
    <n v="6.25"/>
  </r>
  <r>
    <s v="Tamai2"/>
    <s v="C1-058-0011"/>
    <s v="Tamai2C1-058-0011"/>
    <n v="8"/>
    <s v="Tamai28"/>
    <s v="Outdoor"/>
    <x v="2"/>
    <n v="3.42"/>
    <n v="1.3447953216374269"/>
    <n v="-1.6552046783625731"/>
    <n v="-2.7586744639376222"/>
    <n v="0"/>
  </r>
  <r>
    <s v="Tamai2"/>
    <s v="D1-073-0010"/>
    <s v="Tamai2D1-073-0010"/>
    <n v="8"/>
    <s v="Tamai28"/>
    <s v="Outdoor"/>
    <x v="2"/>
    <n v="2.4300000000000002"/>
    <n v="2.4109999999999996"/>
    <n v="-0.58900000000000041"/>
    <n v="-0.98166666666666735"/>
    <n v="0"/>
  </r>
  <r>
    <s v="Tamai2"/>
    <s v="C1-057-0011"/>
    <s v="Tamai2C1-057-0011"/>
    <n v="8"/>
    <s v="Tamai28"/>
    <s v="Outdoor"/>
    <x v="2"/>
    <n v="3.29"/>
    <n v="1.3058936170212767"/>
    <n v="-1.6941063829787233"/>
    <n v="-2.8235106382978721"/>
    <n v="0"/>
  </r>
  <r>
    <s v="Andaman"/>
    <s v="A1-014-0019"/>
    <s v="AndamanA1-014-0019"/>
    <n v="9"/>
    <s v="Andaman9"/>
    <s v="Outdoor"/>
    <x v="3"/>
    <n v="1.5"/>
    <n v="5.1225866666666668"/>
    <n v="-0.87741333333333316"/>
    <n v="-1.4623555555555554"/>
    <n v="0"/>
  </r>
  <r>
    <s v="Andaman"/>
    <s v="A1-016-0015"/>
    <s v="AndamanA1-016-0015"/>
    <n v="9"/>
    <s v="Andaman9"/>
    <s v="Outdoor"/>
    <x v="3"/>
    <n v="1.5"/>
    <n v="10.248513333333333"/>
    <n v="4.2485133333333334"/>
    <n v="7.0808555555555559"/>
    <n v="6.25"/>
  </r>
  <r>
    <s v="Bangsakao"/>
    <s v="B1-006-0015"/>
    <s v="BangsakaoB1-006-0015"/>
    <n v="9"/>
    <s v="Bangsakao9"/>
    <s v="Outdoor"/>
    <x v="0"/>
    <n v="4.75"/>
    <n v="0"/>
    <n v="0"/>
    <n v="0"/>
    <n v="0"/>
  </r>
  <r>
    <s v="Bansang"/>
    <s v="A1-005-0016"/>
    <s v="BansangA1-005-0016"/>
    <n v="9"/>
    <s v="Bansang9"/>
    <s v="Outdoor"/>
    <x v="2"/>
    <n v="3.38"/>
    <n v="3.0149704142011835"/>
    <n v="1.4970414201183502E-2"/>
    <n v="2.4950690335305836E-2"/>
    <n v="2.4950690335305836E-2"/>
  </r>
  <r>
    <s v="Bansang"/>
    <s v="A1-008-0015"/>
    <s v="BansangA1-008-0015"/>
    <n v="9"/>
    <s v="Bansang9"/>
    <s v="Outdoor"/>
    <x v="2"/>
    <n v="3.38"/>
    <n v="7.7165828402366863"/>
    <n v="4.7165828402366863"/>
    <n v="7.8609714003944777"/>
    <n v="6.25"/>
  </r>
  <r>
    <s v="Choknavy"/>
    <s v="A1-001-0041"/>
    <s v="ChoknavyA1-001-0041"/>
    <n v="9"/>
    <s v="Choknavy9"/>
    <s v="Outdoor"/>
    <x v="0"/>
    <n v="5"/>
    <n v="8.0455199999999998"/>
    <n v="6.0455199999999998"/>
    <n v="10.075866666666666"/>
    <n v="6.25"/>
  </r>
  <r>
    <s v="CS1"/>
    <s v="C1-085-0020"/>
    <s v="CS1C1-085-0020"/>
    <n v="9"/>
    <s v="CS19"/>
    <s v="Outdoor"/>
    <x v="2"/>
    <n v="2.6"/>
    <n v="3.5987769230769224"/>
    <n v="0.59877692307692243"/>
    <n v="0.99796153846153746"/>
    <n v="0.99796153846153746"/>
  </r>
  <r>
    <s v="CS4"/>
    <s v="A1-011-0046"/>
    <s v="CS4A1-011-0046"/>
    <n v="9"/>
    <s v="CS49"/>
    <s v="Outdoor"/>
    <x v="2"/>
    <n v="2.65"/>
    <n v="6.3555207547169816"/>
    <n v="3.3555207547169816"/>
    <n v="5.59253459119497"/>
    <n v="5.59253459119497"/>
  </r>
  <r>
    <s v="CS4"/>
    <s v="A1-002-0048"/>
    <s v="CS4A1-002-0048"/>
    <n v="9"/>
    <s v="CS49"/>
    <s v="Outdoor"/>
    <x v="2"/>
    <n v="2"/>
    <n v="0"/>
    <n v="0"/>
    <n v="0"/>
    <n v="0"/>
  </r>
  <r>
    <s v="Kamong"/>
    <s v="AG-011-0009"/>
    <s v="KamongAG-011-0009"/>
    <n v="9"/>
    <s v="Kamong9"/>
    <s v="Greenhouse"/>
    <x v="1"/>
    <n v="2"/>
    <n v="11.353235"/>
    <n v="7.3532349999999997"/>
    <n v="12.255391666666666"/>
    <n v="6.25"/>
  </r>
  <r>
    <s v="Kamong"/>
    <s v="AG-031-0013"/>
    <s v="KamongAG-031-0013"/>
    <n v="9"/>
    <s v="Kamong9"/>
    <s v="Greenhouse"/>
    <x v="1"/>
    <n v="2"/>
    <n v="7.2612899999999998"/>
    <n v="3.2612899999999998"/>
    <n v="5.435483333333333"/>
    <n v="5.435483333333333"/>
  </r>
  <r>
    <s v="Lamae"/>
    <s v="A1-012-0014"/>
    <s v="LamaeA1-012-0014"/>
    <n v="9"/>
    <s v="Lamae9"/>
    <s v="Outdoor"/>
    <x v="2"/>
    <n v="4"/>
    <n v="7.8668900000000006"/>
    <n v="4.8668900000000006"/>
    <n v="8.111483333333334"/>
    <n v="6.25"/>
  </r>
  <r>
    <s v="Lamae"/>
    <s v="B1-022-0012"/>
    <s v="LamaeB1-022-0012"/>
    <n v="9"/>
    <s v="Lamae9"/>
    <s v="Outdoor"/>
    <x v="0"/>
    <n v="8.5"/>
    <n v="5.0910517647058828"/>
    <n v="3.0910517647058828"/>
    <n v="5.151752941176472"/>
    <n v="5.151752941176472"/>
  </r>
  <r>
    <s v="Lamae"/>
    <s v="A1-011-0023"/>
    <s v="LamaeA1-011-0023"/>
    <n v="9"/>
    <s v="Lamae9"/>
    <s v="Outdoor"/>
    <x v="2"/>
    <n v="4"/>
    <n v="5.1962924999999993"/>
    <n v="2.1962924999999993"/>
    <n v="3.660487499999999"/>
    <n v="3.660487499999999"/>
  </r>
  <r>
    <s v="Lamae"/>
    <s v="A1-013-0016"/>
    <s v="LamaeA1-013-0016"/>
    <n v="9"/>
    <s v="Lamae9"/>
    <s v="Outdoor"/>
    <x v="2"/>
    <n v="4"/>
    <n v="5.1040025"/>
    <n v="2.1040025"/>
    <n v="3.5066708333333336"/>
    <n v="3.5066708333333336"/>
  </r>
  <r>
    <s v="Lamlaung"/>
    <s v="B1-112-0007"/>
    <s v="LamlaungB1-112-0007"/>
    <n v="9"/>
    <s v="Lamlaung9"/>
    <s v="Outdoor"/>
    <x v="0"/>
    <n v="5"/>
    <n v="4.9445800000000002"/>
    <n v="2.9445800000000002"/>
    <n v="4.907633333333334"/>
    <n v="4.907633333333334"/>
  </r>
  <r>
    <s v="Lamlaung"/>
    <s v="A1-005-0008"/>
    <s v="LamlaungA1-005-0008"/>
    <n v="9"/>
    <s v="Lamlaung9"/>
    <s v="Outdoor"/>
    <x v="0"/>
    <n v="5"/>
    <n v="12.5245"/>
    <n v="10.5245"/>
    <n v="17.540833333333335"/>
    <n v="6.25"/>
  </r>
  <r>
    <s v="Lamlaung"/>
    <s v="B1-111-0008"/>
    <s v="LamlaungB1-111-0008"/>
    <n v="9"/>
    <s v="Lamlaung9"/>
    <s v="Outdoor"/>
    <x v="0"/>
    <n v="5"/>
    <n v="11.605546"/>
    <n v="9.6055460000000004"/>
    <n v="16.009243333333334"/>
    <n v="6.25"/>
  </r>
  <r>
    <s v="Lamlaung"/>
    <s v="A1-004-0046"/>
    <s v="LamlaungA1-004-0046"/>
    <n v="9"/>
    <s v="Lamlaung9"/>
    <s v="Outdoor"/>
    <x v="0"/>
    <n v="5"/>
    <n v="7.6342060000000007"/>
    <n v="5.6342060000000007"/>
    <n v="9.3903433333333357"/>
    <n v="6.25"/>
  </r>
  <r>
    <s v="Lucky1"/>
    <s v="B1-017-0014"/>
    <s v="Lucky1B1-017-0014"/>
    <n v="9"/>
    <s v="Lucky19"/>
    <s v="Outdoor"/>
    <x v="2"/>
    <n v="2.1"/>
    <n v="5.4556476190476193"/>
    <n v="2.4556476190476193"/>
    <n v="4.0927460317460325"/>
    <n v="4.0927460317460325"/>
  </r>
  <r>
    <s v="Lucky1"/>
    <s v="BG-028-0013"/>
    <s v="Lucky1BG-028-0013"/>
    <n v="9"/>
    <s v="Lucky19"/>
    <s v="Greenhouse"/>
    <x v="1"/>
    <n v="2.1"/>
    <n v="6.0682380952380948"/>
    <n v="2.0682380952380948"/>
    <n v="3.4470634920634913"/>
    <n v="3.4470634920634913"/>
  </r>
  <r>
    <s v="Lucky2"/>
    <s v="A1-045-0005"/>
    <s v="Lucky2A1-045-0005"/>
    <n v="9"/>
    <s v="Lucky29"/>
    <s v="Outdoor"/>
    <x v="0"/>
    <n v="5.3"/>
    <n v="4.2543433962264157"/>
    <n v="2.2543433962264157"/>
    <n v="3.7572389937106929"/>
    <n v="3.7572389937106929"/>
  </r>
  <r>
    <s v="Maeklong1"/>
    <s v="A1-029-0014"/>
    <s v="Maeklong1A1-029-0014"/>
    <n v="9"/>
    <s v="Maeklong19"/>
    <s v="Outdoor"/>
    <x v="3"/>
    <n v="1.3"/>
    <n v="14.344984615384615"/>
    <n v="8.3449846153846146"/>
    <n v="13.908307692307691"/>
    <n v="6.25"/>
  </r>
  <r>
    <s v="Maeklong1"/>
    <s v="A1-006-0042"/>
    <s v="Maeklong1A1-006-0042"/>
    <n v="9"/>
    <s v="Maeklong19"/>
    <s v="Outdoor"/>
    <x v="2"/>
    <n v="3.42"/>
    <n v="10.880970760233918"/>
    <n v="7.8809707602339181"/>
    <n v="13.134951267056531"/>
    <n v="6.25"/>
  </r>
  <r>
    <s v="Maeklong1"/>
    <s v="A1-005-0044"/>
    <s v="Maeklong1A1-005-0044"/>
    <n v="9"/>
    <s v="Maeklong19"/>
    <s v="Outdoor"/>
    <x v="2"/>
    <n v="3.42"/>
    <n v="13.510991228070175"/>
    <n v="10.510991228070175"/>
    <n v="17.518318713450292"/>
    <n v="6.25"/>
  </r>
  <r>
    <s v="Nakornfarm"/>
    <s v="BG-102-0011"/>
    <s v="NakornfarmBG-102-0011"/>
    <n v="9"/>
    <s v="Nakornfarm9"/>
    <s v="Greenhouse"/>
    <x v="1"/>
    <n v="1.5"/>
    <n v="10.237319999999999"/>
    <n v="6.2373199999999986"/>
    <n v="10.395533333333331"/>
    <n v="6.25"/>
  </r>
  <r>
    <s v="Petchburi5"/>
    <s v="B1-115-0008"/>
    <s v="Petchburi5B1-115-0008"/>
    <n v="9"/>
    <s v="Petchburi59"/>
    <s v="Outdoor"/>
    <x v="2"/>
    <n v="2.0299999999999998"/>
    <n v="18.812399014778325"/>
    <n v="15.812399014778325"/>
    <n v="26.353998357963878"/>
    <n v="6.25"/>
  </r>
  <r>
    <s v="Petchburi5"/>
    <s v="B1-116-0007"/>
    <s v="Petchburi5B1-116-0007"/>
    <n v="9"/>
    <s v="Petchburi59"/>
    <s v="Outdoor"/>
    <x v="3"/>
    <n v="1.85"/>
    <n v="18.532497297297297"/>
    <n v="12.532497297297297"/>
    <n v="20.887495495495497"/>
    <n v="6.25"/>
  </r>
  <r>
    <s v="Petchburi5"/>
    <s v="A1-035-0007"/>
    <s v="Petchburi5A1-035-0007"/>
    <n v="9"/>
    <s v="Petchburi59"/>
    <s v="Outdoor"/>
    <x v="3"/>
    <n v="1.5"/>
    <n v="17.3657"/>
    <n v="11.3657"/>
    <n v="18.942833333333336"/>
    <n v="6.25"/>
  </r>
  <r>
    <s v="Petchburi5"/>
    <s v="A1-020-0016"/>
    <s v="Petchburi5A1-020-0016"/>
    <n v="9"/>
    <s v="Petchburi59"/>
    <s v="Outdoor"/>
    <x v="3"/>
    <n v="1.5"/>
    <n v="14.299446666666666"/>
    <n v="8.2994466666666664"/>
    <n v="13.832411111111112"/>
    <n v="6.25"/>
  </r>
  <r>
    <s v="Petchburi5"/>
    <s v="A1-021-0020"/>
    <s v="Petchburi5A1-021-0020"/>
    <n v="9"/>
    <s v="Petchburi59"/>
    <s v="Outdoor"/>
    <x v="3"/>
    <n v="1.5"/>
    <n v="11.693893333333333"/>
    <n v="5.6938933333333335"/>
    <n v="9.489822222222223"/>
    <n v="6.25"/>
  </r>
  <r>
    <s v="Roiphet1"/>
    <s v="C3-G06-0079"/>
    <s v="Roiphet1C3-G06-0079"/>
    <n v="9"/>
    <s v="Roiphet19"/>
    <s v="Greenhouse"/>
    <x v="1"/>
    <n v="1.1299999999999999"/>
    <n v="3.6308141592920351"/>
    <n v="-0.3691858407079649"/>
    <n v="-0.61530973451327486"/>
    <n v="0"/>
  </r>
  <r>
    <s v="Roiphet1"/>
    <s v="C3-G05-0075"/>
    <s v="Roiphet1C3-G05-0075"/>
    <n v="9"/>
    <s v="Roiphet19"/>
    <s v="Greenhouse"/>
    <x v="1"/>
    <n v="1.1299999999999999"/>
    <n v="3.9879026548672574"/>
    <n v="-1.2097345132742632E-2"/>
    <n v="-2.0162241887904386E-2"/>
    <n v="0"/>
  </r>
  <r>
    <s v="Roiphet1"/>
    <s v="C1-G02-0074"/>
    <s v="Roiphet1C1-G02-0074"/>
    <n v="9"/>
    <s v="Roiphet19"/>
    <s v="Greenhouse"/>
    <x v="1"/>
    <n v="1.1299999999999999"/>
    <n v="5.8821415929203544"/>
    <n v="1.8821415929203544"/>
    <n v="3.1369026548672574"/>
    <n v="3.1369026548672574"/>
  </r>
  <r>
    <s v="Roiphet1"/>
    <s v="C1-I02-0072"/>
    <s v="Roiphet1C1-I02-0072"/>
    <n v="9"/>
    <s v="Roiphet19"/>
    <s v="Greenhouse"/>
    <x v="1"/>
    <n v="0.72"/>
    <n v="4.8971388888888887"/>
    <n v="0.89713888888888871"/>
    <n v="1.4952314814814813"/>
    <n v="1.4952314814814813"/>
  </r>
  <r>
    <s v="Roiphet1"/>
    <s v="C1-G01-0073"/>
    <s v="Roiphet1C1-G01-0073"/>
    <n v="9"/>
    <s v="Roiphet19"/>
    <s v="Greenhouse"/>
    <x v="1"/>
    <n v="1.1299999999999999"/>
    <n v="5.1203893805309741"/>
    <n v="1.1203893805309741"/>
    <n v="1.8673156342182904"/>
    <n v="1.8673156342182904"/>
  </r>
  <r>
    <s v="Roiphet1"/>
    <s v="C1-I01-0080"/>
    <s v="Roiphet1C1-I01-0080"/>
    <n v="9"/>
    <s v="Roiphet19"/>
    <s v="Greenhouse"/>
    <x v="1"/>
    <n v="0.72"/>
    <n v="4.8285"/>
    <n v="0.82850000000000001"/>
    <n v="1.3808333333333334"/>
    <n v="1.3808333333333334"/>
  </r>
  <r>
    <s v="Roiphet1"/>
    <s v="D2-I03-0086"/>
    <s v="Roiphet1D2-I03-0086"/>
    <n v="9"/>
    <s v="Roiphet19"/>
    <s v="Greenhouse"/>
    <x v="1"/>
    <n v="0.72"/>
    <n v="8.1516527777777785"/>
    <n v="4.1516527777777785"/>
    <n v="6.9194212962962975"/>
    <n v="6.25"/>
  </r>
  <r>
    <s v="Roiphet1"/>
    <s v="D2-G04-0080"/>
    <s v="Roiphet1D2-G04-0080"/>
    <n v="9"/>
    <s v="Roiphet19"/>
    <s v="Greenhouse"/>
    <x v="1"/>
    <n v="1.1299999999999999"/>
    <n v="11.323309734513275"/>
    <n v="7.3233097345132752"/>
    <n v="12.205516224188793"/>
    <n v="6.25"/>
  </r>
  <r>
    <s v="Roiphet1"/>
    <s v="D2-G03-0081"/>
    <s v="Roiphet1D2-G03-0081"/>
    <n v="9"/>
    <s v="Roiphet19"/>
    <s v="Greenhouse"/>
    <x v="1"/>
    <n v="1.1299999999999999"/>
    <n v="10.934867256637169"/>
    <n v="6.934867256637169"/>
    <n v="11.558112094395282"/>
    <n v="6.25"/>
  </r>
  <r>
    <s v="Roiphet1"/>
    <s v="D2-I04-0092"/>
    <s v="Roiphet1D2-I04-0092"/>
    <n v="9"/>
    <s v="Roiphet19"/>
    <s v="Greenhouse"/>
    <x v="1"/>
    <n v="0.72"/>
    <n v="6.4538888888888888"/>
    <n v="2.4538888888888888"/>
    <n v="4.0898148148148152"/>
    <n v="4.0898148148148152"/>
  </r>
  <r>
    <s v="Roiphet1"/>
    <s v="A1-G02-0075"/>
    <s v="Roiphet1A1-G02-0075"/>
    <n v="9"/>
    <s v="Roiphet19"/>
    <s v="Greenhouse"/>
    <x v="1"/>
    <n v="1.1299999999999999"/>
    <n v="6.3674247787610616"/>
    <n v="2.3674247787610616"/>
    <n v="3.9457079646017696"/>
    <n v="3.9457079646017696"/>
  </r>
  <r>
    <s v="Roiphet1"/>
    <s v="A1-G01-0064"/>
    <s v="Roiphet1A1-G01-0064"/>
    <n v="9"/>
    <s v="Roiphet19"/>
    <s v="Greenhouse"/>
    <x v="1"/>
    <n v="1.1299999999999999"/>
    <n v="4.6014424778761063"/>
    <n v="0.60144247787610627"/>
    <n v="1.0024041297935105"/>
    <n v="1.0024041297935105"/>
  </r>
  <r>
    <s v="Roiphet1"/>
    <s v="A4-I08-0100"/>
    <s v="Roiphet1A4-I08-0100"/>
    <n v="9"/>
    <s v="Roiphet19"/>
    <s v="Greenhouse"/>
    <x v="1"/>
    <n v="0.72"/>
    <n v="3.8858194444444445"/>
    <n v="-0.11418055555555551"/>
    <n v="-0.19030092592592585"/>
    <n v="0"/>
  </r>
  <r>
    <s v="Roiphet1"/>
    <s v="A4-G08-0070"/>
    <s v="Roiphet1A4-G08-0070"/>
    <n v="9"/>
    <s v="Roiphet19"/>
    <s v="Greenhouse"/>
    <x v="1"/>
    <n v="1.1299999999999999"/>
    <n v="5.1540707964601777"/>
    <n v="1.1540707964601777"/>
    <n v="1.9234513274336296"/>
    <n v="1.9234513274336296"/>
  </r>
  <r>
    <s v="Roiphet1"/>
    <s v="A1-I01-0089"/>
    <s v="Roiphet1A1-I01-0089"/>
    <n v="9"/>
    <s v="Roiphet19"/>
    <s v="Greenhouse"/>
    <x v="1"/>
    <n v="0.72"/>
    <n v="4.473958333333333"/>
    <n v="0.47395833333333304"/>
    <n v="0.78993055555555514"/>
    <n v="0.78993055555555514"/>
  </r>
  <r>
    <s v="Roiphet1"/>
    <s v="A2-G03-0083"/>
    <s v="Roiphet1A2-G03-0083"/>
    <n v="9"/>
    <s v="Roiphet19"/>
    <s v="Greenhouse"/>
    <x v="1"/>
    <n v="1.1299999999999999"/>
    <n v="4.7650619469026552"/>
    <n v="0.76506194690265517"/>
    <n v="1.2751032448377586"/>
    <n v="1.2751032448377586"/>
  </r>
  <r>
    <s v="Roiphet1"/>
    <s v="A2-I03-0095"/>
    <s v="Roiphet1A2-I03-0095"/>
    <n v="9"/>
    <s v="Roiphet19"/>
    <s v="Greenhouse"/>
    <x v="1"/>
    <n v="0.72"/>
    <n v="4.8289444444444447"/>
    <n v="0.82894444444444471"/>
    <n v="1.3815740740740745"/>
    <n v="1.3815740740740745"/>
  </r>
  <r>
    <s v="Roiphet1"/>
    <s v="A1-I02-0095"/>
    <s v="Roiphet1A1-I02-0095"/>
    <n v="9"/>
    <s v="Roiphet19"/>
    <s v="Greenhouse"/>
    <x v="1"/>
    <n v="0.72"/>
    <n v="4.4508888888888887"/>
    <n v="0.45088888888888867"/>
    <n v="0.75148148148148119"/>
    <n v="0.75148148148148119"/>
  </r>
  <r>
    <s v="Roiphet1"/>
    <s v="A2-G04-0082"/>
    <s v="Roiphet1A2-G04-0082"/>
    <n v="9"/>
    <s v="Roiphet19"/>
    <s v="Greenhouse"/>
    <x v="1"/>
    <n v="1.1299999999999999"/>
    <n v="5.5695044247787617"/>
    <n v="1.5695044247787617"/>
    <n v="2.6158407079646029"/>
    <n v="2.6158407079646029"/>
  </r>
  <r>
    <s v="Roiphet1"/>
    <s v="A2-I04-0100"/>
    <s v="Roiphet1A2-I04-0100"/>
    <n v="9"/>
    <s v="Roiphet19"/>
    <s v="Greenhouse"/>
    <x v="1"/>
    <n v="0.72"/>
    <n v="4.1594722222222229"/>
    <n v="0.1594722222222229"/>
    <n v="0.26578703703703821"/>
    <n v="0.26578703703703821"/>
  </r>
  <r>
    <s v="Roiphet2"/>
    <s v="B1-009-0044"/>
    <s v="Roiphet2B1-009-0044"/>
    <n v="9"/>
    <s v="Roiphet29"/>
    <s v="Outdoor"/>
    <x v="0"/>
    <n v="4.9000000000000004"/>
    <n v="4.9031693877551019"/>
    <n v="2.9031693877551019"/>
    <n v="4.8386156462585035"/>
    <n v="4.8386156462585035"/>
  </r>
  <r>
    <s v="Roiphet3"/>
    <s v="A1-008-0023"/>
    <s v="Roiphet3A1-008-0023"/>
    <n v="9"/>
    <s v="Roiphet39"/>
    <s v="Outdoor"/>
    <x v="0"/>
    <n v="4.4000000000000004"/>
    <n v="4.6518022727272719"/>
    <n v="2.6518022727272719"/>
    <n v="4.4196704545454537"/>
    <n v="4.4196704545454537"/>
  </r>
  <r>
    <s v="SR1"/>
    <s v="D1-067-0005"/>
    <s v="SR1D1-067-0005"/>
    <n v="9"/>
    <s v="SR19"/>
    <s v="Outdoor"/>
    <x v="2"/>
    <n v="2.5"/>
    <n v="7.0937559999999991"/>
    <n v="4.0937559999999991"/>
    <n v="6.8229266666666657"/>
    <n v="6.25"/>
  </r>
  <r>
    <s v="SR1"/>
    <s v="D1-068-0006"/>
    <s v="SR1D1-068-0006"/>
    <n v="9"/>
    <s v="SR19"/>
    <s v="Outdoor"/>
    <x v="3"/>
    <n v="1.6"/>
    <n v="15.665318749999999"/>
    <n v="9.6653187499999991"/>
    <n v="16.108864583333332"/>
    <n v="6.25"/>
  </r>
  <r>
    <s v="SR1"/>
    <s v="C1-061-0039"/>
    <s v="SR1C1-061-0039"/>
    <n v="9"/>
    <s v="SR19"/>
    <s v="Outdoor"/>
    <x v="3"/>
    <n v="1.9"/>
    <n v="12.944994736842107"/>
    <n v="6.9449947368421068"/>
    <n v="11.574991228070179"/>
    <n v="6.25"/>
  </r>
  <r>
    <s v="SR1"/>
    <s v="C1-050-0016"/>
    <s v="SR1C1-050-0016"/>
    <n v="9"/>
    <s v="SR19"/>
    <s v="Outdoor"/>
    <x v="3"/>
    <n v="1.8"/>
    <n v="10.317977777777777"/>
    <n v="4.3179777777777772"/>
    <n v="7.196629629629629"/>
    <n v="6.25"/>
  </r>
  <r>
    <s v="SR1"/>
    <s v="A1-027-0032"/>
    <s v="SR1A1-027-0032"/>
    <n v="9"/>
    <s v="SR19"/>
    <s v="Outdoor"/>
    <x v="2"/>
    <n v="3.78"/>
    <n v="10.912756613756613"/>
    <n v="7.9127566137566134"/>
    <n v="13.187927689594357"/>
    <n v="6.25"/>
  </r>
  <r>
    <s v="SR1"/>
    <s v="A1-026-0028"/>
    <s v="SR1A1-026-0028"/>
    <n v="9"/>
    <s v="SR19"/>
    <s v="Outdoor"/>
    <x v="2"/>
    <n v="3.85"/>
    <n v="7.0237428571428566"/>
    <n v="4.0237428571428566"/>
    <n v="6.7062380952380947"/>
    <n v="6.25"/>
  </r>
  <r>
    <s v="SR4"/>
    <s v="H1-048-0014"/>
    <s v="SR4H1-048-0014"/>
    <n v="9"/>
    <s v="SR49"/>
    <s v="Outdoor"/>
    <x v="2"/>
    <n v="3.3"/>
    <n v="7.3862575757575772"/>
    <n v="4.3862575757575772"/>
    <n v="7.310429292929296"/>
    <n v="6.25"/>
  </r>
  <r>
    <s v="SR4"/>
    <s v="G2-057-0010"/>
    <s v="SR4G2-057-0010"/>
    <n v="9"/>
    <s v="SR49"/>
    <s v="Greenhouse"/>
    <x v="1"/>
    <n v="1.85"/>
    <n v="15.89927027027027"/>
    <n v="11.89927027027027"/>
    <n v="19.832117117117118"/>
    <n v="6.25"/>
  </r>
  <r>
    <s v="Bangkachai1"/>
    <s v="BG-045-0013"/>
    <s v="Bangkachai1BG-045-0013"/>
    <n v="10"/>
    <s v="Bangkachai110"/>
    <s v="Greenhouse"/>
    <x v="1"/>
    <n v="2.1"/>
    <n v="7.2373571428571433"/>
    <n v="3.2373571428571433"/>
    <n v="5.3955952380952388"/>
    <n v="5.3955952380952388"/>
  </r>
  <r>
    <s v="Bangkachai1"/>
    <s v="A1-060-0006"/>
    <s v="Bangkachai1A1-060-0006"/>
    <n v="10"/>
    <s v="Bangkachai110"/>
    <s v="Outdoor"/>
    <x v="2"/>
    <n v="2"/>
    <n v="8.097315"/>
    <n v="2.097315"/>
    <n v="3.4955250000000002"/>
    <n v="3.4955250000000002"/>
  </r>
  <r>
    <s v="Bangkachai1"/>
    <s v="A1-061-0007"/>
    <s v="Bangkachai1A1-061-0007"/>
    <n v="10"/>
    <s v="Bangkachai110"/>
    <s v="Outdoor"/>
    <x v="2"/>
    <n v="2"/>
    <n v="9.1983449999999998"/>
    <n v="3.1983449999999998"/>
    <n v="5.3305749999999996"/>
    <n v="5.3305749999999996"/>
  </r>
  <r>
    <s v="Bansang"/>
    <s v="A1-007-0018"/>
    <s v="BansangA1-007-0018"/>
    <n v="10"/>
    <s v="Bansang10"/>
    <s v="Outdoor"/>
    <x v="2"/>
    <n v="3.38"/>
    <n v="1.5410828402366863"/>
    <n v="-1.4589171597633137"/>
    <n v="-2.4315285996055231"/>
    <n v="0"/>
  </r>
  <r>
    <s v="Bansang"/>
    <s v="A1-006-0015"/>
    <s v="BansangA1-006-0015"/>
    <n v="10"/>
    <s v="Bansang10"/>
    <s v="Outdoor"/>
    <x v="2"/>
    <n v="3.38"/>
    <n v="7.3721005917159763"/>
    <n v="4.3721005917159763"/>
    <n v="7.2868343195266272"/>
    <n v="6.25"/>
  </r>
  <r>
    <s v="Choknavy"/>
    <s v="A1-002-0037"/>
    <s v="ChoknavyA1-002-0037"/>
    <n v="10"/>
    <s v="Choknavy10"/>
    <s v="Outdoor"/>
    <x v="0"/>
    <n v="5.5"/>
    <n v="7.4003527272727272"/>
    <n v="5.4003527272727272"/>
    <n v="9.0005878787878792"/>
    <n v="6.25"/>
  </r>
  <r>
    <s v="CS1"/>
    <s v="A1-010-0051"/>
    <s v="CS1A1-010-0051"/>
    <n v="10"/>
    <s v="CS110"/>
    <s v="Outdoor"/>
    <x v="2"/>
    <n v="3.1"/>
    <n v="11.712767741935485"/>
    <n v="8.712767741935485"/>
    <n v="14.521279569892476"/>
    <n v="6.25"/>
  </r>
  <r>
    <s v="CS1"/>
    <s v="A1-007-0050"/>
    <s v="CS1A1-007-0050"/>
    <n v="10"/>
    <s v="CS110"/>
    <s v="Outdoor"/>
    <x v="2"/>
    <n v="3.1"/>
    <n v="7.495451612903226"/>
    <n v="4.495451612903226"/>
    <n v="7.4924193548387104"/>
    <n v="6.25"/>
  </r>
  <r>
    <s v="Lamlaung"/>
    <s v="A1-003-0045"/>
    <s v="LamlaungA1-003-0045"/>
    <n v="10"/>
    <s v="Lamlaung10"/>
    <s v="Outdoor"/>
    <x v="0"/>
    <n v="5"/>
    <n v="5.2693640000000004"/>
    <n v="3.2693640000000004"/>
    <n v="5.4489400000000012"/>
    <n v="5.4489400000000012"/>
  </r>
  <r>
    <s v="Lamlaung"/>
    <s v="A1-002-0046"/>
    <s v="LamlaungA1-002-0046"/>
    <n v="10"/>
    <s v="Lamlaung10"/>
    <s v="Outdoor"/>
    <x v="0"/>
    <n v="5"/>
    <n v="9.5009759999999996"/>
    <n v="7.5009759999999996"/>
    <n v="12.501626666666667"/>
    <n v="6.25"/>
  </r>
  <r>
    <s v="Lucky1"/>
    <s v="BG-027-0012"/>
    <s v="Lucky1BG-027-0012"/>
    <n v="10"/>
    <s v="Lucky110"/>
    <s v="Greenhouse"/>
    <x v="1"/>
    <n v="2.1"/>
    <n v="10.855028571428571"/>
    <n v="6.855028571428571"/>
    <n v="11.42504761904762"/>
    <n v="6.25"/>
  </r>
  <r>
    <s v="Maeklong1"/>
    <s v="A1-002-0035"/>
    <s v="Maeklong1A1-002-0035"/>
    <n v="10"/>
    <s v="Maeklong110"/>
    <s v="Outdoor"/>
    <x v="2"/>
    <n v="3.61"/>
    <n v="1.4372770083102493"/>
    <n v="-1.5627229916897507"/>
    <n v="-2.6045383194829181"/>
    <n v="0"/>
  </r>
  <r>
    <s v="Maeklong1"/>
    <s v="A1-009-0043"/>
    <s v="Maeklong1A1-009-0043"/>
    <n v="10"/>
    <s v="Maeklong110"/>
    <s v="Outdoor"/>
    <x v="2"/>
    <n v="3.65"/>
    <n v="9.6566109589041087"/>
    <n v="6.6566109589041087"/>
    <n v="11.094351598173516"/>
    <n v="6.25"/>
  </r>
  <r>
    <s v="Maeklong1"/>
    <s v="A1-023-0018"/>
    <s v="Maeklong1A1-023-0018"/>
    <n v="10"/>
    <s v="Maeklong110"/>
    <s v="Outdoor"/>
    <x v="2"/>
    <n v="3.91"/>
    <n v="2.9601994884910483"/>
    <n v="-3.9800511508951697E-2"/>
    <n v="-6.6334185848252833E-2"/>
    <n v="0"/>
  </r>
  <r>
    <s v="Maeklong1"/>
    <s v="A1-015-0037"/>
    <s v="Maeklong1A1-015-0037"/>
    <n v="10"/>
    <s v="Maeklong110"/>
    <s v="Outdoor"/>
    <x v="2"/>
    <n v="2.4300000000000002"/>
    <n v="11.03883950617284"/>
    <n v="8.0388395061728399"/>
    <n v="13.398065843621401"/>
    <n v="6.25"/>
  </r>
  <r>
    <s v="Maeklong1"/>
    <s v="A1-024-0012"/>
    <s v="Maeklong1A1-024-0012"/>
    <n v="10"/>
    <s v="Maeklong110"/>
    <s v="Outdoor"/>
    <x v="2"/>
    <n v="3.92"/>
    <n v="10.91956887755102"/>
    <n v="7.9195688775510202"/>
    <n v="13.199281462585034"/>
    <n v="6.25"/>
  </r>
  <r>
    <s v="Maeklong1"/>
    <s v="A1-019-0024"/>
    <s v="Maeklong1A1-019-0024"/>
    <n v="10"/>
    <s v="Maeklong110"/>
    <s v="Outdoor"/>
    <x v="0"/>
    <n v="5.24"/>
    <n v="11.133864503816792"/>
    <n v="9.1338645038167918"/>
    <n v="15.22310750636132"/>
    <n v="6.25"/>
  </r>
  <r>
    <s v="Maeklong1"/>
    <s v="A1-017-0032"/>
    <s v="Maeklong1A1-017-0032"/>
    <n v="10"/>
    <s v="Maeklong110"/>
    <s v="Outdoor"/>
    <x v="2"/>
    <n v="2.89"/>
    <n v="0"/>
    <n v="0"/>
    <n v="0"/>
    <n v="0"/>
  </r>
  <r>
    <s v="Nakornfarm"/>
    <s v="F1-090-0013"/>
    <s v="NakornfarmF1-090-0013"/>
    <n v="10"/>
    <s v="Nakornfarm10"/>
    <s v="Outdoor"/>
    <x v="3"/>
    <n v="1.8"/>
    <n v="1.6846999999999999"/>
    <n v="-4.3153000000000006"/>
    <n v="-7.1921666666666679"/>
    <n v="0"/>
  </r>
  <r>
    <s v="Nakornfarm"/>
    <s v="BG-119-0011"/>
    <s v="NakornfarmBG-119-0011"/>
    <n v="10"/>
    <s v="Nakornfarm10"/>
    <s v="Greenhouse"/>
    <x v="1"/>
    <n v="1.48"/>
    <n v="13.19139189189189"/>
    <n v="9.1913918918918895"/>
    <n v="15.318986486486484"/>
    <n v="6.25"/>
  </r>
  <r>
    <s v="Nakornfarm"/>
    <s v="BG-116-0011"/>
    <s v="NakornfarmBG-116-0011"/>
    <n v="10"/>
    <s v="Nakornfarm10"/>
    <s v="Greenhouse"/>
    <x v="1"/>
    <n v="1.5"/>
    <n v="15.443773333333333"/>
    <n v="11.443773333333333"/>
    <n v="19.072955555555556"/>
    <n v="6.25"/>
  </r>
  <r>
    <s v="Nakornfarm"/>
    <s v="BG-113-0010"/>
    <s v="NakornfarmBG-113-0010"/>
    <n v="10"/>
    <s v="Nakornfarm10"/>
    <s v="Greenhouse"/>
    <x v="1"/>
    <n v="1.5"/>
    <n v="11.185146666666668"/>
    <n v="7.1851466666666681"/>
    <n v="11.975244444444447"/>
    <n v="6.25"/>
  </r>
  <r>
    <s v="Pakpanang1"/>
    <s v="D1-173-0009"/>
    <s v="Pakpanang1D1-173-0009"/>
    <n v="10"/>
    <s v="Pakpanang110"/>
    <s v="Outdoor"/>
    <x v="3"/>
    <n v="1.8"/>
    <n v="13.865994444444445"/>
    <n v="7.8659944444444445"/>
    <n v="13.109990740740741"/>
    <n v="6.25"/>
  </r>
  <r>
    <s v="PB5"/>
    <s v="A1-011-0048"/>
    <s v="PB5A1-011-0048"/>
    <n v="10"/>
    <s v="PB510"/>
    <s v="Outdoor"/>
    <x v="2"/>
    <n v="2.35"/>
    <n v="0"/>
    <n v="0"/>
    <n v="0"/>
    <n v="0"/>
  </r>
  <r>
    <s v="Petchburi5"/>
    <s v="AG-004-0012"/>
    <s v="Petchburi5AG-004-0012"/>
    <n v="10"/>
    <s v="Petchburi510"/>
    <s v="Greenhouse"/>
    <x v="1"/>
    <n v="1.5"/>
    <n v="12.276633333333335"/>
    <n v="8.2766333333333346"/>
    <n v="13.794388888888891"/>
    <n v="6.25"/>
  </r>
  <r>
    <s v="Petchburi5"/>
    <s v="AG-006-0012"/>
    <s v="Petchburi5AG-006-0012"/>
    <n v="10"/>
    <s v="Petchburi510"/>
    <s v="Greenhouse"/>
    <x v="1"/>
    <n v="1.5"/>
    <n v="12.897513333333334"/>
    <n v="8.8975133333333343"/>
    <n v="14.829188888888892"/>
    <n v="6.25"/>
  </r>
  <r>
    <s v="Petchburi5"/>
    <s v="AG-003-0013"/>
    <s v="Petchburi5AG-003-0013"/>
    <n v="10"/>
    <s v="Petchburi510"/>
    <s v="Greenhouse"/>
    <x v="1"/>
    <n v="1.5"/>
    <n v="7.8171933333333348"/>
    <n v="3.8171933333333348"/>
    <n v="6.3619888888888916"/>
    <n v="6.25"/>
  </r>
  <r>
    <s v="Petchburi5"/>
    <s v="AG-005-0012"/>
    <s v="Petchburi5AG-005-0012"/>
    <n v="10"/>
    <s v="Petchburi510"/>
    <s v="Greenhouse"/>
    <x v="1"/>
    <n v="1.5"/>
    <n v="14.321266666666668"/>
    <n v="10.321266666666668"/>
    <n v="17.202111111111115"/>
    <n v="6.25"/>
  </r>
  <r>
    <s v="Petchburi5"/>
    <s v="B1-127-0009"/>
    <s v="Petchburi5B1-127-0009"/>
    <n v="10"/>
    <s v="Petchburi510"/>
    <s v="Outdoor"/>
    <x v="3"/>
    <n v="1.5"/>
    <n v="17.984146666666668"/>
    <n v="11.984146666666668"/>
    <n v="19.973577777777781"/>
    <n v="6.25"/>
  </r>
  <r>
    <s v="Roiphet1"/>
    <s v="C2-G04-0065"/>
    <s v="Roiphet1C2-G04-0065"/>
    <n v="10"/>
    <s v="Roiphet110"/>
    <s v="Greenhouse"/>
    <x v="1"/>
    <n v="1.1299999999999999"/>
    <n v="4.5055486725663725"/>
    <n v="0.50554867256637248"/>
    <n v="0.84258112094395421"/>
    <n v="0.84258112094395421"/>
  </r>
  <r>
    <s v="Roiphet1"/>
    <s v="C2-G03-0067"/>
    <s v="Roiphet1C2-G03-0067"/>
    <n v="10"/>
    <s v="Roiphet110"/>
    <s v="Greenhouse"/>
    <x v="1"/>
    <n v="1.1299999999999999"/>
    <n v="5.1011415929203547"/>
    <n v="1.1011415929203547"/>
    <n v="1.8352359882005913"/>
    <n v="1.8352359882005913"/>
  </r>
  <r>
    <s v="Roiphet1"/>
    <s v="C2-I04-0068"/>
    <s v="Roiphet1C2-I04-0068"/>
    <n v="10"/>
    <s v="Roiphet110"/>
    <s v="Greenhouse"/>
    <x v="1"/>
    <n v="0.72"/>
    <n v="4.2101111111111118"/>
    <n v="0.2101111111111118"/>
    <n v="0.35018518518518638"/>
    <n v="0.35018518518518638"/>
  </r>
  <r>
    <s v="Roiphet1"/>
    <s v="C5-G10-0065"/>
    <s v="Roiphet1C5-G10-0065"/>
    <n v="10"/>
    <s v="Roiphet110"/>
    <s v="Greenhouse"/>
    <x v="1"/>
    <n v="1.1299999999999999"/>
    <n v="6.3073982300884959"/>
    <n v="2.3073982300884959"/>
    <n v="3.8456637168141601"/>
    <n v="3.8456637168141601"/>
  </r>
  <r>
    <s v="Roiphet1"/>
    <s v="C2-I03-0060"/>
    <s v="Roiphet1C2-I03-0060"/>
    <n v="10"/>
    <s v="Roiphet110"/>
    <s v="Greenhouse"/>
    <x v="1"/>
    <n v="0.72"/>
    <n v="4.9276111111111112"/>
    <n v="0.92761111111111116"/>
    <n v="1.5460185185185187"/>
    <n v="1.5460185185185187"/>
  </r>
  <r>
    <s v="Roiphet1"/>
    <s v="C5-G09-0058"/>
    <s v="Roiphet1C5-G09-0058"/>
    <n v="10"/>
    <s v="Roiphet110"/>
    <s v="Greenhouse"/>
    <x v="1"/>
    <n v="1.1299999999999999"/>
    <n v="7.3060265486725671"/>
    <n v="3.3060265486725671"/>
    <n v="5.5100442477876124"/>
    <n v="5.5100442477876124"/>
  </r>
  <r>
    <s v="Roiphet1"/>
    <s v="C5-I09-0065"/>
    <s v="Roiphet1C5-I09-0065"/>
    <n v="10"/>
    <s v="Roiphet110"/>
    <s v="Greenhouse"/>
    <x v="1"/>
    <n v="0.72"/>
    <n v="4.6338611111111119"/>
    <n v="0.63386111111111187"/>
    <n v="1.0564351851851865"/>
    <n v="1.0564351851851865"/>
  </r>
  <r>
    <s v="Roiphet1"/>
    <s v="C5-I10-0066"/>
    <s v="Roiphet1C5-I10-0066"/>
    <n v="10"/>
    <s v="Roiphet110"/>
    <s v="Greenhouse"/>
    <x v="1"/>
    <n v="0.72"/>
    <n v="6.082416666666667"/>
    <n v="2.082416666666667"/>
    <n v="3.4706944444444452"/>
    <n v="3.4706944444444452"/>
  </r>
  <r>
    <s v="Roiphet1"/>
    <s v="D3-G05-0081"/>
    <s v="Roiphet1D3-G05-0081"/>
    <n v="10"/>
    <s v="Roiphet110"/>
    <s v="Greenhouse"/>
    <x v="1"/>
    <n v="1.1299999999999999"/>
    <n v="7.6966814159292047"/>
    <n v="3.6966814159292047"/>
    <n v="6.1611356932153418"/>
    <n v="6.1611356932153418"/>
  </r>
  <r>
    <s v="Roiphet1"/>
    <s v="D5-I09-0083"/>
    <s v="Roiphet1D5-I09-0083"/>
    <n v="10"/>
    <s v="Roiphet110"/>
    <s v="Greenhouse"/>
    <x v="1"/>
    <n v="0.72"/>
    <n v="7.2012499999999999"/>
    <n v="3.2012499999999999"/>
    <n v="5.3354166666666671"/>
    <n v="5.3354166666666671"/>
  </r>
  <r>
    <s v="Roiphet1"/>
    <s v="D3-G06-0084"/>
    <s v="Roiphet1D3-G06-0084"/>
    <n v="10"/>
    <s v="Roiphet110"/>
    <s v="Greenhouse"/>
    <x v="1"/>
    <n v="1.1299999999999999"/>
    <n v="7.999973451327433"/>
    <n v="3.999973451327433"/>
    <n v="6.6666224188790553"/>
    <n v="6.25"/>
  </r>
  <r>
    <s v="Roiphet1"/>
    <s v="D5-I10-0075"/>
    <s v="Roiphet1D5-I10-0075"/>
    <n v="10"/>
    <s v="Roiphet110"/>
    <s v="Greenhouse"/>
    <x v="1"/>
    <n v="0.72"/>
    <n v="6.9261527777777783"/>
    <n v="2.9261527777777783"/>
    <n v="4.8769212962962971"/>
    <n v="4.8769212962962971"/>
  </r>
  <r>
    <s v="Roiphet1"/>
    <s v="D5-G10-0070"/>
    <s v="Roiphet1D5-G10-0070"/>
    <n v="10"/>
    <s v="Roiphet110"/>
    <s v="Greenhouse"/>
    <x v="1"/>
    <n v="1.1299999999999999"/>
    <n v="9.2553185840707979"/>
    <n v="5.2553185840707979"/>
    <n v="8.7588643067846643"/>
    <n v="6.25"/>
  </r>
  <r>
    <s v="Roiphet1"/>
    <s v="D5-G09-0069"/>
    <s v="Roiphet1D5-G09-0069"/>
    <n v="10"/>
    <s v="Roiphet110"/>
    <s v="Greenhouse"/>
    <x v="1"/>
    <n v="1.1299999999999999"/>
    <n v="12.1252389380531"/>
    <n v="8.1252389380530996"/>
    <n v="13.542064896755166"/>
    <n v="6.25"/>
  </r>
  <r>
    <s v="Roiphet1"/>
    <s v="A3-I05-0085"/>
    <s v="Roiphet1A3-I05-0085"/>
    <n v="10"/>
    <s v="Roiphet110"/>
    <s v="Greenhouse"/>
    <x v="1"/>
    <n v="0.72"/>
    <n v="4.4227638888888894"/>
    <n v="0.42276388888888938"/>
    <n v="0.70460648148148231"/>
    <n v="0.70460648148148231"/>
  </r>
  <r>
    <s v="Roiphet1"/>
    <s v="A3-G05-0077"/>
    <s v="Roiphet1A3-G05-0077"/>
    <n v="10"/>
    <s v="Roiphet110"/>
    <s v="Greenhouse"/>
    <x v="1"/>
    <n v="1.1299999999999999"/>
    <n v="5.6074867256637173"/>
    <n v="1.6074867256637173"/>
    <n v="2.6791445427728622"/>
    <n v="2.6791445427728622"/>
  </r>
  <r>
    <s v="Roiphet1"/>
    <s v="A6-G11-0092"/>
    <s v="Roiphet1A6-G11-0092"/>
    <n v="10"/>
    <s v="Roiphet110"/>
    <s v="Greenhouse"/>
    <x v="1"/>
    <n v="1.1299999999999999"/>
    <n v="6.3925752212389382"/>
    <n v="2.3925752212389382"/>
    <n v="3.9876253687315639"/>
    <n v="3.9876253687315639"/>
  </r>
  <r>
    <s v="Roiphet1"/>
    <s v="A4-G07-0072"/>
    <s v="Roiphet1A4-G07-0072"/>
    <n v="10"/>
    <s v="Roiphet110"/>
    <s v="Greenhouse"/>
    <x v="1"/>
    <n v="1.1299999999999999"/>
    <n v="6.4483628318584074"/>
    <n v="2.4483628318584074"/>
    <n v="4.080604719764013"/>
    <n v="4.080604719764013"/>
  </r>
  <r>
    <s v="Roiphet1"/>
    <s v="A4-I07-0095"/>
    <s v="Roiphet1A4-I07-0095"/>
    <n v="10"/>
    <s v="Roiphet110"/>
    <s v="Greenhouse"/>
    <x v="1"/>
    <n v="0.72"/>
    <n v="5.4604722222222222"/>
    <n v="1.4604722222222222"/>
    <n v="2.4341203703703704"/>
    <n v="2.4341203703703704"/>
  </r>
  <r>
    <s v="Roiphet1"/>
    <s v="A5-G10-0069"/>
    <s v="Roiphet1A5-G10-0069"/>
    <n v="10"/>
    <s v="Roiphet110"/>
    <s v="Greenhouse"/>
    <x v="1"/>
    <n v="1.1299999999999999"/>
    <n v="5.7100619469026554"/>
    <n v="1.7100619469026554"/>
    <n v="2.8501032448377592"/>
    <n v="2.8501032448377592"/>
  </r>
  <r>
    <s v="Roiphet1"/>
    <s v="A5-G09-0084"/>
    <s v="Roiphet1A5-G09-0084"/>
    <n v="10"/>
    <s v="Roiphet110"/>
    <s v="Greenhouse"/>
    <x v="1"/>
    <n v="1.1299999999999999"/>
    <n v="6.6824955752212398"/>
    <n v="2.6824955752212398"/>
    <n v="4.4708259587020667"/>
    <n v="4.4708259587020667"/>
  </r>
  <r>
    <s v="Roiphet1"/>
    <s v="A5-I09-0099"/>
    <s v="Roiphet1A5-I09-0099"/>
    <n v="10"/>
    <s v="Roiphet110"/>
    <s v="Greenhouse"/>
    <x v="1"/>
    <n v="0.72"/>
    <n v="4.5623472222222219"/>
    <n v="0.56234722222222189"/>
    <n v="0.93724537037036981"/>
    <n v="0.93724537037036981"/>
  </r>
  <r>
    <s v="Roiphet1"/>
    <s v="A6-I11-0102"/>
    <s v="Roiphet1A6-I11-0102"/>
    <n v="10"/>
    <s v="Roiphet110"/>
    <s v="Greenhouse"/>
    <x v="1"/>
    <n v="0.72"/>
    <n v="3.9314166666666663"/>
    <n v="-6.8583333333333663E-2"/>
    <n v="-0.1143055555555561"/>
    <n v="0"/>
  </r>
  <r>
    <s v="Roiphet1"/>
    <s v="A5-I10-0095"/>
    <s v="Roiphet1A5-I10-0095"/>
    <n v="10"/>
    <s v="Roiphet110"/>
    <s v="Greenhouse"/>
    <x v="1"/>
    <n v="0.72"/>
    <n v="4.4443055555555553"/>
    <n v="0.44430555555555529"/>
    <n v="0.74050925925925881"/>
    <n v="0.74050925925925881"/>
  </r>
  <r>
    <s v="Roiphet2"/>
    <s v="B1-014-0046"/>
    <s v="Roiphet2B1-014-0046"/>
    <n v="10"/>
    <s v="Roiphet210"/>
    <s v="Outdoor"/>
    <x v="0"/>
    <n v="4.5"/>
    <n v="3.9914199999999997"/>
    <n v="1.9914199999999997"/>
    <n v="3.3190333333333331"/>
    <n v="3.3190333333333331"/>
  </r>
  <r>
    <s v="Roiphet3"/>
    <s v="A1-016-0031"/>
    <s v="Roiphet3A1-016-0031"/>
    <n v="10"/>
    <s v="Roiphet310"/>
    <s v="Outdoor"/>
    <x v="0"/>
    <n v="4.5"/>
    <n v="2.8025533333333335"/>
    <n v="0.80255333333333345"/>
    <n v="1.3375888888888892"/>
    <n v="1.3375888888888892"/>
  </r>
  <r>
    <s v="SR1"/>
    <s v="G1-130-0010"/>
    <s v="SR1G1-130-0010"/>
    <n v="10"/>
    <s v="SR110"/>
    <s v="Greenhouse"/>
    <x v="1"/>
    <n v="2"/>
    <n v="3.346085"/>
    <n v="-0.65391500000000002"/>
    <n v="-1.0898583333333334"/>
    <n v="0"/>
  </r>
  <r>
    <s v="SR1"/>
    <s v="G1-129-0010"/>
    <s v="SR1G1-129-0010"/>
    <n v="10"/>
    <s v="SR110"/>
    <s v="Greenhouse"/>
    <x v="1"/>
    <n v="2"/>
    <n v="4.0716549999999998"/>
    <n v="7.1654999999999802E-2"/>
    <n v="0.11942499999999967"/>
    <n v="0.11942499999999967"/>
  </r>
  <r>
    <s v="SR1"/>
    <s v="A1-028-0037"/>
    <s v="SR1A1-028-0037"/>
    <n v="10"/>
    <s v="SR110"/>
    <s v="Outdoor"/>
    <x v="2"/>
    <n v="4"/>
    <n v="7.2549624999999995"/>
    <n v="4.2549624999999995"/>
    <n v="7.0916041666666665"/>
    <n v="6.25"/>
  </r>
  <r>
    <s v="SR4"/>
    <s v="B1-066-0009"/>
    <s v="SR4B1-066-0009"/>
    <n v="10"/>
    <s v="SR410"/>
    <s v="Outdoor"/>
    <x v="3"/>
    <n v="1.85"/>
    <n v="5.3114756756756751"/>
    <n v="-0.68852432432432487"/>
    <n v="-1.1475405405405414"/>
    <n v="0"/>
  </r>
  <r>
    <s v="SR4"/>
    <s v="B1-067-0011"/>
    <s v="SR4B1-067-0011"/>
    <n v="10"/>
    <s v="SR410"/>
    <s v="Outdoor"/>
    <x v="3"/>
    <n v="1.85"/>
    <n v="7.6130162162162156"/>
    <n v="1.6130162162162156"/>
    <n v="2.6883603603603596"/>
    <n v="2.6883603603603596"/>
  </r>
  <r>
    <s v="SR4"/>
    <s v="B1-064-0008"/>
    <s v="SR4B1-064-0008"/>
    <n v="10"/>
    <s v="SR410"/>
    <s v="Outdoor"/>
    <x v="3"/>
    <n v="1.85"/>
    <n v="10.910691891891892"/>
    <n v="4.9106918918918918"/>
    <n v="8.1844864864864864"/>
    <n v="6.25"/>
  </r>
  <r>
    <s v="SR4"/>
    <s v="B1-063-0009"/>
    <s v="SR4B1-063-0009"/>
    <n v="10"/>
    <s v="SR410"/>
    <s v="Outdoor"/>
    <x v="3"/>
    <n v="1.85"/>
    <n v="9.8428432432432409"/>
    <n v="3.8428432432432409"/>
    <n v="6.4047387387387351"/>
    <n v="6.25"/>
  </r>
  <r>
    <s v="SR4"/>
    <s v="H1-047-0012"/>
    <s v="SR4H1-047-0012"/>
    <n v="10"/>
    <s v="SR410"/>
    <s v="Outdoor"/>
    <x v="2"/>
    <n v="2.8"/>
    <n v="7.4161750000000008"/>
    <n v="4.4161750000000008"/>
    <n v="7.3602916666666687"/>
    <n v="6.25"/>
  </r>
  <r>
    <s v="SR4"/>
    <s v="G1-051-0010"/>
    <s v="SR4G1-051-0010"/>
    <n v="10"/>
    <s v="SR410"/>
    <s v="Greenhouse"/>
    <x v="1"/>
    <n v="2"/>
    <n v="9.370569999999999"/>
    <n v="5.370569999999999"/>
    <n v="8.9509499999999989"/>
    <n v="6.25"/>
  </r>
  <r>
    <s v="SR4"/>
    <s v="G1-053-0009"/>
    <s v="SR4G1-053-0009"/>
    <n v="10"/>
    <s v="SR410"/>
    <s v="Greenhouse"/>
    <x v="1"/>
    <n v="2"/>
    <n v="10.32339"/>
    <n v="6.3233899999999998"/>
    <n v="10.538983333333334"/>
    <n v="6.25"/>
  </r>
  <r>
    <s v="Talaytong"/>
    <s v="A1-038-0010"/>
    <s v="TalaytongA1-038-0010"/>
    <n v="10"/>
    <s v="Talaytong10"/>
    <s v="Outdoor"/>
    <x v="0"/>
    <n v="5.45"/>
    <n v="6.2722477064220188"/>
    <n v="4.2722477064220188"/>
    <n v="7.1204128440366983"/>
    <n v="6.25"/>
  </r>
  <r>
    <s v="Tamai2"/>
    <s v="A1-032-0033"/>
    <s v="Tamai2A1-032-0033"/>
    <n v="10"/>
    <s v="Tamai210"/>
    <s v="Outdoor"/>
    <x v="0"/>
    <n v="5.28"/>
    <n v="0"/>
    <n v="0"/>
    <n v="0"/>
    <n v="0"/>
  </r>
  <r>
    <s v="Bangsakao"/>
    <s v="DG-005-0026"/>
    <s v="BangsakaoDG-005-0026"/>
    <n v="11"/>
    <s v="Bangsakao11"/>
    <s v="Greenhouse"/>
    <x v="1"/>
    <n v="2"/>
    <n v="7.2801350000000005"/>
    <n v="3.2801350000000005"/>
    <n v="5.466891666666668"/>
    <n v="5.466891666666668"/>
  </r>
  <r>
    <s v="Bo Thong"/>
    <s v="B1-015-0014"/>
    <s v="Bo ThongB1-015-0014"/>
    <n v="11"/>
    <s v="Bo Thong11"/>
    <s v="Outdoor"/>
    <x v="2"/>
    <n v="2.76"/>
    <n v="3.7303043478260869"/>
    <n v="0.73030434782608689"/>
    <n v="1.2171739130434782"/>
    <n v="1.2171739130434782"/>
  </r>
  <r>
    <s v="Choknavy"/>
    <s v="A1-003-0037"/>
    <s v="ChoknavyA1-003-0037"/>
    <n v="11"/>
    <s v="Choknavy11"/>
    <s v="Outdoor"/>
    <x v="0"/>
    <n v="5.5"/>
    <n v="5.5434999999999999"/>
    <n v="3.5434999999999999"/>
    <n v="5.9058333333333337"/>
    <n v="5.9058333333333337"/>
  </r>
  <r>
    <s v="Lamae"/>
    <s v="A1-007-0046"/>
    <s v="LamaeA1-007-0046"/>
    <n v="11"/>
    <s v="Lamae11"/>
    <s v="Outdoor"/>
    <x v="0"/>
    <n v="8"/>
    <n v="5.5114425000000002"/>
    <n v="3.5114425000000002"/>
    <n v="5.8524041666666671"/>
    <n v="5.8524041666666671"/>
  </r>
  <r>
    <s v="Nakornfarm"/>
    <s v="D1-083-0015"/>
    <s v="NakornfarmD1-083-0015"/>
    <n v="11"/>
    <s v="Nakornfarm11"/>
    <s v="Outdoor"/>
    <x v="3"/>
    <n v="1.8"/>
    <n v="4.1718500000000001"/>
    <n v="-1.8281499999999999"/>
    <n v="-3.0469166666666667"/>
    <n v="0"/>
  </r>
  <r>
    <s v="PB5"/>
    <s v="B1-022-0051"/>
    <s v="PB5B1-022-0051"/>
    <n v="11"/>
    <s v="PB511"/>
    <s v="Outdoor"/>
    <x v="0"/>
    <n v="5.72"/>
    <n v="3.8918601398601402"/>
    <n v="1.8918601398601402"/>
    <n v="3.153100233100234"/>
    <n v="3.153100233100234"/>
  </r>
  <r>
    <s v="Roiphet1"/>
    <s v="D6-G12-0080"/>
    <s v="Roiphet1D6-G12-0080"/>
    <n v="11"/>
    <s v="Roiphet111"/>
    <s v="Greenhouse"/>
    <x v="1"/>
    <n v="1.1299999999999999"/>
    <n v="5.3292389380530976"/>
    <n v="1.3292389380530976"/>
    <n v="2.2153982300884962"/>
    <n v="2.2153982300884962"/>
  </r>
  <r>
    <s v="Roiphet1"/>
    <s v="D4-G07-0063"/>
    <s v="Roiphet1D4-G07-0063"/>
    <n v="11"/>
    <s v="Roiphet111"/>
    <s v="Greenhouse"/>
    <x v="1"/>
    <n v="1.1299999999999999"/>
    <n v="8.2109734513274333"/>
    <n v="4.2109734513274333"/>
    <n v="7.0182890855457227"/>
    <n v="6.25"/>
  </r>
  <r>
    <s v="Roiphet1"/>
    <s v="D6-G11-0077"/>
    <s v="Roiphet1D6-G11-0077"/>
    <n v="11"/>
    <s v="Roiphet111"/>
    <s v="Greenhouse"/>
    <x v="1"/>
    <n v="1.1299999999999999"/>
    <n v="6.3774247787610623"/>
    <n v="2.3774247787610623"/>
    <n v="3.9623746312684371"/>
    <n v="3.9623746312684371"/>
  </r>
  <r>
    <s v="Roiphet1"/>
    <s v="D6-I12-0086"/>
    <s v="Roiphet1D6-I12-0086"/>
    <n v="11"/>
    <s v="Roiphet111"/>
    <s v="Greenhouse"/>
    <x v="1"/>
    <n v="0.72"/>
    <n v="5.3458888888888891"/>
    <n v="1.3458888888888891"/>
    <n v="2.2431481481481486"/>
    <n v="2.2431481481481486"/>
  </r>
  <r>
    <s v="Roiphet1"/>
    <s v="D6-I11-0084"/>
    <s v="Roiphet1D6-I11-0084"/>
    <n v="11"/>
    <s v="Roiphet111"/>
    <s v="Greenhouse"/>
    <x v="1"/>
    <n v="0.72"/>
    <n v="3.9815277777777776"/>
    <n v="-1.8472222222222445E-2"/>
    <n v="-3.0787037037037411E-2"/>
    <n v="0"/>
  </r>
  <r>
    <s v="Roiphet1"/>
    <s v="D4-G08-0060"/>
    <s v="Roiphet1D4-G08-0060"/>
    <n v="11"/>
    <s v="Roiphet111"/>
    <s v="Greenhouse"/>
    <x v="1"/>
    <n v="1.1299999999999999"/>
    <n v="7.7309734513274346"/>
    <n v="3.7309734513274346"/>
    <n v="6.2182890855457247"/>
    <n v="6.2182890855457247"/>
  </r>
  <r>
    <s v="SR4"/>
    <s v="G1-052-0012"/>
    <s v="SR4G1-052-0012"/>
    <n v="11"/>
    <s v="SR411"/>
    <s v="Greenhouse"/>
    <x v="1"/>
    <n v="2"/>
    <n v="8.7903700000000011"/>
    <n v="4.7903700000000011"/>
    <n v="7.9839500000000019"/>
    <n v="6.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9">
  <r>
    <x v="0"/>
    <s v="BG-045-0013"/>
    <s v="Bangkachai1BG-045-0013"/>
    <n v="10"/>
    <s v="Bangkachai110"/>
    <s v="Greenhouse"/>
    <s v="Greenhouse"/>
    <n v="2.1"/>
    <x v="0"/>
    <n v="5.3955952380952388"/>
  </r>
  <r>
    <x v="0"/>
    <s v="BG-044-0009"/>
    <s v="Bangkachai1BG-044-0009"/>
    <n v="3"/>
    <s v="Bangkachai13"/>
    <s v="Greenhouse"/>
    <s v="Greenhouse"/>
    <n v="2.1"/>
    <x v="1"/>
    <n v="9.3170714285714276"/>
  </r>
  <r>
    <x v="0"/>
    <s v="BG-044-0010"/>
    <s v="Bangkachai1BG-044-0010"/>
    <n v="8"/>
    <s v="Bangkachai18"/>
    <s v="Greenhouse"/>
    <s v="Greenhouse"/>
    <n v="2.1"/>
    <x v="2"/>
    <n v="7.9988968253968258"/>
  </r>
  <r>
    <x v="0"/>
    <s v="BG-045-0012"/>
    <s v="Bangkachai1BG-045-0012"/>
    <n v="5"/>
    <s v="Bangkachai15"/>
    <s v="Greenhouse"/>
    <s v="Greenhouse"/>
    <n v="2.1"/>
    <x v="3"/>
    <n v="10.299452380952381"/>
  </r>
  <r>
    <x v="1"/>
    <s v="CG-003-0025"/>
    <s v="BangsakaoCG-003-0025"/>
    <n v="1"/>
    <s v="Bangsakao1"/>
    <s v="Greenhouse"/>
    <s v="Greenhouse"/>
    <n v="4.5599999999999996"/>
    <x v="4"/>
    <n v="6.3681578947368429"/>
  </r>
  <r>
    <x v="1"/>
    <s v="CG-009-0024"/>
    <s v="BangsakaoCG-009-0024"/>
    <n v="1"/>
    <s v="Bangsakao1"/>
    <s v="Greenhouse"/>
    <s v="Greenhouse"/>
    <n v="3.8"/>
    <x v="5"/>
    <n v="5.3304254385964907"/>
  </r>
  <r>
    <x v="1"/>
    <s v="DG-001-0026"/>
    <s v="BangsakaoDG-001-0026"/>
    <n v="1"/>
    <s v="Bangsakao1"/>
    <s v="Greenhouse"/>
    <s v="Greenhouse"/>
    <n v="2"/>
    <x v="6"/>
    <n v="9.7066500000000016"/>
  </r>
  <r>
    <x v="1"/>
    <s v="DG-005-0024"/>
    <s v="BangsakaoDG-005-0024"/>
    <n v="1"/>
    <s v="Bangsakao1"/>
    <s v="Greenhouse"/>
    <s v="Greenhouse"/>
    <n v="2"/>
    <x v="7"/>
    <n v="8.5448333333333331"/>
  </r>
  <r>
    <x v="1"/>
    <s v="DG-005-0026"/>
    <s v="BangsakaoDG-005-0026"/>
    <n v="11"/>
    <s v="Bangsakao11"/>
    <s v="Greenhouse"/>
    <s v="Greenhouse"/>
    <n v="2"/>
    <x v="8"/>
    <n v="5.466891666666668"/>
  </r>
  <r>
    <x v="1"/>
    <s v="CG-006-0028"/>
    <s v="BangsakaoCG-006-0028"/>
    <n v="2"/>
    <s v="Bangsakao2"/>
    <s v="Greenhouse"/>
    <s v="Greenhouse"/>
    <n v="5.36"/>
    <x v="9"/>
    <n v="6.4384110696517407"/>
  </r>
  <r>
    <x v="1"/>
    <s v="DG-003-0024"/>
    <s v="BangsakaoDG-003-0024"/>
    <n v="2"/>
    <s v="Bangsakao2"/>
    <s v="Greenhouse"/>
    <s v="Greenhouse"/>
    <n v="1.9"/>
    <x v="10"/>
    <n v="9.1416052631578939"/>
  </r>
  <r>
    <x v="1"/>
    <s v="DG-004-0022"/>
    <s v="BangsakaoDG-004-0022"/>
    <n v="2"/>
    <s v="Bangsakao2"/>
    <s v="Greenhouse"/>
    <s v="Greenhouse"/>
    <n v="2"/>
    <x v="11"/>
    <n v="9.7904166666666672"/>
  </r>
  <r>
    <x v="1"/>
    <s v="CG-007-0024"/>
    <s v="BangsakaoCG-007-0024"/>
    <n v="3"/>
    <s v="Bangsakao3"/>
    <s v="Greenhouse"/>
    <s v="Greenhouse"/>
    <n v="3.81"/>
    <x v="12"/>
    <n v="7.6981539807524069"/>
  </r>
  <r>
    <x v="1"/>
    <s v="CG-002-0027"/>
    <s v="BangsakaoCG-002-0027"/>
    <n v="3"/>
    <s v="Bangsakao3"/>
    <s v="Greenhouse"/>
    <s v="Greenhouse"/>
    <n v="3.45"/>
    <x v="13"/>
    <n v="9.9273671497584548"/>
  </r>
  <r>
    <x v="1"/>
    <s v="DG-006-0025"/>
    <s v="BangsakaoDG-006-0025"/>
    <n v="3"/>
    <s v="Bangsakao3"/>
    <s v="Greenhouse"/>
    <s v="Greenhouse"/>
    <n v="2"/>
    <x v="14"/>
    <n v="12.406283333333334"/>
  </r>
  <r>
    <x v="1"/>
    <s v="DG-002-0024"/>
    <s v="BangsakaoDG-002-0024"/>
    <n v="3"/>
    <s v="Bangsakao3"/>
    <s v="Greenhouse"/>
    <s v="Greenhouse"/>
    <n v="2"/>
    <x v="15"/>
    <n v="14.583466666666668"/>
  </r>
  <r>
    <x v="1"/>
    <s v="DG-002-0025"/>
    <s v="BangsakaoDG-002-0025"/>
    <n v="8"/>
    <s v="Bangsakao8"/>
    <s v="Greenhouse"/>
    <s v="Greenhouse"/>
    <n v="2"/>
    <x v="16"/>
    <n v="9.5529500000000027"/>
  </r>
  <r>
    <x v="1"/>
    <s v="DG-003-0025"/>
    <s v="BangsakaoDG-003-0025"/>
    <n v="7"/>
    <s v="Bangsakao7"/>
    <s v="Greenhouse"/>
    <s v="Greenhouse"/>
    <n v="1.9"/>
    <x v="17"/>
    <n v="12.459368421052632"/>
  </r>
  <r>
    <x v="1"/>
    <s v="CG-004-0026"/>
    <s v="BangsakaoCG-004-0026"/>
    <n v="7"/>
    <s v="Bangsakao7"/>
    <s v="Greenhouse"/>
    <s v="Greenhouse"/>
    <n v="4.5999999999999996"/>
    <x v="18"/>
    <n v="-2.5257246376811593"/>
  </r>
  <r>
    <x v="1"/>
    <s v="CG-003-0027"/>
    <s v="BangsakaoCG-003-0027"/>
    <n v="7"/>
    <s v="Bangsakao7"/>
    <s v="Greenhouse"/>
    <s v="Greenhouse"/>
    <n v="4.5599999999999996"/>
    <x v="19"/>
    <n v="-1.9804824561403511"/>
  </r>
  <r>
    <x v="1"/>
    <s v="CG-003-0026"/>
    <s v="BangsakaoCG-003-0026"/>
    <n v="4"/>
    <s v="Bangsakao4"/>
    <s v="Greenhouse"/>
    <s v="Greenhouse"/>
    <n v="4.5599999999999996"/>
    <x v="20"/>
    <n v="3.1449378654970759"/>
  </r>
  <r>
    <x v="1"/>
    <s v="CG-004-0025"/>
    <s v="BangsakaoCG-004-0025"/>
    <n v="4"/>
    <s v="Bangsakao4"/>
    <s v="Greenhouse"/>
    <s v="Greenhouse"/>
    <n v="4.5999999999999996"/>
    <x v="21"/>
    <n v="7.0036086956521739"/>
  </r>
  <r>
    <x v="1"/>
    <s v="CG-008-0028"/>
    <s v="BangsakaoCG-008-0028"/>
    <n v="4"/>
    <s v="Bangsakao4"/>
    <s v="Greenhouse"/>
    <s v="Greenhouse"/>
    <n v="3.73"/>
    <x v="22"/>
    <n v="10.387171581769437"/>
  </r>
  <r>
    <x v="1"/>
    <s v="DG-001-0027"/>
    <s v="BangsakaoDG-001-0027"/>
    <n v="6"/>
    <s v="Bangsakao6"/>
    <s v="Greenhouse"/>
    <s v="Greenhouse"/>
    <n v="2"/>
    <x v="23"/>
    <n v="16.549266666666664"/>
  </r>
  <r>
    <x v="1"/>
    <s v="DG-004-0023"/>
    <s v="BangsakaoDG-004-0023"/>
    <n v="6"/>
    <s v="Bangsakao6"/>
    <s v="Greenhouse"/>
    <s v="Greenhouse"/>
    <n v="2"/>
    <x v="24"/>
    <n v="12.059983333333333"/>
  </r>
  <r>
    <x v="1"/>
    <s v="DG-006-0026"/>
    <s v="BangsakaoDG-006-0026"/>
    <n v="6"/>
    <s v="Bangsakao6"/>
    <s v="Greenhouse"/>
    <s v="Greenhouse"/>
    <n v="2"/>
    <x v="25"/>
    <n v="3.4857333333333327"/>
  </r>
  <r>
    <x v="1"/>
    <s v="CG-009-0025"/>
    <s v="BangsakaoCG-009-0025"/>
    <n v="6"/>
    <s v="Bangsakao6"/>
    <s v="Greenhouse"/>
    <s v="Greenhouse"/>
    <n v="3.8"/>
    <x v="26"/>
    <n v="9.4695482456140372"/>
  </r>
  <r>
    <x v="1"/>
    <s v="CG-002-0028"/>
    <s v="BangsakaoCG-002-0028"/>
    <n v="6"/>
    <s v="Bangsakao6"/>
    <s v="Greenhouse"/>
    <s v="Greenhouse"/>
    <n v="3.45"/>
    <x v="27"/>
    <n v="7.8630724637681162"/>
  </r>
  <r>
    <x v="1"/>
    <s v="CG-008-0029"/>
    <s v="BangsakaoCG-008-0029"/>
    <n v="6"/>
    <s v="Bangsakao6"/>
    <s v="Greenhouse"/>
    <s v="Greenhouse"/>
    <n v="3.73"/>
    <x v="28"/>
    <n v="1.1278373547810538"/>
  </r>
  <r>
    <x v="1"/>
    <s v="CG-007-0025"/>
    <s v="BangsakaoCG-007-0025"/>
    <n v="6"/>
    <s v="Bangsakao6"/>
    <s v="Greenhouse"/>
    <s v="Greenhouse"/>
    <n v="3.81"/>
    <x v="29"/>
    <n v="-1.1487489063867022"/>
  </r>
  <r>
    <x v="1"/>
    <s v="CG-006-0029"/>
    <s v="BangsakaoCG-006-0029"/>
    <n v="5"/>
    <s v="Bangsakao5"/>
    <s v="Greenhouse"/>
    <s v="Greenhouse"/>
    <n v="5.36"/>
    <x v="30"/>
    <n v="0.57686256218905407"/>
  </r>
  <r>
    <x v="1"/>
    <s v="DG-005-0025"/>
    <s v="BangsakaoDG-005-0025"/>
    <n v="5"/>
    <s v="Bangsakao5"/>
    <s v="Greenhouse"/>
    <s v="Greenhouse"/>
    <n v="2"/>
    <x v="31"/>
    <n v="11.568158333333336"/>
  </r>
  <r>
    <x v="2"/>
    <s v="BG-002-0013"/>
    <s v="Bo ThongBG-002-0013"/>
    <n v="2"/>
    <s v="Bo Thong2"/>
    <s v="Greenhouse"/>
    <s v="Greenhouse"/>
    <n v="1.88"/>
    <x v="32"/>
    <n v="8.9577393617021297"/>
  </r>
  <r>
    <x v="2"/>
    <s v="BG-002-0015"/>
    <s v="Bo ThongBG-002-0015"/>
    <n v="7"/>
    <s v="Bo Thong7"/>
    <s v="Greenhouse"/>
    <s v="Greenhouse"/>
    <n v="1.88"/>
    <x v="33"/>
    <n v="0"/>
  </r>
  <r>
    <x v="2"/>
    <s v="BG-001-0012"/>
    <s v="Bo ThongBG-001-0012"/>
    <n v="7"/>
    <s v="Bo Thong7"/>
    <s v="Greenhouse"/>
    <s v="Greenhouse"/>
    <n v="1.92"/>
    <x v="34"/>
    <n v="0.31338541666666647"/>
  </r>
  <r>
    <x v="2"/>
    <s v="BG-002-0014"/>
    <s v="Bo ThongBG-002-0014"/>
    <n v="6"/>
    <s v="Bo Thong6"/>
    <s v="Greenhouse"/>
    <s v="Greenhouse"/>
    <n v="1.88"/>
    <x v="35"/>
    <n v="7.8659485815602865"/>
  </r>
  <r>
    <x v="3"/>
    <s v="G1-G01-0001"/>
    <s v="ChoknavyG1-G01-0001"/>
    <n v="5"/>
    <s v="Choknavy5"/>
    <s v="Greenhouse"/>
    <s v="Greenhouse"/>
    <n v="0.75"/>
    <x v="36"/>
    <n v="5.6079777777777791"/>
  </r>
  <r>
    <x v="4"/>
    <s v="AG-031-0013"/>
    <s v="KamongAG-031-0013"/>
    <n v="9"/>
    <s v="Kamong9"/>
    <s v="Greenhouse"/>
    <s v="Greenhouse"/>
    <n v="2"/>
    <x v="37"/>
    <n v="5.435483333333333"/>
  </r>
  <r>
    <x v="4"/>
    <s v="AG-011-0009"/>
    <s v="KamongAG-011-0009"/>
    <n v="9"/>
    <s v="Kamong9"/>
    <s v="Greenhouse"/>
    <s v="Greenhouse"/>
    <n v="2"/>
    <x v="38"/>
    <n v="12.255391666666666"/>
  </r>
  <r>
    <x v="4"/>
    <s v="AG-011-0008"/>
    <s v="KamongAG-011-0008"/>
    <n v="4"/>
    <s v="Kamong4"/>
    <s v="Greenhouse"/>
    <s v="Greenhouse"/>
    <n v="2"/>
    <x v="39"/>
    <n v="18.017066666666668"/>
  </r>
  <r>
    <x v="4"/>
    <s v="AG-031-0012"/>
    <s v="KamongAG-031-0012"/>
    <n v="6"/>
    <s v="Kamong6"/>
    <s v="Greenhouse"/>
    <s v="Greenhouse"/>
    <n v="2"/>
    <x v="40"/>
    <n v="15.808083333333334"/>
  </r>
  <r>
    <x v="5"/>
    <s v="BG-027-0012"/>
    <s v="Lucky1BG-027-0012"/>
    <n v="10"/>
    <s v="Lucky110"/>
    <s v="Greenhouse"/>
    <s v="Greenhouse"/>
    <n v="2.1"/>
    <x v="41"/>
    <n v="11.42504761904762"/>
  </r>
  <r>
    <x v="5"/>
    <s v="BG-028-0011"/>
    <s v="Lucky1BG-028-0011"/>
    <n v="2"/>
    <s v="Lucky12"/>
    <s v="Greenhouse"/>
    <s v="Greenhouse"/>
    <n v="2.1"/>
    <x v="42"/>
    <n v="0.14653174603174465"/>
  </r>
  <r>
    <x v="5"/>
    <s v="BG-025-0009"/>
    <s v="Lucky1BG-025-0009"/>
    <n v="2"/>
    <s v="Lucky12"/>
    <s v="Greenhouse"/>
    <s v="Greenhouse"/>
    <n v="2.1"/>
    <x v="43"/>
    <n v="0.29251587301587278"/>
  </r>
  <r>
    <x v="5"/>
    <s v="BG-027-0010"/>
    <s v="Lucky1BG-027-0010"/>
    <n v="2"/>
    <s v="Lucky12"/>
    <s v="Greenhouse"/>
    <s v="Greenhouse"/>
    <n v="2.1"/>
    <x v="44"/>
    <n v="3.6510555555555557"/>
  </r>
  <r>
    <x v="5"/>
    <s v="BG-026-0011"/>
    <s v="Lucky1BG-026-0011"/>
    <n v="2"/>
    <s v="Lucky12"/>
    <s v="Greenhouse"/>
    <s v="Greenhouse"/>
    <n v="2.1"/>
    <x v="45"/>
    <n v="-1.0758809523809529"/>
  </r>
  <r>
    <x v="5"/>
    <s v="BG-028-0013"/>
    <s v="Lucky1BG-028-0013"/>
    <n v="9"/>
    <s v="Lucky19"/>
    <s v="Greenhouse"/>
    <s v="Greenhouse"/>
    <n v="2.1"/>
    <x v="46"/>
    <n v="3.4470634920634913"/>
  </r>
  <r>
    <x v="5"/>
    <s v="BG-025-0010"/>
    <s v="Lucky1BG-025-0010"/>
    <n v="8"/>
    <s v="Lucky18"/>
    <s v="Greenhouse"/>
    <s v="Greenhouse"/>
    <n v="2.1"/>
    <x v="47"/>
    <n v="11.466825396825397"/>
  </r>
  <r>
    <x v="5"/>
    <s v="BG-026-0013"/>
    <s v="Lucky1BG-026-0013"/>
    <n v="8"/>
    <s v="Lucky18"/>
    <s v="Greenhouse"/>
    <s v="Greenhouse"/>
    <n v="2.1"/>
    <x v="48"/>
    <n v="-0.10865873015873051"/>
  </r>
  <r>
    <x v="5"/>
    <s v="BG-028-0012"/>
    <s v="Lucky1BG-028-0012"/>
    <n v="6"/>
    <s v="Lucky16"/>
    <s v="Greenhouse"/>
    <s v="Greenhouse"/>
    <n v="2.1"/>
    <x v="49"/>
    <n v="8.3151428571428614"/>
  </r>
  <r>
    <x v="5"/>
    <s v="BG-027-0011"/>
    <s v="Lucky1BG-027-0011"/>
    <n v="6"/>
    <s v="Lucky16"/>
    <s v="Greenhouse"/>
    <s v="Greenhouse"/>
    <n v="2.1"/>
    <x v="50"/>
    <n v="-0.87030158730158735"/>
  </r>
  <r>
    <x v="5"/>
    <s v="BG-026-0012"/>
    <s v="Lucky1BG-026-0012"/>
    <n v="5"/>
    <s v="Lucky15"/>
    <s v="Greenhouse"/>
    <s v="Greenhouse"/>
    <n v="2.1"/>
    <x v="51"/>
    <n v="-1.9299523809523815"/>
  </r>
  <r>
    <x v="6"/>
    <s v="AC-002-0008"/>
    <s v="Lucky2AC-002-0008"/>
    <n v="2"/>
    <s v="Lucky22"/>
    <s v="Tank"/>
    <s v="Greenhouse"/>
    <n v="0.5"/>
    <x v="52"/>
    <n v="2.1062000000000003"/>
  </r>
  <r>
    <x v="6"/>
    <s v="AC-001-0008"/>
    <s v="Lucky2AC-001-0008"/>
    <n v="2"/>
    <s v="Lucky22"/>
    <s v="Tank"/>
    <s v="Greenhouse"/>
    <n v="0.5"/>
    <x v="53"/>
    <n v="1.2496666666666676"/>
  </r>
  <r>
    <x v="6"/>
    <s v="AC-005-0008"/>
    <s v="Lucky2AC-005-0008"/>
    <n v="2"/>
    <s v="Lucky22"/>
    <s v="Tank"/>
    <s v="Greenhouse"/>
    <n v="0.5"/>
    <x v="54"/>
    <n v="-0.42086666666666755"/>
  </r>
  <r>
    <x v="6"/>
    <s v="AC-004-0008"/>
    <s v="Lucky2AC-004-0008"/>
    <n v="2"/>
    <s v="Lucky22"/>
    <s v="Tank"/>
    <s v="Greenhouse"/>
    <n v="0.5"/>
    <x v="55"/>
    <n v="-0.98500000000000032"/>
  </r>
  <r>
    <x v="6"/>
    <s v="AC-003-0008"/>
    <s v="Lucky2AC-003-0008"/>
    <n v="3"/>
    <s v="Lucky23"/>
    <s v="Tank"/>
    <s v="Greenhouse"/>
    <n v="0.5"/>
    <x v="56"/>
    <n v="0.65936666666666688"/>
  </r>
  <r>
    <x v="6"/>
    <s v="AC-001-0010"/>
    <s v="Lucky2AC-001-0010"/>
    <n v="7"/>
    <s v="Lucky27"/>
    <s v="Tank"/>
    <s v="Greenhouse"/>
    <n v="0.5"/>
    <x v="57"/>
    <n v="0.69403333333333417"/>
  </r>
  <r>
    <x v="6"/>
    <s v="AC-002-0010"/>
    <s v="Lucky2AC-002-0010"/>
    <n v="7"/>
    <s v="Lucky27"/>
    <s v="Tank"/>
    <s v="Greenhouse"/>
    <n v="0.5"/>
    <x v="58"/>
    <n v="3.4380666666666659"/>
  </r>
  <r>
    <x v="6"/>
    <s v="AC-005-0010"/>
    <s v="Lucky2AC-005-0010"/>
    <n v="7"/>
    <s v="Lucky27"/>
    <s v="Tank"/>
    <s v="Greenhouse"/>
    <n v="0.5"/>
    <x v="59"/>
    <n v="0.49023333333333419"/>
  </r>
  <r>
    <x v="6"/>
    <s v="AC-003-0009"/>
    <s v="Lucky2AC-003-0009"/>
    <n v="7"/>
    <s v="Lucky27"/>
    <s v="Tank"/>
    <s v="Greenhouse"/>
    <n v="0.5"/>
    <x v="60"/>
    <n v="6.9311999999999987"/>
  </r>
  <r>
    <x v="6"/>
    <s v="AC-004-0010"/>
    <s v="Lucky2AC-004-0010"/>
    <n v="7"/>
    <s v="Lucky27"/>
    <s v="Tank"/>
    <s v="Greenhouse"/>
    <n v="0.5"/>
    <x v="61"/>
    <n v="4.6272000000000002"/>
  </r>
  <r>
    <x v="6"/>
    <s v="AC-004-0009"/>
    <s v="Lucky2AC-004-0009"/>
    <n v="5"/>
    <s v="Lucky25"/>
    <s v="Tank"/>
    <s v="Greenhouse"/>
    <n v="0.5"/>
    <x v="62"/>
    <n v="-3.0875333333333339"/>
  </r>
  <r>
    <x v="6"/>
    <s v="AC-005-0009"/>
    <s v="Lucky2AC-005-0009"/>
    <n v="5"/>
    <s v="Lucky25"/>
    <s v="Tank"/>
    <s v="Greenhouse"/>
    <n v="0.5"/>
    <x v="63"/>
    <n v="-1.230733333333333"/>
  </r>
  <r>
    <x v="6"/>
    <s v="AC-001-0009"/>
    <s v="Lucky2AC-001-0009"/>
    <n v="5"/>
    <s v="Lucky25"/>
    <s v="Tank"/>
    <s v="Greenhouse"/>
    <n v="0.5"/>
    <x v="64"/>
    <n v="-0.71876666666666666"/>
  </r>
  <r>
    <x v="6"/>
    <s v="AC-002-0009"/>
    <s v="Lucky2AC-002-0009"/>
    <n v="5"/>
    <s v="Lucky25"/>
    <s v="Tank"/>
    <s v="Greenhouse"/>
    <n v="0.5"/>
    <x v="65"/>
    <n v="-9.4533333333333885E-2"/>
  </r>
  <r>
    <x v="7"/>
    <s v="BG-027-0010"/>
    <s v="Lucky3BG-027-0010"/>
    <n v="3"/>
    <s v="Lucky33"/>
    <s v="Greenhouse"/>
    <s v="Greenhouse"/>
    <n v="1.5"/>
    <x v="66"/>
    <n v="7.2134444444444448"/>
  </r>
  <r>
    <x v="7"/>
    <s v="BG-026-0010"/>
    <s v="Lucky3BG-026-0010"/>
    <n v="3"/>
    <s v="Lucky33"/>
    <s v="Greenhouse"/>
    <s v="Greenhouse"/>
    <n v="1.5"/>
    <x v="67"/>
    <n v="5.7010888888888891"/>
  </r>
  <r>
    <x v="7"/>
    <s v="BG-027-0012"/>
    <s v="Lucky3BG-027-0012"/>
    <n v="7"/>
    <s v="Lucky37"/>
    <s v="Greenhouse"/>
    <s v="Greenhouse"/>
    <n v="1.5"/>
    <x v="68"/>
    <n v="-1.7018222222222223"/>
  </r>
  <r>
    <x v="7"/>
    <s v="BG-027-0011"/>
    <s v="Lucky3BG-027-0011"/>
    <n v="5"/>
    <s v="Lucky35"/>
    <s v="Greenhouse"/>
    <s v="Greenhouse"/>
    <n v="1.5"/>
    <x v="69"/>
    <n v="-1.4756777777777774"/>
  </r>
  <r>
    <x v="7"/>
    <s v="BG-026-0011"/>
    <s v="Lucky3BG-026-0011"/>
    <n v="5"/>
    <s v="Lucky35"/>
    <s v="Greenhouse"/>
    <s v="Greenhouse"/>
    <n v="1.5"/>
    <x v="70"/>
    <n v="-2.1886444444444448"/>
  </r>
  <r>
    <x v="8"/>
    <s v="BG-113-0009"/>
    <s v="NakornfarmBG-113-0009"/>
    <n v="1"/>
    <s v="Nakornfarm1"/>
    <s v="Greenhouse"/>
    <s v="Greenhouse"/>
    <n v="1.44"/>
    <x v="33"/>
    <n v="0"/>
  </r>
  <r>
    <x v="8"/>
    <s v="BG-113-0010"/>
    <s v="NakornfarmBG-113-0010"/>
    <n v="10"/>
    <s v="Nakornfarm10"/>
    <s v="Greenhouse"/>
    <s v="Greenhouse"/>
    <n v="1.5"/>
    <x v="71"/>
    <n v="11.975244444444447"/>
  </r>
  <r>
    <x v="8"/>
    <s v="BG-116-0011"/>
    <s v="NakornfarmBG-116-0011"/>
    <n v="10"/>
    <s v="Nakornfarm10"/>
    <s v="Greenhouse"/>
    <s v="Greenhouse"/>
    <n v="1.5"/>
    <x v="72"/>
    <n v="19.072955555555556"/>
  </r>
  <r>
    <x v="8"/>
    <s v="BG-119-0011"/>
    <s v="NakornfarmBG-119-0011"/>
    <n v="10"/>
    <s v="Nakornfarm10"/>
    <s v="Greenhouse"/>
    <s v="Greenhouse"/>
    <n v="1.48"/>
    <x v="73"/>
    <n v="15.318986486486484"/>
  </r>
  <r>
    <x v="8"/>
    <s v="BG-102-0010"/>
    <s v="NakornfarmBG-102-0010"/>
    <n v="2"/>
    <s v="Nakornfarm2"/>
    <s v="Greenhouse"/>
    <s v="Greenhouse"/>
    <n v="1.47"/>
    <x v="74"/>
    <n v="-2.145034013605442"/>
  </r>
  <r>
    <x v="8"/>
    <s v="BG-102-0011"/>
    <s v="NakornfarmBG-102-0011"/>
    <n v="9"/>
    <s v="Nakornfarm9"/>
    <s v="Greenhouse"/>
    <s v="Greenhouse"/>
    <n v="1.5"/>
    <x v="75"/>
    <n v="10.395533333333331"/>
  </r>
  <r>
    <x v="8"/>
    <s v="BG-110-0012"/>
    <s v="NakornfarmBG-110-0012"/>
    <n v="8"/>
    <s v="Nakornfarm8"/>
    <s v="Greenhouse"/>
    <s v="Greenhouse"/>
    <n v="1.5"/>
    <x v="33"/>
    <n v="0"/>
  </r>
  <r>
    <x v="8"/>
    <s v="FG-125-0010"/>
    <s v="NakornfarmFG-125-0010"/>
    <n v="8"/>
    <s v="Nakornfarm8"/>
    <s v="Greenhouse"/>
    <s v="Greenhouse"/>
    <n v="1.4"/>
    <x v="76"/>
    <n v="10.950928571428573"/>
  </r>
  <r>
    <x v="8"/>
    <s v="BG-101-0010"/>
    <s v="NakornfarmBG-101-0010"/>
    <n v="7"/>
    <s v="Nakornfarm7"/>
    <s v="Greenhouse"/>
    <s v="Greenhouse"/>
    <n v="1.5"/>
    <x v="77"/>
    <n v="10.621333333333334"/>
  </r>
  <r>
    <x v="8"/>
    <s v="BG-116-0009"/>
    <s v="NakornfarmBG-116-0009"/>
    <n v="3"/>
    <s v="Nakornfarm3"/>
    <s v="Greenhouse"/>
    <s v="Greenhouse"/>
    <n v="1.47"/>
    <x v="78"/>
    <n v="-2.7325056689342406"/>
  </r>
  <r>
    <x v="8"/>
    <s v="BG-110-0011"/>
    <s v="NakornfarmBG-110-0011"/>
    <n v="6"/>
    <s v="Nakornfarm6"/>
    <s v="Greenhouse"/>
    <s v="Greenhouse"/>
    <n v="1.5"/>
    <x v="79"/>
    <n v="13.141233333333336"/>
  </r>
  <r>
    <x v="8"/>
    <s v="BG-111-0010"/>
    <s v="NakornfarmBG-111-0010"/>
    <n v="6"/>
    <s v="Nakornfarm6"/>
    <s v="Greenhouse"/>
    <s v="Greenhouse"/>
    <n v="2"/>
    <x v="80"/>
    <n v="18.082091666666667"/>
  </r>
  <r>
    <x v="8"/>
    <s v="FG-125-0009"/>
    <s v="NakornfarmFG-125-0009"/>
    <n v="4"/>
    <s v="Nakornfarm4"/>
    <s v="Greenhouse"/>
    <s v="Greenhouse"/>
    <n v="1.4"/>
    <x v="81"/>
    <n v="14.596476190476192"/>
  </r>
  <r>
    <x v="8"/>
    <s v="BG-119-0010"/>
    <s v="NakornfarmBG-119-0010"/>
    <n v="5"/>
    <s v="Nakornfarm5"/>
    <s v="Greenhouse"/>
    <s v="Greenhouse"/>
    <n v="1.48"/>
    <x v="82"/>
    <n v="16.356351351351353"/>
  </r>
  <r>
    <x v="9"/>
    <s v="G1-G01-0002"/>
    <s v="Petchburi5G1-G01-0002"/>
    <n v="1"/>
    <s v="Petchburi51"/>
    <s v="Greenhouse"/>
    <s v="Greenhouse"/>
    <n v="1"/>
    <x v="83"/>
    <n v="15.239166666666666"/>
  </r>
  <r>
    <x v="9"/>
    <s v="AG-006-0010"/>
    <s v="Petchburi5AG-006-0010"/>
    <n v="1"/>
    <s v="Petchburi51"/>
    <s v="Greenhouse"/>
    <s v="Greenhouse"/>
    <n v="1.5"/>
    <x v="84"/>
    <n v="20.169277777777779"/>
  </r>
  <r>
    <x v="9"/>
    <s v="AG-003-0011"/>
    <s v="Petchburi5AG-003-0011"/>
    <n v="1"/>
    <s v="Petchburi51"/>
    <s v="Greenhouse"/>
    <s v="Greenhouse"/>
    <n v="1.5"/>
    <x v="85"/>
    <n v="13.507822222222226"/>
  </r>
  <r>
    <x v="9"/>
    <s v="AG-005-0012"/>
    <s v="Petchburi5AG-005-0012"/>
    <n v="10"/>
    <s v="Petchburi510"/>
    <s v="Greenhouse"/>
    <s v="Greenhouse"/>
    <n v="1.5"/>
    <x v="86"/>
    <n v="17.202111111111115"/>
  </r>
  <r>
    <x v="9"/>
    <s v="AG-003-0013"/>
    <s v="Petchburi5AG-003-0013"/>
    <n v="10"/>
    <s v="Petchburi510"/>
    <s v="Greenhouse"/>
    <s v="Greenhouse"/>
    <n v="1.5"/>
    <x v="87"/>
    <n v="6.3619888888888916"/>
  </r>
  <r>
    <x v="9"/>
    <s v="AG-006-0012"/>
    <s v="Petchburi5AG-006-0012"/>
    <n v="10"/>
    <s v="Petchburi510"/>
    <s v="Greenhouse"/>
    <s v="Greenhouse"/>
    <n v="1.5"/>
    <x v="88"/>
    <n v="14.829188888888892"/>
  </r>
  <r>
    <x v="9"/>
    <s v="AG-004-0012"/>
    <s v="Petchburi5AG-004-0012"/>
    <n v="10"/>
    <s v="Petchburi510"/>
    <s v="Greenhouse"/>
    <s v="Greenhouse"/>
    <n v="1.5"/>
    <x v="89"/>
    <n v="13.794388888888891"/>
  </r>
  <r>
    <x v="9"/>
    <s v="AG-002-0013"/>
    <s v="Petchburi5AG-002-0013"/>
    <n v="8"/>
    <s v="Petchburi58"/>
    <s v="Greenhouse"/>
    <s v="Greenhouse"/>
    <n v="1.5"/>
    <x v="90"/>
    <n v="10.365511111111111"/>
  </r>
  <r>
    <x v="9"/>
    <s v="G1-G02-0002"/>
    <s v="Petchburi5G1-G02-0002"/>
    <n v="8"/>
    <s v="Petchburi58"/>
    <s v="Greenhouse"/>
    <s v="Greenhouse"/>
    <n v="1"/>
    <x v="91"/>
    <n v="26.946616666666667"/>
  </r>
  <r>
    <x v="9"/>
    <s v="AG-001-0012"/>
    <s v="Petchburi5AG-001-0012"/>
    <n v="3"/>
    <s v="Petchburi53"/>
    <s v="Greenhouse"/>
    <s v="Greenhouse"/>
    <n v="1.5"/>
    <x v="92"/>
    <n v="14.462288888888892"/>
  </r>
  <r>
    <x v="9"/>
    <s v="AG-003-0012"/>
    <s v="Petchburi5AG-003-0012"/>
    <n v="6"/>
    <s v="Petchburi56"/>
    <s v="Greenhouse"/>
    <s v="Greenhouse"/>
    <n v="1.5"/>
    <x v="93"/>
    <n v="16.966100000000001"/>
  </r>
  <r>
    <x v="9"/>
    <s v="AG-001-0013"/>
    <s v="Petchburi5AG-001-0013"/>
    <n v="6"/>
    <s v="Petchburi56"/>
    <s v="Greenhouse"/>
    <s v="Greenhouse"/>
    <n v="1.5"/>
    <x v="94"/>
    <n v="4.247355555555556"/>
  </r>
  <r>
    <x v="9"/>
    <s v="G1-G01-0003"/>
    <s v="Petchburi5G1-G01-0003"/>
    <n v="6"/>
    <s v="Petchburi56"/>
    <s v="Greenhouse"/>
    <s v="Greenhouse"/>
    <n v="1"/>
    <x v="95"/>
    <n v="18.292000000000002"/>
  </r>
  <r>
    <x v="9"/>
    <s v="G1-G02-0001"/>
    <s v="Petchburi5G1-G02-0001"/>
    <n v="4"/>
    <s v="Petchburi54"/>
    <s v="Greenhouse"/>
    <s v="Greenhouse"/>
    <n v="1"/>
    <x v="96"/>
    <n v="18.796516666666669"/>
  </r>
  <r>
    <x v="9"/>
    <s v="AG-002-0012"/>
    <s v="Petchburi5AG-002-0012"/>
    <n v="4"/>
    <s v="Petchburi54"/>
    <s v="Greenhouse"/>
    <s v="Greenhouse"/>
    <n v="1.5"/>
    <x v="97"/>
    <n v="14.047488888888891"/>
  </r>
  <r>
    <x v="9"/>
    <s v="AG-004-0011"/>
    <s v="Petchburi5AG-004-0011"/>
    <n v="5"/>
    <s v="Petchburi55"/>
    <s v="Greenhouse"/>
    <s v="Greenhouse"/>
    <n v="1.5"/>
    <x v="98"/>
    <n v="12.618033333333333"/>
  </r>
  <r>
    <x v="9"/>
    <s v="AG-006-0011"/>
    <s v="Petchburi5AG-006-0011"/>
    <n v="5"/>
    <s v="Petchburi55"/>
    <s v="Greenhouse"/>
    <s v="Greenhouse"/>
    <n v="1.5"/>
    <x v="99"/>
    <n v="15.608288888888886"/>
  </r>
  <r>
    <x v="9"/>
    <s v="AG-005-0011"/>
    <s v="Petchburi5AG-005-0011"/>
    <n v="5"/>
    <s v="Petchburi55"/>
    <s v="Greenhouse"/>
    <s v="Greenhouse"/>
    <n v="1.5"/>
    <x v="100"/>
    <n v="15.126366666666668"/>
  </r>
  <r>
    <x v="10"/>
    <s v="AG-090-0010"/>
    <s v="RanodeAG-090-0010"/>
    <n v="6"/>
    <s v="Ranode6"/>
    <s v="Greenhouse"/>
    <s v="Greenhouse"/>
    <n v="1.8"/>
    <x v="101"/>
    <n v="11.685462962962964"/>
  </r>
  <r>
    <x v="10"/>
    <s v="AG-091-0012"/>
    <s v="RanodeAG-091-0012"/>
    <n v="6"/>
    <s v="Ranode6"/>
    <s v="Greenhouse"/>
    <s v="Greenhouse"/>
    <n v="1.8"/>
    <x v="102"/>
    <n v="16.614398148148144"/>
  </r>
  <r>
    <x v="10"/>
    <s v="AG-093-0013"/>
    <s v="RanodeAG-093-0013"/>
    <n v="6"/>
    <s v="Ranode6"/>
    <s v="Greenhouse"/>
    <s v="Greenhouse"/>
    <n v="1.8"/>
    <x v="103"/>
    <n v="3.5740370370370362"/>
  </r>
  <r>
    <x v="10"/>
    <s v="AG-093-0012"/>
    <s v="RanodeAG-093-0012"/>
    <n v="4"/>
    <s v="Ranode4"/>
    <s v="Greenhouse"/>
    <s v="Greenhouse"/>
    <n v="1.8"/>
    <x v="104"/>
    <n v="0.60198148148148167"/>
  </r>
  <r>
    <x v="11"/>
    <s v="D4-G08-0060"/>
    <s v="Roiphet1D4-G08-0060"/>
    <n v="11"/>
    <s v="Roiphet111"/>
    <s v="Greenhouse"/>
    <s v="Greenhouse"/>
    <n v="1.1299999999999999"/>
    <x v="105"/>
    <n v="6.2182890855457247"/>
  </r>
  <r>
    <x v="11"/>
    <s v="D6-I11-0084"/>
    <s v="Roiphet1D6-I11-0084"/>
    <n v="11"/>
    <s v="Roiphet111"/>
    <s v="Greenhouse"/>
    <s v="Greenhouse"/>
    <n v="0.72"/>
    <x v="106"/>
    <n v="-3.0787037037037411E-2"/>
  </r>
  <r>
    <x v="11"/>
    <s v="D6-I12-0086"/>
    <s v="Roiphet1D6-I12-0086"/>
    <n v="11"/>
    <s v="Roiphet111"/>
    <s v="Greenhouse"/>
    <s v="Greenhouse"/>
    <n v="0.72"/>
    <x v="107"/>
    <n v="2.2431481481481486"/>
  </r>
  <r>
    <x v="11"/>
    <s v="D6-G11-0077"/>
    <s v="Roiphet1D6-G11-0077"/>
    <n v="11"/>
    <s v="Roiphet111"/>
    <s v="Greenhouse"/>
    <s v="Greenhouse"/>
    <n v="1.1299999999999999"/>
    <x v="108"/>
    <n v="3.9623746312684371"/>
  </r>
  <r>
    <x v="11"/>
    <s v="D4-G07-0063"/>
    <s v="Roiphet1D4-G07-0063"/>
    <n v="11"/>
    <s v="Roiphet111"/>
    <s v="Greenhouse"/>
    <s v="Greenhouse"/>
    <n v="1.1299999999999999"/>
    <x v="109"/>
    <n v="7.0182890855457227"/>
  </r>
  <r>
    <x v="11"/>
    <s v="D6-G12-0080"/>
    <s v="Roiphet1D6-G12-0080"/>
    <n v="11"/>
    <s v="Roiphet111"/>
    <s v="Greenhouse"/>
    <s v="Greenhouse"/>
    <n v="1.1299999999999999"/>
    <x v="110"/>
    <n v="2.2153982300884962"/>
  </r>
  <r>
    <x v="11"/>
    <s v="A5-I10-0095"/>
    <s v="Roiphet1A5-I10-0095"/>
    <n v="10"/>
    <s v="Roiphet110"/>
    <s v="Greenhouse"/>
    <s v="Greenhouse"/>
    <n v="0.72"/>
    <x v="111"/>
    <n v="0.74050925925925881"/>
  </r>
  <r>
    <x v="11"/>
    <s v="A6-I11-0102"/>
    <s v="Roiphet1A6-I11-0102"/>
    <n v="10"/>
    <s v="Roiphet110"/>
    <s v="Greenhouse"/>
    <s v="Greenhouse"/>
    <n v="0.72"/>
    <x v="112"/>
    <n v="-0.1143055555555561"/>
  </r>
  <r>
    <x v="11"/>
    <s v="A5-I09-0099"/>
    <s v="Roiphet1A5-I09-0099"/>
    <n v="10"/>
    <s v="Roiphet110"/>
    <s v="Greenhouse"/>
    <s v="Greenhouse"/>
    <n v="0.72"/>
    <x v="113"/>
    <n v="0.93724537037036981"/>
  </r>
  <r>
    <x v="11"/>
    <s v="A5-G09-0084"/>
    <s v="Roiphet1A5-G09-0084"/>
    <n v="10"/>
    <s v="Roiphet110"/>
    <s v="Greenhouse"/>
    <s v="Greenhouse"/>
    <n v="1.1299999999999999"/>
    <x v="114"/>
    <n v="4.4708259587020667"/>
  </r>
  <r>
    <x v="11"/>
    <s v="A5-G10-0069"/>
    <s v="Roiphet1A5-G10-0069"/>
    <n v="10"/>
    <s v="Roiphet110"/>
    <s v="Greenhouse"/>
    <s v="Greenhouse"/>
    <n v="1.1299999999999999"/>
    <x v="115"/>
    <n v="2.8501032448377592"/>
  </r>
  <r>
    <x v="11"/>
    <s v="A4-I07-0095"/>
    <s v="Roiphet1A4-I07-0095"/>
    <n v="10"/>
    <s v="Roiphet110"/>
    <s v="Greenhouse"/>
    <s v="Greenhouse"/>
    <n v="0.72"/>
    <x v="116"/>
    <n v="2.4341203703703704"/>
  </r>
  <r>
    <x v="11"/>
    <s v="A4-G07-0072"/>
    <s v="Roiphet1A4-G07-0072"/>
    <n v="10"/>
    <s v="Roiphet110"/>
    <s v="Greenhouse"/>
    <s v="Greenhouse"/>
    <n v="1.1299999999999999"/>
    <x v="117"/>
    <n v="4.080604719764013"/>
  </r>
  <r>
    <x v="11"/>
    <s v="A6-G11-0092"/>
    <s v="Roiphet1A6-G11-0092"/>
    <n v="10"/>
    <s v="Roiphet110"/>
    <s v="Greenhouse"/>
    <s v="Greenhouse"/>
    <n v="1.1299999999999999"/>
    <x v="118"/>
    <n v="3.9876253687315639"/>
  </r>
  <r>
    <x v="11"/>
    <s v="A3-G05-0077"/>
    <s v="Roiphet1A3-G05-0077"/>
    <n v="10"/>
    <s v="Roiphet110"/>
    <s v="Greenhouse"/>
    <s v="Greenhouse"/>
    <n v="1.1299999999999999"/>
    <x v="119"/>
    <n v="2.6791445427728622"/>
  </r>
  <r>
    <x v="11"/>
    <s v="A3-I05-0085"/>
    <s v="Roiphet1A3-I05-0085"/>
    <n v="10"/>
    <s v="Roiphet110"/>
    <s v="Greenhouse"/>
    <s v="Greenhouse"/>
    <n v="0.72"/>
    <x v="120"/>
    <n v="0.70460648148148231"/>
  </r>
  <r>
    <x v="11"/>
    <s v="C4-G07-0056"/>
    <s v="Roiphet1C4-G07-0056"/>
    <n v="1"/>
    <s v="Roiphet11"/>
    <s v="Greenhouse"/>
    <s v="Greenhouse"/>
    <n v="1.1299999999999999"/>
    <x v="121"/>
    <n v="4.5421681415929216"/>
  </r>
  <r>
    <x v="11"/>
    <s v="C4-G08-0060"/>
    <s v="Roiphet1C4-G08-0060"/>
    <n v="1"/>
    <s v="Roiphet11"/>
    <s v="Greenhouse"/>
    <s v="Greenhouse"/>
    <n v="1.1299999999999999"/>
    <x v="122"/>
    <n v="5.3459587020648982"/>
  </r>
  <r>
    <x v="11"/>
    <s v="B6-I11-0082"/>
    <s v="Roiphet1B6-I11-0082"/>
    <n v="1"/>
    <s v="Roiphet11"/>
    <s v="Greenhouse"/>
    <s v="Greenhouse"/>
    <n v="0.72"/>
    <x v="123"/>
    <n v="1.175231481481481"/>
  </r>
  <r>
    <x v="11"/>
    <s v="B6-G11-0081"/>
    <s v="Roiphet1B6-G11-0081"/>
    <n v="1"/>
    <s v="Roiphet11"/>
    <s v="Greenhouse"/>
    <s v="Greenhouse"/>
    <n v="1.1299999999999999"/>
    <x v="124"/>
    <n v="3.2859439528023611"/>
  </r>
  <r>
    <x v="11"/>
    <s v="B6-I12-0085"/>
    <s v="Roiphet1B6-I12-0085"/>
    <n v="1"/>
    <s v="Roiphet11"/>
    <s v="Greenhouse"/>
    <s v="Greenhouse"/>
    <n v="0.72"/>
    <x v="125"/>
    <n v="1.5812037037037034"/>
  </r>
  <r>
    <x v="11"/>
    <s v="B6-G12-0086"/>
    <s v="Roiphet1B6-G12-0086"/>
    <n v="1"/>
    <s v="Roiphet11"/>
    <s v="Greenhouse"/>
    <s v="Greenhouse"/>
    <n v="1.1299999999999999"/>
    <x v="126"/>
    <n v="5.1749705014749265"/>
  </r>
  <r>
    <x v="11"/>
    <s v="D4-G08-0058"/>
    <s v="Roiphet1D4-G08-0058"/>
    <n v="1"/>
    <s v="Roiphet11"/>
    <s v="Greenhouse"/>
    <s v="Greenhouse"/>
    <n v="1.1299999999999999"/>
    <x v="127"/>
    <n v="4.7425073746312707"/>
  </r>
  <r>
    <x v="11"/>
    <s v="D1-I02-0088"/>
    <s v="Roiphet1D1-I02-0088"/>
    <n v="1"/>
    <s v="Roiphet11"/>
    <s v="Greenhouse"/>
    <s v="Greenhouse"/>
    <n v="0.72"/>
    <x v="128"/>
    <n v="2.8872685185185194"/>
  </r>
  <r>
    <x v="11"/>
    <s v="D4-I07-0075"/>
    <s v="Roiphet1D4-I07-0075"/>
    <n v="1"/>
    <s v="Roiphet11"/>
    <s v="Greenhouse"/>
    <s v="Greenhouse"/>
    <n v="0.72"/>
    <x v="129"/>
    <n v="2.1821527777777781"/>
  </r>
  <r>
    <x v="11"/>
    <s v="D4-I08-0070"/>
    <s v="Roiphet1D4-I08-0070"/>
    <n v="1"/>
    <s v="Roiphet11"/>
    <s v="Greenhouse"/>
    <s v="Greenhouse"/>
    <n v="0.72"/>
    <x v="130"/>
    <n v="6.5150462962962958"/>
  </r>
  <r>
    <x v="11"/>
    <s v="A3-G05-0075"/>
    <s v="Roiphet1A3-G05-0075"/>
    <n v="1"/>
    <s v="Roiphet11"/>
    <s v="Greenhouse"/>
    <s v="Greenhouse"/>
    <n v="1.1299999999999999"/>
    <x v="131"/>
    <n v="1.8529203539823014"/>
  </r>
  <r>
    <x v="11"/>
    <s v="A1-G01-0062"/>
    <s v="Roiphet1A1-G01-0062"/>
    <n v="1"/>
    <s v="Roiphet11"/>
    <s v="Greenhouse"/>
    <s v="Greenhouse"/>
    <n v="1.1299999999999999"/>
    <x v="132"/>
    <n v="1.3771386430678472"/>
  </r>
  <r>
    <x v="11"/>
    <s v="A3-I05-0083"/>
    <s v="Roiphet1A3-I05-0083"/>
    <n v="1"/>
    <s v="Roiphet11"/>
    <s v="Greenhouse"/>
    <s v="Greenhouse"/>
    <n v="0.72"/>
    <x v="133"/>
    <n v="0.4250462962962957"/>
  </r>
  <r>
    <x v="11"/>
    <s v="A1-I01-0087"/>
    <s v="Roiphet1A1-I01-0087"/>
    <n v="1"/>
    <s v="Roiphet11"/>
    <s v="Greenhouse"/>
    <s v="Greenhouse"/>
    <n v="0.72"/>
    <x v="134"/>
    <n v="0.70495370370370425"/>
  </r>
  <r>
    <x v="11"/>
    <s v="D5-G09-0069"/>
    <s v="Roiphet1D5-G09-0069"/>
    <n v="10"/>
    <s v="Roiphet110"/>
    <s v="Greenhouse"/>
    <s v="Greenhouse"/>
    <n v="1.1299999999999999"/>
    <x v="135"/>
    <n v="13.542064896755166"/>
  </r>
  <r>
    <x v="11"/>
    <s v="D5-G10-0070"/>
    <s v="Roiphet1D5-G10-0070"/>
    <n v="10"/>
    <s v="Roiphet110"/>
    <s v="Greenhouse"/>
    <s v="Greenhouse"/>
    <n v="1.1299999999999999"/>
    <x v="136"/>
    <n v="8.7588643067846643"/>
  </r>
  <r>
    <x v="11"/>
    <s v="D5-I10-0075"/>
    <s v="Roiphet1D5-I10-0075"/>
    <n v="10"/>
    <s v="Roiphet110"/>
    <s v="Greenhouse"/>
    <s v="Greenhouse"/>
    <n v="0.72"/>
    <x v="137"/>
    <n v="4.8769212962962971"/>
  </r>
  <r>
    <x v="11"/>
    <s v="D3-G06-0084"/>
    <s v="Roiphet1D3-G06-0084"/>
    <n v="10"/>
    <s v="Roiphet110"/>
    <s v="Greenhouse"/>
    <s v="Greenhouse"/>
    <n v="1.1299999999999999"/>
    <x v="138"/>
    <n v="6.6666224188790553"/>
  </r>
  <r>
    <x v="11"/>
    <s v="D5-I09-0083"/>
    <s v="Roiphet1D5-I09-0083"/>
    <n v="10"/>
    <s v="Roiphet110"/>
    <s v="Greenhouse"/>
    <s v="Greenhouse"/>
    <n v="0.72"/>
    <x v="139"/>
    <n v="5.3354166666666671"/>
  </r>
  <r>
    <x v="11"/>
    <s v="D3-G05-0081"/>
    <s v="Roiphet1D3-G05-0081"/>
    <n v="10"/>
    <s v="Roiphet110"/>
    <s v="Greenhouse"/>
    <s v="Greenhouse"/>
    <n v="1.1299999999999999"/>
    <x v="140"/>
    <n v="6.1611356932153418"/>
  </r>
  <r>
    <x v="11"/>
    <s v="C5-I10-0066"/>
    <s v="Roiphet1C5-I10-0066"/>
    <n v="10"/>
    <s v="Roiphet110"/>
    <s v="Greenhouse"/>
    <s v="Greenhouse"/>
    <n v="0.72"/>
    <x v="141"/>
    <n v="3.4706944444444452"/>
  </r>
  <r>
    <x v="11"/>
    <s v="C5-I09-0065"/>
    <s v="Roiphet1C5-I09-0065"/>
    <n v="10"/>
    <s v="Roiphet110"/>
    <s v="Greenhouse"/>
    <s v="Greenhouse"/>
    <n v="0.72"/>
    <x v="142"/>
    <n v="1.0564351851851865"/>
  </r>
  <r>
    <x v="11"/>
    <s v="C5-G09-0058"/>
    <s v="Roiphet1C5-G09-0058"/>
    <n v="10"/>
    <s v="Roiphet110"/>
    <s v="Greenhouse"/>
    <s v="Greenhouse"/>
    <n v="1.1299999999999999"/>
    <x v="143"/>
    <n v="5.5100442477876124"/>
  </r>
  <r>
    <x v="11"/>
    <s v="C2-I03-0060"/>
    <s v="Roiphet1C2-I03-0060"/>
    <n v="10"/>
    <s v="Roiphet110"/>
    <s v="Greenhouse"/>
    <s v="Greenhouse"/>
    <n v="0.72"/>
    <x v="144"/>
    <n v="1.5460185185185187"/>
  </r>
  <r>
    <x v="11"/>
    <s v="C5-G10-0065"/>
    <s v="Roiphet1C5-G10-0065"/>
    <n v="10"/>
    <s v="Roiphet110"/>
    <s v="Greenhouse"/>
    <s v="Greenhouse"/>
    <n v="1.1299999999999999"/>
    <x v="145"/>
    <n v="3.8456637168141601"/>
  </r>
  <r>
    <x v="11"/>
    <s v="C2-I04-0068"/>
    <s v="Roiphet1C2-I04-0068"/>
    <n v="10"/>
    <s v="Roiphet110"/>
    <s v="Greenhouse"/>
    <s v="Greenhouse"/>
    <n v="0.72"/>
    <x v="146"/>
    <n v="0.35018518518518638"/>
  </r>
  <r>
    <x v="11"/>
    <s v="C2-G03-0067"/>
    <s v="Roiphet1C2-G03-0067"/>
    <n v="10"/>
    <s v="Roiphet110"/>
    <s v="Greenhouse"/>
    <s v="Greenhouse"/>
    <n v="1.1299999999999999"/>
    <x v="147"/>
    <n v="1.8352359882005913"/>
  </r>
  <r>
    <x v="11"/>
    <s v="C2-G04-0065"/>
    <s v="Roiphet1C2-G04-0065"/>
    <n v="10"/>
    <s v="Roiphet110"/>
    <s v="Greenhouse"/>
    <s v="Greenhouse"/>
    <n v="1.1299999999999999"/>
    <x v="148"/>
    <n v="0.84258112094395421"/>
  </r>
  <r>
    <x v="11"/>
    <s v="A2-I04-0100"/>
    <s v="Roiphet1A2-I04-0100"/>
    <n v="9"/>
    <s v="Roiphet19"/>
    <s v="Greenhouse"/>
    <s v="Greenhouse"/>
    <n v="0.72"/>
    <x v="149"/>
    <n v="0.26578703703703821"/>
  </r>
  <r>
    <x v="11"/>
    <s v="A2-G04-0082"/>
    <s v="Roiphet1A2-G04-0082"/>
    <n v="9"/>
    <s v="Roiphet19"/>
    <s v="Greenhouse"/>
    <s v="Greenhouse"/>
    <n v="1.1299999999999999"/>
    <x v="150"/>
    <n v="2.6158407079646029"/>
  </r>
  <r>
    <x v="11"/>
    <s v="A1-I02-0095"/>
    <s v="Roiphet1A1-I02-0095"/>
    <n v="9"/>
    <s v="Roiphet19"/>
    <s v="Greenhouse"/>
    <s v="Greenhouse"/>
    <n v="0.72"/>
    <x v="151"/>
    <n v="0.75148148148148119"/>
  </r>
  <r>
    <x v="11"/>
    <s v="A2-I03-0095"/>
    <s v="Roiphet1A2-I03-0095"/>
    <n v="9"/>
    <s v="Roiphet19"/>
    <s v="Greenhouse"/>
    <s v="Greenhouse"/>
    <n v="0.72"/>
    <x v="152"/>
    <n v="1.3815740740740745"/>
  </r>
  <r>
    <x v="11"/>
    <s v="A2-G03-0083"/>
    <s v="Roiphet1A2-G03-0083"/>
    <n v="9"/>
    <s v="Roiphet19"/>
    <s v="Greenhouse"/>
    <s v="Greenhouse"/>
    <n v="1.1299999999999999"/>
    <x v="153"/>
    <n v="1.2751032448377586"/>
  </r>
  <r>
    <x v="11"/>
    <s v="A1-I01-0089"/>
    <s v="Roiphet1A1-I01-0089"/>
    <n v="9"/>
    <s v="Roiphet19"/>
    <s v="Greenhouse"/>
    <s v="Greenhouse"/>
    <n v="0.72"/>
    <x v="154"/>
    <n v="0.78993055555555514"/>
  </r>
  <r>
    <x v="11"/>
    <s v="A4-G08-0070"/>
    <s v="Roiphet1A4-G08-0070"/>
    <n v="9"/>
    <s v="Roiphet19"/>
    <s v="Greenhouse"/>
    <s v="Greenhouse"/>
    <n v="1.1299999999999999"/>
    <x v="155"/>
    <n v="1.9234513274336296"/>
  </r>
  <r>
    <x v="11"/>
    <s v="A4-I08-0100"/>
    <s v="Roiphet1A4-I08-0100"/>
    <n v="9"/>
    <s v="Roiphet19"/>
    <s v="Greenhouse"/>
    <s v="Greenhouse"/>
    <n v="0.72"/>
    <x v="156"/>
    <n v="-0.19030092592592585"/>
  </r>
  <r>
    <x v="11"/>
    <s v="A1-G01-0064"/>
    <s v="Roiphet1A1-G01-0064"/>
    <n v="9"/>
    <s v="Roiphet19"/>
    <s v="Greenhouse"/>
    <s v="Greenhouse"/>
    <n v="1.1299999999999999"/>
    <x v="157"/>
    <n v="1.0024041297935105"/>
  </r>
  <r>
    <x v="11"/>
    <s v="A1-G02-0075"/>
    <s v="Roiphet1A1-G02-0075"/>
    <n v="9"/>
    <s v="Roiphet19"/>
    <s v="Greenhouse"/>
    <s v="Greenhouse"/>
    <n v="1.1299999999999999"/>
    <x v="158"/>
    <n v="3.9457079646017696"/>
  </r>
  <r>
    <x v="11"/>
    <s v="D2-I04-0092"/>
    <s v="Roiphet1D2-I04-0092"/>
    <n v="9"/>
    <s v="Roiphet19"/>
    <s v="Greenhouse"/>
    <s v="Greenhouse"/>
    <n v="0.72"/>
    <x v="159"/>
    <n v="4.0898148148148152"/>
  </r>
  <r>
    <x v="11"/>
    <s v="D2-G03-0081"/>
    <s v="Roiphet1D2-G03-0081"/>
    <n v="9"/>
    <s v="Roiphet19"/>
    <s v="Greenhouse"/>
    <s v="Greenhouse"/>
    <n v="1.1299999999999999"/>
    <x v="160"/>
    <n v="11.558112094395282"/>
  </r>
  <r>
    <x v="11"/>
    <s v="D2-G04-0080"/>
    <s v="Roiphet1D2-G04-0080"/>
    <n v="9"/>
    <s v="Roiphet19"/>
    <s v="Greenhouse"/>
    <s v="Greenhouse"/>
    <n v="1.1299999999999999"/>
    <x v="161"/>
    <n v="12.205516224188793"/>
  </r>
  <r>
    <x v="11"/>
    <s v="D2-I03-0086"/>
    <s v="Roiphet1D2-I03-0086"/>
    <n v="9"/>
    <s v="Roiphet19"/>
    <s v="Greenhouse"/>
    <s v="Greenhouse"/>
    <n v="0.72"/>
    <x v="162"/>
    <n v="6.9194212962962975"/>
  </r>
  <r>
    <x v="11"/>
    <s v="C1-I01-0080"/>
    <s v="Roiphet1C1-I01-0080"/>
    <n v="9"/>
    <s v="Roiphet19"/>
    <s v="Greenhouse"/>
    <s v="Greenhouse"/>
    <n v="0.72"/>
    <x v="163"/>
    <n v="1.3808333333333334"/>
  </r>
  <r>
    <x v="11"/>
    <s v="C1-G01-0073"/>
    <s v="Roiphet1C1-G01-0073"/>
    <n v="9"/>
    <s v="Roiphet19"/>
    <s v="Greenhouse"/>
    <s v="Greenhouse"/>
    <n v="1.1299999999999999"/>
    <x v="164"/>
    <n v="1.8673156342182904"/>
  </r>
  <r>
    <x v="11"/>
    <s v="C1-I02-0072"/>
    <s v="Roiphet1C1-I02-0072"/>
    <n v="9"/>
    <s v="Roiphet19"/>
    <s v="Greenhouse"/>
    <s v="Greenhouse"/>
    <n v="0.72"/>
    <x v="165"/>
    <n v="1.4952314814814813"/>
  </r>
  <r>
    <x v="11"/>
    <s v="C4-I08-0063"/>
    <s v="Roiphet1C4-I08-0063"/>
    <n v="2"/>
    <s v="Roiphet12"/>
    <s v="Greenhouse"/>
    <s v="Greenhouse"/>
    <n v="0.72"/>
    <x v="166"/>
    <n v="4.4550694444444456"/>
  </r>
  <r>
    <x v="11"/>
    <s v="C4-I07-0059"/>
    <s v="Roiphet1C4-I07-0059"/>
    <n v="2"/>
    <s v="Roiphet12"/>
    <s v="Greenhouse"/>
    <s v="Greenhouse"/>
    <n v="0.72"/>
    <x v="167"/>
    <n v="3.0143055555555582"/>
  </r>
  <r>
    <x v="11"/>
    <s v="C6-I11-0064"/>
    <s v="Roiphet1C6-I11-0064"/>
    <n v="2"/>
    <s v="Roiphet12"/>
    <s v="Greenhouse"/>
    <s v="Greenhouse"/>
    <n v="0.72"/>
    <x v="168"/>
    <n v="3.8821527777777787"/>
  </r>
  <r>
    <x v="11"/>
    <s v="C6-G11-0058"/>
    <s v="Roiphet1C6-G11-0058"/>
    <n v="2"/>
    <s v="Roiphet12"/>
    <s v="Greenhouse"/>
    <s v="Greenhouse"/>
    <n v="1.1299999999999999"/>
    <x v="169"/>
    <n v="3.5142477876106204"/>
  </r>
  <r>
    <x v="11"/>
    <s v="B1-G01-0083"/>
    <s v="Roiphet1B1-G01-0083"/>
    <n v="2"/>
    <s v="Roiphet12"/>
    <s v="Greenhouse"/>
    <s v="Greenhouse"/>
    <n v="1.1299999999999999"/>
    <x v="170"/>
    <n v="2.6584070796460191"/>
  </r>
  <r>
    <x v="11"/>
    <s v="B1-I01-0094"/>
    <s v="Roiphet1B1-I01-0094"/>
    <n v="2"/>
    <s v="Roiphet12"/>
    <s v="Greenhouse"/>
    <s v="Greenhouse"/>
    <n v="0.72"/>
    <x v="171"/>
    <n v="1.551620370370371"/>
  </r>
  <r>
    <x v="11"/>
    <s v="B1-G02-0087"/>
    <s v="Roiphet1B1-G02-0087"/>
    <n v="2"/>
    <s v="Roiphet12"/>
    <s v="Greenhouse"/>
    <s v="Greenhouse"/>
    <n v="1.1299999999999999"/>
    <x v="172"/>
    <n v="5.2568289085545734"/>
  </r>
  <r>
    <x v="11"/>
    <s v="B1-I02-0094"/>
    <s v="Roiphet1B1-I02-0094"/>
    <n v="2"/>
    <s v="Roiphet12"/>
    <s v="Greenhouse"/>
    <s v="Greenhouse"/>
    <n v="0.72"/>
    <x v="173"/>
    <n v="4.7087962962962973"/>
  </r>
  <r>
    <x v="11"/>
    <s v="B4-G08-0079"/>
    <s v="Roiphet1B4-G08-0079"/>
    <n v="2"/>
    <s v="Roiphet12"/>
    <s v="Greenhouse"/>
    <s v="Greenhouse"/>
    <n v="1.1299999999999999"/>
    <x v="174"/>
    <n v="4.5232153392330394"/>
  </r>
  <r>
    <x v="11"/>
    <s v="B2-G04-0091"/>
    <s v="Roiphet1B2-G04-0091"/>
    <n v="2"/>
    <s v="Roiphet12"/>
    <s v="Greenhouse"/>
    <s v="Greenhouse"/>
    <n v="1.1299999999999999"/>
    <x v="175"/>
    <n v="3.6457964601769932"/>
  </r>
  <r>
    <x v="11"/>
    <s v="B2-I03-0094"/>
    <s v="Roiphet1B2-I03-0094"/>
    <n v="2"/>
    <s v="Roiphet12"/>
    <s v="Greenhouse"/>
    <s v="Greenhouse"/>
    <n v="0.72"/>
    <x v="176"/>
    <n v="-9.0115740740740108E-2"/>
  </r>
  <r>
    <x v="11"/>
    <s v="B2-G03-0079"/>
    <s v="Roiphet1B2-G03-0079"/>
    <n v="2"/>
    <s v="Roiphet12"/>
    <s v="Greenhouse"/>
    <s v="Greenhouse"/>
    <n v="1.1299999999999999"/>
    <x v="177"/>
    <n v="1.485870206489676"/>
  </r>
  <r>
    <x v="11"/>
    <s v="B2-I04-0097"/>
    <s v="Roiphet1B2-I04-0097"/>
    <n v="2"/>
    <s v="Roiphet12"/>
    <s v="Greenhouse"/>
    <s v="Greenhouse"/>
    <n v="0.72"/>
    <x v="178"/>
    <n v="1.1126388888888883"/>
  </r>
  <r>
    <x v="11"/>
    <s v="D1-I01-0090"/>
    <s v="Roiphet1D1-I01-0090"/>
    <n v="2"/>
    <s v="Roiphet12"/>
    <s v="Greenhouse"/>
    <s v="Greenhouse"/>
    <n v="0.72"/>
    <x v="179"/>
    <n v="4.0026620370370365"/>
  </r>
  <r>
    <x v="11"/>
    <s v="D6-G12-0078"/>
    <s v="Roiphet1D6-G12-0078"/>
    <n v="2"/>
    <s v="Roiphet12"/>
    <s v="Greenhouse"/>
    <s v="Greenhouse"/>
    <n v="1.1299999999999999"/>
    <x v="180"/>
    <n v="4.9557079646017712"/>
  </r>
  <r>
    <x v="11"/>
    <s v="D1-G01-0076"/>
    <s v="Roiphet1D1-G01-0076"/>
    <n v="2"/>
    <s v="Roiphet12"/>
    <s v="Greenhouse"/>
    <s v="Greenhouse"/>
    <n v="1.1299999999999999"/>
    <x v="181"/>
    <n v="8.9942477876106235"/>
  </r>
  <r>
    <x v="11"/>
    <s v="D6-G11-0075"/>
    <s v="Roiphet1D6-G11-0075"/>
    <n v="2"/>
    <s v="Roiphet12"/>
    <s v="Greenhouse"/>
    <s v="Greenhouse"/>
    <n v="1.1299999999999999"/>
    <x v="182"/>
    <n v="7.2939823008849594"/>
  </r>
  <r>
    <x v="11"/>
    <s v="D1-G02-0078"/>
    <s v="Roiphet1D1-G02-0078"/>
    <n v="2"/>
    <s v="Roiphet12"/>
    <s v="Greenhouse"/>
    <s v="Greenhouse"/>
    <n v="1.1299999999999999"/>
    <x v="183"/>
    <n v="10.744528023598823"/>
  </r>
  <r>
    <x v="11"/>
    <s v="D6-I11-0082"/>
    <s v="Roiphet1D6-I11-0082"/>
    <n v="2"/>
    <s v="Roiphet12"/>
    <s v="Greenhouse"/>
    <s v="Greenhouse"/>
    <n v="0.72"/>
    <x v="184"/>
    <n v="2.956180555555556"/>
  </r>
  <r>
    <x v="11"/>
    <s v="C1-G02-0074"/>
    <s v="Roiphet1C1-G02-0074"/>
    <n v="9"/>
    <s v="Roiphet19"/>
    <s v="Greenhouse"/>
    <s v="Greenhouse"/>
    <n v="1.1299999999999999"/>
    <x v="185"/>
    <n v="3.1369026548672574"/>
  </r>
  <r>
    <x v="11"/>
    <s v="C3-G05-0075"/>
    <s v="Roiphet1C3-G05-0075"/>
    <n v="9"/>
    <s v="Roiphet19"/>
    <s v="Greenhouse"/>
    <s v="Greenhouse"/>
    <n v="1.1299999999999999"/>
    <x v="186"/>
    <n v="-2.0162241887904386E-2"/>
  </r>
  <r>
    <x v="11"/>
    <s v="C3-G06-0079"/>
    <s v="Roiphet1C3-G06-0079"/>
    <n v="9"/>
    <s v="Roiphet19"/>
    <s v="Greenhouse"/>
    <s v="Greenhouse"/>
    <n v="1.1299999999999999"/>
    <x v="187"/>
    <n v="-0.61530973451327486"/>
  </r>
  <r>
    <x v="11"/>
    <s v="B3-I06-0095"/>
    <s v="Roiphet1B3-I06-0095"/>
    <n v="8"/>
    <s v="Roiphet18"/>
    <s v="Greenhouse"/>
    <s v="Greenhouse"/>
    <n v="0.72"/>
    <x v="188"/>
    <n v="-2.0474537037037033"/>
  </r>
  <r>
    <x v="11"/>
    <s v="B3-I05-0093"/>
    <s v="Roiphet1B3-I05-0093"/>
    <n v="8"/>
    <s v="Roiphet18"/>
    <s v="Greenhouse"/>
    <s v="Greenhouse"/>
    <n v="0.72"/>
    <x v="189"/>
    <n v="-1.8077546296296292"/>
  </r>
  <r>
    <x v="11"/>
    <s v="B3-G06-0082"/>
    <s v="Roiphet1B3-G06-0082"/>
    <n v="8"/>
    <s v="Roiphet18"/>
    <s v="Greenhouse"/>
    <s v="Greenhouse"/>
    <n v="1.1299999999999999"/>
    <x v="190"/>
    <n v="9.9601769911505933E-2"/>
  </r>
  <r>
    <x v="11"/>
    <s v="B6-I12-0087"/>
    <s v="Roiphet1B6-I12-0087"/>
    <n v="8"/>
    <s v="Roiphet18"/>
    <s v="Greenhouse"/>
    <s v="Greenhouse"/>
    <n v="0.72"/>
    <x v="191"/>
    <n v="-1.1488425925925931"/>
  </r>
  <r>
    <x v="11"/>
    <s v="B6-I11-0084"/>
    <s v="Roiphet1B6-I11-0084"/>
    <n v="8"/>
    <s v="Roiphet18"/>
    <s v="Greenhouse"/>
    <s v="Greenhouse"/>
    <n v="0.72"/>
    <x v="192"/>
    <n v="-2.2096296296296298"/>
  </r>
  <r>
    <x v="11"/>
    <s v="B6-G11-0083"/>
    <s v="Roiphet1B6-G11-0083"/>
    <n v="8"/>
    <s v="Roiphet18"/>
    <s v="Greenhouse"/>
    <s v="Greenhouse"/>
    <n v="1.1299999999999999"/>
    <x v="193"/>
    <n v="-0.91873156342182849"/>
  </r>
  <r>
    <x v="11"/>
    <s v="B6-G12-0088"/>
    <s v="Roiphet1B6-G12-0088"/>
    <n v="8"/>
    <s v="Roiphet18"/>
    <s v="Greenhouse"/>
    <s v="Greenhouse"/>
    <n v="1.1299999999999999"/>
    <x v="194"/>
    <n v="-1.651002949852507"/>
  </r>
  <r>
    <x v="11"/>
    <s v="B3-G05-0093"/>
    <s v="Roiphet1B3-G05-0093"/>
    <n v="8"/>
    <s v="Roiphet18"/>
    <s v="Greenhouse"/>
    <s v="Greenhouse"/>
    <n v="1.1299999999999999"/>
    <x v="195"/>
    <n v="-2.9829056047197633"/>
  </r>
  <r>
    <x v="11"/>
    <s v="B4-I08-0089"/>
    <s v="Roiphet1B4-I08-0089"/>
    <n v="7"/>
    <s v="Roiphet17"/>
    <s v="Greenhouse"/>
    <s v="Greenhouse"/>
    <n v="0.72"/>
    <x v="196"/>
    <n v="1.4611342592592595"/>
  </r>
  <r>
    <x v="11"/>
    <s v="B4-I07-0089"/>
    <s v="Roiphet1B4-I07-0089"/>
    <n v="7"/>
    <s v="Roiphet17"/>
    <s v="Greenhouse"/>
    <s v="Greenhouse"/>
    <n v="0.72"/>
    <x v="197"/>
    <n v="1.8203472222222228"/>
  </r>
  <r>
    <x v="11"/>
    <s v="B4-G08-0080"/>
    <s v="Roiphet1B4-G08-0080"/>
    <n v="7"/>
    <s v="Roiphet17"/>
    <s v="Greenhouse"/>
    <s v="Greenhouse"/>
    <n v="1.1299999999999999"/>
    <x v="198"/>
    <n v="4.485766961651918"/>
  </r>
  <r>
    <x v="11"/>
    <s v="B4-G07-0077"/>
    <s v="Roiphet1B4-G07-0077"/>
    <n v="7"/>
    <s v="Roiphet17"/>
    <s v="Greenhouse"/>
    <s v="Greenhouse"/>
    <n v="1.1299999999999999"/>
    <x v="199"/>
    <n v="2.7355014749262541"/>
  </r>
  <r>
    <x v="11"/>
    <s v="B5-I10-0091"/>
    <s v="Roiphet1B5-I10-0091"/>
    <n v="7"/>
    <s v="Roiphet17"/>
    <s v="Greenhouse"/>
    <s v="Greenhouse"/>
    <n v="0.72"/>
    <x v="200"/>
    <n v="-0.77078703703703733"/>
  </r>
  <r>
    <x v="11"/>
    <s v="B5-G09-0085"/>
    <s v="Roiphet1B5-G09-0085"/>
    <n v="7"/>
    <s v="Roiphet17"/>
    <s v="Greenhouse"/>
    <s v="Greenhouse"/>
    <n v="1.1299999999999999"/>
    <x v="201"/>
    <n v="2.0014749262536879"/>
  </r>
  <r>
    <x v="11"/>
    <s v="B5-I09-0094"/>
    <s v="Roiphet1B5-I09-0094"/>
    <n v="7"/>
    <s v="Roiphet17"/>
    <s v="Greenhouse"/>
    <s v="Greenhouse"/>
    <n v="0.72"/>
    <x v="202"/>
    <n v="-0.21057870370370252"/>
  </r>
  <r>
    <x v="11"/>
    <s v="B5-G10-0084"/>
    <s v="Roiphet1B5-G10-0084"/>
    <n v="7"/>
    <s v="Roiphet17"/>
    <s v="Greenhouse"/>
    <s v="Greenhouse"/>
    <n v="1.1299999999999999"/>
    <x v="203"/>
    <n v="-2.5380973451327433"/>
  </r>
  <r>
    <x v="11"/>
    <s v="C6-I12-0062"/>
    <s v="Roiphet1C6-I12-0062"/>
    <n v="7"/>
    <s v="Roiphet17"/>
    <s v="Greenhouse"/>
    <s v="Greenhouse"/>
    <n v="0.72"/>
    <x v="204"/>
    <n v="2.5872453703703702"/>
  </r>
  <r>
    <x v="11"/>
    <s v="C6-I11-0065"/>
    <s v="Roiphet1C6-I11-0065"/>
    <n v="7"/>
    <s v="Roiphet17"/>
    <s v="Greenhouse"/>
    <s v="Greenhouse"/>
    <n v="0.72"/>
    <x v="205"/>
    <n v="3.5403009259259273"/>
  </r>
  <r>
    <x v="11"/>
    <s v="C6-G11-0059"/>
    <s v="Roiphet1C6-G11-0059"/>
    <n v="7"/>
    <s v="Roiphet17"/>
    <s v="Greenhouse"/>
    <s v="Greenhouse"/>
    <n v="1.1299999999999999"/>
    <x v="206"/>
    <n v="6.4182005899705041"/>
  </r>
  <r>
    <x v="11"/>
    <s v="A3-I06-0089"/>
    <s v="Roiphet1A3-I06-0089"/>
    <n v="6"/>
    <s v="Roiphet16"/>
    <s v="Greenhouse"/>
    <s v="Greenhouse"/>
    <n v="0.72"/>
    <x v="207"/>
    <n v="1.4970138888888895"/>
  </r>
  <r>
    <x v="11"/>
    <s v="A5-G09-0083"/>
    <s v="Roiphet1A5-G09-0083"/>
    <n v="6"/>
    <s v="Roiphet16"/>
    <s v="Greenhouse"/>
    <s v="Greenhouse"/>
    <n v="1.1299999999999999"/>
    <x v="208"/>
    <n v="3.4825958702064908"/>
  </r>
  <r>
    <x v="11"/>
    <s v="A5-I09-0098"/>
    <s v="Roiphet1A5-I09-0098"/>
    <n v="6"/>
    <s v="Roiphet16"/>
    <s v="Greenhouse"/>
    <s v="Greenhouse"/>
    <n v="0.72"/>
    <x v="209"/>
    <n v="2.4493518518518518"/>
  </r>
  <r>
    <x v="11"/>
    <s v="A3-G06-0081"/>
    <s v="Roiphet1A3-G06-0081"/>
    <n v="6"/>
    <s v="Roiphet16"/>
    <s v="Greenhouse"/>
    <s v="Greenhouse"/>
    <n v="1.1299999999999999"/>
    <x v="210"/>
    <n v="2.4705604719764018"/>
  </r>
  <r>
    <x v="11"/>
    <s v="A4-G08-0069"/>
    <s v="Roiphet1A4-G08-0069"/>
    <n v="6"/>
    <s v="Roiphet16"/>
    <s v="Greenhouse"/>
    <s v="Greenhouse"/>
    <n v="1.1299999999999999"/>
    <x v="211"/>
    <n v="1.7754867256637175"/>
  </r>
  <r>
    <x v="11"/>
    <s v="C3-G05-0073"/>
    <s v="Roiphet1C3-G05-0073"/>
    <n v="3"/>
    <s v="Roiphet13"/>
    <s v="Greenhouse"/>
    <s v="Greenhouse"/>
    <n v="1.1299999999999999"/>
    <x v="212"/>
    <n v="3.1186135693215356"/>
  </r>
  <r>
    <x v="11"/>
    <s v="C3-G06-0077"/>
    <s v="Roiphet1C3-G06-0077"/>
    <n v="3"/>
    <s v="Roiphet13"/>
    <s v="Greenhouse"/>
    <s v="Greenhouse"/>
    <n v="1.1299999999999999"/>
    <x v="213"/>
    <n v="4.9184218289085546"/>
  </r>
  <r>
    <x v="11"/>
    <s v="C2-I03-0058"/>
    <s v="Roiphet1C2-I03-0058"/>
    <n v="3"/>
    <s v="Roiphet13"/>
    <s v="Greenhouse"/>
    <s v="Greenhouse"/>
    <n v="0.72"/>
    <x v="214"/>
    <n v="8.8360879629629654"/>
  </r>
  <r>
    <x v="11"/>
    <s v="C6-I12-0061"/>
    <s v="Roiphet1C6-I12-0061"/>
    <n v="3"/>
    <s v="Roiphet13"/>
    <s v="Greenhouse"/>
    <s v="Greenhouse"/>
    <n v="0.72"/>
    <x v="215"/>
    <n v="4.2608796296296303"/>
  </r>
  <r>
    <x v="11"/>
    <s v="C2-I04-0066"/>
    <s v="Roiphet1C2-I04-0066"/>
    <n v="3"/>
    <s v="Roiphet13"/>
    <s v="Greenhouse"/>
    <s v="Greenhouse"/>
    <n v="0.72"/>
    <x v="216"/>
    <n v="9.8492129629629623"/>
  </r>
  <r>
    <x v="11"/>
    <s v="C6-G12-0059"/>
    <s v="Roiphet1C6-G12-0059"/>
    <n v="3"/>
    <s v="Roiphet13"/>
    <s v="Greenhouse"/>
    <s v="Greenhouse"/>
    <n v="1.1299999999999999"/>
    <x v="217"/>
    <n v="9.9279646017699132"/>
  </r>
  <r>
    <x v="11"/>
    <s v="B4-G07-0076"/>
    <s v="Roiphet1B4-G07-0076"/>
    <n v="3"/>
    <s v="Roiphet13"/>
    <s v="Greenhouse"/>
    <s v="Greenhouse"/>
    <n v="1.1299999999999999"/>
    <x v="218"/>
    <n v="4.8616224188790582"/>
  </r>
  <r>
    <x v="11"/>
    <s v="B4-I08-0088"/>
    <s v="Roiphet1B4-I08-0088"/>
    <n v="3"/>
    <s v="Roiphet13"/>
    <s v="Greenhouse"/>
    <s v="Greenhouse"/>
    <n v="0.72"/>
    <x v="219"/>
    <n v="3.0778240740740754"/>
  </r>
  <r>
    <x v="11"/>
    <s v="B4-I07-0088"/>
    <s v="Roiphet1B4-I07-0088"/>
    <n v="3"/>
    <s v="Roiphet13"/>
    <s v="Greenhouse"/>
    <s v="Greenhouse"/>
    <n v="0.72"/>
    <x v="220"/>
    <n v="4.1974305555555569"/>
  </r>
  <r>
    <x v="11"/>
    <s v="A3-I05-0084"/>
    <s v="Roiphet1A3-I05-0084"/>
    <n v="6"/>
    <s v="Roiphet16"/>
    <s v="Greenhouse"/>
    <s v="Greenhouse"/>
    <n v="0.72"/>
    <x v="221"/>
    <n v="2.3850925925925934"/>
  </r>
  <r>
    <x v="11"/>
    <s v="A3-G05-0076"/>
    <s v="Roiphet1A3-G05-0076"/>
    <n v="6"/>
    <s v="Roiphet16"/>
    <s v="Greenhouse"/>
    <s v="Greenhouse"/>
    <n v="1.1299999999999999"/>
    <x v="222"/>
    <n v="3.7226401179941013"/>
  </r>
  <r>
    <x v="11"/>
    <s v="A1-I01-0088"/>
    <s v="Roiphet1A1-I01-0088"/>
    <n v="6"/>
    <s v="Roiphet16"/>
    <s v="Greenhouse"/>
    <s v="Greenhouse"/>
    <n v="0.72"/>
    <x v="223"/>
    <n v="4.1700231481481476"/>
  </r>
  <r>
    <x v="11"/>
    <s v="A1-G01-0063"/>
    <s v="Roiphet1A1-G01-0063"/>
    <n v="6"/>
    <s v="Roiphet16"/>
    <s v="Greenhouse"/>
    <s v="Greenhouse"/>
    <n v="1.1299999999999999"/>
    <x v="224"/>
    <n v="3.161342182890857"/>
  </r>
  <r>
    <x v="11"/>
    <s v="A4-I08-0099"/>
    <s v="Roiphet1A4-I08-0099"/>
    <n v="6"/>
    <s v="Roiphet16"/>
    <s v="Greenhouse"/>
    <s v="Greenhouse"/>
    <n v="0.72"/>
    <x v="225"/>
    <n v="1.279097222222223"/>
  </r>
  <r>
    <x v="11"/>
    <s v="D6-I12-0085"/>
    <s v="Roiphet1D6-I12-0085"/>
    <n v="6"/>
    <s v="Roiphet16"/>
    <s v="Greenhouse"/>
    <s v="Greenhouse"/>
    <n v="0.72"/>
    <x v="226"/>
    <n v="-0.14094907407407339"/>
  </r>
  <r>
    <x v="11"/>
    <s v="D6-I11-0083"/>
    <s v="Roiphet1D6-I11-0083"/>
    <n v="6"/>
    <s v="Roiphet16"/>
    <s v="Greenhouse"/>
    <s v="Greenhouse"/>
    <n v="0.72"/>
    <x v="227"/>
    <n v="-0.7312500000000004"/>
  </r>
  <r>
    <x v="11"/>
    <s v="D6-G12-0079"/>
    <s v="Roiphet1D6-G12-0079"/>
    <n v="6"/>
    <s v="Roiphet16"/>
    <s v="Greenhouse"/>
    <s v="Greenhouse"/>
    <n v="1.1299999999999999"/>
    <x v="228"/>
    <n v="3.01132743362832"/>
  </r>
  <r>
    <x v="11"/>
    <s v="D6-G11-0076"/>
    <s v="Roiphet1D6-G11-0076"/>
    <n v="6"/>
    <s v="Roiphet16"/>
    <s v="Greenhouse"/>
    <s v="Greenhouse"/>
    <n v="1.1299999999999999"/>
    <x v="229"/>
    <n v="2.763805309734515"/>
  </r>
  <r>
    <x v="11"/>
    <s v="D1-I01-0091"/>
    <s v="Roiphet1D1-I01-0091"/>
    <n v="6"/>
    <s v="Roiphet16"/>
    <s v="Greenhouse"/>
    <s v="Greenhouse"/>
    <n v="0.72"/>
    <x v="230"/>
    <n v="3.2538888888888895"/>
  </r>
  <r>
    <x v="11"/>
    <s v="D1-I02-0089"/>
    <s v="Roiphet1D1-I02-0089"/>
    <n v="6"/>
    <s v="Roiphet16"/>
    <s v="Greenhouse"/>
    <s v="Greenhouse"/>
    <n v="0.72"/>
    <x v="231"/>
    <n v="4.4593981481481499"/>
  </r>
  <r>
    <x v="11"/>
    <s v="D1-G02-0079"/>
    <s v="Roiphet1D1-G02-0079"/>
    <n v="6"/>
    <s v="Roiphet16"/>
    <s v="Greenhouse"/>
    <s v="Greenhouse"/>
    <n v="1.1299999999999999"/>
    <x v="232"/>
    <n v="5.0209439528023614"/>
  </r>
  <r>
    <x v="11"/>
    <s v="D1-G01-0077"/>
    <s v="Roiphet1D1-G01-0077"/>
    <n v="6"/>
    <s v="Roiphet16"/>
    <s v="Greenhouse"/>
    <s v="Greenhouse"/>
    <n v="1.1299999999999999"/>
    <x v="233"/>
    <n v="3.6726401179941024"/>
  </r>
  <r>
    <x v="11"/>
    <s v="B6-G11-0082"/>
    <s v="Roiphet1B6-G11-0082"/>
    <n v="6"/>
    <s v="Roiphet16"/>
    <s v="Greenhouse"/>
    <s v="Greenhouse"/>
    <n v="1.1299999999999999"/>
    <x v="234"/>
    <n v="4.5884070796460188"/>
  </r>
  <r>
    <x v="11"/>
    <s v="B6-G12-0087"/>
    <s v="Roiphet1B6-G12-0087"/>
    <n v="6"/>
    <s v="Roiphet16"/>
    <s v="Greenhouse"/>
    <s v="Greenhouse"/>
    <n v="1.1299999999999999"/>
    <x v="235"/>
    <n v="5.9172271386430682"/>
  </r>
  <r>
    <x v="11"/>
    <s v="B1-I01-0095"/>
    <s v="Roiphet1B1-I01-0095"/>
    <n v="6"/>
    <s v="Roiphet16"/>
    <s v="Greenhouse"/>
    <s v="Greenhouse"/>
    <n v="0.72"/>
    <x v="236"/>
    <n v="4.4426851851851863"/>
  </r>
  <r>
    <x v="11"/>
    <s v="B3-I06-0094"/>
    <s v="Roiphet1B3-I06-0094"/>
    <n v="6"/>
    <s v="Roiphet16"/>
    <s v="Greenhouse"/>
    <s v="Greenhouse"/>
    <n v="0.72"/>
    <x v="237"/>
    <n v="5.0008564814814829"/>
  </r>
  <r>
    <x v="11"/>
    <s v="B3-G06-0081"/>
    <s v="Roiphet1B3-G06-0081"/>
    <n v="6"/>
    <s v="Roiphet16"/>
    <s v="Greenhouse"/>
    <s v="Greenhouse"/>
    <n v="1.1299999999999999"/>
    <x v="238"/>
    <n v="8.2595427728613569"/>
  </r>
  <r>
    <x v="11"/>
    <s v="B6-I12-0086"/>
    <s v="Roiphet1B6-I12-0086"/>
    <n v="6"/>
    <s v="Roiphet16"/>
    <s v="Greenhouse"/>
    <s v="Greenhouse"/>
    <n v="0.72"/>
    <x v="239"/>
    <n v="3.7144212962962975"/>
  </r>
  <r>
    <x v="11"/>
    <s v="B6-I11-0083"/>
    <s v="Roiphet1B6-I11-0083"/>
    <n v="6"/>
    <s v="Roiphet16"/>
    <s v="Greenhouse"/>
    <s v="Greenhouse"/>
    <n v="0.72"/>
    <x v="240"/>
    <n v="3.5488425925925933"/>
  </r>
  <r>
    <x v="11"/>
    <s v="B1-I02-0095"/>
    <s v="Roiphet1B1-I02-0095"/>
    <n v="6"/>
    <s v="Roiphet16"/>
    <s v="Greenhouse"/>
    <s v="Greenhouse"/>
    <n v="0.72"/>
    <x v="241"/>
    <n v="6.4126620370370393"/>
  </r>
  <r>
    <x v="11"/>
    <s v="B2-G04-0092"/>
    <s v="Roiphet1B2-G04-0092"/>
    <n v="6"/>
    <s v="Roiphet16"/>
    <s v="Greenhouse"/>
    <s v="Greenhouse"/>
    <n v="1.1299999999999999"/>
    <x v="242"/>
    <n v="2.099070796460178"/>
  </r>
  <r>
    <x v="11"/>
    <s v="B2-I04-0098"/>
    <s v="Roiphet1B2-I04-0098"/>
    <n v="6"/>
    <s v="Roiphet16"/>
    <s v="Greenhouse"/>
    <s v="Greenhouse"/>
    <n v="0.72"/>
    <x v="243"/>
    <n v="1.2607175925925937"/>
  </r>
  <r>
    <x v="11"/>
    <s v="B2-I03-0095"/>
    <s v="Roiphet1B2-I03-0095"/>
    <n v="6"/>
    <s v="Roiphet16"/>
    <s v="Greenhouse"/>
    <s v="Greenhouse"/>
    <n v="0.72"/>
    <x v="244"/>
    <n v="0.93379629629629579"/>
  </r>
  <r>
    <x v="11"/>
    <s v="B1-G01-0084"/>
    <s v="Roiphet1B1-G01-0084"/>
    <n v="6"/>
    <s v="Roiphet16"/>
    <s v="Greenhouse"/>
    <s v="Greenhouse"/>
    <n v="1.1299999999999999"/>
    <x v="245"/>
    <n v="5.0300884955752219"/>
  </r>
  <r>
    <x v="11"/>
    <s v="B1-G02-0088"/>
    <s v="Roiphet1B1-G02-0088"/>
    <n v="6"/>
    <s v="Roiphet16"/>
    <s v="Greenhouse"/>
    <s v="Greenhouse"/>
    <n v="1.1299999999999999"/>
    <x v="246"/>
    <n v="6.492197640117995"/>
  </r>
  <r>
    <x v="11"/>
    <s v="B2-G03-0080"/>
    <s v="Roiphet1B2-G03-0080"/>
    <n v="6"/>
    <s v="Roiphet16"/>
    <s v="Greenhouse"/>
    <s v="Greenhouse"/>
    <n v="1.1299999999999999"/>
    <x v="247"/>
    <n v="1.8853392330383494"/>
  </r>
  <r>
    <x v="11"/>
    <s v="C4-I08-0064"/>
    <s v="Roiphet1C4-I08-0064"/>
    <n v="6"/>
    <s v="Roiphet16"/>
    <s v="Greenhouse"/>
    <s v="Greenhouse"/>
    <n v="0.72"/>
    <x v="248"/>
    <n v="0.48414351851851833"/>
  </r>
  <r>
    <x v="11"/>
    <s v="C4-I07-0060"/>
    <s v="Roiphet1C4-I07-0060"/>
    <n v="6"/>
    <s v="Roiphet16"/>
    <s v="Greenhouse"/>
    <s v="Greenhouse"/>
    <n v="0.72"/>
    <x v="249"/>
    <n v="0.6323379629629633"/>
  </r>
  <r>
    <x v="11"/>
    <s v="C4-G08-0061"/>
    <s v="Roiphet1C4-G08-0061"/>
    <n v="6"/>
    <s v="Roiphet16"/>
    <s v="Greenhouse"/>
    <s v="Greenhouse"/>
    <n v="1.1299999999999999"/>
    <x v="250"/>
    <n v="3.0448672566371693"/>
  </r>
  <r>
    <x v="11"/>
    <s v="C4-G07-0057"/>
    <s v="Roiphet1C4-G07-0057"/>
    <n v="6"/>
    <s v="Roiphet16"/>
    <s v="Greenhouse"/>
    <s v="Greenhouse"/>
    <n v="1.1299999999999999"/>
    <x v="251"/>
    <n v="2.5026548672566382"/>
  </r>
  <r>
    <x v="11"/>
    <s v="C6-G12-0060"/>
    <s v="Roiphet1C6-G12-0060"/>
    <n v="6"/>
    <s v="Roiphet16"/>
    <s v="Greenhouse"/>
    <s v="Greenhouse"/>
    <n v="1.1299999999999999"/>
    <x v="252"/>
    <n v="5.2107079646017702"/>
  </r>
  <r>
    <x v="11"/>
    <s v="C2-I04-0067"/>
    <s v="Roiphet1C2-I04-0067"/>
    <n v="6"/>
    <s v="Roiphet16"/>
    <s v="Greenhouse"/>
    <s v="Greenhouse"/>
    <n v="0.72"/>
    <x v="253"/>
    <n v="-0.48104166666666615"/>
  </r>
  <r>
    <x v="11"/>
    <s v="C2-I03-0059"/>
    <s v="Roiphet1C2-I03-0059"/>
    <n v="6"/>
    <s v="Roiphet16"/>
    <s v="Greenhouse"/>
    <s v="Greenhouse"/>
    <n v="0.72"/>
    <x v="254"/>
    <n v="-1.3821990740740739"/>
  </r>
  <r>
    <x v="11"/>
    <s v="C2-G03-0066"/>
    <s v="Roiphet1C2-G03-0066"/>
    <n v="6"/>
    <s v="Roiphet16"/>
    <s v="Greenhouse"/>
    <s v="Greenhouse"/>
    <n v="1.1299999999999999"/>
    <x v="255"/>
    <n v="-1.1721091445427723"/>
  </r>
  <r>
    <x v="11"/>
    <s v="C2-G04-0064"/>
    <s v="Roiphet1C2-G04-0064"/>
    <n v="6"/>
    <s v="Roiphet16"/>
    <s v="Greenhouse"/>
    <s v="Greenhouse"/>
    <n v="1.1299999999999999"/>
    <x v="256"/>
    <n v="-1.3747640117994098"/>
  </r>
  <r>
    <x v="11"/>
    <s v="A2-G03-0082"/>
    <s v="Roiphet1A2-G03-0082"/>
    <n v="5"/>
    <s v="Roiphet15"/>
    <s v="Greenhouse"/>
    <s v="Greenhouse"/>
    <n v="1.1299999999999999"/>
    <x v="257"/>
    <n v="4.7141740412979374"/>
  </r>
  <r>
    <x v="11"/>
    <s v="A6-G11-0091"/>
    <s v="Roiphet1A6-G11-0091"/>
    <n v="5"/>
    <s v="Roiphet15"/>
    <s v="Greenhouse"/>
    <s v="Greenhouse"/>
    <n v="1.1299999999999999"/>
    <x v="258"/>
    <n v="2.1453097345132761"/>
  </r>
  <r>
    <x v="11"/>
    <s v="A5-G10-0068"/>
    <s v="Roiphet1A5-G10-0068"/>
    <n v="5"/>
    <s v="Roiphet15"/>
    <s v="Greenhouse"/>
    <s v="Greenhouse"/>
    <n v="1.1299999999999999"/>
    <x v="259"/>
    <n v="3.4140117994100301"/>
  </r>
  <r>
    <x v="11"/>
    <s v="A5-I10-0094"/>
    <s v="Roiphet1A5-I10-0094"/>
    <n v="5"/>
    <s v="Roiphet15"/>
    <s v="Greenhouse"/>
    <s v="Greenhouse"/>
    <n v="0.72"/>
    <x v="260"/>
    <n v="1.3519675925925942"/>
  </r>
  <r>
    <x v="11"/>
    <s v="A6-I11-0101"/>
    <s v="Roiphet1A6-I11-0101"/>
    <n v="5"/>
    <s v="Roiphet15"/>
    <s v="Greenhouse"/>
    <s v="Greenhouse"/>
    <n v="0.72"/>
    <x v="261"/>
    <n v="1.0355092592592596"/>
  </r>
  <r>
    <x v="11"/>
    <s v="A1-I02-0094"/>
    <s v="Roiphet1A1-I02-0094"/>
    <n v="5"/>
    <s v="Roiphet15"/>
    <s v="Greenhouse"/>
    <s v="Greenhouse"/>
    <n v="0.72"/>
    <x v="262"/>
    <n v="4.9576388888888889"/>
  </r>
  <r>
    <x v="11"/>
    <s v="A1-G02-0074"/>
    <s v="Roiphet1A1-G02-0074"/>
    <n v="5"/>
    <s v="Roiphet15"/>
    <s v="Greenhouse"/>
    <s v="Greenhouse"/>
    <n v="1.1299999999999999"/>
    <x v="263"/>
    <n v="6.5328908554572269"/>
  </r>
  <r>
    <x v="11"/>
    <s v="A4-G07-0071"/>
    <s v="Roiphet1A4-G07-0071"/>
    <n v="5"/>
    <s v="Roiphet15"/>
    <s v="Greenhouse"/>
    <s v="Greenhouse"/>
    <n v="1.1299999999999999"/>
    <x v="264"/>
    <n v="8.0573303834808279"/>
  </r>
  <r>
    <x v="11"/>
    <s v="C3-I05-0065"/>
    <s v="Roiphet1C3-I05-0065"/>
    <n v="4"/>
    <s v="Roiphet14"/>
    <s v="Greenhouse"/>
    <s v="Greenhouse"/>
    <n v="0.72"/>
    <x v="265"/>
    <n v="1.9629166666666675"/>
  </r>
  <r>
    <x v="11"/>
    <s v="C3-I06-0062"/>
    <s v="Roiphet1C3-I06-0062"/>
    <n v="4"/>
    <s v="Roiphet14"/>
    <s v="Greenhouse"/>
    <s v="Greenhouse"/>
    <n v="0.72"/>
    <x v="266"/>
    <n v="2.9609259259259257"/>
  </r>
  <r>
    <x v="11"/>
    <s v="C2-G04-0063"/>
    <s v="Roiphet1C2-G04-0063"/>
    <n v="4"/>
    <s v="Roiphet14"/>
    <s v="Greenhouse"/>
    <s v="Greenhouse"/>
    <n v="1.1299999999999999"/>
    <x v="267"/>
    <n v="10.806179941002954"/>
  </r>
  <r>
    <x v="11"/>
    <s v="C2-G03-0065"/>
    <s v="Roiphet1C2-G03-0065"/>
    <n v="4"/>
    <s v="Roiphet14"/>
    <s v="Greenhouse"/>
    <s v="Greenhouse"/>
    <n v="1.1299999999999999"/>
    <x v="268"/>
    <n v="9.9165634218289114"/>
  </r>
  <r>
    <x v="11"/>
    <s v="D3-I06-0080"/>
    <s v="Roiphet1D3-I06-0080"/>
    <n v="4"/>
    <s v="Roiphet14"/>
    <s v="Greenhouse"/>
    <s v="Greenhouse"/>
    <n v="0.72"/>
    <x v="269"/>
    <n v="4.0709722222222222"/>
  </r>
  <r>
    <x v="11"/>
    <s v="D2-I03-0085"/>
    <s v="Roiphet1D2-I03-0085"/>
    <n v="4"/>
    <s v="Roiphet14"/>
    <s v="Greenhouse"/>
    <s v="Greenhouse"/>
    <n v="0.72"/>
    <x v="270"/>
    <n v="3.4232870370370381"/>
  </r>
  <r>
    <x v="11"/>
    <s v="D2-G03-0080"/>
    <s v="Roiphet1D2-G03-0080"/>
    <n v="4"/>
    <s v="Roiphet14"/>
    <s v="Greenhouse"/>
    <s v="Greenhouse"/>
    <n v="1.1299999999999999"/>
    <x v="271"/>
    <n v="7.4821828908554595"/>
  </r>
  <r>
    <x v="11"/>
    <s v="D3-I05-0094"/>
    <s v="Roiphet1D3-I05-0094"/>
    <n v="4"/>
    <s v="Roiphet14"/>
    <s v="Greenhouse"/>
    <s v="Greenhouse"/>
    <n v="0.72"/>
    <x v="272"/>
    <n v="4.0116203703703723"/>
  </r>
  <r>
    <x v="11"/>
    <s v="D3-G05-0080"/>
    <s v="Roiphet1D3-G05-0080"/>
    <n v="4"/>
    <s v="Roiphet14"/>
    <s v="Greenhouse"/>
    <s v="Greenhouse"/>
    <n v="1.1299999999999999"/>
    <x v="273"/>
    <n v="6.7282448377581119"/>
  </r>
  <r>
    <x v="11"/>
    <s v="D3-G06-0083"/>
    <s v="Roiphet1D3-G06-0083"/>
    <n v="4"/>
    <s v="Roiphet14"/>
    <s v="Greenhouse"/>
    <s v="Greenhouse"/>
    <n v="1.1299999999999999"/>
    <x v="274"/>
    <n v="9.411091445427731"/>
  </r>
  <r>
    <x v="11"/>
    <s v="A2-I03-0094"/>
    <s v="Roiphet1A2-I03-0094"/>
    <n v="4"/>
    <s v="Roiphet14"/>
    <s v="Greenhouse"/>
    <s v="Greenhouse"/>
    <n v="0.72"/>
    <x v="275"/>
    <n v="4.3620370370370365"/>
  </r>
  <r>
    <x v="11"/>
    <s v="A4-I07-0094"/>
    <s v="Roiphet1A4-I07-0094"/>
    <n v="5"/>
    <s v="Roiphet15"/>
    <s v="Greenhouse"/>
    <s v="Greenhouse"/>
    <n v="0.72"/>
    <x v="276"/>
    <n v="5.1823842592592584"/>
  </r>
  <r>
    <x v="11"/>
    <s v="A2-I04-0099"/>
    <s v="Roiphet1A2-I04-0099"/>
    <n v="5"/>
    <s v="Roiphet15"/>
    <s v="Greenhouse"/>
    <s v="Greenhouse"/>
    <n v="0.72"/>
    <x v="277"/>
    <n v="3.5835416666666671"/>
  </r>
  <r>
    <x v="11"/>
    <s v="A2-G04-0081"/>
    <s v="Roiphet1A2-G04-0081"/>
    <n v="5"/>
    <s v="Roiphet15"/>
    <s v="Greenhouse"/>
    <s v="Greenhouse"/>
    <n v="1.1299999999999999"/>
    <x v="278"/>
    <n v="5.8061209439528039"/>
  </r>
  <r>
    <x v="11"/>
    <s v="D4-I08-0071"/>
    <s v="Roiphet1D4-I08-0071"/>
    <n v="5"/>
    <s v="Roiphet15"/>
    <s v="Greenhouse"/>
    <s v="Greenhouse"/>
    <n v="0.72"/>
    <x v="279"/>
    <n v="2.679120370370371"/>
  </r>
  <r>
    <x v="11"/>
    <s v="D5-G10-0069"/>
    <s v="Roiphet1D5-G10-0069"/>
    <n v="5"/>
    <s v="Roiphet15"/>
    <s v="Greenhouse"/>
    <s v="Greenhouse"/>
    <n v="1.1299999999999999"/>
    <x v="280"/>
    <n v="9.4256047197640136"/>
  </r>
  <r>
    <x v="11"/>
    <s v="D4-G08-0059"/>
    <s v="Roiphet1D4-G08-0059"/>
    <n v="5"/>
    <s v="Roiphet15"/>
    <s v="Greenhouse"/>
    <s v="Greenhouse"/>
    <n v="1.1299999999999999"/>
    <x v="281"/>
    <n v="7.5790117994100292"/>
  </r>
  <r>
    <x v="11"/>
    <s v="D2-I04-0091"/>
    <s v="Roiphet1D2-I04-0091"/>
    <n v="5"/>
    <s v="Roiphet15"/>
    <s v="Greenhouse"/>
    <s v="Greenhouse"/>
    <n v="0.72"/>
    <x v="282"/>
    <n v="3.541018518518519"/>
  </r>
  <r>
    <x v="11"/>
    <s v="D5-G09-0068"/>
    <s v="Roiphet1D5-G09-0068"/>
    <n v="5"/>
    <s v="Roiphet15"/>
    <s v="Greenhouse"/>
    <s v="Greenhouse"/>
    <n v="1.1299999999999999"/>
    <x v="283"/>
    <n v="11.109498525073747"/>
  </r>
  <r>
    <x v="11"/>
    <s v="D5-I09-0082"/>
    <s v="Roiphet1D5-I09-0082"/>
    <n v="5"/>
    <s v="Roiphet15"/>
    <s v="Greenhouse"/>
    <s v="Greenhouse"/>
    <n v="0.72"/>
    <x v="284"/>
    <n v="4.7959490740740751"/>
  </r>
  <r>
    <x v="11"/>
    <s v="D2-G04-0079"/>
    <s v="Roiphet1D2-G04-0079"/>
    <n v="5"/>
    <s v="Roiphet15"/>
    <s v="Greenhouse"/>
    <s v="Greenhouse"/>
    <n v="1.1299999999999999"/>
    <x v="285"/>
    <n v="5.0913569321533938"/>
  </r>
  <r>
    <x v="11"/>
    <s v="D5-I10-0074"/>
    <s v="Roiphet1D5-I10-0074"/>
    <n v="5"/>
    <s v="Roiphet15"/>
    <s v="Greenhouse"/>
    <s v="Greenhouse"/>
    <n v="0.72"/>
    <x v="286"/>
    <n v="8.6650231481481477"/>
  </r>
  <r>
    <x v="11"/>
    <s v="D4-I07-0076"/>
    <s v="Roiphet1D4-I07-0076"/>
    <n v="5"/>
    <s v="Roiphet15"/>
    <s v="Greenhouse"/>
    <s v="Greenhouse"/>
    <n v="0.72"/>
    <x v="287"/>
    <n v="4.8930092592592596"/>
  </r>
  <r>
    <x v="11"/>
    <s v="D4-G07-0062"/>
    <s v="Roiphet1D4-G07-0062"/>
    <n v="5"/>
    <s v="Roiphet15"/>
    <s v="Greenhouse"/>
    <s v="Greenhouse"/>
    <n v="1.1299999999999999"/>
    <x v="288"/>
    <n v="5.5859439528023627"/>
  </r>
  <r>
    <x v="11"/>
    <s v="B5-I10-0090"/>
    <s v="Roiphet1B5-I10-0090"/>
    <n v="5"/>
    <s v="Roiphet15"/>
    <s v="Greenhouse"/>
    <s v="Greenhouse"/>
    <n v="0.72"/>
    <x v="289"/>
    <n v="4.6498842592592595"/>
  </r>
  <r>
    <x v="11"/>
    <s v="B5-I09-0093"/>
    <s v="Roiphet1B5-I09-0093"/>
    <n v="5"/>
    <s v="Roiphet15"/>
    <s v="Greenhouse"/>
    <s v="Greenhouse"/>
    <n v="0.72"/>
    <x v="290"/>
    <n v="4.9284722222222239"/>
  </r>
  <r>
    <x v="11"/>
    <s v="B3-G05-0092"/>
    <s v="Roiphet1B3-G05-0092"/>
    <n v="5"/>
    <s v="Roiphet15"/>
    <s v="Greenhouse"/>
    <s v="Greenhouse"/>
    <n v="1.1299999999999999"/>
    <x v="291"/>
    <n v="6.2770353982300886"/>
  </r>
  <r>
    <x v="11"/>
    <s v="B3-I05-0092"/>
    <s v="Roiphet1B3-I05-0092"/>
    <n v="5"/>
    <s v="Roiphet15"/>
    <s v="Greenhouse"/>
    <s v="Greenhouse"/>
    <n v="0.72"/>
    <x v="292"/>
    <n v="3.6860185185185199"/>
  </r>
  <r>
    <x v="11"/>
    <s v="B5-G10-0083"/>
    <s v="Roiphet1B5-G10-0083"/>
    <n v="5"/>
    <s v="Roiphet15"/>
    <s v="Greenhouse"/>
    <s v="Greenhouse"/>
    <n v="1.1299999999999999"/>
    <x v="293"/>
    <n v="6.1025368731563434"/>
  </r>
  <r>
    <x v="11"/>
    <s v="B5-G09-0084"/>
    <s v="Roiphet1B5-G09-0084"/>
    <n v="5"/>
    <s v="Roiphet15"/>
    <s v="Greenhouse"/>
    <s v="Greenhouse"/>
    <n v="1.1299999999999999"/>
    <x v="294"/>
    <n v="9.2176991150442511"/>
  </r>
  <r>
    <x v="11"/>
    <s v="C1-G01-0072"/>
    <s v="Roiphet1C1-G01-0072"/>
    <n v="5"/>
    <s v="Roiphet15"/>
    <s v="Greenhouse"/>
    <s v="Greenhouse"/>
    <n v="1.1299999999999999"/>
    <x v="295"/>
    <n v="3.9829351032448397"/>
  </r>
  <r>
    <x v="11"/>
    <s v="C1-I01-0079"/>
    <s v="Roiphet1C1-I01-0079"/>
    <n v="5"/>
    <s v="Roiphet15"/>
    <s v="Greenhouse"/>
    <s v="Greenhouse"/>
    <n v="0.72"/>
    <x v="296"/>
    <n v="4.3433564814814831"/>
  </r>
  <r>
    <x v="11"/>
    <s v="C1-I02-0071"/>
    <s v="Roiphet1C1-I02-0071"/>
    <n v="5"/>
    <s v="Roiphet15"/>
    <s v="Greenhouse"/>
    <s v="Greenhouse"/>
    <n v="0.72"/>
    <x v="297"/>
    <n v="4.1304629629629632"/>
  </r>
  <r>
    <x v="11"/>
    <s v="C1-G02-0073"/>
    <s v="Roiphet1C1-G02-0073"/>
    <n v="5"/>
    <s v="Roiphet15"/>
    <s v="Greenhouse"/>
    <s v="Greenhouse"/>
    <n v="1.1299999999999999"/>
    <x v="298"/>
    <n v="5.388156342182894"/>
  </r>
  <r>
    <x v="11"/>
    <s v="C5-G09-0057"/>
    <s v="Roiphet1C5-G09-0057"/>
    <n v="5"/>
    <s v="Roiphet15"/>
    <s v="Greenhouse"/>
    <s v="Greenhouse"/>
    <n v="1.1299999999999999"/>
    <x v="299"/>
    <n v="7.0400737463126868"/>
  </r>
  <r>
    <x v="11"/>
    <s v="C5-G10-0064"/>
    <s v="Roiphet1C5-G10-0064"/>
    <n v="5"/>
    <s v="Roiphet15"/>
    <s v="Greenhouse"/>
    <s v="Greenhouse"/>
    <n v="1.1299999999999999"/>
    <x v="300"/>
    <n v="5.515884955752214"/>
  </r>
  <r>
    <x v="11"/>
    <s v="C5-I09-0064"/>
    <s v="Roiphet1C5-I09-0064"/>
    <n v="5"/>
    <s v="Roiphet15"/>
    <s v="Greenhouse"/>
    <s v="Greenhouse"/>
    <n v="0.72"/>
    <x v="301"/>
    <n v="4.5975925925925933"/>
  </r>
  <r>
    <x v="11"/>
    <s v="C5-I10-0065"/>
    <s v="Roiphet1C5-I10-0065"/>
    <n v="5"/>
    <s v="Roiphet15"/>
    <s v="Greenhouse"/>
    <s v="Greenhouse"/>
    <n v="0.72"/>
    <x v="302"/>
    <n v="3.9132870370370387"/>
  </r>
  <r>
    <x v="11"/>
    <s v="C3-I05-0066"/>
    <s v="Roiphet1C3-I05-0066"/>
    <n v="5"/>
    <s v="Roiphet15"/>
    <s v="Greenhouse"/>
    <s v="Greenhouse"/>
    <n v="0.72"/>
    <x v="303"/>
    <n v="-2.6923842592592591"/>
  </r>
  <r>
    <x v="11"/>
    <s v="C3-G05-0074"/>
    <s v="Roiphet1C3-G05-0074"/>
    <n v="5"/>
    <s v="Roiphet15"/>
    <s v="Greenhouse"/>
    <s v="Greenhouse"/>
    <n v="1.1299999999999999"/>
    <x v="304"/>
    <n v="-1.5270648967551614"/>
  </r>
  <r>
    <x v="11"/>
    <s v="C3-I06-0063"/>
    <s v="Roiphet1C3-I06-0063"/>
    <n v="5"/>
    <s v="Roiphet15"/>
    <s v="Greenhouse"/>
    <s v="Greenhouse"/>
    <n v="0.72"/>
    <x v="305"/>
    <n v="-3.1473148148148153"/>
  </r>
  <r>
    <x v="11"/>
    <s v="C3-G06-0078"/>
    <s v="Roiphet1C3-G06-0078"/>
    <n v="5"/>
    <s v="Roiphet15"/>
    <s v="Greenhouse"/>
    <s v="Greenhouse"/>
    <n v="1.1299999999999999"/>
    <x v="306"/>
    <n v="-1.86051622418879"/>
  </r>
  <r>
    <x v="12"/>
    <s v="G1-129-0010"/>
    <s v="SR1G1-129-0010"/>
    <n v="10"/>
    <s v="SR110"/>
    <s v="Greenhouse"/>
    <s v="Greenhouse"/>
    <n v="2"/>
    <x v="307"/>
    <n v="0.11942499999999967"/>
  </r>
  <r>
    <x v="12"/>
    <s v="G1-130-0010"/>
    <s v="SR1G1-130-0010"/>
    <n v="10"/>
    <s v="SR110"/>
    <s v="Greenhouse"/>
    <s v="Greenhouse"/>
    <n v="2"/>
    <x v="308"/>
    <n v="-1.0898583333333334"/>
  </r>
  <r>
    <x v="12"/>
    <s v="G1-130-0008"/>
    <s v="SR1G1-130-0008"/>
    <n v="2"/>
    <s v="SR12"/>
    <s v="Greenhouse"/>
    <s v="Greenhouse"/>
    <n v="2"/>
    <x v="309"/>
    <n v="-0.65379166666666699"/>
  </r>
  <r>
    <x v="12"/>
    <s v="G1-129-0008"/>
    <s v="SR1G1-129-0008"/>
    <n v="2"/>
    <s v="SR12"/>
    <s v="Greenhouse"/>
    <s v="Greenhouse"/>
    <n v="2"/>
    <x v="310"/>
    <n v="-6.199166666666682E-2"/>
  </r>
  <r>
    <x v="12"/>
    <s v="G1-130-0009"/>
    <s v="SR1G1-130-0009"/>
    <n v="7"/>
    <s v="SR17"/>
    <s v="Greenhouse"/>
    <s v="Greenhouse"/>
    <n v="2"/>
    <x v="311"/>
    <n v="4.1035833333333329"/>
  </r>
  <r>
    <x v="12"/>
    <s v="G1-129-0009"/>
    <s v="SR1G1-129-0009"/>
    <n v="7"/>
    <s v="SR17"/>
    <s v="Greenhouse"/>
    <s v="Greenhouse"/>
    <n v="2"/>
    <x v="312"/>
    <n v="2.4423499999999994"/>
  </r>
  <r>
    <x v="12"/>
    <s v="G1-128-0005"/>
    <s v="SR1G1-128-0005"/>
    <n v="6"/>
    <s v="SR16"/>
    <s v="Greenhouse"/>
    <s v="Greenhouse"/>
    <n v="2"/>
    <x v="313"/>
    <n v="4.1176333333333339"/>
  </r>
  <r>
    <x v="13"/>
    <s v="G1-052-0012"/>
    <s v="SR4G1-052-0012"/>
    <n v="11"/>
    <s v="SR411"/>
    <s v="Greenhouse"/>
    <s v="Greenhouse"/>
    <n v="2"/>
    <x v="314"/>
    <n v="7.9839500000000019"/>
  </r>
  <r>
    <x v="13"/>
    <s v="G1-053-0009"/>
    <s v="SR4G1-053-0009"/>
    <n v="10"/>
    <s v="SR410"/>
    <s v="Greenhouse"/>
    <s v="Greenhouse"/>
    <n v="2"/>
    <x v="315"/>
    <n v="10.538983333333334"/>
  </r>
  <r>
    <x v="13"/>
    <s v="G1-051-0010"/>
    <s v="SR4G1-051-0010"/>
    <n v="10"/>
    <s v="SR410"/>
    <s v="Greenhouse"/>
    <s v="Greenhouse"/>
    <n v="2"/>
    <x v="316"/>
    <n v="8.9509499999999989"/>
  </r>
  <r>
    <x v="13"/>
    <s v="G2-057-0008"/>
    <s v="SR4G2-057-0008"/>
    <n v="1"/>
    <s v="SR41"/>
    <s v="Greenhouse"/>
    <s v="Greenhouse"/>
    <n v="2"/>
    <x v="317"/>
    <n v="-3.6601333333333339"/>
  </r>
  <r>
    <x v="13"/>
    <s v="G2-057-0010"/>
    <s v="SR4G2-057-0010"/>
    <n v="9"/>
    <s v="SR49"/>
    <s v="Greenhouse"/>
    <s v="Greenhouse"/>
    <n v="1.85"/>
    <x v="318"/>
    <n v="19.832117117117118"/>
  </r>
  <r>
    <x v="13"/>
    <s v="G2-058-0006"/>
    <s v="SR4G2-058-0006"/>
    <n v="2"/>
    <s v="SR42"/>
    <s v="Greenhouse"/>
    <s v="Greenhouse"/>
    <n v="2"/>
    <x v="319"/>
    <n v="-1.2656750000000003"/>
  </r>
  <r>
    <x v="13"/>
    <s v="G2-059-0011"/>
    <s v="SR4G2-059-0011"/>
    <n v="8"/>
    <s v="SR48"/>
    <s v="Greenhouse"/>
    <s v="Greenhouse"/>
    <n v="1.85"/>
    <x v="320"/>
    <n v="11.744405405405404"/>
  </r>
  <r>
    <x v="13"/>
    <s v="G2-058-0007"/>
    <s v="SR4G2-058-0007"/>
    <n v="7"/>
    <s v="SR47"/>
    <s v="Greenhouse"/>
    <s v="Greenhouse"/>
    <n v="1.85"/>
    <x v="321"/>
    <n v="6.3083333333333336"/>
  </r>
  <r>
    <x v="13"/>
    <s v="G1-052-0011"/>
    <s v="SR4G1-052-0011"/>
    <n v="6"/>
    <s v="SR46"/>
    <s v="Greenhouse"/>
    <s v="Greenhouse"/>
    <n v="2"/>
    <x v="322"/>
    <n v="12.355716666666668"/>
  </r>
  <r>
    <x v="13"/>
    <s v="G2-057-0009"/>
    <s v="SR4G2-057-0009"/>
    <n v="3"/>
    <s v="SR43"/>
    <s v="Greenhouse"/>
    <s v="Greenhouse"/>
    <n v="2"/>
    <x v="33"/>
    <n v="0"/>
  </r>
  <r>
    <x v="13"/>
    <s v="G1-051-0009"/>
    <s v="SR4G1-051-0009"/>
    <n v="5"/>
    <s v="SR45"/>
    <s v="Greenhouse"/>
    <s v="Greenhouse"/>
    <n v="2"/>
    <x v="323"/>
    <n v="12.825416666666667"/>
  </r>
  <r>
    <x v="13"/>
    <s v="G1-053-0008"/>
    <s v="SR4G1-053-0008"/>
    <n v="5"/>
    <s v="SR45"/>
    <s v="Greenhouse"/>
    <s v="Greenhouse"/>
    <n v="2"/>
    <x v="324"/>
    <n v="-0.38788333333333352"/>
  </r>
  <r>
    <x v="13"/>
    <s v="G2-059-0010"/>
    <s v="SR4G2-059-0010"/>
    <n v="4"/>
    <s v="SR44"/>
    <s v="Greenhouse"/>
    <s v="Greenhouse"/>
    <n v="1.85"/>
    <x v="325"/>
    <n v="1.70060360360360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x v="0"/>
    <s v="B1-003-0009"/>
    <s v="BangsakaoB1-003-0009"/>
    <n v="1"/>
    <s v="Bangsakao1"/>
    <s v="Outdoor"/>
    <s v="Outdoor4"/>
    <n v="4.3"/>
    <x v="0"/>
    <n v="0.38683488372093011"/>
    <n v="0.64472480620155026"/>
    <n v="0.64472480620155026"/>
  </r>
  <r>
    <x v="1"/>
    <s v="B1-022-0051"/>
    <s v="PB5B1-022-0051"/>
    <n v="11"/>
    <s v="PB511"/>
    <s v="Outdoor"/>
    <s v="Outdoor4"/>
    <n v="5.72"/>
    <x v="1"/>
    <n v="1.8918601398601402"/>
    <n v="3.153100233100234"/>
    <n v="3.153100233100234"/>
  </r>
  <r>
    <x v="2"/>
    <s v="A1-007-0046"/>
    <s v="LamaeA1-007-0046"/>
    <n v="11"/>
    <s v="Lamae11"/>
    <s v="Outdoor"/>
    <s v="Outdoor4"/>
    <n v="8"/>
    <x v="2"/>
    <n v="3.5114425000000002"/>
    <n v="5.8524041666666671"/>
    <n v="5.8524041666666671"/>
  </r>
  <r>
    <x v="3"/>
    <s v="A1-003-0037"/>
    <s v="ChoknavyA1-003-0037"/>
    <n v="11"/>
    <s v="Choknavy11"/>
    <s v="Outdoor"/>
    <s v="Outdoor4"/>
    <n v="5.5"/>
    <x v="3"/>
    <n v="3.5434999999999999"/>
    <n v="5.9058333333333337"/>
    <n v="5.9058333333333337"/>
  </r>
  <r>
    <x v="4"/>
    <s v="A1-032-0033"/>
    <s v="Tamai2A1-032-0033"/>
    <n v="10"/>
    <s v="Tamai210"/>
    <s v="Outdoor"/>
    <s v="Outdoor4"/>
    <n v="5.28"/>
    <x v="4"/>
    <n v="0"/>
    <n v="0"/>
    <n v="0"/>
  </r>
  <r>
    <x v="5"/>
    <s v="A1-038-0010"/>
    <s v="TalaytongA1-038-0010"/>
    <n v="10"/>
    <s v="Talaytong10"/>
    <s v="Outdoor"/>
    <s v="Outdoor4"/>
    <n v="5.45"/>
    <x v="5"/>
    <n v="4.2722477064220188"/>
    <n v="7.1204128440366983"/>
    <n v="6.25"/>
  </r>
  <r>
    <x v="6"/>
    <s v="A1-016-0031"/>
    <s v="Roiphet3A1-016-0031"/>
    <n v="10"/>
    <s v="Roiphet310"/>
    <s v="Outdoor"/>
    <s v="Outdoor4"/>
    <n v="4.5"/>
    <x v="6"/>
    <n v="0.80255333333333345"/>
    <n v="1.3375888888888892"/>
    <n v="1.3375888888888892"/>
  </r>
  <r>
    <x v="3"/>
    <s v="A1-003-0035"/>
    <s v="ChoknavyA1-003-0035"/>
    <n v="1"/>
    <s v="Choknavy1"/>
    <s v="Outdoor"/>
    <s v="Outdoor4"/>
    <n v="5.5"/>
    <x v="4"/>
    <n v="0"/>
    <n v="0"/>
    <n v="0"/>
  </r>
  <r>
    <x v="7"/>
    <s v="B1-014-0046"/>
    <s v="Roiphet2B1-014-0046"/>
    <n v="10"/>
    <s v="Roiphet210"/>
    <s v="Outdoor"/>
    <s v="Outdoor4"/>
    <n v="4.5"/>
    <x v="7"/>
    <n v="1.9914199999999997"/>
    <n v="3.3190333333333331"/>
    <n v="3.3190333333333331"/>
  </r>
  <r>
    <x v="8"/>
    <s v="A1-019-0024"/>
    <s v="Maeklong1A1-019-0024"/>
    <n v="10"/>
    <s v="Maeklong110"/>
    <s v="Outdoor"/>
    <s v="Outdoor4"/>
    <n v="5.24"/>
    <x v="8"/>
    <n v="9.1338645038167918"/>
    <n v="15.22310750636132"/>
    <n v="6.25"/>
  </r>
  <r>
    <x v="9"/>
    <s v="A1-002-0046"/>
    <s v="LamlaungA1-002-0046"/>
    <n v="10"/>
    <s v="Lamlaung10"/>
    <s v="Outdoor"/>
    <s v="Outdoor4"/>
    <n v="5"/>
    <x v="9"/>
    <n v="7.5009759999999996"/>
    <n v="12.501626666666667"/>
    <n v="6.25"/>
  </r>
  <r>
    <x v="9"/>
    <s v="A1-003-0045"/>
    <s v="LamlaungA1-003-0045"/>
    <n v="10"/>
    <s v="Lamlaung10"/>
    <s v="Outdoor"/>
    <s v="Outdoor4"/>
    <n v="5"/>
    <x v="10"/>
    <n v="3.2693640000000004"/>
    <n v="5.4489400000000012"/>
    <n v="5.4489400000000012"/>
  </r>
  <r>
    <x v="3"/>
    <s v="A1-002-0037"/>
    <s v="ChoknavyA1-002-0037"/>
    <n v="10"/>
    <s v="Choknavy10"/>
    <s v="Outdoor"/>
    <s v="Outdoor4"/>
    <n v="5.5"/>
    <x v="11"/>
    <n v="5.4003527272727272"/>
    <n v="9.0005878787878792"/>
    <n v="6.25"/>
  </r>
  <r>
    <x v="6"/>
    <s v="A1-008-0023"/>
    <s v="Roiphet3A1-008-0023"/>
    <n v="9"/>
    <s v="Roiphet39"/>
    <s v="Outdoor"/>
    <s v="Outdoor4"/>
    <n v="4.4000000000000004"/>
    <x v="12"/>
    <n v="2.6518022727272719"/>
    <n v="4.4196704545454537"/>
    <n v="4.4196704545454537"/>
  </r>
  <r>
    <x v="7"/>
    <s v="B1-009-0044"/>
    <s v="Roiphet2B1-009-0044"/>
    <n v="9"/>
    <s v="Roiphet29"/>
    <s v="Outdoor"/>
    <s v="Outdoor4"/>
    <n v="4.9000000000000004"/>
    <x v="13"/>
    <n v="2.9031693877551019"/>
    <n v="4.8386156462585035"/>
    <n v="4.8386156462585035"/>
  </r>
  <r>
    <x v="10"/>
    <s v="A1-045-0005"/>
    <s v="Lucky2A1-045-0005"/>
    <n v="9"/>
    <s v="Lucky29"/>
    <s v="Outdoor"/>
    <s v="Outdoor4"/>
    <n v="5.3"/>
    <x v="14"/>
    <n v="2.2543433962264157"/>
    <n v="3.7572389937106929"/>
    <n v="3.7572389937106929"/>
  </r>
  <r>
    <x v="9"/>
    <s v="B1-110-0005"/>
    <s v="LamlaungB1-110-0005"/>
    <n v="1"/>
    <s v="Lamlaung1"/>
    <s v="Outdoor"/>
    <s v="Outdoor4"/>
    <n v="5"/>
    <x v="15"/>
    <n v="-3.909600000000002E-2"/>
    <n v="-6.5160000000000037E-2"/>
    <n v="0"/>
  </r>
  <r>
    <x v="9"/>
    <s v="A1-004-0046"/>
    <s v="LamlaungA1-004-0046"/>
    <n v="9"/>
    <s v="Lamlaung9"/>
    <s v="Outdoor"/>
    <s v="Outdoor4"/>
    <n v="5"/>
    <x v="16"/>
    <n v="5.6342060000000007"/>
    <n v="9.3903433333333357"/>
    <n v="6.25"/>
  </r>
  <r>
    <x v="9"/>
    <s v="B1-111-0008"/>
    <s v="LamlaungB1-111-0008"/>
    <n v="9"/>
    <s v="Lamlaung9"/>
    <s v="Outdoor"/>
    <s v="Outdoor4"/>
    <n v="5"/>
    <x v="17"/>
    <n v="9.6055460000000004"/>
    <n v="16.009243333333334"/>
    <n v="6.25"/>
  </r>
  <r>
    <x v="9"/>
    <s v="A1-005-0008"/>
    <s v="LamlaungA1-005-0008"/>
    <n v="9"/>
    <s v="Lamlaung9"/>
    <s v="Outdoor"/>
    <s v="Outdoor4"/>
    <n v="5"/>
    <x v="18"/>
    <n v="10.5245"/>
    <n v="17.540833333333335"/>
    <n v="6.25"/>
  </r>
  <r>
    <x v="9"/>
    <s v="B1-112-0007"/>
    <s v="LamlaungB1-112-0007"/>
    <n v="9"/>
    <s v="Lamlaung9"/>
    <s v="Outdoor"/>
    <s v="Outdoor4"/>
    <n v="5"/>
    <x v="19"/>
    <n v="2.9445800000000002"/>
    <n v="4.907633333333334"/>
    <n v="4.907633333333334"/>
  </r>
  <r>
    <x v="2"/>
    <s v="B1-022-0012"/>
    <s v="LamaeB1-022-0012"/>
    <n v="9"/>
    <s v="Lamae9"/>
    <s v="Outdoor"/>
    <s v="Outdoor4"/>
    <n v="8.5"/>
    <x v="20"/>
    <n v="3.0910517647058828"/>
    <n v="5.151752941176472"/>
    <n v="5.151752941176472"/>
  </r>
  <r>
    <x v="3"/>
    <s v="A1-001-0041"/>
    <s v="ChoknavyA1-001-0041"/>
    <n v="9"/>
    <s v="Choknavy9"/>
    <s v="Outdoor"/>
    <s v="Outdoor4"/>
    <n v="5"/>
    <x v="21"/>
    <n v="6.0455199999999998"/>
    <n v="10.075866666666666"/>
    <n v="6.25"/>
  </r>
  <r>
    <x v="0"/>
    <s v="B1-006-0015"/>
    <s v="BangsakaoB1-006-0015"/>
    <n v="9"/>
    <s v="Bangsakao9"/>
    <s v="Outdoor"/>
    <s v="Outdoor4"/>
    <n v="4.75"/>
    <x v="4"/>
    <n v="0"/>
    <n v="0"/>
    <n v="0"/>
  </r>
  <r>
    <x v="5"/>
    <s v="A1-039-0007"/>
    <s v="TalaytongA1-039-0007"/>
    <n v="8"/>
    <s v="Talaytong8"/>
    <s v="Outdoor"/>
    <s v="Outdoor4"/>
    <n v="4.29"/>
    <x v="22"/>
    <n v="7.0466899766899775"/>
    <n v="11.744483294483297"/>
    <n v="6.25"/>
  </r>
  <r>
    <x v="6"/>
    <s v="A1-006-0012"/>
    <s v="Roiphet3A1-006-0012"/>
    <n v="8"/>
    <s v="Roiphet38"/>
    <s v="Outdoor"/>
    <s v="Outdoor4"/>
    <n v="4.5"/>
    <x v="23"/>
    <n v="0.96881555555555554"/>
    <n v="1.6146925925925926"/>
    <n v="1.6146925925925926"/>
  </r>
  <r>
    <x v="11"/>
    <s v="D1-030-0017"/>
    <s v="Rayong3D1-030-0017"/>
    <n v="8"/>
    <s v="Rayong38"/>
    <s v="Outdoor"/>
    <s v="Outdoor4"/>
    <n v="6.25"/>
    <x v="24"/>
    <n v="13.6816336"/>
    <n v="22.802722666666668"/>
    <n v="6.25"/>
  </r>
  <r>
    <x v="11"/>
    <s v="D1-031-0042"/>
    <s v="Rayong3D1-031-0042"/>
    <n v="8"/>
    <s v="Rayong38"/>
    <s v="Outdoor"/>
    <s v="Outdoor4"/>
    <n v="6.25"/>
    <x v="25"/>
    <n v="2.1617376000000004"/>
    <n v="3.6028960000000008"/>
    <n v="3.6028960000000008"/>
  </r>
  <r>
    <x v="11"/>
    <s v="C1-016-0038"/>
    <s v="Rayong3C1-016-0038"/>
    <n v="8"/>
    <s v="Rayong38"/>
    <s v="Outdoor"/>
    <s v="Outdoor4"/>
    <n v="6.25"/>
    <x v="26"/>
    <n v="2.8919600000000001"/>
    <n v="4.8199333333333341"/>
    <n v="4.8199333333333341"/>
  </r>
  <r>
    <x v="11"/>
    <s v="A1-005-0028"/>
    <s v="Rayong3A1-005-0028"/>
    <n v="8"/>
    <s v="Rayong38"/>
    <s v="Outdoor"/>
    <s v="Outdoor4"/>
    <n v="6.25"/>
    <x v="27"/>
    <n v="3.3328144000000002"/>
    <n v="5.5546906666666676"/>
    <n v="5.5546906666666676"/>
  </r>
  <r>
    <x v="1"/>
    <s v="A1-009-0048"/>
    <s v="PB5A1-009-0048"/>
    <n v="8"/>
    <s v="PB58"/>
    <s v="Outdoor"/>
    <s v="Outdoor4"/>
    <n v="4.62"/>
    <x v="28"/>
    <n v="4.6622943722943715"/>
    <n v="7.7704906204906194"/>
    <n v="6.25"/>
  </r>
  <r>
    <x v="9"/>
    <s v="A1-003-0044"/>
    <s v="LamlaungA1-003-0044"/>
    <n v="8"/>
    <s v="Lamlaung8"/>
    <s v="Outdoor"/>
    <s v="Outdoor4"/>
    <n v="5"/>
    <x v="29"/>
    <n v="6.9294479999999989"/>
    <n v="11.549079999999998"/>
    <n v="6.25"/>
  </r>
  <r>
    <x v="2"/>
    <s v="B1-021-0013"/>
    <s v="LamaeB1-021-0013"/>
    <n v="8"/>
    <s v="Lamae8"/>
    <s v="Outdoor"/>
    <s v="Outdoor4"/>
    <n v="8.5"/>
    <x v="30"/>
    <n v="3.3971247058823533"/>
    <n v="5.6618745098039227"/>
    <n v="5.6618745098039227"/>
  </r>
  <r>
    <x v="2"/>
    <s v="A1-010-0022"/>
    <s v="LamaeA1-010-0022"/>
    <n v="8"/>
    <s v="Lamae8"/>
    <s v="Outdoor"/>
    <s v="Outdoor4"/>
    <n v="5"/>
    <x v="31"/>
    <n v="4.4384479999999993"/>
    <n v="7.3974133333333327"/>
    <n v="6.25"/>
  </r>
  <r>
    <x v="2"/>
    <s v="A1-009-0020"/>
    <s v="LamaeA1-009-0020"/>
    <n v="8"/>
    <s v="Lamae8"/>
    <s v="Outdoor"/>
    <s v="Outdoor4"/>
    <n v="5"/>
    <x v="32"/>
    <n v="4.7963700000000005"/>
    <n v="7.9939500000000008"/>
    <n v="6.25"/>
  </r>
  <r>
    <x v="12"/>
    <s v="C1-006-0031"/>
    <s v="KamongC1-006-0031"/>
    <n v="8"/>
    <s v="Kamong8"/>
    <s v="Outdoor"/>
    <s v="Outdoor4"/>
    <n v="6.32"/>
    <x v="33"/>
    <n v="9.8844794303797467"/>
    <n v="16.474132383966246"/>
    <n v="6.25"/>
  </r>
  <r>
    <x v="3"/>
    <s v="A1-005-0006"/>
    <s v="ChoknavyA1-005-0006"/>
    <n v="8"/>
    <s v="Choknavy8"/>
    <s v="Outdoor"/>
    <s v="Outdoor4"/>
    <n v="5.5"/>
    <x v="34"/>
    <n v="4.7299272727272728"/>
    <n v="7.8832121212121216"/>
    <n v="6.25"/>
  </r>
  <r>
    <x v="4"/>
    <s v="A1-006-0027"/>
    <s v="Tamai2A1-006-0027"/>
    <n v="7"/>
    <s v="Tamai27"/>
    <s v="Outdoor"/>
    <s v="Outdoor4"/>
    <n v="5.23"/>
    <x v="4"/>
    <n v="0"/>
    <n v="0"/>
    <n v="0"/>
  </r>
  <r>
    <x v="4"/>
    <s v="E1-032-0037"/>
    <s v="Tamai2E1-032-0037"/>
    <n v="7"/>
    <s v="Tamai27"/>
    <s v="Outdoor"/>
    <s v="Outdoor4"/>
    <n v="5.28"/>
    <x v="35"/>
    <n v="3.693732954545454"/>
    <n v="6.15622159090909"/>
    <n v="6.15622159090909"/>
  </r>
  <r>
    <x v="13"/>
    <s v="F1-022-0003"/>
    <s v="SR4F1-022-0003"/>
    <n v="7"/>
    <s v="SR47"/>
    <s v="Outdoor"/>
    <s v="Outdoor4"/>
    <n v="5.5"/>
    <x v="36"/>
    <n v="8.6812727272727273"/>
    <n v="14.468787878787879"/>
    <n v="6.25"/>
  </r>
  <r>
    <x v="6"/>
    <s v="C1-057-0018"/>
    <s v="Roiphet3C1-057-0018"/>
    <n v="7"/>
    <s v="Roiphet37"/>
    <s v="Outdoor"/>
    <s v="Outdoor4"/>
    <n v="4.5"/>
    <x v="37"/>
    <n v="0.36826666666666696"/>
    <n v="0.61377777777777831"/>
    <n v="0.61377777777777831"/>
  </r>
  <r>
    <x v="6"/>
    <s v="C1-046-0005"/>
    <s v="Roiphet3C1-046-0005"/>
    <n v="7"/>
    <s v="Roiphet37"/>
    <s v="Outdoor"/>
    <s v="Outdoor4"/>
    <n v="4.5"/>
    <x v="38"/>
    <n v="0.30428444444444436"/>
    <n v="0.50714074074074067"/>
    <n v="0.50714074074074067"/>
  </r>
  <r>
    <x v="6"/>
    <s v="C1-051-0026"/>
    <s v="Roiphet3C1-051-0026"/>
    <n v="7"/>
    <s v="Roiphet37"/>
    <s v="Outdoor"/>
    <s v="Outdoor4"/>
    <n v="4.5"/>
    <x v="39"/>
    <n v="1.9834777777777779"/>
    <n v="3.3057962962962968"/>
    <n v="3.3057962962962968"/>
  </r>
  <r>
    <x v="6"/>
    <s v="C1-043-0026"/>
    <s v="Roiphet3C1-043-0026"/>
    <n v="7"/>
    <s v="Roiphet37"/>
    <s v="Outdoor"/>
    <s v="Outdoor4"/>
    <n v="4.5"/>
    <x v="40"/>
    <n v="-0.37518222222222231"/>
    <n v="-0.62530370370370392"/>
    <n v="0"/>
  </r>
  <r>
    <x v="6"/>
    <s v="C1-054-0008"/>
    <s v="Roiphet3C1-054-0008"/>
    <n v="7"/>
    <s v="Roiphet37"/>
    <s v="Outdoor"/>
    <s v="Outdoor4"/>
    <n v="4.5"/>
    <x v="41"/>
    <n v="-0.18415555555555541"/>
    <n v="-0.30692592592592571"/>
    <n v="0"/>
  </r>
  <r>
    <x v="6"/>
    <s v="C1-044-0018"/>
    <s v="Roiphet3C1-044-0018"/>
    <n v="7"/>
    <s v="Roiphet37"/>
    <s v="Outdoor"/>
    <s v="Outdoor4"/>
    <n v="4.5"/>
    <x v="42"/>
    <n v="0.33363111111111143"/>
    <n v="0.55605185185185246"/>
    <n v="0.55605185185185246"/>
  </r>
  <r>
    <x v="6"/>
    <s v="C1-045-0026"/>
    <s v="Roiphet3C1-045-0026"/>
    <n v="7"/>
    <s v="Roiphet37"/>
    <s v="Outdoor"/>
    <s v="Outdoor4"/>
    <n v="4.5"/>
    <x v="43"/>
    <n v="-0.42308888888888863"/>
    <n v="-0.70514814814814775"/>
    <n v="0"/>
  </r>
  <r>
    <x v="14"/>
    <s v="A1-015-0033"/>
    <s v="RanodeA1-015-0033"/>
    <n v="7"/>
    <s v="Ranode7"/>
    <s v="Outdoor"/>
    <s v="Outdoor4"/>
    <n v="5"/>
    <x v="44"/>
    <n v="0.32368799999999975"/>
    <n v="0.53947999999999963"/>
    <n v="0.53947999999999963"/>
  </r>
  <r>
    <x v="1"/>
    <s v="B1-021-0047"/>
    <s v="PB5B1-021-0047"/>
    <n v="7"/>
    <s v="PB57"/>
    <s v="Outdoor"/>
    <s v="Outdoor4"/>
    <n v="5.72"/>
    <x v="45"/>
    <n v="3.0387325174825177"/>
    <n v="5.0645541958041962"/>
    <n v="5.0645541958041962"/>
  </r>
  <r>
    <x v="1"/>
    <s v="A1-005-0052"/>
    <s v="PB5A1-005-0052"/>
    <n v="7"/>
    <s v="PB57"/>
    <s v="Outdoor"/>
    <s v="Outdoor4"/>
    <n v="4.37"/>
    <x v="46"/>
    <n v="0.55057894736842128"/>
    <n v="0.9176315789473688"/>
    <n v="0.9176315789473688"/>
  </r>
  <r>
    <x v="9"/>
    <s v="B1-112-0006"/>
    <s v="LamlaungB1-112-0006"/>
    <n v="7"/>
    <s v="Lamlaung7"/>
    <s v="Outdoor"/>
    <s v="Outdoor4"/>
    <n v="5"/>
    <x v="47"/>
    <n v="9.4094080000000009"/>
    <n v="15.682346666666669"/>
    <n v="6.25"/>
  </r>
  <r>
    <x v="2"/>
    <s v="A1-007-0045"/>
    <s v="LamaeA1-007-0045"/>
    <n v="7"/>
    <s v="Lamae7"/>
    <s v="Outdoor"/>
    <s v="Outdoor4"/>
    <n v="8"/>
    <x v="48"/>
    <n v="0.83359875000000017"/>
    <n v="1.3893312500000004"/>
    <n v="1.3893312500000004"/>
  </r>
  <r>
    <x v="2"/>
    <s v="B1-018-0013"/>
    <s v="LamaeB1-018-0013"/>
    <n v="7"/>
    <s v="Lamae7"/>
    <s v="Outdoor"/>
    <s v="Outdoor4"/>
    <n v="6"/>
    <x v="49"/>
    <n v="2.2321749999999998"/>
    <n v="3.7202916666666663"/>
    <n v="3.7202916666666663"/>
  </r>
  <r>
    <x v="3"/>
    <s v="A1-003-0036"/>
    <s v="ChoknavyA1-003-0036"/>
    <n v="7"/>
    <s v="Choknavy7"/>
    <s v="Outdoor"/>
    <s v="Outdoor4"/>
    <n v="5.5"/>
    <x v="50"/>
    <n v="3.5964709090909093"/>
    <n v="5.9941181818181821"/>
    <n v="5.9941181818181821"/>
  </r>
  <r>
    <x v="3"/>
    <s v="A1-006-0032"/>
    <s v="ChoknavyA1-006-0032"/>
    <n v="7"/>
    <s v="Choknavy7"/>
    <s v="Outdoor"/>
    <s v="Outdoor4"/>
    <n v="5.5"/>
    <x v="51"/>
    <n v="4.3440218181818189"/>
    <n v="7.2400363636363654"/>
    <n v="6.25"/>
  </r>
  <r>
    <x v="15"/>
    <s v="A1-009-0043"/>
    <s v="Chantaburi3A1-009-0043"/>
    <n v="7"/>
    <s v="Chantaburi37"/>
    <s v="Outdoor"/>
    <s v="Outdoor4"/>
    <n v="4.2"/>
    <x v="52"/>
    <n v="0.33699761904761871"/>
    <n v="0.56166269841269789"/>
    <n v="0.56166269841269789"/>
  </r>
  <r>
    <x v="16"/>
    <s v="B1-010-0011"/>
    <s v="Bo ThongB1-010-0011"/>
    <n v="7"/>
    <s v="Bo Thong7"/>
    <s v="Outdoor"/>
    <s v="Outdoor4"/>
    <n v="4.79"/>
    <x v="53"/>
    <n v="6.5513048016701454"/>
    <n v="10.918841336116909"/>
    <n v="6.25"/>
  </r>
  <r>
    <x v="4"/>
    <s v="A1-006-0026"/>
    <s v="Tamai2A1-006-0026"/>
    <n v="6"/>
    <s v="Tamai26"/>
    <s v="Outdoor"/>
    <s v="Outdoor4"/>
    <n v="5.23"/>
    <x v="54"/>
    <n v="4.8195717017208404"/>
    <n v="8.0326195028680676"/>
    <n v="6.25"/>
  </r>
  <r>
    <x v="4"/>
    <s v="D1-040-0028"/>
    <s v="Tamai2D1-040-0028"/>
    <n v="6"/>
    <s v="Tamai26"/>
    <s v="Outdoor"/>
    <s v="Outdoor4"/>
    <n v="4.5199999999999996"/>
    <x v="55"/>
    <n v="2.3060575221238944"/>
    <n v="3.8434292035398241"/>
    <n v="3.8434292035398241"/>
  </r>
  <r>
    <x v="6"/>
    <s v="C1-041-0006"/>
    <s v="Roiphet3C1-041-0006"/>
    <n v="6"/>
    <s v="Roiphet36"/>
    <s v="Outdoor"/>
    <s v="Outdoor4"/>
    <n v="5.8"/>
    <x v="56"/>
    <n v="3.8275862068965605E-2"/>
    <n v="6.3793103448276017E-2"/>
    <n v="6.3793103448276017E-2"/>
  </r>
  <r>
    <x v="1"/>
    <s v="B1-022-0050"/>
    <s v="PB5B1-022-0050"/>
    <n v="6"/>
    <s v="PB56"/>
    <s v="Outdoor"/>
    <s v="Outdoor4"/>
    <n v="5.72"/>
    <x v="57"/>
    <n v="2.4222167832167836"/>
    <n v="4.0370279720279729"/>
    <n v="4.0370279720279729"/>
  </r>
  <r>
    <x v="1"/>
    <s v="A1-007-0051"/>
    <s v="PB5A1-007-0051"/>
    <n v="6"/>
    <s v="PB56"/>
    <s v="Outdoor"/>
    <s v="Outdoor4"/>
    <n v="4.5199999999999996"/>
    <x v="58"/>
    <n v="0.48871902654867272"/>
    <n v="0.81453171091445453"/>
    <n v="0.81453171091445453"/>
  </r>
  <r>
    <x v="1"/>
    <s v="B1-023-0049"/>
    <s v="PB5B1-023-0049"/>
    <n v="6"/>
    <s v="PB56"/>
    <s v="Outdoor"/>
    <s v="Outdoor4"/>
    <n v="5.9"/>
    <x v="59"/>
    <n v="-0.66506779661016946"/>
    <n v="-1.1084463276836158"/>
    <n v="0"/>
  </r>
  <r>
    <x v="10"/>
    <s v="A1-045-0004"/>
    <s v="Lucky2A1-045-0004"/>
    <n v="6"/>
    <s v="Lucky26"/>
    <s v="Outdoor"/>
    <s v="Outdoor4"/>
    <n v="5.3"/>
    <x v="60"/>
    <n v="2.6213566037735845"/>
    <n v="4.3689276729559747"/>
    <n v="4.3689276729559747"/>
  </r>
  <r>
    <x v="0"/>
    <s v="B1-006-0013"/>
    <s v="BangsakaoB1-006-0013"/>
    <n v="6"/>
    <s v="Bangsakao6"/>
    <s v="Outdoor"/>
    <s v="Outdoor4"/>
    <n v="4.75"/>
    <x v="61"/>
    <n v="4.6267052631578949"/>
    <n v="7.7111754385964915"/>
    <n v="6.25"/>
  </r>
  <r>
    <x v="4"/>
    <s v="E1-027-0035"/>
    <s v="Tamai2E1-027-0035"/>
    <n v="5"/>
    <s v="Tamai25"/>
    <s v="Outdoor"/>
    <s v="Outdoor4"/>
    <n v="5.0999999999999996"/>
    <x v="62"/>
    <n v="3.1587627450980396"/>
    <n v="5.2646045751633999"/>
    <n v="5.2646045751633999"/>
  </r>
  <r>
    <x v="4"/>
    <s v="A1-082-0008"/>
    <s v="Tamai2A1-082-0008"/>
    <n v="5"/>
    <s v="Tamai25"/>
    <s v="Outdoor"/>
    <s v="Outdoor4"/>
    <n v="4.22"/>
    <x v="63"/>
    <n v="2.9543151658767774"/>
    <n v="4.9238586097946291"/>
    <n v="4.9238586097946291"/>
  </r>
  <r>
    <x v="5"/>
    <s v="A1-038-0008"/>
    <s v="TalaytongA1-038-0008"/>
    <n v="5"/>
    <s v="Talaytong5"/>
    <s v="Outdoor"/>
    <s v="Outdoor4"/>
    <n v="5.45"/>
    <x v="64"/>
    <n v="3.6472036697247701"/>
    <n v="6.0786727828746168"/>
    <n v="6.0786727828746168"/>
  </r>
  <r>
    <x v="5"/>
    <s v="A1-034-0008"/>
    <s v="TalaytongA1-034-0008"/>
    <n v="5"/>
    <s v="Talaytong5"/>
    <s v="Outdoor"/>
    <s v="Outdoor4"/>
    <n v="4.22"/>
    <x v="65"/>
    <n v="1.2719194312796209"/>
    <n v="2.1198657187993684"/>
    <n v="2.1198657187993684"/>
  </r>
  <r>
    <x v="6"/>
    <s v="A1-027-0027"/>
    <s v="Roiphet3A1-027-0027"/>
    <n v="5"/>
    <s v="Roiphet35"/>
    <s v="Outdoor"/>
    <s v="Outdoor4"/>
    <n v="4.9000000000000004"/>
    <x v="66"/>
    <n v="4.0665061224489794"/>
    <n v="6.7775102040816328"/>
    <n v="6.25"/>
  </r>
  <r>
    <x v="17"/>
    <s v="A1-004-0040"/>
    <s v="CS1A1-004-0040"/>
    <n v="2"/>
    <s v="CS12"/>
    <s v="Outdoor"/>
    <s v="Outdoor4"/>
    <n v="4.25"/>
    <x v="67"/>
    <n v="0.78032000000000012"/>
    <n v="1.3005333333333335"/>
    <n v="1.3005333333333335"/>
  </r>
  <r>
    <x v="6"/>
    <s v="A1-024-0032"/>
    <s v="Roiphet3A1-024-0032"/>
    <n v="5"/>
    <s v="Roiphet35"/>
    <s v="Outdoor"/>
    <s v="Outdoor4"/>
    <n v="4.5"/>
    <x v="68"/>
    <n v="1.1337177777777776"/>
    <n v="1.8895296296296293"/>
    <n v="1.8895296296296293"/>
  </r>
  <r>
    <x v="6"/>
    <s v="A1-026-0022"/>
    <s v="Roiphet3A1-026-0022"/>
    <n v="5"/>
    <s v="Roiphet35"/>
    <s v="Outdoor"/>
    <s v="Outdoor4"/>
    <n v="4.9000000000000004"/>
    <x v="69"/>
    <n v="3.5537897959183669"/>
    <n v="5.9229829931972784"/>
    <n v="5.9229829931972784"/>
  </r>
  <r>
    <x v="2"/>
    <s v="A1-007-0044"/>
    <s v="LamaeA1-007-0044"/>
    <n v="2"/>
    <s v="Lamae2"/>
    <s v="Outdoor"/>
    <s v="Outdoor4"/>
    <n v="8"/>
    <x v="70"/>
    <n v="-1.005835"/>
    <n v="-1.6763916666666667"/>
    <n v="0"/>
  </r>
  <r>
    <x v="2"/>
    <s v="B1-022-0011"/>
    <s v="LamaeB1-022-0011"/>
    <n v="2"/>
    <s v="Lamae2"/>
    <s v="Outdoor"/>
    <s v="Outdoor4"/>
    <n v="8.5"/>
    <x v="71"/>
    <n v="0.83547529411764687"/>
    <n v="1.3924588235294115"/>
    <n v="1.3924588235294115"/>
  </r>
  <r>
    <x v="2"/>
    <s v="B1-021-0012"/>
    <s v="LamaeB1-021-0012"/>
    <n v="2"/>
    <s v="Lamae2"/>
    <s v="Outdoor"/>
    <s v="Outdoor4"/>
    <n v="8.5"/>
    <x v="72"/>
    <n v="0.71577882352941158"/>
    <n v="1.1929647058823527"/>
    <n v="1.1929647058823527"/>
  </r>
  <r>
    <x v="7"/>
    <s v="A1-001-0031"/>
    <s v="Roiphet2A1-001-0031"/>
    <n v="5"/>
    <s v="Roiphet25"/>
    <s v="Outdoor"/>
    <s v="Outdoor4"/>
    <n v="4.2"/>
    <x v="73"/>
    <n v="1.1428499999999997"/>
    <n v="1.9047499999999995"/>
    <n v="1.9047499999999995"/>
  </r>
  <r>
    <x v="7"/>
    <s v="A1-006-0045"/>
    <s v="Roiphet2A1-006-0045"/>
    <n v="5"/>
    <s v="Roiphet25"/>
    <s v="Outdoor"/>
    <s v="Outdoor4"/>
    <n v="5.3"/>
    <x v="74"/>
    <n v="3.6923867924528304"/>
    <n v="6.153977987421384"/>
    <n v="6.153977987421384"/>
  </r>
  <r>
    <x v="7"/>
    <s v="A1-002-0048"/>
    <s v="Roiphet2A1-002-0048"/>
    <n v="5"/>
    <s v="Roiphet25"/>
    <s v="Outdoor"/>
    <s v="Outdoor4"/>
    <n v="5.2"/>
    <x v="75"/>
    <n v="1.6580288461538464"/>
    <n v="2.7633814102564109"/>
    <n v="2.7633814102564109"/>
  </r>
  <r>
    <x v="7"/>
    <s v="B1-014-0044"/>
    <s v="Roiphet2B1-014-0044"/>
    <n v="5"/>
    <s v="Roiphet25"/>
    <s v="Outdoor"/>
    <s v="Outdoor4"/>
    <n v="4.5"/>
    <x v="76"/>
    <n v="1.279355555555556"/>
    <n v="2.1322592592592602"/>
    <n v="2.1322592592592602"/>
  </r>
  <r>
    <x v="7"/>
    <s v="A1-008-0034"/>
    <s v="Roiphet2A1-008-0034"/>
    <n v="5"/>
    <s v="Roiphet25"/>
    <s v="Outdoor"/>
    <s v="Outdoor4"/>
    <n v="4.5"/>
    <x v="77"/>
    <n v="2.6165288888888893"/>
    <n v="4.3608814814814822"/>
    <n v="4.3608814814814822"/>
  </r>
  <r>
    <x v="7"/>
    <s v="B1-013-0036"/>
    <s v="Roiphet2B1-013-0036"/>
    <n v="5"/>
    <s v="Roiphet25"/>
    <s v="Outdoor"/>
    <s v="Outdoor4"/>
    <n v="4.5"/>
    <x v="78"/>
    <n v="3.3942866666666669"/>
    <n v="5.6571444444444454"/>
    <n v="5.6571444444444454"/>
  </r>
  <r>
    <x v="11"/>
    <s v="C1-016-0037"/>
    <s v="Rayong3C1-016-0037"/>
    <n v="5"/>
    <s v="Rayong35"/>
    <s v="Outdoor"/>
    <s v="Outdoor4"/>
    <n v="6.25"/>
    <x v="79"/>
    <n v="14.080868799999998"/>
    <n v="23.468114666666665"/>
    <n v="6.25"/>
  </r>
  <r>
    <x v="8"/>
    <s v="A1-019-0023"/>
    <s v="Maeklong1A1-019-0023"/>
    <n v="5"/>
    <s v="Maeklong15"/>
    <s v="Outdoor"/>
    <s v="Outdoor4"/>
    <n v="5.24"/>
    <x v="80"/>
    <n v="7.8537977099236649"/>
    <n v="13.089662849872775"/>
    <n v="6.25"/>
  </r>
  <r>
    <x v="12"/>
    <s v="C1-018-0018"/>
    <s v="KamongC1-018-0018"/>
    <n v="5"/>
    <s v="Kamong5"/>
    <s v="Outdoor"/>
    <s v="Outdoor4"/>
    <n v="8.1999999999999993"/>
    <x v="81"/>
    <n v="2.4905024390243913"/>
    <n v="4.1508373983739855"/>
    <n v="4.1508373983739855"/>
  </r>
  <r>
    <x v="12"/>
    <s v="C1-024-0042"/>
    <s v="KamongC1-024-0042"/>
    <n v="5"/>
    <s v="Kamong5"/>
    <s v="Outdoor"/>
    <s v="Outdoor4"/>
    <n v="8"/>
    <x v="82"/>
    <n v="1.7136262499999999"/>
    <n v="2.85604375"/>
    <n v="2.85604375"/>
  </r>
  <r>
    <x v="17"/>
    <s v="C1-056-0019"/>
    <s v="CS1C1-056-0019"/>
    <n v="5"/>
    <s v="CS15"/>
    <s v="Outdoor"/>
    <s v="Outdoor4"/>
    <n v="4.2"/>
    <x v="83"/>
    <n v="-0.79239047619047631"/>
    <n v="-1.3206507936507939"/>
    <n v="0"/>
  </r>
  <r>
    <x v="15"/>
    <s v="A1-009-0042"/>
    <s v="Chantaburi3A1-009-0042"/>
    <n v="5"/>
    <s v="Chantaburi35"/>
    <s v="Outdoor"/>
    <s v="Outdoor4"/>
    <n v="4.2"/>
    <x v="84"/>
    <n v="4.8879357142857138"/>
    <n v="8.1465595238095236"/>
    <n v="6.25"/>
  </r>
  <r>
    <x v="5"/>
    <s v="A1-039-0006"/>
    <s v="TalaytongA1-039-0006"/>
    <n v="4"/>
    <s v="Talaytong4"/>
    <s v="Outdoor"/>
    <s v="Outdoor4"/>
    <n v="4.29"/>
    <x v="85"/>
    <n v="1.6191095571095566"/>
    <n v="2.6985159285159277"/>
    <n v="2.6985159285159277"/>
  </r>
  <r>
    <x v="6"/>
    <s v="C1-046-0004"/>
    <s v="Roiphet3C1-046-0004"/>
    <n v="4"/>
    <s v="Roiphet34"/>
    <s v="Outdoor"/>
    <s v="Outdoor4"/>
    <n v="4.5"/>
    <x v="86"/>
    <n v="2.9599622222222228"/>
    <n v="4.933270370370372"/>
    <n v="4.933270370370372"/>
  </r>
  <r>
    <x v="6"/>
    <s v="C1-043-0025"/>
    <s v="Roiphet3C1-043-0025"/>
    <n v="4"/>
    <s v="Roiphet34"/>
    <s v="Outdoor"/>
    <s v="Outdoor4"/>
    <n v="4.5"/>
    <x v="87"/>
    <n v="1.8017955555555556"/>
    <n v="3.0029925925925927"/>
    <n v="3.0029925925925927"/>
  </r>
  <r>
    <x v="6"/>
    <s v="C1-045-0025"/>
    <s v="Roiphet3C1-045-0025"/>
    <n v="4"/>
    <s v="Roiphet34"/>
    <s v="Outdoor"/>
    <s v="Outdoor4"/>
    <n v="4.5"/>
    <x v="88"/>
    <n v="1.502971111111111"/>
    <n v="2.5049518518518519"/>
    <n v="2.5049518518518519"/>
  </r>
  <r>
    <x v="6"/>
    <s v="C1-047-0011"/>
    <s v="Roiphet3C1-047-0011"/>
    <n v="4"/>
    <s v="Roiphet34"/>
    <s v="Outdoor"/>
    <s v="Outdoor4"/>
    <n v="4.5"/>
    <x v="89"/>
    <n v="2.1126022222222218"/>
    <n v="3.5210037037037032"/>
    <n v="3.5210037037037032"/>
  </r>
  <r>
    <x v="6"/>
    <s v="C1-054-0007"/>
    <s v="Roiphet3C1-054-0007"/>
    <n v="4"/>
    <s v="Roiphet34"/>
    <s v="Outdoor"/>
    <s v="Outdoor4"/>
    <n v="4.5"/>
    <x v="90"/>
    <n v="3.7259311111111106"/>
    <n v="6.2098851851851844"/>
    <n v="6.2098851851851844"/>
  </r>
  <r>
    <x v="6"/>
    <s v="C1-051-0025"/>
    <s v="Roiphet3C1-051-0025"/>
    <n v="4"/>
    <s v="Roiphet34"/>
    <s v="Outdoor"/>
    <s v="Outdoor4"/>
    <n v="4.5"/>
    <x v="91"/>
    <n v="5.5922377777777781"/>
    <n v="9.3203962962962965"/>
    <n v="6.25"/>
  </r>
  <r>
    <x v="1"/>
    <s v="B1-021-0046"/>
    <s v="PB5B1-021-0046"/>
    <n v="2"/>
    <s v="PB52"/>
    <s v="Outdoor"/>
    <s v="Outdoor4"/>
    <n v="5.72"/>
    <x v="92"/>
    <n v="0.64115034965034967"/>
    <n v="1.0685839160839161"/>
    <n v="1.0685839160839161"/>
  </r>
  <r>
    <x v="1"/>
    <s v="A1-005-0051"/>
    <s v="PB5A1-005-0051"/>
    <n v="2"/>
    <s v="PB52"/>
    <s v="Outdoor"/>
    <s v="Outdoor4"/>
    <n v="4.37"/>
    <x v="93"/>
    <n v="0.64544851258581248"/>
    <n v="1.0757475209763543"/>
    <n v="1.0757475209763543"/>
  </r>
  <r>
    <x v="6"/>
    <s v="C1-057-0017"/>
    <s v="Roiphet3C1-057-0017"/>
    <n v="4"/>
    <s v="Roiphet34"/>
    <s v="Outdoor"/>
    <s v="Outdoor4"/>
    <n v="4.5"/>
    <x v="94"/>
    <n v="2.5831955555555561"/>
    <n v="4.3053259259259269"/>
    <n v="4.3053259259259269"/>
  </r>
  <r>
    <x v="6"/>
    <s v="C1-048-0021"/>
    <s v="Roiphet3C1-048-0021"/>
    <n v="4"/>
    <s v="Roiphet34"/>
    <s v="Outdoor"/>
    <s v="Outdoor4"/>
    <n v="4.5"/>
    <x v="95"/>
    <n v="4.1955422222222216"/>
    <n v="6.9925703703703697"/>
    <n v="6.25"/>
  </r>
  <r>
    <x v="6"/>
    <s v="A1-023-0016"/>
    <s v="Roiphet3A1-023-0016"/>
    <n v="4"/>
    <s v="Roiphet34"/>
    <s v="Outdoor"/>
    <s v="Outdoor4"/>
    <n v="4.5"/>
    <x v="96"/>
    <n v="1.7954377777777779"/>
    <n v="2.9923962962962967"/>
    <n v="2.9923962962962967"/>
  </r>
  <r>
    <x v="7"/>
    <s v="A1-007-0050"/>
    <s v="Roiphet2A1-007-0050"/>
    <n v="4"/>
    <s v="Roiphet24"/>
    <s v="Outdoor"/>
    <s v="Outdoor4"/>
    <n v="4.7"/>
    <x v="97"/>
    <n v="2.7938425531914888"/>
    <n v="4.6564042553191483"/>
    <n v="4.6564042553191483"/>
  </r>
  <r>
    <x v="11"/>
    <s v="A1-023-0031"/>
    <s v="Rayong3A1-023-0031"/>
    <n v="4"/>
    <s v="Rayong34"/>
    <s v="Outdoor"/>
    <s v="Outdoor4"/>
    <n v="6.25"/>
    <x v="98"/>
    <n v="5.6210880000000012"/>
    <n v="9.3684800000000017"/>
    <n v="6.25"/>
  </r>
  <r>
    <x v="11"/>
    <s v="D1-031-0041"/>
    <s v="Rayong3D1-031-0041"/>
    <n v="4"/>
    <s v="Rayong34"/>
    <s v="Outdoor"/>
    <s v="Outdoor4"/>
    <n v="6.25"/>
    <x v="99"/>
    <n v="8.1295680000000008"/>
    <n v="13.549280000000001"/>
    <n v="6.25"/>
  </r>
  <r>
    <x v="1"/>
    <s v="B1-023-0048"/>
    <s v="PB5B1-023-0048"/>
    <n v="4"/>
    <s v="PB54"/>
    <s v="Outdoor"/>
    <s v="Outdoor4"/>
    <n v="5.9"/>
    <x v="100"/>
    <n v="1.1966491525423724"/>
    <n v="1.9944152542372873"/>
    <n v="1.9944152542372873"/>
  </r>
  <r>
    <x v="9"/>
    <s v="B1-111-0007"/>
    <s v="LamlaungB1-111-0007"/>
    <n v="4"/>
    <s v="Lamlaung4"/>
    <s v="Outdoor"/>
    <s v="Outdoor4"/>
    <n v="5"/>
    <x v="101"/>
    <n v="4.3795960000000003"/>
    <n v="7.2993266666666674"/>
    <n v="6.25"/>
  </r>
  <r>
    <x v="9"/>
    <s v="A1-004-0045"/>
    <s v="LamlaungA1-004-0045"/>
    <n v="4"/>
    <s v="Lamlaung4"/>
    <s v="Outdoor"/>
    <s v="Outdoor4"/>
    <n v="5"/>
    <x v="102"/>
    <n v="3.2900640000000001"/>
    <n v="5.4834400000000008"/>
    <n v="5.4834400000000008"/>
  </r>
  <r>
    <x v="9"/>
    <s v="A1-002-0045"/>
    <s v="LamlaungA1-002-0045"/>
    <n v="4"/>
    <s v="Lamlaung4"/>
    <s v="Outdoor"/>
    <s v="Outdoor4"/>
    <n v="5"/>
    <x v="103"/>
    <n v="5.0380820000000002"/>
    <n v="8.3968033333333345"/>
    <n v="6.25"/>
  </r>
  <r>
    <x v="12"/>
    <s v="C1-006-0030"/>
    <s v="KamongC1-006-0030"/>
    <n v="4"/>
    <s v="Kamong4"/>
    <s v="Outdoor"/>
    <s v="Outdoor4"/>
    <n v="6.32"/>
    <x v="104"/>
    <n v="10.451768987341771"/>
    <n v="17.419614978902953"/>
    <n v="6.25"/>
  </r>
  <r>
    <x v="3"/>
    <s v="A1-002-0036"/>
    <s v="ChoknavyA1-002-0036"/>
    <n v="4"/>
    <s v="Choknavy4"/>
    <s v="Outdoor"/>
    <s v="Outdoor4"/>
    <n v="5.5"/>
    <x v="105"/>
    <n v="1.7339236363636363"/>
    <n v="2.8898727272727274"/>
    <n v="2.8898727272727274"/>
  </r>
  <r>
    <x v="3"/>
    <s v="A1-001-0040"/>
    <s v="ChoknavyA1-001-0040"/>
    <n v="4"/>
    <s v="Choknavy4"/>
    <s v="Outdoor"/>
    <s v="Outdoor4"/>
    <n v="5"/>
    <x v="106"/>
    <n v="2.2900599999999995"/>
    <n v="3.8167666666666662"/>
    <n v="3.8167666666666662"/>
  </r>
  <r>
    <x v="16"/>
    <s v="B1-010-0010"/>
    <s v="Bo ThongB1-010-0010"/>
    <n v="4"/>
    <s v="Bo Thong4"/>
    <s v="Outdoor"/>
    <s v="Outdoor4"/>
    <n v="4.79"/>
    <x v="107"/>
    <n v="9.7522275574112722"/>
    <n v="16.253712595685453"/>
    <n v="6.25"/>
  </r>
  <r>
    <x v="4"/>
    <s v="E1-032-0036"/>
    <s v="Tamai2E1-032-0036"/>
    <n v="3"/>
    <s v="Tamai23"/>
    <s v="Outdoor"/>
    <s v="Outdoor4"/>
    <n v="5.28"/>
    <x v="108"/>
    <n v="5.7127746212121204"/>
    <n v="9.5212910353535349"/>
    <n v="6.25"/>
  </r>
  <r>
    <x v="6"/>
    <s v="C1-044-0017"/>
    <s v="Roiphet3C1-044-0017"/>
    <n v="3"/>
    <s v="Roiphet33"/>
    <s v="Outdoor"/>
    <s v="Outdoor4"/>
    <n v="4.5"/>
    <x v="109"/>
    <n v="1.5227244444444441"/>
    <n v="2.5378740740740735"/>
    <n v="2.5378740740740735"/>
  </r>
  <r>
    <x v="6"/>
    <s v="C1-041-0005"/>
    <s v="Roiphet3C1-041-0005"/>
    <n v="3"/>
    <s v="Roiphet33"/>
    <s v="Outdoor"/>
    <s v="Outdoor4"/>
    <n v="5.8"/>
    <x v="110"/>
    <n v="3.2043172413793108"/>
    <n v="5.3405287356321853"/>
    <n v="5.3405287356321853"/>
  </r>
  <r>
    <x v="6"/>
    <s v="A1-008-0022"/>
    <s v="Roiphet3A1-008-0022"/>
    <n v="3"/>
    <s v="Roiphet33"/>
    <s v="Outdoor"/>
    <s v="Outdoor4"/>
    <n v="4.4000000000000004"/>
    <x v="111"/>
    <n v="4.6639204545454538"/>
    <n v="7.7732007575757569"/>
    <n v="6.25"/>
  </r>
  <r>
    <x v="6"/>
    <s v="A1-016-0029"/>
    <s v="Roiphet3A1-016-0029"/>
    <n v="3"/>
    <s v="Roiphet33"/>
    <s v="Outdoor"/>
    <s v="Outdoor4"/>
    <n v="4.5"/>
    <x v="112"/>
    <n v="4.1515777777777778"/>
    <n v="6.9192962962962969"/>
    <n v="6.25"/>
  </r>
  <r>
    <x v="6"/>
    <s v="A1-006-0011"/>
    <s v="Roiphet3A1-006-0011"/>
    <n v="3"/>
    <s v="Roiphet33"/>
    <s v="Outdoor"/>
    <s v="Outdoor4"/>
    <n v="4.5"/>
    <x v="113"/>
    <n v="4.9997133333333332"/>
    <n v="8.3328555555555557"/>
    <n v="6.25"/>
  </r>
  <r>
    <x v="7"/>
    <s v="B1-009-0042"/>
    <s v="Roiphet2B1-009-0042"/>
    <n v="3"/>
    <s v="Roiphet23"/>
    <s v="Outdoor"/>
    <s v="Outdoor4"/>
    <n v="4.9000000000000004"/>
    <x v="114"/>
    <n v="1.6834612244897951"/>
    <n v="2.8057687074829918"/>
    <n v="2.8057687074829918"/>
  </r>
  <r>
    <x v="6"/>
    <s v="A1-007-0012"/>
    <s v="Roiphet3A1-007-0012"/>
    <n v="2"/>
    <s v="Roiphet32"/>
    <s v="Outdoor"/>
    <s v="Outdoor4"/>
    <n v="4.5"/>
    <x v="115"/>
    <n v="2.2985244444444444"/>
    <n v="3.8308740740740741"/>
    <n v="3.8308740740740741"/>
  </r>
  <r>
    <x v="7"/>
    <s v="B1-013-0035"/>
    <s v="Roiphet2B1-013-0035"/>
    <n v="3"/>
    <s v="Roiphet23"/>
    <s v="Outdoor"/>
    <s v="Outdoor4"/>
    <n v="4.5"/>
    <x v="116"/>
    <n v="0.87331333333333339"/>
    <n v="1.4555222222222224"/>
    <n v="1.4555222222222224"/>
  </r>
  <r>
    <x v="11"/>
    <s v="D1-030-0016"/>
    <s v="Rayong3D1-030-0016"/>
    <n v="3"/>
    <s v="Rayong33"/>
    <s v="Outdoor"/>
    <s v="Outdoor4"/>
    <n v="6.25"/>
    <x v="117"/>
    <n v="6.7230144000000003"/>
    <n v="11.205024000000002"/>
    <n v="6.25"/>
  </r>
  <r>
    <x v="1"/>
    <s v="A1-007-0050"/>
    <s v="PB5A1-007-0050"/>
    <n v="3"/>
    <s v="PB53"/>
    <s v="Outdoor"/>
    <s v="Outdoor4"/>
    <n v="4.5199999999999996"/>
    <x v="118"/>
    <n v="-0.41300442477876076"/>
    <n v="-0.68834070796460134"/>
    <n v="0"/>
  </r>
  <r>
    <x v="1"/>
    <s v="A1-009-0047"/>
    <s v="PB5A1-009-0047"/>
    <n v="3"/>
    <s v="PB53"/>
    <s v="Outdoor"/>
    <s v="Outdoor4"/>
    <n v="4.62"/>
    <x v="119"/>
    <n v="1.1593398268398265"/>
    <n v="1.9322330447330442"/>
    <n v="1.9322330447330442"/>
  </r>
  <r>
    <x v="1"/>
    <s v="B1-022-0049"/>
    <s v="PB5B1-022-0049"/>
    <n v="3"/>
    <s v="PB53"/>
    <s v="Outdoor"/>
    <s v="Outdoor4"/>
    <n v="5.72"/>
    <x v="120"/>
    <n v="0.56253846153846165"/>
    <n v="0.93756410256410283"/>
    <n v="0.93756410256410283"/>
  </r>
  <r>
    <x v="10"/>
    <s v="A1-045-0003"/>
    <s v="Lucky2A1-045-0003"/>
    <n v="3"/>
    <s v="Lucky23"/>
    <s v="Outdoor"/>
    <s v="Outdoor4"/>
    <n v="5.3"/>
    <x v="121"/>
    <n v="5.4231547169811325"/>
    <n v="9.0385911949685553"/>
    <n v="6.25"/>
  </r>
  <r>
    <x v="9"/>
    <s v="A1-001-0019"/>
    <s v="LamlaungA1-001-0019"/>
    <n v="3"/>
    <s v="Lamlaung3"/>
    <s v="Outdoor"/>
    <s v="Outdoor4"/>
    <n v="5"/>
    <x v="122"/>
    <n v="0.71707200000000038"/>
    <n v="1.1951200000000006"/>
    <n v="1.1951200000000006"/>
  </r>
  <r>
    <x v="2"/>
    <s v="B1-018-0012"/>
    <s v="LamaeB1-018-0012"/>
    <n v="3"/>
    <s v="Lamae3"/>
    <s v="Outdoor"/>
    <s v="Outdoor4"/>
    <n v="6"/>
    <x v="123"/>
    <n v="3.7046016666666661"/>
    <n v="6.1743361111111108"/>
    <n v="6.1743361111111108"/>
  </r>
  <r>
    <x v="3"/>
    <s v="A1-006-0031"/>
    <s v="ChoknavyA1-006-0031"/>
    <n v="3"/>
    <s v="Choknavy3"/>
    <s v="Outdoor"/>
    <s v="Outdoor4"/>
    <n v="5.5"/>
    <x v="124"/>
    <n v="3.7263927272727271"/>
    <n v="6.2106545454545454"/>
    <n v="6.2106545454545454"/>
  </r>
  <r>
    <x v="0"/>
    <s v="B1-003-0010"/>
    <s v="BangsakaoB1-003-0010"/>
    <n v="3"/>
    <s v="Bangsakao3"/>
    <s v="Outdoor"/>
    <s v="Outdoor4"/>
    <n v="4.3"/>
    <x v="125"/>
    <n v="-0.81091627906976727"/>
    <n v="-1.3515271317829456"/>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DF8366-EC54-6641-A0B1-BCDC60DA55AD}" name="PivotTable3"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4:P23" firstHeaderRow="1" firstDataRow="1" firstDataCol="1"/>
  <pivotFields count="12">
    <pivotField axis="axisRow" showAll="0">
      <items count="19">
        <item x="0"/>
        <item x="16"/>
        <item x="15"/>
        <item x="3"/>
        <item x="17"/>
        <item x="12"/>
        <item x="2"/>
        <item x="9"/>
        <item x="10"/>
        <item x="8"/>
        <item x="1"/>
        <item x="14"/>
        <item x="11"/>
        <item x="7"/>
        <item x="6"/>
        <item x="13"/>
        <item x="5"/>
        <item x="4"/>
        <item t="default"/>
      </items>
    </pivotField>
    <pivotField showAll="0"/>
    <pivotField showAll="0"/>
    <pivotField showAll="0"/>
    <pivotField showAll="0"/>
    <pivotField showAll="0"/>
    <pivotField showAll="0"/>
    <pivotField showAll="0"/>
    <pivotField dataField="1" showAll="0">
      <items count="127">
        <item x="4"/>
        <item x="70"/>
        <item x="125"/>
        <item x="83"/>
        <item x="59"/>
        <item x="43"/>
        <item x="118"/>
        <item x="40"/>
        <item x="41"/>
        <item x="15"/>
        <item x="56"/>
        <item x="38"/>
        <item x="44"/>
        <item x="42"/>
        <item x="52"/>
        <item x="37"/>
        <item x="0"/>
        <item x="58"/>
        <item x="46"/>
        <item x="120"/>
        <item x="92"/>
        <item x="93"/>
        <item x="72"/>
        <item x="122"/>
        <item x="67"/>
        <item x="6"/>
        <item x="48"/>
        <item x="71"/>
        <item x="116"/>
        <item x="23"/>
        <item x="68"/>
        <item x="73"/>
        <item x="119"/>
        <item x="100"/>
        <item x="65"/>
        <item x="76"/>
        <item x="88"/>
        <item x="109"/>
        <item x="85"/>
        <item x="75"/>
        <item x="114"/>
        <item x="82"/>
        <item x="105"/>
        <item x="96"/>
        <item x="87"/>
        <item x="1"/>
        <item x="39"/>
        <item x="7"/>
        <item x="89"/>
        <item x="25"/>
        <item x="49"/>
        <item x="14"/>
        <item x="106"/>
        <item x="115"/>
        <item x="55"/>
        <item x="57"/>
        <item x="81"/>
        <item x="94"/>
        <item x="77"/>
        <item x="60"/>
        <item x="12"/>
        <item x="97"/>
        <item x="26"/>
        <item x="13"/>
        <item x="19"/>
        <item x="63"/>
        <item x="86"/>
        <item x="45"/>
        <item x="20"/>
        <item x="62"/>
        <item x="110"/>
        <item x="10"/>
        <item x="102"/>
        <item x="27"/>
        <item x="78"/>
        <item x="30"/>
        <item x="2"/>
        <item x="3"/>
        <item x="69"/>
        <item x="50"/>
        <item x="64"/>
        <item x="74"/>
        <item x="35"/>
        <item x="123"/>
        <item x="90"/>
        <item x="124"/>
        <item x="66"/>
        <item x="112"/>
        <item x="95"/>
        <item x="5"/>
        <item x="51"/>
        <item x="101"/>
        <item x="31"/>
        <item x="61"/>
        <item x="28"/>
        <item x="111"/>
        <item x="34"/>
        <item x="32"/>
        <item x="54"/>
        <item x="84"/>
        <item x="113"/>
        <item x="103"/>
        <item x="11"/>
        <item x="121"/>
        <item x="91"/>
        <item x="98"/>
        <item x="16"/>
        <item x="108"/>
        <item x="21"/>
        <item x="53"/>
        <item x="117"/>
        <item x="29"/>
        <item x="22"/>
        <item x="9"/>
        <item x="80"/>
        <item x="99"/>
        <item x="36"/>
        <item x="8"/>
        <item x="47"/>
        <item x="17"/>
        <item x="107"/>
        <item x="33"/>
        <item x="104"/>
        <item x="18"/>
        <item x="24"/>
        <item x="79"/>
        <item t="default"/>
      </items>
    </pivotField>
    <pivotField showAll="0"/>
    <pivotField showAll="0"/>
    <pivotField showAll="0"/>
  </pivotFields>
  <rowFields count="1">
    <field x="0"/>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of Yield (Ton/Rai)" fld="8" subtotal="average" baseField="0" baseItem="0" numFmtId="165"/>
  </dataFields>
  <formats count="5">
    <format dxfId="14">
      <pivotArea outline="0" collapsedLevelsAreSubtotals="1" fieldPosition="0"/>
    </format>
    <format dxfId="13">
      <pivotArea dataOnly="0" labelOnly="1" outline="0" axis="axisValues" fieldPosition="0"/>
    </format>
    <format dxfId="12">
      <pivotArea dataOnly="0" fieldPosition="0">
        <references count="1">
          <reference field="0" count="1">
            <x v="1"/>
          </reference>
        </references>
      </pivotArea>
    </format>
    <format dxfId="11">
      <pivotArea dataOnly="0" fieldPosition="0">
        <references count="1">
          <reference field="0" count="1">
            <x v="9"/>
          </reference>
        </references>
      </pivotArea>
    </format>
    <format dxfId="10">
      <pivotArea dataOnly="0" fieldPosition="0">
        <references count="1">
          <reference field="0" count="1">
            <x v="1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9716F6-5508-F04E-BFE5-3AFD2CC7DD7C}" name="PivotTable2" cacheId="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17:N32" firstHeaderRow="1" firstDataRow="1" firstDataCol="1"/>
  <pivotFields count="1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dataField="1" numFmtId="165" showAll="0">
      <items count="327">
        <item x="33"/>
        <item x="317"/>
        <item x="305"/>
        <item x="195"/>
        <item x="78"/>
        <item x="303"/>
        <item x="203"/>
        <item x="18"/>
        <item x="192"/>
        <item x="70"/>
        <item x="74"/>
        <item x="188"/>
        <item x="19"/>
        <item x="51"/>
        <item x="306"/>
        <item x="189"/>
        <item x="68"/>
        <item x="194"/>
        <item x="304"/>
        <item x="69"/>
        <item x="254"/>
        <item x="256"/>
        <item x="319"/>
        <item x="255"/>
        <item x="191"/>
        <item x="29"/>
        <item x="308"/>
        <item x="45"/>
        <item x="193"/>
        <item x="50"/>
        <item x="200"/>
        <item x="227"/>
        <item x="309"/>
        <item x="187"/>
        <item x="253"/>
        <item x="324"/>
        <item x="202"/>
        <item x="156"/>
        <item x="226"/>
        <item x="112"/>
        <item x="48"/>
        <item x="176"/>
        <item x="310"/>
        <item x="106"/>
        <item x="186"/>
        <item x="190"/>
        <item x="307"/>
        <item x="42"/>
        <item x="62"/>
        <item x="149"/>
        <item x="43"/>
        <item x="34"/>
        <item x="146"/>
        <item x="133"/>
        <item x="248"/>
        <item x="30"/>
        <item x="104"/>
        <item x="249"/>
        <item x="120"/>
        <item x="134"/>
        <item x="111"/>
        <item x="151"/>
        <item x="154"/>
        <item x="148"/>
        <item x="244"/>
        <item x="113"/>
        <item x="157"/>
        <item x="261"/>
        <item x="142"/>
        <item x="178"/>
        <item x="28"/>
        <item x="123"/>
        <item x="243"/>
        <item x="153"/>
        <item x="225"/>
        <item x="260"/>
        <item x="132"/>
        <item x="163"/>
        <item x="152"/>
        <item x="196"/>
        <item x="177"/>
        <item x="165"/>
        <item x="207"/>
        <item x="144"/>
        <item x="171"/>
        <item x="125"/>
        <item x="325"/>
        <item x="211"/>
        <item x="197"/>
        <item x="147"/>
        <item x="131"/>
        <item x="164"/>
        <item x="247"/>
        <item x="155"/>
        <item x="265"/>
        <item x="201"/>
        <item x="242"/>
        <item x="63"/>
        <item x="258"/>
        <item x="129"/>
        <item x="110"/>
        <item x="107"/>
        <item x="55"/>
        <item x="221"/>
        <item x="116"/>
        <item x="312"/>
        <item x="209"/>
        <item x="210"/>
        <item x="251"/>
        <item x="204"/>
        <item x="64"/>
        <item x="150"/>
        <item x="170"/>
        <item x="279"/>
        <item x="119"/>
        <item x="199"/>
        <item x="229"/>
        <item x="115"/>
        <item x="128"/>
        <item x="54"/>
        <item x="184"/>
        <item x="266"/>
        <item x="228"/>
        <item x="167"/>
        <item x="250"/>
        <item x="219"/>
        <item x="212"/>
        <item x="185"/>
        <item x="20"/>
        <item x="224"/>
        <item x="65"/>
        <item x="230"/>
        <item x="124"/>
        <item x="259"/>
        <item x="270"/>
        <item x="46"/>
        <item x="141"/>
        <item x="208"/>
        <item x="25"/>
        <item x="169"/>
        <item x="205"/>
        <item x="282"/>
        <item x="240"/>
        <item x="103"/>
        <item x="277"/>
        <item x="175"/>
        <item x="44"/>
        <item x="233"/>
        <item x="292"/>
        <item x="239"/>
        <item x="222"/>
        <item x="59"/>
        <item x="145"/>
        <item x="168"/>
        <item x="302"/>
        <item x="158"/>
        <item x="108"/>
        <item x="295"/>
        <item x="118"/>
        <item x="56"/>
        <item x="179"/>
        <item x="272"/>
        <item x="57"/>
        <item x="269"/>
        <item x="117"/>
        <item x="159"/>
        <item x="311"/>
        <item x="313"/>
        <item x="297"/>
        <item x="223"/>
        <item x="220"/>
        <item x="94"/>
        <item x="215"/>
        <item x="296"/>
        <item x="275"/>
        <item x="236"/>
        <item x="166"/>
        <item x="231"/>
        <item x="114"/>
        <item x="198"/>
        <item x="174"/>
        <item x="121"/>
        <item x="53"/>
        <item x="234"/>
        <item x="301"/>
        <item x="289"/>
        <item x="173"/>
        <item x="257"/>
        <item x="127"/>
        <item x="284"/>
        <item x="218"/>
        <item x="137"/>
        <item x="287"/>
        <item x="213"/>
        <item x="290"/>
        <item x="180"/>
        <item x="262"/>
        <item x="237"/>
        <item x="232"/>
        <item x="245"/>
        <item x="285"/>
        <item x="126"/>
        <item x="276"/>
        <item x="252"/>
        <item x="172"/>
        <item x="5"/>
        <item x="139"/>
        <item x="122"/>
        <item x="298"/>
        <item x="0"/>
        <item x="37"/>
        <item x="52"/>
        <item x="8"/>
        <item x="143"/>
        <item x="300"/>
        <item x="288"/>
        <item x="36"/>
        <item x="67"/>
        <item x="278"/>
        <item x="235"/>
        <item x="293"/>
        <item x="140"/>
        <item x="105"/>
        <item x="291"/>
        <item x="321"/>
        <item x="87"/>
        <item x="4"/>
        <item x="241"/>
        <item x="206"/>
        <item x="9"/>
        <item x="246"/>
        <item x="130"/>
        <item x="263"/>
        <item x="138"/>
        <item x="273"/>
        <item x="58"/>
        <item x="162"/>
        <item x="21"/>
        <item x="109"/>
        <item x="299"/>
        <item x="66"/>
        <item x="182"/>
        <item x="271"/>
        <item x="281"/>
        <item x="12"/>
        <item x="27"/>
        <item x="35"/>
        <item x="61"/>
        <item x="314"/>
        <item x="2"/>
        <item x="264"/>
        <item x="238"/>
        <item x="49"/>
        <item x="7"/>
        <item x="286"/>
        <item x="136"/>
        <item x="214"/>
        <item x="316"/>
        <item x="32"/>
        <item x="181"/>
        <item x="10"/>
        <item x="294"/>
        <item x="1"/>
        <item x="274"/>
        <item x="280"/>
        <item x="26"/>
        <item x="16"/>
        <item x="6"/>
        <item x="11"/>
        <item x="216"/>
        <item x="268"/>
        <item x="13"/>
        <item x="217"/>
        <item x="60"/>
        <item x="3"/>
        <item x="90"/>
        <item x="22"/>
        <item x="75"/>
        <item x="315"/>
        <item x="77"/>
        <item x="183"/>
        <item x="267"/>
        <item x="76"/>
        <item x="283"/>
        <item x="41"/>
        <item x="47"/>
        <item x="160"/>
        <item x="31"/>
        <item x="101"/>
        <item x="320"/>
        <item x="71"/>
        <item x="24"/>
        <item x="161"/>
        <item x="38"/>
        <item x="322"/>
        <item x="14"/>
        <item x="17"/>
        <item x="98"/>
        <item x="323"/>
        <item x="79"/>
        <item x="85"/>
        <item x="135"/>
        <item x="89"/>
        <item x="97"/>
        <item x="92"/>
        <item x="15"/>
        <item x="81"/>
        <item x="88"/>
        <item x="100"/>
        <item x="83"/>
        <item x="73"/>
        <item x="99"/>
        <item x="40"/>
        <item x="82"/>
        <item x="23"/>
        <item x="102"/>
        <item x="93"/>
        <item x="86"/>
        <item x="39"/>
        <item x="80"/>
        <item x="95"/>
        <item x="96"/>
        <item x="72"/>
        <item x="318"/>
        <item x="84"/>
        <item x="91"/>
        <item t="default"/>
      </items>
    </pivotField>
    <pivotField numFmtId="165" showAll="0"/>
  </pivotFields>
  <rowFields count="1">
    <field x="0"/>
  </rowFields>
  <rowItems count="15">
    <i>
      <x/>
    </i>
    <i>
      <x v="1"/>
    </i>
    <i>
      <x v="2"/>
    </i>
    <i>
      <x v="3"/>
    </i>
    <i>
      <x v="4"/>
    </i>
    <i>
      <x v="5"/>
    </i>
    <i>
      <x v="6"/>
    </i>
    <i>
      <x v="7"/>
    </i>
    <i>
      <x v="8"/>
    </i>
    <i>
      <x v="9"/>
    </i>
    <i>
      <x v="10"/>
    </i>
    <i>
      <x v="11"/>
    </i>
    <i>
      <x v="12"/>
    </i>
    <i>
      <x v="13"/>
    </i>
    <i t="grand">
      <x/>
    </i>
  </rowItems>
  <colItems count="1">
    <i/>
  </colItems>
  <dataFields count="1">
    <dataField name="Average of Yield (Ton/Rai)" fld="8" subtotal="average" baseField="0" baseItem="0"/>
  </dataFields>
  <formats count="5">
    <format dxfId="9">
      <pivotArea collapsedLevelsAreSubtotals="1" fieldPosition="0">
        <references count="1">
          <reference field="0" count="1">
            <x v="5"/>
          </reference>
        </references>
      </pivotArea>
    </format>
    <format dxfId="8">
      <pivotArea dataOnly="0" labelOnly="1" fieldPosition="0">
        <references count="1">
          <reference field="0" count="1">
            <x v="5"/>
          </reference>
        </references>
      </pivotArea>
    </format>
    <format dxfId="7">
      <pivotArea dataOnly="0" fieldPosition="0">
        <references count="1">
          <reference field="0" count="1">
            <x v="6"/>
          </reference>
        </references>
      </pivotArea>
    </format>
    <format dxfId="6">
      <pivotArea collapsedLevelsAreSubtotals="1" fieldPosition="0">
        <references count="1">
          <reference field="0" count="1">
            <x v="2"/>
          </reference>
        </references>
      </pivotArea>
    </format>
    <format dxfId="5">
      <pivotArea dataOnly="0" labelOnly="1" fieldPosition="0">
        <references count="1">
          <reference field="0"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598D04-968B-744C-B000-8455E77A8CB5}" name="PivotTable4" cacheId="4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8" firstHeaderRow="0" firstDataRow="1" firstDataCol="1"/>
  <pivotFields count="12">
    <pivotField showAll="0"/>
    <pivotField showAll="0"/>
    <pivotField showAll="0"/>
    <pivotField showAll="0"/>
    <pivotField showAll="0"/>
    <pivotField showAll="0"/>
    <pivotField axis="axisRow" showAll="0">
      <items count="5">
        <item x="1"/>
        <item x="3"/>
        <item x="2"/>
        <item x="0"/>
        <item t="default"/>
      </items>
    </pivotField>
    <pivotField showAll="0"/>
    <pivotField dataField="1" numFmtId="43" showAll="0"/>
    <pivotField numFmtId="43" showAll="0"/>
    <pivotField dataField="1" numFmtId="165" showAll="0"/>
    <pivotField showAll="0"/>
  </pivotFields>
  <rowFields count="1">
    <field x="6"/>
  </rowFields>
  <rowItems count="5">
    <i>
      <x/>
    </i>
    <i>
      <x v="1"/>
    </i>
    <i>
      <x v="2"/>
    </i>
    <i>
      <x v="3"/>
    </i>
    <i t="grand">
      <x/>
    </i>
  </rowItems>
  <colFields count="1">
    <field x="-2"/>
  </colFields>
  <colItems count="2">
    <i>
      <x/>
    </i>
    <i i="1">
      <x v="1"/>
    </i>
  </colItems>
  <dataFields count="2">
    <dataField name="Average of Yield (Ton/Rai)" fld="8" subtotal="average" baseField="0" baseItem="0"/>
    <dataField name="Average of คะแนนดิบ2" fld="10" subtotal="average" baseField="0" baseItem="0" numFmtId="165"/>
  </dataFields>
  <formats count="2">
    <format dxfId="2">
      <pivotArea outline="0" collapsedLevelsAreSubtotals="1" fieldPosition="0">
        <references count="1">
          <reference field="4294967294" count="1" selected="0">
            <x v="1"/>
          </reference>
        </references>
      </pivotArea>
    </format>
    <format dxfId="1">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F5F9E7-8AB2-0847-B8AF-6E4454CEA4DB}" name="PivotTable1" cacheId="4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8" firstHeaderRow="1" firstDataRow="1" firstDataCol="1"/>
  <pivotFields count="12">
    <pivotField showAll="0"/>
    <pivotField showAll="0"/>
    <pivotField showAll="0"/>
    <pivotField showAll="0"/>
    <pivotField showAll="0"/>
    <pivotField showAll="0"/>
    <pivotField axis="axisRow" showAll="0">
      <items count="5">
        <item x="1"/>
        <item x="3"/>
        <item x="2"/>
        <item x="0"/>
        <item t="default"/>
      </items>
    </pivotField>
    <pivotField showAll="0"/>
    <pivotField numFmtId="43" showAll="0"/>
    <pivotField numFmtId="43" showAll="0"/>
    <pivotField dataField="1" numFmtId="165" showAll="0"/>
    <pivotField showAll="0"/>
  </pivotFields>
  <rowFields count="1">
    <field x="6"/>
  </rowFields>
  <rowItems count="5">
    <i>
      <x/>
    </i>
    <i>
      <x v="1"/>
    </i>
    <i>
      <x v="2"/>
    </i>
    <i>
      <x v="3"/>
    </i>
    <i t="grand">
      <x/>
    </i>
  </rowItems>
  <colItems count="1">
    <i/>
  </colItems>
  <dataFields count="1">
    <dataField name="Average of คะแนนดิบ" fld="10" subtotal="average" baseField="0" baseItem="0"/>
  </dataFields>
  <formats count="1">
    <format dxfId="0">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rm" xr10:uid="{96E6B0F2-DE1C-6C4E-8ED1-6B55BFBE9B22}" sourceName="Farm">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rm" xr10:uid="{B36833C3-50CE-C24D-B5E2-67C6A23F4AA5}" cache="Slicer_Farm" caption="Farm" startItem="6"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09D118-14D1-5146-A244-99EE4171FE70}" name="Table2" displayName="Table2" ref="A1:L130" totalsRowShown="0">
  <autoFilter ref="A1:L130" xr:uid="{D909D118-14D1-5146-A244-99EE4171FE70}"/>
  <tableColumns count="12">
    <tableColumn id="1" xr3:uid="{2AFBB3D0-B237-1047-9F00-3B8C5D16C25F}" name="Farm"/>
    <tableColumn id="2" xr3:uid="{6AD8299E-6B6E-F642-BF38-5A72F8D157F1}" name="Pond"/>
    <tableColumn id="3" xr3:uid="{81BD03E4-9498-FE45-9055-05668E81441C}" name="Forvlookup"/>
    <tableColumn id="4" xr3:uid="{955DB8F3-B6F1-F84D-9DED-2EB5A7CDDB0E}" name="month closed"/>
    <tableColumn id="5" xr3:uid="{F762657F-0223-C44B-AA98-D06366C26358}" name="FOR SUMIF"/>
    <tableColumn id="6" xr3:uid="{85845297-BB6F-0746-ACF7-19CF9EF6238B}" name="Pond Type"/>
    <tableColumn id="7" xr3:uid="{0DEE4684-B599-A14B-BE62-F04ED7554F00}" name="TYPE"/>
    <tableColumn id="8" xr3:uid="{492A8FC0-9D78-234C-BA4C-248999B6E84B}" name="Area (Rai)"/>
    <tableColumn id="9" xr3:uid="{62816C4B-2069-F24A-9109-4C805F072C51}" name="Yield (Ton/Rai)"/>
    <tableColumn id="10" xr3:uid="{12407E33-78DB-FE4E-9E8D-6EAEC5178EAC}" name="ปรับฐาน"/>
    <tableColumn id="11" xr3:uid="{8DB45734-DE3C-CA4F-8221-4BD5BC965A52}" name="คะแนนดิบ"/>
    <tableColumn id="12" xr3:uid="{E99B104D-A866-CC44-A63A-EF8605F85CFB}" name="คะแนนปัด"/>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414659-B61E-2B4A-9883-EC65DCD0ADE9}" name="Table1" displayName="Table1" ref="A1:J330" totalsRowShown="0">
  <autoFilter ref="A1:J330" xr:uid="{28414659-B61E-2B4A-9883-EC65DCD0ADE9}"/>
  <sortState xmlns:xlrd2="http://schemas.microsoft.com/office/spreadsheetml/2017/richdata2" ref="A2:J330">
    <sortCondition ref="A1:A330"/>
  </sortState>
  <tableColumns count="10">
    <tableColumn id="1" xr3:uid="{6DAA8F90-08D9-594F-8D20-9F4CD5C76E48}" name="Farm"/>
    <tableColumn id="2" xr3:uid="{1DD547CD-EA07-B44B-A6C3-4A0A17D9220E}" name="Pond"/>
    <tableColumn id="3" xr3:uid="{58A0F170-6DED-1143-9E62-AD0F806B4C87}" name="Forvlookup"/>
    <tableColumn id="4" xr3:uid="{04435BCF-7988-5F49-AA60-98209A89BBF1}" name="month closed"/>
    <tableColumn id="5" xr3:uid="{2F92ECB8-82DF-8947-9D55-10B3AA765F0B}" name="FOR SUMIF"/>
    <tableColumn id="6" xr3:uid="{4A058584-4DA6-564B-BA19-270358CADA3E}" name="Pond Type"/>
    <tableColumn id="7" xr3:uid="{E15615FF-BAEB-FC4F-B19F-A2E82487C9BF}" name="TYPE"/>
    <tableColumn id="8" xr3:uid="{1F88553C-AF15-3F40-A7C8-D619295215C1}" name="Area (Rai)"/>
    <tableColumn id="9" xr3:uid="{97A9795E-55CE-C046-ACFB-4A98815202B6}" name="Yield (Ton/Rai)" dataDxfId="4" dataCellStyle="Comma"/>
    <tableColumn id="11" xr3:uid="{418FAE2C-DDDA-2247-9325-7EDC6EC21E99}" name="คะแนนดิบ" dataDxfId="3"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2.xml"/><Relationship Id="rId4" Type="http://schemas.microsoft.com/office/2007/relationships/slicer" Target="../slicers/slicer1.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FAF7B-9ED3-3646-BB21-3396C3CDE756}">
  <dimension ref="B1:AN42"/>
  <sheetViews>
    <sheetView topLeftCell="J1" zoomScale="140" zoomScaleNormal="140" workbookViewId="0">
      <selection activeCell="T19" sqref="T19"/>
    </sheetView>
  </sheetViews>
  <sheetFormatPr baseColWidth="10" defaultRowHeight="16"/>
  <cols>
    <col min="1" max="1" width="0" hidden="1" customWidth="1"/>
    <col min="2" max="2" width="19.5" hidden="1" customWidth="1"/>
    <col min="3" max="3" width="0" style="24" hidden="1" customWidth="1"/>
    <col min="4" max="9" width="0" hidden="1" customWidth="1"/>
    <col min="10" max="10" width="3.5" customWidth="1"/>
    <col min="11" max="11" width="28.5" customWidth="1"/>
    <col min="12" max="18" width="11.1640625" style="6" customWidth="1"/>
    <col min="21" max="21" width="28.6640625" customWidth="1"/>
  </cols>
  <sheetData>
    <row r="1" spans="2:40" s="10" customFormat="1" ht="17">
      <c r="B1" s="35"/>
      <c r="C1" s="36">
        <v>50</v>
      </c>
      <c r="D1" s="36">
        <v>25</v>
      </c>
      <c r="E1" s="36">
        <v>6.25</v>
      </c>
      <c r="F1" s="36">
        <v>6.25</v>
      </c>
      <c r="G1" s="36">
        <v>6.25</v>
      </c>
      <c r="H1" s="36">
        <v>6.25</v>
      </c>
      <c r="K1" s="31" t="s">
        <v>1856</v>
      </c>
      <c r="L1" s="37">
        <v>50</v>
      </c>
      <c r="M1" s="37">
        <v>25</v>
      </c>
      <c r="N1" s="37">
        <v>6.25</v>
      </c>
      <c r="O1" s="37">
        <v>6.25</v>
      </c>
      <c r="P1" s="37">
        <v>6.25</v>
      </c>
      <c r="Q1" s="37">
        <v>6.25</v>
      </c>
      <c r="R1" s="38">
        <v>100</v>
      </c>
    </row>
    <row r="2" spans="2:40" s="34" customFormat="1" ht="17" customHeight="1">
      <c r="B2" s="31" t="s">
        <v>1829</v>
      </c>
      <c r="C2" s="32" t="s">
        <v>1836</v>
      </c>
      <c r="D2" s="33" t="s">
        <v>1850</v>
      </c>
      <c r="E2" s="33" t="s">
        <v>1851</v>
      </c>
      <c r="F2" s="33" t="s">
        <v>1852</v>
      </c>
      <c r="G2" s="33" t="s">
        <v>29</v>
      </c>
      <c r="H2" s="33" t="s">
        <v>1853</v>
      </c>
      <c r="K2" s="31" t="s">
        <v>1858</v>
      </c>
      <c r="L2" s="39" t="s">
        <v>1836</v>
      </c>
      <c r="M2" s="40" t="s">
        <v>1850</v>
      </c>
      <c r="N2" s="40" t="s">
        <v>1851</v>
      </c>
      <c r="O2" s="40" t="s">
        <v>1852</v>
      </c>
      <c r="P2" s="40" t="s">
        <v>29</v>
      </c>
      <c r="Q2" s="40" t="s">
        <v>1853</v>
      </c>
      <c r="R2" s="41" t="s">
        <v>1857</v>
      </c>
      <c r="U2" s="45" t="s">
        <v>1859</v>
      </c>
      <c r="V2" s="45" t="s">
        <v>1860</v>
      </c>
      <c r="W2" s="10"/>
      <c r="X2" s="10"/>
      <c r="Y2" s="10"/>
      <c r="Z2" s="10"/>
      <c r="AA2" s="10"/>
      <c r="AB2" s="10"/>
      <c r="AC2" s="10"/>
      <c r="AD2" s="10"/>
      <c r="AE2" s="10"/>
      <c r="AF2" s="10"/>
      <c r="AG2" s="10"/>
      <c r="AH2" s="10"/>
      <c r="AI2" s="10"/>
      <c r="AJ2" s="10"/>
      <c r="AK2" s="10"/>
      <c r="AL2" s="10"/>
      <c r="AM2" s="10"/>
      <c r="AN2" s="10"/>
    </row>
    <row r="3" spans="2:40">
      <c r="B3" s="27" t="s">
        <v>66</v>
      </c>
      <c r="C3" s="28" t="e">
        <f>AVERAGEIF(ผลประหยัด!$A$10:$A$846,B3,ผลประหยัด!$I$10:$I$846)</f>
        <v>#DIV/0!</v>
      </c>
      <c r="D3" s="28" t="e">
        <f>AVERAGEIF(SR!$A$10:$A$846,'PML เรียง'!B3,SR!#REF!)</f>
        <v>#REF!</v>
      </c>
      <c r="E3" s="29" t="e">
        <f>AVERAGEIF(ADG!$A$10:$A$1044,'PML เรียง'!B3,ADG!#REF!)</f>
        <v>#REF!</v>
      </c>
      <c r="F3" s="29" t="e">
        <f>AVERAGEIF(YIELD!$A$10:$A$1044,'PML เรียง'!B3,YIELD!$K$10:$K$1044)</f>
        <v>#DIV/0!</v>
      </c>
      <c r="G3" s="30" t="e">
        <f>AVERAGEIF(FCR!$A$10:$A$1044,'PML เรียง'!B3,FCR!$L$10:$L$1044)</f>
        <v>#DIV/0!</v>
      </c>
      <c r="H3" s="28" t="e">
        <f>AVERAGEIF(SIZE!$A$10:$A$1044,'PML เรียง'!B3,SIZE!$H$10:$H$1044)</f>
        <v>#DIV/0!</v>
      </c>
      <c r="K3" s="26" t="s">
        <v>567</v>
      </c>
      <c r="L3" s="42">
        <v>30.6835911231076</v>
      </c>
      <c r="M3" s="43">
        <v>25</v>
      </c>
      <c r="N3" s="44">
        <v>2.640047359375</v>
      </c>
      <c r="O3" s="44">
        <v>6.25</v>
      </c>
      <c r="P3" s="44">
        <v>4.0026013836486545</v>
      </c>
      <c r="Q3" s="44">
        <v>4.2899139271015541</v>
      </c>
      <c r="R3" s="44">
        <v>72.866153793232812</v>
      </c>
      <c r="U3" s="45" t="s">
        <v>1861</v>
      </c>
      <c r="V3" s="46" t="s">
        <v>1864</v>
      </c>
      <c r="W3" s="10"/>
      <c r="X3" s="10"/>
      <c r="Y3" s="10"/>
      <c r="Z3" s="10"/>
      <c r="AA3" s="10"/>
      <c r="AB3" s="10"/>
      <c r="AC3" s="10"/>
      <c r="AD3" s="10"/>
      <c r="AE3" s="10"/>
      <c r="AF3" s="10"/>
      <c r="AG3" s="10"/>
      <c r="AH3" s="10"/>
      <c r="AI3" s="10"/>
      <c r="AJ3" s="10"/>
      <c r="AK3" s="10"/>
      <c r="AL3" s="10"/>
      <c r="AM3" s="10"/>
      <c r="AN3" s="10"/>
    </row>
    <row r="4" spans="2:40">
      <c r="B4" s="27" t="s">
        <v>87</v>
      </c>
      <c r="C4" s="28" t="e">
        <f>AVERAGEIF(ผลประหยัด!$A$10:$A$846,B4,ผลประหยัด!$I$10:$I$846)</f>
        <v>#DIV/0!</v>
      </c>
      <c r="D4" s="28" t="e">
        <f>AVERAGEIF(SR!$A$10:$A$846,'PML เรียง'!B4,SR!#REF!)</f>
        <v>#REF!</v>
      </c>
      <c r="E4" s="29" t="e">
        <f>AVERAGEIF(ADG!$A$10:$A$1044,'PML เรียง'!B4,ADG!#REF!)</f>
        <v>#REF!</v>
      </c>
      <c r="F4" s="29" t="e">
        <f>AVERAGEIF(YIELD!$A$10:$A$1044,'PML เรียง'!B4,YIELD!$K$10:$K$1044)</f>
        <v>#DIV/0!</v>
      </c>
      <c r="G4" s="30" t="e">
        <f>AVERAGEIF(FCR!$A$10:$A$1044,'PML เรียง'!B4,FCR!$L$10:$L$1044)</f>
        <v>#DIV/0!</v>
      </c>
      <c r="H4" s="28" t="e">
        <f>AVERAGEIF(SIZE!$A$10:$A$1044,'PML เรียง'!B4,SIZE!$H$10:$H$1044)</f>
        <v>#DIV/0!</v>
      </c>
      <c r="K4" s="26" t="s">
        <v>1660</v>
      </c>
      <c r="L4" s="42">
        <v>27.788864534052991</v>
      </c>
      <c r="M4" s="43">
        <v>20.844796970637411</v>
      </c>
      <c r="N4" s="44">
        <v>4.1671075815568468</v>
      </c>
      <c r="O4" s="44">
        <v>6.25</v>
      </c>
      <c r="P4" s="44">
        <v>2.6946910840855383</v>
      </c>
      <c r="Q4" s="44">
        <v>5.8472813079737467</v>
      </c>
      <c r="R4" s="44">
        <v>67.592741478306536</v>
      </c>
      <c r="U4" s="45" t="s">
        <v>1862</v>
      </c>
      <c r="V4" s="47" t="s">
        <v>1865</v>
      </c>
      <c r="W4" s="10"/>
      <c r="X4" s="10"/>
      <c r="Y4" s="10"/>
      <c r="Z4" s="10"/>
      <c r="AA4" s="10"/>
      <c r="AB4" s="10"/>
      <c r="AC4" s="10"/>
      <c r="AD4" s="10"/>
      <c r="AE4" s="10"/>
      <c r="AF4" s="10"/>
      <c r="AG4" s="10"/>
      <c r="AH4" s="10"/>
      <c r="AI4" s="10"/>
      <c r="AJ4" s="10"/>
      <c r="AK4" s="10"/>
      <c r="AL4" s="10"/>
      <c r="AM4" s="10"/>
      <c r="AN4" s="10"/>
    </row>
    <row r="5" spans="2:40">
      <c r="B5" s="27" t="s">
        <v>107</v>
      </c>
      <c r="C5" s="28" t="e">
        <f>AVERAGEIF(ผลประหยัด!$A$10:$A$846,B5,ผลประหยัด!$I$10:$I$846)</f>
        <v>#DIV/0!</v>
      </c>
      <c r="D5" s="28" t="e">
        <f>AVERAGEIF(SR!$A$10:$A$846,'PML เรียง'!B5,SR!#REF!)</f>
        <v>#REF!</v>
      </c>
      <c r="E5" s="29" t="e">
        <f>AVERAGEIF(ADG!$A$10:$A$1044,'PML เรียง'!B5,ADG!#REF!)</f>
        <v>#REF!</v>
      </c>
      <c r="F5" s="29" t="e">
        <f>AVERAGEIF(YIELD!$A$10:$A$1044,'PML เรียง'!B5,YIELD!$K$10:$K$1044)</f>
        <v>#DIV/0!</v>
      </c>
      <c r="G5" s="30" t="e">
        <f>AVERAGEIF(FCR!$A$10:$A$1044,'PML เรียง'!B5,FCR!$L$10:$L$1044)</f>
        <v>#DIV/0!</v>
      </c>
      <c r="H5" s="28" t="e">
        <f>AVERAGEIF(SIZE!$A$10:$A$1044,'PML เรียง'!B5,SIZE!$H$10:$H$1044)</f>
        <v>#DIV/0!</v>
      </c>
      <c r="K5" s="26" t="s">
        <v>1795</v>
      </c>
      <c r="L5" s="42">
        <v>43.558580049661742</v>
      </c>
      <c r="M5" s="43">
        <v>1.4225104145781249</v>
      </c>
      <c r="N5" s="44">
        <v>3.4250499693627456</v>
      </c>
      <c r="O5" s="44">
        <v>5.1130510422673963</v>
      </c>
      <c r="P5" s="44">
        <v>2.3742008672209196</v>
      </c>
      <c r="Q5" s="44">
        <v>5.7916433228007662</v>
      </c>
      <c r="R5" s="44">
        <v>61.685035665891697</v>
      </c>
      <c r="U5" s="45" t="s">
        <v>1863</v>
      </c>
      <c r="V5" s="47" t="s">
        <v>1865</v>
      </c>
      <c r="W5" s="10"/>
      <c r="X5" s="10"/>
      <c r="Y5" s="10"/>
      <c r="Z5" s="10"/>
      <c r="AA5" s="10"/>
      <c r="AB5" s="10"/>
      <c r="AC5" s="10"/>
      <c r="AD5" s="10"/>
      <c r="AE5" s="10"/>
      <c r="AF5" s="10"/>
      <c r="AG5" s="10"/>
      <c r="AH5" s="10"/>
      <c r="AI5" s="10"/>
      <c r="AJ5" s="10"/>
      <c r="AK5" s="10"/>
      <c r="AL5" s="10"/>
      <c r="AM5" s="10"/>
      <c r="AN5" s="10"/>
    </row>
    <row r="6" spans="2:40">
      <c r="B6" s="27" t="s">
        <v>115</v>
      </c>
      <c r="C6" s="28" t="e">
        <f>AVERAGEIF(ผลประหยัด!$A$10:$A$846,B6,ผลประหยัด!$I$10:$I$846)</f>
        <v>#DIV/0!</v>
      </c>
      <c r="D6" s="28" t="e">
        <f>AVERAGEIF(SR!$A$10:$A$846,'PML เรียง'!B6,SR!#REF!)</f>
        <v>#REF!</v>
      </c>
      <c r="E6" s="29" t="e">
        <f>AVERAGEIF(ADG!$A$10:$A$1044,'PML เรียง'!B6,ADG!#REF!)</f>
        <v>#REF!</v>
      </c>
      <c r="F6" s="29">
        <f>AVERAGEIF(YIELD!$A$10:$A$1044,'PML เรียง'!B6,YIELD!$K$10:$K$1044)</f>
        <v>4.6977650622249527</v>
      </c>
      <c r="G6" s="30">
        <f>AVERAGEIF(FCR!$A$10:$A$1044,'PML เรียง'!B6,FCR!$L$10:$L$1044)</f>
        <v>23.119058333333339</v>
      </c>
      <c r="H6" s="28">
        <f>AVERAGEIF(SIZE!$A$10:$A$1044,'PML เรียง'!B6,SIZE!$H$10:$H$1044)</f>
        <v>-1.23893487035815</v>
      </c>
      <c r="K6" s="26" t="s">
        <v>1600</v>
      </c>
      <c r="L6" s="42">
        <v>23.602099416185411</v>
      </c>
      <c r="M6" s="43">
        <v>15.335945608807842</v>
      </c>
      <c r="N6" s="44">
        <v>2.5327923174283149</v>
      </c>
      <c r="O6" s="44">
        <v>6.25</v>
      </c>
      <c r="P6" s="44">
        <v>0.21389832059746033</v>
      </c>
      <c r="Q6" s="44">
        <v>4.3536994484298956</v>
      </c>
      <c r="R6" s="44">
        <v>52.288435111448919</v>
      </c>
      <c r="U6" s="10"/>
      <c r="V6" s="10"/>
      <c r="W6" s="10"/>
      <c r="X6" s="10"/>
      <c r="Y6" s="10"/>
      <c r="Z6" s="10"/>
      <c r="AA6" s="10"/>
      <c r="AB6" s="10"/>
      <c r="AC6" s="10"/>
      <c r="AD6" s="10"/>
      <c r="AE6" s="10"/>
      <c r="AF6" s="10"/>
      <c r="AG6" s="10"/>
      <c r="AH6" s="10"/>
      <c r="AI6" s="10"/>
      <c r="AJ6" s="10"/>
      <c r="AK6" s="10"/>
      <c r="AL6" s="10"/>
      <c r="AM6" s="10"/>
      <c r="AN6" s="10"/>
    </row>
    <row r="7" spans="2:40">
      <c r="B7" s="27" t="s">
        <v>138</v>
      </c>
      <c r="C7" s="28">
        <f>AVERAGEIF(ผลประหยัด!$A$10:$A$846,B7,ผลประหยัด!$I$10:$I$846)</f>
        <v>-6.6925799316847501</v>
      </c>
      <c r="D7" s="28" t="e">
        <f>AVERAGEIF(SR!$A$10:$A$846,'PML เรียง'!B7,SR!#REF!)</f>
        <v>#REF!</v>
      </c>
      <c r="E7" s="29" t="e">
        <f>AVERAGEIF(ADG!$A$10:$A$1044,'PML เรียง'!B7,ADG!#REF!)</f>
        <v>#REF!</v>
      </c>
      <c r="F7" s="29">
        <f>AVERAGEIF(YIELD!$A$10:$A$1044,'PML เรียง'!B7,YIELD!$K$10:$K$1044)</f>
        <v>4.9324973656959985</v>
      </c>
      <c r="G7" s="30">
        <f>AVERAGEIF(FCR!$A$10:$A$1044,'PML เรียง'!B7,FCR!$L$10:$L$1044)</f>
        <v>17.42128416666667</v>
      </c>
      <c r="H7" s="28">
        <f>AVERAGEIF(SIZE!$A$10:$A$1044,'PML เรียง'!B7,SIZE!$H$10:$H$1044)</f>
        <v>1.1172168717410655</v>
      </c>
      <c r="K7" s="26" t="s">
        <v>1747</v>
      </c>
      <c r="L7" s="42">
        <v>17.55382729277002</v>
      </c>
      <c r="M7" s="43">
        <v>16.422355248917754</v>
      </c>
      <c r="N7" s="44">
        <v>4.8893611679292919</v>
      </c>
      <c r="O7" s="44">
        <v>3.9070860229514084</v>
      </c>
      <c r="P7" s="44">
        <v>2.8792164625045258</v>
      </c>
      <c r="Q7" s="44">
        <v>4.9827468601781169</v>
      </c>
      <c r="R7" s="44">
        <v>50.634593055251123</v>
      </c>
      <c r="U7" s="12" t="s">
        <v>1870</v>
      </c>
      <c r="V7" s="10"/>
      <c r="W7" s="10"/>
      <c r="X7" s="10"/>
      <c r="Y7" s="10"/>
      <c r="Z7" s="10"/>
      <c r="AA7" s="10"/>
      <c r="AB7" s="10"/>
      <c r="AC7" s="10"/>
      <c r="AD7" s="10"/>
      <c r="AE7" s="10"/>
      <c r="AF7" s="10"/>
      <c r="AG7" s="10"/>
      <c r="AH7" s="10"/>
      <c r="AI7" s="10"/>
      <c r="AJ7" s="10"/>
      <c r="AK7" s="10"/>
      <c r="AL7" s="10"/>
      <c r="AM7" s="10"/>
      <c r="AN7" s="10"/>
    </row>
    <row r="8" spans="2:40">
      <c r="B8" s="27" t="s">
        <v>166</v>
      </c>
      <c r="C8" s="28">
        <f>AVERAGEIF(ผลประหยัด!$A$10:$A$846,B8,ผลประหยัด!$I$10:$I$846)</f>
        <v>-17.949043774421682</v>
      </c>
      <c r="D8" s="28" t="e">
        <f>AVERAGEIF(SR!$A$10:$A$846,'PML เรียง'!B8,SR!#REF!)</f>
        <v>#REF!</v>
      </c>
      <c r="E8" s="29" t="e">
        <f>AVERAGEIF(ADG!$A$10:$A$1044,'PML เรียง'!B8,ADG!#REF!)</f>
        <v>#REF!</v>
      </c>
      <c r="F8" s="29">
        <f>AVERAGEIF(YIELD!$A$10:$A$1044,'PML เรียง'!B8,YIELD!$K$10:$K$1044)</f>
        <v>1.8131347761746208</v>
      </c>
      <c r="G8" s="30">
        <f>AVERAGEIF(FCR!$A$10:$A$1044,'PML เรียง'!B8,FCR!$L$10:$L$1044)</f>
        <v>7.7930288235294123</v>
      </c>
      <c r="H8" s="28">
        <f>AVERAGEIF(SIZE!$A$10:$A$1044,'PML เรียง'!B8,SIZE!$H$10:$H$1044)</f>
        <v>4.1659842485523706</v>
      </c>
      <c r="K8" s="26" t="s">
        <v>474</v>
      </c>
      <c r="L8" s="42">
        <v>5.9033620831888669</v>
      </c>
      <c r="M8" s="43">
        <v>25</v>
      </c>
      <c r="N8" s="44">
        <v>3.7820388665674609</v>
      </c>
      <c r="O8" s="44">
        <v>6.25</v>
      </c>
      <c r="P8" s="44">
        <v>2.3022655769124176</v>
      </c>
      <c r="Q8" s="44">
        <v>4.2746454036155983</v>
      </c>
      <c r="R8" s="44">
        <v>47.512311930284348</v>
      </c>
      <c r="U8" s="10"/>
      <c r="V8" s="10"/>
      <c r="W8" s="10"/>
      <c r="X8" s="10"/>
      <c r="Y8" s="10"/>
      <c r="Z8" s="10"/>
      <c r="AA8" s="10"/>
      <c r="AB8" s="10"/>
      <c r="AC8" s="10"/>
      <c r="AD8" s="10"/>
      <c r="AE8" s="10"/>
      <c r="AF8" s="10"/>
      <c r="AG8" s="10"/>
      <c r="AH8" s="10"/>
      <c r="AI8" s="10"/>
      <c r="AJ8" s="10"/>
      <c r="AK8" s="10"/>
      <c r="AL8" s="10"/>
      <c r="AM8" s="10"/>
      <c r="AN8" s="10"/>
    </row>
    <row r="9" spans="2:40">
      <c r="B9" s="27" t="s">
        <v>209</v>
      </c>
      <c r="C9" s="28" t="e">
        <f>AVERAGEIF(ผลประหยัด!$A$10:$A$846,B9,ผลประหยัด!$I$10:$I$846)</f>
        <v>#DIV/0!</v>
      </c>
      <c r="D9" s="28" t="e">
        <f>AVERAGEIF(SR!$A$10:$A$846,'PML เรียง'!B9,SR!#REF!)</f>
        <v>#REF!</v>
      </c>
      <c r="E9" s="29" t="e">
        <f>AVERAGEIF(ADG!$A$10:$A$1044,'PML เรียง'!B9,ADG!#REF!)</f>
        <v>#REF!</v>
      </c>
      <c r="F9" s="29">
        <f>AVERAGEIF(YIELD!$A$10:$A$1044,'PML เรียง'!B9,YIELD!$K$10:$K$1044)</f>
        <v>3.3358085893964984</v>
      </c>
      <c r="G9" s="30">
        <f>AVERAGEIF(FCR!$A$10:$A$1044,'PML เรียง'!B9,FCR!$L$10:$L$1044)</f>
        <v>15.921212499999996</v>
      </c>
      <c r="H9" s="28">
        <f>AVERAGEIF(SIZE!$A$10:$A$1044,'PML เรียง'!B9,SIZE!$H$10:$H$1044)</f>
        <v>0.29015510201808781</v>
      </c>
      <c r="K9" s="26" t="s">
        <v>107</v>
      </c>
      <c r="L9" s="42">
        <v>7.1849370448007859</v>
      </c>
      <c r="M9" s="43">
        <v>25</v>
      </c>
      <c r="N9" s="44">
        <v>2.7054698717206791</v>
      </c>
      <c r="O9" s="44">
        <v>1.3642973850566442</v>
      </c>
      <c r="P9" s="44">
        <v>2.6434312409017702</v>
      </c>
      <c r="Q9" s="44">
        <v>5.7891879700430788</v>
      </c>
      <c r="R9" s="44">
        <v>44.687323512522958</v>
      </c>
      <c r="U9" s="10"/>
      <c r="V9" s="10"/>
      <c r="W9" s="10"/>
      <c r="X9" s="10"/>
      <c r="Y9" s="10"/>
      <c r="Z9" s="10"/>
      <c r="AA9" s="10"/>
      <c r="AB9" s="10"/>
      <c r="AC9" s="10"/>
      <c r="AD9" s="10"/>
      <c r="AE9" s="10"/>
      <c r="AF9" s="10"/>
      <c r="AG9" s="10"/>
      <c r="AH9" s="10"/>
      <c r="AI9" s="10"/>
      <c r="AJ9" s="10"/>
      <c r="AK9" s="10"/>
      <c r="AL9" s="10"/>
      <c r="AM9" s="10"/>
      <c r="AN9" s="10"/>
    </row>
    <row r="10" spans="2:40">
      <c r="B10" s="27" t="s">
        <v>248</v>
      </c>
      <c r="C10" s="28">
        <f>AVERAGEIF(ผลประหยัด!$A$10:$A$846,B10,ผลประหยัด!$I$10:$I$846)</f>
        <v>-35.145922664401361</v>
      </c>
      <c r="D10" s="28" t="e">
        <f>AVERAGEIF(SR!$A$10:$A$846,'PML เรียง'!B10,SR!#REF!)</f>
        <v>#REF!</v>
      </c>
      <c r="E10" s="29" t="e">
        <f>AVERAGEIF(ADG!$A$10:$A$1044,'PML เรียง'!B10,ADG!#REF!)</f>
        <v>#REF!</v>
      </c>
      <c r="F10" s="29">
        <f>AVERAGEIF(YIELD!$A$10:$A$1044,'PML เรียง'!B10,YIELD!$K$10:$K$1044)</f>
        <v>1.2582690828000778</v>
      </c>
      <c r="G10" s="30">
        <f>AVERAGEIF(FCR!$A$10:$A$1044,'PML เรียง'!B10,FCR!$L$10:$L$1044)</f>
        <v>9.7884939999999965</v>
      </c>
      <c r="H10" s="28">
        <f>AVERAGEIF(SIZE!$A$10:$A$1044,'PML เรียง'!B10,SIZE!$H$10:$H$1044)</f>
        <v>0.97526023157155328</v>
      </c>
      <c r="K10" s="26" t="s">
        <v>138</v>
      </c>
      <c r="L10" s="42">
        <v>11.275472257773295</v>
      </c>
      <c r="M10" s="43">
        <v>25</v>
      </c>
      <c r="N10" s="44">
        <v>0.75235003472222184</v>
      </c>
      <c r="O10" s="44">
        <v>3.7396245489350473</v>
      </c>
      <c r="P10" s="44">
        <v>2.0847260158738745</v>
      </c>
      <c r="Q10" s="44">
        <v>0.70208642801763899</v>
      </c>
      <c r="R10" s="44">
        <v>43.554259285322075</v>
      </c>
      <c r="U10" s="12" t="s">
        <v>1871</v>
      </c>
      <c r="V10" s="10"/>
      <c r="W10" s="10"/>
      <c r="X10" s="10"/>
      <c r="Y10" s="10"/>
      <c r="Z10" s="10"/>
      <c r="AA10" s="10"/>
      <c r="AB10" s="10"/>
      <c r="AC10" s="10"/>
      <c r="AD10" s="10"/>
      <c r="AE10" s="10"/>
      <c r="AF10" s="10"/>
      <c r="AG10" s="10"/>
      <c r="AH10" s="10"/>
      <c r="AI10" s="10"/>
      <c r="AJ10" s="10"/>
      <c r="AK10" s="10"/>
      <c r="AL10" s="10"/>
      <c r="AM10" s="10"/>
      <c r="AN10" s="10"/>
    </row>
    <row r="11" spans="2:40">
      <c r="B11" s="27" t="s">
        <v>283</v>
      </c>
      <c r="C11" s="28">
        <f>AVERAGEIF(ผลประหยัด!$A$10:$A$846,B11,ผลประหยัด!$I$10:$I$846)</f>
        <v>-20.921866459469634</v>
      </c>
      <c r="D11" s="28" t="e">
        <f>AVERAGEIF(SR!$A$10:$A$846,'PML เรียง'!B11,SR!#REF!)</f>
        <v>#REF!</v>
      </c>
      <c r="E11" s="29" t="e">
        <f>AVERAGEIF(ADG!$A$10:$A$1044,'PML เรียง'!B11,ADG!#REF!)</f>
        <v>#REF!</v>
      </c>
      <c r="F11" s="29">
        <f>AVERAGEIF(YIELD!$A$10:$A$1044,'PML เรียง'!B11,YIELD!$K$10:$K$1044)</f>
        <v>6.3247257375894677</v>
      </c>
      <c r="G11" s="30">
        <f>AVERAGEIF(FCR!$A$10:$A$1044,'PML เรียง'!B11,FCR!$L$10:$L$1044)</f>
        <v>26.401129411764703</v>
      </c>
      <c r="H11" s="28">
        <f>AVERAGEIF(SIZE!$A$10:$A$1044,'PML เรียง'!B11,SIZE!$H$10:$H$1044)</f>
        <v>2.3560759384289516</v>
      </c>
      <c r="K11" s="26" t="s">
        <v>1792</v>
      </c>
      <c r="L11" s="42">
        <v>0</v>
      </c>
      <c r="M11" s="43">
        <v>25</v>
      </c>
      <c r="N11" s="44">
        <v>2.1389962997685186</v>
      </c>
      <c r="O11" s="44">
        <v>0</v>
      </c>
      <c r="P11" s="44">
        <v>3.5283002989062733</v>
      </c>
      <c r="Q11" s="44">
        <v>4.8124968462589202</v>
      </c>
      <c r="R11" s="44">
        <v>35.479793444933712</v>
      </c>
      <c r="U11" s="12" t="s">
        <v>1872</v>
      </c>
      <c r="V11" s="10"/>
      <c r="W11" s="10"/>
      <c r="X11" s="10"/>
      <c r="Y11" s="10"/>
      <c r="Z11" s="10"/>
      <c r="AA11" s="10"/>
      <c r="AB11" s="10"/>
      <c r="AC11" s="10"/>
      <c r="AD11" s="10"/>
      <c r="AE11" s="10"/>
      <c r="AF11" s="10"/>
      <c r="AG11" s="10"/>
      <c r="AH11" s="10"/>
      <c r="AI11" s="10"/>
      <c r="AJ11" s="10"/>
      <c r="AK11" s="10"/>
      <c r="AL11" s="10"/>
      <c r="AM11" s="10"/>
      <c r="AN11" s="10"/>
    </row>
    <row r="12" spans="2:40">
      <c r="B12" s="27" t="s">
        <v>317</v>
      </c>
      <c r="C12" s="28">
        <f>AVERAGEIF(ผลประหยัด!$A$10:$A$846,B12,ผลประหยัด!$I$10:$I$846)</f>
        <v>-33.954727376047273</v>
      </c>
      <c r="D12" s="28" t="e">
        <f>AVERAGEIF(SR!$A$10:$A$846,'PML เรียง'!B12,SR!#REF!)</f>
        <v>#REF!</v>
      </c>
      <c r="E12" s="29" t="e">
        <f>AVERAGEIF(ADG!$A$10:$A$1044,'PML เรียง'!B12,ADG!#REF!)</f>
        <v>#REF!</v>
      </c>
      <c r="F12" s="29">
        <f>AVERAGEIF(YIELD!$A$10:$A$1044,'PML เรียง'!B12,YIELD!$K$10:$K$1044)</f>
        <v>3.8006374716553286</v>
      </c>
      <c r="G12" s="30">
        <f>AVERAGEIF(FCR!$A$10:$A$1044,'PML เรียง'!B12,FCR!$L$10:$L$1044)</f>
        <v>11.688803214285713</v>
      </c>
      <c r="H12" s="28">
        <f>AVERAGEIF(SIZE!$A$10:$A$1044,'PML เรียง'!B12,SIZE!$H$10:$H$1044)</f>
        <v>3.7195799743326114</v>
      </c>
      <c r="K12" s="26" t="s">
        <v>1146</v>
      </c>
      <c r="L12" s="42">
        <v>0</v>
      </c>
      <c r="M12" s="43">
        <v>21.576757572054404</v>
      </c>
      <c r="N12" s="44">
        <v>2.249762254273505</v>
      </c>
      <c r="O12" s="44">
        <v>6.25</v>
      </c>
      <c r="P12" s="44">
        <v>2.2077380230122334</v>
      </c>
      <c r="Q12" s="44">
        <v>2.8618693525645629</v>
      </c>
      <c r="R12" s="44">
        <v>35.146127201904704</v>
      </c>
      <c r="U12" s="10"/>
      <c r="V12" s="10"/>
      <c r="W12" s="10"/>
      <c r="X12" s="10"/>
      <c r="Y12" s="10"/>
      <c r="Z12" s="10"/>
      <c r="AA12" s="10"/>
      <c r="AB12" s="10"/>
      <c r="AC12" s="10"/>
      <c r="AD12" s="10"/>
      <c r="AE12" s="10"/>
      <c r="AF12" s="10"/>
      <c r="AG12" s="10"/>
      <c r="AH12" s="10"/>
      <c r="AI12" s="10"/>
      <c r="AJ12" s="10"/>
      <c r="AK12" s="10"/>
      <c r="AL12" s="10"/>
      <c r="AM12" s="10"/>
      <c r="AN12" s="10"/>
    </row>
    <row r="13" spans="2:40">
      <c r="B13" s="27" t="s">
        <v>374</v>
      </c>
      <c r="C13" s="28">
        <f>AVERAGEIF(ผลประหยัด!$A$10:$A$846,B13,ผลประหยัด!$I$10:$I$846)</f>
        <v>-14.144259827552691</v>
      </c>
      <c r="D13" s="28" t="e">
        <f>AVERAGEIF(SR!$A$10:$A$846,'PML เรียง'!B13,SR!#REF!)</f>
        <v>#REF!</v>
      </c>
      <c r="E13" s="29" t="e">
        <f>AVERAGEIF(ADG!$A$10:$A$1044,'PML เรียง'!B13,ADG!#REF!)</f>
        <v>#REF!</v>
      </c>
      <c r="F13" s="29">
        <f>AVERAGEIF(YIELD!$A$10:$A$1044,'PML เรียง'!B13,YIELD!$K$10:$K$1044)</f>
        <v>-9.2112254901960747E-2</v>
      </c>
      <c r="G13" s="30">
        <f>AVERAGEIF(FCR!$A$10:$A$1044,'PML เรียง'!B13,FCR!$L$10:$L$1044)</f>
        <v>11.889465294117645</v>
      </c>
      <c r="H13" s="28">
        <f>AVERAGEIF(SIZE!$A$10:$A$1044,'PML เรียง'!B13,SIZE!$H$10:$H$1044)</f>
        <v>5.4131408898126372</v>
      </c>
      <c r="K13" s="26" t="s">
        <v>1791</v>
      </c>
      <c r="L13" s="42">
        <v>0</v>
      </c>
      <c r="M13" s="43">
        <v>25</v>
      </c>
      <c r="N13" s="44">
        <v>1.4457051592432948</v>
      </c>
      <c r="O13" s="44">
        <v>0</v>
      </c>
      <c r="P13" s="44">
        <v>2.7996868576045384</v>
      </c>
      <c r="Q13" s="44">
        <v>4.6276897117737574</v>
      </c>
      <c r="R13" s="44">
        <v>33.873081728621592</v>
      </c>
      <c r="U13" s="10"/>
      <c r="V13" s="10"/>
      <c r="W13" s="10"/>
      <c r="X13" s="10"/>
      <c r="Y13" s="10"/>
      <c r="Z13" s="10"/>
      <c r="AA13" s="10"/>
      <c r="AB13" s="10"/>
      <c r="AC13" s="10"/>
      <c r="AD13" s="10"/>
      <c r="AE13" s="10"/>
      <c r="AF13" s="10"/>
      <c r="AG13" s="10"/>
      <c r="AH13" s="10"/>
      <c r="AI13" s="10"/>
      <c r="AJ13" s="10"/>
      <c r="AK13" s="10"/>
      <c r="AL13" s="10"/>
      <c r="AM13" s="10"/>
      <c r="AN13" s="10"/>
    </row>
    <row r="14" spans="2:40">
      <c r="B14" s="27" t="s">
        <v>408</v>
      </c>
      <c r="C14" s="28">
        <f>AVERAGEIF(ผลประหยัด!$A$10:$A$846,B14,ผลประหยัด!$I$10:$I$846)</f>
        <v>-7.049180269799173</v>
      </c>
      <c r="D14" s="28" t="e">
        <f>AVERAGEIF(SR!$A$10:$A$846,'PML เรียง'!B14,SR!#REF!)</f>
        <v>#REF!</v>
      </c>
      <c r="E14" s="29" t="e">
        <f>AVERAGEIF(ADG!$A$10:$A$1044,'PML เรียง'!B14,ADG!#REF!)</f>
        <v>#REF!</v>
      </c>
      <c r="F14" s="29">
        <f>AVERAGEIF(YIELD!$A$10:$A$1044,'PML เรียง'!B14,YIELD!$K$10:$K$1044)</f>
        <v>6.3118913259318346</v>
      </c>
      <c r="G14" s="30">
        <f>AVERAGEIF(FCR!$A$10:$A$1044,'PML เรียง'!B14,FCR!$L$10:$L$1044)</f>
        <v>22.174168000000002</v>
      </c>
      <c r="H14" s="28">
        <f>AVERAGEIF(SIZE!$A$10:$A$1044,'PML เรียง'!B14,SIZE!$H$10:$H$1044)</f>
        <v>5.492893973329112</v>
      </c>
      <c r="K14" s="26" t="s">
        <v>540</v>
      </c>
      <c r="L14" s="42">
        <v>0</v>
      </c>
      <c r="M14" s="43">
        <v>21.179670815970294</v>
      </c>
      <c r="N14" s="44">
        <v>1.12569330150463</v>
      </c>
      <c r="O14" s="44">
        <v>5.1275917085950864</v>
      </c>
      <c r="P14" s="44">
        <v>1.4751056552075059</v>
      </c>
      <c r="Q14" s="44">
        <v>4.6143669306125199</v>
      </c>
      <c r="R14" s="44">
        <v>33.52242841189004</v>
      </c>
      <c r="U14" s="10"/>
      <c r="V14" s="10"/>
      <c r="W14" s="10"/>
      <c r="X14" s="10"/>
      <c r="Y14" s="10"/>
      <c r="Z14" s="10"/>
      <c r="AA14" s="10"/>
      <c r="AB14" s="10"/>
      <c r="AC14" s="10"/>
      <c r="AD14" s="10"/>
      <c r="AE14" s="10"/>
      <c r="AF14" s="10"/>
      <c r="AG14" s="10"/>
      <c r="AH14" s="10"/>
      <c r="AI14" s="10"/>
      <c r="AJ14" s="10"/>
      <c r="AK14" s="10"/>
      <c r="AL14" s="10"/>
      <c r="AM14" s="10"/>
      <c r="AN14" s="10"/>
    </row>
    <row r="15" spans="2:40">
      <c r="B15" s="27" t="s">
        <v>474</v>
      </c>
      <c r="C15" s="28">
        <f>AVERAGEIF(ผลประหยัด!$A$10:$A$846,B15,ผลประหยัด!$I$10:$I$846)</f>
        <v>1.3008105405854944</v>
      </c>
      <c r="D15" s="28" t="e">
        <f>AVERAGEIF(SR!$A$10:$A$846,'PML เรียง'!B15,SR!#REF!)</f>
        <v>#REF!</v>
      </c>
      <c r="E15" s="29" t="e">
        <f>AVERAGEIF(ADG!$A$10:$A$1044,'PML เรียง'!B15,ADG!#REF!)</f>
        <v>#REF!</v>
      </c>
      <c r="F15" s="29">
        <f>AVERAGEIF(YIELD!$A$10:$A$1044,'PML เรียง'!B15,YIELD!$K$10:$K$1044)</f>
        <v>11.224290192592592</v>
      </c>
      <c r="G15" s="30">
        <f>AVERAGEIF(FCR!$A$10:$A$1044,'PML เรียง'!B15,FCR!$L$10:$L$1044)</f>
        <v>40.116145333333328</v>
      </c>
      <c r="H15" s="28">
        <f>AVERAGEIF(SIZE!$A$10:$A$1044,'PML เรียง'!B15,SIZE!$H$10:$H$1044)</f>
        <v>5.5451114746013195</v>
      </c>
      <c r="K15" s="26" t="s">
        <v>610</v>
      </c>
      <c r="L15" s="42">
        <v>0</v>
      </c>
      <c r="M15" s="43">
        <v>15.036994444444449</v>
      </c>
      <c r="N15" s="44">
        <v>4.4716174374999991</v>
      </c>
      <c r="O15" s="44">
        <v>5.3437089947089937</v>
      </c>
      <c r="P15" s="44">
        <v>1.5230344421250395</v>
      </c>
      <c r="Q15" s="44">
        <v>5.5656647713596481</v>
      </c>
      <c r="R15" s="44">
        <v>31.941020090138124</v>
      </c>
      <c r="U15" s="10"/>
      <c r="V15" s="10"/>
      <c r="W15" s="10"/>
      <c r="X15" s="10"/>
      <c r="Y15" s="10"/>
      <c r="Z15" s="10"/>
      <c r="AA15" s="10"/>
      <c r="AB15" s="10"/>
      <c r="AC15" s="10"/>
      <c r="AD15" s="10"/>
      <c r="AE15" s="10"/>
      <c r="AF15" s="10"/>
      <c r="AG15" s="10"/>
      <c r="AH15" s="10"/>
      <c r="AI15" s="10"/>
      <c r="AJ15" s="10"/>
      <c r="AK15" s="10"/>
      <c r="AL15" s="10"/>
      <c r="AM15" s="10"/>
      <c r="AN15" s="10"/>
    </row>
    <row r="16" spans="2:40">
      <c r="B16" s="27" t="s">
        <v>507</v>
      </c>
      <c r="C16" s="28">
        <f>AVERAGEIF(ผลประหยัด!$A$10:$A$846,B16,ผลประหยัด!$I$10:$I$846)</f>
        <v>-11.318467480869293</v>
      </c>
      <c r="D16" s="28" t="e">
        <f>AVERAGEIF(SR!$A$10:$A$846,'PML เรียง'!B16,SR!#REF!)</f>
        <v>#REF!</v>
      </c>
      <c r="E16" s="29" t="e">
        <f>AVERAGEIF(ADG!$A$10:$A$1044,'PML เรียง'!B16,ADG!#REF!)</f>
        <v>#REF!</v>
      </c>
      <c r="F16" s="29">
        <f>AVERAGEIF(YIELD!$A$10:$A$1044,'PML เรียง'!B16,YIELD!$K$10:$K$1044)</f>
        <v>8.9841757669830073</v>
      </c>
      <c r="G16" s="30">
        <f>AVERAGEIF(FCR!$A$10:$A$1044,'PML เรียง'!B16,FCR!$L$10:$L$1044)</f>
        <v>23.544652941176473</v>
      </c>
      <c r="H16" s="28">
        <f>AVERAGEIF(SIZE!$A$10:$A$1044,'PML เรียง'!B16,SIZE!$H$10:$H$1044)</f>
        <v>6.079702604241211</v>
      </c>
      <c r="K16" s="26" t="s">
        <v>408</v>
      </c>
      <c r="L16" s="42">
        <v>0</v>
      </c>
      <c r="M16" s="43">
        <v>19.018746274762933</v>
      </c>
      <c r="N16" s="44">
        <v>3.8423580656362017</v>
      </c>
      <c r="O16" s="44">
        <v>1.6201939918344248</v>
      </c>
      <c r="P16" s="44">
        <v>3.2517886962229552</v>
      </c>
      <c r="Q16" s="44">
        <v>3.4872262994332872</v>
      </c>
      <c r="R16" s="44">
        <v>31.220313327889802</v>
      </c>
      <c r="U16" s="10"/>
      <c r="V16" s="10"/>
      <c r="W16" s="10"/>
      <c r="X16" s="10"/>
      <c r="Y16" s="10"/>
      <c r="Z16" s="10"/>
      <c r="AA16" s="10"/>
      <c r="AB16" s="10"/>
      <c r="AC16" s="10"/>
      <c r="AD16" s="10"/>
      <c r="AE16" s="10"/>
      <c r="AF16" s="10"/>
      <c r="AG16" s="10"/>
      <c r="AH16" s="10"/>
      <c r="AI16" s="10"/>
      <c r="AJ16" s="10"/>
      <c r="AK16" s="10"/>
      <c r="AL16" s="10"/>
      <c r="AM16" s="10"/>
      <c r="AN16" s="10"/>
    </row>
    <row r="17" spans="2:40">
      <c r="B17" s="27" t="s">
        <v>540</v>
      </c>
      <c r="C17" s="28" t="e">
        <f>AVERAGEIF(ผลประหยัด!$A$10:$A$846,B17,ผลประหยัด!$I$10:$I$846)</f>
        <v>#DIV/0!</v>
      </c>
      <c r="D17" s="28" t="e">
        <f>AVERAGEIF(SR!$A$10:$A$846,'PML เรียง'!B17,SR!#REF!)</f>
        <v>#REF!</v>
      </c>
      <c r="E17" s="29" t="e">
        <f>AVERAGEIF(ADG!$A$10:$A$1044,'PML เรียง'!B17,ADG!#REF!)</f>
        <v>#REF!</v>
      </c>
      <c r="F17" s="29">
        <f>AVERAGEIF(YIELD!$A$10:$A$1044,'PML เรียง'!B17,YIELD!$K$10:$K$1044)</f>
        <v>5.9064507360907319</v>
      </c>
      <c r="G17" s="30">
        <f>AVERAGEIF(FCR!$A$10:$A$1044,'PML เรียง'!B17,FCR!$L$10:$L$1044)</f>
        <v>20.112082307692312</v>
      </c>
      <c r="H17" s="28">
        <f>AVERAGEIF(SIZE!$A$10:$A$1044,'PML เรียง'!B17,SIZE!$H$10:$H$1044)</f>
        <v>6.4319920623548601</v>
      </c>
      <c r="K17" s="26" t="s">
        <v>724</v>
      </c>
      <c r="L17" s="42">
        <v>0</v>
      </c>
      <c r="M17" s="43">
        <v>22.052574547724042</v>
      </c>
      <c r="N17" s="44">
        <v>1.8200025735294114</v>
      </c>
      <c r="O17" s="44">
        <v>2.9875392156862741</v>
      </c>
      <c r="P17" s="44">
        <v>0.62366774252683754</v>
      </c>
      <c r="Q17" s="44">
        <v>2.5924868272384267</v>
      </c>
      <c r="R17" s="44">
        <v>30.076270906704991</v>
      </c>
      <c r="U17" s="10"/>
      <c r="V17" s="10"/>
      <c r="W17" s="10"/>
      <c r="X17" s="10"/>
      <c r="Y17" s="10"/>
      <c r="Z17" s="10"/>
      <c r="AA17" s="10"/>
      <c r="AB17" s="10"/>
      <c r="AC17" s="10"/>
      <c r="AD17" s="10"/>
      <c r="AE17" s="10"/>
      <c r="AF17" s="10"/>
      <c r="AG17" s="10"/>
      <c r="AH17" s="10"/>
      <c r="AI17" s="10"/>
      <c r="AJ17" s="10"/>
      <c r="AK17" s="10"/>
      <c r="AL17" s="10"/>
      <c r="AM17" s="10"/>
      <c r="AN17" s="10"/>
    </row>
    <row r="18" spans="2:40">
      <c r="B18" s="27" t="s">
        <v>567</v>
      </c>
      <c r="C18" s="28">
        <f>AVERAGEIF(ผลประหยัด!$A$10:$A$846,B18,ผลประหยัด!$I$10:$I$846)</f>
        <v>8.24708695743149</v>
      </c>
      <c r="D18" s="28" t="e">
        <f>AVERAGEIF(SR!$A$10:$A$846,'PML เรียง'!B18,SR!#REF!)</f>
        <v>#REF!</v>
      </c>
      <c r="E18" s="29" t="e">
        <f>AVERAGEIF(ADG!$A$10:$A$1044,'PML เรียง'!B18,ADG!#REF!)</f>
        <v>#REF!</v>
      </c>
      <c r="F18" s="29">
        <f>AVERAGEIF(YIELD!$A$10:$A$1044,'PML เรียง'!B18,YIELD!$K$10:$K$1044)</f>
        <v>7.4554590049029237</v>
      </c>
      <c r="G18" s="30">
        <f>AVERAGEIF(FCR!$A$10:$A$1044,'PML เรียง'!B18,FCR!$L$10:$L$1044)</f>
        <v>17.091337272727273</v>
      </c>
      <c r="H18" s="28">
        <f>AVERAGEIF(SIZE!$A$10:$A$1044,'PML เรียง'!B18,SIZE!$H$10:$H$1044)</f>
        <v>5.7158868030119345</v>
      </c>
      <c r="K18" s="26" t="s">
        <v>893</v>
      </c>
      <c r="L18" s="42">
        <v>1.5701067080066085</v>
      </c>
      <c r="M18" s="43">
        <v>8.8280695503240132</v>
      </c>
      <c r="N18" s="44">
        <v>3.9545969692460319</v>
      </c>
      <c r="O18" s="44">
        <v>5.6976750992063501</v>
      </c>
      <c r="P18" s="44">
        <v>2.074278157847409</v>
      </c>
      <c r="Q18" s="44">
        <v>5.068559196217997</v>
      </c>
      <c r="R18" s="44">
        <v>27.193285680848412</v>
      </c>
      <c r="U18" s="10"/>
      <c r="V18" s="10"/>
      <c r="W18" s="10"/>
      <c r="X18" s="10"/>
      <c r="Y18" s="10"/>
      <c r="Z18" s="10"/>
      <c r="AA18" s="10"/>
      <c r="AB18" s="10"/>
      <c r="AC18" s="10"/>
      <c r="AD18" s="10"/>
      <c r="AE18" s="10"/>
      <c r="AF18" s="10"/>
      <c r="AG18" s="10"/>
      <c r="AH18" s="10"/>
      <c r="AI18" s="10"/>
      <c r="AJ18" s="10"/>
      <c r="AK18" s="10"/>
      <c r="AL18" s="10"/>
      <c r="AM18" s="10"/>
      <c r="AN18" s="10"/>
    </row>
    <row r="19" spans="2:40">
      <c r="B19" s="27" t="s">
        <v>610</v>
      </c>
      <c r="C19" s="28">
        <f>AVERAGEIF(ผลประหยัด!$A$10:$A$846,B19,ผลประหยัด!$I$10:$I$846)</f>
        <v>-8.7939240922643052</v>
      </c>
      <c r="D19" s="28" t="e">
        <f>AVERAGEIF(SR!$A$10:$A$846,'PML เรียง'!B19,SR!#REF!)</f>
        <v>#REF!</v>
      </c>
      <c r="E19" s="29" t="e">
        <f>AVERAGEIF(ADG!$A$10:$A$1044,'PML เรียง'!B19,ADG!#REF!)</f>
        <v>#REF!</v>
      </c>
      <c r="F19" s="29">
        <f>AVERAGEIF(YIELD!$A$10:$A$1044,'PML เรียง'!B19,YIELD!$K$10:$K$1044)</f>
        <v>7.589712698412697</v>
      </c>
      <c r="G19" s="30">
        <f>AVERAGEIF(FCR!$A$10:$A$1044,'PML เรียง'!B19,FCR!$L$10:$L$1044)</f>
        <v>18.882515999999999</v>
      </c>
      <c r="H19" s="28">
        <f>AVERAGEIF(SIZE!$A$10:$A$1044,'PML เรียง'!B19,SIZE!$H$10:$H$1044)</f>
        <v>8.014557270757896</v>
      </c>
      <c r="K19" s="26" t="s">
        <v>209</v>
      </c>
      <c r="L19" s="42">
        <v>0</v>
      </c>
      <c r="M19" s="43">
        <v>22.669543793951465</v>
      </c>
      <c r="N19" s="44">
        <v>0.27114373355263133</v>
      </c>
      <c r="O19" s="44">
        <v>2.1075332316620581</v>
      </c>
      <c r="P19" s="44">
        <v>1.9199382568570518</v>
      </c>
      <c r="Q19" s="44">
        <v>8.721321282567808E-2</v>
      </c>
      <c r="R19" s="44">
        <v>27.055372228848881</v>
      </c>
      <c r="U19" s="10"/>
      <c r="V19" s="10"/>
      <c r="W19" s="10"/>
      <c r="X19" s="10"/>
      <c r="Y19" s="10"/>
      <c r="Z19" s="10"/>
      <c r="AA19" s="10"/>
      <c r="AB19" s="10"/>
      <c r="AC19" s="10"/>
      <c r="AD19" s="10"/>
      <c r="AE19" s="10"/>
      <c r="AF19" s="10"/>
      <c r="AG19" s="10"/>
      <c r="AH19" s="10"/>
      <c r="AI19" s="10"/>
      <c r="AJ19" s="10"/>
      <c r="AK19" s="10"/>
      <c r="AL19" s="10"/>
      <c r="AM19" s="10"/>
      <c r="AN19" s="10"/>
    </row>
    <row r="20" spans="2:40">
      <c r="B20" s="27" t="s">
        <v>632</v>
      </c>
      <c r="C20" s="28">
        <f>AVERAGEIF(ผลประหยัด!$A$10:$A$846,B20,ผลประหยัด!$I$10:$I$846)</f>
        <v>-43.031516303364981</v>
      </c>
      <c r="D20" s="28" t="e">
        <f>AVERAGEIF(SR!$A$10:$A$846,'PML เรียง'!B20,SR!#REF!)</f>
        <v>#REF!</v>
      </c>
      <c r="E20" s="29" t="e">
        <f>AVERAGEIF(ADG!$A$10:$A$1044,'PML เรียง'!B20,ADG!#REF!)</f>
        <v>#REF!</v>
      </c>
      <c r="F20" s="29" t="e">
        <f>AVERAGEIF(YIELD!$A$10:$A$1044,'PML เรียง'!B20,YIELD!$K$10:$K$1044)</f>
        <v>#DIV/0!</v>
      </c>
      <c r="G20" s="30">
        <f>AVERAGEIF(FCR!$A$10:$A$1044,'PML เรียง'!B20,FCR!$L$10:$L$1044)</f>
        <v>17.01445272727273</v>
      </c>
      <c r="H20" s="28">
        <f>AVERAGEIF(SIZE!$A$10:$A$1044,'PML เรียง'!B20,SIZE!$H$10:$H$1044)</f>
        <v>-2.2793645811596268</v>
      </c>
      <c r="K20" s="26" t="s">
        <v>87</v>
      </c>
      <c r="L20" s="42">
        <v>0</v>
      </c>
      <c r="M20" s="43">
        <v>25</v>
      </c>
      <c r="N20" s="44">
        <v>0.57610052617521368</v>
      </c>
      <c r="O20" s="44">
        <v>0</v>
      </c>
      <c r="P20" s="44">
        <v>0.98016529565016919</v>
      </c>
      <c r="Q20" s="44">
        <v>0</v>
      </c>
      <c r="R20" s="44">
        <v>26.556265821825384</v>
      </c>
      <c r="U20" s="10"/>
      <c r="V20" s="10"/>
      <c r="W20" s="10"/>
      <c r="X20" s="10"/>
      <c r="Y20" s="10"/>
      <c r="Z20" s="10"/>
      <c r="AA20" s="10"/>
      <c r="AB20" s="10"/>
      <c r="AC20" s="10"/>
      <c r="AD20" s="10"/>
      <c r="AE20" s="10"/>
      <c r="AF20" s="10"/>
      <c r="AG20" s="10"/>
      <c r="AH20" s="10"/>
      <c r="AI20" s="10"/>
      <c r="AJ20" s="10"/>
      <c r="AK20" s="10"/>
      <c r="AL20" s="10"/>
      <c r="AM20" s="10"/>
      <c r="AN20" s="10"/>
    </row>
    <row r="21" spans="2:40">
      <c r="B21" s="27" t="s">
        <v>651</v>
      </c>
      <c r="C21" s="28">
        <f>AVERAGEIF(ผลประหยัด!$A$10:$A$846,B21,ผลประหยัด!$I$10:$I$846)</f>
        <v>-41.062435925203204</v>
      </c>
      <c r="D21" s="28" t="e">
        <f>AVERAGEIF(SR!$A$10:$A$846,'PML เรียง'!B21,SR!#REF!)</f>
        <v>#REF!</v>
      </c>
      <c r="E21" s="29" t="e">
        <f>AVERAGEIF(ADG!$A$10:$A$1044,'PML เรียง'!B21,ADG!#REF!)</f>
        <v>#REF!</v>
      </c>
      <c r="F21" s="29" t="e">
        <f>AVERAGEIF(YIELD!$A$10:$A$1044,'PML เรียง'!B21,YIELD!$K$10:$K$1044)</f>
        <v>#DIV/0!</v>
      </c>
      <c r="G21" s="30">
        <f>AVERAGEIF(FCR!$A$10:$A$1044,'PML เรียง'!B21,FCR!$L$10:$L$1044)</f>
        <v>9.9533204878048789</v>
      </c>
      <c r="H21" s="28">
        <f>AVERAGEIF(SIZE!$A$10:$A$1044,'PML เรียง'!B21,SIZE!$H$10:$H$1044)</f>
        <v>-0.54050705471475224</v>
      </c>
      <c r="K21" s="26" t="s">
        <v>283</v>
      </c>
      <c r="L21" s="42">
        <v>0</v>
      </c>
      <c r="M21" s="43">
        <v>15.182446761604986</v>
      </c>
      <c r="N21" s="44">
        <v>1.7889351157407396</v>
      </c>
      <c r="O21" s="44">
        <v>4.1934947370480433</v>
      </c>
      <c r="P21" s="44">
        <v>1.7096342758756706</v>
      </c>
      <c r="Q21" s="44">
        <v>1.8002997691492206</v>
      </c>
      <c r="R21" s="44">
        <v>24.674810659418661</v>
      </c>
      <c r="U21" s="10"/>
      <c r="V21" s="10"/>
      <c r="W21" s="10"/>
      <c r="X21" s="10"/>
      <c r="Y21" s="10"/>
      <c r="Z21" s="10"/>
      <c r="AA21" s="10"/>
      <c r="AB21" s="10"/>
      <c r="AC21" s="10"/>
      <c r="AD21" s="10"/>
      <c r="AE21" s="10"/>
      <c r="AF21" s="10"/>
      <c r="AG21" s="10"/>
      <c r="AH21" s="10"/>
      <c r="AI21" s="10"/>
      <c r="AJ21" s="10"/>
      <c r="AK21" s="10"/>
      <c r="AL21" s="10"/>
      <c r="AM21" s="10"/>
      <c r="AN21" s="10"/>
    </row>
    <row r="22" spans="2:40">
      <c r="B22" s="27" t="s">
        <v>724</v>
      </c>
      <c r="C22" s="28">
        <f>AVERAGEIF(ผลประหยัด!$A$10:$A$846,B22,ผลประหยัด!$I$10:$I$846)</f>
        <v>-18.609103369895887</v>
      </c>
      <c r="D22" s="28" t="e">
        <f>AVERAGEIF(SR!$A$10:$A$846,'PML เรียง'!B22,SR!#REF!)</f>
        <v>#REF!</v>
      </c>
      <c r="E22" s="29" t="e">
        <f>AVERAGEIF(ADG!$A$10:$A$1044,'PML เรียง'!B22,ADG!#REF!)</f>
        <v>#REF!</v>
      </c>
      <c r="F22" s="29">
        <f>AVERAGEIF(YIELD!$A$10:$A$1044,'PML เรียง'!B22,YIELD!$K$10:$K$1044)</f>
        <v>5.9198017592592596</v>
      </c>
      <c r="G22" s="30">
        <f>AVERAGEIF(FCR!$A$10:$A$1044,'PML เรียง'!B22,FCR!$L$10:$L$1044)</f>
        <v>14.063504799999999</v>
      </c>
      <c r="H22" s="28">
        <f>AVERAGEIF(SIZE!$A$10:$A$1044,'PML เรียง'!B22,SIZE!$H$10:$H$1044)</f>
        <v>3.385449777283061</v>
      </c>
      <c r="K22" s="26" t="s">
        <v>317</v>
      </c>
      <c r="L22" s="42">
        <v>0</v>
      </c>
      <c r="M22" s="43">
        <v>17.320291608688922</v>
      </c>
      <c r="N22" s="44">
        <v>2.4693713293650794</v>
      </c>
      <c r="O22" s="44">
        <v>1.6825610591458804</v>
      </c>
      <c r="P22" s="44">
        <v>0.55417081334910434</v>
      </c>
      <c r="Q22" s="44">
        <v>2.5830416488420918</v>
      </c>
      <c r="R22" s="44">
        <v>24.609436459391073</v>
      </c>
      <c r="U22" s="10"/>
      <c r="V22" s="10"/>
      <c r="W22" s="10"/>
      <c r="X22" s="10"/>
      <c r="Y22" s="10"/>
      <c r="Z22" s="10"/>
      <c r="AA22" s="10"/>
      <c r="AB22" s="10"/>
      <c r="AC22" s="10"/>
      <c r="AD22" s="10"/>
      <c r="AE22" s="10"/>
      <c r="AF22" s="10"/>
      <c r="AG22" s="10"/>
      <c r="AH22" s="10"/>
      <c r="AI22" s="10"/>
      <c r="AJ22" s="10"/>
      <c r="AK22" s="10"/>
      <c r="AL22" s="10"/>
      <c r="AM22" s="10"/>
      <c r="AN22" s="10"/>
    </row>
    <row r="23" spans="2:40">
      <c r="B23" s="27" t="s">
        <v>760</v>
      </c>
      <c r="C23" s="28">
        <f>AVERAGEIF(ผลประหยัด!$A$10:$A$846,B23,ผลประหยัด!$I$10:$I$846)</f>
        <v>-19.638190072213447</v>
      </c>
      <c r="D23" s="28" t="e">
        <f>AVERAGEIF(SR!$A$10:$A$846,'PML เรียง'!B23,SR!#REF!)</f>
        <v>#REF!</v>
      </c>
      <c r="E23" s="29" t="e">
        <f>AVERAGEIF(ADG!$A$10:$A$1044,'PML เรียง'!B23,ADG!#REF!)</f>
        <v>#REF!</v>
      </c>
      <c r="F23" s="29" t="e">
        <f>AVERAGEIF(YIELD!$A$10:$A$1044,'PML เรียง'!B23,YIELD!$K$10:$K$1044)</f>
        <v>#DIV/0!</v>
      </c>
      <c r="G23" s="30">
        <f>AVERAGEIF(FCR!$A$10:$A$1044,'PML เรียง'!B23,FCR!$L$10:$L$1044)</f>
        <v>15.380203421052634</v>
      </c>
      <c r="H23" s="28">
        <f>AVERAGEIF(SIZE!$A$10:$A$1044,'PML เรียง'!B23,SIZE!$H$10:$H$1044)</f>
        <v>2.969293065934369</v>
      </c>
      <c r="K23" s="26" t="s">
        <v>507</v>
      </c>
      <c r="L23" s="42">
        <v>0</v>
      </c>
      <c r="M23" s="43">
        <v>8.3556591032424397</v>
      </c>
      <c r="N23" s="44">
        <v>3.1141947073412704</v>
      </c>
      <c r="O23" s="44">
        <v>6.25</v>
      </c>
      <c r="P23" s="44">
        <v>2.3904698211358424</v>
      </c>
      <c r="Q23" s="44">
        <v>4.3577718022545398</v>
      </c>
      <c r="R23" s="44">
        <v>24.468095433974092</v>
      </c>
      <c r="U23" s="10"/>
      <c r="V23" s="10"/>
      <c r="W23" s="10"/>
      <c r="X23" s="10"/>
      <c r="Y23" s="10"/>
      <c r="Z23" s="10"/>
      <c r="AA23" s="10"/>
      <c r="AB23" s="10"/>
      <c r="AC23" s="10"/>
      <c r="AD23" s="10"/>
      <c r="AE23" s="10"/>
      <c r="AF23" s="10"/>
      <c r="AG23" s="10"/>
      <c r="AH23" s="10"/>
      <c r="AI23" s="10"/>
      <c r="AJ23" s="10"/>
      <c r="AK23" s="10"/>
      <c r="AL23" s="10"/>
      <c r="AM23" s="10"/>
      <c r="AN23" s="10"/>
    </row>
    <row r="24" spans="2:40">
      <c r="B24" s="27" t="s">
        <v>835</v>
      </c>
      <c r="C24" s="28" t="e">
        <f>AVERAGEIF(ผลประหยัด!$A$10:$A$846,B24,ผลประหยัด!$I$10:$I$846)</f>
        <v>#DIV/0!</v>
      </c>
      <c r="D24" s="28" t="e">
        <f>AVERAGEIF(SR!$A$10:$A$846,'PML เรียง'!B24,SR!#REF!)</f>
        <v>#REF!</v>
      </c>
      <c r="E24" s="29" t="e">
        <f>AVERAGEIF(ADG!$A$10:$A$1044,'PML เรียง'!B24,ADG!#REF!)</f>
        <v>#REF!</v>
      </c>
      <c r="F24" s="29">
        <f>AVERAGEIF(YIELD!$A$10:$A$1044,'PML เรียง'!B24,YIELD!$K$10:$K$1044)</f>
        <v>4.0805766328240471</v>
      </c>
      <c r="G24" s="30">
        <f>AVERAGEIF(FCR!$A$10:$A$1044,'PML เรียง'!B24,FCR!$L$10:$L$1044)</f>
        <v>15.11826655172414</v>
      </c>
      <c r="H24" s="28">
        <f>AVERAGEIF(SIZE!$A$10:$A$1044,'PML เรียง'!B24,SIZE!$H$10:$H$1044)</f>
        <v>5.2586888918672079</v>
      </c>
      <c r="K24" s="26" t="s">
        <v>115</v>
      </c>
      <c r="L24" s="42">
        <v>0</v>
      </c>
      <c r="M24" s="43">
        <v>14.896533362470864</v>
      </c>
      <c r="N24" s="44">
        <v>1.4055593171296297</v>
      </c>
      <c r="O24" s="44">
        <v>5.5249841055589668</v>
      </c>
      <c r="P24" s="44">
        <v>1.8537810270881943</v>
      </c>
      <c r="Q24" s="44">
        <v>0</v>
      </c>
      <c r="R24" s="44">
        <v>23.680857812247655</v>
      </c>
      <c r="U24" s="10"/>
      <c r="V24" s="10"/>
      <c r="W24" s="10"/>
      <c r="X24" s="10"/>
      <c r="Y24" s="10"/>
      <c r="Z24" s="10"/>
      <c r="AA24" s="10"/>
      <c r="AB24" s="10"/>
      <c r="AC24" s="10"/>
      <c r="AD24" s="10"/>
      <c r="AE24" s="10"/>
      <c r="AF24" s="10"/>
      <c r="AG24" s="10"/>
      <c r="AH24" s="10"/>
      <c r="AI24" s="10"/>
      <c r="AJ24" s="10"/>
      <c r="AK24" s="10"/>
      <c r="AL24" s="10"/>
      <c r="AM24" s="10"/>
      <c r="AN24" s="10"/>
    </row>
    <row r="25" spans="2:40">
      <c r="B25" s="27" t="s">
        <v>893</v>
      </c>
      <c r="C25" s="28">
        <f>AVERAGEIF(ผลประหยัด!$A$10:$A$846,B25,ผลประหยัด!$I$10:$I$846)</f>
        <v>-0.71312723852458304</v>
      </c>
      <c r="D25" s="28" t="e">
        <f>AVERAGEIF(SR!$A$10:$A$846,'PML เรียง'!B25,SR!#REF!)</f>
        <v>#REF!</v>
      </c>
      <c r="E25" s="29" t="e">
        <f>AVERAGEIF(ADG!$A$10:$A$1044,'PML เรียง'!B25,ADG!#REF!)</f>
        <v>#REF!</v>
      </c>
      <c r="F25" s="29">
        <f>AVERAGEIF(YIELD!$A$10:$A$1044,'PML เรียง'!B25,YIELD!$K$10:$K$1044)</f>
        <v>5.3700517857142867</v>
      </c>
      <c r="G25" s="30">
        <f>AVERAGEIF(FCR!$A$10:$A$1044,'PML เรียง'!B25,FCR!$L$10:$L$1044)</f>
        <v>16.177650714285715</v>
      </c>
      <c r="H25" s="28">
        <f>AVERAGEIF(SIZE!$A$10:$A$1044,'PML เรียง'!B25,SIZE!$H$10:$H$1044)</f>
        <v>7.298725242553914</v>
      </c>
      <c r="K25" s="26" t="s">
        <v>374</v>
      </c>
      <c r="L25" s="42">
        <v>0</v>
      </c>
      <c r="M25" s="43">
        <v>16.106076884920636</v>
      </c>
      <c r="N25" s="44">
        <v>1.914365486111111</v>
      </c>
      <c r="O25" s="44">
        <v>0.17304166666666651</v>
      </c>
      <c r="P25" s="44">
        <v>1.5403548531852378</v>
      </c>
      <c r="Q25" s="44">
        <v>3.6832843430462598</v>
      </c>
      <c r="R25" s="44">
        <v>23.417123233929914</v>
      </c>
      <c r="U25" s="10"/>
      <c r="V25" s="10"/>
      <c r="W25" s="10"/>
      <c r="X25" s="10"/>
      <c r="Y25" s="10"/>
      <c r="Z25" s="10"/>
      <c r="AA25" s="10"/>
      <c r="AB25" s="10"/>
      <c r="AC25" s="10"/>
      <c r="AD25" s="10"/>
      <c r="AE25" s="10"/>
      <c r="AF25" s="10"/>
      <c r="AG25" s="10"/>
      <c r="AH25" s="10"/>
      <c r="AI25" s="10"/>
      <c r="AJ25" s="10"/>
      <c r="AK25" s="10"/>
      <c r="AL25" s="10"/>
      <c r="AM25" s="10"/>
      <c r="AN25" s="10"/>
    </row>
    <row r="26" spans="2:40">
      <c r="B26" s="27" t="s">
        <v>924</v>
      </c>
      <c r="C26" s="28">
        <f>AVERAGEIF(ผลประหยัด!$A$10:$A$846,B26,ผลประหยัด!$I$10:$I$846)</f>
        <v>-8.668691974037797</v>
      </c>
      <c r="D26" s="28" t="e">
        <f>AVERAGEIF(SR!$A$10:$A$846,'PML เรียง'!B26,SR!#REF!)</f>
        <v>#REF!</v>
      </c>
      <c r="E26" s="29" t="e">
        <f>AVERAGEIF(ADG!$A$10:$A$1044,'PML เรียง'!B26,ADG!#REF!)</f>
        <v>#REF!</v>
      </c>
      <c r="F26" s="29">
        <f>AVERAGEIF(YIELD!$A$10:$A$1044,'PML เรียง'!B26,YIELD!$K$10:$K$1044)</f>
        <v>2.1917787484438218</v>
      </c>
      <c r="G26" s="30">
        <f>AVERAGEIF(FCR!$A$10:$A$1044,'PML เรียง'!B26,FCR!$L$10:$L$1044)</f>
        <v>12.743584999999999</v>
      </c>
      <c r="H26" s="28">
        <f>AVERAGEIF(SIZE!$A$10:$A$1044,'PML เรียง'!B26,SIZE!$H$10:$H$1044)</f>
        <v>6.8044128322386692</v>
      </c>
      <c r="K26" s="26" t="s">
        <v>1771</v>
      </c>
      <c r="L26" s="42">
        <v>3.5933113566364669</v>
      </c>
      <c r="M26" s="43">
        <v>3.6068532630359824</v>
      </c>
      <c r="N26" s="44">
        <v>2.5570100590277778</v>
      </c>
      <c r="O26" s="44">
        <v>6.25</v>
      </c>
      <c r="P26" s="44">
        <v>0.48431230578911844</v>
      </c>
      <c r="Q26" s="44">
        <v>5.6959979497477828</v>
      </c>
      <c r="R26" s="44">
        <v>22.187484934237126</v>
      </c>
      <c r="U26" s="10"/>
      <c r="V26" s="10"/>
      <c r="W26" s="10"/>
      <c r="X26" s="10"/>
      <c r="Y26" s="10"/>
      <c r="Z26" s="10"/>
      <c r="AA26" s="10"/>
      <c r="AB26" s="10"/>
      <c r="AC26" s="10"/>
      <c r="AD26" s="10"/>
      <c r="AE26" s="10"/>
      <c r="AF26" s="10"/>
      <c r="AG26" s="10"/>
      <c r="AH26" s="10"/>
      <c r="AI26" s="10"/>
      <c r="AJ26" s="10"/>
      <c r="AK26" s="10"/>
      <c r="AL26" s="10"/>
      <c r="AM26" s="10"/>
      <c r="AN26" s="10"/>
    </row>
    <row r="27" spans="2:40">
      <c r="B27" s="27" t="s">
        <v>970</v>
      </c>
      <c r="C27" s="28">
        <f>AVERAGEIF(ผลประหยัด!$A$10:$A$846,B27,ผลประหยัด!$I$10:$I$846)</f>
        <v>-36.716207711782246</v>
      </c>
      <c r="D27" s="28" t="e">
        <f>AVERAGEIF(SR!$A$10:$A$846,'PML เรียง'!B27,SR!#REF!)</f>
        <v>#REF!</v>
      </c>
      <c r="E27" s="29" t="e">
        <f>AVERAGEIF(ADG!$A$10:$A$1044,'PML เรียง'!B27,ADG!#REF!)</f>
        <v>#REF!</v>
      </c>
      <c r="F27" s="29">
        <f>AVERAGEIF(YIELD!$A$10:$A$1044,'PML เรียง'!B27,YIELD!$K$10:$K$1044)</f>
        <v>-0.9251454147267828</v>
      </c>
      <c r="G27" s="30">
        <f>AVERAGEIF(FCR!$A$10:$A$1044,'PML เรียง'!B27,FCR!$L$10:$L$1044)</f>
        <v>8.6512390909090922</v>
      </c>
      <c r="H27" s="28">
        <f>AVERAGEIF(SIZE!$A$10:$A$1044,'PML เรียง'!B27,SIZE!$H$10:$H$1044)</f>
        <v>-1.0874638974624207</v>
      </c>
      <c r="K27" s="26" t="s">
        <v>632</v>
      </c>
      <c r="L27" s="42">
        <v>0</v>
      </c>
      <c r="M27" s="43">
        <v>19.69456374962466</v>
      </c>
      <c r="N27" s="44">
        <v>0.54910148809523807</v>
      </c>
      <c r="O27" s="44">
        <v>0.10879680335096983</v>
      </c>
      <c r="P27" s="44">
        <v>0.40543071126052121</v>
      </c>
      <c r="Q27" s="44">
        <v>0</v>
      </c>
      <c r="R27" s="44">
        <v>20.75789275233139</v>
      </c>
      <c r="U27" s="10"/>
      <c r="V27" s="10"/>
      <c r="W27" s="10"/>
      <c r="X27" s="10"/>
      <c r="Y27" s="10"/>
      <c r="Z27" s="10"/>
      <c r="AA27" s="10"/>
      <c r="AB27" s="10"/>
      <c r="AC27" s="10"/>
      <c r="AD27" s="10"/>
      <c r="AE27" s="10"/>
      <c r="AF27" s="10"/>
      <c r="AG27" s="10"/>
      <c r="AH27" s="10"/>
      <c r="AI27" s="10"/>
      <c r="AJ27" s="10"/>
      <c r="AK27" s="10"/>
      <c r="AL27" s="10"/>
      <c r="AM27" s="10"/>
      <c r="AN27" s="10"/>
    </row>
    <row r="28" spans="2:40">
      <c r="B28" s="27" t="s">
        <v>999</v>
      </c>
      <c r="C28" s="28">
        <f>AVERAGEIF(ผลประหยัด!$A$10:$A$846,B28,ผลประหยัด!$I$10:$I$846)</f>
        <v>-18.167784073819984</v>
      </c>
      <c r="D28" s="28" t="e">
        <f>AVERAGEIF(SR!$A$10:$A$846,'PML เรียง'!B28,SR!#REF!)</f>
        <v>#REF!</v>
      </c>
      <c r="E28" s="29" t="e">
        <f>AVERAGEIF(ADG!$A$10:$A$1044,'PML เรียง'!B28,ADG!#REF!)</f>
        <v>#REF!</v>
      </c>
      <c r="F28" s="29">
        <f>AVERAGEIF(YIELD!$A$10:$A$1044,'PML เรียง'!B28,YIELD!$K$10:$K$1044)</f>
        <v>3.1304027739238141</v>
      </c>
      <c r="G28" s="30">
        <f>AVERAGEIF(FCR!$A$10:$A$1044,'PML เรียง'!B28,FCR!$L$10:$L$1044)</f>
        <v>17.947895454545453</v>
      </c>
      <c r="H28" s="28">
        <f>AVERAGEIF(SIZE!$A$10:$A$1044,'PML เรียง'!B28,SIZE!$H$10:$H$1044)</f>
        <v>0.69973076841500637</v>
      </c>
      <c r="K28" s="26" t="s">
        <v>651</v>
      </c>
      <c r="L28" s="42">
        <v>0</v>
      </c>
      <c r="M28" s="43">
        <v>18.198463669861894</v>
      </c>
      <c r="N28" s="44">
        <v>1.137735449404762</v>
      </c>
      <c r="O28" s="44">
        <v>0</v>
      </c>
      <c r="P28" s="44">
        <v>1.3710545004132453</v>
      </c>
      <c r="Q28" s="44">
        <v>1.6170767716004722E-3</v>
      </c>
      <c r="R28" s="44">
        <v>20.708870696451502</v>
      </c>
      <c r="U28" s="10"/>
      <c r="V28" s="10"/>
      <c r="W28" s="10"/>
      <c r="X28" s="10"/>
      <c r="Y28" s="10"/>
      <c r="Z28" s="10"/>
      <c r="AA28" s="10"/>
      <c r="AB28" s="10"/>
      <c r="AC28" s="10"/>
      <c r="AD28" s="10"/>
      <c r="AE28" s="10"/>
      <c r="AF28" s="10"/>
      <c r="AG28" s="10"/>
      <c r="AH28" s="10"/>
      <c r="AI28" s="10"/>
      <c r="AJ28" s="10"/>
      <c r="AK28" s="10"/>
      <c r="AL28" s="10"/>
      <c r="AM28" s="10"/>
      <c r="AN28" s="10"/>
    </row>
    <row r="29" spans="2:40">
      <c r="B29" s="27" t="s">
        <v>1066</v>
      </c>
      <c r="C29" s="28">
        <f>AVERAGEIF(ผลประหยัด!$A$10:$A$846,B29,ผลประหยัด!$I$10:$I$846)</f>
        <v>-59.406487803076729</v>
      </c>
      <c r="D29" s="28" t="e">
        <f>AVERAGEIF(SR!$A$10:$A$846,'PML เรียง'!B29,SR!#REF!)</f>
        <v>#REF!</v>
      </c>
      <c r="E29" s="29" t="e">
        <f>AVERAGEIF(ADG!$A$10:$A$1044,'PML เรียง'!B29,ADG!#REF!)</f>
        <v>#REF!</v>
      </c>
      <c r="F29" s="29">
        <f>AVERAGEIF(YIELD!$A$10:$A$1044,'PML เรียง'!B29,YIELD!$K$10:$K$1044)</f>
        <v>2.1284878618115539</v>
      </c>
      <c r="G29" s="30">
        <f>AVERAGEIF(FCR!$A$10:$A$1044,'PML เรียง'!B29,FCR!$L$10:$L$1044)</f>
        <v>12.166282962962963</v>
      </c>
      <c r="H29" s="28">
        <f>AVERAGEIF(SIZE!$A$10:$A$1044,'PML เรียง'!B29,SIZE!$H$10:$H$1044)</f>
        <v>0.85346210481328411</v>
      </c>
      <c r="K29" s="26" t="s">
        <v>1174</v>
      </c>
      <c r="L29" s="42">
        <v>0</v>
      </c>
      <c r="M29" s="43">
        <v>10.980646995709527</v>
      </c>
      <c r="N29" s="44">
        <v>4.944529881129534</v>
      </c>
      <c r="O29" s="44">
        <v>5.5200253394950577E-2</v>
      </c>
      <c r="P29" s="44">
        <v>6.6442533021943029E-2</v>
      </c>
      <c r="Q29" s="44">
        <v>4.5272889823984821</v>
      </c>
      <c r="R29" s="44">
        <v>20.574108645654434</v>
      </c>
      <c r="U29" s="10"/>
      <c r="V29" s="10"/>
      <c r="W29" s="10"/>
      <c r="X29" s="10"/>
      <c r="Y29" s="10"/>
      <c r="Z29" s="10"/>
      <c r="AA29" s="10"/>
      <c r="AB29" s="10"/>
      <c r="AC29" s="10"/>
      <c r="AD29" s="10"/>
      <c r="AE29" s="10"/>
      <c r="AF29" s="10"/>
      <c r="AG29" s="10"/>
      <c r="AH29" s="10"/>
      <c r="AI29" s="10"/>
      <c r="AJ29" s="10"/>
      <c r="AK29" s="10"/>
      <c r="AL29" s="10"/>
      <c r="AM29" s="10"/>
      <c r="AN29" s="10"/>
    </row>
    <row r="30" spans="2:40">
      <c r="B30" s="27" t="s">
        <v>1123</v>
      </c>
      <c r="C30" s="28">
        <f>AVERAGEIF(ผลประหยัด!$A$10:$A$846,B30,ผลประหยัด!$I$10:$I$846)</f>
        <v>-18.704950572058006</v>
      </c>
      <c r="D30" s="28" t="e">
        <f>AVERAGEIF(SR!$A$10:$A$846,'PML เรียง'!B30,SR!#REF!)</f>
        <v>#REF!</v>
      </c>
      <c r="E30" s="29" t="e">
        <f>AVERAGEIF(ADG!$A$10:$A$1044,'PML เรียง'!B30,ADG!#REF!)</f>
        <v>#REF!</v>
      </c>
      <c r="F30" s="29">
        <f>AVERAGEIF(YIELD!$A$10:$A$1044,'PML เรียง'!B30,YIELD!$K$10:$K$1044)</f>
        <v>3.6407035224981072</v>
      </c>
      <c r="G30" s="30">
        <f>AVERAGEIF(FCR!$A$10:$A$1044,'PML เรียง'!B30,FCR!$L$10:$L$1044)</f>
        <v>19.790362727272726</v>
      </c>
      <c r="H30" s="28">
        <f>AVERAGEIF(SIZE!$A$10:$A$1044,'PML เรียง'!B30,SIZE!$H$10:$H$1044)</f>
        <v>5.8290546574082533</v>
      </c>
      <c r="K30" s="26" t="s">
        <v>999</v>
      </c>
      <c r="L30" s="42">
        <v>0</v>
      </c>
      <c r="M30" s="43">
        <v>10.436223647254144</v>
      </c>
      <c r="N30" s="44">
        <v>1.3599701881720423</v>
      </c>
      <c r="O30" s="44">
        <v>4.0257662359111688</v>
      </c>
      <c r="P30" s="44">
        <v>1.838892908694614</v>
      </c>
      <c r="Q30" s="44">
        <v>1.2251597580094491</v>
      </c>
      <c r="R30" s="44">
        <v>18.886012738041419</v>
      </c>
      <c r="U30" s="10"/>
      <c r="V30" s="10"/>
      <c r="W30" s="10"/>
      <c r="X30" s="10"/>
      <c r="Y30" s="10"/>
      <c r="Z30" s="10"/>
      <c r="AA30" s="10"/>
      <c r="AB30" s="10"/>
      <c r="AC30" s="10"/>
      <c r="AD30" s="10"/>
      <c r="AE30" s="10"/>
      <c r="AF30" s="10"/>
      <c r="AG30" s="10"/>
      <c r="AH30" s="10"/>
      <c r="AI30" s="10"/>
      <c r="AJ30" s="10"/>
      <c r="AK30" s="10"/>
      <c r="AL30" s="10"/>
      <c r="AM30" s="10"/>
      <c r="AN30" s="10"/>
    </row>
    <row r="31" spans="2:40">
      <c r="B31" s="27" t="s">
        <v>1146</v>
      </c>
      <c r="C31" s="28">
        <f>AVERAGEIF(ผลประหยัด!$A$10:$A$846,B31,ผลประหยัด!$I$10:$I$846)</f>
        <v>-21.15178576894105</v>
      </c>
      <c r="D31" s="28" t="e">
        <f>AVERAGEIF(SR!$A$10:$A$846,'PML เรียง'!B31,SR!#REF!)</f>
        <v>#REF!</v>
      </c>
      <c r="E31" s="29" t="e">
        <f>AVERAGEIF(ADG!$A$10:$A$1044,'PML เรียง'!B31,ADG!#REF!)</f>
        <v>#REF!</v>
      </c>
      <c r="F31" s="29">
        <f>AVERAGEIF(YIELD!$A$10:$A$1044,'PML เรียง'!B31,YIELD!$K$10:$K$1044)</f>
        <v>8.8722751282051302</v>
      </c>
      <c r="G31" s="30">
        <f>AVERAGEIF(FCR!$A$10:$A$1044,'PML เรียง'!B31,FCR!$L$10:$L$1044)</f>
        <v>36.616825384615382</v>
      </c>
      <c r="H31" s="28">
        <f>AVERAGEIF(SIZE!$A$10:$A$1044,'PML เรียง'!B31,SIZE!$H$10:$H$1044)</f>
        <v>4.1210918676929698</v>
      </c>
      <c r="K31" s="26" t="s">
        <v>1123</v>
      </c>
      <c r="L31" s="42">
        <v>0</v>
      </c>
      <c r="M31" s="43">
        <v>4.8974213932391537</v>
      </c>
      <c r="N31" s="44">
        <v>2.2194668655303023</v>
      </c>
      <c r="O31" s="44">
        <v>4.5508794031226349</v>
      </c>
      <c r="P31" s="44">
        <v>1.7593221881362959</v>
      </c>
      <c r="Q31" s="44">
        <v>4.0479546232001766</v>
      </c>
      <c r="R31" s="44">
        <v>17.475044473228564</v>
      </c>
      <c r="U31" s="10"/>
      <c r="V31" s="10"/>
      <c r="W31" s="10"/>
      <c r="X31" s="10"/>
      <c r="Y31" s="10"/>
      <c r="Z31" s="10"/>
      <c r="AA31" s="10"/>
      <c r="AB31" s="10"/>
      <c r="AC31" s="10"/>
      <c r="AD31" s="10"/>
      <c r="AE31" s="10"/>
      <c r="AF31" s="10"/>
      <c r="AG31" s="10"/>
      <c r="AH31" s="10"/>
      <c r="AI31" s="10"/>
      <c r="AJ31" s="10"/>
      <c r="AK31" s="10"/>
      <c r="AL31" s="10"/>
      <c r="AM31" s="10"/>
      <c r="AN31" s="10"/>
    </row>
    <row r="32" spans="2:40">
      <c r="B32" s="27" t="s">
        <v>1174</v>
      </c>
      <c r="C32" s="28">
        <f>AVERAGEIF(ผลประหยัด!$A$10:$A$846,B32,ผลประหยัด!$I$10:$I$846)</f>
        <v>-15.977946144047266</v>
      </c>
      <c r="D32" s="28" t="e">
        <f>AVERAGEIF(SR!$A$10:$A$846,'PML เรียง'!B32,SR!#REF!)</f>
        <v>#REF!</v>
      </c>
      <c r="E32" s="29" t="e">
        <f>AVERAGEIF(ADG!$A$10:$A$1044,'PML เรียง'!B32,ADG!#REF!)</f>
        <v>#REF!</v>
      </c>
      <c r="F32" s="29">
        <f>AVERAGEIF(YIELD!$A$10:$A$1044,'PML เรียง'!B32,YIELD!$K$10:$K$1044)</f>
        <v>3.4478608419859351</v>
      </c>
      <c r="G32" s="30">
        <f>AVERAGEIF(FCR!$A$10:$A$1044,'PML เรียง'!B32,FCR!$L$10:$L$1044)</f>
        <v>5.7729019724770652</v>
      </c>
      <c r="H32" s="28">
        <f>AVERAGEIF(SIZE!$A$10:$A$1044,'PML เรียง'!B32,SIZE!$H$10:$H$1044)</f>
        <v>6.3029580934243663</v>
      </c>
      <c r="K32" s="26" t="s">
        <v>924</v>
      </c>
      <c r="L32" s="42">
        <v>0</v>
      </c>
      <c r="M32" s="43">
        <v>5.8217474474858024</v>
      </c>
      <c r="N32" s="44">
        <v>2.8256729861111105</v>
      </c>
      <c r="O32" s="44">
        <v>2.5164105932496459</v>
      </c>
      <c r="P32" s="44">
        <v>0.62055190331462151</v>
      </c>
      <c r="Q32" s="44">
        <v>4.9167782079588997</v>
      </c>
      <c r="R32" s="44">
        <v>16.701161138120082</v>
      </c>
      <c r="U32" s="10"/>
      <c r="V32" s="10"/>
      <c r="W32" s="10"/>
      <c r="X32" s="10"/>
      <c r="Y32" s="10"/>
      <c r="Z32" s="10"/>
      <c r="AA32" s="10"/>
      <c r="AB32" s="10"/>
      <c r="AC32" s="10"/>
      <c r="AD32" s="10"/>
      <c r="AE32" s="10"/>
      <c r="AF32" s="10"/>
      <c r="AG32" s="10"/>
      <c r="AH32" s="10"/>
      <c r="AI32" s="10"/>
      <c r="AJ32" s="10"/>
      <c r="AK32" s="10"/>
      <c r="AL32" s="10"/>
      <c r="AM32" s="10"/>
      <c r="AN32" s="10"/>
    </row>
    <row r="33" spans="2:40">
      <c r="B33" s="27" t="s">
        <v>1574</v>
      </c>
      <c r="C33" s="28">
        <f>AVERAGEIF(ผลประหยัด!$A$10:$A$846,B33,ผลประหยัด!$I$10:$I$846)</f>
        <v>-19.241899345256734</v>
      </c>
      <c r="D33" s="28" t="e">
        <f>AVERAGEIF(SR!$A$10:$A$846,'PML เรียง'!B33,SR!#REF!)</f>
        <v>#REF!</v>
      </c>
      <c r="E33" s="29" t="e">
        <f>AVERAGEIF(ADG!$A$10:$A$1044,'PML เรียง'!B33,ADG!#REF!)</f>
        <v>#REF!</v>
      </c>
      <c r="F33" s="29">
        <f>AVERAGEIF(YIELD!$A$10:$A$1044,'PML เรียง'!B33,YIELD!$K$10:$K$1044)</f>
        <v>2.5427300510209165</v>
      </c>
      <c r="G33" s="30">
        <f>AVERAGEIF(FCR!$A$10:$A$1044,'PML เรียง'!B33,FCR!$L$10:$L$1044)</f>
        <v>16.172511000000004</v>
      </c>
      <c r="H33" s="28">
        <f>AVERAGEIF(SIZE!$A$10:$A$1044,'PML เรียง'!B33,SIZE!$H$10:$H$1044)</f>
        <v>6.153273570742094</v>
      </c>
      <c r="K33" s="26" t="s">
        <v>970</v>
      </c>
      <c r="L33" s="42">
        <v>0</v>
      </c>
      <c r="M33" s="43">
        <v>14.01301313732564</v>
      </c>
      <c r="N33" s="44">
        <v>0.98356405934343405</v>
      </c>
      <c r="O33" s="44">
        <v>0</v>
      </c>
      <c r="P33" s="44">
        <v>1.1173192924177768</v>
      </c>
      <c r="Q33" s="44">
        <v>0</v>
      </c>
      <c r="R33" s="44">
        <v>16.113896489086851</v>
      </c>
      <c r="U33" s="10"/>
      <c r="V33" s="10"/>
      <c r="W33" s="10"/>
      <c r="X33" s="10"/>
      <c r="Y33" s="10"/>
      <c r="Z33" s="10"/>
      <c r="AA33" s="10"/>
      <c r="AB33" s="10"/>
      <c r="AC33" s="10"/>
      <c r="AD33" s="10"/>
      <c r="AE33" s="10"/>
      <c r="AF33" s="10"/>
      <c r="AG33" s="10"/>
      <c r="AH33" s="10"/>
      <c r="AI33" s="10"/>
      <c r="AJ33" s="10"/>
      <c r="AK33" s="10"/>
      <c r="AL33" s="10"/>
      <c r="AM33" s="10"/>
      <c r="AN33" s="10"/>
    </row>
    <row r="34" spans="2:40">
      <c r="B34" s="27" t="s">
        <v>1600</v>
      </c>
      <c r="C34" s="28">
        <f>AVERAGEIF(ผลประหยัด!$A$10:$A$846,B34,ผลประหยัด!$I$10:$I$846)</f>
        <v>-4.3553720374927565</v>
      </c>
      <c r="D34" s="28" t="e">
        <f>AVERAGEIF(SR!$A$10:$A$846,'PML เรียง'!B34,SR!#REF!)</f>
        <v>#REF!</v>
      </c>
      <c r="E34" s="29" t="e">
        <f>AVERAGEIF(ADG!$A$10:$A$1044,'PML เรียง'!B34,ADG!#REF!)</f>
        <v>#REF!</v>
      </c>
      <c r="F34" s="29">
        <f>AVERAGEIF(YIELD!$A$10:$A$1044,'PML เรียง'!B34,YIELD!$K$10:$K$1044)</f>
        <v>8.0452400483534987</v>
      </c>
      <c r="G34" s="30">
        <f>AVERAGEIF(FCR!$A$10:$A$1044,'PML เรียง'!B34,FCR!$L$10:$L$1044)</f>
        <v>23.679077777777767</v>
      </c>
      <c r="H34" s="28">
        <f>AVERAGEIF(SIZE!$A$10:$A$1044,'PML เรียง'!B34,SIZE!$H$10:$H$1044)</f>
        <v>5.9578471495972387</v>
      </c>
      <c r="K34" s="26" t="s">
        <v>760</v>
      </c>
      <c r="L34" s="42">
        <v>0</v>
      </c>
      <c r="M34" s="43">
        <v>8.863961407357678</v>
      </c>
      <c r="N34" s="44">
        <v>2.1306383231209152</v>
      </c>
      <c r="O34" s="44">
        <v>1.9332657260887132</v>
      </c>
      <c r="P34" s="44">
        <v>1.2940269080812608</v>
      </c>
      <c r="Q34" s="44">
        <v>1.8516462565841185</v>
      </c>
      <c r="R34" s="44">
        <v>16.073538621232686</v>
      </c>
      <c r="U34" s="10"/>
      <c r="V34" s="10"/>
      <c r="W34" s="10"/>
      <c r="X34" s="10"/>
      <c r="Y34" s="10"/>
      <c r="Z34" s="10"/>
      <c r="AA34" s="10"/>
      <c r="AB34" s="10"/>
      <c r="AC34" s="10"/>
      <c r="AD34" s="10"/>
      <c r="AE34" s="10"/>
      <c r="AF34" s="10"/>
      <c r="AG34" s="10"/>
      <c r="AH34" s="10"/>
      <c r="AI34" s="10"/>
      <c r="AJ34" s="10"/>
      <c r="AK34" s="10"/>
      <c r="AL34" s="10"/>
      <c r="AM34" s="10"/>
      <c r="AN34" s="10"/>
    </row>
    <row r="35" spans="2:40">
      <c r="B35" s="27" t="s">
        <v>1660</v>
      </c>
      <c r="C35" s="28">
        <f>AVERAGEIF(ผลประหยัด!$A$10:$A$846,B35,ผลประหยัด!$I$10:$I$846)</f>
        <v>13.260306741028206</v>
      </c>
      <c r="D35" s="28" t="e">
        <f>AVERAGEIF(SR!$A$10:$A$846,'PML เรียง'!B35,SR!#REF!)</f>
        <v>#REF!</v>
      </c>
      <c r="E35" s="29" t="e">
        <f>AVERAGEIF(ADG!$A$10:$A$1044,'PML เรียง'!B35,ADG!#REF!)</f>
        <v>#REF!</v>
      </c>
      <c r="F35" s="29">
        <f>AVERAGEIF(YIELD!$A$10:$A$1044,'PML เรียง'!B35,YIELD!$K$10:$K$1044)</f>
        <v>14.507791439277263</v>
      </c>
      <c r="G35" s="30">
        <f>AVERAGEIF(FCR!$A$10:$A$1044,'PML เรียง'!B35,FCR!$L$10:$L$1044)</f>
        <v>20.455976111111109</v>
      </c>
      <c r="H35" s="28">
        <f>AVERAGEIF(SIZE!$A$10:$A$1044,'PML เรียง'!B35,SIZE!$H$10:$H$1044)</f>
        <v>8.3080990097012251</v>
      </c>
      <c r="K35" s="26" t="s">
        <v>166</v>
      </c>
      <c r="L35" s="42">
        <v>0</v>
      </c>
      <c r="M35" s="43">
        <v>3.9255451525054488</v>
      </c>
      <c r="N35" s="44">
        <v>3.4019342871732028</v>
      </c>
      <c r="O35" s="44">
        <v>3.1242616074731782</v>
      </c>
      <c r="P35" s="44">
        <v>0.7261309528202452</v>
      </c>
      <c r="Q35" s="44">
        <v>2.8930446170502586</v>
      </c>
      <c r="R35" s="44">
        <v>14.070916617022334</v>
      </c>
      <c r="U35" s="10"/>
      <c r="V35" s="10"/>
      <c r="W35" s="10"/>
      <c r="X35" s="10"/>
      <c r="Y35" s="10"/>
      <c r="Z35" s="10"/>
      <c r="AA35" s="10"/>
      <c r="AB35" s="10"/>
      <c r="AC35" s="10"/>
      <c r="AD35" s="10"/>
      <c r="AE35" s="10"/>
      <c r="AF35" s="10"/>
      <c r="AG35" s="10"/>
      <c r="AH35" s="10"/>
      <c r="AI35" s="10"/>
      <c r="AJ35" s="10"/>
      <c r="AK35" s="10"/>
      <c r="AL35" s="10"/>
      <c r="AM35" s="10"/>
      <c r="AN35" s="10"/>
    </row>
    <row r="36" spans="2:40">
      <c r="B36" s="27" t="s">
        <v>1747</v>
      </c>
      <c r="C36" s="28">
        <f>AVERAGEIF(ผลประหยัด!$A$10:$A$846,B36,ผลประหยัด!$I$10:$I$846)</f>
        <v>1.9225019856704257</v>
      </c>
      <c r="D36" s="28" t="e">
        <f>AVERAGEIF(SR!$A$10:$A$846,'PML เรียง'!B36,SR!#REF!)</f>
        <v>#REF!</v>
      </c>
      <c r="E36" s="29" t="e">
        <f>AVERAGEIF(ADG!$A$10:$A$1044,'PML เรียง'!B36,ADG!#REF!)</f>
        <v>#REF!</v>
      </c>
      <c r="F36" s="29">
        <f>AVERAGEIF(YIELD!$A$10:$A$1044,'PML เรียง'!B36,YIELD!$K$10:$K$1044)</f>
        <v>4.7923354850277926</v>
      </c>
      <c r="G36" s="30">
        <f>AVERAGEIF(FCR!$A$10:$A$1044,'PML เรียง'!B36,FCR!$L$10:$L$1044)</f>
        <v>19.85885636363636</v>
      </c>
      <c r="H36" s="28">
        <f>AVERAGEIF(SIZE!$A$10:$A$1044,'PML เรียง'!B36,SIZE!$H$10:$H$1044)</f>
        <v>7.1751554786564888</v>
      </c>
      <c r="K36" s="26" t="s">
        <v>248</v>
      </c>
      <c r="L36" s="42">
        <v>0</v>
      </c>
      <c r="M36" s="43">
        <v>6.6948974206349217</v>
      </c>
      <c r="N36" s="44">
        <v>0.75803897453703639</v>
      </c>
      <c r="O36" s="44">
        <v>0.19074746461120834</v>
      </c>
      <c r="P36" s="44">
        <v>1.1426018715661557</v>
      </c>
      <c r="Q36" s="44">
        <v>0.6772640497024679</v>
      </c>
      <c r="R36" s="44">
        <v>9.463549781051789</v>
      </c>
      <c r="U36" s="10"/>
      <c r="V36" s="10"/>
      <c r="W36" s="10"/>
      <c r="X36" s="10"/>
      <c r="Y36" s="10"/>
      <c r="Z36" s="10"/>
      <c r="AA36" s="10"/>
      <c r="AB36" s="10"/>
      <c r="AC36" s="10"/>
      <c r="AD36" s="10"/>
      <c r="AE36" s="10"/>
      <c r="AF36" s="10"/>
      <c r="AG36" s="10"/>
      <c r="AH36" s="10"/>
      <c r="AI36" s="10"/>
      <c r="AJ36" s="10"/>
      <c r="AK36" s="10"/>
      <c r="AL36" s="10"/>
      <c r="AM36" s="10"/>
      <c r="AN36" s="10"/>
    </row>
    <row r="37" spans="2:40">
      <c r="B37" s="27" t="s">
        <v>1771</v>
      </c>
      <c r="C37" s="28">
        <f>AVERAGEIF(ผลประหยัด!$A$10:$A$846,B37,ผลประหยัด!$I$10:$I$846)</f>
        <v>1.6827658414815545</v>
      </c>
      <c r="D37" s="28" t="e">
        <f>AVERAGEIF(SR!$A$10:$A$846,'PML เรียง'!B37,SR!#REF!)</f>
        <v>#REF!</v>
      </c>
      <c r="E37" s="29" t="e">
        <f>AVERAGEIF(ADG!$A$10:$A$1044,'PML เรียง'!B37,ADG!#REF!)</f>
        <v>#REF!</v>
      </c>
      <c r="F37" s="29">
        <f>AVERAGEIF(YIELD!$A$10:$A$1044,'PML เรียง'!B37,YIELD!$K$10:$K$1044)</f>
        <v>6.0374481175390278</v>
      </c>
      <c r="G37" s="30">
        <f>AVERAGEIF(FCR!$A$10:$A$1044,'PML เรียง'!B37,FCR!$L$10:$L$1044)</f>
        <v>27.182621818181818</v>
      </c>
      <c r="H37" s="28">
        <f>AVERAGEIF(SIZE!$A$10:$A$1044,'PML เรียง'!B37,SIZE!$H$10:$H$1044)</f>
        <v>8.2842239389767833</v>
      </c>
      <c r="K37" s="26" t="s">
        <v>835</v>
      </c>
      <c r="L37" s="42">
        <v>0</v>
      </c>
      <c r="M37" s="43">
        <v>0</v>
      </c>
      <c r="N37" s="44">
        <v>3.2776479901175213</v>
      </c>
      <c r="O37" s="44">
        <v>1.9343246590121586</v>
      </c>
      <c r="P37" s="44">
        <v>0.84253576958869791</v>
      </c>
      <c r="Q37" s="44">
        <v>3.3891207550811493</v>
      </c>
      <c r="R37" s="44">
        <v>9.4436291737995273</v>
      </c>
      <c r="U37" s="10"/>
      <c r="V37" s="10"/>
      <c r="W37" s="10"/>
      <c r="X37" s="10"/>
      <c r="Y37" s="10"/>
      <c r="Z37" s="10"/>
      <c r="AA37" s="10"/>
      <c r="AB37" s="10"/>
      <c r="AC37" s="10"/>
      <c r="AD37" s="10"/>
      <c r="AE37" s="10"/>
      <c r="AF37" s="10"/>
      <c r="AG37" s="10"/>
      <c r="AH37" s="10"/>
      <c r="AI37" s="10"/>
      <c r="AJ37" s="10"/>
      <c r="AK37" s="10"/>
      <c r="AL37" s="10"/>
      <c r="AM37" s="10"/>
      <c r="AN37" s="10"/>
    </row>
    <row r="38" spans="2:40">
      <c r="B38" s="27" t="s">
        <v>1791</v>
      </c>
      <c r="C38" s="28" t="e">
        <f>AVERAGEIF(ผลประหยัด!$A$10:$A$846,B38,ผลประหยัด!$I$10:$I$846)</f>
        <v>#DIV/0!</v>
      </c>
      <c r="D38" s="28" t="e">
        <f>AVERAGEIF(SR!$A$10:$A$846,'PML เรียง'!B38,SR!#REF!)</f>
        <v>#REF!</v>
      </c>
      <c r="E38" s="29" t="e">
        <f>AVERAGEIF(ADG!$A$10:$A$1044,'PML เรียง'!B38,ADG!#REF!)</f>
        <v>#REF!</v>
      </c>
      <c r="F38" s="29" t="e">
        <f>AVERAGEIF(YIELD!$A$10:$A$1044,'PML เรียง'!B38,YIELD!$K$10:$K$1044)</f>
        <v>#DIV/0!</v>
      </c>
      <c r="G38" s="30" t="e">
        <f>AVERAGEIF(FCR!$A$10:$A$1044,'PML เรียง'!B38,FCR!$L$10:$L$1044)</f>
        <v>#DIV/0!</v>
      </c>
      <c r="H38" s="28" t="e">
        <f>AVERAGEIF(SIZE!$A$10:$A$1044,'PML เรียง'!B38,SIZE!$H$10:$H$1044)</f>
        <v>#DIV/0!</v>
      </c>
      <c r="K38" s="26" t="s">
        <v>1066</v>
      </c>
      <c r="L38" s="42">
        <v>0</v>
      </c>
      <c r="M38" s="43">
        <v>5.8336802310584419</v>
      </c>
      <c r="N38" s="44">
        <v>1.3636733564814818</v>
      </c>
      <c r="O38" s="44">
        <v>0.73159748158543059</v>
      </c>
      <c r="P38" s="44">
        <v>0.10950081683249024</v>
      </c>
      <c r="Q38" s="44">
        <v>0.59268201723144665</v>
      </c>
      <c r="R38" s="44">
        <v>8.6311339031892906</v>
      </c>
      <c r="U38" s="10"/>
      <c r="V38" s="10"/>
      <c r="W38" s="10"/>
      <c r="X38" s="10"/>
      <c r="Y38" s="10"/>
      <c r="Z38" s="10"/>
      <c r="AA38" s="10"/>
      <c r="AB38" s="10"/>
      <c r="AC38" s="10"/>
      <c r="AD38" s="10"/>
      <c r="AE38" s="10"/>
      <c r="AF38" s="10"/>
      <c r="AG38" s="10"/>
      <c r="AH38" s="10"/>
      <c r="AI38" s="10"/>
      <c r="AJ38" s="10"/>
      <c r="AK38" s="10"/>
      <c r="AL38" s="10"/>
      <c r="AM38" s="10"/>
      <c r="AN38" s="10"/>
    </row>
    <row r="39" spans="2:40">
      <c r="B39" s="27" t="s">
        <v>1792</v>
      </c>
      <c r="C39" s="28" t="e">
        <f>AVERAGEIF(ผลประหยัด!$A$10:$A$846,B39,ผลประหยัด!$I$10:$I$846)</f>
        <v>#DIV/0!</v>
      </c>
      <c r="D39" s="28" t="e">
        <f>AVERAGEIF(SR!$A$10:$A$846,'PML เรียง'!B39,SR!#REF!)</f>
        <v>#REF!</v>
      </c>
      <c r="E39" s="29" t="e">
        <f>AVERAGEIF(ADG!$A$10:$A$1044,'PML เรียง'!B39,ADG!#REF!)</f>
        <v>#REF!</v>
      </c>
      <c r="F39" s="29" t="e">
        <f>AVERAGEIF(YIELD!$A$10:$A$1044,'PML เรียง'!B39,YIELD!$K$10:$K$1044)</f>
        <v>#DIV/0!</v>
      </c>
      <c r="G39" s="30" t="e">
        <f>AVERAGEIF(FCR!$A$10:$A$1044,'PML เรียง'!B39,FCR!$L$10:$L$1044)</f>
        <v>#DIV/0!</v>
      </c>
      <c r="H39" s="28" t="e">
        <f>AVERAGEIF(SIZE!$A$10:$A$1044,'PML เรียง'!B39,SIZE!$H$10:$H$1044)</f>
        <v>#DIV/0!</v>
      </c>
      <c r="K39" s="26" t="s">
        <v>1574</v>
      </c>
      <c r="L39" s="42">
        <v>0</v>
      </c>
      <c r="M39" s="43">
        <v>0</v>
      </c>
      <c r="N39" s="44">
        <v>1.4477353217592592</v>
      </c>
      <c r="O39" s="44">
        <v>2.4210726928129347</v>
      </c>
      <c r="P39" s="44">
        <v>2.5417083527132848E-2</v>
      </c>
      <c r="Q39" s="44">
        <v>4.1523634043960609</v>
      </c>
      <c r="R39" s="44">
        <v>8.0465885024953874</v>
      </c>
      <c r="U39" s="10"/>
      <c r="V39" s="10"/>
      <c r="W39" s="10"/>
      <c r="X39" s="10"/>
      <c r="Y39" s="10"/>
      <c r="Z39" s="10"/>
      <c r="AA39" s="10"/>
      <c r="AB39" s="10"/>
      <c r="AC39" s="10"/>
      <c r="AD39" s="10"/>
      <c r="AE39" s="10"/>
      <c r="AF39" s="10"/>
      <c r="AG39" s="10"/>
      <c r="AH39" s="10"/>
      <c r="AI39" s="10"/>
      <c r="AJ39" s="10"/>
      <c r="AK39" s="10"/>
      <c r="AL39" s="10"/>
      <c r="AM39" s="10"/>
      <c r="AN39" s="10"/>
    </row>
    <row r="40" spans="2:40">
      <c r="B40" s="27" t="s">
        <v>1795</v>
      </c>
      <c r="C40" s="28">
        <f>AVERAGEIF(ผลประหยัด!$A$10:$A$846,B40,ผลประหยัด!$I$10:$I$846)</f>
        <v>12.542577498138485</v>
      </c>
      <c r="D40" s="28" t="e">
        <f>AVERAGEIF(SR!$A$10:$A$846,'PML เรียง'!B40,SR!#REF!)</f>
        <v>#REF!</v>
      </c>
      <c r="E40" s="29" t="e">
        <f>AVERAGEIF(ADG!$A$10:$A$1044,'PML เรียง'!B40,ADG!#REF!)</f>
        <v>#REF!</v>
      </c>
      <c r="F40" s="29">
        <f>AVERAGEIF(YIELD!$A$10:$A$1044,'PML เรียง'!B40,YIELD!$K$10:$K$1044)</f>
        <v>4.0468070264463814</v>
      </c>
      <c r="G40" s="30">
        <f>AVERAGEIF(FCR!$A$10:$A$1044,'PML เรียง'!B40,FCR!$L$10:$L$1044)</f>
        <v>24.835081111111108</v>
      </c>
      <c r="H40" s="28">
        <f>AVERAGEIF(SIZE!$A$10:$A$1044,'PML เรียง'!B40,SIZE!$H$10:$H$1044)</f>
        <v>6.5896580741724318</v>
      </c>
      <c r="K40" s="26" t="s">
        <v>66</v>
      </c>
      <c r="L40" s="42">
        <v>0</v>
      </c>
      <c r="M40" s="43">
        <v>6.0133788160998849</v>
      </c>
      <c r="N40" s="44">
        <v>0</v>
      </c>
      <c r="O40" s="44">
        <v>0</v>
      </c>
      <c r="P40" s="44">
        <v>0</v>
      </c>
      <c r="Q40" s="44">
        <v>0</v>
      </c>
      <c r="R40" s="44">
        <v>6.0133788160998849</v>
      </c>
      <c r="U40" s="10"/>
      <c r="V40" s="10"/>
      <c r="W40" s="10"/>
      <c r="X40" s="10"/>
      <c r="Y40" s="10"/>
      <c r="Z40" s="10"/>
      <c r="AA40" s="10"/>
      <c r="AB40" s="10"/>
      <c r="AC40" s="10"/>
      <c r="AD40" s="10"/>
      <c r="AE40" s="10"/>
      <c r="AF40" s="10"/>
      <c r="AG40" s="10"/>
      <c r="AH40" s="10"/>
      <c r="AI40" s="10"/>
      <c r="AJ40" s="10"/>
      <c r="AK40" s="10"/>
      <c r="AL40" s="10"/>
      <c r="AM40" s="10"/>
      <c r="AN40" s="10"/>
    </row>
    <row r="42" spans="2:40">
      <c r="K42" s="17" t="s">
        <v>1866</v>
      </c>
    </row>
  </sheetData>
  <autoFilter ref="K2:R40" xr:uid="{ECEB60F5-9B74-2A46-88D7-1742C13E8D6E}">
    <sortState xmlns:xlrd2="http://schemas.microsoft.com/office/spreadsheetml/2017/richdata2" ref="K3:R40">
      <sortCondition descending="1" ref="R2:R40"/>
    </sortState>
  </autoFilter>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CAE42-E6F5-8F4E-A09C-5ED56BBFA257}">
  <dimension ref="B2:H44"/>
  <sheetViews>
    <sheetView zoomScale="160" zoomScaleNormal="160" workbookViewId="0">
      <selection activeCell="B23" sqref="B23"/>
    </sheetView>
  </sheetViews>
  <sheetFormatPr baseColWidth="10" defaultRowHeight="17"/>
  <cols>
    <col min="1" max="1" width="10.83203125" style="126"/>
    <col min="2" max="2" width="19.5" style="126" customWidth="1"/>
    <col min="3" max="3" width="17.6640625" style="143" customWidth="1"/>
    <col min="4" max="6" width="17.6640625" style="126" customWidth="1"/>
    <col min="7" max="16384" width="10.83203125" style="126"/>
  </cols>
  <sheetData>
    <row r="2" spans="2:8" s="145" customFormat="1" ht="17" customHeight="1">
      <c r="B2" s="144" t="s">
        <v>1832</v>
      </c>
      <c r="C2" s="166">
        <v>60</v>
      </c>
      <c r="D2" s="144">
        <v>10</v>
      </c>
      <c r="E2" s="144">
        <v>10</v>
      </c>
    </row>
    <row r="3" spans="2:8">
      <c r="B3" s="146" t="s">
        <v>1918</v>
      </c>
      <c r="C3" s="147" t="s">
        <v>1836</v>
      </c>
      <c r="D3" s="146" t="s">
        <v>1851</v>
      </c>
      <c r="E3" s="146" t="s">
        <v>29</v>
      </c>
      <c r="F3" s="148"/>
      <c r="G3" s="148"/>
    </row>
    <row r="4" spans="2:8">
      <c r="B4" s="149">
        <v>0.7</v>
      </c>
      <c r="C4" s="150">
        <v>0</v>
      </c>
      <c r="D4" s="150">
        <v>0</v>
      </c>
      <c r="E4" s="150">
        <v>0</v>
      </c>
      <c r="F4" s="148"/>
      <c r="G4" s="148"/>
    </row>
    <row r="5" spans="2:8">
      <c r="B5" s="149" t="s">
        <v>1919</v>
      </c>
      <c r="C5" s="149" t="s">
        <v>1919</v>
      </c>
      <c r="D5" s="149" t="s">
        <v>1919</v>
      </c>
      <c r="E5" s="149" t="s">
        <v>1919</v>
      </c>
      <c r="F5" s="148"/>
      <c r="G5" s="148"/>
    </row>
    <row r="6" spans="2:8">
      <c r="B6" s="149">
        <v>1</v>
      </c>
      <c r="C6" s="150">
        <v>30</v>
      </c>
      <c r="D6" s="150">
        <v>5</v>
      </c>
      <c r="E6" s="150">
        <v>5</v>
      </c>
      <c r="F6" s="148"/>
      <c r="G6" s="148"/>
    </row>
    <row r="7" spans="2:8">
      <c r="B7" s="149" t="s">
        <v>1919</v>
      </c>
      <c r="C7" s="149" t="s">
        <v>1919</v>
      </c>
      <c r="D7" s="149" t="s">
        <v>1919</v>
      </c>
      <c r="E7" s="149" t="s">
        <v>1919</v>
      </c>
      <c r="F7" s="148"/>
      <c r="G7" s="148"/>
    </row>
    <row r="8" spans="2:8">
      <c r="B8" s="151">
        <v>1.3</v>
      </c>
      <c r="C8" s="152">
        <v>60</v>
      </c>
      <c r="D8" s="152">
        <v>50</v>
      </c>
      <c r="E8" s="152">
        <v>50</v>
      </c>
      <c r="F8" s="148"/>
      <c r="G8" s="148"/>
    </row>
    <row r="9" spans="2:8">
      <c r="G9" s="148"/>
      <c r="H9" s="148"/>
    </row>
    <row r="10" spans="2:8">
      <c r="B10" s="476" t="s">
        <v>1928</v>
      </c>
      <c r="C10" s="477"/>
      <c r="D10" s="477"/>
      <c r="E10" s="478"/>
      <c r="F10" s="475" t="s">
        <v>1832</v>
      </c>
      <c r="H10" s="148"/>
    </row>
    <row r="11" spans="2:8">
      <c r="B11" s="153" t="s">
        <v>67</v>
      </c>
      <c r="C11" s="154" t="s">
        <v>75</v>
      </c>
      <c r="D11" s="154" t="s">
        <v>75</v>
      </c>
      <c r="E11" s="154" t="s">
        <v>75</v>
      </c>
      <c r="F11" s="475"/>
    </row>
    <row r="12" spans="2:8">
      <c r="B12" s="156"/>
      <c r="C12" s="156" t="s">
        <v>1925</v>
      </c>
      <c r="D12" s="157" t="s">
        <v>1926</v>
      </c>
      <c r="E12" s="156" t="s">
        <v>1927</v>
      </c>
      <c r="F12" s="475"/>
    </row>
    <row r="13" spans="2:8">
      <c r="B13" s="159">
        <v>15</v>
      </c>
      <c r="C13" s="159">
        <v>10</v>
      </c>
      <c r="D13" s="159">
        <v>7</v>
      </c>
      <c r="E13" s="159">
        <v>5</v>
      </c>
      <c r="F13" s="158">
        <v>5</v>
      </c>
    </row>
    <row r="14" spans="2:8">
      <c r="B14" s="158" t="s">
        <v>1921</v>
      </c>
      <c r="C14" s="158" t="s">
        <v>1921</v>
      </c>
      <c r="D14" s="158" t="s">
        <v>1921</v>
      </c>
      <c r="E14" s="158" t="s">
        <v>1921</v>
      </c>
      <c r="F14" s="158" t="s">
        <v>1921</v>
      </c>
    </row>
    <row r="15" spans="2:8">
      <c r="B15" s="159">
        <v>6</v>
      </c>
      <c r="C15" s="159">
        <v>5.5</v>
      </c>
      <c r="D15" s="159">
        <v>4</v>
      </c>
      <c r="E15" s="159">
        <v>2</v>
      </c>
      <c r="F15" s="158">
        <v>0</v>
      </c>
    </row>
    <row r="16" spans="2:8">
      <c r="B16" s="155"/>
      <c r="C16" s="160"/>
      <c r="D16" s="160"/>
      <c r="E16" s="160"/>
      <c r="F16" s="160"/>
      <c r="G16" s="160"/>
    </row>
    <row r="17" spans="2:8">
      <c r="B17" s="162" t="s">
        <v>1923</v>
      </c>
      <c r="C17" s="161" t="s">
        <v>1922</v>
      </c>
      <c r="E17" s="163"/>
      <c r="F17" s="163"/>
      <c r="G17" s="148"/>
      <c r="H17" s="148"/>
    </row>
    <row r="18" spans="2:8">
      <c r="B18" s="150">
        <v>0</v>
      </c>
      <c r="C18" s="164">
        <v>30</v>
      </c>
      <c r="E18" s="163"/>
      <c r="F18" s="163"/>
      <c r="G18" s="148"/>
      <c r="H18" s="148"/>
    </row>
    <row r="19" spans="2:8">
      <c r="B19" s="149" t="s">
        <v>1919</v>
      </c>
      <c r="C19" s="164" t="s">
        <v>1919</v>
      </c>
      <c r="E19" s="163"/>
      <c r="F19" s="163"/>
      <c r="G19" s="148"/>
      <c r="H19" s="148"/>
    </row>
    <row r="20" spans="2:8">
      <c r="B20" s="150">
        <v>30</v>
      </c>
      <c r="C20" s="164">
        <v>75</v>
      </c>
      <c r="E20" s="163"/>
      <c r="F20" s="163"/>
      <c r="G20" s="148"/>
      <c r="H20" s="148"/>
    </row>
    <row r="21" spans="2:8">
      <c r="B21" s="127"/>
      <c r="C21" s="165"/>
      <c r="D21" s="148"/>
      <c r="E21" s="163"/>
      <c r="F21" s="163"/>
      <c r="G21" s="148"/>
      <c r="H21" s="148"/>
    </row>
    <row r="22" spans="2:8">
      <c r="B22" s="144" t="s">
        <v>1832</v>
      </c>
      <c r="C22" s="144">
        <v>10</v>
      </c>
      <c r="D22" s="163"/>
      <c r="E22" s="163"/>
      <c r="F22" s="148"/>
      <c r="G22" s="148"/>
    </row>
    <row r="23" spans="2:8">
      <c r="B23" s="146" t="s">
        <v>1918</v>
      </c>
      <c r="C23" s="146" t="s">
        <v>1850</v>
      </c>
      <c r="D23" s="163"/>
      <c r="E23" s="163"/>
      <c r="F23" s="148"/>
      <c r="G23" s="148"/>
    </row>
    <row r="24" spans="2:8">
      <c r="B24" s="149">
        <v>0.7</v>
      </c>
      <c r="C24" s="150">
        <v>0</v>
      </c>
      <c r="D24" s="163"/>
      <c r="E24" s="163"/>
      <c r="F24" s="148"/>
      <c r="G24" s="148"/>
    </row>
    <row r="25" spans="2:8">
      <c r="B25" s="149" t="s">
        <v>1919</v>
      </c>
      <c r="C25" s="149" t="s">
        <v>1919</v>
      </c>
      <c r="D25" s="163"/>
      <c r="E25" s="163"/>
      <c r="F25" s="148"/>
      <c r="G25" s="148"/>
    </row>
    <row r="26" spans="2:8">
      <c r="B26" s="149">
        <v>0.85</v>
      </c>
      <c r="C26" s="150">
        <v>5</v>
      </c>
      <c r="D26" s="163"/>
      <c r="E26" s="163"/>
      <c r="F26" s="148"/>
      <c r="G26" s="148"/>
    </row>
    <row r="27" spans="2:8">
      <c r="B27" s="149" t="s">
        <v>1919</v>
      </c>
      <c r="C27" s="149" t="s">
        <v>1919</v>
      </c>
      <c r="D27" s="163"/>
      <c r="E27" s="163"/>
      <c r="F27" s="148"/>
      <c r="G27" s="148"/>
    </row>
    <row r="28" spans="2:8">
      <c r="B28" s="151">
        <v>1</v>
      </c>
      <c r="C28" s="152">
        <v>10</v>
      </c>
      <c r="D28" s="163"/>
      <c r="E28" s="163"/>
      <c r="F28" s="148"/>
      <c r="G28" s="148"/>
    </row>
    <row r="29" spans="2:8">
      <c r="B29" s="127"/>
      <c r="C29" s="165"/>
      <c r="D29" s="148"/>
      <c r="E29" s="163"/>
      <c r="F29" s="163"/>
      <c r="G29" s="148"/>
      <c r="H29" s="148"/>
    </row>
    <row r="30" spans="2:8">
      <c r="B30" s="127"/>
      <c r="C30" s="165"/>
      <c r="D30" s="148"/>
      <c r="E30" s="163"/>
      <c r="F30" s="163"/>
      <c r="G30" s="148"/>
      <c r="H30" s="148"/>
    </row>
    <row r="31" spans="2:8">
      <c r="B31" s="476" t="s">
        <v>1950</v>
      </c>
      <c r="C31" s="477"/>
      <c r="D31" s="477"/>
      <c r="E31" s="478"/>
      <c r="F31" s="475" t="s">
        <v>1832</v>
      </c>
      <c r="G31" s="148"/>
      <c r="H31" s="148"/>
    </row>
    <row r="32" spans="2:8">
      <c r="B32" s="153" t="s">
        <v>67</v>
      </c>
      <c r="C32" s="154" t="s">
        <v>75</v>
      </c>
      <c r="D32" s="154" t="s">
        <v>75</v>
      </c>
      <c r="E32" s="154" t="s">
        <v>75</v>
      </c>
      <c r="F32" s="475"/>
      <c r="G32" s="148"/>
      <c r="H32" s="148"/>
    </row>
    <row r="33" spans="2:8">
      <c r="B33" s="156"/>
      <c r="C33" s="156" t="s">
        <v>1925</v>
      </c>
      <c r="D33" s="157" t="s">
        <v>1926</v>
      </c>
      <c r="E33" s="156" t="s">
        <v>1927</v>
      </c>
      <c r="F33" s="475"/>
      <c r="G33" s="148"/>
      <c r="H33" s="148"/>
    </row>
    <row r="34" spans="2:8">
      <c r="B34" s="159">
        <v>15</v>
      </c>
      <c r="C34" s="159">
        <v>10</v>
      </c>
      <c r="D34" s="159">
        <v>7</v>
      </c>
      <c r="E34" s="159">
        <v>5</v>
      </c>
      <c r="F34" s="158">
        <v>5</v>
      </c>
      <c r="G34" s="148"/>
      <c r="H34" s="148"/>
    </row>
    <row r="35" spans="2:8">
      <c r="B35" s="158" t="s">
        <v>1921</v>
      </c>
      <c r="C35" s="158" t="s">
        <v>1921</v>
      </c>
      <c r="D35" s="158" t="s">
        <v>1921</v>
      </c>
      <c r="E35" s="158" t="s">
        <v>1921</v>
      </c>
      <c r="F35" s="158" t="s">
        <v>1921</v>
      </c>
      <c r="G35" s="148"/>
      <c r="H35" s="148"/>
    </row>
    <row r="36" spans="2:8">
      <c r="B36" s="159">
        <v>6</v>
      </c>
      <c r="C36" s="159">
        <v>5.5</v>
      </c>
      <c r="D36" s="159">
        <v>4</v>
      </c>
      <c r="E36" s="159">
        <v>2</v>
      </c>
      <c r="F36" s="158">
        <v>0</v>
      </c>
      <c r="G36" s="148"/>
      <c r="H36" s="148"/>
    </row>
    <row r="37" spans="2:8">
      <c r="B37" s="127"/>
      <c r="C37" s="165"/>
      <c r="D37" s="148"/>
      <c r="E37" s="163"/>
      <c r="F37" s="163"/>
      <c r="G37" s="148"/>
      <c r="H37" s="148"/>
    </row>
    <row r="40" spans="2:8">
      <c r="B40" s="470" t="s">
        <v>29</v>
      </c>
      <c r="C40" s="471"/>
      <c r="D40" s="471"/>
      <c r="E40" s="472"/>
      <c r="F40" s="473" t="s">
        <v>1832</v>
      </c>
    </row>
    <row r="41" spans="2:8">
      <c r="B41" s="187" t="s">
        <v>1932</v>
      </c>
      <c r="C41" s="187" t="s">
        <v>1933</v>
      </c>
      <c r="D41" s="187" t="s">
        <v>1934</v>
      </c>
      <c r="E41" s="187" t="s">
        <v>1935</v>
      </c>
      <c r="F41" s="474"/>
    </row>
    <row r="42" spans="2:8">
      <c r="B42" s="186">
        <v>2.4</v>
      </c>
      <c r="C42" s="186">
        <v>2.2999999999999998</v>
      </c>
      <c r="D42" s="186">
        <v>2.2000000000000002</v>
      </c>
      <c r="E42" s="186">
        <v>2.1</v>
      </c>
      <c r="F42" s="158">
        <v>0</v>
      </c>
    </row>
    <row r="43" spans="2:8">
      <c r="B43" s="186" t="s">
        <v>1919</v>
      </c>
      <c r="C43" s="186" t="s">
        <v>1919</v>
      </c>
      <c r="D43" s="186" t="s">
        <v>1919</v>
      </c>
      <c r="E43" s="186" t="s">
        <v>1919</v>
      </c>
      <c r="F43" s="158" t="s">
        <v>1921</v>
      </c>
    </row>
    <row r="44" spans="2:8">
      <c r="B44" s="186">
        <v>1.5</v>
      </c>
      <c r="C44" s="186">
        <v>1.4</v>
      </c>
      <c r="D44" s="186">
        <v>1.3</v>
      </c>
      <c r="E44" s="186">
        <v>1.2</v>
      </c>
      <c r="F44" s="158">
        <v>6.25</v>
      </c>
    </row>
  </sheetData>
  <mergeCells count="6">
    <mergeCell ref="B40:E40"/>
    <mergeCell ref="F40:F41"/>
    <mergeCell ref="F10:F12"/>
    <mergeCell ref="B10:E10"/>
    <mergeCell ref="B31:E31"/>
    <mergeCell ref="F31:F33"/>
  </mergeCells>
  <phoneticPr fontId="16" type="noConversion"/>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B61D-DE50-7042-B5E8-17D94E20F522}">
  <sheetPr>
    <tabColor rgb="FF92D050"/>
  </sheetPr>
  <dimension ref="A1:AK73"/>
  <sheetViews>
    <sheetView zoomScale="99" workbookViewId="0">
      <selection activeCell="F4" sqref="F4"/>
    </sheetView>
  </sheetViews>
  <sheetFormatPr baseColWidth="10" defaultRowHeight="20"/>
  <cols>
    <col min="1" max="1" width="23.6640625" style="129" customWidth="1"/>
    <col min="2" max="2" width="10.1640625" style="129" customWidth="1"/>
    <col min="3" max="3" width="14.6640625" style="129" customWidth="1"/>
    <col min="4" max="4" width="17.5" style="129" customWidth="1"/>
    <col min="5" max="10" width="10.83203125" style="132" customWidth="1"/>
    <col min="11" max="11" width="10.83203125" style="133" customWidth="1"/>
    <col min="12" max="12" width="10.83203125" style="129"/>
    <col min="13" max="13" width="15.33203125" style="129" customWidth="1"/>
    <col min="14" max="19" width="11" style="415" bestFit="1" customWidth="1"/>
    <col min="20" max="20" width="11" style="410" bestFit="1" customWidth="1"/>
    <col min="21" max="21" width="11.1640625" style="413" bestFit="1" customWidth="1"/>
    <col min="22" max="22" width="12.6640625" style="413" bestFit="1" customWidth="1"/>
    <col min="23" max="24" width="13.1640625" style="413" bestFit="1" customWidth="1"/>
    <col min="25" max="35" width="10.83203125" style="129"/>
    <col min="36" max="36" width="15.6640625" customWidth="1"/>
    <col min="37" max="16384" width="10.83203125" style="129"/>
  </cols>
  <sheetData>
    <row r="1" spans="1:37" ht="20" customHeight="1">
      <c r="A1" s="128">
        <v>12</v>
      </c>
      <c r="C1" s="134" t="s">
        <v>1832</v>
      </c>
      <c r="D1" s="134"/>
      <c r="E1" s="135">
        <v>60</v>
      </c>
      <c r="F1" s="135">
        <v>10</v>
      </c>
      <c r="G1" s="135">
        <v>10</v>
      </c>
      <c r="H1" s="135">
        <v>10</v>
      </c>
      <c r="I1" s="135">
        <v>5</v>
      </c>
      <c r="J1" s="135">
        <v>5</v>
      </c>
      <c r="K1" s="134">
        <v>100</v>
      </c>
      <c r="L1" s="131"/>
      <c r="M1" s="401" t="s">
        <v>1832</v>
      </c>
      <c r="N1" s="402">
        <v>40</v>
      </c>
      <c r="O1" s="402">
        <v>15</v>
      </c>
      <c r="P1" s="402">
        <v>15</v>
      </c>
      <c r="Q1" s="402">
        <v>10</v>
      </c>
      <c r="R1" s="402">
        <v>10</v>
      </c>
      <c r="S1" s="402">
        <v>10</v>
      </c>
      <c r="T1" s="401">
        <v>100</v>
      </c>
      <c r="U1" s="417" t="s">
        <v>23</v>
      </c>
      <c r="V1" s="416" t="s">
        <v>2820</v>
      </c>
      <c r="W1" s="416" t="s">
        <v>2821</v>
      </c>
      <c r="X1" s="416" t="s">
        <v>2822</v>
      </c>
      <c r="AJ1" s="1" t="s">
        <v>2</v>
      </c>
    </row>
    <row r="2" spans="1:37">
      <c r="A2" s="130" t="s">
        <v>1924</v>
      </c>
      <c r="C2" s="134" t="s">
        <v>1</v>
      </c>
      <c r="D2" s="134"/>
      <c r="E2" s="135" t="s">
        <v>1836</v>
      </c>
      <c r="F2" s="135" t="s">
        <v>1916</v>
      </c>
      <c r="G2" s="135" t="s">
        <v>1851</v>
      </c>
      <c r="H2" s="135" t="s">
        <v>29</v>
      </c>
      <c r="I2" s="135" t="s">
        <v>1917</v>
      </c>
      <c r="J2" s="135" t="s">
        <v>1907</v>
      </c>
      <c r="K2" s="134" t="s">
        <v>1843</v>
      </c>
      <c r="L2" s="131"/>
      <c r="M2" s="401" t="s">
        <v>1</v>
      </c>
      <c r="N2" s="402" t="s">
        <v>1836</v>
      </c>
      <c r="O2" s="402" t="s">
        <v>1916</v>
      </c>
      <c r="P2" s="402" t="s">
        <v>1851</v>
      </c>
      <c r="Q2" s="402" t="s">
        <v>29</v>
      </c>
      <c r="R2" s="402" t="s">
        <v>1917</v>
      </c>
      <c r="S2" s="402" t="s">
        <v>1907</v>
      </c>
      <c r="T2" s="401" t="s">
        <v>1843</v>
      </c>
      <c r="U2" s="417"/>
      <c r="V2" s="416"/>
      <c r="W2" s="416"/>
      <c r="X2" s="416"/>
      <c r="AJ2" s="494" t="s">
        <v>1796</v>
      </c>
      <c r="AK2" s="129" t="str">
        <f>AJ2&amp;A1</f>
        <v>K Prasart.saa12</v>
      </c>
    </row>
    <row r="3" spans="1:37">
      <c r="C3" s="136" t="s">
        <v>138</v>
      </c>
      <c r="D3" s="137" t="str">
        <f>C3&amp;$A$1</f>
        <v>Chantaburi312</v>
      </c>
      <c r="E3" s="138">
        <f>IFERROR(SUMIF(ผลประหยัด!$E$10:$E$1297,'PML! weight (2)'!D3,ผลประหยัด!$K$10:$K$1297)/SUMIF(ผลประหยัด!$E$10:$E$1297,'PML! weight (2)'!D3,ผลประหยัด!$J$10:$J$1297),0)</f>
        <v>0</v>
      </c>
      <c r="F3" s="138">
        <f>IFERROR(SUMIF(SR!$E$10:$E$1297,'PML! weight (2)'!D3,SR!$L$10:$L$1297)/SUMIF(SR!$E$10:$E$1297,'PML! weight (2)'!D3,SR!$K$10:$K$1297),0)</f>
        <v>0</v>
      </c>
      <c r="G3" s="138">
        <f>IFERROR(SUMIF(ADG!$E$10:$E$1297,'PML! weight (2)'!D3,ADG!$L$10:$L$1297)/SUMIF(ADG!$E$10:$E$1297,'PML! weight (2)'!D3,ADG!$K$10:$K$1297),0)</f>
        <v>0</v>
      </c>
      <c r="H3" s="138">
        <f>IFERROR(SUMIF(FCR!$E$10:$E$1297,'PML! weight (2)'!D3,FCR!$M$10:$M$1297)/SUMIF(FCR!$E$10:$E$1297,'PML! weight (2)'!D3,FCR!$L$10:$L$1297),0)</f>
        <v>0</v>
      </c>
      <c r="I3" s="138">
        <f>IFERROR(SUMIF(YIELDN!$E$10:$E$1297,'PML! weight (2)'!D3,YIELDN!$P$10:$P$1297)/SUMIF(YIELDN!$E$10:$E$1297,'PML! weight (2)'!D3,YIELDN!$O$10:$O$1297),0)</f>
        <v>0</v>
      </c>
      <c r="J3" s="138">
        <f>IFERROR(SUMIF(SIZE!$E$10:$E$1297,'PML! weight (2)'!D3,SIZE!$K$10:$K$1297)/SUMIF(SIZE!$E$10:$E$1297,'PML! weight (2)'!D3,SIZE!$J$10:$J$1297),0)</f>
        <v>0</v>
      </c>
      <c r="K3" s="139">
        <f t="shared" ref="K3:K30" si="0">SUM(E3:J3)</f>
        <v>0</v>
      </c>
      <c r="M3" s="404" t="s">
        <v>138</v>
      </c>
      <c r="N3" s="349">
        <f>IF(E3&gt;=40,40,IF(E3&lt;=-40,-40,E3))</f>
        <v>0</v>
      </c>
      <c r="O3" s="349">
        <f>IF(F3&gt;=15,15,IF(F3&lt;=0,0,F3))</f>
        <v>0</v>
      </c>
      <c r="P3" s="349">
        <f>IF(G3&gt;=15,15,IF(G3&lt;=0,0,G3))</f>
        <v>0</v>
      </c>
      <c r="Q3" s="349">
        <f>IF(H3&gt;=10,10,IF(H3&lt;=0,0,H3))</f>
        <v>0</v>
      </c>
      <c r="R3" s="349">
        <f>IF(I3&gt;=10,10,IF(I3&lt;=0,0,I3))</f>
        <v>0</v>
      </c>
      <c r="S3" s="349">
        <f>IF(J3&gt;=10,10,IF(J3&lt;=0,0,J3))</f>
        <v>0</v>
      </c>
      <c r="T3" s="414">
        <f t="shared" ref="T3:T30" si="1">SUM(N3:S3)</f>
        <v>0</v>
      </c>
      <c r="U3" s="412">
        <f>SUMIF('RAW DATA 2023'!BQ:BQ,'PML! weight (2)'!D3,'RAW DATA 2023'!Y:Y)</f>
        <v>0</v>
      </c>
      <c r="V3" s="412">
        <f>SUMIF('RAW DATA 2023'!BQ:BQ,'PML! weight (2)'!D3,'RAW DATA 2023'!BS:BS)</f>
        <v>0</v>
      </c>
      <c r="W3" s="412">
        <f>SUMIF('RAW DATA 2023'!BQ:BQ,'PML! weight (2)'!D3,'RAW DATA 2023'!BL:BL)</f>
        <v>0</v>
      </c>
      <c r="X3" s="412">
        <f>SUMIF('RAW DATA 2023'!BQ:BQ,'PML! weight (2)'!D3,'RAW DATA 2023'!BR:BR)</f>
        <v>0</v>
      </c>
      <c r="AA3" s="129" t="s">
        <v>2824</v>
      </c>
      <c r="AJ3" s="3" t="s">
        <v>1749</v>
      </c>
      <c r="AK3" s="129" t="str">
        <f t="shared" ref="AK3:AK48" si="2">AJ3&amp;A2</f>
        <v>K Jarin.khuMonth</v>
      </c>
    </row>
    <row r="4" spans="1:37">
      <c r="C4" s="136" t="s">
        <v>209</v>
      </c>
      <c r="D4" s="137" t="str">
        <f t="shared" ref="D4:D31" si="3">C4&amp;$A$1</f>
        <v>Tamai212</v>
      </c>
      <c r="E4" s="138">
        <f>IFERROR(SUMIF(ผลประหยัด!$E$10:$E$1297,'PML! weight (2)'!D4,ผลประหยัด!$K$10:$K$1297)/SUMIF(ผลประหยัด!$E$10:$E$1297,'PML! weight (2)'!D4,ผลประหยัด!$J$10:$J$1297),0)</f>
        <v>-130.93352626330332</v>
      </c>
      <c r="F4" s="138">
        <f>IFERROR(SUMIF(SR!$E$10:$E$1297,'PML! weight (2)'!D4,SR!$L$10:$L$1297)/SUMIF(SR!$E$10:$E$1297,'PML! weight (2)'!D4,SR!$K$10:$K$1297),0)</f>
        <v>15.046655172413796</v>
      </c>
      <c r="G4" s="138">
        <f>IFERROR(SUMIF(ADG!$E$10:$E$1297,'PML! weight (2)'!D4,ADG!$L$10:$L$1297)/SUMIF(ADG!$E$10:$E$1297,'PML! weight (2)'!D4,ADG!$K$10:$K$1297),0)</f>
        <v>4.3689263333333344</v>
      </c>
      <c r="H4" s="138">
        <f>IFERROR(SUMIF(FCR!$E$10:$E$1297,'PML! weight (2)'!D4,FCR!$M$10:$M$1297)/SUMIF(FCR!$E$10:$E$1297,'PML! weight (2)'!D4,FCR!$L$10:$L$1297),0)</f>
        <v>5.5436426070763485</v>
      </c>
      <c r="I4" s="138">
        <f>IFERROR(SUMIF(YIELDN!$E$10:$E$1297,'PML! weight (2)'!D4,YIELDN!$P$10:$P$1297)/SUMIF(YIELDN!$E$10:$E$1297,'PML! weight (2)'!D4,YIELDN!$O$10:$O$1297),0)</f>
        <v>1.7521739130434788</v>
      </c>
      <c r="J4" s="138">
        <f>IFERROR(SUMIF(SIZE!$E$10:$E$1297,'PML! weight (2)'!D4,SIZE!$K$10:$K$1297)/SUMIF(SIZE!$E$10:$E$1297,'PML! weight (2)'!D4,SIZE!$J$10:$J$1297),0)</f>
        <v>3.416948537451205</v>
      </c>
      <c r="K4" s="139">
        <f t="shared" si="0"/>
        <v>-100.80517969998516</v>
      </c>
      <c r="M4" s="404" t="s">
        <v>209</v>
      </c>
      <c r="N4" s="349">
        <f t="shared" ref="N4:N30" si="4">IF(E4&gt;=40,40,IF(E4&lt;=-40,-40,E4))</f>
        <v>-40</v>
      </c>
      <c r="O4" s="349">
        <f t="shared" ref="O4:P30" si="5">IF(F4&gt;=15,15,IF(F4&lt;=0,0,F4))</f>
        <v>15</v>
      </c>
      <c r="P4" s="349">
        <f t="shared" si="5"/>
        <v>4.3689263333333344</v>
      </c>
      <c r="Q4" s="349">
        <f t="shared" ref="Q4:S30" si="6">IF(H4&gt;=10,10,IF(H4&lt;=0,0,H4))</f>
        <v>5.5436426070763485</v>
      </c>
      <c r="R4" s="349">
        <f t="shared" si="6"/>
        <v>1.7521739130434788</v>
      </c>
      <c r="S4" s="349">
        <f t="shared" si="6"/>
        <v>3.416948537451205</v>
      </c>
      <c r="T4" s="414">
        <f t="shared" si="1"/>
        <v>-9.9183086090956341</v>
      </c>
      <c r="U4" s="412">
        <f>SUMIF('RAW DATA 2023'!BQ:BQ,'PML! weight (2)'!D4,'RAW DATA 2023'!Y:Y)</f>
        <v>15.045309999999999</v>
      </c>
      <c r="V4" s="412">
        <f>SUMIF('RAW DATA 2023'!BQ:BQ,'PML! weight (2)'!D4,'RAW DATA 2023'!BS:BS)</f>
        <v>2560.8559299999997</v>
      </c>
      <c r="W4" s="412">
        <f>SUMIF('RAW DATA 2023'!BQ:BQ,'PML! weight (2)'!D4,'RAW DATA 2023'!BL:BL)</f>
        <v>-6525.2413299999998</v>
      </c>
      <c r="X4" s="412">
        <f>SUMIF('RAW DATA 2023'!BQ:BQ,'PML! weight (2)'!D4,'RAW DATA 2023'!BR:BR)</f>
        <v>-6633.71173</v>
      </c>
      <c r="AJ4" s="3" t="s">
        <v>1699</v>
      </c>
      <c r="AK4" s="129" t="str">
        <f t="shared" si="2"/>
        <v>K Netipong.nam</v>
      </c>
    </row>
    <row r="5" spans="1:37">
      <c r="C5" s="136" t="s">
        <v>248</v>
      </c>
      <c r="D5" s="137" t="str">
        <f t="shared" si="3"/>
        <v>Lucky312</v>
      </c>
      <c r="E5" s="138">
        <f>IFERROR(SUMIF(ผลประหยัด!$E$10:$E$1297,'PML! weight (2)'!D5,ผลประหยัด!$K$10:$K$1297)/SUMIF(ผลประหยัด!$E$10:$E$1297,'PML! weight (2)'!D5,ผลประหยัด!$J$10:$J$1297),0)</f>
        <v>0</v>
      </c>
      <c r="F5" s="138">
        <f>IFERROR(SUMIF(SR!$E$10:$E$1297,'PML! weight (2)'!D5,SR!$L$10:$L$1297)/SUMIF(SR!$E$10:$E$1297,'PML! weight (2)'!D5,SR!$K$10:$K$1297),0)</f>
        <v>0</v>
      </c>
      <c r="G5" s="138">
        <f>IFERROR(SUMIF(ADG!$E$10:$E$1297,'PML! weight (2)'!D5,ADG!$L$10:$L$1297)/SUMIF(ADG!$E$10:$E$1297,'PML! weight (2)'!D5,ADG!$K$10:$K$1297),0)</f>
        <v>0</v>
      </c>
      <c r="H5" s="138">
        <f>IFERROR(SUMIF(FCR!$E$10:$E$1297,'PML! weight (2)'!D5,FCR!$M$10:$M$1297)/SUMIF(FCR!$E$10:$E$1297,'PML! weight (2)'!D5,FCR!$L$10:$L$1297),0)</f>
        <v>0</v>
      </c>
      <c r="I5" s="138">
        <f>IFERROR(SUMIF(YIELDN!$E$10:$E$1297,'PML! weight (2)'!D5,YIELDN!$P$10:$P$1297)/SUMIF(YIELDN!$E$10:$E$1297,'PML! weight (2)'!D5,YIELDN!$O$10:$O$1297),0)</f>
        <v>0</v>
      </c>
      <c r="J5" s="138">
        <f>IFERROR(SUMIF(SIZE!$E$10:$E$1297,'PML! weight (2)'!D5,SIZE!$K$10:$K$1297)/SUMIF(SIZE!$E$10:$E$1297,'PML! weight (2)'!D5,SIZE!$J$10:$J$1297),0)</f>
        <v>0</v>
      </c>
      <c r="K5" s="139">
        <f t="shared" si="0"/>
        <v>0</v>
      </c>
      <c r="M5" s="404" t="s">
        <v>248</v>
      </c>
      <c r="N5" s="349">
        <f t="shared" si="4"/>
        <v>0</v>
      </c>
      <c r="O5" s="349">
        <f t="shared" si="5"/>
        <v>0</v>
      </c>
      <c r="P5" s="349">
        <f t="shared" si="5"/>
        <v>0</v>
      </c>
      <c r="Q5" s="349">
        <f t="shared" si="6"/>
        <v>0</v>
      </c>
      <c r="R5" s="349">
        <f t="shared" si="6"/>
        <v>0</v>
      </c>
      <c r="S5" s="349">
        <f t="shared" si="6"/>
        <v>0</v>
      </c>
      <c r="T5" s="414">
        <f t="shared" si="1"/>
        <v>0</v>
      </c>
      <c r="U5" s="412">
        <f>SUMIF('RAW DATA 2023'!BQ:BQ,'PML! weight (2)'!D5,'RAW DATA 2023'!Y:Y)</f>
        <v>0</v>
      </c>
      <c r="V5" s="412">
        <f>SUMIF('RAW DATA 2023'!BQ:BQ,'PML! weight (2)'!D5,'RAW DATA 2023'!BS:BS)</f>
        <v>0</v>
      </c>
      <c r="W5" s="412">
        <f>SUMIF('RAW DATA 2023'!BQ:BQ,'PML! weight (2)'!D5,'RAW DATA 2023'!BL:BL)</f>
        <v>0</v>
      </c>
      <c r="X5" s="412">
        <f>SUMIF('RAW DATA 2023'!BQ:BQ,'PML! weight (2)'!D5,'RAW DATA 2023'!BR:BR)</f>
        <v>0</v>
      </c>
      <c r="AJ5" s="3" t="s">
        <v>2839</v>
      </c>
      <c r="AK5" s="129" t="str">
        <f t="shared" si="2"/>
        <v>K Detphong.lac</v>
      </c>
    </row>
    <row r="6" spans="1:37">
      <c r="C6" s="136" t="s">
        <v>283</v>
      </c>
      <c r="D6" s="137" t="str">
        <f t="shared" si="3"/>
        <v>Kamong12</v>
      </c>
      <c r="E6" s="138">
        <f>IFERROR(SUMIF(ผลประหยัด!$E$10:$E$1297,'PML! weight (2)'!D6,ผลประหยัด!$K$10:$K$1297)/SUMIF(ผลประหยัด!$E$10:$E$1297,'PML! weight (2)'!D6,ผลประหยัด!$J$10:$J$1297),0)</f>
        <v>-2.8849260186899826</v>
      </c>
      <c r="F6" s="138">
        <f>IFERROR(SUMIF(SR!$E$10:$E$1297,'PML! weight (2)'!D6,SR!$L$10:$L$1297)/SUMIF(SR!$E$10:$E$1297,'PML! weight (2)'!D6,SR!$K$10:$K$1297),0)</f>
        <v>17.865412500000001</v>
      </c>
      <c r="G6" s="138">
        <f>IFERROR(SUMIF(ADG!$E$10:$E$1297,'PML! weight (2)'!D6,ADG!$L$10:$L$1297)/SUMIF(ADG!$E$10:$E$1297,'PML! weight (2)'!D6,ADG!$K$10:$K$1297),0)</f>
        <v>5.8442478947368404</v>
      </c>
      <c r="H6" s="138">
        <f>IFERROR(SUMIF(FCR!$E$10:$E$1297,'PML! weight (2)'!D6,FCR!$M$10:$M$1297)/SUMIF(FCR!$E$10:$E$1297,'PML! weight (2)'!D6,FCR!$L$10:$L$1297),0)</f>
        <v>7.90692180995475</v>
      </c>
      <c r="I6" s="138">
        <f>IFERROR(SUMIF(YIELDN!$E$10:$E$1297,'PML! weight (2)'!D6,YIELDN!$P$10:$P$1297)/SUMIF(YIELDN!$E$10:$E$1297,'PML! weight (2)'!D6,YIELDN!$O$10:$O$1297),0)</f>
        <v>5.8973234401018706</v>
      </c>
      <c r="J6" s="138">
        <f>IFERROR(SUMIF(SIZE!$E$10:$E$1297,'PML! weight (2)'!D6,SIZE!$K$10:$K$1297)/SUMIF(SIZE!$E$10:$E$1297,'PML! weight (2)'!D6,SIZE!$J$10:$J$1297),0)</f>
        <v>8.1672264093831739</v>
      </c>
      <c r="K6" s="139">
        <f t="shared" si="0"/>
        <v>42.796206035486655</v>
      </c>
      <c r="M6" s="404" t="s">
        <v>283</v>
      </c>
      <c r="N6" s="349">
        <f t="shared" si="4"/>
        <v>-2.8849260186899826</v>
      </c>
      <c r="O6" s="349">
        <f t="shared" si="5"/>
        <v>15</v>
      </c>
      <c r="P6" s="349">
        <f t="shared" si="5"/>
        <v>5.8442478947368404</v>
      </c>
      <c r="Q6" s="349">
        <f t="shared" si="6"/>
        <v>7.90692180995475</v>
      </c>
      <c r="R6" s="349">
        <f t="shared" si="6"/>
        <v>5.8973234401018706</v>
      </c>
      <c r="S6" s="349">
        <f t="shared" si="6"/>
        <v>8.1672264093831739</v>
      </c>
      <c r="T6" s="414">
        <f t="shared" si="1"/>
        <v>39.93079353548665</v>
      </c>
      <c r="U6" s="412">
        <f>SUMIF('RAW DATA 2023'!BQ:BQ,'PML! weight (2)'!D6,'RAW DATA 2023'!Y:Y)</f>
        <v>51.306309999999996</v>
      </c>
      <c r="V6" s="412">
        <f>SUMIF('RAW DATA 2023'!BQ:BQ,'PML! weight (2)'!D6,'RAW DATA 2023'!BS:BS)</f>
        <v>11044.901699999997</v>
      </c>
      <c r="W6" s="412">
        <f>SUMIF('RAW DATA 2023'!BQ:BQ,'PML! weight (2)'!D6,'RAW DATA 2023'!BL:BL)</f>
        <v>-1600.7418699999973</v>
      </c>
      <c r="X6" s="412">
        <f>SUMIF('RAW DATA 2023'!BQ:BQ,'PML! weight (2)'!D6,'RAW DATA 2023'!BR:BR)</f>
        <v>-2948.7509799999953</v>
      </c>
      <c r="AJ6" s="3" t="s">
        <v>1670</v>
      </c>
      <c r="AK6" s="129" t="str">
        <f t="shared" si="2"/>
        <v>K Nathapong.taw</v>
      </c>
    </row>
    <row r="7" spans="1:37">
      <c r="C7" s="136" t="s">
        <v>317</v>
      </c>
      <c r="D7" s="137" t="str">
        <f t="shared" si="3"/>
        <v>Lucky112</v>
      </c>
      <c r="E7" s="138">
        <f>IFERROR(SUMIF(ผลประหยัด!$E$10:$E$1297,'PML! weight (2)'!D7,ผลประหยัด!$K$10:$K$1297)/SUMIF(ผลประหยัด!$E$10:$E$1297,'PML! weight (2)'!D7,ผลประหยัด!$J$10:$J$1297),0)</f>
        <v>0</v>
      </c>
      <c r="F7" s="138">
        <f>IFERROR(SUMIF(SR!$E$10:$E$1297,'PML! weight (2)'!D7,SR!$L$10:$L$1297)/SUMIF(SR!$E$10:$E$1297,'PML! weight (2)'!D7,SR!$K$10:$K$1297),0)</f>
        <v>0</v>
      </c>
      <c r="G7" s="138">
        <f>IFERROR(SUMIF(ADG!$E$10:$E$1297,'PML! weight (2)'!D7,ADG!$L$10:$L$1297)/SUMIF(ADG!$E$10:$E$1297,'PML! weight (2)'!D7,ADG!$K$10:$K$1297),0)</f>
        <v>0</v>
      </c>
      <c r="H7" s="138">
        <f>IFERROR(SUMIF(FCR!$E$10:$E$1297,'PML! weight (2)'!D7,FCR!$M$10:$M$1297)/SUMIF(FCR!$E$10:$E$1297,'PML! weight (2)'!D7,FCR!$L$10:$L$1297),0)</f>
        <v>0</v>
      </c>
      <c r="I7" s="138">
        <f>IFERROR(SUMIF(YIELDN!$E$10:$E$1297,'PML! weight (2)'!D7,YIELDN!$P$10:$P$1297)/SUMIF(YIELDN!$E$10:$E$1297,'PML! weight (2)'!D7,YIELDN!$O$10:$O$1297),0)</f>
        <v>0</v>
      </c>
      <c r="J7" s="138">
        <f>IFERROR(SUMIF(SIZE!$E$10:$E$1297,'PML! weight (2)'!D7,SIZE!$K$10:$K$1297)/SUMIF(SIZE!$E$10:$E$1297,'PML! weight (2)'!D7,SIZE!$J$10:$J$1297),0)</f>
        <v>0</v>
      </c>
      <c r="K7" s="139">
        <f t="shared" si="0"/>
        <v>0</v>
      </c>
      <c r="M7" s="404" t="s">
        <v>317</v>
      </c>
      <c r="N7" s="349">
        <f t="shared" si="4"/>
        <v>0</v>
      </c>
      <c r="O7" s="349">
        <f t="shared" si="5"/>
        <v>0</v>
      </c>
      <c r="P7" s="349">
        <f t="shared" si="5"/>
        <v>0</v>
      </c>
      <c r="Q7" s="349">
        <f t="shared" si="6"/>
        <v>0</v>
      </c>
      <c r="R7" s="349">
        <f t="shared" si="6"/>
        <v>0</v>
      </c>
      <c r="S7" s="349">
        <f t="shared" si="6"/>
        <v>0</v>
      </c>
      <c r="T7" s="414">
        <f t="shared" si="1"/>
        <v>0</v>
      </c>
      <c r="U7" s="412">
        <f>SUMIF('RAW DATA 2023'!BQ:BQ,'PML! weight (2)'!D7,'RAW DATA 2023'!Y:Y)</f>
        <v>0</v>
      </c>
      <c r="V7" s="412">
        <f>SUMIF('RAW DATA 2023'!BQ:BQ,'PML! weight (2)'!D7,'RAW DATA 2023'!BS:BS)</f>
        <v>0</v>
      </c>
      <c r="W7" s="412">
        <f>SUMIF('RAW DATA 2023'!BQ:BQ,'PML! weight (2)'!D7,'RAW DATA 2023'!BL:BL)</f>
        <v>0</v>
      </c>
      <c r="X7" s="412">
        <f>SUMIF('RAW DATA 2023'!BQ:BQ,'PML! weight (2)'!D7,'RAW DATA 2023'!BR:BR)</f>
        <v>0</v>
      </c>
      <c r="AJ7" s="3" t="s">
        <v>1726</v>
      </c>
      <c r="AK7" s="129" t="str">
        <f t="shared" si="2"/>
        <v>K Jeerawuth.mah</v>
      </c>
    </row>
    <row r="8" spans="1:37">
      <c r="C8" s="136" t="s">
        <v>374</v>
      </c>
      <c r="D8" s="137" t="str">
        <f t="shared" si="3"/>
        <v>CHBR112</v>
      </c>
      <c r="E8" s="138">
        <f>IFERROR(SUMIF(ผลประหยัด!$E$10:$E$1297,'PML! weight (2)'!D8,ผลประหยัด!$K$10:$K$1297)/SUMIF(ผลประหยัด!$E$10:$E$1297,'PML! weight (2)'!D8,ผลประหยัด!$J$10:$J$1297),0)</f>
        <v>-28.377315074091744</v>
      </c>
      <c r="F8" s="138">
        <f>IFERROR(SUMIF(SR!$E$10:$E$1297,'PML! weight (2)'!D8,SR!$L$10:$L$1297)/SUMIF(SR!$E$10:$E$1297,'PML! weight (2)'!D8,SR!$K$10:$K$1297),0)</f>
        <v>16.741317073170734</v>
      </c>
      <c r="G8" s="138">
        <f>IFERROR(SUMIF(ADG!$E$10:$E$1297,'PML! weight (2)'!D8,ADG!$L$10:$L$1297)/SUMIF(ADG!$E$10:$E$1297,'PML! weight (2)'!D8,ADG!$K$10:$K$1297),0)</f>
        <v>5.2614512432432425</v>
      </c>
      <c r="H8" s="138">
        <f>IFERROR(SUMIF(FCR!$E$10:$E$1297,'PML! weight (2)'!D8,FCR!$M$10:$M$1297)/SUMIF(FCR!$E$10:$E$1297,'PML! weight (2)'!D8,FCR!$L$10:$L$1297),0)</f>
        <v>7.2513606751054844</v>
      </c>
      <c r="I8" s="138">
        <f>IFERROR(SUMIF(YIELDN!$E$10:$E$1297,'PML! weight (2)'!D8,YIELDN!$P$10:$P$1297)/SUMIF(YIELDN!$E$10:$E$1297,'PML! weight (2)'!D8,YIELDN!$O$10:$O$1297),0)</f>
        <v>9.3724855072463775</v>
      </c>
      <c r="J8" s="138">
        <f>IFERROR(SUMIF(SIZE!$E$10:$E$1297,'PML! weight (2)'!D8,SIZE!$K$10:$K$1297)/SUMIF(SIZE!$E$10:$E$1297,'PML! weight (2)'!D8,SIZE!$J$10:$J$1297),0)</f>
        <v>7.1605238630290104</v>
      </c>
      <c r="K8" s="139">
        <f t="shared" si="0"/>
        <v>17.409823287703105</v>
      </c>
      <c r="M8" s="404" t="s">
        <v>374</v>
      </c>
      <c r="N8" s="349">
        <f t="shared" si="4"/>
        <v>-28.377315074091744</v>
      </c>
      <c r="O8" s="349">
        <f t="shared" si="5"/>
        <v>15</v>
      </c>
      <c r="P8" s="349">
        <f t="shared" si="5"/>
        <v>5.2614512432432425</v>
      </c>
      <c r="Q8" s="349">
        <f t="shared" si="6"/>
        <v>7.2513606751054844</v>
      </c>
      <c r="R8" s="349">
        <f t="shared" si="6"/>
        <v>9.3724855072463775</v>
      </c>
      <c r="S8" s="349">
        <f t="shared" si="6"/>
        <v>7.1605238630290104</v>
      </c>
      <c r="T8" s="414">
        <f t="shared" si="1"/>
        <v>15.668506214532371</v>
      </c>
      <c r="U8" s="412">
        <f>SUMIF('RAW DATA 2023'!BQ:BQ,'PML! weight (2)'!D8,'RAW DATA 2023'!Y:Y)</f>
        <v>22.134029999999999</v>
      </c>
      <c r="V8" s="412">
        <f>SUMIF('RAW DATA 2023'!BQ:BQ,'PML! weight (2)'!D8,'RAW DATA 2023'!BS:BS)</f>
        <v>4787.8118800000002</v>
      </c>
      <c r="W8" s="412">
        <f>SUMIF('RAW DATA 2023'!BQ:BQ,'PML! weight (2)'!D8,'RAW DATA 2023'!BL:BL)</f>
        <v>-2430.5305099999987</v>
      </c>
      <c r="X8" s="412">
        <f>SUMIF('RAW DATA 2023'!BQ:BQ,'PML! weight (2)'!D8,'RAW DATA 2023'!BR:BR)</f>
        <v>-3167.8148999999994</v>
      </c>
      <c r="AJ8" s="3" t="s">
        <v>1661</v>
      </c>
      <c r="AK8" s="129" t="str">
        <f t="shared" si="2"/>
        <v>K Pongsathon.jai</v>
      </c>
    </row>
    <row r="9" spans="1:37">
      <c r="C9" s="136" t="s">
        <v>408</v>
      </c>
      <c r="D9" s="137" t="str">
        <f t="shared" si="3"/>
        <v>Bangsakao12</v>
      </c>
      <c r="E9" s="138">
        <f>IFERROR(SUMIF(ผลประหยัด!$E$10:$E$1297,'PML! weight (2)'!D9,ผลประหยัด!$K$10:$K$1297)/SUMIF(ผลประหยัด!$E$10:$E$1297,'PML! weight (2)'!D9,ผลประหยัด!$J$10:$J$1297),0)</f>
        <v>-12.335943979020653</v>
      </c>
      <c r="F9" s="138">
        <f>IFERROR(SUMIF(SR!$E$10:$E$1297,'PML! weight (2)'!D9,SR!$L$10:$L$1297)/SUMIF(SR!$E$10:$E$1297,'PML! weight (2)'!D9,SR!$K$10:$K$1297),0)</f>
        <v>11.111497881177138</v>
      </c>
      <c r="G9" s="138">
        <f>IFERROR(SUMIF(ADG!$E$10:$E$1297,'PML! weight (2)'!D9,ADG!$L$10:$L$1297)/SUMIF(ADG!$E$10:$E$1297,'PML! weight (2)'!D9,ADG!$K$10:$K$1297),0)</f>
        <v>7.1904629181476833</v>
      </c>
      <c r="H9" s="138">
        <f>IFERROR(SUMIF(FCR!$E$10:$E$1297,'PML! weight (2)'!D9,FCR!$M$10:$M$1297)/SUMIF(FCR!$E$10:$E$1297,'PML! weight (2)'!D9,FCR!$L$10:$L$1297),0)</f>
        <v>5.3942974227916745</v>
      </c>
      <c r="I9" s="138">
        <f>IFERROR(SUMIF(YIELDN!$E$10:$E$1297,'PML! weight (2)'!D9,YIELDN!$P$10:$P$1297)/SUMIF(YIELDN!$E$10:$E$1297,'PML! weight (2)'!D9,YIELDN!$O$10:$O$1297),0)</f>
        <v>2.6802186211902592</v>
      </c>
      <c r="J9" s="138">
        <f>IFERROR(SUMIF(SIZE!$E$10:$E$1297,'PML! weight (2)'!D9,SIZE!$K$10:$K$1297)/SUMIF(SIZE!$E$10:$E$1297,'PML! weight (2)'!D9,SIZE!$J$10:$J$1297),0)</f>
        <v>6.774203723336254</v>
      </c>
      <c r="K9" s="139">
        <f t="shared" si="0"/>
        <v>20.814736587622356</v>
      </c>
      <c r="M9" s="404" t="s">
        <v>408</v>
      </c>
      <c r="N9" s="349">
        <f t="shared" si="4"/>
        <v>-12.335943979020653</v>
      </c>
      <c r="O9" s="349">
        <f t="shared" si="5"/>
        <v>11.111497881177138</v>
      </c>
      <c r="P9" s="349">
        <f t="shared" si="5"/>
        <v>7.1904629181476833</v>
      </c>
      <c r="Q9" s="349">
        <f t="shared" si="6"/>
        <v>5.3942974227916745</v>
      </c>
      <c r="R9" s="349">
        <f t="shared" si="6"/>
        <v>2.6802186211902592</v>
      </c>
      <c r="S9" s="349">
        <f t="shared" si="6"/>
        <v>6.774203723336254</v>
      </c>
      <c r="T9" s="414">
        <f t="shared" si="1"/>
        <v>20.814736587622356</v>
      </c>
      <c r="U9" s="412">
        <f>SUMIF('RAW DATA 2023'!BQ:BQ,'PML! weight (2)'!D9,'RAW DATA 2023'!Y:Y)</f>
        <v>125.38700999999998</v>
      </c>
      <c r="V9" s="412">
        <f>SUMIF('RAW DATA 2023'!BQ:BQ,'PML! weight (2)'!D9,'RAW DATA 2023'!BS:BS)</f>
        <v>26075.041419999998</v>
      </c>
      <c r="W9" s="412">
        <f>SUMIF('RAW DATA 2023'!BQ:BQ,'PML! weight (2)'!D9,'RAW DATA 2023'!BL:BL)</f>
        <v>-7362.7043100000001</v>
      </c>
      <c r="X9" s="412">
        <f>SUMIF('RAW DATA 2023'!BQ:BQ,'PML! weight (2)'!D9,'RAW DATA 2023'!BR:BR)</f>
        <v>-10815.10786</v>
      </c>
      <c r="AJ9" s="3" t="s">
        <v>2794</v>
      </c>
      <c r="AK9" s="129" t="str">
        <f t="shared" si="2"/>
        <v>K Kritsada.aqu</v>
      </c>
    </row>
    <row r="10" spans="1:37">
      <c r="C10" s="136" t="s">
        <v>507</v>
      </c>
      <c r="D10" s="137" t="str">
        <f t="shared" si="3"/>
        <v>Bo Thong12</v>
      </c>
      <c r="E10" s="138">
        <f>IFERROR(SUMIF(ผลประหยัด!$E$10:$E$1297,'PML! weight (2)'!D10,ผลประหยัด!$K$10:$K$1297)/SUMIF(ผลประหยัด!$E$10:$E$1297,'PML! weight (2)'!D10,ผลประหยัด!$J$10:$J$1297),0)</f>
        <v>-12.60771893405332</v>
      </c>
      <c r="F10" s="138">
        <f>IFERROR(SUMIF(SR!$E$10:$E$1297,'PML! weight (2)'!D10,SR!$L$10:$L$1297)/SUMIF(SR!$E$10:$E$1297,'PML! weight (2)'!D10,SR!$K$10:$K$1297),0)</f>
        <v>10.638821138211384</v>
      </c>
      <c r="G10" s="138">
        <f>IFERROR(SUMIF(ADG!$E$10:$E$1297,'PML! weight (2)'!D10,ADG!$L$10:$L$1297)/SUMIF(ADG!$E$10:$E$1297,'PML! weight (2)'!D10,ADG!$K$10:$K$1297),0)</f>
        <v>12.298432864864868</v>
      </c>
      <c r="H10" s="138">
        <f>IFERROR(SUMIF(FCR!$E$10:$E$1297,'PML! weight (2)'!D10,FCR!$M$10:$M$1297)/SUMIF(FCR!$E$10:$E$1297,'PML! weight (2)'!D10,FCR!$L$10:$L$1297),0)</f>
        <v>6.5218087296416938</v>
      </c>
      <c r="I10" s="138">
        <f>IFERROR(SUMIF(YIELDN!$E$10:$E$1297,'PML! weight (2)'!D10,YIELDN!$P$10:$P$1297)/SUMIF(YIELDN!$E$10:$E$1297,'PML! weight (2)'!D10,YIELDN!$O$10:$O$1297),0)</f>
        <v>5.7052883132901657</v>
      </c>
      <c r="J10" s="138">
        <f>IFERROR(SUMIF(SIZE!$E$10:$E$1297,'PML! weight (2)'!D10,SIZE!$K$10:$K$1297)/SUMIF(SIZE!$E$10:$E$1297,'PML! weight (2)'!D10,SIZE!$J$10:$J$1297),0)</f>
        <v>7.1400843671528893</v>
      </c>
      <c r="K10" s="139">
        <f t="shared" si="0"/>
        <v>29.696716479107678</v>
      </c>
      <c r="M10" s="404" t="s">
        <v>507</v>
      </c>
      <c r="N10" s="349">
        <f t="shared" si="4"/>
        <v>-12.60771893405332</v>
      </c>
      <c r="O10" s="349">
        <f t="shared" si="5"/>
        <v>10.638821138211384</v>
      </c>
      <c r="P10" s="349">
        <f t="shared" si="5"/>
        <v>12.298432864864868</v>
      </c>
      <c r="Q10" s="349">
        <f t="shared" si="6"/>
        <v>6.5218087296416938</v>
      </c>
      <c r="R10" s="349">
        <f t="shared" si="6"/>
        <v>5.7052883132901657</v>
      </c>
      <c r="S10" s="349">
        <f t="shared" si="6"/>
        <v>7.1400843671528893</v>
      </c>
      <c r="T10" s="414">
        <f t="shared" si="1"/>
        <v>29.696716479107678</v>
      </c>
      <c r="U10" s="412">
        <f>SUMIF('RAW DATA 2023'!BQ:BQ,'PML! weight (2)'!D10,'RAW DATA 2023'!Y:Y)</f>
        <v>16.0489</v>
      </c>
      <c r="V10" s="412">
        <f>SUMIF('RAW DATA 2023'!BQ:BQ,'PML! weight (2)'!D10,'RAW DATA 2023'!BS:BS)</f>
        <v>3353.7024899999997</v>
      </c>
      <c r="W10" s="412">
        <f>SUMIF('RAW DATA 2023'!BQ:BQ,'PML! weight (2)'!D10,'RAW DATA 2023'!BL:BL)</f>
        <v>-1011.7625799999996</v>
      </c>
      <c r="X10" s="412">
        <f>SUMIF('RAW DATA 2023'!BQ:BQ,'PML! weight (2)'!D10,'RAW DATA 2023'!BR:BR)</f>
        <v>-1428.5163699999989</v>
      </c>
      <c r="AJ10" s="3" t="s">
        <v>1391</v>
      </c>
      <c r="AK10" s="129" t="str">
        <f t="shared" si="2"/>
        <v>K Tada.run</v>
      </c>
    </row>
    <row r="11" spans="1:37">
      <c r="C11" s="136" t="s">
        <v>474</v>
      </c>
      <c r="D11" s="137" t="str">
        <f t="shared" si="3"/>
        <v>Rayong312</v>
      </c>
      <c r="E11" s="138">
        <f>IFERROR(SUMIF(ผลประหยัด!$E$10:$E$1297,'PML! weight (2)'!D11,ผลประหยัด!$K$10:$K$1297)/SUMIF(ผลประหยัด!$E$10:$E$1297,'PML! weight (2)'!D11,ผลประหยัด!$J$10:$J$1297),0)</f>
        <v>-7.3675592677466728</v>
      </c>
      <c r="F11" s="138">
        <f>IFERROR(SUMIF(SR!$E$10:$E$1297,'PML! weight (2)'!D11,SR!$L$10:$L$1297)/SUMIF(SR!$E$10:$E$1297,'PML! weight (2)'!D11,SR!$K$10:$K$1297),0)</f>
        <v>11.597314814814812</v>
      </c>
      <c r="G11" s="138">
        <f>IFERROR(SUMIF(ADG!$E$10:$E$1297,'PML! weight (2)'!D11,ADG!$L$10:$L$1297)/SUMIF(ADG!$E$10:$E$1297,'PML! weight (2)'!D11,ADG!$K$10:$K$1297),0)</f>
        <v>6.2845549696969698</v>
      </c>
      <c r="H11" s="138">
        <f>IFERROR(SUMIF(FCR!$E$10:$E$1297,'PML! weight (2)'!D11,FCR!$M$10:$M$1297)/SUMIF(FCR!$E$10:$E$1297,'PML! weight (2)'!D11,FCR!$L$10:$L$1297),0)</f>
        <v>11.293433908045976</v>
      </c>
      <c r="I11" s="138">
        <f>IFERROR(SUMIF(YIELDN!$E$10:$E$1297,'PML! weight (2)'!D11,YIELDN!$P$10:$P$1297)/SUMIF(YIELDN!$E$10:$E$1297,'PML! weight (2)'!D11,YIELDN!$O$10:$O$1297),0)</f>
        <v>-0.61919815258903999</v>
      </c>
      <c r="J11" s="138">
        <f>IFERROR(SUMIF(SIZE!$E$10:$E$1297,'PML! weight (2)'!D11,SIZE!$K$10:$K$1297)/SUMIF(SIZE!$E$10:$E$1297,'PML! weight (2)'!D11,SIZE!$J$10:$J$1297),0)</f>
        <v>-3.0001792178706554</v>
      </c>
      <c r="K11" s="139">
        <f t="shared" si="0"/>
        <v>18.188367054351389</v>
      </c>
      <c r="M11" s="404" t="s">
        <v>474</v>
      </c>
      <c r="N11" s="349">
        <f t="shared" si="4"/>
        <v>-7.3675592677466728</v>
      </c>
      <c r="O11" s="349">
        <f t="shared" si="5"/>
        <v>11.597314814814812</v>
      </c>
      <c r="P11" s="349">
        <f t="shared" si="5"/>
        <v>6.2845549696969698</v>
      </c>
      <c r="Q11" s="349">
        <f t="shared" si="6"/>
        <v>10</v>
      </c>
      <c r="R11" s="349">
        <f t="shared" si="6"/>
        <v>0</v>
      </c>
      <c r="S11" s="349">
        <f t="shared" si="6"/>
        <v>0</v>
      </c>
      <c r="T11" s="414">
        <f t="shared" si="1"/>
        <v>20.514310516765107</v>
      </c>
      <c r="U11" s="412">
        <f>SUMIF('RAW DATA 2023'!BQ:BQ,'PML! weight (2)'!D11,'RAW DATA 2023'!Y:Y)</f>
        <v>31.916460000000001</v>
      </c>
      <c r="V11" s="412">
        <f>SUMIF('RAW DATA 2023'!BQ:BQ,'PML! weight (2)'!D11,'RAW DATA 2023'!BS:BS)</f>
        <v>3808.1914400000001</v>
      </c>
      <c r="W11" s="412">
        <f>SUMIF('RAW DATA 2023'!BQ:BQ,'PML! weight (2)'!D11,'RAW DATA 2023'!BL:BL)</f>
        <v>-2837.4940899999983</v>
      </c>
      <c r="X11" s="412">
        <f>SUMIF('RAW DATA 2023'!BQ:BQ,'PML! weight (2)'!D11,'RAW DATA 2023'!BR:BR)</f>
        <v>-1858.2165299999981</v>
      </c>
      <c r="AJ11" s="3" t="s">
        <v>1482</v>
      </c>
      <c r="AK11" s="129" t="str">
        <f t="shared" si="2"/>
        <v>K Wichien.bon</v>
      </c>
    </row>
    <row r="12" spans="1:37">
      <c r="C12" s="136" t="s">
        <v>540</v>
      </c>
      <c r="D12" s="137" t="str">
        <f t="shared" si="3"/>
        <v>Tachalab12</v>
      </c>
      <c r="E12" s="138">
        <f>IFERROR(SUMIF(ผลประหยัด!$E$10:$E$1297,'PML! weight (2)'!D12,ผลประหยัด!$K$10:$K$1297)/SUMIF(ผลประหยัด!$E$10:$E$1297,'PML! weight (2)'!D12,ผลประหยัด!$J$10:$J$1297),0)</f>
        <v>-21.665307627886222</v>
      </c>
      <c r="F12" s="138">
        <f>IFERROR(SUMIF(SR!$E$10:$E$1297,'PML! weight (2)'!D12,SR!$L$10:$L$1297)/SUMIF(SR!$E$10:$E$1297,'PML! weight (2)'!D12,SR!$K$10:$K$1297),0)</f>
        <v>23.975000000000005</v>
      </c>
      <c r="G12" s="138">
        <f>IFERROR(SUMIF(ADG!$E$10:$E$1297,'PML! weight (2)'!D12,ADG!$L$10:$L$1297)/SUMIF(ADG!$E$10:$E$1297,'PML! weight (2)'!D12,ADG!$K$10:$K$1297),0)</f>
        <v>3.7155622222222235</v>
      </c>
      <c r="H12" s="138">
        <f>IFERROR(SUMIF(FCR!$E$10:$E$1297,'PML! weight (2)'!D12,FCR!$M$10:$M$1297)/SUMIF(FCR!$E$10:$E$1297,'PML! weight (2)'!D12,FCR!$L$10:$L$1297),0)</f>
        <v>9.7707274611398951</v>
      </c>
      <c r="I12" s="138">
        <f>IFERROR(SUMIF(YIELDN!$E$10:$E$1297,'PML! weight (2)'!D12,YIELDN!$P$10:$P$1297)/SUMIF(YIELDN!$E$10:$E$1297,'PML! weight (2)'!D12,YIELDN!$O$10:$O$1297),0)</f>
        <v>8.0955774316779294</v>
      </c>
      <c r="J12" s="138">
        <f>IFERROR(SUMIF(SIZE!$E$10:$E$1297,'PML! weight (2)'!D12,SIZE!$K$10:$K$1297)/SUMIF(SIZE!$E$10:$E$1297,'PML! weight (2)'!D12,SIZE!$J$10:$J$1297),0)</f>
        <v>3.8796362496288341</v>
      </c>
      <c r="K12" s="139">
        <f t="shared" si="0"/>
        <v>27.771195736782666</v>
      </c>
      <c r="M12" s="404" t="s">
        <v>540</v>
      </c>
      <c r="N12" s="349">
        <f t="shared" si="4"/>
        <v>-21.665307627886222</v>
      </c>
      <c r="O12" s="349">
        <f t="shared" si="5"/>
        <v>15</v>
      </c>
      <c r="P12" s="349">
        <f t="shared" si="5"/>
        <v>3.7155622222222235</v>
      </c>
      <c r="Q12" s="349">
        <f t="shared" si="6"/>
        <v>9.7707274611398951</v>
      </c>
      <c r="R12" s="349">
        <f t="shared" si="6"/>
        <v>8.0955774316779294</v>
      </c>
      <c r="S12" s="349">
        <f t="shared" si="6"/>
        <v>3.8796362496288341</v>
      </c>
      <c r="T12" s="414">
        <f t="shared" si="1"/>
        <v>18.796195736782661</v>
      </c>
      <c r="U12" s="412">
        <f>SUMIF('RAW DATA 2023'!BQ:BQ,'PML! weight (2)'!D12,'RAW DATA 2023'!Y:Y)</f>
        <v>30.141549999999999</v>
      </c>
      <c r="V12" s="412">
        <f>SUMIF('RAW DATA 2023'!BQ:BQ,'PML! weight (2)'!D12,'RAW DATA 2023'!BS:BS)</f>
        <v>5239.9081500000002</v>
      </c>
      <c r="W12" s="412">
        <f>SUMIF('RAW DATA 2023'!BQ:BQ,'PML! weight (2)'!D12,'RAW DATA 2023'!BL:BL)</f>
        <v>-2997.0855800000018</v>
      </c>
      <c r="X12" s="412">
        <f>SUMIF('RAW DATA 2023'!BQ:BQ,'PML! weight (2)'!D12,'RAW DATA 2023'!BR:BR)</f>
        <v>-3263.6379800000022</v>
      </c>
      <c r="AJ12" s="3" t="s">
        <v>2777</v>
      </c>
      <c r="AK12" s="129" t="str">
        <f t="shared" si="2"/>
        <v>K Saran.dul</v>
      </c>
    </row>
    <row r="13" spans="1:37">
      <c r="C13" s="136" t="s">
        <v>567</v>
      </c>
      <c r="D13" s="137" t="str">
        <f t="shared" si="3"/>
        <v>Laemsing12</v>
      </c>
      <c r="E13" s="138">
        <f>IFERROR(SUMIF(ผลประหยัด!$E$10:$E$1297,'PML! weight (2)'!D13,ผลประหยัด!$K$10:$K$1297)/SUMIF(ผลประหยัด!$E$10:$E$1297,'PML! weight (2)'!D13,ผลประหยัด!$J$10:$J$1297),0)</f>
        <v>-6.756752665169067</v>
      </c>
      <c r="F13" s="138">
        <f>IFERROR(SUMIF(SR!$E$10:$E$1297,'PML! weight (2)'!D13,SR!$L$10:$L$1297)/SUMIF(SR!$E$10:$E$1297,'PML! weight (2)'!D13,SR!$K$10:$K$1297),0)</f>
        <v>24.898121990369184</v>
      </c>
      <c r="G13" s="138">
        <f>IFERROR(SUMIF(ADG!$E$10:$E$1297,'PML! weight (2)'!D13,ADG!$L$10:$L$1297)/SUMIF(ADG!$E$10:$E$1297,'PML! weight (2)'!D13,ADG!$K$10:$K$1297),0)</f>
        <v>3.8859179999999993</v>
      </c>
      <c r="H13" s="138">
        <f>IFERROR(SUMIF(FCR!$E$10:$E$1297,'PML! weight (2)'!D13,FCR!$M$10:$M$1297)/SUMIF(FCR!$E$10:$E$1297,'PML! weight (2)'!D13,FCR!$L$10:$L$1297),0)</f>
        <v>14.025600169779286</v>
      </c>
      <c r="I13" s="138">
        <f>IFERROR(SUMIF(YIELDN!$E$10:$E$1297,'PML! weight (2)'!D13,YIELDN!$P$10:$P$1297)/SUMIF(YIELDN!$E$10:$E$1297,'PML! weight (2)'!D13,YIELDN!$O$10:$O$1297),0)</f>
        <v>3.6392258931195163</v>
      </c>
      <c r="J13" s="138">
        <f>IFERROR(SUMIF(SIZE!$E$10:$E$1297,'PML! weight (2)'!D13,SIZE!$K$10:$K$1297)/SUMIF(SIZE!$E$10:$E$1297,'PML! weight (2)'!D13,SIZE!$J$10:$J$1297),0)</f>
        <v>4.5259722924129169E-6</v>
      </c>
      <c r="K13" s="139">
        <f t="shared" si="0"/>
        <v>39.692117914071211</v>
      </c>
      <c r="M13" s="404" t="s">
        <v>567</v>
      </c>
      <c r="N13" s="349">
        <f t="shared" si="4"/>
        <v>-6.756752665169067</v>
      </c>
      <c r="O13" s="349">
        <f t="shared" si="5"/>
        <v>15</v>
      </c>
      <c r="P13" s="349">
        <f t="shared" si="5"/>
        <v>3.8859179999999993</v>
      </c>
      <c r="Q13" s="349">
        <f t="shared" si="6"/>
        <v>10</v>
      </c>
      <c r="R13" s="349">
        <f t="shared" si="6"/>
        <v>3.6392258931195163</v>
      </c>
      <c r="S13" s="349">
        <f t="shared" si="6"/>
        <v>4.5259722924129169E-6</v>
      </c>
      <c r="T13" s="414">
        <f t="shared" si="1"/>
        <v>25.768395753922743</v>
      </c>
      <c r="U13" s="412">
        <f>SUMIF('RAW DATA 2023'!BQ:BQ,'PML! weight (2)'!D13,'RAW DATA 2023'!Y:Y)</f>
        <v>11.04735</v>
      </c>
      <c r="V13" s="412">
        <f>SUMIF('RAW DATA 2023'!BQ:BQ,'PML! weight (2)'!D13,'RAW DATA 2023'!BS:BS)</f>
        <v>1648.7579999999998</v>
      </c>
      <c r="W13" s="412">
        <f>SUMIF('RAW DATA 2023'!BQ:BQ,'PML! weight (2)'!D13,'RAW DATA 2023'!BL:BL)</f>
        <v>-632.55696999999975</v>
      </c>
      <c r="X13" s="412">
        <f>SUMIF('RAW DATA 2023'!BQ:BQ,'PML! weight (2)'!D13,'RAW DATA 2023'!BR:BR)</f>
        <v>-624.21246999999983</v>
      </c>
      <c r="AJ13" s="3" t="s">
        <v>1364</v>
      </c>
      <c r="AK13" s="129" t="str">
        <f t="shared" si="2"/>
        <v>K Gomes.pir</v>
      </c>
    </row>
    <row r="14" spans="1:37">
      <c r="C14" s="136" t="s">
        <v>610</v>
      </c>
      <c r="D14" s="137" t="str">
        <f t="shared" si="3"/>
        <v>Bangkachai112</v>
      </c>
      <c r="E14" s="138">
        <f>IFERROR(SUMIF(ผลประหยัด!$E$10:$E$1297,'PML! weight (2)'!D14,ผลประหยัด!$K$10:$K$1297)/SUMIF(ผลประหยัด!$E$10:$E$1297,'PML! weight (2)'!D14,ผลประหยัด!$J$10:$J$1297),0)</f>
        <v>0</v>
      </c>
      <c r="F14" s="138">
        <f>IFERROR(SUMIF(SR!$E$10:$E$1297,'PML! weight (2)'!D14,SR!$L$10:$L$1297)/SUMIF(SR!$E$10:$E$1297,'PML! weight (2)'!D14,SR!$K$10:$K$1297),0)</f>
        <v>0</v>
      </c>
      <c r="G14" s="138">
        <f>IFERROR(SUMIF(ADG!$E$10:$E$1297,'PML! weight (2)'!D14,ADG!$L$10:$L$1297)/SUMIF(ADG!$E$10:$E$1297,'PML! weight (2)'!D14,ADG!$K$10:$K$1297),0)</f>
        <v>0</v>
      </c>
      <c r="H14" s="138">
        <f>IFERROR(SUMIF(FCR!$E$10:$E$1297,'PML! weight (2)'!D14,FCR!$M$10:$M$1297)/SUMIF(FCR!$E$10:$E$1297,'PML! weight (2)'!D14,FCR!$L$10:$L$1297),0)</f>
        <v>0</v>
      </c>
      <c r="I14" s="138">
        <f>IFERROR(SUMIF(YIELDN!$E$10:$E$1297,'PML! weight (2)'!D14,YIELDN!$P$10:$P$1297)/SUMIF(YIELDN!$E$10:$E$1297,'PML! weight (2)'!D14,YIELDN!$O$10:$O$1297),0)</f>
        <v>0</v>
      </c>
      <c r="J14" s="138">
        <f>IFERROR(SUMIF(SIZE!$E$10:$E$1297,'PML! weight (2)'!D14,SIZE!$K$10:$K$1297)/SUMIF(SIZE!$E$10:$E$1297,'PML! weight (2)'!D14,SIZE!$J$10:$J$1297),0)</f>
        <v>0</v>
      </c>
      <c r="K14" s="139">
        <f t="shared" si="0"/>
        <v>0</v>
      </c>
      <c r="M14" s="404" t="s">
        <v>610</v>
      </c>
      <c r="N14" s="349">
        <f t="shared" si="4"/>
        <v>0</v>
      </c>
      <c r="O14" s="349">
        <f t="shared" si="5"/>
        <v>0</v>
      </c>
      <c r="P14" s="349">
        <f t="shared" si="5"/>
        <v>0</v>
      </c>
      <c r="Q14" s="349">
        <f t="shared" si="6"/>
        <v>0</v>
      </c>
      <c r="R14" s="349">
        <f t="shared" si="6"/>
        <v>0</v>
      </c>
      <c r="S14" s="349">
        <f t="shared" si="6"/>
        <v>0</v>
      </c>
      <c r="T14" s="414">
        <f t="shared" si="1"/>
        <v>0</v>
      </c>
      <c r="U14" s="412">
        <f>SUMIF('RAW DATA 2023'!BQ:BQ,'PML! weight (2)'!D14,'RAW DATA 2023'!Y:Y)</f>
        <v>0</v>
      </c>
      <c r="V14" s="412">
        <f>SUMIF('RAW DATA 2023'!BQ:BQ,'PML! weight (2)'!D14,'RAW DATA 2023'!BS:BS)</f>
        <v>0</v>
      </c>
      <c r="W14" s="412">
        <f>SUMIF('RAW DATA 2023'!BQ:BQ,'PML! weight (2)'!D14,'RAW DATA 2023'!BL:BL)</f>
        <v>0</v>
      </c>
      <c r="X14" s="412">
        <f>SUMIF('RAW DATA 2023'!BQ:BQ,'PML! weight (2)'!D14,'RAW DATA 2023'!BR:BR)</f>
        <v>0</v>
      </c>
      <c r="AJ14" s="3" t="s">
        <v>1176</v>
      </c>
      <c r="AK14" s="129" t="str">
        <f t="shared" si="2"/>
        <v>K Teerasak.kru</v>
      </c>
    </row>
    <row r="15" spans="1:37">
      <c r="C15" s="136" t="s">
        <v>632</v>
      </c>
      <c r="D15" s="137" t="str">
        <f t="shared" si="3"/>
        <v>Ranode12</v>
      </c>
      <c r="E15" s="138">
        <f>IFERROR(SUMIF(ผลประหยัด!$E$10:$E$1297,'PML! weight (2)'!D15,ผลประหยัด!$K$10:$K$1297)/SUMIF(ผลประหยัด!$E$10:$E$1297,'PML! weight (2)'!D15,ผลประหยัด!$J$10:$J$1297),0)</f>
        <v>-8.882249988859126</v>
      </c>
      <c r="F15" s="138">
        <f>IFERROR(SUMIF(SR!$E$10:$E$1297,'PML! weight (2)'!D15,SR!$L$10:$L$1297)/SUMIF(SR!$E$10:$E$1297,'PML! weight (2)'!D15,SR!$K$10:$K$1297),0)</f>
        <v>10.738947670250896</v>
      </c>
      <c r="G15" s="138">
        <f>IFERROR(SUMIF(ADG!$E$10:$E$1297,'PML! weight (2)'!D15,ADG!$L$10:$L$1297)/SUMIF(ADG!$E$10:$E$1297,'PML! weight (2)'!D15,ADG!$K$10:$K$1297),0)</f>
        <v>9.9594753135964922</v>
      </c>
      <c r="H15" s="138">
        <f>IFERROR(SUMIF(FCR!$E$10:$E$1297,'PML! weight (2)'!D15,FCR!$M$10:$M$1297)/SUMIF(FCR!$E$10:$E$1297,'PML! weight (2)'!D15,FCR!$L$10:$L$1297),0)</f>
        <v>9.7930977659420329</v>
      </c>
      <c r="I15" s="138">
        <f>IFERROR(SUMIF(YIELDN!$E$10:$E$1297,'PML! weight (2)'!D15,YIELDN!$P$10:$P$1297)/SUMIF(YIELDN!$E$10:$E$1297,'PML! weight (2)'!D15,YIELDN!$O$10:$O$1297),0)</f>
        <v>2.5400694444719325</v>
      </c>
      <c r="J15" s="138">
        <f>IFERROR(SUMIF(SIZE!$E$10:$E$1297,'PML! weight (2)'!D15,SIZE!$K$10:$K$1297)/SUMIF(SIZE!$E$10:$E$1297,'PML! weight (2)'!D15,SIZE!$J$10:$J$1297),0)</f>
        <v>4.9522721422824967</v>
      </c>
      <c r="K15" s="139">
        <f t="shared" si="0"/>
        <v>29.101612347684721</v>
      </c>
      <c r="M15" s="404" t="s">
        <v>632</v>
      </c>
      <c r="N15" s="349">
        <f t="shared" si="4"/>
        <v>-8.882249988859126</v>
      </c>
      <c r="O15" s="349">
        <f t="shared" si="5"/>
        <v>10.738947670250896</v>
      </c>
      <c r="P15" s="349">
        <f t="shared" si="5"/>
        <v>9.9594753135964922</v>
      </c>
      <c r="Q15" s="349">
        <f t="shared" si="6"/>
        <v>9.7930977659420329</v>
      </c>
      <c r="R15" s="349">
        <f t="shared" si="6"/>
        <v>2.5400694444719325</v>
      </c>
      <c r="S15" s="349">
        <f t="shared" si="6"/>
        <v>4.9522721422824967</v>
      </c>
      <c r="T15" s="414">
        <f t="shared" si="1"/>
        <v>29.101612347684721</v>
      </c>
      <c r="U15" s="412">
        <f>SUMIF('RAW DATA 2023'!BQ:BQ,'PML! weight (2)'!D15,'RAW DATA 2023'!Y:Y)</f>
        <v>25.991109999999999</v>
      </c>
      <c r="V15" s="412">
        <f>SUMIF('RAW DATA 2023'!BQ:BQ,'PML! weight (2)'!D15,'RAW DATA 2023'!BS:BS)</f>
        <v>4913.7112200000001</v>
      </c>
      <c r="W15" s="412">
        <f>SUMIF('RAW DATA 2023'!BQ:BQ,'PML! weight (2)'!D15,'RAW DATA 2023'!BL:BL)</f>
        <v>-2010.8400399999987</v>
      </c>
      <c r="X15" s="412">
        <f>SUMIF('RAW DATA 2023'!BQ:BQ,'PML! weight (2)'!D15,'RAW DATA 2023'!BR:BR)</f>
        <v>-1812.8161599999989</v>
      </c>
      <c r="AJ15" s="3" t="s">
        <v>1285</v>
      </c>
      <c r="AK15" s="129" t="str">
        <f t="shared" si="2"/>
        <v>K Marut.kha</v>
      </c>
    </row>
    <row r="16" spans="1:37">
      <c r="C16" s="136" t="s">
        <v>651</v>
      </c>
      <c r="D16" s="137" t="str">
        <f t="shared" si="3"/>
        <v>Nakornfarm12</v>
      </c>
      <c r="E16" s="138">
        <f>IFERROR(SUMIF(ผลประหยัด!$E$10:$E$1297,'PML! weight (2)'!D16,ผลประหยัด!$K$10:$K$1297)/SUMIF(ผลประหยัด!$E$10:$E$1297,'PML! weight (2)'!D16,ผลประหยัด!$J$10:$J$1297),0)</f>
        <v>-17.130950653176111</v>
      </c>
      <c r="F16" s="138">
        <f>IFERROR(SUMIF(SR!$E$10:$E$1297,'PML! weight (2)'!D16,SR!$L$10:$L$1297)/SUMIF(SR!$E$10:$E$1297,'PML! weight (2)'!D16,SR!$K$10:$K$1297),0)</f>
        <v>14.750990033222593</v>
      </c>
      <c r="G16" s="138">
        <f>IFERROR(SUMIF(ADG!$E$10:$E$1297,'PML! weight (2)'!D16,ADG!$L$10:$L$1297)/SUMIF(ADG!$E$10:$E$1297,'PML! weight (2)'!D16,ADG!$K$10:$K$1297),0)</f>
        <v>6.6897904052511405</v>
      </c>
      <c r="H16" s="138">
        <f>IFERROR(SUMIF(FCR!$E$10:$E$1297,'PML! weight (2)'!D16,FCR!$M$10:$M$1297)/SUMIF(FCR!$E$10:$E$1297,'PML! weight (2)'!D16,FCR!$L$10:$L$1297),0)</f>
        <v>7.5325494347542739</v>
      </c>
      <c r="I16" s="138">
        <f>IFERROR(SUMIF(YIELDN!$E$10:$E$1297,'PML! weight (2)'!D16,YIELDN!$P$10:$P$1297)/SUMIF(YIELDN!$E$10:$E$1297,'PML! weight (2)'!D16,YIELDN!$O$10:$O$1297),0)</f>
        <v>6.1617945150052806</v>
      </c>
      <c r="J16" s="138">
        <f>IFERROR(SUMIF(SIZE!$E$10:$E$1297,'PML! weight (2)'!D16,SIZE!$K$10:$K$1297)/SUMIF(SIZE!$E$10:$E$1297,'PML! weight (2)'!D16,SIZE!$J$10:$J$1297),0)</f>
        <v>4.6285250609114028</v>
      </c>
      <c r="K16" s="139">
        <f t="shared" si="0"/>
        <v>22.632698795968579</v>
      </c>
      <c r="M16" s="404" t="s">
        <v>651</v>
      </c>
      <c r="N16" s="349">
        <f t="shared" si="4"/>
        <v>-17.130950653176111</v>
      </c>
      <c r="O16" s="349">
        <f t="shared" si="5"/>
        <v>14.750990033222593</v>
      </c>
      <c r="P16" s="349">
        <f t="shared" si="5"/>
        <v>6.6897904052511405</v>
      </c>
      <c r="Q16" s="349">
        <f t="shared" si="6"/>
        <v>7.5325494347542739</v>
      </c>
      <c r="R16" s="349">
        <f t="shared" si="6"/>
        <v>6.1617945150052806</v>
      </c>
      <c r="S16" s="349">
        <f t="shared" si="6"/>
        <v>4.6285250609114028</v>
      </c>
      <c r="T16" s="414">
        <f t="shared" si="1"/>
        <v>22.632698795968579</v>
      </c>
      <c r="U16" s="412">
        <f>SUMIF('RAW DATA 2023'!BQ:BQ,'PML! weight (2)'!D16,'RAW DATA 2023'!Y:Y)</f>
        <v>32.498019999999997</v>
      </c>
      <c r="V16" s="412">
        <f>SUMIF('RAW DATA 2023'!BQ:BQ,'PML! weight (2)'!D16,'RAW DATA 2023'!BS:BS)</f>
        <v>5142.7460800000008</v>
      </c>
      <c r="W16" s="412">
        <f>SUMIF('RAW DATA 2023'!BQ:BQ,'PML! weight (2)'!D16,'RAW DATA 2023'!BL:BL)</f>
        <v>-3416.5358999999994</v>
      </c>
      <c r="X16" s="412">
        <f>SUMIF('RAW DATA 2023'!BQ:BQ,'PML! weight (2)'!D16,'RAW DATA 2023'!BR:BR)</f>
        <v>-3109.0217300000013</v>
      </c>
      <c r="AJ16" s="3" t="s">
        <v>1773</v>
      </c>
      <c r="AK16" s="129" t="str">
        <f t="shared" si="2"/>
        <v>K Somkuan.pan</v>
      </c>
    </row>
    <row r="17" spans="3:37">
      <c r="C17" s="136" t="s">
        <v>724</v>
      </c>
      <c r="D17" s="137" t="str">
        <f t="shared" si="3"/>
        <v>Pakpanang112</v>
      </c>
      <c r="E17" s="138">
        <f>IFERROR(SUMIF(ผลประหยัด!$E$10:$E$1297,'PML! weight (2)'!D17,ผลประหยัด!$K$10:$K$1297)/SUMIF(ผลประหยัด!$E$10:$E$1297,'PML! weight (2)'!D17,ผลประหยัด!$J$10:$J$1297),0)</f>
        <v>0</v>
      </c>
      <c r="F17" s="138">
        <f>IFERROR(SUMIF(SR!$E$10:$E$1297,'PML! weight (2)'!D17,SR!$L$10:$L$1297)/SUMIF(SR!$E$10:$E$1297,'PML! weight (2)'!D17,SR!$K$10:$K$1297),0)</f>
        <v>0</v>
      </c>
      <c r="G17" s="138">
        <f>IFERROR(SUMIF(ADG!$E$10:$E$1297,'PML! weight (2)'!D17,ADG!$L$10:$L$1297)/SUMIF(ADG!$E$10:$E$1297,'PML! weight (2)'!D17,ADG!$K$10:$K$1297),0)</f>
        <v>0</v>
      </c>
      <c r="H17" s="138">
        <f>IFERROR(SUMIF(FCR!$E$10:$E$1297,'PML! weight (2)'!D17,FCR!$M$10:$M$1297)/SUMIF(FCR!$E$10:$E$1297,'PML! weight (2)'!D17,FCR!$L$10:$L$1297),0)</f>
        <v>0</v>
      </c>
      <c r="I17" s="138">
        <f>IFERROR(SUMIF(YIELDN!$E$10:$E$1297,'PML! weight (2)'!D17,YIELDN!$P$10:$P$1297)/SUMIF(YIELDN!$E$10:$E$1297,'PML! weight (2)'!D17,YIELDN!$O$10:$O$1297),0)</f>
        <v>0</v>
      </c>
      <c r="J17" s="138">
        <f>IFERROR(SUMIF(SIZE!$E$10:$E$1297,'PML! weight (2)'!D17,SIZE!$K$10:$K$1297)/SUMIF(SIZE!$E$10:$E$1297,'PML! weight (2)'!D17,SIZE!$J$10:$J$1297),0)</f>
        <v>0</v>
      </c>
      <c r="K17" s="139">
        <f t="shared" si="0"/>
        <v>0</v>
      </c>
      <c r="M17" s="404" t="s">
        <v>724</v>
      </c>
      <c r="N17" s="349">
        <f t="shared" si="4"/>
        <v>0</v>
      </c>
      <c r="O17" s="349">
        <f t="shared" si="5"/>
        <v>0</v>
      </c>
      <c r="P17" s="349">
        <f t="shared" si="5"/>
        <v>0</v>
      </c>
      <c r="Q17" s="349">
        <f t="shared" si="6"/>
        <v>0</v>
      </c>
      <c r="R17" s="349">
        <f t="shared" si="6"/>
        <v>0</v>
      </c>
      <c r="S17" s="349">
        <f t="shared" si="6"/>
        <v>0</v>
      </c>
      <c r="T17" s="414">
        <f t="shared" si="1"/>
        <v>0</v>
      </c>
      <c r="U17" s="412">
        <f>SUMIF('RAW DATA 2023'!BQ:BQ,'PML! weight (2)'!D17,'RAW DATA 2023'!Y:Y)</f>
        <v>0</v>
      </c>
      <c r="V17" s="412">
        <f>SUMIF('RAW DATA 2023'!BQ:BQ,'PML! weight (2)'!D17,'RAW DATA 2023'!BS:BS)</f>
        <v>0</v>
      </c>
      <c r="W17" s="412">
        <f>SUMIF('RAW DATA 2023'!BQ:BQ,'PML! weight (2)'!D17,'RAW DATA 2023'!BL:BL)</f>
        <v>0</v>
      </c>
      <c r="X17" s="412">
        <f>SUMIF('RAW DATA 2023'!BQ:BQ,'PML! weight (2)'!D17,'RAW DATA 2023'!BR:BR)</f>
        <v>0</v>
      </c>
      <c r="AJ17" s="3" t="s">
        <v>1631</v>
      </c>
      <c r="AK17" s="129" t="str">
        <f t="shared" si="2"/>
        <v>K Punya.trp</v>
      </c>
    </row>
    <row r="18" spans="3:37">
      <c r="C18" s="136" t="s">
        <v>760</v>
      </c>
      <c r="D18" s="137" t="str">
        <f t="shared" si="3"/>
        <v>SR112</v>
      </c>
      <c r="E18" s="138">
        <f>IFERROR(SUMIF(ผลประหยัด!$E$10:$E$1297,'PML! weight (2)'!D18,ผลประหยัด!$K$10:$K$1297)/SUMIF(ผลประหยัด!$E$10:$E$1297,'PML! weight (2)'!D18,ผลประหยัด!$J$10:$J$1297),0)</f>
        <v>-2.3401209679836179</v>
      </c>
      <c r="F18" s="138">
        <f>IFERROR(SUMIF(SR!$E$10:$E$1297,'PML! weight (2)'!D18,SR!$L$10:$L$1297)/SUMIF(SR!$E$10:$E$1297,'PML! weight (2)'!D18,SR!$K$10:$K$1297),0)</f>
        <v>12.740130386178858</v>
      </c>
      <c r="G18" s="138">
        <f>IFERROR(SUMIF(ADG!$E$10:$E$1297,'PML! weight (2)'!D18,ADG!$L$10:$L$1297)/SUMIF(ADG!$E$10:$E$1297,'PML! weight (2)'!D18,ADG!$K$10:$K$1297),0)</f>
        <v>6.4428645020400568</v>
      </c>
      <c r="H18" s="138">
        <f>IFERROR(SUMIF(FCR!$E$10:$E$1297,'PML! weight (2)'!D18,FCR!$M$10:$M$1297)/SUMIF(FCR!$E$10:$E$1297,'PML! weight (2)'!D18,FCR!$L$10:$L$1297),0)</f>
        <v>6.7801981666638067</v>
      </c>
      <c r="I18" s="138">
        <f>IFERROR(SUMIF(YIELDN!$E$10:$E$1297,'PML! weight (2)'!D18,YIELDN!$P$10:$P$1297)/SUMIF(YIELDN!$E$10:$E$1297,'PML! weight (2)'!D18,YIELDN!$O$10:$O$1297),0)</f>
        <v>2.3695959117626777</v>
      </c>
      <c r="J18" s="138">
        <f>IFERROR(SUMIF(SIZE!$E$10:$E$1297,'PML! weight (2)'!D18,SIZE!$K$10:$K$1297)/SUMIF(SIZE!$E$10:$E$1297,'PML! weight (2)'!D18,SIZE!$J$10:$J$1297),0)</f>
        <v>4.4109601606568738</v>
      </c>
      <c r="K18" s="139">
        <f t="shared" si="0"/>
        <v>30.403628159318657</v>
      </c>
      <c r="M18" s="404" t="s">
        <v>760</v>
      </c>
      <c r="N18" s="349">
        <f t="shared" si="4"/>
        <v>-2.3401209679836179</v>
      </c>
      <c r="O18" s="349">
        <f t="shared" si="5"/>
        <v>12.740130386178858</v>
      </c>
      <c r="P18" s="349">
        <f t="shared" si="5"/>
        <v>6.4428645020400568</v>
      </c>
      <c r="Q18" s="349">
        <f t="shared" si="6"/>
        <v>6.7801981666638067</v>
      </c>
      <c r="R18" s="349">
        <f t="shared" si="6"/>
        <v>2.3695959117626777</v>
      </c>
      <c r="S18" s="349">
        <f t="shared" si="6"/>
        <v>4.4109601606568738</v>
      </c>
      <c r="T18" s="414">
        <f t="shared" si="1"/>
        <v>30.403628159318657</v>
      </c>
      <c r="U18" s="412">
        <f>SUMIF('RAW DATA 2023'!BQ:BQ,'PML! weight (2)'!D18,'RAW DATA 2023'!Y:Y)</f>
        <v>74.459310000000002</v>
      </c>
      <c r="V18" s="412">
        <f>SUMIF('RAW DATA 2023'!BQ:BQ,'PML! weight (2)'!D18,'RAW DATA 2023'!BS:BS)</f>
        <v>13282.211039999998</v>
      </c>
      <c r="W18" s="412">
        <f>SUMIF('RAW DATA 2023'!BQ:BQ,'PML! weight (2)'!D18,'RAW DATA 2023'!BL:BL)</f>
        <v>-2937.7461900000003</v>
      </c>
      <c r="X18" s="412">
        <f>SUMIF('RAW DATA 2023'!BQ:BQ,'PML! weight (2)'!D18,'RAW DATA 2023'!BR:BR)</f>
        <v>-3219.2213699999988</v>
      </c>
      <c r="AJ18" s="3" t="s">
        <v>1602</v>
      </c>
      <c r="AK18" s="129" t="str">
        <f t="shared" si="2"/>
        <v>K Vorn.reu</v>
      </c>
    </row>
    <row r="19" spans="3:37">
      <c r="C19" s="136" t="s">
        <v>893</v>
      </c>
      <c r="D19" s="137" t="str">
        <f t="shared" si="3"/>
        <v>Andaman12</v>
      </c>
      <c r="E19" s="138">
        <f>IFERROR(SUMIF(ผลประหยัด!$E$10:$E$1297,'PML! weight (2)'!D19,ผลประหยัด!$K$10:$K$1297)/SUMIF(ผลประหยัด!$E$10:$E$1297,'PML! weight (2)'!D19,ผลประหยัด!$J$10:$J$1297),0)</f>
        <v>0</v>
      </c>
      <c r="F19" s="138">
        <f>IFERROR(SUMIF(SR!$E$10:$E$1297,'PML! weight (2)'!D19,SR!$L$10:$L$1297)/SUMIF(SR!$E$10:$E$1297,'PML! weight (2)'!D19,SR!$K$10:$K$1297),0)</f>
        <v>0</v>
      </c>
      <c r="G19" s="138">
        <f>IFERROR(SUMIF(ADG!$E$10:$E$1297,'PML! weight (2)'!D19,ADG!$L$10:$L$1297)/SUMIF(ADG!$E$10:$E$1297,'PML! weight (2)'!D19,ADG!$K$10:$K$1297),0)</f>
        <v>0</v>
      </c>
      <c r="H19" s="138">
        <f>IFERROR(SUMIF(FCR!$E$10:$E$1297,'PML! weight (2)'!D19,FCR!$M$10:$M$1297)/SUMIF(FCR!$E$10:$E$1297,'PML! weight (2)'!D19,FCR!$L$10:$L$1297),0)</f>
        <v>0</v>
      </c>
      <c r="I19" s="138">
        <f>IFERROR(SUMIF(YIELDN!$E$10:$E$1297,'PML! weight (2)'!D19,YIELDN!$P$10:$P$1297)/SUMIF(YIELDN!$E$10:$E$1297,'PML! weight (2)'!D19,YIELDN!$O$10:$O$1297),0)</f>
        <v>0</v>
      </c>
      <c r="J19" s="138">
        <f>IFERROR(SUMIF(SIZE!$E$10:$E$1297,'PML! weight (2)'!D19,SIZE!$K$10:$K$1297)/SUMIF(SIZE!$E$10:$E$1297,'PML! weight (2)'!D19,SIZE!$J$10:$J$1297),0)</f>
        <v>0</v>
      </c>
      <c r="K19" s="139">
        <f t="shared" si="0"/>
        <v>0</v>
      </c>
      <c r="M19" s="404" t="s">
        <v>893</v>
      </c>
      <c r="N19" s="349">
        <f t="shared" si="4"/>
        <v>0</v>
      </c>
      <c r="O19" s="349">
        <f t="shared" si="5"/>
        <v>0</v>
      </c>
      <c r="P19" s="349">
        <f t="shared" si="5"/>
        <v>0</v>
      </c>
      <c r="Q19" s="349">
        <f t="shared" si="6"/>
        <v>0</v>
      </c>
      <c r="R19" s="349">
        <f t="shared" si="6"/>
        <v>0</v>
      </c>
      <c r="S19" s="349">
        <f t="shared" si="6"/>
        <v>0</v>
      </c>
      <c r="T19" s="414">
        <f t="shared" si="1"/>
        <v>0</v>
      </c>
      <c r="U19" s="412">
        <f>SUMIF('RAW DATA 2023'!BQ:BQ,'PML! weight (2)'!D19,'RAW DATA 2023'!Y:Y)</f>
        <v>0</v>
      </c>
      <c r="V19" s="412">
        <f>SUMIF('RAW DATA 2023'!BQ:BQ,'PML! weight (2)'!D19,'RAW DATA 2023'!BS:BS)</f>
        <v>0</v>
      </c>
      <c r="W19" s="412">
        <f>SUMIF('RAW DATA 2023'!BQ:BQ,'PML! weight (2)'!D19,'RAW DATA 2023'!BL:BL)</f>
        <v>0</v>
      </c>
      <c r="X19" s="412">
        <f>SUMIF('RAW DATA 2023'!BQ:BQ,'PML! weight (2)'!D19,'RAW DATA 2023'!BR:BR)</f>
        <v>0</v>
      </c>
      <c r="AJ19" s="3" t="s">
        <v>1576</v>
      </c>
      <c r="AK19" s="129" t="str">
        <f t="shared" si="2"/>
        <v>K Jeerasuk.ket</v>
      </c>
    </row>
    <row r="20" spans="3:37">
      <c r="C20" s="136" t="s">
        <v>835</v>
      </c>
      <c r="D20" s="137" t="str">
        <f t="shared" si="3"/>
        <v>SR412</v>
      </c>
      <c r="E20" s="138">
        <f>IFERROR(SUMIF(ผลประหยัด!$E$10:$E$1297,'PML! weight (2)'!D20,ผลประหยัด!$K$10:$K$1297)/SUMIF(ผลประหยัด!$E$10:$E$1297,'PML! weight (2)'!D20,ผลประหยัด!$J$10:$J$1297),0)</f>
        <v>-17.650550928930276</v>
      </c>
      <c r="F20" s="138">
        <f>IFERROR(SUMIF(SR!$E$10:$E$1297,'PML! weight (2)'!D20,SR!$L$10:$L$1297)/SUMIF(SR!$E$10:$E$1297,'PML! weight (2)'!D20,SR!$K$10:$K$1297),0)</f>
        <v>-0.44553887195122044</v>
      </c>
      <c r="G20" s="138">
        <f>IFERROR(SUMIF(ADG!$E$10:$E$1297,'PML! weight (2)'!D20,ADG!$L$10:$L$1297)/SUMIF(ADG!$E$10:$E$1297,'PML! weight (2)'!D20,ADG!$K$10:$K$1297),0)</f>
        <v>9.0186559733930824</v>
      </c>
      <c r="H20" s="138">
        <f>IFERROR(SUMIF(FCR!$E$10:$E$1297,'PML! weight (2)'!D20,FCR!$M$10:$M$1297)/SUMIF(FCR!$E$10:$E$1297,'PML! weight (2)'!D20,FCR!$L$10:$L$1297),0)</f>
        <v>3.0558321388908793</v>
      </c>
      <c r="I20" s="138">
        <f>IFERROR(SUMIF(YIELDN!$E$10:$E$1297,'PML! weight (2)'!D20,YIELDN!$P$10:$P$1297)/SUMIF(YIELDN!$E$10:$E$1297,'PML! weight (2)'!D20,YIELDN!$O$10:$O$1297),0)</f>
        <v>0.85430409427676923</v>
      </c>
      <c r="J20" s="138">
        <f>IFERROR(SUMIF(SIZE!$E$10:$E$1297,'PML! weight (2)'!D20,SIZE!$K$10:$K$1297)/SUMIF(SIZE!$E$10:$E$1297,'PML! weight (2)'!D20,SIZE!$J$10:$J$1297),0)</f>
        <v>7.6453226847219238</v>
      </c>
      <c r="K20" s="139">
        <f t="shared" si="0"/>
        <v>2.4780250904011583</v>
      </c>
      <c r="M20" s="404" t="s">
        <v>835</v>
      </c>
      <c r="N20" s="349">
        <f t="shared" si="4"/>
        <v>-17.650550928930276</v>
      </c>
      <c r="O20" s="349">
        <f t="shared" si="5"/>
        <v>0</v>
      </c>
      <c r="P20" s="349">
        <f t="shared" si="5"/>
        <v>9.0186559733930824</v>
      </c>
      <c r="Q20" s="349">
        <f t="shared" si="6"/>
        <v>3.0558321388908793</v>
      </c>
      <c r="R20" s="349">
        <f t="shared" si="6"/>
        <v>0.85430409427676923</v>
      </c>
      <c r="S20" s="349">
        <f t="shared" si="6"/>
        <v>7.6453226847219238</v>
      </c>
      <c r="T20" s="414">
        <f t="shared" si="1"/>
        <v>2.9235639623523797</v>
      </c>
      <c r="U20" s="412">
        <f>SUMIF('RAW DATA 2023'!BQ:BQ,'PML! weight (2)'!D20,'RAW DATA 2023'!Y:Y)</f>
        <v>21.386200000000002</v>
      </c>
      <c r="V20" s="412">
        <f>SUMIF('RAW DATA 2023'!BQ:BQ,'PML! weight (2)'!D20,'RAW DATA 2023'!BS:BS)</f>
        <v>4160.0396400000009</v>
      </c>
      <c r="W20" s="412">
        <f>SUMIF('RAW DATA 2023'!BQ:BQ,'PML! weight (2)'!D20,'RAW DATA 2023'!BL:BL)</f>
        <v>-2142.5559499999995</v>
      </c>
      <c r="X20" s="412">
        <f>SUMIF('RAW DATA 2023'!BQ:BQ,'PML! weight (2)'!D20,'RAW DATA 2023'!BR:BR)</f>
        <v>-2323.9997899999998</v>
      </c>
      <c r="AJ20" s="3" t="s">
        <v>1130</v>
      </c>
      <c r="AK20" s="129" t="str">
        <f t="shared" si="2"/>
        <v>K Sayan.api</v>
      </c>
    </row>
    <row r="21" spans="3:37">
      <c r="C21" s="136" t="s">
        <v>924</v>
      </c>
      <c r="D21" s="137" t="str">
        <f t="shared" si="3"/>
        <v>Kanchanadit12</v>
      </c>
      <c r="E21" s="138">
        <f>IFERROR(SUMIF(ผลประหยัด!$E$10:$E$1297,'PML! weight (2)'!D21,ผลประหยัด!$K$10:$K$1297)/SUMIF(ผลประหยัด!$E$10:$E$1297,'PML! weight (2)'!D21,ผลประหยัด!$J$10:$J$1297),0)</f>
        <v>-2.0209289452261534</v>
      </c>
      <c r="F21" s="138">
        <f>IFERROR(SUMIF(SR!$E$10:$E$1297,'PML! weight (2)'!D21,SR!$L$10:$L$1297)/SUMIF(SR!$E$10:$E$1297,'PML! weight (2)'!D21,SR!$K$10:$K$1297),0)</f>
        <v>6.4431576398900159</v>
      </c>
      <c r="G21" s="138">
        <f>IFERROR(SUMIF(ADG!$E$10:$E$1297,'PML! weight (2)'!D21,ADG!$L$10:$L$1297)/SUMIF(ADG!$E$10:$E$1297,'PML! weight (2)'!D21,ADG!$K$10:$K$1297),0)</f>
        <v>7.4854396203809248</v>
      </c>
      <c r="H21" s="138">
        <f>IFERROR(SUMIF(FCR!$E$10:$E$1297,'PML! weight (2)'!D21,FCR!$M$10:$M$1297)/SUMIF(FCR!$E$10:$E$1297,'PML! weight (2)'!D21,FCR!$L$10:$L$1297),0)</f>
        <v>8.5434565360123624</v>
      </c>
      <c r="I21" s="138">
        <f>IFERROR(SUMIF(YIELDN!$E$10:$E$1297,'PML! weight (2)'!D21,YIELDN!$P$10:$P$1297)/SUMIF(YIELDN!$E$10:$E$1297,'PML! weight (2)'!D21,YIELDN!$O$10:$O$1297),0)</f>
        <v>3.3050246684752178</v>
      </c>
      <c r="J21" s="138">
        <f>IFERROR(SUMIF(SIZE!$E$10:$E$1297,'PML! weight (2)'!D21,SIZE!$K$10:$K$1297)/SUMIF(SIZE!$E$10:$E$1297,'PML! weight (2)'!D21,SIZE!$J$10:$J$1297),0)</f>
        <v>7.0819991263374158</v>
      </c>
      <c r="K21" s="139">
        <f t="shared" si="0"/>
        <v>30.838148645869786</v>
      </c>
      <c r="M21" s="404" t="s">
        <v>924</v>
      </c>
      <c r="N21" s="349">
        <f t="shared" si="4"/>
        <v>-2.0209289452261534</v>
      </c>
      <c r="O21" s="349">
        <f t="shared" si="5"/>
        <v>6.4431576398900159</v>
      </c>
      <c r="P21" s="349">
        <f t="shared" si="5"/>
        <v>7.4854396203809248</v>
      </c>
      <c r="Q21" s="349">
        <f t="shared" si="6"/>
        <v>8.5434565360123624</v>
      </c>
      <c r="R21" s="349">
        <f t="shared" si="6"/>
        <v>3.3050246684752178</v>
      </c>
      <c r="S21" s="349">
        <f t="shared" si="6"/>
        <v>7.0819991263374158</v>
      </c>
      <c r="T21" s="414">
        <f t="shared" si="1"/>
        <v>30.838148645869786</v>
      </c>
      <c r="U21" s="412">
        <f>SUMIF('RAW DATA 2023'!BQ:BQ,'PML! weight (2)'!D21,'RAW DATA 2023'!Y:Y)</f>
        <v>57.527929999999998</v>
      </c>
      <c r="V21" s="412">
        <f>SUMIF('RAW DATA 2023'!BQ:BQ,'PML! weight (2)'!D21,'RAW DATA 2023'!BS:BS)</f>
        <v>11188.303199999998</v>
      </c>
      <c r="W21" s="412">
        <f>SUMIF('RAW DATA 2023'!BQ:BQ,'PML! weight (2)'!D21,'RAW DATA 2023'!BL:BL)</f>
        <v>-2515.0455000000015</v>
      </c>
      <c r="X21" s="412">
        <f>SUMIF('RAW DATA 2023'!BQ:BQ,'PML! weight (2)'!D21,'RAW DATA 2023'!BR:BR)</f>
        <v>-2860.6442500000016</v>
      </c>
      <c r="AJ21" s="3" t="s">
        <v>498</v>
      </c>
      <c r="AK21" s="129" t="str">
        <f t="shared" si="2"/>
        <v>K Pisit.boo</v>
      </c>
    </row>
    <row r="22" spans="3:37">
      <c r="C22" s="136" t="s">
        <v>999</v>
      </c>
      <c r="D22" s="137" t="str">
        <f t="shared" si="3"/>
        <v>Roiphet312</v>
      </c>
      <c r="E22" s="138">
        <f>IFERROR(SUMIF(ผลประหยัด!$E$10:$E$1297,'PML! weight (2)'!D22,ผลประหยัด!$K$10:$K$1297)/SUMIF(ผลประหยัด!$E$10:$E$1297,'PML! weight (2)'!D22,ผลประหยัด!$J$10:$J$1297),0)</f>
        <v>-60.237207418570812</v>
      </c>
      <c r="F22" s="138">
        <f>IFERROR(SUMIF(SR!$E$10:$E$1297,'PML! weight (2)'!D22,SR!$L$10:$L$1297)/SUMIF(SR!$E$10:$E$1297,'PML! weight (2)'!D22,SR!$K$10:$K$1297),0)</f>
        <v>14.276713450292394</v>
      </c>
      <c r="G22" s="138">
        <f>IFERROR(SUMIF(ADG!$E$10:$E$1297,'PML! weight (2)'!D22,ADG!$L$10:$L$1297)/SUMIF(ADG!$E$10:$E$1297,'PML! weight (2)'!D22,ADG!$K$10:$K$1297),0)</f>
        <v>2.4254561412658235</v>
      </c>
      <c r="H22" s="138">
        <f>IFERROR(SUMIF(FCR!$E$10:$E$1297,'PML! weight (2)'!D22,FCR!$M$10:$M$1297)/SUMIF(FCR!$E$10:$E$1297,'PML! weight (2)'!D22,FCR!$L$10:$L$1297),0)</f>
        <v>5.9989075215722609</v>
      </c>
      <c r="I22" s="138">
        <f>IFERROR(SUMIF(YIELDN!$E$10:$E$1297,'PML! weight (2)'!D22,YIELDN!$P$10:$P$1297)/SUMIF(YIELDN!$E$10:$E$1297,'PML! weight (2)'!D22,YIELDN!$O$10:$O$1297),0)</f>
        <v>-3.3711076557910675</v>
      </c>
      <c r="J22" s="138">
        <f>IFERROR(SUMIF(SIZE!$E$10:$E$1297,'PML! weight (2)'!D22,SIZE!$K$10:$K$1297)/SUMIF(SIZE!$E$10:$E$1297,'PML! weight (2)'!D22,SIZE!$J$10:$J$1297),0)</f>
        <v>-11.581756801670302</v>
      </c>
      <c r="K22" s="139">
        <f t="shared" si="0"/>
        <v>-52.48899476290169</v>
      </c>
      <c r="M22" s="404" t="s">
        <v>999</v>
      </c>
      <c r="N22" s="349">
        <f t="shared" si="4"/>
        <v>-40</v>
      </c>
      <c r="O22" s="349">
        <f t="shared" si="5"/>
        <v>14.276713450292394</v>
      </c>
      <c r="P22" s="349">
        <f t="shared" si="5"/>
        <v>2.4254561412658235</v>
      </c>
      <c r="Q22" s="349">
        <f t="shared" si="6"/>
        <v>5.9989075215722609</v>
      </c>
      <c r="R22" s="349">
        <f t="shared" si="6"/>
        <v>0</v>
      </c>
      <c r="S22" s="349">
        <f t="shared" si="6"/>
        <v>0</v>
      </c>
      <c r="T22" s="414">
        <f t="shared" si="1"/>
        <v>-17.298922886869523</v>
      </c>
      <c r="U22" s="412">
        <f>SUMIF('RAW DATA 2023'!BQ:BQ,'PML! weight (2)'!D22,'RAW DATA 2023'!Y:Y)</f>
        <v>18.353580000000001</v>
      </c>
      <c r="V22" s="412">
        <f>SUMIF('RAW DATA 2023'!BQ:BQ,'PML! weight (2)'!D22,'RAW DATA 2023'!BS:BS)</f>
        <v>1820.7260600000002</v>
      </c>
      <c r="W22" s="412">
        <f>SUMIF('RAW DATA 2023'!BQ:BQ,'PML! weight (2)'!D22,'RAW DATA 2023'!BL:BL)</f>
        <v>-4729.9813299999987</v>
      </c>
      <c r="X22" s="412">
        <f>SUMIF('RAW DATA 2023'!BQ:BQ,'PML! weight (2)'!D22,'RAW DATA 2023'!BR:BR)</f>
        <v>-3797.6703899999993</v>
      </c>
      <c r="AJ22" s="3" t="s">
        <v>1148</v>
      </c>
      <c r="AK22" s="129" t="str">
        <f t="shared" si="2"/>
        <v>K Suriyun.chu</v>
      </c>
    </row>
    <row r="23" spans="3:37">
      <c r="C23" s="136" t="s">
        <v>1123</v>
      </c>
      <c r="D23" s="137" t="str">
        <f t="shared" si="3"/>
        <v>Roiphet212</v>
      </c>
      <c r="E23" s="138">
        <f>IFERROR(SUMIF(ผลประหยัด!$E$10:$E$1297,'PML! weight (2)'!D23,ผลประหยัด!$K$10:$K$1297)/SUMIF(ผลประหยัด!$E$10:$E$1297,'PML! weight (2)'!D23,ผลประหยัด!$J$10:$J$1297),0)</f>
        <v>0</v>
      </c>
      <c r="F23" s="138">
        <f>IFERROR(SUMIF(SR!$E$10:$E$1297,'PML! weight (2)'!D23,SR!$L$10:$L$1297)/SUMIF(SR!$E$10:$E$1297,'PML! weight (2)'!D23,SR!$K$10:$K$1297),0)</f>
        <v>0</v>
      </c>
      <c r="G23" s="138">
        <f>IFERROR(SUMIF(ADG!$E$10:$E$1297,'PML! weight (2)'!D23,ADG!$L$10:$L$1297)/SUMIF(ADG!$E$10:$E$1297,'PML! weight (2)'!D23,ADG!$K$10:$K$1297),0)</f>
        <v>0</v>
      </c>
      <c r="H23" s="138">
        <f>IFERROR(SUMIF(FCR!$E$10:$E$1297,'PML! weight (2)'!D23,FCR!$M$10:$M$1297)/SUMIF(FCR!$E$10:$E$1297,'PML! weight (2)'!D23,FCR!$L$10:$L$1297),0)</f>
        <v>0</v>
      </c>
      <c r="I23" s="138">
        <f>IFERROR(SUMIF(YIELDN!$E$10:$E$1297,'PML! weight (2)'!D23,YIELDN!$P$10:$P$1297)/SUMIF(YIELDN!$E$10:$E$1297,'PML! weight (2)'!D23,YIELDN!$O$10:$O$1297),0)</f>
        <v>0</v>
      </c>
      <c r="J23" s="138">
        <f>IFERROR(SUMIF(SIZE!$E$10:$E$1297,'PML! weight (2)'!D23,SIZE!$K$10:$K$1297)/SUMIF(SIZE!$E$10:$E$1297,'PML! weight (2)'!D23,SIZE!$J$10:$J$1297),0)</f>
        <v>0</v>
      </c>
      <c r="K23" s="139">
        <f t="shared" si="0"/>
        <v>0</v>
      </c>
      <c r="M23" s="404" t="s">
        <v>1123</v>
      </c>
      <c r="N23" s="349">
        <f t="shared" si="4"/>
        <v>0</v>
      </c>
      <c r="O23" s="349">
        <f t="shared" si="5"/>
        <v>0</v>
      </c>
      <c r="P23" s="349">
        <f t="shared" si="5"/>
        <v>0</v>
      </c>
      <c r="Q23" s="349">
        <f t="shared" si="6"/>
        <v>0</v>
      </c>
      <c r="R23" s="349">
        <f t="shared" si="6"/>
        <v>0</v>
      </c>
      <c r="S23" s="349">
        <f t="shared" si="6"/>
        <v>0</v>
      </c>
      <c r="T23" s="414">
        <f t="shared" si="1"/>
        <v>0</v>
      </c>
      <c r="U23" s="412">
        <f>SUMIF('RAW DATA 2023'!BQ:BQ,'PML! weight (2)'!D23,'RAW DATA 2023'!Y:Y)</f>
        <v>0</v>
      </c>
      <c r="V23" s="412">
        <f>SUMIF('RAW DATA 2023'!BQ:BQ,'PML! weight (2)'!D23,'RAW DATA 2023'!BS:BS)</f>
        <v>0</v>
      </c>
      <c r="W23" s="412">
        <f>SUMIF('RAW DATA 2023'!BQ:BQ,'PML! weight (2)'!D23,'RAW DATA 2023'!BL:BL)</f>
        <v>0</v>
      </c>
      <c r="X23" s="412">
        <f>SUMIF('RAW DATA 2023'!BQ:BQ,'PML! weight (2)'!D23,'RAW DATA 2023'!BR:BR)</f>
        <v>0</v>
      </c>
      <c r="AJ23" s="3" t="s">
        <v>982</v>
      </c>
      <c r="AK23" s="129" t="str">
        <f t="shared" si="2"/>
        <v>K Thisakorn.tec</v>
      </c>
    </row>
    <row r="24" spans="3:37">
      <c r="C24" s="136" t="s">
        <v>1146</v>
      </c>
      <c r="D24" s="137" t="str">
        <f t="shared" si="3"/>
        <v>Lamlaung12</v>
      </c>
      <c r="E24" s="138">
        <f>IFERROR(SUMIF(ผลประหยัด!$E$10:$E$1297,'PML! weight (2)'!D24,ผลประหยัด!$K$10:$K$1297)/SUMIF(ผลประหยัด!$E$10:$E$1297,'PML! weight (2)'!D24,ผลประหยัด!$J$10:$J$1297),0)</f>
        <v>0</v>
      </c>
      <c r="F24" s="138">
        <f>IFERROR(SUMIF(SR!$E$10:$E$1297,'PML! weight (2)'!D24,SR!$L$10:$L$1297)/SUMIF(SR!$E$10:$E$1297,'PML! weight (2)'!D24,SR!$K$10:$K$1297),0)</f>
        <v>0</v>
      </c>
      <c r="G24" s="138">
        <f>IFERROR(SUMIF(ADG!$E$10:$E$1297,'PML! weight (2)'!D24,ADG!$L$10:$L$1297)/SUMIF(ADG!$E$10:$E$1297,'PML! weight (2)'!D24,ADG!$K$10:$K$1297),0)</f>
        <v>0</v>
      </c>
      <c r="H24" s="138">
        <f>IFERROR(SUMIF(FCR!$E$10:$E$1297,'PML! weight (2)'!D24,FCR!$M$10:$M$1297)/SUMIF(FCR!$E$10:$E$1297,'PML! weight (2)'!D24,FCR!$L$10:$L$1297),0)</f>
        <v>0</v>
      </c>
      <c r="I24" s="138">
        <f>IFERROR(SUMIF(YIELDN!$E$10:$E$1297,'PML! weight (2)'!D24,YIELDN!$P$10:$P$1297)/SUMIF(YIELDN!$E$10:$E$1297,'PML! weight (2)'!D24,YIELDN!$O$10:$O$1297),0)</f>
        <v>0</v>
      </c>
      <c r="J24" s="138">
        <f>IFERROR(SUMIF(SIZE!$E$10:$E$1297,'PML! weight (2)'!D24,SIZE!$K$10:$K$1297)/SUMIF(SIZE!$E$10:$E$1297,'PML! weight (2)'!D24,SIZE!$J$10:$J$1297),0)</f>
        <v>0</v>
      </c>
      <c r="K24" s="139">
        <f t="shared" si="0"/>
        <v>0</v>
      </c>
      <c r="M24" s="404" t="s">
        <v>1146</v>
      </c>
      <c r="N24" s="349">
        <f t="shared" si="4"/>
        <v>0</v>
      </c>
      <c r="O24" s="349">
        <f t="shared" si="5"/>
        <v>0</v>
      </c>
      <c r="P24" s="349">
        <f t="shared" si="5"/>
        <v>0</v>
      </c>
      <c r="Q24" s="349">
        <f t="shared" si="6"/>
        <v>0</v>
      </c>
      <c r="R24" s="349">
        <f t="shared" si="6"/>
        <v>0</v>
      </c>
      <c r="S24" s="349">
        <f t="shared" si="6"/>
        <v>0</v>
      </c>
      <c r="T24" s="414">
        <f t="shared" si="1"/>
        <v>0</v>
      </c>
      <c r="U24" s="412">
        <f>SUMIF('RAW DATA 2023'!BQ:BQ,'PML! weight (2)'!D24,'RAW DATA 2023'!Y:Y)</f>
        <v>0</v>
      </c>
      <c r="V24" s="412">
        <f>SUMIF('RAW DATA 2023'!BQ:BQ,'PML! weight (2)'!D24,'RAW DATA 2023'!BS:BS)</f>
        <v>0</v>
      </c>
      <c r="W24" s="412">
        <f>SUMIF('RAW DATA 2023'!BQ:BQ,'PML! weight (2)'!D24,'RAW DATA 2023'!BL:BL)</f>
        <v>0</v>
      </c>
      <c r="X24" s="412">
        <f>SUMIF('RAW DATA 2023'!BQ:BQ,'PML! weight (2)'!D24,'RAW DATA 2023'!BR:BR)</f>
        <v>0</v>
      </c>
      <c r="AJ24" s="3" t="s">
        <v>972</v>
      </c>
      <c r="AK24" s="129" t="str">
        <f t="shared" si="2"/>
        <v>K Worachet.tan</v>
      </c>
    </row>
    <row r="25" spans="3:37">
      <c r="C25" s="136" t="s">
        <v>1174</v>
      </c>
      <c r="D25" s="137" t="str">
        <f t="shared" si="3"/>
        <v>Roiphet112</v>
      </c>
      <c r="E25" s="138">
        <f>IFERROR(SUMIF(ผลประหยัด!$E$10:$E$1297,'PML! weight (2)'!D25,ผลประหยัด!$K$10:$K$1297)/SUMIF(ผลประหยัด!$E$10:$E$1297,'PML! weight (2)'!D25,ผลประหยัด!$J$10:$J$1297),0)</f>
        <v>-27.903666564965008</v>
      </c>
      <c r="F25" s="138">
        <f>IFERROR(SUMIF(SR!$E$10:$E$1297,'PML! weight (2)'!D25,SR!$L$10:$L$1297)/SUMIF(SR!$E$10:$E$1297,'PML! weight (2)'!D25,SR!$K$10:$K$1297),0)</f>
        <v>11.34347393013037</v>
      </c>
      <c r="G25" s="138">
        <f>IFERROR(SUMIF(ADG!$E$10:$E$1297,'PML! weight (2)'!D25,ADG!$L$10:$L$1297)/SUMIF(ADG!$E$10:$E$1297,'PML! weight (2)'!D25,ADG!$K$10:$K$1297),0)</f>
        <v>8.7304518690331516</v>
      </c>
      <c r="H25" s="138">
        <f>IFERROR(SUMIF(FCR!$E$10:$E$1297,'PML! weight (2)'!D25,FCR!$M$10:$M$1297)/SUMIF(FCR!$E$10:$E$1297,'PML! weight (2)'!D25,FCR!$L$10:$L$1297),0)</f>
        <v>3.847078954771574</v>
      </c>
      <c r="I25" s="138">
        <f>IFERROR(SUMIF(YIELDN!$E$10:$E$1297,'PML! weight (2)'!D25,YIELDN!$P$10:$P$1297)/SUMIF(YIELDN!$E$10:$E$1297,'PML! weight (2)'!D25,YIELDN!$O$10:$O$1297),0)</f>
        <v>1.9719120413266691</v>
      </c>
      <c r="J25" s="138">
        <f>IFERROR(SUMIF(SIZE!$E$10:$E$1297,'PML! weight (2)'!D25,SIZE!$K$10:$K$1297)/SUMIF(SIZE!$E$10:$E$1297,'PML! weight (2)'!D25,SIZE!$J$10:$J$1297),0)</f>
        <v>6.1165735497623794</v>
      </c>
      <c r="K25" s="139">
        <f t="shared" si="0"/>
        <v>4.1058237800591391</v>
      </c>
      <c r="M25" s="404" t="s">
        <v>1174</v>
      </c>
      <c r="N25" s="349">
        <f t="shared" si="4"/>
        <v>-27.903666564965008</v>
      </c>
      <c r="O25" s="349">
        <f t="shared" si="5"/>
        <v>11.34347393013037</v>
      </c>
      <c r="P25" s="349">
        <f t="shared" si="5"/>
        <v>8.7304518690331516</v>
      </c>
      <c r="Q25" s="349">
        <f t="shared" si="6"/>
        <v>3.847078954771574</v>
      </c>
      <c r="R25" s="349">
        <f t="shared" si="6"/>
        <v>1.9719120413266691</v>
      </c>
      <c r="S25" s="349">
        <f t="shared" si="6"/>
        <v>6.1165735497623794</v>
      </c>
      <c r="T25" s="414">
        <f t="shared" si="1"/>
        <v>4.1058237800591391</v>
      </c>
      <c r="U25" s="412">
        <f>SUMIF('RAW DATA 2023'!BQ:BQ,'PML! weight (2)'!D25,'RAW DATA 2023'!Y:Y)</f>
        <v>67.767859999999999</v>
      </c>
      <c r="V25" s="412">
        <f>SUMIF('RAW DATA 2023'!BQ:BQ,'PML! weight (2)'!D25,'RAW DATA 2023'!BS:BS)</f>
        <v>13743.757379999999</v>
      </c>
      <c r="W25" s="412">
        <f>SUMIF('RAW DATA 2023'!BQ:BQ,'PML! weight (2)'!D25,'RAW DATA 2023'!BL:BL)</f>
        <v>-7277.3555400000023</v>
      </c>
      <c r="X25" s="412">
        <f>SUMIF('RAW DATA 2023'!BQ:BQ,'PML! weight (2)'!D25,'RAW DATA 2023'!BR:BR)</f>
        <v>-9079.7541600000004</v>
      </c>
      <c r="AJ25" s="3" t="s">
        <v>1020</v>
      </c>
      <c r="AK25" s="129" t="str">
        <f t="shared" si="2"/>
        <v>K Suriyun.cha</v>
      </c>
    </row>
    <row r="26" spans="3:37">
      <c r="C26" s="136" t="s">
        <v>1574</v>
      </c>
      <c r="D26" s="137" t="str">
        <f t="shared" si="3"/>
        <v>PB512</v>
      </c>
      <c r="E26" s="138">
        <f>IFERROR(SUMIF(ผลประหยัด!$E$10:$E$1297,'PML! weight (2)'!D26,ผลประหยัด!$K$10:$K$1297)/SUMIF(ผลประหยัด!$E$10:$E$1297,'PML! weight (2)'!D26,ผลประหยัด!$J$10:$J$1297),0)</f>
        <v>0</v>
      </c>
      <c r="F26" s="138">
        <f>IFERROR(SUMIF(SR!$E$10:$E$1297,'PML! weight (2)'!D26,SR!$L$10:$L$1297)/SUMIF(SR!$E$10:$E$1297,'PML! weight (2)'!D26,SR!$K$10:$K$1297),0)</f>
        <v>0</v>
      </c>
      <c r="G26" s="138">
        <f>IFERROR(SUMIF(ADG!$E$10:$E$1297,'PML! weight (2)'!D26,ADG!$L$10:$L$1297)/SUMIF(ADG!$E$10:$E$1297,'PML! weight (2)'!D26,ADG!$K$10:$K$1297),0)</f>
        <v>0</v>
      </c>
      <c r="H26" s="138">
        <f>IFERROR(SUMIF(FCR!$E$10:$E$1297,'PML! weight (2)'!D26,FCR!$M$10:$M$1297)/SUMIF(FCR!$E$10:$E$1297,'PML! weight (2)'!D26,FCR!$L$10:$L$1297),0)</f>
        <v>0</v>
      </c>
      <c r="I26" s="138">
        <f>IFERROR(SUMIF(YIELDN!$E$10:$E$1297,'PML! weight (2)'!D26,YIELDN!$P$10:$P$1297)/SUMIF(YIELDN!$E$10:$E$1297,'PML! weight (2)'!D26,YIELDN!$O$10:$O$1297),0)</f>
        <v>0</v>
      </c>
      <c r="J26" s="138">
        <f>IFERROR(SUMIF(SIZE!$E$10:$E$1297,'PML! weight (2)'!D26,SIZE!$K$10:$K$1297)/SUMIF(SIZE!$E$10:$E$1297,'PML! weight (2)'!D26,SIZE!$J$10:$J$1297),0)</f>
        <v>0</v>
      </c>
      <c r="K26" s="139">
        <f t="shared" si="0"/>
        <v>0</v>
      </c>
      <c r="M26" s="404" t="s">
        <v>1574</v>
      </c>
      <c r="N26" s="349">
        <f t="shared" si="4"/>
        <v>0</v>
      </c>
      <c r="O26" s="349">
        <f t="shared" si="5"/>
        <v>0</v>
      </c>
      <c r="P26" s="349">
        <f t="shared" si="5"/>
        <v>0</v>
      </c>
      <c r="Q26" s="349">
        <f t="shared" si="6"/>
        <v>0</v>
      </c>
      <c r="R26" s="349">
        <f t="shared" si="6"/>
        <v>0</v>
      </c>
      <c r="S26" s="349">
        <f t="shared" si="6"/>
        <v>0</v>
      </c>
      <c r="T26" s="414">
        <f t="shared" si="1"/>
        <v>0</v>
      </c>
      <c r="U26" s="412">
        <f>SUMIF('RAW DATA 2023'!BQ:BQ,'PML! weight (2)'!D26,'RAW DATA 2023'!Y:Y)</f>
        <v>0</v>
      </c>
      <c r="V26" s="412">
        <f>SUMIF('RAW DATA 2023'!BQ:BQ,'PML! weight (2)'!D26,'RAW DATA 2023'!BS:BS)</f>
        <v>0</v>
      </c>
      <c r="W26" s="412">
        <f>SUMIF('RAW DATA 2023'!BQ:BQ,'PML! weight (2)'!D26,'RAW DATA 2023'!BL:BL)</f>
        <v>0</v>
      </c>
      <c r="X26" s="412">
        <f>SUMIF('RAW DATA 2023'!BQ:BQ,'PML! weight (2)'!D26,'RAW DATA 2023'!BR:BR)</f>
        <v>0</v>
      </c>
      <c r="AJ26" s="3" t="s">
        <v>1072</v>
      </c>
      <c r="AK26" s="129" t="str">
        <f t="shared" si="2"/>
        <v>K Chainarong.mua</v>
      </c>
    </row>
    <row r="27" spans="3:37">
      <c r="C27" s="136" t="s">
        <v>1600</v>
      </c>
      <c r="D27" s="137" t="str">
        <f t="shared" si="3"/>
        <v>Maeklong112</v>
      </c>
      <c r="E27" s="138">
        <f>IFERROR(SUMIF(ผลประหยัด!$E$10:$E$1297,'PML! weight (2)'!D27,ผลประหยัด!$K$10:$K$1297)/SUMIF(ผลประหยัด!$E$10:$E$1297,'PML! weight (2)'!D27,ผลประหยัด!$J$10:$J$1297),0)</f>
        <v>-4.5899736911918634</v>
      </c>
      <c r="F27" s="138">
        <f>IFERROR(SUMIF(SR!$E$10:$E$1297,'PML! weight (2)'!D27,SR!$L$10:$L$1297)/SUMIF(SR!$E$10:$E$1297,'PML! weight (2)'!D27,SR!$K$10:$K$1297),0)</f>
        <v>5.2068300274204695</v>
      </c>
      <c r="G27" s="138">
        <f>IFERROR(SUMIF(ADG!$E$10:$E$1297,'PML! weight (2)'!D27,ADG!$L$10:$L$1297)/SUMIF(ADG!$E$10:$E$1297,'PML! weight (2)'!D27,ADG!$K$10:$K$1297),0)</f>
        <v>7.5577108373006707</v>
      </c>
      <c r="H27" s="138">
        <f>IFERROR(SUMIF(FCR!$E$10:$E$1297,'PML! weight (2)'!D27,FCR!$M$10:$M$1297)/SUMIF(FCR!$E$10:$E$1297,'PML! weight (2)'!D27,FCR!$L$10:$L$1297),0)</f>
        <v>1.8807160844881632</v>
      </c>
      <c r="I27" s="138">
        <f>IFERROR(SUMIF(YIELDN!$E$10:$E$1297,'PML! weight (2)'!D27,YIELDN!$P$10:$P$1297)/SUMIF(YIELDN!$E$10:$E$1297,'PML! weight (2)'!D27,YIELDN!$O$10:$O$1297),0)</f>
        <v>1.1049544614917481</v>
      </c>
      <c r="J27" s="138">
        <f>IFERROR(SUMIF(SIZE!$E$10:$E$1297,'PML! weight (2)'!D27,SIZE!$K$10:$K$1297)/SUMIF(SIZE!$E$10:$E$1297,'PML! weight (2)'!D27,SIZE!$J$10:$J$1297),0)</f>
        <v>5.9567207572894718</v>
      </c>
      <c r="K27" s="139">
        <f t="shared" si="0"/>
        <v>17.116958476798658</v>
      </c>
      <c r="M27" s="404" t="s">
        <v>1600</v>
      </c>
      <c r="N27" s="349">
        <f t="shared" si="4"/>
        <v>-4.5899736911918634</v>
      </c>
      <c r="O27" s="349">
        <f t="shared" si="5"/>
        <v>5.2068300274204695</v>
      </c>
      <c r="P27" s="349">
        <f t="shared" si="5"/>
        <v>7.5577108373006707</v>
      </c>
      <c r="Q27" s="349">
        <f t="shared" si="6"/>
        <v>1.8807160844881632</v>
      </c>
      <c r="R27" s="349">
        <f t="shared" si="6"/>
        <v>1.1049544614917481</v>
      </c>
      <c r="S27" s="349">
        <f t="shared" si="6"/>
        <v>5.9567207572894718</v>
      </c>
      <c r="T27" s="414">
        <f t="shared" si="1"/>
        <v>17.116958476798658</v>
      </c>
      <c r="U27" s="412">
        <f>SUMIF('RAW DATA 2023'!BQ:BQ,'PML! weight (2)'!D27,'RAW DATA 2023'!Y:Y)</f>
        <v>77.100239999999999</v>
      </c>
      <c r="V27" s="412">
        <f>SUMIF('RAW DATA 2023'!BQ:BQ,'PML! weight (2)'!D27,'RAW DATA 2023'!BS:BS)</f>
        <v>14332.32813</v>
      </c>
      <c r="W27" s="412">
        <f>SUMIF('RAW DATA 2023'!BQ:BQ,'PML! weight (2)'!D27,'RAW DATA 2023'!BL:BL)</f>
        <v>-3499.8267100000035</v>
      </c>
      <c r="X27" s="412">
        <f>SUMIF('RAW DATA 2023'!BQ:BQ,'PML! weight (2)'!D27,'RAW DATA 2023'!BR:BR)</f>
        <v>-4189.8310200000014</v>
      </c>
      <c r="AJ27" s="3" t="s">
        <v>120</v>
      </c>
      <c r="AK27" s="129" t="str">
        <f t="shared" si="2"/>
        <v>K Samrerng.cha</v>
      </c>
    </row>
    <row r="28" spans="3:37">
      <c r="C28" s="136" t="s">
        <v>1660</v>
      </c>
      <c r="D28" s="137" t="str">
        <f t="shared" si="3"/>
        <v>Petchburi512</v>
      </c>
      <c r="E28" s="138">
        <f>IFERROR(SUMIF(ผลประหยัด!$E$10:$E$1297,'PML! weight (2)'!D28,ผลประหยัด!$K$10:$K$1297)/SUMIF(ผลประหยัด!$E$10:$E$1297,'PML! weight (2)'!D28,ผลประหยัด!$J$10:$J$1297),0)</f>
        <v>17.462038570355737</v>
      </c>
      <c r="F28" s="138">
        <f>IFERROR(SUMIF(SR!$E$10:$E$1297,'PML! weight (2)'!D28,SR!$L$10:$L$1297)/SUMIF(SR!$E$10:$E$1297,'PML! weight (2)'!D28,SR!$K$10:$K$1297),0)</f>
        <v>13.431277056802561</v>
      </c>
      <c r="G28" s="138">
        <f>IFERROR(SUMIF(ADG!$E$10:$E$1297,'PML! weight (2)'!D28,ADG!$L$10:$L$1297)/SUMIF(ADG!$E$10:$E$1297,'PML! weight (2)'!D28,ADG!$K$10:$K$1297),0)</f>
        <v>10.132522681467671</v>
      </c>
      <c r="H28" s="138">
        <f>IFERROR(SUMIF(FCR!$E$10:$E$1297,'PML! weight (2)'!D28,FCR!$M$10:$M$1297)/SUMIF(FCR!$E$10:$E$1297,'PML! weight (2)'!D28,FCR!$L$10:$L$1297),0)</f>
        <v>10.657856579205946</v>
      </c>
      <c r="I28" s="138">
        <f>IFERROR(SUMIF(YIELDN!$E$10:$E$1297,'PML! weight (2)'!D28,YIELDN!$P$10:$P$1297)/SUMIF(YIELDN!$E$10:$E$1297,'PML! weight (2)'!D28,YIELDN!$O$10:$O$1297),0)</f>
        <v>9.9500323152228312</v>
      </c>
      <c r="J28" s="138">
        <f>IFERROR(SUMIF(SIZE!$E$10:$E$1297,'PML! weight (2)'!D28,SIZE!$K$10:$K$1297)/SUMIF(SIZE!$E$10:$E$1297,'PML! weight (2)'!D28,SIZE!$J$10:$J$1297),0)</f>
        <v>7.4863415488282516</v>
      </c>
      <c r="K28" s="139">
        <f t="shared" si="0"/>
        <v>69.120068751882997</v>
      </c>
      <c r="M28" s="404" t="s">
        <v>1660</v>
      </c>
      <c r="N28" s="349">
        <f t="shared" si="4"/>
        <v>17.462038570355737</v>
      </c>
      <c r="O28" s="349">
        <f t="shared" si="5"/>
        <v>13.431277056802561</v>
      </c>
      <c r="P28" s="349">
        <f t="shared" si="5"/>
        <v>10.132522681467671</v>
      </c>
      <c r="Q28" s="349">
        <f t="shared" si="6"/>
        <v>10</v>
      </c>
      <c r="R28" s="349">
        <f t="shared" si="6"/>
        <v>9.9500323152228312</v>
      </c>
      <c r="S28" s="349">
        <f t="shared" si="6"/>
        <v>7.4863415488282516</v>
      </c>
      <c r="T28" s="414">
        <f t="shared" si="1"/>
        <v>68.462212172677056</v>
      </c>
      <c r="U28" s="412">
        <f>SUMIF('RAW DATA 2023'!BQ:BQ,'PML! weight (2)'!D28,'RAW DATA 2023'!Y:Y)</f>
        <v>86.009019999999992</v>
      </c>
      <c r="V28" s="412">
        <f>SUMIF('RAW DATA 2023'!BQ:BQ,'PML! weight (2)'!D28,'RAW DATA 2023'!BS:BS)</f>
        <v>17583.03413</v>
      </c>
      <c r="W28" s="412">
        <f>SUMIF('RAW DATA 2023'!BQ:BQ,'PML! weight (2)'!D28,'RAW DATA 2023'!BL:BL)</f>
        <v>2943.7535699999989</v>
      </c>
      <c r="X28" s="412">
        <f>SUMIF('RAW DATA 2023'!BQ:BQ,'PML! weight (2)'!D28,'RAW DATA 2023'!BR:BR)</f>
        <v>1228.7885600000004</v>
      </c>
      <c r="AJ28" s="3" t="s">
        <v>1001</v>
      </c>
      <c r="AK28" s="129" t="str">
        <f t="shared" si="2"/>
        <v>K Boonlue.tho</v>
      </c>
    </row>
    <row r="29" spans="3:37">
      <c r="C29" s="136" t="s">
        <v>1747</v>
      </c>
      <c r="D29" s="137" t="str">
        <f t="shared" si="3"/>
        <v>Bansang12</v>
      </c>
      <c r="E29" s="138">
        <f>IFERROR(SUMIF(ผลประหยัด!$E$10:$E$1297,'PML! weight (2)'!D29,ผลประหยัด!$K$10:$K$1297)/SUMIF(ผลประหยัด!$E$10:$E$1297,'PML! weight (2)'!D29,ผลประหยัด!$J$10:$J$1297),0)</f>
        <v>0</v>
      </c>
      <c r="F29" s="138">
        <f>IFERROR(SUMIF(SR!$E$10:$E$1297,'PML! weight (2)'!D29,SR!$L$10:$L$1297)/SUMIF(SR!$E$10:$E$1297,'PML! weight (2)'!D29,SR!$K$10:$K$1297),0)</f>
        <v>0</v>
      </c>
      <c r="G29" s="138">
        <f>IFERROR(SUMIF(ADG!$E$10:$E$1297,'PML! weight (2)'!D29,ADG!$L$10:$L$1297)/SUMIF(ADG!$E$10:$E$1297,'PML! weight (2)'!D29,ADG!$K$10:$K$1297),0)</f>
        <v>0</v>
      </c>
      <c r="H29" s="138">
        <f>IFERROR(SUMIF(FCR!$E$10:$E$1297,'PML! weight (2)'!D29,FCR!$M$10:$M$1297)/SUMIF(FCR!$E$10:$E$1297,'PML! weight (2)'!D29,FCR!$L$10:$L$1297),0)</f>
        <v>0</v>
      </c>
      <c r="I29" s="138">
        <f>IFERROR(SUMIF(YIELDN!$E$10:$E$1297,'PML! weight (2)'!D29,YIELDN!$P$10:$P$1297)/SUMIF(YIELDN!$E$10:$E$1297,'PML! weight (2)'!D29,YIELDN!$O$10:$O$1297),0)</f>
        <v>0</v>
      </c>
      <c r="J29" s="138">
        <f>IFERROR(SUMIF(SIZE!$E$10:$E$1297,'PML! weight (2)'!D29,SIZE!$K$10:$K$1297)/SUMIF(SIZE!$E$10:$E$1297,'PML! weight (2)'!D29,SIZE!$J$10:$J$1297),0)</f>
        <v>0</v>
      </c>
      <c r="K29" s="139">
        <f t="shared" si="0"/>
        <v>0</v>
      </c>
      <c r="M29" s="404" t="s">
        <v>1747</v>
      </c>
      <c r="N29" s="349">
        <f t="shared" si="4"/>
        <v>0</v>
      </c>
      <c r="O29" s="349">
        <f t="shared" si="5"/>
        <v>0</v>
      </c>
      <c r="P29" s="349">
        <f t="shared" si="5"/>
        <v>0</v>
      </c>
      <c r="Q29" s="349">
        <f t="shared" si="6"/>
        <v>0</v>
      </c>
      <c r="R29" s="349">
        <f t="shared" si="6"/>
        <v>0</v>
      </c>
      <c r="S29" s="349">
        <f t="shared" si="6"/>
        <v>0</v>
      </c>
      <c r="T29" s="414">
        <f t="shared" si="1"/>
        <v>0</v>
      </c>
      <c r="U29" s="412">
        <f>SUMIF('RAW DATA 2023'!BQ:BQ,'PML! weight (2)'!D29,'RAW DATA 2023'!Y:Y)</f>
        <v>0</v>
      </c>
      <c r="V29" s="412">
        <f>SUMIF('RAW DATA 2023'!BQ:BQ,'PML! weight (2)'!D29,'RAW DATA 2023'!BS:BS)</f>
        <v>0</v>
      </c>
      <c r="W29" s="412">
        <f>SUMIF('RAW DATA 2023'!BQ:BQ,'PML! weight (2)'!D29,'RAW DATA 2023'!BL:BL)</f>
        <v>0</v>
      </c>
      <c r="X29" s="412">
        <f>SUMIF('RAW DATA 2023'!BQ:BQ,'PML! weight (2)'!D29,'RAW DATA 2023'!BR:BR)</f>
        <v>0</v>
      </c>
      <c r="AJ29" s="3" t="s">
        <v>1025</v>
      </c>
      <c r="AK29" s="129" t="str">
        <f t="shared" si="2"/>
        <v>K Suchat.yia</v>
      </c>
    </row>
    <row r="30" spans="3:37">
      <c r="C30" s="136" t="s">
        <v>1771</v>
      </c>
      <c r="D30" s="137" t="str">
        <f t="shared" si="3"/>
        <v>Choknavy12</v>
      </c>
      <c r="E30" s="138">
        <f>IFERROR(SUMIF(ผลประหยัด!$E$10:$E$1297,'PML! weight (2)'!D30,ผลประหยัด!$K$10:$K$1297)/SUMIF(ผลประหยัด!$E$10:$E$1297,'PML! weight (2)'!D30,ผลประหยัด!$J$10:$J$1297),0)</f>
        <v>0</v>
      </c>
      <c r="F30" s="138">
        <f>IFERROR(SUMIF(SR!$E$10:$E$1297,'PML! weight (2)'!D30,SR!$L$10:$L$1297)/SUMIF(SR!$E$10:$E$1297,'PML! weight (2)'!D30,SR!$K$10:$K$1297),0)</f>
        <v>0</v>
      </c>
      <c r="G30" s="138">
        <f>IFERROR(SUMIF(ADG!$E$10:$E$1297,'PML! weight (2)'!D30,ADG!$L$10:$L$1297)/SUMIF(ADG!$E$10:$E$1297,'PML! weight (2)'!D30,ADG!$K$10:$K$1297),0)</f>
        <v>0</v>
      </c>
      <c r="H30" s="138">
        <f>IFERROR(SUMIF(FCR!$E$10:$E$1297,'PML! weight (2)'!D30,FCR!$M$10:$M$1297)/SUMIF(FCR!$E$10:$E$1297,'PML! weight (2)'!D30,FCR!$L$10:$L$1297),0)</f>
        <v>0</v>
      </c>
      <c r="I30" s="138">
        <f>IFERROR(SUMIF(YIELDN!$E$10:$E$1297,'PML! weight (2)'!D30,YIELDN!$P$10:$P$1297)/SUMIF(YIELDN!$E$10:$E$1297,'PML! weight (2)'!D30,YIELDN!$O$10:$O$1297),0)</f>
        <v>0</v>
      </c>
      <c r="J30" s="138">
        <f>IFERROR(SUMIF(SIZE!$E$10:$E$1297,'PML! weight (2)'!D30,SIZE!$K$10:$K$1297)/SUMIF(SIZE!$E$10:$E$1297,'PML! weight (2)'!D30,SIZE!$J$10:$J$1297),0)</f>
        <v>0</v>
      </c>
      <c r="K30" s="139">
        <f t="shared" si="0"/>
        <v>0</v>
      </c>
      <c r="M30" s="404" t="s">
        <v>1771</v>
      </c>
      <c r="N30" s="349">
        <f t="shared" si="4"/>
        <v>0</v>
      </c>
      <c r="O30" s="349">
        <f t="shared" si="5"/>
        <v>0</v>
      </c>
      <c r="P30" s="349">
        <f t="shared" si="5"/>
        <v>0</v>
      </c>
      <c r="Q30" s="349">
        <f t="shared" si="6"/>
        <v>0</v>
      </c>
      <c r="R30" s="349">
        <f t="shared" si="6"/>
        <v>0</v>
      </c>
      <c r="S30" s="349">
        <f t="shared" si="6"/>
        <v>0</v>
      </c>
      <c r="T30" s="414">
        <f t="shared" si="1"/>
        <v>0</v>
      </c>
      <c r="U30" s="412">
        <f>SUMIF('RAW DATA 2023'!BQ:BQ,'PML! weight (2)'!D30,'RAW DATA 2023'!Y:Y)</f>
        <v>0</v>
      </c>
      <c r="V30" s="412">
        <f>SUMIF('RAW DATA 2023'!BQ:BQ,'PML! weight (2)'!D30,'RAW DATA 2023'!BS:BS)</f>
        <v>0</v>
      </c>
      <c r="W30" s="412">
        <f>SUMIF('RAW DATA 2023'!BQ:BQ,'PML! weight (2)'!D30,'RAW DATA 2023'!BL:BL)</f>
        <v>0</v>
      </c>
      <c r="X30" s="412">
        <f>SUMIF('RAW DATA 2023'!BQ:BQ,'PML! weight (2)'!D30,'RAW DATA 2023'!BR:BR)</f>
        <v>0</v>
      </c>
      <c r="AJ30" s="3" t="s">
        <v>611</v>
      </c>
      <c r="AK30" s="129" t="str">
        <f t="shared" si="2"/>
        <v>K Thongchai.mue</v>
      </c>
    </row>
    <row r="31" spans="3:37">
      <c r="AJ31" s="3" t="s">
        <v>534</v>
      </c>
      <c r="AK31" s="129" t="str">
        <f t="shared" si="2"/>
        <v>K Teerawut.dec</v>
      </c>
    </row>
    <row r="32" spans="3:37">
      <c r="AJ32" s="3" t="s">
        <v>1879</v>
      </c>
      <c r="AK32" s="129" t="str">
        <f t="shared" si="2"/>
        <v>K Teerakawarin.kia</v>
      </c>
    </row>
    <row r="33" spans="36:37">
      <c r="AJ33" s="3" t="s">
        <v>512</v>
      </c>
      <c r="AK33" s="129" t="str">
        <f t="shared" si="2"/>
        <v>K Supunya.won</v>
      </c>
    </row>
    <row r="34" spans="36:37">
      <c r="AJ34" s="3" t="s">
        <v>2657</v>
      </c>
      <c r="AK34" s="129" t="str">
        <f t="shared" si="2"/>
        <v>K Bundit.pai</v>
      </c>
    </row>
    <row r="35" spans="36:37">
      <c r="AJ35" s="3" t="s">
        <v>449</v>
      </c>
      <c r="AK35" s="129" t="str">
        <f t="shared" si="2"/>
        <v>K Boonchauy.pon</v>
      </c>
    </row>
    <row r="36" spans="36:37">
      <c r="AJ36" s="3" t="s">
        <v>417</v>
      </c>
      <c r="AK36" s="129" t="str">
        <f t="shared" si="2"/>
        <v>K Bancha.pat</v>
      </c>
    </row>
    <row r="37" spans="36:37">
      <c r="AJ37" s="3" t="s">
        <v>410</v>
      </c>
      <c r="AK37" s="129" t="str">
        <f t="shared" si="2"/>
        <v>K Phitakchon.jam</v>
      </c>
    </row>
    <row r="38" spans="36:37">
      <c r="AJ38" s="3" t="s">
        <v>484</v>
      </c>
      <c r="AK38" s="129" t="str">
        <f t="shared" si="2"/>
        <v>K Kosin.cho</v>
      </c>
    </row>
    <row r="39" spans="36:37">
      <c r="AJ39" s="3" t="s">
        <v>476</v>
      </c>
      <c r="AK39" s="129" t="str">
        <f t="shared" si="2"/>
        <v>K Somrat.cha</v>
      </c>
    </row>
    <row r="40" spans="36:37">
      <c r="AJ40" s="3" t="s">
        <v>168</v>
      </c>
      <c r="AK40" s="129" t="str">
        <f t="shared" si="2"/>
        <v>K Teerawut.udk</v>
      </c>
    </row>
    <row r="41" spans="36:37">
      <c r="AJ41" s="3" t="s">
        <v>590</v>
      </c>
      <c r="AK41" s="129" t="str">
        <f t="shared" si="2"/>
        <v>K Anuwats.aqu</v>
      </c>
    </row>
    <row r="42" spans="36:37">
      <c r="AJ42" s="3" t="s">
        <v>569</v>
      </c>
      <c r="AK42" s="129" t="str">
        <f t="shared" si="2"/>
        <v>K Ataphon.saw</v>
      </c>
    </row>
    <row r="43" spans="36:37">
      <c r="AJ43" s="3" t="s">
        <v>376</v>
      </c>
      <c r="AK43" s="129" t="str">
        <f t="shared" si="2"/>
        <v>K Anek.pro</v>
      </c>
    </row>
    <row r="44" spans="36:37">
      <c r="AJ44" s="3" t="s">
        <v>354</v>
      </c>
      <c r="AK44" s="129" t="str">
        <f t="shared" si="2"/>
        <v>K Manit.ler</v>
      </c>
    </row>
    <row r="45" spans="36:37">
      <c r="AJ45" s="3" t="s">
        <v>319</v>
      </c>
      <c r="AK45" s="129" t="str">
        <f t="shared" si="2"/>
        <v>K Kodchakarn.jam</v>
      </c>
    </row>
    <row r="46" spans="36:37">
      <c r="AJ46" s="3" t="s">
        <v>310</v>
      </c>
      <c r="AK46" s="129" t="str">
        <f t="shared" si="2"/>
        <v>K Teerapong.pua</v>
      </c>
    </row>
    <row r="47" spans="36:37">
      <c r="AJ47" s="3" t="s">
        <v>301</v>
      </c>
      <c r="AK47" s="129" t="str">
        <f t="shared" si="2"/>
        <v>K Methanart.kul</v>
      </c>
    </row>
    <row r="48" spans="36:37">
      <c r="AJ48" s="3" t="s">
        <v>298</v>
      </c>
      <c r="AK48" s="129" t="str">
        <f t="shared" si="2"/>
        <v>K Jirapong.mas</v>
      </c>
    </row>
    <row r="50" spans="36:36">
      <c r="AJ50" s="3" t="s">
        <v>285</v>
      </c>
    </row>
    <row r="51" spans="36:36">
      <c r="AJ51" s="3" t="s">
        <v>211</v>
      </c>
    </row>
    <row r="52" spans="36:36">
      <c r="AJ52" s="3" t="s">
        <v>226</v>
      </c>
    </row>
    <row r="53" spans="36:36">
      <c r="AJ53" s="3" t="s">
        <v>163</v>
      </c>
    </row>
    <row r="54" spans="36:36">
      <c r="AJ54" s="3" t="s">
        <v>140</v>
      </c>
    </row>
    <row r="55" spans="36:36">
      <c r="AJ55" s="3" t="s">
        <v>250</v>
      </c>
    </row>
    <row r="56" spans="36:36">
      <c r="AJ56" s="3" t="s">
        <v>542</v>
      </c>
    </row>
    <row r="57" spans="36:36">
      <c r="AJ57" s="3" t="s">
        <v>895</v>
      </c>
    </row>
    <row r="58" spans="36:36">
      <c r="AJ58" s="3" t="s">
        <v>863</v>
      </c>
    </row>
    <row r="59" spans="36:36">
      <c r="AJ59" s="3" t="s">
        <v>868</v>
      </c>
    </row>
    <row r="60" spans="36:36">
      <c r="AJ60" s="3" t="s">
        <v>837</v>
      </c>
    </row>
    <row r="61" spans="36:36">
      <c r="AJ61" s="3" t="s">
        <v>840</v>
      </c>
    </row>
    <row r="62" spans="36:36">
      <c r="AJ62" s="3" t="s">
        <v>949</v>
      </c>
    </row>
    <row r="63" spans="36:36">
      <c r="AJ63" s="3" t="s">
        <v>926</v>
      </c>
    </row>
    <row r="64" spans="36:36">
      <c r="AJ64" s="3" t="s">
        <v>726</v>
      </c>
    </row>
    <row r="65" spans="36:36">
      <c r="AJ65" s="3" t="s">
        <v>829</v>
      </c>
    </row>
    <row r="66" spans="36:36">
      <c r="AJ66" s="3" t="s">
        <v>798</v>
      </c>
    </row>
    <row r="67" spans="36:36">
      <c r="AJ67" s="3" t="s">
        <v>772</v>
      </c>
    </row>
    <row r="68" spans="36:36">
      <c r="AJ68" s="3" t="s">
        <v>762</v>
      </c>
    </row>
    <row r="69" spans="36:36">
      <c r="AJ69" s="3" t="s">
        <v>701</v>
      </c>
    </row>
    <row r="70" spans="36:36">
      <c r="AJ70" s="3" t="s">
        <v>653</v>
      </c>
    </row>
    <row r="71" spans="36:36">
      <c r="AJ71" s="3" t="s">
        <v>684</v>
      </c>
    </row>
    <row r="72" spans="36:36">
      <c r="AJ72" s="3" t="s">
        <v>669</v>
      </c>
    </row>
    <row r="73" spans="36:36">
      <c r="AJ73" s="3" t="s">
        <v>634</v>
      </c>
    </row>
  </sheetData>
  <autoFilter ref="M2:T30" xr:uid="{F5E5A753-2BB0-4C4D-830A-377422470796}"/>
  <conditionalFormatting sqref="T1:T1048576">
    <cfRule type="dataBar" priority="1">
      <dataBar>
        <cfvo type="min"/>
        <cfvo type="max"/>
        <color rgb="FF63C384"/>
      </dataBar>
      <extLst>
        <ext xmlns:x14="http://schemas.microsoft.com/office/spreadsheetml/2009/9/main" uri="{B025F937-C7B1-47D3-B67F-A62EFF666E3E}">
          <x14:id>{270B19E4-D8D8-5146-B72A-E879B6A1BC04}</x14:id>
        </ext>
      </extLst>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dataBar" id="{270B19E4-D8D8-5146-B72A-E879B6A1BC04}">
            <x14:dataBar minLength="0" maxLength="100" border="1" negativeBarBorderColorSameAsPositive="0">
              <x14:cfvo type="autoMin"/>
              <x14:cfvo type="autoMax"/>
              <x14:borderColor rgb="FF63C384"/>
              <x14:negativeFillColor rgb="FFFF0000"/>
              <x14:negativeBorderColor rgb="FFFF0000"/>
              <x14:axisColor rgb="FF000000"/>
            </x14:dataBar>
          </x14:cfRule>
          <xm:sqref>T1:T1048576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6CF4A-C126-5B45-9D81-0AE3AAEA6789}">
  <sheetPr>
    <tabColor rgb="FF92D050"/>
  </sheetPr>
  <dimension ref="A1:AA30"/>
  <sheetViews>
    <sheetView tabSelected="1" zoomScale="99" workbookViewId="0">
      <selection activeCell="E3" sqref="E3"/>
    </sheetView>
  </sheetViews>
  <sheetFormatPr baseColWidth="10" defaultRowHeight="20"/>
  <cols>
    <col min="1" max="1" width="23.6640625" style="129" customWidth="1"/>
    <col min="2" max="2" width="10.1640625" style="129" customWidth="1"/>
    <col min="3" max="3" width="14.6640625" style="129" customWidth="1"/>
    <col min="4" max="4" width="17.5" style="129" customWidth="1"/>
    <col min="5" max="10" width="10.83203125" style="132" customWidth="1"/>
    <col min="11" max="11" width="10.83203125" style="133" customWidth="1"/>
    <col min="12" max="12" width="10.83203125" style="129"/>
    <col min="13" max="13" width="15.33203125" style="129" customWidth="1"/>
    <col min="14" max="19" width="11" style="415" bestFit="1" customWidth="1"/>
    <col min="20" max="20" width="11" style="410" bestFit="1" customWidth="1"/>
    <col min="21" max="21" width="11.1640625" style="413" bestFit="1" customWidth="1"/>
    <col min="22" max="22" width="12.6640625" style="413" bestFit="1" customWidth="1"/>
    <col min="23" max="24" width="13.1640625" style="413" bestFit="1" customWidth="1"/>
    <col min="25" max="16384" width="10.83203125" style="129"/>
  </cols>
  <sheetData>
    <row r="1" spans="1:27" ht="20" customHeight="1">
      <c r="A1" s="128">
        <v>12</v>
      </c>
      <c r="C1" s="134" t="s">
        <v>1832</v>
      </c>
      <c r="D1" s="134"/>
      <c r="E1" s="135">
        <v>60</v>
      </c>
      <c r="F1" s="135">
        <v>10</v>
      </c>
      <c r="G1" s="135">
        <v>10</v>
      </c>
      <c r="H1" s="135">
        <v>10</v>
      </c>
      <c r="I1" s="135">
        <v>5</v>
      </c>
      <c r="J1" s="135">
        <v>5</v>
      </c>
      <c r="K1" s="134">
        <v>100</v>
      </c>
      <c r="L1" s="131"/>
      <c r="M1" s="401" t="s">
        <v>1832</v>
      </c>
      <c r="N1" s="402">
        <v>40</v>
      </c>
      <c r="O1" s="402">
        <v>15</v>
      </c>
      <c r="P1" s="402">
        <v>15</v>
      </c>
      <c r="Q1" s="402">
        <v>10</v>
      </c>
      <c r="R1" s="402">
        <v>10</v>
      </c>
      <c r="S1" s="402">
        <v>10</v>
      </c>
      <c r="T1" s="401">
        <v>100</v>
      </c>
      <c r="U1" s="417" t="s">
        <v>23</v>
      </c>
      <c r="V1" s="416" t="s">
        <v>2820</v>
      </c>
      <c r="W1" s="416" t="s">
        <v>2821</v>
      </c>
      <c r="X1" s="416" t="s">
        <v>2822</v>
      </c>
    </row>
    <row r="2" spans="1:27">
      <c r="A2" s="130" t="s">
        <v>1924</v>
      </c>
      <c r="C2" s="134" t="s">
        <v>1</v>
      </c>
      <c r="D2" s="134"/>
      <c r="E2" s="135" t="s">
        <v>1836</v>
      </c>
      <c r="F2" s="135" t="s">
        <v>1916</v>
      </c>
      <c r="G2" s="135" t="s">
        <v>1851</v>
      </c>
      <c r="H2" s="135" t="s">
        <v>29</v>
      </c>
      <c r="I2" s="135" t="s">
        <v>1917</v>
      </c>
      <c r="J2" s="135" t="s">
        <v>1907</v>
      </c>
      <c r="K2" s="134" t="s">
        <v>1843</v>
      </c>
      <c r="L2" s="131"/>
      <c r="M2" s="401" t="s">
        <v>1</v>
      </c>
      <c r="N2" s="402" t="s">
        <v>1836</v>
      </c>
      <c r="O2" s="402" t="s">
        <v>1916</v>
      </c>
      <c r="P2" s="402" t="s">
        <v>1851</v>
      </c>
      <c r="Q2" s="402" t="s">
        <v>29</v>
      </c>
      <c r="R2" s="402" t="s">
        <v>1917</v>
      </c>
      <c r="S2" s="402" t="s">
        <v>1907</v>
      </c>
      <c r="T2" s="401" t="s">
        <v>1843</v>
      </c>
      <c r="U2" s="417"/>
      <c r="V2" s="416"/>
      <c r="W2" s="416"/>
      <c r="X2" s="416"/>
    </row>
    <row r="3" spans="1:27">
      <c r="C3" s="136" t="s">
        <v>138</v>
      </c>
      <c r="D3" s="137" t="str">
        <f>C3&amp;$A$1</f>
        <v>Chantaburi312</v>
      </c>
      <c r="E3" s="138">
        <f>IFERROR(SUMIF(ผลประหยัด!$E$10:$E$1297,'PML! weight'!D3,ผลประหยัด!$K$10:$K$1297)/SUMIF(ผลประหยัด!$E$10:$E$1297,'PML! weight'!D3,ผลประหยัด!$J$10:$J$1297),0)</f>
        <v>0</v>
      </c>
      <c r="F3" s="138">
        <f>IFERROR(SUMIF(SR!$E$10:$E$1297,'PML! weight'!D3,SR!$L$10:$L$1297)/SUMIF(SR!$E$10:$E$1297,'PML! weight'!D3,SR!$K$10:$K$1297),0)</f>
        <v>0</v>
      </c>
      <c r="G3" s="138">
        <f>IFERROR(SUMIF(ADG!$E$10:$E$1297,'PML! weight'!D3,ADG!$L$10:$L$1297)/SUMIF(ADG!$E$10:$E$1297,'PML! weight'!D3,ADG!$K$10:$K$1297),0)</f>
        <v>0</v>
      </c>
      <c r="H3" s="138">
        <f>IFERROR(SUMIF(FCR!$E$10:$E$1297,'PML! weight'!D3,FCR!$M$10:$M$1297)/SUMIF(FCR!$E$10:$E$1297,'PML! weight'!D3,FCR!$L$10:$L$1297),0)</f>
        <v>0</v>
      </c>
      <c r="I3" s="138">
        <f>IFERROR(SUMIF(YIELDN!$E$10:$E$1297,'PML! weight'!D3,YIELDN!$P$10:$P$1297)/SUMIF(YIELDN!$E$10:$E$1297,'PML! weight'!D3,YIELDN!$O$10:$O$1297),0)</f>
        <v>0</v>
      </c>
      <c r="J3" s="138">
        <f>IFERROR(SUMIF(SIZE!$E$10:$E$1297,'PML! weight'!D3,SIZE!$K$10:$K$1297)/SUMIF(SIZE!$E$10:$E$1297,'PML! weight'!D3,SIZE!$J$10:$J$1297),0)</f>
        <v>0</v>
      </c>
      <c r="K3" s="139">
        <f t="shared" ref="K3:K30" si="0">SUM(E3:J3)</f>
        <v>0</v>
      </c>
      <c r="M3" s="404" t="s">
        <v>138</v>
      </c>
      <c r="N3" s="349">
        <f>IF(E3&gt;=40,40,IF(E3&lt;=-40,-40,E3))</f>
        <v>0</v>
      </c>
      <c r="O3" s="349">
        <f>IF(F3&gt;=15,15,IF(F3&lt;=0,0,F3))</f>
        <v>0</v>
      </c>
      <c r="P3" s="349">
        <f>IF(G3&gt;=15,15,IF(G3&lt;=0,0,G3))</f>
        <v>0</v>
      </c>
      <c r="Q3" s="349">
        <f>IF(H3&gt;=10,10,IF(H3&lt;=0,0,H3))</f>
        <v>0</v>
      </c>
      <c r="R3" s="349">
        <f>IF(I3&gt;=10,10,IF(I3&lt;=0,0,I3))</f>
        <v>0</v>
      </c>
      <c r="S3" s="349">
        <f>IF(J3&gt;=10,10,IF(J3&lt;=0,0,J3))</f>
        <v>0</v>
      </c>
      <c r="T3" s="414">
        <f t="shared" ref="T3:T30" si="1">SUM(N3:S3)</f>
        <v>0</v>
      </c>
      <c r="U3" s="412">
        <f>SUMIF('RAW DATA 2023'!BQ:BQ,'PML! weight'!D3,'RAW DATA 2023'!Y:Y)</f>
        <v>0</v>
      </c>
      <c r="V3" s="412">
        <f>SUMIF('RAW DATA 2023'!BQ:BQ,'PML! weight'!D3,'RAW DATA 2023'!BS:BS)</f>
        <v>0</v>
      </c>
      <c r="W3" s="412">
        <f>SUMIF('RAW DATA 2023'!BQ:BQ,'PML! weight'!D3,'RAW DATA 2023'!BL:BL)</f>
        <v>0</v>
      </c>
      <c r="X3" s="412">
        <f>SUMIF('RAW DATA 2023'!BQ:BQ,'PML! weight'!D3,'RAW DATA 2023'!BR:BR)</f>
        <v>0</v>
      </c>
      <c r="AA3" s="129" t="s">
        <v>2824</v>
      </c>
    </row>
    <row r="4" spans="1:27">
      <c r="C4" s="136" t="s">
        <v>209</v>
      </c>
      <c r="D4" s="137" t="str">
        <f t="shared" ref="D3:D30" si="2">C4&amp;$A$1</f>
        <v>Tamai212</v>
      </c>
      <c r="E4" s="138">
        <f>IFERROR(SUMIF(ผลประหยัด!$E$10:$E$1297,'PML! weight'!D4,ผลประหยัด!$K$10:$K$1297)/SUMIF(ผลประหยัด!$E$10:$E$1297,'PML! weight'!D4,ผลประหยัด!$J$10:$J$1297),0)</f>
        <v>-130.93352626330332</v>
      </c>
      <c r="F4" s="138">
        <f>IFERROR(SUMIF(SR!$E$10:$E$1297,'PML! weight'!D4,SR!$L$10:$L$1297)/SUMIF(SR!$E$10:$E$1297,'PML! weight'!D4,SR!$K$10:$K$1297),0)</f>
        <v>15.046655172413796</v>
      </c>
      <c r="G4" s="138">
        <f>IFERROR(SUMIF(ADG!$E$10:$E$1297,'PML! weight'!D4,ADG!$L$10:$L$1297)/SUMIF(ADG!$E$10:$E$1297,'PML! weight'!D4,ADG!$K$10:$K$1297),0)</f>
        <v>4.3689263333333344</v>
      </c>
      <c r="H4" s="138">
        <f>IFERROR(SUMIF(FCR!$E$10:$E$1297,'PML! weight'!D4,FCR!$M$10:$M$1297)/SUMIF(FCR!$E$10:$E$1297,'PML! weight'!D4,FCR!$L$10:$L$1297),0)</f>
        <v>5.5436426070763485</v>
      </c>
      <c r="I4" s="138">
        <f>IFERROR(SUMIF(YIELDN!$E$10:$E$1297,'PML! weight'!D4,YIELDN!$P$10:$P$1297)/SUMIF(YIELDN!$E$10:$E$1297,'PML! weight'!D4,YIELDN!$O$10:$O$1297),0)</f>
        <v>1.7521739130434788</v>
      </c>
      <c r="J4" s="138">
        <f>IFERROR(SUMIF(SIZE!$E$10:$E$1297,'PML! weight'!D4,SIZE!$K$10:$K$1297)/SUMIF(SIZE!$E$10:$E$1297,'PML! weight'!D4,SIZE!$J$10:$J$1297),0)</f>
        <v>3.416948537451205</v>
      </c>
      <c r="K4" s="139">
        <f t="shared" si="0"/>
        <v>-100.80517969998516</v>
      </c>
      <c r="M4" s="404" t="s">
        <v>209</v>
      </c>
      <c r="N4" s="349">
        <f t="shared" ref="N4:N30" si="3">IF(E4&gt;=40,40,IF(E4&lt;=-40,-40,E4))</f>
        <v>-40</v>
      </c>
      <c r="O4" s="349">
        <f t="shared" ref="O4:P30" si="4">IF(F4&gt;=15,15,IF(F4&lt;=0,0,F4))</f>
        <v>15</v>
      </c>
      <c r="P4" s="349">
        <f t="shared" si="4"/>
        <v>4.3689263333333344</v>
      </c>
      <c r="Q4" s="349">
        <f t="shared" ref="Q4:S30" si="5">IF(H4&gt;=10,10,IF(H4&lt;=0,0,H4))</f>
        <v>5.5436426070763485</v>
      </c>
      <c r="R4" s="349">
        <f t="shared" si="5"/>
        <v>1.7521739130434788</v>
      </c>
      <c r="S4" s="349">
        <f t="shared" si="5"/>
        <v>3.416948537451205</v>
      </c>
      <c r="T4" s="414">
        <f t="shared" si="1"/>
        <v>-9.9183086090956341</v>
      </c>
      <c r="U4" s="412">
        <f>SUMIF('RAW DATA 2023'!BQ:BQ,'PML! weight'!D4,'RAW DATA 2023'!Y:Y)</f>
        <v>15.045309999999999</v>
      </c>
      <c r="V4" s="412">
        <f>SUMIF('RAW DATA 2023'!BQ:BQ,'PML! weight'!D4,'RAW DATA 2023'!BS:BS)</f>
        <v>2560.8559299999997</v>
      </c>
      <c r="W4" s="412">
        <f>SUMIF('RAW DATA 2023'!BQ:BQ,'PML! weight'!D4,'RAW DATA 2023'!BL:BL)</f>
        <v>-6525.2413299999998</v>
      </c>
      <c r="X4" s="412">
        <f>SUMIF('RAW DATA 2023'!BQ:BQ,'PML! weight'!D4,'RAW DATA 2023'!BR:BR)</f>
        <v>-6633.71173</v>
      </c>
    </row>
    <row r="5" spans="1:27">
      <c r="C5" s="136" t="s">
        <v>248</v>
      </c>
      <c r="D5" s="137" t="str">
        <f t="shared" si="2"/>
        <v>Lucky312</v>
      </c>
      <c r="E5" s="138">
        <f>IFERROR(SUMIF(ผลประหยัด!$E$10:$E$1297,'PML! weight'!D5,ผลประหยัด!$K$10:$K$1297)/SUMIF(ผลประหยัด!$E$10:$E$1297,'PML! weight'!D5,ผลประหยัด!$J$10:$J$1297),0)</f>
        <v>0</v>
      </c>
      <c r="F5" s="138">
        <f>IFERROR(SUMIF(SR!$E$10:$E$1297,'PML! weight'!D5,SR!$L$10:$L$1297)/SUMIF(SR!$E$10:$E$1297,'PML! weight'!D5,SR!$K$10:$K$1297),0)</f>
        <v>0</v>
      </c>
      <c r="G5" s="138">
        <f>IFERROR(SUMIF(ADG!$E$10:$E$1297,'PML! weight'!D5,ADG!$L$10:$L$1297)/SUMIF(ADG!$E$10:$E$1297,'PML! weight'!D5,ADG!$K$10:$K$1297),0)</f>
        <v>0</v>
      </c>
      <c r="H5" s="138">
        <f>IFERROR(SUMIF(FCR!$E$10:$E$1297,'PML! weight'!D5,FCR!$M$10:$M$1297)/SUMIF(FCR!$E$10:$E$1297,'PML! weight'!D5,FCR!$L$10:$L$1297),0)</f>
        <v>0</v>
      </c>
      <c r="I5" s="138">
        <f>IFERROR(SUMIF(YIELDN!$E$10:$E$1297,'PML! weight'!D5,YIELDN!$P$10:$P$1297)/SUMIF(YIELDN!$E$10:$E$1297,'PML! weight'!D5,YIELDN!$O$10:$O$1297),0)</f>
        <v>0</v>
      </c>
      <c r="J5" s="138">
        <f>IFERROR(SUMIF(SIZE!$E$10:$E$1297,'PML! weight'!D5,SIZE!$K$10:$K$1297)/SUMIF(SIZE!$E$10:$E$1297,'PML! weight'!D5,SIZE!$J$10:$J$1297),0)</f>
        <v>0</v>
      </c>
      <c r="K5" s="139">
        <f t="shared" si="0"/>
        <v>0</v>
      </c>
      <c r="M5" s="404" t="s">
        <v>248</v>
      </c>
      <c r="N5" s="349">
        <f t="shared" si="3"/>
        <v>0</v>
      </c>
      <c r="O5" s="349">
        <f t="shared" si="4"/>
        <v>0</v>
      </c>
      <c r="P5" s="349">
        <f t="shared" si="4"/>
        <v>0</v>
      </c>
      <c r="Q5" s="349">
        <f t="shared" si="5"/>
        <v>0</v>
      </c>
      <c r="R5" s="349">
        <f t="shared" si="5"/>
        <v>0</v>
      </c>
      <c r="S5" s="349">
        <f t="shared" si="5"/>
        <v>0</v>
      </c>
      <c r="T5" s="414">
        <f t="shared" si="1"/>
        <v>0</v>
      </c>
      <c r="U5" s="412">
        <f>SUMIF('RAW DATA 2023'!BQ:BQ,'PML! weight'!D5,'RAW DATA 2023'!Y:Y)</f>
        <v>0</v>
      </c>
      <c r="V5" s="412">
        <f>SUMIF('RAW DATA 2023'!BQ:BQ,'PML! weight'!D5,'RAW DATA 2023'!BS:BS)</f>
        <v>0</v>
      </c>
      <c r="W5" s="412">
        <f>SUMIF('RAW DATA 2023'!BQ:BQ,'PML! weight'!D5,'RAW DATA 2023'!BL:BL)</f>
        <v>0</v>
      </c>
      <c r="X5" s="412">
        <f>SUMIF('RAW DATA 2023'!BQ:BQ,'PML! weight'!D5,'RAW DATA 2023'!BR:BR)</f>
        <v>0</v>
      </c>
    </row>
    <row r="6" spans="1:27">
      <c r="C6" s="136" t="s">
        <v>283</v>
      </c>
      <c r="D6" s="137" t="str">
        <f t="shared" si="2"/>
        <v>Kamong12</v>
      </c>
      <c r="E6" s="138">
        <f>IFERROR(SUMIF(ผลประหยัด!$E$10:$E$1297,'PML! weight'!D6,ผลประหยัด!$K$10:$K$1297)/SUMIF(ผลประหยัด!$E$10:$E$1297,'PML! weight'!D6,ผลประหยัด!$J$10:$J$1297),0)</f>
        <v>-2.8849260186899826</v>
      </c>
      <c r="F6" s="138">
        <f>IFERROR(SUMIF(SR!$E$10:$E$1297,'PML! weight'!D6,SR!$L$10:$L$1297)/SUMIF(SR!$E$10:$E$1297,'PML! weight'!D6,SR!$K$10:$K$1297),0)</f>
        <v>17.865412500000001</v>
      </c>
      <c r="G6" s="138">
        <f>IFERROR(SUMIF(ADG!$E$10:$E$1297,'PML! weight'!D6,ADG!$L$10:$L$1297)/SUMIF(ADG!$E$10:$E$1297,'PML! weight'!D6,ADG!$K$10:$K$1297),0)</f>
        <v>5.8442478947368404</v>
      </c>
      <c r="H6" s="138">
        <f>IFERROR(SUMIF(FCR!$E$10:$E$1297,'PML! weight'!D6,FCR!$M$10:$M$1297)/SUMIF(FCR!$E$10:$E$1297,'PML! weight'!D6,FCR!$L$10:$L$1297),0)</f>
        <v>7.90692180995475</v>
      </c>
      <c r="I6" s="138">
        <f>IFERROR(SUMIF(YIELDN!$E$10:$E$1297,'PML! weight'!D6,YIELDN!$P$10:$P$1297)/SUMIF(YIELDN!$E$10:$E$1297,'PML! weight'!D6,YIELDN!$O$10:$O$1297),0)</f>
        <v>5.8973234401018706</v>
      </c>
      <c r="J6" s="138">
        <f>IFERROR(SUMIF(SIZE!$E$10:$E$1297,'PML! weight'!D6,SIZE!$K$10:$K$1297)/SUMIF(SIZE!$E$10:$E$1297,'PML! weight'!D6,SIZE!$J$10:$J$1297),0)</f>
        <v>8.1672264093831739</v>
      </c>
      <c r="K6" s="139">
        <f t="shared" si="0"/>
        <v>42.796206035486655</v>
      </c>
      <c r="M6" s="404" t="s">
        <v>283</v>
      </c>
      <c r="N6" s="349">
        <f t="shared" si="3"/>
        <v>-2.8849260186899826</v>
      </c>
      <c r="O6" s="349">
        <f t="shared" si="4"/>
        <v>15</v>
      </c>
      <c r="P6" s="349">
        <f t="shared" si="4"/>
        <v>5.8442478947368404</v>
      </c>
      <c r="Q6" s="349">
        <f t="shared" si="5"/>
        <v>7.90692180995475</v>
      </c>
      <c r="R6" s="349">
        <f t="shared" si="5"/>
        <v>5.8973234401018706</v>
      </c>
      <c r="S6" s="349">
        <f t="shared" si="5"/>
        <v>8.1672264093831739</v>
      </c>
      <c r="T6" s="414">
        <f t="shared" si="1"/>
        <v>39.93079353548665</v>
      </c>
      <c r="U6" s="412">
        <f>SUMIF('RAW DATA 2023'!BQ:BQ,'PML! weight'!D6,'RAW DATA 2023'!Y:Y)</f>
        <v>51.306309999999996</v>
      </c>
      <c r="V6" s="412">
        <f>SUMIF('RAW DATA 2023'!BQ:BQ,'PML! weight'!D6,'RAW DATA 2023'!BS:BS)</f>
        <v>11044.901699999997</v>
      </c>
      <c r="W6" s="412">
        <f>SUMIF('RAW DATA 2023'!BQ:BQ,'PML! weight'!D6,'RAW DATA 2023'!BL:BL)</f>
        <v>-1600.7418699999973</v>
      </c>
      <c r="X6" s="412">
        <f>SUMIF('RAW DATA 2023'!BQ:BQ,'PML! weight'!D6,'RAW DATA 2023'!BR:BR)</f>
        <v>-2948.7509799999953</v>
      </c>
    </row>
    <row r="7" spans="1:27">
      <c r="C7" s="136" t="s">
        <v>317</v>
      </c>
      <c r="D7" s="137" t="str">
        <f t="shared" si="2"/>
        <v>Lucky112</v>
      </c>
      <c r="E7" s="138">
        <f>IFERROR(SUMIF(ผลประหยัด!$E$10:$E$1297,'PML! weight'!D7,ผลประหยัด!$K$10:$K$1297)/SUMIF(ผลประหยัด!$E$10:$E$1297,'PML! weight'!D7,ผลประหยัด!$J$10:$J$1297),0)</f>
        <v>0</v>
      </c>
      <c r="F7" s="138">
        <f>IFERROR(SUMIF(SR!$E$10:$E$1297,'PML! weight'!D7,SR!$L$10:$L$1297)/SUMIF(SR!$E$10:$E$1297,'PML! weight'!D7,SR!$K$10:$K$1297),0)</f>
        <v>0</v>
      </c>
      <c r="G7" s="138">
        <f>IFERROR(SUMIF(ADG!$E$10:$E$1297,'PML! weight'!D7,ADG!$L$10:$L$1297)/SUMIF(ADG!$E$10:$E$1297,'PML! weight'!D7,ADG!$K$10:$K$1297),0)</f>
        <v>0</v>
      </c>
      <c r="H7" s="138">
        <f>IFERROR(SUMIF(FCR!$E$10:$E$1297,'PML! weight'!D7,FCR!$M$10:$M$1297)/SUMIF(FCR!$E$10:$E$1297,'PML! weight'!D7,FCR!$L$10:$L$1297),0)</f>
        <v>0</v>
      </c>
      <c r="I7" s="138">
        <f>IFERROR(SUMIF(YIELDN!$E$10:$E$1297,'PML! weight'!D7,YIELDN!$P$10:$P$1297)/SUMIF(YIELDN!$E$10:$E$1297,'PML! weight'!D7,YIELDN!$O$10:$O$1297),0)</f>
        <v>0</v>
      </c>
      <c r="J7" s="138">
        <f>IFERROR(SUMIF(SIZE!$E$10:$E$1297,'PML! weight'!D7,SIZE!$K$10:$K$1297)/SUMIF(SIZE!$E$10:$E$1297,'PML! weight'!D7,SIZE!$J$10:$J$1297),0)</f>
        <v>0</v>
      </c>
      <c r="K7" s="139">
        <f t="shared" si="0"/>
        <v>0</v>
      </c>
      <c r="M7" s="404" t="s">
        <v>317</v>
      </c>
      <c r="N7" s="349">
        <f t="shared" si="3"/>
        <v>0</v>
      </c>
      <c r="O7" s="349">
        <f t="shared" si="4"/>
        <v>0</v>
      </c>
      <c r="P7" s="349">
        <f t="shared" si="4"/>
        <v>0</v>
      </c>
      <c r="Q7" s="349">
        <f t="shared" si="5"/>
        <v>0</v>
      </c>
      <c r="R7" s="349">
        <f t="shared" si="5"/>
        <v>0</v>
      </c>
      <c r="S7" s="349">
        <f t="shared" si="5"/>
        <v>0</v>
      </c>
      <c r="T7" s="414">
        <f t="shared" si="1"/>
        <v>0</v>
      </c>
      <c r="U7" s="412">
        <f>SUMIF('RAW DATA 2023'!BQ:BQ,'PML! weight'!D7,'RAW DATA 2023'!Y:Y)</f>
        <v>0</v>
      </c>
      <c r="V7" s="412">
        <f>SUMIF('RAW DATA 2023'!BQ:BQ,'PML! weight'!D7,'RAW DATA 2023'!BS:BS)</f>
        <v>0</v>
      </c>
      <c r="W7" s="412">
        <f>SUMIF('RAW DATA 2023'!BQ:BQ,'PML! weight'!D7,'RAW DATA 2023'!BL:BL)</f>
        <v>0</v>
      </c>
      <c r="X7" s="412">
        <f>SUMIF('RAW DATA 2023'!BQ:BQ,'PML! weight'!D7,'RAW DATA 2023'!BR:BR)</f>
        <v>0</v>
      </c>
    </row>
    <row r="8" spans="1:27">
      <c r="C8" s="136" t="s">
        <v>374</v>
      </c>
      <c r="D8" s="137" t="str">
        <f t="shared" si="2"/>
        <v>CHBR112</v>
      </c>
      <c r="E8" s="138">
        <f>IFERROR(SUMIF(ผลประหยัด!$E$10:$E$1297,'PML! weight'!D8,ผลประหยัด!$K$10:$K$1297)/SUMIF(ผลประหยัด!$E$10:$E$1297,'PML! weight'!D8,ผลประหยัด!$J$10:$J$1297),0)</f>
        <v>-28.377315074091744</v>
      </c>
      <c r="F8" s="138">
        <f>IFERROR(SUMIF(SR!$E$10:$E$1297,'PML! weight'!D8,SR!$L$10:$L$1297)/SUMIF(SR!$E$10:$E$1297,'PML! weight'!D8,SR!$K$10:$K$1297),0)</f>
        <v>16.741317073170734</v>
      </c>
      <c r="G8" s="138">
        <f>IFERROR(SUMIF(ADG!$E$10:$E$1297,'PML! weight'!D8,ADG!$L$10:$L$1297)/SUMIF(ADG!$E$10:$E$1297,'PML! weight'!D8,ADG!$K$10:$K$1297),0)</f>
        <v>5.2614512432432425</v>
      </c>
      <c r="H8" s="138">
        <f>IFERROR(SUMIF(FCR!$E$10:$E$1297,'PML! weight'!D8,FCR!$M$10:$M$1297)/SUMIF(FCR!$E$10:$E$1297,'PML! weight'!D8,FCR!$L$10:$L$1297),0)</f>
        <v>7.2513606751054844</v>
      </c>
      <c r="I8" s="138">
        <f>IFERROR(SUMIF(YIELDN!$E$10:$E$1297,'PML! weight'!D8,YIELDN!$P$10:$P$1297)/SUMIF(YIELDN!$E$10:$E$1297,'PML! weight'!D8,YIELDN!$O$10:$O$1297),0)</f>
        <v>9.3724855072463775</v>
      </c>
      <c r="J8" s="138">
        <f>IFERROR(SUMIF(SIZE!$E$10:$E$1297,'PML! weight'!D8,SIZE!$K$10:$K$1297)/SUMIF(SIZE!$E$10:$E$1297,'PML! weight'!D8,SIZE!$J$10:$J$1297),0)</f>
        <v>7.1605238630290104</v>
      </c>
      <c r="K8" s="139">
        <f t="shared" si="0"/>
        <v>17.409823287703105</v>
      </c>
      <c r="M8" s="404" t="s">
        <v>374</v>
      </c>
      <c r="N8" s="349">
        <f t="shared" si="3"/>
        <v>-28.377315074091744</v>
      </c>
      <c r="O8" s="349">
        <f t="shared" si="4"/>
        <v>15</v>
      </c>
      <c r="P8" s="349">
        <f t="shared" si="4"/>
        <v>5.2614512432432425</v>
      </c>
      <c r="Q8" s="349">
        <f t="shared" si="5"/>
        <v>7.2513606751054844</v>
      </c>
      <c r="R8" s="349">
        <f t="shared" si="5"/>
        <v>9.3724855072463775</v>
      </c>
      <c r="S8" s="349">
        <f t="shared" si="5"/>
        <v>7.1605238630290104</v>
      </c>
      <c r="T8" s="414">
        <f t="shared" si="1"/>
        <v>15.668506214532371</v>
      </c>
      <c r="U8" s="412">
        <f>SUMIF('RAW DATA 2023'!BQ:BQ,'PML! weight'!D8,'RAW DATA 2023'!Y:Y)</f>
        <v>22.134029999999999</v>
      </c>
      <c r="V8" s="412">
        <f>SUMIF('RAW DATA 2023'!BQ:BQ,'PML! weight'!D8,'RAW DATA 2023'!BS:BS)</f>
        <v>4787.8118800000002</v>
      </c>
      <c r="W8" s="412">
        <f>SUMIF('RAW DATA 2023'!BQ:BQ,'PML! weight'!D8,'RAW DATA 2023'!BL:BL)</f>
        <v>-2430.5305099999987</v>
      </c>
      <c r="X8" s="412">
        <f>SUMIF('RAW DATA 2023'!BQ:BQ,'PML! weight'!D8,'RAW DATA 2023'!BR:BR)</f>
        <v>-3167.8148999999994</v>
      </c>
    </row>
    <row r="9" spans="1:27">
      <c r="C9" s="136" t="s">
        <v>408</v>
      </c>
      <c r="D9" s="137" t="str">
        <f t="shared" si="2"/>
        <v>Bangsakao12</v>
      </c>
      <c r="E9" s="138">
        <f>IFERROR(SUMIF(ผลประหยัด!$E$10:$E$1297,'PML! weight'!D9,ผลประหยัด!$K$10:$K$1297)/SUMIF(ผลประหยัด!$E$10:$E$1297,'PML! weight'!D9,ผลประหยัด!$J$10:$J$1297),0)</f>
        <v>-12.335943979020653</v>
      </c>
      <c r="F9" s="138">
        <f>IFERROR(SUMIF(SR!$E$10:$E$1297,'PML! weight'!D9,SR!$L$10:$L$1297)/SUMIF(SR!$E$10:$E$1297,'PML! weight'!D9,SR!$K$10:$K$1297),0)</f>
        <v>11.111497881177138</v>
      </c>
      <c r="G9" s="138">
        <f>IFERROR(SUMIF(ADG!$E$10:$E$1297,'PML! weight'!D9,ADG!$L$10:$L$1297)/SUMIF(ADG!$E$10:$E$1297,'PML! weight'!D9,ADG!$K$10:$K$1297),0)</f>
        <v>7.1904629181476833</v>
      </c>
      <c r="H9" s="138">
        <f>IFERROR(SUMIF(FCR!$E$10:$E$1297,'PML! weight'!D9,FCR!$M$10:$M$1297)/SUMIF(FCR!$E$10:$E$1297,'PML! weight'!D9,FCR!$L$10:$L$1297),0)</f>
        <v>5.3942974227916745</v>
      </c>
      <c r="I9" s="138">
        <f>IFERROR(SUMIF(YIELDN!$E$10:$E$1297,'PML! weight'!D9,YIELDN!$P$10:$P$1297)/SUMIF(YIELDN!$E$10:$E$1297,'PML! weight'!D9,YIELDN!$O$10:$O$1297),0)</f>
        <v>2.6802186211902592</v>
      </c>
      <c r="J9" s="138">
        <f>IFERROR(SUMIF(SIZE!$E$10:$E$1297,'PML! weight'!D9,SIZE!$K$10:$K$1297)/SUMIF(SIZE!$E$10:$E$1297,'PML! weight'!D9,SIZE!$J$10:$J$1297),0)</f>
        <v>6.774203723336254</v>
      </c>
      <c r="K9" s="139">
        <f t="shared" si="0"/>
        <v>20.814736587622356</v>
      </c>
      <c r="M9" s="404" t="s">
        <v>408</v>
      </c>
      <c r="N9" s="349">
        <f t="shared" si="3"/>
        <v>-12.335943979020653</v>
      </c>
      <c r="O9" s="349">
        <f t="shared" si="4"/>
        <v>11.111497881177138</v>
      </c>
      <c r="P9" s="349">
        <f t="shared" si="4"/>
        <v>7.1904629181476833</v>
      </c>
      <c r="Q9" s="349">
        <f t="shared" si="5"/>
        <v>5.3942974227916745</v>
      </c>
      <c r="R9" s="349">
        <f t="shared" si="5"/>
        <v>2.6802186211902592</v>
      </c>
      <c r="S9" s="349">
        <f t="shared" si="5"/>
        <v>6.774203723336254</v>
      </c>
      <c r="T9" s="414">
        <f t="shared" si="1"/>
        <v>20.814736587622356</v>
      </c>
      <c r="U9" s="412">
        <f>SUMIF('RAW DATA 2023'!BQ:BQ,'PML! weight'!D9,'RAW DATA 2023'!Y:Y)</f>
        <v>125.38700999999998</v>
      </c>
      <c r="V9" s="412">
        <f>SUMIF('RAW DATA 2023'!BQ:BQ,'PML! weight'!D9,'RAW DATA 2023'!BS:BS)</f>
        <v>26075.041419999998</v>
      </c>
      <c r="W9" s="412">
        <f>SUMIF('RAW DATA 2023'!BQ:BQ,'PML! weight'!D9,'RAW DATA 2023'!BL:BL)</f>
        <v>-7362.7043100000001</v>
      </c>
      <c r="X9" s="412">
        <f>SUMIF('RAW DATA 2023'!BQ:BQ,'PML! weight'!D9,'RAW DATA 2023'!BR:BR)</f>
        <v>-10815.10786</v>
      </c>
    </row>
    <row r="10" spans="1:27">
      <c r="C10" s="136" t="s">
        <v>507</v>
      </c>
      <c r="D10" s="137" t="str">
        <f t="shared" si="2"/>
        <v>Bo Thong12</v>
      </c>
      <c r="E10" s="138">
        <f>IFERROR(SUMIF(ผลประหยัด!$E$10:$E$1297,'PML! weight'!D10,ผลประหยัด!$K$10:$K$1297)/SUMIF(ผลประหยัด!$E$10:$E$1297,'PML! weight'!D10,ผลประหยัด!$J$10:$J$1297),0)</f>
        <v>-12.60771893405332</v>
      </c>
      <c r="F10" s="138">
        <f>IFERROR(SUMIF(SR!$E$10:$E$1297,'PML! weight'!D10,SR!$L$10:$L$1297)/SUMIF(SR!$E$10:$E$1297,'PML! weight'!D10,SR!$K$10:$K$1297),0)</f>
        <v>10.638821138211384</v>
      </c>
      <c r="G10" s="138">
        <f>IFERROR(SUMIF(ADG!$E$10:$E$1297,'PML! weight'!D10,ADG!$L$10:$L$1297)/SUMIF(ADG!$E$10:$E$1297,'PML! weight'!D10,ADG!$K$10:$K$1297),0)</f>
        <v>12.298432864864868</v>
      </c>
      <c r="H10" s="138">
        <f>IFERROR(SUMIF(FCR!$E$10:$E$1297,'PML! weight'!D10,FCR!$M$10:$M$1297)/SUMIF(FCR!$E$10:$E$1297,'PML! weight'!D10,FCR!$L$10:$L$1297),0)</f>
        <v>6.5218087296416938</v>
      </c>
      <c r="I10" s="138">
        <f>IFERROR(SUMIF(YIELDN!$E$10:$E$1297,'PML! weight'!D10,YIELDN!$P$10:$P$1297)/SUMIF(YIELDN!$E$10:$E$1297,'PML! weight'!D10,YIELDN!$O$10:$O$1297),0)</f>
        <v>5.7052883132901657</v>
      </c>
      <c r="J10" s="138">
        <f>IFERROR(SUMIF(SIZE!$E$10:$E$1297,'PML! weight'!D10,SIZE!$K$10:$K$1297)/SUMIF(SIZE!$E$10:$E$1297,'PML! weight'!D10,SIZE!$J$10:$J$1297),0)</f>
        <v>7.1400843671528893</v>
      </c>
      <c r="K10" s="139">
        <f t="shared" si="0"/>
        <v>29.696716479107678</v>
      </c>
      <c r="M10" s="404" t="s">
        <v>507</v>
      </c>
      <c r="N10" s="349">
        <f t="shared" si="3"/>
        <v>-12.60771893405332</v>
      </c>
      <c r="O10" s="349">
        <f t="shared" si="4"/>
        <v>10.638821138211384</v>
      </c>
      <c r="P10" s="349">
        <f t="shared" si="4"/>
        <v>12.298432864864868</v>
      </c>
      <c r="Q10" s="349">
        <f t="shared" si="5"/>
        <v>6.5218087296416938</v>
      </c>
      <c r="R10" s="349">
        <f t="shared" si="5"/>
        <v>5.7052883132901657</v>
      </c>
      <c r="S10" s="349">
        <f t="shared" si="5"/>
        <v>7.1400843671528893</v>
      </c>
      <c r="T10" s="414">
        <f t="shared" si="1"/>
        <v>29.696716479107678</v>
      </c>
      <c r="U10" s="412">
        <f>SUMIF('RAW DATA 2023'!BQ:BQ,'PML! weight'!D10,'RAW DATA 2023'!Y:Y)</f>
        <v>16.0489</v>
      </c>
      <c r="V10" s="412">
        <f>SUMIF('RAW DATA 2023'!BQ:BQ,'PML! weight'!D10,'RAW DATA 2023'!BS:BS)</f>
        <v>3353.7024899999997</v>
      </c>
      <c r="W10" s="412">
        <f>SUMIF('RAW DATA 2023'!BQ:BQ,'PML! weight'!D10,'RAW DATA 2023'!BL:BL)</f>
        <v>-1011.7625799999996</v>
      </c>
      <c r="X10" s="412">
        <f>SUMIF('RAW DATA 2023'!BQ:BQ,'PML! weight'!D10,'RAW DATA 2023'!BR:BR)</f>
        <v>-1428.5163699999989</v>
      </c>
    </row>
    <row r="11" spans="1:27">
      <c r="C11" s="136" t="s">
        <v>474</v>
      </c>
      <c r="D11" s="137" t="str">
        <f t="shared" si="2"/>
        <v>Rayong312</v>
      </c>
      <c r="E11" s="138">
        <f>IFERROR(SUMIF(ผลประหยัด!$E$10:$E$1297,'PML! weight'!D11,ผลประหยัด!$K$10:$K$1297)/SUMIF(ผลประหยัด!$E$10:$E$1297,'PML! weight'!D11,ผลประหยัด!$J$10:$J$1297),0)</f>
        <v>-7.3675592677466728</v>
      </c>
      <c r="F11" s="138">
        <f>IFERROR(SUMIF(SR!$E$10:$E$1297,'PML! weight'!D11,SR!$L$10:$L$1297)/SUMIF(SR!$E$10:$E$1297,'PML! weight'!D11,SR!$K$10:$K$1297),0)</f>
        <v>11.597314814814812</v>
      </c>
      <c r="G11" s="138">
        <f>IFERROR(SUMIF(ADG!$E$10:$E$1297,'PML! weight'!D11,ADG!$L$10:$L$1297)/SUMIF(ADG!$E$10:$E$1297,'PML! weight'!D11,ADG!$K$10:$K$1297),0)</f>
        <v>6.2845549696969698</v>
      </c>
      <c r="H11" s="138">
        <f>IFERROR(SUMIF(FCR!$E$10:$E$1297,'PML! weight'!D11,FCR!$M$10:$M$1297)/SUMIF(FCR!$E$10:$E$1297,'PML! weight'!D11,FCR!$L$10:$L$1297),0)</f>
        <v>11.293433908045976</v>
      </c>
      <c r="I11" s="138">
        <f>IFERROR(SUMIF(YIELDN!$E$10:$E$1297,'PML! weight'!D11,YIELDN!$P$10:$P$1297)/SUMIF(YIELDN!$E$10:$E$1297,'PML! weight'!D11,YIELDN!$O$10:$O$1297),0)</f>
        <v>-0.61919815258903999</v>
      </c>
      <c r="J11" s="138">
        <f>IFERROR(SUMIF(SIZE!$E$10:$E$1297,'PML! weight'!D11,SIZE!$K$10:$K$1297)/SUMIF(SIZE!$E$10:$E$1297,'PML! weight'!D11,SIZE!$J$10:$J$1297),0)</f>
        <v>-3.0001792178706554</v>
      </c>
      <c r="K11" s="139">
        <f t="shared" si="0"/>
        <v>18.188367054351389</v>
      </c>
      <c r="M11" s="404" t="s">
        <v>474</v>
      </c>
      <c r="N11" s="349">
        <f t="shared" si="3"/>
        <v>-7.3675592677466728</v>
      </c>
      <c r="O11" s="349">
        <f t="shared" si="4"/>
        <v>11.597314814814812</v>
      </c>
      <c r="P11" s="349">
        <f t="shared" si="4"/>
        <v>6.2845549696969698</v>
      </c>
      <c r="Q11" s="349">
        <f t="shared" si="5"/>
        <v>10</v>
      </c>
      <c r="R11" s="349">
        <f t="shared" si="5"/>
        <v>0</v>
      </c>
      <c r="S11" s="349">
        <f t="shared" si="5"/>
        <v>0</v>
      </c>
      <c r="T11" s="414">
        <f t="shared" si="1"/>
        <v>20.514310516765107</v>
      </c>
      <c r="U11" s="412">
        <f>SUMIF('RAW DATA 2023'!BQ:BQ,'PML! weight'!D11,'RAW DATA 2023'!Y:Y)</f>
        <v>31.916460000000001</v>
      </c>
      <c r="V11" s="412">
        <f>SUMIF('RAW DATA 2023'!BQ:BQ,'PML! weight'!D11,'RAW DATA 2023'!BS:BS)</f>
        <v>3808.1914400000001</v>
      </c>
      <c r="W11" s="412">
        <f>SUMIF('RAW DATA 2023'!BQ:BQ,'PML! weight'!D11,'RAW DATA 2023'!BL:BL)</f>
        <v>-2837.4940899999983</v>
      </c>
      <c r="X11" s="412">
        <f>SUMIF('RAW DATA 2023'!BQ:BQ,'PML! weight'!D11,'RAW DATA 2023'!BR:BR)</f>
        <v>-1858.2165299999981</v>
      </c>
    </row>
    <row r="12" spans="1:27">
      <c r="C12" s="136" t="s">
        <v>540</v>
      </c>
      <c r="D12" s="137" t="str">
        <f t="shared" si="2"/>
        <v>Tachalab12</v>
      </c>
      <c r="E12" s="138">
        <f>IFERROR(SUMIF(ผลประหยัด!$E$10:$E$1297,'PML! weight'!D12,ผลประหยัด!$K$10:$K$1297)/SUMIF(ผลประหยัด!$E$10:$E$1297,'PML! weight'!D12,ผลประหยัด!$J$10:$J$1297),0)</f>
        <v>-21.665307627886222</v>
      </c>
      <c r="F12" s="138">
        <f>IFERROR(SUMIF(SR!$E$10:$E$1297,'PML! weight'!D12,SR!$L$10:$L$1297)/SUMIF(SR!$E$10:$E$1297,'PML! weight'!D12,SR!$K$10:$K$1297),0)</f>
        <v>23.975000000000005</v>
      </c>
      <c r="G12" s="138">
        <f>IFERROR(SUMIF(ADG!$E$10:$E$1297,'PML! weight'!D12,ADG!$L$10:$L$1297)/SUMIF(ADG!$E$10:$E$1297,'PML! weight'!D12,ADG!$K$10:$K$1297),0)</f>
        <v>3.7155622222222235</v>
      </c>
      <c r="H12" s="138">
        <f>IFERROR(SUMIF(FCR!$E$10:$E$1297,'PML! weight'!D12,FCR!$M$10:$M$1297)/SUMIF(FCR!$E$10:$E$1297,'PML! weight'!D12,FCR!$L$10:$L$1297),0)</f>
        <v>9.7707274611398951</v>
      </c>
      <c r="I12" s="138">
        <f>IFERROR(SUMIF(YIELDN!$E$10:$E$1297,'PML! weight'!D12,YIELDN!$P$10:$P$1297)/SUMIF(YIELDN!$E$10:$E$1297,'PML! weight'!D12,YIELDN!$O$10:$O$1297),0)</f>
        <v>8.0955774316779294</v>
      </c>
      <c r="J12" s="138">
        <f>IFERROR(SUMIF(SIZE!$E$10:$E$1297,'PML! weight'!D12,SIZE!$K$10:$K$1297)/SUMIF(SIZE!$E$10:$E$1297,'PML! weight'!D12,SIZE!$J$10:$J$1297),0)</f>
        <v>3.8796362496288341</v>
      </c>
      <c r="K12" s="139">
        <f t="shared" si="0"/>
        <v>27.771195736782666</v>
      </c>
      <c r="M12" s="404" t="s">
        <v>540</v>
      </c>
      <c r="N12" s="349">
        <f t="shared" si="3"/>
        <v>-21.665307627886222</v>
      </c>
      <c r="O12" s="349">
        <f t="shared" si="4"/>
        <v>15</v>
      </c>
      <c r="P12" s="349">
        <f t="shared" si="4"/>
        <v>3.7155622222222235</v>
      </c>
      <c r="Q12" s="349">
        <f t="shared" si="5"/>
        <v>9.7707274611398951</v>
      </c>
      <c r="R12" s="349">
        <f t="shared" si="5"/>
        <v>8.0955774316779294</v>
      </c>
      <c r="S12" s="349">
        <f t="shared" si="5"/>
        <v>3.8796362496288341</v>
      </c>
      <c r="T12" s="414">
        <f t="shared" si="1"/>
        <v>18.796195736782661</v>
      </c>
      <c r="U12" s="412">
        <f>SUMIF('RAW DATA 2023'!BQ:BQ,'PML! weight'!D12,'RAW DATA 2023'!Y:Y)</f>
        <v>30.141549999999999</v>
      </c>
      <c r="V12" s="412">
        <f>SUMIF('RAW DATA 2023'!BQ:BQ,'PML! weight'!D12,'RAW DATA 2023'!BS:BS)</f>
        <v>5239.9081500000002</v>
      </c>
      <c r="W12" s="412">
        <f>SUMIF('RAW DATA 2023'!BQ:BQ,'PML! weight'!D12,'RAW DATA 2023'!BL:BL)</f>
        <v>-2997.0855800000018</v>
      </c>
      <c r="X12" s="412">
        <f>SUMIF('RAW DATA 2023'!BQ:BQ,'PML! weight'!D12,'RAW DATA 2023'!BR:BR)</f>
        <v>-3263.6379800000022</v>
      </c>
    </row>
    <row r="13" spans="1:27">
      <c r="C13" s="136" t="s">
        <v>567</v>
      </c>
      <c r="D13" s="137" t="str">
        <f t="shared" si="2"/>
        <v>Laemsing12</v>
      </c>
      <c r="E13" s="138">
        <f>IFERROR(SUMIF(ผลประหยัด!$E$10:$E$1297,'PML! weight'!D13,ผลประหยัด!$K$10:$K$1297)/SUMIF(ผลประหยัด!$E$10:$E$1297,'PML! weight'!D13,ผลประหยัด!$J$10:$J$1297),0)</f>
        <v>-6.756752665169067</v>
      </c>
      <c r="F13" s="138">
        <f>IFERROR(SUMIF(SR!$E$10:$E$1297,'PML! weight'!D13,SR!$L$10:$L$1297)/SUMIF(SR!$E$10:$E$1297,'PML! weight'!D13,SR!$K$10:$K$1297),0)</f>
        <v>24.898121990369184</v>
      </c>
      <c r="G13" s="138">
        <f>IFERROR(SUMIF(ADG!$E$10:$E$1297,'PML! weight'!D13,ADG!$L$10:$L$1297)/SUMIF(ADG!$E$10:$E$1297,'PML! weight'!D13,ADG!$K$10:$K$1297),0)</f>
        <v>3.8859179999999993</v>
      </c>
      <c r="H13" s="138">
        <f>IFERROR(SUMIF(FCR!$E$10:$E$1297,'PML! weight'!D13,FCR!$M$10:$M$1297)/SUMIF(FCR!$E$10:$E$1297,'PML! weight'!D13,FCR!$L$10:$L$1297),0)</f>
        <v>14.025600169779286</v>
      </c>
      <c r="I13" s="138">
        <f>IFERROR(SUMIF(YIELDN!$E$10:$E$1297,'PML! weight'!D13,YIELDN!$P$10:$P$1297)/SUMIF(YIELDN!$E$10:$E$1297,'PML! weight'!D13,YIELDN!$O$10:$O$1297),0)</f>
        <v>3.6392258931195163</v>
      </c>
      <c r="J13" s="138">
        <f>IFERROR(SUMIF(SIZE!$E$10:$E$1297,'PML! weight'!D13,SIZE!$K$10:$K$1297)/SUMIF(SIZE!$E$10:$E$1297,'PML! weight'!D13,SIZE!$J$10:$J$1297),0)</f>
        <v>4.5259722924129169E-6</v>
      </c>
      <c r="K13" s="139">
        <f t="shared" si="0"/>
        <v>39.692117914071211</v>
      </c>
      <c r="M13" s="404" t="s">
        <v>567</v>
      </c>
      <c r="N13" s="349">
        <f t="shared" si="3"/>
        <v>-6.756752665169067</v>
      </c>
      <c r="O13" s="349">
        <f t="shared" si="4"/>
        <v>15</v>
      </c>
      <c r="P13" s="349">
        <f t="shared" si="4"/>
        <v>3.8859179999999993</v>
      </c>
      <c r="Q13" s="349">
        <f t="shared" si="5"/>
        <v>10</v>
      </c>
      <c r="R13" s="349">
        <f t="shared" si="5"/>
        <v>3.6392258931195163</v>
      </c>
      <c r="S13" s="349">
        <f t="shared" si="5"/>
        <v>4.5259722924129169E-6</v>
      </c>
      <c r="T13" s="414">
        <f t="shared" si="1"/>
        <v>25.768395753922743</v>
      </c>
      <c r="U13" s="412">
        <f>SUMIF('RAW DATA 2023'!BQ:BQ,'PML! weight'!D13,'RAW DATA 2023'!Y:Y)</f>
        <v>11.04735</v>
      </c>
      <c r="V13" s="412">
        <f>SUMIF('RAW DATA 2023'!BQ:BQ,'PML! weight'!D13,'RAW DATA 2023'!BS:BS)</f>
        <v>1648.7579999999998</v>
      </c>
      <c r="W13" s="412">
        <f>SUMIF('RAW DATA 2023'!BQ:BQ,'PML! weight'!D13,'RAW DATA 2023'!BL:BL)</f>
        <v>-632.55696999999975</v>
      </c>
      <c r="X13" s="412">
        <f>SUMIF('RAW DATA 2023'!BQ:BQ,'PML! weight'!D13,'RAW DATA 2023'!BR:BR)</f>
        <v>-624.21246999999983</v>
      </c>
    </row>
    <row r="14" spans="1:27">
      <c r="C14" s="136" t="s">
        <v>610</v>
      </c>
      <c r="D14" s="137" t="str">
        <f t="shared" si="2"/>
        <v>Bangkachai112</v>
      </c>
      <c r="E14" s="138">
        <f>IFERROR(SUMIF(ผลประหยัด!$E$10:$E$1297,'PML! weight'!D14,ผลประหยัด!$K$10:$K$1297)/SUMIF(ผลประหยัด!$E$10:$E$1297,'PML! weight'!D14,ผลประหยัด!$J$10:$J$1297),0)</f>
        <v>0</v>
      </c>
      <c r="F14" s="138">
        <f>IFERROR(SUMIF(SR!$E$10:$E$1297,'PML! weight'!D14,SR!$L$10:$L$1297)/SUMIF(SR!$E$10:$E$1297,'PML! weight'!D14,SR!$K$10:$K$1297),0)</f>
        <v>0</v>
      </c>
      <c r="G14" s="138">
        <f>IFERROR(SUMIF(ADG!$E$10:$E$1297,'PML! weight'!D14,ADG!$L$10:$L$1297)/SUMIF(ADG!$E$10:$E$1297,'PML! weight'!D14,ADG!$K$10:$K$1297),0)</f>
        <v>0</v>
      </c>
      <c r="H14" s="138">
        <f>IFERROR(SUMIF(FCR!$E$10:$E$1297,'PML! weight'!D14,FCR!$M$10:$M$1297)/SUMIF(FCR!$E$10:$E$1297,'PML! weight'!D14,FCR!$L$10:$L$1297),0)</f>
        <v>0</v>
      </c>
      <c r="I14" s="138">
        <f>IFERROR(SUMIF(YIELDN!$E$10:$E$1297,'PML! weight'!D14,YIELDN!$P$10:$P$1297)/SUMIF(YIELDN!$E$10:$E$1297,'PML! weight'!D14,YIELDN!$O$10:$O$1297),0)</f>
        <v>0</v>
      </c>
      <c r="J14" s="138">
        <f>IFERROR(SUMIF(SIZE!$E$10:$E$1297,'PML! weight'!D14,SIZE!$K$10:$K$1297)/SUMIF(SIZE!$E$10:$E$1297,'PML! weight'!D14,SIZE!$J$10:$J$1297),0)</f>
        <v>0</v>
      </c>
      <c r="K14" s="139">
        <f t="shared" si="0"/>
        <v>0</v>
      </c>
      <c r="M14" s="404" t="s">
        <v>610</v>
      </c>
      <c r="N14" s="349">
        <f t="shared" si="3"/>
        <v>0</v>
      </c>
      <c r="O14" s="349">
        <f t="shared" si="4"/>
        <v>0</v>
      </c>
      <c r="P14" s="349">
        <f t="shared" si="4"/>
        <v>0</v>
      </c>
      <c r="Q14" s="349">
        <f t="shared" si="5"/>
        <v>0</v>
      </c>
      <c r="R14" s="349">
        <f t="shared" si="5"/>
        <v>0</v>
      </c>
      <c r="S14" s="349">
        <f t="shared" si="5"/>
        <v>0</v>
      </c>
      <c r="T14" s="414">
        <f t="shared" si="1"/>
        <v>0</v>
      </c>
      <c r="U14" s="412">
        <f>SUMIF('RAW DATA 2023'!BQ:BQ,'PML! weight'!D14,'RAW DATA 2023'!Y:Y)</f>
        <v>0</v>
      </c>
      <c r="V14" s="412">
        <f>SUMIF('RAW DATA 2023'!BQ:BQ,'PML! weight'!D14,'RAW DATA 2023'!BS:BS)</f>
        <v>0</v>
      </c>
      <c r="W14" s="412">
        <f>SUMIF('RAW DATA 2023'!BQ:BQ,'PML! weight'!D14,'RAW DATA 2023'!BL:BL)</f>
        <v>0</v>
      </c>
      <c r="X14" s="412">
        <f>SUMIF('RAW DATA 2023'!BQ:BQ,'PML! weight'!D14,'RAW DATA 2023'!BR:BR)</f>
        <v>0</v>
      </c>
    </row>
    <row r="15" spans="1:27">
      <c r="C15" s="136" t="s">
        <v>632</v>
      </c>
      <c r="D15" s="137" t="str">
        <f t="shared" si="2"/>
        <v>Ranode12</v>
      </c>
      <c r="E15" s="138">
        <f>IFERROR(SUMIF(ผลประหยัด!$E$10:$E$1297,'PML! weight'!D15,ผลประหยัด!$K$10:$K$1297)/SUMIF(ผลประหยัด!$E$10:$E$1297,'PML! weight'!D15,ผลประหยัด!$J$10:$J$1297),0)</f>
        <v>-8.882249988859126</v>
      </c>
      <c r="F15" s="138">
        <f>IFERROR(SUMIF(SR!$E$10:$E$1297,'PML! weight'!D15,SR!$L$10:$L$1297)/SUMIF(SR!$E$10:$E$1297,'PML! weight'!D15,SR!$K$10:$K$1297),0)</f>
        <v>10.738947670250896</v>
      </c>
      <c r="G15" s="138">
        <f>IFERROR(SUMIF(ADG!$E$10:$E$1297,'PML! weight'!D15,ADG!$L$10:$L$1297)/SUMIF(ADG!$E$10:$E$1297,'PML! weight'!D15,ADG!$K$10:$K$1297),0)</f>
        <v>9.9594753135964922</v>
      </c>
      <c r="H15" s="138">
        <f>IFERROR(SUMIF(FCR!$E$10:$E$1297,'PML! weight'!D15,FCR!$M$10:$M$1297)/SUMIF(FCR!$E$10:$E$1297,'PML! weight'!D15,FCR!$L$10:$L$1297),0)</f>
        <v>9.7930977659420329</v>
      </c>
      <c r="I15" s="138">
        <f>IFERROR(SUMIF(YIELDN!$E$10:$E$1297,'PML! weight'!D15,YIELDN!$P$10:$P$1297)/SUMIF(YIELDN!$E$10:$E$1297,'PML! weight'!D15,YIELDN!$O$10:$O$1297),0)</f>
        <v>2.5400694444719325</v>
      </c>
      <c r="J15" s="138">
        <f>IFERROR(SUMIF(SIZE!$E$10:$E$1297,'PML! weight'!D15,SIZE!$K$10:$K$1297)/SUMIF(SIZE!$E$10:$E$1297,'PML! weight'!D15,SIZE!$J$10:$J$1297),0)</f>
        <v>4.9522721422824967</v>
      </c>
      <c r="K15" s="139">
        <f t="shared" si="0"/>
        <v>29.101612347684721</v>
      </c>
      <c r="M15" s="404" t="s">
        <v>632</v>
      </c>
      <c r="N15" s="349">
        <f t="shared" si="3"/>
        <v>-8.882249988859126</v>
      </c>
      <c r="O15" s="349">
        <f t="shared" si="4"/>
        <v>10.738947670250896</v>
      </c>
      <c r="P15" s="349">
        <f t="shared" si="4"/>
        <v>9.9594753135964922</v>
      </c>
      <c r="Q15" s="349">
        <f t="shared" si="5"/>
        <v>9.7930977659420329</v>
      </c>
      <c r="R15" s="349">
        <f t="shared" si="5"/>
        <v>2.5400694444719325</v>
      </c>
      <c r="S15" s="349">
        <f t="shared" si="5"/>
        <v>4.9522721422824967</v>
      </c>
      <c r="T15" s="414">
        <f t="shared" si="1"/>
        <v>29.101612347684721</v>
      </c>
      <c r="U15" s="412">
        <f>SUMIF('RAW DATA 2023'!BQ:BQ,'PML! weight'!D15,'RAW DATA 2023'!Y:Y)</f>
        <v>25.991109999999999</v>
      </c>
      <c r="V15" s="412">
        <f>SUMIF('RAW DATA 2023'!BQ:BQ,'PML! weight'!D15,'RAW DATA 2023'!BS:BS)</f>
        <v>4913.7112200000001</v>
      </c>
      <c r="W15" s="412">
        <f>SUMIF('RAW DATA 2023'!BQ:BQ,'PML! weight'!D15,'RAW DATA 2023'!BL:BL)</f>
        <v>-2010.8400399999987</v>
      </c>
      <c r="X15" s="412">
        <f>SUMIF('RAW DATA 2023'!BQ:BQ,'PML! weight'!D15,'RAW DATA 2023'!BR:BR)</f>
        <v>-1812.8161599999989</v>
      </c>
    </row>
    <row r="16" spans="1:27">
      <c r="C16" s="136" t="s">
        <v>651</v>
      </c>
      <c r="D16" s="137" t="str">
        <f t="shared" si="2"/>
        <v>Nakornfarm12</v>
      </c>
      <c r="E16" s="138">
        <f>IFERROR(SUMIF(ผลประหยัด!$E$10:$E$1297,'PML! weight'!D16,ผลประหยัด!$K$10:$K$1297)/SUMIF(ผลประหยัด!$E$10:$E$1297,'PML! weight'!D16,ผลประหยัด!$J$10:$J$1297),0)</f>
        <v>-17.130950653176111</v>
      </c>
      <c r="F16" s="138">
        <f>IFERROR(SUMIF(SR!$E$10:$E$1297,'PML! weight'!D16,SR!$L$10:$L$1297)/SUMIF(SR!$E$10:$E$1297,'PML! weight'!D16,SR!$K$10:$K$1297),0)</f>
        <v>14.750990033222593</v>
      </c>
      <c r="G16" s="138">
        <f>IFERROR(SUMIF(ADG!$E$10:$E$1297,'PML! weight'!D16,ADG!$L$10:$L$1297)/SUMIF(ADG!$E$10:$E$1297,'PML! weight'!D16,ADG!$K$10:$K$1297),0)</f>
        <v>6.6897904052511405</v>
      </c>
      <c r="H16" s="138">
        <f>IFERROR(SUMIF(FCR!$E$10:$E$1297,'PML! weight'!D16,FCR!$M$10:$M$1297)/SUMIF(FCR!$E$10:$E$1297,'PML! weight'!D16,FCR!$L$10:$L$1297),0)</f>
        <v>7.5325494347542739</v>
      </c>
      <c r="I16" s="138">
        <f>IFERROR(SUMIF(YIELDN!$E$10:$E$1297,'PML! weight'!D16,YIELDN!$P$10:$P$1297)/SUMIF(YIELDN!$E$10:$E$1297,'PML! weight'!D16,YIELDN!$O$10:$O$1297),0)</f>
        <v>6.1617945150052806</v>
      </c>
      <c r="J16" s="138">
        <f>IFERROR(SUMIF(SIZE!$E$10:$E$1297,'PML! weight'!D16,SIZE!$K$10:$K$1297)/SUMIF(SIZE!$E$10:$E$1297,'PML! weight'!D16,SIZE!$J$10:$J$1297),0)</f>
        <v>4.6285250609114028</v>
      </c>
      <c r="K16" s="139">
        <f t="shared" si="0"/>
        <v>22.632698795968579</v>
      </c>
      <c r="M16" s="404" t="s">
        <v>651</v>
      </c>
      <c r="N16" s="349">
        <f t="shared" si="3"/>
        <v>-17.130950653176111</v>
      </c>
      <c r="O16" s="349">
        <f t="shared" si="4"/>
        <v>14.750990033222593</v>
      </c>
      <c r="P16" s="349">
        <f t="shared" si="4"/>
        <v>6.6897904052511405</v>
      </c>
      <c r="Q16" s="349">
        <f t="shared" si="5"/>
        <v>7.5325494347542739</v>
      </c>
      <c r="R16" s="349">
        <f t="shared" si="5"/>
        <v>6.1617945150052806</v>
      </c>
      <c r="S16" s="349">
        <f t="shared" si="5"/>
        <v>4.6285250609114028</v>
      </c>
      <c r="T16" s="414">
        <f t="shared" si="1"/>
        <v>22.632698795968579</v>
      </c>
      <c r="U16" s="412">
        <f>SUMIF('RAW DATA 2023'!BQ:BQ,'PML! weight'!D16,'RAW DATA 2023'!Y:Y)</f>
        <v>32.498019999999997</v>
      </c>
      <c r="V16" s="412">
        <f>SUMIF('RAW DATA 2023'!BQ:BQ,'PML! weight'!D16,'RAW DATA 2023'!BS:BS)</f>
        <v>5142.7460800000008</v>
      </c>
      <c r="W16" s="412">
        <f>SUMIF('RAW DATA 2023'!BQ:BQ,'PML! weight'!D16,'RAW DATA 2023'!BL:BL)</f>
        <v>-3416.5358999999994</v>
      </c>
      <c r="X16" s="412">
        <f>SUMIF('RAW DATA 2023'!BQ:BQ,'PML! weight'!D16,'RAW DATA 2023'!BR:BR)</f>
        <v>-3109.0217300000013</v>
      </c>
    </row>
    <row r="17" spans="3:24">
      <c r="C17" s="136" t="s">
        <v>724</v>
      </c>
      <c r="D17" s="137" t="str">
        <f t="shared" si="2"/>
        <v>Pakpanang112</v>
      </c>
      <c r="E17" s="138">
        <f>IFERROR(SUMIF(ผลประหยัด!$E$10:$E$1297,'PML! weight'!D17,ผลประหยัด!$K$10:$K$1297)/SUMIF(ผลประหยัด!$E$10:$E$1297,'PML! weight'!D17,ผลประหยัด!$J$10:$J$1297),0)</f>
        <v>0</v>
      </c>
      <c r="F17" s="138">
        <f>IFERROR(SUMIF(SR!$E$10:$E$1297,'PML! weight'!D17,SR!$L$10:$L$1297)/SUMIF(SR!$E$10:$E$1297,'PML! weight'!D17,SR!$K$10:$K$1297),0)</f>
        <v>0</v>
      </c>
      <c r="G17" s="138">
        <f>IFERROR(SUMIF(ADG!$E$10:$E$1297,'PML! weight'!D17,ADG!$L$10:$L$1297)/SUMIF(ADG!$E$10:$E$1297,'PML! weight'!D17,ADG!$K$10:$K$1297),0)</f>
        <v>0</v>
      </c>
      <c r="H17" s="138">
        <f>IFERROR(SUMIF(FCR!$E$10:$E$1297,'PML! weight'!D17,FCR!$M$10:$M$1297)/SUMIF(FCR!$E$10:$E$1297,'PML! weight'!D17,FCR!$L$10:$L$1297),0)</f>
        <v>0</v>
      </c>
      <c r="I17" s="138">
        <f>IFERROR(SUMIF(YIELDN!$E$10:$E$1297,'PML! weight'!D17,YIELDN!$P$10:$P$1297)/SUMIF(YIELDN!$E$10:$E$1297,'PML! weight'!D17,YIELDN!$O$10:$O$1297),0)</f>
        <v>0</v>
      </c>
      <c r="J17" s="138">
        <f>IFERROR(SUMIF(SIZE!$E$10:$E$1297,'PML! weight'!D17,SIZE!$K$10:$K$1297)/SUMIF(SIZE!$E$10:$E$1297,'PML! weight'!D17,SIZE!$J$10:$J$1297),0)</f>
        <v>0</v>
      </c>
      <c r="K17" s="139">
        <f t="shared" si="0"/>
        <v>0</v>
      </c>
      <c r="M17" s="404" t="s">
        <v>724</v>
      </c>
      <c r="N17" s="349">
        <f t="shared" si="3"/>
        <v>0</v>
      </c>
      <c r="O17" s="349">
        <f t="shared" si="4"/>
        <v>0</v>
      </c>
      <c r="P17" s="349">
        <f t="shared" si="4"/>
        <v>0</v>
      </c>
      <c r="Q17" s="349">
        <f t="shared" si="5"/>
        <v>0</v>
      </c>
      <c r="R17" s="349">
        <f t="shared" si="5"/>
        <v>0</v>
      </c>
      <c r="S17" s="349">
        <f t="shared" si="5"/>
        <v>0</v>
      </c>
      <c r="T17" s="414">
        <f t="shared" si="1"/>
        <v>0</v>
      </c>
      <c r="U17" s="412">
        <f>SUMIF('RAW DATA 2023'!BQ:BQ,'PML! weight'!D17,'RAW DATA 2023'!Y:Y)</f>
        <v>0</v>
      </c>
      <c r="V17" s="412">
        <f>SUMIF('RAW DATA 2023'!BQ:BQ,'PML! weight'!D17,'RAW DATA 2023'!BS:BS)</f>
        <v>0</v>
      </c>
      <c r="W17" s="412">
        <f>SUMIF('RAW DATA 2023'!BQ:BQ,'PML! weight'!D17,'RAW DATA 2023'!BL:BL)</f>
        <v>0</v>
      </c>
      <c r="X17" s="412">
        <f>SUMIF('RAW DATA 2023'!BQ:BQ,'PML! weight'!D17,'RAW DATA 2023'!BR:BR)</f>
        <v>0</v>
      </c>
    </row>
    <row r="18" spans="3:24">
      <c r="C18" s="136" t="s">
        <v>760</v>
      </c>
      <c r="D18" s="137" t="str">
        <f t="shared" si="2"/>
        <v>SR112</v>
      </c>
      <c r="E18" s="138">
        <f>IFERROR(SUMIF(ผลประหยัด!$E$10:$E$1297,'PML! weight'!D18,ผลประหยัด!$K$10:$K$1297)/SUMIF(ผลประหยัด!$E$10:$E$1297,'PML! weight'!D18,ผลประหยัด!$J$10:$J$1297),0)</f>
        <v>-2.3401209679836179</v>
      </c>
      <c r="F18" s="138">
        <f>IFERROR(SUMIF(SR!$E$10:$E$1297,'PML! weight'!D18,SR!$L$10:$L$1297)/SUMIF(SR!$E$10:$E$1297,'PML! weight'!D18,SR!$K$10:$K$1297),0)</f>
        <v>12.740130386178858</v>
      </c>
      <c r="G18" s="138">
        <f>IFERROR(SUMIF(ADG!$E$10:$E$1297,'PML! weight'!D18,ADG!$L$10:$L$1297)/SUMIF(ADG!$E$10:$E$1297,'PML! weight'!D18,ADG!$K$10:$K$1297),0)</f>
        <v>6.4428645020400568</v>
      </c>
      <c r="H18" s="138">
        <f>IFERROR(SUMIF(FCR!$E$10:$E$1297,'PML! weight'!D18,FCR!$M$10:$M$1297)/SUMIF(FCR!$E$10:$E$1297,'PML! weight'!D18,FCR!$L$10:$L$1297),0)</f>
        <v>6.7801981666638067</v>
      </c>
      <c r="I18" s="138">
        <f>IFERROR(SUMIF(YIELDN!$E$10:$E$1297,'PML! weight'!D18,YIELDN!$P$10:$P$1297)/SUMIF(YIELDN!$E$10:$E$1297,'PML! weight'!D18,YIELDN!$O$10:$O$1297),0)</f>
        <v>2.3695959117626777</v>
      </c>
      <c r="J18" s="138">
        <f>IFERROR(SUMIF(SIZE!$E$10:$E$1297,'PML! weight'!D18,SIZE!$K$10:$K$1297)/SUMIF(SIZE!$E$10:$E$1297,'PML! weight'!D18,SIZE!$J$10:$J$1297),0)</f>
        <v>4.4109601606568738</v>
      </c>
      <c r="K18" s="139">
        <f t="shared" si="0"/>
        <v>30.403628159318657</v>
      </c>
      <c r="M18" s="404" t="s">
        <v>760</v>
      </c>
      <c r="N18" s="349">
        <f t="shared" si="3"/>
        <v>-2.3401209679836179</v>
      </c>
      <c r="O18" s="349">
        <f t="shared" si="4"/>
        <v>12.740130386178858</v>
      </c>
      <c r="P18" s="349">
        <f t="shared" si="4"/>
        <v>6.4428645020400568</v>
      </c>
      <c r="Q18" s="349">
        <f t="shared" si="5"/>
        <v>6.7801981666638067</v>
      </c>
      <c r="R18" s="349">
        <f t="shared" si="5"/>
        <v>2.3695959117626777</v>
      </c>
      <c r="S18" s="349">
        <f t="shared" si="5"/>
        <v>4.4109601606568738</v>
      </c>
      <c r="T18" s="414">
        <f t="shared" si="1"/>
        <v>30.403628159318657</v>
      </c>
      <c r="U18" s="412">
        <f>SUMIF('RAW DATA 2023'!BQ:BQ,'PML! weight'!D18,'RAW DATA 2023'!Y:Y)</f>
        <v>74.459310000000002</v>
      </c>
      <c r="V18" s="412">
        <f>SUMIF('RAW DATA 2023'!BQ:BQ,'PML! weight'!D18,'RAW DATA 2023'!BS:BS)</f>
        <v>13282.211039999998</v>
      </c>
      <c r="W18" s="412">
        <f>SUMIF('RAW DATA 2023'!BQ:BQ,'PML! weight'!D18,'RAW DATA 2023'!BL:BL)</f>
        <v>-2937.7461900000003</v>
      </c>
      <c r="X18" s="412">
        <f>SUMIF('RAW DATA 2023'!BQ:BQ,'PML! weight'!D18,'RAW DATA 2023'!BR:BR)</f>
        <v>-3219.2213699999988</v>
      </c>
    </row>
    <row r="19" spans="3:24">
      <c r="C19" s="136" t="s">
        <v>893</v>
      </c>
      <c r="D19" s="137" t="str">
        <f t="shared" si="2"/>
        <v>Andaman12</v>
      </c>
      <c r="E19" s="138">
        <f>IFERROR(SUMIF(ผลประหยัด!$E$10:$E$1297,'PML! weight'!D19,ผลประหยัด!$K$10:$K$1297)/SUMIF(ผลประหยัด!$E$10:$E$1297,'PML! weight'!D19,ผลประหยัด!$J$10:$J$1297),0)</f>
        <v>0</v>
      </c>
      <c r="F19" s="138">
        <f>IFERROR(SUMIF(SR!$E$10:$E$1297,'PML! weight'!D19,SR!$L$10:$L$1297)/SUMIF(SR!$E$10:$E$1297,'PML! weight'!D19,SR!$K$10:$K$1297),0)</f>
        <v>0</v>
      </c>
      <c r="G19" s="138">
        <f>IFERROR(SUMIF(ADG!$E$10:$E$1297,'PML! weight'!D19,ADG!$L$10:$L$1297)/SUMIF(ADG!$E$10:$E$1297,'PML! weight'!D19,ADG!$K$10:$K$1297),0)</f>
        <v>0</v>
      </c>
      <c r="H19" s="138">
        <f>IFERROR(SUMIF(FCR!$E$10:$E$1297,'PML! weight'!D19,FCR!$M$10:$M$1297)/SUMIF(FCR!$E$10:$E$1297,'PML! weight'!D19,FCR!$L$10:$L$1297),0)</f>
        <v>0</v>
      </c>
      <c r="I19" s="138">
        <f>IFERROR(SUMIF(YIELDN!$E$10:$E$1297,'PML! weight'!D19,YIELDN!$P$10:$P$1297)/SUMIF(YIELDN!$E$10:$E$1297,'PML! weight'!D19,YIELDN!$O$10:$O$1297),0)</f>
        <v>0</v>
      </c>
      <c r="J19" s="138">
        <f>IFERROR(SUMIF(SIZE!$E$10:$E$1297,'PML! weight'!D19,SIZE!$K$10:$K$1297)/SUMIF(SIZE!$E$10:$E$1297,'PML! weight'!D19,SIZE!$J$10:$J$1297),0)</f>
        <v>0</v>
      </c>
      <c r="K19" s="139">
        <f t="shared" si="0"/>
        <v>0</v>
      </c>
      <c r="M19" s="404" t="s">
        <v>893</v>
      </c>
      <c r="N19" s="349">
        <f t="shared" si="3"/>
        <v>0</v>
      </c>
      <c r="O19" s="349">
        <f t="shared" si="4"/>
        <v>0</v>
      </c>
      <c r="P19" s="349">
        <f t="shared" si="4"/>
        <v>0</v>
      </c>
      <c r="Q19" s="349">
        <f t="shared" si="5"/>
        <v>0</v>
      </c>
      <c r="R19" s="349">
        <f t="shared" si="5"/>
        <v>0</v>
      </c>
      <c r="S19" s="349">
        <f t="shared" si="5"/>
        <v>0</v>
      </c>
      <c r="T19" s="414">
        <f t="shared" si="1"/>
        <v>0</v>
      </c>
      <c r="U19" s="412">
        <f>SUMIF('RAW DATA 2023'!BQ:BQ,'PML! weight'!D19,'RAW DATA 2023'!Y:Y)</f>
        <v>0</v>
      </c>
      <c r="V19" s="412">
        <f>SUMIF('RAW DATA 2023'!BQ:BQ,'PML! weight'!D19,'RAW DATA 2023'!BS:BS)</f>
        <v>0</v>
      </c>
      <c r="W19" s="412">
        <f>SUMIF('RAW DATA 2023'!BQ:BQ,'PML! weight'!D19,'RAW DATA 2023'!BL:BL)</f>
        <v>0</v>
      </c>
      <c r="X19" s="412">
        <f>SUMIF('RAW DATA 2023'!BQ:BQ,'PML! weight'!D19,'RAW DATA 2023'!BR:BR)</f>
        <v>0</v>
      </c>
    </row>
    <row r="20" spans="3:24">
      <c r="C20" s="136" t="s">
        <v>835</v>
      </c>
      <c r="D20" s="137" t="str">
        <f t="shared" si="2"/>
        <v>SR412</v>
      </c>
      <c r="E20" s="138">
        <f>IFERROR(SUMIF(ผลประหยัด!$E$10:$E$1297,'PML! weight'!D20,ผลประหยัด!$K$10:$K$1297)/SUMIF(ผลประหยัด!$E$10:$E$1297,'PML! weight'!D20,ผลประหยัด!$J$10:$J$1297),0)</f>
        <v>-17.650550928930276</v>
      </c>
      <c r="F20" s="138">
        <f>IFERROR(SUMIF(SR!$E$10:$E$1297,'PML! weight'!D20,SR!$L$10:$L$1297)/SUMIF(SR!$E$10:$E$1297,'PML! weight'!D20,SR!$K$10:$K$1297),0)</f>
        <v>-0.44553887195122044</v>
      </c>
      <c r="G20" s="138">
        <f>IFERROR(SUMIF(ADG!$E$10:$E$1297,'PML! weight'!D20,ADG!$L$10:$L$1297)/SUMIF(ADG!$E$10:$E$1297,'PML! weight'!D20,ADG!$K$10:$K$1297),0)</f>
        <v>9.0186559733930824</v>
      </c>
      <c r="H20" s="138">
        <f>IFERROR(SUMIF(FCR!$E$10:$E$1297,'PML! weight'!D20,FCR!$M$10:$M$1297)/SUMIF(FCR!$E$10:$E$1297,'PML! weight'!D20,FCR!$L$10:$L$1297),0)</f>
        <v>3.0558321388908793</v>
      </c>
      <c r="I20" s="138">
        <f>IFERROR(SUMIF(YIELDN!$E$10:$E$1297,'PML! weight'!D20,YIELDN!$P$10:$P$1297)/SUMIF(YIELDN!$E$10:$E$1297,'PML! weight'!D20,YIELDN!$O$10:$O$1297),0)</f>
        <v>0.85430409427676923</v>
      </c>
      <c r="J20" s="138">
        <f>IFERROR(SUMIF(SIZE!$E$10:$E$1297,'PML! weight'!D20,SIZE!$K$10:$K$1297)/SUMIF(SIZE!$E$10:$E$1297,'PML! weight'!D20,SIZE!$J$10:$J$1297),0)</f>
        <v>7.6453226847219238</v>
      </c>
      <c r="K20" s="139">
        <f t="shared" si="0"/>
        <v>2.4780250904011583</v>
      </c>
      <c r="M20" s="404" t="s">
        <v>835</v>
      </c>
      <c r="N20" s="349">
        <f t="shared" si="3"/>
        <v>-17.650550928930276</v>
      </c>
      <c r="O20" s="349">
        <f t="shared" si="4"/>
        <v>0</v>
      </c>
      <c r="P20" s="349">
        <f t="shared" si="4"/>
        <v>9.0186559733930824</v>
      </c>
      <c r="Q20" s="349">
        <f t="shared" si="5"/>
        <v>3.0558321388908793</v>
      </c>
      <c r="R20" s="349">
        <f t="shared" si="5"/>
        <v>0.85430409427676923</v>
      </c>
      <c r="S20" s="349">
        <f t="shared" si="5"/>
        <v>7.6453226847219238</v>
      </c>
      <c r="T20" s="414">
        <f t="shared" si="1"/>
        <v>2.9235639623523797</v>
      </c>
      <c r="U20" s="412">
        <f>SUMIF('RAW DATA 2023'!BQ:BQ,'PML! weight'!D20,'RAW DATA 2023'!Y:Y)</f>
        <v>21.386200000000002</v>
      </c>
      <c r="V20" s="412">
        <f>SUMIF('RAW DATA 2023'!BQ:BQ,'PML! weight'!D20,'RAW DATA 2023'!BS:BS)</f>
        <v>4160.0396400000009</v>
      </c>
      <c r="W20" s="412">
        <f>SUMIF('RAW DATA 2023'!BQ:BQ,'PML! weight'!D20,'RAW DATA 2023'!BL:BL)</f>
        <v>-2142.5559499999995</v>
      </c>
      <c r="X20" s="412">
        <f>SUMIF('RAW DATA 2023'!BQ:BQ,'PML! weight'!D20,'RAW DATA 2023'!BR:BR)</f>
        <v>-2323.9997899999998</v>
      </c>
    </row>
    <row r="21" spans="3:24">
      <c r="C21" s="136" t="s">
        <v>924</v>
      </c>
      <c r="D21" s="137" t="str">
        <f t="shared" si="2"/>
        <v>Kanchanadit12</v>
      </c>
      <c r="E21" s="138">
        <f>IFERROR(SUMIF(ผลประหยัด!$E$10:$E$1297,'PML! weight'!D21,ผลประหยัด!$K$10:$K$1297)/SUMIF(ผลประหยัด!$E$10:$E$1297,'PML! weight'!D21,ผลประหยัด!$J$10:$J$1297),0)</f>
        <v>-2.0209289452261534</v>
      </c>
      <c r="F21" s="138">
        <f>IFERROR(SUMIF(SR!$E$10:$E$1297,'PML! weight'!D21,SR!$L$10:$L$1297)/SUMIF(SR!$E$10:$E$1297,'PML! weight'!D21,SR!$K$10:$K$1297),0)</f>
        <v>6.4431576398900159</v>
      </c>
      <c r="G21" s="138">
        <f>IFERROR(SUMIF(ADG!$E$10:$E$1297,'PML! weight'!D21,ADG!$L$10:$L$1297)/SUMIF(ADG!$E$10:$E$1297,'PML! weight'!D21,ADG!$K$10:$K$1297),0)</f>
        <v>7.4854396203809248</v>
      </c>
      <c r="H21" s="138">
        <f>IFERROR(SUMIF(FCR!$E$10:$E$1297,'PML! weight'!D21,FCR!$M$10:$M$1297)/SUMIF(FCR!$E$10:$E$1297,'PML! weight'!D21,FCR!$L$10:$L$1297),0)</f>
        <v>8.5434565360123624</v>
      </c>
      <c r="I21" s="138">
        <f>IFERROR(SUMIF(YIELDN!$E$10:$E$1297,'PML! weight'!D21,YIELDN!$P$10:$P$1297)/SUMIF(YIELDN!$E$10:$E$1297,'PML! weight'!D21,YIELDN!$O$10:$O$1297),0)</f>
        <v>3.3050246684752178</v>
      </c>
      <c r="J21" s="138">
        <f>IFERROR(SUMIF(SIZE!$E$10:$E$1297,'PML! weight'!D21,SIZE!$K$10:$K$1297)/SUMIF(SIZE!$E$10:$E$1297,'PML! weight'!D21,SIZE!$J$10:$J$1297),0)</f>
        <v>7.0819991263374158</v>
      </c>
      <c r="K21" s="139">
        <f t="shared" si="0"/>
        <v>30.838148645869786</v>
      </c>
      <c r="M21" s="404" t="s">
        <v>924</v>
      </c>
      <c r="N21" s="349">
        <f t="shared" si="3"/>
        <v>-2.0209289452261534</v>
      </c>
      <c r="O21" s="349">
        <f t="shared" si="4"/>
        <v>6.4431576398900159</v>
      </c>
      <c r="P21" s="349">
        <f t="shared" si="4"/>
        <v>7.4854396203809248</v>
      </c>
      <c r="Q21" s="349">
        <f t="shared" si="5"/>
        <v>8.5434565360123624</v>
      </c>
      <c r="R21" s="349">
        <f t="shared" si="5"/>
        <v>3.3050246684752178</v>
      </c>
      <c r="S21" s="349">
        <f t="shared" si="5"/>
        <v>7.0819991263374158</v>
      </c>
      <c r="T21" s="414">
        <f t="shared" si="1"/>
        <v>30.838148645869786</v>
      </c>
      <c r="U21" s="412">
        <f>SUMIF('RAW DATA 2023'!BQ:BQ,'PML! weight'!D21,'RAW DATA 2023'!Y:Y)</f>
        <v>57.527929999999998</v>
      </c>
      <c r="V21" s="412">
        <f>SUMIF('RAW DATA 2023'!BQ:BQ,'PML! weight'!D21,'RAW DATA 2023'!BS:BS)</f>
        <v>11188.303199999998</v>
      </c>
      <c r="W21" s="412">
        <f>SUMIF('RAW DATA 2023'!BQ:BQ,'PML! weight'!D21,'RAW DATA 2023'!BL:BL)</f>
        <v>-2515.0455000000015</v>
      </c>
      <c r="X21" s="412">
        <f>SUMIF('RAW DATA 2023'!BQ:BQ,'PML! weight'!D21,'RAW DATA 2023'!BR:BR)</f>
        <v>-2860.6442500000016</v>
      </c>
    </row>
    <row r="22" spans="3:24">
      <c r="C22" s="136" t="s">
        <v>999</v>
      </c>
      <c r="D22" s="137" t="str">
        <f t="shared" si="2"/>
        <v>Roiphet312</v>
      </c>
      <c r="E22" s="138">
        <f>IFERROR(SUMIF(ผลประหยัด!$E$10:$E$1297,'PML! weight'!D22,ผลประหยัด!$K$10:$K$1297)/SUMIF(ผลประหยัด!$E$10:$E$1297,'PML! weight'!D22,ผลประหยัด!$J$10:$J$1297),0)</f>
        <v>-60.237207418570812</v>
      </c>
      <c r="F22" s="138">
        <f>IFERROR(SUMIF(SR!$E$10:$E$1297,'PML! weight'!D22,SR!$L$10:$L$1297)/SUMIF(SR!$E$10:$E$1297,'PML! weight'!D22,SR!$K$10:$K$1297),0)</f>
        <v>14.276713450292394</v>
      </c>
      <c r="G22" s="138">
        <f>IFERROR(SUMIF(ADG!$E$10:$E$1297,'PML! weight'!D22,ADG!$L$10:$L$1297)/SUMIF(ADG!$E$10:$E$1297,'PML! weight'!D22,ADG!$K$10:$K$1297),0)</f>
        <v>2.4254561412658235</v>
      </c>
      <c r="H22" s="138">
        <f>IFERROR(SUMIF(FCR!$E$10:$E$1297,'PML! weight'!D22,FCR!$M$10:$M$1297)/SUMIF(FCR!$E$10:$E$1297,'PML! weight'!D22,FCR!$L$10:$L$1297),0)</f>
        <v>5.9989075215722609</v>
      </c>
      <c r="I22" s="138">
        <f>IFERROR(SUMIF(YIELDN!$E$10:$E$1297,'PML! weight'!D22,YIELDN!$P$10:$P$1297)/SUMIF(YIELDN!$E$10:$E$1297,'PML! weight'!D22,YIELDN!$O$10:$O$1297),0)</f>
        <v>-3.3711076557910675</v>
      </c>
      <c r="J22" s="138">
        <f>IFERROR(SUMIF(SIZE!$E$10:$E$1297,'PML! weight'!D22,SIZE!$K$10:$K$1297)/SUMIF(SIZE!$E$10:$E$1297,'PML! weight'!D22,SIZE!$J$10:$J$1297),0)</f>
        <v>-11.581756801670302</v>
      </c>
      <c r="K22" s="139">
        <f t="shared" si="0"/>
        <v>-52.48899476290169</v>
      </c>
      <c r="M22" s="404" t="s">
        <v>999</v>
      </c>
      <c r="N22" s="349">
        <f t="shared" si="3"/>
        <v>-40</v>
      </c>
      <c r="O22" s="349">
        <f t="shared" si="4"/>
        <v>14.276713450292394</v>
      </c>
      <c r="P22" s="349">
        <f t="shared" si="4"/>
        <v>2.4254561412658235</v>
      </c>
      <c r="Q22" s="349">
        <f t="shared" si="5"/>
        <v>5.9989075215722609</v>
      </c>
      <c r="R22" s="349">
        <f t="shared" si="5"/>
        <v>0</v>
      </c>
      <c r="S22" s="349">
        <f t="shared" si="5"/>
        <v>0</v>
      </c>
      <c r="T22" s="414">
        <f t="shared" si="1"/>
        <v>-17.298922886869523</v>
      </c>
      <c r="U22" s="412">
        <f>SUMIF('RAW DATA 2023'!BQ:BQ,'PML! weight'!D22,'RAW DATA 2023'!Y:Y)</f>
        <v>18.353580000000001</v>
      </c>
      <c r="V22" s="412">
        <f>SUMIF('RAW DATA 2023'!BQ:BQ,'PML! weight'!D22,'RAW DATA 2023'!BS:BS)</f>
        <v>1820.7260600000002</v>
      </c>
      <c r="W22" s="412">
        <f>SUMIF('RAW DATA 2023'!BQ:BQ,'PML! weight'!D22,'RAW DATA 2023'!BL:BL)</f>
        <v>-4729.9813299999987</v>
      </c>
      <c r="X22" s="412">
        <f>SUMIF('RAW DATA 2023'!BQ:BQ,'PML! weight'!D22,'RAW DATA 2023'!BR:BR)</f>
        <v>-3797.6703899999993</v>
      </c>
    </row>
    <row r="23" spans="3:24">
      <c r="C23" s="136" t="s">
        <v>1123</v>
      </c>
      <c r="D23" s="137" t="str">
        <f t="shared" si="2"/>
        <v>Roiphet212</v>
      </c>
      <c r="E23" s="138">
        <f>IFERROR(SUMIF(ผลประหยัด!$E$10:$E$1297,'PML! weight'!D23,ผลประหยัด!$K$10:$K$1297)/SUMIF(ผลประหยัด!$E$10:$E$1297,'PML! weight'!D23,ผลประหยัด!$J$10:$J$1297),0)</f>
        <v>0</v>
      </c>
      <c r="F23" s="138">
        <f>IFERROR(SUMIF(SR!$E$10:$E$1297,'PML! weight'!D23,SR!$L$10:$L$1297)/SUMIF(SR!$E$10:$E$1297,'PML! weight'!D23,SR!$K$10:$K$1297),0)</f>
        <v>0</v>
      </c>
      <c r="G23" s="138">
        <f>IFERROR(SUMIF(ADG!$E$10:$E$1297,'PML! weight'!D23,ADG!$L$10:$L$1297)/SUMIF(ADG!$E$10:$E$1297,'PML! weight'!D23,ADG!$K$10:$K$1297),0)</f>
        <v>0</v>
      </c>
      <c r="H23" s="138">
        <f>IFERROR(SUMIF(FCR!$E$10:$E$1297,'PML! weight'!D23,FCR!$M$10:$M$1297)/SUMIF(FCR!$E$10:$E$1297,'PML! weight'!D23,FCR!$L$10:$L$1297),0)</f>
        <v>0</v>
      </c>
      <c r="I23" s="138">
        <f>IFERROR(SUMIF(YIELDN!$E$10:$E$1297,'PML! weight'!D23,YIELDN!$P$10:$P$1297)/SUMIF(YIELDN!$E$10:$E$1297,'PML! weight'!D23,YIELDN!$O$10:$O$1297),0)</f>
        <v>0</v>
      </c>
      <c r="J23" s="138">
        <f>IFERROR(SUMIF(SIZE!$E$10:$E$1297,'PML! weight'!D23,SIZE!$K$10:$K$1297)/SUMIF(SIZE!$E$10:$E$1297,'PML! weight'!D23,SIZE!$J$10:$J$1297),0)</f>
        <v>0</v>
      </c>
      <c r="K23" s="139">
        <f t="shared" si="0"/>
        <v>0</v>
      </c>
      <c r="M23" s="404" t="s">
        <v>1123</v>
      </c>
      <c r="N23" s="349">
        <f t="shared" si="3"/>
        <v>0</v>
      </c>
      <c r="O23" s="349">
        <f t="shared" si="4"/>
        <v>0</v>
      </c>
      <c r="P23" s="349">
        <f t="shared" si="4"/>
        <v>0</v>
      </c>
      <c r="Q23" s="349">
        <f t="shared" si="5"/>
        <v>0</v>
      </c>
      <c r="R23" s="349">
        <f t="shared" si="5"/>
        <v>0</v>
      </c>
      <c r="S23" s="349">
        <f t="shared" si="5"/>
        <v>0</v>
      </c>
      <c r="T23" s="414">
        <f t="shared" si="1"/>
        <v>0</v>
      </c>
      <c r="U23" s="412">
        <f>SUMIF('RAW DATA 2023'!BQ:BQ,'PML! weight'!D23,'RAW DATA 2023'!Y:Y)</f>
        <v>0</v>
      </c>
      <c r="V23" s="412">
        <f>SUMIF('RAW DATA 2023'!BQ:BQ,'PML! weight'!D23,'RAW DATA 2023'!BS:BS)</f>
        <v>0</v>
      </c>
      <c r="W23" s="412">
        <f>SUMIF('RAW DATA 2023'!BQ:BQ,'PML! weight'!D23,'RAW DATA 2023'!BL:BL)</f>
        <v>0</v>
      </c>
      <c r="X23" s="412">
        <f>SUMIF('RAW DATA 2023'!BQ:BQ,'PML! weight'!D23,'RAW DATA 2023'!BR:BR)</f>
        <v>0</v>
      </c>
    </row>
    <row r="24" spans="3:24">
      <c r="C24" s="136" t="s">
        <v>1146</v>
      </c>
      <c r="D24" s="137" t="str">
        <f t="shared" si="2"/>
        <v>Lamlaung12</v>
      </c>
      <c r="E24" s="138">
        <f>IFERROR(SUMIF(ผลประหยัด!$E$10:$E$1297,'PML! weight'!D24,ผลประหยัด!$K$10:$K$1297)/SUMIF(ผลประหยัด!$E$10:$E$1297,'PML! weight'!D24,ผลประหยัด!$J$10:$J$1297),0)</f>
        <v>0</v>
      </c>
      <c r="F24" s="138">
        <f>IFERROR(SUMIF(SR!$E$10:$E$1297,'PML! weight'!D24,SR!$L$10:$L$1297)/SUMIF(SR!$E$10:$E$1297,'PML! weight'!D24,SR!$K$10:$K$1297),0)</f>
        <v>0</v>
      </c>
      <c r="G24" s="138">
        <f>IFERROR(SUMIF(ADG!$E$10:$E$1297,'PML! weight'!D24,ADG!$L$10:$L$1297)/SUMIF(ADG!$E$10:$E$1297,'PML! weight'!D24,ADG!$K$10:$K$1297),0)</f>
        <v>0</v>
      </c>
      <c r="H24" s="138">
        <f>IFERROR(SUMIF(FCR!$E$10:$E$1297,'PML! weight'!D24,FCR!$M$10:$M$1297)/SUMIF(FCR!$E$10:$E$1297,'PML! weight'!D24,FCR!$L$10:$L$1297),0)</f>
        <v>0</v>
      </c>
      <c r="I24" s="138">
        <f>IFERROR(SUMIF(YIELDN!$E$10:$E$1297,'PML! weight'!D24,YIELDN!$P$10:$P$1297)/SUMIF(YIELDN!$E$10:$E$1297,'PML! weight'!D24,YIELDN!$O$10:$O$1297),0)</f>
        <v>0</v>
      </c>
      <c r="J24" s="138">
        <f>IFERROR(SUMIF(SIZE!$E$10:$E$1297,'PML! weight'!D24,SIZE!$K$10:$K$1297)/SUMIF(SIZE!$E$10:$E$1297,'PML! weight'!D24,SIZE!$J$10:$J$1297),0)</f>
        <v>0</v>
      </c>
      <c r="K24" s="139">
        <f t="shared" si="0"/>
        <v>0</v>
      </c>
      <c r="M24" s="404" t="s">
        <v>1146</v>
      </c>
      <c r="N24" s="349">
        <f t="shared" si="3"/>
        <v>0</v>
      </c>
      <c r="O24" s="349">
        <f t="shared" si="4"/>
        <v>0</v>
      </c>
      <c r="P24" s="349">
        <f t="shared" si="4"/>
        <v>0</v>
      </c>
      <c r="Q24" s="349">
        <f t="shared" si="5"/>
        <v>0</v>
      </c>
      <c r="R24" s="349">
        <f t="shared" si="5"/>
        <v>0</v>
      </c>
      <c r="S24" s="349">
        <f t="shared" si="5"/>
        <v>0</v>
      </c>
      <c r="T24" s="414">
        <f t="shared" si="1"/>
        <v>0</v>
      </c>
      <c r="U24" s="412">
        <f>SUMIF('RAW DATA 2023'!BQ:BQ,'PML! weight'!D24,'RAW DATA 2023'!Y:Y)</f>
        <v>0</v>
      </c>
      <c r="V24" s="412">
        <f>SUMIF('RAW DATA 2023'!BQ:BQ,'PML! weight'!D24,'RAW DATA 2023'!BS:BS)</f>
        <v>0</v>
      </c>
      <c r="W24" s="412">
        <f>SUMIF('RAW DATA 2023'!BQ:BQ,'PML! weight'!D24,'RAW DATA 2023'!BL:BL)</f>
        <v>0</v>
      </c>
      <c r="X24" s="412">
        <f>SUMIF('RAW DATA 2023'!BQ:BQ,'PML! weight'!D24,'RAW DATA 2023'!BR:BR)</f>
        <v>0</v>
      </c>
    </row>
    <row r="25" spans="3:24">
      <c r="C25" s="136" t="s">
        <v>1174</v>
      </c>
      <c r="D25" s="137" t="str">
        <f t="shared" si="2"/>
        <v>Roiphet112</v>
      </c>
      <c r="E25" s="138">
        <f>IFERROR(SUMIF(ผลประหยัด!$E$10:$E$1297,'PML! weight'!D25,ผลประหยัด!$K$10:$K$1297)/SUMIF(ผลประหยัด!$E$10:$E$1297,'PML! weight'!D25,ผลประหยัด!$J$10:$J$1297),0)</f>
        <v>-27.903666564965008</v>
      </c>
      <c r="F25" s="138">
        <f>IFERROR(SUMIF(SR!$E$10:$E$1297,'PML! weight'!D25,SR!$L$10:$L$1297)/SUMIF(SR!$E$10:$E$1297,'PML! weight'!D25,SR!$K$10:$K$1297),0)</f>
        <v>11.34347393013037</v>
      </c>
      <c r="G25" s="138">
        <f>IFERROR(SUMIF(ADG!$E$10:$E$1297,'PML! weight'!D25,ADG!$L$10:$L$1297)/SUMIF(ADG!$E$10:$E$1297,'PML! weight'!D25,ADG!$K$10:$K$1297),0)</f>
        <v>8.7304518690331516</v>
      </c>
      <c r="H25" s="138">
        <f>IFERROR(SUMIF(FCR!$E$10:$E$1297,'PML! weight'!D25,FCR!$M$10:$M$1297)/SUMIF(FCR!$E$10:$E$1297,'PML! weight'!D25,FCR!$L$10:$L$1297),0)</f>
        <v>3.847078954771574</v>
      </c>
      <c r="I25" s="138">
        <f>IFERROR(SUMIF(YIELDN!$E$10:$E$1297,'PML! weight'!D25,YIELDN!$P$10:$P$1297)/SUMIF(YIELDN!$E$10:$E$1297,'PML! weight'!D25,YIELDN!$O$10:$O$1297),0)</f>
        <v>1.9719120413266691</v>
      </c>
      <c r="J25" s="138">
        <f>IFERROR(SUMIF(SIZE!$E$10:$E$1297,'PML! weight'!D25,SIZE!$K$10:$K$1297)/SUMIF(SIZE!$E$10:$E$1297,'PML! weight'!D25,SIZE!$J$10:$J$1297),0)</f>
        <v>6.1165735497623794</v>
      </c>
      <c r="K25" s="139">
        <f t="shared" si="0"/>
        <v>4.1058237800591391</v>
      </c>
      <c r="M25" s="404" t="s">
        <v>1174</v>
      </c>
      <c r="N25" s="349">
        <f t="shared" si="3"/>
        <v>-27.903666564965008</v>
      </c>
      <c r="O25" s="349">
        <f t="shared" si="4"/>
        <v>11.34347393013037</v>
      </c>
      <c r="P25" s="349">
        <f t="shared" si="4"/>
        <v>8.7304518690331516</v>
      </c>
      <c r="Q25" s="349">
        <f t="shared" si="5"/>
        <v>3.847078954771574</v>
      </c>
      <c r="R25" s="349">
        <f t="shared" si="5"/>
        <v>1.9719120413266691</v>
      </c>
      <c r="S25" s="349">
        <f t="shared" si="5"/>
        <v>6.1165735497623794</v>
      </c>
      <c r="T25" s="414">
        <f t="shared" si="1"/>
        <v>4.1058237800591391</v>
      </c>
      <c r="U25" s="412">
        <f>SUMIF('RAW DATA 2023'!BQ:BQ,'PML! weight'!D25,'RAW DATA 2023'!Y:Y)</f>
        <v>67.767859999999999</v>
      </c>
      <c r="V25" s="412">
        <f>SUMIF('RAW DATA 2023'!BQ:BQ,'PML! weight'!D25,'RAW DATA 2023'!BS:BS)</f>
        <v>13743.757379999999</v>
      </c>
      <c r="W25" s="412">
        <f>SUMIF('RAW DATA 2023'!BQ:BQ,'PML! weight'!D25,'RAW DATA 2023'!BL:BL)</f>
        <v>-7277.3555400000023</v>
      </c>
      <c r="X25" s="412">
        <f>SUMIF('RAW DATA 2023'!BQ:BQ,'PML! weight'!D25,'RAW DATA 2023'!BR:BR)</f>
        <v>-9079.7541600000004</v>
      </c>
    </row>
    <row r="26" spans="3:24">
      <c r="C26" s="136" t="s">
        <v>1574</v>
      </c>
      <c r="D26" s="137" t="str">
        <f t="shared" si="2"/>
        <v>PB512</v>
      </c>
      <c r="E26" s="138">
        <f>IFERROR(SUMIF(ผลประหยัด!$E$10:$E$1297,'PML! weight'!D26,ผลประหยัด!$K$10:$K$1297)/SUMIF(ผลประหยัด!$E$10:$E$1297,'PML! weight'!D26,ผลประหยัด!$J$10:$J$1297),0)</f>
        <v>0</v>
      </c>
      <c r="F26" s="138">
        <f>IFERROR(SUMIF(SR!$E$10:$E$1297,'PML! weight'!D26,SR!$L$10:$L$1297)/SUMIF(SR!$E$10:$E$1297,'PML! weight'!D26,SR!$K$10:$K$1297),0)</f>
        <v>0</v>
      </c>
      <c r="G26" s="138">
        <f>IFERROR(SUMIF(ADG!$E$10:$E$1297,'PML! weight'!D26,ADG!$L$10:$L$1297)/SUMIF(ADG!$E$10:$E$1297,'PML! weight'!D26,ADG!$K$10:$K$1297),0)</f>
        <v>0</v>
      </c>
      <c r="H26" s="138">
        <f>IFERROR(SUMIF(FCR!$E$10:$E$1297,'PML! weight'!D26,FCR!$M$10:$M$1297)/SUMIF(FCR!$E$10:$E$1297,'PML! weight'!D26,FCR!$L$10:$L$1297),0)</f>
        <v>0</v>
      </c>
      <c r="I26" s="138">
        <f>IFERROR(SUMIF(YIELDN!$E$10:$E$1297,'PML! weight'!D26,YIELDN!$P$10:$P$1297)/SUMIF(YIELDN!$E$10:$E$1297,'PML! weight'!D26,YIELDN!$O$10:$O$1297),0)</f>
        <v>0</v>
      </c>
      <c r="J26" s="138">
        <f>IFERROR(SUMIF(SIZE!$E$10:$E$1297,'PML! weight'!D26,SIZE!$K$10:$K$1297)/SUMIF(SIZE!$E$10:$E$1297,'PML! weight'!D26,SIZE!$J$10:$J$1297),0)</f>
        <v>0</v>
      </c>
      <c r="K26" s="139">
        <f t="shared" si="0"/>
        <v>0</v>
      </c>
      <c r="M26" s="404" t="s">
        <v>1574</v>
      </c>
      <c r="N26" s="349">
        <f t="shared" si="3"/>
        <v>0</v>
      </c>
      <c r="O26" s="349">
        <f t="shared" si="4"/>
        <v>0</v>
      </c>
      <c r="P26" s="349">
        <f t="shared" si="4"/>
        <v>0</v>
      </c>
      <c r="Q26" s="349">
        <f t="shared" si="5"/>
        <v>0</v>
      </c>
      <c r="R26" s="349">
        <f t="shared" si="5"/>
        <v>0</v>
      </c>
      <c r="S26" s="349">
        <f t="shared" si="5"/>
        <v>0</v>
      </c>
      <c r="T26" s="414">
        <f t="shared" si="1"/>
        <v>0</v>
      </c>
      <c r="U26" s="412">
        <f>SUMIF('RAW DATA 2023'!BQ:BQ,'PML! weight'!D26,'RAW DATA 2023'!Y:Y)</f>
        <v>0</v>
      </c>
      <c r="V26" s="412">
        <f>SUMIF('RAW DATA 2023'!BQ:BQ,'PML! weight'!D26,'RAW DATA 2023'!BS:BS)</f>
        <v>0</v>
      </c>
      <c r="W26" s="412">
        <f>SUMIF('RAW DATA 2023'!BQ:BQ,'PML! weight'!D26,'RAW DATA 2023'!BL:BL)</f>
        <v>0</v>
      </c>
      <c r="X26" s="412">
        <f>SUMIF('RAW DATA 2023'!BQ:BQ,'PML! weight'!D26,'RAW DATA 2023'!BR:BR)</f>
        <v>0</v>
      </c>
    </row>
    <row r="27" spans="3:24">
      <c r="C27" s="136" t="s">
        <v>1600</v>
      </c>
      <c r="D27" s="137" t="str">
        <f t="shared" si="2"/>
        <v>Maeklong112</v>
      </c>
      <c r="E27" s="138">
        <f>IFERROR(SUMIF(ผลประหยัด!$E$10:$E$1297,'PML! weight'!D27,ผลประหยัด!$K$10:$K$1297)/SUMIF(ผลประหยัด!$E$10:$E$1297,'PML! weight'!D27,ผลประหยัด!$J$10:$J$1297),0)</f>
        <v>-4.5899736911918634</v>
      </c>
      <c r="F27" s="138">
        <f>IFERROR(SUMIF(SR!$E$10:$E$1297,'PML! weight'!D27,SR!$L$10:$L$1297)/SUMIF(SR!$E$10:$E$1297,'PML! weight'!D27,SR!$K$10:$K$1297),0)</f>
        <v>5.2068300274204695</v>
      </c>
      <c r="G27" s="138">
        <f>IFERROR(SUMIF(ADG!$E$10:$E$1297,'PML! weight'!D27,ADG!$L$10:$L$1297)/SUMIF(ADG!$E$10:$E$1297,'PML! weight'!D27,ADG!$K$10:$K$1297),0)</f>
        <v>7.5577108373006707</v>
      </c>
      <c r="H27" s="138">
        <f>IFERROR(SUMIF(FCR!$E$10:$E$1297,'PML! weight'!D27,FCR!$M$10:$M$1297)/SUMIF(FCR!$E$10:$E$1297,'PML! weight'!D27,FCR!$L$10:$L$1297),0)</f>
        <v>1.8807160844881632</v>
      </c>
      <c r="I27" s="138">
        <f>IFERROR(SUMIF(YIELDN!$E$10:$E$1297,'PML! weight'!D27,YIELDN!$P$10:$P$1297)/SUMIF(YIELDN!$E$10:$E$1297,'PML! weight'!D27,YIELDN!$O$10:$O$1297),0)</f>
        <v>1.1049544614917481</v>
      </c>
      <c r="J27" s="138">
        <f>IFERROR(SUMIF(SIZE!$E$10:$E$1297,'PML! weight'!D27,SIZE!$K$10:$K$1297)/SUMIF(SIZE!$E$10:$E$1297,'PML! weight'!D27,SIZE!$J$10:$J$1297),0)</f>
        <v>5.9567207572894718</v>
      </c>
      <c r="K27" s="139">
        <f t="shared" si="0"/>
        <v>17.116958476798658</v>
      </c>
      <c r="M27" s="404" t="s">
        <v>1600</v>
      </c>
      <c r="N27" s="349">
        <f t="shared" si="3"/>
        <v>-4.5899736911918634</v>
      </c>
      <c r="O27" s="349">
        <f t="shared" si="4"/>
        <v>5.2068300274204695</v>
      </c>
      <c r="P27" s="349">
        <f t="shared" si="4"/>
        <v>7.5577108373006707</v>
      </c>
      <c r="Q27" s="349">
        <f t="shared" si="5"/>
        <v>1.8807160844881632</v>
      </c>
      <c r="R27" s="349">
        <f t="shared" si="5"/>
        <v>1.1049544614917481</v>
      </c>
      <c r="S27" s="349">
        <f t="shared" si="5"/>
        <v>5.9567207572894718</v>
      </c>
      <c r="T27" s="414">
        <f t="shared" si="1"/>
        <v>17.116958476798658</v>
      </c>
      <c r="U27" s="412">
        <f>SUMIF('RAW DATA 2023'!BQ:BQ,'PML! weight'!D27,'RAW DATA 2023'!Y:Y)</f>
        <v>77.100239999999999</v>
      </c>
      <c r="V27" s="412">
        <f>SUMIF('RAW DATA 2023'!BQ:BQ,'PML! weight'!D27,'RAW DATA 2023'!BS:BS)</f>
        <v>14332.32813</v>
      </c>
      <c r="W27" s="412">
        <f>SUMIF('RAW DATA 2023'!BQ:BQ,'PML! weight'!D27,'RAW DATA 2023'!BL:BL)</f>
        <v>-3499.8267100000035</v>
      </c>
      <c r="X27" s="412">
        <f>SUMIF('RAW DATA 2023'!BQ:BQ,'PML! weight'!D27,'RAW DATA 2023'!BR:BR)</f>
        <v>-4189.8310200000014</v>
      </c>
    </row>
    <row r="28" spans="3:24">
      <c r="C28" s="136" t="s">
        <v>1660</v>
      </c>
      <c r="D28" s="137" t="str">
        <f t="shared" si="2"/>
        <v>Petchburi512</v>
      </c>
      <c r="E28" s="138">
        <f>IFERROR(SUMIF(ผลประหยัด!$E$10:$E$1297,'PML! weight'!D28,ผลประหยัด!$K$10:$K$1297)/SUMIF(ผลประหยัด!$E$10:$E$1297,'PML! weight'!D28,ผลประหยัด!$J$10:$J$1297),0)</f>
        <v>17.462038570355737</v>
      </c>
      <c r="F28" s="138">
        <f>IFERROR(SUMIF(SR!$E$10:$E$1297,'PML! weight'!D28,SR!$L$10:$L$1297)/SUMIF(SR!$E$10:$E$1297,'PML! weight'!D28,SR!$K$10:$K$1297),0)</f>
        <v>13.431277056802561</v>
      </c>
      <c r="G28" s="138">
        <f>IFERROR(SUMIF(ADG!$E$10:$E$1297,'PML! weight'!D28,ADG!$L$10:$L$1297)/SUMIF(ADG!$E$10:$E$1297,'PML! weight'!D28,ADG!$K$10:$K$1297),0)</f>
        <v>10.132522681467671</v>
      </c>
      <c r="H28" s="138">
        <f>IFERROR(SUMIF(FCR!$E$10:$E$1297,'PML! weight'!D28,FCR!$M$10:$M$1297)/SUMIF(FCR!$E$10:$E$1297,'PML! weight'!D28,FCR!$L$10:$L$1297),0)</f>
        <v>10.657856579205946</v>
      </c>
      <c r="I28" s="138">
        <f>IFERROR(SUMIF(YIELDN!$E$10:$E$1297,'PML! weight'!D28,YIELDN!$P$10:$P$1297)/SUMIF(YIELDN!$E$10:$E$1297,'PML! weight'!D28,YIELDN!$O$10:$O$1297),0)</f>
        <v>9.9500323152228312</v>
      </c>
      <c r="J28" s="138">
        <f>IFERROR(SUMIF(SIZE!$E$10:$E$1297,'PML! weight'!D28,SIZE!$K$10:$K$1297)/SUMIF(SIZE!$E$10:$E$1297,'PML! weight'!D28,SIZE!$J$10:$J$1297),0)</f>
        <v>7.4863415488282516</v>
      </c>
      <c r="K28" s="139">
        <f t="shared" si="0"/>
        <v>69.120068751882997</v>
      </c>
      <c r="M28" s="404" t="s">
        <v>1660</v>
      </c>
      <c r="N28" s="349">
        <f t="shared" si="3"/>
        <v>17.462038570355737</v>
      </c>
      <c r="O28" s="349">
        <f t="shared" si="4"/>
        <v>13.431277056802561</v>
      </c>
      <c r="P28" s="349">
        <f t="shared" si="4"/>
        <v>10.132522681467671</v>
      </c>
      <c r="Q28" s="349">
        <f t="shared" si="5"/>
        <v>10</v>
      </c>
      <c r="R28" s="349">
        <f t="shared" si="5"/>
        <v>9.9500323152228312</v>
      </c>
      <c r="S28" s="349">
        <f t="shared" si="5"/>
        <v>7.4863415488282516</v>
      </c>
      <c r="T28" s="414">
        <f t="shared" si="1"/>
        <v>68.462212172677056</v>
      </c>
      <c r="U28" s="412">
        <f>SUMIF('RAW DATA 2023'!BQ:BQ,'PML! weight'!D28,'RAW DATA 2023'!Y:Y)</f>
        <v>86.009019999999992</v>
      </c>
      <c r="V28" s="412">
        <f>SUMIF('RAW DATA 2023'!BQ:BQ,'PML! weight'!D28,'RAW DATA 2023'!BS:BS)</f>
        <v>17583.03413</v>
      </c>
      <c r="W28" s="412">
        <f>SUMIF('RAW DATA 2023'!BQ:BQ,'PML! weight'!D28,'RAW DATA 2023'!BL:BL)</f>
        <v>2943.7535699999989</v>
      </c>
      <c r="X28" s="412">
        <f>SUMIF('RAW DATA 2023'!BQ:BQ,'PML! weight'!D28,'RAW DATA 2023'!BR:BR)</f>
        <v>1228.7885600000004</v>
      </c>
    </row>
    <row r="29" spans="3:24">
      <c r="C29" s="136" t="s">
        <v>1747</v>
      </c>
      <c r="D29" s="137" t="str">
        <f t="shared" si="2"/>
        <v>Bansang12</v>
      </c>
      <c r="E29" s="138">
        <f>IFERROR(SUMIF(ผลประหยัด!$E$10:$E$1297,'PML! weight'!D29,ผลประหยัด!$K$10:$K$1297)/SUMIF(ผลประหยัด!$E$10:$E$1297,'PML! weight'!D29,ผลประหยัด!$J$10:$J$1297),0)</f>
        <v>0</v>
      </c>
      <c r="F29" s="138">
        <f>IFERROR(SUMIF(SR!$E$10:$E$1297,'PML! weight'!D29,SR!$L$10:$L$1297)/SUMIF(SR!$E$10:$E$1297,'PML! weight'!D29,SR!$K$10:$K$1297),0)</f>
        <v>0</v>
      </c>
      <c r="G29" s="138">
        <f>IFERROR(SUMIF(ADG!$E$10:$E$1297,'PML! weight'!D29,ADG!$L$10:$L$1297)/SUMIF(ADG!$E$10:$E$1297,'PML! weight'!D29,ADG!$K$10:$K$1297),0)</f>
        <v>0</v>
      </c>
      <c r="H29" s="138">
        <f>IFERROR(SUMIF(FCR!$E$10:$E$1297,'PML! weight'!D29,FCR!$M$10:$M$1297)/SUMIF(FCR!$E$10:$E$1297,'PML! weight'!D29,FCR!$L$10:$L$1297),0)</f>
        <v>0</v>
      </c>
      <c r="I29" s="138">
        <f>IFERROR(SUMIF(YIELDN!$E$10:$E$1297,'PML! weight'!D29,YIELDN!$P$10:$P$1297)/SUMIF(YIELDN!$E$10:$E$1297,'PML! weight'!D29,YIELDN!$O$10:$O$1297),0)</f>
        <v>0</v>
      </c>
      <c r="J29" s="138">
        <f>IFERROR(SUMIF(SIZE!$E$10:$E$1297,'PML! weight'!D29,SIZE!$K$10:$K$1297)/SUMIF(SIZE!$E$10:$E$1297,'PML! weight'!D29,SIZE!$J$10:$J$1297),0)</f>
        <v>0</v>
      </c>
      <c r="K29" s="139">
        <f t="shared" si="0"/>
        <v>0</v>
      </c>
      <c r="M29" s="404" t="s">
        <v>1747</v>
      </c>
      <c r="N29" s="349">
        <f t="shared" si="3"/>
        <v>0</v>
      </c>
      <c r="O29" s="349">
        <f t="shared" si="4"/>
        <v>0</v>
      </c>
      <c r="P29" s="349">
        <f t="shared" si="4"/>
        <v>0</v>
      </c>
      <c r="Q29" s="349">
        <f t="shared" si="5"/>
        <v>0</v>
      </c>
      <c r="R29" s="349">
        <f t="shared" si="5"/>
        <v>0</v>
      </c>
      <c r="S29" s="349">
        <f t="shared" si="5"/>
        <v>0</v>
      </c>
      <c r="T29" s="414">
        <f t="shared" si="1"/>
        <v>0</v>
      </c>
      <c r="U29" s="412">
        <f>SUMIF('RAW DATA 2023'!BQ:BQ,'PML! weight'!D29,'RAW DATA 2023'!Y:Y)</f>
        <v>0</v>
      </c>
      <c r="V29" s="412">
        <f>SUMIF('RAW DATA 2023'!BQ:BQ,'PML! weight'!D29,'RAW DATA 2023'!BS:BS)</f>
        <v>0</v>
      </c>
      <c r="W29" s="412">
        <f>SUMIF('RAW DATA 2023'!BQ:BQ,'PML! weight'!D29,'RAW DATA 2023'!BL:BL)</f>
        <v>0</v>
      </c>
      <c r="X29" s="412">
        <f>SUMIF('RAW DATA 2023'!BQ:BQ,'PML! weight'!D29,'RAW DATA 2023'!BR:BR)</f>
        <v>0</v>
      </c>
    </row>
    <row r="30" spans="3:24">
      <c r="C30" s="136" t="s">
        <v>1771</v>
      </c>
      <c r="D30" s="137" t="str">
        <f t="shared" si="2"/>
        <v>Choknavy12</v>
      </c>
      <c r="E30" s="138">
        <f>IFERROR(SUMIF(ผลประหยัด!$E$10:$E$1297,'PML! weight'!D30,ผลประหยัด!$K$10:$K$1297)/SUMIF(ผลประหยัด!$E$10:$E$1297,'PML! weight'!D30,ผลประหยัด!$J$10:$J$1297),0)</f>
        <v>0</v>
      </c>
      <c r="F30" s="138">
        <f>IFERROR(SUMIF(SR!$E$10:$E$1297,'PML! weight'!D30,SR!$L$10:$L$1297)/SUMIF(SR!$E$10:$E$1297,'PML! weight'!D30,SR!$K$10:$K$1297),0)</f>
        <v>0</v>
      </c>
      <c r="G30" s="138">
        <f>IFERROR(SUMIF(ADG!$E$10:$E$1297,'PML! weight'!D30,ADG!$L$10:$L$1297)/SUMIF(ADG!$E$10:$E$1297,'PML! weight'!D30,ADG!$K$10:$K$1297),0)</f>
        <v>0</v>
      </c>
      <c r="H30" s="138">
        <f>IFERROR(SUMIF(FCR!$E$10:$E$1297,'PML! weight'!D30,FCR!$M$10:$M$1297)/SUMIF(FCR!$E$10:$E$1297,'PML! weight'!D30,FCR!$L$10:$L$1297),0)</f>
        <v>0</v>
      </c>
      <c r="I30" s="138">
        <f>IFERROR(SUMIF(YIELDN!$E$10:$E$1297,'PML! weight'!D30,YIELDN!$P$10:$P$1297)/SUMIF(YIELDN!$E$10:$E$1297,'PML! weight'!D30,YIELDN!$O$10:$O$1297),0)</f>
        <v>0</v>
      </c>
      <c r="J30" s="138">
        <f>IFERROR(SUMIF(SIZE!$E$10:$E$1297,'PML! weight'!D30,SIZE!$K$10:$K$1297)/SUMIF(SIZE!$E$10:$E$1297,'PML! weight'!D30,SIZE!$J$10:$J$1297),0)</f>
        <v>0</v>
      </c>
      <c r="K30" s="139">
        <f t="shared" si="0"/>
        <v>0</v>
      </c>
      <c r="M30" s="404" t="s">
        <v>1771</v>
      </c>
      <c r="N30" s="349">
        <f t="shared" si="3"/>
        <v>0</v>
      </c>
      <c r="O30" s="349">
        <f t="shared" si="4"/>
        <v>0</v>
      </c>
      <c r="P30" s="349">
        <f t="shared" si="4"/>
        <v>0</v>
      </c>
      <c r="Q30" s="349">
        <f t="shared" si="5"/>
        <v>0</v>
      </c>
      <c r="R30" s="349">
        <f t="shared" si="5"/>
        <v>0</v>
      </c>
      <c r="S30" s="349">
        <f t="shared" si="5"/>
        <v>0</v>
      </c>
      <c r="T30" s="414">
        <f t="shared" si="1"/>
        <v>0</v>
      </c>
      <c r="U30" s="412">
        <f>SUMIF('RAW DATA 2023'!BQ:BQ,'PML! weight'!D30,'RAW DATA 2023'!Y:Y)</f>
        <v>0</v>
      </c>
      <c r="V30" s="412">
        <f>SUMIF('RAW DATA 2023'!BQ:BQ,'PML! weight'!D30,'RAW DATA 2023'!BS:BS)</f>
        <v>0</v>
      </c>
      <c r="W30" s="412">
        <f>SUMIF('RAW DATA 2023'!BQ:BQ,'PML! weight'!D30,'RAW DATA 2023'!BL:BL)</f>
        <v>0</v>
      </c>
      <c r="X30" s="412">
        <f>SUMIF('RAW DATA 2023'!BQ:BQ,'PML! weight'!D30,'RAW DATA 2023'!BR:BR)</f>
        <v>0</v>
      </c>
    </row>
  </sheetData>
  <autoFilter ref="M2:T30" xr:uid="{F5E5A753-2BB0-4C4D-830A-377422470796}"/>
  <conditionalFormatting sqref="T1:T1048576">
    <cfRule type="dataBar" priority="1">
      <dataBar>
        <cfvo type="min"/>
        <cfvo type="max"/>
        <color rgb="FF63C384"/>
      </dataBar>
      <extLst>
        <ext xmlns:x14="http://schemas.microsoft.com/office/spreadsheetml/2009/9/main" uri="{B025F937-C7B1-47D3-B67F-A62EFF666E3E}">
          <x14:id>{BC5CD9F1-FBEF-3A4D-9680-6EA6C193203A}</x14:id>
        </ext>
      </extLst>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dataBar" id="{BC5CD9F1-FBEF-3A4D-9680-6EA6C193203A}">
            <x14:dataBar minLength="0" maxLength="100" border="1" negativeBarBorderColorSameAsPositive="0">
              <x14:cfvo type="autoMin"/>
              <x14:cfvo type="autoMax"/>
              <x14:borderColor rgb="FF63C384"/>
              <x14:negativeFillColor rgb="FFFF0000"/>
              <x14:negativeBorderColor rgb="FFFF0000"/>
              <x14:axisColor rgb="FF000000"/>
            </x14:dataBar>
          </x14:cfRule>
          <xm:sqref>T1:T1048576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DCF4E-CFA5-F945-A4F1-8FEC264D3C5C}">
  <dimension ref="A3:N80"/>
  <sheetViews>
    <sheetView topLeftCell="A22" zoomScale="160" zoomScaleNormal="160" workbookViewId="0">
      <selection activeCell="C63" sqref="C63"/>
    </sheetView>
  </sheetViews>
  <sheetFormatPr baseColWidth="10" defaultRowHeight="20"/>
  <cols>
    <col min="1" max="1" width="5.6640625" customWidth="1"/>
    <col min="2" max="2" width="15.5" customWidth="1"/>
    <col min="3" max="8" width="9.1640625" customWidth="1"/>
    <col min="9" max="9" width="14.83203125" customWidth="1"/>
    <col min="10" max="13" width="10.83203125" style="418" customWidth="1"/>
    <col min="14" max="14" width="10.83203125" style="419" customWidth="1"/>
  </cols>
  <sheetData>
    <row r="3" spans="1:14" ht="25">
      <c r="A3" s="479" t="s">
        <v>2815</v>
      </c>
      <c r="B3" s="479"/>
      <c r="C3" s="479"/>
      <c r="D3" s="479"/>
      <c r="E3" s="479"/>
      <c r="F3" s="479"/>
      <c r="G3" s="479"/>
      <c r="H3" s="479"/>
      <c r="I3" s="479"/>
      <c r="J3" s="479"/>
      <c r="K3" s="479"/>
      <c r="L3" s="479"/>
      <c r="M3" s="479"/>
      <c r="N3" s="479"/>
    </row>
    <row r="4" spans="1:14" ht="20" customHeight="1">
      <c r="A4" s="482" t="s">
        <v>2826</v>
      </c>
      <c r="B4" s="401" t="s">
        <v>1832</v>
      </c>
      <c r="C4" s="402">
        <v>40</v>
      </c>
      <c r="D4" s="402">
        <v>15</v>
      </c>
      <c r="E4" s="402">
        <v>15</v>
      </c>
      <c r="F4" s="402">
        <v>10</v>
      </c>
      <c r="G4" s="402">
        <v>10</v>
      </c>
      <c r="H4" s="402">
        <v>10</v>
      </c>
      <c r="I4" s="401">
        <v>100</v>
      </c>
      <c r="J4" s="480" t="s">
        <v>23</v>
      </c>
      <c r="K4" s="481" t="s">
        <v>2820</v>
      </c>
      <c r="L4" s="481" t="s">
        <v>2821</v>
      </c>
      <c r="M4" s="481" t="s">
        <v>2822</v>
      </c>
      <c r="N4" s="481" t="s">
        <v>2825</v>
      </c>
    </row>
    <row r="5" spans="1:14">
      <c r="A5" s="482"/>
      <c r="B5" s="401" t="s">
        <v>1</v>
      </c>
      <c r="C5" s="402" t="s">
        <v>1836</v>
      </c>
      <c r="D5" s="402" t="s">
        <v>1916</v>
      </c>
      <c r="E5" s="402" t="s">
        <v>1851</v>
      </c>
      <c r="F5" s="402" t="s">
        <v>29</v>
      </c>
      <c r="G5" s="402" t="s">
        <v>1917</v>
      </c>
      <c r="H5" s="402" t="s">
        <v>1907</v>
      </c>
      <c r="I5" s="401" t="s">
        <v>1843</v>
      </c>
      <c r="J5" s="480"/>
      <c r="K5" s="481"/>
      <c r="L5" s="481"/>
      <c r="M5" s="481"/>
      <c r="N5" s="481"/>
    </row>
    <row r="6" spans="1:14">
      <c r="A6" s="130">
        <v>1</v>
      </c>
      <c r="B6" s="404" t="s">
        <v>1771</v>
      </c>
      <c r="C6" s="349">
        <v>16.330993921898212</v>
      </c>
      <c r="D6" s="349">
        <v>14.642216285924833</v>
      </c>
      <c r="E6" s="349">
        <v>15</v>
      </c>
      <c r="F6" s="349">
        <v>2.0634427242768205</v>
      </c>
      <c r="G6" s="349">
        <v>6.2938619221898682</v>
      </c>
      <c r="H6" s="349">
        <v>9.1040928523765512</v>
      </c>
      <c r="I6" s="414">
        <v>63.434607706666284</v>
      </c>
      <c r="J6" s="412">
        <v>36.386360000000003</v>
      </c>
      <c r="K6" s="412">
        <v>7515.3404300000029</v>
      </c>
      <c r="L6" s="412">
        <v>647.09577000000331</v>
      </c>
      <c r="M6" s="412">
        <v>409.02734000000106</v>
      </c>
      <c r="N6" s="412">
        <f>M6/J6</f>
        <v>11.2412272071183</v>
      </c>
    </row>
    <row r="7" spans="1:14">
      <c r="A7" s="130">
        <v>2</v>
      </c>
      <c r="B7" s="404" t="s">
        <v>632</v>
      </c>
      <c r="C7" s="349">
        <v>12.099998512434226</v>
      </c>
      <c r="D7" s="349">
        <v>15</v>
      </c>
      <c r="E7" s="349">
        <v>15</v>
      </c>
      <c r="F7" s="349">
        <v>6.118976863550154</v>
      </c>
      <c r="G7" s="349">
        <v>7.3011912959334069</v>
      </c>
      <c r="H7" s="349">
        <v>7.2537055594782807</v>
      </c>
      <c r="I7" s="414">
        <v>62.773872231396069</v>
      </c>
      <c r="J7" s="412">
        <v>77.695419999999999</v>
      </c>
      <c r="K7" s="412">
        <v>14378.05537</v>
      </c>
      <c r="L7" s="412">
        <v>-256.21339000000239</v>
      </c>
      <c r="M7" s="412">
        <v>-131.68094000000337</v>
      </c>
      <c r="N7" s="412">
        <f t="shared" ref="N7:N19" si="0">M7/J7</f>
        <v>-1.6948352940238096</v>
      </c>
    </row>
    <row r="8" spans="1:14">
      <c r="A8" s="130">
        <v>3</v>
      </c>
      <c r="B8" s="404" t="s">
        <v>1660</v>
      </c>
      <c r="C8" s="349">
        <v>15.167622971808933</v>
      </c>
      <c r="D8" s="349">
        <v>8.9628242735042747</v>
      </c>
      <c r="E8" s="349">
        <v>12.168482458293081</v>
      </c>
      <c r="F8" s="349">
        <v>2.8652824365998182</v>
      </c>
      <c r="G8" s="349">
        <v>10</v>
      </c>
      <c r="H8" s="349">
        <v>8.1010869144092208</v>
      </c>
      <c r="I8" s="414">
        <v>57.265299054615333</v>
      </c>
      <c r="J8" s="412">
        <v>157.44570000000002</v>
      </c>
      <c r="K8" s="412">
        <v>30044.390989999996</v>
      </c>
      <c r="L8" s="412">
        <v>1252.9535500000009</v>
      </c>
      <c r="M8" s="412">
        <v>1006.456430000001</v>
      </c>
      <c r="N8" s="412">
        <f t="shared" si="0"/>
        <v>6.3924034127321407</v>
      </c>
    </row>
    <row r="9" spans="1:14">
      <c r="A9" s="130">
        <v>4</v>
      </c>
      <c r="B9" s="404" t="s">
        <v>835</v>
      </c>
      <c r="C9" s="349">
        <v>10.509067936354802</v>
      </c>
      <c r="D9" s="349">
        <v>0</v>
      </c>
      <c r="E9" s="349">
        <v>15</v>
      </c>
      <c r="F9" s="349">
        <v>0</v>
      </c>
      <c r="G9" s="349">
        <v>6.0730000000000031</v>
      </c>
      <c r="H9" s="349">
        <v>10</v>
      </c>
      <c r="I9" s="414">
        <v>41.582067936354804</v>
      </c>
      <c r="J9" s="412">
        <v>17.580740000000002</v>
      </c>
      <c r="K9" s="412">
        <v>3847.6115099999993</v>
      </c>
      <c r="L9" s="412">
        <v>-280.50376000000023</v>
      </c>
      <c r="M9" s="412">
        <v>-207.61024999999924</v>
      </c>
      <c r="N9" s="412">
        <f t="shared" si="0"/>
        <v>-11.808959691116485</v>
      </c>
    </row>
    <row r="10" spans="1:14">
      <c r="A10" s="130">
        <v>5</v>
      </c>
      <c r="B10" s="404" t="s">
        <v>924</v>
      </c>
      <c r="C10" s="349">
        <v>1.160515053686699</v>
      </c>
      <c r="D10" s="349">
        <v>4.422521739130433</v>
      </c>
      <c r="E10" s="349">
        <v>12.078102279233867</v>
      </c>
      <c r="F10" s="349">
        <v>1.8255459112323593</v>
      </c>
      <c r="G10" s="349">
        <v>6.0469648400712686</v>
      </c>
      <c r="H10" s="349">
        <v>9.0012891270192963</v>
      </c>
      <c r="I10" s="414">
        <v>34.534938950373927</v>
      </c>
      <c r="J10" s="412">
        <v>19.8584</v>
      </c>
      <c r="K10" s="412">
        <v>4115.1388200000001</v>
      </c>
      <c r="L10" s="412">
        <v>-725.00815999999963</v>
      </c>
      <c r="M10" s="412">
        <v>-899.39371000000006</v>
      </c>
      <c r="N10" s="412">
        <f t="shared" si="0"/>
        <v>-45.290341115094876</v>
      </c>
    </row>
    <row r="11" spans="1:14">
      <c r="A11" s="130">
        <v>6</v>
      </c>
      <c r="B11" s="404" t="s">
        <v>408</v>
      </c>
      <c r="C11" s="349">
        <v>-2.9122136791439099</v>
      </c>
      <c r="D11" s="349">
        <v>7.5828731684981667</v>
      </c>
      <c r="E11" s="349">
        <v>10.755259687143875</v>
      </c>
      <c r="F11" s="349">
        <v>2.261275030829244</v>
      </c>
      <c r="G11" s="349">
        <v>3.1881461240688336</v>
      </c>
      <c r="H11" s="349">
        <v>7.8165825374840301</v>
      </c>
      <c r="I11" s="414">
        <v>28.691922868880241</v>
      </c>
      <c r="J11" s="412">
        <v>45.442019999999999</v>
      </c>
      <c r="K11" s="412">
        <v>8972.2377699999997</v>
      </c>
      <c r="L11" s="412">
        <v>-2075.4296700000004</v>
      </c>
      <c r="M11" s="412">
        <v>-2579.5696700000003</v>
      </c>
      <c r="N11" s="412">
        <f t="shared" si="0"/>
        <v>-56.766175227245625</v>
      </c>
    </row>
    <row r="12" spans="1:14">
      <c r="A12" s="130">
        <v>7</v>
      </c>
      <c r="B12" s="404" t="s">
        <v>724</v>
      </c>
      <c r="C12" s="349">
        <v>-8.8282719787416983</v>
      </c>
      <c r="D12" s="349">
        <v>8.8250028969896324</v>
      </c>
      <c r="E12" s="349">
        <v>15</v>
      </c>
      <c r="F12" s="349">
        <v>2.5453085034666163</v>
      </c>
      <c r="G12" s="349">
        <v>4.3918895362162376</v>
      </c>
      <c r="H12" s="349">
        <v>6.6926828945532248</v>
      </c>
      <c r="I12" s="414">
        <v>28.626611852484011</v>
      </c>
      <c r="J12" s="412">
        <v>132.99903999999998</v>
      </c>
      <c r="K12" s="412">
        <v>25100.872049999998</v>
      </c>
      <c r="L12" s="412">
        <v>-9683.8270299999967</v>
      </c>
      <c r="M12" s="412">
        <v>-8976.3384100000003</v>
      </c>
      <c r="N12" s="412">
        <f t="shared" si="0"/>
        <v>-67.491753399122288</v>
      </c>
    </row>
    <row r="13" spans="1:14">
      <c r="A13" s="130">
        <v>8</v>
      </c>
      <c r="B13" s="404" t="s">
        <v>1574</v>
      </c>
      <c r="C13" s="349">
        <v>-9.5799273009203976</v>
      </c>
      <c r="D13" s="349">
        <v>11.1221087308096</v>
      </c>
      <c r="E13" s="349">
        <v>9.1820229145838699</v>
      </c>
      <c r="F13" s="349">
        <v>2.5092603236621089</v>
      </c>
      <c r="G13" s="349">
        <v>8.4995340639279465E-2</v>
      </c>
      <c r="H13" s="349">
        <v>7.129410268566267</v>
      </c>
      <c r="I13" s="414">
        <v>20.447870277340726</v>
      </c>
      <c r="J13" s="412">
        <v>90.743339999999989</v>
      </c>
      <c r="K13" s="412">
        <v>17010.93735</v>
      </c>
      <c r="L13" s="412">
        <v>-6567.9878299999973</v>
      </c>
      <c r="M13" s="412">
        <v>-6982.432219999997</v>
      </c>
      <c r="N13" s="412">
        <f t="shared" si="0"/>
        <v>-76.947048896370774</v>
      </c>
    </row>
    <row r="14" spans="1:14">
      <c r="A14" s="130">
        <v>9</v>
      </c>
      <c r="B14" s="404" t="s">
        <v>760</v>
      </c>
      <c r="C14" s="349">
        <v>-11.863879689340243</v>
      </c>
      <c r="D14" s="349">
        <v>0</v>
      </c>
      <c r="E14" s="349">
        <v>15</v>
      </c>
      <c r="F14" s="349">
        <v>0</v>
      </c>
      <c r="G14" s="349">
        <v>1.0796814400331587</v>
      </c>
      <c r="H14" s="349">
        <v>10</v>
      </c>
      <c r="I14" s="414">
        <v>14.215801750692917</v>
      </c>
      <c r="J14" s="412">
        <v>13.082420000000001</v>
      </c>
      <c r="K14" s="412">
        <v>2898.6041299999993</v>
      </c>
      <c r="L14" s="412">
        <v>-1320.0322500000004</v>
      </c>
      <c r="M14" s="412">
        <v>-1353.5864000000001</v>
      </c>
      <c r="N14" s="412">
        <f t="shared" si="0"/>
        <v>-103.46605597435337</v>
      </c>
    </row>
    <row r="15" spans="1:14">
      <c r="A15" s="130">
        <v>10</v>
      </c>
      <c r="B15" s="404" t="s">
        <v>567</v>
      </c>
      <c r="C15" s="349">
        <v>-40</v>
      </c>
      <c r="D15" s="349">
        <v>15</v>
      </c>
      <c r="E15" s="349">
        <v>5.7150205555555544</v>
      </c>
      <c r="F15" s="349">
        <v>10</v>
      </c>
      <c r="G15" s="349">
        <v>5.4910373200117535</v>
      </c>
      <c r="H15" s="349">
        <v>2.1999840397655364</v>
      </c>
      <c r="I15" s="414">
        <v>-1.5939580846671557</v>
      </c>
      <c r="J15" s="412">
        <v>13.032389999999999</v>
      </c>
      <c r="K15" s="412">
        <v>1931.7804799999997</v>
      </c>
      <c r="L15" s="412">
        <v>-2213.7840499999998</v>
      </c>
      <c r="M15" s="412">
        <v>-2112.5116899999998</v>
      </c>
      <c r="N15" s="412">
        <f t="shared" si="0"/>
        <v>-162.09702825038232</v>
      </c>
    </row>
    <row r="16" spans="1:14">
      <c r="A16" s="130">
        <v>11</v>
      </c>
      <c r="B16" s="404" t="s">
        <v>507</v>
      </c>
      <c r="C16" s="349">
        <v>-40</v>
      </c>
      <c r="D16" s="349">
        <v>11.021399482631189</v>
      </c>
      <c r="E16" s="349">
        <v>12.10988926032786</v>
      </c>
      <c r="F16" s="349">
        <v>5.2922018636564605</v>
      </c>
      <c r="G16" s="349">
        <v>4.0085461919015124</v>
      </c>
      <c r="H16" s="349">
        <v>5.6715648165632091</v>
      </c>
      <c r="I16" s="414">
        <v>-1.8963983849197676</v>
      </c>
      <c r="J16" s="412">
        <v>35.27046</v>
      </c>
      <c r="K16" s="412">
        <v>6543.3557400000009</v>
      </c>
      <c r="L16" s="412">
        <v>-7297.1553599999961</v>
      </c>
      <c r="M16" s="412">
        <v>-7650.8485799999962</v>
      </c>
      <c r="N16" s="412">
        <f t="shared" si="0"/>
        <v>-216.91944420344947</v>
      </c>
    </row>
    <row r="17" spans="1:14">
      <c r="A17" s="130">
        <v>12</v>
      </c>
      <c r="B17" s="404" t="s">
        <v>1174</v>
      </c>
      <c r="C17" s="349">
        <v>-26.442959151272973</v>
      </c>
      <c r="D17" s="349">
        <v>8.4184465815592464</v>
      </c>
      <c r="E17" s="349">
        <v>9.2798479068261166</v>
      </c>
      <c r="F17" s="349">
        <v>1.7119927924493705</v>
      </c>
      <c r="G17" s="349">
        <v>0.10752420297645443</v>
      </c>
      <c r="H17" s="349">
        <v>4.4142916033249593</v>
      </c>
      <c r="I17" s="414">
        <v>-2.5108560641368278</v>
      </c>
      <c r="J17" s="412">
        <v>60.669610000000013</v>
      </c>
      <c r="K17" s="412">
        <v>10798.615669999999</v>
      </c>
      <c r="L17" s="412">
        <v>-7218.748270000001</v>
      </c>
      <c r="M17" s="412">
        <v>-7582.2539000000006</v>
      </c>
      <c r="N17" s="412">
        <f t="shared" si="0"/>
        <v>-124.97614373983942</v>
      </c>
    </row>
    <row r="18" spans="1:14">
      <c r="A18" s="130">
        <v>13</v>
      </c>
      <c r="B18" s="404" t="s">
        <v>138</v>
      </c>
      <c r="C18" s="349">
        <v>-40</v>
      </c>
      <c r="D18" s="349">
        <v>11.850107142857144</v>
      </c>
      <c r="E18" s="349">
        <v>4.0672332222222218</v>
      </c>
      <c r="F18" s="349">
        <v>10</v>
      </c>
      <c r="G18" s="349">
        <v>0.83961278375348358</v>
      </c>
      <c r="H18" s="349">
        <v>2.2855534410933913</v>
      </c>
      <c r="I18" s="414">
        <v>-10.957493410073759</v>
      </c>
      <c r="J18" s="412">
        <v>23.65193</v>
      </c>
      <c r="K18" s="412">
        <v>3585.4832300000003</v>
      </c>
      <c r="L18" s="412">
        <v>-5286.8424999999997</v>
      </c>
      <c r="M18" s="412">
        <v>-5135.3207899999998</v>
      </c>
      <c r="N18" s="412">
        <f t="shared" si="0"/>
        <v>-217.12058128025916</v>
      </c>
    </row>
    <row r="19" spans="1:14">
      <c r="A19" s="130">
        <v>14</v>
      </c>
      <c r="B19" s="404" t="s">
        <v>651</v>
      </c>
      <c r="C19" s="349">
        <v>-40</v>
      </c>
      <c r="D19" s="349">
        <v>11.830208656484906</v>
      </c>
      <c r="E19" s="349">
        <v>2.3223562290679305</v>
      </c>
      <c r="F19" s="349">
        <v>5.9833957924841137</v>
      </c>
      <c r="G19" s="349">
        <v>0</v>
      </c>
      <c r="H19" s="349">
        <v>0</v>
      </c>
      <c r="I19" s="414">
        <v>-19.864039321963048</v>
      </c>
      <c r="J19" s="412">
        <v>29.107230000000001</v>
      </c>
      <c r="K19" s="412">
        <v>3951.6667600000005</v>
      </c>
      <c r="L19" s="412">
        <v>-6459.066060000001</v>
      </c>
      <c r="M19" s="412">
        <v>-5783.2750400000004</v>
      </c>
      <c r="N19" s="412">
        <f t="shared" si="0"/>
        <v>-198.68860898134244</v>
      </c>
    </row>
    <row r="20" spans="1:14">
      <c r="N20" s="412"/>
    </row>
    <row r="21" spans="1:14" ht="25">
      <c r="A21" s="479" t="s">
        <v>2827</v>
      </c>
      <c r="B21" s="479"/>
      <c r="C21" s="479"/>
      <c r="D21" s="479"/>
      <c r="E21" s="479"/>
      <c r="F21" s="479"/>
      <c r="G21" s="479"/>
      <c r="H21" s="479"/>
      <c r="I21" s="479"/>
      <c r="J21" s="479"/>
      <c r="K21" s="479"/>
      <c r="L21" s="479"/>
      <c r="M21" s="479"/>
      <c r="N21" s="479"/>
    </row>
    <row r="22" spans="1:14" ht="42" customHeight="1">
      <c r="A22" s="482" t="s">
        <v>2826</v>
      </c>
      <c r="B22" s="401" t="s">
        <v>1832</v>
      </c>
      <c r="C22" s="402">
        <v>40</v>
      </c>
      <c r="D22" s="402">
        <v>15</v>
      </c>
      <c r="E22" s="402">
        <v>15</v>
      </c>
      <c r="F22" s="402">
        <v>10</v>
      </c>
      <c r="G22" s="402">
        <v>10</v>
      </c>
      <c r="H22" s="402">
        <v>10</v>
      </c>
      <c r="I22" s="401">
        <v>100</v>
      </c>
      <c r="J22" s="485" t="s">
        <v>23</v>
      </c>
      <c r="K22" s="483" t="s">
        <v>2820</v>
      </c>
      <c r="L22" s="483" t="s">
        <v>2821</v>
      </c>
      <c r="M22" s="483" t="s">
        <v>2822</v>
      </c>
      <c r="N22" s="481" t="s">
        <v>2825</v>
      </c>
    </row>
    <row r="23" spans="1:14">
      <c r="A23" s="482"/>
      <c r="B23" s="401" t="s">
        <v>1</v>
      </c>
      <c r="C23" s="402" t="s">
        <v>1836</v>
      </c>
      <c r="D23" s="402" t="s">
        <v>1916</v>
      </c>
      <c r="E23" s="402" t="s">
        <v>1851</v>
      </c>
      <c r="F23" s="402" t="s">
        <v>29</v>
      </c>
      <c r="G23" s="402" t="s">
        <v>1917</v>
      </c>
      <c r="H23" s="402" t="s">
        <v>1907</v>
      </c>
      <c r="I23" s="401" t="s">
        <v>1843</v>
      </c>
      <c r="J23" s="486"/>
      <c r="K23" s="484"/>
      <c r="L23" s="484"/>
      <c r="M23" s="484"/>
      <c r="N23" s="481"/>
    </row>
    <row r="24" spans="1:14">
      <c r="A24" s="130">
        <v>1</v>
      </c>
      <c r="B24" s="404" t="s">
        <v>724</v>
      </c>
      <c r="C24" s="349">
        <v>18.696200359155693</v>
      </c>
      <c r="D24" s="349">
        <v>14.229293478260869</v>
      </c>
      <c r="E24" s="349">
        <v>15</v>
      </c>
      <c r="F24" s="349">
        <v>4.7510441477640963</v>
      </c>
      <c r="G24" s="349">
        <v>10</v>
      </c>
      <c r="H24" s="349">
        <v>9.2537919506514541</v>
      </c>
      <c r="I24" s="414">
        <v>71.930329935832106</v>
      </c>
      <c r="J24" s="412">
        <v>24.95879</v>
      </c>
      <c r="K24" s="412">
        <v>4920.2542200000007</v>
      </c>
      <c r="L24" s="412">
        <v>340.6398800000008</v>
      </c>
      <c r="M24" s="412">
        <v>511.97882000000004</v>
      </c>
      <c r="N24" s="412">
        <f>M24/J24</f>
        <v>20.512966373770524</v>
      </c>
    </row>
    <row r="25" spans="1:14">
      <c r="A25" s="130">
        <v>2</v>
      </c>
      <c r="B25" s="404" t="s">
        <v>1747</v>
      </c>
      <c r="C25" s="349">
        <v>14.50824112516721</v>
      </c>
      <c r="D25" s="349">
        <v>15</v>
      </c>
      <c r="E25" s="349">
        <v>15</v>
      </c>
      <c r="F25" s="349">
        <v>7.8300638446028454</v>
      </c>
      <c r="G25" s="349">
        <v>2.0640448936748577</v>
      </c>
      <c r="H25" s="349">
        <v>6.3064020585158094</v>
      </c>
      <c r="I25" s="414">
        <v>60.708751921960719</v>
      </c>
      <c r="J25" s="412">
        <v>30.126559999999998</v>
      </c>
      <c r="K25" s="412">
        <v>5625.8794600000001</v>
      </c>
      <c r="L25" s="412">
        <v>212.8991100000012</v>
      </c>
      <c r="M25" s="412">
        <v>700.73645000000056</v>
      </c>
      <c r="N25" s="412">
        <f t="shared" ref="N25:N37" si="1">M25/J25</f>
        <v>23.259756507214917</v>
      </c>
    </row>
    <row r="26" spans="1:14">
      <c r="A26" s="130">
        <v>3</v>
      </c>
      <c r="B26" s="404" t="s">
        <v>1146</v>
      </c>
      <c r="C26" s="349">
        <v>11.163405240272027</v>
      </c>
      <c r="D26" s="349">
        <v>14.831511899537043</v>
      </c>
      <c r="E26" s="349">
        <v>10.926796677273257</v>
      </c>
      <c r="F26" s="349">
        <v>4.9356807901932269</v>
      </c>
      <c r="G26" s="349">
        <v>7.8012929767851897</v>
      </c>
      <c r="H26" s="349">
        <v>6.3616369020618349</v>
      </c>
      <c r="I26" s="414">
        <v>56.020324486122576</v>
      </c>
      <c r="J26" s="412">
        <v>73.851699999999994</v>
      </c>
      <c r="K26" s="412">
        <v>13185.681870000002</v>
      </c>
      <c r="L26" s="412">
        <v>-502.3038199999994</v>
      </c>
      <c r="M26" s="412">
        <v>-261.33351000000062</v>
      </c>
      <c r="N26" s="412">
        <f t="shared" si="1"/>
        <v>-3.5386255157295046</v>
      </c>
    </row>
    <row r="27" spans="1:14">
      <c r="A27" s="130">
        <v>4</v>
      </c>
      <c r="B27" s="404" t="s">
        <v>1660</v>
      </c>
      <c r="C27" s="349">
        <v>15.563510479563885</v>
      </c>
      <c r="D27" s="349">
        <v>7.311550109890109</v>
      </c>
      <c r="E27" s="349">
        <v>12.935243989409141</v>
      </c>
      <c r="F27" s="349">
        <v>2.2164337854152127</v>
      </c>
      <c r="G27" s="349">
        <v>8.7987099702953699</v>
      </c>
      <c r="H27" s="349">
        <v>8.1064362260788272</v>
      </c>
      <c r="I27" s="414">
        <v>54.931884560652549</v>
      </c>
      <c r="J27" s="412">
        <v>97.945130000000006</v>
      </c>
      <c r="K27" s="412">
        <v>18049.659630000002</v>
      </c>
      <c r="L27" s="412">
        <v>337.17999999999915</v>
      </c>
      <c r="M27" s="412">
        <v>795.34206000000017</v>
      </c>
      <c r="N27" s="412">
        <f t="shared" si="1"/>
        <v>8.1202818353500597</v>
      </c>
    </row>
    <row r="28" spans="1:14">
      <c r="A28" s="130">
        <v>5</v>
      </c>
      <c r="B28" s="404" t="s">
        <v>1771</v>
      </c>
      <c r="C28" s="349">
        <v>6.6717285056519051</v>
      </c>
      <c r="D28" s="349">
        <v>7.5370621118012435</v>
      </c>
      <c r="E28" s="349">
        <v>12.225683032258065</v>
      </c>
      <c r="F28" s="349">
        <v>0</v>
      </c>
      <c r="G28" s="349">
        <v>7.8310367857238257</v>
      </c>
      <c r="H28" s="349">
        <v>9.0568483959241259</v>
      </c>
      <c r="I28" s="414">
        <v>43.322358831359168</v>
      </c>
      <c r="J28" s="412">
        <v>40.70194</v>
      </c>
      <c r="K28" s="412">
        <v>7946.5024400000011</v>
      </c>
      <c r="L28" s="412">
        <v>-1210.6614599999991</v>
      </c>
      <c r="M28" s="412">
        <v>-1016.7758999999993</v>
      </c>
      <c r="N28" s="412">
        <f t="shared" si="1"/>
        <v>-24.981018103805354</v>
      </c>
    </row>
    <row r="29" spans="1:14">
      <c r="A29" s="130">
        <v>6</v>
      </c>
      <c r="B29" s="404" t="s">
        <v>317</v>
      </c>
      <c r="C29" s="349">
        <v>-1.9072169506418184</v>
      </c>
      <c r="D29" s="349">
        <v>11.562065934065936</v>
      </c>
      <c r="E29" s="349">
        <v>12.225499062500003</v>
      </c>
      <c r="F29" s="349">
        <v>4.7102773260572999</v>
      </c>
      <c r="G29" s="349">
        <v>7.457829701608369</v>
      </c>
      <c r="H29" s="349">
        <v>7.9309391828935123</v>
      </c>
      <c r="I29" s="414">
        <v>41.979394256483303</v>
      </c>
      <c r="J29" s="412">
        <v>22.795560000000002</v>
      </c>
      <c r="K29" s="412">
        <v>4190.5940699999992</v>
      </c>
      <c r="L29" s="412">
        <v>-1290.306080000001</v>
      </c>
      <c r="M29" s="412">
        <v>-1218.1304300000004</v>
      </c>
      <c r="N29" s="412">
        <f t="shared" si="1"/>
        <v>-53.437179433187879</v>
      </c>
    </row>
    <row r="30" spans="1:14">
      <c r="A30" s="130">
        <v>7</v>
      </c>
      <c r="B30" s="404" t="s">
        <v>835</v>
      </c>
      <c r="C30" s="349">
        <v>9.5862875281166229</v>
      </c>
      <c r="D30" s="349">
        <v>2.9091412078462242</v>
      </c>
      <c r="E30" s="349">
        <v>14.809024300708778</v>
      </c>
      <c r="F30" s="349">
        <v>1.7222158675179635</v>
      </c>
      <c r="G30" s="349">
        <v>4.4521203497912785</v>
      </c>
      <c r="H30" s="349">
        <v>8.3879214970476319</v>
      </c>
      <c r="I30" s="414">
        <v>41.866710751028492</v>
      </c>
      <c r="J30" s="412">
        <v>122.45756</v>
      </c>
      <c r="K30" s="412">
        <v>23749.684789999999</v>
      </c>
      <c r="L30" s="412">
        <v>-2322.5761199999997</v>
      </c>
      <c r="M30" s="412">
        <v>-1507.1407700000007</v>
      </c>
      <c r="N30" s="412">
        <f t="shared" si="1"/>
        <v>-12.307453864016241</v>
      </c>
    </row>
    <row r="31" spans="1:14">
      <c r="A31" s="130">
        <v>8</v>
      </c>
      <c r="B31" s="404" t="s">
        <v>651</v>
      </c>
      <c r="C31" s="349">
        <v>0.3724785123262816</v>
      </c>
      <c r="D31" s="349">
        <v>10.359400048170198</v>
      </c>
      <c r="E31" s="349">
        <v>14.892016104407574</v>
      </c>
      <c r="F31" s="349">
        <v>1.7403059138713899</v>
      </c>
      <c r="G31" s="349">
        <v>6.6005919521866216</v>
      </c>
      <c r="H31" s="349">
        <v>7.862614021641912</v>
      </c>
      <c r="I31" s="414">
        <v>41.827406552603975</v>
      </c>
      <c r="J31" s="412">
        <v>62.499099999999999</v>
      </c>
      <c r="K31" s="412">
        <v>12410.796</v>
      </c>
      <c r="L31" s="412">
        <v>-2788.1461399999971</v>
      </c>
      <c r="M31" s="412">
        <v>-2648.875079999998</v>
      </c>
      <c r="N31" s="412">
        <f t="shared" si="1"/>
        <v>-42.38261158960686</v>
      </c>
    </row>
    <row r="32" spans="1:14">
      <c r="A32" s="130">
        <v>9</v>
      </c>
      <c r="B32" s="404" t="s">
        <v>1600</v>
      </c>
      <c r="C32" s="349">
        <v>7.9671827068524754</v>
      </c>
      <c r="D32" s="349">
        <v>7.4264963457955293</v>
      </c>
      <c r="E32" s="349">
        <v>10.994007201788886</v>
      </c>
      <c r="F32" s="349">
        <v>1.0117556304113977</v>
      </c>
      <c r="G32" s="349">
        <v>5.7881932337491664</v>
      </c>
      <c r="H32" s="349">
        <v>7.7133819001787529</v>
      </c>
      <c r="I32" s="414">
        <v>40.901017018776209</v>
      </c>
      <c r="J32" s="412">
        <v>179.98012</v>
      </c>
      <c r="K32" s="412">
        <v>32555.221780000003</v>
      </c>
      <c r="L32" s="412">
        <v>-3833.9312900000014</v>
      </c>
      <c r="M32" s="412">
        <v>-2702.3678600000044</v>
      </c>
      <c r="N32" s="412">
        <f t="shared" si="1"/>
        <v>-15.014813080466912</v>
      </c>
    </row>
    <row r="33" spans="1:14">
      <c r="A33" s="130">
        <v>10</v>
      </c>
      <c r="B33" s="404" t="s">
        <v>610</v>
      </c>
      <c r="C33" s="349">
        <v>-7.4834132678514305</v>
      </c>
      <c r="D33" s="349">
        <v>10.057378344481604</v>
      </c>
      <c r="E33" s="349">
        <v>13.221043338249203</v>
      </c>
      <c r="F33" s="349">
        <v>0.27081674493109525</v>
      </c>
      <c r="G33" s="349">
        <v>8.0535075894559256</v>
      </c>
      <c r="H33" s="349">
        <v>8.8501302576814478</v>
      </c>
      <c r="I33" s="414">
        <v>32.969463006947848</v>
      </c>
      <c r="J33" s="412">
        <v>49.789770000000004</v>
      </c>
      <c r="K33" s="412">
        <v>9613.5576099999998</v>
      </c>
      <c r="L33" s="412">
        <v>-3975.7676999999981</v>
      </c>
      <c r="M33" s="412">
        <v>-3755.3643999999986</v>
      </c>
      <c r="N33" s="412">
        <f t="shared" si="1"/>
        <v>-75.424417505845042</v>
      </c>
    </row>
    <row r="34" spans="1:14">
      <c r="A34" s="130">
        <v>11</v>
      </c>
      <c r="B34" s="404" t="s">
        <v>760</v>
      </c>
      <c r="C34" s="349">
        <v>4.8826422106769591</v>
      </c>
      <c r="D34" s="349">
        <v>5.9101965524671414</v>
      </c>
      <c r="E34" s="349">
        <v>8.1159749245801045</v>
      </c>
      <c r="F34" s="349">
        <v>6.8032806849772607</v>
      </c>
      <c r="G34" s="349">
        <v>0.24948162524381212</v>
      </c>
      <c r="H34" s="349">
        <v>4.5318584992975763</v>
      </c>
      <c r="I34" s="414">
        <v>30.493434497242855</v>
      </c>
      <c r="J34" s="412">
        <v>43.855329999999995</v>
      </c>
      <c r="K34" s="412">
        <v>6845.0450999999994</v>
      </c>
      <c r="L34" s="412">
        <v>-1968.847470000002</v>
      </c>
      <c r="M34" s="412">
        <v>-1072.2822100000024</v>
      </c>
      <c r="N34" s="412">
        <f t="shared" si="1"/>
        <v>-24.450442169743162</v>
      </c>
    </row>
    <row r="35" spans="1:14">
      <c r="A35" s="130">
        <v>12</v>
      </c>
      <c r="B35" s="404" t="s">
        <v>1174</v>
      </c>
      <c r="C35" s="349">
        <v>-16.809724435495777</v>
      </c>
      <c r="D35" s="349">
        <v>3.1786821073652938</v>
      </c>
      <c r="E35" s="349">
        <v>13.831740317385343</v>
      </c>
      <c r="F35" s="349">
        <v>0</v>
      </c>
      <c r="G35" s="349">
        <v>1.3180022905916864</v>
      </c>
      <c r="H35" s="349">
        <v>7.3608242292554076</v>
      </c>
      <c r="I35" s="414">
        <v>8.8795245091019535</v>
      </c>
      <c r="J35" s="412">
        <v>143.88424000000001</v>
      </c>
      <c r="K35" s="412">
        <v>27429.659290000003</v>
      </c>
      <c r="L35" s="412">
        <v>-14026.459469999996</v>
      </c>
      <c r="M35" s="412">
        <v>-14876.498850000002</v>
      </c>
      <c r="N35" s="412">
        <f t="shared" si="1"/>
        <v>-103.39213558065846</v>
      </c>
    </row>
    <row r="36" spans="1:14">
      <c r="A36" s="130">
        <v>13</v>
      </c>
      <c r="B36" s="404" t="s">
        <v>1123</v>
      </c>
      <c r="C36" s="349">
        <v>-40</v>
      </c>
      <c r="D36" s="349">
        <v>15</v>
      </c>
      <c r="E36" s="349">
        <v>4.2890921666666664</v>
      </c>
      <c r="F36" s="349">
        <v>10</v>
      </c>
      <c r="G36" s="349">
        <v>1.1527475756685268</v>
      </c>
      <c r="H36" s="349">
        <v>2.1374654188790516</v>
      </c>
      <c r="I36" s="414">
        <v>-7.4206948387857548</v>
      </c>
      <c r="J36" s="412">
        <v>17.961389999999998</v>
      </c>
      <c r="K36" s="412">
        <v>2610.4279999999994</v>
      </c>
      <c r="L36" s="412">
        <v>-5280.9677800000009</v>
      </c>
      <c r="M36" s="412">
        <v>-5089.4189400000014</v>
      </c>
      <c r="N36" s="412">
        <f t="shared" si="1"/>
        <v>-283.35328947258546</v>
      </c>
    </row>
    <row r="37" spans="1:14">
      <c r="A37" s="130">
        <v>14</v>
      </c>
      <c r="B37" s="404" t="s">
        <v>999</v>
      </c>
      <c r="C37" s="349">
        <v>-40</v>
      </c>
      <c r="D37" s="349">
        <v>15</v>
      </c>
      <c r="E37" s="349">
        <v>3.2449328205128203</v>
      </c>
      <c r="F37" s="349">
        <v>10</v>
      </c>
      <c r="G37" s="349">
        <v>0</v>
      </c>
      <c r="H37" s="349">
        <v>0</v>
      </c>
      <c r="I37" s="414">
        <v>-11.755067179487181</v>
      </c>
      <c r="J37" s="412">
        <v>12.61149</v>
      </c>
      <c r="K37" s="412">
        <v>1271.6919399999999</v>
      </c>
      <c r="L37" s="412">
        <v>-3443.5870800000007</v>
      </c>
      <c r="M37" s="412">
        <v>-2823.5555200000003</v>
      </c>
      <c r="N37" s="412">
        <f t="shared" si="1"/>
        <v>-223.88754381916812</v>
      </c>
    </row>
    <row r="40" spans="1:14" ht="25">
      <c r="A40" s="479" t="s">
        <v>2888</v>
      </c>
      <c r="B40" s="479"/>
      <c r="C40" s="479"/>
      <c r="D40" s="479"/>
      <c r="E40" s="479"/>
      <c r="F40" s="479"/>
      <c r="G40" s="479"/>
      <c r="H40" s="479"/>
      <c r="I40" s="479"/>
      <c r="J40" s="479"/>
      <c r="K40" s="479"/>
      <c r="L40" s="479"/>
      <c r="M40" s="479"/>
      <c r="N40" s="479"/>
    </row>
    <row r="41" spans="1:14" ht="42" customHeight="1">
      <c r="A41" s="482" t="s">
        <v>2826</v>
      </c>
      <c r="B41" s="401" t="s">
        <v>1832</v>
      </c>
      <c r="C41" s="402">
        <v>40</v>
      </c>
      <c r="D41" s="402">
        <v>15</v>
      </c>
      <c r="E41" s="402">
        <v>15</v>
      </c>
      <c r="F41" s="402">
        <v>10</v>
      </c>
      <c r="G41" s="402">
        <v>10</v>
      </c>
      <c r="H41" s="402">
        <v>10</v>
      </c>
      <c r="I41" s="401">
        <v>100</v>
      </c>
      <c r="J41" s="485" t="s">
        <v>23</v>
      </c>
      <c r="K41" s="483" t="s">
        <v>2820</v>
      </c>
      <c r="L41" s="483" t="s">
        <v>2821</v>
      </c>
      <c r="M41" s="483" t="s">
        <v>2822</v>
      </c>
      <c r="N41" s="481" t="s">
        <v>2825</v>
      </c>
    </row>
    <row r="42" spans="1:14">
      <c r="A42" s="482"/>
      <c r="B42" s="401" t="s">
        <v>1</v>
      </c>
      <c r="C42" s="402" t="s">
        <v>1836</v>
      </c>
      <c r="D42" s="402" t="s">
        <v>1916</v>
      </c>
      <c r="E42" s="402" t="s">
        <v>1851</v>
      </c>
      <c r="F42" s="402" t="s">
        <v>29</v>
      </c>
      <c r="G42" s="402" t="s">
        <v>1917</v>
      </c>
      <c r="H42" s="402" t="s">
        <v>1907</v>
      </c>
      <c r="I42" s="401" t="s">
        <v>1843</v>
      </c>
      <c r="J42" s="486"/>
      <c r="K42" s="484"/>
      <c r="L42" s="484"/>
      <c r="M42" s="484"/>
      <c r="N42" s="481"/>
    </row>
    <row r="43" spans="1:14">
      <c r="A43" s="130">
        <v>1</v>
      </c>
      <c r="B43" s="404" t="s">
        <v>1660</v>
      </c>
      <c r="C43" s="349">
        <v>17.462038570355737</v>
      </c>
      <c r="D43" s="349">
        <v>13.431277056802561</v>
      </c>
      <c r="E43" s="349">
        <v>10.132522681467671</v>
      </c>
      <c r="F43" s="349">
        <v>10</v>
      </c>
      <c r="G43" s="349">
        <v>9.9500323152228312</v>
      </c>
      <c r="H43" s="349">
        <v>7.4863415488282516</v>
      </c>
      <c r="I43" s="414">
        <v>68.462212172677056</v>
      </c>
      <c r="J43" s="412">
        <v>86.009019999999992</v>
      </c>
      <c r="K43" s="412">
        <v>17583.03413</v>
      </c>
      <c r="L43" s="412">
        <v>2943.7535699999989</v>
      </c>
      <c r="M43" s="412">
        <v>1228.7885600000004</v>
      </c>
      <c r="N43" s="428">
        <f>M43/J43</f>
        <v>14.286740623250916</v>
      </c>
    </row>
    <row r="44" spans="1:14">
      <c r="A44" s="130">
        <v>2</v>
      </c>
      <c r="B44" s="404" t="s">
        <v>283</v>
      </c>
      <c r="C44" s="349">
        <v>-2.8849260186899826</v>
      </c>
      <c r="D44" s="349">
        <v>15</v>
      </c>
      <c r="E44" s="349">
        <v>5.8442478947368404</v>
      </c>
      <c r="F44" s="349">
        <v>7.90692180995475</v>
      </c>
      <c r="G44" s="349">
        <v>5.8973234401018706</v>
      </c>
      <c r="H44" s="349">
        <v>8.1672264093831739</v>
      </c>
      <c r="I44" s="414">
        <v>39.93079353548665</v>
      </c>
      <c r="J44" s="412">
        <v>51.306309999999996</v>
      </c>
      <c r="K44" s="412">
        <v>11044.901699999997</v>
      </c>
      <c r="L44" s="412">
        <v>-1600.7418699999973</v>
      </c>
      <c r="M44" s="412">
        <v>-2948.7509799999953</v>
      </c>
      <c r="N44" s="428">
        <f t="shared" ref="N44:N80" si="2">M44/J44</f>
        <v>-57.473456578732623</v>
      </c>
    </row>
    <row r="45" spans="1:14">
      <c r="A45" s="130">
        <v>3</v>
      </c>
      <c r="B45" s="404" t="s">
        <v>760</v>
      </c>
      <c r="C45" s="349">
        <v>-2.3401209679836179</v>
      </c>
      <c r="D45" s="349">
        <v>12.740130386178858</v>
      </c>
      <c r="E45" s="349">
        <v>6.4428645020400568</v>
      </c>
      <c r="F45" s="349">
        <v>6.7801981666638067</v>
      </c>
      <c r="G45" s="349">
        <v>2.3695959117626777</v>
      </c>
      <c r="H45" s="349">
        <v>4.4109601606568738</v>
      </c>
      <c r="I45" s="414">
        <v>30.403628159318657</v>
      </c>
      <c r="J45" s="412">
        <v>74.459310000000002</v>
      </c>
      <c r="K45" s="412">
        <v>13282.211039999998</v>
      </c>
      <c r="L45" s="412">
        <v>-2937.7461900000003</v>
      </c>
      <c r="M45" s="412">
        <v>-3219.2213699999988</v>
      </c>
      <c r="N45" s="428">
        <f t="shared" si="2"/>
        <v>-43.234638757732228</v>
      </c>
    </row>
    <row r="46" spans="1:14">
      <c r="A46" s="130">
        <v>4</v>
      </c>
      <c r="B46" s="404" t="s">
        <v>507</v>
      </c>
      <c r="C46" s="349">
        <v>-12.60771893405332</v>
      </c>
      <c r="D46" s="349">
        <v>10.638821138211384</v>
      </c>
      <c r="E46" s="349">
        <v>12.298432864864868</v>
      </c>
      <c r="F46" s="349">
        <v>6.5218087296416938</v>
      </c>
      <c r="G46" s="349">
        <v>5.7052883132901657</v>
      </c>
      <c r="H46" s="349">
        <v>7.1400843671528893</v>
      </c>
      <c r="I46" s="414">
        <v>29.696716479107678</v>
      </c>
      <c r="J46" s="412">
        <v>16.0489</v>
      </c>
      <c r="K46" s="412">
        <v>3353.7024899999997</v>
      </c>
      <c r="L46" s="412">
        <v>-1011.7625799999996</v>
      </c>
      <c r="M46" s="412">
        <v>-1428.5163699999989</v>
      </c>
      <c r="N46" s="428">
        <f t="shared" si="2"/>
        <v>-89.010235592470451</v>
      </c>
    </row>
    <row r="47" spans="1:14">
      <c r="A47" s="130">
        <v>5</v>
      </c>
      <c r="B47" s="404" t="s">
        <v>567</v>
      </c>
      <c r="C47" s="349">
        <v>-6.756752665169067</v>
      </c>
      <c r="D47" s="349">
        <v>15</v>
      </c>
      <c r="E47" s="349">
        <v>3.8859179999999993</v>
      </c>
      <c r="F47" s="349">
        <v>10</v>
      </c>
      <c r="G47" s="349">
        <v>3.6392258931195163</v>
      </c>
      <c r="H47" s="349">
        <v>4.5259722924129169E-6</v>
      </c>
      <c r="I47" s="414">
        <v>25.768395753922743</v>
      </c>
      <c r="J47" s="412">
        <v>11.04735</v>
      </c>
      <c r="K47" s="412">
        <v>1648.7579999999998</v>
      </c>
      <c r="L47" s="412">
        <v>-632.55696999999975</v>
      </c>
      <c r="M47" s="412">
        <v>-624.21246999999983</v>
      </c>
      <c r="N47" s="428">
        <f t="shared" si="2"/>
        <v>-56.503366870788</v>
      </c>
    </row>
    <row r="48" spans="1:14">
      <c r="A48" s="130">
        <v>6</v>
      </c>
      <c r="B48" s="404" t="s">
        <v>924</v>
      </c>
      <c r="C48" s="349">
        <v>-2.0209289452261534</v>
      </c>
      <c r="D48" s="349">
        <v>2.2579569709936953</v>
      </c>
      <c r="E48" s="349">
        <v>7.2892089434556766</v>
      </c>
      <c r="F48" s="349">
        <v>7.674585890965699</v>
      </c>
      <c r="G48" s="349">
        <v>3.3050246684752178</v>
      </c>
      <c r="H48" s="349">
        <v>7.0819991263374158</v>
      </c>
      <c r="I48" s="414">
        <v>25.587846655001549</v>
      </c>
      <c r="J48" s="412">
        <v>57.527929999999998</v>
      </c>
      <c r="K48" s="412">
        <v>11188.303199999998</v>
      </c>
      <c r="L48" s="412">
        <v>-2515.0455000000015</v>
      </c>
      <c r="M48" s="412">
        <v>-2860.6442500000016</v>
      </c>
      <c r="N48" s="428">
        <f t="shared" si="2"/>
        <v>-49.726180830772144</v>
      </c>
    </row>
    <row r="49" spans="1:14">
      <c r="A49" s="130">
        <v>7</v>
      </c>
      <c r="B49" s="404" t="s">
        <v>408</v>
      </c>
      <c r="C49" s="349">
        <v>-12.335943979020653</v>
      </c>
      <c r="D49" s="349">
        <v>11.111497881177138</v>
      </c>
      <c r="E49" s="349">
        <v>7.1904629181476833</v>
      </c>
      <c r="F49" s="349">
        <v>5.3942974227916745</v>
      </c>
      <c r="G49" s="349">
        <v>2.6802186211902592</v>
      </c>
      <c r="H49" s="349">
        <v>6.774203723336254</v>
      </c>
      <c r="I49" s="414">
        <v>20.814736587622356</v>
      </c>
      <c r="J49" s="412">
        <v>125.38700999999998</v>
      </c>
      <c r="K49" s="412">
        <v>26075.041419999998</v>
      </c>
      <c r="L49" s="412">
        <v>-7362.7043100000001</v>
      </c>
      <c r="M49" s="412">
        <v>-10815.10786</v>
      </c>
      <c r="N49" s="428">
        <f t="shared" si="2"/>
        <v>-86.253814171021403</v>
      </c>
    </row>
    <row r="50" spans="1:14">
      <c r="A50" s="130">
        <v>8</v>
      </c>
      <c r="B50" s="404" t="s">
        <v>1600</v>
      </c>
      <c r="C50" s="349">
        <v>-4.5899736911918634</v>
      </c>
      <c r="D50" s="349">
        <v>5.2068300274204695</v>
      </c>
      <c r="E50" s="349">
        <v>7.5577108373006707</v>
      </c>
      <c r="F50" s="349">
        <v>1.8807160844881632</v>
      </c>
      <c r="G50" s="349">
        <v>1.1049544614917481</v>
      </c>
      <c r="H50" s="349">
        <v>5.9567207572894718</v>
      </c>
      <c r="I50" s="414">
        <v>17.116958476798658</v>
      </c>
      <c r="J50" s="412">
        <v>77.100239999999999</v>
      </c>
      <c r="K50" s="412">
        <v>14332.32813</v>
      </c>
      <c r="L50" s="412">
        <v>-3499.8267100000035</v>
      </c>
      <c r="M50" s="412">
        <v>-4189.8310200000014</v>
      </c>
      <c r="N50" s="428">
        <f t="shared" si="2"/>
        <v>-54.342645626005854</v>
      </c>
    </row>
    <row r="51" spans="1:14">
      <c r="A51" s="130">
        <v>9</v>
      </c>
      <c r="B51" s="404" t="s">
        <v>374</v>
      </c>
      <c r="C51" s="349">
        <v>-28.377315074091744</v>
      </c>
      <c r="D51" s="349">
        <v>15</v>
      </c>
      <c r="E51" s="349">
        <v>5.2614512432432425</v>
      </c>
      <c r="F51" s="349">
        <v>7.2513606751054844</v>
      </c>
      <c r="G51" s="349">
        <v>9.3724855072463775</v>
      </c>
      <c r="H51" s="349">
        <v>7.1605238630290104</v>
      </c>
      <c r="I51" s="414">
        <v>15.668506214532371</v>
      </c>
      <c r="J51" s="412">
        <v>22.134029999999999</v>
      </c>
      <c r="K51" s="412">
        <v>4787.8118800000002</v>
      </c>
      <c r="L51" s="412">
        <v>-2430.5305099999987</v>
      </c>
      <c r="M51" s="412">
        <v>-3167.8148999999994</v>
      </c>
      <c r="N51" s="428">
        <f t="shared" si="2"/>
        <v>-143.11966234797728</v>
      </c>
    </row>
    <row r="52" spans="1:14">
      <c r="A52" s="130">
        <v>10</v>
      </c>
      <c r="B52" s="404" t="s">
        <v>632</v>
      </c>
      <c r="C52" s="349">
        <v>-8.882249988859126</v>
      </c>
      <c r="D52" s="349">
        <v>0</v>
      </c>
      <c r="E52" s="349">
        <v>9.1683535657894737</v>
      </c>
      <c r="F52" s="349">
        <v>6.5543147472991192</v>
      </c>
      <c r="G52" s="349">
        <v>2.5400694444719325</v>
      </c>
      <c r="H52" s="349">
        <v>4.9522721422824967</v>
      </c>
      <c r="I52" s="414">
        <v>14.332759910983896</v>
      </c>
      <c r="J52" s="412">
        <v>25.991109999999999</v>
      </c>
      <c r="K52" s="412">
        <v>4913.7112200000001</v>
      </c>
      <c r="L52" s="412">
        <v>-2010.8400399999987</v>
      </c>
      <c r="M52" s="412">
        <v>-1812.8161599999989</v>
      </c>
      <c r="N52" s="428">
        <f t="shared" si="2"/>
        <v>-69.747546757333524</v>
      </c>
    </row>
    <row r="53" spans="1:14">
      <c r="A53" s="130">
        <v>11</v>
      </c>
      <c r="B53" s="404" t="s">
        <v>1174</v>
      </c>
      <c r="C53" s="349">
        <v>-27.903666564965008</v>
      </c>
      <c r="D53" s="349">
        <v>11.34347393013037</v>
      </c>
      <c r="E53" s="349">
        <v>8.7304518690331516</v>
      </c>
      <c r="F53" s="349">
        <v>3.847078954771574</v>
      </c>
      <c r="G53" s="349">
        <v>1.9719120413266691</v>
      </c>
      <c r="H53" s="349">
        <v>6.1165735497623794</v>
      </c>
      <c r="I53" s="414">
        <v>4.1058237800591391</v>
      </c>
      <c r="J53" s="412">
        <v>67.767859999999999</v>
      </c>
      <c r="K53" s="412">
        <v>13743.757379999999</v>
      </c>
      <c r="L53" s="412">
        <v>-7277.3555400000023</v>
      </c>
      <c r="M53" s="412">
        <v>-9079.7541600000004</v>
      </c>
      <c r="N53" s="428">
        <f t="shared" si="2"/>
        <v>-133.98319144207889</v>
      </c>
    </row>
    <row r="54" spans="1:14">
      <c r="A54" s="130">
        <v>12</v>
      </c>
      <c r="B54" s="404" t="s">
        <v>835</v>
      </c>
      <c r="C54" s="349">
        <v>-17.650550928930276</v>
      </c>
      <c r="D54" s="349">
        <v>0</v>
      </c>
      <c r="E54" s="349">
        <v>9.0186559733930824</v>
      </c>
      <c r="F54" s="349">
        <v>3.0558321388908793</v>
      </c>
      <c r="G54" s="349">
        <v>0.85430409427676923</v>
      </c>
      <c r="H54" s="349">
        <v>7.6453226847219238</v>
      </c>
      <c r="I54" s="414">
        <v>2.9235639623523797</v>
      </c>
      <c r="J54" s="412">
        <v>21.386200000000002</v>
      </c>
      <c r="K54" s="412">
        <v>4160.0396400000009</v>
      </c>
      <c r="L54" s="412">
        <v>-2142.5559499999995</v>
      </c>
      <c r="M54" s="412">
        <v>-2323.9997899999998</v>
      </c>
      <c r="N54" s="428">
        <f t="shared" si="2"/>
        <v>-108.66819678110181</v>
      </c>
    </row>
    <row r="55" spans="1:14">
      <c r="A55" s="427">
        <v>13</v>
      </c>
      <c r="B55" s="404" t="s">
        <v>651</v>
      </c>
      <c r="C55" s="349">
        <v>-17.130950653176111</v>
      </c>
      <c r="D55" s="349">
        <v>0.34607142857142925</v>
      </c>
      <c r="E55" s="349">
        <v>3.7785388059360727</v>
      </c>
      <c r="F55" s="349">
        <v>0</v>
      </c>
      <c r="G55" s="349">
        <v>6.1617945150052806</v>
      </c>
      <c r="H55" s="349">
        <v>4.6285250609114028</v>
      </c>
      <c r="I55" s="414">
        <v>-2.2160208427519237</v>
      </c>
      <c r="J55" s="412">
        <v>32.498019999999997</v>
      </c>
      <c r="K55" s="412">
        <v>5142.7460800000008</v>
      </c>
      <c r="L55" s="412">
        <v>-3416.5358999999994</v>
      </c>
      <c r="M55" s="412">
        <v>-3109.0217300000013</v>
      </c>
      <c r="N55" s="428">
        <f t="shared" si="2"/>
        <v>-95.66803546800702</v>
      </c>
    </row>
    <row r="56" spans="1:14">
      <c r="A56" s="427">
        <v>14</v>
      </c>
      <c r="B56" s="404" t="s">
        <v>474</v>
      </c>
      <c r="C56" s="349">
        <v>-7.3675592677466728</v>
      </c>
      <c r="D56" s="349">
        <v>0</v>
      </c>
      <c r="E56" s="349">
        <v>0</v>
      </c>
      <c r="F56" s="349">
        <v>0</v>
      </c>
      <c r="G56" s="349">
        <v>0</v>
      </c>
      <c r="H56" s="349">
        <v>0</v>
      </c>
      <c r="I56" s="414">
        <v>-7.3675592677466728</v>
      </c>
      <c r="J56" s="412">
        <v>31.916460000000001</v>
      </c>
      <c r="K56" s="412">
        <v>3808.1914400000001</v>
      </c>
      <c r="L56" s="412">
        <v>-2837.4940899999983</v>
      </c>
      <c r="M56" s="412">
        <v>-1858.2165299999981</v>
      </c>
      <c r="N56" s="428">
        <f t="shared" si="2"/>
        <v>-58.22126044053752</v>
      </c>
    </row>
    <row r="57" spans="1:14">
      <c r="A57" s="427">
        <v>15</v>
      </c>
      <c r="B57" s="404" t="s">
        <v>540</v>
      </c>
      <c r="C57" s="349">
        <v>-21.665307627886222</v>
      </c>
      <c r="D57" s="349">
        <v>0</v>
      </c>
      <c r="E57" s="349">
        <v>0</v>
      </c>
      <c r="F57" s="349">
        <v>0</v>
      </c>
      <c r="G57" s="349">
        <v>8.0955774316779294</v>
      </c>
      <c r="H57" s="349">
        <v>3.8796362496288341</v>
      </c>
      <c r="I57" s="414">
        <v>-9.6900939465794576</v>
      </c>
      <c r="J57" s="412">
        <v>30.141549999999999</v>
      </c>
      <c r="K57" s="412">
        <v>5239.9081500000002</v>
      </c>
      <c r="L57" s="412">
        <v>-2997.0855800000018</v>
      </c>
      <c r="M57" s="412">
        <v>-3263.6379800000022</v>
      </c>
      <c r="N57" s="428">
        <f t="shared" si="2"/>
        <v>-108.277045473773</v>
      </c>
    </row>
    <row r="58" spans="1:14">
      <c r="A58" s="427">
        <v>16</v>
      </c>
      <c r="B58" s="404" t="s">
        <v>209</v>
      </c>
      <c r="C58" s="349">
        <v>-40</v>
      </c>
      <c r="D58" s="349">
        <v>15</v>
      </c>
      <c r="E58" s="349">
        <v>4.3689263333333344</v>
      </c>
      <c r="F58" s="349">
        <v>5.5436426070763485</v>
      </c>
      <c r="G58" s="349">
        <v>1.7521739130434788</v>
      </c>
      <c r="H58" s="349">
        <v>3.416948537451205</v>
      </c>
      <c r="I58" s="414">
        <v>-9.9183086090956341</v>
      </c>
      <c r="J58" s="412">
        <v>15.045309999999999</v>
      </c>
      <c r="K58" s="412">
        <v>2560.8559299999997</v>
      </c>
      <c r="L58" s="412">
        <v>-6525.2413299999998</v>
      </c>
      <c r="M58" s="412">
        <v>-6633.71173</v>
      </c>
      <c r="N58" s="428">
        <f t="shared" si="2"/>
        <v>-440.91558964222077</v>
      </c>
    </row>
    <row r="59" spans="1:14">
      <c r="A59" s="427">
        <v>17</v>
      </c>
      <c r="B59" s="404" t="s">
        <v>999</v>
      </c>
      <c r="C59" s="349">
        <v>-40</v>
      </c>
      <c r="D59" s="349">
        <v>0</v>
      </c>
      <c r="E59" s="349">
        <v>0</v>
      </c>
      <c r="F59" s="349">
        <v>0</v>
      </c>
      <c r="G59" s="349">
        <v>0</v>
      </c>
      <c r="H59" s="349">
        <v>0</v>
      </c>
      <c r="I59" s="414">
        <v>-40</v>
      </c>
      <c r="J59" s="412">
        <v>18.353580000000001</v>
      </c>
      <c r="K59" s="412">
        <v>1820.7260600000002</v>
      </c>
      <c r="L59" s="412">
        <v>-4729.9813299999987</v>
      </c>
      <c r="M59" s="412">
        <v>-3797.6703899999993</v>
      </c>
      <c r="N59" s="428">
        <f t="shared" si="2"/>
        <v>-206.91714586473043</v>
      </c>
    </row>
    <row r="60" spans="1:14">
      <c r="N60" s="428" t="e">
        <f t="shared" si="2"/>
        <v>#DIV/0!</v>
      </c>
    </row>
    <row r="61" spans="1:14" ht="25">
      <c r="A61" s="479" t="s">
        <v>2888</v>
      </c>
      <c r="B61" s="479"/>
      <c r="C61" s="479"/>
      <c r="D61" s="479"/>
      <c r="E61" s="479"/>
      <c r="F61" s="479"/>
      <c r="G61" s="479"/>
      <c r="H61" s="479"/>
      <c r="I61" s="479"/>
      <c r="J61" s="479"/>
      <c r="K61" s="479"/>
      <c r="L61" s="479"/>
      <c r="M61" s="479"/>
      <c r="N61" s="479"/>
    </row>
    <row r="62" spans="1:14" ht="42" customHeight="1">
      <c r="A62" s="482" t="s">
        <v>2826</v>
      </c>
      <c r="B62" s="401" t="s">
        <v>1832</v>
      </c>
      <c r="C62" s="402">
        <v>40</v>
      </c>
      <c r="D62" s="402">
        <v>15</v>
      </c>
      <c r="E62" s="402">
        <v>15</v>
      </c>
      <c r="F62" s="402">
        <v>10</v>
      </c>
      <c r="G62" s="402">
        <v>10</v>
      </c>
      <c r="H62" s="402">
        <v>10</v>
      </c>
      <c r="I62" s="401">
        <v>100</v>
      </c>
      <c r="J62" s="485" t="s">
        <v>23</v>
      </c>
      <c r="K62" s="483" t="s">
        <v>2820</v>
      </c>
      <c r="L62" s="483" t="s">
        <v>2821</v>
      </c>
      <c r="M62" s="483" t="s">
        <v>2822</v>
      </c>
      <c r="N62" s="481" t="s">
        <v>2825</v>
      </c>
    </row>
    <row r="63" spans="1:14" ht="20" customHeight="1">
      <c r="A63" s="482"/>
      <c r="B63" s="401" t="s">
        <v>1</v>
      </c>
      <c r="C63" s="402" t="s">
        <v>1836</v>
      </c>
      <c r="D63" s="402" t="s">
        <v>1916</v>
      </c>
      <c r="E63" s="402" t="s">
        <v>1851</v>
      </c>
      <c r="F63" s="402" t="s">
        <v>29</v>
      </c>
      <c r="G63" s="402" t="s">
        <v>1917</v>
      </c>
      <c r="H63" s="402" t="s">
        <v>1907</v>
      </c>
      <c r="I63" s="401" t="s">
        <v>1843</v>
      </c>
      <c r="J63" s="486"/>
      <c r="K63" s="484"/>
      <c r="L63" s="484"/>
      <c r="M63" s="484"/>
      <c r="N63" s="481"/>
    </row>
    <row r="64" spans="1:14">
      <c r="A64" s="130">
        <v>1</v>
      </c>
      <c r="B64" s="404" t="s">
        <v>1660</v>
      </c>
      <c r="C64" s="349">
        <v>17.462038570355737</v>
      </c>
      <c r="D64" s="349">
        <v>13.431277056802561</v>
      </c>
      <c r="E64" s="349">
        <v>10.132522681467671</v>
      </c>
      <c r="F64" s="349">
        <v>10</v>
      </c>
      <c r="G64" s="349">
        <v>9.9500323152228312</v>
      </c>
      <c r="H64" s="349">
        <v>7.4863415488282516</v>
      </c>
      <c r="I64" s="414">
        <v>68.462212172677056</v>
      </c>
      <c r="J64" s="412">
        <v>86.009019999999992</v>
      </c>
      <c r="K64" s="412">
        <v>17583.03413</v>
      </c>
      <c r="L64" s="412">
        <v>2943.7535699999989</v>
      </c>
      <c r="M64" s="412">
        <v>1228.7885600000004</v>
      </c>
      <c r="N64" s="428">
        <f t="shared" si="2"/>
        <v>14.286740623250916</v>
      </c>
    </row>
    <row r="65" spans="1:14">
      <c r="A65" s="130">
        <v>2</v>
      </c>
      <c r="B65" s="404" t="s">
        <v>283</v>
      </c>
      <c r="C65" s="349">
        <v>-2.8849260186899826</v>
      </c>
      <c r="D65" s="349">
        <v>15</v>
      </c>
      <c r="E65" s="349">
        <v>5.8442478947368404</v>
      </c>
      <c r="F65" s="349">
        <v>7.90692180995475</v>
      </c>
      <c r="G65" s="349">
        <v>5.8973234401018706</v>
      </c>
      <c r="H65" s="349">
        <v>8.1672264093831739</v>
      </c>
      <c r="I65" s="414">
        <v>39.93079353548665</v>
      </c>
      <c r="J65" s="412">
        <v>51.306309999999996</v>
      </c>
      <c r="K65" s="412">
        <v>11044.901699999997</v>
      </c>
      <c r="L65" s="412">
        <v>-1600.7418699999973</v>
      </c>
      <c r="M65" s="412">
        <v>-2948.7509799999953</v>
      </c>
      <c r="N65" s="428">
        <f t="shared" si="2"/>
        <v>-57.473456578732623</v>
      </c>
    </row>
    <row r="66" spans="1:14">
      <c r="A66" s="130">
        <v>3</v>
      </c>
      <c r="B66" s="404" t="s">
        <v>924</v>
      </c>
      <c r="C66" s="349">
        <v>-2.0209289452261534</v>
      </c>
      <c r="D66" s="349">
        <v>6.4431576398900159</v>
      </c>
      <c r="E66" s="349">
        <v>7.4854396203809248</v>
      </c>
      <c r="F66" s="349">
        <v>8.5434565360123624</v>
      </c>
      <c r="G66" s="349">
        <v>3.3050246684752178</v>
      </c>
      <c r="H66" s="349">
        <v>7.0819991263374158</v>
      </c>
      <c r="I66" s="414">
        <v>30.838148645869786</v>
      </c>
      <c r="J66" s="412">
        <v>57.527929999999998</v>
      </c>
      <c r="K66" s="412">
        <v>11188.303199999998</v>
      </c>
      <c r="L66" s="412">
        <v>-2515.0455000000015</v>
      </c>
      <c r="M66" s="412">
        <v>-2860.6442500000016</v>
      </c>
      <c r="N66" s="428">
        <f t="shared" si="2"/>
        <v>-49.726180830772144</v>
      </c>
    </row>
    <row r="67" spans="1:14">
      <c r="A67" s="130">
        <v>4</v>
      </c>
      <c r="B67" s="404" t="s">
        <v>760</v>
      </c>
      <c r="C67" s="349">
        <v>-2.3401209679836179</v>
      </c>
      <c r="D67" s="349">
        <v>12.740130386178858</v>
      </c>
      <c r="E67" s="349">
        <v>6.4428645020400568</v>
      </c>
      <c r="F67" s="349">
        <v>6.7801981666638067</v>
      </c>
      <c r="G67" s="349">
        <v>2.3695959117626777</v>
      </c>
      <c r="H67" s="349">
        <v>4.4109601606568738</v>
      </c>
      <c r="I67" s="414">
        <v>30.403628159318657</v>
      </c>
      <c r="J67" s="412">
        <v>74.459310000000002</v>
      </c>
      <c r="K67" s="412">
        <v>13282.211039999998</v>
      </c>
      <c r="L67" s="412">
        <v>-2937.7461900000003</v>
      </c>
      <c r="M67" s="412">
        <v>-3219.2213699999988</v>
      </c>
      <c r="N67" s="428">
        <f t="shared" si="2"/>
        <v>-43.234638757732228</v>
      </c>
    </row>
    <row r="68" spans="1:14">
      <c r="A68" s="130">
        <v>5</v>
      </c>
      <c r="B68" s="404" t="s">
        <v>507</v>
      </c>
      <c r="C68" s="349">
        <v>-12.60771893405332</v>
      </c>
      <c r="D68" s="349">
        <v>10.638821138211384</v>
      </c>
      <c r="E68" s="349">
        <v>12.298432864864868</v>
      </c>
      <c r="F68" s="349">
        <v>6.5218087296416938</v>
      </c>
      <c r="G68" s="349">
        <v>5.7052883132901657</v>
      </c>
      <c r="H68" s="349">
        <v>7.1400843671528893</v>
      </c>
      <c r="I68" s="414">
        <v>29.696716479107678</v>
      </c>
      <c r="J68" s="412">
        <v>16.0489</v>
      </c>
      <c r="K68" s="412">
        <v>3353.7024899999997</v>
      </c>
      <c r="L68" s="412">
        <v>-1011.7625799999996</v>
      </c>
      <c r="M68" s="412">
        <v>-1428.5163699999989</v>
      </c>
      <c r="N68" s="428">
        <f t="shared" si="2"/>
        <v>-89.010235592470451</v>
      </c>
    </row>
    <row r="69" spans="1:14">
      <c r="A69" s="130">
        <v>6</v>
      </c>
      <c r="B69" s="404" t="s">
        <v>632</v>
      </c>
      <c r="C69" s="349">
        <v>-8.882249988859126</v>
      </c>
      <c r="D69" s="349">
        <v>10.738947670250896</v>
      </c>
      <c r="E69" s="349">
        <v>9.9594753135964922</v>
      </c>
      <c r="F69" s="349">
        <v>9.7930977659420329</v>
      </c>
      <c r="G69" s="349">
        <v>2.5400694444719325</v>
      </c>
      <c r="H69" s="349">
        <v>4.9522721422824967</v>
      </c>
      <c r="I69" s="414">
        <v>29.101612347684721</v>
      </c>
      <c r="J69" s="412">
        <v>25.991109999999999</v>
      </c>
      <c r="K69" s="412">
        <v>4913.7112200000001</v>
      </c>
      <c r="L69" s="412">
        <v>-2010.8400399999987</v>
      </c>
      <c r="M69" s="412">
        <v>-1812.8161599999989</v>
      </c>
      <c r="N69" s="428">
        <f t="shared" si="2"/>
        <v>-69.747546757333524</v>
      </c>
    </row>
    <row r="70" spans="1:14">
      <c r="A70" s="130">
        <v>7</v>
      </c>
      <c r="B70" s="404" t="s">
        <v>567</v>
      </c>
      <c r="C70" s="349">
        <v>-6.756752665169067</v>
      </c>
      <c r="D70" s="349">
        <v>15</v>
      </c>
      <c r="E70" s="349">
        <v>3.8859179999999993</v>
      </c>
      <c r="F70" s="349">
        <v>10</v>
      </c>
      <c r="G70" s="349">
        <v>3.6392258931195163</v>
      </c>
      <c r="H70" s="349">
        <v>4.5259722924129169E-6</v>
      </c>
      <c r="I70" s="414">
        <v>25.768395753922743</v>
      </c>
      <c r="J70" s="412">
        <v>11.04735</v>
      </c>
      <c r="K70" s="412">
        <v>1648.7579999999998</v>
      </c>
      <c r="L70" s="412">
        <v>-632.55696999999975</v>
      </c>
      <c r="M70" s="412">
        <v>-624.21246999999983</v>
      </c>
      <c r="N70" s="428">
        <f t="shared" si="2"/>
        <v>-56.503366870788</v>
      </c>
    </row>
    <row r="71" spans="1:14">
      <c r="A71" s="130">
        <v>8</v>
      </c>
      <c r="B71" s="404" t="s">
        <v>651</v>
      </c>
      <c r="C71" s="349">
        <v>-17.130950653176111</v>
      </c>
      <c r="D71" s="349">
        <v>14.750990033222593</v>
      </c>
      <c r="E71" s="349">
        <v>6.6897904052511405</v>
      </c>
      <c r="F71" s="349">
        <v>7.5325494347542739</v>
      </c>
      <c r="G71" s="349">
        <v>6.1617945150052806</v>
      </c>
      <c r="H71" s="349">
        <v>4.6285250609114028</v>
      </c>
      <c r="I71" s="414">
        <v>22.632698795968579</v>
      </c>
      <c r="J71" s="412">
        <v>32.498019999999997</v>
      </c>
      <c r="K71" s="412">
        <v>5142.7460800000008</v>
      </c>
      <c r="L71" s="412">
        <v>-3416.5358999999994</v>
      </c>
      <c r="M71" s="412">
        <v>-3109.0217300000013</v>
      </c>
      <c r="N71" s="428">
        <f t="shared" si="2"/>
        <v>-95.66803546800702</v>
      </c>
    </row>
    <row r="72" spans="1:14">
      <c r="A72" s="130">
        <v>9</v>
      </c>
      <c r="B72" s="404" t="s">
        <v>408</v>
      </c>
      <c r="C72" s="349">
        <v>-12.335943979020653</v>
      </c>
      <c r="D72" s="349">
        <v>11.111497881177138</v>
      </c>
      <c r="E72" s="349">
        <v>7.1904629181476833</v>
      </c>
      <c r="F72" s="349">
        <v>5.3942974227916745</v>
      </c>
      <c r="G72" s="349">
        <v>2.6802186211902592</v>
      </c>
      <c r="H72" s="349">
        <v>6.774203723336254</v>
      </c>
      <c r="I72" s="414">
        <v>20.814736587622356</v>
      </c>
      <c r="J72" s="412">
        <v>125.38700999999998</v>
      </c>
      <c r="K72" s="412">
        <v>26075.041419999998</v>
      </c>
      <c r="L72" s="412">
        <v>-7362.7043100000001</v>
      </c>
      <c r="M72" s="412">
        <v>-10815.10786</v>
      </c>
      <c r="N72" s="428">
        <f t="shared" si="2"/>
        <v>-86.253814171021403</v>
      </c>
    </row>
    <row r="73" spans="1:14">
      <c r="A73" s="130">
        <v>10</v>
      </c>
      <c r="B73" s="404" t="s">
        <v>474</v>
      </c>
      <c r="C73" s="349">
        <v>-7.3675592677466728</v>
      </c>
      <c r="D73" s="349">
        <v>11.597314814814812</v>
      </c>
      <c r="E73" s="349">
        <v>6.2845549696969698</v>
      </c>
      <c r="F73" s="349">
        <v>10</v>
      </c>
      <c r="G73" s="349">
        <v>0</v>
      </c>
      <c r="H73" s="349">
        <v>0</v>
      </c>
      <c r="I73" s="414">
        <v>20.514310516765107</v>
      </c>
      <c r="J73" s="412">
        <v>31.916460000000001</v>
      </c>
      <c r="K73" s="412">
        <v>3808.1914400000001</v>
      </c>
      <c r="L73" s="412">
        <v>-2837.4940899999983</v>
      </c>
      <c r="M73" s="412">
        <v>-1858.2165299999981</v>
      </c>
      <c r="N73" s="428">
        <f t="shared" si="2"/>
        <v>-58.22126044053752</v>
      </c>
    </row>
    <row r="74" spans="1:14">
      <c r="A74" s="130">
        <v>11</v>
      </c>
      <c r="B74" s="404" t="s">
        <v>540</v>
      </c>
      <c r="C74" s="349">
        <v>-21.665307627886222</v>
      </c>
      <c r="D74" s="349">
        <v>15</v>
      </c>
      <c r="E74" s="349">
        <v>3.7155622222222235</v>
      </c>
      <c r="F74" s="349">
        <v>9.7707274611398951</v>
      </c>
      <c r="G74" s="349">
        <v>8.0955774316779294</v>
      </c>
      <c r="H74" s="349">
        <v>3.8796362496288341</v>
      </c>
      <c r="I74" s="414">
        <v>18.796195736782661</v>
      </c>
      <c r="J74" s="412">
        <v>30.141549999999999</v>
      </c>
      <c r="K74" s="412">
        <v>5239.9081500000002</v>
      </c>
      <c r="L74" s="412">
        <v>-2997.0855800000018</v>
      </c>
      <c r="M74" s="412">
        <v>-3263.6379800000022</v>
      </c>
      <c r="N74" s="428">
        <f t="shared" si="2"/>
        <v>-108.277045473773</v>
      </c>
    </row>
    <row r="75" spans="1:14">
      <c r="A75" s="130">
        <v>12</v>
      </c>
      <c r="B75" s="404" t="s">
        <v>1600</v>
      </c>
      <c r="C75" s="349">
        <v>-4.5899736911918634</v>
      </c>
      <c r="D75" s="349">
        <v>5.2068300274204695</v>
      </c>
      <c r="E75" s="349">
        <v>7.5577108373006707</v>
      </c>
      <c r="F75" s="349">
        <v>1.8807160844881632</v>
      </c>
      <c r="G75" s="349">
        <v>1.1049544614917481</v>
      </c>
      <c r="H75" s="349">
        <v>5.9567207572894718</v>
      </c>
      <c r="I75" s="414">
        <v>17.116958476798658</v>
      </c>
      <c r="J75" s="412">
        <v>77.100239999999999</v>
      </c>
      <c r="K75" s="412">
        <v>14332.32813</v>
      </c>
      <c r="L75" s="412">
        <v>-3499.8267100000035</v>
      </c>
      <c r="M75" s="412">
        <v>-4189.8310200000014</v>
      </c>
      <c r="N75" s="428">
        <f t="shared" si="2"/>
        <v>-54.342645626005854</v>
      </c>
    </row>
    <row r="76" spans="1:14">
      <c r="A76" s="427">
        <v>13</v>
      </c>
      <c r="B76" s="404" t="s">
        <v>374</v>
      </c>
      <c r="C76" s="349">
        <v>-28.377315074091744</v>
      </c>
      <c r="D76" s="349">
        <v>15</v>
      </c>
      <c r="E76" s="349">
        <v>5.2614512432432425</v>
      </c>
      <c r="F76" s="349">
        <v>7.2513606751054844</v>
      </c>
      <c r="G76" s="349">
        <v>9.3724855072463775</v>
      </c>
      <c r="H76" s="349">
        <v>7.1605238630290104</v>
      </c>
      <c r="I76" s="414">
        <v>15.668506214532371</v>
      </c>
      <c r="J76" s="412">
        <v>22.134029999999999</v>
      </c>
      <c r="K76" s="412">
        <v>4787.8118800000002</v>
      </c>
      <c r="L76" s="412">
        <v>-2430.5305099999987</v>
      </c>
      <c r="M76" s="412">
        <v>-3167.8148999999994</v>
      </c>
      <c r="N76" s="428">
        <f t="shared" si="2"/>
        <v>-143.11966234797728</v>
      </c>
    </row>
    <row r="77" spans="1:14">
      <c r="A77" s="427">
        <v>14</v>
      </c>
      <c r="B77" s="404" t="s">
        <v>1174</v>
      </c>
      <c r="C77" s="349">
        <v>-27.903666564965008</v>
      </c>
      <c r="D77" s="349">
        <v>11.34347393013037</v>
      </c>
      <c r="E77" s="349">
        <v>8.7304518690331516</v>
      </c>
      <c r="F77" s="349">
        <v>3.847078954771574</v>
      </c>
      <c r="G77" s="349">
        <v>1.9719120413266691</v>
      </c>
      <c r="H77" s="349">
        <v>6.1165735497623794</v>
      </c>
      <c r="I77" s="414">
        <v>4.1058237800591391</v>
      </c>
      <c r="J77" s="412">
        <v>67.767859999999999</v>
      </c>
      <c r="K77" s="412">
        <v>13743.757379999999</v>
      </c>
      <c r="L77" s="412">
        <v>-7277.3555400000023</v>
      </c>
      <c r="M77" s="412">
        <v>-9079.7541600000004</v>
      </c>
      <c r="N77" s="428">
        <f t="shared" si="2"/>
        <v>-133.98319144207889</v>
      </c>
    </row>
    <row r="78" spans="1:14">
      <c r="A78" s="427">
        <v>15</v>
      </c>
      <c r="B78" s="404" t="s">
        <v>835</v>
      </c>
      <c r="C78" s="349">
        <v>-17.650550928930276</v>
      </c>
      <c r="D78" s="349">
        <v>0</v>
      </c>
      <c r="E78" s="349">
        <v>9.0186559733930824</v>
      </c>
      <c r="F78" s="349">
        <v>3.0558321388908793</v>
      </c>
      <c r="G78" s="349">
        <v>0.85430409427676923</v>
      </c>
      <c r="H78" s="349">
        <v>7.6453226847219238</v>
      </c>
      <c r="I78" s="414">
        <v>2.9235639623523797</v>
      </c>
      <c r="J78" s="412">
        <v>21.386200000000002</v>
      </c>
      <c r="K78" s="412">
        <v>4160.0396400000009</v>
      </c>
      <c r="L78" s="412">
        <v>-2142.5559499999995</v>
      </c>
      <c r="M78" s="412">
        <v>-2323.9997899999998</v>
      </c>
      <c r="N78" s="428">
        <f t="shared" si="2"/>
        <v>-108.66819678110181</v>
      </c>
    </row>
    <row r="79" spans="1:14">
      <c r="A79" s="427">
        <v>16</v>
      </c>
      <c r="B79" s="404" t="s">
        <v>209</v>
      </c>
      <c r="C79" s="349">
        <v>-40</v>
      </c>
      <c r="D79" s="349">
        <v>15</v>
      </c>
      <c r="E79" s="349">
        <v>4.3689263333333344</v>
      </c>
      <c r="F79" s="349">
        <v>5.5436426070763485</v>
      </c>
      <c r="G79" s="349">
        <v>1.7521739130434788</v>
      </c>
      <c r="H79" s="349">
        <v>3.416948537451205</v>
      </c>
      <c r="I79" s="414">
        <v>-9.9183086090956341</v>
      </c>
      <c r="J79" s="412">
        <v>15.045309999999999</v>
      </c>
      <c r="K79" s="412">
        <v>2560.8559299999997</v>
      </c>
      <c r="L79" s="412">
        <v>-6525.2413299999998</v>
      </c>
      <c r="M79" s="412">
        <v>-6633.71173</v>
      </c>
      <c r="N79" s="428">
        <f t="shared" si="2"/>
        <v>-440.91558964222077</v>
      </c>
    </row>
    <row r="80" spans="1:14">
      <c r="A80" s="427">
        <v>17</v>
      </c>
      <c r="B80" s="404" t="s">
        <v>999</v>
      </c>
      <c r="C80" s="349">
        <v>-40</v>
      </c>
      <c r="D80" s="349">
        <v>14.276713450292394</v>
      </c>
      <c r="E80" s="349">
        <v>2.4254561412658235</v>
      </c>
      <c r="F80" s="349">
        <v>5.9989075215722609</v>
      </c>
      <c r="G80" s="349">
        <v>0</v>
      </c>
      <c r="H80" s="349">
        <v>0</v>
      </c>
      <c r="I80" s="414">
        <v>-17.298922886869523</v>
      </c>
      <c r="J80" s="412">
        <v>18.353580000000001</v>
      </c>
      <c r="K80" s="412">
        <v>1820.7260600000002</v>
      </c>
      <c r="L80" s="412">
        <v>-4729.9813299999987</v>
      </c>
      <c r="M80" s="412">
        <v>-3797.6703899999993</v>
      </c>
      <c r="N80" s="428">
        <f t="shared" si="2"/>
        <v>-206.91714586473043</v>
      </c>
    </row>
  </sheetData>
  <mergeCells count="28">
    <mergeCell ref="A62:A63"/>
    <mergeCell ref="N62:N63"/>
    <mergeCell ref="A61:N61"/>
    <mergeCell ref="J62:J63"/>
    <mergeCell ref="K62:K63"/>
    <mergeCell ref="L62:L63"/>
    <mergeCell ref="M62:M63"/>
    <mergeCell ref="N41:N42"/>
    <mergeCell ref="A40:N40"/>
    <mergeCell ref="J41:J42"/>
    <mergeCell ref="K41:K42"/>
    <mergeCell ref="L41:L42"/>
    <mergeCell ref="M41:M42"/>
    <mergeCell ref="A41:A42"/>
    <mergeCell ref="A21:N21"/>
    <mergeCell ref="N22:N23"/>
    <mergeCell ref="M22:M23"/>
    <mergeCell ref="L22:L23"/>
    <mergeCell ref="K22:K23"/>
    <mergeCell ref="J22:J23"/>
    <mergeCell ref="A22:A23"/>
    <mergeCell ref="A3:N3"/>
    <mergeCell ref="J4:J5"/>
    <mergeCell ref="K4:K5"/>
    <mergeCell ref="L4:L5"/>
    <mergeCell ref="M4:M5"/>
    <mergeCell ref="N4:N5"/>
    <mergeCell ref="A4:A5"/>
  </mergeCells>
  <conditionalFormatting sqref="I4:I19">
    <cfRule type="dataBar" priority="40">
      <dataBar>
        <cfvo type="min"/>
        <cfvo type="max"/>
        <color rgb="FF63C384"/>
      </dataBar>
      <extLst>
        <ext xmlns:x14="http://schemas.microsoft.com/office/spreadsheetml/2009/9/main" uri="{B025F937-C7B1-47D3-B67F-A62EFF666E3E}">
          <x14:id>{5DD442F6-D810-DF41-8639-A816944B49DF}</x14:id>
        </ext>
      </extLst>
    </cfRule>
  </conditionalFormatting>
  <conditionalFormatting sqref="I22:I37">
    <cfRule type="dataBar" priority="41">
      <dataBar>
        <cfvo type="min"/>
        <cfvo type="max"/>
        <color rgb="FF63C384"/>
      </dataBar>
      <extLst>
        <ext xmlns:x14="http://schemas.microsoft.com/office/spreadsheetml/2009/9/main" uri="{B025F937-C7B1-47D3-B67F-A62EFF666E3E}">
          <x14:id>{184BB85C-D307-344B-A429-8CB99B13FFA0}</x14:id>
        </ext>
      </extLst>
    </cfRule>
  </conditionalFormatting>
  <conditionalFormatting sqref="I41:I59">
    <cfRule type="dataBar" priority="42">
      <dataBar>
        <cfvo type="min"/>
        <cfvo type="max"/>
        <color rgb="FF63C384"/>
      </dataBar>
      <extLst>
        <ext xmlns:x14="http://schemas.microsoft.com/office/spreadsheetml/2009/9/main" uri="{B025F937-C7B1-47D3-B67F-A62EFF666E3E}">
          <x14:id>{0DBEC674-E45B-6646-A188-48034553C76C}</x14:id>
        </ext>
      </extLst>
    </cfRule>
  </conditionalFormatting>
  <conditionalFormatting sqref="I64:I80">
    <cfRule type="dataBar" priority="44">
      <dataBar>
        <cfvo type="min"/>
        <cfvo type="max"/>
        <color rgb="FF63C384"/>
      </dataBar>
      <extLst>
        <ext xmlns:x14="http://schemas.microsoft.com/office/spreadsheetml/2009/9/main" uri="{B025F937-C7B1-47D3-B67F-A62EFF666E3E}">
          <x14:id>{6D6161A5-FAD7-BC47-8A74-D48DEC3079AB}</x14:id>
        </ext>
      </extLst>
    </cfRule>
  </conditionalFormatting>
  <conditionalFormatting sqref="I62:I63">
    <cfRule type="dataBar" priority="1">
      <dataBar>
        <cfvo type="min"/>
        <cfvo type="max"/>
        <color rgb="FF63C384"/>
      </dataBar>
      <extLst>
        <ext xmlns:x14="http://schemas.microsoft.com/office/spreadsheetml/2009/9/main" uri="{B025F937-C7B1-47D3-B67F-A62EFF666E3E}">
          <x14:id>{E2FD95A1-FFD7-A240-8EDC-DD0B2B344EDC}</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5DD442F6-D810-DF41-8639-A816944B49DF}">
            <x14:dataBar minLength="0" maxLength="100" border="1" negativeBarBorderColorSameAsPositive="0">
              <x14:cfvo type="autoMin"/>
              <x14:cfvo type="autoMax"/>
              <x14:borderColor rgb="FF63C384"/>
              <x14:negativeFillColor rgb="FFFF0000"/>
              <x14:negativeBorderColor rgb="FFFF0000"/>
              <x14:axisColor rgb="FF000000"/>
            </x14:dataBar>
          </x14:cfRule>
          <xm:sqref>I4:I19</xm:sqref>
        </x14:conditionalFormatting>
        <x14:conditionalFormatting xmlns:xm="http://schemas.microsoft.com/office/excel/2006/main">
          <x14:cfRule type="dataBar" id="{184BB85C-D307-344B-A429-8CB99B13FFA0}">
            <x14:dataBar minLength="0" maxLength="100" border="1" negativeBarBorderColorSameAsPositive="0">
              <x14:cfvo type="autoMin"/>
              <x14:cfvo type="autoMax"/>
              <x14:borderColor rgb="FF63C384"/>
              <x14:negativeFillColor rgb="FFFF0000"/>
              <x14:negativeBorderColor rgb="FFFF0000"/>
              <x14:axisColor rgb="FF000000"/>
            </x14:dataBar>
          </x14:cfRule>
          <xm:sqref>I22:I37</xm:sqref>
        </x14:conditionalFormatting>
        <x14:conditionalFormatting xmlns:xm="http://schemas.microsoft.com/office/excel/2006/main">
          <x14:cfRule type="dataBar" id="{0DBEC674-E45B-6646-A188-48034553C76C}">
            <x14:dataBar minLength="0" maxLength="100" border="1" negativeBarBorderColorSameAsPositive="0">
              <x14:cfvo type="autoMin"/>
              <x14:cfvo type="autoMax"/>
              <x14:borderColor rgb="FF63C384"/>
              <x14:negativeFillColor rgb="FFFF0000"/>
              <x14:negativeBorderColor rgb="FFFF0000"/>
              <x14:axisColor rgb="FF000000"/>
            </x14:dataBar>
          </x14:cfRule>
          <xm:sqref>I41:I59</xm:sqref>
        </x14:conditionalFormatting>
        <x14:conditionalFormatting xmlns:xm="http://schemas.microsoft.com/office/excel/2006/main">
          <x14:cfRule type="dataBar" id="{6D6161A5-FAD7-BC47-8A74-D48DEC3079AB}">
            <x14:dataBar minLength="0" maxLength="100" border="1" negativeBarBorderColorSameAsPositive="0">
              <x14:cfvo type="autoMin"/>
              <x14:cfvo type="autoMax"/>
              <x14:borderColor rgb="FF63C384"/>
              <x14:negativeFillColor rgb="FFFF0000"/>
              <x14:negativeBorderColor rgb="FFFF0000"/>
              <x14:axisColor rgb="FF000000"/>
            </x14:dataBar>
          </x14:cfRule>
          <xm:sqref>I64:I80</xm:sqref>
        </x14:conditionalFormatting>
        <x14:conditionalFormatting xmlns:xm="http://schemas.microsoft.com/office/excel/2006/main">
          <x14:cfRule type="dataBar" id="{E2FD95A1-FFD7-A240-8EDC-DD0B2B344EDC}">
            <x14:dataBar minLength="0" maxLength="100" border="1" negativeBarBorderColorSameAsPositive="0">
              <x14:cfvo type="autoMin"/>
              <x14:cfvo type="autoMax"/>
              <x14:borderColor rgb="FF63C384"/>
              <x14:negativeFillColor rgb="FFFF0000"/>
              <x14:negativeBorderColor rgb="FFFF0000"/>
              <x14:axisColor rgb="FF000000"/>
            </x14:dataBar>
          </x14:cfRule>
          <xm:sqref>I62:I63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5A753-2BB0-4C4D-830A-377422470796}">
  <dimension ref="A1:Y30"/>
  <sheetViews>
    <sheetView zoomScale="99" workbookViewId="0">
      <selection activeCell="R18" sqref="M1:T30"/>
    </sheetView>
  </sheetViews>
  <sheetFormatPr baseColWidth="10" defaultRowHeight="20"/>
  <cols>
    <col min="1" max="1" width="23.6640625" style="129" customWidth="1"/>
    <col min="2" max="2" width="10.1640625" style="129" customWidth="1"/>
    <col min="3" max="3" width="14.6640625" style="129" customWidth="1"/>
    <col min="4" max="4" width="17.5" style="129" customWidth="1"/>
    <col min="5" max="10" width="10.83203125" style="132" customWidth="1"/>
    <col min="11" max="11" width="10.83203125" style="133" customWidth="1"/>
    <col min="12" max="12" width="10.83203125" style="129"/>
    <col min="13" max="13" width="15.33203125" style="129" customWidth="1"/>
    <col min="14" max="19" width="10.83203125" style="198"/>
    <col min="20" max="16384" width="10.83203125" style="129"/>
  </cols>
  <sheetData>
    <row r="1" spans="1:25">
      <c r="A1" s="128">
        <v>11</v>
      </c>
      <c r="C1" s="134" t="s">
        <v>1832</v>
      </c>
      <c r="D1" s="134"/>
      <c r="E1" s="135">
        <v>60</v>
      </c>
      <c r="F1" s="135">
        <v>10</v>
      </c>
      <c r="G1" s="135">
        <v>10</v>
      </c>
      <c r="H1" s="135">
        <v>10</v>
      </c>
      <c r="I1" s="135">
        <v>5</v>
      </c>
      <c r="J1" s="135">
        <v>5</v>
      </c>
      <c r="K1" s="134">
        <v>100</v>
      </c>
      <c r="L1" s="131"/>
      <c r="M1" s="134" t="s">
        <v>1832</v>
      </c>
      <c r="N1" s="196">
        <v>40</v>
      </c>
      <c r="O1" s="196">
        <v>15</v>
      </c>
      <c r="P1" s="196">
        <v>15</v>
      </c>
      <c r="Q1" s="196">
        <v>10</v>
      </c>
      <c r="R1" s="196">
        <v>10</v>
      </c>
      <c r="S1" s="196">
        <v>10</v>
      </c>
      <c r="T1" s="141">
        <v>100</v>
      </c>
      <c r="Y1" s="129" t="s">
        <v>1920</v>
      </c>
    </row>
    <row r="2" spans="1:25">
      <c r="A2" s="130" t="s">
        <v>1924</v>
      </c>
      <c r="C2" s="134" t="s">
        <v>1</v>
      </c>
      <c r="D2" s="134"/>
      <c r="E2" s="135" t="s">
        <v>1836</v>
      </c>
      <c r="F2" s="135" t="s">
        <v>1916</v>
      </c>
      <c r="G2" s="135" t="s">
        <v>1851</v>
      </c>
      <c r="H2" s="135" t="s">
        <v>29</v>
      </c>
      <c r="I2" s="135" t="s">
        <v>1917</v>
      </c>
      <c r="J2" s="135" t="s">
        <v>1907</v>
      </c>
      <c r="K2" s="134" t="s">
        <v>1843</v>
      </c>
      <c r="L2" s="131"/>
      <c r="M2" s="134" t="s">
        <v>1</v>
      </c>
      <c r="N2" s="196" t="s">
        <v>1836</v>
      </c>
      <c r="O2" s="196" t="s">
        <v>1916</v>
      </c>
      <c r="P2" s="196" t="s">
        <v>1851</v>
      </c>
      <c r="Q2" s="196" t="s">
        <v>29</v>
      </c>
      <c r="R2" s="196" t="s">
        <v>1917</v>
      </c>
      <c r="S2" s="196" t="s">
        <v>1907</v>
      </c>
      <c r="T2" s="141" t="s">
        <v>1843</v>
      </c>
    </row>
    <row r="3" spans="1:25">
      <c r="C3" s="136" t="s">
        <v>138</v>
      </c>
      <c r="D3" s="137" t="str">
        <f t="shared" ref="D3:D30" si="0">C3&amp;$A$1</f>
        <v>Chantaburi311</v>
      </c>
      <c r="E3" s="138">
        <f>IFERROR(SUMIF(ผลประหยัด!$E$10:$E$1297,'PML!'!D3,ผลประหยัด!$K$10:$K$1297)/SUMIF(ผลประหยัด!$E$10:$E$1297,'PML!'!D3,ผลประหยัด!$J$10:$J$1297),0)</f>
        <v>-59.956314356205624</v>
      </c>
      <c r="F3" s="138">
        <f>IFERROR(AVERAGEIF(SR!$E$10:$E$1297,'PML!'!D3,SR!$J$10:$J$1297),0)</f>
        <v>10.629647727272729</v>
      </c>
      <c r="G3" s="138">
        <f>IFERROR(AVERAGEIF(ADG!$E$10:$E$1297,'PML!'!D3,ADG!$J$10:$J$1297),0)</f>
        <v>4.0672332222222218</v>
      </c>
      <c r="H3" s="138">
        <f>IFERROR(AVERAGEIF(FCR!$E$10:$E$1297,'PML!'!D3,FCR!$J$10:$J$1297),0)</f>
        <v>8.6976861676646742</v>
      </c>
      <c r="I3" s="138">
        <f>IFERROR(AVERAGEIF(YIELDN!$E$10:$E$1297,'PML!'!D3,YIELDN!$M$10:$M$1297),0)</f>
        <v>0.83961278375348358</v>
      </c>
      <c r="J3" s="138">
        <f>IFERROR(AVERAGEIF(SIZE!$E$10:$E$1297,'PML!'!D3,SIZE!$H$10:$H$1297),0)</f>
        <v>2.2855534410933913</v>
      </c>
      <c r="K3" s="139">
        <f t="shared" ref="K3:K30" si="1">SUM(E3:J3)</f>
        <v>-33.436581014199128</v>
      </c>
      <c r="M3" s="136" t="s">
        <v>138</v>
      </c>
      <c r="N3" s="197">
        <f>IF(E3&gt;=40,40,IF(E3&lt;=-40,-40,E3))</f>
        <v>-40</v>
      </c>
      <c r="O3" s="197">
        <f>IF(F3&gt;=15,15,IF(F3&lt;=0,0,F3))</f>
        <v>10.629647727272729</v>
      </c>
      <c r="P3" s="197">
        <f>IF(G3&gt;=15,15,IF(G3&lt;=0,0,G3))</f>
        <v>4.0672332222222218</v>
      </c>
      <c r="Q3" s="197">
        <f>IF(H3&gt;=10,10,IF(H3&lt;=0,0,H3))</f>
        <v>8.6976861676646742</v>
      </c>
      <c r="R3" s="197">
        <f>IF(I3&gt;=10,10,IF(I3&lt;=0,0,I3))</f>
        <v>0.83961278375348358</v>
      </c>
      <c r="S3" s="197">
        <f>IF(J3&gt;=10,10,IF(J3&lt;=0,0,J3))</f>
        <v>2.2855534410933913</v>
      </c>
      <c r="T3" s="142">
        <f t="shared" ref="T3:T30" si="2">SUM(N3:S3)</f>
        <v>-13.4802666579935</v>
      </c>
    </row>
    <row r="4" spans="1:25">
      <c r="C4" s="136" t="s">
        <v>209</v>
      </c>
      <c r="D4" s="137" t="str">
        <f t="shared" si="0"/>
        <v>Tamai211</v>
      </c>
      <c r="E4" s="138">
        <f>IFERROR(SUMIF(ผลประหยัด!$E$10:$E$1297,'PML!'!D4,ผลประหยัด!$K$10:$K$1297)/SUMIF(ผลประหยัด!$E$10:$E$1297,'PML!'!D4,ผลประหยัด!$J$10:$J$1297),0)</f>
        <v>0</v>
      </c>
      <c r="F4" s="138">
        <f>IFERROR(AVERAGEIF(SR!$E$10:$E$1297,'PML!'!D4,SR!$J$10:$J$1297),0)</f>
        <v>0</v>
      </c>
      <c r="G4" s="138">
        <f>IFERROR(AVERAGEIF(ADG!$E$10:$E$1297,'PML!'!D4,ADG!$J$10:$J$1297),0)</f>
        <v>0</v>
      </c>
      <c r="H4" s="138">
        <f>IFERROR(AVERAGEIF(FCR!$E$10:$E$1297,'PML!'!D4,FCR!$J$10:$J$1297),0)</f>
        <v>0</v>
      </c>
      <c r="I4" s="138">
        <f>IFERROR(AVERAGEIF(YIELDN!$E$10:$E$1297,'PML!'!D4,YIELDN!$M$10:$M$1297),0)</f>
        <v>0</v>
      </c>
      <c r="J4" s="138">
        <f>IFERROR(AVERAGEIF(SIZE!$E$10:$E$1297,'PML!'!D4,SIZE!$H$10:$H$1297),0)</f>
        <v>0</v>
      </c>
      <c r="K4" s="139">
        <f t="shared" si="1"/>
        <v>0</v>
      </c>
      <c r="M4" s="136" t="s">
        <v>209</v>
      </c>
      <c r="N4" s="197">
        <f t="shared" ref="N4:N30" si="3">IF(E4&gt;=40,40,IF(E4&lt;=-40,-40,E4))</f>
        <v>0</v>
      </c>
      <c r="O4" s="197">
        <f t="shared" ref="O4:O30" si="4">IF(F4&gt;=15,15,IF(F4&lt;=0,0,F4))</f>
        <v>0</v>
      </c>
      <c r="P4" s="197">
        <f t="shared" ref="P4:P30" si="5">IF(G4&gt;=15,15,IF(G4&lt;=0,0,G4))</f>
        <v>0</v>
      </c>
      <c r="Q4" s="197">
        <f t="shared" ref="Q4:Q30" si="6">IF(H4&gt;=10,10,IF(H4&lt;=0,0,H4))</f>
        <v>0</v>
      </c>
      <c r="R4" s="197">
        <f t="shared" ref="R4:R30" si="7">IF(I4&gt;=10,10,IF(I4&lt;=0,0,I4))</f>
        <v>0</v>
      </c>
      <c r="S4" s="197">
        <f t="shared" ref="S4:S30" si="8">IF(J4&gt;=10,10,IF(J4&lt;=0,0,J4))</f>
        <v>0</v>
      </c>
      <c r="T4" s="142">
        <f t="shared" si="2"/>
        <v>0</v>
      </c>
    </row>
    <row r="5" spans="1:25">
      <c r="C5" s="136" t="s">
        <v>248</v>
      </c>
      <c r="D5" s="137" t="str">
        <f t="shared" si="0"/>
        <v>Lucky311</v>
      </c>
      <c r="E5" s="138">
        <f>IFERROR(SUMIF(ผลประหยัด!$E$10:$E$1297,'PML!'!D5,ผลประหยัด!$K$10:$K$1297)/SUMIF(ผลประหยัด!$E$10:$E$1297,'PML!'!D5,ผลประหยัด!$J$10:$J$1297),0)</f>
        <v>0</v>
      </c>
      <c r="F5" s="138">
        <f>IFERROR(AVERAGEIF(SR!$E$10:$E$1297,'PML!'!D5,SR!$J$10:$J$1297),0)</f>
        <v>0</v>
      </c>
      <c r="G5" s="138">
        <f>IFERROR(AVERAGEIF(ADG!$E$10:$E$1297,'PML!'!D5,ADG!$J$10:$J$1297),0)</f>
        <v>0</v>
      </c>
      <c r="H5" s="138">
        <f>IFERROR(AVERAGEIF(FCR!$E$10:$E$1297,'PML!'!D5,FCR!$J$10:$J$1297),0)</f>
        <v>0</v>
      </c>
      <c r="I5" s="138">
        <f>IFERROR(AVERAGEIF(YIELDN!$E$10:$E$1297,'PML!'!D5,YIELDN!$M$10:$M$1297),0)</f>
        <v>0</v>
      </c>
      <c r="J5" s="138">
        <f>IFERROR(AVERAGEIF(SIZE!$E$10:$E$1297,'PML!'!D5,SIZE!$H$10:$H$1297),0)</f>
        <v>0</v>
      </c>
      <c r="K5" s="139">
        <f t="shared" si="1"/>
        <v>0</v>
      </c>
      <c r="M5" s="136" t="s">
        <v>248</v>
      </c>
      <c r="N5" s="197">
        <f t="shared" si="3"/>
        <v>0</v>
      </c>
      <c r="O5" s="197">
        <f t="shared" si="4"/>
        <v>0</v>
      </c>
      <c r="P5" s="197">
        <f t="shared" si="5"/>
        <v>0</v>
      </c>
      <c r="Q5" s="197">
        <f t="shared" si="6"/>
        <v>0</v>
      </c>
      <c r="R5" s="197">
        <f t="shared" si="7"/>
        <v>0</v>
      </c>
      <c r="S5" s="197">
        <f t="shared" si="8"/>
        <v>0</v>
      </c>
      <c r="T5" s="142">
        <f t="shared" si="2"/>
        <v>0</v>
      </c>
    </row>
    <row r="6" spans="1:25">
      <c r="C6" s="136" t="s">
        <v>283</v>
      </c>
      <c r="D6" s="137" t="str">
        <f t="shared" si="0"/>
        <v>Kamong11</v>
      </c>
      <c r="E6" s="138">
        <f>IFERROR(SUMIF(ผลประหยัด!$E$10:$E$1297,'PML!'!D6,ผลประหยัด!$K$10:$K$1297)/SUMIF(ผลประหยัด!$E$10:$E$1297,'PML!'!D6,ผลประหยัด!$J$10:$J$1297),0)</f>
        <v>0</v>
      </c>
      <c r="F6" s="138">
        <f>IFERROR(AVERAGEIF(SR!$E$10:$E$1297,'PML!'!D6,SR!$J$10:$J$1297),0)</f>
        <v>0</v>
      </c>
      <c r="G6" s="138">
        <f>IFERROR(AVERAGEIF(ADG!$E$10:$E$1297,'PML!'!D6,ADG!$J$10:$J$1297),0)</f>
        <v>0</v>
      </c>
      <c r="H6" s="138">
        <f>IFERROR(AVERAGEIF(FCR!$E$10:$E$1297,'PML!'!D6,FCR!$J$10:$J$1297),0)</f>
        <v>0</v>
      </c>
      <c r="I6" s="138">
        <f>IFERROR(AVERAGEIF(YIELDN!$E$10:$E$1297,'PML!'!D6,YIELDN!$M$10:$M$1297),0)</f>
        <v>0</v>
      </c>
      <c r="J6" s="138">
        <f>IFERROR(AVERAGEIF(SIZE!$E$10:$E$1297,'PML!'!D6,SIZE!$H$10:$H$1297),0)</f>
        <v>0</v>
      </c>
      <c r="K6" s="139">
        <f t="shared" si="1"/>
        <v>0</v>
      </c>
      <c r="M6" s="136" t="s">
        <v>283</v>
      </c>
      <c r="N6" s="197">
        <f t="shared" si="3"/>
        <v>0</v>
      </c>
      <c r="O6" s="197">
        <f t="shared" si="4"/>
        <v>0</v>
      </c>
      <c r="P6" s="197">
        <f t="shared" si="5"/>
        <v>0</v>
      </c>
      <c r="Q6" s="197">
        <f t="shared" si="6"/>
        <v>0</v>
      </c>
      <c r="R6" s="197">
        <f t="shared" si="7"/>
        <v>0</v>
      </c>
      <c r="S6" s="197">
        <f t="shared" si="8"/>
        <v>0</v>
      </c>
      <c r="T6" s="142">
        <f t="shared" si="2"/>
        <v>0</v>
      </c>
    </row>
    <row r="7" spans="1:25">
      <c r="C7" s="136" t="s">
        <v>317</v>
      </c>
      <c r="D7" s="137" t="str">
        <f t="shared" si="0"/>
        <v>Lucky111</v>
      </c>
      <c r="E7" s="138">
        <f>IFERROR(SUMIF(ผลประหยัด!$E$10:$E$1297,'PML!'!D7,ผลประหยัด!$K$10:$K$1297)/SUMIF(ผลประหยัด!$E$10:$E$1297,'PML!'!D7,ผลประหยัด!$J$10:$J$1297),0)</f>
        <v>0</v>
      </c>
      <c r="F7" s="138">
        <f>IFERROR(AVERAGEIF(SR!$E$10:$E$1297,'PML!'!D7,SR!$J$10:$J$1297),0)</f>
        <v>0</v>
      </c>
      <c r="G7" s="138">
        <f>IFERROR(AVERAGEIF(ADG!$E$10:$E$1297,'PML!'!D7,ADG!$J$10:$J$1297),0)</f>
        <v>0</v>
      </c>
      <c r="H7" s="138">
        <f>IFERROR(AVERAGEIF(FCR!$E$10:$E$1297,'PML!'!D7,FCR!$J$10:$J$1297),0)</f>
        <v>0</v>
      </c>
      <c r="I7" s="138">
        <f>IFERROR(AVERAGEIF(YIELDN!$E$10:$E$1297,'PML!'!D7,YIELDN!$M$10:$M$1297),0)</f>
        <v>0</v>
      </c>
      <c r="J7" s="138">
        <f>IFERROR(AVERAGEIF(SIZE!$E$10:$E$1297,'PML!'!D7,SIZE!$H$10:$H$1297),0)</f>
        <v>0</v>
      </c>
      <c r="K7" s="139">
        <f t="shared" si="1"/>
        <v>0</v>
      </c>
      <c r="M7" s="136" t="s">
        <v>317</v>
      </c>
      <c r="N7" s="197">
        <f t="shared" si="3"/>
        <v>0</v>
      </c>
      <c r="O7" s="197">
        <f t="shared" si="4"/>
        <v>0</v>
      </c>
      <c r="P7" s="197">
        <f t="shared" si="5"/>
        <v>0</v>
      </c>
      <c r="Q7" s="197">
        <f t="shared" si="6"/>
        <v>0</v>
      </c>
      <c r="R7" s="197">
        <f t="shared" si="7"/>
        <v>0</v>
      </c>
      <c r="S7" s="197">
        <f t="shared" si="8"/>
        <v>0</v>
      </c>
      <c r="T7" s="142">
        <f t="shared" si="2"/>
        <v>0</v>
      </c>
    </row>
    <row r="8" spans="1:25">
      <c r="C8" s="136" t="s">
        <v>374</v>
      </c>
      <c r="D8" s="137" t="str">
        <f t="shared" si="0"/>
        <v>CHBR111</v>
      </c>
      <c r="E8" s="138">
        <f>IFERROR(SUMIF(ผลประหยัด!$E$10:$E$1297,'PML!'!D8,ผลประหยัด!$K$10:$K$1297)/SUMIF(ผลประหยัด!$E$10:$E$1297,'PML!'!D8,ผลประหยัด!$J$10:$J$1297),0)</f>
        <v>0</v>
      </c>
      <c r="F8" s="138">
        <f>IFERROR(AVERAGEIF(SR!$E$10:$E$1297,'PML!'!D8,SR!$J$10:$J$1297),0)</f>
        <v>0</v>
      </c>
      <c r="G8" s="138">
        <f>IFERROR(AVERAGEIF(ADG!$E$10:$E$1297,'PML!'!D8,ADG!$J$10:$J$1297),0)</f>
        <v>0</v>
      </c>
      <c r="H8" s="138">
        <f>IFERROR(AVERAGEIF(FCR!$E$10:$E$1297,'PML!'!D8,FCR!$J$10:$J$1297),0)</f>
        <v>0</v>
      </c>
      <c r="I8" s="138">
        <f>IFERROR(AVERAGEIF(YIELDN!$E$10:$E$1297,'PML!'!D8,YIELDN!$M$10:$M$1297),0)</f>
        <v>0</v>
      </c>
      <c r="J8" s="138">
        <f>IFERROR(AVERAGEIF(SIZE!$E$10:$E$1297,'PML!'!D8,SIZE!$H$10:$H$1297),0)</f>
        <v>0</v>
      </c>
      <c r="K8" s="139">
        <f t="shared" si="1"/>
        <v>0</v>
      </c>
      <c r="M8" s="136" t="s">
        <v>374</v>
      </c>
      <c r="N8" s="197">
        <f t="shared" si="3"/>
        <v>0</v>
      </c>
      <c r="O8" s="197">
        <f t="shared" si="4"/>
        <v>0</v>
      </c>
      <c r="P8" s="197">
        <f t="shared" si="5"/>
        <v>0</v>
      </c>
      <c r="Q8" s="197">
        <f t="shared" si="6"/>
        <v>0</v>
      </c>
      <c r="R8" s="197">
        <f t="shared" si="7"/>
        <v>0</v>
      </c>
      <c r="S8" s="197">
        <f t="shared" si="8"/>
        <v>0</v>
      </c>
      <c r="T8" s="142">
        <f t="shared" si="2"/>
        <v>0</v>
      </c>
    </row>
    <row r="9" spans="1:25">
      <c r="C9" s="136" t="s">
        <v>408</v>
      </c>
      <c r="D9" s="137" t="str">
        <f t="shared" si="0"/>
        <v>Bangsakao11</v>
      </c>
      <c r="E9" s="138">
        <f>IFERROR(SUMIF(ผลประหยัด!$E$10:$E$1297,'PML!'!D9,ผลประหยัด!$K$10:$K$1297)/SUMIF(ผลประหยัด!$E$10:$E$1297,'PML!'!D9,ผลประหยัด!$J$10:$J$1297),0)</f>
        <v>-2.9122136791439099</v>
      </c>
      <c r="F9" s="138">
        <f>IFERROR(AVERAGEIF(SR!$E$10:$E$1297,'PML!'!D9,SR!$J$10:$J$1297),0)</f>
        <v>10.29587384259259</v>
      </c>
      <c r="G9" s="138">
        <f>IFERROR(AVERAGEIF(ADG!$E$10:$E$1297,'PML!'!D9,ADG!$J$10:$J$1297),0)</f>
        <v>8.2914447157157145</v>
      </c>
      <c r="H9" s="138">
        <f>IFERROR(AVERAGEIF(FCR!$E$10:$E$1297,'PML!'!D9,FCR!$J$10:$J$1297),0)</f>
        <v>7.323115470274824</v>
      </c>
      <c r="I9" s="138">
        <f>IFERROR(AVERAGEIF(YIELDN!$E$10:$E$1297,'PML!'!D9,YIELDN!$M$10:$M$1297),0)</f>
        <v>3.1881461240688336</v>
      </c>
      <c r="J9" s="138">
        <f>IFERROR(AVERAGEIF(SIZE!$E$10:$E$1297,'PML!'!D9,SIZE!$H$10:$H$1297),0)</f>
        <v>7.814342596217867</v>
      </c>
      <c r="K9" s="139">
        <f t="shared" si="1"/>
        <v>34.000709069725922</v>
      </c>
      <c r="M9" s="136" t="s">
        <v>408</v>
      </c>
      <c r="N9" s="197">
        <f t="shared" si="3"/>
        <v>-2.9122136791439099</v>
      </c>
      <c r="O9" s="197">
        <f t="shared" si="4"/>
        <v>10.29587384259259</v>
      </c>
      <c r="P9" s="197">
        <f t="shared" si="5"/>
        <v>8.2914447157157145</v>
      </c>
      <c r="Q9" s="197">
        <f t="shared" si="6"/>
        <v>7.323115470274824</v>
      </c>
      <c r="R9" s="197">
        <f t="shared" si="7"/>
        <v>3.1881461240688336</v>
      </c>
      <c r="S9" s="197">
        <f t="shared" si="8"/>
        <v>7.814342596217867</v>
      </c>
      <c r="T9" s="142">
        <f t="shared" si="2"/>
        <v>34.000709069725922</v>
      </c>
    </row>
    <row r="10" spans="1:25">
      <c r="C10" s="136" t="s">
        <v>507</v>
      </c>
      <c r="D10" s="137" t="str">
        <f t="shared" si="0"/>
        <v>Bo Thong11</v>
      </c>
      <c r="E10" s="138">
        <f>IFERROR(SUMIF(ผลประหยัด!$E$10:$E$1297,'PML!'!D10,ผลประหยัด!$K$10:$K$1297)/SUMIF(ผลประหยัด!$E$10:$E$1297,'PML!'!D10,ผลประหยัด!$J$10:$J$1297),0)</f>
        <v>-54.466146216518581</v>
      </c>
      <c r="F10" s="138">
        <f>IFERROR(AVERAGEIF(SR!$E$10:$E$1297,'PML!'!D10,SR!$J$10:$J$1297),0)</f>
        <v>11.44120366902483</v>
      </c>
      <c r="G10" s="138">
        <f>IFERROR(AVERAGEIF(ADG!$E$10:$E$1297,'PML!'!D10,ADG!$J$10:$J$1297),0)</f>
        <v>9.3351734007936535</v>
      </c>
      <c r="H10" s="138">
        <f>IFERROR(AVERAGEIF(FCR!$E$10:$E$1297,'PML!'!D10,FCR!$J$10:$J$1297),0)</f>
        <v>7.6905285600589632</v>
      </c>
      <c r="I10" s="138">
        <f>IFERROR(AVERAGEIF(YIELDN!$E$10:$E$1297,'PML!'!D10,YIELDN!$M$10:$M$1297),0)</f>
        <v>4.1688956553376055</v>
      </c>
      <c r="J10" s="138">
        <f>IFERROR(AVERAGEIF(SIZE!$E$10:$E$1297,'PML!'!D10,SIZE!$H$10:$H$1297),0)</f>
        <v>4.181090185748082</v>
      </c>
      <c r="K10" s="139">
        <f t="shared" si="1"/>
        <v>-17.649254745555446</v>
      </c>
      <c r="M10" s="136" t="s">
        <v>507</v>
      </c>
      <c r="N10" s="197">
        <f t="shared" si="3"/>
        <v>-40</v>
      </c>
      <c r="O10" s="197">
        <f t="shared" si="4"/>
        <v>11.44120366902483</v>
      </c>
      <c r="P10" s="197">
        <f t="shared" si="5"/>
        <v>9.3351734007936535</v>
      </c>
      <c r="Q10" s="197">
        <f t="shared" si="6"/>
        <v>7.6905285600589632</v>
      </c>
      <c r="R10" s="197">
        <f t="shared" si="7"/>
        <v>4.1688956553376055</v>
      </c>
      <c r="S10" s="197">
        <f t="shared" si="8"/>
        <v>4.181090185748082</v>
      </c>
      <c r="T10" s="142">
        <f t="shared" si="2"/>
        <v>-3.1831085290368657</v>
      </c>
    </row>
    <row r="11" spans="1:25">
      <c r="C11" s="136" t="s">
        <v>474</v>
      </c>
      <c r="D11" s="137" t="str">
        <f t="shared" si="0"/>
        <v>Rayong311</v>
      </c>
      <c r="E11" s="138">
        <f>IFERROR(SUMIF(ผลประหยัด!$E$10:$E$1297,'PML!'!D11,ผลประหยัด!$K$10:$K$1297)/SUMIF(ผลประหยัด!$E$10:$E$1297,'PML!'!D11,ผลประหยัด!$J$10:$J$1297),0)</f>
        <v>0</v>
      </c>
      <c r="F11" s="138">
        <f>IFERROR(AVERAGEIF(SR!$E$10:$E$1297,'PML!'!D11,SR!$J$10:$J$1297),0)</f>
        <v>0</v>
      </c>
      <c r="G11" s="138">
        <f>IFERROR(AVERAGEIF(ADG!$E$10:$E$1297,'PML!'!D11,ADG!$J$10:$J$1297),0)</f>
        <v>0</v>
      </c>
      <c r="H11" s="138">
        <f>IFERROR(AVERAGEIF(FCR!$E$10:$E$1297,'PML!'!D11,FCR!$J$10:$J$1297),0)</f>
        <v>0</v>
      </c>
      <c r="I11" s="138">
        <f>IFERROR(AVERAGEIF(YIELDN!$E$10:$E$1297,'PML!'!D11,YIELDN!$M$10:$M$1297),0)</f>
        <v>0</v>
      </c>
      <c r="J11" s="138">
        <f>IFERROR(AVERAGEIF(SIZE!$E$10:$E$1297,'PML!'!D11,SIZE!$H$10:$H$1297),0)</f>
        <v>0</v>
      </c>
      <c r="K11" s="139">
        <f t="shared" si="1"/>
        <v>0</v>
      </c>
      <c r="M11" s="136" t="s">
        <v>474</v>
      </c>
      <c r="N11" s="197">
        <f t="shared" si="3"/>
        <v>0</v>
      </c>
      <c r="O11" s="197">
        <f t="shared" si="4"/>
        <v>0</v>
      </c>
      <c r="P11" s="197">
        <f t="shared" si="5"/>
        <v>0</v>
      </c>
      <c r="Q11" s="197">
        <f t="shared" si="6"/>
        <v>0</v>
      </c>
      <c r="R11" s="197">
        <f t="shared" si="7"/>
        <v>0</v>
      </c>
      <c r="S11" s="197">
        <f t="shared" si="8"/>
        <v>0</v>
      </c>
      <c r="T11" s="142">
        <f t="shared" si="2"/>
        <v>0</v>
      </c>
    </row>
    <row r="12" spans="1:25">
      <c r="C12" s="136" t="s">
        <v>540</v>
      </c>
      <c r="D12" s="137" t="str">
        <f t="shared" si="0"/>
        <v>Tachalab11</v>
      </c>
      <c r="E12" s="138">
        <f>IFERROR(SUMIF(ผลประหยัด!$E$10:$E$1297,'PML!'!D12,ผลประหยัด!$K$10:$K$1297)/SUMIF(ผลประหยัด!$E$10:$E$1297,'PML!'!D12,ผลประหยัด!$J$10:$J$1297),0)</f>
        <v>0</v>
      </c>
      <c r="F12" s="138">
        <f>IFERROR(AVERAGEIF(SR!$E$10:$E$1297,'PML!'!D12,SR!$J$10:$J$1297),0)</f>
        <v>0</v>
      </c>
      <c r="G12" s="138">
        <f>IFERROR(AVERAGEIF(ADG!$E$10:$E$1297,'PML!'!D12,ADG!$J$10:$J$1297),0)</f>
        <v>0</v>
      </c>
      <c r="H12" s="138">
        <f>IFERROR(AVERAGEIF(FCR!$E$10:$E$1297,'PML!'!D12,FCR!$J$10:$J$1297),0)</f>
        <v>0</v>
      </c>
      <c r="I12" s="138">
        <f>IFERROR(AVERAGEIF(YIELDN!$E$10:$E$1297,'PML!'!D12,YIELDN!$M$10:$M$1297),0)</f>
        <v>0</v>
      </c>
      <c r="J12" s="138">
        <f>IFERROR(AVERAGEIF(SIZE!$E$10:$E$1297,'PML!'!D12,SIZE!$H$10:$H$1297),0)</f>
        <v>0</v>
      </c>
      <c r="K12" s="139">
        <f t="shared" si="1"/>
        <v>0</v>
      </c>
      <c r="M12" s="136" t="s">
        <v>540</v>
      </c>
      <c r="N12" s="197">
        <f t="shared" si="3"/>
        <v>0</v>
      </c>
      <c r="O12" s="197">
        <f t="shared" si="4"/>
        <v>0</v>
      </c>
      <c r="P12" s="197">
        <f t="shared" si="5"/>
        <v>0</v>
      </c>
      <c r="Q12" s="197">
        <f t="shared" si="6"/>
        <v>0</v>
      </c>
      <c r="R12" s="197">
        <f t="shared" si="7"/>
        <v>0</v>
      </c>
      <c r="S12" s="197">
        <f t="shared" si="8"/>
        <v>0</v>
      </c>
      <c r="T12" s="142">
        <f t="shared" si="2"/>
        <v>0</v>
      </c>
    </row>
    <row r="13" spans="1:25">
      <c r="C13" s="136" t="s">
        <v>567</v>
      </c>
      <c r="D13" s="137" t="str">
        <f t="shared" si="0"/>
        <v>Laemsing11</v>
      </c>
      <c r="E13" s="138">
        <f>IFERROR(SUMIF(ผลประหยัด!$E$10:$E$1297,'PML!'!D13,ผลประหยัด!$K$10:$K$1297)/SUMIF(ผลประหยัด!$E$10:$E$1297,'PML!'!D13,ผลประหยัด!$J$10:$J$1297),0)</f>
        <v>-42.084454102694814</v>
      </c>
      <c r="F13" s="138">
        <f>IFERROR(AVERAGEIF(SR!$E$10:$E$1297,'PML!'!D13,SR!$J$10:$J$1297),0)</f>
        <v>20.54292613636364</v>
      </c>
      <c r="G13" s="138">
        <f>IFERROR(AVERAGEIF(ADG!$E$10:$E$1297,'PML!'!D13,ADG!$J$10:$J$1297),0)</f>
        <v>5.7150205555555544</v>
      </c>
      <c r="H13" s="138">
        <f>IFERROR(AVERAGEIF(FCR!$E$10:$E$1297,'PML!'!D13,FCR!$J$10:$J$1297),0)</f>
        <v>15.132380493418687</v>
      </c>
      <c r="I13" s="138">
        <f>IFERROR(AVERAGEIF(YIELDN!$E$10:$E$1297,'PML!'!D13,YIELDN!$M$10:$M$1297),0)</f>
        <v>5.4910373200117535</v>
      </c>
      <c r="J13" s="138">
        <f>IFERROR(AVERAGEIF(SIZE!$E$10:$E$1297,'PML!'!D13,SIZE!$H$10:$H$1297),0)</f>
        <v>2.1999840397655364</v>
      </c>
      <c r="K13" s="139">
        <f t="shared" si="1"/>
        <v>6.9968944424203574</v>
      </c>
      <c r="M13" s="136" t="s">
        <v>567</v>
      </c>
      <c r="N13" s="197">
        <f t="shared" si="3"/>
        <v>-40</v>
      </c>
      <c r="O13" s="197">
        <f t="shared" si="4"/>
        <v>15</v>
      </c>
      <c r="P13" s="197">
        <f t="shared" si="5"/>
        <v>5.7150205555555544</v>
      </c>
      <c r="Q13" s="197">
        <f t="shared" si="6"/>
        <v>10</v>
      </c>
      <c r="R13" s="197">
        <f t="shared" si="7"/>
        <v>5.4910373200117535</v>
      </c>
      <c r="S13" s="197">
        <f t="shared" si="8"/>
        <v>2.1999840397655364</v>
      </c>
      <c r="T13" s="142">
        <f t="shared" si="2"/>
        <v>-1.5939580846671557</v>
      </c>
    </row>
    <row r="14" spans="1:25">
      <c r="C14" s="136" t="s">
        <v>610</v>
      </c>
      <c r="D14" s="137" t="str">
        <f t="shared" si="0"/>
        <v>Bangkachai111</v>
      </c>
      <c r="E14" s="138">
        <f>IFERROR(SUMIF(ผลประหยัด!$E$10:$E$1297,'PML!'!D14,ผลประหยัด!$K$10:$K$1297)/SUMIF(ผลประหยัด!$E$10:$E$1297,'PML!'!D14,ผลประหยัด!$J$10:$J$1297),0)</f>
        <v>0</v>
      </c>
      <c r="F14" s="138">
        <f>IFERROR(AVERAGEIF(SR!$E$10:$E$1297,'PML!'!D14,SR!$J$10:$J$1297),0)</f>
        <v>0</v>
      </c>
      <c r="G14" s="138">
        <f>IFERROR(AVERAGEIF(ADG!$E$10:$E$1297,'PML!'!D14,ADG!$J$10:$J$1297),0)</f>
        <v>0</v>
      </c>
      <c r="H14" s="138">
        <f>IFERROR(AVERAGEIF(FCR!$E$10:$E$1297,'PML!'!D14,FCR!$J$10:$J$1297),0)</f>
        <v>0</v>
      </c>
      <c r="I14" s="138">
        <f>IFERROR(AVERAGEIF(YIELDN!$E$10:$E$1297,'PML!'!D14,YIELDN!$M$10:$M$1297),0)</f>
        <v>0</v>
      </c>
      <c r="J14" s="138">
        <f>IFERROR(AVERAGEIF(SIZE!$E$10:$E$1297,'PML!'!D14,SIZE!$H$10:$H$1297),0)</f>
        <v>0</v>
      </c>
      <c r="K14" s="139">
        <f t="shared" si="1"/>
        <v>0</v>
      </c>
      <c r="M14" s="136" t="s">
        <v>610</v>
      </c>
      <c r="N14" s="197">
        <f t="shared" si="3"/>
        <v>0</v>
      </c>
      <c r="O14" s="197">
        <f t="shared" si="4"/>
        <v>0</v>
      </c>
      <c r="P14" s="197">
        <f t="shared" si="5"/>
        <v>0</v>
      </c>
      <c r="Q14" s="197">
        <f t="shared" si="6"/>
        <v>0</v>
      </c>
      <c r="R14" s="197">
        <f t="shared" si="7"/>
        <v>0</v>
      </c>
      <c r="S14" s="197">
        <f t="shared" si="8"/>
        <v>0</v>
      </c>
      <c r="T14" s="142">
        <f t="shared" si="2"/>
        <v>0</v>
      </c>
    </row>
    <row r="15" spans="1:25">
      <c r="C15" s="136" t="s">
        <v>632</v>
      </c>
      <c r="D15" s="137" t="str">
        <f t="shared" si="0"/>
        <v>Ranode11</v>
      </c>
      <c r="E15" s="138">
        <f>IFERROR(SUMIF(ผลประหยัด!$E$10:$E$1297,'PML!'!D15,ผลประหยัด!$K$10:$K$1297)/SUMIF(ผลประหยัด!$E$10:$E$1297,'PML!'!D15,ผลประหยัด!$J$10:$J$1297),0)</f>
        <v>12.099998512434226</v>
      </c>
      <c r="F15" s="138">
        <f>IFERROR(AVERAGEIF(SR!$E$10:$E$1297,'PML!'!D15,SR!$J$10:$J$1297),0)</f>
        <v>20.578225301204821</v>
      </c>
      <c r="G15" s="138">
        <f>IFERROR(AVERAGEIF(ADG!$E$10:$E$1297,'PML!'!D15,ADG!$J$10:$J$1297),0)</f>
        <v>10.597054813685638</v>
      </c>
      <c r="H15" s="138">
        <f>IFERROR(AVERAGEIF(FCR!$E$10:$E$1297,'PML!'!D15,FCR!$J$10:$J$1297),0)</f>
        <v>12.085771026249695</v>
      </c>
      <c r="I15" s="138">
        <f>IFERROR(AVERAGEIF(YIELDN!$E$10:$E$1297,'PML!'!D15,YIELDN!$M$10:$M$1297),0)</f>
        <v>9.2657889993018578</v>
      </c>
      <c r="J15" s="138">
        <f>IFERROR(AVERAGEIF(SIZE!$E$10:$E$1297,'PML!'!D15,SIZE!$H$10:$H$1297),0)</f>
        <v>7.7296490005266918</v>
      </c>
      <c r="K15" s="139">
        <f t="shared" si="1"/>
        <v>72.356487653402937</v>
      </c>
      <c r="M15" s="136" t="s">
        <v>632</v>
      </c>
      <c r="N15" s="197">
        <f t="shared" si="3"/>
        <v>12.099998512434226</v>
      </c>
      <c r="O15" s="197">
        <f t="shared" si="4"/>
        <v>15</v>
      </c>
      <c r="P15" s="197">
        <f t="shared" si="5"/>
        <v>10.597054813685638</v>
      </c>
      <c r="Q15" s="197">
        <f t="shared" si="6"/>
        <v>10</v>
      </c>
      <c r="R15" s="197">
        <f t="shared" si="7"/>
        <v>9.2657889993018578</v>
      </c>
      <c r="S15" s="197">
        <f t="shared" si="8"/>
        <v>7.7296490005266918</v>
      </c>
      <c r="T15" s="142">
        <f t="shared" si="2"/>
        <v>64.69249132594841</v>
      </c>
    </row>
    <row r="16" spans="1:25">
      <c r="C16" s="136" t="s">
        <v>651</v>
      </c>
      <c r="D16" s="137" t="str">
        <f t="shared" si="0"/>
        <v>Nakornfarm11</v>
      </c>
      <c r="E16" s="138">
        <f>IFERROR(SUMIF(ผลประหยัด!$E$10:$E$1297,'PML!'!D16,ผลประหยัด!$K$10:$K$1297)/SUMIF(ผลประหยัด!$E$10:$E$1297,'PML!'!D16,ผลประหยัด!$J$10:$J$1297),0)</f>
        <v>-56.465950342986069</v>
      </c>
      <c r="F16" s="138">
        <f>IFERROR(AVERAGEIF(SR!$E$10:$E$1297,'PML!'!D16,SR!$J$10:$J$1297),0)</f>
        <v>7.5998618985103414</v>
      </c>
      <c r="G16" s="138">
        <f>IFERROR(AVERAGEIF(ADG!$E$10:$E$1297,'PML!'!D16,ADG!$J$10:$J$1297),0)</f>
        <v>2.623136234395234</v>
      </c>
      <c r="H16" s="138">
        <f>IFERROR(AVERAGEIF(FCR!$E$10:$E$1297,'PML!'!D16,FCR!$J$10:$J$1297),0)</f>
        <v>2.8410361841954961</v>
      </c>
      <c r="I16" s="138">
        <f>IFERROR(AVERAGEIF(YIELDN!$E$10:$E$1297,'PML!'!D16,YIELDN!$M$10:$M$1297),0)</f>
        <v>-0.93472381526459158</v>
      </c>
      <c r="J16" s="138">
        <f>IFERROR(AVERAGEIF(SIZE!$E$10:$E$1297,'PML!'!D16,SIZE!$H$10:$H$1297),0)</f>
        <v>-7.8465382942062796</v>
      </c>
      <c r="K16" s="139">
        <f t="shared" si="1"/>
        <v>-52.183178135355874</v>
      </c>
      <c r="M16" s="136" t="s">
        <v>651</v>
      </c>
      <c r="N16" s="197">
        <f t="shared" si="3"/>
        <v>-40</v>
      </c>
      <c r="O16" s="197">
        <f t="shared" si="4"/>
        <v>7.5998618985103414</v>
      </c>
      <c r="P16" s="197">
        <f t="shared" si="5"/>
        <v>2.623136234395234</v>
      </c>
      <c r="Q16" s="197">
        <f t="shared" si="6"/>
        <v>2.8410361841954961</v>
      </c>
      <c r="R16" s="197">
        <f t="shared" si="7"/>
        <v>0</v>
      </c>
      <c r="S16" s="197">
        <f t="shared" si="8"/>
        <v>0</v>
      </c>
      <c r="T16" s="142">
        <f t="shared" si="2"/>
        <v>-26.935965682898932</v>
      </c>
    </row>
    <row r="17" spans="3:20">
      <c r="C17" s="136" t="s">
        <v>724</v>
      </c>
      <c r="D17" s="137" t="str">
        <f t="shared" si="0"/>
        <v>Pakpanang111</v>
      </c>
      <c r="E17" s="138">
        <f>IFERROR(SUMIF(ผลประหยัด!$E$10:$E$1297,'PML!'!D17,ผลประหยัด!$K$10:$K$1297)/SUMIF(ผลประหยัด!$E$10:$E$1297,'PML!'!D17,ผลประหยัด!$J$10:$J$1297),0)</f>
        <v>-8.8282719787416983</v>
      </c>
      <c r="F17" s="138">
        <f>IFERROR(AVERAGEIF(SR!$E$10:$E$1297,'PML!'!D17,SR!$J$10:$J$1297),0)</f>
        <v>12.162626639540038</v>
      </c>
      <c r="G17" s="138">
        <f>IFERROR(AVERAGEIF(ADG!$E$10:$E$1297,'PML!'!D17,ADG!$J$10:$J$1297),0)</f>
        <v>9.4956391011538752</v>
      </c>
      <c r="H17" s="138">
        <f>IFERROR(AVERAGEIF(FCR!$E$10:$E$1297,'PML!'!D17,FCR!$J$10:$J$1297),0)</f>
        <v>2.5259205620820118</v>
      </c>
      <c r="I17" s="138">
        <f>IFERROR(AVERAGEIF(YIELDN!$E$10:$E$1297,'PML!'!D17,YIELDN!$M$10:$M$1297),0)</f>
        <v>6.2863515895544717</v>
      </c>
      <c r="J17" s="138">
        <f>IFERROR(AVERAGEIF(SIZE!$E$10:$E$1297,'PML!'!D17,SIZE!$H$10:$H$1297),0)</f>
        <v>2.6465208626599854</v>
      </c>
      <c r="K17" s="139">
        <f t="shared" si="1"/>
        <v>24.288786776248685</v>
      </c>
      <c r="M17" s="136" t="s">
        <v>724</v>
      </c>
      <c r="N17" s="197">
        <f t="shared" si="3"/>
        <v>-8.8282719787416983</v>
      </c>
      <c r="O17" s="197">
        <f t="shared" si="4"/>
        <v>12.162626639540038</v>
      </c>
      <c r="P17" s="197">
        <f t="shared" si="5"/>
        <v>9.4956391011538752</v>
      </c>
      <c r="Q17" s="197">
        <f t="shared" si="6"/>
        <v>2.5259205620820118</v>
      </c>
      <c r="R17" s="197">
        <f t="shared" si="7"/>
        <v>6.2863515895544717</v>
      </c>
      <c r="S17" s="197">
        <f t="shared" si="8"/>
        <v>2.6465208626599854</v>
      </c>
      <c r="T17" s="142">
        <f t="shared" si="2"/>
        <v>24.288786776248685</v>
      </c>
    </row>
    <row r="18" spans="3:20">
      <c r="C18" s="136" t="s">
        <v>760</v>
      </c>
      <c r="D18" s="137" t="str">
        <f t="shared" si="0"/>
        <v>SR111</v>
      </c>
      <c r="E18" s="138">
        <f>IFERROR(SUMIF(ผลประหยัด!$E$10:$E$1297,'PML!'!D18,ผลประหยัด!$K$10:$K$1297)/SUMIF(ผลประหยัด!$E$10:$E$1297,'PML!'!D18,ผลประหยัด!$J$10:$J$1297),0)</f>
        <v>-11.863879689340243</v>
      </c>
      <c r="F18" s="138">
        <f>IFERROR(AVERAGEIF(SR!$E$10:$E$1297,'PML!'!D18,SR!$J$10:$J$1297),0)</f>
        <v>-1.9604166666666667</v>
      </c>
      <c r="G18" s="138">
        <f>IFERROR(AVERAGEIF(ADG!$E$10:$E$1297,'PML!'!D18,ADG!$J$10:$J$1297),0)</f>
        <v>10.006464666666668</v>
      </c>
      <c r="H18" s="138">
        <f>IFERROR(AVERAGEIF(FCR!$E$10:$E$1297,'PML!'!D18,FCR!$J$10:$J$1297),0)</f>
        <v>5.6525200000000009</v>
      </c>
      <c r="I18" s="138">
        <f>IFERROR(AVERAGEIF(YIELDN!$E$10:$E$1297,'PML!'!D18,YIELDN!$M$10:$M$1297),0)</f>
        <v>1.0796814400331587</v>
      </c>
      <c r="J18" s="138">
        <f>IFERROR(AVERAGEIF(SIZE!$E$10:$E$1297,'PML!'!D18,SIZE!$H$10:$H$1297),0)</f>
        <v>10.215716969796109</v>
      </c>
      <c r="K18" s="139">
        <f t="shared" si="1"/>
        <v>13.130086720489027</v>
      </c>
      <c r="M18" s="136" t="s">
        <v>760</v>
      </c>
      <c r="N18" s="197">
        <f t="shared" si="3"/>
        <v>-11.863879689340243</v>
      </c>
      <c r="O18" s="197">
        <f t="shared" si="4"/>
        <v>0</v>
      </c>
      <c r="P18" s="197">
        <f t="shared" si="5"/>
        <v>10.006464666666668</v>
      </c>
      <c r="Q18" s="197">
        <f t="shared" si="6"/>
        <v>5.6525200000000009</v>
      </c>
      <c r="R18" s="197">
        <f t="shared" si="7"/>
        <v>1.0796814400331587</v>
      </c>
      <c r="S18" s="197">
        <f t="shared" si="8"/>
        <v>10</v>
      </c>
      <c r="T18" s="142">
        <f t="shared" si="2"/>
        <v>14.874786417359585</v>
      </c>
    </row>
    <row r="19" spans="3:20">
      <c r="C19" s="136" t="s">
        <v>893</v>
      </c>
      <c r="D19" s="137" t="str">
        <f t="shared" si="0"/>
        <v>Andaman11</v>
      </c>
      <c r="E19" s="138">
        <f>IFERROR(SUMIF(ผลประหยัด!$E$10:$E$1297,'PML!'!D19,ผลประหยัด!$K$10:$K$1297)/SUMIF(ผลประหยัด!$E$10:$E$1297,'PML!'!D19,ผลประหยัด!$J$10:$J$1297),0)</f>
        <v>0</v>
      </c>
      <c r="F19" s="138">
        <f>IFERROR(AVERAGEIF(SR!$E$10:$E$1297,'PML!'!D19,SR!$J$10:$J$1297),0)</f>
        <v>0</v>
      </c>
      <c r="G19" s="138">
        <f>IFERROR(AVERAGEIF(ADG!$E$10:$E$1297,'PML!'!D19,ADG!$J$10:$J$1297),0)</f>
        <v>0</v>
      </c>
      <c r="H19" s="138">
        <f>IFERROR(AVERAGEIF(FCR!$E$10:$E$1297,'PML!'!D19,FCR!$J$10:$J$1297),0)</f>
        <v>0</v>
      </c>
      <c r="I19" s="138">
        <f>IFERROR(AVERAGEIF(YIELDN!$E$10:$E$1297,'PML!'!D19,YIELDN!$M$10:$M$1297),0)</f>
        <v>0</v>
      </c>
      <c r="J19" s="138">
        <f>IFERROR(AVERAGEIF(SIZE!$E$10:$E$1297,'PML!'!D19,SIZE!$H$10:$H$1297),0)</f>
        <v>0</v>
      </c>
      <c r="K19" s="139">
        <f t="shared" si="1"/>
        <v>0</v>
      </c>
      <c r="M19" s="136" t="s">
        <v>893</v>
      </c>
      <c r="N19" s="197">
        <f t="shared" si="3"/>
        <v>0</v>
      </c>
      <c r="O19" s="197">
        <f t="shared" si="4"/>
        <v>0</v>
      </c>
      <c r="P19" s="197">
        <f t="shared" si="5"/>
        <v>0</v>
      </c>
      <c r="Q19" s="197">
        <f t="shared" si="6"/>
        <v>0</v>
      </c>
      <c r="R19" s="197">
        <f t="shared" si="7"/>
        <v>0</v>
      </c>
      <c r="S19" s="197">
        <f t="shared" si="8"/>
        <v>0</v>
      </c>
      <c r="T19" s="142">
        <f t="shared" si="2"/>
        <v>0</v>
      </c>
    </row>
    <row r="20" spans="3:20">
      <c r="C20" s="136" t="s">
        <v>835</v>
      </c>
      <c r="D20" s="137" t="str">
        <f t="shared" si="0"/>
        <v>SR411</v>
      </c>
      <c r="E20" s="138">
        <f>IFERROR(SUMIF(ผลประหยัด!$E$10:$E$1297,'PML!'!D20,ผลประหยัด!$K$10:$K$1297)/SUMIF(ผลประหยัด!$E$10:$E$1297,'PML!'!D20,ผลประหยัด!$J$10:$J$1297),0)</f>
        <v>10.509067936354802</v>
      </c>
      <c r="F20" s="138">
        <f>IFERROR(AVERAGEIF(SR!$E$10:$E$1297,'PML!'!D20,SR!$J$10:$J$1297),0)</f>
        <v>2.323478873239436</v>
      </c>
      <c r="G20" s="138">
        <f>IFERROR(AVERAGEIF(ADG!$E$10:$E$1297,'PML!'!D20,ADG!$J$10:$J$1297),0)</f>
        <v>14.94903161111111</v>
      </c>
      <c r="H20" s="138">
        <f>IFERROR(AVERAGEIF(FCR!$E$10:$E$1297,'PML!'!D20,FCR!$J$10:$J$1297),0)</f>
        <v>6.1608611359724623</v>
      </c>
      <c r="I20" s="138">
        <f>IFERROR(AVERAGEIF(YIELDN!$E$10:$E$1297,'PML!'!D20,YIELDN!$M$10:$M$1297),0)</f>
        <v>6.0730000000000031</v>
      </c>
      <c r="J20" s="138">
        <f>IFERROR(AVERAGEIF(SIZE!$E$10:$E$1297,'PML!'!D20,SIZE!$H$10:$H$1297),0)</f>
        <v>10.335930114432044</v>
      </c>
      <c r="K20" s="139">
        <f t="shared" si="1"/>
        <v>50.351369671109858</v>
      </c>
      <c r="M20" s="136" t="s">
        <v>835</v>
      </c>
      <c r="N20" s="197">
        <f t="shared" si="3"/>
        <v>10.509067936354802</v>
      </c>
      <c r="O20" s="197">
        <f t="shared" si="4"/>
        <v>2.323478873239436</v>
      </c>
      <c r="P20" s="197">
        <f t="shared" si="5"/>
        <v>14.94903161111111</v>
      </c>
      <c r="Q20" s="197">
        <f t="shared" si="6"/>
        <v>6.1608611359724623</v>
      </c>
      <c r="R20" s="197">
        <f t="shared" si="7"/>
        <v>6.0730000000000031</v>
      </c>
      <c r="S20" s="197">
        <f t="shared" si="8"/>
        <v>10</v>
      </c>
      <c r="T20" s="142">
        <f t="shared" si="2"/>
        <v>50.015439556677812</v>
      </c>
    </row>
    <row r="21" spans="3:20">
      <c r="C21" s="136" t="s">
        <v>924</v>
      </c>
      <c r="D21" s="137" t="str">
        <f t="shared" si="0"/>
        <v>Kanchanadit11</v>
      </c>
      <c r="E21" s="138">
        <f>IFERROR(SUMIF(ผลประหยัด!$E$10:$E$1297,'PML!'!D21,ผลประหยัด!$K$10:$K$1297)/SUMIF(ผลประหยัด!$E$10:$E$1297,'PML!'!D21,ผลประหยัด!$J$10:$J$1297),0)</f>
        <v>1.160515053686699</v>
      </c>
      <c r="F21" s="138">
        <f>IFERROR(AVERAGEIF(SR!$E$10:$E$1297,'PML!'!D21,SR!$J$10:$J$1297),0)</f>
        <v>8.5114736842105252</v>
      </c>
      <c r="G21" s="138">
        <f>IFERROR(AVERAGEIF(ADG!$E$10:$E$1297,'PML!'!D21,ADG!$J$10:$J$1297),0)</f>
        <v>7.5874483884615369</v>
      </c>
      <c r="H21" s="138">
        <f>IFERROR(AVERAGEIF(FCR!$E$10:$E$1297,'PML!'!D21,FCR!$J$10:$J$1297),0)</f>
        <v>8.8927188841793718</v>
      </c>
      <c r="I21" s="138">
        <f>IFERROR(AVERAGEIF(YIELDN!$E$10:$E$1297,'PML!'!D21,YIELDN!$M$10:$M$1297),0)</f>
        <v>6.0469648400712686</v>
      </c>
      <c r="J21" s="138">
        <f>IFERROR(AVERAGEIF(SIZE!$E$10:$E$1297,'PML!'!D21,SIZE!$H$10:$H$1297),0)</f>
        <v>9.0083430761852981</v>
      </c>
      <c r="K21" s="139">
        <f t="shared" si="1"/>
        <v>41.207463926794702</v>
      </c>
      <c r="M21" s="136" t="s">
        <v>924</v>
      </c>
      <c r="N21" s="197">
        <f t="shared" si="3"/>
        <v>1.160515053686699</v>
      </c>
      <c r="O21" s="197">
        <f t="shared" si="4"/>
        <v>8.5114736842105252</v>
      </c>
      <c r="P21" s="197">
        <f t="shared" si="5"/>
        <v>7.5874483884615369</v>
      </c>
      <c r="Q21" s="197">
        <f t="shared" si="6"/>
        <v>8.8927188841793718</v>
      </c>
      <c r="R21" s="197">
        <f t="shared" si="7"/>
        <v>6.0469648400712686</v>
      </c>
      <c r="S21" s="197">
        <f t="shared" si="8"/>
        <v>9.0083430761852981</v>
      </c>
      <c r="T21" s="142">
        <f t="shared" si="2"/>
        <v>41.207463926794702</v>
      </c>
    </row>
    <row r="22" spans="3:20">
      <c r="C22" s="136" t="s">
        <v>999</v>
      </c>
      <c r="D22" s="137" t="str">
        <f t="shared" si="0"/>
        <v>Roiphet311</v>
      </c>
      <c r="E22" s="138">
        <f>IFERROR(SUMIF(ผลประหยัด!$E$10:$E$1297,'PML!'!D22,ผลประหยัด!$K$10:$K$1297)/SUMIF(ผลประหยัด!$E$10:$E$1297,'PML!'!D22,ผลประหยัด!$J$10:$J$1297),0)</f>
        <v>0</v>
      </c>
      <c r="F22" s="138">
        <f>IFERROR(AVERAGEIF(SR!$E$10:$E$1297,'PML!'!D22,SR!$J$10:$J$1297),0)</f>
        <v>0</v>
      </c>
      <c r="G22" s="138">
        <f>IFERROR(AVERAGEIF(ADG!$E$10:$E$1297,'PML!'!D22,ADG!$J$10:$J$1297),0)</f>
        <v>0</v>
      </c>
      <c r="H22" s="138">
        <f>IFERROR(AVERAGEIF(FCR!$E$10:$E$1297,'PML!'!D22,FCR!$J$10:$J$1297),0)</f>
        <v>0</v>
      </c>
      <c r="I22" s="138">
        <f>IFERROR(AVERAGEIF(YIELDN!$E$10:$E$1297,'PML!'!D22,YIELDN!$M$10:$M$1297),0)</f>
        <v>0</v>
      </c>
      <c r="J22" s="138">
        <f>IFERROR(AVERAGEIF(SIZE!$E$10:$E$1297,'PML!'!D22,SIZE!$H$10:$H$1297),0)</f>
        <v>0</v>
      </c>
      <c r="K22" s="139">
        <f t="shared" si="1"/>
        <v>0</v>
      </c>
      <c r="M22" s="136" t="s">
        <v>999</v>
      </c>
      <c r="N22" s="197">
        <f t="shared" si="3"/>
        <v>0</v>
      </c>
      <c r="O22" s="197">
        <f t="shared" si="4"/>
        <v>0</v>
      </c>
      <c r="P22" s="197">
        <f t="shared" si="5"/>
        <v>0</v>
      </c>
      <c r="Q22" s="197">
        <f t="shared" si="6"/>
        <v>0</v>
      </c>
      <c r="R22" s="197">
        <f t="shared" si="7"/>
        <v>0</v>
      </c>
      <c r="S22" s="197">
        <f t="shared" si="8"/>
        <v>0</v>
      </c>
      <c r="T22" s="142">
        <f t="shared" si="2"/>
        <v>0</v>
      </c>
    </row>
    <row r="23" spans="3:20">
      <c r="C23" s="136" t="s">
        <v>1123</v>
      </c>
      <c r="D23" s="137" t="str">
        <f t="shared" si="0"/>
        <v>Roiphet211</v>
      </c>
      <c r="E23" s="138">
        <f>IFERROR(SUMIF(ผลประหยัด!$E$10:$E$1297,'PML!'!D23,ผลประหยัด!$K$10:$K$1297)/SUMIF(ผลประหยัด!$E$10:$E$1297,'PML!'!D23,ผลประหยัด!$J$10:$J$1297),0)</f>
        <v>0</v>
      </c>
      <c r="F23" s="138">
        <f>IFERROR(AVERAGEIF(SR!$E$10:$E$1297,'PML!'!D23,SR!$J$10:$J$1297),0)</f>
        <v>0</v>
      </c>
      <c r="G23" s="138">
        <f>IFERROR(AVERAGEIF(ADG!$E$10:$E$1297,'PML!'!D23,ADG!$J$10:$J$1297),0)</f>
        <v>0</v>
      </c>
      <c r="H23" s="138">
        <f>IFERROR(AVERAGEIF(FCR!$E$10:$E$1297,'PML!'!D23,FCR!$J$10:$J$1297),0)</f>
        <v>0</v>
      </c>
      <c r="I23" s="138">
        <f>IFERROR(AVERAGEIF(YIELDN!$E$10:$E$1297,'PML!'!D23,YIELDN!$M$10:$M$1297),0)</f>
        <v>0</v>
      </c>
      <c r="J23" s="138">
        <f>IFERROR(AVERAGEIF(SIZE!$E$10:$E$1297,'PML!'!D23,SIZE!$H$10:$H$1297),0)</f>
        <v>0</v>
      </c>
      <c r="K23" s="139">
        <f t="shared" si="1"/>
        <v>0</v>
      </c>
      <c r="M23" s="136" t="s">
        <v>1123</v>
      </c>
      <c r="N23" s="197">
        <f t="shared" si="3"/>
        <v>0</v>
      </c>
      <c r="O23" s="197">
        <f t="shared" si="4"/>
        <v>0</v>
      </c>
      <c r="P23" s="197">
        <f t="shared" si="5"/>
        <v>0</v>
      </c>
      <c r="Q23" s="197">
        <f t="shared" si="6"/>
        <v>0</v>
      </c>
      <c r="R23" s="197">
        <f t="shared" si="7"/>
        <v>0</v>
      </c>
      <c r="S23" s="197">
        <f t="shared" si="8"/>
        <v>0</v>
      </c>
      <c r="T23" s="142">
        <f t="shared" si="2"/>
        <v>0</v>
      </c>
    </row>
    <row r="24" spans="3:20">
      <c r="C24" s="136" t="s">
        <v>1146</v>
      </c>
      <c r="D24" s="137" t="str">
        <f t="shared" si="0"/>
        <v>Lamlaung11</v>
      </c>
      <c r="E24" s="138">
        <f>IFERROR(SUMIF(ผลประหยัด!$E$10:$E$1297,'PML!'!D24,ผลประหยัด!$K$10:$K$1297)/SUMIF(ผลประหยัด!$E$10:$E$1297,'PML!'!D24,ผลประหยัด!$J$10:$J$1297),0)</f>
        <v>0</v>
      </c>
      <c r="F24" s="138">
        <f>IFERROR(AVERAGEIF(SR!$E$10:$E$1297,'PML!'!D24,SR!$J$10:$J$1297),0)</f>
        <v>0</v>
      </c>
      <c r="G24" s="138">
        <f>IFERROR(AVERAGEIF(ADG!$E$10:$E$1297,'PML!'!D24,ADG!$J$10:$J$1297),0)</f>
        <v>0</v>
      </c>
      <c r="H24" s="138">
        <f>IFERROR(AVERAGEIF(FCR!$E$10:$E$1297,'PML!'!D24,FCR!$J$10:$J$1297),0)</f>
        <v>0</v>
      </c>
      <c r="I24" s="138">
        <f>IFERROR(AVERAGEIF(YIELDN!$E$10:$E$1297,'PML!'!D24,YIELDN!$M$10:$M$1297),0)</f>
        <v>0</v>
      </c>
      <c r="J24" s="138">
        <f>IFERROR(AVERAGEIF(SIZE!$E$10:$E$1297,'PML!'!D24,SIZE!$H$10:$H$1297),0)</f>
        <v>0</v>
      </c>
      <c r="K24" s="139">
        <f t="shared" si="1"/>
        <v>0</v>
      </c>
      <c r="M24" s="136" t="s">
        <v>1146</v>
      </c>
      <c r="N24" s="197">
        <f t="shared" si="3"/>
        <v>0</v>
      </c>
      <c r="O24" s="197">
        <f t="shared" si="4"/>
        <v>0</v>
      </c>
      <c r="P24" s="197">
        <f t="shared" si="5"/>
        <v>0</v>
      </c>
      <c r="Q24" s="197">
        <f t="shared" si="6"/>
        <v>0</v>
      </c>
      <c r="R24" s="197">
        <f t="shared" si="7"/>
        <v>0</v>
      </c>
      <c r="S24" s="197">
        <f t="shared" si="8"/>
        <v>0</v>
      </c>
      <c r="T24" s="142">
        <f t="shared" si="2"/>
        <v>0</v>
      </c>
    </row>
    <row r="25" spans="3:20">
      <c r="C25" s="136" t="s">
        <v>1174</v>
      </c>
      <c r="D25" s="137" t="str">
        <f t="shared" si="0"/>
        <v>Roiphet111</v>
      </c>
      <c r="E25" s="138">
        <f>IFERROR(SUMIF(ผลประหยัด!$E$10:$E$1297,'PML!'!D25,ผลประหยัด!$K$10:$K$1297)/SUMIF(ผลประหยัด!$E$10:$E$1297,'PML!'!D25,ผลประหยัด!$J$10:$J$1297),0)</f>
        <v>-26.442959151272976</v>
      </c>
      <c r="F25" s="138">
        <f>IFERROR(AVERAGEIF(SR!$E$10:$E$1297,'PML!'!D25,SR!$J$10:$J$1297),0)</f>
        <v>7.7990041575191844</v>
      </c>
      <c r="G25" s="138">
        <f>IFERROR(AVERAGEIF(ADG!$E$10:$E$1297,'PML!'!D25,ADG!$J$10:$J$1297),0)</f>
        <v>7.1552174513213593</v>
      </c>
      <c r="H25" s="138">
        <f>IFERROR(AVERAGEIF(FCR!$E$10:$E$1297,'PML!'!D25,FCR!$J$10:$J$1297),0)</f>
        <v>0.78220274286841407</v>
      </c>
      <c r="I25" s="138">
        <f>IFERROR(AVERAGEIF(YIELDN!$E$10:$E$1297,'PML!'!D25,YIELDN!$M$10:$M$1297),0)</f>
        <v>-0.15105086132125659</v>
      </c>
      <c r="J25" s="138">
        <f>IFERROR(AVERAGEIF(SIZE!$E$10:$E$1297,'PML!'!D25,SIZE!$H$10:$H$1297),0)</f>
        <v>2.8960303454196961</v>
      </c>
      <c r="K25" s="139">
        <f t="shared" si="1"/>
        <v>-7.9615553154655778</v>
      </c>
      <c r="M25" s="136" t="s">
        <v>1174</v>
      </c>
      <c r="N25" s="197">
        <f t="shared" si="3"/>
        <v>-26.442959151272976</v>
      </c>
      <c r="O25" s="197">
        <f t="shared" si="4"/>
        <v>7.7990041575191844</v>
      </c>
      <c r="P25" s="197">
        <f t="shared" si="5"/>
        <v>7.1552174513213593</v>
      </c>
      <c r="Q25" s="197">
        <f t="shared" si="6"/>
        <v>0.78220274286841407</v>
      </c>
      <c r="R25" s="197">
        <f t="shared" si="7"/>
        <v>0</v>
      </c>
      <c r="S25" s="197">
        <f t="shared" si="8"/>
        <v>2.8960303454196961</v>
      </c>
      <c r="T25" s="142">
        <f t="shared" si="2"/>
        <v>-7.810504454144322</v>
      </c>
    </row>
    <row r="26" spans="3:20">
      <c r="C26" s="136" t="s">
        <v>1574</v>
      </c>
      <c r="D26" s="137" t="str">
        <f t="shared" si="0"/>
        <v>PB511</v>
      </c>
      <c r="E26" s="138">
        <f>IFERROR(SUMIF(ผลประหยัด!$E$10:$E$1297,'PML!'!D26,ผลประหยัด!$K$10:$K$1297)/SUMIF(ผลประหยัด!$E$10:$E$1297,'PML!'!D26,ผลประหยัด!$J$10:$J$1297),0)</f>
        <v>-9.5799273009203958</v>
      </c>
      <c r="F26" s="138">
        <f>IFERROR(AVERAGEIF(SR!$E$10:$E$1297,'PML!'!D26,SR!$J$10:$J$1297),0)</f>
        <v>13.633638077438244</v>
      </c>
      <c r="G26" s="138">
        <f>IFERROR(AVERAGEIF(ADG!$E$10:$E$1297,'PML!'!D26,ADG!$J$10:$J$1297),0)</f>
        <v>7.1670224792792796</v>
      </c>
      <c r="H26" s="138">
        <f>IFERROR(AVERAGEIF(FCR!$E$10:$E$1297,'PML!'!D26,FCR!$J$10:$J$1297),0)</f>
        <v>3.4886586426029425</v>
      </c>
      <c r="I26" s="138">
        <f>IFERROR(AVERAGEIF(YIELDN!$E$10:$E$1297,'PML!'!D26,YIELDN!$M$10:$M$1297),0)</f>
        <v>2.5874120481091899E-2</v>
      </c>
      <c r="J26" s="138">
        <f>IFERROR(AVERAGEIF(SIZE!$E$10:$E$1297,'PML!'!D26,SIZE!$H$10:$H$1297),0)</f>
        <v>6.6748843759773973</v>
      </c>
      <c r="K26" s="139">
        <f t="shared" si="1"/>
        <v>21.410150394858562</v>
      </c>
      <c r="M26" s="136" t="s">
        <v>1574</v>
      </c>
      <c r="N26" s="197">
        <f t="shared" si="3"/>
        <v>-9.5799273009203958</v>
      </c>
      <c r="O26" s="197">
        <f t="shared" si="4"/>
        <v>13.633638077438244</v>
      </c>
      <c r="P26" s="197">
        <f t="shared" si="5"/>
        <v>7.1670224792792796</v>
      </c>
      <c r="Q26" s="197">
        <f t="shared" si="6"/>
        <v>3.4886586426029425</v>
      </c>
      <c r="R26" s="197">
        <f t="shared" si="7"/>
        <v>2.5874120481091899E-2</v>
      </c>
      <c r="S26" s="197">
        <f t="shared" si="8"/>
        <v>6.6748843759773973</v>
      </c>
      <c r="T26" s="142">
        <f t="shared" si="2"/>
        <v>21.410150394858562</v>
      </c>
    </row>
    <row r="27" spans="3:20">
      <c r="C27" s="136" t="s">
        <v>1600</v>
      </c>
      <c r="D27" s="137" t="str">
        <f t="shared" si="0"/>
        <v>Maeklong111</v>
      </c>
      <c r="E27" s="138">
        <f>IFERROR(SUMIF(ผลประหยัด!$E$10:$E$1297,'PML!'!D27,ผลประหยัด!$K$10:$K$1297)/SUMIF(ผลประหยัด!$E$10:$E$1297,'PML!'!D27,ผลประหยัด!$J$10:$J$1297),0)</f>
        <v>0</v>
      </c>
      <c r="F27" s="138">
        <f>IFERROR(AVERAGEIF(SR!$E$10:$E$1297,'PML!'!D27,SR!$J$10:$J$1297),0)</f>
        <v>0</v>
      </c>
      <c r="G27" s="138">
        <f>IFERROR(AVERAGEIF(ADG!$E$10:$E$1297,'PML!'!D27,ADG!$J$10:$J$1297),0)</f>
        <v>0</v>
      </c>
      <c r="H27" s="138">
        <f>IFERROR(AVERAGEIF(FCR!$E$10:$E$1297,'PML!'!D27,FCR!$J$10:$J$1297),0)</f>
        <v>0</v>
      </c>
      <c r="I27" s="138">
        <f>IFERROR(AVERAGEIF(YIELDN!$E$10:$E$1297,'PML!'!D27,YIELDN!$M$10:$M$1297),0)</f>
        <v>0</v>
      </c>
      <c r="J27" s="138">
        <f>IFERROR(AVERAGEIF(SIZE!$E$10:$E$1297,'PML!'!D27,SIZE!$H$10:$H$1297),0)</f>
        <v>0</v>
      </c>
      <c r="K27" s="139">
        <f t="shared" si="1"/>
        <v>0</v>
      </c>
      <c r="M27" s="136" t="s">
        <v>1600</v>
      </c>
      <c r="N27" s="197">
        <f t="shared" si="3"/>
        <v>0</v>
      </c>
      <c r="O27" s="197">
        <f t="shared" si="4"/>
        <v>0</v>
      </c>
      <c r="P27" s="197">
        <f t="shared" si="5"/>
        <v>0</v>
      </c>
      <c r="Q27" s="197">
        <f t="shared" si="6"/>
        <v>0</v>
      </c>
      <c r="R27" s="197">
        <f t="shared" si="7"/>
        <v>0</v>
      </c>
      <c r="S27" s="197">
        <f t="shared" si="8"/>
        <v>0</v>
      </c>
      <c r="T27" s="142">
        <f t="shared" si="2"/>
        <v>0</v>
      </c>
    </row>
    <row r="28" spans="3:20">
      <c r="C28" s="136" t="s">
        <v>1660</v>
      </c>
      <c r="D28" s="137" t="str">
        <f t="shared" si="0"/>
        <v>Petchburi511</v>
      </c>
      <c r="E28" s="138">
        <f>IFERROR(SUMIF(ผลประหยัด!$E$10:$E$1297,'PML!'!D28,ผลประหยัด!$K$10:$K$1297)/SUMIF(ผลประหยัด!$E$10:$E$1297,'PML!'!D28,ผลประหยัด!$J$10:$J$1297),0)</f>
        <v>15.167622971808937</v>
      </c>
      <c r="F28" s="138">
        <f>IFERROR(AVERAGEIF(SR!$E$10:$E$1297,'PML!'!D28,SR!$J$10:$J$1297),0)</f>
        <v>12.634367607887715</v>
      </c>
      <c r="G28" s="138">
        <f>IFERROR(AVERAGEIF(ADG!$E$10:$E$1297,'PML!'!D28,ADG!$J$10:$J$1297),0)</f>
        <v>8.8789146277179416</v>
      </c>
      <c r="H28" s="138">
        <f>IFERROR(AVERAGEIF(FCR!$E$10:$E$1297,'PML!'!D28,FCR!$J$10:$J$1297),0)</f>
        <v>6.1258383804790961</v>
      </c>
      <c r="I28" s="138">
        <f>IFERROR(AVERAGEIF(YIELDN!$E$10:$E$1297,'PML!'!D28,YIELDN!$M$10:$M$1297),0)</f>
        <v>12.25642729807384</v>
      </c>
      <c r="J28" s="138">
        <f>IFERROR(AVERAGEIF(SIZE!$E$10:$E$1297,'PML!'!D28,SIZE!$H$10:$H$1297),0)</f>
        <v>8.1395655416793158</v>
      </c>
      <c r="K28" s="139">
        <f t="shared" si="1"/>
        <v>63.20273642764684</v>
      </c>
      <c r="M28" s="136" t="s">
        <v>1660</v>
      </c>
      <c r="N28" s="197">
        <f t="shared" si="3"/>
        <v>15.167622971808937</v>
      </c>
      <c r="O28" s="197">
        <f t="shared" si="4"/>
        <v>12.634367607887715</v>
      </c>
      <c r="P28" s="197">
        <f t="shared" si="5"/>
        <v>8.8789146277179416</v>
      </c>
      <c r="Q28" s="197">
        <f t="shared" si="6"/>
        <v>6.1258383804790961</v>
      </c>
      <c r="R28" s="197">
        <f t="shared" si="7"/>
        <v>10</v>
      </c>
      <c r="S28" s="197">
        <f t="shared" si="8"/>
        <v>8.1395655416793158</v>
      </c>
      <c r="T28" s="142">
        <f t="shared" si="2"/>
        <v>60.946309129573002</v>
      </c>
    </row>
    <row r="29" spans="3:20">
      <c r="C29" s="136" t="s">
        <v>1747</v>
      </c>
      <c r="D29" s="137" t="str">
        <f t="shared" si="0"/>
        <v>Bansang11</v>
      </c>
      <c r="E29" s="138">
        <f>IFERROR(SUMIF(ผลประหยัด!$E$10:$E$1297,'PML!'!D29,ผลประหยัด!$K$10:$K$1297)/SUMIF(ผลประหยัด!$E$10:$E$1297,'PML!'!D29,ผลประหยัด!$J$10:$J$1297),0)</f>
        <v>0</v>
      </c>
      <c r="F29" s="138">
        <f>IFERROR(AVERAGEIF(SR!$E$10:$E$1297,'PML!'!D29,SR!$J$10:$J$1297),0)</f>
        <v>0</v>
      </c>
      <c r="G29" s="138">
        <f>IFERROR(AVERAGEIF(ADG!$E$10:$E$1297,'PML!'!D29,ADG!$J$10:$J$1297),0)</f>
        <v>0</v>
      </c>
      <c r="H29" s="138">
        <f>IFERROR(AVERAGEIF(FCR!$E$10:$E$1297,'PML!'!D29,FCR!$J$10:$J$1297),0)</f>
        <v>0</v>
      </c>
      <c r="I29" s="138">
        <f>IFERROR(AVERAGEIF(YIELDN!$E$10:$E$1297,'PML!'!D29,YIELDN!$M$10:$M$1297),0)</f>
        <v>0</v>
      </c>
      <c r="J29" s="138">
        <f>IFERROR(AVERAGEIF(SIZE!$E$10:$E$1297,'PML!'!D29,SIZE!$H$10:$H$1297),0)</f>
        <v>0</v>
      </c>
      <c r="K29" s="139">
        <f t="shared" si="1"/>
        <v>0</v>
      </c>
      <c r="M29" s="136" t="s">
        <v>1747</v>
      </c>
      <c r="N29" s="197">
        <f t="shared" si="3"/>
        <v>0</v>
      </c>
      <c r="O29" s="197">
        <f t="shared" si="4"/>
        <v>0</v>
      </c>
      <c r="P29" s="197">
        <f t="shared" si="5"/>
        <v>0</v>
      </c>
      <c r="Q29" s="197">
        <f t="shared" si="6"/>
        <v>0</v>
      </c>
      <c r="R29" s="197">
        <f t="shared" si="7"/>
        <v>0</v>
      </c>
      <c r="S29" s="197">
        <f t="shared" si="8"/>
        <v>0</v>
      </c>
      <c r="T29" s="142">
        <f t="shared" si="2"/>
        <v>0</v>
      </c>
    </row>
    <row r="30" spans="3:20">
      <c r="C30" s="136" t="s">
        <v>1771</v>
      </c>
      <c r="D30" s="137" t="str">
        <f t="shared" si="0"/>
        <v>Choknavy11</v>
      </c>
      <c r="E30" s="138">
        <f>IFERROR(SUMIF(ผลประหยัด!$E$10:$E$1297,'PML!'!D30,ผลประหยัด!$K$10:$K$1297)/SUMIF(ผลประหยัด!$E$10:$E$1297,'PML!'!D30,ผลประหยัด!$J$10:$J$1297),0)</f>
        <v>16.330993921898212</v>
      </c>
      <c r="F30" s="138">
        <f>IFERROR(AVERAGEIF(SR!$E$10:$E$1297,'PML!'!D30,SR!$J$10:$J$1297),0)</f>
        <v>20.882682872435325</v>
      </c>
      <c r="G30" s="138">
        <f>IFERROR(AVERAGEIF(ADG!$E$10:$E$1297,'PML!'!D30,ADG!$J$10:$J$1297),0)</f>
        <v>10.741874199999998</v>
      </c>
      <c r="H30" s="138">
        <f>IFERROR(AVERAGEIF(FCR!$E$10:$E$1297,'PML!'!D30,FCR!$J$10:$J$1297),0)</f>
        <v>-10</v>
      </c>
      <c r="I30" s="138">
        <f>IFERROR(AVERAGEIF(YIELDN!$E$10:$E$1297,'PML!'!D30,YIELDN!$M$10:$M$1297),0)</f>
        <v>6.2938619221898691</v>
      </c>
      <c r="J30" s="138">
        <f>IFERROR(AVERAGEIF(SIZE!$E$10:$E$1297,'PML!'!D30,SIZE!$H$10:$H$1297),0)</f>
        <v>9.1040928523765512</v>
      </c>
      <c r="K30" s="139">
        <f t="shared" si="1"/>
        <v>53.353505768899957</v>
      </c>
      <c r="M30" s="136" t="s">
        <v>1771</v>
      </c>
      <c r="N30" s="197">
        <f t="shared" si="3"/>
        <v>16.330993921898212</v>
      </c>
      <c r="O30" s="197">
        <f t="shared" si="4"/>
        <v>15</v>
      </c>
      <c r="P30" s="197">
        <f t="shared" si="5"/>
        <v>10.741874199999998</v>
      </c>
      <c r="Q30" s="197">
        <f t="shared" si="6"/>
        <v>0</v>
      </c>
      <c r="R30" s="197">
        <f t="shared" si="7"/>
        <v>6.2938619221898691</v>
      </c>
      <c r="S30" s="197">
        <f t="shared" si="8"/>
        <v>9.1040928523765512</v>
      </c>
      <c r="T30" s="142">
        <f t="shared" si="2"/>
        <v>57.470822896464632</v>
      </c>
    </row>
  </sheetData>
  <autoFilter ref="M2:T30" xr:uid="{F5E5A753-2BB0-4C4D-830A-377422470796}"/>
  <conditionalFormatting sqref="T1:T1048576">
    <cfRule type="dataBar" priority="1">
      <dataBar>
        <cfvo type="min"/>
        <cfvo type="max"/>
        <color rgb="FF63C384"/>
      </dataBar>
      <extLst>
        <ext xmlns:x14="http://schemas.microsoft.com/office/spreadsheetml/2009/9/main" uri="{B025F937-C7B1-47D3-B67F-A62EFF666E3E}">
          <x14:id>{1102D492-EE16-D848-A2F3-3FC87FA94C54}</x14:id>
        </ext>
      </extLst>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dataBar" id="{1102D492-EE16-D848-A2F3-3FC87FA94C54}">
            <x14:dataBar minLength="0" maxLength="100" border="1" negativeBarBorderColorSameAsPositive="0">
              <x14:cfvo type="autoMin"/>
              <x14:cfvo type="autoMax"/>
              <x14:borderColor rgb="FF63C384"/>
              <x14:negativeFillColor rgb="FFFF0000"/>
              <x14:negativeBorderColor rgb="FFFF0000"/>
              <x14:axisColor rgb="FF000000"/>
            </x14:dataBar>
          </x14:cfRule>
          <xm:sqref>T1:T1048576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23DBA-BDA4-AF46-A80F-3134375F3C5B}">
  <dimension ref="A1:Y30"/>
  <sheetViews>
    <sheetView zoomScale="99" workbookViewId="0">
      <selection activeCell="K9" sqref="K9"/>
    </sheetView>
  </sheetViews>
  <sheetFormatPr baseColWidth="10" defaultRowHeight="20"/>
  <cols>
    <col min="1" max="1" width="23.6640625" style="129" customWidth="1"/>
    <col min="2" max="2" width="10.1640625" style="129" customWidth="1"/>
    <col min="3" max="3" width="14.6640625" style="129" customWidth="1"/>
    <col min="4" max="4" width="17.5" style="129" customWidth="1"/>
    <col min="5" max="10" width="10.83203125" style="132" customWidth="1"/>
    <col min="11" max="11" width="10.83203125" style="133" customWidth="1"/>
    <col min="12" max="12" width="10.83203125" style="129"/>
    <col min="13" max="13" width="15.33203125" style="129" customWidth="1"/>
    <col min="14" max="19" width="10.83203125" style="198"/>
    <col min="20" max="16384" width="10.83203125" style="129"/>
  </cols>
  <sheetData>
    <row r="1" spans="1:25">
      <c r="A1" s="128">
        <v>10</v>
      </c>
      <c r="C1" s="134" t="s">
        <v>1832</v>
      </c>
      <c r="D1" s="134"/>
      <c r="E1" s="135">
        <v>60</v>
      </c>
      <c r="F1" s="135">
        <v>10</v>
      </c>
      <c r="G1" s="135">
        <v>10</v>
      </c>
      <c r="H1" s="135">
        <v>10</v>
      </c>
      <c r="I1" s="135">
        <v>5</v>
      </c>
      <c r="J1" s="135">
        <v>5</v>
      </c>
      <c r="K1" s="134">
        <v>100</v>
      </c>
      <c r="L1" s="131"/>
      <c r="M1" s="134" t="s">
        <v>1832</v>
      </c>
      <c r="N1" s="196">
        <v>40</v>
      </c>
      <c r="O1" s="196">
        <v>15</v>
      </c>
      <c r="P1" s="196">
        <v>15</v>
      </c>
      <c r="Q1" s="196">
        <v>10</v>
      </c>
      <c r="R1" s="196">
        <v>10</v>
      </c>
      <c r="S1" s="196">
        <v>10</v>
      </c>
      <c r="T1" s="141">
        <v>100</v>
      </c>
      <c r="Y1" s="129" t="s">
        <v>1920</v>
      </c>
    </row>
    <row r="2" spans="1:25">
      <c r="A2" s="130" t="s">
        <v>1924</v>
      </c>
      <c r="C2" s="134" t="s">
        <v>1</v>
      </c>
      <c r="D2" s="134"/>
      <c r="E2" s="135" t="s">
        <v>1836</v>
      </c>
      <c r="F2" s="135" t="s">
        <v>1916</v>
      </c>
      <c r="G2" s="135" t="s">
        <v>1851</v>
      </c>
      <c r="H2" s="135" t="s">
        <v>29</v>
      </c>
      <c r="I2" s="135" t="s">
        <v>1917</v>
      </c>
      <c r="J2" s="135" t="s">
        <v>1907</v>
      </c>
      <c r="K2" s="134" t="s">
        <v>1843</v>
      </c>
      <c r="L2" s="131"/>
      <c r="M2" s="134" t="s">
        <v>1</v>
      </c>
      <c r="N2" s="196" t="s">
        <v>1836</v>
      </c>
      <c r="O2" s="196" t="s">
        <v>1916</v>
      </c>
      <c r="P2" s="196" t="s">
        <v>1851</v>
      </c>
      <c r="Q2" s="196" t="s">
        <v>29</v>
      </c>
      <c r="R2" s="196" t="s">
        <v>1917</v>
      </c>
      <c r="S2" s="196" t="s">
        <v>1907</v>
      </c>
      <c r="T2" s="141" t="s">
        <v>1843</v>
      </c>
    </row>
    <row r="3" spans="1:25">
      <c r="C3" s="136" t="s">
        <v>138</v>
      </c>
      <c r="D3" s="136" t="s">
        <v>138</v>
      </c>
      <c r="E3" s="138">
        <f>IFERROR(SUMIF(ผลประหยัด!$A$10:$A$1297,'PML!wa'!D3,ผลประหยัด!$K$10:$K$1297)/SUMIF(ผลประหยัด!$A$10:$A$1297,'PML!wa'!D3,ผลประหยัด!$J$10:$J$1297),0)</f>
        <v>-3.3277729915841339</v>
      </c>
      <c r="F3" s="138">
        <f>IFERROR(SUMIF(SR!$A$10:$A$1297,'PML!wa'!D3,SR!$L$10:$L$1297)/SUMIF(SR!$A$10:$A$1297,'PML!wa'!D3,SR!$K$10:$K$1297),0)</f>
        <v>14.163414571508671</v>
      </c>
      <c r="G3" s="138">
        <f>IFERROR(SUMIF(ADG!$A$10:$A$1297,'PML!wa'!D3,ADG!$L$10:$L$1297)/SUMIF(ADG!$A$10:$A$1297,'PML!wa'!D3,ADG!$K$10:$K$1297),0)</f>
        <v>5.5860201293756857</v>
      </c>
      <c r="H3" s="138">
        <f>IFERROR(SUMIF(FCR!$A$10:$A$1297,'PML!wa'!D3,FCR!$M$10:$M$1297)/SUMIF(FCR!$A$10:$A$1297,'PML!wa'!D3,FCR!$L$10:$L$1297),0)</f>
        <v>8.4140469845511952</v>
      </c>
      <c r="I3" s="138">
        <f>IFERROR(SUMIF(YIELDN!$A$10:$A$1297,'PML!wa'!D3,YIELDN!$P$10:$P$1297)/SUMIF(YIELDN!$A$10:$A$1297,'PML!wa'!D3,YIELDN!$O$10:$O$1297),0)</f>
        <v>1.5260295110271263</v>
      </c>
      <c r="J3" s="138">
        <f>IFERROR(SUMIF(SIZE!$A$10:$A$1297,'PML!wa'!D3,SIZE!$K$10:$K$1297)/SUMIF(SIZE!$A$10:$A$1297,'PML!wa'!D3,SIZE!$J$10:$J$1297),0)</f>
        <v>2.6867534784199081</v>
      </c>
      <c r="K3" s="139">
        <f t="shared" ref="K3:K30" si="0">SUM(E3:J3)</f>
        <v>29.048491683298455</v>
      </c>
      <c r="M3" s="136" t="s">
        <v>138</v>
      </c>
      <c r="N3" s="197">
        <f>IF(E3&gt;=40,40,IF(E3&lt;=-40,-40,E3))</f>
        <v>-3.3277729915841339</v>
      </c>
      <c r="O3" s="197">
        <f>IF(F3&gt;=15,15,IF(F3&lt;=0,0,F3))</f>
        <v>14.163414571508671</v>
      </c>
      <c r="P3" s="197">
        <f>IF(G3&gt;=15,15,IF(G3&lt;=0,0,G3))</f>
        <v>5.5860201293756857</v>
      </c>
      <c r="Q3" s="197">
        <f>IF(H3&gt;=10,10,IF(H3&lt;=0,0,H3))</f>
        <v>8.4140469845511952</v>
      </c>
      <c r="R3" s="197">
        <f>IF(I3&gt;=10,10,IF(I3&lt;=0,0,I3))</f>
        <v>1.5260295110271263</v>
      </c>
      <c r="S3" s="197">
        <f>IF(J3&gt;=10,10,IF(J3&lt;=0,0,J3))</f>
        <v>2.6867534784199081</v>
      </c>
      <c r="T3" s="142">
        <f t="shared" ref="T3:T30" si="1">SUM(N3:S3)</f>
        <v>29.048491683298455</v>
      </c>
    </row>
    <row r="4" spans="1:25">
      <c r="C4" s="136" t="s">
        <v>209</v>
      </c>
      <c r="D4" s="136" t="s">
        <v>209</v>
      </c>
      <c r="E4" s="138">
        <f>IFERROR(SUMIF(ผลประหยัด!$A$10:$A$1297,'PML!wa'!D4,ผลประหยัด!$K$10:$K$1297)/SUMIF(ผลประหยัด!$A$10:$A$1297,'PML!wa'!D4,ผลประหยัด!$J$10:$J$1297),0)</f>
        <v>-6.6841491085922833</v>
      </c>
      <c r="F4" s="138">
        <f>IFERROR(SUMIF(SR!$A$10:$A$1297,'PML!wa'!D4,SR!$L$10:$L$1297)/SUMIF(SR!$A$10:$A$1297,'PML!wa'!D4,SR!$K$10:$K$1297),0)</f>
        <v>11.65837560584672</v>
      </c>
      <c r="G4" s="138">
        <f>IFERROR(SUMIF(ADG!$A$10:$A$1297,'PML!wa'!D4,ADG!$L$10:$L$1297)/SUMIF(ADG!$A$10:$A$1297,'PML!wa'!D4,ADG!$K$10:$K$1297),0)</f>
        <v>5.9869585225738904</v>
      </c>
      <c r="H4" s="138">
        <f>IFERROR(SUMIF(FCR!$A$10:$A$1297,'PML!wa'!D4,FCR!$M$10:$M$1297)/SUMIF(FCR!$A$10:$A$1297,'PML!wa'!D4,FCR!$L$10:$L$1297),0)</f>
        <v>9.0288010252227533</v>
      </c>
      <c r="I4" s="138">
        <f>IFERROR(SUMIF(YIELDN!$A$10:$A$1297,'PML!wa'!D4,YIELDN!$P$10:$P$1297)/SUMIF(YIELDN!$A$10:$A$1297,'PML!wa'!D4,YIELDN!$O$10:$O$1297),0)</f>
        <v>0.44839745488340554</v>
      </c>
      <c r="J4" s="138">
        <f>IFERROR(SUMIF(SIZE!$A$10:$A$1297,'PML!wa'!D4,SIZE!$K$10:$K$1297)/SUMIF(SIZE!$A$10:$A$1297,'PML!wa'!D4,SIZE!$J$10:$J$1297),0)</f>
        <v>4.5097147908804063</v>
      </c>
      <c r="K4" s="139">
        <f t="shared" si="0"/>
        <v>24.948098290814894</v>
      </c>
      <c r="M4" s="136" t="s">
        <v>209</v>
      </c>
      <c r="N4" s="197">
        <f t="shared" ref="N4:N30" si="2">IF(E4&gt;=40,40,IF(E4&lt;=-40,-40,E4))</f>
        <v>-6.6841491085922833</v>
      </c>
      <c r="O4" s="197">
        <f t="shared" ref="O4:P30" si="3">IF(F4&gt;=15,15,IF(F4&lt;=0,0,F4))</f>
        <v>11.65837560584672</v>
      </c>
      <c r="P4" s="197">
        <f t="shared" si="3"/>
        <v>5.9869585225738904</v>
      </c>
      <c r="Q4" s="197">
        <f t="shared" ref="Q4:S30" si="4">IF(H4&gt;=10,10,IF(H4&lt;=0,0,H4))</f>
        <v>9.0288010252227533</v>
      </c>
      <c r="R4" s="197">
        <f t="shared" si="4"/>
        <v>0.44839745488340554</v>
      </c>
      <c r="S4" s="197">
        <f t="shared" si="4"/>
        <v>4.5097147908804063</v>
      </c>
      <c r="T4" s="142">
        <f t="shared" si="1"/>
        <v>24.948098290814894</v>
      </c>
    </row>
    <row r="5" spans="1:25">
      <c r="C5" s="136" t="s">
        <v>248</v>
      </c>
      <c r="D5" s="136" t="s">
        <v>248</v>
      </c>
      <c r="E5" s="138">
        <f>IFERROR(SUMIF(ผลประหยัด!$A$10:$A$1297,'PML!wa'!D5,ผลประหยัด!$K$10:$K$1297)/SUMIF(ผลประหยัด!$A$10:$A$1297,'PML!wa'!D5,ผลประหยัด!$J$10:$J$1297),0)</f>
        <v>-18.421650904140066</v>
      </c>
      <c r="F5" s="138">
        <f>IFERROR(SUMIF(SR!$A$10:$A$1297,'PML!wa'!D5,SR!$L$10:$L$1297)/SUMIF(SR!$A$10:$A$1297,'PML!wa'!D5,SR!$K$10:$K$1297),0)</f>
        <v>5.3032364351769061</v>
      </c>
      <c r="G5" s="138">
        <f>IFERROR(SUMIF(ADG!$A$10:$A$1297,'PML!wa'!D5,ADG!$L$10:$L$1297)/SUMIF(ADG!$A$10:$A$1297,'PML!wa'!D5,ADG!$K$10:$K$1297),0)</f>
        <v>4.5212340286945141</v>
      </c>
      <c r="H5" s="138">
        <f>IFERROR(SUMIF(FCR!$A$10:$A$1297,'PML!wa'!D5,FCR!$M$10:$M$1297)/SUMIF(FCR!$A$10:$A$1297,'PML!wa'!D5,FCR!$L$10:$L$1297),0)</f>
        <v>7.2596213679302091</v>
      </c>
      <c r="I5" s="138">
        <f>IFERROR(SUMIF(YIELDN!$A$10:$A$1297,'PML!wa'!D5,YIELDN!$P$10:$P$1297)/SUMIF(YIELDN!$A$10:$A$1297,'PML!wa'!D5,YIELDN!$O$10:$O$1297),0)</f>
        <v>1.3741731215483515</v>
      </c>
      <c r="J5" s="138">
        <f>IFERROR(SUMIF(SIZE!$A$10:$A$1297,'PML!wa'!D5,SIZE!$K$10:$K$1297)/SUMIF(SIZE!$A$10:$A$1297,'PML!wa'!D5,SIZE!$J$10:$J$1297),0)</f>
        <v>5.0727840939236097</v>
      </c>
      <c r="K5" s="139">
        <f t="shared" si="0"/>
        <v>5.109398143133526</v>
      </c>
      <c r="M5" s="136" t="s">
        <v>248</v>
      </c>
      <c r="N5" s="197">
        <f t="shared" si="2"/>
        <v>-18.421650904140066</v>
      </c>
      <c r="O5" s="197">
        <f t="shared" si="3"/>
        <v>5.3032364351769061</v>
      </c>
      <c r="P5" s="197">
        <f t="shared" si="3"/>
        <v>4.5212340286945141</v>
      </c>
      <c r="Q5" s="197">
        <f t="shared" si="4"/>
        <v>7.2596213679302091</v>
      </c>
      <c r="R5" s="197">
        <f t="shared" si="4"/>
        <v>1.3741731215483515</v>
      </c>
      <c r="S5" s="197">
        <f t="shared" si="4"/>
        <v>5.0727840939236097</v>
      </c>
      <c r="T5" s="142">
        <f t="shared" si="1"/>
        <v>5.109398143133526</v>
      </c>
    </row>
    <row r="6" spans="1:25">
      <c r="C6" s="136" t="s">
        <v>283</v>
      </c>
      <c r="D6" s="136" t="s">
        <v>283</v>
      </c>
      <c r="E6" s="138">
        <f>IFERROR(SUMIF(ผลประหยัด!$A$10:$A$1297,'PML!wa'!D6,ผลประหยัด!$K$10:$K$1297)/SUMIF(ผลประหยัด!$A$10:$A$1297,'PML!wa'!D6,ผลประหยัด!$J$10:$J$1297),0)</f>
        <v>-5.0111586721762755</v>
      </c>
      <c r="F6" s="138">
        <f>IFERROR(SUMIF(SR!$A$10:$A$1297,'PML!wa'!D6,SR!$L$10:$L$1297)/SUMIF(SR!$A$10:$A$1297,'PML!wa'!D6,SR!$K$10:$K$1297),0)</f>
        <v>10.345960920483945</v>
      </c>
      <c r="G6" s="138">
        <f>IFERROR(SUMIF(ADG!$A$10:$A$1297,'PML!wa'!D6,ADG!$L$10:$L$1297)/SUMIF(ADG!$A$10:$A$1297,'PML!wa'!D6,ADG!$K$10:$K$1297),0)</f>
        <v>6.5780671958259287</v>
      </c>
      <c r="H6" s="138">
        <f>IFERROR(SUMIF(FCR!$A$10:$A$1297,'PML!wa'!D6,FCR!$M$10:$M$1297)/SUMIF(FCR!$A$10:$A$1297,'PML!wa'!D6,FCR!$L$10:$L$1297),0)</f>
        <v>6.7832700918558464</v>
      </c>
      <c r="I6" s="138">
        <f>IFERROR(SUMIF(YIELDN!$A$10:$A$1297,'PML!wa'!D6,YIELDN!$P$10:$P$1297)/SUMIF(YIELDN!$A$10:$A$1297,'PML!wa'!D6,YIELDN!$O$10:$O$1297),0)</f>
        <v>0</v>
      </c>
      <c r="J6" s="138">
        <f>IFERROR(SUMIF(SIZE!$A$10:$A$1297,'PML!wa'!D6,SIZE!$K$10:$K$1297)/SUMIF(SIZE!$A$10:$A$1297,'PML!wa'!D6,SIZE!$J$10:$J$1297),0)</f>
        <v>5.7848309519735341</v>
      </c>
      <c r="K6" s="139">
        <f t="shared" si="0"/>
        <v>24.480970487962978</v>
      </c>
      <c r="M6" s="136" t="s">
        <v>283</v>
      </c>
      <c r="N6" s="197">
        <f t="shared" si="2"/>
        <v>-5.0111586721762755</v>
      </c>
      <c r="O6" s="197">
        <f t="shared" si="3"/>
        <v>10.345960920483945</v>
      </c>
      <c r="P6" s="197">
        <f t="shared" si="3"/>
        <v>6.5780671958259287</v>
      </c>
      <c r="Q6" s="197">
        <f t="shared" si="4"/>
        <v>6.7832700918558464</v>
      </c>
      <c r="R6" s="197">
        <f t="shared" si="4"/>
        <v>0</v>
      </c>
      <c r="S6" s="197">
        <f t="shared" si="4"/>
        <v>5.7848309519735341</v>
      </c>
      <c r="T6" s="142">
        <f t="shared" si="1"/>
        <v>24.480970487962978</v>
      </c>
    </row>
    <row r="7" spans="1:25">
      <c r="C7" s="136" t="s">
        <v>317</v>
      </c>
      <c r="D7" s="136" t="s">
        <v>317</v>
      </c>
      <c r="E7" s="138">
        <f>IFERROR(SUMIF(ผลประหยัด!$A$10:$A$1297,'PML!wa'!D7,ผลประหยัด!$K$10:$K$1297)/SUMIF(ผลประหยัด!$A$10:$A$1297,'PML!wa'!D7,ผลประหยัด!$J$10:$J$1297),0)</f>
        <v>-18.584254200502823</v>
      </c>
      <c r="F7" s="138">
        <f>IFERROR(SUMIF(SR!$A$10:$A$1297,'PML!wa'!D7,SR!$L$10:$L$1297)/SUMIF(SR!$A$10:$A$1297,'PML!wa'!D7,SR!$K$10:$K$1297),0)</f>
        <v>8.2544514450688595</v>
      </c>
      <c r="G7" s="138">
        <f>IFERROR(SUMIF(ADG!$A$10:$A$1297,'PML!wa'!D7,ADG!$L$10:$L$1297)/SUMIF(ADG!$A$10:$A$1297,'PML!wa'!D7,ADG!$K$10:$K$1297),0)</f>
        <v>6.8761682091425129</v>
      </c>
      <c r="H7" s="138">
        <f>IFERROR(SUMIF(FCR!$A$10:$A$1297,'PML!wa'!D7,FCR!$M$10:$M$1297)/SUMIF(FCR!$A$10:$A$1297,'PML!wa'!D7,FCR!$L$10:$L$1297),0)</f>
        <v>7.7732229204589274</v>
      </c>
      <c r="I7" s="138">
        <f>IFERROR(SUMIF(YIELDN!$A$10:$A$1297,'PML!wa'!D7,YIELDN!$P$10:$P$1297)/SUMIF(YIELDN!$A$10:$A$1297,'PML!wa'!D7,YIELDN!$O$10:$O$1297),0)</f>
        <v>2.1858110292200577</v>
      </c>
      <c r="J7" s="138">
        <f>IFERROR(SUMIF(SIZE!$A$10:$A$1297,'PML!wa'!D7,SIZE!$K$10:$K$1297)/SUMIF(SIZE!$A$10:$A$1297,'PML!wa'!D7,SIZE!$J$10:$J$1297),0)</f>
        <v>5.6484309816760252</v>
      </c>
      <c r="K7" s="139">
        <f t="shared" si="0"/>
        <v>12.153830385063561</v>
      </c>
      <c r="M7" s="136" t="s">
        <v>317</v>
      </c>
      <c r="N7" s="197">
        <f t="shared" si="2"/>
        <v>-18.584254200502823</v>
      </c>
      <c r="O7" s="197">
        <f t="shared" si="3"/>
        <v>8.2544514450688595</v>
      </c>
      <c r="P7" s="197">
        <f t="shared" si="3"/>
        <v>6.8761682091425129</v>
      </c>
      <c r="Q7" s="197">
        <f t="shared" si="4"/>
        <v>7.7732229204589274</v>
      </c>
      <c r="R7" s="197">
        <f t="shared" si="4"/>
        <v>2.1858110292200577</v>
      </c>
      <c r="S7" s="197">
        <f t="shared" si="4"/>
        <v>5.6484309816760252</v>
      </c>
      <c r="T7" s="142">
        <f t="shared" si="1"/>
        <v>12.153830385063561</v>
      </c>
    </row>
    <row r="8" spans="1:25">
      <c r="C8" s="136" t="s">
        <v>374</v>
      </c>
      <c r="D8" s="136" t="s">
        <v>374</v>
      </c>
      <c r="E8" s="138">
        <f>IFERROR(SUMIF(ผลประหยัด!$A$10:$A$1297,'PML!wa'!D8,ผลประหยัด!$K$10:$K$1297)/SUMIF(ผลประหยัด!$A$10:$A$1297,'PML!wa'!D8,ผลประหยัด!$J$10:$J$1297),0)</f>
        <v>-9.2192865505563777</v>
      </c>
      <c r="F8" s="138">
        <f>IFERROR(SUMIF(SR!$A$10:$A$1297,'PML!wa'!D8,SR!$L$10:$L$1297)/SUMIF(SR!$A$10:$A$1297,'PML!wa'!D8,SR!$K$10:$K$1297),0)</f>
        <v>9.6477675707498189</v>
      </c>
      <c r="G8" s="138">
        <f>IFERROR(SUMIF(ADG!$A$10:$A$1297,'PML!wa'!D8,ADG!$L$10:$L$1297)/SUMIF(ADG!$A$10:$A$1297,'PML!wa'!D8,ADG!$K$10:$K$1297),0)</f>
        <v>5.2068412196050149</v>
      </c>
      <c r="H8" s="138">
        <f>IFERROR(SUMIF(FCR!$A$10:$A$1297,'PML!wa'!D8,FCR!$M$10:$M$1297)/SUMIF(FCR!$A$10:$A$1297,'PML!wa'!D8,FCR!$L$10:$L$1297),0)</f>
        <v>6.528108193498273</v>
      </c>
      <c r="I8" s="138">
        <f>IFERROR(SUMIF(YIELDN!$A$10:$A$1297,'PML!wa'!D8,YIELDN!$P$10:$P$1297)/SUMIF(YIELDN!$A$10:$A$1297,'PML!wa'!D8,YIELDN!$O$10:$O$1297),0)</f>
        <v>2.7499882713204258</v>
      </c>
      <c r="J8" s="138">
        <f>IFERROR(SUMIF(SIZE!$A$10:$A$1297,'PML!wa'!D8,SIZE!$K$10:$K$1297)/SUMIF(SIZE!$A$10:$A$1297,'PML!wa'!D8,SIZE!$J$10:$J$1297),0)</f>
        <v>6.1199726935723788</v>
      </c>
      <c r="K8" s="139">
        <f t="shared" si="0"/>
        <v>21.033391398189533</v>
      </c>
      <c r="M8" s="136" t="s">
        <v>374</v>
      </c>
      <c r="N8" s="197">
        <f t="shared" si="2"/>
        <v>-9.2192865505563777</v>
      </c>
      <c r="O8" s="197">
        <f t="shared" si="3"/>
        <v>9.6477675707498189</v>
      </c>
      <c r="P8" s="197">
        <f t="shared" si="3"/>
        <v>5.2068412196050149</v>
      </c>
      <c r="Q8" s="197">
        <f t="shared" si="4"/>
        <v>6.528108193498273</v>
      </c>
      <c r="R8" s="197">
        <f t="shared" si="4"/>
        <v>2.7499882713204258</v>
      </c>
      <c r="S8" s="197">
        <f t="shared" si="4"/>
        <v>6.1199726935723788</v>
      </c>
      <c r="T8" s="142">
        <f t="shared" si="1"/>
        <v>21.033391398189533</v>
      </c>
    </row>
    <row r="9" spans="1:25">
      <c r="C9" s="136" t="s">
        <v>408</v>
      </c>
      <c r="D9" s="136" t="s">
        <v>408</v>
      </c>
      <c r="E9" s="138">
        <f>IFERROR(SUMIF(ผลประหยัด!$A$10:$A$1297,'PML!wa'!D9,ผลประหยัด!$K$10:$K$1297)/SUMIF(ผลประหยัด!$A$10:$A$1297,'PML!wa'!D9,ผลประหยัด!$J$10:$J$1297),0)</f>
        <v>1.5280387854658151E-2</v>
      </c>
      <c r="F9" s="138">
        <f>IFERROR(SUMIF(SR!$A$10:$A$1297,'PML!wa'!D9,SR!$L$10:$L$1297)/SUMIF(SR!$A$10:$A$1297,'PML!wa'!D9,SR!$K$10:$K$1297),0)</f>
        <v>11.330544569022781</v>
      </c>
      <c r="G9" s="138">
        <f>IFERROR(SUMIF(ADG!$A$10:$A$1297,'PML!wa'!D9,ADG!$L$10:$L$1297)/SUMIF(ADG!$A$10:$A$1297,'PML!wa'!D9,ADG!$K$10:$K$1297),0)</f>
        <v>8.44929754207085</v>
      </c>
      <c r="H9" s="138">
        <f>IFERROR(SUMIF(FCR!$A$10:$A$1297,'PML!wa'!D9,FCR!$M$10:$M$1297)/SUMIF(FCR!$A$10:$A$1297,'PML!wa'!D9,FCR!$L$10:$L$1297),0)</f>
        <v>8.5395337663175788</v>
      </c>
      <c r="I9" s="138">
        <f>IFERROR(SUMIF(YIELDN!$A$10:$A$1297,'PML!wa'!D9,YIELDN!$P$10:$P$1297)/SUMIF(YIELDN!$A$10:$A$1297,'PML!wa'!D9,YIELDN!$O$10:$O$1297),0)</f>
        <v>2.679081773809727</v>
      </c>
      <c r="J9" s="138">
        <f>IFERROR(SUMIF(SIZE!$A$10:$A$1297,'PML!wa'!D9,SIZE!$K$10:$K$1297)/SUMIF(SIZE!$A$10:$A$1297,'PML!wa'!D9,SIZE!$J$10:$J$1297),0)</f>
        <v>6.5283885735870655</v>
      </c>
      <c r="K9" s="139">
        <f t="shared" si="0"/>
        <v>37.542126612662656</v>
      </c>
      <c r="M9" s="136" t="s">
        <v>408</v>
      </c>
      <c r="N9" s="197">
        <f t="shared" si="2"/>
        <v>1.5280387854658151E-2</v>
      </c>
      <c r="O9" s="197">
        <f t="shared" si="3"/>
        <v>11.330544569022781</v>
      </c>
      <c r="P9" s="197">
        <f t="shared" si="3"/>
        <v>8.44929754207085</v>
      </c>
      <c r="Q9" s="197">
        <f t="shared" si="4"/>
        <v>8.5395337663175788</v>
      </c>
      <c r="R9" s="197">
        <f t="shared" si="4"/>
        <v>2.679081773809727</v>
      </c>
      <c r="S9" s="197">
        <f t="shared" si="4"/>
        <v>6.5283885735870655</v>
      </c>
      <c r="T9" s="142">
        <f t="shared" si="1"/>
        <v>37.542126612662656</v>
      </c>
    </row>
    <row r="10" spans="1:25">
      <c r="C10" s="136" t="s">
        <v>507</v>
      </c>
      <c r="D10" s="136" t="s">
        <v>507</v>
      </c>
      <c r="E10" s="138">
        <f>IFERROR(SUMIF(ผลประหยัด!$A$10:$A$1297,'PML!wa'!D10,ผลประหยัด!$K$10:$K$1297)/SUMIF(ผลประหยัด!$A$10:$A$1297,'PML!wa'!D10,ผลประหยัด!$J$10:$J$1297),0)</f>
        <v>-5.7201718176072216</v>
      </c>
      <c r="F10" s="138">
        <f>IFERROR(SUMIF(SR!$A$10:$A$1297,'PML!wa'!D10,SR!$L$10:$L$1297)/SUMIF(SR!$A$10:$A$1297,'PML!wa'!D10,SR!$K$10:$K$1297),0)</f>
        <v>8.7321660963704684</v>
      </c>
      <c r="G10" s="138">
        <f>IFERROR(SUMIF(ADG!$A$10:$A$1297,'PML!wa'!D10,ADG!$L$10:$L$1297)/SUMIF(ADG!$A$10:$A$1297,'PML!wa'!D10,ADG!$K$10:$K$1297),0)</f>
        <v>8.6151701176412914</v>
      </c>
      <c r="H10" s="138">
        <f>IFERROR(SUMIF(FCR!$A$10:$A$1297,'PML!wa'!D10,FCR!$M$10:$M$1297)/SUMIF(FCR!$A$10:$A$1297,'PML!wa'!D10,FCR!$L$10:$L$1297),0)</f>
        <v>7.7933791758697906</v>
      </c>
      <c r="I10" s="138">
        <f>IFERROR(SUMIF(YIELDN!$A$10:$A$1297,'PML!wa'!D10,YIELDN!$P$10:$P$1297)/SUMIF(YIELDN!$A$10:$A$1297,'PML!wa'!D10,YIELDN!$O$10:$O$1297),0)</f>
        <v>0</v>
      </c>
      <c r="J10" s="138">
        <f>IFERROR(SUMIF(SIZE!$A$10:$A$1297,'PML!wa'!D10,SIZE!$K$10:$K$1297)/SUMIF(SIZE!$A$10:$A$1297,'PML!wa'!D10,SIZE!$J$10:$J$1297),0)</f>
        <v>6.8848241051858645</v>
      </c>
      <c r="K10" s="139">
        <f t="shared" si="0"/>
        <v>26.305367677460193</v>
      </c>
      <c r="M10" s="136" t="s">
        <v>507</v>
      </c>
      <c r="N10" s="197">
        <f t="shared" si="2"/>
        <v>-5.7201718176072216</v>
      </c>
      <c r="O10" s="197">
        <f t="shared" si="3"/>
        <v>8.7321660963704684</v>
      </c>
      <c r="P10" s="197">
        <f t="shared" si="3"/>
        <v>8.6151701176412914</v>
      </c>
      <c r="Q10" s="197">
        <f t="shared" si="4"/>
        <v>7.7933791758697906</v>
      </c>
      <c r="R10" s="197">
        <f t="shared" si="4"/>
        <v>0</v>
      </c>
      <c r="S10" s="197">
        <f t="shared" si="4"/>
        <v>6.8848241051858645</v>
      </c>
      <c r="T10" s="142">
        <f t="shared" si="1"/>
        <v>26.305367677460193</v>
      </c>
    </row>
    <row r="11" spans="1:25">
      <c r="C11" s="136" t="s">
        <v>474</v>
      </c>
      <c r="D11" s="136" t="s">
        <v>474</v>
      </c>
      <c r="E11" s="138">
        <f>IFERROR(SUMIF(ผลประหยัด!$A$10:$A$1297,'PML!wa'!D11,ผลประหยัด!$K$10:$K$1297)/SUMIF(ผลประหยัด!$A$10:$A$1297,'PML!wa'!D11,ผลประหยัด!$J$10:$J$1297),0)</f>
        <v>6.0094025948379501</v>
      </c>
      <c r="F11" s="138">
        <f>IFERROR(SUMIF(SR!$A$10:$A$1297,'PML!wa'!D11,SR!$L$10:$L$1297)/SUMIF(SR!$A$10:$A$1297,'PML!wa'!D11,SR!$K$10:$K$1297),0)</f>
        <v>15.221336241854868</v>
      </c>
      <c r="G11" s="138">
        <f>IFERROR(SUMIF(ADG!$A$10:$A$1297,'PML!wa'!D11,ADG!$L$10:$L$1297)/SUMIF(ADG!$A$10:$A$1297,'PML!wa'!D11,ADG!$K$10:$K$1297),0)</f>
        <v>7.7479791071027</v>
      </c>
      <c r="H11" s="138">
        <f>IFERROR(SUMIF(FCR!$A$10:$A$1297,'PML!wa'!D11,FCR!$M$10:$M$1297)/SUMIF(FCR!$A$10:$A$1297,'PML!wa'!D11,FCR!$L$10:$L$1297),0)</f>
        <v>11.131820477566295</v>
      </c>
      <c r="I11" s="138">
        <f>IFERROR(SUMIF(YIELDN!$A$10:$A$1297,'PML!wa'!D11,YIELDN!$P$10:$P$1297)/SUMIF(YIELDN!$A$10:$A$1297,'PML!wa'!D11,YIELDN!$O$10:$O$1297),0)</f>
        <v>6.5297400035891355</v>
      </c>
      <c r="J11" s="138">
        <f>IFERROR(SUMIF(SIZE!$A$10:$A$1297,'PML!wa'!D11,SIZE!$K$10:$K$1297)/SUMIF(SIZE!$A$10:$A$1297,'PML!wa'!D11,SIZE!$J$10:$J$1297),0)</f>
        <v>6.4165226044150678</v>
      </c>
      <c r="K11" s="139">
        <f t="shared" si="0"/>
        <v>53.056801029366014</v>
      </c>
      <c r="M11" s="136" t="s">
        <v>474</v>
      </c>
      <c r="N11" s="197">
        <f t="shared" si="2"/>
        <v>6.0094025948379501</v>
      </c>
      <c r="O11" s="197">
        <f t="shared" si="3"/>
        <v>15</v>
      </c>
      <c r="P11" s="197">
        <f t="shared" si="3"/>
        <v>7.7479791071027</v>
      </c>
      <c r="Q11" s="197">
        <f t="shared" si="4"/>
        <v>10</v>
      </c>
      <c r="R11" s="197">
        <f t="shared" si="4"/>
        <v>6.5297400035891355</v>
      </c>
      <c r="S11" s="197">
        <f t="shared" si="4"/>
        <v>6.4165226044150678</v>
      </c>
      <c r="T11" s="142">
        <f t="shared" si="1"/>
        <v>51.703644309944849</v>
      </c>
    </row>
    <row r="12" spans="1:25">
      <c r="C12" s="136" t="s">
        <v>540</v>
      </c>
      <c r="D12" s="136" t="s">
        <v>540</v>
      </c>
      <c r="E12" s="138">
        <f>IFERROR(SUMIF(ผลประหยัด!$A$10:$A$1297,'PML!wa'!D12,ผลประหยัด!$K$10:$K$1297)/SUMIF(ผลประหยัด!$A$10:$A$1297,'PML!wa'!D12,ผลประหยัด!$J$10:$J$1297),0)</f>
        <v>-5.6759595168746086</v>
      </c>
      <c r="F12" s="138">
        <f>IFERROR(SUMIF(SR!$A$10:$A$1297,'PML!wa'!D12,SR!$L$10:$L$1297)/SUMIF(SR!$A$10:$A$1297,'PML!wa'!D12,SR!$K$10:$K$1297),0)</f>
        <v>12.867603203598968</v>
      </c>
      <c r="G12" s="138">
        <f>IFERROR(SUMIF(ADG!$A$10:$A$1297,'PML!wa'!D12,ADG!$L$10:$L$1297)/SUMIF(ADG!$A$10:$A$1297,'PML!wa'!D12,ADG!$K$10:$K$1297),0)</f>
        <v>3.6719801508506502</v>
      </c>
      <c r="H12" s="138">
        <f>IFERROR(SUMIF(FCR!$A$10:$A$1297,'PML!wa'!D12,FCR!$M$10:$M$1297)/SUMIF(FCR!$A$10:$A$1297,'PML!wa'!D12,FCR!$L$10:$L$1297),0)</f>
        <v>6.3282477897721456</v>
      </c>
      <c r="I12" s="138">
        <f>IFERROR(SUMIF(YIELDN!$A$10:$A$1297,'PML!wa'!D12,YIELDN!$P$10:$P$1297)/SUMIF(YIELDN!$A$10:$A$1297,'PML!wa'!D12,YIELDN!$O$10:$O$1297),0)</f>
        <v>5.3392849715958359</v>
      </c>
      <c r="J12" s="138">
        <f>IFERROR(SUMIF(SIZE!$A$10:$A$1297,'PML!wa'!D12,SIZE!$K$10:$K$1297)/SUMIF(SIZE!$A$10:$A$1297,'PML!wa'!D12,SIZE!$J$10:$J$1297),0)</f>
        <v>6.7085187254641827</v>
      </c>
      <c r="K12" s="139">
        <f t="shared" si="0"/>
        <v>29.239675324407173</v>
      </c>
      <c r="M12" s="136" t="s">
        <v>540</v>
      </c>
      <c r="N12" s="197">
        <f t="shared" si="2"/>
        <v>-5.6759595168746086</v>
      </c>
      <c r="O12" s="197">
        <f t="shared" si="3"/>
        <v>12.867603203598968</v>
      </c>
      <c r="P12" s="197">
        <f t="shared" si="3"/>
        <v>3.6719801508506502</v>
      </c>
      <c r="Q12" s="197">
        <f t="shared" si="4"/>
        <v>6.3282477897721456</v>
      </c>
      <c r="R12" s="197">
        <f t="shared" si="4"/>
        <v>5.3392849715958359</v>
      </c>
      <c r="S12" s="197">
        <f t="shared" si="4"/>
        <v>6.7085187254641827</v>
      </c>
      <c r="T12" s="142">
        <f t="shared" si="1"/>
        <v>29.239675324407173</v>
      </c>
    </row>
    <row r="13" spans="1:25">
      <c r="C13" s="136" t="s">
        <v>567</v>
      </c>
      <c r="D13" s="136" t="s">
        <v>567</v>
      </c>
      <c r="E13" s="138">
        <f>IFERROR(SUMIF(ผลประหยัด!$A$10:$A$1297,'PML!wa'!D13,ผลประหยัด!$K$10:$K$1297)/SUMIF(ผลประหยัด!$A$10:$A$1297,'PML!wa'!D13,ผลประหยัด!$J$10:$J$1297),0)</f>
        <v>13.050977856159838</v>
      </c>
      <c r="F13" s="138">
        <f>IFERROR(SUMIF(SR!$A$10:$A$1297,'PML!wa'!D13,SR!$L$10:$L$1297)/SUMIF(SR!$A$10:$A$1297,'PML!wa'!D13,SR!$K$10:$K$1297),0)</f>
        <v>16.862945757124095</v>
      </c>
      <c r="G13" s="138">
        <f>IFERROR(SUMIF(ADG!$A$10:$A$1297,'PML!wa'!D13,ADG!$L$10:$L$1297)/SUMIF(ADG!$A$10:$A$1297,'PML!wa'!D13,ADG!$K$10:$K$1297),0)</f>
        <v>6.5281550009563283</v>
      </c>
      <c r="H13" s="138">
        <f>IFERROR(SUMIF(FCR!$A$10:$A$1297,'PML!wa'!D13,FCR!$M$10:$M$1297)/SUMIF(FCR!$A$10:$A$1297,'PML!wa'!D13,FCR!$L$10:$L$1297),0)</f>
        <v>11.098244330478142</v>
      </c>
      <c r="I13" s="138">
        <f>IFERROR(SUMIF(YIELDN!$A$10:$A$1297,'PML!wa'!D13,YIELDN!$P$10:$P$1297)/SUMIF(YIELDN!$A$10:$A$1297,'PML!wa'!D13,YIELDN!$O$10:$O$1297),0)</f>
        <v>7.1486871537874821</v>
      </c>
      <c r="J13" s="138">
        <f>IFERROR(SUMIF(SIZE!$A$10:$A$1297,'PML!wa'!D13,SIZE!$K$10:$K$1297)/SUMIF(SIZE!$A$10:$A$1297,'PML!wa'!D13,SIZE!$J$10:$J$1297),0)</f>
        <v>7.349926765132639</v>
      </c>
      <c r="K13" s="139">
        <f t="shared" si="0"/>
        <v>62.038936863638519</v>
      </c>
      <c r="M13" s="136" t="s">
        <v>567</v>
      </c>
      <c r="N13" s="197">
        <f t="shared" si="2"/>
        <v>13.050977856159838</v>
      </c>
      <c r="O13" s="197">
        <f t="shared" si="3"/>
        <v>15</v>
      </c>
      <c r="P13" s="197">
        <f t="shared" si="3"/>
        <v>6.5281550009563283</v>
      </c>
      <c r="Q13" s="197">
        <f t="shared" si="4"/>
        <v>10</v>
      </c>
      <c r="R13" s="197">
        <f t="shared" si="4"/>
        <v>7.1486871537874821</v>
      </c>
      <c r="S13" s="197">
        <f t="shared" si="4"/>
        <v>7.349926765132639</v>
      </c>
      <c r="T13" s="142">
        <f t="shared" si="1"/>
        <v>59.077746776036285</v>
      </c>
    </row>
    <row r="14" spans="1:25">
      <c r="C14" s="136" t="s">
        <v>610</v>
      </c>
      <c r="D14" s="136" t="s">
        <v>610</v>
      </c>
      <c r="E14" s="138">
        <f>IFERROR(SUMIF(ผลประหยัด!$A$10:$A$1297,'PML!wa'!D14,ผลประหยัด!$K$10:$K$1297)/SUMIF(ผลประหยัด!$A$10:$A$1297,'PML!wa'!D14,ผลประหยัด!$J$10:$J$1297),0)</f>
        <v>-7.7787708602922896</v>
      </c>
      <c r="F14" s="138">
        <f>IFERROR(SUMIF(SR!$A$10:$A$1297,'PML!wa'!D14,SR!$L$10:$L$1297)/SUMIF(SR!$A$10:$A$1297,'PML!wa'!D14,SR!$K$10:$K$1297),0)</f>
        <v>9.8872694870991218</v>
      </c>
      <c r="G14" s="138">
        <f>IFERROR(SUMIF(ADG!$A$10:$A$1297,'PML!wa'!D14,ADG!$L$10:$L$1297)/SUMIF(ADG!$A$10:$A$1297,'PML!wa'!D14,ADG!$K$10:$K$1297),0)</f>
        <v>8.3691439880083625</v>
      </c>
      <c r="H14" s="138">
        <f>IFERROR(SUMIF(FCR!$A$10:$A$1297,'PML!wa'!D14,FCR!$M$10:$M$1297)/SUMIF(FCR!$A$10:$A$1297,'PML!wa'!D14,FCR!$L$10:$L$1297),0)</f>
        <v>6.4551275306441074</v>
      </c>
      <c r="I14" s="138">
        <f>IFERROR(SUMIF(YIELDN!$A$10:$A$1297,'PML!wa'!D14,YIELDN!$P$10:$P$1297)/SUMIF(YIELDN!$A$10:$A$1297,'PML!wa'!D14,YIELDN!$O$10:$O$1297),0)</f>
        <v>0</v>
      </c>
      <c r="J14" s="138">
        <f>IFERROR(SUMIF(SIZE!$A$10:$A$1297,'PML!wa'!D14,SIZE!$K$10:$K$1297)/SUMIF(SIZE!$A$10:$A$1297,'PML!wa'!D14,SIZE!$J$10:$J$1297),0)</f>
        <v>7.9910050122557834</v>
      </c>
      <c r="K14" s="139">
        <f t="shared" si="0"/>
        <v>24.923775157715085</v>
      </c>
      <c r="M14" s="136" t="s">
        <v>610</v>
      </c>
      <c r="N14" s="197">
        <f t="shared" si="2"/>
        <v>-7.7787708602922896</v>
      </c>
      <c r="O14" s="197">
        <f t="shared" si="3"/>
        <v>9.8872694870991218</v>
      </c>
      <c r="P14" s="197">
        <f t="shared" si="3"/>
        <v>8.3691439880083625</v>
      </c>
      <c r="Q14" s="197">
        <f t="shared" si="4"/>
        <v>6.4551275306441074</v>
      </c>
      <c r="R14" s="197">
        <f t="shared" si="4"/>
        <v>0</v>
      </c>
      <c r="S14" s="197">
        <f t="shared" si="4"/>
        <v>7.9910050122557834</v>
      </c>
      <c r="T14" s="142">
        <f t="shared" si="1"/>
        <v>24.923775157715085</v>
      </c>
    </row>
    <row r="15" spans="1:25">
      <c r="C15" s="136" t="s">
        <v>632</v>
      </c>
      <c r="D15" s="136" t="s">
        <v>632</v>
      </c>
      <c r="E15" s="138">
        <f>IFERROR(SUMIF(ผลประหยัด!$A$10:$A$1297,'PML!wa'!D15,ผลประหยัด!$K$10:$K$1297)/SUMIF(ผลประหยัด!$A$10:$A$1297,'PML!wa'!D15,ผลประหยัด!$J$10:$J$1297),0)</f>
        <v>-13.744049576927056</v>
      </c>
      <c r="F15" s="138">
        <f>IFERROR(SUMIF(SR!$A$10:$A$1297,'PML!wa'!D15,SR!$L$10:$L$1297)/SUMIF(SR!$A$10:$A$1297,'PML!wa'!D15,SR!$K$10:$K$1297),0)</f>
        <v>11.031824103127471</v>
      </c>
      <c r="G15" s="138">
        <f>IFERROR(SUMIF(ADG!$A$10:$A$1297,'PML!wa'!D15,ADG!$L$10:$L$1297)/SUMIF(ADG!$A$10:$A$1297,'PML!wa'!D15,ADG!$K$10:$K$1297),0)</f>
        <v>8.1516937304708712</v>
      </c>
      <c r="H15" s="138">
        <f>IFERROR(SUMIF(FCR!$A$10:$A$1297,'PML!wa'!D15,FCR!$M$10:$M$1297)/SUMIF(FCR!$A$10:$A$1297,'PML!wa'!D15,FCR!$L$10:$L$1297),0)</f>
        <v>9.0373425097203786</v>
      </c>
      <c r="I15" s="138">
        <f>IFERROR(SUMIF(YIELDN!$A$10:$A$1297,'PML!wa'!D15,YIELDN!$P$10:$P$1297)/SUMIF(YIELDN!$A$10:$A$1297,'PML!wa'!D15,YIELDN!$O$10:$O$1297),0)</f>
        <v>2.5726254269308417</v>
      </c>
      <c r="J15" s="138">
        <f>IFERROR(SUMIF(SIZE!$A$10:$A$1297,'PML!wa'!D15,SIZE!$K$10:$K$1297)/SUMIF(SIZE!$A$10:$A$1297,'PML!wa'!D15,SIZE!$J$10:$J$1297),0)</f>
        <v>3.8549510154415247</v>
      </c>
      <c r="K15" s="139">
        <f t="shared" si="0"/>
        <v>20.904387208764032</v>
      </c>
      <c r="M15" s="136" t="s">
        <v>632</v>
      </c>
      <c r="N15" s="197">
        <f t="shared" si="2"/>
        <v>-13.744049576927056</v>
      </c>
      <c r="O15" s="197">
        <f t="shared" si="3"/>
        <v>11.031824103127471</v>
      </c>
      <c r="P15" s="197">
        <f t="shared" si="3"/>
        <v>8.1516937304708712</v>
      </c>
      <c r="Q15" s="197">
        <f t="shared" si="4"/>
        <v>9.0373425097203786</v>
      </c>
      <c r="R15" s="197">
        <f t="shared" si="4"/>
        <v>2.5726254269308417</v>
      </c>
      <c r="S15" s="197">
        <f t="shared" si="4"/>
        <v>3.8549510154415247</v>
      </c>
      <c r="T15" s="142">
        <f t="shared" si="1"/>
        <v>20.904387208764032</v>
      </c>
    </row>
    <row r="16" spans="1:25">
      <c r="C16" s="136" t="s">
        <v>651</v>
      </c>
      <c r="D16" s="136" t="s">
        <v>651</v>
      </c>
      <c r="E16" s="138">
        <f>IFERROR(SUMIF(ผลประหยัด!$A$10:$A$1297,'PML!wa'!D16,ผลประหยัด!$K$10:$K$1297)/SUMIF(ผลประหยัด!$A$10:$A$1297,'PML!wa'!D16,ผลประหยัด!$J$10:$J$1297),0)</f>
        <v>-18.705795990219514</v>
      </c>
      <c r="F16" s="138">
        <f>IFERROR(SUMIF(SR!$A$10:$A$1297,'PML!wa'!D16,SR!$L$10:$L$1297)/SUMIF(SR!$A$10:$A$1297,'PML!wa'!D16,SR!$K$10:$K$1297),0)</f>
        <v>10.486472362040836</v>
      </c>
      <c r="G16" s="138">
        <f>IFERROR(SUMIF(ADG!$A$10:$A$1297,'PML!wa'!D16,ADG!$L$10:$L$1297)/SUMIF(ADG!$A$10:$A$1297,'PML!wa'!D16,ADG!$K$10:$K$1297),0)</f>
        <v>6.5357966578632434</v>
      </c>
      <c r="H16" s="138">
        <f>IFERROR(SUMIF(FCR!$A$10:$A$1297,'PML!wa'!D16,FCR!$M$10:$M$1297)/SUMIF(FCR!$A$10:$A$1297,'PML!wa'!D16,FCR!$L$10:$L$1297),0)</f>
        <v>7.4831827073890356</v>
      </c>
      <c r="I16" s="138">
        <f>IFERROR(SUMIF(YIELDN!$A$10:$A$1297,'PML!wa'!D16,YIELDN!$P$10:$P$1297)/SUMIF(YIELDN!$A$10:$A$1297,'PML!wa'!D16,YIELDN!$O$10:$O$1297),0)</f>
        <v>0</v>
      </c>
      <c r="J16" s="138">
        <f>IFERROR(SUMIF(SIZE!$A$10:$A$1297,'PML!wa'!D16,SIZE!$K$10:$K$1297)/SUMIF(SIZE!$A$10:$A$1297,'PML!wa'!D16,SIZE!$J$10:$J$1297),0)</f>
        <v>4.2681353990606006</v>
      </c>
      <c r="K16" s="139">
        <f t="shared" si="0"/>
        <v>10.067791136134201</v>
      </c>
      <c r="M16" s="136" t="s">
        <v>651</v>
      </c>
      <c r="N16" s="197">
        <f t="shared" si="2"/>
        <v>-18.705795990219514</v>
      </c>
      <c r="O16" s="197">
        <f t="shared" si="3"/>
        <v>10.486472362040836</v>
      </c>
      <c r="P16" s="197">
        <f t="shared" si="3"/>
        <v>6.5357966578632434</v>
      </c>
      <c r="Q16" s="197">
        <f t="shared" si="4"/>
        <v>7.4831827073890356</v>
      </c>
      <c r="R16" s="197">
        <f t="shared" si="4"/>
        <v>0</v>
      </c>
      <c r="S16" s="197">
        <f t="shared" si="4"/>
        <v>4.2681353990606006</v>
      </c>
      <c r="T16" s="142">
        <f t="shared" si="1"/>
        <v>10.067791136134201</v>
      </c>
    </row>
    <row r="17" spans="3:20">
      <c r="C17" s="136" t="s">
        <v>724</v>
      </c>
      <c r="D17" s="136" t="s">
        <v>724</v>
      </c>
      <c r="E17" s="138">
        <f>IFERROR(SUMIF(ผลประหยัด!$A$10:$A$1297,'PML!wa'!D17,ผลประหยัด!$K$10:$K$1297)/SUMIF(ผลประหยัด!$A$10:$A$1297,'PML!wa'!D17,ผลประหยัด!$J$10:$J$1297),0)</f>
        <v>-3.6164423911123542</v>
      </c>
      <c r="F17" s="138">
        <f>IFERROR(SUMIF(SR!$A$10:$A$1297,'PML!wa'!D17,SR!$L$10:$L$1297)/SUMIF(SR!$A$10:$A$1297,'PML!wa'!D17,SR!$K$10:$K$1297),0)</f>
        <v>11.364533505747772</v>
      </c>
      <c r="G17" s="138">
        <f>IFERROR(SUMIF(ADG!$A$10:$A$1297,'PML!wa'!D17,ADG!$L$10:$L$1297)/SUMIF(ADG!$A$10:$A$1297,'PML!wa'!D17,ADG!$K$10:$K$1297),0)</f>
        <v>7.4431434149308284</v>
      </c>
      <c r="H17" s="138">
        <f>IFERROR(SUMIF(FCR!$A$10:$A$1297,'PML!wa'!D17,FCR!$M$10:$M$1297)/SUMIF(FCR!$A$10:$A$1297,'PML!wa'!D17,FCR!$L$10:$L$1297),0)</f>
        <v>3.5286777629683486</v>
      </c>
      <c r="I17" s="138">
        <f>IFERROR(SUMIF(YIELDN!$A$10:$A$1297,'PML!wa'!D17,YIELDN!$P$10:$P$1297)/SUMIF(YIELDN!$A$10:$A$1297,'PML!wa'!D17,YIELDN!$O$10:$O$1297),0)</f>
        <v>4.3552002701692381</v>
      </c>
      <c r="J17" s="138">
        <f>IFERROR(SUMIF(SIZE!$A$10:$A$1297,'PML!wa'!D17,SIZE!$K$10:$K$1297)/SUMIF(SIZE!$A$10:$A$1297,'PML!wa'!D17,SIZE!$J$10:$J$1297),0)</f>
        <v>6.1545878663190736</v>
      </c>
      <c r="K17" s="139">
        <f t="shared" si="0"/>
        <v>29.229700429022905</v>
      </c>
      <c r="M17" s="136" t="s">
        <v>724</v>
      </c>
      <c r="N17" s="197">
        <f t="shared" si="2"/>
        <v>-3.6164423911123542</v>
      </c>
      <c r="O17" s="197">
        <f t="shared" si="3"/>
        <v>11.364533505747772</v>
      </c>
      <c r="P17" s="197">
        <f t="shared" si="3"/>
        <v>7.4431434149308284</v>
      </c>
      <c r="Q17" s="197">
        <f t="shared" si="4"/>
        <v>3.5286777629683486</v>
      </c>
      <c r="R17" s="197">
        <f t="shared" si="4"/>
        <v>4.3552002701692381</v>
      </c>
      <c r="S17" s="197">
        <f t="shared" si="4"/>
        <v>6.1545878663190736</v>
      </c>
      <c r="T17" s="142">
        <f t="shared" si="1"/>
        <v>29.229700429022905</v>
      </c>
    </row>
    <row r="18" spans="3:20">
      <c r="C18" s="136" t="s">
        <v>760</v>
      </c>
      <c r="D18" s="136" t="s">
        <v>760</v>
      </c>
      <c r="E18" s="138">
        <f>IFERROR(SUMIF(ผลประหยัด!$A$10:$A$1297,'PML!wa'!D18,ผลประหยัด!$K$10:$K$1297)/SUMIF(ผลประหยัด!$A$10:$A$1297,'PML!wa'!D18,ผลประหยัด!$J$10:$J$1297),0)</f>
        <v>-2.2154850109232549</v>
      </c>
      <c r="F18" s="138">
        <f>IFERROR(SUMIF(SR!$A$10:$A$1297,'PML!wa'!D18,SR!$L$10:$L$1297)/SUMIF(SR!$A$10:$A$1297,'PML!wa'!D18,SR!$K$10:$K$1297),0)</f>
        <v>6.7148442978250094</v>
      </c>
      <c r="G18" s="138">
        <f>IFERROR(SUMIF(ADG!$A$10:$A$1297,'PML!wa'!D18,ADG!$L$10:$L$1297)/SUMIF(ADG!$A$10:$A$1297,'PML!wa'!D18,ADG!$K$10:$K$1297),0)</f>
        <v>6.591764785628996</v>
      </c>
      <c r="H18" s="138">
        <f>IFERROR(SUMIF(FCR!$A$10:$A$1297,'PML!wa'!D18,FCR!$M$10:$M$1297)/SUMIF(FCR!$A$10:$A$1297,'PML!wa'!D18,FCR!$L$10:$L$1297),0)</f>
        <v>7.9602248077644635</v>
      </c>
      <c r="I18" s="138">
        <f>IFERROR(SUMIF(YIELDN!$A$10:$A$1297,'PML!wa'!D18,YIELDN!$P$10:$P$1297)/SUMIF(YIELDN!$A$10:$A$1297,'PML!wa'!D18,YIELDN!$O$10:$O$1297),0)</f>
        <v>1.9004727783611848</v>
      </c>
      <c r="J18" s="138">
        <f>IFERROR(SUMIF(SIZE!$A$10:$A$1297,'PML!wa'!D18,SIZE!$K$10:$K$1297)/SUMIF(SIZE!$A$10:$A$1297,'PML!wa'!D18,SIZE!$J$10:$J$1297),0)</f>
        <v>6.4086612604346973</v>
      </c>
      <c r="K18" s="139">
        <f t="shared" si="0"/>
        <v>27.360482919091098</v>
      </c>
      <c r="M18" s="136" t="s">
        <v>760</v>
      </c>
      <c r="N18" s="197">
        <f t="shared" si="2"/>
        <v>-2.2154850109232549</v>
      </c>
      <c r="O18" s="197">
        <f t="shared" si="3"/>
        <v>6.7148442978250094</v>
      </c>
      <c r="P18" s="197">
        <f t="shared" si="3"/>
        <v>6.591764785628996</v>
      </c>
      <c r="Q18" s="197">
        <f t="shared" si="4"/>
        <v>7.9602248077644635</v>
      </c>
      <c r="R18" s="197">
        <f t="shared" si="4"/>
        <v>1.9004727783611848</v>
      </c>
      <c r="S18" s="197">
        <f t="shared" si="4"/>
        <v>6.4086612604346973</v>
      </c>
      <c r="T18" s="142">
        <f t="shared" si="1"/>
        <v>27.360482919091098</v>
      </c>
    </row>
    <row r="19" spans="3:20">
      <c r="C19" s="136" t="s">
        <v>893</v>
      </c>
      <c r="D19" s="136" t="s">
        <v>893</v>
      </c>
      <c r="E19" s="138">
        <f>IFERROR(SUMIF(ผลประหยัด!$A$10:$A$1297,'PML!wa'!D19,ผลประหยัด!$K$10:$K$1297)/SUMIF(ผลประหยัด!$A$10:$A$1297,'PML!wa'!D19,ผลประหยัด!$J$10:$J$1297),0)</f>
        <v>4.2493840112007168</v>
      </c>
      <c r="F19" s="138">
        <f>IFERROR(SUMIF(SR!$A$10:$A$1297,'PML!wa'!D19,SR!$L$10:$L$1297)/SUMIF(SR!$A$10:$A$1297,'PML!wa'!D19,SR!$K$10:$K$1297),0)</f>
        <v>7.8913595238607757</v>
      </c>
      <c r="G19" s="138">
        <f>IFERROR(SUMIF(ADG!$A$10:$A$1297,'PML!wa'!D19,ADG!$L$10:$L$1297)/SUMIF(ADG!$A$10:$A$1297,'PML!wa'!D19,ADG!$K$10:$K$1297),0)</f>
        <v>7.8883193556445921</v>
      </c>
      <c r="H19" s="138">
        <f>IFERROR(SUMIF(FCR!$A$10:$A$1297,'PML!wa'!D19,FCR!$M$10:$M$1297)/SUMIF(FCR!$A$10:$A$1297,'PML!wa'!D19,FCR!$L$10:$L$1297),0)</f>
        <v>6.2080436425841912</v>
      </c>
      <c r="I19" s="138">
        <f>IFERROR(SUMIF(YIELDN!$A$10:$A$1297,'PML!wa'!D19,YIELDN!$P$10:$P$1297)/SUMIF(YIELDN!$A$10:$A$1297,'PML!wa'!D19,YIELDN!$O$10:$O$1297),0)</f>
        <v>4.7682520393102035</v>
      </c>
      <c r="J19" s="138">
        <f>IFERROR(SUMIF(SIZE!$A$10:$A$1297,'PML!wa'!D19,SIZE!$K$10:$K$1297)/SUMIF(SIZE!$A$10:$A$1297,'PML!wa'!D19,SIZE!$J$10:$J$1297),0)</f>
        <v>7.975697380747186</v>
      </c>
      <c r="K19" s="139">
        <f t="shared" si="0"/>
        <v>38.981055953347663</v>
      </c>
      <c r="M19" s="136" t="s">
        <v>893</v>
      </c>
      <c r="N19" s="197">
        <f t="shared" si="2"/>
        <v>4.2493840112007168</v>
      </c>
      <c r="O19" s="197">
        <f t="shared" si="3"/>
        <v>7.8913595238607757</v>
      </c>
      <c r="P19" s="197">
        <f t="shared" si="3"/>
        <v>7.8883193556445921</v>
      </c>
      <c r="Q19" s="197">
        <f t="shared" si="4"/>
        <v>6.2080436425841912</v>
      </c>
      <c r="R19" s="197">
        <f t="shared" si="4"/>
        <v>4.7682520393102035</v>
      </c>
      <c r="S19" s="197">
        <f t="shared" si="4"/>
        <v>7.975697380747186</v>
      </c>
      <c r="T19" s="142">
        <f t="shared" si="1"/>
        <v>38.981055953347663</v>
      </c>
    </row>
    <row r="20" spans="3:20">
      <c r="C20" s="136" t="s">
        <v>835</v>
      </c>
      <c r="D20" s="136" t="s">
        <v>835</v>
      </c>
      <c r="E20" s="138">
        <f>IFERROR(SUMIF(ผลประหยัด!$A$10:$A$1297,'PML!wa'!D20,ผลประหยัด!$K$10:$K$1297)/SUMIF(ผลประหยัด!$A$10:$A$1297,'PML!wa'!D20,ผลประหยัด!$J$10:$J$1297),0)</f>
        <v>0.57693419881472818</v>
      </c>
      <c r="F20" s="138">
        <f>IFERROR(SUMIF(SR!$A$10:$A$1297,'PML!wa'!D20,SR!$L$10:$L$1297)/SUMIF(SR!$A$10:$A$1297,'PML!wa'!D20,SR!$K$10:$K$1297),0)</f>
        <v>4.1616157300145922</v>
      </c>
      <c r="G20" s="138">
        <f>IFERROR(SUMIF(ADG!$A$10:$A$1297,'PML!wa'!D20,ADG!$L$10:$L$1297)/SUMIF(ADG!$A$10:$A$1297,'PML!wa'!D20,ADG!$K$10:$K$1297),0)</f>
        <v>9.0265057783429565</v>
      </c>
      <c r="H20" s="138">
        <f>IFERROR(SUMIF(FCR!$A$10:$A$1297,'PML!wa'!D20,FCR!$M$10:$M$1297)/SUMIF(FCR!$A$10:$A$1297,'PML!wa'!D20,FCR!$L$10:$L$1297),0)</f>
        <v>7.3380371024960169</v>
      </c>
      <c r="I20" s="138">
        <f>IFERROR(SUMIF(YIELDN!$A$10:$A$1297,'PML!wa'!D20,YIELDN!$P$10:$P$1297)/SUMIF(YIELDN!$A$10:$A$1297,'PML!wa'!D20,YIELDN!$O$10:$O$1297),0)</f>
        <v>0</v>
      </c>
      <c r="J20" s="138">
        <f>IFERROR(SUMIF(SIZE!$A$10:$A$1297,'PML!wa'!D20,SIZE!$K$10:$K$1297)/SUMIF(SIZE!$A$10:$A$1297,'PML!wa'!D20,SIZE!$J$10:$J$1297),0)</f>
        <v>8.0283610100984699</v>
      </c>
      <c r="K20" s="139">
        <f t="shared" si="0"/>
        <v>29.131453819766762</v>
      </c>
      <c r="M20" s="136" t="s">
        <v>835</v>
      </c>
      <c r="N20" s="197">
        <f t="shared" si="2"/>
        <v>0.57693419881472818</v>
      </c>
      <c r="O20" s="197">
        <f t="shared" si="3"/>
        <v>4.1616157300145922</v>
      </c>
      <c r="P20" s="197">
        <f t="shared" si="3"/>
        <v>9.0265057783429565</v>
      </c>
      <c r="Q20" s="197">
        <f t="shared" si="4"/>
        <v>7.3380371024960169</v>
      </c>
      <c r="R20" s="197">
        <f t="shared" si="4"/>
        <v>0</v>
      </c>
      <c r="S20" s="197">
        <f t="shared" si="4"/>
        <v>8.0283610100984699</v>
      </c>
      <c r="T20" s="142">
        <f t="shared" si="1"/>
        <v>29.131453819766762</v>
      </c>
    </row>
    <row r="21" spans="3:20">
      <c r="C21" s="136" t="s">
        <v>924</v>
      </c>
      <c r="D21" s="136" t="s">
        <v>924</v>
      </c>
      <c r="E21" s="138">
        <f>IFERROR(SUMIF(ผลประหยัด!$A$10:$A$1297,'PML!wa'!D21,ผลประหยัด!$K$10:$K$1297)/SUMIF(ผลประหยัด!$A$10:$A$1297,'PML!wa'!D21,ผลประหยัด!$J$10:$J$1297),0)</f>
        <v>-1.5084867191383637</v>
      </c>
      <c r="F21" s="138">
        <f>IFERROR(SUMIF(SR!$A$10:$A$1297,'PML!wa'!D21,SR!$L$10:$L$1297)/SUMIF(SR!$A$10:$A$1297,'PML!wa'!D21,SR!$K$10:$K$1297),0)</f>
        <v>6.5003280689120517</v>
      </c>
      <c r="G21" s="138">
        <f>IFERROR(SUMIF(ADG!$A$10:$A$1297,'PML!wa'!D21,ADG!$L$10:$L$1297)/SUMIF(ADG!$A$10:$A$1297,'PML!wa'!D21,ADG!$K$10:$K$1297),0)</f>
        <v>7.472843472271137</v>
      </c>
      <c r="H21" s="138">
        <f>IFERROR(SUMIF(FCR!$A$10:$A$1297,'PML!wa'!D21,FCR!$M$10:$M$1297)/SUMIF(FCR!$A$10:$A$1297,'PML!wa'!D21,FCR!$L$10:$L$1297),0)</f>
        <v>6.2455386361852554</v>
      </c>
      <c r="I21" s="138">
        <f>IFERROR(SUMIF(YIELDN!$A$10:$A$1297,'PML!wa'!D21,YIELDN!$P$10:$P$1297)/SUMIF(YIELDN!$A$10:$A$1297,'PML!wa'!D21,YIELDN!$O$10:$O$1297),0)</f>
        <v>4.8296980448919209</v>
      </c>
      <c r="J21" s="138">
        <f>IFERROR(SUMIF(SIZE!$A$10:$A$1297,'PML!wa'!D21,SIZE!$K$10:$K$1297)/SUMIF(SIZE!$A$10:$A$1297,'PML!wa'!D21,SIZE!$J$10:$J$1297),0)</f>
        <v>8.100842502325678</v>
      </c>
      <c r="K21" s="139">
        <f t="shared" si="0"/>
        <v>31.640764005447679</v>
      </c>
      <c r="M21" s="136" t="s">
        <v>924</v>
      </c>
      <c r="N21" s="197">
        <f t="shared" si="2"/>
        <v>-1.5084867191383637</v>
      </c>
      <c r="O21" s="197">
        <f t="shared" si="3"/>
        <v>6.5003280689120517</v>
      </c>
      <c r="P21" s="197">
        <f t="shared" si="3"/>
        <v>7.472843472271137</v>
      </c>
      <c r="Q21" s="197">
        <f t="shared" si="4"/>
        <v>6.2455386361852554</v>
      </c>
      <c r="R21" s="197">
        <f t="shared" si="4"/>
        <v>4.8296980448919209</v>
      </c>
      <c r="S21" s="197">
        <f t="shared" si="4"/>
        <v>8.100842502325678</v>
      </c>
      <c r="T21" s="142">
        <f t="shared" si="1"/>
        <v>31.640764005447679</v>
      </c>
    </row>
    <row r="22" spans="3:20">
      <c r="C22" s="136" t="s">
        <v>999</v>
      </c>
      <c r="D22" s="136" t="s">
        <v>999</v>
      </c>
      <c r="E22" s="138">
        <f>IFERROR(SUMIF(ผลประหยัด!$A$10:$A$1297,'PML!wa'!D22,ผลประหยัด!$K$10:$K$1297)/SUMIF(ผลประหยัด!$A$10:$A$1297,'PML!wa'!D22,ผลประหยัด!$J$10:$J$1297),0)</f>
        <v>-5.0281883284581559</v>
      </c>
      <c r="F22" s="138">
        <f>IFERROR(SUMIF(SR!$A$10:$A$1297,'PML!wa'!D22,SR!$L$10:$L$1297)/SUMIF(SR!$A$10:$A$1297,'PML!wa'!D22,SR!$K$10:$K$1297),0)</f>
        <v>7.21956373956231</v>
      </c>
      <c r="G22" s="138">
        <f>IFERROR(SUMIF(ADG!$A$10:$A$1297,'PML!wa'!D22,ADG!$L$10:$L$1297)/SUMIF(ADG!$A$10:$A$1297,'PML!wa'!D22,ADG!$K$10:$K$1297),0)</f>
        <v>5.1495969790970886</v>
      </c>
      <c r="H22" s="138">
        <f>IFERROR(SUMIF(FCR!$A$10:$A$1297,'PML!wa'!D22,FCR!$M$10:$M$1297)/SUMIF(FCR!$A$10:$A$1297,'PML!wa'!D22,FCR!$L$10:$L$1297),0)</f>
        <v>6.4329738356565542</v>
      </c>
      <c r="I22" s="138">
        <f>IFERROR(SUMIF(YIELDN!$A$10:$A$1297,'PML!wa'!D22,YIELDN!$P$10:$P$1297)/SUMIF(YIELDN!$A$10:$A$1297,'PML!wa'!D22,YIELDN!$O$10:$O$1297),0)</f>
        <v>4.2383415663908346E-2</v>
      </c>
      <c r="J22" s="138">
        <f>IFERROR(SUMIF(SIZE!$A$10:$A$1297,'PML!wa'!D22,SIZE!$K$10:$K$1297)/SUMIF(SIZE!$A$10:$A$1297,'PML!wa'!D22,SIZE!$J$10:$J$1297),0)</f>
        <v>3.0677368183034215</v>
      </c>
      <c r="K22" s="139">
        <f t="shared" si="0"/>
        <v>16.884066459825128</v>
      </c>
      <c r="M22" s="136" t="s">
        <v>999</v>
      </c>
      <c r="N22" s="197">
        <f t="shared" si="2"/>
        <v>-5.0281883284581559</v>
      </c>
      <c r="O22" s="197">
        <f t="shared" si="3"/>
        <v>7.21956373956231</v>
      </c>
      <c r="P22" s="197">
        <f t="shared" si="3"/>
        <v>5.1495969790970886</v>
      </c>
      <c r="Q22" s="197">
        <f t="shared" si="4"/>
        <v>6.4329738356565542</v>
      </c>
      <c r="R22" s="197">
        <f t="shared" si="4"/>
        <v>4.2383415663908346E-2</v>
      </c>
      <c r="S22" s="197">
        <f t="shared" si="4"/>
        <v>3.0677368183034215</v>
      </c>
      <c r="T22" s="142">
        <f t="shared" si="1"/>
        <v>16.884066459825128</v>
      </c>
    </row>
    <row r="23" spans="3:20">
      <c r="C23" s="136" t="s">
        <v>1123</v>
      </c>
      <c r="D23" s="136" t="s">
        <v>1123</v>
      </c>
      <c r="E23" s="138">
        <f>IFERROR(SUMIF(ผลประหยัด!$A$10:$A$1297,'PML!wa'!D23,ผลประหยัด!$K$10:$K$1297)/SUMIF(ผลประหยัด!$A$10:$A$1297,'PML!wa'!D23,ผลประหยัด!$J$10:$J$1297),0)</f>
        <v>-15.741233527963617</v>
      </c>
      <c r="F23" s="138">
        <f>IFERROR(SUMIF(SR!$A$10:$A$1297,'PML!wa'!D23,SR!$L$10:$L$1297)/SUMIF(SR!$A$10:$A$1297,'PML!wa'!D23,SR!$K$10:$K$1297),0)</f>
        <v>4.9987185243278809</v>
      </c>
      <c r="G23" s="138">
        <f>IFERROR(SUMIF(ADG!$A$10:$A$1297,'PML!wa'!D23,ADG!$L$10:$L$1297)/SUMIF(ADG!$A$10:$A$1297,'PML!wa'!D23,ADG!$K$10:$K$1297),0)</f>
        <v>5.1364062140485247</v>
      </c>
      <c r="H23" s="138">
        <f>IFERROR(SUMIF(FCR!$A$10:$A$1297,'PML!wa'!D23,FCR!$M$10:$M$1297)/SUMIF(FCR!$A$10:$A$1297,'PML!wa'!D23,FCR!$L$10:$L$1297),0)</f>
        <v>6.9854407927924065</v>
      </c>
      <c r="I23" s="138">
        <f>IFERROR(SUMIF(YIELDN!$A$10:$A$1297,'PML!wa'!D23,YIELDN!$P$10:$P$1297)/SUMIF(YIELDN!$A$10:$A$1297,'PML!wa'!D23,YIELDN!$O$10:$O$1297),0)</f>
        <v>0.85417175221085739</v>
      </c>
      <c r="J23" s="138">
        <f>IFERROR(SUMIF(SIZE!$A$10:$A$1297,'PML!wa'!D23,SIZE!$K$10:$K$1297)/SUMIF(SIZE!$A$10:$A$1297,'PML!wa'!D23,SIZE!$J$10:$J$1297),0)</f>
        <v>5.6383065513200439</v>
      </c>
      <c r="K23" s="139">
        <f t="shared" si="0"/>
        <v>7.8718103067360961</v>
      </c>
      <c r="M23" s="136" t="s">
        <v>1123</v>
      </c>
      <c r="N23" s="197">
        <f t="shared" si="2"/>
        <v>-15.741233527963617</v>
      </c>
      <c r="O23" s="197">
        <f t="shared" si="3"/>
        <v>4.9987185243278809</v>
      </c>
      <c r="P23" s="197">
        <f t="shared" si="3"/>
        <v>5.1364062140485247</v>
      </c>
      <c r="Q23" s="197">
        <f t="shared" si="4"/>
        <v>6.9854407927924065</v>
      </c>
      <c r="R23" s="197">
        <f t="shared" si="4"/>
        <v>0.85417175221085739</v>
      </c>
      <c r="S23" s="197">
        <f t="shared" si="4"/>
        <v>5.6383065513200439</v>
      </c>
      <c r="T23" s="142">
        <f t="shared" si="1"/>
        <v>7.8718103067360961</v>
      </c>
    </row>
    <row r="24" spans="3:20">
      <c r="C24" s="136" t="s">
        <v>1146</v>
      </c>
      <c r="D24" s="136" t="s">
        <v>1146</v>
      </c>
      <c r="E24" s="138">
        <f>IFERROR(SUMIF(ผลประหยัด!$A$10:$A$1297,'PML!wa'!D24,ผลประหยัด!$K$10:$K$1297)/SUMIF(ผลประหยัด!$A$10:$A$1297,'PML!wa'!D24,ผลประหยัด!$J$10:$J$1297),0)</f>
        <v>0.88150382036125841</v>
      </c>
      <c r="F24" s="138">
        <f>IFERROR(SUMIF(SR!$A$10:$A$1297,'PML!wa'!D24,SR!$L$10:$L$1297)/SUMIF(SR!$A$10:$A$1297,'PML!wa'!D24,SR!$K$10:$K$1297),0)</f>
        <v>11.235306313775986</v>
      </c>
      <c r="G24" s="138">
        <f>IFERROR(SUMIF(ADG!$A$10:$A$1297,'PML!wa'!D24,ADG!$L$10:$L$1297)/SUMIF(ADG!$A$10:$A$1297,'PML!wa'!D24,ADG!$K$10:$K$1297),0)</f>
        <v>6.2146431342652786</v>
      </c>
      <c r="H24" s="138">
        <f>IFERROR(SUMIF(FCR!$A$10:$A$1297,'PML!wa'!D24,FCR!$M$10:$M$1297)/SUMIF(FCR!$A$10:$A$1297,'PML!wa'!D24,FCR!$L$10:$L$1297),0)</f>
        <v>8.090204172712161</v>
      </c>
      <c r="I24" s="138">
        <f>IFERROR(SUMIF(YIELDN!$A$10:$A$1297,'PML!wa'!D24,YIELDN!$P$10:$P$1297)/SUMIF(YIELDN!$A$10:$A$1297,'PML!wa'!D24,YIELDN!$O$10:$O$1297),0)</f>
        <v>5.5235149393088676</v>
      </c>
      <c r="J24" s="138">
        <f>IFERROR(SUMIF(SIZE!$A$10:$A$1297,'PML!wa'!D24,SIZE!$K$10:$K$1297)/SUMIF(SIZE!$A$10:$A$1297,'PML!wa'!D24,SIZE!$J$10:$J$1297),0)</f>
        <v>6.4466449671003501</v>
      </c>
      <c r="K24" s="139">
        <f t="shared" si="0"/>
        <v>38.391817347523897</v>
      </c>
      <c r="M24" s="136" t="s">
        <v>1146</v>
      </c>
      <c r="N24" s="197">
        <f t="shared" si="2"/>
        <v>0.88150382036125841</v>
      </c>
      <c r="O24" s="197">
        <f t="shared" si="3"/>
        <v>11.235306313775986</v>
      </c>
      <c r="P24" s="197">
        <f t="shared" si="3"/>
        <v>6.2146431342652786</v>
      </c>
      <c r="Q24" s="197">
        <f t="shared" si="4"/>
        <v>8.090204172712161</v>
      </c>
      <c r="R24" s="197">
        <f t="shared" si="4"/>
        <v>5.5235149393088676</v>
      </c>
      <c r="S24" s="197">
        <f t="shared" si="4"/>
        <v>6.4466449671003501</v>
      </c>
      <c r="T24" s="142">
        <f t="shared" si="1"/>
        <v>38.391817347523897</v>
      </c>
    </row>
    <row r="25" spans="3:20">
      <c r="C25" s="136" t="s">
        <v>1174</v>
      </c>
      <c r="D25" s="136" t="s">
        <v>1174</v>
      </c>
      <c r="E25" s="138">
        <f>IFERROR(SUMIF(ผลประหยัด!$A$10:$A$1297,'PML!wa'!D25,ผลประหยัด!$K$10:$K$1297)/SUMIF(ผลประหยัด!$A$10:$A$1297,'PML!wa'!D25,ผลประหยัด!$J$10:$J$1297),0)</f>
        <v>-10.554601248087272</v>
      </c>
      <c r="F25" s="138">
        <f>IFERROR(SUMIF(SR!$A$10:$A$1297,'PML!wa'!D25,SR!$L$10:$L$1297)/SUMIF(SR!$A$10:$A$1297,'PML!wa'!D25,SR!$K$10:$K$1297),0)</f>
        <v>8.2875837141669546</v>
      </c>
      <c r="G25" s="138">
        <f>IFERROR(SUMIF(ADG!$A$10:$A$1297,'PML!wa'!D25,ADG!$L$10:$L$1297)/SUMIF(ADG!$A$10:$A$1297,'PML!wa'!D25,ADG!$K$10:$K$1297),0)</f>
        <v>9.5255294360004648</v>
      </c>
      <c r="H25" s="138">
        <f>IFERROR(SUMIF(FCR!$A$10:$A$1297,'PML!wa'!D25,FCR!$M$10:$M$1297)/SUMIF(FCR!$A$10:$A$1297,'PML!wa'!D25,FCR!$L$10:$L$1297),0)</f>
        <v>3.9731873079444937</v>
      </c>
      <c r="I25" s="138">
        <f>IFERROR(SUMIF(YIELDN!$A$10:$A$1297,'PML!wa'!D25,YIELDN!$P$10:$P$1297)/SUMIF(YIELDN!$A$10:$A$1297,'PML!wa'!D25,YIELDN!$O$10:$O$1297),0)</f>
        <v>0</v>
      </c>
      <c r="J25" s="138">
        <f>IFERROR(SUMIF(SIZE!$A$10:$A$1297,'PML!wa'!D25,SIZE!$K$10:$K$1297)/SUMIF(SIZE!$A$10:$A$1297,'PML!wa'!D25,SIZE!$J$10:$J$1297),0)</f>
        <v>6.9220485224454542</v>
      </c>
      <c r="K25" s="139">
        <f t="shared" si="0"/>
        <v>18.153747732470094</v>
      </c>
      <c r="M25" s="136" t="s">
        <v>1174</v>
      </c>
      <c r="N25" s="197">
        <f t="shared" si="2"/>
        <v>-10.554601248087272</v>
      </c>
      <c r="O25" s="197">
        <f t="shared" si="3"/>
        <v>8.2875837141669546</v>
      </c>
      <c r="P25" s="197">
        <f t="shared" si="3"/>
        <v>9.5255294360004648</v>
      </c>
      <c r="Q25" s="197">
        <f t="shared" si="4"/>
        <v>3.9731873079444937</v>
      </c>
      <c r="R25" s="197">
        <f t="shared" si="4"/>
        <v>0</v>
      </c>
      <c r="S25" s="197">
        <f t="shared" si="4"/>
        <v>6.9220485224454542</v>
      </c>
      <c r="T25" s="142">
        <f t="shared" si="1"/>
        <v>18.153747732470094</v>
      </c>
    </row>
    <row r="26" spans="3:20">
      <c r="C26" s="136" t="s">
        <v>1574</v>
      </c>
      <c r="D26" s="136" t="s">
        <v>1574</v>
      </c>
      <c r="E26" s="138">
        <f>IFERROR(SUMIF(ผลประหยัด!$A$10:$A$1297,'PML!wa'!D26,ผลประหยัด!$K$10:$K$1297)/SUMIF(ผลประหยัด!$A$10:$A$1297,'PML!wa'!D26,ผลประหยัด!$J$10:$J$1297),0)</f>
        <v>-11.748384273386389</v>
      </c>
      <c r="F26" s="138">
        <f>IFERROR(SUMIF(SR!$A$10:$A$1297,'PML!wa'!D26,SR!$L$10:$L$1297)/SUMIF(SR!$A$10:$A$1297,'PML!wa'!D26,SR!$K$10:$K$1297),0)</f>
        <v>4.7605863471744589</v>
      </c>
      <c r="G26" s="138">
        <f>IFERROR(SUMIF(ADG!$A$10:$A$1297,'PML!wa'!D26,ADG!$L$10:$L$1297)/SUMIF(ADG!$A$10:$A$1297,'PML!wa'!D26,ADG!$K$10:$K$1297),0)</f>
        <v>5.4099571765346859</v>
      </c>
      <c r="H26" s="138">
        <f>IFERROR(SUMIF(FCR!$A$10:$A$1297,'PML!wa'!D26,FCR!$M$10:$M$1297)/SUMIF(FCR!$A$10:$A$1297,'PML!wa'!D26,FCR!$L$10:$L$1297),0)</f>
        <v>5.6327441859948575</v>
      </c>
      <c r="I26" s="138">
        <f>IFERROR(SUMIF(YIELDN!$A$10:$A$1297,'PML!wa'!D26,YIELDN!$P$10:$P$1297)/SUMIF(YIELDN!$A$10:$A$1297,'PML!wa'!D26,YIELDN!$O$10:$O$1297),0)</f>
        <v>-2.2050709378861667E-3</v>
      </c>
      <c r="J26" s="138">
        <f>IFERROR(SUMIF(SIZE!$A$10:$A$1297,'PML!wa'!D26,SIZE!$K$10:$K$1297)/SUMIF(SIZE!$A$10:$A$1297,'PML!wa'!D26,SIZE!$J$10:$J$1297),0)</f>
        <v>7.3964225468759919</v>
      </c>
      <c r="K26" s="139">
        <f t="shared" si="0"/>
        <v>11.449120912255719</v>
      </c>
      <c r="M26" s="136" t="s">
        <v>1574</v>
      </c>
      <c r="N26" s="197">
        <f t="shared" si="2"/>
        <v>-11.748384273386389</v>
      </c>
      <c r="O26" s="197">
        <f t="shared" si="3"/>
        <v>4.7605863471744589</v>
      </c>
      <c r="P26" s="197">
        <f t="shared" si="3"/>
        <v>5.4099571765346859</v>
      </c>
      <c r="Q26" s="197">
        <f t="shared" si="4"/>
        <v>5.6327441859948575</v>
      </c>
      <c r="R26" s="197">
        <f t="shared" si="4"/>
        <v>0</v>
      </c>
      <c r="S26" s="197">
        <f t="shared" si="4"/>
        <v>7.3964225468759919</v>
      </c>
      <c r="T26" s="142">
        <f t="shared" si="1"/>
        <v>11.451325983193605</v>
      </c>
    </row>
    <row r="27" spans="3:20">
      <c r="C27" s="136" t="s">
        <v>1600</v>
      </c>
      <c r="D27" s="136" t="s">
        <v>1600</v>
      </c>
      <c r="E27" s="138">
        <f>IFERROR(SUMIF(ผลประหยัด!$A$10:$A$1297,'PML!wa'!D27,ผลประหยัด!$K$10:$K$1297)/SUMIF(ผลประหยัด!$A$10:$A$1297,'PML!wa'!D27,ผลประหยัด!$J$10:$J$1297),0)</f>
        <v>13.197850807405901</v>
      </c>
      <c r="F27" s="138">
        <f>IFERROR(SUMIF(SR!$A$10:$A$1297,'PML!wa'!D27,SR!$L$10:$L$1297)/SUMIF(SR!$A$10:$A$1297,'PML!wa'!D27,SR!$K$10:$K$1297),0)</f>
        <v>9.3927114391096858</v>
      </c>
      <c r="G27" s="138">
        <f>IFERROR(SUMIF(ADG!$A$10:$A$1297,'PML!wa'!D27,ADG!$L$10:$L$1297)/SUMIF(ADG!$A$10:$A$1297,'PML!wa'!D27,ADG!$K$10:$K$1297),0)</f>
        <v>7.5163377208019009</v>
      </c>
      <c r="H27" s="138">
        <f>IFERROR(SUMIF(FCR!$A$10:$A$1297,'PML!wa'!D27,FCR!$M$10:$M$1297)/SUMIF(FCR!$A$10:$A$1297,'PML!wa'!D27,FCR!$L$10:$L$1297),0)</f>
        <v>5.8379071011785522</v>
      </c>
      <c r="I27" s="138">
        <f>IFERROR(SUMIF(YIELDN!$A$10:$A$1297,'PML!wa'!D27,YIELDN!$P$10:$P$1297)/SUMIF(YIELDN!$A$10:$A$1297,'PML!wa'!D27,YIELDN!$O$10:$O$1297),0)</f>
        <v>5.0997882431168531</v>
      </c>
      <c r="J27" s="138">
        <f>IFERROR(SUMIF(SIZE!$A$10:$A$1297,'PML!wa'!D27,SIZE!$K$10:$K$1297)/SUMIF(SIZE!$A$10:$A$1297,'PML!wa'!D27,SIZE!$J$10:$J$1297),0)</f>
        <v>7.5985989976148716</v>
      </c>
      <c r="K27" s="139">
        <f t="shared" si="0"/>
        <v>48.643194309227766</v>
      </c>
      <c r="M27" s="136" t="s">
        <v>1600</v>
      </c>
      <c r="N27" s="197">
        <f t="shared" si="2"/>
        <v>13.197850807405901</v>
      </c>
      <c r="O27" s="197">
        <f t="shared" si="3"/>
        <v>9.3927114391096858</v>
      </c>
      <c r="P27" s="197">
        <f t="shared" si="3"/>
        <v>7.5163377208019009</v>
      </c>
      <c r="Q27" s="197">
        <f t="shared" si="4"/>
        <v>5.8379071011785522</v>
      </c>
      <c r="R27" s="197">
        <f t="shared" si="4"/>
        <v>5.0997882431168531</v>
      </c>
      <c r="S27" s="197">
        <f t="shared" si="4"/>
        <v>7.5985989976148716</v>
      </c>
      <c r="T27" s="142">
        <f t="shared" si="1"/>
        <v>48.643194309227766</v>
      </c>
    </row>
    <row r="28" spans="3:20">
      <c r="C28" s="136" t="s">
        <v>1660</v>
      </c>
      <c r="D28" s="136" t="s">
        <v>1660</v>
      </c>
      <c r="E28" s="138">
        <f>IFERROR(SUMIF(ผลประหยัด!$A$10:$A$1297,'PML!wa'!D28,ผลประหยัด!$K$10:$K$1297)/SUMIF(ผลประหยัด!$A$10:$A$1297,'PML!wa'!D28,ผลประหยัด!$J$10:$J$1297),0)</f>
        <v>15.268487884529183</v>
      </c>
      <c r="F28" s="138">
        <f>IFERROR(SUMIF(SR!$A$10:$A$1297,'PML!wa'!D28,SR!$L$10:$L$1297)/SUMIF(SR!$A$10:$A$1297,'PML!wa'!D28,SR!$K$10:$K$1297),0)</f>
        <v>13.134603657431233</v>
      </c>
      <c r="G28" s="138">
        <f>IFERROR(SUMIF(ADG!$A$10:$A$1297,'PML!wa'!D28,ADG!$L$10:$L$1297)/SUMIF(ADG!$A$10:$A$1297,'PML!wa'!D28,ADG!$K$10:$K$1297),0)</f>
        <v>8.1126218237245045</v>
      </c>
      <c r="H28" s="138">
        <f>IFERROR(SUMIF(FCR!$A$10:$A$1297,'PML!wa'!D28,FCR!$M$10:$M$1297)/SUMIF(FCR!$A$10:$A$1297,'PML!wa'!D28,FCR!$L$10:$L$1297),0)</f>
        <v>8.2681187111344503</v>
      </c>
      <c r="I28" s="138">
        <f>IFERROR(SUMIF(YIELDN!$A$10:$A$1297,'PML!wa'!D28,YIELDN!$P$10:$P$1297)/SUMIF(YIELDN!$A$10:$A$1297,'PML!wa'!D28,YIELDN!$O$10:$O$1297),0)</f>
        <v>11.447361555724495</v>
      </c>
      <c r="J28" s="138">
        <f>IFERROR(SUMIF(SIZE!$A$10:$A$1297,'PML!wa'!D28,SIZE!$K$10:$K$1297)/SUMIF(SIZE!$A$10:$A$1297,'PML!wa'!D28,SIZE!$J$10:$J$1297),0)</f>
        <v>8.4747859746609802</v>
      </c>
      <c r="K28" s="139">
        <f t="shared" si="0"/>
        <v>64.705979607204839</v>
      </c>
      <c r="M28" s="136" t="s">
        <v>1660</v>
      </c>
      <c r="N28" s="197">
        <f t="shared" si="2"/>
        <v>15.268487884529183</v>
      </c>
      <c r="O28" s="197">
        <f t="shared" si="3"/>
        <v>13.134603657431233</v>
      </c>
      <c r="P28" s="197">
        <f t="shared" si="3"/>
        <v>8.1126218237245045</v>
      </c>
      <c r="Q28" s="197">
        <f t="shared" si="4"/>
        <v>8.2681187111344503</v>
      </c>
      <c r="R28" s="197">
        <f t="shared" si="4"/>
        <v>10</v>
      </c>
      <c r="S28" s="197">
        <f t="shared" si="4"/>
        <v>8.4747859746609802</v>
      </c>
      <c r="T28" s="142">
        <f t="shared" si="1"/>
        <v>63.258618051480347</v>
      </c>
    </row>
    <row r="29" spans="3:20">
      <c r="C29" s="136" t="s">
        <v>1747</v>
      </c>
      <c r="D29" s="136" t="s">
        <v>1747</v>
      </c>
      <c r="E29" s="138">
        <f>IFERROR(SUMIF(ผลประหยัด!$A$10:$A$1297,'PML!wa'!D29,ผลประหยัด!$K$10:$K$1297)/SUMIF(ผลประหยัด!$A$10:$A$1297,'PML!wa'!D29,ผลประหยัด!$J$10:$J$1297),0)</f>
        <v>9.8666973926463388</v>
      </c>
      <c r="F29" s="138">
        <f>IFERROR(SUMIF(SR!$A$10:$A$1297,'PML!wa'!D29,SR!$L$10:$L$1297)/SUMIF(SR!$A$10:$A$1297,'PML!wa'!D29,SR!$K$10:$K$1297),0)</f>
        <v>12.008915114442319</v>
      </c>
      <c r="G29" s="138">
        <f>IFERROR(SUMIF(ADG!$A$10:$A$1297,'PML!wa'!D29,ADG!$L$10:$L$1297)/SUMIF(ADG!$A$10:$A$1297,'PML!wa'!D29,ADG!$K$10:$K$1297),0)</f>
        <v>8.8176235537118028</v>
      </c>
      <c r="H29" s="138">
        <f>IFERROR(SUMIF(FCR!$A$10:$A$1297,'PML!wa'!D29,FCR!$M$10:$M$1297)/SUMIF(FCR!$A$10:$A$1297,'PML!wa'!D29,FCR!$L$10:$L$1297),0)</f>
        <v>10.25357443647426</v>
      </c>
      <c r="I29" s="138">
        <f>IFERROR(SUMIF(YIELDN!$A$10:$A$1297,'PML!wa'!D29,YIELDN!$P$10:$P$1297)/SUMIF(YIELDN!$A$10:$A$1297,'PML!wa'!D29,YIELDN!$O$10:$O$1297),0)</f>
        <v>4.8435719287230397</v>
      </c>
      <c r="J29" s="138">
        <f>IFERROR(SUMIF(SIZE!$A$10:$A$1297,'PML!wa'!D29,SIZE!$K$10:$K$1297)/SUMIF(SIZE!$A$10:$A$1297,'PML!wa'!D29,SIZE!$J$10:$J$1297),0)</f>
        <v>8.6603004970257853</v>
      </c>
      <c r="K29" s="139">
        <f t="shared" si="0"/>
        <v>54.450682923023543</v>
      </c>
      <c r="M29" s="136" t="s">
        <v>1747</v>
      </c>
      <c r="N29" s="197">
        <f t="shared" si="2"/>
        <v>9.8666973926463388</v>
      </c>
      <c r="O29" s="197">
        <f t="shared" si="3"/>
        <v>12.008915114442319</v>
      </c>
      <c r="P29" s="197">
        <f t="shared" si="3"/>
        <v>8.8176235537118028</v>
      </c>
      <c r="Q29" s="197">
        <f t="shared" si="4"/>
        <v>10</v>
      </c>
      <c r="R29" s="197">
        <f t="shared" si="4"/>
        <v>4.8435719287230397</v>
      </c>
      <c r="S29" s="197">
        <f t="shared" si="4"/>
        <v>8.6603004970257853</v>
      </c>
      <c r="T29" s="142">
        <f t="shared" si="1"/>
        <v>54.197108486549283</v>
      </c>
    </row>
    <row r="30" spans="3:20">
      <c r="C30" s="136" t="s">
        <v>1771</v>
      </c>
      <c r="D30" s="136" t="s">
        <v>1771</v>
      </c>
      <c r="E30" s="138">
        <f>IFERROR(SUMIF(ผลประหยัด!$A$10:$A$1297,'PML!wa'!D30,ผลประหยัด!$K$10:$K$1297)/SUMIF(ผลประหยัด!$A$10:$A$1297,'PML!wa'!D30,ผลประหยัด!$J$10:$J$1297),0)</f>
        <v>3.119240804808133</v>
      </c>
      <c r="F30" s="138">
        <f>IFERROR(SUMIF(SR!$A$10:$A$1297,'PML!wa'!D30,SR!$L$10:$L$1297)/SUMIF(SR!$A$10:$A$1297,'PML!wa'!D30,SR!$K$10:$K$1297),0)</f>
        <v>7.7043714617773595</v>
      </c>
      <c r="G30" s="138">
        <f>IFERROR(SUMIF(ADG!$A$10:$A$1297,'PML!wa'!D30,ADG!$L$10:$L$1297)/SUMIF(ADG!$A$10:$A$1297,'PML!wa'!D30,ADG!$K$10:$K$1297),0)</f>
        <v>6.9767277816836017</v>
      </c>
      <c r="H30" s="138">
        <f>IFERROR(SUMIF(FCR!$A$10:$A$1297,'PML!wa'!D30,FCR!$M$10:$M$1297)/SUMIF(FCR!$A$10:$A$1297,'PML!wa'!D30,FCR!$L$10:$L$1297),0)</f>
        <v>4.8577474094777289</v>
      </c>
      <c r="I30" s="138">
        <f>IFERROR(SUMIF(YIELDN!$A$10:$A$1297,'PML!wa'!D30,YIELDN!$P$10:$P$1297)/SUMIF(YIELDN!$A$10:$A$1297,'PML!wa'!D30,YIELDN!$O$10:$O$1297),0)</f>
        <v>3.9660497443375027</v>
      </c>
      <c r="J30" s="138">
        <f>IFERROR(SUMIF(SIZE!$A$10:$A$1297,'PML!wa'!D30,SIZE!$K$10:$K$1297)/SUMIF(SIZE!$A$10:$A$1297,'PML!wa'!D30,SIZE!$J$10:$J$1297),0)</f>
        <v>9.1452259404772107</v>
      </c>
      <c r="K30" s="139">
        <f t="shared" si="0"/>
        <v>35.769363142561531</v>
      </c>
      <c r="M30" s="136" t="s">
        <v>1771</v>
      </c>
      <c r="N30" s="197">
        <f t="shared" si="2"/>
        <v>3.119240804808133</v>
      </c>
      <c r="O30" s="197">
        <f t="shared" si="3"/>
        <v>7.7043714617773595</v>
      </c>
      <c r="P30" s="197">
        <f t="shared" si="3"/>
        <v>6.9767277816836017</v>
      </c>
      <c r="Q30" s="197">
        <f t="shared" si="4"/>
        <v>4.8577474094777289</v>
      </c>
      <c r="R30" s="197">
        <f t="shared" si="4"/>
        <v>3.9660497443375027</v>
      </c>
      <c r="S30" s="197">
        <f t="shared" si="4"/>
        <v>9.1452259404772107</v>
      </c>
      <c r="T30" s="142">
        <f t="shared" si="1"/>
        <v>35.769363142561531</v>
      </c>
    </row>
  </sheetData>
  <autoFilter ref="M2:T30" xr:uid="{F5E5A753-2BB0-4C4D-830A-377422470796}"/>
  <conditionalFormatting sqref="T1:T1048576">
    <cfRule type="dataBar" priority="1">
      <dataBar>
        <cfvo type="min"/>
        <cfvo type="max"/>
        <color rgb="FF63C384"/>
      </dataBar>
      <extLst>
        <ext xmlns:x14="http://schemas.microsoft.com/office/spreadsheetml/2009/9/main" uri="{B025F937-C7B1-47D3-B67F-A62EFF666E3E}">
          <x14:id>{3AA42B60-1076-554E-A75B-FFC9E08B6B7A}</x14:id>
        </ext>
      </extLst>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dataBar" id="{3AA42B60-1076-554E-A75B-FFC9E08B6B7A}">
            <x14:dataBar minLength="0" maxLength="100" border="1" negativeBarBorderColorSameAsPositive="0">
              <x14:cfvo type="autoMin"/>
              <x14:cfvo type="autoMax"/>
              <x14:borderColor rgb="FF63C384"/>
              <x14:negativeFillColor rgb="FFFF0000"/>
              <x14:negativeBorderColor rgb="FFFF0000"/>
              <x14:axisColor rgb="FF000000"/>
            </x14:dataBar>
          </x14:cfRule>
          <xm:sqref>T1:T1048576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8404E-8DAC-594D-BF82-7D02A466D8D3}">
  <dimension ref="A1:Y30"/>
  <sheetViews>
    <sheetView zoomScale="99" workbookViewId="0">
      <selection activeCell="C3" sqref="C3:C30"/>
    </sheetView>
  </sheetViews>
  <sheetFormatPr baseColWidth="10" defaultRowHeight="20"/>
  <cols>
    <col min="1" max="1" width="23.6640625" style="129" customWidth="1"/>
    <col min="2" max="2" width="10.1640625" style="129" customWidth="1"/>
    <col min="3" max="3" width="14.6640625" style="129" customWidth="1"/>
    <col min="4" max="4" width="17.5" style="129" customWidth="1"/>
    <col min="5" max="10" width="10.83203125" style="132" customWidth="1"/>
    <col min="11" max="11" width="10.83203125" style="133" customWidth="1"/>
    <col min="12" max="12" width="10.83203125" style="129"/>
    <col min="13" max="13" width="15.33203125" style="129" customWidth="1"/>
    <col min="14" max="19" width="10.83203125" style="198"/>
    <col min="20" max="16384" width="10.83203125" style="129"/>
  </cols>
  <sheetData>
    <row r="1" spans="1:25">
      <c r="A1" s="128">
        <v>10</v>
      </c>
      <c r="C1" s="134" t="s">
        <v>1832</v>
      </c>
      <c r="D1" s="134"/>
      <c r="E1" s="135">
        <v>60</v>
      </c>
      <c r="F1" s="135">
        <v>10</v>
      </c>
      <c r="G1" s="135">
        <v>10</v>
      </c>
      <c r="H1" s="135">
        <v>10</v>
      </c>
      <c r="I1" s="135">
        <v>5</v>
      </c>
      <c r="J1" s="135">
        <v>5</v>
      </c>
      <c r="K1" s="134">
        <v>100</v>
      </c>
      <c r="L1" s="131"/>
      <c r="M1" s="134" t="s">
        <v>1832</v>
      </c>
      <c r="N1" s="196">
        <v>40</v>
      </c>
      <c r="O1" s="196">
        <v>15</v>
      </c>
      <c r="P1" s="196">
        <v>15</v>
      </c>
      <c r="Q1" s="196">
        <v>10</v>
      </c>
      <c r="R1" s="196">
        <v>10</v>
      </c>
      <c r="S1" s="196">
        <v>10</v>
      </c>
      <c r="T1" s="141">
        <v>100</v>
      </c>
      <c r="Y1" s="129" t="s">
        <v>1920</v>
      </c>
    </row>
    <row r="2" spans="1:25">
      <c r="A2" s="130" t="s">
        <v>1924</v>
      </c>
      <c r="C2" s="134" t="s">
        <v>1</v>
      </c>
      <c r="D2" s="134"/>
      <c r="E2" s="135" t="s">
        <v>1836</v>
      </c>
      <c r="F2" s="135" t="s">
        <v>1916</v>
      </c>
      <c r="G2" s="135" t="s">
        <v>1851</v>
      </c>
      <c r="H2" s="135" t="s">
        <v>29</v>
      </c>
      <c r="I2" s="135" t="s">
        <v>1917</v>
      </c>
      <c r="J2" s="135" t="s">
        <v>1907</v>
      </c>
      <c r="K2" s="134" t="s">
        <v>1843</v>
      </c>
      <c r="L2" s="131"/>
      <c r="M2" s="134" t="s">
        <v>1</v>
      </c>
      <c r="N2" s="196" t="s">
        <v>1836</v>
      </c>
      <c r="O2" s="196" t="s">
        <v>1916</v>
      </c>
      <c r="P2" s="196" t="s">
        <v>1851</v>
      </c>
      <c r="Q2" s="196" t="s">
        <v>29</v>
      </c>
      <c r="R2" s="196" t="s">
        <v>1917</v>
      </c>
      <c r="S2" s="196" t="s">
        <v>1907</v>
      </c>
      <c r="T2" s="141" t="s">
        <v>1843</v>
      </c>
    </row>
    <row r="3" spans="1:25">
      <c r="C3" s="136" t="s">
        <v>138</v>
      </c>
      <c r="D3" s="137" t="s">
        <v>138</v>
      </c>
      <c r="E3" s="138">
        <f>IFERROR(SUMIF(ผลประหยัด!$A$10:$A$1297,'PML! ACC'!D3,ผลประหยัด!$K$10:$K$1297)/SUMIF(ผลประหยัด!$A$10:$A$1297,'PML! ACC'!D3,ผลประหยัด!$J$10:$J$1297),0)</f>
        <v>-3.3277729915841339</v>
      </c>
      <c r="F3" s="138">
        <f>IFERROR(AVERAGEIF(SR!$A$10:$A$1297,'PML! ACC'!D3,SR!$J$10:$J$1297),0)</f>
        <v>14.825825632159708</v>
      </c>
      <c r="G3" s="138">
        <f>IFERROR(AVERAGEIF(ADG!$A$10:$A$1297,'PML! ACC'!D3,ADG!$J$10:$J$1297),0)</f>
        <v>4.7975895993041577</v>
      </c>
      <c r="H3" s="138">
        <f>IFERROR(AVERAGEIF(FCR!$A$10:$A$1297,'PML! ACC'!D3,FCR!$J$10:$J$1297),0)</f>
        <v>6.7741816054399848</v>
      </c>
      <c r="I3" s="138">
        <f>IFERROR(AVERAGEIF(YIELDN!$A$10:$A$1297,'PML! ACC'!D3,YIELDN!$M$10:$M$1297),0)</f>
        <v>1.8525528226938208</v>
      </c>
      <c r="J3" s="138">
        <f>IFERROR(AVERAGEIF(SIZE!$A$10:$A$1297,'PML! ACC'!D3,SIZE!$H$10:$H$1297),0)</f>
        <v>1.1172168717410655</v>
      </c>
      <c r="K3" s="139">
        <f t="shared" ref="K3:K30" si="0">SUM(E3:J3)</f>
        <v>26.039593539754602</v>
      </c>
      <c r="M3" s="136" t="s">
        <v>138</v>
      </c>
      <c r="N3" s="197">
        <f>IF(E3&gt;=40,40,IF(E3&lt;=-40,-40,E3))</f>
        <v>-3.3277729915841339</v>
      </c>
      <c r="O3" s="197">
        <f>IF(F3&gt;=15,15,IF(F3&lt;=0,0,F3))</f>
        <v>14.825825632159708</v>
      </c>
      <c r="P3" s="197">
        <f>IF(G3&gt;=15,15,IF(G3&lt;=0,0,G3))</f>
        <v>4.7975895993041577</v>
      </c>
      <c r="Q3" s="197">
        <f>IF(H3&gt;=10,10,IF(H3&lt;=0,0,H3))</f>
        <v>6.7741816054399848</v>
      </c>
      <c r="R3" s="197">
        <f>IF(I3&gt;=10,10,IF(I3&lt;=0,0,I3))</f>
        <v>1.8525528226938208</v>
      </c>
      <c r="S3" s="197">
        <f>IF(J3&gt;=10,10,IF(J3&lt;=0,0,J3))</f>
        <v>1.1172168717410655</v>
      </c>
      <c r="T3" s="142">
        <f t="shared" ref="T3:T30" si="1">SUM(N3:S3)</f>
        <v>26.039593539754602</v>
      </c>
    </row>
    <row r="4" spans="1:25">
      <c r="C4" s="136" t="s">
        <v>209</v>
      </c>
      <c r="D4" s="137" t="s">
        <v>209</v>
      </c>
      <c r="E4" s="138">
        <f>IFERROR(SUMIF(ผลประหยัด!$A$10:$A$1297,'PML! ACC'!D4,ผลประหยัด!$K$10:$K$1297)/SUMIF(ผลประหยัด!$A$10:$A$1297,'PML! ACC'!D4,ผลประหยัด!$J$10:$J$1297),0)</f>
        <v>-6.6841491085922833</v>
      </c>
      <c r="F4" s="138">
        <f>IFERROR(AVERAGEIF(SR!$A$10:$A$1297,'PML! ACC'!D4,SR!$J$10:$J$1297),0)</f>
        <v>12.575667390644577</v>
      </c>
      <c r="G4" s="138">
        <f>IFERROR(AVERAGEIF(ADG!$A$10:$A$1297,'PML! ACC'!D4,ADG!$J$10:$J$1297),0)</f>
        <v>4.6120092560388724</v>
      </c>
      <c r="H4" s="138">
        <f>IFERROR(AVERAGEIF(FCR!$A$10:$A$1297,'PML! ACC'!D4,FCR!$J$10:$J$1297),0)</f>
        <v>5.6142983977274508</v>
      </c>
      <c r="I4" s="138">
        <f>IFERROR(AVERAGEIF(YIELDN!$A$10:$A$1297,'PML! ACC'!D4,YIELDN!$M$10:$M$1297),0)</f>
        <v>0.47755891522004956</v>
      </c>
      <c r="J4" s="138">
        <f>IFERROR(AVERAGEIF(SIZE!$A$10:$A$1297,'PML! ACC'!D4,SIZE!$H$10:$H$1297),0)</f>
        <v>0.29015510201808781</v>
      </c>
      <c r="K4" s="139">
        <f t="shared" si="0"/>
        <v>16.885539953056753</v>
      </c>
      <c r="M4" s="136" t="s">
        <v>209</v>
      </c>
      <c r="N4" s="197">
        <f t="shared" ref="N4:N30" si="2">IF(E4&gt;=40,40,IF(E4&lt;=-40,-40,E4))</f>
        <v>-6.6841491085922833</v>
      </c>
      <c r="O4" s="197">
        <f t="shared" ref="O4:P30" si="3">IF(F4&gt;=15,15,IF(F4&lt;=0,0,F4))</f>
        <v>12.575667390644577</v>
      </c>
      <c r="P4" s="197">
        <f t="shared" si="3"/>
        <v>4.6120092560388724</v>
      </c>
      <c r="Q4" s="197">
        <f t="shared" ref="Q4:S30" si="4">IF(H4&gt;=10,10,IF(H4&lt;=0,0,H4))</f>
        <v>5.6142983977274508</v>
      </c>
      <c r="R4" s="197">
        <f t="shared" si="4"/>
        <v>0.47755891522004956</v>
      </c>
      <c r="S4" s="197">
        <f t="shared" si="4"/>
        <v>0.29015510201808781</v>
      </c>
      <c r="T4" s="142">
        <f t="shared" si="1"/>
        <v>16.885539953056753</v>
      </c>
    </row>
    <row r="5" spans="1:25">
      <c r="C5" s="136" t="s">
        <v>248</v>
      </c>
      <c r="D5" s="137" t="s">
        <v>248</v>
      </c>
      <c r="E5" s="138">
        <f>IFERROR(SUMIF(ผลประหยัด!$A$10:$A$1297,'PML! ACC'!D5,ผลประหยัด!$K$10:$K$1297)/SUMIF(ผลประหยัด!$A$10:$A$1297,'PML! ACC'!D5,ผลประหยัด!$J$10:$J$1297),0)</f>
        <v>-18.421650904140066</v>
      </c>
      <c r="F5" s="138">
        <f>IFERROR(AVERAGEIF(SR!$A$10:$A$1297,'PML! ACC'!D5,SR!$J$10:$J$1297),0)</f>
        <v>5.7076106840389729</v>
      </c>
      <c r="G5" s="138">
        <f>IFERROR(AVERAGEIF(ADG!$A$10:$A$1297,'PML! ACC'!D5,ADG!$J$10:$J$1297),0)</f>
        <v>4.729767994209312</v>
      </c>
      <c r="H5" s="138">
        <f>IFERROR(AVERAGEIF(FCR!$A$10:$A$1297,'PML! ACC'!D5,FCR!$J$10:$J$1297),0)</f>
        <v>5.4534406394805135</v>
      </c>
      <c r="I5" s="138">
        <f>IFERROR(AVERAGEIF(YIELDN!$A$10:$A$1297,'PML! ACC'!D5,YIELDN!$M$10:$M$1297),0)</f>
        <v>0.99145080280969755</v>
      </c>
      <c r="J5" s="138">
        <f>IFERROR(AVERAGEIF(SIZE!$A$10:$A$1297,'PML! ACC'!D5,SIZE!$H$10:$H$1297),0)</f>
        <v>0.97526023157155328</v>
      </c>
      <c r="K5" s="139">
        <f t="shared" si="0"/>
        <v>-0.56412055203001721</v>
      </c>
      <c r="M5" s="136" t="s">
        <v>248</v>
      </c>
      <c r="N5" s="197">
        <f t="shared" si="2"/>
        <v>-18.421650904140066</v>
      </c>
      <c r="O5" s="197">
        <f t="shared" si="3"/>
        <v>5.7076106840389729</v>
      </c>
      <c r="P5" s="197">
        <f t="shared" si="3"/>
        <v>4.729767994209312</v>
      </c>
      <c r="Q5" s="197">
        <f t="shared" si="4"/>
        <v>5.4534406394805135</v>
      </c>
      <c r="R5" s="197">
        <f t="shared" si="4"/>
        <v>0.99145080280969755</v>
      </c>
      <c r="S5" s="197">
        <f t="shared" si="4"/>
        <v>0.97526023157155328</v>
      </c>
      <c r="T5" s="142">
        <f t="shared" si="1"/>
        <v>-0.56412055203001721</v>
      </c>
    </row>
    <row r="6" spans="1:25">
      <c r="C6" s="136" t="s">
        <v>283</v>
      </c>
      <c r="D6" s="137" t="s">
        <v>283</v>
      </c>
      <c r="E6" s="138">
        <f>IFERROR(SUMIF(ผลประหยัด!$A$10:$A$1297,'PML! ACC'!D6,ผลประหยัด!$K$10:$K$1297)/SUMIF(ผลประหยัด!$A$10:$A$1297,'PML! ACC'!D6,ผลประหยัด!$J$10:$J$1297),0)</f>
        <v>-5.0111586721762755</v>
      </c>
      <c r="F6" s="138">
        <f>IFERROR(AVERAGEIF(SR!$A$10:$A$1297,'PML! ACC'!D6,SR!$J$10:$J$1297),0)</f>
        <v>10.056506189198206</v>
      </c>
      <c r="G6" s="138">
        <f>IFERROR(AVERAGEIF(ADG!$A$10:$A$1297,'PML! ACC'!D6,ADG!$J$10:$J$1297),0)</f>
        <v>5.8483426289800198</v>
      </c>
      <c r="H6" s="138">
        <f>IFERROR(AVERAGEIF(FCR!$A$10:$A$1297,'PML! ACC'!D6,FCR!$J$10:$J$1297),0)</f>
        <v>5.8267837714482411</v>
      </c>
      <c r="I6" s="138">
        <f>IFERROR(AVERAGEIF(YIELDN!$A$10:$A$1297,'PML! ACC'!D6,YIELDN!$M$10:$M$1297),0)</f>
        <v>0</v>
      </c>
      <c r="J6" s="138">
        <f>IFERROR(AVERAGEIF(SIZE!$A$10:$A$1297,'PML! ACC'!D6,SIZE!$H$10:$H$1297),0)</f>
        <v>2.3560759384289516</v>
      </c>
      <c r="K6" s="139">
        <f t="shared" si="0"/>
        <v>19.076549855879144</v>
      </c>
      <c r="M6" s="136" t="s">
        <v>283</v>
      </c>
      <c r="N6" s="197">
        <f t="shared" si="2"/>
        <v>-5.0111586721762755</v>
      </c>
      <c r="O6" s="197">
        <f t="shared" si="3"/>
        <v>10.056506189198206</v>
      </c>
      <c r="P6" s="197">
        <f t="shared" si="3"/>
        <v>5.8483426289800198</v>
      </c>
      <c r="Q6" s="197">
        <f t="shared" si="4"/>
        <v>5.8267837714482411</v>
      </c>
      <c r="R6" s="197">
        <f t="shared" si="4"/>
        <v>0</v>
      </c>
      <c r="S6" s="197">
        <f t="shared" si="4"/>
        <v>2.3560759384289516</v>
      </c>
      <c r="T6" s="142">
        <f t="shared" si="1"/>
        <v>19.076549855879144</v>
      </c>
    </row>
    <row r="7" spans="1:25">
      <c r="C7" s="136" t="s">
        <v>317</v>
      </c>
      <c r="D7" s="137" t="s">
        <v>317</v>
      </c>
      <c r="E7" s="138">
        <f>IFERROR(SUMIF(ผลประหยัด!$A$10:$A$1297,'PML! ACC'!D7,ผลประหยัด!$K$10:$K$1297)/SUMIF(ผลประหยัด!$A$10:$A$1297,'PML! ACC'!D7,ผลประหยัด!$J$10:$J$1297),0)</f>
        <v>-18.584254200502823</v>
      </c>
      <c r="F7" s="138">
        <f>IFERROR(AVERAGEIF(SR!$A$10:$A$1297,'PML! ACC'!D7,SR!$J$10:$J$1297),0)</f>
        <v>10.600028612423129</v>
      </c>
      <c r="G7" s="138">
        <f>IFERROR(AVERAGEIF(ADG!$A$10:$A$1297,'PML! ACC'!D7,ADG!$J$10:$J$1297),0)</f>
        <v>6.39839493462891</v>
      </c>
      <c r="H7" s="138">
        <f>IFERROR(AVERAGEIF(FCR!$A$10:$A$1297,'PML! ACC'!D7,FCR!$J$10:$J$1297),0)</f>
        <v>6.3590879741806345</v>
      </c>
      <c r="I7" s="138">
        <f>IFERROR(AVERAGEIF(YIELDN!$A$10:$A$1297,'PML! ACC'!D7,YIELDN!$M$10:$M$1297),0)</f>
        <v>2.185811029220059</v>
      </c>
      <c r="J7" s="138">
        <f>IFERROR(AVERAGEIF(SIZE!$A$10:$A$1297,'PML! ACC'!D7,SIZE!$H$10:$H$1297),0)</f>
        <v>3.7195799743326114</v>
      </c>
      <c r="K7" s="139">
        <f t="shared" si="0"/>
        <v>10.67864832428252</v>
      </c>
      <c r="M7" s="136" t="s">
        <v>317</v>
      </c>
      <c r="N7" s="197">
        <f t="shared" si="2"/>
        <v>-18.584254200502823</v>
      </c>
      <c r="O7" s="197">
        <f t="shared" si="3"/>
        <v>10.600028612423129</v>
      </c>
      <c r="P7" s="197">
        <f t="shared" si="3"/>
        <v>6.39839493462891</v>
      </c>
      <c r="Q7" s="197">
        <f t="shared" si="4"/>
        <v>6.3590879741806345</v>
      </c>
      <c r="R7" s="197">
        <f t="shared" si="4"/>
        <v>2.185811029220059</v>
      </c>
      <c r="S7" s="197">
        <f t="shared" si="4"/>
        <v>3.7195799743326114</v>
      </c>
      <c r="T7" s="142">
        <f t="shared" si="1"/>
        <v>10.67864832428252</v>
      </c>
    </row>
    <row r="8" spans="1:25">
      <c r="C8" s="136" t="s">
        <v>374</v>
      </c>
      <c r="D8" s="137" t="s">
        <v>374</v>
      </c>
      <c r="E8" s="138">
        <f>IFERROR(SUMIF(ผลประหยัด!$A$10:$A$1297,'PML! ACC'!D8,ผลประหยัด!$K$10:$K$1297)/SUMIF(ผลประหยัด!$A$10:$A$1297,'PML! ACC'!D8,ผลประหยัด!$J$10:$J$1297),0)</f>
        <v>-9.2192865505563777</v>
      </c>
      <c r="F8" s="138">
        <f>IFERROR(AVERAGEIF(SR!$A$10:$A$1297,'PML! ACC'!D8,SR!$J$10:$J$1297),0)</f>
        <v>10.26392779628347</v>
      </c>
      <c r="G8" s="138">
        <f>IFERROR(AVERAGEIF(ADG!$A$10:$A$1297,'PML! ACC'!D8,ADG!$J$10:$J$1297),0)</f>
        <v>5.2267601447557848</v>
      </c>
      <c r="H8" s="138">
        <f>IFERROR(AVERAGEIF(FCR!$A$10:$A$1297,'PML! ACC'!D8,FCR!$J$10:$J$1297),0)</f>
        <v>6.260290978178837</v>
      </c>
      <c r="I8" s="138">
        <f>IFERROR(AVERAGEIF(YIELDN!$A$10:$A$1297,'PML! ACC'!D8,YIELDN!$M$10:$M$1297),0)</f>
        <v>2.7499882713204258</v>
      </c>
      <c r="J8" s="138">
        <f>IFERROR(AVERAGEIF(SIZE!$A$10:$A$1297,'PML! ACC'!D8,SIZE!$H$10:$H$1297),0)</f>
        <v>5.4131408898126372</v>
      </c>
      <c r="K8" s="139">
        <f t="shared" si="0"/>
        <v>20.694821529794776</v>
      </c>
      <c r="M8" s="136" t="s">
        <v>374</v>
      </c>
      <c r="N8" s="197">
        <f t="shared" si="2"/>
        <v>-9.2192865505563777</v>
      </c>
      <c r="O8" s="197">
        <f t="shared" si="3"/>
        <v>10.26392779628347</v>
      </c>
      <c r="P8" s="197">
        <f t="shared" si="3"/>
        <v>5.2267601447557848</v>
      </c>
      <c r="Q8" s="197">
        <f t="shared" si="4"/>
        <v>6.260290978178837</v>
      </c>
      <c r="R8" s="197">
        <f t="shared" si="4"/>
        <v>2.7499882713204258</v>
      </c>
      <c r="S8" s="197">
        <f t="shared" si="4"/>
        <v>5.4131408898126372</v>
      </c>
      <c r="T8" s="142">
        <f t="shared" si="1"/>
        <v>20.694821529794776</v>
      </c>
    </row>
    <row r="9" spans="1:25">
      <c r="C9" s="136" t="s">
        <v>408</v>
      </c>
      <c r="D9" s="137" t="s">
        <v>408</v>
      </c>
      <c r="E9" s="138">
        <f>IFERROR(SUMIF(ผลประหยัด!$A$10:$A$1297,'PML! ACC'!D9,ผลประหยัด!$K$10:$K$1297)/SUMIF(ผลประหยัด!$A$10:$A$1297,'PML! ACC'!D9,ผลประหยัด!$J$10:$J$1297),0)</f>
        <v>1.5280387854658151E-2</v>
      </c>
      <c r="F9" s="138">
        <f>IFERROR(AVERAGEIF(SR!$A$10:$A$1297,'PML! ACC'!D9,SR!$J$10:$J$1297),0)</f>
        <v>11.59064597931712</v>
      </c>
      <c r="G9" s="138">
        <f>IFERROR(AVERAGEIF(ADG!$A$10:$A$1297,'PML! ACC'!D9,ADG!$J$10:$J$1297),0)</f>
        <v>8.0689998701677172</v>
      </c>
      <c r="H9" s="138">
        <f>IFERROR(AVERAGEIF(FCR!$A$10:$A$1297,'PML! ACC'!D9,FCR!$J$10:$J$1297),0)</f>
        <v>7.4320159924092142</v>
      </c>
      <c r="I9" s="138">
        <f>IFERROR(AVERAGEIF(YIELDN!$A$10:$A$1297,'PML! ACC'!D9,YIELDN!$M$10:$M$1297),0)</f>
        <v>3.4723792300654721</v>
      </c>
      <c r="J9" s="138">
        <f>IFERROR(AVERAGEIF(SIZE!$A$10:$A$1297,'PML! ACC'!D9,SIZE!$H$10:$H$1297),0)</f>
        <v>5.492893973329112</v>
      </c>
      <c r="K9" s="139">
        <f t="shared" si="0"/>
        <v>36.072215433143292</v>
      </c>
      <c r="M9" s="136" t="s">
        <v>408</v>
      </c>
      <c r="N9" s="197">
        <f t="shared" si="2"/>
        <v>1.5280387854658151E-2</v>
      </c>
      <c r="O9" s="197">
        <f t="shared" si="3"/>
        <v>11.59064597931712</v>
      </c>
      <c r="P9" s="197">
        <f t="shared" si="3"/>
        <v>8.0689998701677172</v>
      </c>
      <c r="Q9" s="197">
        <f t="shared" si="4"/>
        <v>7.4320159924092142</v>
      </c>
      <c r="R9" s="197">
        <f t="shared" si="4"/>
        <v>3.4723792300654721</v>
      </c>
      <c r="S9" s="197">
        <f t="shared" si="4"/>
        <v>5.492893973329112</v>
      </c>
      <c r="T9" s="142">
        <f t="shared" si="1"/>
        <v>36.072215433143292</v>
      </c>
    </row>
    <row r="10" spans="1:25">
      <c r="C10" s="136" t="s">
        <v>507</v>
      </c>
      <c r="D10" s="137" t="s">
        <v>507</v>
      </c>
      <c r="E10" s="138">
        <f>IFERROR(SUMIF(ผลประหยัด!$A$10:$A$1297,'PML! ACC'!D10,ผลประหยัด!$K$10:$K$1297)/SUMIF(ผลประหยัด!$A$10:$A$1297,'PML! ACC'!D10,ผลประหยัด!$J$10:$J$1297),0)</f>
        <v>-5.7201718176072216</v>
      </c>
      <c r="F10" s="138">
        <f>IFERROR(AVERAGEIF(SR!$A$10:$A$1297,'PML! ACC'!D10,SR!$J$10:$J$1297),0)</f>
        <v>8.0361829818355677</v>
      </c>
      <c r="G10" s="138">
        <f>IFERROR(AVERAGEIF(ADG!$A$10:$A$1297,'PML! ACC'!D10,ADG!$J$10:$J$1297),0)</f>
        <v>8.052054280215021</v>
      </c>
      <c r="H10" s="138">
        <f>IFERROR(AVERAGEIF(FCR!$A$10:$A$1297,'PML! ACC'!D10,FCR!$J$10:$J$1297),0)</f>
        <v>6.4611031531121554</v>
      </c>
      <c r="I10" s="138">
        <f>IFERROR(AVERAGEIF(YIELDN!$A$10:$A$1297,'PML! ACC'!D10,YIELDN!$M$10:$M$1297),0)</f>
        <v>0</v>
      </c>
      <c r="J10" s="138">
        <f>IFERROR(AVERAGEIF(SIZE!$A$10:$A$1297,'PML! ACC'!D10,SIZE!$H$10:$H$1297),0)</f>
        <v>6.079702604241211</v>
      </c>
      <c r="K10" s="139">
        <f t="shared" si="0"/>
        <v>22.908871201796735</v>
      </c>
      <c r="M10" s="136" t="s">
        <v>507</v>
      </c>
      <c r="N10" s="197">
        <f t="shared" si="2"/>
        <v>-5.7201718176072216</v>
      </c>
      <c r="O10" s="197">
        <f t="shared" si="3"/>
        <v>8.0361829818355677</v>
      </c>
      <c r="P10" s="197">
        <f t="shared" si="3"/>
        <v>8.052054280215021</v>
      </c>
      <c r="Q10" s="197">
        <f t="shared" si="4"/>
        <v>6.4611031531121554</v>
      </c>
      <c r="R10" s="197">
        <f t="shared" si="4"/>
        <v>0</v>
      </c>
      <c r="S10" s="197">
        <f t="shared" si="4"/>
        <v>6.079702604241211</v>
      </c>
      <c r="T10" s="142">
        <f t="shared" si="1"/>
        <v>22.908871201796735</v>
      </c>
    </row>
    <row r="11" spans="1:25">
      <c r="C11" s="136" t="s">
        <v>474</v>
      </c>
      <c r="D11" s="137" t="s">
        <v>474</v>
      </c>
      <c r="E11" s="138">
        <f>IFERROR(SUMIF(ผลประหยัด!$A$10:$A$1297,'PML! ACC'!D11,ผลประหยัด!$K$10:$K$1297)/SUMIF(ผลประหยัด!$A$10:$A$1297,'PML! ACC'!D11,ผลประหยัด!$J$10:$J$1297),0)</f>
        <v>6.0094025948379501</v>
      </c>
      <c r="F11" s="138">
        <f>IFERROR(AVERAGEIF(SR!$A$10:$A$1297,'PML! ACC'!D11,SR!$J$10:$J$1297),0)</f>
        <v>16.493280693843744</v>
      </c>
      <c r="G11" s="138">
        <f>IFERROR(AVERAGEIF(ADG!$A$10:$A$1297,'PML! ACC'!D11,ADG!$J$10:$J$1297),0)</f>
        <v>7.704517946466396</v>
      </c>
      <c r="H11" s="138">
        <f>IFERROR(AVERAGEIF(FCR!$A$10:$A$1297,'PML! ACC'!D11,FCR!$J$10:$J$1297),0)</f>
        <v>10.052973816401304</v>
      </c>
      <c r="I11" s="138">
        <f>IFERROR(AVERAGEIF(YIELDN!$A$10:$A$1297,'PML! ACC'!D11,YIELDN!$M$10:$M$1297),0)</f>
        <v>7.4427182369486609</v>
      </c>
      <c r="J11" s="138">
        <f>IFERROR(AVERAGEIF(SIZE!$A$10:$A$1297,'PML! ACC'!D11,SIZE!$H$10:$H$1297),0)</f>
        <v>5.5451114746013195</v>
      </c>
      <c r="K11" s="139">
        <f t="shared" si="0"/>
        <v>53.248004763099381</v>
      </c>
      <c r="M11" s="136" t="s">
        <v>474</v>
      </c>
      <c r="N11" s="197">
        <f t="shared" si="2"/>
        <v>6.0094025948379501</v>
      </c>
      <c r="O11" s="197">
        <f t="shared" si="3"/>
        <v>15</v>
      </c>
      <c r="P11" s="197">
        <f t="shared" si="3"/>
        <v>7.704517946466396</v>
      </c>
      <c r="Q11" s="197">
        <f t="shared" si="4"/>
        <v>10</v>
      </c>
      <c r="R11" s="197">
        <f t="shared" si="4"/>
        <v>7.4427182369486609</v>
      </c>
      <c r="S11" s="197">
        <f t="shared" si="4"/>
        <v>5.5451114746013195</v>
      </c>
      <c r="T11" s="142">
        <f t="shared" si="1"/>
        <v>51.701750252854332</v>
      </c>
    </row>
    <row r="12" spans="1:25">
      <c r="C12" s="136" t="s">
        <v>540</v>
      </c>
      <c r="D12" s="137" t="s">
        <v>540</v>
      </c>
      <c r="E12" s="138">
        <f>IFERROR(SUMIF(ผลประหยัด!$A$10:$A$1297,'PML! ACC'!D12,ผลประหยัด!$K$10:$K$1297)/SUMIF(ผลประหยัด!$A$10:$A$1297,'PML! ACC'!D12,ผลประหยัด!$J$10:$J$1297),0)</f>
        <v>-5.6759595168746086</v>
      </c>
      <c r="F12" s="138">
        <f>IFERROR(AVERAGEIF(SR!$A$10:$A$1297,'PML! ACC'!D12,SR!$J$10:$J$1297),0)</f>
        <v>13.769037552294654</v>
      </c>
      <c r="G12" s="138">
        <f>IFERROR(AVERAGEIF(ADG!$A$10:$A$1297,'PML! ACC'!D12,ADG!$J$10:$J$1297),0)</f>
        <v>3.6806119171953022</v>
      </c>
      <c r="H12" s="138">
        <f>IFERROR(AVERAGEIF(FCR!$A$10:$A$1297,'PML! ACC'!D12,FCR!$J$10:$J$1297),0)</f>
        <v>5.3760362758395104</v>
      </c>
      <c r="I12" s="138">
        <f>IFERROR(AVERAGEIF(YIELDN!$A$10:$A$1297,'PML! ACC'!D12,YIELDN!$M$10:$M$1297),0)</f>
        <v>5.4493418469411257</v>
      </c>
      <c r="J12" s="138">
        <f>IFERROR(AVERAGEIF(SIZE!$A$10:$A$1297,'PML! ACC'!D12,SIZE!$H$10:$H$1297),0)</f>
        <v>6.4319920623548601</v>
      </c>
      <c r="K12" s="139">
        <f t="shared" si="0"/>
        <v>29.031060137750842</v>
      </c>
      <c r="M12" s="136" t="s">
        <v>540</v>
      </c>
      <c r="N12" s="197">
        <f t="shared" si="2"/>
        <v>-5.6759595168746086</v>
      </c>
      <c r="O12" s="197">
        <f t="shared" si="3"/>
        <v>13.769037552294654</v>
      </c>
      <c r="P12" s="197">
        <f t="shared" si="3"/>
        <v>3.6806119171953022</v>
      </c>
      <c r="Q12" s="197">
        <f t="shared" si="4"/>
        <v>5.3760362758395104</v>
      </c>
      <c r="R12" s="197">
        <f t="shared" si="4"/>
        <v>5.4493418469411257</v>
      </c>
      <c r="S12" s="197">
        <f t="shared" si="4"/>
        <v>6.4319920623548601</v>
      </c>
      <c r="T12" s="142">
        <f t="shared" si="1"/>
        <v>29.031060137750842</v>
      </c>
    </row>
    <row r="13" spans="1:25">
      <c r="C13" s="136" t="s">
        <v>567</v>
      </c>
      <c r="D13" s="137" t="s">
        <v>567</v>
      </c>
      <c r="E13" s="138">
        <f>IFERROR(SUMIF(ผลประหยัด!$A$10:$A$1297,'PML! ACC'!D13,ผลประหยัด!$K$10:$K$1297)/SUMIF(ผลประหยัด!$A$10:$A$1297,'PML! ACC'!D13,ผลประหยัด!$J$10:$J$1297),0)</f>
        <v>13.050977856159838</v>
      </c>
      <c r="F13" s="138">
        <f>IFERROR(AVERAGEIF(SR!$A$10:$A$1297,'PML! ACC'!D13,SR!$J$10:$J$1297),0)</f>
        <v>16.873201335723959</v>
      </c>
      <c r="G13" s="138">
        <f>IFERROR(AVERAGEIF(ADG!$A$10:$A$1297,'PML! ACC'!D13,ADG!$J$10:$J$1297),0)</f>
        <v>6.2552484197491509</v>
      </c>
      <c r="H13" s="138">
        <f>IFERROR(AVERAGEIF(FCR!$A$10:$A$1297,'PML! ACC'!D13,FCR!$J$10:$J$1297),0)</f>
        <v>10.143221279074583</v>
      </c>
      <c r="I13" s="138">
        <f>IFERROR(AVERAGEIF(YIELDN!$A$10:$A$1297,'PML! ACC'!D13,YIELDN!$M$10:$M$1297),0)</f>
        <v>7.267052714920454</v>
      </c>
      <c r="J13" s="138">
        <f>IFERROR(AVERAGEIF(SIZE!$A$10:$A$1297,'PML! ACC'!D13,SIZE!$H$10:$H$1297),0)</f>
        <v>5.7158868030119345</v>
      </c>
      <c r="K13" s="139">
        <f t="shared" si="0"/>
        <v>59.305588408639913</v>
      </c>
      <c r="M13" s="136" t="s">
        <v>567</v>
      </c>
      <c r="N13" s="197">
        <f t="shared" si="2"/>
        <v>13.050977856159838</v>
      </c>
      <c r="O13" s="197">
        <f t="shared" si="3"/>
        <v>15</v>
      </c>
      <c r="P13" s="197">
        <f t="shared" si="3"/>
        <v>6.2552484197491509</v>
      </c>
      <c r="Q13" s="197">
        <f t="shared" si="4"/>
        <v>10</v>
      </c>
      <c r="R13" s="197">
        <f t="shared" si="4"/>
        <v>7.267052714920454</v>
      </c>
      <c r="S13" s="197">
        <f t="shared" si="4"/>
        <v>5.7158868030119345</v>
      </c>
      <c r="T13" s="142">
        <f t="shared" si="1"/>
        <v>57.289165793841377</v>
      </c>
    </row>
    <row r="14" spans="1:25">
      <c r="C14" s="136" t="s">
        <v>610</v>
      </c>
      <c r="D14" s="137" t="s">
        <v>610</v>
      </c>
      <c r="E14" s="138">
        <f>IFERROR(SUMIF(ผลประหยัด!$A$10:$A$1297,'PML! ACC'!D14,ผลประหยัด!$K$10:$K$1297)/SUMIF(ผลประหยัด!$A$10:$A$1297,'PML! ACC'!D14,ผลประหยัด!$J$10:$J$1297),0)</f>
        <v>-7.7787708602922896</v>
      </c>
      <c r="F14" s="138">
        <f>IFERROR(AVERAGEIF(SR!$A$10:$A$1297,'PML! ACC'!D14,SR!$J$10:$J$1297),0)</f>
        <v>10.752998660087952</v>
      </c>
      <c r="G14" s="138">
        <f>IFERROR(AVERAGEIF(ADG!$A$10:$A$1297,'PML! ACC'!D14,ADG!$J$10:$J$1297),0)</f>
        <v>8.3833685304544883</v>
      </c>
      <c r="H14" s="138">
        <f>IFERROR(AVERAGEIF(FCR!$A$10:$A$1297,'PML! ACC'!D14,FCR!$J$10:$J$1297),0)</f>
        <v>6.3188038976222973</v>
      </c>
      <c r="I14" s="138">
        <f>IFERROR(AVERAGEIF(YIELDN!$A$10:$A$1297,'PML! ACC'!D14,YIELDN!$M$10:$M$1297),0)</f>
        <v>0</v>
      </c>
      <c r="J14" s="138">
        <f>IFERROR(AVERAGEIF(SIZE!$A$10:$A$1297,'PML! ACC'!D14,SIZE!$H$10:$H$1297),0)</f>
        <v>8.014557270757896</v>
      </c>
      <c r="K14" s="139">
        <f t="shared" si="0"/>
        <v>25.690957498630347</v>
      </c>
      <c r="M14" s="136" t="s">
        <v>610</v>
      </c>
      <c r="N14" s="197">
        <f t="shared" si="2"/>
        <v>-7.7787708602922896</v>
      </c>
      <c r="O14" s="197">
        <f t="shared" si="3"/>
        <v>10.752998660087952</v>
      </c>
      <c r="P14" s="197">
        <f t="shared" si="3"/>
        <v>8.3833685304544883</v>
      </c>
      <c r="Q14" s="197">
        <f t="shared" si="4"/>
        <v>6.3188038976222973</v>
      </c>
      <c r="R14" s="197">
        <f t="shared" si="4"/>
        <v>0</v>
      </c>
      <c r="S14" s="197">
        <f t="shared" si="4"/>
        <v>8.014557270757896</v>
      </c>
      <c r="T14" s="142">
        <f t="shared" si="1"/>
        <v>25.690957498630347</v>
      </c>
    </row>
    <row r="15" spans="1:25">
      <c r="C15" s="136" t="s">
        <v>632</v>
      </c>
      <c r="D15" s="137" t="s">
        <v>632</v>
      </c>
      <c r="E15" s="138">
        <f>IFERROR(SUMIF(ผลประหยัด!$A$10:$A$1297,'PML! ACC'!D15,ผลประหยัด!$K$10:$K$1297)/SUMIF(ผลประหยัด!$A$10:$A$1297,'PML! ACC'!D15,ผลประหยัด!$J$10:$J$1297),0)</f>
        <v>-13.744049576927056</v>
      </c>
      <c r="F15" s="138">
        <f>IFERROR(AVERAGEIF(SR!$A$10:$A$1297,'PML! ACC'!D15,SR!$J$10:$J$1297),0)</f>
        <v>12.41763730247945</v>
      </c>
      <c r="G15" s="138">
        <f>IFERROR(AVERAGEIF(ADG!$A$10:$A$1297,'PML! ACC'!D15,ADG!$J$10:$J$1297),0)</f>
        <v>6.1663471362523925</v>
      </c>
      <c r="H15" s="138">
        <f>IFERROR(AVERAGEIF(FCR!$A$10:$A$1297,'PML! ACC'!D15,FCR!$J$10:$J$1297),0)</f>
        <v>7.1018881915856698</v>
      </c>
      <c r="I15" s="138">
        <f>IFERROR(AVERAGEIF(YIELDN!$A$10:$A$1297,'PML! ACC'!D15,YIELDN!$M$10:$M$1297),0)</f>
        <v>3.0461624297789727</v>
      </c>
      <c r="J15" s="138">
        <f>IFERROR(AVERAGEIF(SIZE!$A$10:$A$1297,'PML! ACC'!D15,SIZE!$H$10:$H$1297),0)</f>
        <v>-2.2793645811596268</v>
      </c>
      <c r="K15" s="139">
        <f t="shared" si="0"/>
        <v>12.708620902009804</v>
      </c>
      <c r="M15" s="136" t="s">
        <v>632</v>
      </c>
      <c r="N15" s="197">
        <f t="shared" si="2"/>
        <v>-13.744049576927056</v>
      </c>
      <c r="O15" s="197">
        <f t="shared" si="3"/>
        <v>12.41763730247945</v>
      </c>
      <c r="P15" s="197">
        <f t="shared" si="3"/>
        <v>6.1663471362523925</v>
      </c>
      <c r="Q15" s="197">
        <f t="shared" si="4"/>
        <v>7.1018881915856698</v>
      </c>
      <c r="R15" s="197">
        <f t="shared" si="4"/>
        <v>3.0461624297789727</v>
      </c>
      <c r="S15" s="197">
        <f t="shared" si="4"/>
        <v>0</v>
      </c>
      <c r="T15" s="142">
        <f t="shared" si="1"/>
        <v>14.98798548316943</v>
      </c>
    </row>
    <row r="16" spans="1:25">
      <c r="C16" s="136" t="s">
        <v>651</v>
      </c>
      <c r="D16" s="137" t="s">
        <v>651</v>
      </c>
      <c r="E16" s="138">
        <f>IFERROR(SUMIF(ผลประหยัด!$A$10:$A$1297,'PML! ACC'!D16,ผลประหยัด!$K$10:$K$1297)/SUMIF(ผลประหยัด!$A$10:$A$1297,'PML! ACC'!D16,ผลประหยัด!$J$10:$J$1297),0)</f>
        <v>-18.705795990219514</v>
      </c>
      <c r="F16" s="138">
        <f>IFERROR(AVERAGEIF(SR!$A$10:$A$1297,'PML! ACC'!D16,SR!$J$10:$J$1297),0)</f>
        <v>10.341943003382264</v>
      </c>
      <c r="G16" s="138">
        <f>IFERROR(AVERAGEIF(ADG!$A$10:$A$1297,'PML! ACC'!D16,ADG!$J$10:$J$1297),0)</f>
        <v>5.1040652021374999</v>
      </c>
      <c r="H16" s="138">
        <f>IFERROR(AVERAGEIF(FCR!$A$10:$A$1297,'PML! ACC'!D16,FCR!$J$10:$J$1297),0)</f>
        <v>5.0760391792498414</v>
      </c>
      <c r="I16" s="138">
        <f>IFERROR(AVERAGEIF(YIELDN!$A$10:$A$1297,'PML! ACC'!D16,YIELDN!$M$10:$M$1297),0)</f>
        <v>0</v>
      </c>
      <c r="J16" s="138">
        <f>IFERROR(AVERAGEIF(SIZE!$A$10:$A$1297,'PML! ACC'!D16,SIZE!$H$10:$H$1297),0)</f>
        <v>-0.54050705471475224</v>
      </c>
      <c r="K16" s="139">
        <f t="shared" si="0"/>
        <v>1.2757443398353394</v>
      </c>
      <c r="M16" s="136" t="s">
        <v>651</v>
      </c>
      <c r="N16" s="197">
        <f t="shared" si="2"/>
        <v>-18.705795990219514</v>
      </c>
      <c r="O16" s="197">
        <f t="shared" si="3"/>
        <v>10.341943003382264</v>
      </c>
      <c r="P16" s="197">
        <f t="shared" si="3"/>
        <v>5.1040652021374999</v>
      </c>
      <c r="Q16" s="197">
        <f t="shared" si="4"/>
        <v>5.0760391792498414</v>
      </c>
      <c r="R16" s="197">
        <f t="shared" si="4"/>
        <v>0</v>
      </c>
      <c r="S16" s="197">
        <f t="shared" si="4"/>
        <v>0</v>
      </c>
      <c r="T16" s="142">
        <f t="shared" si="1"/>
        <v>1.8162513945500915</v>
      </c>
    </row>
    <row r="17" spans="3:20">
      <c r="C17" s="136" t="s">
        <v>724</v>
      </c>
      <c r="D17" s="137" t="s">
        <v>724</v>
      </c>
      <c r="E17" s="138">
        <f>IFERROR(SUMIF(ผลประหยัด!$A$10:$A$1297,'PML! ACC'!D17,ผลประหยัด!$K$10:$K$1297)/SUMIF(ผลประหยัด!$A$10:$A$1297,'PML! ACC'!D17,ผลประหยัด!$J$10:$J$1297),0)</f>
        <v>-3.6164423911123542</v>
      </c>
      <c r="F17" s="138">
        <f>IFERROR(AVERAGEIF(SR!$A$10:$A$1297,'PML! ACC'!D17,SR!$J$10:$J$1297),0)</f>
        <v>12.433862357626261</v>
      </c>
      <c r="G17" s="138">
        <f>IFERROR(AVERAGEIF(ADG!$A$10:$A$1297,'PML! ACC'!D17,ADG!$J$10:$J$1297),0)</f>
        <v>6.4041588251772499</v>
      </c>
      <c r="H17" s="138">
        <f>IFERROR(AVERAGEIF(FCR!$A$10:$A$1297,'PML! ACC'!D17,FCR!$J$10:$J$1297),0)</f>
        <v>2.9450153691551186</v>
      </c>
      <c r="I17" s="138">
        <f>IFERROR(AVERAGEIF(YIELDN!$A$10:$A$1297,'PML! ACC'!D17,YIELDN!$M$10:$M$1297),0)</f>
        <v>5.0184429434400419</v>
      </c>
      <c r="J17" s="138">
        <f>IFERROR(AVERAGEIF(SIZE!$A$10:$A$1297,'PML! ACC'!D17,SIZE!$H$10:$H$1297),0)</f>
        <v>3.385449777283061</v>
      </c>
      <c r="K17" s="139">
        <f t="shared" si="0"/>
        <v>26.570486881569376</v>
      </c>
      <c r="M17" s="136" t="s">
        <v>724</v>
      </c>
      <c r="N17" s="197">
        <f t="shared" si="2"/>
        <v>-3.6164423911123542</v>
      </c>
      <c r="O17" s="197">
        <f t="shared" si="3"/>
        <v>12.433862357626261</v>
      </c>
      <c r="P17" s="197">
        <f t="shared" si="3"/>
        <v>6.4041588251772499</v>
      </c>
      <c r="Q17" s="197">
        <f t="shared" si="4"/>
        <v>2.9450153691551186</v>
      </c>
      <c r="R17" s="197">
        <f t="shared" si="4"/>
        <v>5.0184429434400419</v>
      </c>
      <c r="S17" s="197">
        <f t="shared" si="4"/>
        <v>3.385449777283061</v>
      </c>
      <c r="T17" s="142">
        <f t="shared" si="1"/>
        <v>26.570486881569376</v>
      </c>
    </row>
    <row r="18" spans="3:20">
      <c r="C18" s="136" t="s">
        <v>760</v>
      </c>
      <c r="D18" s="137" t="s">
        <v>760</v>
      </c>
      <c r="E18" s="138">
        <f>IFERROR(SUMIF(ผลประหยัด!$A$10:$A$1297,'PML! ACC'!D18,ผลประหยัด!$K$10:$K$1297)/SUMIF(ผลประหยัด!$A$10:$A$1297,'PML! ACC'!D18,ผลประหยัด!$J$10:$J$1297),0)</f>
        <v>-2.2154850109232549</v>
      </c>
      <c r="F18" s="138">
        <f>IFERROR(AVERAGEIF(SR!$A$10:$A$1297,'PML! ACC'!D18,SR!$J$10:$J$1297),0)</f>
        <v>7.3913787492999061</v>
      </c>
      <c r="G18" s="138">
        <f>IFERROR(AVERAGEIF(ADG!$A$10:$A$1297,'PML! ACC'!D18,ADG!$J$10:$J$1297),0)</f>
        <v>5.8869375921747409</v>
      </c>
      <c r="H18" s="138">
        <f>IFERROR(AVERAGEIF(FCR!$A$10:$A$1297,'PML! ACC'!D18,FCR!$J$10:$J$1297),0)</f>
        <v>7.344417451708221</v>
      </c>
      <c r="I18" s="138">
        <f>IFERROR(AVERAGEIF(YIELDN!$A$10:$A$1297,'PML! ACC'!D18,YIELDN!$M$10:$M$1297),0)</f>
        <v>1.6697391702768933</v>
      </c>
      <c r="J18" s="138">
        <f>IFERROR(AVERAGEIF(SIZE!$A$10:$A$1297,'PML! ACC'!D18,SIZE!$H$10:$H$1297),0)</f>
        <v>2.969293065934369</v>
      </c>
      <c r="K18" s="139">
        <f t="shared" si="0"/>
        <v>23.046281018470879</v>
      </c>
      <c r="M18" s="136" t="s">
        <v>760</v>
      </c>
      <c r="N18" s="197">
        <f t="shared" si="2"/>
        <v>-2.2154850109232549</v>
      </c>
      <c r="O18" s="197">
        <f t="shared" si="3"/>
        <v>7.3913787492999061</v>
      </c>
      <c r="P18" s="197">
        <f t="shared" si="3"/>
        <v>5.8869375921747409</v>
      </c>
      <c r="Q18" s="197">
        <f t="shared" si="4"/>
        <v>7.344417451708221</v>
      </c>
      <c r="R18" s="197">
        <f t="shared" si="4"/>
        <v>1.6697391702768933</v>
      </c>
      <c r="S18" s="197">
        <f t="shared" si="4"/>
        <v>2.969293065934369</v>
      </c>
      <c r="T18" s="142">
        <f t="shared" si="1"/>
        <v>23.046281018470879</v>
      </c>
    </row>
    <row r="19" spans="3:20">
      <c r="C19" s="136" t="s">
        <v>893</v>
      </c>
      <c r="D19" s="137" t="s">
        <v>893</v>
      </c>
      <c r="E19" s="138">
        <f>IFERROR(SUMIF(ผลประหยัด!$A$10:$A$1297,'PML! ACC'!D19,ผลประหยัด!$K$10:$K$1297)/SUMIF(ผลประหยัด!$A$10:$A$1297,'PML! ACC'!D19,ผลประหยัด!$J$10:$J$1297),0)</f>
        <v>4.2493840112007168</v>
      </c>
      <c r="F19" s="138">
        <f>IFERROR(AVERAGEIF(SR!$A$10:$A$1297,'PML! ACC'!D19,SR!$J$10:$J$1297),0)</f>
        <v>7.8883726583189375</v>
      </c>
      <c r="G19" s="138">
        <f>IFERROR(AVERAGEIF(ADG!$A$10:$A$1297,'PML! ACC'!D19,ADG!$J$10:$J$1297),0)</f>
        <v>7.72272218674052</v>
      </c>
      <c r="H19" s="138">
        <f>IFERROR(AVERAGEIF(FCR!$A$10:$A$1297,'PML! ACC'!D19,FCR!$J$10:$J$1297),0)</f>
        <v>5.6785076210682339</v>
      </c>
      <c r="I19" s="138">
        <f>IFERROR(AVERAGEIF(YIELDN!$A$10:$A$1297,'PML! ACC'!D19,YIELDN!$M$10:$M$1297),0)</f>
        <v>4.4096245580694866</v>
      </c>
      <c r="J19" s="138">
        <f>IFERROR(AVERAGEIF(SIZE!$A$10:$A$1297,'PML! ACC'!D19,SIZE!$H$10:$H$1297),0)</f>
        <v>7.298725242553914</v>
      </c>
      <c r="K19" s="139">
        <f t="shared" si="0"/>
        <v>37.24733627795181</v>
      </c>
      <c r="M19" s="136" t="s">
        <v>893</v>
      </c>
      <c r="N19" s="197">
        <f t="shared" si="2"/>
        <v>4.2493840112007168</v>
      </c>
      <c r="O19" s="197">
        <f t="shared" si="3"/>
        <v>7.8883726583189375</v>
      </c>
      <c r="P19" s="197">
        <f t="shared" si="3"/>
        <v>7.72272218674052</v>
      </c>
      <c r="Q19" s="197">
        <f t="shared" si="4"/>
        <v>5.6785076210682339</v>
      </c>
      <c r="R19" s="197">
        <f t="shared" si="4"/>
        <v>4.4096245580694866</v>
      </c>
      <c r="S19" s="197">
        <f t="shared" si="4"/>
        <v>7.298725242553914</v>
      </c>
      <c r="T19" s="142">
        <f t="shared" si="1"/>
        <v>37.24733627795181</v>
      </c>
    </row>
    <row r="20" spans="3:20">
      <c r="C20" s="136" t="s">
        <v>835</v>
      </c>
      <c r="D20" s="137" t="s">
        <v>835</v>
      </c>
      <c r="E20" s="138">
        <f>IFERROR(SUMIF(ผลประหยัด!$A$10:$A$1297,'PML! ACC'!D20,ผลประหยัด!$K$10:$K$1297)/SUMIF(ผลประหยัด!$A$10:$A$1297,'PML! ACC'!D20,ผลประหยัด!$J$10:$J$1297),0)</f>
        <v>0.57693419881472818</v>
      </c>
      <c r="F20" s="138">
        <f>IFERROR(AVERAGEIF(SR!$A$10:$A$1297,'PML! ACC'!D20,SR!$J$10:$J$1297),0)</f>
        <v>3.574830475523501</v>
      </c>
      <c r="G20" s="138">
        <f>IFERROR(AVERAGEIF(ADG!$A$10:$A$1297,'PML! ACC'!D20,ADG!$J$10:$J$1297),0)</f>
        <v>7.8948646393410824</v>
      </c>
      <c r="H20" s="138">
        <f>IFERROR(AVERAGEIF(FCR!$A$10:$A$1297,'PML! ACC'!D20,FCR!$J$10:$J$1297),0)</f>
        <v>6.2932472304851315</v>
      </c>
      <c r="I20" s="138">
        <f>IFERROR(AVERAGEIF(YIELDN!$A$10:$A$1297,'PML! ACC'!D20,YIELDN!$M$10:$M$1297),0)</f>
        <v>0</v>
      </c>
      <c r="J20" s="138">
        <f>IFERROR(AVERAGEIF(SIZE!$A$10:$A$1297,'PML! ACC'!D20,SIZE!$H$10:$H$1297),0)</f>
        <v>5.2586888918672079</v>
      </c>
      <c r="K20" s="139">
        <f t="shared" si="0"/>
        <v>23.598565436031652</v>
      </c>
      <c r="M20" s="136" t="s">
        <v>835</v>
      </c>
      <c r="N20" s="197">
        <f t="shared" si="2"/>
        <v>0.57693419881472818</v>
      </c>
      <c r="O20" s="197">
        <f t="shared" si="3"/>
        <v>3.574830475523501</v>
      </c>
      <c r="P20" s="197">
        <f t="shared" si="3"/>
        <v>7.8948646393410824</v>
      </c>
      <c r="Q20" s="197">
        <f t="shared" si="4"/>
        <v>6.2932472304851315</v>
      </c>
      <c r="R20" s="197">
        <f t="shared" si="4"/>
        <v>0</v>
      </c>
      <c r="S20" s="197">
        <f t="shared" si="4"/>
        <v>5.2586888918672079</v>
      </c>
      <c r="T20" s="142">
        <f t="shared" si="1"/>
        <v>23.598565436031652</v>
      </c>
    </row>
    <row r="21" spans="3:20">
      <c r="C21" s="136" t="s">
        <v>924</v>
      </c>
      <c r="D21" s="137" t="s">
        <v>924</v>
      </c>
      <c r="E21" s="138">
        <f>IFERROR(SUMIF(ผลประหยัด!$A$10:$A$1297,'PML! ACC'!D21,ผลประหยัด!$K$10:$K$1297)/SUMIF(ผลประหยัด!$A$10:$A$1297,'PML! ACC'!D21,ผลประหยัด!$J$10:$J$1297),0)</f>
        <v>-1.5084867191383637</v>
      </c>
      <c r="F21" s="138">
        <f>IFERROR(AVERAGEIF(SR!$A$10:$A$1297,'PML! ACC'!D21,SR!$J$10:$J$1297),0)</f>
        <v>6.8339647341107108</v>
      </c>
      <c r="G21" s="138">
        <f>IFERROR(AVERAGEIF(ADG!$A$10:$A$1297,'PML! ACC'!D21,ADG!$J$10:$J$1297),0)</f>
        <v>6.7026698696135458</v>
      </c>
      <c r="H21" s="138">
        <f>IFERROR(AVERAGEIF(FCR!$A$10:$A$1297,'PML! ACC'!D21,FCR!$J$10:$J$1297),0)</f>
        <v>5.3617553737708352</v>
      </c>
      <c r="I21" s="138">
        <f>IFERROR(AVERAGEIF(YIELDN!$A$10:$A$1297,'PML! ACC'!D21,YIELDN!$M$10:$M$1297),0)</f>
        <v>4.7853264332329006</v>
      </c>
      <c r="J21" s="138">
        <f>IFERROR(AVERAGEIF(SIZE!$A$10:$A$1297,'PML! ACC'!D21,SIZE!$H$10:$H$1297),0)</f>
        <v>6.8044128322386692</v>
      </c>
      <c r="K21" s="139">
        <f t="shared" si="0"/>
        <v>28.979642523828296</v>
      </c>
      <c r="M21" s="136" t="s">
        <v>924</v>
      </c>
      <c r="N21" s="197">
        <f t="shared" si="2"/>
        <v>-1.5084867191383637</v>
      </c>
      <c r="O21" s="197">
        <f t="shared" si="3"/>
        <v>6.8339647341107108</v>
      </c>
      <c r="P21" s="197">
        <f t="shared" si="3"/>
        <v>6.7026698696135458</v>
      </c>
      <c r="Q21" s="197">
        <f t="shared" si="4"/>
        <v>5.3617553737708352</v>
      </c>
      <c r="R21" s="197">
        <f t="shared" si="4"/>
        <v>4.7853264332329006</v>
      </c>
      <c r="S21" s="197">
        <f t="shared" si="4"/>
        <v>6.8044128322386692</v>
      </c>
      <c r="T21" s="142">
        <f t="shared" si="1"/>
        <v>28.979642523828296</v>
      </c>
    </row>
    <row r="22" spans="3:20">
      <c r="C22" s="136" t="s">
        <v>999</v>
      </c>
      <c r="D22" s="137" t="s">
        <v>999</v>
      </c>
      <c r="E22" s="138">
        <f>IFERROR(SUMIF(ผลประหยัด!$A$10:$A$1297,'PML! ACC'!D22,ผลประหยัด!$K$10:$K$1297)/SUMIF(ผลประหยัด!$A$10:$A$1297,'PML! ACC'!D22,ผลประหยัด!$J$10:$J$1297),0)</f>
        <v>-5.0281883284581559</v>
      </c>
      <c r="F22" s="138">
        <f>IFERROR(AVERAGEIF(SR!$A$10:$A$1297,'PML! ACC'!D22,SR!$J$10:$J$1297),0)</f>
        <v>7.5167635971949913</v>
      </c>
      <c r="G22" s="138">
        <f>IFERROR(AVERAGEIF(ADG!$A$10:$A$1297,'PML! ACC'!D22,ADG!$J$10:$J$1297),0)</f>
        <v>4.4869943533207906</v>
      </c>
      <c r="H22" s="138">
        <f>IFERROR(AVERAGEIF(FCR!$A$10:$A$1297,'PML! ACC'!D22,FCR!$J$10:$J$1297),0)</f>
        <v>5.2822074064175304</v>
      </c>
      <c r="I22" s="138">
        <f>IFERROR(AVERAGEIF(YIELDN!$A$10:$A$1297,'PML! ACC'!D22,YIELDN!$M$10:$M$1297),0)</f>
        <v>3.0918007472993721E-2</v>
      </c>
      <c r="J22" s="138">
        <f>IFERROR(AVERAGEIF(SIZE!$A$10:$A$1297,'PML! ACC'!D22,SIZE!$H$10:$H$1297),0)</f>
        <v>0.69973076841500637</v>
      </c>
      <c r="K22" s="139">
        <f t="shared" si="0"/>
        <v>12.988425804363159</v>
      </c>
      <c r="M22" s="136" t="s">
        <v>999</v>
      </c>
      <c r="N22" s="197">
        <f t="shared" si="2"/>
        <v>-5.0281883284581559</v>
      </c>
      <c r="O22" s="197">
        <f t="shared" si="3"/>
        <v>7.5167635971949913</v>
      </c>
      <c r="P22" s="197">
        <f t="shared" si="3"/>
        <v>4.4869943533207906</v>
      </c>
      <c r="Q22" s="197">
        <f t="shared" si="4"/>
        <v>5.2822074064175304</v>
      </c>
      <c r="R22" s="197">
        <f t="shared" si="4"/>
        <v>3.0918007472993721E-2</v>
      </c>
      <c r="S22" s="197">
        <f t="shared" si="4"/>
        <v>0.69973076841500637</v>
      </c>
      <c r="T22" s="142">
        <f t="shared" si="1"/>
        <v>12.988425804363159</v>
      </c>
    </row>
    <row r="23" spans="3:20">
      <c r="C23" s="136" t="s">
        <v>1123</v>
      </c>
      <c r="D23" s="137" t="s">
        <v>1123</v>
      </c>
      <c r="E23" s="138">
        <f>IFERROR(SUMIF(ผลประหยัด!$A$10:$A$1297,'PML! ACC'!D23,ผลประหยัด!$K$10:$K$1297)/SUMIF(ผลประหยัด!$A$10:$A$1297,'PML! ACC'!D23,ผลประหยัด!$J$10:$J$1297),0)</f>
        <v>-15.741233527963617</v>
      </c>
      <c r="F23" s="138">
        <f>IFERROR(AVERAGEIF(SR!$A$10:$A$1297,'PML! ACC'!D23,SR!$J$10:$J$1297),0)</f>
        <v>5.1992428556327273</v>
      </c>
      <c r="G23" s="138">
        <f>IFERROR(AVERAGEIF(ADG!$A$10:$A$1297,'PML! ACC'!D23,ADG!$J$10:$J$1297),0)</f>
        <v>5.2935379248576204</v>
      </c>
      <c r="H23" s="138">
        <f>IFERROR(AVERAGEIF(FCR!$A$10:$A$1297,'PML! ACC'!D23,FCR!$J$10:$J$1297),0)</f>
        <v>6.8393471387416982</v>
      </c>
      <c r="I23" s="138">
        <f>IFERROR(AVERAGEIF(YIELDN!$A$10:$A$1297,'PML! ACC'!D23,YIELDN!$M$10:$M$1297),0)</f>
        <v>0.79049598713888325</v>
      </c>
      <c r="J23" s="138">
        <f>IFERROR(AVERAGEIF(SIZE!$A$10:$A$1297,'PML! ACC'!D23,SIZE!$H$10:$H$1297),0)</f>
        <v>5.8290546574082533</v>
      </c>
      <c r="K23" s="139">
        <f t="shared" si="0"/>
        <v>8.2104450358155656</v>
      </c>
      <c r="M23" s="136" t="s">
        <v>1123</v>
      </c>
      <c r="N23" s="197">
        <f t="shared" si="2"/>
        <v>-15.741233527963617</v>
      </c>
      <c r="O23" s="197">
        <f t="shared" si="3"/>
        <v>5.1992428556327273</v>
      </c>
      <c r="P23" s="197">
        <f t="shared" si="3"/>
        <v>5.2935379248576204</v>
      </c>
      <c r="Q23" s="197">
        <f t="shared" si="4"/>
        <v>6.8393471387416982</v>
      </c>
      <c r="R23" s="197">
        <f t="shared" si="4"/>
        <v>0.79049598713888325</v>
      </c>
      <c r="S23" s="197">
        <f t="shared" si="4"/>
        <v>5.8290546574082533</v>
      </c>
      <c r="T23" s="142">
        <f t="shared" si="1"/>
        <v>8.2104450358155656</v>
      </c>
    </row>
    <row r="24" spans="3:20">
      <c r="C24" s="136" t="s">
        <v>1146</v>
      </c>
      <c r="D24" s="137" t="s">
        <v>1146</v>
      </c>
      <c r="E24" s="138">
        <f>IFERROR(SUMIF(ผลประหยัด!$A$10:$A$1297,'PML! ACC'!D24,ผลประหยัด!$K$10:$K$1297)/SUMIF(ผลประหยัด!$A$10:$A$1297,'PML! ACC'!D24,ผลประหยัด!$J$10:$J$1297),0)</f>
        <v>0.88150382036125841</v>
      </c>
      <c r="F24" s="138">
        <f>IFERROR(AVERAGEIF(SR!$A$10:$A$1297,'PML! ACC'!D24,SR!$J$10:$J$1297),0)</f>
        <v>13.255095444029591</v>
      </c>
      <c r="G24" s="138">
        <f>IFERROR(AVERAGEIF(ADG!$A$10:$A$1297,'PML! ACC'!D24,ADG!$J$10:$J$1297),0)</f>
        <v>5.6443374329179115</v>
      </c>
      <c r="H24" s="138">
        <f>IFERROR(AVERAGEIF(FCR!$A$10:$A$1297,'PML! ACC'!D24,FCR!$J$10:$J$1297),0)</f>
        <v>6.7249755334416825</v>
      </c>
      <c r="I24" s="138">
        <f>IFERROR(AVERAGEIF(YIELDN!$A$10:$A$1297,'PML! ACC'!D24,YIELDN!$M$10:$M$1297),0)</f>
        <v>5.5235149393088667</v>
      </c>
      <c r="J24" s="138">
        <f>IFERROR(AVERAGEIF(SIZE!$A$10:$A$1297,'PML! ACC'!D24,SIZE!$H$10:$H$1297),0)</f>
        <v>4.1210918676929698</v>
      </c>
      <c r="K24" s="139">
        <f t="shared" si="0"/>
        <v>36.150519037752275</v>
      </c>
      <c r="M24" s="136" t="s">
        <v>1146</v>
      </c>
      <c r="N24" s="197">
        <f t="shared" si="2"/>
        <v>0.88150382036125841</v>
      </c>
      <c r="O24" s="197">
        <f t="shared" si="3"/>
        <v>13.255095444029591</v>
      </c>
      <c r="P24" s="197">
        <f t="shared" si="3"/>
        <v>5.6443374329179115</v>
      </c>
      <c r="Q24" s="197">
        <f t="shared" si="4"/>
        <v>6.7249755334416825</v>
      </c>
      <c r="R24" s="197">
        <f t="shared" si="4"/>
        <v>5.5235149393088667</v>
      </c>
      <c r="S24" s="197">
        <f t="shared" si="4"/>
        <v>4.1210918676929698</v>
      </c>
      <c r="T24" s="142">
        <f t="shared" si="1"/>
        <v>36.150519037752275</v>
      </c>
    </row>
    <row r="25" spans="3:20">
      <c r="C25" s="136" t="s">
        <v>1174</v>
      </c>
      <c r="D25" s="137" t="s">
        <v>1174</v>
      </c>
      <c r="E25" s="138">
        <f>IFERROR(SUMIF(ผลประหยัด!$A$10:$A$1297,'PML! ACC'!D25,ผลประหยัด!$K$10:$K$1297)/SUMIF(ผลประหยัด!$A$10:$A$1297,'PML! ACC'!D25,ผลประหยัด!$J$10:$J$1297),0)</f>
        <v>-10.554601248087272</v>
      </c>
      <c r="F25" s="138">
        <f>IFERROR(AVERAGEIF(SR!$A$10:$A$1297,'PML! ACC'!D25,SR!$J$10:$J$1297),0)</f>
        <v>8.4931409667658642</v>
      </c>
      <c r="G25" s="138">
        <f>IFERROR(AVERAGEIF(ADG!$A$10:$A$1297,'PML! ACC'!D25,ADG!$J$10:$J$1297),0)</f>
        <v>9.397409616764385</v>
      </c>
      <c r="H25" s="138">
        <f>IFERROR(AVERAGEIF(FCR!$A$10:$A$1297,'PML! ACC'!D25,FCR!$J$10:$J$1297),0)</f>
        <v>3.7196809294621067</v>
      </c>
      <c r="I25" s="138">
        <f>IFERROR(AVERAGEIF(YIELDN!$A$10:$A$1297,'PML! ACC'!D25,YIELDN!$M$10:$M$1297),0)</f>
        <v>0</v>
      </c>
      <c r="J25" s="138">
        <f>IFERROR(AVERAGEIF(SIZE!$A$10:$A$1297,'PML! ACC'!D25,SIZE!$H$10:$H$1297),0)</f>
        <v>6.3029580934243663</v>
      </c>
      <c r="K25" s="139">
        <f t="shared" si="0"/>
        <v>17.358588358329449</v>
      </c>
      <c r="M25" s="136" t="s">
        <v>1174</v>
      </c>
      <c r="N25" s="197">
        <f t="shared" si="2"/>
        <v>-10.554601248087272</v>
      </c>
      <c r="O25" s="197">
        <f t="shared" si="3"/>
        <v>8.4931409667658642</v>
      </c>
      <c r="P25" s="197">
        <f t="shared" si="3"/>
        <v>9.397409616764385</v>
      </c>
      <c r="Q25" s="197">
        <f t="shared" si="4"/>
        <v>3.7196809294621067</v>
      </c>
      <c r="R25" s="197">
        <f t="shared" si="4"/>
        <v>0</v>
      </c>
      <c r="S25" s="197">
        <f t="shared" si="4"/>
        <v>6.3029580934243663</v>
      </c>
      <c r="T25" s="142">
        <f t="shared" si="1"/>
        <v>17.358588358329449</v>
      </c>
    </row>
    <row r="26" spans="3:20">
      <c r="C26" s="136" t="s">
        <v>1574</v>
      </c>
      <c r="D26" s="137" t="s">
        <v>1574</v>
      </c>
      <c r="E26" s="138">
        <f>IFERROR(SUMIF(ผลประหยัด!$A$10:$A$1297,'PML! ACC'!D26,ผลประหยัด!$K$10:$K$1297)/SUMIF(ผลประหยัด!$A$10:$A$1297,'PML! ACC'!D26,ผลประหยัด!$J$10:$J$1297),0)</f>
        <v>-11.748384273386389</v>
      </c>
      <c r="F26" s="138">
        <f>IFERROR(AVERAGEIF(SR!$A$10:$A$1297,'PML! ACC'!D26,SR!$J$10:$J$1297),0)</f>
        <v>5.1937303824820855</v>
      </c>
      <c r="G26" s="138">
        <f>IFERROR(AVERAGEIF(ADG!$A$10:$A$1297,'PML! ACC'!D26,ADG!$J$10:$J$1297),0)</f>
        <v>5.1319871224947153</v>
      </c>
      <c r="H26" s="138">
        <f>IFERROR(AVERAGEIF(FCR!$A$10:$A$1297,'PML! ACC'!D26,FCR!$J$10:$J$1297),0)</f>
        <v>3.7816434630413589</v>
      </c>
      <c r="I26" s="138">
        <f>IFERROR(AVERAGEIF(YIELDN!$A$10:$A$1297,'PML! ACC'!D26,YIELDN!$M$10:$M$1297),0)</f>
        <v>0.24025473721725868</v>
      </c>
      <c r="J26" s="138">
        <f>IFERROR(AVERAGEIF(SIZE!$A$10:$A$1297,'PML! ACC'!D26,SIZE!$H$10:$H$1297),0)</f>
        <v>6.153273570742094</v>
      </c>
      <c r="K26" s="139">
        <f t="shared" si="0"/>
        <v>8.7525050025911231</v>
      </c>
      <c r="M26" s="136" t="s">
        <v>1574</v>
      </c>
      <c r="N26" s="197">
        <f t="shared" si="2"/>
        <v>-11.748384273386389</v>
      </c>
      <c r="O26" s="197">
        <f t="shared" si="3"/>
        <v>5.1937303824820855</v>
      </c>
      <c r="P26" s="197">
        <f t="shared" si="3"/>
        <v>5.1319871224947153</v>
      </c>
      <c r="Q26" s="197">
        <f t="shared" si="4"/>
        <v>3.7816434630413589</v>
      </c>
      <c r="R26" s="197">
        <f t="shared" si="4"/>
        <v>0.24025473721725868</v>
      </c>
      <c r="S26" s="197">
        <f t="shared" si="4"/>
        <v>6.153273570742094</v>
      </c>
      <c r="T26" s="142">
        <f t="shared" si="1"/>
        <v>8.7525050025911231</v>
      </c>
    </row>
    <row r="27" spans="3:20">
      <c r="C27" s="136" t="s">
        <v>1600</v>
      </c>
      <c r="D27" s="137" t="s">
        <v>1600</v>
      </c>
      <c r="E27" s="138">
        <f>IFERROR(SUMIF(ผลประหยัด!$A$10:$A$1297,'PML! ACC'!D27,ผลประหยัด!$K$10:$K$1297)/SUMIF(ผลประหยัด!$A$10:$A$1297,'PML! ACC'!D27,ผลประหยัด!$J$10:$J$1297),0)</f>
        <v>13.197850807405901</v>
      </c>
      <c r="F27" s="138">
        <f>IFERROR(AVERAGEIF(SR!$A$10:$A$1297,'PML! ACC'!D27,SR!$J$10:$J$1297),0)</f>
        <v>9.874958857560431</v>
      </c>
      <c r="G27" s="138">
        <f>IFERROR(AVERAGEIF(ADG!$A$10:$A$1297,'PML! ACC'!D27,ADG!$J$10:$J$1297),0)</f>
        <v>6.7200416800469069</v>
      </c>
      <c r="H27" s="138">
        <f>IFERROR(AVERAGEIF(FCR!$A$10:$A$1297,'PML! ACC'!D27,FCR!$J$10:$J$1297),0)</f>
        <v>3.1525418560947767</v>
      </c>
      <c r="I27" s="138">
        <f>IFERROR(AVERAGEIF(YIELDN!$A$10:$A$1297,'PML! ACC'!D27,YIELDN!$M$10:$M$1297),0)</f>
        <v>5.2331485011412715</v>
      </c>
      <c r="J27" s="138">
        <f>IFERROR(AVERAGEIF(SIZE!$A$10:$A$1297,'PML! ACC'!D27,SIZE!$H$10:$H$1297),0)</f>
        <v>5.9578471495972387</v>
      </c>
      <c r="K27" s="139">
        <f t="shared" si="0"/>
        <v>44.136388851846533</v>
      </c>
      <c r="M27" s="136" t="s">
        <v>1600</v>
      </c>
      <c r="N27" s="197">
        <f t="shared" si="2"/>
        <v>13.197850807405901</v>
      </c>
      <c r="O27" s="197">
        <f t="shared" si="3"/>
        <v>9.874958857560431</v>
      </c>
      <c r="P27" s="197">
        <f t="shared" si="3"/>
        <v>6.7200416800469069</v>
      </c>
      <c r="Q27" s="197">
        <f t="shared" si="4"/>
        <v>3.1525418560947767</v>
      </c>
      <c r="R27" s="197">
        <f t="shared" si="4"/>
        <v>5.2331485011412715</v>
      </c>
      <c r="S27" s="197">
        <f t="shared" si="4"/>
        <v>5.9578471495972387</v>
      </c>
      <c r="T27" s="142">
        <f t="shared" si="1"/>
        <v>44.136388851846533</v>
      </c>
    </row>
    <row r="28" spans="3:20">
      <c r="C28" s="136" t="s">
        <v>1660</v>
      </c>
      <c r="D28" s="137" t="s">
        <v>1660</v>
      </c>
      <c r="E28" s="138">
        <f>IFERROR(SUMIF(ผลประหยัด!$A$10:$A$1297,'PML! ACC'!D28,ผลประหยัด!$K$10:$K$1297)/SUMIF(ผลประหยัด!$A$10:$A$1297,'PML! ACC'!D28,ผลประหยัด!$J$10:$J$1297),0)</f>
        <v>15.268487884529183</v>
      </c>
      <c r="F28" s="138">
        <f>IFERROR(AVERAGEIF(SR!$A$10:$A$1297,'PML! ACC'!D28,SR!$J$10:$J$1297),0)</f>
        <v>13.892941226168809</v>
      </c>
      <c r="G28" s="138">
        <f>IFERROR(AVERAGEIF(ADG!$A$10:$A$1297,'PML! ACC'!D28,ADG!$J$10:$J$1297),0)</f>
        <v>8.0634485121830508</v>
      </c>
      <c r="H28" s="138">
        <f>IFERROR(AVERAGEIF(FCR!$A$10:$A$1297,'PML! ACC'!D28,FCR!$J$10:$J$1297),0)</f>
        <v>7.7650747614502711</v>
      </c>
      <c r="I28" s="138">
        <f>IFERROR(AVERAGEIF(YIELDN!$A$10:$A$1297,'PML! ACC'!D28,YIELDN!$M$10:$M$1297),0)</f>
        <v>11.470155570550506</v>
      </c>
      <c r="J28" s="138">
        <f>IFERROR(AVERAGEIF(SIZE!$A$10:$A$1297,'PML! ACC'!D28,SIZE!$H$10:$H$1297),0)</f>
        <v>8.3080990097012251</v>
      </c>
      <c r="K28" s="139">
        <f t="shared" si="0"/>
        <v>64.768206964583044</v>
      </c>
      <c r="M28" s="136" t="s">
        <v>1660</v>
      </c>
      <c r="N28" s="197">
        <f t="shared" si="2"/>
        <v>15.268487884529183</v>
      </c>
      <c r="O28" s="197">
        <f t="shared" si="3"/>
        <v>13.892941226168809</v>
      </c>
      <c r="P28" s="197">
        <f t="shared" si="3"/>
        <v>8.0634485121830508</v>
      </c>
      <c r="Q28" s="197">
        <f t="shared" si="4"/>
        <v>7.7650747614502711</v>
      </c>
      <c r="R28" s="197">
        <f t="shared" si="4"/>
        <v>10</v>
      </c>
      <c r="S28" s="197">
        <f t="shared" si="4"/>
        <v>8.3080990097012251</v>
      </c>
      <c r="T28" s="142">
        <f t="shared" si="1"/>
        <v>63.298051394032534</v>
      </c>
    </row>
    <row r="29" spans="3:20">
      <c r="C29" s="136" t="s">
        <v>1747</v>
      </c>
      <c r="D29" s="137" t="s">
        <v>1747</v>
      </c>
      <c r="E29" s="138">
        <f>IFERROR(SUMIF(ผลประหยัด!$A$10:$A$1297,'PML! ACC'!D29,ผลประหยัด!$K$10:$K$1297)/SUMIF(ผลประหยัด!$A$10:$A$1297,'PML! ACC'!D29,ผลประหยัด!$J$10:$J$1297),0)</f>
        <v>9.8666973926463388</v>
      </c>
      <c r="F29" s="138">
        <f>IFERROR(AVERAGEIF(SR!$A$10:$A$1297,'PML! ACC'!D29,SR!$J$10:$J$1297),0)</f>
        <v>11.829064876937281</v>
      </c>
      <c r="G29" s="138">
        <f>IFERROR(AVERAGEIF(ADG!$A$10:$A$1297,'PML! ACC'!D29,ADG!$J$10:$J$1297),0)</f>
        <v>9.0922404729574513</v>
      </c>
      <c r="H29" s="138">
        <f>IFERROR(AVERAGEIF(FCR!$A$10:$A$1297,'PML! ACC'!D29,FCR!$J$10:$J$1297),0)</f>
        <v>9.9758423465302499</v>
      </c>
      <c r="I29" s="138">
        <f>IFERROR(AVERAGEIF(YIELDN!$A$10:$A$1297,'PML! ACC'!D29,YIELDN!$M$10:$M$1297),0)</f>
        <v>4.8435719287230405</v>
      </c>
      <c r="J29" s="138">
        <f>IFERROR(AVERAGEIF(SIZE!$A$10:$A$1297,'PML! ACC'!D29,SIZE!$H$10:$H$1297),0)</f>
        <v>7.1751554786564888</v>
      </c>
      <c r="K29" s="139">
        <f t="shared" si="0"/>
        <v>52.782572496450854</v>
      </c>
      <c r="M29" s="136" t="s">
        <v>1747</v>
      </c>
      <c r="N29" s="197">
        <f t="shared" si="2"/>
        <v>9.8666973926463388</v>
      </c>
      <c r="O29" s="197">
        <f t="shared" si="3"/>
        <v>11.829064876937281</v>
      </c>
      <c r="P29" s="197">
        <f t="shared" si="3"/>
        <v>9.0922404729574513</v>
      </c>
      <c r="Q29" s="197">
        <f t="shared" si="4"/>
        <v>9.9758423465302499</v>
      </c>
      <c r="R29" s="197">
        <f t="shared" si="4"/>
        <v>4.8435719287230405</v>
      </c>
      <c r="S29" s="197">
        <f t="shared" si="4"/>
        <v>7.1751554786564888</v>
      </c>
      <c r="T29" s="142">
        <f t="shared" si="1"/>
        <v>52.782572496450854</v>
      </c>
    </row>
    <row r="30" spans="3:20">
      <c r="C30" s="136" t="s">
        <v>1771</v>
      </c>
      <c r="D30" s="137" t="s">
        <v>1771</v>
      </c>
      <c r="E30" s="138">
        <f>IFERROR(SUMIF(ผลประหยัด!$A$10:$A$1297,'PML! ACC'!D30,ผลประหยัด!$K$10:$K$1297)/SUMIF(ผลประหยัด!$A$10:$A$1297,'PML! ACC'!D30,ผลประหยัด!$J$10:$J$1297),0)</f>
        <v>3.119240804808133</v>
      </c>
      <c r="F30" s="138">
        <f>IFERROR(AVERAGEIF(SR!$A$10:$A$1297,'PML! ACC'!D30,SR!$J$10:$J$1297),0)</f>
        <v>7.7427874601717823</v>
      </c>
      <c r="G30" s="138">
        <f>IFERROR(AVERAGEIF(ADG!$A$10:$A$1297,'PML! ACC'!D30,ADG!$J$10:$J$1297),0)</f>
        <v>6.5961823505430042</v>
      </c>
      <c r="H30" s="138">
        <f>IFERROR(AVERAGEIF(FCR!$A$10:$A$1297,'PML! ACC'!D30,FCR!$J$10:$J$1297),0)</f>
        <v>3.5763980009765972</v>
      </c>
      <c r="I30" s="138">
        <f>IFERROR(AVERAGEIF(YIELDN!$A$10:$A$1297,'PML! ACC'!D30,YIELDN!$M$10:$M$1297),0)</f>
        <v>3.907607540265003</v>
      </c>
      <c r="J30" s="138">
        <f>IFERROR(AVERAGEIF(SIZE!$A$10:$A$1297,'PML! ACC'!D30,SIZE!$H$10:$H$1297),0)</f>
        <v>8.2842239389767833</v>
      </c>
      <c r="K30" s="139">
        <f t="shared" si="0"/>
        <v>33.226440095741296</v>
      </c>
      <c r="M30" s="136" t="s">
        <v>1771</v>
      </c>
      <c r="N30" s="197">
        <f t="shared" si="2"/>
        <v>3.119240804808133</v>
      </c>
      <c r="O30" s="197">
        <f t="shared" si="3"/>
        <v>7.7427874601717823</v>
      </c>
      <c r="P30" s="197">
        <f t="shared" si="3"/>
        <v>6.5961823505430042</v>
      </c>
      <c r="Q30" s="197">
        <f t="shared" si="4"/>
        <v>3.5763980009765972</v>
      </c>
      <c r="R30" s="197">
        <f t="shared" si="4"/>
        <v>3.907607540265003</v>
      </c>
      <c r="S30" s="197">
        <f t="shared" si="4"/>
        <v>8.2842239389767833</v>
      </c>
      <c r="T30" s="142">
        <f t="shared" si="1"/>
        <v>33.226440095741296</v>
      </c>
    </row>
  </sheetData>
  <autoFilter ref="M2:T30" xr:uid="{F5E5A753-2BB0-4C4D-830A-377422470796}"/>
  <conditionalFormatting sqref="T1:T1048576">
    <cfRule type="dataBar" priority="1">
      <dataBar>
        <cfvo type="min"/>
        <cfvo type="max"/>
        <color rgb="FF63C384"/>
      </dataBar>
      <extLst>
        <ext xmlns:x14="http://schemas.microsoft.com/office/spreadsheetml/2009/9/main" uri="{B025F937-C7B1-47D3-B67F-A62EFF666E3E}">
          <x14:id>{F7F7C15E-95DD-2C4A-83A5-C98E942B9115}</x14:id>
        </ext>
      </extLst>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dataBar" id="{F7F7C15E-95DD-2C4A-83A5-C98E942B9115}">
            <x14:dataBar minLength="0" maxLength="100" border="1" negativeBarBorderColorSameAsPositive="0">
              <x14:cfvo type="autoMin"/>
              <x14:cfvo type="autoMax"/>
              <x14:borderColor rgb="FF63C384"/>
              <x14:negativeFillColor rgb="FFFF0000"/>
              <x14:negativeBorderColor rgb="FFFF0000"/>
              <x14:axisColor rgb="FF000000"/>
            </x14:dataBar>
          </x14:cfRule>
          <xm:sqref>T1:T1048576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5626A-7D7D-BA40-B1AD-FA5477EF02AC}">
  <dimension ref="A1:BD162"/>
  <sheetViews>
    <sheetView topLeftCell="A90" zoomScale="90" zoomScaleNormal="90" workbookViewId="0">
      <selection activeCell="T119" sqref="T119"/>
    </sheetView>
  </sheetViews>
  <sheetFormatPr baseColWidth="10" defaultRowHeight="23"/>
  <cols>
    <col min="1" max="1" width="8" style="290" customWidth="1"/>
    <col min="2" max="2" width="16.6640625" style="290" customWidth="1"/>
    <col min="3" max="3" width="17.5" style="290" customWidth="1"/>
    <col min="4" max="4" width="17.33203125" style="290" customWidth="1"/>
    <col min="5" max="5" width="14" style="290" bestFit="1" customWidth="1"/>
    <col min="6" max="6" width="14.5" style="290" customWidth="1"/>
    <col min="7" max="7" width="14.1640625" style="293" customWidth="1"/>
    <col min="8" max="9" width="15.83203125" style="290" customWidth="1"/>
    <col min="10" max="10" width="6.5" style="290" customWidth="1"/>
    <col min="11" max="11" width="15.5" style="290" customWidth="1"/>
    <col min="12" max="17" width="11.83203125" style="290" customWidth="1"/>
    <col min="18" max="18" width="16.5" style="290" customWidth="1"/>
    <col min="19" max="19" width="10.83203125" style="290"/>
    <col min="20" max="20" width="23.1640625" style="290" customWidth="1"/>
    <col min="21" max="22" width="0" style="290" hidden="1" customWidth="1"/>
    <col min="23" max="23" width="17.33203125" style="290" customWidth="1"/>
    <col min="24" max="24" width="10.83203125" style="290"/>
    <col min="25" max="29" width="0" style="290" hidden="1" customWidth="1"/>
    <col min="30" max="30" width="10.83203125" style="290"/>
    <col min="31" max="31" width="0" style="290" hidden="1" customWidth="1"/>
    <col min="32" max="16384" width="10.83203125" style="290"/>
  </cols>
  <sheetData>
    <row r="1" spans="1:56" ht="23" customHeight="1">
      <c r="B1" s="202" t="s">
        <v>1832</v>
      </c>
      <c r="C1" s="291">
        <v>40</v>
      </c>
      <c r="D1" s="291">
        <v>15</v>
      </c>
      <c r="E1" s="291">
        <v>15</v>
      </c>
      <c r="F1" s="291">
        <v>10</v>
      </c>
      <c r="G1" s="291">
        <v>10</v>
      </c>
      <c r="H1" s="354">
        <v>10</v>
      </c>
      <c r="I1" s="363"/>
      <c r="J1" s="357">
        <v>100</v>
      </c>
      <c r="L1" s="134" t="s">
        <v>1832</v>
      </c>
      <c r="M1" s="196">
        <v>40</v>
      </c>
      <c r="N1" s="196">
        <v>15</v>
      </c>
      <c r="O1" s="196">
        <v>15</v>
      </c>
      <c r="P1" s="196">
        <v>10</v>
      </c>
      <c r="Q1" s="196">
        <v>10</v>
      </c>
      <c r="R1" s="196">
        <v>10</v>
      </c>
      <c r="S1" s="141">
        <v>100</v>
      </c>
      <c r="AG1" s="134" t="s">
        <v>1832</v>
      </c>
      <c r="AH1" s="196">
        <v>40</v>
      </c>
      <c r="AI1" s="196">
        <v>15</v>
      </c>
      <c r="AJ1" s="196">
        <v>15</v>
      </c>
      <c r="AK1" s="196">
        <v>10</v>
      </c>
      <c r="AL1" s="196">
        <v>10</v>
      </c>
      <c r="AM1" s="196">
        <v>10</v>
      </c>
      <c r="AN1" s="141">
        <v>100</v>
      </c>
      <c r="AS1" s="401" t="s">
        <v>1832</v>
      </c>
      <c r="AT1" s="402">
        <v>40</v>
      </c>
      <c r="AU1" s="402">
        <v>15</v>
      </c>
      <c r="AV1" s="402">
        <v>15</v>
      </c>
      <c r="AW1" s="402">
        <v>10</v>
      </c>
      <c r="AX1" s="402">
        <v>10</v>
      </c>
      <c r="AY1" s="402">
        <v>10</v>
      </c>
      <c r="AZ1" s="401">
        <v>100</v>
      </c>
      <c r="BA1" s="417" t="s">
        <v>23</v>
      </c>
      <c r="BB1" s="416" t="s">
        <v>2820</v>
      </c>
      <c r="BC1" s="416" t="s">
        <v>2821</v>
      </c>
      <c r="BD1" s="416" t="s">
        <v>2822</v>
      </c>
    </row>
    <row r="2" spans="1:56">
      <c r="B2" s="202" t="s">
        <v>1</v>
      </c>
      <c r="C2" s="291" t="s">
        <v>1836</v>
      </c>
      <c r="D2" s="291" t="s">
        <v>1916</v>
      </c>
      <c r="E2" s="291" t="s">
        <v>1851</v>
      </c>
      <c r="F2" s="291" t="s">
        <v>29</v>
      </c>
      <c r="G2" s="291" t="s">
        <v>1917</v>
      </c>
      <c r="H2" s="354" t="s">
        <v>1907</v>
      </c>
      <c r="I2" s="363"/>
      <c r="J2" s="357" t="s">
        <v>1843</v>
      </c>
      <c r="L2" s="134" t="s">
        <v>1</v>
      </c>
      <c r="M2" s="196" t="s">
        <v>1836</v>
      </c>
      <c r="N2" s="196" t="s">
        <v>1916</v>
      </c>
      <c r="O2" s="196" t="s">
        <v>1851</v>
      </c>
      <c r="P2" s="196" t="s">
        <v>29</v>
      </c>
      <c r="Q2" s="196" t="s">
        <v>1917</v>
      </c>
      <c r="R2" s="196" t="s">
        <v>1907</v>
      </c>
      <c r="S2" s="141" t="s">
        <v>1843</v>
      </c>
      <c r="AG2" s="134" t="s">
        <v>1</v>
      </c>
      <c r="AH2" s="196" t="s">
        <v>1836</v>
      </c>
      <c r="AI2" s="196" t="s">
        <v>1916</v>
      </c>
      <c r="AJ2" s="196" t="s">
        <v>1851</v>
      </c>
      <c r="AK2" s="196" t="s">
        <v>29</v>
      </c>
      <c r="AL2" s="196" t="s">
        <v>1917</v>
      </c>
      <c r="AM2" s="196" t="s">
        <v>1907</v>
      </c>
      <c r="AN2" s="141" t="s">
        <v>1843</v>
      </c>
      <c r="AS2" s="401" t="s">
        <v>1</v>
      </c>
      <c r="AT2" s="402" t="s">
        <v>1836</v>
      </c>
      <c r="AU2" s="402" t="s">
        <v>1916</v>
      </c>
      <c r="AV2" s="402" t="s">
        <v>1851</v>
      </c>
      <c r="AW2" s="402" t="s">
        <v>29</v>
      </c>
      <c r="AX2" s="402" t="s">
        <v>1917</v>
      </c>
      <c r="AY2" s="402" t="s">
        <v>1907</v>
      </c>
      <c r="AZ2" s="401" t="s">
        <v>1843</v>
      </c>
      <c r="BA2" s="417"/>
      <c r="BB2" s="416"/>
      <c r="BC2" s="416"/>
      <c r="BD2" s="416"/>
    </row>
    <row r="3" spans="1:56">
      <c r="A3" s="293">
        <v>1</v>
      </c>
      <c r="B3" s="294" t="s">
        <v>567</v>
      </c>
      <c r="C3" s="295">
        <v>15.714491157683769</v>
      </c>
      <c r="D3" s="295">
        <v>13.779494050500059</v>
      </c>
      <c r="E3" s="295">
        <v>8.9668696651654631</v>
      </c>
      <c r="F3" s="295">
        <v>4.8252786393227671</v>
      </c>
      <c r="G3" s="296">
        <v>10</v>
      </c>
      <c r="H3" s="355">
        <v>6.8638622833624838</v>
      </c>
      <c r="I3" s="364"/>
      <c r="J3" s="358">
        <v>60.149995796034545</v>
      </c>
      <c r="L3" s="136" t="s">
        <v>1660</v>
      </c>
      <c r="M3" s="197">
        <v>15.075580668447792</v>
      </c>
      <c r="N3" s="197">
        <v>9.9980606173402116</v>
      </c>
      <c r="O3" s="197">
        <v>11.820663819800052</v>
      </c>
      <c r="P3" s="197">
        <v>2.1520411028761988</v>
      </c>
      <c r="Q3" s="197">
        <v>10</v>
      </c>
      <c r="R3" s="197">
        <v>9.355650092757994</v>
      </c>
      <c r="S3" s="142">
        <v>58.401996301222241</v>
      </c>
      <c r="AG3" s="136" t="s">
        <v>567</v>
      </c>
      <c r="AH3" s="197">
        <v>15.714491157683769</v>
      </c>
      <c r="AI3" s="197">
        <v>13.280222748963263</v>
      </c>
      <c r="AJ3" s="197">
        <v>10.020103501490164</v>
      </c>
      <c r="AK3" s="197">
        <v>4.0057874963694085</v>
      </c>
      <c r="AL3" s="197">
        <v>7.3866462173473906</v>
      </c>
      <c r="AM3" s="197">
        <v>7.77135534576112</v>
      </c>
      <c r="AN3" s="142">
        <v>58.178606467615118</v>
      </c>
      <c r="AS3" s="404" t="s">
        <v>724</v>
      </c>
      <c r="AT3" s="349">
        <v>18.696200359155693</v>
      </c>
      <c r="AU3" s="349">
        <v>14.229293478260869</v>
      </c>
      <c r="AV3" s="349">
        <v>15</v>
      </c>
      <c r="AW3" s="349">
        <v>4.7510441477640963</v>
      </c>
      <c r="AX3" s="349">
        <v>10</v>
      </c>
      <c r="AY3" s="349">
        <v>9.2537919506514541</v>
      </c>
      <c r="AZ3" s="414">
        <v>71.930329935832106</v>
      </c>
      <c r="BA3" s="412">
        <v>22.874479999999998</v>
      </c>
      <c r="BB3" s="412">
        <v>5285.6975600000014</v>
      </c>
      <c r="BC3" s="412">
        <v>1445.2996300000023</v>
      </c>
      <c r="BD3" s="412">
        <v>825.99599000000069</v>
      </c>
    </row>
    <row r="4" spans="1:56">
      <c r="A4" s="293">
        <v>2</v>
      </c>
      <c r="B4" s="294" t="s">
        <v>1660</v>
      </c>
      <c r="C4" s="295">
        <v>15.075580668447792</v>
      </c>
      <c r="D4" s="295">
        <v>9.9980606173402116</v>
      </c>
      <c r="E4" s="295">
        <v>11.820663819800052</v>
      </c>
      <c r="F4" s="295">
        <v>2.1520411028761988</v>
      </c>
      <c r="G4" s="296">
        <v>10</v>
      </c>
      <c r="H4" s="355">
        <v>9.355650092757994</v>
      </c>
      <c r="I4" s="364"/>
      <c r="J4" s="358">
        <v>58.401996301222241</v>
      </c>
      <c r="L4" s="136" t="s">
        <v>567</v>
      </c>
      <c r="M4" s="197">
        <v>15.714491157683769</v>
      </c>
      <c r="N4" s="197">
        <v>13.779494050500059</v>
      </c>
      <c r="O4" s="197">
        <v>8.9668696651654631</v>
      </c>
      <c r="P4" s="197">
        <v>4.8252786393227671</v>
      </c>
      <c r="Q4" s="197">
        <v>7.9967409325741841</v>
      </c>
      <c r="R4" s="197">
        <v>6.8638622833624838</v>
      </c>
      <c r="S4" s="142">
        <v>58.14673672860873</v>
      </c>
      <c r="AG4" s="136" t="s">
        <v>1660</v>
      </c>
      <c r="AH4" s="197">
        <v>15.075580668447792</v>
      </c>
      <c r="AI4" s="197">
        <v>9.0644929995492252</v>
      </c>
      <c r="AJ4" s="197">
        <v>12.11910170033949</v>
      </c>
      <c r="AK4" s="197">
        <v>2.2044669525927105</v>
      </c>
      <c r="AL4" s="197">
        <v>10</v>
      </c>
      <c r="AM4" s="197">
        <v>8.6418293949825067</v>
      </c>
      <c r="AN4" s="142">
        <v>57.105471715911726</v>
      </c>
      <c r="AS4" s="404" t="s">
        <v>1747</v>
      </c>
      <c r="AT4" s="349">
        <v>14.50824112516721</v>
      </c>
      <c r="AU4" s="349">
        <v>15</v>
      </c>
      <c r="AV4" s="349">
        <v>15</v>
      </c>
      <c r="AW4" s="349">
        <v>7.8300638446028454</v>
      </c>
      <c r="AX4" s="349">
        <v>2.0640448936748577</v>
      </c>
      <c r="AY4" s="349">
        <v>6.3064020585158094</v>
      </c>
      <c r="AZ4" s="414">
        <v>60.708751921960719</v>
      </c>
      <c r="BA4" s="412">
        <v>31.102249999999998</v>
      </c>
      <c r="BB4" s="412">
        <v>5929.3299500000003</v>
      </c>
      <c r="BC4" s="412">
        <v>-741.1974699999987</v>
      </c>
      <c r="BD4" s="412">
        <v>-1036.6182599999995</v>
      </c>
    </row>
    <row r="5" spans="1:56">
      <c r="A5" s="293">
        <v>3</v>
      </c>
      <c r="B5" s="294" t="s">
        <v>1600</v>
      </c>
      <c r="C5" s="295">
        <v>14.966666984161451</v>
      </c>
      <c r="D5" s="295">
        <v>9.7382384682107617</v>
      </c>
      <c r="E5" s="295">
        <v>9.0364636990108416</v>
      </c>
      <c r="F5" s="295">
        <v>3.0619352684701728</v>
      </c>
      <c r="G5" s="296">
        <v>8.9573758194356419</v>
      </c>
      <c r="H5" s="355">
        <v>6.9659191174878314</v>
      </c>
      <c r="I5" s="364"/>
      <c r="J5" s="358">
        <v>52.726599356776696</v>
      </c>
      <c r="L5" s="136" t="s">
        <v>474</v>
      </c>
      <c r="M5" s="197">
        <v>6.7586584694388883</v>
      </c>
      <c r="N5" s="197">
        <v>13.205386847144524</v>
      </c>
      <c r="O5" s="197">
        <v>11.200636326219145</v>
      </c>
      <c r="P5" s="197">
        <v>6.2195594429814705</v>
      </c>
      <c r="Q5" s="197">
        <v>8.2302086042091691</v>
      </c>
      <c r="R5" s="197">
        <v>6.8394326457849557</v>
      </c>
      <c r="S5" s="142">
        <v>52.453882335778147</v>
      </c>
      <c r="AG5" s="136" t="s">
        <v>474</v>
      </c>
      <c r="AH5" s="197">
        <v>6.7586584694388883</v>
      </c>
      <c r="AI5" s="197">
        <v>14.546442804012345</v>
      </c>
      <c r="AJ5" s="197">
        <v>12.184301647797907</v>
      </c>
      <c r="AK5" s="197">
        <v>5.693083428873484</v>
      </c>
      <c r="AL5" s="197">
        <v>7.2870427743707209</v>
      </c>
      <c r="AM5" s="197">
        <v>6.9439606902966746</v>
      </c>
      <c r="AN5" s="142">
        <v>53.413489814790026</v>
      </c>
      <c r="AS5" s="404" t="s">
        <v>1146</v>
      </c>
      <c r="AT5" s="349">
        <v>11.163405240272027</v>
      </c>
      <c r="AU5" s="349">
        <v>14.831511899537043</v>
      </c>
      <c r="AV5" s="349">
        <v>10.926796677273257</v>
      </c>
      <c r="AW5" s="349">
        <v>4.9356807901932269</v>
      </c>
      <c r="AX5" s="349">
        <v>7.8012929767851897</v>
      </c>
      <c r="AY5" s="349">
        <v>6.3616369020618349</v>
      </c>
      <c r="AZ5" s="414">
        <v>56.020324486122576</v>
      </c>
      <c r="BA5" s="412">
        <v>64.621350000000007</v>
      </c>
      <c r="BB5" s="412">
        <v>12628.913400000001</v>
      </c>
      <c r="BC5" s="412">
        <v>-6459.2268299999987</v>
      </c>
      <c r="BD5" s="412">
        <v>-6364.3818600000004</v>
      </c>
    </row>
    <row r="6" spans="1:56">
      <c r="A6" s="293">
        <v>4</v>
      </c>
      <c r="B6" s="294" t="s">
        <v>1747</v>
      </c>
      <c r="C6" s="295">
        <v>9.8758168890404026</v>
      </c>
      <c r="D6" s="295">
        <v>8.5186968869716715</v>
      </c>
      <c r="E6" s="295">
        <v>13.29671227791103</v>
      </c>
      <c r="F6" s="295">
        <v>4.7562401624646409</v>
      </c>
      <c r="G6" s="296">
        <v>6.3336156417755678</v>
      </c>
      <c r="H6" s="355">
        <v>7.9723949762849857</v>
      </c>
      <c r="I6" s="364"/>
      <c r="J6" s="358">
        <v>50.7534768344483</v>
      </c>
      <c r="L6" s="136" t="s">
        <v>1600</v>
      </c>
      <c r="M6" s="197">
        <v>14.966666984161451</v>
      </c>
      <c r="N6" s="197">
        <v>9.7382384682107617</v>
      </c>
      <c r="O6" s="197">
        <v>9.0364636990108416</v>
      </c>
      <c r="P6" s="197">
        <v>3.0619352684701728</v>
      </c>
      <c r="Q6" s="197">
        <v>6.571113926998235</v>
      </c>
      <c r="R6" s="197">
        <v>6.9659191174878314</v>
      </c>
      <c r="S6" s="142">
        <v>50.340337464339292</v>
      </c>
      <c r="AG6" s="136" t="s">
        <v>1600</v>
      </c>
      <c r="AH6" s="197">
        <v>14.966666984161451</v>
      </c>
      <c r="AI6" s="197">
        <v>7.3366863871893173</v>
      </c>
      <c r="AJ6" s="197">
        <v>10.591145411198079</v>
      </c>
      <c r="AK6" s="197">
        <v>2.4574202440805633</v>
      </c>
      <c r="AL6" s="197">
        <v>5.6481784712039884</v>
      </c>
      <c r="AM6" s="197">
        <v>7.7618668998802276</v>
      </c>
      <c r="AN6" s="142">
        <v>48.761964397713626</v>
      </c>
      <c r="AS6" s="404" t="s">
        <v>1660</v>
      </c>
      <c r="AT6" s="349">
        <v>15.563510479563885</v>
      </c>
      <c r="AU6" s="349">
        <v>7.311550109890109</v>
      </c>
      <c r="AV6" s="349">
        <v>12.935243989409141</v>
      </c>
      <c r="AW6" s="349">
        <v>2.2164337854152127</v>
      </c>
      <c r="AX6" s="349">
        <v>8.7987099702953699</v>
      </c>
      <c r="AY6" s="349">
        <v>8.1064362260788272</v>
      </c>
      <c r="AZ6" s="414">
        <v>54.931884560652549</v>
      </c>
      <c r="BA6" s="412">
        <v>97.880700000000004</v>
      </c>
      <c r="BB6" s="412">
        <v>20111.428069999998</v>
      </c>
      <c r="BC6" s="412">
        <v>1080.9134499999968</v>
      </c>
      <c r="BD6" s="412">
        <v>-102.44167000000019</v>
      </c>
    </row>
    <row r="7" spans="1:56">
      <c r="A7" s="293">
        <v>5</v>
      </c>
      <c r="B7" s="294" t="s">
        <v>474</v>
      </c>
      <c r="C7" s="295">
        <v>6.7586584694388883</v>
      </c>
      <c r="D7" s="295">
        <v>13.205386847144524</v>
      </c>
      <c r="E7" s="295">
        <v>11.200636326219145</v>
      </c>
      <c r="F7" s="295">
        <v>6.2195594429814705</v>
      </c>
      <c r="G7" s="296">
        <v>10</v>
      </c>
      <c r="H7" s="355">
        <v>6.8394326457849557</v>
      </c>
      <c r="I7" s="364"/>
      <c r="J7" s="358">
        <v>54.223673731568979</v>
      </c>
      <c r="L7" s="136" t="s">
        <v>1747</v>
      </c>
      <c r="M7" s="197">
        <v>9.8758168890404026</v>
      </c>
      <c r="N7" s="197">
        <v>8.5186968869716715</v>
      </c>
      <c r="O7" s="197">
        <v>13.29671227791103</v>
      </c>
      <c r="P7" s="197">
        <v>4.7562401624646409</v>
      </c>
      <c r="Q7" s="197">
        <v>5.1820491614527375</v>
      </c>
      <c r="R7" s="197">
        <v>7.9723949762849857</v>
      </c>
      <c r="S7" s="142">
        <v>49.601910354125472</v>
      </c>
      <c r="AG7" s="136" t="s">
        <v>1747</v>
      </c>
      <c r="AH7" s="197">
        <v>9.8758168890404026</v>
      </c>
      <c r="AI7" s="197">
        <v>8.4989474561291889</v>
      </c>
      <c r="AJ7" s="197">
        <v>13.66456487702154</v>
      </c>
      <c r="AK7" s="197">
        <v>2.958056178850248</v>
      </c>
      <c r="AL7" s="197">
        <v>4.7813427000306179</v>
      </c>
      <c r="AM7" s="197">
        <v>8.6603004970257835</v>
      </c>
      <c r="AN7" s="142">
        <v>48.439028598097778</v>
      </c>
      <c r="AS7" s="404" t="s">
        <v>1771</v>
      </c>
      <c r="AT7" s="349">
        <v>6.6717285056519051</v>
      </c>
      <c r="AU7" s="349">
        <v>7.5370621118012435</v>
      </c>
      <c r="AV7" s="349">
        <v>12.225683032258065</v>
      </c>
      <c r="AW7" s="349">
        <v>0</v>
      </c>
      <c r="AX7" s="349">
        <v>7.8310367857238257</v>
      </c>
      <c r="AY7" s="349">
        <v>9.0568483959241259</v>
      </c>
      <c r="AZ7" s="414">
        <v>43.322358831359168</v>
      </c>
      <c r="BA7" s="412">
        <v>30.78059</v>
      </c>
      <c r="BB7" s="412">
        <v>6934.0918499999989</v>
      </c>
      <c r="BC7" s="412">
        <v>-1501.6765000000009</v>
      </c>
      <c r="BD7" s="412">
        <v>-2156.5279899999996</v>
      </c>
    </row>
    <row r="8" spans="1:56">
      <c r="A8" s="293">
        <v>6</v>
      </c>
      <c r="B8" s="294" t="s">
        <v>893</v>
      </c>
      <c r="C8" s="295">
        <v>4.249384011200716</v>
      </c>
      <c r="D8" s="295">
        <v>5.2557757056624679</v>
      </c>
      <c r="E8" s="295">
        <v>10.646965225953966</v>
      </c>
      <c r="F8" s="295">
        <v>2.3728391936060653</v>
      </c>
      <c r="G8" s="296">
        <v>5.47326949968883</v>
      </c>
      <c r="H8" s="355">
        <v>8.1096947139487927</v>
      </c>
      <c r="I8" s="364"/>
      <c r="J8" s="358">
        <v>36.107928350060838</v>
      </c>
      <c r="L8" s="136" t="s">
        <v>408</v>
      </c>
      <c r="M8" s="197">
        <v>2.19543541161985</v>
      </c>
      <c r="N8" s="197">
        <v>10.436487019451125</v>
      </c>
      <c r="O8" s="197">
        <v>10.250170041715382</v>
      </c>
      <c r="P8" s="197">
        <v>5.7179979111978723</v>
      </c>
      <c r="Q8" s="197">
        <v>4.2790708743660844</v>
      </c>
      <c r="R8" s="197">
        <v>5.6758684640795405</v>
      </c>
      <c r="S8" s="142">
        <v>38.555029722429857</v>
      </c>
      <c r="AG8" s="136" t="s">
        <v>408</v>
      </c>
      <c r="AH8" s="197">
        <v>2.19543541161985</v>
      </c>
      <c r="AI8" s="197">
        <v>10.237031699309362</v>
      </c>
      <c r="AJ8" s="197">
        <v>11.682158987440429</v>
      </c>
      <c r="AK8" s="197">
        <v>5.1170726838123448</v>
      </c>
      <c r="AL8" s="197">
        <v>2.6527322161508931</v>
      </c>
      <c r="AM8" s="197">
        <v>6.4313380592988114</v>
      </c>
      <c r="AN8" s="142">
        <v>38.315769057631691</v>
      </c>
      <c r="AS8" s="404" t="s">
        <v>317</v>
      </c>
      <c r="AT8" s="349">
        <v>-1.9072169506418184</v>
      </c>
      <c r="AU8" s="349">
        <v>11.562065934065936</v>
      </c>
      <c r="AV8" s="349">
        <v>12.225499062500003</v>
      </c>
      <c r="AW8" s="349">
        <v>4.7102773260572999</v>
      </c>
      <c r="AX8" s="349">
        <v>7.457829701608369</v>
      </c>
      <c r="AY8" s="349">
        <v>7.9309391828935123</v>
      </c>
      <c r="AZ8" s="414">
        <v>41.979394256483303</v>
      </c>
      <c r="BA8" s="412">
        <v>8.5846299999999989</v>
      </c>
      <c r="BB8" s="412">
        <v>2410.4685999999997</v>
      </c>
      <c r="BC8" s="412">
        <v>-2083.9642500000004</v>
      </c>
      <c r="BD8" s="412">
        <v>-2743.1683300000009</v>
      </c>
    </row>
    <row r="9" spans="1:56" customFormat="1" ht="20">
      <c r="A9" s="10"/>
      <c r="B9" s="136" t="s">
        <v>138</v>
      </c>
      <c r="C9" s="197">
        <v>3.8963324909997534</v>
      </c>
      <c r="D9" s="197">
        <v>15</v>
      </c>
      <c r="E9" s="197">
        <v>4.3389860922476551</v>
      </c>
      <c r="F9" s="197">
        <v>10</v>
      </c>
      <c r="G9" s="197">
        <v>6.5420366132723125</v>
      </c>
      <c r="H9" s="197">
        <v>1.1233382848282221</v>
      </c>
      <c r="I9" s="361"/>
      <c r="J9" s="142">
        <v>40.900693481347943</v>
      </c>
      <c r="L9" s="136" t="s">
        <v>1146</v>
      </c>
      <c r="M9" s="197">
        <v>0.88648957732973932</v>
      </c>
      <c r="N9" s="197">
        <v>11.281984417556895</v>
      </c>
      <c r="O9" s="197">
        <v>7.7485954973614231</v>
      </c>
      <c r="P9" s="197">
        <v>7.0099972116680931</v>
      </c>
      <c r="Q9" s="197">
        <v>6.1362942241837244</v>
      </c>
      <c r="R9" s="197">
        <v>4.5789909641032995</v>
      </c>
      <c r="S9" s="142">
        <v>37.642351892203173</v>
      </c>
      <c r="AG9" s="298" t="s">
        <v>138</v>
      </c>
      <c r="AH9" s="197">
        <v>3.8963324909997534</v>
      </c>
      <c r="AI9" s="197">
        <v>15</v>
      </c>
      <c r="AJ9" s="197">
        <v>5.5767372025280606</v>
      </c>
      <c r="AK9" s="197">
        <v>9.1918561218865769</v>
      </c>
      <c r="AL9" s="197">
        <v>1.6048616841874037</v>
      </c>
      <c r="AM9" s="197">
        <v>2.7379345846151324</v>
      </c>
      <c r="AN9" s="142">
        <v>38.00772208421693</v>
      </c>
      <c r="AS9" s="404" t="s">
        <v>835</v>
      </c>
      <c r="AT9" s="349">
        <v>9.5862875281166229</v>
      </c>
      <c r="AU9" s="349">
        <v>2.9091412078462242</v>
      </c>
      <c r="AV9" s="349">
        <v>14.809024300708778</v>
      </c>
      <c r="AW9" s="349">
        <v>1.7222158675179635</v>
      </c>
      <c r="AX9" s="349">
        <v>4.4521203497912785</v>
      </c>
      <c r="AY9" s="349">
        <v>8.3879214970476319</v>
      </c>
      <c r="AZ9" s="414">
        <v>41.866710751028492</v>
      </c>
      <c r="BA9" s="412">
        <v>91.849360000000004</v>
      </c>
      <c r="BB9" s="412">
        <v>19619.957880000005</v>
      </c>
      <c r="BC9" s="412">
        <v>-3562.2988399999995</v>
      </c>
      <c r="BD9" s="412">
        <v>-4567.8480399999999</v>
      </c>
    </row>
    <row r="10" spans="1:56">
      <c r="A10" s="293">
        <v>8</v>
      </c>
      <c r="B10" s="294" t="s">
        <v>408</v>
      </c>
      <c r="C10" s="295">
        <v>2.19543541161985</v>
      </c>
      <c r="D10" s="295">
        <v>10.436487019451125</v>
      </c>
      <c r="E10" s="295">
        <v>10.250170041715382</v>
      </c>
      <c r="F10" s="295">
        <v>5.7179979111978723</v>
      </c>
      <c r="G10" s="296">
        <v>6.364650333400995</v>
      </c>
      <c r="H10" s="355">
        <v>5.6758684640795405</v>
      </c>
      <c r="I10" s="364"/>
      <c r="J10" s="358">
        <v>40.640609181464768</v>
      </c>
      <c r="L10" s="298" t="s">
        <v>138</v>
      </c>
      <c r="M10" s="197">
        <v>3.8963324909997534</v>
      </c>
      <c r="N10" s="197">
        <v>15</v>
      </c>
      <c r="O10" s="197">
        <v>4.3389860922476551</v>
      </c>
      <c r="P10" s="197">
        <v>10</v>
      </c>
      <c r="Q10" s="197">
        <v>2.9076643808466871</v>
      </c>
      <c r="R10" s="197">
        <v>1.1233382848282221</v>
      </c>
      <c r="S10" s="142">
        <v>37.266321248922317</v>
      </c>
      <c r="AG10" s="136" t="s">
        <v>1146</v>
      </c>
      <c r="AH10" s="197">
        <v>0.88648957732973932</v>
      </c>
      <c r="AI10" s="197">
        <v>10.136728343638858</v>
      </c>
      <c r="AJ10" s="197">
        <v>9.072711344216966</v>
      </c>
      <c r="AK10" s="197">
        <v>4.403725994189303</v>
      </c>
      <c r="AL10" s="197">
        <v>5.5235149393088667</v>
      </c>
      <c r="AM10" s="197">
        <v>6.4466449671003501</v>
      </c>
      <c r="AN10" s="142">
        <v>36.469815165784077</v>
      </c>
      <c r="AS10" s="404" t="s">
        <v>651</v>
      </c>
      <c r="AT10" s="349">
        <v>0.3724785123262816</v>
      </c>
      <c r="AU10" s="349">
        <v>10.359400048170198</v>
      </c>
      <c r="AV10" s="349">
        <v>14.892016104407574</v>
      </c>
      <c r="AW10" s="349">
        <v>1.7403059138713899</v>
      </c>
      <c r="AX10" s="349">
        <v>6.6005919521866216</v>
      </c>
      <c r="AY10" s="349">
        <v>7.862614021641912</v>
      </c>
      <c r="AZ10" s="414">
        <v>41.827406552603975</v>
      </c>
      <c r="BA10" s="412">
        <v>45.768149999999999</v>
      </c>
      <c r="BB10" s="412">
        <v>9524.0531499999997</v>
      </c>
      <c r="BC10" s="412">
        <v>-4815.199819999998</v>
      </c>
      <c r="BD10" s="412">
        <v>-5153.4582299999984</v>
      </c>
    </row>
    <row r="11" spans="1:56" customFormat="1" ht="20">
      <c r="A11" s="10"/>
      <c r="B11" s="136" t="s">
        <v>209</v>
      </c>
      <c r="C11" s="197">
        <v>-0.52231600112758736</v>
      </c>
      <c r="D11" s="197">
        <v>15</v>
      </c>
      <c r="E11" s="197">
        <v>4.8391645658294395</v>
      </c>
      <c r="F11" s="197">
        <v>10</v>
      </c>
      <c r="G11" s="197">
        <v>7.4080988133885652</v>
      </c>
      <c r="H11" s="356">
        <v>0.13954114052108438</v>
      </c>
      <c r="I11" s="365"/>
      <c r="J11" s="359">
        <v>36.864488518611502</v>
      </c>
      <c r="L11" s="136" t="s">
        <v>893</v>
      </c>
      <c r="M11" s="197">
        <v>4.249384011200716</v>
      </c>
      <c r="N11" s="197">
        <v>5.2557757056624679</v>
      </c>
      <c r="O11" s="197">
        <v>10.646965225953966</v>
      </c>
      <c r="P11" s="197">
        <v>2.3728391936060653</v>
      </c>
      <c r="Q11" s="197">
        <v>4.6449405028445314</v>
      </c>
      <c r="R11" s="197">
        <v>8.1096947139487927</v>
      </c>
      <c r="S11" s="142">
        <v>35.27959935321654</v>
      </c>
      <c r="AG11" s="136" t="s">
        <v>893</v>
      </c>
      <c r="AH11" s="197">
        <v>4.249384011200716</v>
      </c>
      <c r="AI11" s="197">
        <v>5.17367137482724</v>
      </c>
      <c r="AJ11" s="197">
        <v>11.265976400127961</v>
      </c>
      <c r="AK11" s="197">
        <v>2.1757943913389854</v>
      </c>
      <c r="AL11" s="197">
        <v>4.7682520393102035</v>
      </c>
      <c r="AM11" s="197">
        <v>7.9756973807471869</v>
      </c>
      <c r="AN11" s="142">
        <v>35.608775597552288</v>
      </c>
      <c r="AS11" s="404" t="s">
        <v>1600</v>
      </c>
      <c r="AT11" s="349">
        <v>7.9671827068524754</v>
      </c>
      <c r="AU11" s="349">
        <v>7.4264963457955293</v>
      </c>
      <c r="AV11" s="349">
        <v>10.994007201788886</v>
      </c>
      <c r="AW11" s="349">
        <v>1.0117556304113977</v>
      </c>
      <c r="AX11" s="349">
        <v>5.7881932337491664</v>
      </c>
      <c r="AY11" s="349">
        <v>7.7133819001787529</v>
      </c>
      <c r="AZ11" s="414">
        <v>40.901017018776209</v>
      </c>
      <c r="BA11" s="412">
        <v>198.44948999999997</v>
      </c>
      <c r="BB11" s="412">
        <v>40892.09117</v>
      </c>
      <c r="BC11" s="412">
        <v>7081.0133899999964</v>
      </c>
      <c r="BD11" s="412">
        <v>4427.7423599999938</v>
      </c>
    </row>
    <row r="12" spans="1:56">
      <c r="A12" s="293">
        <v>10</v>
      </c>
      <c r="B12" s="294" t="s">
        <v>1771</v>
      </c>
      <c r="C12" s="295">
        <v>1.9788895802889885</v>
      </c>
      <c r="D12" s="295">
        <v>5.150020974525038</v>
      </c>
      <c r="E12" s="295">
        <v>9.1875761563416418</v>
      </c>
      <c r="F12" s="295">
        <v>0.36114596156983891</v>
      </c>
      <c r="G12" s="296">
        <v>6.0809624306538792</v>
      </c>
      <c r="H12" s="355">
        <v>9.1793754730297152</v>
      </c>
      <c r="I12" s="364"/>
      <c r="J12" s="358">
        <v>31.937970576409104</v>
      </c>
      <c r="L12" s="298" t="s">
        <v>209</v>
      </c>
      <c r="M12" s="197">
        <v>-0.52231600112758736</v>
      </c>
      <c r="N12" s="197">
        <v>15</v>
      </c>
      <c r="O12" s="197">
        <v>4.8391645658294395</v>
      </c>
      <c r="P12" s="197">
        <v>10</v>
      </c>
      <c r="Q12" s="197">
        <v>2.6041929729769389</v>
      </c>
      <c r="R12" s="197">
        <v>0.13954114052108438</v>
      </c>
      <c r="S12" s="142">
        <v>32.060582678199879</v>
      </c>
      <c r="AG12" s="136" t="s">
        <v>724</v>
      </c>
      <c r="AH12" s="197">
        <v>-0.44321686159359802</v>
      </c>
      <c r="AI12" s="197">
        <v>11.735012969507032</v>
      </c>
      <c r="AJ12" s="197">
        <v>7.2962587928696987</v>
      </c>
      <c r="AK12" s="197">
        <v>3.7105601710463101</v>
      </c>
      <c r="AL12" s="197">
        <v>4.3331612318840582</v>
      </c>
      <c r="AM12" s="197">
        <v>5.8271868548667998</v>
      </c>
      <c r="AN12" s="142">
        <v>32.458963158580303</v>
      </c>
      <c r="AS12" s="404" t="s">
        <v>610</v>
      </c>
      <c r="AT12" s="349">
        <v>-7.4834132678514305</v>
      </c>
      <c r="AU12" s="349">
        <v>10.057378344481604</v>
      </c>
      <c r="AV12" s="349">
        <v>13.221043338249203</v>
      </c>
      <c r="AW12" s="349">
        <v>0.27081674493109525</v>
      </c>
      <c r="AX12" s="349">
        <v>8.0535075894559256</v>
      </c>
      <c r="AY12" s="349">
        <v>8.8501302576814478</v>
      </c>
      <c r="AZ12" s="414">
        <v>32.969463006947848</v>
      </c>
      <c r="BA12" s="412">
        <v>36.037790000000001</v>
      </c>
      <c r="BB12" s="412">
        <v>7081.9683799999993</v>
      </c>
      <c r="BC12" s="412">
        <v>-6555.4310800000003</v>
      </c>
      <c r="BD12" s="412">
        <v>-7384.6160199999995</v>
      </c>
    </row>
    <row r="13" spans="1:56">
      <c r="A13" s="293">
        <v>11</v>
      </c>
      <c r="B13" s="294" t="s">
        <v>835</v>
      </c>
      <c r="C13" s="295">
        <v>1.3798152506882932</v>
      </c>
      <c r="D13" s="295">
        <v>3.6601218366882078</v>
      </c>
      <c r="E13" s="295">
        <v>12.113841772497643</v>
      </c>
      <c r="F13" s="295">
        <v>3.9687731415595162</v>
      </c>
      <c r="G13" s="296">
        <v>6.5941733165293828</v>
      </c>
      <c r="H13" s="295">
        <v>5.6471033409329339</v>
      </c>
      <c r="I13" s="362"/>
      <c r="J13" s="297">
        <v>33.363828658895976</v>
      </c>
      <c r="L13" s="136" t="s">
        <v>724</v>
      </c>
      <c r="M13" s="197">
        <v>-0.44321686159359802</v>
      </c>
      <c r="N13" s="197">
        <v>11.761050097730125</v>
      </c>
      <c r="O13" s="197">
        <v>6.223230535502621</v>
      </c>
      <c r="P13" s="197">
        <v>4.7766631076856649</v>
      </c>
      <c r="Q13" s="197">
        <v>4.7182658899308532</v>
      </c>
      <c r="R13" s="197">
        <v>4.1479789235814826</v>
      </c>
      <c r="S13" s="142">
        <v>31.183971692837147</v>
      </c>
      <c r="AG13" s="298" t="s">
        <v>209</v>
      </c>
      <c r="AH13" s="197">
        <v>-0.52231600112758736</v>
      </c>
      <c r="AI13" s="197">
        <v>12.358049228381274</v>
      </c>
      <c r="AJ13" s="197">
        <v>7.7964281765439196</v>
      </c>
      <c r="AK13" s="197">
        <v>6.9083669476440575</v>
      </c>
      <c r="AL13" s="197">
        <v>0.40308369982926434</v>
      </c>
      <c r="AM13" s="197">
        <v>4.5639077649885653</v>
      </c>
      <c r="AN13" s="142">
        <v>31.507519816259496</v>
      </c>
      <c r="AS13" s="404" t="s">
        <v>760</v>
      </c>
      <c r="AT13" s="349">
        <v>4.8826422106769591</v>
      </c>
      <c r="AU13" s="349">
        <v>5.9101965524671414</v>
      </c>
      <c r="AV13" s="349">
        <v>8.1159749245801045</v>
      </c>
      <c r="AW13" s="349">
        <v>6.8032806849772607</v>
      </c>
      <c r="AX13" s="349">
        <v>0.24948162524381212</v>
      </c>
      <c r="AY13" s="349">
        <v>4.5318584992975763</v>
      </c>
      <c r="AZ13" s="414">
        <v>30.493434497242855</v>
      </c>
      <c r="BA13" s="412">
        <v>47.181159999999998</v>
      </c>
      <c r="BB13" s="412">
        <v>9401.5515400000004</v>
      </c>
      <c r="BC13" s="412">
        <v>-2874.8446599999997</v>
      </c>
      <c r="BD13" s="412">
        <v>-2578.9842699999999</v>
      </c>
    </row>
    <row r="14" spans="1:56">
      <c r="A14" s="293">
        <v>12</v>
      </c>
      <c r="B14" s="294" t="s">
        <v>1146</v>
      </c>
      <c r="C14" s="295">
        <v>0.88648957732973932</v>
      </c>
      <c r="D14" s="295">
        <v>11.281984417556895</v>
      </c>
      <c r="E14" s="295">
        <v>7.7485954973614231</v>
      </c>
      <c r="F14" s="295">
        <v>7.0099972116680931</v>
      </c>
      <c r="G14" s="296">
        <v>10</v>
      </c>
      <c r="H14" s="355">
        <v>4.5789909641032995</v>
      </c>
      <c r="I14" s="364"/>
      <c r="J14" s="358">
        <v>41.506057668019452</v>
      </c>
      <c r="L14" s="136" t="s">
        <v>835</v>
      </c>
      <c r="M14" s="197">
        <v>1.3798152506882932</v>
      </c>
      <c r="N14" s="197">
        <v>3.6601218366882078</v>
      </c>
      <c r="O14" s="197">
        <v>12.113841772497643</v>
      </c>
      <c r="P14" s="197">
        <v>3.9687731415595162</v>
      </c>
      <c r="Q14" s="197">
        <v>4.3232188447877</v>
      </c>
      <c r="R14" s="197">
        <v>5.6471033409329339</v>
      </c>
      <c r="S14" s="142">
        <v>31.092874187154294</v>
      </c>
      <c r="AG14" s="136" t="s">
        <v>835</v>
      </c>
      <c r="AH14" s="197">
        <v>1.3798152506882932</v>
      </c>
      <c r="AI14" s="197">
        <v>2.6985290876161603</v>
      </c>
      <c r="AJ14" s="197">
        <v>14.275500701532048</v>
      </c>
      <c r="AK14" s="197">
        <v>1.3805369281452058</v>
      </c>
      <c r="AL14" s="197">
        <v>3.5360748844993175</v>
      </c>
      <c r="AM14" s="197">
        <v>8.0480034062631329</v>
      </c>
      <c r="AN14" s="142">
        <v>31.318460258744153</v>
      </c>
      <c r="AS14" s="404" t="s">
        <v>1174</v>
      </c>
      <c r="AT14" s="349">
        <v>-16.809724435495777</v>
      </c>
      <c r="AU14" s="349">
        <v>3.1786821073652938</v>
      </c>
      <c r="AV14" s="349">
        <v>13.831740317385343</v>
      </c>
      <c r="AW14" s="349">
        <v>0</v>
      </c>
      <c r="AX14" s="349">
        <v>1.3180022905916864</v>
      </c>
      <c r="AY14" s="349">
        <v>7.3608242292554076</v>
      </c>
      <c r="AZ14" s="414">
        <v>8.8795245091019535</v>
      </c>
      <c r="BA14" s="412">
        <v>151.87559000000002</v>
      </c>
      <c r="BB14" s="412">
        <v>31577.728760000002</v>
      </c>
      <c r="BC14" s="412">
        <v>-10754.115229999996</v>
      </c>
      <c r="BD14" s="412">
        <v>-14372.727920000001</v>
      </c>
    </row>
    <row r="15" spans="1:56">
      <c r="A15" s="293">
        <v>13</v>
      </c>
      <c r="B15" s="294" t="s">
        <v>724</v>
      </c>
      <c r="C15" s="295">
        <v>-0.44321686159359802</v>
      </c>
      <c r="D15" s="295">
        <v>11.761050097730125</v>
      </c>
      <c r="E15" s="295">
        <v>6.223230535502621</v>
      </c>
      <c r="F15" s="295">
        <v>4.7766631076856649</v>
      </c>
      <c r="G15" s="296">
        <v>10</v>
      </c>
      <c r="H15" s="355">
        <v>4.1479789235814826</v>
      </c>
      <c r="I15" s="364"/>
      <c r="J15" s="358">
        <v>36.465705802906292</v>
      </c>
      <c r="L15" s="136" t="s">
        <v>924</v>
      </c>
      <c r="M15" s="197">
        <v>-1.592665309020471</v>
      </c>
      <c r="N15" s="197">
        <v>5.117975179339413</v>
      </c>
      <c r="O15" s="197">
        <v>10.284800919585981</v>
      </c>
      <c r="P15" s="197">
        <v>3.0710734847255892</v>
      </c>
      <c r="Q15" s="197">
        <v>5.5062243959536898</v>
      </c>
      <c r="R15" s="197">
        <v>7.8668451327342375</v>
      </c>
      <c r="S15" s="142">
        <v>30.254253803318441</v>
      </c>
      <c r="AG15" s="136" t="s">
        <v>507</v>
      </c>
      <c r="AH15" s="197">
        <v>-2.5754136902557678</v>
      </c>
      <c r="AI15" s="197">
        <v>6.6463717836186706</v>
      </c>
      <c r="AJ15" s="197">
        <v>10.741978445284744</v>
      </c>
      <c r="AK15" s="197">
        <v>3.5845137808639369</v>
      </c>
      <c r="AL15" s="197">
        <v>5.2926257557516081</v>
      </c>
      <c r="AM15" s="197">
        <v>6.8124139109015394</v>
      </c>
      <c r="AN15" s="142">
        <v>30.502489986164733</v>
      </c>
      <c r="AS15" s="404" t="s">
        <v>138</v>
      </c>
      <c r="AT15" s="349">
        <v>0</v>
      </c>
      <c r="AU15" s="349">
        <v>0</v>
      </c>
      <c r="AV15" s="349">
        <v>0</v>
      </c>
      <c r="AW15" s="349">
        <v>0</v>
      </c>
      <c r="AX15" s="349">
        <v>0</v>
      </c>
      <c r="AY15" s="349">
        <v>0</v>
      </c>
      <c r="AZ15" s="414">
        <v>0</v>
      </c>
      <c r="BA15" s="412">
        <v>0</v>
      </c>
      <c r="BB15" s="412">
        <v>0</v>
      </c>
      <c r="BC15" s="412">
        <v>0</v>
      </c>
      <c r="BD15" s="412">
        <v>0</v>
      </c>
    </row>
    <row r="16" spans="1:56">
      <c r="A16" s="293">
        <v>14</v>
      </c>
      <c r="B16" s="294" t="s">
        <v>924</v>
      </c>
      <c r="C16" s="295">
        <v>-1.592665309020471</v>
      </c>
      <c r="D16" s="295">
        <v>5.117975179339413</v>
      </c>
      <c r="E16" s="295">
        <v>10.284800919585981</v>
      </c>
      <c r="F16" s="295">
        <v>3.0710734847255892</v>
      </c>
      <c r="G16" s="296">
        <v>7.1353728331623563</v>
      </c>
      <c r="H16" s="355">
        <v>7.8668451327342375</v>
      </c>
      <c r="I16" s="364"/>
      <c r="J16" s="358">
        <v>31.883402240527108</v>
      </c>
      <c r="L16" s="136" t="s">
        <v>1771</v>
      </c>
      <c r="M16" s="197">
        <v>1.9788895802889885</v>
      </c>
      <c r="N16" s="197">
        <v>5.150020974525038</v>
      </c>
      <c r="O16" s="197">
        <v>9.1875761563416418</v>
      </c>
      <c r="P16" s="197">
        <v>0.36114596156983891</v>
      </c>
      <c r="Q16" s="197">
        <v>4.3227133171317922</v>
      </c>
      <c r="R16" s="197">
        <v>9.1793754730297152</v>
      </c>
      <c r="S16" s="142">
        <v>30.179721462887017</v>
      </c>
      <c r="AG16" s="136" t="s">
        <v>924</v>
      </c>
      <c r="AH16" s="197">
        <v>-1.592665309020471</v>
      </c>
      <c r="AI16" s="197">
        <v>3.8395223367281148</v>
      </c>
      <c r="AJ16" s="197">
        <v>11.978563997777496</v>
      </c>
      <c r="AK16" s="197">
        <v>1.8760544512839359</v>
      </c>
      <c r="AL16" s="197">
        <v>5.0778343411633182</v>
      </c>
      <c r="AM16" s="197">
        <v>8.2466032682845931</v>
      </c>
      <c r="AN16" s="142">
        <v>29.425913086216987</v>
      </c>
      <c r="AS16" s="404" t="s">
        <v>209</v>
      </c>
      <c r="AT16" s="349">
        <v>0</v>
      </c>
      <c r="AU16" s="349">
        <v>0</v>
      </c>
      <c r="AV16" s="349">
        <v>0</v>
      </c>
      <c r="AW16" s="349">
        <v>0</v>
      </c>
      <c r="AX16" s="349">
        <v>0</v>
      </c>
      <c r="AY16" s="349">
        <v>0</v>
      </c>
      <c r="AZ16" s="414">
        <v>0</v>
      </c>
      <c r="BA16" s="412">
        <v>0</v>
      </c>
      <c r="BB16" s="412">
        <v>0</v>
      </c>
      <c r="BC16" s="412">
        <v>0</v>
      </c>
      <c r="BD16" s="412">
        <v>0</v>
      </c>
    </row>
    <row r="17" spans="1:56">
      <c r="A17" s="293">
        <v>15</v>
      </c>
      <c r="B17" s="294" t="s">
        <v>760</v>
      </c>
      <c r="C17" s="295">
        <v>-1.7963554676877571</v>
      </c>
      <c r="D17" s="295">
        <v>7.2229363405353633</v>
      </c>
      <c r="E17" s="295">
        <v>7.8841474308495361</v>
      </c>
      <c r="F17" s="295">
        <v>6.5458121882094558</v>
      </c>
      <c r="G17" s="296">
        <v>6.9703130378730354</v>
      </c>
      <c r="H17" s="355">
        <v>2.9626340105345887</v>
      </c>
      <c r="I17" s="364"/>
      <c r="J17" s="358">
        <v>29.789487540314223</v>
      </c>
      <c r="L17" s="136" t="s">
        <v>507</v>
      </c>
      <c r="M17" s="197">
        <v>-2.5754136902557678</v>
      </c>
      <c r="N17" s="197">
        <v>6.6214355181044002</v>
      </c>
      <c r="O17" s="197">
        <v>9.3934175889412153</v>
      </c>
      <c r="P17" s="197">
        <v>3.7864979595758972</v>
      </c>
      <c r="Q17" s="197">
        <v>5.3732018305156881</v>
      </c>
      <c r="R17" s="197">
        <v>6.5520389394013483</v>
      </c>
      <c r="S17" s="142">
        <v>29.151178146282781</v>
      </c>
      <c r="AG17" s="136" t="s">
        <v>1771</v>
      </c>
      <c r="AH17" s="197">
        <v>1.9788895802889885</v>
      </c>
      <c r="AI17" s="197">
        <v>3.4373461490240986</v>
      </c>
      <c r="AJ17" s="197">
        <v>10.089526346599239</v>
      </c>
      <c r="AK17" s="197">
        <v>0.30341254479683694</v>
      </c>
      <c r="AL17" s="197">
        <v>3.7550402983790399</v>
      </c>
      <c r="AM17" s="197">
        <v>9.1199814828290897</v>
      </c>
      <c r="AN17" s="142">
        <v>28.684196401917291</v>
      </c>
      <c r="AS17" s="404" t="s">
        <v>248</v>
      </c>
      <c r="AT17" s="349">
        <v>0</v>
      </c>
      <c r="AU17" s="349">
        <v>0</v>
      </c>
      <c r="AV17" s="349">
        <v>0</v>
      </c>
      <c r="AW17" s="349">
        <v>0</v>
      </c>
      <c r="AX17" s="349">
        <v>0</v>
      </c>
      <c r="AY17" s="349">
        <v>0</v>
      </c>
      <c r="AZ17" s="414">
        <v>0</v>
      </c>
      <c r="BA17" s="412">
        <v>0</v>
      </c>
      <c r="BB17" s="412">
        <v>0</v>
      </c>
      <c r="BC17" s="412">
        <v>0</v>
      </c>
      <c r="BD17" s="412">
        <v>0</v>
      </c>
    </row>
    <row r="18" spans="1:56" customFormat="1" ht="20">
      <c r="A18" s="10"/>
      <c r="B18" s="136" t="s">
        <v>540</v>
      </c>
      <c r="C18" s="197">
        <v>-3.5924688131143832</v>
      </c>
      <c r="D18" s="197">
        <v>10.344039926718709</v>
      </c>
      <c r="E18" s="197">
        <v>5.4406886728169299</v>
      </c>
      <c r="F18" s="197">
        <v>2.5559739961085821</v>
      </c>
      <c r="G18" s="197">
        <v>8.8471833834829905</v>
      </c>
      <c r="H18" s="356">
        <v>7.3829870889800331</v>
      </c>
      <c r="I18" s="365"/>
      <c r="J18" s="359">
        <v>30.978404254992864</v>
      </c>
      <c r="L18" s="136" t="s">
        <v>610</v>
      </c>
      <c r="M18" s="197">
        <v>-8.1634351221178978</v>
      </c>
      <c r="N18" s="197">
        <v>7.5054724360465555</v>
      </c>
      <c r="O18" s="197">
        <v>11.683257433058765</v>
      </c>
      <c r="P18" s="197">
        <v>1.5136709682626246</v>
      </c>
      <c r="Q18" s="197">
        <v>6.765220321424624</v>
      </c>
      <c r="R18" s="197">
        <v>8.9050636341754377</v>
      </c>
      <c r="S18" s="142">
        <v>28.209249670850109</v>
      </c>
      <c r="AG18" s="136" t="s">
        <v>610</v>
      </c>
      <c r="AH18" s="197">
        <v>-8.1634351221178978</v>
      </c>
      <c r="AI18" s="197">
        <v>6.9198992030774944</v>
      </c>
      <c r="AJ18" s="197">
        <v>11.641257661348758</v>
      </c>
      <c r="AK18" s="197">
        <v>1.5730286546791483</v>
      </c>
      <c r="AL18" s="197">
        <v>6.7557100268566419</v>
      </c>
      <c r="AM18" s="197">
        <v>7.9910050122557834</v>
      </c>
      <c r="AN18" s="142">
        <v>26.717465436099928</v>
      </c>
      <c r="AS18" s="404" t="s">
        <v>283</v>
      </c>
      <c r="AT18" s="349">
        <v>0</v>
      </c>
      <c r="AU18" s="349">
        <v>0</v>
      </c>
      <c r="AV18" s="349">
        <v>0</v>
      </c>
      <c r="AW18" s="349">
        <v>0</v>
      </c>
      <c r="AX18" s="349">
        <v>0</v>
      </c>
      <c r="AY18" s="349">
        <v>0</v>
      </c>
      <c r="AZ18" s="414">
        <v>0</v>
      </c>
      <c r="BA18" s="412">
        <v>0</v>
      </c>
      <c r="BB18" s="412">
        <v>0</v>
      </c>
      <c r="BC18" s="412">
        <v>0</v>
      </c>
      <c r="BD18" s="412">
        <v>0</v>
      </c>
    </row>
    <row r="19" spans="1:56">
      <c r="A19" s="293">
        <v>17</v>
      </c>
      <c r="B19" s="294" t="s">
        <v>507</v>
      </c>
      <c r="C19" s="295">
        <v>-2.5754136902557678</v>
      </c>
      <c r="D19" s="295">
        <v>6.6214355181044002</v>
      </c>
      <c r="E19" s="295">
        <v>9.3934175889412153</v>
      </c>
      <c r="F19" s="295">
        <v>3.7864979595758972</v>
      </c>
      <c r="G19" s="296">
        <v>7.9231372619866454</v>
      </c>
      <c r="H19" s="295">
        <v>6.5520389394013483</v>
      </c>
      <c r="I19" s="362"/>
      <c r="J19" s="297">
        <v>31.701113577753741</v>
      </c>
      <c r="L19" s="298" t="s">
        <v>540</v>
      </c>
      <c r="M19" s="197">
        <v>-3.5924688131143832</v>
      </c>
      <c r="N19" s="197">
        <v>10.344039926718709</v>
      </c>
      <c r="O19" s="197">
        <v>5.4406886728169299</v>
      </c>
      <c r="P19" s="197">
        <v>2.5559739961085821</v>
      </c>
      <c r="Q19" s="197">
        <v>5.229086340063513</v>
      </c>
      <c r="R19" s="197">
        <v>7.3829870889800331</v>
      </c>
      <c r="S19" s="142">
        <v>27.360307211573385</v>
      </c>
      <c r="AG19" s="298" t="s">
        <v>540</v>
      </c>
      <c r="AH19" s="197">
        <v>-3.5924688131143832</v>
      </c>
      <c r="AI19" s="197">
        <v>9.324363465661003</v>
      </c>
      <c r="AJ19" s="197">
        <v>5.4453367572910931</v>
      </c>
      <c r="AK19" s="197">
        <v>2.4437623082200668</v>
      </c>
      <c r="AL19" s="197">
        <v>5.0363956902681313</v>
      </c>
      <c r="AM19" s="197">
        <v>7.0771360261516403</v>
      </c>
      <c r="AN19" s="142">
        <v>25.734525434477554</v>
      </c>
      <c r="AS19" s="404" t="s">
        <v>374</v>
      </c>
      <c r="AT19" s="349">
        <v>0</v>
      </c>
      <c r="AU19" s="349">
        <v>0</v>
      </c>
      <c r="AV19" s="349">
        <v>0</v>
      </c>
      <c r="AW19" s="349">
        <v>0</v>
      </c>
      <c r="AX19" s="349">
        <v>0</v>
      </c>
      <c r="AY19" s="349">
        <v>0</v>
      </c>
      <c r="AZ19" s="414">
        <v>0</v>
      </c>
      <c r="BA19" s="412">
        <v>0</v>
      </c>
      <c r="BB19" s="412">
        <v>0</v>
      </c>
      <c r="BC19" s="412">
        <v>0</v>
      </c>
      <c r="BD19" s="412">
        <v>0</v>
      </c>
    </row>
    <row r="20" spans="1:56">
      <c r="A20" s="293">
        <v>18</v>
      </c>
      <c r="B20" s="294" t="s">
        <v>999</v>
      </c>
      <c r="C20" s="295">
        <v>-3.2459743158504804</v>
      </c>
      <c r="D20" s="295">
        <v>7.7049476756447941</v>
      </c>
      <c r="E20" s="295">
        <v>5.1502484217171443</v>
      </c>
      <c r="F20" s="295">
        <v>7.1542221009545335</v>
      </c>
      <c r="G20" s="296">
        <v>3.050234043178774</v>
      </c>
      <c r="H20" s="355">
        <v>1.9602556128151183</v>
      </c>
      <c r="I20" s="364"/>
      <c r="J20" s="358">
        <v>21.773933538459886</v>
      </c>
      <c r="L20" s="136" t="s">
        <v>760</v>
      </c>
      <c r="M20" s="197">
        <v>-1.7963554676877571</v>
      </c>
      <c r="N20" s="197">
        <v>7.2229363405353633</v>
      </c>
      <c r="O20" s="197">
        <v>7.8841474308495361</v>
      </c>
      <c r="P20" s="197">
        <v>6.5458121882094558</v>
      </c>
      <c r="Q20" s="197">
        <v>2.8750146299256971</v>
      </c>
      <c r="R20" s="197">
        <v>2.9626340105345887</v>
      </c>
      <c r="S20" s="142">
        <v>25.694189132366887</v>
      </c>
      <c r="AG20" s="136" t="s">
        <v>760</v>
      </c>
      <c r="AH20" s="197">
        <v>-1.7963554676877571</v>
      </c>
      <c r="AI20" s="197">
        <v>5.5766393533030847</v>
      </c>
      <c r="AJ20" s="197">
        <v>9.7255841841414963</v>
      </c>
      <c r="AK20" s="197">
        <v>3.0085081457233844</v>
      </c>
      <c r="AL20" s="197">
        <v>1.864701566464678</v>
      </c>
      <c r="AM20" s="197">
        <v>6.6077772777949964</v>
      </c>
      <c r="AN20" s="142">
        <v>24.986855059739881</v>
      </c>
      <c r="AS20" s="404" t="s">
        <v>408</v>
      </c>
      <c r="AT20" s="349">
        <v>0</v>
      </c>
      <c r="AU20" s="349">
        <v>0</v>
      </c>
      <c r="AV20" s="349">
        <v>0</v>
      </c>
      <c r="AW20" s="349">
        <v>0</v>
      </c>
      <c r="AX20" s="349">
        <v>0</v>
      </c>
      <c r="AY20" s="349">
        <v>0</v>
      </c>
      <c r="AZ20" s="414">
        <v>0</v>
      </c>
      <c r="BA20" s="412">
        <v>0</v>
      </c>
      <c r="BB20" s="412">
        <v>0</v>
      </c>
      <c r="BC20" s="412">
        <v>0</v>
      </c>
      <c r="BD20" s="412">
        <v>0</v>
      </c>
    </row>
    <row r="21" spans="1:56">
      <c r="A21" s="293">
        <v>19</v>
      </c>
      <c r="B21" s="294" t="s">
        <v>283</v>
      </c>
      <c r="C21" s="295">
        <v>-5.2855878904385838</v>
      </c>
      <c r="D21" s="295">
        <v>11.07005315869675</v>
      </c>
      <c r="E21" s="295">
        <v>6.6123077143128794</v>
      </c>
      <c r="F21" s="295">
        <v>7.1089403366539941</v>
      </c>
      <c r="G21" s="296">
        <v>7.5666295898593079</v>
      </c>
      <c r="H21" s="355">
        <v>2.2143100377714573</v>
      </c>
      <c r="I21" s="364"/>
      <c r="J21" s="358">
        <v>29.286652946855803</v>
      </c>
      <c r="L21" s="136" t="s">
        <v>283</v>
      </c>
      <c r="M21" s="197">
        <v>-5.2855878904385838</v>
      </c>
      <c r="N21" s="197">
        <v>11.07005315869675</v>
      </c>
      <c r="O21" s="197">
        <v>6.6123077143128794</v>
      </c>
      <c r="P21" s="197">
        <v>7.1089403366539941</v>
      </c>
      <c r="Q21" s="197">
        <v>3.7136495410704029</v>
      </c>
      <c r="R21" s="197">
        <v>2.2143100377714573</v>
      </c>
      <c r="S21" s="142">
        <v>25.433672898066899</v>
      </c>
      <c r="AG21" s="136" t="s">
        <v>283</v>
      </c>
      <c r="AH21" s="197">
        <v>-5.2855878904385838</v>
      </c>
      <c r="AI21" s="197">
        <v>9.5730750127921258</v>
      </c>
      <c r="AJ21" s="197">
        <v>8.2530218714337451</v>
      </c>
      <c r="AK21" s="197">
        <v>3.7510600877374358</v>
      </c>
      <c r="AL21" s="197">
        <v>2.8890205544356347</v>
      </c>
      <c r="AM21" s="197">
        <v>5.4773392379804333</v>
      </c>
      <c r="AN21" s="142">
        <v>24.657928873940794</v>
      </c>
      <c r="AS21" s="404" t="s">
        <v>507</v>
      </c>
      <c r="AT21" s="349">
        <v>0</v>
      </c>
      <c r="AU21" s="349">
        <v>0</v>
      </c>
      <c r="AV21" s="349">
        <v>0</v>
      </c>
      <c r="AW21" s="349">
        <v>0</v>
      </c>
      <c r="AX21" s="349">
        <v>0</v>
      </c>
      <c r="AY21" s="349">
        <v>0</v>
      </c>
      <c r="AZ21" s="414">
        <v>0</v>
      </c>
      <c r="BA21" s="412">
        <v>0</v>
      </c>
      <c r="BB21" s="412">
        <v>0</v>
      </c>
      <c r="BC21" s="412">
        <v>0</v>
      </c>
      <c r="BD21" s="412">
        <v>0</v>
      </c>
    </row>
    <row r="22" spans="1:56">
      <c r="A22" s="293">
        <v>20</v>
      </c>
      <c r="B22" s="294" t="s">
        <v>374</v>
      </c>
      <c r="C22" s="295">
        <v>-6.8633127257932172</v>
      </c>
      <c r="D22" s="295">
        <v>9.1303632260452776</v>
      </c>
      <c r="E22" s="295">
        <v>6.208130205865185</v>
      </c>
      <c r="F22" s="295">
        <v>4.63654732816783</v>
      </c>
      <c r="G22" s="296">
        <v>5.9741660800146512</v>
      </c>
      <c r="H22" s="355">
        <v>5.8932549488740147</v>
      </c>
      <c r="I22" s="364"/>
      <c r="J22" s="358">
        <v>24.979149063173743</v>
      </c>
      <c r="L22" s="136" t="s">
        <v>374</v>
      </c>
      <c r="M22" s="197">
        <v>-6.8633127257932172</v>
      </c>
      <c r="N22" s="197">
        <v>9.1303632260452776</v>
      </c>
      <c r="O22" s="197">
        <v>6.208130205865185</v>
      </c>
      <c r="P22" s="197">
        <v>4.63654732816783</v>
      </c>
      <c r="Q22" s="197">
        <v>2.6877055618346359</v>
      </c>
      <c r="R22" s="197">
        <v>5.8932549488740147</v>
      </c>
      <c r="S22" s="142">
        <v>21.692688544993729</v>
      </c>
      <c r="AG22" s="136" t="s">
        <v>999</v>
      </c>
      <c r="AH22" s="197">
        <v>-3.2459743158504804</v>
      </c>
      <c r="AI22" s="197">
        <v>7.9544991115764798</v>
      </c>
      <c r="AJ22" s="197">
        <v>6.6720816204677043</v>
      </c>
      <c r="AK22" s="197">
        <v>7.0128838419122985</v>
      </c>
      <c r="AL22" s="197">
        <v>0.26073039251603897</v>
      </c>
      <c r="AM22" s="197">
        <v>3.5362121943842437</v>
      </c>
      <c r="AN22" s="142">
        <v>22.190432845006285</v>
      </c>
      <c r="AS22" s="404" t="s">
        <v>474</v>
      </c>
      <c r="AT22" s="349">
        <v>0</v>
      </c>
      <c r="AU22" s="349">
        <v>0</v>
      </c>
      <c r="AV22" s="349">
        <v>0</v>
      </c>
      <c r="AW22" s="349">
        <v>0</v>
      </c>
      <c r="AX22" s="349">
        <v>0</v>
      </c>
      <c r="AY22" s="349">
        <v>0</v>
      </c>
      <c r="AZ22" s="414">
        <v>0</v>
      </c>
      <c r="BA22" s="412">
        <v>0</v>
      </c>
      <c r="BB22" s="412">
        <v>0</v>
      </c>
      <c r="BC22" s="412">
        <v>0</v>
      </c>
      <c r="BD22" s="412">
        <v>0</v>
      </c>
    </row>
    <row r="23" spans="1:56">
      <c r="A23" s="293">
        <v>21</v>
      </c>
      <c r="B23" s="294" t="s">
        <v>610</v>
      </c>
      <c r="C23" s="295">
        <v>-8.1634351221178978</v>
      </c>
      <c r="D23" s="295">
        <v>7.5054724360465555</v>
      </c>
      <c r="E23" s="295">
        <v>11.683257433058765</v>
      </c>
      <c r="F23" s="295">
        <v>1.5136709682626246</v>
      </c>
      <c r="G23" s="296">
        <v>6.765220321424624</v>
      </c>
      <c r="H23" s="355">
        <v>8.9050636341754377</v>
      </c>
      <c r="I23" s="364"/>
      <c r="J23" s="358">
        <v>28.209249670850109</v>
      </c>
      <c r="L23" s="136" t="s">
        <v>1174</v>
      </c>
      <c r="M23" s="197">
        <v>-8.9550518886291854</v>
      </c>
      <c r="N23" s="197">
        <v>6.6289293892274594</v>
      </c>
      <c r="O23" s="197">
        <v>12.206030552815372</v>
      </c>
      <c r="P23" s="197">
        <v>2.4442306310281214</v>
      </c>
      <c r="Q23" s="197">
        <v>1.8451556226288202</v>
      </c>
      <c r="R23" s="197">
        <v>7.2601997492849843</v>
      </c>
      <c r="S23" s="142">
        <v>21.429494056355573</v>
      </c>
      <c r="AG23" s="136" t="s">
        <v>1174</v>
      </c>
      <c r="AH23" s="197">
        <v>-8.9550518886291854</v>
      </c>
      <c r="AI23" s="197">
        <v>6.3140965903784156</v>
      </c>
      <c r="AJ23" s="197">
        <v>12.693231926970682</v>
      </c>
      <c r="AK23" s="197">
        <v>1.4966897189564297</v>
      </c>
      <c r="AL23" s="197">
        <v>1.5949893722619526</v>
      </c>
      <c r="AM23" s="197">
        <v>7.0991183811582044</v>
      </c>
      <c r="AN23" s="142">
        <v>20.2430741010965</v>
      </c>
      <c r="AS23" s="404" t="s">
        <v>540</v>
      </c>
      <c r="AT23" s="349">
        <v>0</v>
      </c>
      <c r="AU23" s="349">
        <v>0</v>
      </c>
      <c r="AV23" s="349">
        <v>0</v>
      </c>
      <c r="AW23" s="349">
        <v>0</v>
      </c>
      <c r="AX23" s="349">
        <v>0</v>
      </c>
      <c r="AY23" s="349">
        <v>0</v>
      </c>
      <c r="AZ23" s="414">
        <v>0</v>
      </c>
      <c r="BA23" s="412">
        <v>0</v>
      </c>
      <c r="BB23" s="412">
        <v>0</v>
      </c>
      <c r="BC23" s="412">
        <v>0</v>
      </c>
      <c r="BD23" s="412">
        <v>0</v>
      </c>
    </row>
    <row r="24" spans="1:56">
      <c r="A24" s="293">
        <v>22</v>
      </c>
      <c r="B24" s="294" t="s">
        <v>1174</v>
      </c>
      <c r="C24" s="295">
        <v>-8.9550518886291854</v>
      </c>
      <c r="D24" s="295">
        <v>6.6289293892274594</v>
      </c>
      <c r="E24" s="295">
        <v>12.206030552815372</v>
      </c>
      <c r="F24" s="295">
        <v>2.4442306310281214</v>
      </c>
      <c r="G24" s="296">
        <v>2.392913200412381</v>
      </c>
      <c r="H24" s="355">
        <v>7.2601997492849843</v>
      </c>
      <c r="I24" s="364"/>
      <c r="J24" s="358">
        <v>21.977251634139137</v>
      </c>
      <c r="L24" s="136" t="s">
        <v>999</v>
      </c>
      <c r="M24" s="197">
        <v>-3.2459743158504804</v>
      </c>
      <c r="N24" s="197">
        <v>7.7049476756447941</v>
      </c>
      <c r="O24" s="197">
        <v>5.1502484217171443</v>
      </c>
      <c r="P24" s="197">
        <v>7.1542221009545335</v>
      </c>
      <c r="Q24" s="197">
        <v>1.5329757780376658</v>
      </c>
      <c r="R24" s="197">
        <v>1.9602556128151183</v>
      </c>
      <c r="S24" s="142">
        <v>20.256675273318777</v>
      </c>
      <c r="AG24" s="136" t="s">
        <v>374</v>
      </c>
      <c r="AH24" s="197">
        <v>-6.8633127257932172</v>
      </c>
      <c r="AI24" s="197">
        <v>8.0718248786432518</v>
      </c>
      <c r="AJ24" s="197">
        <v>6.3769235498070875</v>
      </c>
      <c r="AK24" s="197">
        <v>3.926703858603549</v>
      </c>
      <c r="AL24" s="197">
        <v>2.3360821940750545</v>
      </c>
      <c r="AM24" s="197">
        <v>5.9920100842905892</v>
      </c>
      <c r="AN24" s="142">
        <v>19.840231839626313</v>
      </c>
      <c r="AS24" s="404" t="s">
        <v>567</v>
      </c>
      <c r="AT24" s="349">
        <v>0</v>
      </c>
      <c r="AU24" s="349">
        <v>0</v>
      </c>
      <c r="AV24" s="349">
        <v>0</v>
      </c>
      <c r="AW24" s="349">
        <v>0</v>
      </c>
      <c r="AX24" s="349">
        <v>0</v>
      </c>
      <c r="AY24" s="349">
        <v>0</v>
      </c>
      <c r="AZ24" s="414">
        <v>0</v>
      </c>
      <c r="BA24" s="412">
        <v>0</v>
      </c>
      <c r="BB24" s="412">
        <v>0</v>
      </c>
      <c r="BC24" s="412">
        <v>0</v>
      </c>
      <c r="BD24" s="412">
        <v>0</v>
      </c>
    </row>
    <row r="25" spans="1:56">
      <c r="A25" s="293">
        <v>23</v>
      </c>
      <c r="B25" s="294" t="s">
        <v>1123</v>
      </c>
      <c r="C25" s="295">
        <v>-15.694153671926244</v>
      </c>
      <c r="D25" s="295">
        <v>5.2276712964725478</v>
      </c>
      <c r="E25" s="295">
        <v>6.9539379045505276</v>
      </c>
      <c r="F25" s="295">
        <v>4.8315350710170382</v>
      </c>
      <c r="G25" s="296">
        <v>2.0173521718824778</v>
      </c>
      <c r="H25" s="355">
        <v>6.4767273971202819</v>
      </c>
      <c r="I25" s="364"/>
      <c r="J25" s="358">
        <v>9.813070169116628</v>
      </c>
      <c r="L25" s="136" t="s">
        <v>317</v>
      </c>
      <c r="M25" s="197">
        <v>-18.586568194696202</v>
      </c>
      <c r="N25" s="197">
        <v>11.616301814536879</v>
      </c>
      <c r="O25" s="197">
        <v>7.8286388374609137</v>
      </c>
      <c r="P25" s="197">
        <v>7.2692263525891452</v>
      </c>
      <c r="Q25" s="197">
        <v>3.266742920766764</v>
      </c>
      <c r="R25" s="197">
        <v>4.1328666381473473</v>
      </c>
      <c r="S25" s="142">
        <v>15.527208368804846</v>
      </c>
      <c r="AG25" s="136" t="s">
        <v>651</v>
      </c>
      <c r="AH25" s="197">
        <v>-16.221576858770817</v>
      </c>
      <c r="AI25" s="197">
        <v>11.311833868959239</v>
      </c>
      <c r="AJ25" s="197">
        <v>9.2227516171639685</v>
      </c>
      <c r="AK25" s="197">
        <v>5.1732939162506826</v>
      </c>
      <c r="AL25" s="197">
        <v>1.9505500057255578</v>
      </c>
      <c r="AM25" s="197">
        <v>4.5332825861686237</v>
      </c>
      <c r="AN25" s="142">
        <v>15.970135135497255</v>
      </c>
      <c r="AS25" s="404" t="s">
        <v>632</v>
      </c>
      <c r="AT25" s="349">
        <v>0</v>
      </c>
      <c r="AU25" s="349">
        <v>0</v>
      </c>
      <c r="AV25" s="349">
        <v>0</v>
      </c>
      <c r="AW25" s="349">
        <v>0</v>
      </c>
      <c r="AX25" s="349">
        <v>0</v>
      </c>
      <c r="AY25" s="349">
        <v>0</v>
      </c>
      <c r="AZ25" s="414">
        <v>0</v>
      </c>
      <c r="BA25" s="412">
        <v>0</v>
      </c>
      <c r="BB25" s="412">
        <v>0</v>
      </c>
      <c r="BC25" s="412">
        <v>0</v>
      </c>
      <c r="BD25" s="412">
        <v>0</v>
      </c>
    </row>
    <row r="26" spans="1:56">
      <c r="A26" s="293">
        <v>24</v>
      </c>
      <c r="B26" s="294" t="s">
        <v>651</v>
      </c>
      <c r="C26" s="295">
        <v>-16.221576858770817</v>
      </c>
      <c r="D26" s="295">
        <v>12.634753475242347</v>
      </c>
      <c r="E26" s="295">
        <v>5.994889867604682</v>
      </c>
      <c r="F26" s="295">
        <v>8.9472289358339356</v>
      </c>
      <c r="G26" s="296">
        <v>9.8556767453745167</v>
      </c>
      <c r="H26" s="355">
        <v>0</v>
      </c>
      <c r="I26" s="364"/>
      <c r="J26" s="358">
        <v>21.210972165284666</v>
      </c>
      <c r="L26" s="136" t="s">
        <v>651</v>
      </c>
      <c r="M26" s="197">
        <v>-16.221576858770817</v>
      </c>
      <c r="N26" s="197">
        <v>12.634753475242347</v>
      </c>
      <c r="O26" s="197">
        <v>5.994889867604682</v>
      </c>
      <c r="P26" s="197">
        <v>8.9472289358339356</v>
      </c>
      <c r="Q26" s="197">
        <v>3.490230689098142</v>
      </c>
      <c r="R26" s="197">
        <v>0</v>
      </c>
      <c r="S26" s="142">
        <v>14.84552610900829</v>
      </c>
      <c r="AG26" s="136" t="s">
        <v>317</v>
      </c>
      <c r="AH26" s="197">
        <v>-18.586568194696202</v>
      </c>
      <c r="AI26" s="197">
        <v>8.0799407928471449</v>
      </c>
      <c r="AJ26" s="197">
        <v>9.5796294112005622</v>
      </c>
      <c r="AK26" s="197">
        <v>5.2821220957089769</v>
      </c>
      <c r="AL26" s="197">
        <v>2.1858110292200577</v>
      </c>
      <c r="AM26" s="197">
        <v>5.6484309816760225</v>
      </c>
      <c r="AN26" s="142">
        <v>12.189366115956563</v>
      </c>
      <c r="AS26" s="404" t="s">
        <v>893</v>
      </c>
      <c r="AT26" s="349">
        <v>0</v>
      </c>
      <c r="AU26" s="349">
        <v>0</v>
      </c>
      <c r="AV26" s="349">
        <v>0</v>
      </c>
      <c r="AW26" s="349">
        <v>0</v>
      </c>
      <c r="AX26" s="349">
        <v>0</v>
      </c>
      <c r="AY26" s="349">
        <v>0</v>
      </c>
      <c r="AZ26" s="414">
        <v>0</v>
      </c>
      <c r="BA26" s="412">
        <v>0</v>
      </c>
      <c r="BB26" s="412">
        <v>0</v>
      </c>
      <c r="BC26" s="412">
        <v>0</v>
      </c>
      <c r="BD26" s="412">
        <v>0</v>
      </c>
    </row>
    <row r="27" spans="1:56" customFormat="1" ht="20">
      <c r="A27" s="10"/>
      <c r="B27" s="136" t="s">
        <v>1574</v>
      </c>
      <c r="C27" s="197">
        <v>-12.213515962516897</v>
      </c>
      <c r="D27" s="197">
        <v>4.8181158776489248</v>
      </c>
      <c r="E27" s="197">
        <v>7.4411892268847302</v>
      </c>
      <c r="F27" s="197">
        <v>1.3245844628894994</v>
      </c>
      <c r="G27" s="197">
        <v>2.6249978134138829</v>
      </c>
      <c r="H27" s="356">
        <v>6.7816489888626643</v>
      </c>
      <c r="I27" s="365"/>
      <c r="J27" s="359">
        <v>10.777020407182803</v>
      </c>
      <c r="L27" s="298" t="s">
        <v>1574</v>
      </c>
      <c r="M27" s="197">
        <v>-12.213515962516897</v>
      </c>
      <c r="N27" s="197">
        <v>4.8181158776489248</v>
      </c>
      <c r="O27" s="197">
        <v>7.4411892268847302</v>
      </c>
      <c r="P27" s="197">
        <v>1.3245844628894994</v>
      </c>
      <c r="Q27" s="197">
        <v>1.8046859967220445</v>
      </c>
      <c r="R27" s="197">
        <v>6.7816489888626643</v>
      </c>
      <c r="S27" s="142">
        <v>9.9567085904909653</v>
      </c>
      <c r="AG27" s="136" t="s">
        <v>1123</v>
      </c>
      <c r="AH27" s="197">
        <v>-15.694153671926244</v>
      </c>
      <c r="AI27" s="197">
        <v>4.3548604996866986</v>
      </c>
      <c r="AJ27" s="197">
        <v>7.3520037455628735</v>
      </c>
      <c r="AK27" s="197">
        <v>4.9318262818092862</v>
      </c>
      <c r="AL27" s="197">
        <v>0.85417175221085706</v>
      </c>
      <c r="AM27" s="197">
        <v>5.638306551320043</v>
      </c>
      <c r="AN27" s="142">
        <v>7.4370151586635131</v>
      </c>
      <c r="AS27" s="404" t="s">
        <v>924</v>
      </c>
      <c r="AT27" s="349">
        <v>0</v>
      </c>
      <c r="AU27" s="349">
        <v>0</v>
      </c>
      <c r="AV27" s="349">
        <v>0</v>
      </c>
      <c r="AW27" s="349">
        <v>0</v>
      </c>
      <c r="AX27" s="349">
        <v>0</v>
      </c>
      <c r="AY27" s="349">
        <v>0</v>
      </c>
      <c r="AZ27" s="414">
        <v>0</v>
      </c>
      <c r="BA27" s="412">
        <v>0</v>
      </c>
      <c r="BB27" s="412">
        <v>0</v>
      </c>
      <c r="BC27" s="412">
        <v>0</v>
      </c>
      <c r="BD27" s="412">
        <v>0</v>
      </c>
    </row>
    <row r="28" spans="1:56">
      <c r="A28" s="293">
        <v>26</v>
      </c>
      <c r="B28" s="294" t="s">
        <v>248</v>
      </c>
      <c r="C28" s="295">
        <v>-18.421650904140062</v>
      </c>
      <c r="D28" s="295">
        <v>7.4573638514334535</v>
      </c>
      <c r="E28" s="295">
        <v>4.5364127385619657</v>
      </c>
      <c r="F28" s="295">
        <v>4.0072327531921452</v>
      </c>
      <c r="G28" s="296">
        <v>5.8030555749230341</v>
      </c>
      <c r="H28" s="295">
        <v>1.0836224795239473</v>
      </c>
      <c r="I28" s="362"/>
      <c r="J28" s="297">
        <v>4.4660364934944834</v>
      </c>
      <c r="L28" s="136" t="s">
        <v>1123</v>
      </c>
      <c r="M28" s="197">
        <v>-15.694153671926244</v>
      </c>
      <c r="N28" s="197">
        <v>5.2276712964725478</v>
      </c>
      <c r="O28" s="197">
        <v>6.9539379045505276</v>
      </c>
      <c r="P28" s="197">
        <v>4.8315350710170382</v>
      </c>
      <c r="Q28" s="197">
        <v>1.1116657754257799</v>
      </c>
      <c r="R28" s="197">
        <v>6.4767273971202819</v>
      </c>
      <c r="S28" s="142">
        <v>8.9073837726599301</v>
      </c>
      <c r="AG28" s="298" t="s">
        <v>1574</v>
      </c>
      <c r="AH28" s="197">
        <v>-12.213515962516897</v>
      </c>
      <c r="AI28" s="197">
        <v>1.8843047382515472</v>
      </c>
      <c r="AJ28" s="197">
        <v>8.5063701738439566</v>
      </c>
      <c r="AK28" s="197">
        <v>0.65446440823121466</v>
      </c>
      <c r="AL28" s="197">
        <v>4.0694009765525847E-2</v>
      </c>
      <c r="AM28" s="197">
        <v>7.5410686315852891</v>
      </c>
      <c r="AN28" s="142">
        <v>6.4133859991606359</v>
      </c>
      <c r="AS28" s="404" t="s">
        <v>1574</v>
      </c>
      <c r="AT28" s="349">
        <v>0</v>
      </c>
      <c r="AU28" s="349">
        <v>0</v>
      </c>
      <c r="AV28" s="349">
        <v>0</v>
      </c>
      <c r="AW28" s="349">
        <v>0</v>
      </c>
      <c r="AX28" s="349">
        <v>0</v>
      </c>
      <c r="AY28" s="349">
        <v>0</v>
      </c>
      <c r="AZ28" s="414">
        <v>0</v>
      </c>
      <c r="BA28" s="412">
        <v>0</v>
      </c>
      <c r="BB28" s="412">
        <v>0</v>
      </c>
      <c r="BC28" s="412">
        <v>0</v>
      </c>
      <c r="BD28" s="412">
        <v>0</v>
      </c>
    </row>
    <row r="29" spans="1:56">
      <c r="A29" s="293">
        <v>27</v>
      </c>
      <c r="B29" s="294" t="s">
        <v>317</v>
      </c>
      <c r="C29" s="295">
        <v>-18.586568194696202</v>
      </c>
      <c r="D29" s="295">
        <v>11.616301814536879</v>
      </c>
      <c r="E29" s="295">
        <v>7.8286388374609137</v>
      </c>
      <c r="F29" s="295">
        <v>7.2692263525891452</v>
      </c>
      <c r="G29" s="296">
        <v>4.4055063453115215</v>
      </c>
      <c r="H29" s="355">
        <v>4.1328666381473473</v>
      </c>
      <c r="I29" s="364"/>
      <c r="J29" s="358">
        <v>16.665971793349605</v>
      </c>
      <c r="L29" s="136" t="s">
        <v>248</v>
      </c>
      <c r="M29" s="197">
        <v>-18.421650904140062</v>
      </c>
      <c r="N29" s="197">
        <v>7.4573638514334535</v>
      </c>
      <c r="O29" s="197">
        <v>4.5364127385619657</v>
      </c>
      <c r="P29" s="197">
        <v>4.0072327531921452</v>
      </c>
      <c r="Q29" s="197">
        <v>2.7080926016307489</v>
      </c>
      <c r="R29" s="197">
        <v>1.0836224795239473</v>
      </c>
      <c r="S29" s="142">
        <v>1.3710735202021977</v>
      </c>
      <c r="AG29" s="136" t="s">
        <v>248</v>
      </c>
      <c r="AH29" s="197">
        <v>-18.421650904140062</v>
      </c>
      <c r="AI29" s="197">
        <v>5.7622332641959595</v>
      </c>
      <c r="AJ29" s="197">
        <v>5.9605626413630315</v>
      </c>
      <c r="AK29" s="197">
        <v>2.157335475617447</v>
      </c>
      <c r="AL29" s="197">
        <v>1.3741731215483517</v>
      </c>
      <c r="AM29" s="197">
        <v>5.072784093923608</v>
      </c>
      <c r="AN29" s="142">
        <v>1.9054376925083361</v>
      </c>
      <c r="AS29" s="404" t="s">
        <v>1123</v>
      </c>
      <c r="AT29" s="349">
        <v>-40</v>
      </c>
      <c r="AU29" s="349">
        <v>15</v>
      </c>
      <c r="AV29" s="349">
        <v>4.2890921666666664</v>
      </c>
      <c r="AW29" s="349">
        <v>10</v>
      </c>
      <c r="AX29" s="349">
        <v>1.1527475756685268</v>
      </c>
      <c r="AY29" s="349">
        <v>2.1374654188790516</v>
      </c>
      <c r="AZ29" s="414">
        <v>-7.4206948387857548</v>
      </c>
      <c r="BA29" s="412">
        <v>24.274290000000001</v>
      </c>
      <c r="BB29" s="412">
        <v>2620.9605600000004</v>
      </c>
      <c r="BC29" s="412">
        <v>-1855.2588799999999</v>
      </c>
      <c r="BD29" s="412">
        <v>-835.07594000000006</v>
      </c>
    </row>
    <row r="30" spans="1:56">
      <c r="A30" s="293">
        <v>28</v>
      </c>
      <c r="B30" s="294" t="s">
        <v>632</v>
      </c>
      <c r="C30" s="295">
        <v>-39.313297139380914</v>
      </c>
      <c r="D30" s="295">
        <v>11.863464952891254</v>
      </c>
      <c r="E30" s="295">
        <v>5.6900926775913847</v>
      </c>
      <c r="F30" s="295">
        <v>8.28547798496027</v>
      </c>
      <c r="G30" s="296">
        <v>9.5851902453834725</v>
      </c>
      <c r="H30" s="355">
        <v>0</v>
      </c>
      <c r="I30" s="364"/>
      <c r="J30" s="358">
        <v>-3.8890712785545318</v>
      </c>
      <c r="L30" s="136" t="s">
        <v>632</v>
      </c>
      <c r="M30" s="197">
        <v>-39.313297139380914</v>
      </c>
      <c r="N30" s="197">
        <v>11.863464952891254</v>
      </c>
      <c r="O30" s="197">
        <v>5.6900926775913847</v>
      </c>
      <c r="P30" s="197">
        <v>8.28547798496027</v>
      </c>
      <c r="Q30" s="197">
        <v>2.8257386925402486</v>
      </c>
      <c r="R30" s="197">
        <v>0</v>
      </c>
      <c r="S30" s="142">
        <v>-10.648522831397756</v>
      </c>
      <c r="AG30" s="136" t="s">
        <v>632</v>
      </c>
      <c r="AH30" s="197">
        <v>-39.313297139380914</v>
      </c>
      <c r="AI30" s="197">
        <v>0.57734188532146746</v>
      </c>
      <c r="AJ30" s="197">
        <v>9.5110421319196945</v>
      </c>
      <c r="AK30" s="197">
        <v>1.7841479103774267</v>
      </c>
      <c r="AL30" s="197">
        <v>0.45870321050022328</v>
      </c>
      <c r="AM30" s="197">
        <v>0.34974353813743342</v>
      </c>
      <c r="AN30" s="142">
        <v>-26.632318463124669</v>
      </c>
      <c r="AS30" s="404" t="s">
        <v>999</v>
      </c>
      <c r="AT30" s="349">
        <v>-40</v>
      </c>
      <c r="AU30" s="349">
        <v>15</v>
      </c>
      <c r="AV30" s="349">
        <v>3.2449328205128203</v>
      </c>
      <c r="AW30" s="349">
        <v>10</v>
      </c>
      <c r="AX30" s="349">
        <v>0</v>
      </c>
      <c r="AY30" s="349">
        <v>0</v>
      </c>
      <c r="AZ30" s="414">
        <v>-11.755067179487181</v>
      </c>
      <c r="BA30" s="412">
        <v>6.35039</v>
      </c>
      <c r="BB30" s="412">
        <v>700.93813999999998</v>
      </c>
      <c r="BC30" s="412">
        <v>-1168.2160200000001</v>
      </c>
      <c r="BD30" s="412">
        <v>-916.59565999999995</v>
      </c>
    </row>
    <row r="32" spans="1:56">
      <c r="B32" s="290" t="s">
        <v>2638</v>
      </c>
    </row>
    <row r="33" spans="2:18">
      <c r="B33" s="487" t="s">
        <v>2616</v>
      </c>
      <c r="C33" s="488"/>
      <c r="D33" s="488"/>
      <c r="E33" s="488"/>
      <c r="F33" s="488"/>
      <c r="G33" s="489"/>
      <c r="J33" s="360"/>
      <c r="K33" s="202" t="s">
        <v>1832</v>
      </c>
      <c r="L33" s="291">
        <v>40</v>
      </c>
      <c r="M33" s="291">
        <v>15</v>
      </c>
      <c r="N33" s="291">
        <v>15</v>
      </c>
      <c r="O33" s="291">
        <v>10</v>
      </c>
      <c r="P33" s="291">
        <v>10</v>
      </c>
      <c r="Q33" s="291">
        <v>10</v>
      </c>
      <c r="R33" s="292">
        <v>100</v>
      </c>
    </row>
    <row r="34" spans="2:18">
      <c r="B34" s="303" t="s">
        <v>2585</v>
      </c>
      <c r="C34" s="303" t="s">
        <v>2614</v>
      </c>
      <c r="D34" s="303" t="s">
        <v>2615</v>
      </c>
      <c r="E34" s="303" t="s">
        <v>2612</v>
      </c>
      <c r="F34" s="303" t="s">
        <v>2610</v>
      </c>
      <c r="G34" s="303" t="s">
        <v>2613</v>
      </c>
      <c r="J34" s="352" t="s">
        <v>2611</v>
      </c>
      <c r="K34" s="202" t="s">
        <v>1</v>
      </c>
      <c r="L34" s="291" t="s">
        <v>1836</v>
      </c>
      <c r="M34" s="291" t="s">
        <v>1916</v>
      </c>
      <c r="N34" s="291" t="s">
        <v>1851</v>
      </c>
      <c r="O34" s="291" t="s">
        <v>29</v>
      </c>
      <c r="P34" s="291" t="s">
        <v>1917</v>
      </c>
      <c r="Q34" s="291" t="s">
        <v>1907</v>
      </c>
      <c r="R34" s="292" t="s">
        <v>1843</v>
      </c>
    </row>
    <row r="35" spans="2:18">
      <c r="B35" s="304" t="s">
        <v>2586</v>
      </c>
      <c r="C35" s="301">
        <v>78.26150962989999</v>
      </c>
      <c r="D35" s="301">
        <v>25.809575507384199</v>
      </c>
      <c r="E35" s="305">
        <v>0.32978632318029794</v>
      </c>
      <c r="F35" s="299">
        <v>1</v>
      </c>
      <c r="G35" s="304">
        <v>2</v>
      </c>
      <c r="J35" s="353">
        <v>1</v>
      </c>
      <c r="K35" s="300" t="s">
        <v>1660</v>
      </c>
      <c r="L35" s="301">
        <v>15.075580668447792</v>
      </c>
      <c r="M35" s="301">
        <v>9.9980606173402116</v>
      </c>
      <c r="N35" s="301">
        <v>11.820663819800052</v>
      </c>
      <c r="O35" s="301">
        <v>2.1520411028761988</v>
      </c>
      <c r="P35" s="301">
        <v>10</v>
      </c>
      <c r="Q35" s="301">
        <v>9.355650092757994</v>
      </c>
      <c r="R35" s="302">
        <v>58.401996301222241</v>
      </c>
    </row>
    <row r="36" spans="2:18">
      <c r="B36" s="304" t="s">
        <v>2587</v>
      </c>
      <c r="C36" s="301">
        <v>201.68435982879998</v>
      </c>
      <c r="D36" s="301">
        <v>61.000502637306894</v>
      </c>
      <c r="E36" s="305">
        <v>0.30245529543831384</v>
      </c>
      <c r="F36" s="299">
        <v>2</v>
      </c>
      <c r="G36" s="304">
        <v>1</v>
      </c>
      <c r="J36" s="353">
        <v>2</v>
      </c>
      <c r="K36" s="300" t="s">
        <v>567</v>
      </c>
      <c r="L36" s="301">
        <v>15.714491157683769</v>
      </c>
      <c r="M36" s="301">
        <v>13.779494050500059</v>
      </c>
      <c r="N36" s="301">
        <v>8.9668696651654631</v>
      </c>
      <c r="O36" s="301">
        <v>4.8252786393227671</v>
      </c>
      <c r="P36" s="301">
        <v>7.9967409325741841</v>
      </c>
      <c r="Q36" s="301">
        <v>6.8638622833624838</v>
      </c>
      <c r="R36" s="302">
        <v>58.14673672860873</v>
      </c>
    </row>
    <row r="37" spans="2:18">
      <c r="B37" s="304" t="s">
        <v>2588</v>
      </c>
      <c r="C37" s="301">
        <v>130.1521864501</v>
      </c>
      <c r="D37" s="301">
        <v>32.627167707120158</v>
      </c>
      <c r="E37" s="305">
        <v>0.25068474527417428</v>
      </c>
      <c r="F37" s="299">
        <v>3</v>
      </c>
      <c r="G37" s="304">
        <v>3</v>
      </c>
      <c r="J37" s="353">
        <v>3</v>
      </c>
      <c r="K37" s="300" t="s">
        <v>474</v>
      </c>
      <c r="L37" s="301">
        <v>6.7586584694388883</v>
      </c>
      <c r="M37" s="301">
        <v>13.205386847144524</v>
      </c>
      <c r="N37" s="301">
        <v>11.200636326219145</v>
      </c>
      <c r="O37" s="301">
        <v>6.2195594429814705</v>
      </c>
      <c r="P37" s="301">
        <v>8.2302086042091691</v>
      </c>
      <c r="Q37" s="301">
        <v>6.8394326457849557</v>
      </c>
      <c r="R37" s="302">
        <v>52.453882335778147</v>
      </c>
    </row>
    <row r="38" spans="2:18">
      <c r="B38" s="304" t="s">
        <v>2589</v>
      </c>
      <c r="C38" s="301">
        <v>51.148472999799999</v>
      </c>
      <c r="D38" s="301">
        <v>10.934830420769407</v>
      </c>
      <c r="E38" s="305">
        <v>0.21378605810601939</v>
      </c>
      <c r="F38" s="299">
        <v>4</v>
      </c>
      <c r="G38" s="304">
        <v>8</v>
      </c>
      <c r="J38" s="353">
        <v>4</v>
      </c>
      <c r="K38" s="300" t="s">
        <v>1600</v>
      </c>
      <c r="L38" s="301">
        <v>14.966666984161451</v>
      </c>
      <c r="M38" s="301">
        <v>9.7382384682107617</v>
      </c>
      <c r="N38" s="301">
        <v>9.0364636990108416</v>
      </c>
      <c r="O38" s="301">
        <v>3.0619352684701728</v>
      </c>
      <c r="P38" s="301">
        <v>6.571113926998235</v>
      </c>
      <c r="Q38" s="301">
        <v>6.9659191174878314</v>
      </c>
      <c r="R38" s="302">
        <v>50.340337464339292</v>
      </c>
    </row>
    <row r="39" spans="2:18">
      <c r="B39" s="304" t="s">
        <v>2590</v>
      </c>
      <c r="C39" s="301">
        <v>42.809289110100003</v>
      </c>
      <c r="D39" s="301">
        <v>8.9569381031478894</v>
      </c>
      <c r="E39" s="305">
        <v>0.20922884470498432</v>
      </c>
      <c r="F39" s="299">
        <v>5</v>
      </c>
      <c r="G39" s="304">
        <v>5</v>
      </c>
      <c r="J39" s="353">
        <v>5</v>
      </c>
      <c r="K39" s="300" t="s">
        <v>1747</v>
      </c>
      <c r="L39" s="301">
        <v>9.8758168890404026</v>
      </c>
      <c r="M39" s="301">
        <v>8.5186968869716715</v>
      </c>
      <c r="N39" s="301">
        <v>13.29671227791103</v>
      </c>
      <c r="O39" s="301">
        <v>4.7562401624646409</v>
      </c>
      <c r="P39" s="301">
        <v>5.1820491614527375</v>
      </c>
      <c r="Q39" s="301">
        <v>7.9723949762849857</v>
      </c>
      <c r="R39" s="302">
        <v>49.601910354125472</v>
      </c>
    </row>
    <row r="40" spans="2:18">
      <c r="B40" s="304" t="s">
        <v>2591</v>
      </c>
      <c r="C40" s="301">
        <v>151.61531056000001</v>
      </c>
      <c r="D40" s="301">
        <v>30.85823708652384</v>
      </c>
      <c r="E40" s="305">
        <v>0.20352982144446452</v>
      </c>
      <c r="F40" s="299">
        <v>6</v>
      </c>
      <c r="G40" s="304">
        <v>4</v>
      </c>
      <c r="J40" s="353">
        <v>6</v>
      </c>
      <c r="K40" s="300" t="s">
        <v>408</v>
      </c>
      <c r="L40" s="301">
        <v>2.19543541161985</v>
      </c>
      <c r="M40" s="301">
        <v>10.436487019451125</v>
      </c>
      <c r="N40" s="301">
        <v>10.250170041715382</v>
      </c>
      <c r="O40" s="301">
        <v>5.7179979111978723</v>
      </c>
      <c r="P40" s="301">
        <v>4.2790708743660844</v>
      </c>
      <c r="Q40" s="301">
        <v>5.6758684640795405</v>
      </c>
      <c r="R40" s="302">
        <v>38.555029722429857</v>
      </c>
    </row>
    <row r="41" spans="2:18">
      <c r="B41" s="304" t="s">
        <v>2592</v>
      </c>
      <c r="C41" s="301">
        <v>61.522131490299998</v>
      </c>
      <c r="D41" s="301">
        <v>10.42003825013737</v>
      </c>
      <c r="E41" s="305">
        <v>0.16937056629418415</v>
      </c>
      <c r="F41" s="299">
        <v>7</v>
      </c>
      <c r="G41" s="304">
        <v>12</v>
      </c>
      <c r="J41" s="353">
        <v>7</v>
      </c>
      <c r="K41" s="300" t="s">
        <v>1146</v>
      </c>
      <c r="L41" s="301">
        <v>0.88648957732973932</v>
      </c>
      <c r="M41" s="301">
        <v>11.281984417556895</v>
      </c>
      <c r="N41" s="301">
        <v>7.7485954973614231</v>
      </c>
      <c r="O41" s="301">
        <v>7.0099972116680931</v>
      </c>
      <c r="P41" s="301">
        <v>6.1362942241837244</v>
      </c>
      <c r="Q41" s="301">
        <v>4.5789909641032995</v>
      </c>
      <c r="R41" s="302">
        <v>37.642351892203173</v>
      </c>
    </row>
    <row r="42" spans="2:18">
      <c r="B42" s="304" t="s">
        <v>2593</v>
      </c>
      <c r="C42" s="301">
        <v>89.586853960200017</v>
      </c>
      <c r="D42" s="301">
        <v>12.719852630817076</v>
      </c>
      <c r="E42" s="305">
        <v>0.14198347266963987</v>
      </c>
      <c r="F42" s="299">
        <v>8</v>
      </c>
      <c r="G42" s="304">
        <v>7</v>
      </c>
      <c r="J42" s="353">
        <v>8</v>
      </c>
      <c r="K42" s="300" t="s">
        <v>893</v>
      </c>
      <c r="L42" s="301">
        <v>4.249384011200716</v>
      </c>
      <c r="M42" s="301">
        <v>5.2557757056624679</v>
      </c>
      <c r="N42" s="301">
        <v>10.646965225953966</v>
      </c>
      <c r="O42" s="301">
        <v>2.3728391936060653</v>
      </c>
      <c r="P42" s="301">
        <v>4.6449405028445314</v>
      </c>
      <c r="Q42" s="301">
        <v>8.1096947139487927</v>
      </c>
      <c r="R42" s="302">
        <v>35.27959935321654</v>
      </c>
    </row>
    <row r="43" spans="2:18">
      <c r="B43" s="304" t="s">
        <v>2594</v>
      </c>
      <c r="C43" s="301">
        <v>64.742669869500006</v>
      </c>
      <c r="D43" s="301">
        <v>3.4223628900329479</v>
      </c>
      <c r="E43" s="305">
        <v>5.2861009546429104E-2</v>
      </c>
      <c r="F43" s="299">
        <v>9</v>
      </c>
      <c r="G43" s="304">
        <v>11</v>
      </c>
      <c r="J43" s="353">
        <v>9</v>
      </c>
      <c r="K43" s="300" t="s">
        <v>724</v>
      </c>
      <c r="L43" s="301">
        <v>-0.44321686159359802</v>
      </c>
      <c r="M43" s="301">
        <v>11.761050097730125</v>
      </c>
      <c r="N43" s="301">
        <v>6.223230535502621</v>
      </c>
      <c r="O43" s="301">
        <v>4.7766631076856649</v>
      </c>
      <c r="P43" s="301">
        <v>4.7182658899308532</v>
      </c>
      <c r="Q43" s="301">
        <v>4.1479789235814826</v>
      </c>
      <c r="R43" s="302">
        <v>31.183971692837147</v>
      </c>
    </row>
    <row r="44" spans="2:18">
      <c r="B44" s="304" t="s">
        <v>2595</v>
      </c>
      <c r="C44" s="301">
        <v>151.39696867570001</v>
      </c>
      <c r="D44" s="301">
        <v>4.6303443120237278</v>
      </c>
      <c r="E44" s="305">
        <v>3.0584128285567991E-2</v>
      </c>
      <c r="F44" s="299">
        <v>10</v>
      </c>
      <c r="G44" s="304">
        <v>6</v>
      </c>
      <c r="J44" s="353">
        <v>10</v>
      </c>
      <c r="K44" s="300" t="s">
        <v>835</v>
      </c>
      <c r="L44" s="301">
        <v>1.3798152506882932</v>
      </c>
      <c r="M44" s="301">
        <v>3.6601218366882078</v>
      </c>
      <c r="N44" s="301">
        <v>12.113841772497643</v>
      </c>
      <c r="O44" s="301">
        <v>3.9687731415595162</v>
      </c>
      <c r="P44" s="301">
        <v>4.3232188447877</v>
      </c>
      <c r="Q44" s="301">
        <v>5.6471033409329339</v>
      </c>
      <c r="R44" s="302">
        <v>31.092874187154294</v>
      </c>
    </row>
    <row r="45" spans="2:18">
      <c r="B45" s="304" t="s">
        <v>2596</v>
      </c>
      <c r="C45" s="301">
        <v>74.088368409799997</v>
      </c>
      <c r="D45" s="301">
        <v>1.6946183896782741</v>
      </c>
      <c r="E45" s="305">
        <v>2.287293438971345E-2</v>
      </c>
      <c r="F45" s="299">
        <v>11</v>
      </c>
      <c r="G45" s="304">
        <v>13</v>
      </c>
      <c r="J45" s="353">
        <v>11</v>
      </c>
      <c r="K45" s="300" t="s">
        <v>924</v>
      </c>
      <c r="L45" s="301">
        <v>-1.592665309020471</v>
      </c>
      <c r="M45" s="301">
        <v>5.117975179339413</v>
      </c>
      <c r="N45" s="301">
        <v>10.284800919585981</v>
      </c>
      <c r="O45" s="301">
        <v>3.0710734847255892</v>
      </c>
      <c r="P45" s="301">
        <v>5.5062243959536898</v>
      </c>
      <c r="Q45" s="301">
        <v>7.8668451327342375</v>
      </c>
      <c r="R45" s="302">
        <v>30.254253803318441</v>
      </c>
    </row>
    <row r="46" spans="2:18">
      <c r="B46" s="304" t="s">
        <v>2597</v>
      </c>
      <c r="C46" s="301">
        <v>38.560445629900002</v>
      </c>
      <c r="D46" s="301">
        <v>0.81334232277511209</v>
      </c>
      <c r="E46" s="305">
        <v>2.1092658798124511E-2</v>
      </c>
      <c r="F46" s="299">
        <v>12</v>
      </c>
      <c r="G46" s="304">
        <v>14</v>
      </c>
      <c r="J46" s="353">
        <v>12</v>
      </c>
      <c r="K46" s="300" t="s">
        <v>1771</v>
      </c>
      <c r="L46" s="301">
        <v>1.9788895802889885</v>
      </c>
      <c r="M46" s="301">
        <v>5.150020974525038</v>
      </c>
      <c r="N46" s="301">
        <v>9.1875761563416418</v>
      </c>
      <c r="O46" s="301">
        <v>0.36114596156983891</v>
      </c>
      <c r="P46" s="301">
        <v>4.3227133171317922</v>
      </c>
      <c r="Q46" s="301">
        <v>9.1793754730297152</v>
      </c>
      <c r="R46" s="302">
        <v>30.179721462887017</v>
      </c>
    </row>
    <row r="47" spans="2:18">
      <c r="B47" s="304" t="s">
        <v>2598</v>
      </c>
      <c r="C47" s="301">
        <v>85.755762800100015</v>
      </c>
      <c r="D47" s="301">
        <v>-0.42189555908903675</v>
      </c>
      <c r="E47" s="305">
        <v>-4.9197341999334962E-3</v>
      </c>
      <c r="F47" s="299">
        <v>13</v>
      </c>
      <c r="G47" s="304">
        <v>10</v>
      </c>
      <c r="J47" s="353">
        <v>13</v>
      </c>
      <c r="K47" s="300" t="s">
        <v>507</v>
      </c>
      <c r="L47" s="301">
        <v>-2.5754136902557678</v>
      </c>
      <c r="M47" s="301">
        <v>6.6214355181044002</v>
      </c>
      <c r="N47" s="301">
        <v>9.3934175889412153</v>
      </c>
      <c r="O47" s="301">
        <v>3.7864979595758972</v>
      </c>
      <c r="P47" s="301">
        <v>5.3732018305156881</v>
      </c>
      <c r="Q47" s="301">
        <v>6.5520389394013483</v>
      </c>
      <c r="R47" s="302">
        <v>29.151178146282781</v>
      </c>
    </row>
    <row r="48" spans="2:18">
      <c r="B48" s="304" t="s">
        <v>2599</v>
      </c>
      <c r="C48" s="301">
        <v>34.242196510600003</v>
      </c>
      <c r="D48" s="301">
        <v>-0.84984831912537262</v>
      </c>
      <c r="E48" s="305">
        <v>-2.481874429002514E-2</v>
      </c>
      <c r="F48" s="299">
        <v>14</v>
      </c>
      <c r="G48" s="304">
        <v>17</v>
      </c>
      <c r="J48" s="353">
        <v>14</v>
      </c>
      <c r="K48" s="300" t="s">
        <v>610</v>
      </c>
      <c r="L48" s="301">
        <v>-8.1634351221178978</v>
      </c>
      <c r="M48" s="301">
        <v>7.5054724360465555</v>
      </c>
      <c r="N48" s="301">
        <v>11.683257433058765</v>
      </c>
      <c r="O48" s="301">
        <v>1.5136709682626246</v>
      </c>
      <c r="P48" s="301">
        <v>6.765220321424624</v>
      </c>
      <c r="Q48" s="301">
        <v>8.9050636341754377</v>
      </c>
      <c r="R48" s="302">
        <v>28.209249670850109</v>
      </c>
    </row>
    <row r="49" spans="2:32">
      <c r="B49" s="304" t="s">
        <v>2600</v>
      </c>
      <c r="C49" s="301">
        <v>95.944706440000004</v>
      </c>
      <c r="D49" s="301">
        <v>-3.9451166620973415</v>
      </c>
      <c r="E49" s="305">
        <v>-4.1118648526632995E-2</v>
      </c>
      <c r="F49" s="299">
        <v>15</v>
      </c>
      <c r="G49" s="304">
        <v>15</v>
      </c>
      <c r="J49" s="353">
        <v>15</v>
      </c>
      <c r="K49" s="300" t="s">
        <v>760</v>
      </c>
      <c r="L49" s="301">
        <v>-1.7963554676877571</v>
      </c>
      <c r="M49" s="301">
        <v>7.2229363405353633</v>
      </c>
      <c r="N49" s="301">
        <v>7.8841474308495361</v>
      </c>
      <c r="O49" s="301">
        <v>6.5458121882094558</v>
      </c>
      <c r="P49" s="301">
        <v>2.8750146299256971</v>
      </c>
      <c r="Q49" s="301">
        <v>2.9626340105345887</v>
      </c>
      <c r="R49" s="302">
        <v>25.694189132366887</v>
      </c>
    </row>
    <row r="50" spans="2:32">
      <c r="B50" s="304" t="s">
        <v>2601</v>
      </c>
      <c r="C50" s="301">
        <v>47.788915000300001</v>
      </c>
      <c r="D50" s="301">
        <v>-2.2851770621422318</v>
      </c>
      <c r="E50" s="305">
        <v>-4.7818140715851915E-2</v>
      </c>
      <c r="F50" s="299">
        <v>16</v>
      </c>
      <c r="G50" s="304">
        <v>9</v>
      </c>
      <c r="J50" s="353">
        <v>16</v>
      </c>
      <c r="K50" s="300" t="s">
        <v>283</v>
      </c>
      <c r="L50" s="301">
        <v>-5.2855878904385838</v>
      </c>
      <c r="M50" s="301">
        <v>11.07005315869675</v>
      </c>
      <c r="N50" s="301">
        <v>6.6123077143128794</v>
      </c>
      <c r="O50" s="301">
        <v>7.1089403366539941</v>
      </c>
      <c r="P50" s="301">
        <v>3.7136495410704029</v>
      </c>
      <c r="Q50" s="301">
        <v>2.2143100377714573</v>
      </c>
      <c r="R50" s="302">
        <v>25.433672898066899</v>
      </c>
    </row>
    <row r="51" spans="2:32">
      <c r="B51" s="304" t="s">
        <v>2602</v>
      </c>
      <c r="C51" s="301">
        <v>111.0167828989</v>
      </c>
      <c r="D51" s="301">
        <v>-6.9933944781528181</v>
      </c>
      <c r="E51" s="305">
        <v>-6.2994029330876167E-2</v>
      </c>
      <c r="F51" s="299">
        <v>17</v>
      </c>
      <c r="G51" s="304">
        <v>19</v>
      </c>
      <c r="J51" s="353">
        <v>17</v>
      </c>
      <c r="K51" s="300" t="s">
        <v>374</v>
      </c>
      <c r="L51" s="301">
        <v>-6.8633127257932172</v>
      </c>
      <c r="M51" s="301">
        <v>9.1303632260452776</v>
      </c>
      <c r="N51" s="301">
        <v>6.208130205865185</v>
      </c>
      <c r="O51" s="301">
        <v>4.63654732816783</v>
      </c>
      <c r="P51" s="301">
        <v>2.6877055618346359</v>
      </c>
      <c r="Q51" s="301">
        <v>5.8932549488740147</v>
      </c>
      <c r="R51" s="302">
        <v>21.692688544993729</v>
      </c>
    </row>
    <row r="52" spans="2:32">
      <c r="B52" s="304" t="s">
        <v>2603</v>
      </c>
      <c r="C52" s="301">
        <v>76.648971979599992</v>
      </c>
      <c r="D52" s="301">
        <v>-6.5963874746180613</v>
      </c>
      <c r="E52" s="305">
        <v>-8.6059699226933919E-2</v>
      </c>
      <c r="F52" s="299">
        <v>18</v>
      </c>
      <c r="G52" s="304">
        <v>16</v>
      </c>
      <c r="J52" s="353">
        <v>18</v>
      </c>
      <c r="K52" s="300" t="s">
        <v>1174</v>
      </c>
      <c r="L52" s="301">
        <v>-8.9550518886291854</v>
      </c>
      <c r="M52" s="301">
        <v>6.6289293892274594</v>
      </c>
      <c r="N52" s="301">
        <v>12.206030552815372</v>
      </c>
      <c r="O52" s="301">
        <v>2.4442306310281214</v>
      </c>
      <c r="P52" s="301">
        <v>1.8451556226288202</v>
      </c>
      <c r="Q52" s="301">
        <v>7.2601997492849843</v>
      </c>
      <c r="R52" s="302">
        <v>21.429494056355573</v>
      </c>
    </row>
    <row r="53" spans="2:32">
      <c r="B53" s="304" t="s">
        <v>2604</v>
      </c>
      <c r="C53" s="301">
        <v>43.927948430199997</v>
      </c>
      <c r="D53" s="301">
        <v>-4.1101633478063846</v>
      </c>
      <c r="E53" s="305">
        <v>-9.3566021056897139E-2</v>
      </c>
      <c r="F53" s="299">
        <v>19</v>
      </c>
      <c r="G53" s="304">
        <v>22</v>
      </c>
      <c r="J53" s="353">
        <v>19</v>
      </c>
      <c r="K53" s="300" t="s">
        <v>999</v>
      </c>
      <c r="L53" s="301">
        <v>-3.2459743158504804</v>
      </c>
      <c r="M53" s="301">
        <v>7.7049476756447941</v>
      </c>
      <c r="N53" s="301">
        <v>5.1502484217171443</v>
      </c>
      <c r="O53" s="301">
        <v>7.1542221009545335</v>
      </c>
      <c r="P53" s="301">
        <v>1.5329757780376658</v>
      </c>
      <c r="Q53" s="301">
        <v>1.9602556128151183</v>
      </c>
      <c r="R53" s="302">
        <v>20.256675273318777</v>
      </c>
    </row>
    <row r="54" spans="2:32">
      <c r="B54" s="304" t="s">
        <v>2605</v>
      </c>
      <c r="C54" s="301">
        <v>66.324261909700013</v>
      </c>
      <c r="D54" s="301">
        <v>-7.2087210211988291</v>
      </c>
      <c r="E54" s="305">
        <v>-0.10868905003441197</v>
      </c>
      <c r="F54" s="299">
        <v>20</v>
      </c>
      <c r="G54" s="304">
        <v>20</v>
      </c>
      <c r="J54" s="353">
        <v>20</v>
      </c>
      <c r="K54" s="300" t="s">
        <v>317</v>
      </c>
      <c r="L54" s="301">
        <v>-18.586568194696202</v>
      </c>
      <c r="M54" s="301">
        <v>11.616301814536879</v>
      </c>
      <c r="N54" s="301">
        <v>7.8286388374609137</v>
      </c>
      <c r="O54" s="301">
        <v>7.2692263525891452</v>
      </c>
      <c r="P54" s="301">
        <v>3.266742920766764</v>
      </c>
      <c r="Q54" s="301">
        <v>4.1328666381473473</v>
      </c>
      <c r="R54" s="302">
        <v>15.527208368804846</v>
      </c>
    </row>
    <row r="55" spans="2:32">
      <c r="B55" s="304" t="s">
        <v>2606</v>
      </c>
      <c r="C55" s="301">
        <v>30.006375859799999</v>
      </c>
      <c r="D55" s="301">
        <v>-5.4103558313102464</v>
      </c>
      <c r="E55" s="305">
        <v>-0.1803068739986885</v>
      </c>
      <c r="F55" s="299">
        <v>21</v>
      </c>
      <c r="G55" s="304">
        <v>23</v>
      </c>
      <c r="J55" s="353">
        <v>21</v>
      </c>
      <c r="K55" s="300" t="s">
        <v>651</v>
      </c>
      <c r="L55" s="301">
        <v>-16.221576858770817</v>
      </c>
      <c r="M55" s="301">
        <v>12.634753475242347</v>
      </c>
      <c r="N55" s="301">
        <v>5.994889867604682</v>
      </c>
      <c r="O55" s="301">
        <v>8.9472289358339356</v>
      </c>
      <c r="P55" s="301">
        <v>3.490230689098142</v>
      </c>
      <c r="Q55" s="301">
        <v>0</v>
      </c>
      <c r="R55" s="302">
        <v>14.84552610900829</v>
      </c>
    </row>
    <row r="56" spans="2:32">
      <c r="B56" s="304" t="s">
        <v>2607</v>
      </c>
      <c r="C56" s="301">
        <v>240.09713163939998</v>
      </c>
      <c r="D56" s="301">
        <v>-45.87682775057992</v>
      </c>
      <c r="E56" s="305">
        <v>-0.19107611755846368</v>
      </c>
      <c r="F56" s="299">
        <v>22</v>
      </c>
      <c r="G56" s="304">
        <v>19</v>
      </c>
      <c r="J56" s="353">
        <v>22</v>
      </c>
      <c r="K56" s="300" t="s">
        <v>1123</v>
      </c>
      <c r="L56" s="301">
        <v>-15.694153671926244</v>
      </c>
      <c r="M56" s="301">
        <v>5.2276712964725478</v>
      </c>
      <c r="N56" s="301">
        <v>6.9539379045505276</v>
      </c>
      <c r="O56" s="301">
        <v>4.8315350710170382</v>
      </c>
      <c r="P56" s="301">
        <v>1.1116657754257799</v>
      </c>
      <c r="Q56" s="301">
        <v>6.4767273971202819</v>
      </c>
      <c r="R56" s="302">
        <v>8.9073837726599301</v>
      </c>
    </row>
    <row r="57" spans="2:32">
      <c r="B57" s="304" t="s">
        <v>2608</v>
      </c>
      <c r="C57" s="301">
        <v>20.7178428201</v>
      </c>
      <c r="D57" s="301">
        <v>-4.1082297205317317</v>
      </c>
      <c r="E57" s="305">
        <v>-0.19829427977636827</v>
      </c>
      <c r="F57" s="299">
        <v>23</v>
      </c>
      <c r="G57" s="304">
        <v>24</v>
      </c>
      <c r="J57" s="353">
        <v>23</v>
      </c>
      <c r="K57" s="300" t="s">
        <v>248</v>
      </c>
      <c r="L57" s="301">
        <v>-18.421650904140062</v>
      </c>
      <c r="M57" s="301">
        <v>7.4573638514334535</v>
      </c>
      <c r="N57" s="301">
        <v>4.5364127385619657</v>
      </c>
      <c r="O57" s="301">
        <v>4.0072327531921452</v>
      </c>
      <c r="P57" s="301">
        <v>2.7080926016307489</v>
      </c>
      <c r="Q57" s="301">
        <v>1.0836224795239473</v>
      </c>
      <c r="R57" s="302">
        <v>1.3710735202021977</v>
      </c>
    </row>
    <row r="58" spans="2:32">
      <c r="B58" s="304" t="s">
        <v>2609</v>
      </c>
      <c r="C58" s="301">
        <v>65.984829498599993</v>
      </c>
      <c r="D58" s="301">
        <v>-17.344919556029776</v>
      </c>
      <c r="E58" s="305">
        <v>-0.26286223193768782</v>
      </c>
      <c r="F58" s="299">
        <v>24</v>
      </c>
      <c r="G58" s="304">
        <v>21</v>
      </c>
      <c r="J58" s="353">
        <v>24</v>
      </c>
      <c r="K58" s="300" t="s">
        <v>632</v>
      </c>
      <c r="L58" s="301">
        <v>-39.313297139380914</v>
      </c>
      <c r="M58" s="301">
        <v>11.863464952891254</v>
      </c>
      <c r="N58" s="301">
        <v>5.6900926775913847</v>
      </c>
      <c r="O58" s="301">
        <v>8.28547798496027</v>
      </c>
      <c r="P58" s="301">
        <v>2.8257386925402486</v>
      </c>
      <c r="Q58" s="301">
        <v>0</v>
      </c>
      <c r="R58" s="302">
        <v>-10.648522831397756</v>
      </c>
    </row>
    <row r="62" spans="2:32" ht="28">
      <c r="D62" s="327" t="s">
        <v>2627</v>
      </c>
      <c r="E62" s="327"/>
      <c r="F62" s="327"/>
      <c r="G62" s="327"/>
      <c r="H62" s="347"/>
      <c r="J62" s="360"/>
      <c r="K62" s="134" t="s">
        <v>1832</v>
      </c>
      <c r="L62" s="196">
        <v>40</v>
      </c>
      <c r="M62" s="196">
        <v>15</v>
      </c>
      <c r="N62" s="196">
        <v>15</v>
      </c>
      <c r="O62" s="196">
        <v>10</v>
      </c>
      <c r="P62" s="196">
        <v>10</v>
      </c>
      <c r="Q62" s="196">
        <v>10</v>
      </c>
      <c r="R62" s="141">
        <v>100</v>
      </c>
      <c r="T62" s="327" t="s">
        <v>2627</v>
      </c>
      <c r="U62" s="327"/>
      <c r="V62" s="327"/>
      <c r="W62" s="327"/>
      <c r="X62" s="327"/>
      <c r="Y62" s="327"/>
      <c r="Z62" s="327"/>
      <c r="AA62" s="327"/>
      <c r="AB62" s="327"/>
      <c r="AC62" s="327"/>
      <c r="AD62" s="327"/>
      <c r="AE62" s="327"/>
      <c r="AF62" s="347"/>
    </row>
    <row r="63" spans="2:32" ht="46" customHeight="1">
      <c r="D63" s="374" t="s">
        <v>2628</v>
      </c>
      <c r="E63" s="375" t="s">
        <v>2631</v>
      </c>
      <c r="F63" s="372" t="s">
        <v>2610</v>
      </c>
      <c r="G63" s="373" t="s">
        <v>2640</v>
      </c>
      <c r="H63" s="373" t="s">
        <v>2641</v>
      </c>
      <c r="J63" s="352" t="s">
        <v>2611</v>
      </c>
      <c r="K63" s="376" t="s">
        <v>1</v>
      </c>
      <c r="L63" s="377" t="s">
        <v>1836</v>
      </c>
      <c r="M63" s="377" t="s">
        <v>1916</v>
      </c>
      <c r="N63" s="377" t="s">
        <v>1851</v>
      </c>
      <c r="O63" s="377" t="s">
        <v>29</v>
      </c>
      <c r="P63" s="377" t="s">
        <v>1917</v>
      </c>
      <c r="Q63" s="377" t="s">
        <v>1907</v>
      </c>
      <c r="R63" s="378" t="s">
        <v>1843</v>
      </c>
      <c r="T63" s="328" t="s">
        <v>2628</v>
      </c>
      <c r="U63" s="329" t="s">
        <v>2629</v>
      </c>
      <c r="V63" s="329" t="s">
        <v>2630</v>
      </c>
      <c r="W63" s="329" t="s">
        <v>2631</v>
      </c>
      <c r="X63" s="329" t="s">
        <v>1948</v>
      </c>
      <c r="Y63" s="329" t="s">
        <v>2632</v>
      </c>
      <c r="Z63" s="329" t="s">
        <v>2633</v>
      </c>
      <c r="AA63" s="329" t="s">
        <v>2634</v>
      </c>
      <c r="AB63" s="329" t="s">
        <v>2635</v>
      </c>
      <c r="AC63" s="329" t="s">
        <v>2636</v>
      </c>
      <c r="AD63" s="330" t="s">
        <v>2637</v>
      </c>
      <c r="AE63" s="344" t="s">
        <v>1856</v>
      </c>
      <c r="AF63" s="330" t="s">
        <v>1856</v>
      </c>
    </row>
    <row r="64" spans="2:32" ht="24">
      <c r="D64" s="331" t="s">
        <v>2601</v>
      </c>
      <c r="E64" s="333">
        <v>0.32363166660431347</v>
      </c>
      <c r="F64" s="386">
        <v>1</v>
      </c>
      <c r="G64" s="379">
        <v>1</v>
      </c>
      <c r="H64" s="348">
        <v>1</v>
      </c>
      <c r="J64" s="353">
        <v>1</v>
      </c>
      <c r="K64" s="136" t="s">
        <v>724</v>
      </c>
      <c r="L64" s="349">
        <v>18.714732135694312</v>
      </c>
      <c r="M64" s="349">
        <v>14.229293478260869</v>
      </c>
      <c r="N64" s="349">
        <v>15</v>
      </c>
      <c r="O64" s="349">
        <v>4.7510441477640963</v>
      </c>
      <c r="P64" s="349">
        <v>10</v>
      </c>
      <c r="Q64" s="349">
        <v>9.2537919506514541</v>
      </c>
      <c r="R64" s="142">
        <v>71.948861712370729</v>
      </c>
      <c r="T64" s="331" t="s">
        <v>2601</v>
      </c>
      <c r="U64" s="332">
        <v>10803841</v>
      </c>
      <c r="V64" s="332">
        <v>3496465.0685580126</v>
      </c>
      <c r="W64" s="333">
        <f t="shared" ref="W64:W77" si="0">V64/U64</f>
        <v>0.32363166660431347</v>
      </c>
      <c r="X64" s="334">
        <v>1</v>
      </c>
      <c r="Y64" s="335">
        <v>1</v>
      </c>
      <c r="Z64" s="335">
        <v>1</v>
      </c>
      <c r="AA64" s="335">
        <v>1</v>
      </c>
      <c r="AB64" s="336">
        <v>1</v>
      </c>
      <c r="AC64" s="337">
        <v>1</v>
      </c>
      <c r="AD64" s="335">
        <v>1</v>
      </c>
      <c r="AE64" s="345">
        <v>1</v>
      </c>
      <c r="AF64" s="348">
        <v>1</v>
      </c>
    </row>
    <row r="65" spans="3:56">
      <c r="D65" s="338" t="s">
        <v>2587</v>
      </c>
      <c r="E65" s="340">
        <v>0.2721641255004969</v>
      </c>
      <c r="F65" s="343">
        <v>2</v>
      </c>
      <c r="G65" s="380">
        <v>2</v>
      </c>
      <c r="H65" s="382">
        <v>4</v>
      </c>
      <c r="J65" s="353">
        <v>2</v>
      </c>
      <c r="K65" s="136" t="s">
        <v>1747</v>
      </c>
      <c r="L65" s="349">
        <v>14.574366512831189</v>
      </c>
      <c r="M65" s="349">
        <v>15</v>
      </c>
      <c r="N65" s="349">
        <v>15</v>
      </c>
      <c r="O65" s="349">
        <v>7.8300638446028454</v>
      </c>
      <c r="P65" s="349">
        <v>2.0640448936748577</v>
      </c>
      <c r="Q65" s="349">
        <v>6.3064020585158094</v>
      </c>
      <c r="R65" s="142">
        <v>60.774877309624706</v>
      </c>
      <c r="T65" s="338" t="s">
        <v>2587</v>
      </c>
      <c r="U65" s="339">
        <v>20669123.429800004</v>
      </c>
      <c r="V65" s="339">
        <v>5625393.9031333495</v>
      </c>
      <c r="W65" s="340">
        <f t="shared" si="0"/>
        <v>0.2721641255004969</v>
      </c>
      <c r="X65" s="336">
        <v>2</v>
      </c>
      <c r="Y65" s="341">
        <v>4</v>
      </c>
      <c r="Z65" s="341">
        <v>4</v>
      </c>
      <c r="AA65" s="341">
        <v>4</v>
      </c>
      <c r="AB65" s="336">
        <v>2</v>
      </c>
      <c r="AC65" s="342">
        <v>2</v>
      </c>
      <c r="AD65" s="341">
        <v>2</v>
      </c>
      <c r="AE65" s="346">
        <v>3</v>
      </c>
      <c r="AF65" s="348">
        <v>4</v>
      </c>
    </row>
    <row r="66" spans="3:56">
      <c r="D66" s="338" t="s">
        <v>2590</v>
      </c>
      <c r="E66" s="340">
        <v>0.17843457599075335</v>
      </c>
      <c r="F66" s="343">
        <v>3</v>
      </c>
      <c r="G66" s="380">
        <v>4</v>
      </c>
      <c r="H66" s="383">
        <v>2</v>
      </c>
      <c r="J66" s="353">
        <v>3</v>
      </c>
      <c r="K66" s="136" t="s">
        <v>1146</v>
      </c>
      <c r="L66" s="349">
        <v>11.195541449732664</v>
      </c>
      <c r="M66" s="349">
        <v>14.831511899537043</v>
      </c>
      <c r="N66" s="349">
        <v>10.926796677273257</v>
      </c>
      <c r="O66" s="349">
        <v>4.9356807901932269</v>
      </c>
      <c r="P66" s="349">
        <v>7.8012929767851897</v>
      </c>
      <c r="Q66" s="349">
        <v>6.3616369020618349</v>
      </c>
      <c r="R66" s="142">
        <v>56.052460695583214</v>
      </c>
      <c r="T66" s="338" t="s">
        <v>2590</v>
      </c>
      <c r="U66" s="339">
        <v>4799492</v>
      </c>
      <c r="V66" s="339">
        <v>856395.3199910128</v>
      </c>
      <c r="W66" s="340">
        <f t="shared" si="0"/>
        <v>0.17843457599075335</v>
      </c>
      <c r="X66" s="336">
        <v>3</v>
      </c>
      <c r="Y66" s="341">
        <v>2</v>
      </c>
      <c r="Z66" s="341">
        <v>2</v>
      </c>
      <c r="AA66" s="341">
        <v>2</v>
      </c>
      <c r="AB66" s="336">
        <v>3</v>
      </c>
      <c r="AC66" s="342">
        <v>3</v>
      </c>
      <c r="AD66" s="341">
        <v>4</v>
      </c>
      <c r="AE66" s="346">
        <v>2</v>
      </c>
      <c r="AF66" s="348">
        <v>2</v>
      </c>
    </row>
    <row r="67" spans="3:56">
      <c r="D67" s="338" t="s">
        <v>2593</v>
      </c>
      <c r="E67" s="340">
        <v>5.9435245475712065E-2</v>
      </c>
      <c r="F67" s="343">
        <v>4</v>
      </c>
      <c r="G67" s="380">
        <v>3</v>
      </c>
      <c r="H67" s="348">
        <v>3</v>
      </c>
      <c r="J67" s="353">
        <v>4</v>
      </c>
      <c r="K67" s="136" t="s">
        <v>1660</v>
      </c>
      <c r="L67" s="349">
        <v>15.631496284373984</v>
      </c>
      <c r="M67" s="349">
        <v>7.311550109890109</v>
      </c>
      <c r="N67" s="349">
        <v>12.935243989409143</v>
      </c>
      <c r="O67" s="349">
        <v>2.2164337854152127</v>
      </c>
      <c r="P67" s="349">
        <v>8.7987099702953699</v>
      </c>
      <c r="Q67" s="349">
        <v>8.1064362260788272</v>
      </c>
      <c r="R67" s="142">
        <v>54.999870365462648</v>
      </c>
      <c r="T67" s="338" t="s">
        <v>2593</v>
      </c>
      <c r="U67" s="339">
        <v>9121097</v>
      </c>
      <c r="V67" s="339">
        <v>542114.63920278091</v>
      </c>
      <c r="W67" s="340">
        <f t="shared" si="0"/>
        <v>5.9435245475712065E-2</v>
      </c>
      <c r="X67" s="336">
        <v>4</v>
      </c>
      <c r="Y67" s="341">
        <v>3</v>
      </c>
      <c r="Z67" s="341">
        <v>3</v>
      </c>
      <c r="AA67" s="341">
        <v>3</v>
      </c>
      <c r="AB67" s="336">
        <v>4</v>
      </c>
      <c r="AC67" s="342">
        <v>4</v>
      </c>
      <c r="AD67" s="341">
        <v>3</v>
      </c>
      <c r="AE67" s="346">
        <v>4</v>
      </c>
      <c r="AF67" s="348">
        <v>3</v>
      </c>
    </row>
    <row r="68" spans="3:56">
      <c r="D68" s="338" t="s">
        <v>2598</v>
      </c>
      <c r="E68" s="340">
        <v>-1.2885069673397448E-2</v>
      </c>
      <c r="F68" s="343">
        <v>5</v>
      </c>
      <c r="G68" s="380">
        <v>8</v>
      </c>
      <c r="H68" s="348">
        <v>8</v>
      </c>
      <c r="J68" s="353">
        <v>5</v>
      </c>
      <c r="K68" s="136" t="s">
        <v>1771</v>
      </c>
      <c r="L68" s="349">
        <v>6.6717285056519051</v>
      </c>
      <c r="M68" s="349">
        <v>7.5370621118012435</v>
      </c>
      <c r="N68" s="349">
        <v>12.225683032258065</v>
      </c>
      <c r="O68" s="349">
        <v>0</v>
      </c>
      <c r="P68" s="349">
        <v>7.8310367857238257</v>
      </c>
      <c r="Q68" s="349">
        <v>9.0568483959241259</v>
      </c>
      <c r="R68" s="142">
        <v>43.322358831359168</v>
      </c>
      <c r="T68" s="338" t="s">
        <v>2598</v>
      </c>
      <c r="U68" s="339">
        <v>16598037.619899999</v>
      </c>
      <c r="V68" s="339">
        <v>-213866.87117408344</v>
      </c>
      <c r="W68" s="340">
        <f t="shared" si="0"/>
        <v>-1.2885069673397448E-2</v>
      </c>
      <c r="X68" s="336">
        <v>5</v>
      </c>
      <c r="Y68" s="341">
        <v>6</v>
      </c>
      <c r="Z68" s="341">
        <v>9</v>
      </c>
      <c r="AA68" s="341">
        <v>7</v>
      </c>
      <c r="AB68" s="336">
        <v>5</v>
      </c>
      <c r="AC68" s="342">
        <v>5</v>
      </c>
      <c r="AD68" s="341">
        <v>8</v>
      </c>
      <c r="AE68" s="346">
        <v>7</v>
      </c>
      <c r="AF68" s="348">
        <v>8</v>
      </c>
    </row>
    <row r="69" spans="3:56">
      <c r="D69" s="338" t="s">
        <v>2592</v>
      </c>
      <c r="E69" s="340">
        <v>-3.8100465935044264E-2</v>
      </c>
      <c r="F69" s="343">
        <v>6</v>
      </c>
      <c r="G69" s="380">
        <v>5</v>
      </c>
      <c r="H69" s="348">
        <v>5</v>
      </c>
      <c r="J69" s="353">
        <v>6</v>
      </c>
      <c r="K69" s="136" t="s">
        <v>317</v>
      </c>
      <c r="L69" s="349">
        <v>-1.9404400448510553</v>
      </c>
      <c r="M69" s="349">
        <v>11.562065934065936</v>
      </c>
      <c r="N69" s="349">
        <v>12.225499062500003</v>
      </c>
      <c r="O69" s="349">
        <v>4.7102773260572999</v>
      </c>
      <c r="P69" s="349">
        <v>7.457829701608369</v>
      </c>
      <c r="Q69" s="349">
        <v>7.9309391828935123</v>
      </c>
      <c r="R69" s="142">
        <v>41.946171162274062</v>
      </c>
      <c r="T69" s="338" t="s">
        <v>2592</v>
      </c>
      <c r="U69" s="339">
        <v>5769304.0001999997</v>
      </c>
      <c r="V69" s="339">
        <v>-219813.17052853468</v>
      </c>
      <c r="W69" s="340">
        <f t="shared" si="0"/>
        <v>-3.8100465935044264E-2</v>
      </c>
      <c r="X69" s="336">
        <v>6</v>
      </c>
      <c r="Y69" s="341">
        <v>5</v>
      </c>
      <c r="Z69" s="341">
        <v>6</v>
      </c>
      <c r="AA69" s="341">
        <v>5</v>
      </c>
      <c r="AB69" s="336">
        <v>6</v>
      </c>
      <c r="AC69" s="342">
        <v>6</v>
      </c>
      <c r="AD69" s="341">
        <v>5</v>
      </c>
      <c r="AE69" s="346">
        <v>5</v>
      </c>
      <c r="AF69" s="348">
        <v>5</v>
      </c>
    </row>
    <row r="70" spans="3:56">
      <c r="D70" s="338" t="s">
        <v>2600</v>
      </c>
      <c r="E70" s="340">
        <v>-5.4311101097383192E-2</v>
      </c>
      <c r="F70" s="343">
        <v>7</v>
      </c>
      <c r="G70" s="380">
        <v>11</v>
      </c>
      <c r="H70" s="383">
        <v>10</v>
      </c>
      <c r="J70" s="353">
        <v>7</v>
      </c>
      <c r="K70" s="136" t="s">
        <v>651</v>
      </c>
      <c r="L70" s="349">
        <v>0.44018343733318754</v>
      </c>
      <c r="M70" s="349">
        <v>10.359400048170196</v>
      </c>
      <c r="N70" s="349">
        <v>14.892016104407574</v>
      </c>
      <c r="O70" s="349">
        <v>1.7403059138713897</v>
      </c>
      <c r="P70" s="349">
        <v>6.6005919521866216</v>
      </c>
      <c r="Q70" s="349">
        <v>7.862614021641912</v>
      </c>
      <c r="R70" s="142">
        <v>41.895111477610875</v>
      </c>
      <c r="T70" s="338" t="s">
        <v>2600</v>
      </c>
      <c r="U70" s="339">
        <v>7555527.7901999988</v>
      </c>
      <c r="V70" s="339">
        <v>-410349.03365764034</v>
      </c>
      <c r="W70" s="340">
        <f t="shared" si="0"/>
        <v>-5.4311101097383192E-2</v>
      </c>
      <c r="X70" s="336">
        <v>7</v>
      </c>
      <c r="Y70" s="341">
        <v>13</v>
      </c>
      <c r="Z70" s="341">
        <v>11</v>
      </c>
      <c r="AA70" s="341">
        <v>10</v>
      </c>
      <c r="AB70" s="343">
        <v>10</v>
      </c>
      <c r="AC70" s="341">
        <v>10</v>
      </c>
      <c r="AD70" s="341">
        <v>11</v>
      </c>
      <c r="AE70" s="346">
        <v>11</v>
      </c>
      <c r="AF70" s="348">
        <v>10</v>
      </c>
    </row>
    <row r="71" spans="3:56">
      <c r="D71" s="338" t="s">
        <v>2605</v>
      </c>
      <c r="E71" s="340">
        <v>-6.5362819317578522E-2</v>
      </c>
      <c r="F71" s="343">
        <v>8</v>
      </c>
      <c r="G71" s="380">
        <v>7</v>
      </c>
      <c r="H71" s="382">
        <v>6</v>
      </c>
      <c r="J71" s="353">
        <v>8</v>
      </c>
      <c r="K71" s="136" t="s">
        <v>835</v>
      </c>
      <c r="L71" s="349">
        <v>9.1108878579518411</v>
      </c>
      <c r="M71" s="349">
        <v>2.9091412078462247</v>
      </c>
      <c r="N71" s="349">
        <v>14.80902430070878</v>
      </c>
      <c r="O71" s="349">
        <v>1.7222158675179635</v>
      </c>
      <c r="P71" s="349">
        <v>4.4521203497912785</v>
      </c>
      <c r="Q71" s="349">
        <v>8.3879214970476319</v>
      </c>
      <c r="R71" s="142">
        <v>41.391311080863716</v>
      </c>
      <c r="T71" s="338" t="s">
        <v>2605</v>
      </c>
      <c r="U71" s="339">
        <v>3456817.64</v>
      </c>
      <c r="V71" s="339">
        <v>-225947.3468171382</v>
      </c>
      <c r="W71" s="340">
        <f t="shared" si="0"/>
        <v>-6.5362819317578522E-2</v>
      </c>
      <c r="X71" s="336">
        <v>8</v>
      </c>
      <c r="Y71" s="341">
        <v>7</v>
      </c>
      <c r="Z71" s="341">
        <v>5</v>
      </c>
      <c r="AA71" s="341">
        <v>8</v>
      </c>
      <c r="AB71" s="336">
        <v>8</v>
      </c>
      <c r="AC71" s="341">
        <v>7</v>
      </c>
      <c r="AD71" s="341">
        <v>7</v>
      </c>
      <c r="AE71" s="346">
        <v>6</v>
      </c>
      <c r="AF71" s="348">
        <v>6</v>
      </c>
    </row>
    <row r="72" spans="3:56" ht="43">
      <c r="D72" s="338" t="s">
        <v>2609</v>
      </c>
      <c r="E72" s="340">
        <v>-9.5512974745500009E-2</v>
      </c>
      <c r="F72" s="343">
        <v>9</v>
      </c>
      <c r="G72" s="380">
        <v>9</v>
      </c>
      <c r="H72" s="382">
        <v>7</v>
      </c>
      <c r="J72" s="353">
        <v>9</v>
      </c>
      <c r="K72" s="136" t="s">
        <v>1600</v>
      </c>
      <c r="L72" s="349">
        <v>7.9671827068524754</v>
      </c>
      <c r="M72" s="349">
        <v>4.9799694717087446</v>
      </c>
      <c r="N72" s="349">
        <v>10.994007201788886</v>
      </c>
      <c r="O72" s="349">
        <v>1.0117556304113977</v>
      </c>
      <c r="P72" s="349">
        <v>4.384897128010306</v>
      </c>
      <c r="Q72" s="349">
        <v>7.7133819001787529</v>
      </c>
      <c r="R72" s="142">
        <v>37.051194038950563</v>
      </c>
      <c r="T72" s="338" t="s">
        <v>2609</v>
      </c>
      <c r="U72" s="339">
        <v>8381370.7196999993</v>
      </c>
      <c r="V72" s="339">
        <v>-800529.64988337923</v>
      </c>
      <c r="W72" s="340">
        <f t="shared" si="0"/>
        <v>-9.5512974745500009E-2</v>
      </c>
      <c r="X72" s="336">
        <v>9</v>
      </c>
      <c r="Y72" s="341">
        <v>10</v>
      </c>
      <c r="Z72" s="341">
        <v>7</v>
      </c>
      <c r="AA72" s="341">
        <v>9</v>
      </c>
      <c r="AB72" s="336">
        <v>9</v>
      </c>
      <c r="AC72" s="342">
        <v>9</v>
      </c>
      <c r="AD72" s="341">
        <v>9</v>
      </c>
      <c r="AE72" s="346">
        <v>9</v>
      </c>
      <c r="AF72" s="348">
        <v>7</v>
      </c>
      <c r="AS72" s="401" t="s">
        <v>1832</v>
      </c>
      <c r="AT72" s="402">
        <v>40</v>
      </c>
      <c r="AU72" s="402">
        <v>15</v>
      </c>
      <c r="AV72" s="402">
        <v>15</v>
      </c>
      <c r="AW72" s="402">
        <v>10</v>
      </c>
      <c r="AX72" s="402">
        <v>10</v>
      </c>
      <c r="AY72" s="402">
        <v>10</v>
      </c>
      <c r="AZ72" s="401">
        <v>100</v>
      </c>
      <c r="BA72" s="417" t="s">
        <v>23</v>
      </c>
      <c r="BB72" s="416" t="s">
        <v>2820</v>
      </c>
      <c r="BC72" s="416" t="s">
        <v>2821</v>
      </c>
      <c r="BD72" s="416" t="s">
        <v>2822</v>
      </c>
    </row>
    <row r="73" spans="3:56">
      <c r="D73" s="338" t="s">
        <v>2597</v>
      </c>
      <c r="E73" s="340">
        <v>-0.1145395061740458</v>
      </c>
      <c r="F73" s="343">
        <v>10</v>
      </c>
      <c r="G73" s="380">
        <v>10</v>
      </c>
      <c r="H73" s="382">
        <v>11</v>
      </c>
      <c r="J73" s="353">
        <v>10</v>
      </c>
      <c r="K73" s="136" t="s">
        <v>760</v>
      </c>
      <c r="L73" s="349">
        <v>6.541809430220356</v>
      </c>
      <c r="M73" s="349">
        <v>5.9101965524671414</v>
      </c>
      <c r="N73" s="349">
        <v>8.1159749245801045</v>
      </c>
      <c r="O73" s="349">
        <v>6.8032806849772607</v>
      </c>
      <c r="P73" s="349">
        <v>0.24948162524381212</v>
      </c>
      <c r="Q73" s="349">
        <v>4.5318584992975763</v>
      </c>
      <c r="R73" s="142">
        <v>32.152601716786251</v>
      </c>
      <c r="T73" s="338" t="s">
        <v>2597</v>
      </c>
      <c r="U73" s="339">
        <v>7301430.2999999998</v>
      </c>
      <c r="V73" s="339">
        <v>-836302.22092621506</v>
      </c>
      <c r="W73" s="340">
        <f t="shared" si="0"/>
        <v>-0.1145395061740458</v>
      </c>
      <c r="X73" s="336">
        <v>10</v>
      </c>
      <c r="Y73" s="341">
        <v>9</v>
      </c>
      <c r="Z73" s="341">
        <v>10</v>
      </c>
      <c r="AA73" s="341">
        <v>11</v>
      </c>
      <c r="AB73" s="343">
        <v>11</v>
      </c>
      <c r="AC73" s="341">
        <v>11</v>
      </c>
      <c r="AD73" s="341">
        <v>10</v>
      </c>
      <c r="AE73" s="346">
        <v>10</v>
      </c>
      <c r="AF73" s="348">
        <v>11</v>
      </c>
      <c r="AS73" s="401" t="s">
        <v>1</v>
      </c>
      <c r="AT73" s="402" t="s">
        <v>1836</v>
      </c>
      <c r="AU73" s="402" t="s">
        <v>1916</v>
      </c>
      <c r="AV73" s="402" t="s">
        <v>1851</v>
      </c>
      <c r="AW73" s="402" t="s">
        <v>29</v>
      </c>
      <c r="AX73" s="402" t="s">
        <v>1917</v>
      </c>
      <c r="AY73" s="402" t="s">
        <v>1907</v>
      </c>
      <c r="AZ73" s="401" t="s">
        <v>1843</v>
      </c>
      <c r="BA73" s="417"/>
      <c r="BB73" s="416"/>
      <c r="BC73" s="416"/>
      <c r="BD73" s="416"/>
    </row>
    <row r="74" spans="3:56">
      <c r="D74" s="338" t="s">
        <v>2591</v>
      </c>
      <c r="E74" s="340">
        <v>-0.14973484168136381</v>
      </c>
      <c r="F74" s="343">
        <v>11</v>
      </c>
      <c r="G74" s="380">
        <v>8</v>
      </c>
      <c r="H74" s="383">
        <v>9</v>
      </c>
      <c r="J74" s="353">
        <v>11</v>
      </c>
      <c r="K74" s="136" t="s">
        <v>610</v>
      </c>
      <c r="L74" s="349">
        <v>-8.9422328363190591</v>
      </c>
      <c r="M74" s="349">
        <v>10.057378344481604</v>
      </c>
      <c r="N74" s="349">
        <v>13.221043338249203</v>
      </c>
      <c r="O74" s="349">
        <v>0.27081674493109525</v>
      </c>
      <c r="P74" s="349">
        <v>8.0535075894559256</v>
      </c>
      <c r="Q74" s="349">
        <v>8.8501302576814478</v>
      </c>
      <c r="R74" s="142">
        <v>31.510643438480216</v>
      </c>
      <c r="T74" s="338" t="s">
        <v>2591</v>
      </c>
      <c r="U74" s="339">
        <v>19941110.9397</v>
      </c>
      <c r="V74" s="339">
        <v>-2985879.0895064916</v>
      </c>
      <c r="W74" s="340">
        <f t="shared" si="0"/>
        <v>-0.14973484168136381</v>
      </c>
      <c r="X74" s="336">
        <v>11</v>
      </c>
      <c r="Y74" s="341">
        <v>8</v>
      </c>
      <c r="Z74" s="341">
        <v>8</v>
      </c>
      <c r="AA74" s="341">
        <v>6</v>
      </c>
      <c r="AB74" s="343">
        <v>7</v>
      </c>
      <c r="AC74" s="341">
        <v>8</v>
      </c>
      <c r="AD74" s="341">
        <v>8</v>
      </c>
      <c r="AE74" s="346">
        <v>8</v>
      </c>
      <c r="AF74" s="348">
        <v>9</v>
      </c>
      <c r="AS74" s="404" t="s">
        <v>724</v>
      </c>
      <c r="AT74" s="349">
        <v>18.696200359155693</v>
      </c>
      <c r="AU74" s="349">
        <v>14.229293478260869</v>
      </c>
      <c r="AV74" s="349">
        <v>15</v>
      </c>
      <c r="AW74" s="349">
        <v>4.7510441477640963</v>
      </c>
      <c r="AX74" s="349">
        <v>10</v>
      </c>
      <c r="AY74" s="349">
        <v>9.2537919506514541</v>
      </c>
      <c r="AZ74" s="414">
        <v>71.930329935832106</v>
      </c>
      <c r="BA74" s="412">
        <v>22.874479999999998</v>
      </c>
      <c r="BB74" s="412">
        <v>5285.6975600000014</v>
      </c>
      <c r="BC74" s="412">
        <v>1445.2996300000023</v>
      </c>
      <c r="BD74" s="412">
        <v>825.99599000000069</v>
      </c>
    </row>
    <row r="75" spans="3:56">
      <c r="D75" s="338" t="s">
        <v>2607</v>
      </c>
      <c r="E75" s="340">
        <v>-0.63885526829885397</v>
      </c>
      <c r="F75" s="343">
        <v>12</v>
      </c>
      <c r="G75" s="380">
        <v>12</v>
      </c>
      <c r="H75" s="348">
        <v>12</v>
      </c>
      <c r="J75" s="353">
        <v>12</v>
      </c>
      <c r="K75" s="136" t="s">
        <v>1174</v>
      </c>
      <c r="L75" s="349">
        <v>-16.929829136292078</v>
      </c>
      <c r="M75" s="349">
        <v>3.1786821073652933</v>
      </c>
      <c r="N75" s="349">
        <v>13.831740317385341</v>
      </c>
      <c r="O75" s="349">
        <v>0</v>
      </c>
      <c r="P75" s="349">
        <v>1.3180022905916864</v>
      </c>
      <c r="Q75" s="349">
        <v>7.3608242292554076</v>
      </c>
      <c r="R75" s="142">
        <v>8.7594198083056511</v>
      </c>
      <c r="T75" s="338" t="s">
        <v>2607</v>
      </c>
      <c r="U75" s="339">
        <v>22674385.420400001</v>
      </c>
      <c r="V75" s="339">
        <v>-14485650.581261266</v>
      </c>
      <c r="W75" s="340">
        <f t="shared" si="0"/>
        <v>-0.63885526829885397</v>
      </c>
      <c r="X75" s="336">
        <v>12</v>
      </c>
      <c r="Y75" s="341">
        <v>14</v>
      </c>
      <c r="Z75" s="341">
        <v>12</v>
      </c>
      <c r="AA75" s="341">
        <v>12</v>
      </c>
      <c r="AB75" s="336">
        <v>12</v>
      </c>
      <c r="AC75" s="342">
        <v>12</v>
      </c>
      <c r="AD75" s="341">
        <v>12</v>
      </c>
      <c r="AE75" s="346">
        <v>12</v>
      </c>
      <c r="AF75" s="348">
        <v>12</v>
      </c>
      <c r="AS75" s="404" t="s">
        <v>1747</v>
      </c>
      <c r="AT75" s="349">
        <v>14.50824112516721</v>
      </c>
      <c r="AU75" s="349">
        <v>15</v>
      </c>
      <c r="AV75" s="349">
        <v>15</v>
      </c>
      <c r="AW75" s="349">
        <v>7.8300638446028454</v>
      </c>
      <c r="AX75" s="349">
        <v>2.0640448936748577</v>
      </c>
      <c r="AY75" s="349">
        <v>6.3064020585158094</v>
      </c>
      <c r="AZ75" s="414">
        <v>60.708751921960719</v>
      </c>
      <c r="BA75" s="412">
        <v>31.102249999999998</v>
      </c>
      <c r="BB75" s="412">
        <v>5929.3299500000003</v>
      </c>
      <c r="BC75" s="412">
        <v>-741.1974699999987</v>
      </c>
      <c r="BD75" s="412">
        <v>-1036.6182599999995</v>
      </c>
    </row>
    <row r="76" spans="3:56">
      <c r="D76" s="338" t="s">
        <v>2604</v>
      </c>
      <c r="E76" s="340">
        <v>-0.92626864929458896</v>
      </c>
      <c r="F76" s="343">
        <v>13</v>
      </c>
      <c r="G76" s="380">
        <v>13</v>
      </c>
      <c r="H76" s="348">
        <v>13</v>
      </c>
      <c r="J76" s="353">
        <v>13</v>
      </c>
      <c r="K76" s="136" t="s">
        <v>1123</v>
      </c>
      <c r="L76" s="349">
        <v>-40</v>
      </c>
      <c r="M76" s="349">
        <v>15</v>
      </c>
      <c r="N76" s="349">
        <v>4.2890921666666664</v>
      </c>
      <c r="O76" s="349">
        <v>10</v>
      </c>
      <c r="P76" s="349">
        <v>1.1527475756685268</v>
      </c>
      <c r="Q76" s="349">
        <v>2.1374654188790516</v>
      </c>
      <c r="R76" s="142">
        <v>-7.4206948387857548</v>
      </c>
      <c r="T76" s="338" t="s">
        <v>2604</v>
      </c>
      <c r="U76" s="339">
        <v>2610432.9999000002</v>
      </c>
      <c r="V76" s="339">
        <v>-2417962.2488913951</v>
      </c>
      <c r="W76" s="340">
        <f t="shared" si="0"/>
        <v>-0.92626864929458896</v>
      </c>
      <c r="X76" s="336">
        <v>13</v>
      </c>
      <c r="Y76" s="341">
        <v>11</v>
      </c>
      <c r="Z76" s="341">
        <v>13</v>
      </c>
      <c r="AA76" s="341">
        <v>13</v>
      </c>
      <c r="AB76" s="336">
        <v>13</v>
      </c>
      <c r="AC76" s="342">
        <v>13</v>
      </c>
      <c r="AD76" s="341">
        <v>13</v>
      </c>
      <c r="AE76" s="346">
        <v>13</v>
      </c>
      <c r="AF76" s="348">
        <v>13</v>
      </c>
      <c r="AS76" s="404" t="s">
        <v>1146</v>
      </c>
      <c r="AT76" s="349">
        <v>11.163405240272027</v>
      </c>
      <c r="AU76" s="349">
        <v>14.831511899537043</v>
      </c>
      <c r="AV76" s="349">
        <v>10.926796677273257</v>
      </c>
      <c r="AW76" s="349">
        <v>4.9356807901932269</v>
      </c>
      <c r="AX76" s="349">
        <v>7.8012929767851897</v>
      </c>
      <c r="AY76" s="349">
        <v>6.3616369020618349</v>
      </c>
      <c r="AZ76" s="414">
        <v>56.020324486122576</v>
      </c>
      <c r="BA76" s="412">
        <v>64.621350000000007</v>
      </c>
      <c r="BB76" s="412">
        <v>12628.913400000001</v>
      </c>
      <c r="BC76" s="412">
        <v>-6459.2268299999987</v>
      </c>
      <c r="BD76" s="412">
        <v>-6364.3818600000004</v>
      </c>
    </row>
    <row r="77" spans="3:56">
      <c r="D77" s="338" t="s">
        <v>2602</v>
      </c>
      <c r="E77" s="340">
        <v>-2.8113691975788706</v>
      </c>
      <c r="F77" s="343">
        <v>14</v>
      </c>
      <c r="G77" s="380">
        <v>14</v>
      </c>
      <c r="H77" s="348">
        <v>14</v>
      </c>
      <c r="J77" s="353">
        <v>14</v>
      </c>
      <c r="K77" s="136" t="s">
        <v>999</v>
      </c>
      <c r="L77" s="349">
        <v>-40</v>
      </c>
      <c r="M77" s="349">
        <v>15</v>
      </c>
      <c r="N77" s="349">
        <v>3.2449328205128203</v>
      </c>
      <c r="O77" s="349">
        <v>10</v>
      </c>
      <c r="P77" s="349">
        <v>0</v>
      </c>
      <c r="Q77" s="349">
        <v>0</v>
      </c>
      <c r="R77" s="142">
        <v>-11.755067179487181</v>
      </c>
      <c r="T77" s="338" t="s">
        <v>2602</v>
      </c>
      <c r="U77" s="339">
        <v>1271693</v>
      </c>
      <c r="V77" s="339">
        <v>-3575198.5289766667</v>
      </c>
      <c r="W77" s="340">
        <f t="shared" si="0"/>
        <v>-2.8113691975788706</v>
      </c>
      <c r="X77" s="336">
        <v>14</v>
      </c>
      <c r="Y77" s="341">
        <v>12</v>
      </c>
      <c r="Z77" s="341">
        <v>14</v>
      </c>
      <c r="AA77" s="341">
        <v>14</v>
      </c>
      <c r="AB77" s="336">
        <v>14</v>
      </c>
      <c r="AC77" s="342">
        <v>14</v>
      </c>
      <c r="AD77" s="341">
        <v>14</v>
      </c>
      <c r="AE77" s="346">
        <v>14</v>
      </c>
      <c r="AF77" s="348">
        <v>14</v>
      </c>
      <c r="AS77" s="404" t="s">
        <v>1660</v>
      </c>
      <c r="AT77" s="349">
        <v>15.563510479563885</v>
      </c>
      <c r="AU77" s="349">
        <v>7.311550109890109</v>
      </c>
      <c r="AV77" s="349">
        <v>12.935243989409141</v>
      </c>
      <c r="AW77" s="349">
        <v>2.2164337854152127</v>
      </c>
      <c r="AX77" s="349">
        <v>8.7987099702953699</v>
      </c>
      <c r="AY77" s="349">
        <v>8.1064362260788272</v>
      </c>
      <c r="AZ77" s="414">
        <v>54.931884560652549</v>
      </c>
      <c r="BA77" s="412">
        <v>97.880700000000004</v>
      </c>
      <c r="BB77" s="412">
        <v>20111.428069999998</v>
      </c>
      <c r="BC77" s="412">
        <v>1080.9134499999968</v>
      </c>
      <c r="BD77" s="412">
        <v>-102.44167000000019</v>
      </c>
    </row>
    <row r="78" spans="3:56">
      <c r="AS78" s="404" t="s">
        <v>1771</v>
      </c>
      <c r="AT78" s="349">
        <v>6.6717285056519051</v>
      </c>
      <c r="AU78" s="349">
        <v>7.5370621118012435</v>
      </c>
      <c r="AV78" s="349">
        <v>12.225683032258065</v>
      </c>
      <c r="AW78" s="349">
        <v>0</v>
      </c>
      <c r="AX78" s="349">
        <v>7.8310367857238257</v>
      </c>
      <c r="AY78" s="349">
        <v>9.0568483959241259</v>
      </c>
      <c r="AZ78" s="414">
        <v>43.322358831359168</v>
      </c>
      <c r="BA78" s="412">
        <v>30.78059</v>
      </c>
      <c r="BB78" s="412">
        <v>6934.0918499999989</v>
      </c>
      <c r="BC78" s="412">
        <v>-1501.6765000000009</v>
      </c>
      <c r="BD78" s="412">
        <v>-2156.5279899999996</v>
      </c>
    </row>
    <row r="79" spans="3:56">
      <c r="C79" s="370"/>
      <c r="D79" s="387"/>
      <c r="E79" s="290" t="s">
        <v>2643</v>
      </c>
      <c r="AS79" s="404" t="s">
        <v>317</v>
      </c>
      <c r="AT79" s="349">
        <v>-1.9072169506418184</v>
      </c>
      <c r="AU79" s="349">
        <v>11.562065934065936</v>
      </c>
      <c r="AV79" s="349">
        <v>12.225499062500003</v>
      </c>
      <c r="AW79" s="349">
        <v>4.7102773260572999</v>
      </c>
      <c r="AX79" s="349">
        <v>7.457829701608369</v>
      </c>
      <c r="AY79" s="349">
        <v>7.9309391828935123</v>
      </c>
      <c r="AZ79" s="414">
        <v>41.979394256483303</v>
      </c>
      <c r="BA79" s="412">
        <v>8.5846299999999989</v>
      </c>
      <c r="BB79" s="412">
        <v>2410.4685999999997</v>
      </c>
      <c r="BC79" s="412">
        <v>-2083.9642500000004</v>
      </c>
      <c r="BD79" s="412">
        <v>-2743.1683300000009</v>
      </c>
    </row>
    <row r="80" spans="3:56">
      <c r="C80" s="370"/>
      <c r="D80" s="388"/>
      <c r="E80" s="290" t="s">
        <v>2642</v>
      </c>
      <c r="AS80" s="404" t="s">
        <v>835</v>
      </c>
      <c r="AT80" s="349">
        <v>9.5862875281166229</v>
      </c>
      <c r="AU80" s="349">
        <v>2.9091412078462242</v>
      </c>
      <c r="AV80" s="349">
        <v>14.809024300708778</v>
      </c>
      <c r="AW80" s="349">
        <v>1.7222158675179635</v>
      </c>
      <c r="AX80" s="349">
        <v>4.4521203497912785</v>
      </c>
      <c r="AY80" s="349">
        <v>8.3879214970476319</v>
      </c>
      <c r="AZ80" s="414">
        <v>41.866710751028492</v>
      </c>
      <c r="BA80" s="412">
        <v>91.849360000000004</v>
      </c>
      <c r="BB80" s="412">
        <v>19619.957880000005</v>
      </c>
      <c r="BC80" s="412">
        <v>-3562.2988399999995</v>
      </c>
      <c r="BD80" s="412">
        <v>-4567.8480399999999</v>
      </c>
    </row>
    <row r="81" spans="2:56">
      <c r="C81" s="370"/>
      <c r="D81" s="370"/>
      <c r="AS81" s="404" t="s">
        <v>651</v>
      </c>
      <c r="AT81" s="349">
        <v>0.3724785123262816</v>
      </c>
      <c r="AU81" s="349">
        <v>10.359400048170198</v>
      </c>
      <c r="AV81" s="349">
        <v>14.892016104407574</v>
      </c>
      <c r="AW81" s="349">
        <v>1.7403059138713899</v>
      </c>
      <c r="AX81" s="349">
        <v>6.6005919521866216</v>
      </c>
      <c r="AY81" s="349">
        <v>7.862614021641912</v>
      </c>
      <c r="AZ81" s="414">
        <v>41.827406552603975</v>
      </c>
      <c r="BA81" s="412">
        <v>45.768149999999999</v>
      </c>
      <c r="BB81" s="412">
        <v>9524.0531499999997</v>
      </c>
      <c r="BC81" s="412">
        <v>-4815.199819999998</v>
      </c>
      <c r="BD81" s="412">
        <v>-5153.4582299999984</v>
      </c>
    </row>
    <row r="82" spans="2:56">
      <c r="C82" s="370"/>
      <c r="D82" s="370"/>
      <c r="AS82" s="404" t="s">
        <v>1600</v>
      </c>
      <c r="AT82" s="349">
        <v>7.9671827068524754</v>
      </c>
      <c r="AU82" s="349">
        <v>7.4264963457955293</v>
      </c>
      <c r="AV82" s="349">
        <v>10.994007201788886</v>
      </c>
      <c r="AW82" s="349">
        <v>1.0117556304113977</v>
      </c>
      <c r="AX82" s="349">
        <v>5.7881932337491664</v>
      </c>
      <c r="AY82" s="349">
        <v>7.7133819001787529</v>
      </c>
      <c r="AZ82" s="414">
        <v>40.901017018776209</v>
      </c>
      <c r="BA82" s="412">
        <v>198.44948999999997</v>
      </c>
      <c r="BB82" s="412">
        <v>40892.09117</v>
      </c>
      <c r="BC82" s="412">
        <v>7081.0133899999964</v>
      </c>
      <c r="BD82" s="412">
        <v>4427.7423599999938</v>
      </c>
    </row>
    <row r="83" spans="2:56">
      <c r="C83" s="370"/>
      <c r="D83" s="370"/>
      <c r="AS83" s="404" t="s">
        <v>610</v>
      </c>
      <c r="AT83" s="349">
        <v>-7.4834132678514305</v>
      </c>
      <c r="AU83" s="349">
        <v>10.057378344481604</v>
      </c>
      <c r="AV83" s="349">
        <v>13.221043338249203</v>
      </c>
      <c r="AW83" s="349">
        <v>0.27081674493109525</v>
      </c>
      <c r="AX83" s="349">
        <v>8.0535075894559256</v>
      </c>
      <c r="AY83" s="349">
        <v>8.8501302576814478</v>
      </c>
      <c r="AZ83" s="414">
        <v>32.969463006947848</v>
      </c>
      <c r="BA83" s="412">
        <v>36.037790000000001</v>
      </c>
      <c r="BB83" s="412">
        <v>7081.9683799999993</v>
      </c>
      <c r="BC83" s="412">
        <v>-6555.4310800000003</v>
      </c>
      <c r="BD83" s="412">
        <v>-7384.6160199999995</v>
      </c>
    </row>
    <row r="84" spans="2:56">
      <c r="C84" s="370"/>
      <c r="D84" s="370"/>
      <c r="AS84" s="404" t="s">
        <v>760</v>
      </c>
      <c r="AT84" s="349">
        <v>4.8826422106769591</v>
      </c>
      <c r="AU84" s="349">
        <v>5.9101965524671414</v>
      </c>
      <c r="AV84" s="349">
        <v>8.1159749245801045</v>
      </c>
      <c r="AW84" s="349">
        <v>6.8032806849772607</v>
      </c>
      <c r="AX84" s="349">
        <v>0.24948162524381212</v>
      </c>
      <c r="AY84" s="349">
        <v>4.5318584992975763</v>
      </c>
      <c r="AZ84" s="414">
        <v>30.493434497242855</v>
      </c>
      <c r="BA84" s="412">
        <v>47.181159999999998</v>
      </c>
      <c r="BB84" s="412">
        <v>9401.5515400000004</v>
      </c>
      <c r="BC84" s="412">
        <v>-2874.8446599999997</v>
      </c>
      <c r="BD84" s="412">
        <v>-2578.9842699999999</v>
      </c>
    </row>
    <row r="85" spans="2:56">
      <c r="C85" s="370"/>
      <c r="D85" s="370"/>
      <c r="AS85" s="404" t="s">
        <v>1174</v>
      </c>
      <c r="AT85" s="349">
        <v>-16.809724435495777</v>
      </c>
      <c r="AU85" s="349">
        <v>3.1786821073652938</v>
      </c>
      <c r="AV85" s="349">
        <v>13.831740317385343</v>
      </c>
      <c r="AW85" s="349">
        <v>0</v>
      </c>
      <c r="AX85" s="349">
        <v>1.3180022905916864</v>
      </c>
      <c r="AY85" s="349">
        <v>7.3608242292554076</v>
      </c>
      <c r="AZ85" s="414">
        <v>8.8795245091019535</v>
      </c>
      <c r="BA85" s="412">
        <v>151.87559000000002</v>
      </c>
      <c r="BB85" s="412">
        <v>31577.728760000002</v>
      </c>
      <c r="BC85" s="412">
        <v>-10754.115229999996</v>
      </c>
      <c r="BD85" s="412">
        <v>-14372.727920000001</v>
      </c>
    </row>
    <row r="86" spans="2:56">
      <c r="B86" s="290" t="s">
        <v>2639</v>
      </c>
      <c r="AS86" s="404" t="s">
        <v>138</v>
      </c>
      <c r="AT86" s="349">
        <v>0</v>
      </c>
      <c r="AU86" s="349">
        <v>0</v>
      </c>
      <c r="AV86" s="349">
        <v>0</v>
      </c>
      <c r="AW86" s="349">
        <v>0</v>
      </c>
      <c r="AX86" s="349">
        <v>0</v>
      </c>
      <c r="AY86" s="349">
        <v>0</v>
      </c>
      <c r="AZ86" s="414">
        <v>0</v>
      </c>
      <c r="BA86" s="412">
        <v>0</v>
      </c>
      <c r="BB86" s="412">
        <v>0</v>
      </c>
      <c r="BC86" s="412">
        <v>0</v>
      </c>
      <c r="BD86" s="412">
        <v>0</v>
      </c>
    </row>
    <row r="87" spans="2:56">
      <c r="AS87" s="404" t="s">
        <v>209</v>
      </c>
      <c r="AT87" s="349">
        <v>0</v>
      </c>
      <c r="AU87" s="349">
        <v>0</v>
      </c>
      <c r="AV87" s="349">
        <v>0</v>
      </c>
      <c r="AW87" s="349">
        <v>0</v>
      </c>
      <c r="AX87" s="349">
        <v>0</v>
      </c>
      <c r="AY87" s="349">
        <v>0</v>
      </c>
      <c r="AZ87" s="414">
        <v>0</v>
      </c>
      <c r="BA87" s="412">
        <v>0</v>
      </c>
      <c r="BB87" s="412">
        <v>0</v>
      </c>
      <c r="BC87" s="412">
        <v>0</v>
      </c>
      <c r="BD87" s="412">
        <v>0</v>
      </c>
    </row>
    <row r="88" spans="2:56">
      <c r="D88" s="366" t="s">
        <v>2616</v>
      </c>
      <c r="E88" s="367"/>
      <c r="F88" s="367"/>
      <c r="G88" s="381"/>
      <c r="H88" s="368"/>
      <c r="J88" s="360"/>
      <c r="K88" s="134" t="s">
        <v>1832</v>
      </c>
      <c r="L88" s="196">
        <v>40</v>
      </c>
      <c r="M88" s="196">
        <v>15</v>
      </c>
      <c r="N88" s="196">
        <v>15</v>
      </c>
      <c r="O88" s="196">
        <v>10</v>
      </c>
      <c r="P88" s="196">
        <v>10</v>
      </c>
      <c r="Q88" s="196">
        <v>10</v>
      </c>
      <c r="R88" s="141">
        <v>100</v>
      </c>
      <c r="W88" s="367"/>
      <c r="X88" s="367"/>
      <c r="AS88" s="404" t="s">
        <v>248</v>
      </c>
      <c r="AT88" s="349">
        <v>0</v>
      </c>
      <c r="AU88" s="349">
        <v>0</v>
      </c>
      <c r="AV88" s="349">
        <v>0</v>
      </c>
      <c r="AW88" s="349">
        <v>0</v>
      </c>
      <c r="AX88" s="349">
        <v>0</v>
      </c>
      <c r="AY88" s="349">
        <v>0</v>
      </c>
      <c r="AZ88" s="414">
        <v>0</v>
      </c>
      <c r="BA88" s="412">
        <v>0</v>
      </c>
      <c r="BB88" s="412">
        <v>0</v>
      </c>
      <c r="BC88" s="412">
        <v>0</v>
      </c>
      <c r="BD88" s="412">
        <v>0</v>
      </c>
    </row>
    <row r="89" spans="2:56" ht="40" customHeight="1">
      <c r="D89" s="303" t="s">
        <v>2585</v>
      </c>
      <c r="E89" s="303" t="s">
        <v>2612</v>
      </c>
      <c r="F89" s="303" t="s">
        <v>2610</v>
      </c>
      <c r="G89" s="369" t="s">
        <v>2640</v>
      </c>
      <c r="H89" s="371" t="s">
        <v>2641</v>
      </c>
      <c r="J89" s="352" t="s">
        <v>2611</v>
      </c>
      <c r="K89" s="134" t="s">
        <v>1</v>
      </c>
      <c r="L89" s="196" t="s">
        <v>1836</v>
      </c>
      <c r="M89" s="196" t="s">
        <v>1916</v>
      </c>
      <c r="N89" s="196" t="s">
        <v>1851</v>
      </c>
      <c r="O89" s="196" t="s">
        <v>29</v>
      </c>
      <c r="P89" s="196" t="s">
        <v>1917</v>
      </c>
      <c r="Q89" s="196" t="s">
        <v>1907</v>
      </c>
      <c r="R89" s="141" t="s">
        <v>1843</v>
      </c>
      <c r="W89" s="303" t="s">
        <v>2614</v>
      </c>
      <c r="X89" s="303" t="s">
        <v>2615</v>
      </c>
      <c r="AS89" s="404" t="s">
        <v>283</v>
      </c>
      <c r="AT89" s="349">
        <v>0</v>
      </c>
      <c r="AU89" s="349">
        <v>0</v>
      </c>
      <c r="AV89" s="349">
        <v>0</v>
      </c>
      <c r="AW89" s="349">
        <v>0</v>
      </c>
      <c r="AX89" s="349">
        <v>0</v>
      </c>
      <c r="AY89" s="349">
        <v>0</v>
      </c>
      <c r="AZ89" s="414">
        <v>0</v>
      </c>
      <c r="BA89" s="412">
        <v>0</v>
      </c>
      <c r="BB89" s="412">
        <v>0</v>
      </c>
      <c r="BC89" s="412">
        <v>0</v>
      </c>
      <c r="BD89" s="412">
        <v>0</v>
      </c>
    </row>
    <row r="90" spans="2:56">
      <c r="D90" s="304" t="s">
        <v>2586</v>
      </c>
      <c r="E90" s="305">
        <v>0.32978632318029794</v>
      </c>
      <c r="F90" s="299">
        <v>1</v>
      </c>
      <c r="G90" s="385">
        <v>2</v>
      </c>
      <c r="H90" s="350">
        <v>1</v>
      </c>
      <c r="J90" s="353">
        <v>1</v>
      </c>
      <c r="K90" s="136" t="s">
        <v>567</v>
      </c>
      <c r="L90" s="349">
        <v>15.714491157683769</v>
      </c>
      <c r="M90" s="349">
        <v>13.280222748963263</v>
      </c>
      <c r="N90" s="349">
        <v>10.020103501490164</v>
      </c>
      <c r="O90" s="349">
        <v>4.0057874963694085</v>
      </c>
      <c r="P90" s="349">
        <v>7.3866462173473906</v>
      </c>
      <c r="Q90" s="349">
        <v>7.77135534576112</v>
      </c>
      <c r="R90" s="142">
        <v>58.178606467615118</v>
      </c>
      <c r="W90" s="301">
        <v>78.26150962989999</v>
      </c>
      <c r="X90" s="301">
        <v>25.809575507384199</v>
      </c>
      <c r="AS90" s="404" t="s">
        <v>374</v>
      </c>
      <c r="AT90" s="349">
        <v>0</v>
      </c>
      <c r="AU90" s="349">
        <v>0</v>
      </c>
      <c r="AV90" s="349">
        <v>0</v>
      </c>
      <c r="AW90" s="349">
        <v>0</v>
      </c>
      <c r="AX90" s="349">
        <v>0</v>
      </c>
      <c r="AY90" s="349">
        <v>0</v>
      </c>
      <c r="AZ90" s="414">
        <v>0</v>
      </c>
      <c r="BA90" s="412">
        <v>0</v>
      </c>
      <c r="BB90" s="412">
        <v>0</v>
      </c>
      <c r="BC90" s="412">
        <v>0</v>
      </c>
      <c r="BD90" s="412">
        <v>0</v>
      </c>
    </row>
    <row r="91" spans="2:56">
      <c r="D91" s="304" t="s">
        <v>2587</v>
      </c>
      <c r="E91" s="305">
        <v>0.30245529543831384</v>
      </c>
      <c r="F91" s="299">
        <v>2</v>
      </c>
      <c r="G91" s="385">
        <v>1</v>
      </c>
      <c r="H91" s="304">
        <v>2</v>
      </c>
      <c r="J91" s="353">
        <v>2</v>
      </c>
      <c r="K91" s="136" t="s">
        <v>1660</v>
      </c>
      <c r="L91" s="349">
        <v>15.075580668447792</v>
      </c>
      <c r="M91" s="349">
        <v>9.0644929995492252</v>
      </c>
      <c r="N91" s="349">
        <v>12.11910170033949</v>
      </c>
      <c r="O91" s="349">
        <v>2.2044669525927105</v>
      </c>
      <c r="P91" s="349">
        <v>10</v>
      </c>
      <c r="Q91" s="349">
        <v>8.6418293949825067</v>
      </c>
      <c r="R91" s="142">
        <v>57.105471715911726</v>
      </c>
      <c r="W91" s="301">
        <v>201.68435982879998</v>
      </c>
      <c r="X91" s="301">
        <v>61.000502637306894</v>
      </c>
      <c r="AS91" s="404" t="s">
        <v>408</v>
      </c>
      <c r="AT91" s="349">
        <v>0</v>
      </c>
      <c r="AU91" s="349">
        <v>0</v>
      </c>
      <c r="AV91" s="349">
        <v>0</v>
      </c>
      <c r="AW91" s="349">
        <v>0</v>
      </c>
      <c r="AX91" s="349">
        <v>0</v>
      </c>
      <c r="AY91" s="349">
        <v>0</v>
      </c>
      <c r="AZ91" s="414">
        <v>0</v>
      </c>
      <c r="BA91" s="412">
        <v>0</v>
      </c>
      <c r="BB91" s="412">
        <v>0</v>
      </c>
      <c r="BC91" s="412">
        <v>0</v>
      </c>
      <c r="BD91" s="412">
        <v>0</v>
      </c>
    </row>
    <row r="92" spans="2:56">
      <c r="D92" s="304" t="s">
        <v>2588</v>
      </c>
      <c r="E92" s="305">
        <v>0.25068474527417428</v>
      </c>
      <c r="F92" s="299">
        <v>3</v>
      </c>
      <c r="G92" s="385">
        <v>3</v>
      </c>
      <c r="H92" s="350">
        <v>3</v>
      </c>
      <c r="J92" s="353">
        <v>3</v>
      </c>
      <c r="K92" s="136" t="s">
        <v>474</v>
      </c>
      <c r="L92" s="349">
        <v>6.7586584694388883</v>
      </c>
      <c r="M92" s="349">
        <v>14.546442804012345</v>
      </c>
      <c r="N92" s="349">
        <v>12.184301647797907</v>
      </c>
      <c r="O92" s="349">
        <v>5.693083428873484</v>
      </c>
      <c r="P92" s="349">
        <v>7.2870427743707209</v>
      </c>
      <c r="Q92" s="349">
        <v>6.9439606902966746</v>
      </c>
      <c r="R92" s="142">
        <v>53.413489814790026</v>
      </c>
      <c r="W92" s="301">
        <v>130.1521864501</v>
      </c>
      <c r="X92" s="301">
        <v>32.627167707120158</v>
      </c>
      <c r="AS92" s="404" t="s">
        <v>507</v>
      </c>
      <c r="AT92" s="349">
        <v>0</v>
      </c>
      <c r="AU92" s="349">
        <v>0</v>
      </c>
      <c r="AV92" s="349">
        <v>0</v>
      </c>
      <c r="AW92" s="349">
        <v>0</v>
      </c>
      <c r="AX92" s="349">
        <v>0</v>
      </c>
      <c r="AY92" s="349">
        <v>0</v>
      </c>
      <c r="AZ92" s="414">
        <v>0</v>
      </c>
      <c r="BA92" s="412">
        <v>0</v>
      </c>
      <c r="BB92" s="412">
        <v>0</v>
      </c>
      <c r="BC92" s="412">
        <v>0</v>
      </c>
      <c r="BD92" s="412">
        <v>0</v>
      </c>
    </row>
    <row r="93" spans="2:56">
      <c r="D93" s="304" t="s">
        <v>2589</v>
      </c>
      <c r="E93" s="305">
        <v>0.21378605810601939</v>
      </c>
      <c r="F93" s="299">
        <v>4</v>
      </c>
      <c r="G93" s="385">
        <v>8</v>
      </c>
      <c r="H93" s="304">
        <v>8</v>
      </c>
      <c r="J93" s="353">
        <v>4</v>
      </c>
      <c r="K93" s="136" t="s">
        <v>1600</v>
      </c>
      <c r="L93" s="349">
        <v>14.966666984161451</v>
      </c>
      <c r="M93" s="349">
        <v>7.3366863871893173</v>
      </c>
      <c r="N93" s="349">
        <v>10.591145411198079</v>
      </c>
      <c r="O93" s="349">
        <v>2.4574202440805633</v>
      </c>
      <c r="P93" s="349">
        <v>5.6481784712039884</v>
      </c>
      <c r="Q93" s="349">
        <v>7.7618668998802276</v>
      </c>
      <c r="R93" s="142">
        <v>48.761964397713626</v>
      </c>
      <c r="W93" s="301">
        <v>51.148472999799999</v>
      </c>
      <c r="X93" s="301">
        <v>10.934830420769407</v>
      </c>
      <c r="AS93" s="404" t="s">
        <v>474</v>
      </c>
      <c r="AT93" s="349">
        <v>0</v>
      </c>
      <c r="AU93" s="349">
        <v>0</v>
      </c>
      <c r="AV93" s="349">
        <v>0</v>
      </c>
      <c r="AW93" s="349">
        <v>0</v>
      </c>
      <c r="AX93" s="349">
        <v>0</v>
      </c>
      <c r="AY93" s="349">
        <v>0</v>
      </c>
      <c r="AZ93" s="414">
        <v>0</v>
      </c>
      <c r="BA93" s="412">
        <v>0</v>
      </c>
      <c r="BB93" s="412">
        <v>0</v>
      </c>
      <c r="BC93" s="412">
        <v>0</v>
      </c>
      <c r="BD93" s="412">
        <v>0</v>
      </c>
    </row>
    <row r="94" spans="2:56">
      <c r="D94" s="304" t="s">
        <v>2590</v>
      </c>
      <c r="E94" s="305">
        <v>0.20922884470498432</v>
      </c>
      <c r="F94" s="299">
        <v>5</v>
      </c>
      <c r="G94" s="385">
        <v>5</v>
      </c>
      <c r="H94" s="304">
        <v>5</v>
      </c>
      <c r="J94" s="353">
        <v>5</v>
      </c>
      <c r="K94" s="136" t="s">
        <v>1747</v>
      </c>
      <c r="L94" s="349">
        <v>9.8758168890404026</v>
      </c>
      <c r="M94" s="349">
        <v>8.4989474561291889</v>
      </c>
      <c r="N94" s="349">
        <v>13.66456487702154</v>
      </c>
      <c r="O94" s="349">
        <v>2.958056178850248</v>
      </c>
      <c r="P94" s="349">
        <v>4.7813427000306179</v>
      </c>
      <c r="Q94" s="349">
        <v>8.6603004970257835</v>
      </c>
      <c r="R94" s="142">
        <v>48.439028598097778</v>
      </c>
      <c r="W94" s="301">
        <v>42.809289110100003</v>
      </c>
      <c r="X94" s="301">
        <v>8.9569381031478894</v>
      </c>
      <c r="AS94" s="404" t="s">
        <v>540</v>
      </c>
      <c r="AT94" s="349">
        <v>0</v>
      </c>
      <c r="AU94" s="349">
        <v>0</v>
      </c>
      <c r="AV94" s="349">
        <v>0</v>
      </c>
      <c r="AW94" s="349">
        <v>0</v>
      </c>
      <c r="AX94" s="349">
        <v>0</v>
      </c>
      <c r="AY94" s="349">
        <v>0</v>
      </c>
      <c r="AZ94" s="414">
        <v>0</v>
      </c>
      <c r="BA94" s="412">
        <v>0</v>
      </c>
      <c r="BB94" s="412">
        <v>0</v>
      </c>
      <c r="BC94" s="412">
        <v>0</v>
      </c>
      <c r="BD94" s="412">
        <v>0</v>
      </c>
    </row>
    <row r="95" spans="2:56">
      <c r="D95" s="304" t="s">
        <v>2591</v>
      </c>
      <c r="E95" s="305">
        <v>0.20352982144446452</v>
      </c>
      <c r="F95" s="299">
        <v>6</v>
      </c>
      <c r="G95" s="385">
        <v>4</v>
      </c>
      <c r="H95" s="304">
        <v>4</v>
      </c>
      <c r="J95" s="353">
        <v>6</v>
      </c>
      <c r="K95" s="136" t="s">
        <v>408</v>
      </c>
      <c r="L95" s="349">
        <v>2.19543541161985</v>
      </c>
      <c r="M95" s="349">
        <v>10.237031699309362</v>
      </c>
      <c r="N95" s="349">
        <v>11.682158987440429</v>
      </c>
      <c r="O95" s="349">
        <v>5.1170726838123448</v>
      </c>
      <c r="P95" s="349">
        <v>2.6527322161508931</v>
      </c>
      <c r="Q95" s="349">
        <v>6.4313380592988114</v>
      </c>
      <c r="R95" s="142">
        <v>38.315769057631691</v>
      </c>
      <c r="W95" s="301">
        <v>151.61531056000001</v>
      </c>
      <c r="X95" s="301">
        <v>30.85823708652384</v>
      </c>
      <c r="AS95" s="404" t="s">
        <v>567</v>
      </c>
      <c r="AT95" s="349">
        <v>0</v>
      </c>
      <c r="AU95" s="349">
        <v>0</v>
      </c>
      <c r="AV95" s="349">
        <v>0</v>
      </c>
      <c r="AW95" s="349">
        <v>0</v>
      </c>
      <c r="AX95" s="349">
        <v>0</v>
      </c>
      <c r="AY95" s="349">
        <v>0</v>
      </c>
      <c r="AZ95" s="414">
        <v>0</v>
      </c>
      <c r="BA95" s="412">
        <v>0</v>
      </c>
      <c r="BB95" s="412">
        <v>0</v>
      </c>
      <c r="BC95" s="412">
        <v>0</v>
      </c>
      <c r="BD95" s="412">
        <v>0</v>
      </c>
    </row>
    <row r="96" spans="2:56">
      <c r="D96" s="304" t="s">
        <v>2592</v>
      </c>
      <c r="E96" s="305">
        <v>0.16937056629418415</v>
      </c>
      <c r="F96" s="299">
        <v>7</v>
      </c>
      <c r="G96" s="385">
        <v>12</v>
      </c>
      <c r="H96" s="384">
        <v>13</v>
      </c>
      <c r="J96" s="353">
        <v>7</v>
      </c>
      <c r="K96" s="136" t="s">
        <v>1146</v>
      </c>
      <c r="L96" s="349">
        <v>0.88648957732973932</v>
      </c>
      <c r="M96" s="349">
        <v>10.136728343638858</v>
      </c>
      <c r="N96" s="349">
        <v>9.072711344216966</v>
      </c>
      <c r="O96" s="349">
        <v>4.403725994189303</v>
      </c>
      <c r="P96" s="349">
        <v>5.5235149393088667</v>
      </c>
      <c r="Q96" s="349">
        <v>6.4466449671003501</v>
      </c>
      <c r="R96" s="142">
        <v>36.469815165784077</v>
      </c>
      <c r="W96" s="301">
        <v>61.522131490299998</v>
      </c>
      <c r="X96" s="301">
        <v>10.42003825013737</v>
      </c>
      <c r="AS96" s="404" t="s">
        <v>632</v>
      </c>
      <c r="AT96" s="349">
        <v>0</v>
      </c>
      <c r="AU96" s="349">
        <v>0</v>
      </c>
      <c r="AV96" s="349">
        <v>0</v>
      </c>
      <c r="AW96" s="349">
        <v>0</v>
      </c>
      <c r="AX96" s="349">
        <v>0</v>
      </c>
      <c r="AY96" s="349">
        <v>0</v>
      </c>
      <c r="AZ96" s="414">
        <v>0</v>
      </c>
      <c r="BA96" s="412">
        <v>0</v>
      </c>
      <c r="BB96" s="412">
        <v>0</v>
      </c>
      <c r="BC96" s="412">
        <v>0</v>
      </c>
      <c r="BD96" s="412">
        <v>0</v>
      </c>
    </row>
    <row r="97" spans="4:56">
      <c r="D97" s="304" t="s">
        <v>2593</v>
      </c>
      <c r="E97" s="305">
        <v>0.14198347266963987</v>
      </c>
      <c r="F97" s="299">
        <v>8</v>
      </c>
      <c r="G97" s="385">
        <v>7</v>
      </c>
      <c r="H97" s="304">
        <v>7</v>
      </c>
      <c r="J97" s="353">
        <v>8</v>
      </c>
      <c r="K97" s="136" t="s">
        <v>893</v>
      </c>
      <c r="L97" s="349">
        <v>4.249384011200716</v>
      </c>
      <c r="M97" s="349">
        <v>5.17367137482724</v>
      </c>
      <c r="N97" s="349">
        <v>11.265976400127961</v>
      </c>
      <c r="O97" s="349">
        <v>2.1757943913389854</v>
      </c>
      <c r="P97" s="349">
        <v>4.7682520393102035</v>
      </c>
      <c r="Q97" s="349">
        <v>7.9756973807471869</v>
      </c>
      <c r="R97" s="142">
        <v>35.608775597552288</v>
      </c>
      <c r="W97" s="301">
        <v>89.586853960200017</v>
      </c>
      <c r="X97" s="301">
        <v>12.719852630817076</v>
      </c>
      <c r="AS97" s="404" t="s">
        <v>893</v>
      </c>
      <c r="AT97" s="349">
        <v>0</v>
      </c>
      <c r="AU97" s="349">
        <v>0</v>
      </c>
      <c r="AV97" s="349">
        <v>0</v>
      </c>
      <c r="AW97" s="349">
        <v>0</v>
      </c>
      <c r="AX97" s="349">
        <v>0</v>
      </c>
      <c r="AY97" s="349">
        <v>0</v>
      </c>
      <c r="AZ97" s="414">
        <v>0</v>
      </c>
      <c r="BA97" s="412">
        <v>0</v>
      </c>
      <c r="BB97" s="412">
        <v>0</v>
      </c>
      <c r="BC97" s="412">
        <v>0</v>
      </c>
      <c r="BD97" s="412">
        <v>0</v>
      </c>
    </row>
    <row r="98" spans="4:56">
      <c r="D98" s="304" t="s">
        <v>2594</v>
      </c>
      <c r="E98" s="305">
        <v>5.2861009546429104E-2</v>
      </c>
      <c r="F98" s="299">
        <v>9</v>
      </c>
      <c r="G98" s="385">
        <v>11</v>
      </c>
      <c r="H98" s="384">
        <v>12</v>
      </c>
      <c r="J98" s="353">
        <v>9</v>
      </c>
      <c r="K98" s="136" t="s">
        <v>724</v>
      </c>
      <c r="L98" s="349">
        <v>-0.44321686159359802</v>
      </c>
      <c r="M98" s="349">
        <v>11.735012969507032</v>
      </c>
      <c r="N98" s="349">
        <v>7.2962587928696987</v>
      </c>
      <c r="O98" s="349">
        <v>3.7105601710463101</v>
      </c>
      <c r="P98" s="349">
        <v>4.3331612318840582</v>
      </c>
      <c r="Q98" s="349">
        <v>5.8271868548667998</v>
      </c>
      <c r="R98" s="142">
        <v>32.458963158580303</v>
      </c>
      <c r="W98" s="301">
        <v>64.742669869500006</v>
      </c>
      <c r="X98" s="301">
        <v>3.4223628900329479</v>
      </c>
      <c r="AS98" s="404" t="s">
        <v>924</v>
      </c>
      <c r="AT98" s="349">
        <v>0</v>
      </c>
      <c r="AU98" s="349">
        <v>0</v>
      </c>
      <c r="AV98" s="349">
        <v>0</v>
      </c>
      <c r="AW98" s="349">
        <v>0</v>
      </c>
      <c r="AX98" s="349">
        <v>0</v>
      </c>
      <c r="AY98" s="349">
        <v>0</v>
      </c>
      <c r="AZ98" s="414">
        <v>0</v>
      </c>
      <c r="BA98" s="412">
        <v>0</v>
      </c>
      <c r="BB98" s="412">
        <v>0</v>
      </c>
      <c r="BC98" s="412">
        <v>0</v>
      </c>
      <c r="BD98" s="412">
        <v>0</v>
      </c>
    </row>
    <row r="99" spans="4:56">
      <c r="D99" s="304" t="s">
        <v>2595</v>
      </c>
      <c r="E99" s="305">
        <v>3.0584128285567991E-2</v>
      </c>
      <c r="F99" s="299">
        <v>10</v>
      </c>
      <c r="G99" s="385">
        <v>6</v>
      </c>
      <c r="H99" s="304">
        <v>6</v>
      </c>
      <c r="J99" s="353">
        <v>10</v>
      </c>
      <c r="K99" s="136" t="s">
        <v>835</v>
      </c>
      <c r="L99" s="349">
        <v>1.3798152506882932</v>
      </c>
      <c r="M99" s="349">
        <v>2.6985290876161603</v>
      </c>
      <c r="N99" s="349">
        <v>14.275500701532048</v>
      </c>
      <c r="O99" s="349">
        <v>1.3805369281452058</v>
      </c>
      <c r="P99" s="349">
        <v>3.5360748844993175</v>
      </c>
      <c r="Q99" s="349">
        <v>8.0480034062631329</v>
      </c>
      <c r="R99" s="142">
        <v>31.318460258744153</v>
      </c>
      <c r="W99" s="301">
        <v>151.39696867570001</v>
      </c>
      <c r="X99" s="301">
        <v>4.6303443120237278</v>
      </c>
      <c r="AS99" s="404" t="s">
        <v>1574</v>
      </c>
      <c r="AT99" s="349">
        <v>0</v>
      </c>
      <c r="AU99" s="349">
        <v>0</v>
      </c>
      <c r="AV99" s="349">
        <v>0</v>
      </c>
      <c r="AW99" s="349">
        <v>0</v>
      </c>
      <c r="AX99" s="349">
        <v>0</v>
      </c>
      <c r="AY99" s="349">
        <v>0</v>
      </c>
      <c r="AZ99" s="414">
        <v>0</v>
      </c>
      <c r="BA99" s="412">
        <v>0</v>
      </c>
      <c r="BB99" s="412">
        <v>0</v>
      </c>
      <c r="BC99" s="412">
        <v>0</v>
      </c>
      <c r="BD99" s="412">
        <v>0</v>
      </c>
    </row>
    <row r="100" spans="4:56">
      <c r="D100" s="304" t="s">
        <v>2596</v>
      </c>
      <c r="E100" s="305">
        <v>2.287293438971345E-2</v>
      </c>
      <c r="F100" s="299">
        <v>11</v>
      </c>
      <c r="G100" s="385">
        <v>13</v>
      </c>
      <c r="H100" s="350">
        <v>11</v>
      </c>
      <c r="J100" s="353">
        <v>11</v>
      </c>
      <c r="K100" s="136" t="s">
        <v>507</v>
      </c>
      <c r="L100" s="349">
        <v>-2.5754136902557678</v>
      </c>
      <c r="M100" s="349">
        <v>6.6463717836186706</v>
      </c>
      <c r="N100" s="349">
        <v>10.741978445284744</v>
      </c>
      <c r="O100" s="349">
        <v>3.5845137808639369</v>
      </c>
      <c r="P100" s="349">
        <v>5.2926257557516081</v>
      </c>
      <c r="Q100" s="349">
        <v>6.8124139109015394</v>
      </c>
      <c r="R100" s="142">
        <v>30.502489986164733</v>
      </c>
      <c r="W100" s="301">
        <v>74.088368409799997</v>
      </c>
      <c r="X100" s="301">
        <v>1.6946183896782741</v>
      </c>
      <c r="AS100" s="404" t="s">
        <v>1123</v>
      </c>
      <c r="AT100" s="349">
        <v>-40</v>
      </c>
      <c r="AU100" s="349">
        <v>15</v>
      </c>
      <c r="AV100" s="349">
        <v>4.2890921666666664</v>
      </c>
      <c r="AW100" s="349">
        <v>10</v>
      </c>
      <c r="AX100" s="349">
        <v>1.1527475756685268</v>
      </c>
      <c r="AY100" s="349">
        <v>2.1374654188790516</v>
      </c>
      <c r="AZ100" s="414">
        <v>-7.4206948387857548</v>
      </c>
      <c r="BA100" s="412">
        <v>24.274290000000001</v>
      </c>
      <c r="BB100" s="412">
        <v>2620.9605600000004</v>
      </c>
      <c r="BC100" s="412">
        <v>-1855.2588799999999</v>
      </c>
      <c r="BD100" s="412">
        <v>-835.07594000000006</v>
      </c>
    </row>
    <row r="101" spans="4:56">
      <c r="D101" s="304" t="s">
        <v>2597</v>
      </c>
      <c r="E101" s="305">
        <v>2.1092658798124511E-2</v>
      </c>
      <c r="F101" s="299">
        <v>12</v>
      </c>
      <c r="G101" s="385">
        <v>14</v>
      </c>
      <c r="H101" s="304">
        <v>14</v>
      </c>
      <c r="J101" s="353">
        <v>12</v>
      </c>
      <c r="K101" s="136" t="s">
        <v>924</v>
      </c>
      <c r="L101" s="349">
        <v>-1.592665309020471</v>
      </c>
      <c r="M101" s="349">
        <v>3.8395223367281148</v>
      </c>
      <c r="N101" s="349">
        <v>11.978563997777496</v>
      </c>
      <c r="O101" s="349">
        <v>1.8760544512839359</v>
      </c>
      <c r="P101" s="349">
        <v>5.0778343411633182</v>
      </c>
      <c r="Q101" s="349">
        <v>8.2466032682845931</v>
      </c>
      <c r="R101" s="142">
        <v>29.425913086216987</v>
      </c>
      <c r="W101" s="301">
        <v>38.560445629900002</v>
      </c>
      <c r="X101" s="301">
        <v>0.81334232277511209</v>
      </c>
      <c r="AS101" s="404" t="s">
        <v>999</v>
      </c>
      <c r="AT101" s="349">
        <v>-40</v>
      </c>
      <c r="AU101" s="349">
        <v>15</v>
      </c>
      <c r="AV101" s="349">
        <v>3.2449328205128203</v>
      </c>
      <c r="AW101" s="349">
        <v>10</v>
      </c>
      <c r="AX101" s="349">
        <v>0</v>
      </c>
      <c r="AY101" s="349">
        <v>0</v>
      </c>
      <c r="AZ101" s="414">
        <v>-11.755067179487181</v>
      </c>
      <c r="BA101" s="412">
        <v>6.35039</v>
      </c>
      <c r="BB101" s="412">
        <v>700.93813999999998</v>
      </c>
      <c r="BC101" s="412">
        <v>-1168.2160200000001</v>
      </c>
      <c r="BD101" s="412">
        <v>-916.59565999999995</v>
      </c>
    </row>
    <row r="102" spans="4:56">
      <c r="D102" s="304" t="s">
        <v>2598</v>
      </c>
      <c r="E102" s="305">
        <v>-4.9197341999334962E-3</v>
      </c>
      <c r="F102" s="299">
        <v>13</v>
      </c>
      <c r="G102" s="385">
        <v>10</v>
      </c>
      <c r="H102" s="304">
        <v>10</v>
      </c>
      <c r="J102" s="353">
        <v>13</v>
      </c>
      <c r="K102" s="136" t="s">
        <v>1771</v>
      </c>
      <c r="L102" s="349">
        <v>1.9788895802889885</v>
      </c>
      <c r="M102" s="349">
        <v>3.4373461490240986</v>
      </c>
      <c r="N102" s="349">
        <v>10.089526346599239</v>
      </c>
      <c r="O102" s="349">
        <v>0.30341254479683694</v>
      </c>
      <c r="P102" s="349">
        <v>3.7550402983790399</v>
      </c>
      <c r="Q102" s="349">
        <v>9.1199814828290897</v>
      </c>
      <c r="R102" s="142">
        <v>28.684196401917291</v>
      </c>
      <c r="W102" s="301">
        <v>85.755762800100015</v>
      </c>
      <c r="X102" s="301">
        <v>-0.42189555908903675</v>
      </c>
    </row>
    <row r="103" spans="4:56">
      <c r="D103" s="304" t="s">
        <v>2599</v>
      </c>
      <c r="E103" s="305">
        <v>-2.481874429002514E-2</v>
      </c>
      <c r="F103" s="299">
        <v>14</v>
      </c>
      <c r="G103" s="385">
        <v>17</v>
      </c>
      <c r="H103" s="384">
        <v>19</v>
      </c>
      <c r="J103" s="353">
        <v>14</v>
      </c>
      <c r="K103" s="136" t="s">
        <v>610</v>
      </c>
      <c r="L103" s="349">
        <v>-8.1634351221178978</v>
      </c>
      <c r="M103" s="349">
        <v>6.9198992030774944</v>
      </c>
      <c r="N103" s="349">
        <v>11.641257661348758</v>
      </c>
      <c r="O103" s="349">
        <v>1.5730286546791483</v>
      </c>
      <c r="P103" s="349">
        <v>6.7557100268566419</v>
      </c>
      <c r="Q103" s="349">
        <v>7.9910050122557834</v>
      </c>
      <c r="R103" s="142">
        <v>26.717465436099928</v>
      </c>
      <c r="W103" s="301">
        <v>34.242196510600003</v>
      </c>
      <c r="X103" s="301">
        <v>-0.84984831912537262</v>
      </c>
    </row>
    <row r="104" spans="4:56">
      <c r="D104" s="304" t="s">
        <v>2600</v>
      </c>
      <c r="E104" s="305">
        <v>-4.1118648526632995E-2</v>
      </c>
      <c r="F104" s="299">
        <v>15</v>
      </c>
      <c r="G104" s="385">
        <v>15</v>
      </c>
      <c r="H104" s="304">
        <v>15</v>
      </c>
      <c r="J104" s="353">
        <v>15</v>
      </c>
      <c r="K104" s="136" t="s">
        <v>760</v>
      </c>
      <c r="L104" s="349">
        <v>-1.7963554676877571</v>
      </c>
      <c r="M104" s="349">
        <v>5.5766393533030847</v>
      </c>
      <c r="N104" s="349">
        <v>9.7255841841414963</v>
      </c>
      <c r="O104" s="349">
        <v>3.0085081457233844</v>
      </c>
      <c r="P104" s="349">
        <v>1.864701566464678</v>
      </c>
      <c r="Q104" s="349">
        <v>6.6077772777949964</v>
      </c>
      <c r="R104" s="142">
        <v>24.986855059739881</v>
      </c>
      <c r="W104" s="301">
        <v>95.944706440000004</v>
      </c>
      <c r="X104" s="301">
        <v>-3.9451166620973415</v>
      </c>
    </row>
    <row r="105" spans="4:56">
      <c r="D105" s="304" t="s">
        <v>2601</v>
      </c>
      <c r="E105" s="305">
        <v>-4.7818140715851915E-2</v>
      </c>
      <c r="F105" s="299">
        <v>16</v>
      </c>
      <c r="G105" s="385">
        <v>9</v>
      </c>
      <c r="H105" s="304">
        <v>9</v>
      </c>
      <c r="J105" s="353">
        <v>16</v>
      </c>
      <c r="K105" s="136" t="s">
        <v>283</v>
      </c>
      <c r="L105" s="349">
        <v>-5.2855878904385838</v>
      </c>
      <c r="M105" s="349">
        <v>9.5730750127921258</v>
      </c>
      <c r="N105" s="349">
        <v>8.2530218714337451</v>
      </c>
      <c r="O105" s="349">
        <v>3.7510600877374358</v>
      </c>
      <c r="P105" s="349">
        <v>2.8890205544356347</v>
      </c>
      <c r="Q105" s="349">
        <v>5.4773392379804333</v>
      </c>
      <c r="R105" s="142">
        <v>24.657928873940794</v>
      </c>
      <c r="W105" s="301">
        <v>47.788915000300001</v>
      </c>
      <c r="X105" s="301">
        <v>-2.2851770621422318</v>
      </c>
    </row>
    <row r="106" spans="4:56">
      <c r="D106" s="304" t="s">
        <v>2602</v>
      </c>
      <c r="E106" s="305">
        <v>-6.2994029330876167E-2</v>
      </c>
      <c r="F106" s="299">
        <v>17</v>
      </c>
      <c r="G106" s="385">
        <v>19</v>
      </c>
      <c r="H106" s="350">
        <v>17</v>
      </c>
      <c r="J106" s="353">
        <v>17</v>
      </c>
      <c r="K106" s="136" t="s">
        <v>999</v>
      </c>
      <c r="L106" s="349">
        <v>-3.2459743158504804</v>
      </c>
      <c r="M106" s="349">
        <v>7.9544991115764798</v>
      </c>
      <c r="N106" s="349">
        <v>6.6720816204677043</v>
      </c>
      <c r="O106" s="349">
        <v>7.0128838419122985</v>
      </c>
      <c r="P106" s="349">
        <v>0.26073039251603897</v>
      </c>
      <c r="Q106" s="349">
        <v>3.5362121943842437</v>
      </c>
      <c r="R106" s="142">
        <v>22.190432845006285</v>
      </c>
      <c r="W106" s="301">
        <v>111.0167828989</v>
      </c>
      <c r="X106" s="301">
        <v>-6.9933944781528181</v>
      </c>
    </row>
    <row r="107" spans="4:56">
      <c r="D107" s="304" t="s">
        <v>2603</v>
      </c>
      <c r="E107" s="305">
        <v>-8.6059699226933919E-2</v>
      </c>
      <c r="F107" s="299">
        <v>18</v>
      </c>
      <c r="G107" s="385">
        <v>16</v>
      </c>
      <c r="H107" s="304">
        <v>16</v>
      </c>
      <c r="J107" s="353">
        <v>18</v>
      </c>
      <c r="K107" s="136" t="s">
        <v>1174</v>
      </c>
      <c r="L107" s="349">
        <v>-8.9550518886291854</v>
      </c>
      <c r="M107" s="349">
        <v>6.3140965903784156</v>
      </c>
      <c r="N107" s="349">
        <v>12.693231926970682</v>
      </c>
      <c r="O107" s="349">
        <v>1.4966897189564297</v>
      </c>
      <c r="P107" s="349">
        <v>1.5949893722619526</v>
      </c>
      <c r="Q107" s="349">
        <v>7.0991183811582044</v>
      </c>
      <c r="R107" s="142">
        <v>20.2430741010965</v>
      </c>
      <c r="W107" s="301">
        <v>76.648971979599992</v>
      </c>
      <c r="X107" s="301">
        <v>-6.5963874746180613</v>
      </c>
    </row>
    <row r="108" spans="4:56">
      <c r="D108" s="304" t="s">
        <v>2604</v>
      </c>
      <c r="E108" s="305">
        <v>-9.3566021056897139E-2</v>
      </c>
      <c r="F108" s="299">
        <v>19</v>
      </c>
      <c r="G108" s="385">
        <v>22</v>
      </c>
      <c r="H108" s="304">
        <v>22</v>
      </c>
      <c r="J108" s="353">
        <v>19</v>
      </c>
      <c r="K108" s="136" t="s">
        <v>374</v>
      </c>
      <c r="L108" s="349">
        <v>-6.8633127257932172</v>
      </c>
      <c r="M108" s="349">
        <v>8.0718248786432518</v>
      </c>
      <c r="N108" s="349">
        <v>6.3769235498070875</v>
      </c>
      <c r="O108" s="349">
        <v>3.926703858603549</v>
      </c>
      <c r="P108" s="349">
        <v>2.3360821940750545</v>
      </c>
      <c r="Q108" s="349">
        <v>5.9920100842905892</v>
      </c>
      <c r="R108" s="142">
        <v>19.840231839626313</v>
      </c>
      <c r="W108" s="301">
        <v>43.927948430199997</v>
      </c>
      <c r="X108" s="301">
        <v>-4.1101633478063846</v>
      </c>
    </row>
    <row r="109" spans="4:56">
      <c r="D109" s="304" t="s">
        <v>2605</v>
      </c>
      <c r="E109" s="305">
        <v>-0.10868905003441197</v>
      </c>
      <c r="F109" s="299">
        <v>20</v>
      </c>
      <c r="G109" s="385">
        <v>20</v>
      </c>
      <c r="H109" s="384">
        <v>21</v>
      </c>
      <c r="J109" s="353">
        <v>20</v>
      </c>
      <c r="K109" s="136" t="s">
        <v>651</v>
      </c>
      <c r="L109" s="349">
        <v>-16.221576858770817</v>
      </c>
      <c r="M109" s="349">
        <v>11.311833868959239</v>
      </c>
      <c r="N109" s="349">
        <v>9.2227516171639685</v>
      </c>
      <c r="O109" s="349">
        <v>5.1732939162506826</v>
      </c>
      <c r="P109" s="349">
        <v>1.9505500057255578</v>
      </c>
      <c r="Q109" s="349">
        <v>4.5332825861686237</v>
      </c>
      <c r="R109" s="142">
        <v>15.970135135497255</v>
      </c>
      <c r="W109" s="301">
        <v>66.324261909700013</v>
      </c>
      <c r="X109" s="301">
        <v>-7.2087210211988291</v>
      </c>
    </row>
    <row r="110" spans="4:56">
      <c r="D110" s="304" t="s">
        <v>2606</v>
      </c>
      <c r="E110" s="305">
        <v>-0.1803068739986885</v>
      </c>
      <c r="F110" s="299">
        <v>21</v>
      </c>
      <c r="G110" s="385">
        <v>23</v>
      </c>
      <c r="H110" s="304">
        <v>23</v>
      </c>
      <c r="J110" s="353">
        <v>21</v>
      </c>
      <c r="K110" s="136" t="s">
        <v>317</v>
      </c>
      <c r="L110" s="349">
        <v>-18.586568194696202</v>
      </c>
      <c r="M110" s="349">
        <v>8.0799407928471449</v>
      </c>
      <c r="N110" s="349">
        <v>9.5796294112005622</v>
      </c>
      <c r="O110" s="349">
        <v>5.2821220957089769</v>
      </c>
      <c r="P110" s="349">
        <v>2.1858110292200577</v>
      </c>
      <c r="Q110" s="349">
        <v>5.6484309816760225</v>
      </c>
      <c r="R110" s="142">
        <v>12.189366115956563</v>
      </c>
      <c r="W110" s="301">
        <v>30.006375859799999</v>
      </c>
      <c r="X110" s="301">
        <v>-5.4103558313102464</v>
      </c>
    </row>
    <row r="111" spans="4:56">
      <c r="D111" s="304" t="s">
        <v>2607</v>
      </c>
      <c r="E111" s="305">
        <v>-0.19107611755846368</v>
      </c>
      <c r="F111" s="299">
        <v>22</v>
      </c>
      <c r="G111" s="385">
        <v>19</v>
      </c>
      <c r="H111" s="384">
        <v>18</v>
      </c>
      <c r="J111" s="353">
        <v>22</v>
      </c>
      <c r="K111" s="136" t="s">
        <v>1123</v>
      </c>
      <c r="L111" s="349">
        <v>-15.694153671926244</v>
      </c>
      <c r="M111" s="349">
        <v>4.3548604996866986</v>
      </c>
      <c r="N111" s="349">
        <v>7.3520037455628735</v>
      </c>
      <c r="O111" s="349">
        <v>4.9318262818092862</v>
      </c>
      <c r="P111" s="349">
        <v>0.85417175221085706</v>
      </c>
      <c r="Q111" s="349">
        <v>5.638306551320043</v>
      </c>
      <c r="R111" s="142">
        <v>7.4370151586635131</v>
      </c>
      <c r="W111" s="301">
        <v>240.09713163939998</v>
      </c>
      <c r="X111" s="301">
        <v>-45.87682775057992</v>
      </c>
    </row>
    <row r="112" spans="4:56">
      <c r="D112" s="304" t="s">
        <v>2608</v>
      </c>
      <c r="E112" s="305">
        <v>-0.19829427977636827</v>
      </c>
      <c r="F112" s="299">
        <v>23</v>
      </c>
      <c r="G112" s="385">
        <v>24</v>
      </c>
      <c r="H112" s="304">
        <v>24</v>
      </c>
      <c r="J112" s="353">
        <v>23</v>
      </c>
      <c r="K112" s="136" t="s">
        <v>248</v>
      </c>
      <c r="L112" s="349">
        <v>-18.421650904140062</v>
      </c>
      <c r="M112" s="349">
        <v>5.7622332641959595</v>
      </c>
      <c r="N112" s="349">
        <v>5.9605626413630315</v>
      </c>
      <c r="O112" s="349">
        <v>2.157335475617447</v>
      </c>
      <c r="P112" s="349">
        <v>1.3741731215483517</v>
      </c>
      <c r="Q112" s="349">
        <v>5.072784093923608</v>
      </c>
      <c r="R112" s="142">
        <v>1.9054376925083361</v>
      </c>
      <c r="W112" s="301">
        <v>20.7178428201</v>
      </c>
      <c r="X112" s="301">
        <v>-4.1082297205317317</v>
      </c>
    </row>
    <row r="113" spans="4:24">
      <c r="D113" s="304" t="s">
        <v>2609</v>
      </c>
      <c r="E113" s="305">
        <v>-0.26286223193768782</v>
      </c>
      <c r="F113" s="299">
        <v>24</v>
      </c>
      <c r="G113" s="385">
        <v>21</v>
      </c>
      <c r="H113" s="384">
        <v>20</v>
      </c>
      <c r="J113" s="353">
        <v>24</v>
      </c>
      <c r="K113" s="136" t="s">
        <v>632</v>
      </c>
      <c r="L113" s="349">
        <v>-39.313297139380914</v>
      </c>
      <c r="M113" s="349">
        <v>0.57734188532146746</v>
      </c>
      <c r="N113" s="349">
        <v>9.5110421319196945</v>
      </c>
      <c r="O113" s="349">
        <v>1.7841479103774267</v>
      </c>
      <c r="P113" s="349">
        <v>0.45870321050022328</v>
      </c>
      <c r="Q113" s="349">
        <v>0.34974353813743342</v>
      </c>
      <c r="R113" s="142">
        <v>-26.632318463124669</v>
      </c>
      <c r="W113" s="301">
        <v>65.984829498599993</v>
      </c>
      <c r="X113" s="301">
        <v>-17.344919556029776</v>
      </c>
    </row>
    <row r="115" spans="4:24">
      <c r="D115" s="387"/>
      <c r="E115" s="290" t="s">
        <v>2643</v>
      </c>
    </row>
    <row r="116" spans="4:24" ht="25">
      <c r="D116" s="388"/>
      <c r="E116" s="290" t="s">
        <v>2642</v>
      </c>
      <c r="J116" s="490" t="s">
        <v>2815</v>
      </c>
      <c r="K116" s="490"/>
      <c r="L116" s="490"/>
      <c r="M116" s="490"/>
      <c r="N116" s="490"/>
      <c r="O116" s="490"/>
      <c r="P116" s="490"/>
      <c r="Q116" s="490"/>
      <c r="R116" s="490"/>
    </row>
    <row r="117" spans="4:24">
      <c r="J117" s="360"/>
      <c r="K117" s="401" t="s">
        <v>1832</v>
      </c>
      <c r="L117" s="402">
        <v>40</v>
      </c>
      <c r="M117" s="402">
        <v>15</v>
      </c>
      <c r="N117" s="402">
        <v>15</v>
      </c>
      <c r="O117" s="402">
        <v>10</v>
      </c>
      <c r="P117" s="402">
        <v>10</v>
      </c>
      <c r="Q117" s="402">
        <v>10</v>
      </c>
      <c r="R117" s="403">
        <v>100</v>
      </c>
    </row>
    <row r="118" spans="4:24">
      <c r="D118" s="406" t="s">
        <v>2628</v>
      </c>
      <c r="E118" s="407" t="s">
        <v>2814</v>
      </c>
      <c r="F118" s="408" t="s">
        <v>2630</v>
      </c>
      <c r="G118" s="10" t="s">
        <v>1845</v>
      </c>
      <c r="J118" s="352" t="s">
        <v>2611</v>
      </c>
      <c r="K118" s="401" t="s">
        <v>1</v>
      </c>
      <c r="L118" s="402" t="s">
        <v>1836</v>
      </c>
      <c r="M118" s="402" t="s">
        <v>1916</v>
      </c>
      <c r="N118" s="402" t="s">
        <v>1851</v>
      </c>
      <c r="O118" s="402" t="s">
        <v>29</v>
      </c>
      <c r="P118" s="402" t="s">
        <v>1917</v>
      </c>
      <c r="Q118" s="402" t="s">
        <v>1907</v>
      </c>
      <c r="R118" s="403" t="s">
        <v>1843</v>
      </c>
    </row>
    <row r="119" spans="4:24">
      <c r="D119" s="10" t="s">
        <v>2592</v>
      </c>
      <c r="E119" s="409" t="e">
        <f>#REF!/1000000</f>
        <v>#REF!</v>
      </c>
      <c r="F119" s="409" t="e">
        <f>#REF!/1000000</f>
        <v>#REF!</v>
      </c>
      <c r="G119" s="209" t="e">
        <f>#REF!/#REF!</f>
        <v>#REF!</v>
      </c>
      <c r="J119" s="353">
        <v>1</v>
      </c>
      <c r="K119" s="404" t="s">
        <v>632</v>
      </c>
      <c r="L119" s="351">
        <v>12.099998512434226</v>
      </c>
      <c r="M119" s="351">
        <v>15</v>
      </c>
      <c r="N119" s="351">
        <v>14.713083003686638</v>
      </c>
      <c r="O119" s="351">
        <v>5.7280143893142146</v>
      </c>
      <c r="P119" s="351">
        <v>9.2657889993018578</v>
      </c>
      <c r="Q119" s="351">
        <v>7.7296490005266918</v>
      </c>
      <c r="R119" s="405">
        <v>64.536533905263624</v>
      </c>
    </row>
    <row r="120" spans="4:24">
      <c r="D120" s="10" t="s">
        <v>2608</v>
      </c>
      <c r="E120" s="409">
        <f t="shared" ref="E120:F122" si="1">E148/1000000</f>
        <v>15.005001999999999</v>
      </c>
      <c r="F120" s="409">
        <f t="shared" si="1"/>
        <v>3.8857919424502598</v>
      </c>
      <c r="G120" s="209">
        <f>F148/E148</f>
        <v>0.25896643948799608</v>
      </c>
      <c r="J120" s="353">
        <v>2</v>
      </c>
      <c r="K120" s="404" t="s">
        <v>1771</v>
      </c>
      <c r="L120" s="351">
        <v>16.330993921898212</v>
      </c>
      <c r="M120" s="351">
        <v>14.642216285924833</v>
      </c>
      <c r="N120" s="351">
        <v>15</v>
      </c>
      <c r="O120" s="351">
        <v>2.0634427242768205</v>
      </c>
      <c r="P120" s="351">
        <v>6.2938619221898691</v>
      </c>
      <c r="Q120" s="351">
        <v>9.1040928523765512</v>
      </c>
      <c r="R120" s="405">
        <v>63.434607706666284</v>
      </c>
    </row>
    <row r="121" spans="4:24">
      <c r="D121" s="10" t="s">
        <v>2594</v>
      </c>
      <c r="E121" s="409">
        <f t="shared" si="1"/>
        <v>6.4283210000000004</v>
      </c>
      <c r="F121" s="409">
        <f t="shared" si="1"/>
        <v>1.1696281676607028</v>
      </c>
      <c r="G121" s="209">
        <f>F149/E149</f>
        <v>0.18194924734790044</v>
      </c>
      <c r="J121" s="353">
        <v>3</v>
      </c>
      <c r="K121" s="404" t="s">
        <v>1660</v>
      </c>
      <c r="L121" s="351">
        <v>15.167622971808933</v>
      </c>
      <c r="M121" s="351">
        <v>9.2532999151642006</v>
      </c>
      <c r="N121" s="351">
        <v>12.395157039231602</v>
      </c>
      <c r="O121" s="351">
        <v>2.8070826363463928</v>
      </c>
      <c r="P121" s="351">
        <v>10</v>
      </c>
      <c r="Q121" s="351">
        <v>8.1395655416793158</v>
      </c>
      <c r="R121" s="405">
        <v>57.762728104230447</v>
      </c>
    </row>
    <row r="122" spans="4:24">
      <c r="D122" s="10" t="s">
        <v>2600</v>
      </c>
      <c r="E122" s="409">
        <f t="shared" si="1"/>
        <v>6.8617109999999997</v>
      </c>
      <c r="F122" s="409">
        <f t="shared" si="1"/>
        <v>1.2461754525376754</v>
      </c>
      <c r="G122" s="209">
        <f>F150/E150</f>
        <v>0.18161293189667641</v>
      </c>
      <c r="J122" s="353">
        <v>4</v>
      </c>
      <c r="K122" s="404" t="s">
        <v>835</v>
      </c>
      <c r="L122" s="351">
        <v>10.509067936354802</v>
      </c>
      <c r="M122" s="351">
        <v>0</v>
      </c>
      <c r="N122" s="351">
        <v>15</v>
      </c>
      <c r="O122" s="351">
        <v>0</v>
      </c>
      <c r="P122" s="351">
        <v>6.0730000000000031</v>
      </c>
      <c r="Q122" s="351">
        <v>10</v>
      </c>
      <c r="R122" s="405">
        <v>41.582067936354804</v>
      </c>
    </row>
    <row r="123" spans="4:24">
      <c r="D123" s="10" t="s">
        <v>2587</v>
      </c>
      <c r="E123" s="409" t="e">
        <f>#REF!/1000000</f>
        <v>#REF!</v>
      </c>
      <c r="F123" s="409" t="e">
        <f>#REF!/1000000</f>
        <v>#REF!</v>
      </c>
      <c r="G123" s="209" t="e">
        <f>#REF!/#REF!</f>
        <v>#REF!</v>
      </c>
      <c r="J123" s="353">
        <v>5</v>
      </c>
      <c r="K123" s="404" t="s">
        <v>924</v>
      </c>
      <c r="L123" s="351">
        <v>1.160515053686699</v>
      </c>
      <c r="M123" s="351">
        <v>4.422521739130433</v>
      </c>
      <c r="N123" s="351">
        <v>12.078102279233867</v>
      </c>
      <c r="O123" s="351">
        <v>1.8210102294717512</v>
      </c>
      <c r="P123" s="351">
        <v>6.0469648400712686</v>
      </c>
      <c r="Q123" s="351">
        <v>9.0083430761852981</v>
      </c>
      <c r="R123" s="405">
        <v>34.53745721777932</v>
      </c>
    </row>
    <row r="124" spans="4:24">
      <c r="D124" s="10" t="s">
        <v>2599</v>
      </c>
      <c r="E124" s="409" t="e">
        <f>#REF!/1000000</f>
        <v>#REF!</v>
      </c>
      <c r="F124" s="409" t="e">
        <f>#REF!/1000000</f>
        <v>#REF!</v>
      </c>
      <c r="G124" s="209" t="e">
        <f>#REF!/#REF!</f>
        <v>#REF!</v>
      </c>
      <c r="J124" s="353">
        <v>6</v>
      </c>
      <c r="K124" s="404" t="s">
        <v>408</v>
      </c>
      <c r="L124" s="351">
        <v>-2.9122136791439099</v>
      </c>
      <c r="M124" s="351">
        <v>7.5828731684981667</v>
      </c>
      <c r="N124" s="351">
        <v>10.762278458333332</v>
      </c>
      <c r="O124" s="351">
        <v>2.2547987403430878</v>
      </c>
      <c r="P124" s="351">
        <v>3.1881461240688336</v>
      </c>
      <c r="Q124" s="351">
        <v>7.814342596217867</v>
      </c>
      <c r="R124" s="405">
        <v>28.690225408317378</v>
      </c>
    </row>
    <row r="125" spans="4:24">
      <c r="D125" s="10" t="s">
        <v>2598</v>
      </c>
      <c r="E125" s="409">
        <f t="shared" ref="E125:F132" si="2">E151/1000000</f>
        <v>3.1889759999999998</v>
      </c>
      <c r="F125" s="409">
        <f t="shared" si="2"/>
        <v>-0.62828806727606201</v>
      </c>
      <c r="G125" s="209">
        <f t="shared" ref="G125:G132" si="3">F151/E151</f>
        <v>-0.19701875061965407</v>
      </c>
      <c r="J125" s="353">
        <v>7</v>
      </c>
      <c r="K125" s="404" t="s">
        <v>724</v>
      </c>
      <c r="L125" s="351">
        <v>-8.8282719787416983</v>
      </c>
      <c r="M125" s="351">
        <v>10.074410491106597</v>
      </c>
      <c r="N125" s="351">
        <v>12.858191638782202</v>
      </c>
      <c r="O125" s="351">
        <v>1.8396752933210392</v>
      </c>
      <c r="P125" s="351">
        <v>6.2863515895544717</v>
      </c>
      <c r="Q125" s="351">
        <v>2.6465208626599845</v>
      </c>
      <c r="R125" s="405">
        <v>24.876877896682593</v>
      </c>
    </row>
    <row r="126" spans="4:24">
      <c r="D126" s="10" t="s">
        <v>2601</v>
      </c>
      <c r="E126" s="409">
        <f t="shared" si="2"/>
        <v>14.767994</v>
      </c>
      <c r="F126" s="409">
        <f t="shared" si="2"/>
        <v>-3.4814382111100435</v>
      </c>
      <c r="G126" s="209">
        <f t="shared" si="3"/>
        <v>-0.23574211982413071</v>
      </c>
      <c r="J126" s="353">
        <v>8</v>
      </c>
      <c r="K126" s="404" t="s">
        <v>1574</v>
      </c>
      <c r="L126" s="351">
        <v>-9.5799273009203976</v>
      </c>
      <c r="M126" s="351">
        <v>11.285199713992771</v>
      </c>
      <c r="N126" s="351">
        <v>8.9174745582516319</v>
      </c>
      <c r="O126" s="351">
        <v>2.6723517347458769</v>
      </c>
      <c r="P126" s="351">
        <v>2.5874120481091879E-2</v>
      </c>
      <c r="Q126" s="351">
        <v>6.6748843759773973</v>
      </c>
      <c r="R126" s="405">
        <v>19.99585720252837</v>
      </c>
    </row>
    <row r="127" spans="4:24">
      <c r="D127" s="10" t="s">
        <v>2595</v>
      </c>
      <c r="E127" s="409">
        <f t="shared" si="2"/>
        <v>7.4564880000000002</v>
      </c>
      <c r="F127" s="409">
        <f t="shared" si="2"/>
        <v>-1.9916653347675646</v>
      </c>
      <c r="G127" s="209">
        <f t="shared" si="3"/>
        <v>-0.26710501442067158</v>
      </c>
      <c r="J127" s="353">
        <v>9</v>
      </c>
      <c r="K127" s="404" t="s">
        <v>760</v>
      </c>
      <c r="L127" s="351">
        <v>-11.863879689340243</v>
      </c>
      <c r="M127" s="351">
        <v>0</v>
      </c>
      <c r="N127" s="351">
        <v>15</v>
      </c>
      <c r="O127" s="351">
        <v>0</v>
      </c>
      <c r="P127" s="351">
        <v>1.0796814400331587</v>
      </c>
      <c r="Q127" s="351">
        <v>10</v>
      </c>
      <c r="R127" s="405">
        <v>14.215801750692917</v>
      </c>
    </row>
    <row r="128" spans="4:24">
      <c r="D128" s="10" t="s">
        <v>2586</v>
      </c>
      <c r="E128" s="409">
        <f t="shared" si="2"/>
        <v>2.4042729999999999</v>
      </c>
      <c r="F128" s="409">
        <f t="shared" si="2"/>
        <v>-0.95759860362931259</v>
      </c>
      <c r="G128" s="209">
        <f t="shared" si="3"/>
        <v>-0.39829029549860295</v>
      </c>
      <c r="J128" s="353">
        <v>10</v>
      </c>
      <c r="K128" s="404" t="s">
        <v>567</v>
      </c>
      <c r="L128" s="351">
        <v>-40</v>
      </c>
      <c r="M128" s="351">
        <v>15</v>
      </c>
      <c r="N128" s="351">
        <v>5.7150205555555544</v>
      </c>
      <c r="O128" s="351">
        <v>10</v>
      </c>
      <c r="P128" s="351">
        <v>5.4910373200117535</v>
      </c>
      <c r="Q128" s="351">
        <v>2.1999840397655364</v>
      </c>
      <c r="R128" s="405">
        <v>-1.5939580846671557</v>
      </c>
    </row>
    <row r="129" spans="4:18">
      <c r="D129" s="10" t="s">
        <v>2603</v>
      </c>
      <c r="E129" s="409">
        <f t="shared" si="2"/>
        <v>6.4816320000000003</v>
      </c>
      <c r="F129" s="409">
        <f t="shared" si="2"/>
        <v>-3.1906899022073949</v>
      </c>
      <c r="G129" s="209">
        <f t="shared" si="3"/>
        <v>-0.4922664387930995</v>
      </c>
      <c r="J129" s="353">
        <v>11</v>
      </c>
      <c r="K129" s="404" t="s">
        <v>507</v>
      </c>
      <c r="L129" s="351">
        <v>-40</v>
      </c>
      <c r="M129" s="351">
        <v>11.112992208672088</v>
      </c>
      <c r="N129" s="351">
        <v>10.309098086993242</v>
      </c>
      <c r="O129" s="351">
        <v>6.5800921803620351</v>
      </c>
      <c r="P129" s="351">
        <v>4.1688956553376055</v>
      </c>
      <c r="Q129" s="351">
        <v>4.181090185748082</v>
      </c>
      <c r="R129" s="405">
        <v>-3.6478316828869461</v>
      </c>
    </row>
    <row r="130" spans="4:18">
      <c r="D130" s="10" t="s">
        <v>2596</v>
      </c>
      <c r="E130" s="409">
        <f t="shared" si="2"/>
        <v>5.8092370000000004</v>
      </c>
      <c r="F130" s="409">
        <f t="shared" si="2"/>
        <v>-3.1738358461658014</v>
      </c>
      <c r="G130" s="209">
        <f t="shared" si="3"/>
        <v>-0.5463429786331323</v>
      </c>
      <c r="J130" s="353">
        <v>12</v>
      </c>
      <c r="K130" s="404" t="s">
        <v>1174</v>
      </c>
      <c r="L130" s="351">
        <v>-26.442959151272973</v>
      </c>
      <c r="M130" s="351">
        <v>8.1978584372474703</v>
      </c>
      <c r="N130" s="351">
        <v>7.9916971071610954</v>
      </c>
      <c r="O130" s="351">
        <v>2.2775936008315698</v>
      </c>
      <c r="P130" s="351">
        <v>0</v>
      </c>
      <c r="Q130" s="351">
        <v>2.8960303454196956</v>
      </c>
      <c r="R130" s="405">
        <v>-5.0797796606131449</v>
      </c>
    </row>
    <row r="131" spans="4:18">
      <c r="D131" s="10" t="s">
        <v>2607</v>
      </c>
      <c r="E131" s="409">
        <f t="shared" si="2"/>
        <v>13.540414999999999</v>
      </c>
      <c r="F131" s="409">
        <f t="shared" si="2"/>
        <v>-7.6495353954324745</v>
      </c>
      <c r="G131" s="209">
        <f t="shared" si="3"/>
        <v>-0.56494098559257411</v>
      </c>
      <c r="J131" s="353">
        <v>13</v>
      </c>
      <c r="K131" s="404" t="s">
        <v>138</v>
      </c>
      <c r="L131" s="351">
        <v>-40</v>
      </c>
      <c r="M131" s="351">
        <v>11.850107142857144</v>
      </c>
      <c r="N131" s="351">
        <v>4.0672332222222218</v>
      </c>
      <c r="O131" s="351">
        <v>10</v>
      </c>
      <c r="P131" s="351">
        <v>0.83961278375348358</v>
      </c>
      <c r="Q131" s="351">
        <v>2.2855534410933913</v>
      </c>
      <c r="R131" s="405">
        <v>-10.957493410073759</v>
      </c>
    </row>
    <row r="132" spans="4:18">
      <c r="D132" s="10" t="s">
        <v>2609</v>
      </c>
      <c r="E132" s="409">
        <f t="shared" si="2"/>
        <v>4.4386099999999997</v>
      </c>
      <c r="F132" s="409">
        <f t="shared" si="2"/>
        <v>-2.7066650288158471</v>
      </c>
      <c r="G132" s="209">
        <f t="shared" si="3"/>
        <v>-0.60980014662604898</v>
      </c>
      <c r="J132" s="353">
        <v>14</v>
      </c>
      <c r="K132" s="404" t="s">
        <v>651</v>
      </c>
      <c r="L132" s="351">
        <v>-40</v>
      </c>
      <c r="M132" s="351">
        <v>11.704818639524776</v>
      </c>
      <c r="N132" s="351">
        <v>1.7500947061403509</v>
      </c>
      <c r="O132" s="351">
        <v>0</v>
      </c>
      <c r="P132" s="351">
        <v>0</v>
      </c>
      <c r="Q132" s="351">
        <v>0</v>
      </c>
      <c r="R132" s="405">
        <v>-26.545086654334874</v>
      </c>
    </row>
    <row r="133" spans="4:18">
      <c r="G133" s="290"/>
    </row>
    <row r="134" spans="4:18">
      <c r="G134" s="290"/>
    </row>
    <row r="135" spans="4:18">
      <c r="G135" s="290"/>
    </row>
    <row r="136" spans="4:18" ht="25">
      <c r="G136" s="290"/>
      <c r="J136" s="491" t="s">
        <v>2816</v>
      </c>
      <c r="K136" s="491"/>
      <c r="L136" s="491"/>
      <c r="M136" s="491"/>
      <c r="N136" s="491"/>
      <c r="O136" s="491"/>
      <c r="P136" s="491"/>
      <c r="Q136" s="491"/>
      <c r="R136" s="491"/>
    </row>
    <row r="137" spans="4:18">
      <c r="G137" s="290"/>
      <c r="J137" s="360"/>
      <c r="K137" s="134" t="s">
        <v>1832</v>
      </c>
      <c r="L137" s="196">
        <v>40</v>
      </c>
      <c r="M137" s="196">
        <v>15</v>
      </c>
      <c r="N137" s="196">
        <v>15</v>
      </c>
      <c r="O137" s="196">
        <v>10</v>
      </c>
      <c r="P137" s="196">
        <v>10</v>
      </c>
      <c r="Q137" s="196">
        <v>10</v>
      </c>
      <c r="R137" s="141">
        <v>100</v>
      </c>
    </row>
    <row r="138" spans="4:18">
      <c r="G138" s="290"/>
      <c r="J138" s="352" t="s">
        <v>2611</v>
      </c>
      <c r="K138" s="134" t="s">
        <v>1</v>
      </c>
      <c r="L138" s="196" t="s">
        <v>1836</v>
      </c>
      <c r="M138" s="196" t="s">
        <v>1916</v>
      </c>
      <c r="N138" s="196" t="s">
        <v>1851</v>
      </c>
      <c r="O138" s="196" t="s">
        <v>29</v>
      </c>
      <c r="P138" s="196" t="s">
        <v>1917</v>
      </c>
      <c r="Q138" s="196" t="s">
        <v>1907</v>
      </c>
      <c r="R138" s="141" t="s">
        <v>1843</v>
      </c>
    </row>
    <row r="139" spans="4:18">
      <c r="G139" s="290"/>
      <c r="J139" s="353">
        <v>1</v>
      </c>
      <c r="K139" s="136" t="s">
        <v>1660</v>
      </c>
      <c r="L139" s="197">
        <v>15.255713950903507</v>
      </c>
      <c r="M139" s="197">
        <v>10.029864810122261</v>
      </c>
      <c r="N139" s="197">
        <v>12.143499075520463</v>
      </c>
      <c r="O139" s="197">
        <v>2.2018961178229062</v>
      </c>
      <c r="P139" s="197">
        <v>10</v>
      </c>
      <c r="Q139" s="197">
        <v>8.5365885006722024</v>
      </c>
      <c r="R139" s="142">
        <v>58.167562455041335</v>
      </c>
    </row>
    <row r="140" spans="4:18">
      <c r="G140" s="290"/>
      <c r="J140" s="353">
        <v>2</v>
      </c>
      <c r="K140" s="136" t="s">
        <v>567</v>
      </c>
      <c r="L140" s="197">
        <v>13.149924218845229</v>
      </c>
      <c r="M140" s="197">
        <v>15</v>
      </c>
      <c r="N140" s="197">
        <v>8.9434498388391237</v>
      </c>
      <c r="O140" s="197">
        <v>4.114879959933976</v>
      </c>
      <c r="P140" s="197">
        <v>7.9305631616626977</v>
      </c>
      <c r="Q140" s="197">
        <v>5.988071888869646</v>
      </c>
      <c r="R140" s="142">
        <v>55.126889068150675</v>
      </c>
    </row>
    <row r="141" spans="4:18">
      <c r="G141" s="290"/>
      <c r="J141" s="353">
        <v>3</v>
      </c>
      <c r="K141" s="136" t="s">
        <v>474</v>
      </c>
      <c r="L141" s="197">
        <v>6.024168779991272</v>
      </c>
      <c r="M141" s="197">
        <v>13.34507695044319</v>
      </c>
      <c r="N141" s="197">
        <v>10.705876492505389</v>
      </c>
      <c r="O141" s="197">
        <v>6.9424972497294766</v>
      </c>
      <c r="P141" s="197">
        <v>7.4427182369486609</v>
      </c>
      <c r="Q141" s="197">
        <v>5.5451114746013195</v>
      </c>
      <c r="R141" s="142">
        <v>50.005449184219309</v>
      </c>
    </row>
    <row r="142" spans="4:18">
      <c r="G142" s="290"/>
      <c r="J142" s="353">
        <v>4</v>
      </c>
      <c r="K142" s="136" t="s">
        <v>1747</v>
      </c>
      <c r="L142" s="197">
        <v>9.8666973926463406</v>
      </c>
      <c r="M142" s="197">
        <v>8.5186968869716733</v>
      </c>
      <c r="N142" s="197">
        <v>13.29671227791103</v>
      </c>
      <c r="O142" s="197">
        <v>4.617338477854128</v>
      </c>
      <c r="P142" s="197">
        <v>4.8435719287230405</v>
      </c>
      <c r="Q142" s="197">
        <v>7.1751554786564871</v>
      </c>
      <c r="R142" s="142">
        <v>48.318172442762695</v>
      </c>
    </row>
    <row r="143" spans="4:18">
      <c r="J143" s="353">
        <v>5</v>
      </c>
      <c r="K143" s="136" t="s">
        <v>1600</v>
      </c>
      <c r="L143" s="197">
        <v>13.571137569081205</v>
      </c>
      <c r="M143" s="197">
        <v>9.5926618814601614</v>
      </c>
      <c r="N143" s="197">
        <v>9.7366614217589174</v>
      </c>
      <c r="O143" s="197">
        <v>0.84410263634416061</v>
      </c>
      <c r="P143" s="197">
        <v>6.3149498800329029</v>
      </c>
      <c r="Q143" s="197">
        <v>6.4994696177424425</v>
      </c>
      <c r="R143" s="142">
        <v>46.558983006419794</v>
      </c>
    </row>
    <row r="144" spans="4:18">
      <c r="J144" s="353">
        <v>6</v>
      </c>
      <c r="K144" s="136" t="s">
        <v>408</v>
      </c>
      <c r="L144" s="197">
        <v>1.2754725053252796</v>
      </c>
      <c r="M144" s="197">
        <v>10.427673833015813</v>
      </c>
      <c r="N144" s="197">
        <v>10.476934711443704</v>
      </c>
      <c r="O144" s="197">
        <v>5.1057823228564141</v>
      </c>
      <c r="P144" s="197">
        <v>3.8591944245469532</v>
      </c>
      <c r="Q144" s="197">
        <v>5.6219803626408504</v>
      </c>
      <c r="R144" s="142">
        <v>36.767038159829013</v>
      </c>
    </row>
    <row r="145" spans="5:18">
      <c r="J145" s="353">
        <v>7</v>
      </c>
      <c r="K145" s="136" t="s">
        <v>1146</v>
      </c>
      <c r="L145" s="197">
        <v>0.88150382036125996</v>
      </c>
      <c r="M145" s="197">
        <v>11.141722398326124</v>
      </c>
      <c r="N145" s="197">
        <v>7.7485954973614222</v>
      </c>
      <c r="O145" s="197">
        <v>5.9791001450038417</v>
      </c>
      <c r="P145" s="197">
        <v>5.5235149393088676</v>
      </c>
      <c r="Q145" s="197">
        <v>4.1210918676929698</v>
      </c>
      <c r="R145" s="142">
        <v>35.395528668054482</v>
      </c>
    </row>
    <row r="146" spans="5:18">
      <c r="J146" s="353">
        <v>8</v>
      </c>
      <c r="K146" s="136" t="s">
        <v>1771</v>
      </c>
      <c r="L146" s="197">
        <v>3.1192408048081322</v>
      </c>
      <c r="M146" s="197">
        <v>5.665546060701879</v>
      </c>
      <c r="N146" s="197">
        <v>11.782704636491934</v>
      </c>
      <c r="O146" s="197">
        <v>0.29932629115032749</v>
      </c>
      <c r="P146" s="197">
        <v>4.9650349609581692</v>
      </c>
      <c r="Q146" s="197">
        <v>9.1126463328744638</v>
      </c>
      <c r="R146" s="142">
        <v>34.944499086984898</v>
      </c>
    </row>
    <row r="147" spans="5:18">
      <c r="E147" s="10">
        <v>3882274</v>
      </c>
      <c r="F147" s="407">
        <v>1354277.0132808355</v>
      </c>
      <c r="J147" s="353">
        <v>9</v>
      </c>
      <c r="K147" s="136" t="s">
        <v>893</v>
      </c>
      <c r="L147" s="197">
        <v>4.2493840112007151</v>
      </c>
      <c r="M147" s="197">
        <v>5.1594826508911513</v>
      </c>
      <c r="N147" s="197">
        <v>10.646965225953966</v>
      </c>
      <c r="O147" s="197">
        <v>2.3728391936060658</v>
      </c>
      <c r="P147" s="197">
        <v>4.4096245580694866</v>
      </c>
      <c r="Q147" s="197">
        <v>7.2987252425539157</v>
      </c>
      <c r="R147" s="142">
        <v>34.137020882275301</v>
      </c>
    </row>
    <row r="148" spans="5:18">
      <c r="E148" s="10">
        <v>15005002</v>
      </c>
      <c r="F148" s="407">
        <v>3885791.9424502598</v>
      </c>
      <c r="J148" s="353">
        <v>10</v>
      </c>
      <c r="K148" s="136" t="s">
        <v>924</v>
      </c>
      <c r="L148" s="197">
        <v>-0.25807636702322689</v>
      </c>
      <c r="M148" s="197">
        <v>4.7129165272620579</v>
      </c>
      <c r="N148" s="197">
        <v>11.056036903257413</v>
      </c>
      <c r="O148" s="197">
        <v>1.6948609440161266</v>
      </c>
      <c r="P148" s="197">
        <v>5.5352660574501122</v>
      </c>
      <c r="Q148" s="197">
        <v>7.7124445885647228</v>
      </c>
      <c r="R148" s="142">
        <v>30.453448653527204</v>
      </c>
    </row>
    <row r="149" spans="5:18">
      <c r="E149" s="10">
        <v>6428321</v>
      </c>
      <c r="F149" s="407">
        <v>1169628.1676607027</v>
      </c>
      <c r="J149" s="353">
        <v>11</v>
      </c>
      <c r="K149" s="136" t="s">
        <v>724</v>
      </c>
      <c r="L149" s="197">
        <v>-3.6164423911123569</v>
      </c>
      <c r="M149" s="197">
        <v>11.221325423610594</v>
      </c>
      <c r="N149" s="197">
        <v>8.3464180885520864</v>
      </c>
      <c r="O149" s="197">
        <v>3.7621440449708592</v>
      </c>
      <c r="P149" s="197">
        <v>5.0184429434400402</v>
      </c>
      <c r="Q149" s="197">
        <v>3.3854497772830627</v>
      </c>
      <c r="R149" s="142">
        <v>28.117337886744288</v>
      </c>
    </row>
    <row r="150" spans="5:18">
      <c r="E150" s="10">
        <v>6861711</v>
      </c>
      <c r="F150" s="407">
        <v>1246175.4525376754</v>
      </c>
      <c r="J150" s="353">
        <v>12</v>
      </c>
      <c r="K150" s="136" t="s">
        <v>610</v>
      </c>
      <c r="L150" s="197">
        <v>-7.7787708602922923</v>
      </c>
      <c r="M150" s="197">
        <v>7.4937474360465561</v>
      </c>
      <c r="N150" s="197">
        <v>11.683257433058765</v>
      </c>
      <c r="O150" s="197">
        <v>1.4387981377399428</v>
      </c>
      <c r="P150" s="197">
        <v>6.765220321424624</v>
      </c>
      <c r="Q150" s="197">
        <v>8.0145572707578943</v>
      </c>
      <c r="R150" s="142">
        <v>27.61680973873549</v>
      </c>
    </row>
    <row r="151" spans="5:18">
      <c r="E151" s="10">
        <v>3188976</v>
      </c>
      <c r="F151" s="407">
        <v>-628288.06727606198</v>
      </c>
      <c r="J151" s="353">
        <v>13</v>
      </c>
      <c r="K151" s="136" t="s">
        <v>835</v>
      </c>
      <c r="L151" s="197">
        <v>0.7798123978859719</v>
      </c>
      <c r="M151" s="197">
        <v>2.4799294780110666</v>
      </c>
      <c r="N151" s="197">
        <v>12.525466588184957</v>
      </c>
      <c r="O151" s="197">
        <v>2.7601554092443421</v>
      </c>
      <c r="P151" s="197">
        <v>3.522627449804332</v>
      </c>
      <c r="Q151" s="197">
        <v>5.4464992094338944</v>
      </c>
      <c r="R151" s="142">
        <v>27.514490532564565</v>
      </c>
    </row>
    <row r="152" spans="5:18">
      <c r="E152" s="10">
        <v>14767994</v>
      </c>
      <c r="F152" s="407">
        <v>-3481438.2111100433</v>
      </c>
      <c r="J152" s="353">
        <v>14</v>
      </c>
      <c r="K152" s="136" t="s">
        <v>507</v>
      </c>
      <c r="L152" s="197">
        <v>-5.7137412289226841</v>
      </c>
      <c r="M152" s="197">
        <v>7.3616762380376883</v>
      </c>
      <c r="N152" s="197">
        <v>10.704639795858713</v>
      </c>
      <c r="O152" s="197">
        <v>2.8367361188919289</v>
      </c>
      <c r="P152" s="197">
        <v>5.837677716408554</v>
      </c>
      <c r="Q152" s="197">
        <v>6.4596840170062846</v>
      </c>
      <c r="R152" s="142">
        <v>27.486672657280486</v>
      </c>
    </row>
    <row r="153" spans="5:18">
      <c r="E153" s="10">
        <v>7456488</v>
      </c>
      <c r="F153" s="407">
        <v>-1991665.3347675647</v>
      </c>
      <c r="J153" s="353">
        <v>15</v>
      </c>
      <c r="K153" s="136" t="s">
        <v>283</v>
      </c>
      <c r="L153" s="197">
        <v>-4.9866412716939754</v>
      </c>
      <c r="M153" s="197">
        <v>11.84160695906305</v>
      </c>
      <c r="N153" s="197">
        <v>7.1632479877503794</v>
      </c>
      <c r="O153" s="197">
        <v>4.0979889151739055</v>
      </c>
      <c r="P153" s="197">
        <v>3.6396245330085599</v>
      </c>
      <c r="Q153" s="197">
        <v>2.5033306845807606</v>
      </c>
      <c r="R153" s="142">
        <v>24.259157807882683</v>
      </c>
    </row>
    <row r="154" spans="5:18">
      <c r="E154" s="10">
        <v>2404273</v>
      </c>
      <c r="F154" s="407">
        <v>-957598.60362931259</v>
      </c>
      <c r="J154" s="353">
        <v>16</v>
      </c>
      <c r="K154" s="136" t="s">
        <v>760</v>
      </c>
      <c r="L154" s="197">
        <v>-1.8841069111251025</v>
      </c>
      <c r="M154" s="197">
        <v>6.7912800058041753</v>
      </c>
      <c r="N154" s="197">
        <v>8.0462701993969024</v>
      </c>
      <c r="O154" s="197">
        <v>5.207338651277861</v>
      </c>
      <c r="P154" s="197">
        <v>1.647269356508928</v>
      </c>
      <c r="Q154" s="197">
        <v>2.87213018662659</v>
      </c>
      <c r="R154" s="142">
        <v>22.680181488489353</v>
      </c>
    </row>
    <row r="155" spans="5:18">
      <c r="E155" s="10">
        <v>6481632</v>
      </c>
      <c r="F155" s="407">
        <v>-3190689.9022073951</v>
      </c>
      <c r="J155" s="353">
        <v>17</v>
      </c>
      <c r="K155" s="136" t="s">
        <v>374</v>
      </c>
      <c r="L155" s="197">
        <v>-6.863312725793218</v>
      </c>
      <c r="M155" s="197">
        <v>8.9794043576664659</v>
      </c>
      <c r="N155" s="197">
        <v>6.2081302058651859</v>
      </c>
      <c r="O155" s="197">
        <v>3.89022277355437</v>
      </c>
      <c r="P155" s="197">
        <v>2.3360821940750549</v>
      </c>
      <c r="Q155" s="197">
        <v>5.3039294539866138</v>
      </c>
      <c r="R155" s="142">
        <v>19.854456259354471</v>
      </c>
    </row>
    <row r="156" spans="5:18">
      <c r="E156" s="10">
        <v>5809237</v>
      </c>
      <c r="F156" s="407">
        <v>-3173835.8461658014</v>
      </c>
      <c r="J156" s="353">
        <v>18</v>
      </c>
      <c r="K156" s="136" t="s">
        <v>1174</v>
      </c>
      <c r="L156" s="197">
        <v>-10.276711586631068</v>
      </c>
      <c r="M156" s="197">
        <v>6.712893124614185</v>
      </c>
      <c r="N156" s="197">
        <v>11.863181752012311</v>
      </c>
      <c r="O156" s="197">
        <v>1.5842307228904988</v>
      </c>
      <c r="P156" s="197">
        <v>1.4037930264955749</v>
      </c>
      <c r="Q156" s="197">
        <v>6.302958093424369</v>
      </c>
      <c r="R156" s="142">
        <v>17.590345132805872</v>
      </c>
    </row>
    <row r="157" spans="5:18">
      <c r="E157" s="10">
        <v>13540415</v>
      </c>
      <c r="F157" s="407">
        <v>-7649535.3954324741</v>
      </c>
      <c r="J157" s="353">
        <v>19</v>
      </c>
      <c r="K157" s="136" t="s">
        <v>632</v>
      </c>
      <c r="L157" s="197">
        <v>-12.101894994577224</v>
      </c>
      <c r="M157" s="197">
        <v>11.26923989568351</v>
      </c>
      <c r="N157" s="197">
        <v>8.0316635891215942</v>
      </c>
      <c r="O157" s="197">
        <v>4.8488288563503454</v>
      </c>
      <c r="P157" s="197">
        <v>3.0461624297789727</v>
      </c>
      <c r="Q157" s="197">
        <v>0</v>
      </c>
      <c r="R157" s="142">
        <v>15.093999776357199</v>
      </c>
    </row>
    <row r="158" spans="5:18">
      <c r="E158" s="10">
        <v>4438610</v>
      </c>
      <c r="F158" s="407">
        <v>-2706665.0288158474</v>
      </c>
      <c r="J158" s="353">
        <v>20</v>
      </c>
      <c r="K158" s="136" t="s">
        <v>999</v>
      </c>
      <c r="L158" s="197">
        <v>-4.6116348691220361</v>
      </c>
      <c r="M158" s="197">
        <v>7.0943966561918765</v>
      </c>
      <c r="N158" s="197">
        <v>4.8686317139518467</v>
      </c>
      <c r="O158" s="197">
        <v>6.7910634856868786</v>
      </c>
      <c r="P158" s="197">
        <v>3.0918007472994152E-2</v>
      </c>
      <c r="Q158" s="197">
        <v>0.69973076841500659</v>
      </c>
      <c r="R158" s="142">
        <v>14.873105762596568</v>
      </c>
    </row>
    <row r="159" spans="5:18">
      <c r="J159" s="353">
        <v>21</v>
      </c>
      <c r="K159" s="136" t="s">
        <v>317</v>
      </c>
      <c r="L159" s="197">
        <v>-18.584254200502823</v>
      </c>
      <c r="M159" s="197">
        <v>10.888938795787366</v>
      </c>
      <c r="N159" s="197">
        <v>8.1185884240335415</v>
      </c>
      <c r="O159" s="197">
        <v>6.7078710383455338</v>
      </c>
      <c r="P159" s="197">
        <v>2.5136805735121595</v>
      </c>
      <c r="Q159" s="197">
        <v>3.8573421956041907</v>
      </c>
      <c r="R159" s="142">
        <v>13.50216682677997</v>
      </c>
    </row>
    <row r="160" spans="5:18">
      <c r="J160" s="353">
        <v>22</v>
      </c>
      <c r="K160" s="136" t="s">
        <v>651</v>
      </c>
      <c r="L160" s="197">
        <v>-16.686081752345434</v>
      </c>
      <c r="M160" s="197">
        <v>13.67545479817556</v>
      </c>
      <c r="N160" s="197">
        <v>6.2028688234032643</v>
      </c>
      <c r="O160" s="197">
        <v>6.1212468273018263</v>
      </c>
      <c r="P160" s="197">
        <v>2.6370346112146308</v>
      </c>
      <c r="Q160" s="197">
        <v>0</v>
      </c>
      <c r="R160" s="142">
        <v>11.950523307749847</v>
      </c>
    </row>
    <row r="161" spans="10:18">
      <c r="J161" s="353">
        <v>23</v>
      </c>
      <c r="K161" s="136" t="s">
        <v>1123</v>
      </c>
      <c r="L161" s="197">
        <v>-15.741233527963622</v>
      </c>
      <c r="M161" s="197">
        <v>4.1447265718760571</v>
      </c>
      <c r="N161" s="197">
        <v>6.9539379045505276</v>
      </c>
      <c r="O161" s="197">
        <v>4.6222695061520707</v>
      </c>
      <c r="P161" s="197">
        <v>0.79049598713888325</v>
      </c>
      <c r="Q161" s="197">
        <v>5.8290546574082533</v>
      </c>
      <c r="R161" s="142">
        <v>6.5992510991621689</v>
      </c>
    </row>
    <row r="162" spans="10:18">
      <c r="J162" s="353">
        <v>24</v>
      </c>
      <c r="K162" s="136" t="s">
        <v>248</v>
      </c>
      <c r="L162" s="197">
        <v>-18.421650904140066</v>
      </c>
      <c r="M162" s="197">
        <v>7.7318527529094689</v>
      </c>
      <c r="N162" s="197">
        <v>4.8604422198878208</v>
      </c>
      <c r="O162" s="197">
        <v>0</v>
      </c>
      <c r="P162" s="197">
        <v>1.538459193486581</v>
      </c>
      <c r="Q162" s="197">
        <v>1.044921676683807</v>
      </c>
      <c r="R162" s="142">
        <v>-3.2459750611723885</v>
      </c>
    </row>
  </sheetData>
  <autoFilter ref="AS2:BD30" xr:uid="{A015626A-7D7D-BA40-B1AD-FA5477EF02AC}">
    <sortState xmlns:xlrd2="http://schemas.microsoft.com/office/spreadsheetml/2017/richdata2" ref="AS3:BD30">
      <sortCondition descending="1" ref="AZ2:AZ30"/>
    </sortState>
  </autoFilter>
  <mergeCells count="3">
    <mergeCell ref="B33:G33"/>
    <mergeCell ref="J116:R116"/>
    <mergeCell ref="J136:R136"/>
  </mergeCells>
  <conditionalFormatting sqref="J1:J30">
    <cfRule type="dataBar" priority="11">
      <dataBar>
        <cfvo type="min"/>
        <cfvo type="max"/>
        <color rgb="FF63C384"/>
      </dataBar>
      <extLst>
        <ext xmlns:x14="http://schemas.microsoft.com/office/spreadsheetml/2009/9/main" uri="{B025F937-C7B1-47D3-B67F-A62EFF666E3E}">
          <x14:id>{C9F68C36-0CEB-8C41-831A-0A2F43C3562F}</x14:id>
        </ext>
      </extLst>
    </cfRule>
  </conditionalFormatting>
  <conditionalFormatting sqref="S1:S30">
    <cfRule type="dataBar" priority="9">
      <dataBar>
        <cfvo type="min"/>
        <cfvo type="max"/>
        <color rgb="FF63C384"/>
      </dataBar>
      <extLst>
        <ext xmlns:x14="http://schemas.microsoft.com/office/spreadsheetml/2009/9/main" uri="{B025F937-C7B1-47D3-B67F-A62EFF666E3E}">
          <x14:id>{5CA0ECF0-5F3B-5043-BA4C-E6566F847D84}</x14:id>
        </ext>
      </extLst>
    </cfRule>
  </conditionalFormatting>
  <conditionalFormatting sqref="R33:R58">
    <cfRule type="dataBar" priority="8">
      <dataBar>
        <cfvo type="min"/>
        <cfvo type="max"/>
        <color rgb="FF63C384"/>
      </dataBar>
      <extLst>
        <ext xmlns:x14="http://schemas.microsoft.com/office/spreadsheetml/2009/9/main" uri="{B025F937-C7B1-47D3-B67F-A62EFF666E3E}">
          <x14:id>{D98FF120-1568-B842-9327-62D9088D89A0}</x14:id>
        </ext>
      </extLst>
    </cfRule>
  </conditionalFormatting>
  <conditionalFormatting sqref="R62:R77">
    <cfRule type="dataBar" priority="30">
      <dataBar>
        <cfvo type="min"/>
        <cfvo type="max"/>
        <color rgb="FF63C384"/>
      </dataBar>
      <extLst>
        <ext xmlns:x14="http://schemas.microsoft.com/office/spreadsheetml/2009/9/main" uri="{B025F937-C7B1-47D3-B67F-A62EFF666E3E}">
          <x14:id>{93C6E8F8-F445-4C4D-B4FA-D8A3FD2606EF}</x14:id>
        </ext>
      </extLst>
    </cfRule>
  </conditionalFormatting>
  <conditionalFormatting sqref="AN1:AN30">
    <cfRule type="dataBar" priority="6">
      <dataBar>
        <cfvo type="min"/>
        <cfvo type="max"/>
        <color rgb="FF63C384"/>
      </dataBar>
      <extLst>
        <ext xmlns:x14="http://schemas.microsoft.com/office/spreadsheetml/2009/9/main" uri="{B025F937-C7B1-47D3-B67F-A62EFF666E3E}">
          <x14:id>{0669B28E-EE7E-C64B-B325-4BF09FA647A8}</x14:id>
        </ext>
      </extLst>
    </cfRule>
  </conditionalFormatting>
  <conditionalFormatting sqref="R88:R113">
    <cfRule type="dataBar" priority="5">
      <dataBar>
        <cfvo type="min"/>
        <cfvo type="max"/>
        <color rgb="FF63C384"/>
      </dataBar>
      <extLst>
        <ext xmlns:x14="http://schemas.microsoft.com/office/spreadsheetml/2009/9/main" uri="{B025F937-C7B1-47D3-B67F-A62EFF666E3E}">
          <x14:id>{2686F571-32FB-3E4F-8D4D-029701C7F7D2}</x14:id>
        </ext>
      </extLst>
    </cfRule>
  </conditionalFormatting>
  <conditionalFormatting sqref="R117:R132">
    <cfRule type="dataBar" priority="31">
      <dataBar>
        <cfvo type="min"/>
        <cfvo type="max"/>
        <color rgb="FF63C384"/>
      </dataBar>
      <extLst>
        <ext xmlns:x14="http://schemas.microsoft.com/office/spreadsheetml/2009/9/main" uri="{B025F937-C7B1-47D3-B67F-A62EFF666E3E}">
          <x14:id>{DBFA63F7-6F8D-6043-A408-BF448C977B53}</x14:id>
        </ext>
      </extLst>
    </cfRule>
  </conditionalFormatting>
  <conditionalFormatting sqref="R137:R162">
    <cfRule type="dataBar" priority="34">
      <dataBar>
        <cfvo type="min"/>
        <cfvo type="max"/>
        <color rgb="FF63C384"/>
      </dataBar>
      <extLst>
        <ext xmlns:x14="http://schemas.microsoft.com/office/spreadsheetml/2009/9/main" uri="{B025F937-C7B1-47D3-B67F-A62EFF666E3E}">
          <x14:id>{634B5BB0-0B7C-784E-9971-FDC36F2FD84A}</x14:id>
        </ext>
      </extLst>
    </cfRule>
  </conditionalFormatting>
  <conditionalFormatting sqref="AZ1:AZ30">
    <cfRule type="dataBar" priority="2">
      <dataBar>
        <cfvo type="min"/>
        <cfvo type="max"/>
        <color rgb="FF63C384"/>
      </dataBar>
      <extLst>
        <ext xmlns:x14="http://schemas.microsoft.com/office/spreadsheetml/2009/9/main" uri="{B025F937-C7B1-47D3-B67F-A62EFF666E3E}">
          <x14:id>{CF548879-234F-3C44-BBC4-B3C1D9A4C1F1}</x14:id>
        </ext>
      </extLst>
    </cfRule>
  </conditionalFormatting>
  <conditionalFormatting sqref="AZ72:AZ101">
    <cfRule type="dataBar" priority="1">
      <dataBar>
        <cfvo type="min"/>
        <cfvo type="max"/>
        <color rgb="FF63C384"/>
      </dataBar>
      <extLst>
        <ext xmlns:x14="http://schemas.microsoft.com/office/spreadsheetml/2009/9/main" uri="{B025F937-C7B1-47D3-B67F-A62EFF666E3E}">
          <x14:id>{ABE09CDB-E8F0-C444-BE6F-A26A5523DA64}</x14:id>
        </ext>
      </extLst>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dataBar" id="{C9F68C36-0CEB-8C41-831A-0A2F43C3562F}">
            <x14:dataBar minLength="0" maxLength="100" border="1" negativeBarBorderColorSameAsPositive="0">
              <x14:cfvo type="autoMin"/>
              <x14:cfvo type="autoMax"/>
              <x14:borderColor rgb="FF63C384"/>
              <x14:negativeFillColor rgb="FFFF0000"/>
              <x14:negativeBorderColor rgb="FFFF0000"/>
              <x14:axisColor rgb="FF000000"/>
            </x14:dataBar>
          </x14:cfRule>
          <xm:sqref>J1:J30</xm:sqref>
        </x14:conditionalFormatting>
        <x14:conditionalFormatting xmlns:xm="http://schemas.microsoft.com/office/excel/2006/main">
          <x14:cfRule type="dataBar" id="{5CA0ECF0-5F3B-5043-BA4C-E6566F847D84}">
            <x14:dataBar minLength="0" maxLength="100" border="1" negativeBarBorderColorSameAsPositive="0">
              <x14:cfvo type="autoMin"/>
              <x14:cfvo type="autoMax"/>
              <x14:borderColor rgb="FF63C384"/>
              <x14:negativeFillColor rgb="FFFF0000"/>
              <x14:negativeBorderColor rgb="FFFF0000"/>
              <x14:axisColor rgb="FF000000"/>
            </x14:dataBar>
          </x14:cfRule>
          <xm:sqref>S1:S30</xm:sqref>
        </x14:conditionalFormatting>
        <x14:conditionalFormatting xmlns:xm="http://schemas.microsoft.com/office/excel/2006/main">
          <x14:cfRule type="dataBar" id="{D98FF120-1568-B842-9327-62D9088D89A0}">
            <x14:dataBar minLength="0" maxLength="100" border="1" negativeBarBorderColorSameAsPositive="0">
              <x14:cfvo type="autoMin"/>
              <x14:cfvo type="autoMax"/>
              <x14:borderColor rgb="FF63C384"/>
              <x14:negativeFillColor rgb="FFFF0000"/>
              <x14:negativeBorderColor rgb="FFFF0000"/>
              <x14:axisColor rgb="FF000000"/>
            </x14:dataBar>
          </x14:cfRule>
          <xm:sqref>R33:R58</xm:sqref>
        </x14:conditionalFormatting>
        <x14:conditionalFormatting xmlns:xm="http://schemas.microsoft.com/office/excel/2006/main">
          <x14:cfRule type="dataBar" id="{93C6E8F8-F445-4C4D-B4FA-D8A3FD2606EF}">
            <x14:dataBar minLength="0" maxLength="100" border="1" negativeBarBorderColorSameAsPositive="0">
              <x14:cfvo type="autoMin"/>
              <x14:cfvo type="autoMax"/>
              <x14:borderColor rgb="FF63C384"/>
              <x14:negativeFillColor rgb="FFFF0000"/>
              <x14:negativeBorderColor rgb="FFFF0000"/>
              <x14:axisColor rgb="FF000000"/>
            </x14:dataBar>
          </x14:cfRule>
          <xm:sqref>R62:R77</xm:sqref>
        </x14:conditionalFormatting>
        <x14:conditionalFormatting xmlns:xm="http://schemas.microsoft.com/office/excel/2006/main">
          <x14:cfRule type="dataBar" id="{0669B28E-EE7E-C64B-B325-4BF09FA647A8}">
            <x14:dataBar minLength="0" maxLength="100" border="1" negativeBarBorderColorSameAsPositive="0">
              <x14:cfvo type="autoMin"/>
              <x14:cfvo type="autoMax"/>
              <x14:borderColor rgb="FF63C384"/>
              <x14:negativeFillColor rgb="FFFF0000"/>
              <x14:negativeBorderColor rgb="FFFF0000"/>
              <x14:axisColor rgb="FF000000"/>
            </x14:dataBar>
          </x14:cfRule>
          <xm:sqref>AN1:AN30</xm:sqref>
        </x14:conditionalFormatting>
        <x14:conditionalFormatting xmlns:xm="http://schemas.microsoft.com/office/excel/2006/main">
          <x14:cfRule type="dataBar" id="{2686F571-32FB-3E4F-8D4D-029701C7F7D2}">
            <x14:dataBar minLength="0" maxLength="100" border="1" negativeBarBorderColorSameAsPositive="0">
              <x14:cfvo type="autoMin"/>
              <x14:cfvo type="autoMax"/>
              <x14:borderColor rgb="FF63C384"/>
              <x14:negativeFillColor rgb="FFFF0000"/>
              <x14:negativeBorderColor rgb="FFFF0000"/>
              <x14:axisColor rgb="FF000000"/>
            </x14:dataBar>
          </x14:cfRule>
          <xm:sqref>R88:R113</xm:sqref>
        </x14:conditionalFormatting>
        <x14:conditionalFormatting xmlns:xm="http://schemas.microsoft.com/office/excel/2006/main">
          <x14:cfRule type="dataBar" id="{DBFA63F7-6F8D-6043-A408-BF448C977B53}">
            <x14:dataBar minLength="0" maxLength="100" border="1" negativeBarBorderColorSameAsPositive="0">
              <x14:cfvo type="autoMin"/>
              <x14:cfvo type="autoMax"/>
              <x14:borderColor rgb="FF63C384"/>
              <x14:negativeFillColor rgb="FFFF0000"/>
              <x14:negativeBorderColor rgb="FFFF0000"/>
              <x14:axisColor rgb="FF000000"/>
            </x14:dataBar>
          </x14:cfRule>
          <xm:sqref>R117:R132</xm:sqref>
        </x14:conditionalFormatting>
        <x14:conditionalFormatting xmlns:xm="http://schemas.microsoft.com/office/excel/2006/main">
          <x14:cfRule type="dataBar" id="{634B5BB0-0B7C-784E-9971-FDC36F2FD84A}">
            <x14:dataBar minLength="0" maxLength="100" border="1" negativeBarBorderColorSameAsPositive="0">
              <x14:cfvo type="autoMin"/>
              <x14:cfvo type="autoMax"/>
              <x14:borderColor rgb="FF63C384"/>
              <x14:negativeFillColor rgb="FFFF0000"/>
              <x14:negativeBorderColor rgb="FFFF0000"/>
              <x14:axisColor rgb="FF000000"/>
            </x14:dataBar>
          </x14:cfRule>
          <xm:sqref>R137:R162</xm:sqref>
        </x14:conditionalFormatting>
        <x14:conditionalFormatting xmlns:xm="http://schemas.microsoft.com/office/excel/2006/main">
          <x14:cfRule type="dataBar" id="{CF548879-234F-3C44-BBC4-B3C1D9A4C1F1}">
            <x14:dataBar minLength="0" maxLength="100" border="1" negativeBarBorderColorSameAsPositive="0">
              <x14:cfvo type="autoMin"/>
              <x14:cfvo type="autoMax"/>
              <x14:borderColor rgb="FF63C384"/>
              <x14:negativeFillColor rgb="FFFF0000"/>
              <x14:negativeBorderColor rgb="FFFF0000"/>
              <x14:axisColor rgb="FF000000"/>
            </x14:dataBar>
          </x14:cfRule>
          <xm:sqref>AZ1:AZ30</xm:sqref>
        </x14:conditionalFormatting>
        <x14:conditionalFormatting xmlns:xm="http://schemas.microsoft.com/office/excel/2006/main">
          <x14:cfRule type="dataBar" id="{ABE09CDB-E8F0-C444-BE6F-A26A5523DA64}">
            <x14:dataBar minLength="0" maxLength="100" border="1" negativeBarBorderColorSameAsPositive="0">
              <x14:cfvo type="autoMin"/>
              <x14:cfvo type="autoMax"/>
              <x14:borderColor rgb="FF63C384"/>
              <x14:negativeFillColor rgb="FFFF0000"/>
              <x14:negativeBorderColor rgb="FFFF0000"/>
              <x14:axisColor rgb="FF000000"/>
            </x14:dataBar>
          </x14:cfRule>
          <xm:sqref>AZ72:AZ101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9AE0C-7077-C14A-82E0-2598E34858B2}">
  <dimension ref="A1:H58"/>
  <sheetViews>
    <sheetView topLeftCell="A28" zoomScale="110" zoomScaleNormal="110" workbookViewId="0">
      <selection activeCell="D39" sqref="D39"/>
    </sheetView>
  </sheetViews>
  <sheetFormatPr baseColWidth="10" defaultRowHeight="16"/>
  <sheetData>
    <row r="1" spans="1:8" ht="20">
      <c r="A1" s="134" t="s">
        <v>1832</v>
      </c>
      <c r="B1" s="196">
        <v>40</v>
      </c>
      <c r="C1" s="196">
        <v>15</v>
      </c>
      <c r="D1" s="196">
        <v>15</v>
      </c>
      <c r="E1" s="196">
        <v>10</v>
      </c>
      <c r="F1" s="196">
        <v>10</v>
      </c>
      <c r="G1" s="196">
        <v>10</v>
      </c>
      <c r="H1" s="141">
        <v>100</v>
      </c>
    </row>
    <row r="2" spans="1:8" ht="20">
      <c r="A2" s="134" t="s">
        <v>1</v>
      </c>
      <c r="B2" s="196" t="s">
        <v>1836</v>
      </c>
      <c r="C2" s="196" t="s">
        <v>1916</v>
      </c>
      <c r="D2" s="196" t="s">
        <v>1851</v>
      </c>
      <c r="E2" s="196" t="s">
        <v>29</v>
      </c>
      <c r="F2" s="196" t="s">
        <v>1917</v>
      </c>
      <c r="G2" s="196" t="s">
        <v>1907</v>
      </c>
      <c r="H2" s="141" t="s">
        <v>1843</v>
      </c>
    </row>
    <row r="3" spans="1:8" ht="20">
      <c r="A3" s="136" t="s">
        <v>724</v>
      </c>
      <c r="B3" s="197">
        <v>44.544580838252038</v>
      </c>
      <c r="C3" s="197">
        <v>11.85774456521739</v>
      </c>
      <c r="D3" s="197">
        <v>12.5</v>
      </c>
      <c r="E3" s="197">
        <v>3.9592034564700804</v>
      </c>
      <c r="F3" s="197">
        <v>8.33</v>
      </c>
      <c r="G3" s="197">
        <v>6.25</v>
      </c>
      <c r="H3" s="142">
        <v>87.44152885993951</v>
      </c>
    </row>
    <row r="4" spans="1:8" ht="20">
      <c r="A4" s="136" t="s">
        <v>1660</v>
      </c>
      <c r="B4" s="197">
        <v>38.121172814668036</v>
      </c>
      <c r="C4" s="197">
        <v>6.3648100732600721</v>
      </c>
      <c r="D4" s="197">
        <v>9.8903530118371208</v>
      </c>
      <c r="E4" s="197">
        <v>1.6486285812760144</v>
      </c>
      <c r="F4" s="197">
        <v>8.33</v>
      </c>
      <c r="G4" s="197">
        <v>6.25</v>
      </c>
      <c r="H4" s="142">
        <v>70.60496448104125</v>
      </c>
    </row>
    <row r="5" spans="1:8" ht="20">
      <c r="A5" s="136" t="s">
        <v>1747</v>
      </c>
      <c r="B5" s="197">
        <v>35.918819123953874</v>
      </c>
      <c r="C5" s="197">
        <v>12.5</v>
      </c>
      <c r="D5" s="197">
        <v>11.190018706896554</v>
      </c>
      <c r="E5" s="197">
        <v>8.33</v>
      </c>
      <c r="F5" s="197">
        <v>2.0230440499671269</v>
      </c>
      <c r="G5" s="197">
        <v>0</v>
      </c>
      <c r="H5" s="142">
        <v>69.961881880817558</v>
      </c>
    </row>
    <row r="6" spans="1:8" ht="20">
      <c r="A6" s="136" t="s">
        <v>1146</v>
      </c>
      <c r="B6" s="197">
        <v>28.879600242498604</v>
      </c>
      <c r="C6" s="197">
        <v>12.162238525714109</v>
      </c>
      <c r="D6" s="197">
        <v>5.3277875660842291</v>
      </c>
      <c r="E6" s="197">
        <v>5.2919528757597485</v>
      </c>
      <c r="F6" s="197">
        <v>7.4794027777777785</v>
      </c>
      <c r="G6" s="197">
        <v>4.8554158847452982</v>
      </c>
      <c r="H6" s="142">
        <v>63.996397872579763</v>
      </c>
    </row>
    <row r="7" spans="1:8" ht="20">
      <c r="A7" s="136" t="s">
        <v>835</v>
      </c>
      <c r="B7" s="197">
        <v>24.536571926288556</v>
      </c>
      <c r="C7" s="197">
        <v>2.4292761410641952</v>
      </c>
      <c r="D7" s="197">
        <v>10.946231982237077</v>
      </c>
      <c r="E7" s="197">
        <v>2.0231981858346364</v>
      </c>
      <c r="F7" s="197">
        <v>5.1166988148863144</v>
      </c>
      <c r="G7" s="197">
        <v>6.25</v>
      </c>
      <c r="H7" s="142">
        <v>51.301977050310782</v>
      </c>
    </row>
    <row r="8" spans="1:8" ht="20">
      <c r="A8" s="136" t="s">
        <v>1771</v>
      </c>
      <c r="B8" s="197">
        <v>19.454989942330361</v>
      </c>
      <c r="C8" s="197">
        <v>6.2808850931677043</v>
      </c>
      <c r="D8" s="197">
        <v>9.0321037903225818</v>
      </c>
      <c r="E8" s="197">
        <v>0</v>
      </c>
      <c r="F8" s="197">
        <v>7.5004898989898994</v>
      </c>
      <c r="G8" s="197">
        <v>6.25</v>
      </c>
      <c r="H8" s="142">
        <v>48.518468724810546</v>
      </c>
    </row>
    <row r="9" spans="1:8" ht="20">
      <c r="A9" s="136" t="s">
        <v>1600</v>
      </c>
      <c r="B9" s="197">
        <v>22.153852861498212</v>
      </c>
      <c r="C9" s="197">
        <v>6.334176432946788</v>
      </c>
      <c r="D9" s="197">
        <v>5.5575990976758947</v>
      </c>
      <c r="E9" s="197">
        <v>0.83812862783774233</v>
      </c>
      <c r="F9" s="197">
        <v>5.9814207030250115</v>
      </c>
      <c r="G9" s="197">
        <v>5.1791175184128591</v>
      </c>
      <c r="H9" s="142">
        <v>46.044295241396505</v>
      </c>
    </row>
    <row r="10" spans="1:8" ht="20">
      <c r="A10" s="136" t="s">
        <v>651</v>
      </c>
      <c r="B10" s="197">
        <v>6.4726043833330289</v>
      </c>
      <c r="C10" s="197">
        <v>8.8334748725708714</v>
      </c>
      <c r="D10" s="197">
        <v>12.5</v>
      </c>
      <c r="E10" s="197">
        <v>1.8707971990335255</v>
      </c>
      <c r="F10" s="197">
        <v>8.1614624624624632</v>
      </c>
      <c r="G10" s="197">
        <v>1.9115736590310868</v>
      </c>
      <c r="H10" s="142">
        <v>39.749912576430972</v>
      </c>
    </row>
    <row r="11" spans="1:8" ht="20">
      <c r="A11" s="136" t="s">
        <v>317</v>
      </c>
      <c r="B11" s="197">
        <v>1.5129721287825233</v>
      </c>
      <c r="C11" s="197">
        <v>9.6350549450549465</v>
      </c>
      <c r="D11" s="197">
        <v>9.0318738281250042</v>
      </c>
      <c r="E11" s="197">
        <v>3.9252311050477497</v>
      </c>
      <c r="F11" s="197">
        <v>8.33</v>
      </c>
      <c r="G11" s="197">
        <v>6.25</v>
      </c>
      <c r="H11" s="142">
        <v>38.685132007010225</v>
      </c>
    </row>
    <row r="12" spans="1:8" ht="20">
      <c r="A12" s="136" t="s">
        <v>760</v>
      </c>
      <c r="B12" s="197">
        <v>19.184325201847965</v>
      </c>
      <c r="C12" s="197">
        <v>4.8123312624194972</v>
      </c>
      <c r="D12" s="197">
        <v>3.766089959490742</v>
      </c>
      <c r="E12" s="197">
        <v>7.7670753451600127</v>
      </c>
      <c r="F12" s="197">
        <v>1.7003252314814814</v>
      </c>
      <c r="G12" s="197">
        <v>0.74074821947100811</v>
      </c>
      <c r="H12" s="142">
        <v>37.970895219870705</v>
      </c>
    </row>
    <row r="13" spans="1:8" ht="20">
      <c r="A13" s="136" t="s">
        <v>610</v>
      </c>
      <c r="B13" s="197">
        <v>-13.074096186775822</v>
      </c>
      <c r="C13" s="197">
        <v>8.6701865013006323</v>
      </c>
      <c r="D13" s="197">
        <v>10.303814569052419</v>
      </c>
      <c r="E13" s="197">
        <v>0.41617316125937426</v>
      </c>
      <c r="F13" s="197">
        <v>3.9504708994709006</v>
      </c>
      <c r="G13" s="197">
        <v>6.25</v>
      </c>
      <c r="H13" s="142">
        <v>16.516548944307502</v>
      </c>
    </row>
    <row r="14" spans="1:8" ht="20">
      <c r="A14" s="136" t="s">
        <v>1174</v>
      </c>
      <c r="B14" s="197">
        <v>-29.714921811719616</v>
      </c>
      <c r="C14" s="197">
        <v>2.7978330800769231</v>
      </c>
      <c r="D14" s="197">
        <v>11.147268559634556</v>
      </c>
      <c r="E14" s="197">
        <v>0.35143152533065319</v>
      </c>
      <c r="F14" s="197">
        <v>3.0058459530003834</v>
      </c>
      <c r="G14" s="197">
        <v>6.25</v>
      </c>
      <c r="H14" s="142">
        <v>-6.1625426936770999</v>
      </c>
    </row>
    <row r="15" spans="1:8" ht="20">
      <c r="A15" s="136" t="s">
        <v>1123</v>
      </c>
      <c r="B15" s="197">
        <v>-100</v>
      </c>
      <c r="C15" s="197">
        <v>12.5</v>
      </c>
      <c r="D15" s="197">
        <v>0</v>
      </c>
      <c r="E15" s="197">
        <v>8.33</v>
      </c>
      <c r="F15" s="197">
        <v>2.7658611111111111</v>
      </c>
      <c r="G15" s="197">
        <v>1.9791346471102331</v>
      </c>
      <c r="H15" s="142">
        <v>-74.425004241778666</v>
      </c>
    </row>
    <row r="16" spans="1:8" ht="20">
      <c r="A16" s="136" t="s">
        <v>999</v>
      </c>
      <c r="B16" s="197">
        <v>-100</v>
      </c>
      <c r="C16" s="197">
        <v>12.5</v>
      </c>
      <c r="D16" s="197">
        <v>0</v>
      </c>
      <c r="E16" s="197">
        <v>8.33</v>
      </c>
      <c r="F16" s="197">
        <v>1.1146574074074078</v>
      </c>
      <c r="G16" s="197">
        <v>0</v>
      </c>
      <c r="H16" s="142">
        <v>-78.055342592592595</v>
      </c>
    </row>
    <row r="29" spans="1:8" ht="20">
      <c r="A29" s="134" t="s">
        <v>1832</v>
      </c>
      <c r="B29" s="196">
        <v>40</v>
      </c>
      <c r="C29" s="196">
        <v>15</v>
      </c>
      <c r="D29" s="196">
        <v>15</v>
      </c>
      <c r="E29" s="196">
        <v>10</v>
      </c>
      <c r="F29" s="196">
        <v>10</v>
      </c>
      <c r="G29" s="196">
        <v>10</v>
      </c>
      <c r="H29" s="141">
        <v>100</v>
      </c>
    </row>
    <row r="30" spans="1:8" ht="20">
      <c r="A30" s="221" t="s">
        <v>1</v>
      </c>
      <c r="B30" s="135" t="s">
        <v>1836</v>
      </c>
      <c r="C30" s="135" t="s">
        <v>1916</v>
      </c>
      <c r="D30" s="135" t="s">
        <v>1851</v>
      </c>
      <c r="E30" s="135" t="s">
        <v>29</v>
      </c>
      <c r="F30" s="135" t="s">
        <v>1917</v>
      </c>
      <c r="G30" s="135" t="s">
        <v>1907</v>
      </c>
      <c r="H30" s="222" t="s">
        <v>1843</v>
      </c>
    </row>
    <row r="31" spans="1:8" ht="20">
      <c r="A31" s="223" t="s">
        <v>724</v>
      </c>
      <c r="B31" s="138">
        <v>18.714732135694312</v>
      </c>
      <c r="C31" s="138">
        <v>14.229293478260868</v>
      </c>
      <c r="D31" s="138">
        <v>9.2806971774193556</v>
      </c>
      <c r="E31" s="138">
        <v>2.3755220738820482</v>
      </c>
      <c r="F31" s="138">
        <v>10</v>
      </c>
      <c r="G31" s="138">
        <v>10</v>
      </c>
      <c r="H31" s="224">
        <v>64.60024486525657</v>
      </c>
    </row>
    <row r="32" spans="1:8" ht="20">
      <c r="A32" s="223" t="s">
        <v>1660</v>
      </c>
      <c r="B32" s="138">
        <v>15.631496284373988</v>
      </c>
      <c r="C32" s="138">
        <v>7.6377720879120874</v>
      </c>
      <c r="D32" s="138">
        <v>5.9342118071022716</v>
      </c>
      <c r="E32" s="138">
        <v>0.98917714876560869</v>
      </c>
      <c r="F32" s="138">
        <v>10</v>
      </c>
      <c r="G32" s="138">
        <v>8.9525010260758808</v>
      </c>
      <c r="H32" s="224">
        <v>49.145158354229835</v>
      </c>
    </row>
    <row r="33" spans="1:8" ht="20">
      <c r="A33" s="223" t="s">
        <v>1747</v>
      </c>
      <c r="B33" s="138">
        <v>14.574366512831189</v>
      </c>
      <c r="C33" s="138">
        <v>15</v>
      </c>
      <c r="D33" s="138">
        <v>6.7140112241379324</v>
      </c>
      <c r="E33" s="138">
        <v>7.2066604147181605</v>
      </c>
      <c r="F33" s="138">
        <v>2.4276528599605518</v>
      </c>
      <c r="G33" s="138">
        <v>0</v>
      </c>
      <c r="H33" s="224">
        <v>45.922691011647835</v>
      </c>
    </row>
    <row r="34" spans="1:8" ht="20">
      <c r="A34" s="223" t="s">
        <v>1146</v>
      </c>
      <c r="B34" s="138">
        <v>11.195541449732664</v>
      </c>
      <c r="C34" s="138">
        <v>14.594686230856929</v>
      </c>
      <c r="D34" s="138">
        <v>3.1966725396505371</v>
      </c>
      <c r="E34" s="138">
        <v>3.1751717254558485</v>
      </c>
      <c r="F34" s="138">
        <v>8.9752833333333335</v>
      </c>
      <c r="G34" s="138">
        <v>5.8264990616943564</v>
      </c>
      <c r="H34" s="224">
        <v>46.963854340723664</v>
      </c>
    </row>
    <row r="35" spans="1:8" ht="20">
      <c r="A35" s="223" t="s">
        <v>835</v>
      </c>
      <c r="B35" s="138">
        <v>9.1108878579518393</v>
      </c>
      <c r="C35" s="138">
        <v>2.9151313692770344</v>
      </c>
      <c r="D35" s="138">
        <v>6.5677391893422463</v>
      </c>
      <c r="E35" s="138">
        <v>1.2139189115007818</v>
      </c>
      <c r="F35" s="138">
        <v>6.140038577863578</v>
      </c>
      <c r="G35" s="138">
        <v>8.8973967140329044</v>
      </c>
      <c r="H35" s="224">
        <v>34.845112619968383</v>
      </c>
    </row>
    <row r="36" spans="1:8" ht="20">
      <c r="A36" s="223" t="s">
        <v>1600</v>
      </c>
      <c r="B36" s="138">
        <v>7.9671827068524728</v>
      </c>
      <c r="C36" s="138">
        <v>7.601011719536146</v>
      </c>
      <c r="D36" s="138">
        <v>3.3345594586055363</v>
      </c>
      <c r="E36" s="138">
        <v>0.50287717670264531</v>
      </c>
      <c r="F36" s="138">
        <v>7.177704843630015</v>
      </c>
      <c r="G36" s="138">
        <v>6.21494102209543</v>
      </c>
      <c r="H36" s="224">
        <v>32.798276927422243</v>
      </c>
    </row>
    <row r="37" spans="1:8" ht="20">
      <c r="A37" s="223" t="s">
        <v>1771</v>
      </c>
      <c r="B37" s="138">
        <v>6.6717285056519051</v>
      </c>
      <c r="C37" s="138">
        <v>7.5370621118012444</v>
      </c>
      <c r="D37" s="138">
        <v>5.4192622741935494</v>
      </c>
      <c r="E37" s="138">
        <v>0</v>
      </c>
      <c r="F37" s="138">
        <v>9.0005878787878792</v>
      </c>
      <c r="G37" s="138">
        <v>10</v>
      </c>
      <c r="H37" s="224">
        <v>38.628640770434579</v>
      </c>
    </row>
    <row r="38" spans="1:8" ht="20">
      <c r="A38" s="223" t="s">
        <v>760</v>
      </c>
      <c r="B38" s="138">
        <v>6.541809430220356</v>
      </c>
      <c r="C38" s="138">
        <v>5.7747975149033977</v>
      </c>
      <c r="D38" s="138">
        <v>2.2596539756944449</v>
      </c>
      <c r="E38" s="138">
        <v>4.6602452070960076</v>
      </c>
      <c r="F38" s="138">
        <v>2.0403902777777776</v>
      </c>
      <c r="G38" s="138">
        <v>0.8888978633652096</v>
      </c>
      <c r="H38" s="224">
        <v>22.165794269057191</v>
      </c>
    </row>
    <row r="39" spans="1:8" ht="20">
      <c r="A39" s="223" t="s">
        <v>651</v>
      </c>
      <c r="B39" s="138">
        <v>0.44018343733318754</v>
      </c>
      <c r="C39" s="138">
        <v>10.600169847085045</v>
      </c>
      <c r="D39" s="138">
        <v>8.5124965943756958</v>
      </c>
      <c r="E39" s="138">
        <v>1.1224783194201153</v>
      </c>
      <c r="F39" s="138">
        <v>9.7937549549549541</v>
      </c>
      <c r="G39" s="138">
        <v>2.2938883908373033</v>
      </c>
      <c r="H39" s="224">
        <v>32.762971544006298</v>
      </c>
    </row>
    <row r="40" spans="1:8" ht="20">
      <c r="A40" s="223" t="s">
        <v>138</v>
      </c>
      <c r="B40" s="138">
        <v>0</v>
      </c>
      <c r="C40" s="138">
        <v>0</v>
      </c>
      <c r="D40" s="138">
        <v>0</v>
      </c>
      <c r="E40" s="138">
        <v>0</v>
      </c>
      <c r="F40" s="138">
        <v>0</v>
      </c>
      <c r="G40" s="138">
        <v>0</v>
      </c>
      <c r="H40" s="224">
        <v>0</v>
      </c>
    </row>
    <row r="41" spans="1:8" ht="20">
      <c r="A41" s="223" t="s">
        <v>209</v>
      </c>
      <c r="B41" s="138">
        <v>0</v>
      </c>
      <c r="C41" s="138">
        <v>0</v>
      </c>
      <c r="D41" s="138">
        <v>0</v>
      </c>
      <c r="E41" s="138">
        <v>0</v>
      </c>
      <c r="F41" s="138">
        <v>0</v>
      </c>
      <c r="G41" s="138">
        <v>0</v>
      </c>
      <c r="H41" s="224">
        <v>0</v>
      </c>
    </row>
    <row r="42" spans="1:8" ht="20">
      <c r="A42" s="223" t="s">
        <v>248</v>
      </c>
      <c r="B42" s="138">
        <v>0</v>
      </c>
      <c r="C42" s="138">
        <v>0</v>
      </c>
      <c r="D42" s="138">
        <v>0</v>
      </c>
      <c r="E42" s="138">
        <v>0</v>
      </c>
      <c r="F42" s="138">
        <v>0</v>
      </c>
      <c r="G42" s="138">
        <v>0</v>
      </c>
      <c r="H42" s="224">
        <v>0</v>
      </c>
    </row>
    <row r="43" spans="1:8" ht="20">
      <c r="A43" s="223" t="s">
        <v>283</v>
      </c>
      <c r="B43" s="138">
        <v>0</v>
      </c>
      <c r="C43" s="138">
        <v>0</v>
      </c>
      <c r="D43" s="138">
        <v>0</v>
      </c>
      <c r="E43" s="138">
        <v>0</v>
      </c>
      <c r="F43" s="138">
        <v>0</v>
      </c>
      <c r="G43" s="138">
        <v>0</v>
      </c>
      <c r="H43" s="224">
        <v>0</v>
      </c>
    </row>
    <row r="44" spans="1:8" ht="20">
      <c r="A44" s="223" t="s">
        <v>374</v>
      </c>
      <c r="B44" s="138">
        <v>0</v>
      </c>
      <c r="C44" s="138">
        <v>0</v>
      </c>
      <c r="D44" s="138">
        <v>0</v>
      </c>
      <c r="E44" s="138">
        <v>0</v>
      </c>
      <c r="F44" s="138">
        <v>0</v>
      </c>
      <c r="G44" s="138">
        <v>0</v>
      </c>
      <c r="H44" s="224">
        <v>0</v>
      </c>
    </row>
    <row r="45" spans="1:8" ht="20">
      <c r="A45" s="223" t="s">
        <v>408</v>
      </c>
      <c r="B45" s="138">
        <v>0</v>
      </c>
      <c r="C45" s="138">
        <v>0</v>
      </c>
      <c r="D45" s="138">
        <v>0</v>
      </c>
      <c r="E45" s="138">
        <v>0</v>
      </c>
      <c r="F45" s="138">
        <v>0</v>
      </c>
      <c r="G45" s="138">
        <v>0</v>
      </c>
      <c r="H45" s="224">
        <v>0</v>
      </c>
    </row>
    <row r="46" spans="1:8" ht="20">
      <c r="A46" s="223" t="s">
        <v>507</v>
      </c>
      <c r="B46" s="138">
        <v>0</v>
      </c>
      <c r="C46" s="138">
        <v>0</v>
      </c>
      <c r="D46" s="138">
        <v>0</v>
      </c>
      <c r="E46" s="138">
        <v>0</v>
      </c>
      <c r="F46" s="138">
        <v>0</v>
      </c>
      <c r="G46" s="138">
        <v>0</v>
      </c>
      <c r="H46" s="224">
        <v>0</v>
      </c>
    </row>
    <row r="47" spans="1:8" ht="20">
      <c r="A47" s="223" t="s">
        <v>474</v>
      </c>
      <c r="B47" s="138">
        <v>0</v>
      </c>
      <c r="C47" s="138">
        <v>0</v>
      </c>
      <c r="D47" s="138">
        <v>0</v>
      </c>
      <c r="E47" s="138">
        <v>0</v>
      </c>
      <c r="F47" s="138">
        <v>0</v>
      </c>
      <c r="G47" s="138">
        <v>0</v>
      </c>
      <c r="H47" s="224">
        <v>0</v>
      </c>
    </row>
    <row r="48" spans="1:8" ht="20">
      <c r="A48" s="223" t="s">
        <v>540</v>
      </c>
      <c r="B48" s="138">
        <v>0</v>
      </c>
      <c r="C48" s="138">
        <v>0</v>
      </c>
      <c r="D48" s="138">
        <v>0</v>
      </c>
      <c r="E48" s="138">
        <v>0</v>
      </c>
      <c r="F48" s="138">
        <v>0</v>
      </c>
      <c r="G48" s="138">
        <v>0</v>
      </c>
      <c r="H48" s="224">
        <v>0</v>
      </c>
    </row>
    <row r="49" spans="1:8" ht="20">
      <c r="A49" s="223" t="s">
        <v>567</v>
      </c>
      <c r="B49" s="138">
        <v>0</v>
      </c>
      <c r="C49" s="138">
        <v>0</v>
      </c>
      <c r="D49" s="138">
        <v>0</v>
      </c>
      <c r="E49" s="138">
        <v>0</v>
      </c>
      <c r="F49" s="138">
        <v>0</v>
      </c>
      <c r="G49" s="138">
        <v>0</v>
      </c>
      <c r="H49" s="224">
        <v>0</v>
      </c>
    </row>
    <row r="50" spans="1:8" ht="20">
      <c r="A50" s="223" t="s">
        <v>632</v>
      </c>
      <c r="B50" s="138">
        <v>0</v>
      </c>
      <c r="C50" s="138">
        <v>0</v>
      </c>
      <c r="D50" s="138">
        <v>0</v>
      </c>
      <c r="E50" s="138">
        <v>0</v>
      </c>
      <c r="F50" s="138">
        <v>0</v>
      </c>
      <c r="G50" s="138">
        <v>0</v>
      </c>
      <c r="H50" s="224">
        <v>0</v>
      </c>
    </row>
    <row r="51" spans="1:8" ht="20">
      <c r="A51" s="223" t="s">
        <v>893</v>
      </c>
      <c r="B51" s="138">
        <v>0</v>
      </c>
      <c r="C51" s="138">
        <v>0</v>
      </c>
      <c r="D51" s="138">
        <v>0</v>
      </c>
      <c r="E51" s="138">
        <v>0</v>
      </c>
      <c r="F51" s="138">
        <v>0</v>
      </c>
      <c r="G51" s="138">
        <v>0</v>
      </c>
      <c r="H51" s="224">
        <v>0</v>
      </c>
    </row>
    <row r="52" spans="1:8" ht="20">
      <c r="A52" s="223" t="s">
        <v>924</v>
      </c>
      <c r="B52" s="138">
        <v>0</v>
      </c>
      <c r="C52" s="138">
        <v>0</v>
      </c>
      <c r="D52" s="138">
        <v>0</v>
      </c>
      <c r="E52" s="138">
        <v>0</v>
      </c>
      <c r="F52" s="138">
        <v>0</v>
      </c>
      <c r="G52" s="138">
        <v>0</v>
      </c>
      <c r="H52" s="224">
        <v>0</v>
      </c>
    </row>
    <row r="53" spans="1:8" ht="20">
      <c r="A53" s="223" t="s">
        <v>1574</v>
      </c>
      <c r="B53" s="138">
        <v>0</v>
      </c>
      <c r="C53" s="138">
        <v>0</v>
      </c>
      <c r="D53" s="138">
        <v>0</v>
      </c>
      <c r="E53" s="138">
        <v>0</v>
      </c>
      <c r="F53" s="138">
        <v>0</v>
      </c>
      <c r="G53" s="138">
        <v>0</v>
      </c>
      <c r="H53" s="224">
        <v>0</v>
      </c>
    </row>
    <row r="54" spans="1:8" ht="20">
      <c r="A54" s="223" t="s">
        <v>317</v>
      </c>
      <c r="B54" s="138">
        <v>-1.9404400448510553</v>
      </c>
      <c r="C54" s="138">
        <v>11.562065934065936</v>
      </c>
      <c r="D54" s="138">
        <v>5.419124296875002</v>
      </c>
      <c r="E54" s="138">
        <v>2.3551386630286499</v>
      </c>
      <c r="F54" s="138">
        <v>10</v>
      </c>
      <c r="G54" s="138">
        <v>8.8121546476594581</v>
      </c>
      <c r="H54" s="224">
        <v>36.208043496777989</v>
      </c>
    </row>
    <row r="55" spans="1:8" ht="20">
      <c r="A55" s="223" t="s">
        <v>610</v>
      </c>
      <c r="B55" s="138">
        <v>-8.9422328363190591</v>
      </c>
      <c r="C55" s="138">
        <v>10.404223801560759</v>
      </c>
      <c r="D55" s="138">
        <v>6.1822887414314502</v>
      </c>
      <c r="E55" s="138">
        <v>0.24970389675562457</v>
      </c>
      <c r="F55" s="138">
        <v>4.7405650793650791</v>
      </c>
      <c r="G55" s="138">
        <v>9.7900578663332336</v>
      </c>
      <c r="H55" s="224">
        <v>22.424606549127088</v>
      </c>
    </row>
    <row r="56" spans="1:8" ht="20">
      <c r="A56" s="223" t="s">
        <v>1174</v>
      </c>
      <c r="B56" s="138">
        <v>-16.929829136292081</v>
      </c>
      <c r="C56" s="138">
        <v>3.3573996960923078</v>
      </c>
      <c r="D56" s="138">
        <v>6.6883611357807311</v>
      </c>
      <c r="E56" s="138">
        <v>0.21085891519839195</v>
      </c>
      <c r="F56" s="138">
        <v>3.6070151436004583</v>
      </c>
      <c r="G56" s="138">
        <v>8.1710741174156567</v>
      </c>
      <c r="H56" s="224">
        <v>5.1048798717954647</v>
      </c>
    </row>
    <row r="57" spans="1:8" ht="20">
      <c r="A57" s="223" t="s">
        <v>999</v>
      </c>
      <c r="B57" s="138">
        <v>-40</v>
      </c>
      <c r="C57" s="138">
        <v>15</v>
      </c>
      <c r="D57" s="138">
        <v>0</v>
      </c>
      <c r="E57" s="138">
        <v>8.646240973913045</v>
      </c>
      <c r="F57" s="138">
        <v>1.3375888888888892</v>
      </c>
      <c r="G57" s="138">
        <v>0</v>
      </c>
      <c r="H57" s="224">
        <v>-15.016170137198065</v>
      </c>
    </row>
    <row r="58" spans="1:8" ht="20">
      <c r="A58" s="223" t="s">
        <v>1123</v>
      </c>
      <c r="B58" s="138">
        <v>-40</v>
      </c>
      <c r="C58" s="138">
        <v>15</v>
      </c>
      <c r="D58" s="138">
        <v>0</v>
      </c>
      <c r="E58" s="138">
        <v>5.5320897551020405</v>
      </c>
      <c r="F58" s="138">
        <v>3.3190333333333331</v>
      </c>
      <c r="G58" s="138">
        <v>2.3749615765322791</v>
      </c>
      <c r="H58" s="224">
        <v>-13.773915335032346</v>
      </c>
    </row>
  </sheetData>
  <autoFilter ref="A30:H58" xr:uid="{E9B9AE0C-7077-C14A-82E0-2598E34858B2}">
    <sortState xmlns:xlrd2="http://schemas.microsoft.com/office/spreadsheetml/2017/richdata2" ref="A31:H58">
      <sortCondition descending="1" ref="B30:B58"/>
    </sortState>
  </autoFilter>
  <conditionalFormatting sqref="H1:H16">
    <cfRule type="dataBar" priority="23">
      <dataBar>
        <cfvo type="min"/>
        <cfvo type="max"/>
        <color rgb="FF63C384"/>
      </dataBar>
      <extLst>
        <ext xmlns:x14="http://schemas.microsoft.com/office/spreadsheetml/2009/9/main" uri="{B025F937-C7B1-47D3-B67F-A62EFF666E3E}">
          <x14:id>{3216C9DF-DF1B-5642-8CDD-80666006836F}</x14:id>
        </ext>
      </extLst>
    </cfRule>
  </conditionalFormatting>
  <conditionalFormatting sqref="H29:H58">
    <cfRule type="dataBar" priority="1">
      <dataBar>
        <cfvo type="min"/>
        <cfvo type="max"/>
        <color rgb="FF63C384"/>
      </dataBar>
      <extLst>
        <ext xmlns:x14="http://schemas.microsoft.com/office/spreadsheetml/2009/9/main" uri="{B025F937-C7B1-47D3-B67F-A62EFF666E3E}">
          <x14:id>{8B757B23-60CA-6F49-A7F8-D9D6FF10F499}</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216C9DF-DF1B-5642-8CDD-80666006836F}">
            <x14:dataBar minLength="0" maxLength="100" border="1" negativeBarBorderColorSameAsPositive="0">
              <x14:cfvo type="autoMin"/>
              <x14:cfvo type="autoMax"/>
              <x14:borderColor rgb="FF63C384"/>
              <x14:negativeFillColor rgb="FFFF0000"/>
              <x14:negativeBorderColor rgb="FFFF0000"/>
              <x14:axisColor rgb="FF000000"/>
            </x14:dataBar>
          </x14:cfRule>
          <xm:sqref>H1:H16</xm:sqref>
        </x14:conditionalFormatting>
        <x14:conditionalFormatting xmlns:xm="http://schemas.microsoft.com/office/excel/2006/main">
          <x14:cfRule type="dataBar" id="{8B757B23-60CA-6F49-A7F8-D9D6FF10F499}">
            <x14:dataBar minLength="0" maxLength="100" border="1" negativeBarBorderColorSameAsPositive="0">
              <x14:cfvo type="autoMin"/>
              <x14:cfvo type="autoMax"/>
              <x14:borderColor rgb="FF63C384"/>
              <x14:negativeFillColor rgb="FFFF0000"/>
              <x14:negativeBorderColor rgb="FFFF0000"/>
              <x14:axisColor rgb="FF000000"/>
            </x14:dataBar>
          </x14:cfRule>
          <xm:sqref>H29:H58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FBD7C-6D89-5B4C-8620-7BFD0AB869F7}">
  <dimension ref="A1:L29"/>
  <sheetViews>
    <sheetView workbookViewId="0">
      <selection activeCell="B29" sqref="B29"/>
    </sheetView>
  </sheetViews>
  <sheetFormatPr baseColWidth="10" defaultRowHeight="20"/>
  <cols>
    <col min="1" max="1" width="15.33203125" style="129" customWidth="1"/>
    <col min="2" max="11" width="10.83203125" style="129"/>
  </cols>
  <sheetData>
    <row r="1" spans="1:12" ht="23">
      <c r="A1" s="134" t="s">
        <v>1</v>
      </c>
      <c r="B1" s="134" t="s">
        <v>1936</v>
      </c>
      <c r="C1" s="134" t="s">
        <v>1937</v>
      </c>
      <c r="D1" s="134" t="s">
        <v>1938</v>
      </c>
      <c r="E1" s="134" t="s">
        <v>1939</v>
      </c>
      <c r="F1" s="134" t="s">
        <v>1940</v>
      </c>
      <c r="G1" s="134" t="s">
        <v>1941</v>
      </c>
      <c r="H1" s="134" t="s">
        <v>1942</v>
      </c>
      <c r="I1" s="134" t="s">
        <v>1943</v>
      </c>
      <c r="J1" s="134" t="s">
        <v>1944</v>
      </c>
      <c r="K1" s="134" t="s">
        <v>1945</v>
      </c>
      <c r="L1" s="202" t="s">
        <v>1843</v>
      </c>
    </row>
    <row r="2" spans="1:12">
      <c r="A2" s="136" t="s">
        <v>474</v>
      </c>
      <c r="B2" s="142"/>
      <c r="C2" s="142">
        <v>86.657542230122303</v>
      </c>
      <c r="D2" s="142">
        <v>74.340101658858345</v>
      </c>
      <c r="E2" s="142">
        <v>74.756988966550779</v>
      </c>
      <c r="F2" s="142">
        <v>92.201143428117476</v>
      </c>
      <c r="G2" s="142"/>
      <c r="H2" s="142"/>
      <c r="I2" s="142">
        <v>75.971984362365163</v>
      </c>
      <c r="J2" s="142"/>
      <c r="K2" s="142"/>
      <c r="L2" s="188">
        <f t="shared" ref="L2:L29" si="0">AVERAGE(B2:K2)</f>
        <v>80.785552129202813</v>
      </c>
    </row>
    <row r="3" spans="1:12">
      <c r="A3" s="136" t="s">
        <v>1660</v>
      </c>
      <c r="B3" s="142">
        <v>77.12955402542346</v>
      </c>
      <c r="C3" s="142">
        <v>69.477761652631841</v>
      </c>
      <c r="D3" s="142">
        <v>78.932589446943751</v>
      </c>
      <c r="E3" s="142">
        <v>75.73872622573532</v>
      </c>
      <c r="F3" s="142">
        <v>84.626352246215475</v>
      </c>
      <c r="G3" s="142">
        <v>83.921792147309219</v>
      </c>
      <c r="H3" s="142">
        <v>82.697316861854688</v>
      </c>
      <c r="I3" s="142">
        <v>61.681725473312035</v>
      </c>
      <c r="J3" s="142">
        <v>85.752108275643565</v>
      </c>
      <c r="K3" s="142">
        <v>76.306151565234757</v>
      </c>
      <c r="L3" s="188">
        <f t="shared" si="0"/>
        <v>77.626407792030406</v>
      </c>
    </row>
    <row r="4" spans="1:12">
      <c r="A4" s="136" t="s">
        <v>567</v>
      </c>
      <c r="B4" s="142">
        <v>58.422714740607255</v>
      </c>
      <c r="C4" s="142"/>
      <c r="D4" s="142">
        <v>82.896905030782008</v>
      </c>
      <c r="E4" s="142">
        <v>89.704967306563375</v>
      </c>
      <c r="F4" s="142"/>
      <c r="G4" s="142">
        <v>92.484802743377344</v>
      </c>
      <c r="H4" s="142">
        <v>71.560066191188909</v>
      </c>
      <c r="I4" s="142">
        <v>66.124403968262371</v>
      </c>
      <c r="J4" s="142"/>
      <c r="K4" s="142"/>
      <c r="L4" s="188">
        <f t="shared" si="0"/>
        <v>76.865643330130197</v>
      </c>
    </row>
    <row r="5" spans="1:12">
      <c r="A5" s="136" t="s">
        <v>1600</v>
      </c>
      <c r="B5" s="142">
        <v>84.081323263052312</v>
      </c>
      <c r="C5" s="142">
        <v>56.109912138693133</v>
      </c>
      <c r="D5" s="142">
        <v>67.802973594920203</v>
      </c>
      <c r="E5" s="142">
        <v>54.356219177215763</v>
      </c>
      <c r="F5" s="142">
        <v>73.344085966370969</v>
      </c>
      <c r="G5" s="142">
        <v>88.286114152213187</v>
      </c>
      <c r="H5" s="142">
        <v>79.47482159788342</v>
      </c>
      <c r="I5" s="142">
        <v>88.718286963260269</v>
      </c>
      <c r="J5" s="142">
        <v>83.973694384093875</v>
      </c>
      <c r="K5" s="142">
        <v>63.660986088141058</v>
      </c>
      <c r="L5" s="188">
        <f t="shared" si="0"/>
        <v>73.980841732584423</v>
      </c>
    </row>
    <row r="6" spans="1:12">
      <c r="A6" s="136" t="s">
        <v>138</v>
      </c>
      <c r="B6" s="142"/>
      <c r="C6" s="142">
        <v>72.657831464783257</v>
      </c>
      <c r="D6" s="142">
        <v>89.834978975344114</v>
      </c>
      <c r="E6" s="142">
        <v>56.469553145058164</v>
      </c>
      <c r="F6" s="142">
        <v>57.717194779576445</v>
      </c>
      <c r="G6" s="142"/>
      <c r="H6" s="142">
        <v>65.946759430526868</v>
      </c>
      <c r="I6" s="142">
        <v>87.750154267103582</v>
      </c>
      <c r="J6" s="142"/>
      <c r="K6" s="142"/>
      <c r="L6" s="188">
        <f t="shared" si="0"/>
        <v>71.729412010398747</v>
      </c>
    </row>
    <row r="7" spans="1:12">
      <c r="A7" s="136" t="s">
        <v>1747</v>
      </c>
      <c r="B7" s="142">
        <v>49.307921002819882</v>
      </c>
      <c r="C7" s="142"/>
      <c r="D7" s="142">
        <v>52.314612168350862</v>
      </c>
      <c r="E7" s="142"/>
      <c r="F7" s="142">
        <v>74.150762415906669</v>
      </c>
      <c r="G7" s="142">
        <v>67.84610289688851</v>
      </c>
      <c r="H7" s="142"/>
      <c r="I7" s="142">
        <v>82.462436704988605</v>
      </c>
      <c r="J7" s="142">
        <v>78.245829480317099</v>
      </c>
      <c r="K7" s="142">
        <v>83.076065465739163</v>
      </c>
      <c r="L7" s="188">
        <f t="shared" si="0"/>
        <v>69.629104305001533</v>
      </c>
    </row>
    <row r="8" spans="1:12">
      <c r="A8" s="136" t="s">
        <v>724</v>
      </c>
      <c r="B8" s="142"/>
      <c r="C8" s="142"/>
      <c r="D8" s="142"/>
      <c r="E8" s="142">
        <v>44.056305247609366</v>
      </c>
      <c r="F8" s="142">
        <v>60.21839629951323</v>
      </c>
      <c r="G8" s="142"/>
      <c r="H8" s="142"/>
      <c r="I8" s="142"/>
      <c r="J8" s="142"/>
      <c r="K8" s="142">
        <v>93.300162485581623</v>
      </c>
      <c r="L8" s="188">
        <f t="shared" si="0"/>
        <v>65.858288010901404</v>
      </c>
    </row>
    <row r="9" spans="1:12">
      <c r="A9" s="136" t="s">
        <v>408</v>
      </c>
      <c r="B9" s="142">
        <v>64.075310438813545</v>
      </c>
      <c r="C9" s="142">
        <v>75.549751515011508</v>
      </c>
      <c r="D9" s="142">
        <v>69.291653549685293</v>
      </c>
      <c r="E9" s="142">
        <v>81.087687572809472</v>
      </c>
      <c r="F9" s="142">
        <v>57.537420330104176</v>
      </c>
      <c r="G9" s="142">
        <v>65.935171119583472</v>
      </c>
      <c r="H9" s="142">
        <v>46.0108767879982</v>
      </c>
      <c r="I9" s="142">
        <v>66.174231244598303</v>
      </c>
      <c r="J9" s="142"/>
      <c r="K9" s="142"/>
      <c r="L9" s="188">
        <f t="shared" si="0"/>
        <v>65.70776281982549</v>
      </c>
    </row>
    <row r="10" spans="1:12">
      <c r="A10" s="136" t="s">
        <v>209</v>
      </c>
      <c r="B10" s="142"/>
      <c r="C10" s="142"/>
      <c r="D10" s="142">
        <v>81.933815037426953</v>
      </c>
      <c r="E10" s="142">
        <v>62.682804089874217</v>
      </c>
      <c r="F10" s="142">
        <v>84.853064252009062</v>
      </c>
      <c r="G10" s="142">
        <v>61.307254959128201</v>
      </c>
      <c r="H10" s="142">
        <v>59.178988972310144</v>
      </c>
      <c r="I10" s="142">
        <v>31.25</v>
      </c>
      <c r="J10" s="142"/>
      <c r="K10" s="142"/>
      <c r="L10" s="188">
        <f t="shared" si="0"/>
        <v>63.534321218458096</v>
      </c>
    </row>
    <row r="11" spans="1:12">
      <c r="A11" s="136" t="s">
        <v>1771</v>
      </c>
      <c r="B11" s="142"/>
      <c r="C11" s="142"/>
      <c r="D11" s="142">
        <v>50.225866989736851</v>
      </c>
      <c r="E11" s="142">
        <v>22.131435131848843</v>
      </c>
      <c r="F11" s="142">
        <v>64.464009313468154</v>
      </c>
      <c r="G11" s="142"/>
      <c r="H11" s="142">
        <v>53.23257195006795</v>
      </c>
      <c r="I11" s="142">
        <v>74.519149929806886</v>
      </c>
      <c r="J11" s="142">
        <v>89.611404698771921</v>
      </c>
      <c r="K11" s="142">
        <v>67.181436341587897</v>
      </c>
      <c r="L11" s="188">
        <f t="shared" si="0"/>
        <v>60.195124907898354</v>
      </c>
    </row>
    <row r="12" spans="1:12">
      <c r="A12" s="136" t="s">
        <v>893</v>
      </c>
      <c r="B12" s="142"/>
      <c r="C12" s="142"/>
      <c r="D12" s="142">
        <v>58.772968181701025</v>
      </c>
      <c r="E12" s="142">
        <v>53.058470908291469</v>
      </c>
      <c r="F12" s="142">
        <v>66.790637459553409</v>
      </c>
      <c r="G12" s="142">
        <v>59.559130132162188</v>
      </c>
      <c r="H12" s="142">
        <v>84.479839716095725</v>
      </c>
      <c r="I12" s="142">
        <v>61.884763415447829</v>
      </c>
      <c r="J12" s="142">
        <v>35.7110240199967</v>
      </c>
      <c r="K12" s="142"/>
      <c r="L12" s="188">
        <f t="shared" si="0"/>
        <v>60.036690547606909</v>
      </c>
    </row>
    <row r="13" spans="1:12">
      <c r="A13" s="136" t="s">
        <v>507</v>
      </c>
      <c r="B13" s="142"/>
      <c r="C13" s="142">
        <v>44.172165372001508</v>
      </c>
      <c r="D13" s="142">
        <v>58.680988381032989</v>
      </c>
      <c r="E13" s="142">
        <v>69.131582993345688</v>
      </c>
      <c r="F13" s="142"/>
      <c r="G13" s="142">
        <v>58.1721547451276</v>
      </c>
      <c r="H13" s="142">
        <v>55.967296205055966</v>
      </c>
      <c r="I13" s="142"/>
      <c r="J13" s="142"/>
      <c r="K13" s="142"/>
      <c r="L13" s="188">
        <f t="shared" si="0"/>
        <v>57.224837539312752</v>
      </c>
    </row>
    <row r="14" spans="1:12">
      <c r="A14" s="136" t="s">
        <v>540</v>
      </c>
      <c r="B14" s="142"/>
      <c r="C14" s="142">
        <v>43.647525023162302</v>
      </c>
      <c r="D14" s="142">
        <v>39.557991192728032</v>
      </c>
      <c r="E14" s="142"/>
      <c r="F14" s="142"/>
      <c r="G14" s="142">
        <v>24.310589456659677</v>
      </c>
      <c r="H14" s="142">
        <v>87.305836359484687</v>
      </c>
      <c r="I14" s="142">
        <v>89.626757211968453</v>
      </c>
      <c r="J14" s="142"/>
      <c r="K14" s="142"/>
      <c r="L14" s="188">
        <f t="shared" si="0"/>
        <v>56.88973984880063</v>
      </c>
    </row>
    <row r="15" spans="1:12">
      <c r="A15" s="136" t="s">
        <v>1146</v>
      </c>
      <c r="B15" s="142">
        <v>6.25</v>
      </c>
      <c r="C15" s="142"/>
      <c r="D15" s="142">
        <v>26.417085206786854</v>
      </c>
      <c r="E15" s="142">
        <v>38.628839048702197</v>
      </c>
      <c r="F15" s="142"/>
      <c r="G15" s="142"/>
      <c r="H15" s="142">
        <v>61.852722641093862</v>
      </c>
      <c r="I15" s="142">
        <v>81.681797631420906</v>
      </c>
      <c r="J15" s="142">
        <v>91.626424207856687</v>
      </c>
      <c r="K15" s="142">
        <v>82.050500986568807</v>
      </c>
      <c r="L15" s="188">
        <f t="shared" si="0"/>
        <v>55.501052817489899</v>
      </c>
    </row>
    <row r="16" spans="1:12">
      <c r="A16" s="136" t="s">
        <v>610</v>
      </c>
      <c r="B16" s="142"/>
      <c r="C16" s="142"/>
      <c r="D16" s="142">
        <v>43.908767029412857</v>
      </c>
      <c r="E16" s="142"/>
      <c r="F16" s="142">
        <v>45.41832392357847</v>
      </c>
      <c r="G16" s="142"/>
      <c r="H16" s="142"/>
      <c r="I16" s="142">
        <v>70.454303066945982</v>
      </c>
      <c r="J16" s="142"/>
      <c r="K16" s="142">
        <v>57.410957717428317</v>
      </c>
      <c r="L16" s="188">
        <f t="shared" si="0"/>
        <v>54.298087934341403</v>
      </c>
    </row>
    <row r="17" spans="1:12">
      <c r="A17" s="136" t="s">
        <v>651</v>
      </c>
      <c r="B17" s="142">
        <v>57.171104657286747</v>
      </c>
      <c r="C17" s="142">
        <v>31.25</v>
      </c>
      <c r="D17" s="142">
        <v>49.905959515212714</v>
      </c>
      <c r="E17" s="142">
        <v>28.19670588659514</v>
      </c>
      <c r="F17" s="142">
        <v>72.265020931625571</v>
      </c>
      <c r="G17" s="142">
        <v>58.147577661238344</v>
      </c>
      <c r="H17" s="142">
        <v>65.060810403047554</v>
      </c>
      <c r="I17" s="142">
        <v>39.354962147988722</v>
      </c>
      <c r="J17" s="142">
        <v>70.296932951301045</v>
      </c>
      <c r="K17" s="142">
        <v>65.842365581189114</v>
      </c>
      <c r="L17" s="188">
        <f t="shared" si="0"/>
        <v>53.749143973548499</v>
      </c>
    </row>
    <row r="18" spans="1:12">
      <c r="A18" s="136" t="s">
        <v>760</v>
      </c>
      <c r="B18" s="142">
        <v>16.86878162202381</v>
      </c>
      <c r="C18" s="142">
        <v>40.989753962057918</v>
      </c>
      <c r="D18" s="142">
        <v>36.990936286152163</v>
      </c>
      <c r="E18" s="142"/>
      <c r="F18" s="142">
        <v>69.650161879548392</v>
      </c>
      <c r="G18" s="142">
        <v>52.12430597883062</v>
      </c>
      <c r="H18" s="142">
        <v>38.332852538509194</v>
      </c>
      <c r="I18" s="142">
        <v>81.617062217990863</v>
      </c>
      <c r="J18" s="142">
        <v>77.034879986986596</v>
      </c>
      <c r="K18" s="142">
        <v>57.180833371146896</v>
      </c>
      <c r="L18" s="188">
        <f t="shared" si="0"/>
        <v>52.309951982582938</v>
      </c>
    </row>
    <row r="19" spans="1:12">
      <c r="A19" s="136" t="s">
        <v>283</v>
      </c>
      <c r="B19" s="142"/>
      <c r="C19" s="142">
        <v>12.519318314516992</v>
      </c>
      <c r="D19" s="142">
        <v>55.327638489396705</v>
      </c>
      <c r="E19" s="142">
        <v>62.913279649169873</v>
      </c>
      <c r="F19" s="142">
        <v>53.944462476229191</v>
      </c>
      <c r="G19" s="142">
        <v>54.983040104892069</v>
      </c>
      <c r="H19" s="142">
        <v>31.25</v>
      </c>
      <c r="I19" s="142">
        <v>68.52156709062892</v>
      </c>
      <c r="J19" s="142">
        <v>56.257875720741012</v>
      </c>
      <c r="K19" s="142"/>
      <c r="L19" s="188">
        <f t="shared" si="0"/>
        <v>49.464647730696846</v>
      </c>
    </row>
    <row r="20" spans="1:12">
      <c r="A20" s="136" t="s">
        <v>999</v>
      </c>
      <c r="B20" s="142"/>
      <c r="C20" s="142">
        <v>75.508079924433275</v>
      </c>
      <c r="D20" s="142">
        <v>63.13547161553231</v>
      </c>
      <c r="E20" s="142">
        <v>64.601571714944981</v>
      </c>
      <c r="F20" s="142">
        <v>48.086132398726903</v>
      </c>
      <c r="G20" s="142">
        <v>54.284844197656724</v>
      </c>
      <c r="H20" s="142">
        <v>11.025723222849443</v>
      </c>
      <c r="I20" s="142">
        <v>35.63196599788904</v>
      </c>
      <c r="J20" s="142">
        <v>53.840594897735208</v>
      </c>
      <c r="K20" s="142">
        <v>32.085993055555555</v>
      </c>
      <c r="L20" s="188">
        <f t="shared" si="0"/>
        <v>48.688930780591491</v>
      </c>
    </row>
    <row r="21" spans="1:12">
      <c r="A21" s="136" t="s">
        <v>317</v>
      </c>
      <c r="B21" s="142">
        <v>58.785417063077539</v>
      </c>
      <c r="C21" s="142">
        <v>49.989173982543178</v>
      </c>
      <c r="D21" s="142"/>
      <c r="E21" s="142">
        <v>31.25</v>
      </c>
      <c r="F21" s="142">
        <v>68.870793095786993</v>
      </c>
      <c r="G21" s="142">
        <v>24.964372918359416</v>
      </c>
      <c r="H21" s="142"/>
      <c r="I21" s="142">
        <v>45.635460483845684</v>
      </c>
      <c r="J21" s="142">
        <v>33.81361069424603</v>
      </c>
      <c r="K21" s="142">
        <v>69.695019445135813</v>
      </c>
      <c r="L21" s="188">
        <f t="shared" si="0"/>
        <v>47.875480960374333</v>
      </c>
    </row>
    <row r="22" spans="1:12">
      <c r="A22" s="136" t="s">
        <v>1174</v>
      </c>
      <c r="B22" s="142">
        <v>39.968876173279199</v>
      </c>
      <c r="C22" s="142">
        <v>48.295543869820449</v>
      </c>
      <c r="D22" s="142">
        <v>56.618566034284299</v>
      </c>
      <c r="E22" s="142">
        <v>63.365597857060948</v>
      </c>
      <c r="F22" s="142">
        <v>58.276607631544138</v>
      </c>
      <c r="G22" s="142">
        <v>54.287215248963818</v>
      </c>
      <c r="H22" s="142">
        <v>52.476594790234742</v>
      </c>
      <c r="I22" s="142">
        <v>19.352464512797852</v>
      </c>
      <c r="J22" s="142">
        <v>41.107228394931255</v>
      </c>
      <c r="K22" s="142">
        <v>37.824329751754433</v>
      </c>
      <c r="L22" s="188">
        <f t="shared" si="0"/>
        <v>47.157302426467112</v>
      </c>
    </row>
    <row r="23" spans="1:12">
      <c r="A23" s="136" t="s">
        <v>835</v>
      </c>
      <c r="B23" s="142">
        <v>14.507769087275062</v>
      </c>
      <c r="C23" s="142">
        <v>38.106672478580201</v>
      </c>
      <c r="D23" s="142"/>
      <c r="E23" s="142">
        <v>8.0002785997013532</v>
      </c>
      <c r="F23" s="142">
        <v>51.515857565203405</v>
      </c>
      <c r="G23" s="142">
        <v>52.680909553506268</v>
      </c>
      <c r="H23" s="142">
        <v>56.451638849748761</v>
      </c>
      <c r="I23" s="142">
        <v>68.611537651186325</v>
      </c>
      <c r="J23" s="142">
        <v>71.229685921080133</v>
      </c>
      <c r="K23" s="142">
        <v>61.502438493902822</v>
      </c>
      <c r="L23" s="188">
        <f t="shared" si="0"/>
        <v>46.956309800020485</v>
      </c>
    </row>
    <row r="24" spans="1:12">
      <c r="A24" s="136" t="s">
        <v>374</v>
      </c>
      <c r="B24" s="142"/>
      <c r="C24" s="142">
        <v>12.24889492419782</v>
      </c>
      <c r="D24" s="142">
        <v>60.886368663425394</v>
      </c>
      <c r="E24" s="142"/>
      <c r="F24" s="142">
        <v>34.278148801986703</v>
      </c>
      <c r="G24" s="142">
        <v>53.848768747353866</v>
      </c>
      <c r="H24" s="142">
        <v>72.405441059079195</v>
      </c>
      <c r="I24" s="142"/>
      <c r="J24" s="142"/>
      <c r="K24" s="142"/>
      <c r="L24" s="188">
        <f t="shared" si="0"/>
        <v>46.733524439208601</v>
      </c>
    </row>
    <row r="25" spans="1:12">
      <c r="A25" s="136" t="s">
        <v>924</v>
      </c>
      <c r="B25" s="142">
        <v>42.59437789436992</v>
      </c>
      <c r="C25" s="142"/>
      <c r="D25" s="142"/>
      <c r="E25" s="142">
        <v>12.202792802435985</v>
      </c>
      <c r="F25" s="142"/>
      <c r="G25" s="142">
        <v>54.394714348233208</v>
      </c>
      <c r="H25" s="142">
        <v>57.784488850055041</v>
      </c>
      <c r="I25" s="142">
        <v>58.204475890288968</v>
      </c>
      <c r="J25" s="142"/>
      <c r="K25" s="142"/>
      <c r="L25" s="188">
        <f t="shared" si="0"/>
        <v>45.036169957076623</v>
      </c>
    </row>
    <row r="26" spans="1:12">
      <c r="A26" s="136" t="s">
        <v>1123</v>
      </c>
      <c r="B26" s="142"/>
      <c r="C26" s="142"/>
      <c r="D26" s="142">
        <v>37.329849211766273</v>
      </c>
      <c r="E26" s="142">
        <v>64.815797294475402</v>
      </c>
      <c r="F26" s="142">
        <v>39.483466874812947</v>
      </c>
      <c r="G26" s="142"/>
      <c r="H26" s="142"/>
      <c r="I26" s="142"/>
      <c r="J26" s="142">
        <v>47.102389486681538</v>
      </c>
      <c r="K26" s="142">
        <v>34.808746818666009</v>
      </c>
      <c r="L26" s="188">
        <f t="shared" si="0"/>
        <v>44.708049937280435</v>
      </c>
    </row>
    <row r="27" spans="1:12">
      <c r="A27" s="136" t="s">
        <v>1574</v>
      </c>
      <c r="B27" s="142"/>
      <c r="C27" s="142">
        <v>13.280125525151504</v>
      </c>
      <c r="D27" s="142">
        <v>8.1451470344271328</v>
      </c>
      <c r="E27" s="142">
        <v>48.937394012706157</v>
      </c>
      <c r="F27" s="142"/>
      <c r="G27" s="142">
        <v>63.931232131476172</v>
      </c>
      <c r="H27" s="142">
        <v>36.233139154801364</v>
      </c>
      <c r="I27" s="142">
        <v>60.698672303717821</v>
      </c>
      <c r="J27" s="142"/>
      <c r="K27" s="142"/>
      <c r="L27" s="188">
        <f t="shared" si="0"/>
        <v>38.537618360380023</v>
      </c>
    </row>
    <row r="28" spans="1:12">
      <c r="A28" s="136" t="s">
        <v>632</v>
      </c>
      <c r="B28" s="142"/>
      <c r="C28" s="142"/>
      <c r="D28" s="142">
        <v>31.25</v>
      </c>
      <c r="E28" s="142">
        <v>18.173653381832615</v>
      </c>
      <c r="F28" s="142"/>
      <c r="G28" s="142">
        <v>66.762242668302974</v>
      </c>
      <c r="H28" s="142">
        <v>0.33717499999999978</v>
      </c>
      <c r="I28" s="142"/>
      <c r="J28" s="142"/>
      <c r="K28" s="142"/>
      <c r="L28" s="188">
        <f t="shared" si="0"/>
        <v>29.1307677625339</v>
      </c>
    </row>
    <row r="29" spans="1:12">
      <c r="A29" s="136" t="s">
        <v>248</v>
      </c>
      <c r="B29" s="142"/>
      <c r="C29" s="142"/>
      <c r="D29" s="142">
        <v>49.444580392720297</v>
      </c>
      <c r="E29" s="142"/>
      <c r="F29" s="142">
        <v>23.146475750621068</v>
      </c>
      <c r="G29" s="142">
        <v>21.669378934640815</v>
      </c>
      <c r="H29" s="142">
        <v>25</v>
      </c>
      <c r="I29" s="142">
        <v>22.493106617647058</v>
      </c>
      <c r="J29" s="142"/>
      <c r="K29" s="142"/>
      <c r="L29" s="188">
        <f t="shared" si="0"/>
        <v>28.350708339125845</v>
      </c>
    </row>
  </sheetData>
  <autoFilter ref="A1:L29" xr:uid="{FEAFBD7C-6D89-5B4C-8620-7BFD0AB869F7}">
    <sortState xmlns:xlrd2="http://schemas.microsoft.com/office/spreadsheetml/2017/richdata2" ref="A2:L29">
      <sortCondition descending="1" ref="L1:L29"/>
    </sortState>
  </autoFilter>
  <conditionalFormatting sqref="B30:B1048576">
    <cfRule type="dataBar" priority="10">
      <dataBar>
        <cfvo type="min"/>
        <cfvo type="max"/>
        <color rgb="FF63C384"/>
      </dataBar>
      <extLst>
        <ext xmlns:x14="http://schemas.microsoft.com/office/spreadsheetml/2009/9/main" uri="{B025F937-C7B1-47D3-B67F-A62EFF666E3E}">
          <x14:id>{94D2074E-244E-654A-841B-8F60A536F627}</x14:id>
        </ext>
      </extLst>
    </cfRule>
  </conditionalFormatting>
  <conditionalFormatting sqref="C30:C1048576">
    <cfRule type="dataBar" priority="9">
      <dataBar>
        <cfvo type="min"/>
        <cfvo type="max"/>
        <color rgb="FF63C384"/>
      </dataBar>
      <extLst>
        <ext xmlns:x14="http://schemas.microsoft.com/office/spreadsheetml/2009/9/main" uri="{B025F937-C7B1-47D3-B67F-A62EFF666E3E}">
          <x14:id>{789B4EE4-735B-2442-8B49-8E4F54D5D4FB}</x14:id>
        </ext>
      </extLst>
    </cfRule>
  </conditionalFormatting>
  <conditionalFormatting sqref="D30:D1048576">
    <cfRule type="dataBar" priority="8">
      <dataBar>
        <cfvo type="min"/>
        <cfvo type="max"/>
        <color rgb="FF63C384"/>
      </dataBar>
      <extLst>
        <ext xmlns:x14="http://schemas.microsoft.com/office/spreadsheetml/2009/9/main" uri="{B025F937-C7B1-47D3-B67F-A62EFF666E3E}">
          <x14:id>{89871CC2-4518-DA4E-8C5D-C1E5B441F405}</x14:id>
        </ext>
      </extLst>
    </cfRule>
  </conditionalFormatting>
  <conditionalFormatting sqref="E30:E1048576">
    <cfRule type="dataBar" priority="7">
      <dataBar>
        <cfvo type="min"/>
        <cfvo type="max"/>
        <color rgb="FF63C384"/>
      </dataBar>
      <extLst>
        <ext xmlns:x14="http://schemas.microsoft.com/office/spreadsheetml/2009/9/main" uri="{B025F937-C7B1-47D3-B67F-A62EFF666E3E}">
          <x14:id>{E38F1867-FC48-574C-95A5-DC0E1ECBCF2F}</x14:id>
        </ext>
      </extLst>
    </cfRule>
  </conditionalFormatting>
  <conditionalFormatting sqref="F30:F1048576">
    <cfRule type="dataBar" priority="6">
      <dataBar>
        <cfvo type="min"/>
        <cfvo type="max"/>
        <color rgb="FF63C384"/>
      </dataBar>
      <extLst>
        <ext xmlns:x14="http://schemas.microsoft.com/office/spreadsheetml/2009/9/main" uri="{B025F937-C7B1-47D3-B67F-A62EFF666E3E}">
          <x14:id>{CD1D9D99-8819-A34E-BD83-33719B23FD07}</x14:id>
        </ext>
      </extLst>
    </cfRule>
  </conditionalFormatting>
  <conditionalFormatting sqref="G30:G1048576">
    <cfRule type="dataBar" priority="5">
      <dataBar>
        <cfvo type="min"/>
        <cfvo type="max"/>
        <color rgb="FF63C384"/>
      </dataBar>
      <extLst>
        <ext xmlns:x14="http://schemas.microsoft.com/office/spreadsheetml/2009/9/main" uri="{B025F937-C7B1-47D3-B67F-A62EFF666E3E}">
          <x14:id>{0493EBB2-6097-884B-AB36-2398BC6611A2}</x14:id>
        </ext>
      </extLst>
    </cfRule>
  </conditionalFormatting>
  <conditionalFormatting sqref="H30:H1048576">
    <cfRule type="dataBar" priority="4">
      <dataBar>
        <cfvo type="min"/>
        <cfvo type="max"/>
        <color rgb="FF63C384"/>
      </dataBar>
      <extLst>
        <ext xmlns:x14="http://schemas.microsoft.com/office/spreadsheetml/2009/9/main" uri="{B025F937-C7B1-47D3-B67F-A62EFF666E3E}">
          <x14:id>{3801FBD9-8480-2240-B635-5D7E0251AD89}</x14:id>
        </ext>
      </extLst>
    </cfRule>
  </conditionalFormatting>
  <conditionalFormatting sqref="I30:I1048576">
    <cfRule type="dataBar" priority="3">
      <dataBar>
        <cfvo type="min"/>
        <cfvo type="max"/>
        <color rgb="FF63C384"/>
      </dataBar>
      <extLst>
        <ext xmlns:x14="http://schemas.microsoft.com/office/spreadsheetml/2009/9/main" uri="{B025F937-C7B1-47D3-B67F-A62EFF666E3E}">
          <x14:id>{FEFF39A7-558F-424E-AFCC-BA305494F38B}</x14:id>
        </ext>
      </extLst>
    </cfRule>
  </conditionalFormatting>
  <conditionalFormatting sqref="J30:J1048576">
    <cfRule type="dataBar" priority="2">
      <dataBar>
        <cfvo type="min"/>
        <cfvo type="max"/>
        <color rgb="FF63C384"/>
      </dataBar>
      <extLst>
        <ext xmlns:x14="http://schemas.microsoft.com/office/spreadsheetml/2009/9/main" uri="{B025F937-C7B1-47D3-B67F-A62EFF666E3E}">
          <x14:id>{7DBA78EF-AEA1-364D-849B-A65A1C987F9B}</x14:id>
        </ext>
      </extLst>
    </cfRule>
  </conditionalFormatting>
  <conditionalFormatting sqref="K30:K1048576">
    <cfRule type="dataBar" priority="1">
      <dataBar>
        <cfvo type="min"/>
        <cfvo type="max"/>
        <color rgb="FF63C384"/>
      </dataBar>
      <extLst>
        <ext xmlns:x14="http://schemas.microsoft.com/office/spreadsheetml/2009/9/main" uri="{B025F937-C7B1-47D3-B67F-A62EFF666E3E}">
          <x14:id>{F201AC0A-FB95-1B4C-85BC-24DEE451751F}</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94D2074E-244E-654A-841B-8F60A536F627}">
            <x14:dataBar minLength="0" maxLength="100" border="1" negativeBarBorderColorSameAsPositive="0">
              <x14:cfvo type="autoMin"/>
              <x14:cfvo type="autoMax"/>
              <x14:borderColor rgb="FF63C384"/>
              <x14:negativeFillColor rgb="FFFF0000"/>
              <x14:negativeBorderColor rgb="FFFF0000"/>
              <x14:axisColor rgb="FF000000"/>
            </x14:dataBar>
          </x14:cfRule>
          <xm:sqref>B30:B1048576</xm:sqref>
        </x14:conditionalFormatting>
        <x14:conditionalFormatting xmlns:xm="http://schemas.microsoft.com/office/excel/2006/main">
          <x14:cfRule type="dataBar" id="{789B4EE4-735B-2442-8B49-8E4F54D5D4FB}">
            <x14:dataBar minLength="0" maxLength="100" border="1" negativeBarBorderColorSameAsPositive="0">
              <x14:cfvo type="autoMin"/>
              <x14:cfvo type="autoMax"/>
              <x14:borderColor rgb="FF63C384"/>
              <x14:negativeFillColor rgb="FFFF0000"/>
              <x14:negativeBorderColor rgb="FFFF0000"/>
              <x14:axisColor rgb="FF000000"/>
            </x14:dataBar>
          </x14:cfRule>
          <xm:sqref>C30:C1048576</xm:sqref>
        </x14:conditionalFormatting>
        <x14:conditionalFormatting xmlns:xm="http://schemas.microsoft.com/office/excel/2006/main">
          <x14:cfRule type="dataBar" id="{89871CC2-4518-DA4E-8C5D-C1E5B441F405}">
            <x14:dataBar minLength="0" maxLength="100" border="1" negativeBarBorderColorSameAsPositive="0">
              <x14:cfvo type="autoMin"/>
              <x14:cfvo type="autoMax"/>
              <x14:borderColor rgb="FF63C384"/>
              <x14:negativeFillColor rgb="FFFF0000"/>
              <x14:negativeBorderColor rgb="FFFF0000"/>
              <x14:axisColor rgb="FF000000"/>
            </x14:dataBar>
          </x14:cfRule>
          <xm:sqref>D30:D1048576</xm:sqref>
        </x14:conditionalFormatting>
        <x14:conditionalFormatting xmlns:xm="http://schemas.microsoft.com/office/excel/2006/main">
          <x14:cfRule type="dataBar" id="{E38F1867-FC48-574C-95A5-DC0E1ECBCF2F}">
            <x14:dataBar minLength="0" maxLength="100" border="1" negativeBarBorderColorSameAsPositive="0">
              <x14:cfvo type="autoMin"/>
              <x14:cfvo type="autoMax"/>
              <x14:borderColor rgb="FF63C384"/>
              <x14:negativeFillColor rgb="FFFF0000"/>
              <x14:negativeBorderColor rgb="FFFF0000"/>
              <x14:axisColor rgb="FF000000"/>
            </x14:dataBar>
          </x14:cfRule>
          <xm:sqref>E30:E1048576</xm:sqref>
        </x14:conditionalFormatting>
        <x14:conditionalFormatting xmlns:xm="http://schemas.microsoft.com/office/excel/2006/main">
          <x14:cfRule type="dataBar" id="{CD1D9D99-8819-A34E-BD83-33719B23FD07}">
            <x14:dataBar minLength="0" maxLength="100" border="1" negativeBarBorderColorSameAsPositive="0">
              <x14:cfvo type="autoMin"/>
              <x14:cfvo type="autoMax"/>
              <x14:borderColor rgb="FF63C384"/>
              <x14:negativeFillColor rgb="FFFF0000"/>
              <x14:negativeBorderColor rgb="FFFF0000"/>
              <x14:axisColor rgb="FF000000"/>
            </x14:dataBar>
          </x14:cfRule>
          <xm:sqref>F30:F1048576</xm:sqref>
        </x14:conditionalFormatting>
        <x14:conditionalFormatting xmlns:xm="http://schemas.microsoft.com/office/excel/2006/main">
          <x14:cfRule type="dataBar" id="{0493EBB2-6097-884B-AB36-2398BC6611A2}">
            <x14:dataBar minLength="0" maxLength="100" border="1" negativeBarBorderColorSameAsPositive="0">
              <x14:cfvo type="autoMin"/>
              <x14:cfvo type="autoMax"/>
              <x14:borderColor rgb="FF63C384"/>
              <x14:negativeFillColor rgb="FFFF0000"/>
              <x14:negativeBorderColor rgb="FFFF0000"/>
              <x14:axisColor rgb="FF000000"/>
            </x14:dataBar>
          </x14:cfRule>
          <xm:sqref>G30:G1048576</xm:sqref>
        </x14:conditionalFormatting>
        <x14:conditionalFormatting xmlns:xm="http://schemas.microsoft.com/office/excel/2006/main">
          <x14:cfRule type="dataBar" id="{3801FBD9-8480-2240-B635-5D7E0251AD89}">
            <x14:dataBar minLength="0" maxLength="100" border="1" negativeBarBorderColorSameAsPositive="0">
              <x14:cfvo type="autoMin"/>
              <x14:cfvo type="autoMax"/>
              <x14:borderColor rgb="FF63C384"/>
              <x14:negativeFillColor rgb="FFFF0000"/>
              <x14:negativeBorderColor rgb="FFFF0000"/>
              <x14:axisColor rgb="FF000000"/>
            </x14:dataBar>
          </x14:cfRule>
          <xm:sqref>H30:H1048576</xm:sqref>
        </x14:conditionalFormatting>
        <x14:conditionalFormatting xmlns:xm="http://schemas.microsoft.com/office/excel/2006/main">
          <x14:cfRule type="dataBar" id="{FEFF39A7-558F-424E-AFCC-BA305494F38B}">
            <x14:dataBar minLength="0" maxLength="100" border="1" negativeBarBorderColorSameAsPositive="0">
              <x14:cfvo type="autoMin"/>
              <x14:cfvo type="autoMax"/>
              <x14:borderColor rgb="FF63C384"/>
              <x14:negativeFillColor rgb="FFFF0000"/>
              <x14:negativeBorderColor rgb="FFFF0000"/>
              <x14:axisColor rgb="FF000000"/>
            </x14:dataBar>
          </x14:cfRule>
          <xm:sqref>I30:I1048576</xm:sqref>
        </x14:conditionalFormatting>
        <x14:conditionalFormatting xmlns:xm="http://schemas.microsoft.com/office/excel/2006/main">
          <x14:cfRule type="dataBar" id="{7DBA78EF-AEA1-364D-849B-A65A1C987F9B}">
            <x14:dataBar minLength="0" maxLength="100" border="1" negativeBarBorderColorSameAsPositive="0">
              <x14:cfvo type="autoMin"/>
              <x14:cfvo type="autoMax"/>
              <x14:borderColor rgb="FF63C384"/>
              <x14:negativeFillColor rgb="FFFF0000"/>
              <x14:negativeBorderColor rgb="FFFF0000"/>
              <x14:axisColor rgb="FF000000"/>
            </x14:dataBar>
          </x14:cfRule>
          <xm:sqref>J30:J1048576</xm:sqref>
        </x14:conditionalFormatting>
        <x14:conditionalFormatting xmlns:xm="http://schemas.microsoft.com/office/excel/2006/main">
          <x14:cfRule type="dataBar" id="{F201AC0A-FB95-1B4C-85BC-24DEE451751F}">
            <x14:dataBar minLength="0" maxLength="100" border="1" negativeBarBorderColorSameAsPositive="0">
              <x14:cfvo type="autoMin"/>
              <x14:cfvo type="autoMax"/>
              <x14:borderColor rgb="FF63C384"/>
              <x14:negativeFillColor rgb="FFFF0000"/>
              <x14:negativeBorderColor rgb="FFFF0000"/>
              <x14:axisColor rgb="FF000000"/>
            </x14:dataBar>
          </x14:cfRule>
          <xm:sqref>K30:K1048576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DAFAA-0CD3-6C44-A8A6-F67F4A34E1DF}">
  <dimension ref="A1:H16"/>
  <sheetViews>
    <sheetView workbookViewId="0">
      <selection activeCell="H1" sqref="H1:H16"/>
    </sheetView>
  </sheetViews>
  <sheetFormatPr baseColWidth="10" defaultRowHeight="16"/>
  <sheetData>
    <row r="1" spans="1:8" ht="20">
      <c r="A1" s="134" t="s">
        <v>1832</v>
      </c>
      <c r="B1" s="135">
        <v>60</v>
      </c>
      <c r="C1" s="135">
        <v>10</v>
      </c>
      <c r="D1" s="135">
        <v>10</v>
      </c>
      <c r="E1" s="135">
        <v>10</v>
      </c>
      <c r="F1" s="135">
        <v>5</v>
      </c>
      <c r="G1" s="135">
        <v>5</v>
      </c>
      <c r="H1" s="141">
        <v>100</v>
      </c>
    </row>
    <row r="2" spans="1:8" ht="20">
      <c r="A2" s="134" t="s">
        <v>1</v>
      </c>
      <c r="B2" s="135" t="s">
        <v>1836</v>
      </c>
      <c r="C2" s="135" t="s">
        <v>1916</v>
      </c>
      <c r="D2" s="135" t="s">
        <v>1851</v>
      </c>
      <c r="E2" s="135" t="s">
        <v>29</v>
      </c>
      <c r="F2" s="135" t="s">
        <v>1917</v>
      </c>
      <c r="G2" s="135" t="s">
        <v>1907</v>
      </c>
      <c r="H2" s="141" t="s">
        <v>1843</v>
      </c>
    </row>
    <row r="3" spans="1:8" ht="20">
      <c r="A3" s="136" t="s">
        <v>317</v>
      </c>
      <c r="B3" s="140">
        <v>23.521256186928202</v>
      </c>
      <c r="C3" s="140">
        <v>6.1800732600732617</v>
      </c>
      <c r="D3" s="140">
        <v>6.8545825520833343</v>
      </c>
      <c r="E3" s="140">
        <v>2.3551386630286499</v>
      </c>
      <c r="F3" s="140">
        <v>2.6972380952380952</v>
      </c>
      <c r="G3" s="140">
        <v>3.9654695914467561</v>
      </c>
      <c r="H3" s="142">
        <v>45.5737583487983</v>
      </c>
    </row>
    <row r="4" spans="1:8" ht="20">
      <c r="A4" s="136" t="s">
        <v>610</v>
      </c>
      <c r="B4" s="140">
        <v>13.674985073926322</v>
      </c>
      <c r="C4" s="140">
        <v>4.8935820017341767</v>
      </c>
      <c r="D4" s="140">
        <v>7.7025430460349469</v>
      </c>
      <c r="E4" s="140">
        <v>0.1520465162625915</v>
      </c>
      <c r="F4" s="140">
        <v>2.5608661375661375</v>
      </c>
      <c r="G4" s="140">
        <v>4.4055260398499554</v>
      </c>
      <c r="H4" s="142">
        <v>33.389548815374127</v>
      </c>
    </row>
    <row r="5" spans="1:8" ht="20">
      <c r="A5" s="136" t="s">
        <v>651</v>
      </c>
      <c r="B5" s="140">
        <v>26.814717039705659</v>
      </c>
      <c r="C5" s="140">
        <v>5.1112998300944952</v>
      </c>
      <c r="D5" s="140">
        <v>7.7187471619797465</v>
      </c>
      <c r="E5" s="140">
        <v>0</v>
      </c>
      <c r="F5" s="140">
        <v>1.9707933183183179</v>
      </c>
      <c r="G5" s="140">
        <v>1.0322497758767868</v>
      </c>
      <c r="H5" s="142">
        <v>42.647807125975</v>
      </c>
    </row>
    <row r="6" spans="1:8" ht="20">
      <c r="A6" s="136" t="s">
        <v>724</v>
      </c>
      <c r="B6" s="140">
        <v>50.045061377213415</v>
      </c>
      <c r="C6" s="140">
        <v>9.143659420289854</v>
      </c>
      <c r="D6" s="140">
        <v>10</v>
      </c>
      <c r="E6" s="140">
        <v>2.3755220738820482</v>
      </c>
      <c r="F6" s="140">
        <v>5</v>
      </c>
      <c r="G6" s="140">
        <v>4.6268959753257271</v>
      </c>
      <c r="H6" s="142">
        <v>81.191138846711041</v>
      </c>
    </row>
    <row r="7" spans="1:8" ht="20">
      <c r="A7" s="136" t="s">
        <v>760</v>
      </c>
      <c r="B7" s="140">
        <v>34.777170599633607</v>
      </c>
      <c r="C7" s="140">
        <v>0</v>
      </c>
      <c r="D7" s="140">
        <v>2.3655100192901237</v>
      </c>
      <c r="E7" s="140">
        <v>4.6602452070960068</v>
      </c>
      <c r="F7" s="140">
        <v>0.95974583333333319</v>
      </c>
      <c r="G7" s="140">
        <v>0.40000403851434435</v>
      </c>
      <c r="H7" s="142">
        <v>43.162675697867421</v>
      </c>
    </row>
    <row r="8" spans="1:8" ht="20">
      <c r="A8" s="136" t="s">
        <v>835</v>
      </c>
      <c r="B8" s="140">
        <v>38.552501647474266</v>
      </c>
      <c r="C8" s="140">
        <v>0</v>
      </c>
      <c r="D8" s="140">
        <v>8.1308213214913856</v>
      </c>
      <c r="E8" s="140">
        <v>1.0657413453439195</v>
      </c>
      <c r="F8" s="140">
        <v>3.2776618296868292</v>
      </c>
      <c r="G8" s="140">
        <v>4.0038285213148077</v>
      </c>
      <c r="H8" s="142">
        <v>55.030554665311207</v>
      </c>
    </row>
    <row r="9" spans="1:8" ht="20">
      <c r="A9" s="136" t="s">
        <v>999</v>
      </c>
      <c r="B9" s="140">
        <v>0</v>
      </c>
      <c r="C9" s="140">
        <v>10</v>
      </c>
      <c r="D9" s="140">
        <v>0</v>
      </c>
      <c r="E9" s="140">
        <v>8.6462409739130432</v>
      </c>
      <c r="F9" s="140">
        <v>1.3375888888888892</v>
      </c>
      <c r="G9" s="140">
        <v>0</v>
      </c>
      <c r="H9" s="142">
        <v>19.983829862801933</v>
      </c>
    </row>
    <row r="10" spans="1:8" ht="20">
      <c r="A10" s="136" t="s">
        <v>1123</v>
      </c>
      <c r="B10" s="140">
        <v>0</v>
      </c>
      <c r="C10" s="140">
        <v>10</v>
      </c>
      <c r="D10" s="140">
        <v>0.2409101388888881</v>
      </c>
      <c r="E10" s="140">
        <v>5.5320897551020405</v>
      </c>
      <c r="F10" s="140">
        <v>3.3190333333333331</v>
      </c>
      <c r="G10" s="140">
        <v>1.0687327094395258</v>
      </c>
      <c r="H10" s="142">
        <v>20.160765936763788</v>
      </c>
    </row>
    <row r="11" spans="1:8" ht="20">
      <c r="A11" s="136" t="s">
        <v>1146</v>
      </c>
      <c r="B11" s="140">
        <v>40.752577522650533</v>
      </c>
      <c r="C11" s="140">
        <v>9.5496513676188108</v>
      </c>
      <c r="D11" s="140">
        <v>4.38519171072282</v>
      </c>
      <c r="E11" s="140">
        <v>3.1751717254558485</v>
      </c>
      <c r="F11" s="140">
        <v>5</v>
      </c>
      <c r="G11" s="140">
        <v>2.6219245777624609</v>
      </c>
      <c r="H11" s="142">
        <v>65.48451690421048</v>
      </c>
    </row>
    <row r="12" spans="1:8" ht="20">
      <c r="A12" s="136" t="s">
        <v>1174</v>
      </c>
      <c r="B12" s="140">
        <v>2.3188736376262007</v>
      </c>
      <c r="C12" s="140">
        <v>0</v>
      </c>
      <c r="D12" s="140">
        <v>8.2648457064230403</v>
      </c>
      <c r="E12" s="140">
        <v>0</v>
      </c>
      <c r="F12" s="140">
        <v>9.1227270089042037E-2</v>
      </c>
      <c r="G12" s="140">
        <v>3.6769833528370444</v>
      </c>
      <c r="H12" s="142">
        <v>14.351929966975328</v>
      </c>
    </row>
    <row r="13" spans="1:8" ht="20">
      <c r="A13" s="136" t="s">
        <v>1600</v>
      </c>
      <c r="B13" s="140">
        <v>35.776517325094815</v>
      </c>
      <c r="C13" s="140">
        <v>1.1346904338701951</v>
      </c>
      <c r="D13" s="140">
        <v>4.4193517794029766</v>
      </c>
      <c r="E13" s="140">
        <v>0</v>
      </c>
      <c r="F13" s="140">
        <v>5</v>
      </c>
      <c r="G13" s="140">
        <v>2.7967234599429434</v>
      </c>
      <c r="H13" s="142">
        <v>49.127282998310939</v>
      </c>
    </row>
    <row r="14" spans="1:8" ht="20">
      <c r="A14" s="136" t="s">
        <v>1660</v>
      </c>
      <c r="B14" s="140">
        <v>46.121813397054389</v>
      </c>
      <c r="C14" s="140">
        <v>1.4572778998778995</v>
      </c>
      <c r="D14" s="140">
        <v>7.4269020078914139</v>
      </c>
      <c r="E14" s="140">
        <v>0.98917714876560847</v>
      </c>
      <c r="F14" s="140">
        <v>5</v>
      </c>
      <c r="G14" s="140">
        <v>4.0286254617341468</v>
      </c>
      <c r="H14" s="142">
        <v>65.023795915323461</v>
      </c>
    </row>
    <row r="15" spans="1:8" ht="20">
      <c r="A15" s="136" t="s">
        <v>1747</v>
      </c>
      <c r="B15" s="140">
        <v>38.943701175755145</v>
      </c>
      <c r="C15" s="140">
        <v>10</v>
      </c>
      <c r="D15" s="140">
        <v>7.2354474262193236</v>
      </c>
      <c r="E15" s="140">
        <v>7.2066604147181605</v>
      </c>
      <c r="F15" s="140">
        <v>0.76098619329388573</v>
      </c>
      <c r="G15" s="140">
        <v>0</v>
      </c>
      <c r="H15" s="142">
        <v>64.146795209986507</v>
      </c>
    </row>
    <row r="16" spans="1:8" ht="20">
      <c r="A16" s="136" t="s">
        <v>1771</v>
      </c>
      <c r="B16" s="140">
        <v>35.632118211072992</v>
      </c>
      <c r="C16" s="140">
        <v>1.7078467908902719</v>
      </c>
      <c r="D16" s="140">
        <v>6.8547358602150545</v>
      </c>
      <c r="E16" s="140">
        <v>0</v>
      </c>
      <c r="F16" s="140">
        <v>5</v>
      </c>
      <c r="G16" s="140">
        <v>4.528424197962063</v>
      </c>
      <c r="H16" s="142">
        <v>53.723125060140383</v>
      </c>
    </row>
  </sheetData>
  <autoFilter ref="A1:H16" xr:uid="{BACDAFAA-0CD3-6C44-A8A6-F67F4A34E1DF}"/>
  <conditionalFormatting sqref="H1:H16">
    <cfRule type="dataBar" priority="21">
      <dataBar>
        <cfvo type="min"/>
        <cfvo type="max"/>
        <color rgb="FF63C384"/>
      </dataBar>
      <extLst>
        <ext xmlns:x14="http://schemas.microsoft.com/office/spreadsheetml/2009/9/main" uri="{B025F937-C7B1-47D3-B67F-A62EFF666E3E}">
          <x14:id>{3561B413-ACCD-DA4D-90BB-FC6888A8DE64}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561B413-ACCD-DA4D-90BB-FC6888A8DE64}">
            <x14:dataBar minLength="0" maxLength="100" border="1" negativeBarBorderColorSameAsPositive="0">
              <x14:cfvo type="autoMin"/>
              <x14:cfvo type="autoMax"/>
              <x14:borderColor rgb="FF63C384"/>
              <x14:negativeFillColor rgb="FFFF0000"/>
              <x14:negativeBorderColor rgb="FFFF0000"/>
              <x14:axisColor rgb="FF000000"/>
            </x14:dataBar>
          </x14:cfRule>
          <xm:sqref>H1:H16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88C92-4BF1-9447-B094-27B3DA297A0F}">
  <dimension ref="A1:V61"/>
  <sheetViews>
    <sheetView workbookViewId="0">
      <selection activeCell="B54" sqref="B54:E61"/>
    </sheetView>
  </sheetViews>
  <sheetFormatPr baseColWidth="10" defaultRowHeight="20"/>
  <cols>
    <col min="1" max="1" width="10.83203125" style="10"/>
    <col min="2" max="2" width="15.33203125" style="129" customWidth="1"/>
    <col min="3" max="12" width="10.83203125" style="129"/>
    <col min="13" max="13" width="0" style="129" hidden="1" customWidth="1"/>
    <col min="20" max="20" width="10.83203125" style="10"/>
    <col min="22" max="22" width="10.83203125" style="10"/>
  </cols>
  <sheetData>
    <row r="1" spans="1:14">
      <c r="B1" s="134" t="s">
        <v>1</v>
      </c>
      <c r="C1" s="134" t="s">
        <v>1936</v>
      </c>
      <c r="D1" s="134" t="s">
        <v>1937</v>
      </c>
      <c r="E1" s="134" t="s">
        <v>1938</v>
      </c>
      <c r="F1" s="134" t="s">
        <v>1939</v>
      </c>
      <c r="G1" s="134" t="s">
        <v>1940</v>
      </c>
      <c r="H1" s="134" t="s">
        <v>1941</v>
      </c>
      <c r="I1" s="134" t="s">
        <v>1942</v>
      </c>
      <c r="J1" s="134" t="s">
        <v>1943</v>
      </c>
      <c r="K1" s="134" t="s">
        <v>1944</v>
      </c>
      <c r="L1" s="134" t="s">
        <v>1945</v>
      </c>
      <c r="M1" s="134" t="s">
        <v>1843</v>
      </c>
      <c r="N1" s="190" t="s">
        <v>1946</v>
      </c>
    </row>
    <row r="2" spans="1:14">
      <c r="A2" s="10">
        <v>1</v>
      </c>
      <c r="B2" s="136" t="s">
        <v>1660</v>
      </c>
      <c r="C2" s="142">
        <v>64.894454142239937</v>
      </c>
      <c r="D2" s="142">
        <v>61.189444181540061</v>
      </c>
      <c r="E2" s="142">
        <v>63.793805459426181</v>
      </c>
      <c r="F2" s="142">
        <v>60.941904464163386</v>
      </c>
      <c r="G2" s="142">
        <v>70.705280489801481</v>
      </c>
      <c r="H2" s="142">
        <v>70.82192406603653</v>
      </c>
      <c r="I2" s="142">
        <v>72.837193357062603</v>
      </c>
      <c r="J2" s="142">
        <v>50.465750650212676</v>
      </c>
      <c r="K2" s="142">
        <v>73.346432165063973</v>
      </c>
      <c r="L2" s="142">
        <v>65.023795915323461</v>
      </c>
      <c r="M2" s="189">
        <f t="shared" ref="M2:M29" si="0">SUM(C2:L2)</f>
        <v>654.01998489087043</v>
      </c>
      <c r="N2" s="188">
        <f t="shared" ref="N2:N29" si="1">AVERAGE(C2:L2)</f>
        <v>65.401998489087049</v>
      </c>
    </row>
    <row r="3" spans="1:14">
      <c r="A3" s="10">
        <v>2</v>
      </c>
      <c r="B3" s="136" t="s">
        <v>474</v>
      </c>
      <c r="C3" s="142"/>
      <c r="D3" s="142">
        <v>73.789637816346143</v>
      </c>
      <c r="E3" s="142">
        <v>57.044867844720535</v>
      </c>
      <c r="F3" s="142">
        <v>56.890089862049173</v>
      </c>
      <c r="G3" s="142">
        <v>79.259911990245087</v>
      </c>
      <c r="H3" s="142"/>
      <c r="I3" s="142"/>
      <c r="J3" s="142">
        <v>55.348662432006051</v>
      </c>
      <c r="K3" s="142"/>
      <c r="L3" s="142"/>
      <c r="M3" s="189">
        <f t="shared" si="0"/>
        <v>322.33316994536699</v>
      </c>
      <c r="N3" s="188">
        <f t="shared" si="1"/>
        <v>64.466633989073401</v>
      </c>
    </row>
    <row r="4" spans="1:14">
      <c r="A4" s="10">
        <v>3</v>
      </c>
      <c r="B4" s="136" t="s">
        <v>567</v>
      </c>
      <c r="C4" s="142">
        <v>40.673293776226302</v>
      </c>
      <c r="D4" s="142"/>
      <c r="E4" s="142">
        <v>68.316568224270966</v>
      </c>
      <c r="F4" s="142">
        <v>75.429148225847072</v>
      </c>
      <c r="G4" s="142"/>
      <c r="H4" s="142">
        <v>83.251829471937327</v>
      </c>
      <c r="I4" s="142">
        <v>52.566839009583816</v>
      </c>
      <c r="J4" s="142">
        <v>51.666100054774823</v>
      </c>
      <c r="K4" s="142"/>
      <c r="L4" s="142"/>
      <c r="M4" s="189">
        <f t="shared" si="0"/>
        <v>371.90377876264029</v>
      </c>
      <c r="N4" s="188">
        <f t="shared" si="1"/>
        <v>61.983963127106712</v>
      </c>
    </row>
    <row r="5" spans="1:14">
      <c r="A5" s="10">
        <v>4</v>
      </c>
      <c r="B5" s="136" t="s">
        <v>1600</v>
      </c>
      <c r="C5" s="142">
        <v>67.220464794599835</v>
      </c>
      <c r="D5" s="142">
        <v>29.204822048812186</v>
      </c>
      <c r="E5" s="142">
        <v>60.14077263678589</v>
      </c>
      <c r="F5" s="142">
        <v>23.725974031066382</v>
      </c>
      <c r="G5" s="142">
        <v>60.861154642568422</v>
      </c>
      <c r="H5" s="142">
        <v>82.890082728672994</v>
      </c>
      <c r="I5" s="142">
        <v>76.52306049957383</v>
      </c>
      <c r="J5" s="142">
        <v>77.100683001650907</v>
      </c>
      <c r="K5" s="142">
        <v>77.966297630999321</v>
      </c>
      <c r="L5" s="142">
        <v>49.127282998310939</v>
      </c>
      <c r="M5" s="189">
        <f t="shared" si="0"/>
        <v>604.76059501304076</v>
      </c>
      <c r="N5" s="188">
        <f t="shared" si="1"/>
        <v>60.476059501304078</v>
      </c>
    </row>
    <row r="6" spans="1:14">
      <c r="A6" s="10">
        <v>5</v>
      </c>
      <c r="B6" s="136" t="s">
        <v>1747</v>
      </c>
      <c r="C6" s="142">
        <v>38.40565532740186</v>
      </c>
      <c r="D6" s="142"/>
      <c r="E6" s="142">
        <v>34.390567538408867</v>
      </c>
      <c r="F6" s="142"/>
      <c r="G6" s="142">
        <v>63.831542586696386</v>
      </c>
      <c r="H6" s="142">
        <v>57.009446765794856</v>
      </c>
      <c r="I6" s="142"/>
      <c r="J6" s="142">
        <v>71.708888807399148</v>
      </c>
      <c r="K6" s="142">
        <v>68.617027510817877</v>
      </c>
      <c r="L6" s="142">
        <v>64.146795209986507</v>
      </c>
      <c r="M6" s="189">
        <f t="shared" si="0"/>
        <v>398.1099237465055</v>
      </c>
      <c r="N6" s="188">
        <f t="shared" si="1"/>
        <v>56.872846249500789</v>
      </c>
    </row>
    <row r="7" spans="1:14">
      <c r="A7" s="10">
        <v>6</v>
      </c>
      <c r="B7" s="136" t="s">
        <v>138</v>
      </c>
      <c r="C7" s="142"/>
      <c r="D7" s="142">
        <v>60.25795302675111</v>
      </c>
      <c r="E7" s="142">
        <v>82.305179479098086</v>
      </c>
      <c r="F7" s="142">
        <v>28.935593696889601</v>
      </c>
      <c r="G7" s="142">
        <v>42.981110416721194</v>
      </c>
      <c r="H7" s="142"/>
      <c r="I7" s="142">
        <v>41.117078378606116</v>
      </c>
      <c r="J7" s="142">
        <v>75.110600883047454</v>
      </c>
      <c r="K7" s="142"/>
      <c r="L7" s="142"/>
      <c r="M7" s="189">
        <f t="shared" si="0"/>
        <v>330.70751588111358</v>
      </c>
      <c r="N7" s="188">
        <f t="shared" si="1"/>
        <v>55.117919313518932</v>
      </c>
    </row>
    <row r="8" spans="1:14">
      <c r="A8" s="10">
        <v>7</v>
      </c>
      <c r="B8" s="136" t="s">
        <v>893</v>
      </c>
      <c r="C8" s="142"/>
      <c r="D8" s="142"/>
      <c r="E8" s="142">
        <v>44.202263208901002</v>
      </c>
      <c r="F8" s="142">
        <v>46.248469523881667</v>
      </c>
      <c r="G8" s="142">
        <v>61.379169731174713</v>
      </c>
      <c r="H8" s="142">
        <v>63.940416209853197</v>
      </c>
      <c r="I8" s="142">
        <v>73.733067501925703</v>
      </c>
      <c r="J8" s="142">
        <v>49.687164525919307</v>
      </c>
      <c r="K8" s="142">
        <v>14.406299094070183</v>
      </c>
      <c r="L8" s="142"/>
      <c r="M8" s="189">
        <f t="shared" si="0"/>
        <v>353.59684979572575</v>
      </c>
      <c r="N8" s="188">
        <f t="shared" si="1"/>
        <v>50.513835685103679</v>
      </c>
    </row>
    <row r="9" spans="1:14">
      <c r="A9" s="10">
        <v>8</v>
      </c>
      <c r="B9" s="136" t="s">
        <v>1771</v>
      </c>
      <c r="C9" s="142"/>
      <c r="D9" s="142"/>
      <c r="E9" s="142">
        <v>32.272733460352384</v>
      </c>
      <c r="F9" s="142">
        <v>12.301938536908704</v>
      </c>
      <c r="G9" s="142">
        <v>65.498196410886138</v>
      </c>
      <c r="H9" s="142"/>
      <c r="I9" s="142">
        <v>43.846622234397287</v>
      </c>
      <c r="J9" s="142">
        <v>65.743067053932307</v>
      </c>
      <c r="K9" s="142">
        <v>75.588530038666008</v>
      </c>
      <c r="L9" s="142">
        <v>53.723125060140383</v>
      </c>
      <c r="M9" s="189">
        <f t="shared" si="0"/>
        <v>348.97421279528322</v>
      </c>
      <c r="N9" s="188">
        <f t="shared" si="1"/>
        <v>49.853458970754744</v>
      </c>
    </row>
    <row r="10" spans="1:14">
      <c r="A10" s="10">
        <v>9</v>
      </c>
      <c r="B10" s="136" t="s">
        <v>209</v>
      </c>
      <c r="C10" s="142"/>
      <c r="D10" s="142"/>
      <c r="E10" s="142">
        <v>74.464930914170566</v>
      </c>
      <c r="F10" s="142">
        <v>37.555139050597923</v>
      </c>
      <c r="G10" s="142">
        <v>69.151188591526008</v>
      </c>
      <c r="H10" s="142">
        <v>32.954604180323194</v>
      </c>
      <c r="I10" s="142">
        <v>39.662658078612381</v>
      </c>
      <c r="J10" s="142">
        <v>20</v>
      </c>
      <c r="K10" s="142"/>
      <c r="L10" s="142"/>
      <c r="M10" s="189">
        <f t="shared" si="0"/>
        <v>273.78852081523007</v>
      </c>
      <c r="N10" s="188">
        <f t="shared" si="1"/>
        <v>45.631420135871679</v>
      </c>
    </row>
    <row r="11" spans="1:14">
      <c r="A11" s="10">
        <v>10</v>
      </c>
      <c r="B11" s="136" t="s">
        <v>724</v>
      </c>
      <c r="C11" s="142"/>
      <c r="D11" s="142"/>
      <c r="E11" s="142"/>
      <c r="F11" s="142">
        <v>14.636628623066844</v>
      </c>
      <c r="G11" s="142">
        <v>41.011652012567822</v>
      </c>
      <c r="H11" s="142"/>
      <c r="I11" s="142"/>
      <c r="J11" s="142"/>
      <c r="K11" s="142"/>
      <c r="L11" s="142">
        <v>81.191138846711041</v>
      </c>
      <c r="M11" s="189">
        <f t="shared" si="0"/>
        <v>136.8394194823457</v>
      </c>
      <c r="N11" s="188">
        <f t="shared" si="1"/>
        <v>45.61313982744857</v>
      </c>
    </row>
    <row r="12" spans="1:14">
      <c r="A12" s="10">
        <v>11</v>
      </c>
      <c r="B12" s="136" t="s">
        <v>408</v>
      </c>
      <c r="C12" s="142">
        <v>43.482662624758824</v>
      </c>
      <c r="D12" s="142">
        <v>57.683405053356495</v>
      </c>
      <c r="E12" s="142">
        <v>48.622258763870121</v>
      </c>
      <c r="F12" s="142">
        <v>62.510636985855882</v>
      </c>
      <c r="G12" s="142">
        <v>33.613542352276284</v>
      </c>
      <c r="H12" s="142">
        <v>47.58332523767961</v>
      </c>
      <c r="I12" s="142">
        <v>20.296788847705976</v>
      </c>
      <c r="J12" s="142">
        <v>50.964020399887332</v>
      </c>
      <c r="K12" s="142"/>
      <c r="L12" s="142"/>
      <c r="M12" s="189">
        <f t="shared" si="0"/>
        <v>364.7566402653905</v>
      </c>
      <c r="N12" s="188">
        <f t="shared" si="1"/>
        <v>45.594580033173813</v>
      </c>
    </row>
    <row r="13" spans="1:14">
      <c r="A13" s="10">
        <v>12</v>
      </c>
      <c r="B13" s="136" t="s">
        <v>1146</v>
      </c>
      <c r="C13" s="142">
        <v>7.9660437758555869</v>
      </c>
      <c r="D13" s="142"/>
      <c r="E13" s="142">
        <v>17.475210137857903</v>
      </c>
      <c r="F13" s="142">
        <v>13.213792986690592</v>
      </c>
      <c r="G13" s="142"/>
      <c r="H13" s="142"/>
      <c r="I13" s="142">
        <v>52.405962041338185</v>
      </c>
      <c r="J13" s="142">
        <v>74.000197757337872</v>
      </c>
      <c r="K13" s="142">
        <v>76.246509488115947</v>
      </c>
      <c r="L13" s="142">
        <v>65.48451690421048</v>
      </c>
      <c r="M13" s="189">
        <f t="shared" si="0"/>
        <v>306.79223309140656</v>
      </c>
      <c r="N13" s="188">
        <f t="shared" si="1"/>
        <v>43.827461870200935</v>
      </c>
    </row>
    <row r="14" spans="1:14">
      <c r="A14" s="10">
        <v>13</v>
      </c>
      <c r="B14" s="136" t="s">
        <v>507</v>
      </c>
      <c r="C14" s="142"/>
      <c r="D14" s="142">
        <v>25.73018152039516</v>
      </c>
      <c r="E14" s="142">
        <v>36.744280209924703</v>
      </c>
      <c r="F14" s="142">
        <v>54.706718638441259</v>
      </c>
      <c r="G14" s="142"/>
      <c r="H14" s="142">
        <v>43.419927961183504</v>
      </c>
      <c r="I14" s="142">
        <v>41.433722050104215</v>
      </c>
      <c r="J14" s="142"/>
      <c r="K14" s="142"/>
      <c r="L14" s="142"/>
      <c r="M14" s="189">
        <f t="shared" si="0"/>
        <v>202.03483038004885</v>
      </c>
      <c r="N14" s="188">
        <f t="shared" si="1"/>
        <v>40.406966076009766</v>
      </c>
    </row>
    <row r="15" spans="1:14">
      <c r="A15" s="10">
        <v>14</v>
      </c>
      <c r="B15" s="136" t="s">
        <v>835</v>
      </c>
      <c r="C15" s="142">
        <v>6.2214582827825522</v>
      </c>
      <c r="D15" s="142">
        <v>18.962209295039166</v>
      </c>
      <c r="E15" s="142"/>
      <c r="F15" s="142">
        <v>6.9865968495976958</v>
      </c>
      <c r="G15" s="142">
        <v>34.658269108008597</v>
      </c>
      <c r="H15" s="142">
        <v>39.870922389044161</v>
      </c>
      <c r="I15" s="142">
        <v>54.347300002050439</v>
      </c>
      <c r="J15" s="142">
        <v>68.143397161597974</v>
      </c>
      <c r="K15" s="142">
        <v>63.311893154730043</v>
      </c>
      <c r="L15" s="142">
        <v>55.030554665311207</v>
      </c>
      <c r="M15" s="189">
        <f t="shared" si="0"/>
        <v>347.5326009081619</v>
      </c>
      <c r="N15" s="188">
        <f t="shared" si="1"/>
        <v>38.614733434240208</v>
      </c>
    </row>
    <row r="16" spans="1:14">
      <c r="A16" s="10">
        <v>15</v>
      </c>
      <c r="B16" s="136" t="s">
        <v>540</v>
      </c>
      <c r="C16" s="142"/>
      <c r="D16" s="142">
        <v>14.205409618161543</v>
      </c>
      <c r="E16" s="142">
        <v>8.5847973175796461</v>
      </c>
      <c r="F16" s="142"/>
      <c r="G16" s="142"/>
      <c r="H16" s="142">
        <v>9.8771500676103603</v>
      </c>
      <c r="I16" s="142">
        <v>73.795273911369023</v>
      </c>
      <c r="J16" s="142">
        <v>76.471135026276997</v>
      </c>
      <c r="K16" s="142"/>
      <c r="L16" s="142"/>
      <c r="M16" s="189">
        <f t="shared" si="0"/>
        <v>182.93376594099755</v>
      </c>
      <c r="N16" s="188">
        <f t="shared" si="1"/>
        <v>36.586753188199509</v>
      </c>
    </row>
    <row r="17" spans="1:14">
      <c r="A17" s="10">
        <v>16</v>
      </c>
      <c r="B17" s="136" t="s">
        <v>760</v>
      </c>
      <c r="C17" s="142">
        <v>5.8487063910361616</v>
      </c>
      <c r="D17" s="142">
        <v>8.4160085184332019</v>
      </c>
      <c r="E17" s="142">
        <v>6.6726631039237585</v>
      </c>
      <c r="F17" s="142"/>
      <c r="G17" s="142">
        <v>63.945338951984176</v>
      </c>
      <c r="H17" s="142">
        <v>26.116108138951425</v>
      </c>
      <c r="I17" s="142">
        <v>21.06255240825524</v>
      </c>
      <c r="J17" s="142">
        <v>65.422465961246886</v>
      </c>
      <c r="K17" s="142">
        <v>67.558283202308303</v>
      </c>
      <c r="L17" s="142">
        <v>43.162675697867421</v>
      </c>
      <c r="M17" s="189">
        <f t="shared" si="0"/>
        <v>308.20480237400659</v>
      </c>
      <c r="N17" s="188">
        <f t="shared" si="1"/>
        <v>34.244978041556287</v>
      </c>
    </row>
    <row r="18" spans="1:14">
      <c r="A18" s="10">
        <v>17</v>
      </c>
      <c r="B18" s="136" t="s">
        <v>999</v>
      </c>
      <c r="C18" s="142"/>
      <c r="D18" s="142">
        <v>64.799140697017137</v>
      </c>
      <c r="E18" s="142">
        <v>57.391893888563189</v>
      </c>
      <c r="F18" s="142">
        <v>52.807394077477184</v>
      </c>
      <c r="G18" s="142">
        <v>23.370962059129475</v>
      </c>
      <c r="H18" s="142">
        <v>29.730122404750944</v>
      </c>
      <c r="I18" s="142">
        <v>2.5524682022076903</v>
      </c>
      <c r="J18" s="142">
        <v>21.614692592592593</v>
      </c>
      <c r="K18" s="142">
        <v>30.949538160676788</v>
      </c>
      <c r="L18" s="142">
        <v>19.983829862801933</v>
      </c>
      <c r="M18" s="189">
        <f t="shared" si="0"/>
        <v>303.20004194521692</v>
      </c>
      <c r="N18" s="188">
        <f t="shared" si="1"/>
        <v>33.688893549468546</v>
      </c>
    </row>
    <row r="19" spans="1:14">
      <c r="A19" s="10">
        <v>18</v>
      </c>
      <c r="B19" s="136" t="s">
        <v>924</v>
      </c>
      <c r="C19" s="142">
        <v>10.677661606267844</v>
      </c>
      <c r="D19" s="142"/>
      <c r="E19" s="142"/>
      <c r="F19" s="142">
        <v>10.002329951497153</v>
      </c>
      <c r="G19" s="142"/>
      <c r="H19" s="142">
        <v>40.265120597238251</v>
      </c>
      <c r="I19" s="142">
        <v>47.987409692801791</v>
      </c>
      <c r="J19" s="142">
        <v>56.600767499194603</v>
      </c>
      <c r="K19" s="142"/>
      <c r="L19" s="142"/>
      <c r="M19" s="189">
        <f t="shared" si="0"/>
        <v>165.53328934699965</v>
      </c>
      <c r="N19" s="188">
        <f t="shared" si="1"/>
        <v>33.106657869399932</v>
      </c>
    </row>
    <row r="20" spans="1:14">
      <c r="A20" s="10">
        <v>19</v>
      </c>
      <c r="B20" s="136" t="s">
        <v>374</v>
      </c>
      <c r="C20" s="142"/>
      <c r="D20" s="142">
        <v>4.1539089061429904</v>
      </c>
      <c r="E20" s="142">
        <v>45.100673389788838</v>
      </c>
      <c r="F20" s="142"/>
      <c r="G20" s="142">
        <v>21.931591068546346</v>
      </c>
      <c r="H20" s="142">
        <v>39.148474686615231</v>
      </c>
      <c r="I20" s="142">
        <v>54.022573766292261</v>
      </c>
      <c r="J20" s="142"/>
      <c r="K20" s="142"/>
      <c r="L20" s="142"/>
      <c r="M20" s="189">
        <f t="shared" si="0"/>
        <v>164.35722181738566</v>
      </c>
      <c r="N20" s="188">
        <f t="shared" si="1"/>
        <v>32.871444363477131</v>
      </c>
    </row>
    <row r="21" spans="1:14">
      <c r="A21" s="10">
        <v>20</v>
      </c>
      <c r="B21" s="136" t="s">
        <v>610</v>
      </c>
      <c r="C21" s="142"/>
      <c r="D21" s="142"/>
      <c r="E21" s="142">
        <v>15.713327101599052</v>
      </c>
      <c r="F21" s="142"/>
      <c r="G21" s="142">
        <v>27.578159749499264</v>
      </c>
      <c r="H21" s="142"/>
      <c r="I21" s="142"/>
      <c r="J21" s="142">
        <v>51.734427509649052</v>
      </c>
      <c r="K21" s="142"/>
      <c r="L21" s="142">
        <v>33.389548815374127</v>
      </c>
      <c r="M21" s="189">
        <f t="shared" si="0"/>
        <v>128.41546317612148</v>
      </c>
      <c r="N21" s="188">
        <f t="shared" si="1"/>
        <v>32.103865794030369</v>
      </c>
    </row>
    <row r="22" spans="1:14">
      <c r="A22" s="10">
        <v>21</v>
      </c>
      <c r="B22" s="136" t="s">
        <v>283</v>
      </c>
      <c r="C22" s="142"/>
      <c r="D22" s="142">
        <v>11.59026380661822</v>
      </c>
      <c r="E22" s="142">
        <v>30.943142318792766</v>
      </c>
      <c r="F22" s="142">
        <v>41.899823296559155</v>
      </c>
      <c r="G22" s="142">
        <v>33.946995055682514</v>
      </c>
      <c r="H22" s="142">
        <v>33.20496350574161</v>
      </c>
      <c r="I22" s="142">
        <v>20</v>
      </c>
      <c r="J22" s="142">
        <v>49.256037420936977</v>
      </c>
      <c r="K22" s="142">
        <v>31.624339266404977</v>
      </c>
      <c r="L22" s="142"/>
      <c r="M22" s="189">
        <f t="shared" si="0"/>
        <v>252.4655646707362</v>
      </c>
      <c r="N22" s="188">
        <f t="shared" si="1"/>
        <v>31.558195583842025</v>
      </c>
    </row>
    <row r="23" spans="1:14">
      <c r="A23" s="10">
        <v>22</v>
      </c>
      <c r="B23" s="136" t="s">
        <v>651</v>
      </c>
      <c r="C23" s="142">
        <v>30.575503219652589</v>
      </c>
      <c r="D23" s="142">
        <v>20</v>
      </c>
      <c r="E23" s="142">
        <v>21.490413719596965</v>
      </c>
      <c r="F23" s="142">
        <v>7.7159704087795635</v>
      </c>
      <c r="G23" s="142">
        <v>52.43236306562072</v>
      </c>
      <c r="H23" s="142">
        <v>23.323700303378327</v>
      </c>
      <c r="I23" s="142">
        <v>38.766430561293866</v>
      </c>
      <c r="J23" s="142">
        <v>10.29953310265739</v>
      </c>
      <c r="K23" s="142">
        <v>49.692183807007751</v>
      </c>
      <c r="L23" s="142">
        <v>42.647807125975</v>
      </c>
      <c r="M23" s="189">
        <f t="shared" si="0"/>
        <v>296.9439053139622</v>
      </c>
      <c r="N23" s="188">
        <f t="shared" si="1"/>
        <v>29.69439053139622</v>
      </c>
    </row>
    <row r="24" spans="1:14">
      <c r="A24" s="10">
        <v>23</v>
      </c>
      <c r="B24" s="136" t="s">
        <v>1123</v>
      </c>
      <c r="C24" s="142"/>
      <c r="D24" s="142"/>
      <c r="E24" s="142">
        <v>25.392647899967525</v>
      </c>
      <c r="F24" s="142">
        <v>54.00230330667447</v>
      </c>
      <c r="G24" s="142">
        <v>22.016722786128351</v>
      </c>
      <c r="H24" s="142"/>
      <c r="I24" s="142"/>
      <c r="J24" s="142"/>
      <c r="K24" s="142">
        <v>19.215620381162552</v>
      </c>
      <c r="L24" s="142">
        <v>20.160765936763788</v>
      </c>
      <c r="M24" s="189">
        <f t="shared" si="0"/>
        <v>140.78806031069669</v>
      </c>
      <c r="N24" s="188">
        <f t="shared" si="1"/>
        <v>28.157612062139339</v>
      </c>
    </row>
    <row r="25" spans="1:14">
      <c r="A25" s="10">
        <v>24</v>
      </c>
      <c r="B25" s="136" t="s">
        <v>1574</v>
      </c>
      <c r="C25" s="142"/>
      <c r="D25" s="142">
        <v>8.9253512947921525</v>
      </c>
      <c r="E25" s="142">
        <v>8.1740026072092</v>
      </c>
      <c r="F25" s="142">
        <v>36.782151385956084</v>
      </c>
      <c r="G25" s="142"/>
      <c r="H25" s="142">
        <v>39.039528381309047</v>
      </c>
      <c r="I25" s="142">
        <v>21.752508790776414</v>
      </c>
      <c r="J25" s="142">
        <v>51.955265554561343</v>
      </c>
      <c r="K25" s="142"/>
      <c r="L25" s="142"/>
      <c r="M25" s="189">
        <f t="shared" si="0"/>
        <v>166.62880801460423</v>
      </c>
      <c r="N25" s="188">
        <f t="shared" si="1"/>
        <v>27.771468002434037</v>
      </c>
    </row>
    <row r="26" spans="1:14">
      <c r="A26" s="10">
        <v>25</v>
      </c>
      <c r="B26" s="136" t="s">
        <v>317</v>
      </c>
      <c r="C26" s="142">
        <v>31.778297922555282</v>
      </c>
      <c r="D26" s="142">
        <v>21.473926443353683</v>
      </c>
      <c r="E26" s="142"/>
      <c r="F26" s="142">
        <v>20</v>
      </c>
      <c r="G26" s="142">
        <v>49.518073475308306</v>
      </c>
      <c r="H26" s="142">
        <v>11.092011636872222</v>
      </c>
      <c r="I26" s="142"/>
      <c r="J26" s="142">
        <v>14.052317492996721</v>
      </c>
      <c r="K26" s="142">
        <v>19.942627285529188</v>
      </c>
      <c r="L26" s="142">
        <v>45.5737583487983</v>
      </c>
      <c r="M26" s="189">
        <f t="shared" si="0"/>
        <v>213.43101260541374</v>
      </c>
      <c r="N26" s="188">
        <f t="shared" si="1"/>
        <v>26.678876575676718</v>
      </c>
    </row>
    <row r="27" spans="1:14">
      <c r="A27" s="10">
        <v>26</v>
      </c>
      <c r="B27" s="136" t="s">
        <v>1174</v>
      </c>
      <c r="C27" s="142">
        <v>11.471861562934599</v>
      </c>
      <c r="D27" s="142">
        <v>23.689570339651326</v>
      </c>
      <c r="E27" s="142">
        <v>32.807345893535413</v>
      </c>
      <c r="F27" s="142">
        <v>43.919695405443314</v>
      </c>
      <c r="G27" s="142">
        <v>37.351158156051099</v>
      </c>
      <c r="H27" s="142">
        <v>31.54683421463989</v>
      </c>
      <c r="I27" s="142">
        <v>32.187864455157388</v>
      </c>
      <c r="J27" s="142">
        <v>7.0720582795628513</v>
      </c>
      <c r="K27" s="142">
        <v>17.540187170365051</v>
      </c>
      <c r="L27" s="142">
        <v>14.351929966975328</v>
      </c>
      <c r="M27" s="189">
        <f t="shared" si="0"/>
        <v>251.93850544431623</v>
      </c>
      <c r="N27" s="188">
        <f t="shared" si="1"/>
        <v>25.193850544431623</v>
      </c>
    </row>
    <row r="28" spans="1:14">
      <c r="A28" s="10">
        <v>27</v>
      </c>
      <c r="B28" s="136" t="s">
        <v>632</v>
      </c>
      <c r="C28" s="142"/>
      <c r="D28" s="142"/>
      <c r="E28" s="142">
        <v>13.497719212851406</v>
      </c>
      <c r="F28" s="142">
        <v>4.4728964862192804</v>
      </c>
      <c r="G28" s="142"/>
      <c r="H28" s="142">
        <v>45.938045135397452</v>
      </c>
      <c r="I28" s="142">
        <v>0.53947999999999963</v>
      </c>
      <c r="J28" s="142"/>
      <c r="K28" s="142"/>
      <c r="L28" s="142"/>
      <c r="M28" s="189">
        <f t="shared" si="0"/>
        <v>64.448140834468134</v>
      </c>
      <c r="N28" s="188">
        <f t="shared" si="1"/>
        <v>16.112035208617034</v>
      </c>
    </row>
    <row r="29" spans="1:14">
      <c r="A29" s="10">
        <v>28</v>
      </c>
      <c r="B29" s="136" t="s">
        <v>248</v>
      </c>
      <c r="C29" s="142"/>
      <c r="D29" s="142"/>
      <c r="E29" s="142">
        <v>26.091357260439189</v>
      </c>
      <c r="F29" s="142"/>
      <c r="G29" s="142">
        <v>4.6449226844481091</v>
      </c>
      <c r="H29" s="142">
        <v>8.3350514470459007</v>
      </c>
      <c r="I29" s="142">
        <v>10</v>
      </c>
      <c r="J29" s="142">
        <v>10</v>
      </c>
      <c r="K29" s="142"/>
      <c r="L29" s="142"/>
      <c r="M29" s="189">
        <f t="shared" si="0"/>
        <v>59.071331391933199</v>
      </c>
      <c r="N29" s="188">
        <f t="shared" si="1"/>
        <v>11.81426627838664</v>
      </c>
    </row>
    <row r="54" spans="2:5" ht="24">
      <c r="B54" s="191" t="s">
        <v>1</v>
      </c>
      <c r="C54" s="191" t="s">
        <v>1948</v>
      </c>
      <c r="D54" s="191" t="s">
        <v>1949</v>
      </c>
      <c r="E54" s="191" t="s">
        <v>1947</v>
      </c>
    </row>
    <row r="55" spans="2:5" ht="24">
      <c r="B55" s="193" t="s">
        <v>1660</v>
      </c>
      <c r="C55" s="192">
        <v>1</v>
      </c>
      <c r="D55" s="192">
        <v>1</v>
      </c>
      <c r="E55" s="192">
        <v>1</v>
      </c>
    </row>
    <row r="56" spans="2:5" ht="24">
      <c r="B56" s="193" t="s">
        <v>567</v>
      </c>
      <c r="C56" s="192">
        <v>2</v>
      </c>
      <c r="D56" s="192">
        <v>4</v>
      </c>
      <c r="E56" s="192">
        <v>3</v>
      </c>
    </row>
    <row r="57" spans="2:5" ht="24">
      <c r="B57" s="193" t="s">
        <v>474</v>
      </c>
      <c r="C57" s="192">
        <v>3</v>
      </c>
      <c r="D57" s="192">
        <v>2</v>
      </c>
      <c r="E57" s="192">
        <v>2</v>
      </c>
    </row>
    <row r="58" spans="2:5" ht="24">
      <c r="B58" s="193" t="s">
        <v>893</v>
      </c>
      <c r="C58" s="192">
        <v>4</v>
      </c>
      <c r="D58" s="192">
        <v>10</v>
      </c>
      <c r="E58" s="192">
        <v>7</v>
      </c>
    </row>
    <row r="59" spans="2:5" ht="24">
      <c r="B59" s="193" t="s">
        <v>1600</v>
      </c>
      <c r="C59" s="192">
        <v>5</v>
      </c>
      <c r="D59" s="192">
        <v>3</v>
      </c>
      <c r="E59" s="192">
        <v>4</v>
      </c>
    </row>
    <row r="60" spans="2:5" ht="24">
      <c r="B60" s="193" t="s">
        <v>1747</v>
      </c>
      <c r="C60" s="192">
        <v>6</v>
      </c>
      <c r="D60" s="192">
        <v>5</v>
      </c>
      <c r="E60" s="192">
        <v>5</v>
      </c>
    </row>
    <row r="61" spans="2:5" ht="24">
      <c r="B61" s="193" t="s">
        <v>138</v>
      </c>
      <c r="C61" s="192">
        <v>7</v>
      </c>
      <c r="D61" s="192">
        <v>6</v>
      </c>
      <c r="E61" s="192">
        <v>6</v>
      </c>
    </row>
  </sheetData>
  <conditionalFormatting sqref="F1:F1048576">
    <cfRule type="dataBar" priority="7">
      <dataBar>
        <cfvo type="min"/>
        <cfvo type="max"/>
        <color rgb="FF63C384"/>
      </dataBar>
      <extLst>
        <ext xmlns:x14="http://schemas.microsoft.com/office/spreadsheetml/2009/9/main" uri="{B025F937-C7B1-47D3-B67F-A62EFF666E3E}">
          <x14:id>{8F410B75-359A-5D4B-A370-898896DD0163}</x14:id>
        </ext>
      </extLst>
    </cfRule>
  </conditionalFormatting>
  <conditionalFormatting sqref="G1:G1048576">
    <cfRule type="dataBar" priority="6">
      <dataBar>
        <cfvo type="min"/>
        <cfvo type="max"/>
        <color rgb="FF63C384"/>
      </dataBar>
      <extLst>
        <ext xmlns:x14="http://schemas.microsoft.com/office/spreadsheetml/2009/9/main" uri="{B025F937-C7B1-47D3-B67F-A62EFF666E3E}">
          <x14:id>{9028B13F-1867-7645-AE81-78B14ACDA06E}</x14:id>
        </ext>
      </extLst>
    </cfRule>
  </conditionalFormatting>
  <conditionalFormatting sqref="H1:H1048576">
    <cfRule type="dataBar" priority="5">
      <dataBar>
        <cfvo type="min"/>
        <cfvo type="max"/>
        <color rgb="FF63C384"/>
      </dataBar>
      <extLst>
        <ext xmlns:x14="http://schemas.microsoft.com/office/spreadsheetml/2009/9/main" uri="{B025F937-C7B1-47D3-B67F-A62EFF666E3E}">
          <x14:id>{E7155AD8-425C-E74A-8FB0-3DB513037D12}</x14:id>
        </ext>
      </extLst>
    </cfRule>
  </conditionalFormatting>
  <conditionalFormatting sqref="I1:I1048576">
    <cfRule type="dataBar" priority="4">
      <dataBar>
        <cfvo type="min"/>
        <cfvo type="max"/>
        <color rgb="FF63C384"/>
      </dataBar>
      <extLst>
        <ext xmlns:x14="http://schemas.microsoft.com/office/spreadsheetml/2009/9/main" uri="{B025F937-C7B1-47D3-B67F-A62EFF666E3E}">
          <x14:id>{16F0E1E5-50C9-C44E-BA05-DC922586B5CD}</x14:id>
        </ext>
      </extLst>
    </cfRule>
  </conditionalFormatting>
  <conditionalFormatting sqref="J1:J1048576">
    <cfRule type="dataBar" priority="3">
      <dataBar>
        <cfvo type="min"/>
        <cfvo type="max"/>
        <color rgb="FF63C384"/>
      </dataBar>
      <extLst>
        <ext xmlns:x14="http://schemas.microsoft.com/office/spreadsheetml/2009/9/main" uri="{B025F937-C7B1-47D3-B67F-A62EFF666E3E}">
          <x14:id>{B74971B8-5C37-9742-92F2-1610C5C6C06D}</x14:id>
        </ext>
      </extLst>
    </cfRule>
  </conditionalFormatting>
  <conditionalFormatting sqref="K1:K1048576">
    <cfRule type="dataBar" priority="2">
      <dataBar>
        <cfvo type="min"/>
        <cfvo type="max"/>
        <color rgb="FF63C384"/>
      </dataBar>
      <extLst>
        <ext xmlns:x14="http://schemas.microsoft.com/office/spreadsheetml/2009/9/main" uri="{B025F937-C7B1-47D3-B67F-A62EFF666E3E}">
          <x14:id>{2272FA67-8F9C-234E-A7E6-622197016A09}</x14:id>
        </ext>
      </extLst>
    </cfRule>
  </conditionalFormatting>
  <conditionalFormatting sqref="L1:L1048576">
    <cfRule type="dataBar" priority="1">
      <dataBar>
        <cfvo type="min"/>
        <cfvo type="max"/>
        <color rgb="FF63C384"/>
      </dataBar>
      <extLst>
        <ext xmlns:x14="http://schemas.microsoft.com/office/spreadsheetml/2009/9/main" uri="{B025F937-C7B1-47D3-B67F-A62EFF666E3E}">
          <x14:id>{348EA5C5-CA3F-C343-8552-09DD86DFFED0}</x14:id>
        </ext>
      </extLst>
    </cfRule>
  </conditionalFormatting>
  <conditionalFormatting sqref="C1:C53 C63:C1048576">
    <cfRule type="dataBar" priority="11">
      <dataBar>
        <cfvo type="min"/>
        <cfvo type="max"/>
        <color rgb="FF63C384"/>
      </dataBar>
      <extLst>
        <ext xmlns:x14="http://schemas.microsoft.com/office/spreadsheetml/2009/9/main" uri="{B025F937-C7B1-47D3-B67F-A62EFF666E3E}">
          <x14:id>{4C61A092-363A-AE43-9F26-8182505660D9}</x14:id>
        </ext>
      </extLst>
    </cfRule>
  </conditionalFormatting>
  <conditionalFormatting sqref="D1:D53 D63:D1048576">
    <cfRule type="dataBar" priority="13">
      <dataBar>
        <cfvo type="min"/>
        <cfvo type="max"/>
        <color rgb="FF63C384"/>
      </dataBar>
      <extLst>
        <ext xmlns:x14="http://schemas.microsoft.com/office/spreadsheetml/2009/9/main" uri="{B025F937-C7B1-47D3-B67F-A62EFF666E3E}">
          <x14:id>{54086223-68E3-C04A-84AF-6AA11B34E350}</x14:id>
        </ext>
      </extLst>
    </cfRule>
  </conditionalFormatting>
  <conditionalFormatting sqref="E1:E53 E63:E1048576">
    <cfRule type="dataBar" priority="15">
      <dataBar>
        <cfvo type="min"/>
        <cfvo type="max"/>
        <color rgb="FF63C384"/>
      </dataBar>
      <extLst>
        <ext xmlns:x14="http://schemas.microsoft.com/office/spreadsheetml/2009/9/main" uri="{B025F937-C7B1-47D3-B67F-A62EFF666E3E}">
          <x14:id>{F26657FD-3CD3-974A-939C-3A00CEA9F436}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8F410B75-359A-5D4B-A370-898896DD0163}">
            <x14:dataBar minLength="0" maxLength="100" border="1" negativeBarBorderColorSameAsPositive="0">
              <x14:cfvo type="autoMin"/>
              <x14:cfvo type="autoMax"/>
              <x14:borderColor rgb="FF63C384"/>
              <x14:negativeFillColor rgb="FFFF0000"/>
              <x14:negativeBorderColor rgb="FFFF0000"/>
              <x14:axisColor rgb="FF000000"/>
            </x14:dataBar>
          </x14:cfRule>
          <xm:sqref>F1:F1048576</xm:sqref>
        </x14:conditionalFormatting>
        <x14:conditionalFormatting xmlns:xm="http://schemas.microsoft.com/office/excel/2006/main">
          <x14:cfRule type="dataBar" id="{9028B13F-1867-7645-AE81-78B14ACDA06E}">
            <x14:dataBar minLength="0" maxLength="100" border="1" negativeBarBorderColorSameAsPositive="0">
              <x14:cfvo type="autoMin"/>
              <x14:cfvo type="autoMax"/>
              <x14:borderColor rgb="FF63C384"/>
              <x14:negativeFillColor rgb="FFFF0000"/>
              <x14:negativeBorderColor rgb="FFFF0000"/>
              <x14:axisColor rgb="FF000000"/>
            </x14:dataBar>
          </x14:cfRule>
          <xm:sqref>G1:G1048576</xm:sqref>
        </x14:conditionalFormatting>
        <x14:conditionalFormatting xmlns:xm="http://schemas.microsoft.com/office/excel/2006/main">
          <x14:cfRule type="dataBar" id="{E7155AD8-425C-E74A-8FB0-3DB513037D12}">
            <x14:dataBar minLength="0" maxLength="100" border="1" negativeBarBorderColorSameAsPositive="0">
              <x14:cfvo type="autoMin"/>
              <x14:cfvo type="autoMax"/>
              <x14:borderColor rgb="FF63C384"/>
              <x14:negativeFillColor rgb="FFFF0000"/>
              <x14:negativeBorderColor rgb="FFFF0000"/>
              <x14:axisColor rgb="FF000000"/>
            </x14:dataBar>
          </x14:cfRule>
          <xm:sqref>H1:H1048576</xm:sqref>
        </x14:conditionalFormatting>
        <x14:conditionalFormatting xmlns:xm="http://schemas.microsoft.com/office/excel/2006/main">
          <x14:cfRule type="dataBar" id="{16F0E1E5-50C9-C44E-BA05-DC922586B5CD}">
            <x14:dataBar minLength="0" maxLength="100" border="1" negativeBarBorderColorSameAsPositive="0">
              <x14:cfvo type="autoMin"/>
              <x14:cfvo type="autoMax"/>
              <x14:borderColor rgb="FF63C384"/>
              <x14:negativeFillColor rgb="FFFF0000"/>
              <x14:negativeBorderColor rgb="FFFF0000"/>
              <x14:axisColor rgb="FF000000"/>
            </x14:dataBar>
          </x14:cfRule>
          <xm:sqref>I1:I1048576</xm:sqref>
        </x14:conditionalFormatting>
        <x14:conditionalFormatting xmlns:xm="http://schemas.microsoft.com/office/excel/2006/main">
          <x14:cfRule type="dataBar" id="{B74971B8-5C37-9742-92F2-1610C5C6C06D}">
            <x14:dataBar minLength="0" maxLength="100" border="1" negativeBarBorderColorSameAsPositive="0">
              <x14:cfvo type="autoMin"/>
              <x14:cfvo type="autoMax"/>
              <x14:borderColor rgb="FF63C384"/>
              <x14:negativeFillColor rgb="FFFF0000"/>
              <x14:negativeBorderColor rgb="FFFF0000"/>
              <x14:axisColor rgb="FF000000"/>
            </x14:dataBar>
          </x14:cfRule>
          <xm:sqref>J1:J1048576</xm:sqref>
        </x14:conditionalFormatting>
        <x14:conditionalFormatting xmlns:xm="http://schemas.microsoft.com/office/excel/2006/main">
          <x14:cfRule type="dataBar" id="{2272FA67-8F9C-234E-A7E6-622197016A09}">
            <x14:dataBar minLength="0" maxLength="100" border="1" negativeBarBorderColorSameAsPositive="0">
              <x14:cfvo type="autoMin"/>
              <x14:cfvo type="autoMax"/>
              <x14:borderColor rgb="FF63C384"/>
              <x14:negativeFillColor rgb="FFFF0000"/>
              <x14:negativeBorderColor rgb="FFFF0000"/>
              <x14:axisColor rgb="FF000000"/>
            </x14:dataBar>
          </x14:cfRule>
          <xm:sqref>K1:K1048576</xm:sqref>
        </x14:conditionalFormatting>
        <x14:conditionalFormatting xmlns:xm="http://schemas.microsoft.com/office/excel/2006/main">
          <x14:cfRule type="dataBar" id="{348EA5C5-CA3F-C343-8552-09DD86DFFED0}">
            <x14:dataBar minLength="0" maxLength="100" border="1" negativeBarBorderColorSameAsPositive="0">
              <x14:cfvo type="autoMin"/>
              <x14:cfvo type="autoMax"/>
              <x14:borderColor rgb="FF63C384"/>
              <x14:negativeFillColor rgb="FFFF0000"/>
              <x14:negativeBorderColor rgb="FFFF0000"/>
              <x14:axisColor rgb="FF000000"/>
            </x14:dataBar>
          </x14:cfRule>
          <xm:sqref>L1:L1048576</xm:sqref>
        </x14:conditionalFormatting>
        <x14:conditionalFormatting xmlns:xm="http://schemas.microsoft.com/office/excel/2006/main">
          <x14:cfRule type="dataBar" id="{4C61A092-363A-AE43-9F26-8182505660D9}">
            <x14:dataBar minLength="0" maxLength="100" border="1" negativeBarBorderColorSameAsPositive="0">
              <x14:cfvo type="autoMin"/>
              <x14:cfvo type="autoMax"/>
              <x14:borderColor rgb="FF63C384"/>
              <x14:negativeFillColor rgb="FFFF0000"/>
              <x14:negativeBorderColor rgb="FFFF0000"/>
              <x14:axisColor rgb="FF000000"/>
            </x14:dataBar>
          </x14:cfRule>
          <xm:sqref>C1:C53 C63:C1048576</xm:sqref>
        </x14:conditionalFormatting>
        <x14:conditionalFormatting xmlns:xm="http://schemas.microsoft.com/office/excel/2006/main">
          <x14:cfRule type="dataBar" id="{54086223-68E3-C04A-84AF-6AA11B34E350}">
            <x14:dataBar minLength="0" maxLength="100" border="1" negativeBarBorderColorSameAsPositive="0">
              <x14:cfvo type="autoMin"/>
              <x14:cfvo type="autoMax"/>
              <x14:borderColor rgb="FF63C384"/>
              <x14:negativeFillColor rgb="FFFF0000"/>
              <x14:negativeBorderColor rgb="FFFF0000"/>
              <x14:axisColor rgb="FF000000"/>
            </x14:dataBar>
          </x14:cfRule>
          <xm:sqref>D1:D53 D63:D1048576</xm:sqref>
        </x14:conditionalFormatting>
        <x14:conditionalFormatting xmlns:xm="http://schemas.microsoft.com/office/excel/2006/main">
          <x14:cfRule type="dataBar" id="{F26657FD-3CD3-974A-939C-3A00CEA9F436}">
            <x14:dataBar minLength="0" maxLength="100" border="1" negativeBarBorderColorSameAsPositive="0">
              <x14:cfvo type="autoMin"/>
              <x14:cfvo type="autoMax"/>
              <x14:borderColor rgb="FF63C384"/>
              <x14:negativeFillColor rgb="FFFF0000"/>
              <x14:negativeBorderColor rgb="FFFF0000"/>
              <x14:axisColor rgb="FF000000"/>
            </x14:dataBar>
          </x14:cfRule>
          <xm:sqref>E1:E53 E63:E1048576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71732-C2E7-C344-BD78-C70BCDE92EAC}">
  <dimension ref="B4:M53"/>
  <sheetViews>
    <sheetView topLeftCell="A16" workbookViewId="0">
      <selection activeCell="E49" sqref="E49:I53"/>
    </sheetView>
  </sheetViews>
  <sheetFormatPr baseColWidth="10" defaultRowHeight="23"/>
  <cols>
    <col min="1" max="1" width="10.83203125" style="290"/>
    <col min="2" max="4" width="18.1640625" style="290" customWidth="1"/>
    <col min="5" max="5" width="16.1640625" style="456" customWidth="1"/>
    <col min="6" max="7" width="16.1640625" style="451" customWidth="1"/>
    <col min="8" max="8" width="16.1640625" style="446" customWidth="1"/>
    <col min="9" max="9" width="16.1640625" style="456" customWidth="1"/>
    <col min="10" max="16384" width="10.83203125" style="290"/>
  </cols>
  <sheetData>
    <row r="4" spans="2:13" ht="24">
      <c r="B4" s="429" t="s">
        <v>1903</v>
      </c>
      <c r="C4" s="430" t="s">
        <v>1873</v>
      </c>
      <c r="D4" s="436" t="s">
        <v>2622</v>
      </c>
      <c r="E4" s="442" t="s">
        <v>1908</v>
      </c>
      <c r="F4" s="440" t="s">
        <v>1850</v>
      </c>
      <c r="G4" s="440" t="s">
        <v>1909</v>
      </c>
      <c r="H4" s="445" t="s">
        <v>1910</v>
      </c>
      <c r="I4" s="443" t="s">
        <v>1931</v>
      </c>
      <c r="J4" s="431"/>
      <c r="K4" s="432"/>
    </row>
    <row r="5" spans="2:13">
      <c r="B5" s="433" t="s">
        <v>2331</v>
      </c>
      <c r="C5" s="433">
        <v>5</v>
      </c>
      <c r="D5" s="438" t="s">
        <v>2305</v>
      </c>
      <c r="E5" s="444">
        <v>34</v>
      </c>
      <c r="F5" s="441">
        <v>79.894680851063825</v>
      </c>
      <c r="G5" s="441">
        <v>80</v>
      </c>
      <c r="H5" s="439">
        <v>0.99868351063829786</v>
      </c>
      <c r="I5" s="444">
        <v>14.960505319148936</v>
      </c>
      <c r="K5" s="435"/>
    </row>
    <row r="6" spans="2:13">
      <c r="B6" s="433" t="s">
        <v>2329</v>
      </c>
      <c r="C6" s="433">
        <v>5</v>
      </c>
      <c r="D6" s="438" t="s">
        <v>2305</v>
      </c>
      <c r="E6" s="444">
        <v>33</v>
      </c>
      <c r="F6" s="441">
        <v>59.267446808510641</v>
      </c>
      <c r="G6" s="441">
        <v>79</v>
      </c>
      <c r="H6" s="439">
        <v>0.75022084567734992</v>
      </c>
      <c r="I6" s="444">
        <v>7.5066253703204975</v>
      </c>
      <c r="K6" s="435"/>
    </row>
    <row r="7" spans="2:13">
      <c r="B7" s="433" t="s">
        <v>1990</v>
      </c>
      <c r="C7" s="433">
        <v>11</v>
      </c>
      <c r="D7" s="438" t="s">
        <v>1987</v>
      </c>
      <c r="E7" s="444">
        <v>42</v>
      </c>
      <c r="F7" s="441">
        <v>54.72</v>
      </c>
      <c r="G7" s="441">
        <v>82</v>
      </c>
      <c r="H7" s="439">
        <v>0.66731707317073174</v>
      </c>
      <c r="I7" s="444">
        <v>5.0195121951219521</v>
      </c>
      <c r="K7" s="435"/>
    </row>
    <row r="8" spans="2:13">
      <c r="B8" s="433" t="s">
        <v>2070</v>
      </c>
      <c r="C8" s="433">
        <v>9</v>
      </c>
      <c r="D8" s="438" t="s">
        <v>1971</v>
      </c>
      <c r="E8" s="444">
        <v>33</v>
      </c>
      <c r="F8" s="441">
        <v>39.589600000000004</v>
      </c>
      <c r="G8" s="441">
        <v>79</v>
      </c>
      <c r="H8" s="439">
        <v>0.50113417721518994</v>
      </c>
      <c r="I8" s="444">
        <v>3.4025316455698063E-2</v>
      </c>
      <c r="K8" s="435"/>
    </row>
    <row r="11" spans="2:13">
      <c r="B11" s="433"/>
      <c r="C11" s="433"/>
      <c r="D11" s="433"/>
      <c r="E11" s="452"/>
      <c r="F11" s="449"/>
      <c r="G11" s="449"/>
      <c r="H11" s="434"/>
      <c r="I11" s="452"/>
      <c r="K11" s="435"/>
    </row>
    <row r="12" spans="2:13">
      <c r="B12" s="433"/>
      <c r="C12" s="433"/>
      <c r="D12" s="433"/>
      <c r="E12" s="452"/>
      <c r="F12" s="449"/>
      <c r="G12" s="449"/>
      <c r="H12" s="434"/>
      <c r="I12" s="452"/>
      <c r="K12" s="435"/>
    </row>
    <row r="13" spans="2:13">
      <c r="B13" s="433"/>
      <c r="C13" s="433"/>
      <c r="D13" s="433"/>
      <c r="E13" s="452"/>
      <c r="F13" s="449"/>
      <c r="G13" s="449"/>
      <c r="H13" s="434"/>
      <c r="I13" s="452"/>
      <c r="K13" s="435"/>
    </row>
    <row r="14" spans="2:13">
      <c r="B14" s="433"/>
      <c r="C14" s="433"/>
      <c r="D14" s="433"/>
      <c r="E14" s="452"/>
      <c r="F14" s="449"/>
      <c r="G14" s="449"/>
      <c r="H14" s="434"/>
      <c r="I14" s="452"/>
      <c r="K14" s="435"/>
    </row>
    <row r="15" spans="2:13" ht="24">
      <c r="B15" s="433"/>
      <c r="C15" s="433"/>
      <c r="D15" s="429"/>
      <c r="E15" s="454" t="s">
        <v>1911</v>
      </c>
      <c r="F15" s="449" t="s">
        <v>28</v>
      </c>
      <c r="G15" s="450" t="s">
        <v>1912</v>
      </c>
      <c r="H15" s="457" t="s">
        <v>1910</v>
      </c>
      <c r="I15" s="455" t="s">
        <v>1931</v>
      </c>
      <c r="L15" s="438" t="s">
        <v>1855</v>
      </c>
      <c r="M15" s="437" t="s">
        <v>2623</v>
      </c>
    </row>
    <row r="16" spans="2:13">
      <c r="B16" s="433"/>
      <c r="C16" s="433"/>
      <c r="D16" s="433"/>
      <c r="E16" s="454">
        <v>24</v>
      </c>
      <c r="F16" s="449">
        <v>0.44966878399999999</v>
      </c>
      <c r="G16" s="449">
        <v>0.36</v>
      </c>
      <c r="H16" s="434">
        <v>1.2490799555555556</v>
      </c>
      <c r="I16" s="453">
        <v>14.981599111111112</v>
      </c>
      <c r="L16" s="433">
        <v>116</v>
      </c>
      <c r="M16" s="448">
        <v>1737.8654968888891</v>
      </c>
    </row>
    <row r="17" spans="2:13">
      <c r="B17" s="433"/>
      <c r="C17" s="433"/>
      <c r="D17" s="433"/>
      <c r="E17" s="454">
        <v>32</v>
      </c>
      <c r="F17" s="449">
        <v>0.341873278</v>
      </c>
      <c r="G17" s="449">
        <v>0.39</v>
      </c>
      <c r="H17" s="434">
        <v>0.87659814871794872</v>
      </c>
      <c r="I17" s="447">
        <v>7.531962974358974</v>
      </c>
      <c r="L17" s="433">
        <v>121</v>
      </c>
      <c r="M17" s="448">
        <v>911.36751989743584</v>
      </c>
    </row>
    <row r="18" spans="2:13">
      <c r="B18" s="433"/>
      <c r="C18" s="433"/>
      <c r="D18" s="433"/>
      <c r="E18" s="454">
        <v>29</v>
      </c>
      <c r="F18" s="449">
        <v>0.29972981199999998</v>
      </c>
      <c r="G18" s="449">
        <v>0.4</v>
      </c>
      <c r="H18" s="434">
        <v>0.74932452999999988</v>
      </c>
      <c r="I18" s="453">
        <v>4.986490599999998</v>
      </c>
      <c r="L18" s="433">
        <v>122</v>
      </c>
      <c r="M18" s="448">
        <v>608.35185319999971</v>
      </c>
    </row>
    <row r="19" spans="2:13">
      <c r="B19" s="433"/>
      <c r="C19" s="433"/>
      <c r="D19" s="433"/>
      <c r="E19" s="454">
        <v>57</v>
      </c>
      <c r="F19" s="449">
        <v>0.16812173899999999</v>
      </c>
      <c r="G19" s="449">
        <v>0.36</v>
      </c>
      <c r="H19" s="434">
        <v>0.46700483055555553</v>
      </c>
      <c r="I19" s="453">
        <v>0</v>
      </c>
      <c r="L19" s="433">
        <v>115</v>
      </c>
      <c r="M19" s="448">
        <v>0</v>
      </c>
    </row>
    <row r="20" spans="2:13">
      <c r="B20" s="433"/>
      <c r="C20" s="433"/>
      <c r="D20" s="433"/>
      <c r="E20" s="454">
        <v>43</v>
      </c>
      <c r="F20" s="449">
        <v>0.32352555700000002</v>
      </c>
      <c r="G20" s="449">
        <v>0.37</v>
      </c>
      <c r="H20" s="434">
        <v>0.87439339729729737</v>
      </c>
      <c r="I20" s="453">
        <v>7.487867945945947</v>
      </c>
      <c r="L20" s="433">
        <v>109</v>
      </c>
      <c r="M20" s="448">
        <v>816.17760610810819</v>
      </c>
    </row>
    <row r="21" spans="2:13">
      <c r="B21" s="433"/>
      <c r="C21" s="433"/>
      <c r="D21" s="433"/>
      <c r="E21" s="454">
        <v>49</v>
      </c>
      <c r="F21" s="449">
        <v>0.31541666699999998</v>
      </c>
      <c r="G21" s="449">
        <v>0.36</v>
      </c>
      <c r="H21" s="434">
        <v>0.87615740833333333</v>
      </c>
      <c r="I21" s="453">
        <v>7.5231481666666671</v>
      </c>
      <c r="L21" s="433">
        <v>104</v>
      </c>
      <c r="M21" s="448">
        <v>782.40740933333336</v>
      </c>
    </row>
    <row r="22" spans="2:13">
      <c r="B22" s="433"/>
      <c r="C22" s="433"/>
      <c r="D22" s="433"/>
      <c r="E22" s="454">
        <v>45</v>
      </c>
      <c r="F22" s="449">
        <v>0.45004728100000002</v>
      </c>
      <c r="G22" s="449">
        <v>0.36</v>
      </c>
      <c r="H22" s="434">
        <v>1.2501313361111113</v>
      </c>
      <c r="I22" s="453">
        <v>15.002626722222224</v>
      </c>
      <c r="L22" s="433">
        <v>47</v>
      </c>
      <c r="M22" s="448">
        <v>705.12345594444457</v>
      </c>
    </row>
    <row r="24" spans="2:13">
      <c r="B24" s="433"/>
      <c r="C24" s="433"/>
      <c r="D24" s="433"/>
      <c r="E24" s="454">
        <v>28</v>
      </c>
      <c r="F24" s="449">
        <v>0.358374409</v>
      </c>
      <c r="G24" s="449">
        <v>0.41</v>
      </c>
      <c r="H24" s="434">
        <v>0.87408392439024396</v>
      </c>
      <c r="I24" s="453">
        <v>7.4816784878048797</v>
      </c>
      <c r="L24" s="433">
        <v>131</v>
      </c>
      <c r="M24" s="448">
        <v>980.09988190243928</v>
      </c>
    </row>
    <row r="25" spans="2:13">
      <c r="B25" s="433"/>
      <c r="C25" s="433"/>
      <c r="D25" s="433"/>
      <c r="E25" s="454">
        <v>31</v>
      </c>
      <c r="F25" s="449">
        <v>0.29175555600000003</v>
      </c>
      <c r="G25" s="449">
        <v>0.39</v>
      </c>
      <c r="H25" s="434">
        <v>0.74809116923076924</v>
      </c>
      <c r="I25" s="453">
        <v>4.9618233846153847</v>
      </c>
      <c r="L25" s="433">
        <v>135</v>
      </c>
      <c r="M25" s="448">
        <v>669.84615692307693</v>
      </c>
    </row>
    <row r="26" spans="2:13">
      <c r="B26" s="433"/>
      <c r="C26" s="433"/>
      <c r="D26" s="433"/>
      <c r="E26" s="454">
        <v>42</v>
      </c>
      <c r="F26" s="449">
        <v>0.27715909100000002</v>
      </c>
      <c r="G26" s="449">
        <v>0.37</v>
      </c>
      <c r="H26" s="434">
        <v>0.74907862432432437</v>
      </c>
      <c r="I26" s="453">
        <v>4.9815724864864874</v>
      </c>
      <c r="L26" s="433">
        <v>88</v>
      </c>
      <c r="M26" s="448">
        <v>438.37837881081089</v>
      </c>
    </row>
    <row r="27" spans="2:13">
      <c r="B27" s="433"/>
      <c r="C27" s="433"/>
      <c r="D27" s="433"/>
      <c r="E27" s="454">
        <v>41</v>
      </c>
      <c r="F27" s="449">
        <v>0.27712018100000002</v>
      </c>
      <c r="G27" s="449">
        <v>0.37</v>
      </c>
      <c r="H27" s="434">
        <v>0.74897346216216221</v>
      </c>
      <c r="I27" s="453">
        <v>4.9794692432432441</v>
      </c>
      <c r="L27" s="433">
        <v>98</v>
      </c>
      <c r="M27" s="448">
        <v>487.98798583783793</v>
      </c>
    </row>
    <row r="29" spans="2:13">
      <c r="B29" s="433"/>
      <c r="C29" s="433"/>
      <c r="D29" s="433"/>
      <c r="E29" s="454">
        <v>53</v>
      </c>
      <c r="F29" s="449">
        <v>0.269245283</v>
      </c>
      <c r="G29" s="449">
        <v>0.36</v>
      </c>
      <c r="H29" s="434">
        <v>0.7479035638888889</v>
      </c>
      <c r="I29" s="453">
        <v>4.958071277777778</v>
      </c>
      <c r="L29" s="433">
        <v>69</v>
      </c>
      <c r="M29" s="448">
        <v>342.10691816666667</v>
      </c>
    </row>
    <row r="30" spans="2:13">
      <c r="B30" s="433"/>
      <c r="C30" s="433"/>
      <c r="D30" s="433"/>
      <c r="E30" s="454">
        <v>79</v>
      </c>
      <c r="F30" s="449">
        <v>0.147520817</v>
      </c>
      <c r="G30" s="449">
        <v>0.34</v>
      </c>
      <c r="H30" s="434">
        <v>0.43388475588235292</v>
      </c>
      <c r="I30" s="453">
        <v>0</v>
      </c>
      <c r="L30" s="433">
        <v>83</v>
      </c>
      <c r="M30" s="448">
        <v>0</v>
      </c>
    </row>
    <row r="31" spans="2:13">
      <c r="B31" s="433"/>
      <c r="C31" s="433"/>
      <c r="D31" s="433"/>
      <c r="E31" s="454">
        <v>33</v>
      </c>
      <c r="F31" s="449">
        <v>0.29199409700000001</v>
      </c>
      <c r="G31" s="449">
        <v>0.39</v>
      </c>
      <c r="H31" s="434">
        <v>0.74870281282051276</v>
      </c>
      <c r="I31" s="453">
        <v>4.9740562564102557</v>
      </c>
      <c r="L31" s="433">
        <v>121</v>
      </c>
      <c r="M31" s="448">
        <v>601.86080702564095</v>
      </c>
    </row>
    <row r="32" spans="2:13">
      <c r="B32" s="433"/>
      <c r="C32" s="433"/>
      <c r="D32" s="433"/>
      <c r="E32" s="454">
        <v>24</v>
      </c>
      <c r="F32" s="449">
        <v>0.314860317</v>
      </c>
      <c r="G32" s="449">
        <v>0.36</v>
      </c>
      <c r="H32" s="434">
        <v>0.8746119916666667</v>
      </c>
      <c r="I32" s="453">
        <v>7.4922398333333344</v>
      </c>
      <c r="L32" s="433">
        <v>150</v>
      </c>
      <c r="M32" s="448">
        <v>1123.8359750000002</v>
      </c>
    </row>
    <row r="33" spans="2:13">
      <c r="B33" s="433"/>
      <c r="C33" s="433"/>
      <c r="D33" s="433"/>
      <c r="E33" s="454">
        <v>42</v>
      </c>
      <c r="F33" s="449">
        <v>0.32371836500000001</v>
      </c>
      <c r="G33" s="449">
        <v>0.37</v>
      </c>
      <c r="H33" s="434">
        <v>0.87491450000000004</v>
      </c>
      <c r="I33" s="453">
        <v>7.4982900000000008</v>
      </c>
      <c r="L33" s="433">
        <v>134</v>
      </c>
      <c r="M33" s="448">
        <v>1004.7708600000001</v>
      </c>
    </row>
    <row r="34" spans="2:13">
      <c r="B34" s="433"/>
      <c r="C34" s="433"/>
      <c r="D34" s="433"/>
      <c r="E34" s="454">
        <v>29</v>
      </c>
      <c r="F34" s="449">
        <v>0.30037878800000001</v>
      </c>
      <c r="G34" s="449">
        <v>0.4</v>
      </c>
      <c r="H34" s="434">
        <v>0.75094696999999999</v>
      </c>
      <c r="I34" s="453">
        <v>5.0189393999999998</v>
      </c>
      <c r="L34" s="433">
        <v>132</v>
      </c>
      <c r="M34" s="448">
        <v>662.50000079999995</v>
      </c>
    </row>
    <row r="35" spans="2:13">
      <c r="B35" s="433"/>
      <c r="C35" s="433"/>
      <c r="D35" s="433"/>
      <c r="E35" s="454">
        <v>32</v>
      </c>
      <c r="F35" s="449">
        <v>0.34222222200000002</v>
      </c>
      <c r="G35" s="449">
        <v>0.39</v>
      </c>
      <c r="H35" s="434">
        <v>0.87749287692307698</v>
      </c>
      <c r="I35" s="453">
        <v>7.5498575384615396</v>
      </c>
      <c r="L35" s="433">
        <v>120</v>
      </c>
      <c r="M35" s="448">
        <v>905.98290461538477</v>
      </c>
    </row>
    <row r="36" spans="2:13">
      <c r="B36" s="433"/>
      <c r="C36" s="433"/>
      <c r="D36" s="433"/>
      <c r="E36" s="454">
        <v>44</v>
      </c>
      <c r="F36" s="449">
        <v>0.174814631</v>
      </c>
      <c r="G36" s="449">
        <v>0.37</v>
      </c>
      <c r="H36" s="434">
        <v>0.47247197567567567</v>
      </c>
      <c r="I36" s="453">
        <v>0</v>
      </c>
      <c r="L36" s="433">
        <v>128</v>
      </c>
      <c r="M36" s="448">
        <v>0</v>
      </c>
    </row>
    <row r="37" spans="2:13">
      <c r="B37" s="433"/>
      <c r="C37" s="433"/>
      <c r="D37" s="433"/>
      <c r="E37" s="454">
        <v>77</v>
      </c>
      <c r="F37" s="449">
        <v>0.15463523400000001</v>
      </c>
      <c r="G37" s="449">
        <v>0.34</v>
      </c>
      <c r="H37" s="434">
        <v>0.45480951176470585</v>
      </c>
      <c r="I37" s="453">
        <v>0</v>
      </c>
      <c r="L37" s="433">
        <v>86</v>
      </c>
      <c r="M37" s="448">
        <v>0</v>
      </c>
    </row>
    <row r="38" spans="2:13">
      <c r="B38" s="433"/>
      <c r="C38" s="433"/>
      <c r="D38" s="433"/>
      <c r="E38" s="454">
        <v>35</v>
      </c>
      <c r="F38" s="449">
        <v>0.324313725</v>
      </c>
      <c r="G38" s="449">
        <v>0.37</v>
      </c>
      <c r="H38" s="434">
        <v>0.87652358108108108</v>
      </c>
      <c r="I38" s="453">
        <v>7.5304716216216221</v>
      </c>
      <c r="L38" s="433">
        <v>153</v>
      </c>
      <c r="M38" s="448">
        <v>1152.1621581081081</v>
      </c>
    </row>
    <row r="39" spans="2:13">
      <c r="B39" s="433"/>
      <c r="C39" s="433"/>
      <c r="D39" s="433"/>
      <c r="E39" s="454">
        <v>38</v>
      </c>
      <c r="F39" s="449">
        <v>0.27773109200000001</v>
      </c>
      <c r="G39" s="449">
        <v>0.37</v>
      </c>
      <c r="H39" s="434">
        <v>0.75062457297297303</v>
      </c>
      <c r="I39" s="453">
        <v>5.0124914594594605</v>
      </c>
      <c r="L39" s="433">
        <v>104.99999999999999</v>
      </c>
      <c r="M39" s="448">
        <v>526.31160324324333</v>
      </c>
    </row>
    <row r="41" spans="2:13">
      <c r="B41" s="433"/>
      <c r="C41" s="433"/>
      <c r="D41" s="433"/>
      <c r="E41" s="454">
        <v>46</v>
      </c>
      <c r="F41" s="449">
        <v>0.26998899300000001</v>
      </c>
      <c r="G41" s="449">
        <v>0.36</v>
      </c>
      <c r="H41" s="434">
        <v>0.74996942500000008</v>
      </c>
      <c r="I41" s="453">
        <v>4.999388500000002</v>
      </c>
      <c r="L41" s="433">
        <v>79</v>
      </c>
      <c r="M41" s="448">
        <v>394.95169150000015</v>
      </c>
    </row>
    <row r="42" spans="2:13">
      <c r="B42" s="433"/>
      <c r="C42" s="433"/>
      <c r="D42" s="433"/>
      <c r="E42" s="454">
        <v>54</v>
      </c>
      <c r="F42" s="449">
        <v>0.17467160500000001</v>
      </c>
      <c r="G42" s="449">
        <v>0.36</v>
      </c>
      <c r="H42" s="434">
        <v>0.48519890277777783</v>
      </c>
      <c r="I42" s="453">
        <v>0</v>
      </c>
      <c r="L42" s="433">
        <v>105</v>
      </c>
      <c r="M42" s="448">
        <v>0</v>
      </c>
    </row>
    <row r="43" spans="2:13">
      <c r="B43" s="433"/>
      <c r="C43" s="433"/>
      <c r="D43" s="433"/>
      <c r="E43" s="454">
        <v>66</v>
      </c>
      <c r="F43" s="449">
        <v>0.31541144799999998</v>
      </c>
      <c r="G43" s="449">
        <v>0.36</v>
      </c>
      <c r="H43" s="434">
        <v>0.87614291111111109</v>
      </c>
      <c r="I43" s="453">
        <v>7.5228582222222222</v>
      </c>
      <c r="L43" s="433">
        <v>45</v>
      </c>
      <c r="M43" s="448">
        <v>338.52861999999999</v>
      </c>
    </row>
    <row r="49" spans="5:9">
      <c r="E49" s="438" t="s">
        <v>1911</v>
      </c>
      <c r="F49" s="460" t="s">
        <v>29</v>
      </c>
      <c r="G49" s="460" t="s">
        <v>1913</v>
      </c>
      <c r="H49" s="458" t="s">
        <v>1914</v>
      </c>
      <c r="I49" s="459" t="s">
        <v>1829</v>
      </c>
    </row>
    <row r="50" spans="5:9">
      <c r="E50" s="293">
        <v>33</v>
      </c>
      <c r="F50" s="460">
        <v>1.7995033344245852</v>
      </c>
      <c r="G50" s="460">
        <v>1.8</v>
      </c>
      <c r="H50" s="458">
        <v>1.0002760014754704</v>
      </c>
      <c r="I50" s="461">
        <v>10.005520029509407</v>
      </c>
    </row>
    <row r="51" spans="5:9">
      <c r="E51" s="293">
        <v>52</v>
      </c>
      <c r="F51" s="460">
        <v>1.6330318807575113</v>
      </c>
      <c r="G51" s="460">
        <v>1.47</v>
      </c>
      <c r="H51" s="458">
        <v>0.90016613718411542</v>
      </c>
      <c r="I51" s="461">
        <v>8.0033227436823076</v>
      </c>
    </row>
    <row r="52" spans="5:9">
      <c r="E52" s="293">
        <v>35</v>
      </c>
      <c r="F52" s="460">
        <v>2.5001628012986892</v>
      </c>
      <c r="G52" s="460">
        <v>1.75</v>
      </c>
      <c r="H52" s="458">
        <v>0.69995441860465113</v>
      </c>
      <c r="I52" s="461">
        <v>3.9990883720930226</v>
      </c>
    </row>
    <row r="53" spans="5:9">
      <c r="E53" s="293">
        <v>47</v>
      </c>
      <c r="F53" s="460">
        <v>3.0353770935041116</v>
      </c>
      <c r="G53" s="460">
        <v>1.53</v>
      </c>
      <c r="H53" s="458">
        <v>0.50405598805970153</v>
      </c>
      <c r="I53" s="461">
        <v>8.1119761194030637E-2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C427-181D-4D43-996B-006C7627B2E9}">
  <dimension ref="A1:R1297"/>
  <sheetViews>
    <sheetView topLeftCell="E1" zoomScale="150" zoomScaleNormal="140" workbookViewId="0">
      <selection activeCell="K10" sqref="K10"/>
    </sheetView>
  </sheetViews>
  <sheetFormatPr baseColWidth="10" defaultRowHeight="16"/>
  <cols>
    <col min="1" max="1" width="20.83203125" style="63" customWidth="1"/>
    <col min="2" max="2" width="15.83203125" style="63" customWidth="1"/>
    <col min="3" max="3" width="23" style="389" customWidth="1"/>
    <col min="4" max="4" width="11.83203125" style="389" customWidth="1"/>
    <col min="5" max="5" width="14" style="389" customWidth="1"/>
    <col min="6" max="6" width="15.83203125" style="63" customWidth="1"/>
    <col min="7" max="7" width="15.83203125" style="390" customWidth="1"/>
    <col min="8" max="8" width="15.83203125" style="391" customWidth="1"/>
    <col min="9" max="9" width="15.83203125" style="63" customWidth="1"/>
    <col min="10" max="16384" width="10.83203125" style="63"/>
  </cols>
  <sheetData>
    <row r="1" spans="1:17" ht="17">
      <c r="P1" s="145"/>
      <c r="Q1" s="464"/>
    </row>
    <row r="2" spans="1:17" s="64" customFormat="1" ht="17">
      <c r="D2" s="392" t="s">
        <v>1929</v>
      </c>
      <c r="E2" s="393"/>
      <c r="G2" s="185" t="s">
        <v>1839</v>
      </c>
      <c r="H2" s="83" t="s">
        <v>1844</v>
      </c>
      <c r="I2" s="83" t="s">
        <v>1845</v>
      </c>
      <c r="K2" s="181" t="s">
        <v>1831</v>
      </c>
      <c r="L2" s="83" t="s">
        <v>1846</v>
      </c>
      <c r="M2" s="181" t="s">
        <v>1830</v>
      </c>
      <c r="N2" s="83" t="s">
        <v>1846</v>
      </c>
      <c r="P2" s="465"/>
      <c r="Q2" s="465"/>
    </row>
    <row r="3" spans="1:17" s="64" customFormat="1" ht="17">
      <c r="D3" s="83" t="s">
        <v>1826</v>
      </c>
      <c r="E3" s="184">
        <f>MAX(H10:H846)</f>
        <v>0.4491919280028685</v>
      </c>
      <c r="G3" s="82" t="s">
        <v>1840</v>
      </c>
      <c r="H3" s="82">
        <f>COUNTIF(I10:I1247,"&gt;60")</f>
        <v>0</v>
      </c>
      <c r="I3" s="394">
        <f>H3/$H$6</f>
        <v>0</v>
      </c>
      <c r="K3" s="177" t="s">
        <v>1826</v>
      </c>
      <c r="L3" s="178">
        <v>0.25</v>
      </c>
      <c r="M3" s="83" t="s">
        <v>1826</v>
      </c>
      <c r="N3" s="182">
        <v>0.5</v>
      </c>
      <c r="P3" s="466"/>
      <c r="Q3" s="467"/>
    </row>
    <row r="4" spans="1:17" s="64" customFormat="1" ht="17">
      <c r="D4" s="83" t="s">
        <v>1827</v>
      </c>
      <c r="E4" s="184">
        <f>MIN(H10:H846)</f>
        <v>-7.2772562703665757</v>
      </c>
      <c r="G4" s="82" t="s">
        <v>1841</v>
      </c>
      <c r="H4" s="82">
        <f>COUNTIF(I10:I846,"&lt;-40")</f>
        <v>140</v>
      </c>
      <c r="I4" s="394">
        <f>H4/$H$6</f>
        <v>0.16726403823178015</v>
      </c>
      <c r="K4" s="177" t="s">
        <v>1827</v>
      </c>
      <c r="L4" s="178">
        <v>0</v>
      </c>
      <c r="M4" s="83" t="s">
        <v>1827</v>
      </c>
      <c r="N4" s="182">
        <v>0</v>
      </c>
      <c r="P4" s="466"/>
      <c r="Q4" s="466"/>
    </row>
    <row r="5" spans="1:17" s="64" customFormat="1" ht="17">
      <c r="D5" s="83" t="s">
        <v>1837</v>
      </c>
      <c r="E5" s="184">
        <f>AVERAGE(H10:H846)</f>
        <v>-0.5216828567465176</v>
      </c>
      <c r="G5" s="82" t="s">
        <v>1842</v>
      </c>
      <c r="H5" s="82">
        <f>H6-H4-H3</f>
        <v>697</v>
      </c>
      <c r="I5" s="394">
        <f>H5/$H$6</f>
        <v>0.83273596176821985</v>
      </c>
      <c r="K5" s="177" t="s">
        <v>1833</v>
      </c>
      <c r="L5" s="178">
        <f>L3-L4</f>
        <v>0.25</v>
      </c>
      <c r="M5" s="83" t="s">
        <v>1833</v>
      </c>
      <c r="N5" s="182">
        <f>N3-N4</f>
        <v>0.5</v>
      </c>
      <c r="P5" s="466"/>
      <c r="Q5" s="467"/>
    </row>
    <row r="6" spans="1:17" s="64" customFormat="1" ht="17">
      <c r="D6" s="83" t="s">
        <v>1838</v>
      </c>
      <c r="E6" s="184">
        <f>MEDIAN(H10:H846)</f>
        <v>-0.32406304860256741</v>
      </c>
      <c r="G6" s="82" t="s">
        <v>1843</v>
      </c>
      <c r="H6" s="82">
        <f>COUNT(F10:F846)</f>
        <v>837</v>
      </c>
      <c r="I6" s="394">
        <f>H6/$H$6</f>
        <v>1</v>
      </c>
      <c r="K6" s="177" t="s">
        <v>1832</v>
      </c>
      <c r="L6" s="179">
        <f>L5*O6</f>
        <v>13.333333333333334</v>
      </c>
      <c r="M6" s="83" t="s">
        <v>1832</v>
      </c>
      <c r="N6" s="83">
        <f>N5*O6</f>
        <v>26.666666666666668</v>
      </c>
      <c r="O6" s="64">
        <f>40/(L3+N3)</f>
        <v>53.333333333333336</v>
      </c>
      <c r="P6" s="466"/>
      <c r="Q6" s="466"/>
    </row>
    <row r="7" spans="1:17" s="64" customFormat="1" ht="17">
      <c r="H7" s="395"/>
      <c r="K7" s="177" t="s">
        <v>1835</v>
      </c>
      <c r="L7" s="180">
        <f>L6/L5</f>
        <v>53.333333333333336</v>
      </c>
      <c r="M7" s="83" t="s">
        <v>1835</v>
      </c>
      <c r="N7" s="183">
        <f>N6/N5</f>
        <v>53.333333333333336</v>
      </c>
      <c r="P7" s="468"/>
      <c r="Q7" s="469"/>
    </row>
    <row r="8" spans="1:17">
      <c r="C8" s="396"/>
      <c r="D8" s="396"/>
      <c r="E8" s="396"/>
    </row>
    <row r="9" spans="1:17" ht="33" customHeight="1">
      <c r="A9" s="63" t="str">
        <f>'RAW DATA 2023'!B2</f>
        <v>Farm</v>
      </c>
      <c r="B9" s="63" t="str">
        <f>'RAW DATA 2023'!D2</f>
        <v>Pond</v>
      </c>
      <c r="C9" s="63" t="s">
        <v>1903</v>
      </c>
      <c r="D9" t="s">
        <v>1873</v>
      </c>
      <c r="E9" s="17" t="s">
        <v>1915</v>
      </c>
      <c r="F9" s="271" t="str">
        <f>'RAW DATA 2023'!BI2</f>
        <v>Production Cost (Est)  (/Kg)</v>
      </c>
      <c r="G9" s="68" t="str">
        <f>'RAW DATA 2023'!BJ2</f>
        <v>STD Cost (/kg)</v>
      </c>
      <c r="H9" s="275" t="s">
        <v>1836</v>
      </c>
      <c r="I9" s="273" t="s">
        <v>1829</v>
      </c>
      <c r="J9" s="68" t="s">
        <v>23</v>
      </c>
      <c r="K9" s="63" t="s">
        <v>1854</v>
      </c>
    </row>
    <row r="10" spans="1:17">
      <c r="A10" s="63" t="str">
        <f>'RAW DATA 2023'!B726</f>
        <v>Andaman</v>
      </c>
      <c r="B10" s="63" t="str">
        <f>'RAW DATA 2023'!D726</f>
        <v>A1-009-0046</v>
      </c>
      <c r="C10" s="63" t="str">
        <f>A10&amp;B10</f>
        <v>AndamanA1-009-0046</v>
      </c>
      <c r="D10" s="63">
        <f>VLOOKUP(C10,'RAW DATA 2023'!E:BP,63,0)</f>
        <v>3</v>
      </c>
      <c r="E10" s="63" t="str">
        <f>A10&amp;D10</f>
        <v>Andaman3</v>
      </c>
      <c r="F10" s="389">
        <f>VLOOKUP(C10,'RAW DATA 2023'!E:BO,57,0)</f>
        <v>273.74069363787089</v>
      </c>
      <c r="G10" s="63">
        <f>VLOOKUP(C10,'RAW DATA 2023'!E:BO,58,0)</f>
        <v>214</v>
      </c>
      <c r="H10" s="390">
        <f>IFERROR((G10-F10)/G10,0)</f>
        <v>-0.27916211980313499</v>
      </c>
      <c r="I10" s="398">
        <f>IF(H10&lt;0,((0.25-(H10*(-1)))*$L$7),IF(H10&gt;0,(H10*$N$7)+$L$6,0))</f>
        <v>-1.5553130561671995</v>
      </c>
      <c r="J10" s="73">
        <f>VLOOKUP(C10,'RAW DATA 2023'!E:AC,21,0)</f>
        <v>21.285169999999997</v>
      </c>
      <c r="K10" s="398">
        <f>I10*J10</f>
        <v>-33.105102803738383</v>
      </c>
      <c r="L10" s="63">
        <f>ROUND(VLOOKUP(C10,'RAW DATA 2023'!E:BO,23,0),0)</f>
        <v>26</v>
      </c>
    </row>
    <row r="11" spans="1:17">
      <c r="A11" s="63" t="str">
        <f>'RAW DATA 2023'!B730</f>
        <v>Andaman</v>
      </c>
      <c r="B11" s="63" t="str">
        <f>'RAW DATA 2023'!D730</f>
        <v>A1-012-0022</v>
      </c>
      <c r="C11" s="63" t="str">
        <f>A11&amp;B11</f>
        <v>AndamanA1-012-0022</v>
      </c>
      <c r="D11" s="63">
        <f>VLOOKUP(C11,'RAW DATA 2023'!E:BP,63,0)</f>
        <v>3</v>
      </c>
      <c r="E11" s="63" t="str">
        <f>A11&amp;D11</f>
        <v>Andaman3</v>
      </c>
      <c r="F11" s="389">
        <f>VLOOKUP(C11,'RAW DATA 2023'!E:BO,57,0)</f>
        <v>305.13158974289655</v>
      </c>
      <c r="G11" s="63">
        <f>VLOOKUP(C11,'RAW DATA 2023'!E:BO,58,0)</f>
        <v>200</v>
      </c>
      <c r="H11" s="390">
        <f>IFERROR((G11-F11)/G11,0)</f>
        <v>-0.52565794871448279</v>
      </c>
      <c r="I11" s="398">
        <f>IF(H11&lt;0,((0.25-(H11*(-1)))*$L$7),IF(H11&gt;0,(H11*$N$7)+$L$6,0))</f>
        <v>-14.701757264772416</v>
      </c>
      <c r="J11" s="73">
        <f>VLOOKUP(C11,'RAW DATA 2023'!E:AC,21,0)</f>
        <v>19.23311</v>
      </c>
      <c r="K11" s="398">
        <f>I11*J11</f>
        <v>-282.76051466666701</v>
      </c>
      <c r="L11" s="63">
        <f>ROUND(VLOOKUP(C11,'RAW DATA 2023'!E:BO,23,0),0)</f>
        <v>29</v>
      </c>
    </row>
    <row r="12" spans="1:17">
      <c r="A12" s="63" t="str">
        <f>'RAW DATA 2023'!B733</f>
        <v>Andaman</v>
      </c>
      <c r="B12" s="63" t="str">
        <f>'RAW DATA 2023'!D733</f>
        <v>A1-008-0045</v>
      </c>
      <c r="C12" s="63" t="str">
        <f>A12&amp;B12</f>
        <v>AndamanA1-008-0045</v>
      </c>
      <c r="D12" s="63">
        <f>VLOOKUP(C12,'RAW DATA 2023'!E:BP,63,0)</f>
        <v>3</v>
      </c>
      <c r="E12" s="63" t="str">
        <f>A12&amp;D12</f>
        <v>Andaman3</v>
      </c>
      <c r="F12" s="389">
        <f>VLOOKUP(C12,'RAW DATA 2023'!E:BO,57,0)</f>
        <v>190.565390767157</v>
      </c>
      <c r="G12" s="63">
        <f>VLOOKUP(C12,'RAW DATA 2023'!E:BO,58,0)</f>
        <v>189</v>
      </c>
      <c r="H12" s="390">
        <f>IFERROR((G12-F12)/G12,0)</f>
        <v>-8.2824908315185086E-3</v>
      </c>
      <c r="I12" s="398">
        <f>IF(H12&lt;0,((0.25-(H12*(-1)))*$L$7),IF(H12&gt;0,(H12*$N$7)+$L$6,0))</f>
        <v>12.891600488985681</v>
      </c>
      <c r="J12" s="73">
        <f>VLOOKUP(C12,'RAW DATA 2023'!E:AC,21,0)</f>
        <v>23.620459999999998</v>
      </c>
      <c r="K12" s="398">
        <f>I12*J12</f>
        <v>304.50553368606671</v>
      </c>
      <c r="L12" s="63">
        <f>ROUND(VLOOKUP(C12,'RAW DATA 2023'!E:BO,23,0),0)</f>
        <v>34</v>
      </c>
    </row>
    <row r="13" spans="1:17">
      <c r="A13" s="63" t="str">
        <f>'RAW DATA 2023'!B732</f>
        <v>Andaman</v>
      </c>
      <c r="B13" s="63" t="str">
        <f>'RAW DATA 2023'!D732</f>
        <v>A1-004-0047</v>
      </c>
      <c r="C13" s="63" t="str">
        <f>A13&amp;B13</f>
        <v>AndamanA1-004-0047</v>
      </c>
      <c r="D13" s="63">
        <f>VLOOKUP(C13,'RAW DATA 2023'!E:BP,63,0)</f>
        <v>4</v>
      </c>
      <c r="E13" s="63" t="str">
        <f>A13&amp;D13</f>
        <v>Andaman4</v>
      </c>
      <c r="F13" s="389">
        <f>VLOOKUP(C13,'RAW DATA 2023'!E:BO,57,0)</f>
        <v>221.0193384877046</v>
      </c>
      <c r="G13" s="63">
        <f>VLOOKUP(C13,'RAW DATA 2023'!E:BO,58,0)</f>
        <v>187</v>
      </c>
      <c r="H13" s="390">
        <f>IFERROR((G13-F13)/G13,0)</f>
        <v>-0.1819215961909337</v>
      </c>
      <c r="I13" s="398">
        <f>IF(H13&lt;0,((0.25-(H13*(-1)))*$L$7),IF(H13&gt;0,(H13*$N$7)+$L$6,0))</f>
        <v>3.6308482031502027</v>
      </c>
      <c r="J13" s="73">
        <f>VLOOKUP(C13,'RAW DATA 2023'!E:AC,21,0)</f>
        <v>16.674520000000001</v>
      </c>
      <c r="K13" s="398">
        <f>I13*J13</f>
        <v>60.542650980392125</v>
      </c>
      <c r="L13" s="63">
        <f>ROUND(VLOOKUP(C13,'RAW DATA 2023'!E:BO,23,0),0)</f>
        <v>35</v>
      </c>
    </row>
    <row r="14" spans="1:17">
      <c r="A14" s="63" t="str">
        <f>'RAW DATA 2023'!B734</f>
        <v>Andaman</v>
      </c>
      <c r="B14" s="63" t="str">
        <f>'RAW DATA 2023'!D734</f>
        <v>A1-016-0014</v>
      </c>
      <c r="C14" s="63" t="str">
        <f>A14&amp;B14</f>
        <v>AndamanA1-016-0014</v>
      </c>
      <c r="D14" s="63">
        <f>VLOOKUP(C14,'RAW DATA 2023'!E:BP,63,0)</f>
        <v>4</v>
      </c>
      <c r="E14" s="63" t="str">
        <f>A14&amp;D14</f>
        <v>Andaman4</v>
      </c>
      <c r="F14" s="389">
        <f>VLOOKUP(C14,'RAW DATA 2023'!E:BO,57,0)</f>
        <v>198.48313212998124</v>
      </c>
      <c r="G14" s="63">
        <f>VLOOKUP(C14,'RAW DATA 2023'!E:BO,58,0)</f>
        <v>183</v>
      </c>
      <c r="H14" s="390">
        <f>IFERROR((G14-F14)/G14,0)</f>
        <v>-8.4607279398804608E-2</v>
      </c>
      <c r="I14" s="398">
        <f>IF(H14&lt;0,((0.25-(H14*(-1)))*$L$7),IF(H14&gt;0,(H14*$N$7)+$L$6,0))</f>
        <v>8.8209450987304212</v>
      </c>
      <c r="J14" s="73">
        <f>VLOOKUP(C14,'RAW DATA 2023'!E:AC,21,0)</f>
        <v>12.495649999999999</v>
      </c>
      <c r="K14" s="398">
        <f>I14*J14</f>
        <v>110.22344262295078</v>
      </c>
      <c r="L14" s="63">
        <f>ROUND(VLOOKUP(C14,'RAW DATA 2023'!E:BO,23,0),0)</f>
        <v>39</v>
      </c>
    </row>
    <row r="15" spans="1:17">
      <c r="A15" s="63" t="str">
        <f>'RAW DATA 2023'!B724</f>
        <v>Andaman</v>
      </c>
      <c r="B15" s="63" t="str">
        <f>'RAW DATA 2023'!D724</f>
        <v>A1-014-0018</v>
      </c>
      <c r="C15" s="63" t="str">
        <f>A15&amp;B15</f>
        <v>AndamanA1-014-0018</v>
      </c>
      <c r="D15" s="63">
        <f>VLOOKUP(C15,'RAW DATA 2023'!E:BP,63,0)</f>
        <v>5</v>
      </c>
      <c r="E15" s="63" t="str">
        <f>A15&amp;D15</f>
        <v>Andaman5</v>
      </c>
      <c r="F15" s="389">
        <f>VLOOKUP(C15,'RAW DATA 2023'!E:BO,57,0)</f>
        <v>198.34725778175763</v>
      </c>
      <c r="G15" s="63">
        <f>VLOOKUP(C15,'RAW DATA 2023'!E:BO,58,0)</f>
        <v>194</v>
      </c>
      <c r="H15" s="390">
        <f>IFERROR((G15-F15)/G15,0)</f>
        <v>-2.2408545266791927E-2</v>
      </c>
      <c r="I15" s="398">
        <f>IF(H15&lt;0,((0.25-(H15*(-1)))*$L$7),IF(H15&gt;0,(H15*$N$7)+$L$6,0))</f>
        <v>12.138210919104431</v>
      </c>
      <c r="J15" s="73">
        <f>VLOOKUP(C15,'RAW DATA 2023'!E:AC,21,0)</f>
        <v>12.68608</v>
      </c>
      <c r="K15" s="398">
        <f>I15*J15</f>
        <v>153.98631477663236</v>
      </c>
      <c r="L15" s="63">
        <f>ROUND(VLOOKUP(C15,'RAW DATA 2023'!E:BO,23,0),0)</f>
        <v>31</v>
      </c>
    </row>
    <row r="16" spans="1:17">
      <c r="A16" s="63" t="str">
        <f>'RAW DATA 2023'!B725</f>
        <v>Andaman</v>
      </c>
      <c r="B16" s="63" t="str">
        <f>'RAW DATA 2023'!D725</f>
        <v>A1-013-0018</v>
      </c>
      <c r="C16" s="63" t="str">
        <f>A16&amp;B16</f>
        <v>AndamanA1-013-0018</v>
      </c>
      <c r="D16" s="63">
        <f>VLOOKUP(C16,'RAW DATA 2023'!E:BP,63,0)</f>
        <v>6</v>
      </c>
      <c r="E16" s="63" t="str">
        <f>A16&amp;D16</f>
        <v>Andaman6</v>
      </c>
      <c r="F16" s="389">
        <f>VLOOKUP(C16,'RAW DATA 2023'!E:BO,57,0)</f>
        <v>206.19608641656413</v>
      </c>
      <c r="G16" s="63">
        <f>VLOOKUP(C16,'RAW DATA 2023'!E:BO,58,0)</f>
        <v>207</v>
      </c>
      <c r="H16" s="390">
        <f>IFERROR((G16-F16)/G16,0)</f>
        <v>3.8836404996902014E-3</v>
      </c>
      <c r="I16" s="398">
        <f>IF(H16&lt;0,((0.25-(H16*(-1)))*$L$7),IF(H16&gt;0,(H16*$N$7)+$L$6,0))</f>
        <v>13.540460826650145</v>
      </c>
      <c r="J16" s="73">
        <f>VLOOKUP(C16,'RAW DATA 2023'!E:AC,21,0)</f>
        <v>12.89151</v>
      </c>
      <c r="K16" s="398">
        <f>I16*J16</f>
        <v>174.55698615136862</v>
      </c>
      <c r="L16" s="63">
        <f>ROUND(VLOOKUP(C16,'RAW DATA 2023'!E:BO,23,0),0)</f>
        <v>28</v>
      </c>
    </row>
    <row r="17" spans="1:12">
      <c r="A17" s="63" t="str">
        <f>'RAW DATA 2023'!B731</f>
        <v>Andaman</v>
      </c>
      <c r="B17" s="63" t="str">
        <f>'RAW DATA 2023'!D731</f>
        <v>A1-012-0023</v>
      </c>
      <c r="C17" s="63" t="str">
        <f>A17&amp;B17</f>
        <v>AndamanA1-012-0023</v>
      </c>
      <c r="D17" s="63">
        <f>VLOOKUP(C17,'RAW DATA 2023'!E:BP,63,0)</f>
        <v>7</v>
      </c>
      <c r="E17" s="63" t="str">
        <f>A17&amp;D17</f>
        <v>Andaman7</v>
      </c>
      <c r="F17" s="389">
        <f>VLOOKUP(C17,'RAW DATA 2023'!E:BO,57,0)</f>
        <v>163.90846917613806</v>
      </c>
      <c r="G17" s="63">
        <f>VLOOKUP(C17,'RAW DATA 2023'!E:BO,58,0)</f>
        <v>184</v>
      </c>
      <c r="H17" s="390">
        <f>IFERROR((G17-F17)/G17,0)</f>
        <v>0.10919310230359752</v>
      </c>
      <c r="I17" s="398">
        <f>IF(H17&lt;0,((0.25-(H17*(-1)))*$L$7),IF(H17&gt;0,(H17*$N$7)+$L$6,0))</f>
        <v>19.15696545619187</v>
      </c>
      <c r="J17" s="73">
        <f>VLOOKUP(C17,'RAW DATA 2023'!E:AC,21,0)</f>
        <v>17.262599999999999</v>
      </c>
      <c r="K17" s="398">
        <f>I17*J17</f>
        <v>330.69903188405777</v>
      </c>
      <c r="L17" s="63">
        <f>ROUND(VLOOKUP(C17,'RAW DATA 2023'!E:BO,23,0),0)</f>
        <v>38</v>
      </c>
    </row>
    <row r="18" spans="1:12">
      <c r="A18" s="63" t="str">
        <f>'RAW DATA 2023'!B728</f>
        <v>Andaman</v>
      </c>
      <c r="B18" s="63" t="str">
        <f>'RAW DATA 2023'!D728</f>
        <v>A1-009-0047</v>
      </c>
      <c r="C18" s="63" t="str">
        <f>A18&amp;B18</f>
        <v>AndamanA1-009-0047</v>
      </c>
      <c r="D18" s="63">
        <f>VLOOKUP(C18,'RAW DATA 2023'!E:BP,63,0)</f>
        <v>8</v>
      </c>
      <c r="E18" s="63" t="str">
        <f>A18&amp;D18</f>
        <v>Andaman8</v>
      </c>
      <c r="F18" s="389">
        <f>VLOOKUP(C18,'RAW DATA 2023'!E:BO,57,0)</f>
        <v>197.66464872249801</v>
      </c>
      <c r="G18" s="63">
        <f>VLOOKUP(C18,'RAW DATA 2023'!E:BO,58,0)</f>
        <v>197</v>
      </c>
      <c r="H18" s="390">
        <f>IFERROR((G18-F18)/G18,0)</f>
        <v>-3.3738513832386541E-3</v>
      </c>
      <c r="I18" s="398">
        <f>IF(H18&lt;0,((0.25-(H18*(-1)))*$L$7),IF(H18&gt;0,(H18*$N$7)+$L$6,0))</f>
        <v>13.153394592893939</v>
      </c>
      <c r="J18" s="73">
        <f>VLOOKUP(C18,'RAW DATA 2023'!E:AC,21,0)</f>
        <v>26.02814</v>
      </c>
      <c r="K18" s="398">
        <f>I18*J18</f>
        <v>342.35839593908645</v>
      </c>
      <c r="L18" s="63">
        <f>ROUND(VLOOKUP(C18,'RAW DATA 2023'!E:BO,23,0),0)</f>
        <v>31</v>
      </c>
    </row>
    <row r="19" spans="1:12">
      <c r="A19" s="63" t="str">
        <f>'RAW DATA 2023'!B735</f>
        <v>Andaman</v>
      </c>
      <c r="B19" s="63" t="str">
        <f>'RAW DATA 2023'!D735</f>
        <v>A1-008-0046</v>
      </c>
      <c r="C19" s="63" t="str">
        <f>A19&amp;B19</f>
        <v>AndamanA1-008-0046</v>
      </c>
      <c r="D19" s="63">
        <f>VLOOKUP(C19,'RAW DATA 2023'!E:BP,63,0)</f>
        <v>8</v>
      </c>
      <c r="E19" s="63" t="str">
        <f>A19&amp;D19</f>
        <v>Andaman8</v>
      </c>
      <c r="F19" s="389">
        <f>VLOOKUP(C19,'RAW DATA 2023'!E:BO,57,0)</f>
        <v>164.87972594959237</v>
      </c>
      <c r="G19" s="63">
        <f>VLOOKUP(C19,'RAW DATA 2023'!E:BO,58,0)</f>
        <v>184</v>
      </c>
      <c r="H19" s="390">
        <f>IFERROR((G19-F19)/G19,0)</f>
        <v>0.10391453288265017</v>
      </c>
      <c r="I19" s="398">
        <f>IF(H19&lt;0,((0.25-(H19*(-1)))*$L$7),IF(H19&gt;0,(H19*$N$7)+$L$6,0))</f>
        <v>18.875441753741342</v>
      </c>
      <c r="J19" s="73">
        <f>VLOOKUP(C19,'RAW DATA 2023'!E:AC,21,0)</f>
        <v>24.19117</v>
      </c>
      <c r="K19" s="398">
        <f>I19*J19</f>
        <v>456.61902028985492</v>
      </c>
      <c r="L19" s="63">
        <f>ROUND(VLOOKUP(C19,'RAW DATA 2023'!E:BO,23,0),0)</f>
        <v>38</v>
      </c>
    </row>
    <row r="20" spans="1:12">
      <c r="A20" s="63" t="str">
        <f>'RAW DATA 2023'!B736</f>
        <v>Andaman</v>
      </c>
      <c r="B20" s="63" t="str">
        <f>'RAW DATA 2023'!D736</f>
        <v>A1-004-0048</v>
      </c>
      <c r="C20" s="63" t="str">
        <f>A20&amp;B20</f>
        <v>AndamanA1-004-0048</v>
      </c>
      <c r="D20" s="63">
        <f>VLOOKUP(C20,'RAW DATA 2023'!E:BP,63,0)</f>
        <v>8</v>
      </c>
      <c r="E20" s="63" t="str">
        <f>A20&amp;D20</f>
        <v>Andaman8</v>
      </c>
      <c r="F20" s="389">
        <f>VLOOKUP(C20,'RAW DATA 2023'!E:BO,57,0)</f>
        <v>217.60539788383804</v>
      </c>
      <c r="G20" s="63">
        <f>VLOOKUP(C20,'RAW DATA 2023'!E:BO,58,0)</f>
        <v>172</v>
      </c>
      <c r="H20" s="390">
        <f>IFERROR((G20-F20)/G20,0)</f>
        <v>-0.26514766211533741</v>
      </c>
      <c r="I20" s="398">
        <f>IF(H20&lt;0,((0.25-(H20*(-1)))*$L$7),IF(H20&gt;0,(H20*$N$7)+$L$6,0))</f>
        <v>-0.80787531281799541</v>
      </c>
      <c r="J20" s="73">
        <f>VLOOKUP(C20,'RAW DATA 2023'!E:AC,21,0)</f>
        <v>12.03027</v>
      </c>
      <c r="K20" s="398">
        <f>I20*J20</f>
        <v>-9.718958139534946</v>
      </c>
      <c r="L20" s="63">
        <f>ROUND(VLOOKUP(C20,'RAW DATA 2023'!E:BO,23,0),0)</f>
        <v>47</v>
      </c>
    </row>
    <row r="21" spans="1:12">
      <c r="A21" s="63" t="str">
        <f>'RAW DATA 2023'!B737</f>
        <v>Andaman</v>
      </c>
      <c r="B21" s="63" t="str">
        <f>'RAW DATA 2023'!D737</f>
        <v>A1-013-0019</v>
      </c>
      <c r="C21" s="63" t="str">
        <f>A21&amp;B21</f>
        <v>AndamanA1-013-0019</v>
      </c>
      <c r="D21" s="63">
        <f>VLOOKUP(C21,'RAW DATA 2023'!E:BP,63,0)</f>
        <v>8</v>
      </c>
      <c r="E21" s="63" t="str">
        <f>A21&amp;D21</f>
        <v>Andaman8</v>
      </c>
      <c r="F21" s="389">
        <f>VLOOKUP(C21,'RAW DATA 2023'!E:BO,57,0)</f>
        <v>322.08853725719325</v>
      </c>
      <c r="G21" s="63">
        <f>VLOOKUP(C21,'RAW DATA 2023'!E:BO,58,0)</f>
        <v>150</v>
      </c>
      <c r="H21" s="390">
        <f>IFERROR((G21-F21)/G21,0)</f>
        <v>-1.147256915047955</v>
      </c>
      <c r="I21" s="398">
        <f>IF(H21&lt;0,((0.25-(H21*(-1)))*$L$7),IF(H21&gt;0,(H21*$N$7)+$L$6,0))</f>
        <v>-47.853702135890934</v>
      </c>
      <c r="J21" s="73">
        <f>VLOOKUP(C21,'RAW DATA 2023'!E:AC,21,0)</f>
        <v>5.0317799999999995</v>
      </c>
      <c r="K21" s="398">
        <f>I21*J21</f>
        <v>-240.78930133333327</v>
      </c>
      <c r="L21" s="63">
        <f>ROUND(VLOOKUP(C21,'RAW DATA 2023'!E:BO,23,0),0)</f>
        <v>86</v>
      </c>
    </row>
    <row r="22" spans="1:12">
      <c r="A22" s="63" t="str">
        <f>'RAW DATA 2023'!B727</f>
        <v>Andaman</v>
      </c>
      <c r="B22" s="63" t="str">
        <f>'RAW DATA 2023'!D727</f>
        <v>A1-016-0015</v>
      </c>
      <c r="C22" s="63" t="str">
        <f>A22&amp;B22</f>
        <v>AndamanA1-016-0015</v>
      </c>
      <c r="D22" s="63">
        <f>VLOOKUP(C22,'RAW DATA 2023'!E:BP,63,0)</f>
        <v>9</v>
      </c>
      <c r="E22" s="63" t="str">
        <f>A22&amp;D22</f>
        <v>Andaman9</v>
      </c>
      <c r="F22" s="389">
        <f>VLOOKUP(C22,'RAW DATA 2023'!E:BO,57,0)</f>
        <v>266.16104774871411</v>
      </c>
      <c r="G22" s="63">
        <f>VLOOKUP(C22,'RAW DATA 2023'!E:BO,58,0)</f>
        <v>197</v>
      </c>
      <c r="H22" s="390">
        <f>IFERROR((G22-F22)/G22,0)</f>
        <v>-0.35107130836910716</v>
      </c>
      <c r="I22" s="398">
        <f>IF(H22&lt;0,((0.25-(H22*(-1)))*$L$7),IF(H22&gt;0,(H22*$N$7)+$L$6,0))</f>
        <v>-5.3904697796857155</v>
      </c>
      <c r="J22" s="73">
        <f>VLOOKUP(C22,'RAW DATA 2023'!E:AC,21,0)</f>
        <v>15.372770000000001</v>
      </c>
      <c r="K22" s="398">
        <f>I22*J22</f>
        <v>-82.866452115059175</v>
      </c>
      <c r="L22" s="63">
        <f>ROUND(VLOOKUP(C22,'RAW DATA 2023'!E:BO,23,0),0)</f>
        <v>31</v>
      </c>
    </row>
    <row r="23" spans="1:12">
      <c r="A23" s="63" t="str">
        <f>'RAW DATA 2023'!B729</f>
        <v>Andaman</v>
      </c>
      <c r="B23" s="63" t="str">
        <f>'RAW DATA 2023'!D729</f>
        <v>A1-014-0019</v>
      </c>
      <c r="C23" s="63" t="str">
        <f>A23&amp;B23</f>
        <v>AndamanA1-014-0019</v>
      </c>
      <c r="D23" s="63">
        <f>VLOOKUP(C23,'RAW DATA 2023'!E:BP,63,0)</f>
        <v>9</v>
      </c>
      <c r="E23" s="63" t="str">
        <f>A23&amp;D23</f>
        <v>Andaman9</v>
      </c>
      <c r="F23" s="389">
        <f>VLOOKUP(C23,'RAW DATA 2023'!E:BO,57,0)</f>
        <v>354.14175780985647</v>
      </c>
      <c r="G23" s="63">
        <f>VLOOKUP(C23,'RAW DATA 2023'!E:BO,58,0)</f>
        <v>174</v>
      </c>
      <c r="H23" s="390">
        <f>IFERROR((G23-F23)/G23,0)</f>
        <v>-1.035297458677336</v>
      </c>
      <c r="I23" s="398">
        <f>IF(H23&lt;0,((0.25-(H23*(-1)))*$L$7),IF(H23&gt;0,(H23*$N$7)+$L$6,0))</f>
        <v>-41.882531129457924</v>
      </c>
      <c r="J23" s="73">
        <f>VLOOKUP(C23,'RAW DATA 2023'!E:AC,21,0)</f>
        <v>7.6838800000000003</v>
      </c>
      <c r="K23" s="398">
        <f>I23*J23</f>
        <v>-321.82034329501914</v>
      </c>
      <c r="L23" s="63">
        <f>ROUND(VLOOKUP(C23,'RAW DATA 2023'!E:BO,23,0),0)</f>
        <v>46</v>
      </c>
    </row>
    <row r="24" spans="1:12">
      <c r="A24" s="63" t="str">
        <f>'RAW DATA 2023'!B475</f>
        <v>Bangkachai1</v>
      </c>
      <c r="B24" s="63" t="str">
        <f>'RAW DATA 2023'!D475</f>
        <v>BG-045-0013</v>
      </c>
      <c r="C24" s="63" t="str">
        <f>A24&amp;B24</f>
        <v>Bangkachai1BG-045-0013</v>
      </c>
      <c r="D24" s="63">
        <f>VLOOKUP(C24,'RAW DATA 2023'!E:BP,63,0)</f>
        <v>10</v>
      </c>
      <c r="E24" s="63" t="str">
        <f>A24&amp;D24</f>
        <v>Bangkachai110</v>
      </c>
      <c r="F24" s="389">
        <f>VLOOKUP(C24,'RAW DATA 2023'!E:BO,57,0)</f>
        <v>322.25557474610889</v>
      </c>
      <c r="G24" s="63">
        <f>VLOOKUP(C24,'RAW DATA 2023'!E:BO,58,0)</f>
        <v>187</v>
      </c>
      <c r="H24" s="390">
        <f>IFERROR((G24-F24)/G24,0)</f>
        <v>-0.72329184356207965</v>
      </c>
      <c r="I24" s="398">
        <f>IF(H24&lt;0,((0.25-(H24*(-1)))*$L$7),IF(H24&gt;0,(H24*$N$7)+$L$6,0))</f>
        <v>-25.24223165664425</v>
      </c>
      <c r="J24" s="73">
        <f>VLOOKUP(C24,'RAW DATA 2023'!E:AC,21,0)</f>
        <v>15.198450000000001</v>
      </c>
      <c r="K24" s="398">
        <f>I24*J24</f>
        <v>-383.64279572192481</v>
      </c>
      <c r="L24" s="63">
        <f>ROUND(VLOOKUP(C24,'RAW DATA 2023'!E:BO,23,0),0)</f>
        <v>35</v>
      </c>
    </row>
    <row r="25" spans="1:12">
      <c r="A25" s="63" t="str">
        <f>'RAW DATA 2023'!B479</f>
        <v>Bangkachai1</v>
      </c>
      <c r="B25" s="63" t="str">
        <f>'RAW DATA 2023'!D479</f>
        <v>A1-061-0007</v>
      </c>
      <c r="C25" s="63" t="str">
        <f>A25&amp;B25</f>
        <v>Bangkachai1A1-061-0007</v>
      </c>
      <c r="D25" s="63">
        <f>VLOOKUP(C25,'RAW DATA 2023'!E:BP,63,0)</f>
        <v>10</v>
      </c>
      <c r="E25" s="63" t="str">
        <f>A25&amp;D25</f>
        <v>Bangkachai110</v>
      </c>
      <c r="F25" s="389">
        <f>VLOOKUP(C25,'RAW DATA 2023'!E:BO,57,0)</f>
        <v>236.00118499577914</v>
      </c>
      <c r="G25" s="63">
        <f>VLOOKUP(C25,'RAW DATA 2023'!E:BO,58,0)</f>
        <v>204</v>
      </c>
      <c r="H25" s="390">
        <f>IFERROR((G25-F25)/G25,0)</f>
        <v>-0.15686855390087814</v>
      </c>
      <c r="I25" s="398">
        <f>IF(H25&lt;0,((0.25-(H25*(-1)))*$L$7),IF(H25&gt;0,(H25*$N$7)+$L$6,0))</f>
        <v>4.9670104586198329</v>
      </c>
      <c r="J25" s="73">
        <f>VLOOKUP(C25,'RAW DATA 2023'!E:AC,21,0)</f>
        <v>18.39669</v>
      </c>
      <c r="K25" s="398">
        <f>I25*J25</f>
        <v>91.376551633986892</v>
      </c>
      <c r="L25" s="63">
        <f>ROUND(VLOOKUP(C25,'RAW DATA 2023'!E:BO,23,0),0)</f>
        <v>28</v>
      </c>
    </row>
    <row r="26" spans="1:12">
      <c r="A26" s="63" t="str">
        <f>'RAW DATA 2023'!B480</f>
        <v>Bangkachai1</v>
      </c>
      <c r="B26" s="63" t="str">
        <f>'RAW DATA 2023'!D480</f>
        <v>A1-060-0006</v>
      </c>
      <c r="C26" s="63" t="str">
        <f>A26&amp;B26</f>
        <v>Bangkachai1A1-060-0006</v>
      </c>
      <c r="D26" s="63">
        <f>VLOOKUP(C26,'RAW DATA 2023'!E:BP,63,0)</f>
        <v>10</v>
      </c>
      <c r="E26" s="63" t="str">
        <f>A26&amp;D26</f>
        <v>Bangkachai110</v>
      </c>
      <c r="F26" s="389">
        <f>VLOOKUP(C26,'RAW DATA 2023'!E:BO,57,0)</f>
        <v>268.60134686621427</v>
      </c>
      <c r="G26" s="63">
        <f>VLOOKUP(C26,'RAW DATA 2023'!E:BO,58,0)</f>
        <v>200</v>
      </c>
      <c r="H26" s="390">
        <f>IFERROR((G26-F26)/G26,0)</f>
        <v>-0.34300673433107137</v>
      </c>
      <c r="I26" s="398">
        <f>IF(H26&lt;0,((0.25-(H26*(-1)))*$L$7),IF(H26&gt;0,(H26*$N$7)+$L$6,0))</f>
        <v>-4.9603591643238065</v>
      </c>
      <c r="J26" s="73">
        <f>VLOOKUP(C26,'RAW DATA 2023'!E:AC,21,0)</f>
        <v>16.19463</v>
      </c>
      <c r="K26" s="398">
        <f>I26*J26</f>
        <v>-80.331181333333248</v>
      </c>
      <c r="L26" s="63">
        <f>ROUND(VLOOKUP(C26,'RAW DATA 2023'!E:BO,23,0),0)</f>
        <v>29</v>
      </c>
    </row>
    <row r="27" spans="1:12">
      <c r="A27" s="63" t="str">
        <f>'RAW DATA 2023'!B481</f>
        <v>Bangkachai1</v>
      </c>
      <c r="B27" s="63" t="str">
        <f>'RAW DATA 2023'!D481</f>
        <v>BG-044-0009</v>
      </c>
      <c r="C27" s="63" t="str">
        <f>A27&amp;B27</f>
        <v>Bangkachai1BG-044-0009</v>
      </c>
      <c r="D27" s="63">
        <f>VLOOKUP(C27,'RAW DATA 2023'!E:BP,63,0)</f>
        <v>3</v>
      </c>
      <c r="E27" s="63" t="str">
        <f>A27&amp;D27</f>
        <v>Bangkachai13</v>
      </c>
      <c r="F27" s="389">
        <f>VLOOKUP(C27,'RAW DATA 2023'!E:BO,57,0)</f>
        <v>252.9488870384632</v>
      </c>
      <c r="G27" s="63">
        <f>VLOOKUP(C27,'RAW DATA 2023'!E:BO,58,0)</f>
        <v>189</v>
      </c>
      <c r="H27" s="390">
        <f>IFERROR((G27-F27)/G27,0)</f>
        <v>-0.33835389967440843</v>
      </c>
      <c r="I27" s="398">
        <f>IF(H27&lt;0,((0.25-(H27*(-1)))*$L$7),IF(H27&gt;0,(H27*$N$7)+$L$6,0))</f>
        <v>-4.7122079826351166</v>
      </c>
      <c r="J27" s="73">
        <f>VLOOKUP(C27,'RAW DATA 2023'!E:AC,21,0)</f>
        <v>20.139509999999998</v>
      </c>
      <c r="K27" s="398">
        <f>I27*J27</f>
        <v>-94.901559788359748</v>
      </c>
    </row>
    <row r="28" spans="1:12">
      <c r="A28" s="63" t="str">
        <f>'RAW DATA 2023'!B484</f>
        <v>Bangkachai1</v>
      </c>
      <c r="B28" s="63" t="str">
        <f>'RAW DATA 2023'!D484</f>
        <v>A1-047-0009</v>
      </c>
      <c r="C28" s="63" t="str">
        <f>A28&amp;B28</f>
        <v>Bangkachai1A1-047-0009</v>
      </c>
      <c r="D28" s="63">
        <f>VLOOKUP(C28,'RAW DATA 2023'!E:BP,63,0)</f>
        <v>3</v>
      </c>
      <c r="E28" s="63" t="str">
        <f>A28&amp;D28</f>
        <v>Bangkachai13</v>
      </c>
      <c r="F28" s="389">
        <f>VLOOKUP(C28,'RAW DATA 2023'!E:BO,57,0)</f>
        <v>345.14251302190468</v>
      </c>
      <c r="G28" s="63">
        <f>VLOOKUP(C28,'RAW DATA 2023'!E:BO,58,0)</f>
        <v>191</v>
      </c>
      <c r="H28" s="390">
        <f>IFERROR((G28-F28)/G28,0)</f>
        <v>-0.80702886398902973</v>
      </c>
      <c r="I28" s="398">
        <f>IF(H28&lt;0,((0.25-(H28*(-1)))*$L$7),IF(H28&gt;0,(H28*$N$7)+$L$6,0))</f>
        <v>-29.708206079414921</v>
      </c>
      <c r="J28" s="73">
        <f>VLOOKUP(C28,'RAW DATA 2023'!E:AC,21,0)</f>
        <v>20.661339999999999</v>
      </c>
      <c r="K28" s="398">
        <f>I28*J28</f>
        <v>-613.8113465968587</v>
      </c>
    </row>
    <row r="29" spans="1:12">
      <c r="A29" s="63" t="str">
        <f>'RAW DATA 2023'!B477</f>
        <v>Bangkachai1</v>
      </c>
      <c r="B29" s="63" t="str">
        <f>'RAW DATA 2023'!D477</f>
        <v>BG-045-0012</v>
      </c>
      <c r="C29" s="63" t="str">
        <f>A29&amp;B29</f>
        <v>Bangkachai1BG-045-0012</v>
      </c>
      <c r="D29" s="63">
        <f>VLOOKUP(C29,'RAW DATA 2023'!E:BP,63,0)</f>
        <v>5</v>
      </c>
      <c r="E29" s="63" t="str">
        <f>A29&amp;D29</f>
        <v>Bangkachai15</v>
      </c>
      <c r="F29" s="389">
        <f>VLOOKUP(C29,'RAW DATA 2023'!E:BO,57,0)</f>
        <v>241.25258042288763</v>
      </c>
      <c r="G29" s="63">
        <f>VLOOKUP(C29,'RAW DATA 2023'!E:BO,58,0)</f>
        <v>194</v>
      </c>
      <c r="H29" s="397">
        <f>IFERROR((G29-F29)/G29,0)</f>
        <v>-0.24357000217983316</v>
      </c>
      <c r="I29" s="398">
        <f>IF(H29&lt;0,((0.25-(H29*(-1)))*$L$7),IF(H29&gt;0,(H29*$N$7)+$L$6,0))</f>
        <v>0.34293321707556501</v>
      </c>
      <c r="J29" s="73">
        <f>VLOOKUP(C29,'RAW DATA 2023'!E:AC,21,0)</f>
        <v>21.377310000000001</v>
      </c>
      <c r="K29" s="398">
        <f>I29*J29</f>
        <v>7.3309896907216467</v>
      </c>
    </row>
    <row r="30" spans="1:12">
      <c r="A30" s="63" t="str">
        <f>'RAW DATA 2023'!B482</f>
        <v>Bangkachai1</v>
      </c>
      <c r="B30" s="63" t="str">
        <f>'RAW DATA 2023'!D482</f>
        <v>A1-061-0006</v>
      </c>
      <c r="C30" s="63" t="str">
        <f>A30&amp;B30</f>
        <v>Bangkachai1A1-061-0006</v>
      </c>
      <c r="D30" s="63">
        <f>VLOOKUP(C30,'RAW DATA 2023'!E:BP,63,0)</f>
        <v>5</v>
      </c>
      <c r="E30" s="63" t="str">
        <f>A30&amp;D30</f>
        <v>Bangkachai15</v>
      </c>
      <c r="F30" s="389">
        <f>VLOOKUP(C30,'RAW DATA 2023'!E:BO,57,0)</f>
        <v>308.13660439374138</v>
      </c>
      <c r="G30" s="63">
        <f>VLOOKUP(C30,'RAW DATA 2023'!E:BO,58,0)</f>
        <v>186</v>
      </c>
      <c r="H30" s="397">
        <f>IFERROR((G30-F30)/G30,0)</f>
        <v>-0.65664841071903968</v>
      </c>
      <c r="I30" s="398">
        <f>IF(H30&lt;0,((0.25-(H30*(-1)))*$L$7),IF(H30&gt;0,(H30*$N$7)+$L$6,0))</f>
        <v>-21.687915238348783</v>
      </c>
      <c r="J30" s="73">
        <f>VLOOKUP(C30,'RAW DATA 2023'!E:AC,21,0)</f>
        <v>14.628080000000001</v>
      </c>
      <c r="K30" s="398">
        <f>I30*J30</f>
        <v>-317.25255913978509</v>
      </c>
    </row>
    <row r="31" spans="1:12">
      <c r="A31" s="63" t="str">
        <f>'RAW DATA 2023'!B483</f>
        <v>Bangkachai1</v>
      </c>
      <c r="B31" s="63" t="str">
        <f>'RAW DATA 2023'!D483</f>
        <v>A1-060-0005</v>
      </c>
      <c r="C31" s="63" t="str">
        <f>A31&amp;B31</f>
        <v>Bangkachai1A1-060-0005</v>
      </c>
      <c r="D31" s="63">
        <f>VLOOKUP(C31,'RAW DATA 2023'!E:BP,63,0)</f>
        <v>5</v>
      </c>
      <c r="E31" s="63" t="str">
        <f>A31&amp;D31</f>
        <v>Bangkachai15</v>
      </c>
      <c r="F31" s="389">
        <f>VLOOKUP(C31,'RAW DATA 2023'!E:BO,57,0)</f>
        <v>247.7951077574796</v>
      </c>
      <c r="G31" s="63">
        <f>VLOOKUP(C31,'RAW DATA 2023'!E:BO,58,0)</f>
        <v>180</v>
      </c>
      <c r="H31" s="390">
        <f>IFERROR((G31-F31)/G31,0)</f>
        <v>-0.37663948754155335</v>
      </c>
      <c r="I31" s="398">
        <f>IF(H31&lt;0,((0.25-(H31*(-1)))*$L$7),IF(H31&gt;0,(H31*$N$7)+$L$6,0))</f>
        <v>-6.7541060022161794</v>
      </c>
      <c r="J31" s="73">
        <f>VLOOKUP(C31,'RAW DATA 2023'!E:AC,21,0)</f>
        <v>18.885000000000002</v>
      </c>
      <c r="K31" s="398">
        <f>I31*J31</f>
        <v>-127.55129185185255</v>
      </c>
    </row>
    <row r="32" spans="1:12">
      <c r="A32" s="63" t="str">
        <f>'RAW DATA 2023'!B476</f>
        <v>Bangkachai1</v>
      </c>
      <c r="B32" s="63" t="str">
        <f>'RAW DATA 2023'!D476</f>
        <v>BG-044-0010</v>
      </c>
      <c r="C32" s="63" t="str">
        <f>A32&amp;B32</f>
        <v>Bangkachai1BG-044-0010</v>
      </c>
      <c r="D32" s="63">
        <f>VLOOKUP(C32,'RAW DATA 2023'!E:BP,63,0)</f>
        <v>8</v>
      </c>
      <c r="E32" s="63" t="str">
        <f>A32&amp;D32</f>
        <v>Bangkachai18</v>
      </c>
      <c r="F32" s="389">
        <f>VLOOKUP(C32,'RAW DATA 2023'!E:BO,57,0)</f>
        <v>259.4577920092475</v>
      </c>
      <c r="G32" s="63">
        <f>VLOOKUP(C32,'RAW DATA 2023'!E:BO,58,0)</f>
        <v>184</v>
      </c>
      <c r="H32" s="397">
        <f>IFERROR((G32-F32)/G32,0)</f>
        <v>-0.41009669570243207</v>
      </c>
      <c r="I32" s="398">
        <f>IF(H32&lt;0,((0.25-(H32*(-1)))*$L$7),IF(H32&gt;0,(H32*$N$7)+$L$6,0))</f>
        <v>-8.5384904374630448</v>
      </c>
      <c r="J32" s="73">
        <f>VLOOKUP(C32,'RAW DATA 2023'!E:AC,21,0)</f>
        <v>18.47861</v>
      </c>
      <c r="K32" s="398">
        <f>I32*J32</f>
        <v>-157.779434782609</v>
      </c>
    </row>
    <row r="33" spans="1:18">
      <c r="A33" s="63" t="str">
        <f>'RAW DATA 2023'!B478</f>
        <v>Bangkachai1</v>
      </c>
      <c r="B33" s="63" t="str">
        <f>'RAW DATA 2023'!D478</f>
        <v>A1-047-0010</v>
      </c>
      <c r="C33" s="63" t="str">
        <f>A33&amp;B33</f>
        <v>Bangkachai1A1-047-0010</v>
      </c>
      <c r="D33" s="63">
        <f>VLOOKUP(C33,'RAW DATA 2023'!E:BP,63,0)</f>
        <v>8</v>
      </c>
      <c r="E33" s="63" t="str">
        <f>A33&amp;D33</f>
        <v>Bangkachai18</v>
      </c>
      <c r="F33" s="389">
        <f>VLOOKUP(C33,'RAW DATA 2023'!E:BO,57,0)</f>
        <v>200.08419845295944</v>
      </c>
      <c r="G33" s="63">
        <f>VLOOKUP(C33,'RAW DATA 2023'!E:BO,58,0)</f>
        <v>183</v>
      </c>
      <c r="H33" s="397">
        <f>IFERROR((G33-F33)/G33,0)</f>
        <v>-9.3356275699231925E-2</v>
      </c>
      <c r="I33" s="398">
        <f>IF(H33&lt;0,((0.25-(H33*(-1)))*$L$7),IF(H33&gt;0,(H33*$N$7)+$L$6,0))</f>
        <v>8.3543319627076311</v>
      </c>
      <c r="J33" s="73">
        <f>VLOOKUP(C33,'RAW DATA 2023'!E:AC,21,0)</f>
        <v>24.865539999999999</v>
      </c>
      <c r="K33" s="398">
        <f>I33*J33</f>
        <v>207.73497559198509</v>
      </c>
    </row>
    <row r="34" spans="1:18">
      <c r="A34" s="63" t="str">
        <f>'RAW DATA 2023'!B506</f>
        <v>Bangsakao</v>
      </c>
      <c r="B34" s="63" t="str">
        <f>'RAW DATA 2023'!D506</f>
        <v>DG-005-0024</v>
      </c>
      <c r="C34" s="63" t="str">
        <f>A34&amp;B34</f>
        <v>BangsakaoDG-005-0024</v>
      </c>
      <c r="D34" s="63">
        <f>VLOOKUP(C34,'RAW DATA 2023'!E:BP,63,0)</f>
        <v>1</v>
      </c>
      <c r="E34" s="63" t="str">
        <f>A34&amp;D34</f>
        <v>Bangsakao1</v>
      </c>
      <c r="F34" s="389">
        <f>VLOOKUP(C34,'RAW DATA 2023'!E:BO,57,0)</f>
        <v>207.09858385651205</v>
      </c>
      <c r="G34" s="63">
        <f>VLOOKUP(C34,'RAW DATA 2023'!E:BO,58,0)</f>
        <v>192</v>
      </c>
      <c r="H34" s="390">
        <f>IFERROR((G34-F34)/G34,0)</f>
        <v>-7.8638457586000257E-2</v>
      </c>
      <c r="I34" s="398">
        <f>IF(H34&lt;0,((0.25-(H34*(-1)))*$L$7),IF(H34&gt;0,(H34*$N$7)+$L$6,0))</f>
        <v>9.1392822620799876</v>
      </c>
      <c r="J34" s="73">
        <f>VLOOKUP(C34,'RAW DATA 2023'!E:AC,21,0)</f>
        <v>18.253799999999998</v>
      </c>
      <c r="K34" s="398">
        <f>I34*J34</f>
        <v>166.82663055555565</v>
      </c>
      <c r="R34" s="400"/>
    </row>
    <row r="35" spans="1:18">
      <c r="A35" s="63" t="str">
        <f>'RAW DATA 2023'!B510</f>
        <v>Bangsakao</v>
      </c>
      <c r="B35" s="63" t="str">
        <f>'RAW DATA 2023'!D510</f>
        <v>DG-001-0026</v>
      </c>
      <c r="C35" s="63" t="str">
        <f>A35&amp;B35</f>
        <v>BangsakaoDG-001-0026</v>
      </c>
      <c r="D35" s="63">
        <f>VLOOKUP(C35,'RAW DATA 2023'!E:BP,63,0)</f>
        <v>1</v>
      </c>
      <c r="E35" s="63" t="str">
        <f>A35&amp;D35</f>
        <v>Bangsakao1</v>
      </c>
      <c r="F35" s="389">
        <f>VLOOKUP(C35,'RAW DATA 2023'!E:BO,57,0)</f>
        <v>198.59790370307789</v>
      </c>
      <c r="G35" s="63">
        <f>VLOOKUP(C35,'RAW DATA 2023'!E:BO,58,0)</f>
        <v>191</v>
      </c>
      <c r="H35" s="390">
        <f>IFERROR((G35-F35)/G35,0)</f>
        <v>-3.9779600539674817E-2</v>
      </c>
      <c r="I35" s="398">
        <f>IF(H35&lt;0,((0.25-(H35*(-1)))*$L$7),IF(H35&gt;0,(H35*$N$7)+$L$6,0))</f>
        <v>11.21175463788401</v>
      </c>
      <c r="J35" s="73">
        <f>VLOOKUP(C35,'RAW DATA 2023'!E:AC,21,0)</f>
        <v>19.64798</v>
      </c>
      <c r="K35" s="398">
        <f>I35*J35</f>
        <v>220.28833089005226</v>
      </c>
      <c r="R35" s="400"/>
    </row>
    <row r="36" spans="1:18">
      <c r="A36" s="63" t="str">
        <f>'RAW DATA 2023'!B514</f>
        <v>Bangsakao</v>
      </c>
      <c r="B36" s="63" t="str">
        <f>'RAW DATA 2023'!D514</f>
        <v>CG-009-0024</v>
      </c>
      <c r="C36" s="63" t="str">
        <f>A36&amp;B36</f>
        <v>BangsakaoCG-009-0024</v>
      </c>
      <c r="D36" s="63">
        <f>VLOOKUP(C36,'RAW DATA 2023'!E:BP,63,0)</f>
        <v>1</v>
      </c>
      <c r="E36" s="63" t="str">
        <f>A36&amp;D36</f>
        <v>Bangsakao1</v>
      </c>
      <c r="F36" s="389">
        <f>VLOOKUP(C36,'RAW DATA 2023'!E:BO,57,0)</f>
        <v>233.09200219205167</v>
      </c>
      <c r="G36" s="63">
        <f>VLOOKUP(C36,'RAW DATA 2023'!E:BO,58,0)</f>
        <v>189</v>
      </c>
      <c r="H36" s="390">
        <f>IFERROR((G36-F36)/G36,0)</f>
        <v>-0.23329101688916226</v>
      </c>
      <c r="I36" s="398">
        <f>IF(H36&lt;0,((0.25-(H36*(-1)))*$L$7),IF(H36&gt;0,(H36*$N$7)+$L$6,0))</f>
        <v>0.89114576591134609</v>
      </c>
      <c r="J36" s="73">
        <f>VLOOKUP(C36,'RAW DATA 2023'!E:AC,21,0)</f>
        <v>27.353369999999998</v>
      </c>
      <c r="K36" s="398">
        <f>I36*J36</f>
        <v>24.375839858906435</v>
      </c>
      <c r="R36" s="400"/>
    </row>
    <row r="37" spans="1:18">
      <c r="A37" s="63" t="str">
        <f>'RAW DATA 2023'!B520</f>
        <v>Bangsakao</v>
      </c>
      <c r="B37" s="63" t="str">
        <f>'RAW DATA 2023'!D520</f>
        <v>CG-003-0025</v>
      </c>
      <c r="C37" s="63" t="str">
        <f>A37&amp;B37</f>
        <v>BangsakaoCG-003-0025</v>
      </c>
      <c r="D37" s="63">
        <f>VLOOKUP(C37,'RAW DATA 2023'!E:BP,63,0)</f>
        <v>1</v>
      </c>
      <c r="E37" s="63" t="str">
        <f>A37&amp;D37</f>
        <v>Bangsakao1</v>
      </c>
      <c r="F37" s="389">
        <f>VLOOKUP(C37,'RAW DATA 2023'!E:BO,57,0)</f>
        <v>217.53406360828285</v>
      </c>
      <c r="G37" s="63">
        <f>VLOOKUP(C37,'RAW DATA 2023'!E:BO,58,0)</f>
        <v>183</v>
      </c>
      <c r="H37" s="390">
        <f>IFERROR((G37-F37)/G37,0)</f>
        <v>-0.18871073009990627</v>
      </c>
      <c r="I37" s="398">
        <f>IF(H37&lt;0,((0.25-(H37*(-1)))*$L$7),IF(H37&gt;0,(H37*$N$7)+$L$6,0))</f>
        <v>3.2687610613383322</v>
      </c>
      <c r="J37" s="73">
        <f>VLOOKUP(C37,'RAW DATA 2023'!E:AC,21,0)</f>
        <v>35.66328</v>
      </c>
      <c r="K37" s="398">
        <f>I37*J37</f>
        <v>116.57474098360612</v>
      </c>
      <c r="R37" s="400"/>
    </row>
    <row r="38" spans="1:18">
      <c r="A38" s="63" t="str">
        <f>'RAW DATA 2023'!B540</f>
        <v>Bangsakao</v>
      </c>
      <c r="B38" s="63" t="str">
        <f>'RAW DATA 2023'!D540</f>
        <v>B1-003-0009</v>
      </c>
      <c r="C38" s="63" t="str">
        <f>A38&amp;B38</f>
        <v>BangsakaoB1-003-0009</v>
      </c>
      <c r="D38" s="63">
        <f>VLOOKUP(C38,'RAW DATA 2023'!E:BP,63,0)</f>
        <v>1</v>
      </c>
      <c r="E38" s="63" t="str">
        <f>A38&amp;D38</f>
        <v>Bangsakao1</v>
      </c>
      <c r="F38" s="389">
        <f>VLOOKUP(C38,'RAW DATA 2023'!E:BO,57,0)</f>
        <v>301.47429845304526</v>
      </c>
      <c r="G38" s="63">
        <f>VLOOKUP(C38,'RAW DATA 2023'!E:BO,58,0)</f>
        <v>150</v>
      </c>
      <c r="H38" s="390">
        <f>IFERROR((G38-F38)/G38,0)</f>
        <v>-1.0098286563536352</v>
      </c>
      <c r="I38" s="398">
        <f>IF(H38&lt;0,((0.25-(H38*(-1)))*$L$7),IF(H38&gt;0,(H38*$N$7)+$L$6,0))</f>
        <v>-40.524195005527211</v>
      </c>
      <c r="J38" s="73">
        <f>VLOOKUP(C38,'RAW DATA 2023'!E:AC,21,0)</f>
        <v>10.263389999999999</v>
      </c>
      <c r="K38" s="398">
        <f>I38*J38</f>
        <v>-415.91561777777792</v>
      </c>
      <c r="R38" s="400"/>
    </row>
    <row r="39" spans="1:18">
      <c r="A39" s="63" t="str">
        <f>'RAW DATA 2023'!B523</f>
        <v>Bangsakao</v>
      </c>
      <c r="B39" s="63" t="str">
        <f>'RAW DATA 2023'!D523</f>
        <v>DG-001-0028</v>
      </c>
      <c r="C39" s="63" t="str">
        <f>A39&amp;B39</f>
        <v>BangsakaoDG-001-0028</v>
      </c>
      <c r="D39" s="63">
        <f>VLOOKUP(C39,'RAW DATA 2023'!E:BP,63,0)</f>
        <v>11</v>
      </c>
      <c r="E39" s="63" t="str">
        <f>A39&amp;D39</f>
        <v>Bangsakao11</v>
      </c>
      <c r="F39" s="389">
        <f>VLOOKUP(C39,'RAW DATA 2023'!E:BO,57,0)</f>
        <v>229.67456615798983</v>
      </c>
      <c r="G39" s="63">
        <f>VLOOKUP(C39,'RAW DATA 2023'!E:BO,58,0)</f>
        <v>186</v>
      </c>
      <c r="H39" s="390">
        <f>IFERROR((G39-F39)/G39,0)</f>
        <v>-0.2348094954730636</v>
      </c>
      <c r="I39" s="398">
        <f>IF(H39&lt;0,((0.25-(H39*(-1)))*$L$7),IF(H39&gt;0,(H39*$N$7)+$L$6,0))</f>
        <v>0.81016024143660825</v>
      </c>
      <c r="J39" s="73">
        <f>VLOOKUP(C39,'RAW DATA 2023'!E:AC,21,0)</f>
        <v>14.999700000000001</v>
      </c>
      <c r="K39" s="398">
        <f>I39*J39</f>
        <v>12.152160573476694</v>
      </c>
      <c r="R39" s="400"/>
    </row>
    <row r="40" spans="1:18">
      <c r="A40" s="63" t="str">
        <f>'RAW DATA 2023'!B524</f>
        <v>Bangsakao</v>
      </c>
      <c r="B40" s="63" t="str">
        <f>'RAW DATA 2023'!D524</f>
        <v>DG-005-0026</v>
      </c>
      <c r="C40" s="63" t="str">
        <f>A40&amp;B40</f>
        <v>BangsakaoDG-005-0026</v>
      </c>
      <c r="D40" s="63">
        <f>VLOOKUP(C40,'RAW DATA 2023'!E:BP,63,0)</f>
        <v>11</v>
      </c>
      <c r="E40" s="63" t="str">
        <f>A40&amp;D40</f>
        <v>Bangsakao11</v>
      </c>
      <c r="F40" s="389">
        <f>VLOOKUP(C40,'RAW DATA 2023'!E:BO,57,0)</f>
        <v>254.07334960134665</v>
      </c>
      <c r="G40" s="63">
        <f>VLOOKUP(C40,'RAW DATA 2023'!E:BO,58,0)</f>
        <v>186</v>
      </c>
      <c r="H40" s="390">
        <f>IFERROR((G40-F40)/G40,0)</f>
        <v>-0.36598575054487448</v>
      </c>
      <c r="I40" s="398">
        <f>IF(H40&lt;0,((0.25-(H40*(-1)))*$L$7),IF(H40&gt;0,(H40*$N$7)+$L$6,0))</f>
        <v>-6.1859066957266391</v>
      </c>
      <c r="J40" s="73">
        <f>VLOOKUP(C40,'RAW DATA 2023'!E:AC,21,0)</f>
        <v>14.560270000000001</v>
      </c>
      <c r="K40" s="398">
        <f>I40*J40</f>
        <v>-90.06847168458772</v>
      </c>
      <c r="R40" s="400"/>
    </row>
    <row r="41" spans="1:18">
      <c r="A41" s="63" t="str">
        <f>'RAW DATA 2023'!B526</f>
        <v>Bangsakao</v>
      </c>
      <c r="B41" s="63" t="str">
        <f>'RAW DATA 2023'!D526</f>
        <v>DG-006-0027</v>
      </c>
      <c r="C41" s="63" t="str">
        <f>A41&amp;B41</f>
        <v>BangsakaoDG-006-0027</v>
      </c>
      <c r="D41" s="63">
        <f>VLOOKUP(C41,'RAW DATA 2023'!E:BP,63,0)</f>
        <v>11</v>
      </c>
      <c r="E41" s="63" t="str">
        <f>A41&amp;D41</f>
        <v>Bangsakao11</v>
      </c>
      <c r="F41" s="389">
        <f>VLOOKUP(C41,'RAW DATA 2023'!E:BO,57,0)</f>
        <v>245.76432387506654</v>
      </c>
      <c r="G41" s="63">
        <f>VLOOKUP(C41,'RAW DATA 2023'!E:BO,58,0)</f>
        <v>187</v>
      </c>
      <c r="H41" s="390">
        <f>IFERROR((G41-F41)/G41,0)</f>
        <v>-0.31424772125704031</v>
      </c>
      <c r="I41" s="398">
        <f>IF(H41&lt;0,((0.25-(H41*(-1)))*$L$7),IF(H41&gt;0,(H41*$N$7)+$L$6,0))</f>
        <v>-3.4265451337088169</v>
      </c>
      <c r="J41" s="73">
        <f>VLOOKUP(C41,'RAW DATA 2023'!E:AC,21,0)</f>
        <v>15.88205</v>
      </c>
      <c r="K41" s="398">
        <f>I41*J41</f>
        <v>-54.420561140820112</v>
      </c>
      <c r="R41" s="400"/>
    </row>
    <row r="42" spans="1:18">
      <c r="A42" s="63" t="str">
        <f>'RAW DATA 2023'!B518</f>
        <v>Bangsakao</v>
      </c>
      <c r="B42" s="63" t="str">
        <f>'RAW DATA 2023'!D518</f>
        <v>CG-008-0030</v>
      </c>
      <c r="C42" s="63" t="str">
        <f>A42&amp;B42</f>
        <v>BangsakaoCG-008-0030</v>
      </c>
      <c r="D42" s="63">
        <f>VLOOKUP(C42,'RAW DATA 2023'!E:BP,63,0)</f>
        <v>12</v>
      </c>
      <c r="E42" s="63" t="str">
        <f>A42&amp;D42</f>
        <v>Bangsakao12</v>
      </c>
      <c r="F42" s="389">
        <f>VLOOKUP(C42,'RAW DATA 2023'!E:BO,57,0)</f>
        <v>230.5860789059557</v>
      </c>
      <c r="G42" s="63">
        <f>VLOOKUP(C42,'RAW DATA 2023'!E:BO,58,0)</f>
        <v>186</v>
      </c>
      <c r="H42" s="397">
        <f>IFERROR((G42-F42)/G42,0)</f>
        <v>-0.23971010164492312</v>
      </c>
      <c r="I42" s="398">
        <f>IF(H42&lt;0,((0.25-(H42*(-1)))*$L$7),IF(H42&gt;0,(H42*$N$7)+$L$6,0))</f>
        <v>0.54879457893743344</v>
      </c>
      <c r="J42" s="73">
        <f>VLOOKUP(C42,'RAW DATA 2023'!E:AC,21,0)</f>
        <v>32.833769999999994</v>
      </c>
      <c r="K42" s="398">
        <f>I42*J42</f>
        <v>18.018994982078532</v>
      </c>
      <c r="R42" s="400"/>
    </row>
    <row r="43" spans="1:18">
      <c r="A43" s="63" t="str">
        <f>'RAW DATA 2023'!B525</f>
        <v>Bangsakao</v>
      </c>
      <c r="B43" s="63" t="str">
        <f>'RAW DATA 2023'!D525</f>
        <v>DG-002-0026</v>
      </c>
      <c r="C43" s="63" t="str">
        <f>A43&amp;B43</f>
        <v>BangsakaoDG-002-0026</v>
      </c>
      <c r="D43" s="63">
        <f>VLOOKUP(C43,'RAW DATA 2023'!E:BP,63,0)</f>
        <v>12</v>
      </c>
      <c r="E43" s="63" t="str">
        <f>A43&amp;D43</f>
        <v>Bangsakao12</v>
      </c>
      <c r="F43" s="389">
        <f>VLOOKUP(C43,'RAW DATA 2023'!E:BO,57,0)</f>
        <v>300.98185310430006</v>
      </c>
      <c r="G43" s="63">
        <f>VLOOKUP(C43,'RAW DATA 2023'!E:BO,58,0)</f>
        <v>184</v>
      </c>
      <c r="H43" s="397">
        <f>IFERROR((G43-F43)/G43,0)</f>
        <v>-0.63577094078423946</v>
      </c>
      <c r="I43" s="398">
        <f>IF(H43&lt;0,((0.25-(H43*(-1)))*$L$7),IF(H43&gt;0,(H43*$N$7)+$L$6,0))</f>
        <v>-20.574450175159438</v>
      </c>
      <c r="J43" s="73">
        <f>VLOOKUP(C43,'RAW DATA 2023'!E:AC,21,0)</f>
        <v>13.286569999999999</v>
      </c>
      <c r="K43" s="398">
        <f>I43*J43</f>
        <v>-273.36387246376813</v>
      </c>
      <c r="R43" s="400"/>
    </row>
    <row r="44" spans="1:18">
      <c r="A44" s="63" t="str">
        <f>'RAW DATA 2023'!B527</f>
        <v>Bangsakao</v>
      </c>
      <c r="B44" s="63" t="str">
        <f>'RAW DATA 2023'!D527</f>
        <v>CG-006-0031</v>
      </c>
      <c r="C44" s="63" t="str">
        <f>A44&amp;B44</f>
        <v>BangsakaoCG-006-0031</v>
      </c>
      <c r="D44" s="63">
        <f>VLOOKUP(C44,'RAW DATA 2023'!E:BP,63,0)</f>
        <v>12</v>
      </c>
      <c r="E44" s="63" t="str">
        <f>A44&amp;D44</f>
        <v>Bangsakao12</v>
      </c>
      <c r="F44" s="389">
        <f>VLOOKUP(C44,'RAW DATA 2023'!E:BO,57,0)</f>
        <v>275.96362425248418</v>
      </c>
      <c r="G44" s="63">
        <f>VLOOKUP(C44,'RAW DATA 2023'!E:BO,58,0)</f>
        <v>177</v>
      </c>
      <c r="H44" s="390">
        <f>IFERROR((G44-F44)/G44,0)</f>
        <v>-0.55911652120047561</v>
      </c>
      <c r="I44" s="398">
        <f>IF(H44&lt;0,((0.25-(H44*(-1)))*$L$7),IF(H44&gt;0,(H44*$N$7)+$L$6,0))</f>
        <v>-16.486214464025366</v>
      </c>
      <c r="J44" s="73">
        <f>VLOOKUP(C44,'RAW DATA 2023'!E:AC,21,0)</f>
        <v>31.556189999999997</v>
      </c>
      <c r="K44" s="398">
        <f>I44*J44</f>
        <v>-520.24211600753256</v>
      </c>
      <c r="R44" s="400"/>
    </row>
    <row r="45" spans="1:18">
      <c r="A45" s="63" t="str">
        <f>'RAW DATA 2023'!B532</f>
        <v>Bangsakao</v>
      </c>
      <c r="B45" s="63" t="str">
        <f>'RAW DATA 2023'!D532</f>
        <v>DG-004-0024</v>
      </c>
      <c r="C45" s="63" t="str">
        <f>A45&amp;B45</f>
        <v>BangsakaoDG-004-0024</v>
      </c>
      <c r="D45" s="63">
        <f>VLOOKUP(C45,'RAW DATA 2023'!E:BP,63,0)</f>
        <v>12</v>
      </c>
      <c r="E45" s="63" t="str">
        <f>A45&amp;D45</f>
        <v>Bangsakao12</v>
      </c>
      <c r="F45" s="389">
        <f>VLOOKUP(C45,'RAW DATA 2023'!E:BO,57,0)</f>
        <v>259.36288274396713</v>
      </c>
      <c r="G45" s="63">
        <f>VLOOKUP(C45,'RAW DATA 2023'!E:BO,58,0)</f>
        <v>183</v>
      </c>
      <c r="H45" s="390">
        <f>IFERROR((G45-F45)/G45,0)</f>
        <v>-0.41728351226211546</v>
      </c>
      <c r="I45" s="398">
        <f>IF(H45&lt;0,((0.25-(H45*(-1)))*$L$7),IF(H45&gt;0,(H45*$N$7)+$L$6,0))</f>
        <v>-8.9217873206461586</v>
      </c>
      <c r="J45" s="73">
        <f>VLOOKUP(C45,'RAW DATA 2023'!E:AC,21,0)</f>
        <v>14.241569999999999</v>
      </c>
      <c r="K45" s="398">
        <f>I45*J45</f>
        <v>-127.0602586520947</v>
      </c>
      <c r="R45" s="400"/>
    </row>
    <row r="46" spans="1:18">
      <c r="A46" s="63" t="str">
        <f>'RAW DATA 2023'!B533</f>
        <v>Bangsakao</v>
      </c>
      <c r="B46" s="63" t="str">
        <f>'RAW DATA 2023'!D533</f>
        <v>DG-003-0026</v>
      </c>
      <c r="C46" s="63" t="str">
        <f>A46&amp;B46</f>
        <v>BangsakaoDG-003-0026</v>
      </c>
      <c r="D46" s="63">
        <f>VLOOKUP(C46,'RAW DATA 2023'!E:BP,63,0)</f>
        <v>12</v>
      </c>
      <c r="E46" s="63" t="str">
        <f>A46&amp;D46</f>
        <v>Bangsakao12</v>
      </c>
      <c r="F46" s="389">
        <f>VLOOKUP(C46,'RAW DATA 2023'!E:BO,57,0)</f>
        <v>284.40857187560368</v>
      </c>
      <c r="G46" s="63">
        <f>VLOOKUP(C46,'RAW DATA 2023'!E:BO,58,0)</f>
        <v>181</v>
      </c>
      <c r="H46" s="390">
        <f>IFERROR((G46-F46)/G46,0)</f>
        <v>-0.57131807666079382</v>
      </c>
      <c r="I46" s="398">
        <f>IF(H46&lt;0,((0.25-(H46*(-1)))*$L$7),IF(H46&gt;0,(H46*$N$7)+$L$6,0))</f>
        <v>-17.13696408857567</v>
      </c>
      <c r="J46" s="73">
        <f>VLOOKUP(C46,'RAW DATA 2023'!E:AC,21,0)</f>
        <v>13.61359</v>
      </c>
      <c r="K46" s="398">
        <f>I46*J46</f>
        <v>-233.29560294659285</v>
      </c>
      <c r="R46" s="400"/>
    </row>
    <row r="47" spans="1:18">
      <c r="A47" s="63" t="str">
        <f>'RAW DATA 2023'!B535</f>
        <v>Bangsakao</v>
      </c>
      <c r="B47" s="63" t="str">
        <f>'RAW DATA 2023'!D535</f>
        <v>CG-009-0026</v>
      </c>
      <c r="C47" s="63" t="str">
        <f>A47&amp;B47</f>
        <v>BangsakaoCG-009-0026</v>
      </c>
      <c r="D47" s="63">
        <f>VLOOKUP(C47,'RAW DATA 2023'!E:BP,63,0)</f>
        <v>12</v>
      </c>
      <c r="E47" s="63" t="str">
        <f>A47&amp;D47</f>
        <v>Bangsakao12</v>
      </c>
      <c r="F47" s="389">
        <f>VLOOKUP(C47,'RAW DATA 2023'!E:BO,57,0)</f>
        <v>281.72812576176062</v>
      </c>
      <c r="G47" s="63">
        <f>VLOOKUP(C47,'RAW DATA 2023'!E:BO,58,0)</f>
        <v>172</v>
      </c>
      <c r="H47" s="390">
        <f>IFERROR((G47-F47)/G47,0)</f>
        <v>-0.63795421954511988</v>
      </c>
      <c r="I47" s="398">
        <f>IF(H47&lt;0,((0.25-(H47*(-1)))*$L$7),IF(H47&gt;0,(H47*$N$7)+$L$6,0))</f>
        <v>-20.69089170907306</v>
      </c>
      <c r="J47" s="73">
        <f>VLOOKUP(C47,'RAW DATA 2023'!E:AC,21,0)</f>
        <v>19.855319999999999</v>
      </c>
      <c r="K47" s="398">
        <f>I47*J47</f>
        <v>-410.82427596899248</v>
      </c>
      <c r="R47" s="400"/>
    </row>
    <row r="48" spans="1:18">
      <c r="A48" s="63" t="str">
        <f>'RAW DATA 2023'!B508</f>
        <v>Bangsakao</v>
      </c>
      <c r="B48" s="63" t="str">
        <f>'RAW DATA 2023'!D508</f>
        <v>DG-004-0022</v>
      </c>
      <c r="C48" s="63" t="str">
        <f>A48&amp;B48</f>
        <v>BangsakaoDG-004-0022</v>
      </c>
      <c r="D48" s="63">
        <f>VLOOKUP(C48,'RAW DATA 2023'!E:BP,63,0)</f>
        <v>2</v>
      </c>
      <c r="E48" s="63" t="str">
        <f>A48&amp;D48</f>
        <v>Bangsakao2</v>
      </c>
      <c r="F48" s="389">
        <f>VLOOKUP(C48,'RAW DATA 2023'!E:BO,57,0)</f>
        <v>202.2899718965997</v>
      </c>
      <c r="G48" s="63">
        <f>VLOOKUP(C48,'RAW DATA 2023'!E:BO,58,0)</f>
        <v>192</v>
      </c>
      <c r="H48" s="390">
        <f>IFERROR((G48-F48)/G48,0)</f>
        <v>-5.3593603628123411E-2</v>
      </c>
      <c r="I48" s="398">
        <f>IF(H48&lt;0,((0.25-(H48*(-1)))*$L$7),IF(H48&gt;0,(H48*$N$7)+$L$6,0))</f>
        <v>10.475007806500086</v>
      </c>
      <c r="J48" s="73">
        <f>VLOOKUP(C48,'RAW DATA 2023'!E:AC,21,0)</f>
        <v>19.7485</v>
      </c>
      <c r="K48" s="398">
        <f>I48*J48</f>
        <v>206.86569166666695</v>
      </c>
      <c r="R48" s="400"/>
    </row>
    <row r="49" spans="1:18">
      <c r="A49" s="63" t="str">
        <f>'RAW DATA 2023'!B511</f>
        <v>Bangsakao</v>
      </c>
      <c r="B49" s="63" t="str">
        <f>'RAW DATA 2023'!D511</f>
        <v>DG-003-0024</v>
      </c>
      <c r="C49" s="63" t="str">
        <f>A49&amp;B49</f>
        <v>BangsakaoDG-003-0024</v>
      </c>
      <c r="D49" s="63">
        <f>VLOOKUP(C49,'RAW DATA 2023'!E:BP,63,0)</f>
        <v>2</v>
      </c>
      <c r="E49" s="63" t="str">
        <f>A49&amp;D49</f>
        <v>Bangsakao2</v>
      </c>
      <c r="F49" s="389">
        <f>VLOOKUP(C49,'RAW DATA 2023'!E:BO,57,0)</f>
        <v>207.06816995099723</v>
      </c>
      <c r="G49" s="63">
        <f>VLOOKUP(C49,'RAW DATA 2023'!E:BO,58,0)</f>
        <v>192</v>
      </c>
      <c r="H49" s="390">
        <f>IFERROR((G49-F49)/G49,0)</f>
        <v>-7.8480051828110575E-2</v>
      </c>
      <c r="I49" s="398">
        <f>IF(H49&lt;0,((0.25-(H49*(-1)))*$L$7),IF(H49&gt;0,(H49*$N$7)+$L$6,0))</f>
        <v>9.147730569167436</v>
      </c>
      <c r="J49" s="73">
        <f>VLOOKUP(C49,'RAW DATA 2023'!E:AC,21,0)</f>
        <v>18.021429999999999</v>
      </c>
      <c r="K49" s="398">
        <f>I49*J49</f>
        <v>164.8551861111111</v>
      </c>
      <c r="R49" s="400"/>
    </row>
    <row r="50" spans="1:18">
      <c r="A50" s="63" t="str">
        <f>'RAW DATA 2023'!B521</f>
        <v>Bangsakao</v>
      </c>
      <c r="B50" s="63" t="str">
        <f>'RAW DATA 2023'!D521</f>
        <v>CG-006-0028</v>
      </c>
      <c r="C50" s="63" t="str">
        <f>A50&amp;B50</f>
        <v>BangsakaoCG-006-0028</v>
      </c>
      <c r="D50" s="63">
        <f>VLOOKUP(C50,'RAW DATA 2023'!E:BP,63,0)</f>
        <v>2</v>
      </c>
      <c r="E50" s="63" t="str">
        <f>A50&amp;D50</f>
        <v>Bangsakao2</v>
      </c>
      <c r="F50" s="389">
        <f>VLOOKUP(C50,'RAW DATA 2023'!E:BO,57,0)</f>
        <v>207.52053923119027</v>
      </c>
      <c r="G50" s="63">
        <f>VLOOKUP(C50,'RAW DATA 2023'!E:BO,58,0)</f>
        <v>184</v>
      </c>
      <c r="H50" s="390">
        <f>IFERROR((G50-F50)/G50,0)</f>
        <v>-0.12782901756081669</v>
      </c>
      <c r="I50" s="398">
        <f>IF(H50&lt;0,((0.25-(H50*(-1)))*$L$7),IF(H50&gt;0,(H50*$N$7)+$L$6,0))</f>
        <v>6.5157857300897772</v>
      </c>
      <c r="J50" s="73">
        <f>VLOOKUP(C50,'RAW DATA 2023'!E:AC,21,0)</f>
        <v>42.14593</v>
      </c>
      <c r="K50" s="398">
        <f>I50*J50</f>
        <v>274.61384927536267</v>
      </c>
      <c r="R50" s="400"/>
    </row>
    <row r="51" spans="1:18">
      <c r="A51" s="63" t="str">
        <f>'RAW DATA 2023'!B509</f>
        <v>Bangsakao</v>
      </c>
      <c r="B51" s="63" t="str">
        <f>'RAW DATA 2023'!D509</f>
        <v>DG-006-0025</v>
      </c>
      <c r="C51" s="63" t="str">
        <f>A51&amp;B51</f>
        <v>BangsakaoDG-006-0025</v>
      </c>
      <c r="D51" s="63">
        <f>VLOOKUP(C51,'RAW DATA 2023'!E:BP,63,0)</f>
        <v>3</v>
      </c>
      <c r="E51" s="63" t="str">
        <f>A51&amp;D51</f>
        <v>Bangsakao3</v>
      </c>
      <c r="F51" s="389">
        <f>VLOOKUP(C51,'RAW DATA 2023'!E:BO,57,0)</f>
        <v>188.21748471002124</v>
      </c>
      <c r="G51" s="63">
        <f>VLOOKUP(C51,'RAW DATA 2023'!E:BO,58,0)</f>
        <v>192</v>
      </c>
      <c r="H51" s="390">
        <f>IFERROR((G51-F51)/G51,0)</f>
        <v>1.9700600468639379E-2</v>
      </c>
      <c r="I51" s="398">
        <f>IF(H51&lt;0,((0.25-(H51*(-1)))*$L$7),IF(H51&gt;0,(H51*$N$7)+$L$6,0))</f>
        <v>14.3840320249941</v>
      </c>
      <c r="J51" s="73">
        <f>VLOOKUP(C51,'RAW DATA 2023'!E:AC,21,0)</f>
        <v>22.887540000000001</v>
      </c>
      <c r="K51" s="398">
        <f>I51*J51</f>
        <v>329.21510833333349</v>
      </c>
      <c r="R51" s="400"/>
    </row>
    <row r="52" spans="1:18">
      <c r="A52" s="63" t="str">
        <f>'RAW DATA 2023'!B512</f>
        <v>Bangsakao</v>
      </c>
      <c r="B52" s="63" t="str">
        <f>'RAW DATA 2023'!D512</f>
        <v>DG-002-0024</v>
      </c>
      <c r="C52" s="63" t="str">
        <f>A52&amp;B52</f>
        <v>BangsakaoDG-002-0024</v>
      </c>
      <c r="D52" s="63">
        <f>VLOOKUP(C52,'RAW DATA 2023'!E:BP,63,0)</f>
        <v>3</v>
      </c>
      <c r="E52" s="63" t="str">
        <f>A52&amp;D52</f>
        <v>Bangsakao3</v>
      </c>
      <c r="F52" s="389">
        <f>VLOOKUP(C52,'RAW DATA 2023'!E:BO,57,0)</f>
        <v>177.24267730084827</v>
      </c>
      <c r="G52" s="63">
        <f>VLOOKUP(C52,'RAW DATA 2023'!E:BO,58,0)</f>
        <v>194</v>
      </c>
      <c r="H52" s="397">
        <f>IFERROR((G52-F52)/G52,0)</f>
        <v>8.6377952057483137E-2</v>
      </c>
      <c r="I52" s="398">
        <f>IF(H52&lt;0,((0.25-(H52*(-1)))*$L$7),IF(H52&gt;0,(H52*$N$7)+$L$6,0))</f>
        <v>17.940157443065768</v>
      </c>
      <c r="J52" s="73">
        <f>VLOOKUP(C52,'RAW DATA 2023'!E:AC,21,0)</f>
        <v>25.500160000000001</v>
      </c>
      <c r="K52" s="398">
        <f>I52*J52</f>
        <v>457.47688522336801</v>
      </c>
      <c r="R52" s="400"/>
    </row>
    <row r="53" spans="1:18">
      <c r="A53" s="63" t="str">
        <f>'RAW DATA 2023'!B529</f>
        <v>Bangsakao</v>
      </c>
      <c r="B53" s="63" t="str">
        <f>'RAW DATA 2023'!D529</f>
        <v>CG-002-0027</v>
      </c>
      <c r="C53" s="63" t="str">
        <f>A53&amp;B53</f>
        <v>BangsakaoCG-002-0027</v>
      </c>
      <c r="D53" s="63">
        <f>VLOOKUP(C53,'RAW DATA 2023'!E:BP,63,0)</f>
        <v>3</v>
      </c>
      <c r="E53" s="63" t="str">
        <f>A53&amp;D53</f>
        <v>Bangsakao3</v>
      </c>
      <c r="F53" s="389">
        <f>VLOOKUP(C53,'RAW DATA 2023'!E:BO,57,0)</f>
        <v>204.11750920315049</v>
      </c>
      <c r="G53" s="63">
        <f>VLOOKUP(C53,'RAW DATA 2023'!E:BO,58,0)</f>
        <v>186</v>
      </c>
      <c r="H53" s="390">
        <f>IFERROR((G53-F53)/G53,0)</f>
        <v>-9.7405963457798339E-2</v>
      </c>
      <c r="I53" s="398">
        <f>IF(H53&lt;0,((0.25-(H53*(-1)))*$L$7),IF(H53&gt;0,(H53*$N$7)+$L$6,0))</f>
        <v>8.1383486155840892</v>
      </c>
      <c r="J53" s="73">
        <f>VLOOKUP(C53,'RAW DATA 2023'!E:AC,21,0)</f>
        <v>34.349650000000004</v>
      </c>
      <c r="K53" s="398">
        <f>I53*J53</f>
        <v>279.54942652329805</v>
      </c>
      <c r="R53" s="400"/>
    </row>
    <row r="54" spans="1:18">
      <c r="A54" s="63" t="str">
        <f>'RAW DATA 2023'!B530</f>
        <v>Bangsakao</v>
      </c>
      <c r="B54" s="63" t="str">
        <f>'RAW DATA 2023'!D530</f>
        <v>CG-007-0024</v>
      </c>
      <c r="C54" s="63" t="str">
        <f>A54&amp;B54</f>
        <v>BangsakaoCG-007-0024</v>
      </c>
      <c r="D54" s="63">
        <f>VLOOKUP(C54,'RAW DATA 2023'!E:BP,63,0)</f>
        <v>3</v>
      </c>
      <c r="E54" s="63" t="str">
        <f>A54&amp;D54</f>
        <v>Bangsakao3</v>
      </c>
      <c r="F54" s="389">
        <f>VLOOKUP(C54,'RAW DATA 2023'!E:BO,57,0)</f>
        <v>191.40410859620471</v>
      </c>
      <c r="G54" s="63">
        <f>VLOOKUP(C54,'RAW DATA 2023'!E:BO,58,0)</f>
        <v>186</v>
      </c>
      <c r="H54" s="397">
        <f>IFERROR((G54-F54)/G54,0)</f>
        <v>-2.9054347291423161E-2</v>
      </c>
      <c r="I54" s="398">
        <f>IF(H54&lt;0,((0.25-(H54*(-1)))*$L$7),IF(H54&gt;0,(H54*$N$7)+$L$6,0))</f>
        <v>11.783768144457431</v>
      </c>
      <c r="J54" s="73">
        <f>VLOOKUP(C54,'RAW DATA 2023'!E:AC,21,0)</f>
        <v>32.837980000000002</v>
      </c>
      <c r="K54" s="398">
        <f>I54*J54</f>
        <v>386.95514265233027</v>
      </c>
      <c r="R54" s="400"/>
    </row>
    <row r="55" spans="1:18">
      <c r="A55" s="63" t="str">
        <f>'RAW DATA 2023'!B539</f>
        <v>Bangsakao</v>
      </c>
      <c r="B55" s="63" t="str">
        <f>'RAW DATA 2023'!D539</f>
        <v>B1-003-0010</v>
      </c>
      <c r="C55" s="63" t="str">
        <f>A55&amp;B55</f>
        <v>BangsakaoB1-003-0010</v>
      </c>
      <c r="D55" s="63">
        <f>VLOOKUP(C55,'RAW DATA 2023'!E:BP,63,0)</f>
        <v>3</v>
      </c>
      <c r="E55" s="63" t="str">
        <f>A55&amp;D55</f>
        <v>Bangsakao3</v>
      </c>
      <c r="F55" s="389">
        <f>VLOOKUP(C55,'RAW DATA 2023'!E:BO,57,0)</f>
        <v>667.33900052023625</v>
      </c>
      <c r="G55" s="63">
        <f>VLOOKUP(C55,'RAW DATA 2023'!E:BO,58,0)</f>
        <v>150</v>
      </c>
      <c r="H55" s="390">
        <f>IFERROR((G55-F55)/G55,0)</f>
        <v>-3.4489266701349082</v>
      </c>
      <c r="I55" s="398">
        <f>IF(H55&lt;0,((0.25-(H55*(-1)))*$L$7),IF(H55&gt;0,(H55*$N$7)+$L$6,0))</f>
        <v>-170.6094224071951</v>
      </c>
      <c r="J55" s="73">
        <f>VLOOKUP(C55,'RAW DATA 2023'!E:AC,21,0)</f>
        <v>5.1130600000000008</v>
      </c>
      <c r="K55" s="398">
        <f>I55*J55</f>
        <v>-872.33621333333315</v>
      </c>
      <c r="R55" s="400"/>
    </row>
    <row r="56" spans="1:18">
      <c r="A56" s="63" t="str">
        <f>'RAW DATA 2023'!B516</f>
        <v>Bangsakao</v>
      </c>
      <c r="B56" s="63" t="str">
        <f>'RAW DATA 2023'!D516</f>
        <v>CG-004-0025</v>
      </c>
      <c r="C56" s="63" t="str">
        <f>A56&amp;B56</f>
        <v>BangsakaoCG-004-0025</v>
      </c>
      <c r="D56" s="63">
        <f>VLOOKUP(C56,'RAW DATA 2023'!E:BP,63,0)</f>
        <v>4</v>
      </c>
      <c r="E56" s="63" t="str">
        <f>A56&amp;D56</f>
        <v>Bangsakao4</v>
      </c>
      <c r="F56" s="389">
        <f>VLOOKUP(C56,'RAW DATA 2023'!E:BO,57,0)</f>
        <v>177.02896372007814</v>
      </c>
      <c r="G56" s="63">
        <f>VLOOKUP(C56,'RAW DATA 2023'!E:BO,58,0)</f>
        <v>180</v>
      </c>
      <c r="H56" s="390">
        <f>IFERROR((G56-F56)/G56,0)</f>
        <v>1.6505757110677009E-2</v>
      </c>
      <c r="I56" s="398">
        <f>IF(H56&lt;0,((0.25-(H56*(-1)))*$L$7),IF(H56&gt;0,(H56*$N$7)+$L$6,0))</f>
        <v>14.213640379236107</v>
      </c>
      <c r="J56" s="73">
        <f>VLOOKUP(C56,'RAW DATA 2023'!E:AC,21,0)</f>
        <v>37.729959999999998</v>
      </c>
      <c r="K56" s="398">
        <f>I56*J56</f>
        <v>536.28008296296309</v>
      </c>
      <c r="R56" s="400"/>
    </row>
    <row r="57" spans="1:18">
      <c r="A57" s="63" t="str">
        <f>'RAW DATA 2023'!B522</f>
        <v>Bangsakao</v>
      </c>
      <c r="B57" s="63" t="str">
        <f>'RAW DATA 2023'!D522</f>
        <v>CG-003-0026</v>
      </c>
      <c r="C57" s="63" t="str">
        <f>A57&amp;B57</f>
        <v>BangsakaoCG-003-0026</v>
      </c>
      <c r="D57" s="63">
        <f>VLOOKUP(C57,'RAW DATA 2023'!E:BP,63,0)</f>
        <v>4</v>
      </c>
      <c r="E57" s="63" t="str">
        <f>A57&amp;D57</f>
        <v>Bangsakao4</v>
      </c>
      <c r="F57" s="389">
        <f>VLOOKUP(C57,'RAW DATA 2023'!E:BO,57,0)</f>
        <v>194.64216498320886</v>
      </c>
      <c r="G57" s="63">
        <f>VLOOKUP(C57,'RAW DATA 2023'!E:BO,58,0)</f>
        <v>165</v>
      </c>
      <c r="H57" s="390">
        <f>IFERROR((G57-F57)/G57,0)</f>
        <v>-0.17964948474672035</v>
      </c>
      <c r="I57" s="398">
        <f>IF(H57&lt;0,((0.25-(H57*(-1)))*$L$7),IF(H57&gt;0,(H57*$N$7)+$L$6,0))</f>
        <v>3.7520274801749149</v>
      </c>
      <c r="J57" s="73">
        <f>VLOOKUP(C57,'RAW DATA 2023'!E:AC,21,0)</f>
        <v>26.844549999999998</v>
      </c>
      <c r="K57" s="398">
        <f>I57*J57</f>
        <v>100.7214892929295</v>
      </c>
      <c r="R57" s="400"/>
    </row>
    <row r="58" spans="1:18">
      <c r="A58" s="63" t="str">
        <f>'RAW DATA 2023'!B528</f>
        <v>Bangsakao</v>
      </c>
      <c r="B58" s="63" t="str">
        <f>'RAW DATA 2023'!D528</f>
        <v>CG-008-0028</v>
      </c>
      <c r="C58" s="63" t="str">
        <f>A58&amp;B58</f>
        <v>BangsakaoCG-008-0028</v>
      </c>
      <c r="D58" s="63">
        <f>VLOOKUP(C58,'RAW DATA 2023'!E:BP,63,0)</f>
        <v>4</v>
      </c>
      <c r="E58" s="63" t="str">
        <f>A58&amp;D58</f>
        <v>Bangsakao4</v>
      </c>
      <c r="F58" s="389">
        <f>VLOOKUP(C58,'RAW DATA 2023'!E:BO,57,0)</f>
        <v>201.69347770780078</v>
      </c>
      <c r="G58" s="63">
        <f>VLOOKUP(C58,'RAW DATA 2023'!E:BO,58,0)</f>
        <v>191</v>
      </c>
      <c r="H58" s="390">
        <f>IFERROR((G58-F58)/G58,0)</f>
        <v>-5.5986794281679485E-2</v>
      </c>
      <c r="I58" s="398">
        <f>IF(H58&lt;0,((0.25-(H58*(-1)))*$L$7),IF(H58&gt;0,(H58*$N$7)+$L$6,0))</f>
        <v>10.347370971643761</v>
      </c>
      <c r="J58" s="73">
        <f>VLOOKUP(C58,'RAW DATA 2023'!E:AC,21,0)</f>
        <v>38.166489999999996</v>
      </c>
      <c r="K58" s="398">
        <f>I58*J58</f>
        <v>394.92283071553186</v>
      </c>
      <c r="R58" s="400"/>
    </row>
    <row r="59" spans="1:18">
      <c r="A59" s="63" t="str">
        <f>'RAW DATA 2023'!B502</f>
        <v>Bangsakao</v>
      </c>
      <c r="B59" s="63" t="str">
        <f>'RAW DATA 2023'!D502</f>
        <v>DG-005-0025</v>
      </c>
      <c r="C59" s="63" t="str">
        <f>A59&amp;B59</f>
        <v>BangsakaoDG-005-0025</v>
      </c>
      <c r="D59" s="63">
        <f>VLOOKUP(C59,'RAW DATA 2023'!E:BP,63,0)</f>
        <v>5</v>
      </c>
      <c r="E59" s="63" t="str">
        <f>A59&amp;D59</f>
        <v>Bangsakao5</v>
      </c>
      <c r="F59" s="389">
        <f>VLOOKUP(C59,'RAW DATA 2023'!E:BO,57,0)</f>
        <v>188.92314294214506</v>
      </c>
      <c r="G59" s="63">
        <f>VLOOKUP(C59,'RAW DATA 2023'!E:BO,58,0)</f>
        <v>207</v>
      </c>
      <c r="H59" s="390">
        <f>IFERROR((G59-F59)/G59,0)</f>
        <v>8.7327811873695343E-2</v>
      </c>
      <c r="I59" s="398">
        <f>IF(H59&lt;0,((0.25-(H59*(-1)))*$L$7),IF(H59&gt;0,(H59*$N$7)+$L$6,0))</f>
        <v>17.990816633263751</v>
      </c>
      <c r="J59" s="73">
        <f>VLOOKUP(C59,'RAW DATA 2023'!E:AC,21,0)</f>
        <v>21.881790000000002</v>
      </c>
      <c r="K59" s="398">
        <f>I59*J59</f>
        <v>393.67127149758448</v>
      </c>
      <c r="R59" s="400"/>
    </row>
    <row r="60" spans="1:18">
      <c r="A60" s="63" t="str">
        <f>'RAW DATA 2023'!B534</f>
        <v>Bangsakao</v>
      </c>
      <c r="B60" s="63" t="str">
        <f>'RAW DATA 2023'!D534</f>
        <v>CG-006-0029</v>
      </c>
      <c r="C60" s="63" t="str">
        <f>A60&amp;B60</f>
        <v>BangsakaoCG-006-0029</v>
      </c>
      <c r="D60" s="63">
        <f>VLOOKUP(C60,'RAW DATA 2023'!E:BP,63,0)</f>
        <v>5</v>
      </c>
      <c r="E60" s="63" t="str">
        <f>A60&amp;D60</f>
        <v>Bangsakao5</v>
      </c>
      <c r="F60" s="389">
        <f>VLOOKUP(C60,'RAW DATA 2023'!E:BO,57,0)</f>
        <v>282.25463926244009</v>
      </c>
      <c r="G60" s="63">
        <f>VLOOKUP(C60,'RAW DATA 2023'!E:BO,58,0)</f>
        <v>161</v>
      </c>
      <c r="H60" s="390">
        <f>IFERROR((G60-F60)/G60,0)</f>
        <v>-0.75313440535677079</v>
      </c>
      <c r="I60" s="398">
        <f>IF(H60&lt;0,((0.25-(H60*(-1)))*$L$7),IF(H60&gt;0,(H60*$N$7)+$L$6,0))</f>
        <v>-26.833834952361109</v>
      </c>
      <c r="J60" s="73">
        <f>VLOOKUP(C60,'RAW DATA 2023'!E:AC,21,0)</f>
        <v>23.295189999999998</v>
      </c>
      <c r="K60" s="398">
        <f>I60*J60</f>
        <v>-625.09928364389293</v>
      </c>
      <c r="R60" s="400"/>
    </row>
    <row r="61" spans="1:18">
      <c r="A61" s="63" t="str">
        <f>'RAW DATA 2023'!B504</f>
        <v>Bangsakao</v>
      </c>
      <c r="B61" s="63" t="str">
        <f>'RAW DATA 2023'!D504</f>
        <v>DG-004-0023</v>
      </c>
      <c r="C61" s="63" t="str">
        <f>A61&amp;B61</f>
        <v>BangsakaoDG-004-0023</v>
      </c>
      <c r="D61" s="63">
        <f>VLOOKUP(C61,'RAW DATA 2023'!E:BP,63,0)</f>
        <v>6</v>
      </c>
      <c r="E61" s="63" t="str">
        <f>A61&amp;D61</f>
        <v>Bangsakao6</v>
      </c>
      <c r="F61" s="389">
        <f>VLOOKUP(C61,'RAW DATA 2023'!E:BO,57,0)</f>
        <v>202.03029239079063</v>
      </c>
      <c r="G61" s="63">
        <f>VLOOKUP(C61,'RAW DATA 2023'!E:BO,58,0)</f>
        <v>197</v>
      </c>
      <c r="H61" s="390">
        <f>IFERROR((G61-F61)/G61,0)</f>
        <v>-2.5534479141069211E-2</v>
      </c>
      <c r="I61" s="398">
        <f>IF(H61&lt;0,((0.25-(H61*(-1)))*$L$7),IF(H61&gt;0,(H61*$N$7)+$L$6,0))</f>
        <v>11.971494445809643</v>
      </c>
      <c r="J61" s="73">
        <f>VLOOKUP(C61,'RAW DATA 2023'!E:AC,21,0)</f>
        <v>22.471979999999999</v>
      </c>
      <c r="K61" s="398">
        <f>I61*J61</f>
        <v>269.02318375634536</v>
      </c>
      <c r="R61" s="400"/>
    </row>
    <row r="62" spans="1:18">
      <c r="A62" s="63" t="str">
        <f>'RAW DATA 2023'!B507</f>
        <v>Bangsakao</v>
      </c>
      <c r="B62" s="63" t="str">
        <f>'RAW DATA 2023'!D507</f>
        <v>DG-006-0026</v>
      </c>
      <c r="C62" s="63" t="str">
        <f>A62&amp;B62</f>
        <v>BangsakaoDG-006-0026</v>
      </c>
      <c r="D62" s="63">
        <f>VLOOKUP(C62,'RAW DATA 2023'!E:BP,63,0)</f>
        <v>6</v>
      </c>
      <c r="E62" s="63" t="str">
        <f>A62&amp;D62</f>
        <v>Bangsakao6</v>
      </c>
      <c r="F62" s="389">
        <f>VLOOKUP(C62,'RAW DATA 2023'!E:BO,57,0)</f>
        <v>245.17745311453453</v>
      </c>
      <c r="G62" s="63">
        <f>VLOOKUP(C62,'RAW DATA 2023'!E:BO,58,0)</f>
        <v>181</v>
      </c>
      <c r="H62" s="390">
        <f>IFERROR((G62-F62)/G62,0)</f>
        <v>-0.35457156416869906</v>
      </c>
      <c r="I62" s="398">
        <f>IF(H62&lt;0,((0.25-(H62*(-1)))*$L$7),IF(H62&gt;0,(H62*$N$7)+$L$6,0))</f>
        <v>-5.5771500889972838</v>
      </c>
      <c r="J62" s="73">
        <f>VLOOKUP(C62,'RAW DATA 2023'!E:AC,21,0)</f>
        <v>12.182879999999999</v>
      </c>
      <c r="K62" s="398">
        <f>I62*J62</f>
        <v>-67.945750276243217</v>
      </c>
      <c r="R62" s="400"/>
    </row>
    <row r="63" spans="1:18">
      <c r="A63" s="63" t="str">
        <f>'RAW DATA 2023'!B513</f>
        <v>Bangsakao</v>
      </c>
      <c r="B63" s="63" t="str">
        <f>'RAW DATA 2023'!D513</f>
        <v>DG-001-0027</v>
      </c>
      <c r="C63" s="63" t="str">
        <f>A63&amp;B63</f>
        <v>BangsakaoDG-001-0027</v>
      </c>
      <c r="D63" s="63">
        <f>VLOOKUP(C63,'RAW DATA 2023'!E:BP,63,0)</f>
        <v>6</v>
      </c>
      <c r="E63" s="63" t="str">
        <f>A63&amp;D63</f>
        <v>Bangsakao6</v>
      </c>
      <c r="F63" s="389">
        <f>VLOOKUP(C63,'RAW DATA 2023'!E:BO,57,0)</f>
        <v>197.26590681974159</v>
      </c>
      <c r="G63" s="63">
        <f>VLOOKUP(C63,'RAW DATA 2023'!E:BO,58,0)</f>
        <v>207</v>
      </c>
      <c r="H63" s="390">
        <f>IFERROR((G63-F63)/G63,0)</f>
        <v>4.7024604735547884E-2</v>
      </c>
      <c r="I63" s="398">
        <f>IF(H63&lt;0,((0.25-(H63*(-1)))*$L$7),IF(H63&gt;0,(H63*$N$7)+$L$6,0))</f>
        <v>15.841312252562554</v>
      </c>
      <c r="J63" s="73">
        <f>VLOOKUP(C63,'RAW DATA 2023'!E:AC,21,0)</f>
        <v>27.859119999999997</v>
      </c>
      <c r="K63" s="398">
        <f>I63*J63</f>
        <v>441.32501900161049</v>
      </c>
      <c r="R63" s="400"/>
    </row>
    <row r="64" spans="1:18">
      <c r="A64" s="63" t="str">
        <f>'RAW DATA 2023'!B515</f>
        <v>Bangsakao</v>
      </c>
      <c r="B64" s="63" t="str">
        <f>'RAW DATA 2023'!D515</f>
        <v>CG-008-0029</v>
      </c>
      <c r="C64" s="63" t="str">
        <f>A64&amp;B64</f>
        <v>BangsakaoCG-008-0029</v>
      </c>
      <c r="D64" s="63">
        <f>VLOOKUP(C64,'RAW DATA 2023'!E:BP,63,0)</f>
        <v>6</v>
      </c>
      <c r="E64" s="63" t="str">
        <f>A64&amp;D64</f>
        <v>Bangsakao6</v>
      </c>
      <c r="F64" s="389">
        <f>VLOOKUP(C64,'RAW DATA 2023'!E:BO,57,0)</f>
        <v>226.97209314324041</v>
      </c>
      <c r="G64" s="63">
        <f>VLOOKUP(C64,'RAW DATA 2023'!E:BO,58,0)</f>
        <v>170</v>
      </c>
      <c r="H64" s="397">
        <f>IFERROR((G64-F64)/G64,0)</f>
        <v>-0.33512995966612008</v>
      </c>
      <c r="I64" s="398">
        <f>IF(H64&lt;0,((0.25-(H64*(-1)))*$L$7),IF(H64&gt;0,(H64*$N$7)+$L$6,0))</f>
        <v>-4.5402645155264043</v>
      </c>
      <c r="J64" s="73">
        <f>VLOOKUP(C64,'RAW DATA 2023'!E:AC,21,0)</f>
        <v>17.444099999999999</v>
      </c>
      <c r="K64" s="398">
        <f>I64*J64</f>
        <v>-79.200828235294139</v>
      </c>
      <c r="R64" s="400"/>
    </row>
    <row r="65" spans="1:18">
      <c r="A65" s="63" t="str">
        <f>'RAW DATA 2023'!B517</f>
        <v>Bangsakao</v>
      </c>
      <c r="B65" s="63" t="str">
        <f>'RAW DATA 2023'!D517</f>
        <v>CG-009-0025</v>
      </c>
      <c r="C65" s="63" t="str">
        <f>A65&amp;B65</f>
        <v>BangsakaoCG-009-0025</v>
      </c>
      <c r="D65" s="63">
        <f>VLOOKUP(C65,'RAW DATA 2023'!E:BP,63,0)</f>
        <v>6</v>
      </c>
      <c r="E65" s="63" t="str">
        <f>A65&amp;D65</f>
        <v>Bangsakao6</v>
      </c>
      <c r="F65" s="389">
        <f>VLOOKUP(C65,'RAW DATA 2023'!E:BO,57,0)</f>
        <v>219.21540818747849</v>
      </c>
      <c r="G65" s="63">
        <f>VLOOKUP(C65,'RAW DATA 2023'!E:BO,58,0)</f>
        <v>191</v>
      </c>
      <c r="H65" s="390">
        <f>IFERROR((G65-F65)/G65,0)</f>
        <v>-0.14772465019622244</v>
      </c>
      <c r="I65" s="398">
        <f>IF(H65&lt;0,((0.25-(H65*(-1)))*$L$7),IF(H65&gt;0,(H65*$N$7)+$L$6,0))</f>
        <v>5.4546853228681371</v>
      </c>
      <c r="J65" s="73">
        <f>VLOOKUP(C65,'RAW DATA 2023'!E:AC,21,0)</f>
        <v>36.790570000000002</v>
      </c>
      <c r="K65" s="398">
        <f>I65*J65</f>
        <v>200.68098219895282</v>
      </c>
      <c r="R65" s="400"/>
    </row>
    <row r="66" spans="1:18">
      <c r="A66" s="63" t="str">
        <f>'RAW DATA 2023'!B519</f>
        <v>Bangsakao</v>
      </c>
      <c r="B66" s="63" t="str">
        <f>'RAW DATA 2023'!D519</f>
        <v>CG-002-0028</v>
      </c>
      <c r="C66" s="63" t="str">
        <f>A66&amp;B66</f>
        <v>BangsakaoCG-002-0028</v>
      </c>
      <c r="D66" s="63">
        <f>VLOOKUP(C66,'RAW DATA 2023'!E:BP,63,0)</f>
        <v>6</v>
      </c>
      <c r="E66" s="63" t="str">
        <f>A66&amp;D66</f>
        <v>Bangsakao6</v>
      </c>
      <c r="F66" s="389">
        <f>VLOOKUP(C66,'RAW DATA 2023'!E:BO,57,0)</f>
        <v>176.39927205770869</v>
      </c>
      <c r="G66" s="63">
        <f>VLOOKUP(C66,'RAW DATA 2023'!E:BO,58,0)</f>
        <v>182</v>
      </c>
      <c r="H66" s="390">
        <f>IFERROR((G66-F66)/G66,0)</f>
        <v>3.077323045215008E-2</v>
      </c>
      <c r="I66" s="398">
        <f>IF(H66&lt;0,((0.25-(H66*(-1)))*$L$7),IF(H66&gt;0,(H66*$N$7)+$L$6,0))</f>
        <v>14.974572290781339</v>
      </c>
      <c r="J66" s="73">
        <f>VLOOKUP(C66,'RAW DATA 2023'!E:AC,21,0)</f>
        <v>30.076560000000001</v>
      </c>
      <c r="K66" s="398">
        <f>I66*J66</f>
        <v>450.3836219780224</v>
      </c>
      <c r="R66" s="400"/>
    </row>
    <row r="67" spans="1:18">
      <c r="A67" s="63" t="str">
        <f>'RAW DATA 2023'!B531</f>
        <v>Bangsakao</v>
      </c>
      <c r="B67" s="63" t="str">
        <f>'RAW DATA 2023'!D531</f>
        <v>CG-007-0025</v>
      </c>
      <c r="C67" s="63" t="str">
        <f>A67&amp;B67</f>
        <v>BangsakaoCG-007-0025</v>
      </c>
      <c r="D67" s="63">
        <f>VLOOKUP(C67,'RAW DATA 2023'!E:BP,63,0)</f>
        <v>6</v>
      </c>
      <c r="E67" s="63" t="str">
        <f>A67&amp;D67</f>
        <v>Bangsakao6</v>
      </c>
      <c r="F67" s="389">
        <f>VLOOKUP(C67,'RAW DATA 2023'!E:BO,57,0)</f>
        <v>288.08868349035515</v>
      </c>
      <c r="G67" s="63">
        <f>VLOOKUP(C67,'RAW DATA 2023'!E:BO,58,0)</f>
        <v>150</v>
      </c>
      <c r="H67" s="390">
        <f>IFERROR((G67-F67)/G67,0)</f>
        <v>-0.92059122326903431</v>
      </c>
      <c r="I67" s="398">
        <f>IF(H67&lt;0,((0.25-(H67*(-1)))*$L$7),IF(H67&gt;0,(H67*$N$7)+$L$6,0))</f>
        <v>-35.764865241015166</v>
      </c>
      <c r="J67" s="73">
        <f>VLOOKUP(C67,'RAW DATA 2023'!E:AC,21,0)</f>
        <v>12.613959999999999</v>
      </c>
      <c r="K67" s="398">
        <f>I67*J67</f>
        <v>-451.13657955555561</v>
      </c>
      <c r="R67" s="400"/>
    </row>
    <row r="68" spans="1:18">
      <c r="A68" s="63" t="str">
        <f>'RAW DATA 2023'!B538</f>
        <v>Bangsakao</v>
      </c>
      <c r="B68" s="63" t="str">
        <f>'RAW DATA 2023'!D538</f>
        <v>B1-006-0013</v>
      </c>
      <c r="C68" s="63" t="str">
        <f>A68&amp;B68</f>
        <v>BangsakaoB1-006-0013</v>
      </c>
      <c r="D68" s="63">
        <f>VLOOKUP(C68,'RAW DATA 2023'!E:BP,63,0)</f>
        <v>6</v>
      </c>
      <c r="E68" s="63" t="str">
        <f>A68&amp;D68</f>
        <v>Bangsakao6</v>
      </c>
      <c r="F68" s="389">
        <f>VLOOKUP(C68,'RAW DATA 2023'!E:BO,57,0)</f>
        <v>216.82783347126542</v>
      </c>
      <c r="G68" s="63">
        <f>VLOOKUP(C68,'RAW DATA 2023'!E:BO,58,0)</f>
        <v>165</v>
      </c>
      <c r="H68" s="390">
        <f>IFERROR((G68-F68)/G68,0)</f>
        <v>-0.31410808164403287</v>
      </c>
      <c r="I68" s="398">
        <f>IF(H68&lt;0,((0.25-(H68*(-1)))*$L$7),IF(H68&gt;0,(H68*$N$7)+$L$6,0))</f>
        <v>-3.4190976876817532</v>
      </c>
      <c r="J68" s="73">
        <f>VLOOKUP(C68,'RAW DATA 2023'!E:AC,21,0)</f>
        <v>31.476849999999999</v>
      </c>
      <c r="K68" s="398">
        <f>I68*J68</f>
        <v>-107.62242505050538</v>
      </c>
      <c r="R68" s="400"/>
    </row>
    <row r="69" spans="1:18">
      <c r="A69" s="63" t="str">
        <f>'RAW DATA 2023'!B505</f>
        <v>Bangsakao</v>
      </c>
      <c r="B69" s="63" t="str">
        <f>'RAW DATA 2023'!D505</f>
        <v>DG-003-0025</v>
      </c>
      <c r="C69" s="63" t="str">
        <f>A69&amp;B69</f>
        <v>BangsakaoDG-003-0025</v>
      </c>
      <c r="D69" s="63">
        <f>VLOOKUP(C69,'RAW DATA 2023'!E:BP,63,0)</f>
        <v>7</v>
      </c>
      <c r="E69" s="63" t="str">
        <f>A69&amp;D69</f>
        <v>Bangsakao7</v>
      </c>
      <c r="F69" s="389">
        <f>VLOOKUP(C69,'RAW DATA 2023'!E:BO,57,0)</f>
        <v>221.97122091316695</v>
      </c>
      <c r="G69" s="63">
        <f>VLOOKUP(C69,'RAW DATA 2023'!E:BO,58,0)</f>
        <v>194</v>
      </c>
      <c r="H69" s="390">
        <f>IFERROR((G69-F69)/G69,0)</f>
        <v>-0.14418155109879868</v>
      </c>
      <c r="I69" s="398">
        <f>IF(H69&lt;0,((0.25-(H69*(-1)))*$L$7),IF(H69&gt;0,(H69*$N$7)+$L$6,0))</f>
        <v>5.6436506080640703</v>
      </c>
      <c r="J69" s="73">
        <f>VLOOKUP(C69,'RAW DATA 2023'!E:AC,21,0)</f>
        <v>21.80368</v>
      </c>
      <c r="K69" s="398">
        <f>I69*J69</f>
        <v>123.0523518900344</v>
      </c>
      <c r="R69" s="400"/>
    </row>
    <row r="70" spans="1:18">
      <c r="A70" s="63" t="str">
        <f>'RAW DATA 2023'!B536</f>
        <v>Bangsakao</v>
      </c>
      <c r="B70" s="63" t="str">
        <f>'RAW DATA 2023'!D536</f>
        <v>CG-004-0026</v>
      </c>
      <c r="C70" s="63" t="str">
        <f>A70&amp;B70</f>
        <v>BangsakaoCG-004-0026</v>
      </c>
      <c r="D70" s="63">
        <f>VLOOKUP(C70,'RAW DATA 2023'!E:BP,63,0)</f>
        <v>7</v>
      </c>
      <c r="E70" s="63" t="str">
        <f>A70&amp;D70</f>
        <v>Bangsakao7</v>
      </c>
      <c r="F70" s="389">
        <f>VLOOKUP(C70,'RAW DATA 2023'!E:BO,57,0)</f>
        <v>376.49763408872167</v>
      </c>
      <c r="G70" s="63">
        <f>VLOOKUP(C70,'RAW DATA 2023'!E:BO,58,0)</f>
        <v>150</v>
      </c>
      <c r="H70" s="390">
        <f>IFERROR((G70-F70)/G70,0)</f>
        <v>-1.5099842272581445</v>
      </c>
      <c r="I70" s="398">
        <f>IF(H70&lt;0,((0.25-(H70*(-1)))*$L$7),IF(H70&gt;0,(H70*$N$7)+$L$6,0))</f>
        <v>-67.199158787101041</v>
      </c>
      <c r="J70" s="73">
        <f>VLOOKUP(C70,'RAW DATA 2023'!E:AC,21,0)</f>
        <v>11.429</v>
      </c>
      <c r="K70" s="398">
        <f>I70*J70</f>
        <v>-768.01918577777781</v>
      </c>
      <c r="R70" s="400"/>
    </row>
    <row r="71" spans="1:18">
      <c r="A71" s="63" t="str">
        <f>'RAW DATA 2023'!B537</f>
        <v>Bangsakao</v>
      </c>
      <c r="B71" s="63" t="str">
        <f>'RAW DATA 2023'!D537</f>
        <v>CG-003-0027</v>
      </c>
      <c r="C71" s="63" t="str">
        <f>A71&amp;B71</f>
        <v>BangsakaoCG-003-0027</v>
      </c>
      <c r="D71" s="63">
        <f>VLOOKUP(C71,'RAW DATA 2023'!E:BP,63,0)</f>
        <v>7</v>
      </c>
      <c r="E71" s="63" t="str">
        <f>A71&amp;D71</f>
        <v>Bangsakao7</v>
      </c>
      <c r="F71" s="389">
        <f>VLOOKUP(C71,'RAW DATA 2023'!E:BO,57,0)</f>
        <v>311.15330697115758</v>
      </c>
      <c r="G71" s="63">
        <f>VLOOKUP(C71,'RAW DATA 2023'!E:BO,58,0)</f>
        <v>150</v>
      </c>
      <c r="H71" s="397">
        <f>IFERROR((G71-F71)/G71,0)</f>
        <v>-1.0743553798077172</v>
      </c>
      <c r="I71" s="398">
        <f>IF(H71&lt;0,((0.25-(H71*(-1)))*$L$7),IF(H71&gt;0,(H71*$N$7)+$L$6,0))</f>
        <v>-43.96562025641159</v>
      </c>
      <c r="J71" s="73">
        <f>VLOOKUP(C71,'RAW DATA 2023'!E:AC,21,0)</f>
        <v>12.821399999999999</v>
      </c>
      <c r="K71" s="398">
        <f>I71*J71</f>
        <v>-563.70080355555547</v>
      </c>
      <c r="R71" s="400"/>
    </row>
    <row r="72" spans="1:18">
      <c r="A72" s="63" t="str">
        <f>'RAW DATA 2023'!B503</f>
        <v>Bangsakao</v>
      </c>
      <c r="B72" s="63" t="str">
        <f>'RAW DATA 2023'!D503</f>
        <v>DG-002-0025</v>
      </c>
      <c r="C72" s="63" t="str">
        <f>A72&amp;B72</f>
        <v>BangsakaoDG-002-0025</v>
      </c>
      <c r="D72" s="63">
        <f>VLOOKUP(C72,'RAW DATA 2023'!E:BP,63,0)</f>
        <v>8</v>
      </c>
      <c r="E72" s="63" t="str">
        <f>A72&amp;D72</f>
        <v>Bangsakao8</v>
      </c>
      <c r="F72" s="389">
        <f>VLOOKUP(C72,'RAW DATA 2023'!E:BO,57,0)</f>
        <v>226.13805402306053</v>
      </c>
      <c r="G72" s="63">
        <f>VLOOKUP(C72,'RAW DATA 2023'!E:BO,58,0)</f>
        <v>197</v>
      </c>
      <c r="H72" s="390">
        <f>IFERROR((G72-F72)/G72,0)</f>
        <v>-0.14790890367035803</v>
      </c>
      <c r="I72" s="398">
        <f>IF(H72&lt;0,((0.25-(H72*(-1)))*$L$7),IF(H72&gt;0,(H72*$N$7)+$L$6,0))</f>
        <v>5.4448584709142391</v>
      </c>
      <c r="J72" s="73">
        <f>VLOOKUP(C72,'RAW DATA 2023'!E:AC,21,0)</f>
        <v>19.463540000000002</v>
      </c>
      <c r="K72" s="398">
        <f>I72*J72</f>
        <v>105.97622064297813</v>
      </c>
      <c r="R72" s="400"/>
    </row>
    <row r="73" spans="1:18">
      <c r="A73" s="63" t="str">
        <f>'RAW DATA 2023'!B541</f>
        <v>Bangsakao</v>
      </c>
      <c r="B73" s="63" t="str">
        <f>'RAW DATA 2023'!D541</f>
        <v>B1-006-0015</v>
      </c>
      <c r="C73" s="63" t="str">
        <f>A73&amp;B73</f>
        <v>BangsakaoB1-006-0015</v>
      </c>
      <c r="D73" s="63">
        <f>VLOOKUP(C73,'RAW DATA 2023'!E:BP,63,0)</f>
        <v>9</v>
      </c>
      <c r="E73" s="63" t="str">
        <f>A73&amp;D73</f>
        <v>Bangsakao9</v>
      </c>
      <c r="F73" s="389">
        <f>VLOOKUP(C73,'RAW DATA 2023'!E:BO,57,0)</f>
        <v>0</v>
      </c>
      <c r="G73" s="63">
        <f>VLOOKUP(C73,'RAW DATA 2023'!E:BO,58,0)</f>
        <v>0</v>
      </c>
      <c r="H73" s="390">
        <f>IFERROR((G73-F73)/G73,0)</f>
        <v>0</v>
      </c>
      <c r="I73" s="398">
        <f>IF(H73&lt;0,((0.25-(H73*(-1)))*$L$7),IF(H73&gt;0,(H73*$N$7)+$L$6,0))</f>
        <v>0</v>
      </c>
      <c r="J73" s="73">
        <f>VLOOKUP(C73,'RAW DATA 2023'!E:AC,21,0)</f>
        <v>0</v>
      </c>
      <c r="K73" s="398">
        <f>I73*J73</f>
        <v>0</v>
      </c>
      <c r="R73" s="400"/>
    </row>
    <row r="74" spans="1:18">
      <c r="A74" s="63" t="str">
        <f>'RAW DATA 2023'!B33</f>
        <v>Bansang</v>
      </c>
      <c r="B74" s="63" t="str">
        <f>'RAW DATA 2023'!D33</f>
        <v>A1-006-0013</v>
      </c>
      <c r="C74" s="63" t="str">
        <f>A74&amp;B74</f>
        <v>BansangA1-006-0013</v>
      </c>
      <c r="D74" s="63">
        <f>VLOOKUP(C74,'RAW DATA 2023'!E:BP,63,0)</f>
        <v>1</v>
      </c>
      <c r="E74" s="63" t="str">
        <f>A74&amp;D74</f>
        <v>Bansang1</v>
      </c>
      <c r="F74" s="389">
        <f>VLOOKUP(C74,'RAW DATA 2023'!E:BO,57,0)</f>
        <v>313.44732500826734</v>
      </c>
      <c r="G74" s="63">
        <f>VLOOKUP(C74,'RAW DATA 2023'!E:BO,58,0)</f>
        <v>219</v>
      </c>
      <c r="H74" s="397">
        <f>IFERROR((G74-F74)/G74,0)</f>
        <v>-0.43126632423866368</v>
      </c>
      <c r="I74" s="398">
        <f>IF(H74&lt;0,((0.25-(H74*(-1)))*$L$7),IF(H74&gt;0,(H74*$N$7)+$L$6,0))</f>
        <v>-9.6675372927287295</v>
      </c>
      <c r="J74" s="73">
        <f>VLOOKUP(C74,'RAW DATA 2023'!E:AC,21,0)</f>
        <v>15.87575</v>
      </c>
      <c r="K74" s="398">
        <f>I74*J74</f>
        <v>-153.47940517503812</v>
      </c>
      <c r="R74" s="400"/>
    </row>
    <row r="75" spans="1:18">
      <c r="A75" s="63" t="str">
        <f>'RAW DATA 2023'!B34</f>
        <v>Bansang</v>
      </c>
      <c r="B75" s="63" t="str">
        <f>'RAW DATA 2023'!D34</f>
        <v>A1-005-0014</v>
      </c>
      <c r="C75" s="63" t="str">
        <f>A75&amp;B75</f>
        <v>BansangA1-005-0014</v>
      </c>
      <c r="D75" s="63">
        <f>VLOOKUP(C75,'RAW DATA 2023'!E:BP,63,0)</f>
        <v>1</v>
      </c>
      <c r="E75" s="63" t="str">
        <f>A75&amp;D75</f>
        <v>Bansang1</v>
      </c>
      <c r="F75" s="389">
        <f>VLOOKUP(C75,'RAW DATA 2023'!E:BO,57,0)</f>
        <v>247.55037468678978</v>
      </c>
      <c r="G75" s="63">
        <f>VLOOKUP(C75,'RAW DATA 2023'!E:BO,58,0)</f>
        <v>207</v>
      </c>
      <c r="H75" s="397">
        <f>IFERROR((G75-F75)/G75,0)</f>
        <v>-0.19589552988787334</v>
      </c>
      <c r="I75" s="398">
        <f>IF(H75&lt;0,((0.25-(H75*(-1)))*$L$7),IF(H75&gt;0,(H75*$N$7)+$L$6,0))</f>
        <v>2.8855717393134217</v>
      </c>
      <c r="J75" s="73">
        <f>VLOOKUP(C75,'RAW DATA 2023'!E:AC,21,0)</f>
        <v>17.161000000000001</v>
      </c>
      <c r="K75" s="398">
        <f>I75*J75</f>
        <v>49.519296618357636</v>
      </c>
      <c r="R75" s="400"/>
    </row>
    <row r="76" spans="1:18">
      <c r="A76" s="63" t="str">
        <f>'RAW DATA 2023'!B31</f>
        <v>Bansang</v>
      </c>
      <c r="B76" s="63" t="str">
        <f>'RAW DATA 2023'!D31</f>
        <v>A1-006-0015</v>
      </c>
      <c r="C76" s="63" t="str">
        <f>A76&amp;B76</f>
        <v>BansangA1-006-0015</v>
      </c>
      <c r="D76" s="63">
        <f>VLOOKUP(C76,'RAW DATA 2023'!E:BP,63,0)</f>
        <v>10</v>
      </c>
      <c r="E76" s="63" t="str">
        <f>A76&amp;D76</f>
        <v>Bansang10</v>
      </c>
      <c r="F76" s="389">
        <f>VLOOKUP(C76,'RAW DATA 2023'!E:BO,57,0)</f>
        <v>133.32587397713269</v>
      </c>
      <c r="G76" s="63">
        <f>VLOOKUP(C76,'RAW DATA 2023'!E:BO,58,0)</f>
        <v>214</v>
      </c>
      <c r="H76" s="390">
        <f>IFERROR((G76-F76)/G76,0)</f>
        <v>0.37698189730311826</v>
      </c>
      <c r="I76" s="398">
        <f>IF(H76&lt;0,((0.25-(H76*(-1)))*$L$7),IF(H76&gt;0,(H76*$N$7)+$L$6,0))</f>
        <v>33.439034522832976</v>
      </c>
      <c r="J76" s="73">
        <f>VLOOKUP(C76,'RAW DATA 2023'!E:AC,21,0)</f>
        <v>24.9177</v>
      </c>
      <c r="K76" s="398">
        <f>I76*J76</f>
        <v>833.22383052959526</v>
      </c>
      <c r="R76" s="400"/>
    </row>
    <row r="77" spans="1:18">
      <c r="A77" s="63" t="str">
        <f>'RAW DATA 2023'!B40</f>
        <v>Bansang</v>
      </c>
      <c r="B77" s="63" t="str">
        <f>'RAW DATA 2023'!D40</f>
        <v>A1-007-0018</v>
      </c>
      <c r="C77" s="63" t="str">
        <f>A77&amp;B77</f>
        <v>BansangA1-007-0018</v>
      </c>
      <c r="D77" s="63">
        <f>VLOOKUP(C77,'RAW DATA 2023'!E:BP,63,0)</f>
        <v>10</v>
      </c>
      <c r="E77" s="63" t="str">
        <f>A77&amp;D77</f>
        <v>Bansang10</v>
      </c>
      <c r="F77" s="389">
        <f>VLOOKUP(C77,'RAW DATA 2023'!E:BO,57,0)</f>
        <v>401.39420525796436</v>
      </c>
      <c r="G77" s="63">
        <f>VLOOKUP(C77,'RAW DATA 2023'!E:BO,58,0)</f>
        <v>150</v>
      </c>
      <c r="H77" s="390">
        <f>IFERROR((G77-F77)/G77,0)</f>
        <v>-1.675961368386429</v>
      </c>
      <c r="I77" s="398">
        <f>IF(H77&lt;0,((0.25-(H77*(-1)))*$L$7),IF(H77&gt;0,(H77*$N$7)+$L$6,0))</f>
        <v>-76.051272980609554</v>
      </c>
      <c r="J77" s="73">
        <f>VLOOKUP(C77,'RAW DATA 2023'!E:AC,21,0)</f>
        <v>5.2088599999999996</v>
      </c>
      <c r="K77" s="398">
        <f>I77*J77</f>
        <v>-396.14043377777784</v>
      </c>
      <c r="R77" s="400"/>
    </row>
    <row r="78" spans="1:18">
      <c r="A78" s="63" t="str">
        <f>'RAW DATA 2023'!B39</f>
        <v>Bansang</v>
      </c>
      <c r="B78" s="63" t="str">
        <f>'RAW DATA 2023'!D39</f>
        <v>A1-007-0016</v>
      </c>
      <c r="C78" s="63" t="str">
        <f>A78&amp;B78</f>
        <v>BansangA1-007-0016</v>
      </c>
      <c r="D78" s="63">
        <f>VLOOKUP(C78,'RAW DATA 2023'!E:BP,63,0)</f>
        <v>3</v>
      </c>
      <c r="E78" s="63" t="str">
        <f>A78&amp;D78</f>
        <v>Bansang3</v>
      </c>
      <c r="F78" s="389">
        <f>VLOOKUP(C78,'RAW DATA 2023'!E:BO,57,0)</f>
        <v>258.25243691699762</v>
      </c>
      <c r="G78" s="63">
        <f>VLOOKUP(C78,'RAW DATA 2023'!E:BO,58,0)</f>
        <v>197</v>
      </c>
      <c r="H78" s="390">
        <f>IFERROR((G78-F78)/G78,0)</f>
        <v>-0.31092607572080011</v>
      </c>
      <c r="I78" s="398">
        <f>IF(H78&lt;0,((0.25-(H78*(-1)))*$L$7),IF(H78&gt;0,(H78*$N$7)+$L$6,0))</f>
        <v>-3.2493907051093394</v>
      </c>
      <c r="J78" s="73">
        <f>VLOOKUP(C78,'RAW DATA 2023'!E:AC,21,0)</f>
        <v>20.58954</v>
      </c>
      <c r="K78" s="398">
        <f>I78*J78</f>
        <v>-66.903459898476939</v>
      </c>
      <c r="R78" s="400"/>
    </row>
    <row r="79" spans="1:18">
      <c r="A79" s="63" t="str">
        <f>'RAW DATA 2023'!B38</f>
        <v>Bansang</v>
      </c>
      <c r="B79" s="63" t="str">
        <f>'RAW DATA 2023'!D38</f>
        <v>A1-008-0014</v>
      </c>
      <c r="C79" s="63" t="str">
        <f>A79&amp;B79</f>
        <v>BansangA1-008-0014</v>
      </c>
      <c r="D79" s="63">
        <f>VLOOKUP(C79,'RAW DATA 2023'!E:BP,63,0)</f>
        <v>5</v>
      </c>
      <c r="E79" s="63" t="str">
        <f>A79&amp;D79</f>
        <v>Bansang5</v>
      </c>
      <c r="F79" s="389">
        <f>VLOOKUP(C79,'RAW DATA 2023'!E:BO,57,0)</f>
        <v>190.46195888077088</v>
      </c>
      <c r="G79" s="63">
        <f>VLOOKUP(C79,'RAW DATA 2023'!E:BO,58,0)</f>
        <v>192</v>
      </c>
      <c r="H79" s="390">
        <f>IFERROR((G79-F79)/G79,0)</f>
        <v>8.0106308293183357E-3</v>
      </c>
      <c r="I79" s="398">
        <f>IF(H79&lt;0,((0.25-(H79*(-1)))*$L$7),IF(H79&gt;0,(H79*$N$7)+$L$6,0))</f>
        <v>13.760566977563645</v>
      </c>
      <c r="J79" s="73">
        <f>VLOOKUP(C79,'RAW DATA 2023'!E:AC,21,0)</f>
        <v>23.061229999999998</v>
      </c>
      <c r="K79" s="398">
        <f>I79*J79</f>
        <v>317.33560000000006</v>
      </c>
      <c r="R79" s="400"/>
    </row>
    <row r="80" spans="1:18">
      <c r="A80" s="63" t="str">
        <f>'RAW DATA 2023'!B36</f>
        <v>Bansang</v>
      </c>
      <c r="B80" s="63" t="str">
        <f>'RAW DATA 2023'!D36</f>
        <v>A1-005-0015</v>
      </c>
      <c r="C80" s="63" t="str">
        <f>A80&amp;B80</f>
        <v>BansangA1-005-0015</v>
      </c>
      <c r="D80" s="63">
        <f>VLOOKUP(C80,'RAW DATA 2023'!E:BP,63,0)</f>
        <v>6</v>
      </c>
      <c r="E80" s="63" t="str">
        <f>A80&amp;D80</f>
        <v>Bansang6</v>
      </c>
      <c r="F80" s="389">
        <f>VLOOKUP(C80,'RAW DATA 2023'!E:BO,57,0)</f>
        <v>210.22709020970342</v>
      </c>
      <c r="G80" s="63">
        <f>VLOOKUP(C80,'RAW DATA 2023'!E:BO,58,0)</f>
        <v>204</v>
      </c>
      <c r="H80" s="390">
        <f>IFERROR((G80-F80)/G80,0)</f>
        <v>-3.0524952008350096E-2</v>
      </c>
      <c r="I80" s="398">
        <f>IF(H80&lt;0,((0.25-(H80*(-1)))*$L$7),IF(H80&gt;0,(H80*$N$7)+$L$6,0))</f>
        <v>11.705335892887996</v>
      </c>
      <c r="J80" s="73">
        <f>VLOOKUP(C80,'RAW DATA 2023'!E:AC,21,0)</f>
        <v>24.177</v>
      </c>
      <c r="K80" s="398">
        <f>I80*J80</f>
        <v>282.99990588235306</v>
      </c>
      <c r="R80" s="400"/>
    </row>
    <row r="81" spans="1:18">
      <c r="A81" s="63" t="str">
        <f>'RAW DATA 2023'!B37</f>
        <v>Bansang</v>
      </c>
      <c r="B81" s="63" t="str">
        <f>'RAW DATA 2023'!D37</f>
        <v>A1-006-0014</v>
      </c>
      <c r="C81" s="63" t="str">
        <f>A81&amp;B81</f>
        <v>BansangA1-006-0014</v>
      </c>
      <c r="D81" s="63">
        <f>VLOOKUP(C81,'RAW DATA 2023'!E:BP,63,0)</f>
        <v>6</v>
      </c>
      <c r="E81" s="63" t="str">
        <f>A81&amp;D81</f>
        <v>Bansang6</v>
      </c>
      <c r="F81" s="389">
        <f>VLOOKUP(C81,'RAW DATA 2023'!E:BO,57,0)</f>
        <v>222.12833526676036</v>
      </c>
      <c r="G81" s="63">
        <f>VLOOKUP(C81,'RAW DATA 2023'!E:BO,58,0)</f>
        <v>200</v>
      </c>
      <c r="H81" s="390">
        <f>IFERROR((G81-F81)/G81,0)</f>
        <v>-0.1106416763338018</v>
      </c>
      <c r="I81" s="398">
        <f>IF(H81&lt;0,((0.25-(H81*(-1)))*$L$7),IF(H81&gt;0,(H81*$N$7)+$L$6,0))</f>
        <v>7.432443928863905</v>
      </c>
      <c r="J81" s="73">
        <f>VLOOKUP(C81,'RAW DATA 2023'!E:AC,21,0)</f>
        <v>23.783330000000003</v>
      </c>
      <c r="K81" s="398">
        <f>I81*J81</f>
        <v>176.76826666666679</v>
      </c>
      <c r="R81" s="400"/>
    </row>
    <row r="82" spans="1:18">
      <c r="A82" s="63" t="str">
        <f>'RAW DATA 2023'!B35</f>
        <v>Bansang</v>
      </c>
      <c r="B82" s="63" t="str">
        <f>'RAW DATA 2023'!D35</f>
        <v>A1-007-0017</v>
      </c>
      <c r="C82" s="63" t="str">
        <f>A82&amp;B82</f>
        <v>BansangA1-007-0017</v>
      </c>
      <c r="D82" s="63">
        <f>VLOOKUP(C82,'RAW DATA 2023'!E:BP,63,0)</f>
        <v>8</v>
      </c>
      <c r="E82" s="63" t="str">
        <f>A82&amp;D82</f>
        <v>Bansang8</v>
      </c>
      <c r="F82" s="389">
        <f>VLOOKUP(C82,'RAW DATA 2023'!E:BO,57,0)</f>
        <v>185.876945412396</v>
      </c>
      <c r="G82" s="63">
        <f>VLOOKUP(C82,'RAW DATA 2023'!E:BO,58,0)</f>
        <v>200</v>
      </c>
      <c r="H82" s="390">
        <f>IFERROR((G82-F82)/G82,0)</f>
        <v>7.0615272938020016E-2</v>
      </c>
      <c r="I82" s="398">
        <f>IF(H82&lt;0,((0.25-(H82*(-1)))*$L$7),IF(H82&gt;0,(H82*$N$7)+$L$6,0))</f>
        <v>17.099481223361067</v>
      </c>
      <c r="J82" s="73">
        <f>VLOOKUP(C82,'RAW DATA 2023'!E:AC,21,0)</f>
        <v>27.400359999999999</v>
      </c>
      <c r="K82" s="398">
        <f>I82*J82</f>
        <v>468.53194133333363</v>
      </c>
      <c r="R82" s="400"/>
    </row>
    <row r="83" spans="1:18">
      <c r="A83" s="63" t="str">
        <f>'RAW DATA 2023'!B30</f>
        <v>Bansang</v>
      </c>
      <c r="B83" s="63" t="str">
        <f>'RAW DATA 2023'!D30</f>
        <v>A1-008-0015</v>
      </c>
      <c r="C83" s="63" t="str">
        <f>A83&amp;B83</f>
        <v>BansangA1-008-0015</v>
      </c>
      <c r="D83" s="63">
        <f>VLOOKUP(C83,'RAW DATA 2023'!E:BP,63,0)</f>
        <v>9</v>
      </c>
      <c r="E83" s="63" t="str">
        <f>A83&amp;D83</f>
        <v>Bansang9</v>
      </c>
      <c r="F83" s="389">
        <f>VLOOKUP(C83,'RAW DATA 2023'!E:BO,57,0)</f>
        <v>160.80411125659219</v>
      </c>
      <c r="G83" s="63">
        <f>VLOOKUP(C83,'RAW DATA 2023'!E:BO,58,0)</f>
        <v>207</v>
      </c>
      <c r="H83" s="390">
        <f>IFERROR((G83-F83)/G83,0)</f>
        <v>0.22316854465414399</v>
      </c>
      <c r="I83" s="398">
        <f>IF(H83&lt;0,((0.25-(H83*(-1)))*$L$7),IF(H83&gt;0,(H83*$N$7)+$L$6,0))</f>
        <v>25.235655714887681</v>
      </c>
      <c r="J83" s="73">
        <f>VLOOKUP(C83,'RAW DATA 2023'!E:AC,21,0)</f>
        <v>26.082049999999999</v>
      </c>
      <c r="K83" s="398">
        <f>I83*J83</f>
        <v>658.19763413848625</v>
      </c>
      <c r="R83" s="400"/>
    </row>
    <row r="84" spans="1:18">
      <c r="A84" s="63" t="str">
        <f>'RAW DATA 2023'!B32</f>
        <v>Bansang</v>
      </c>
      <c r="B84" s="63" t="str">
        <f>'RAW DATA 2023'!D32</f>
        <v>A1-005-0016</v>
      </c>
      <c r="C84" s="63" t="str">
        <f>A84&amp;B84</f>
        <v>BansangA1-005-0016</v>
      </c>
      <c r="D84" s="63">
        <f>VLOOKUP(C84,'RAW DATA 2023'!E:BP,63,0)</f>
        <v>9</v>
      </c>
      <c r="E84" s="63" t="str">
        <f>A84&amp;D84</f>
        <v>Bansang9</v>
      </c>
      <c r="F84" s="389">
        <f>VLOOKUP(C84,'RAW DATA 2023'!E:BO,57,0)</f>
        <v>222.20572292112334</v>
      </c>
      <c r="G84" s="63">
        <f>VLOOKUP(C84,'RAW DATA 2023'!E:BO,58,0)</f>
        <v>174</v>
      </c>
      <c r="H84" s="390">
        <f>IFERROR((G84-F84)/G84,0)</f>
        <v>-0.27704438460415715</v>
      </c>
      <c r="I84" s="398">
        <f>IF(H84&lt;0,((0.25-(H84*(-1)))*$L$7),IF(H84&gt;0,(H84*$N$7)+$L$6,0))</f>
        <v>-1.4423671788883812</v>
      </c>
      <c r="J84" s="73">
        <f>VLOOKUP(C84,'RAW DATA 2023'!E:AC,21,0)</f>
        <v>10.1906</v>
      </c>
      <c r="K84" s="398">
        <f>I84*J84</f>
        <v>-14.698586973179937</v>
      </c>
      <c r="R84" s="400"/>
    </row>
    <row r="85" spans="1:18">
      <c r="A85" s="63" t="str">
        <f>'RAW DATA 2023'!B489</f>
        <v>Bo Thong</v>
      </c>
      <c r="B85" s="63" t="str">
        <f>'RAW DATA 2023'!D489</f>
        <v>B1-014-0013</v>
      </c>
      <c r="C85" s="63" t="str">
        <f>A85&amp;B85</f>
        <v>Bo ThongB1-014-0013</v>
      </c>
      <c r="D85" s="63">
        <f>VLOOKUP(C85,'RAW DATA 2023'!E:BP,63,0)</f>
        <v>11</v>
      </c>
      <c r="E85" s="63" t="str">
        <f>A85&amp;D85</f>
        <v>Bo Thong11</v>
      </c>
      <c r="F85" s="389">
        <f>VLOOKUP(C85,'RAW DATA 2023'!E:BO,57,0)</f>
        <v>377.41409467615773</v>
      </c>
      <c r="G85" s="63">
        <f>VLOOKUP(C85,'RAW DATA 2023'!E:BO,58,0)</f>
        <v>186</v>
      </c>
      <c r="H85" s="397">
        <f>IFERROR((G85-F85)/G85,0)</f>
        <v>-1.0291080358933211</v>
      </c>
      <c r="I85" s="398">
        <f>IF(H85&lt;0,((0.25-(H85*(-1)))*$L$7),IF(H85&gt;0,(H85*$N$7)+$L$6,0))</f>
        <v>-41.552428580977129</v>
      </c>
      <c r="J85" s="73">
        <f>VLOOKUP(C85,'RAW DATA 2023'!E:AC,21,0)</f>
        <v>24.974820000000001</v>
      </c>
      <c r="K85" s="398">
        <f>I85*J85</f>
        <v>-1037.7644243727593</v>
      </c>
      <c r="R85" s="400"/>
    </row>
    <row r="86" spans="1:18">
      <c r="A86" s="63" t="str">
        <f>'RAW DATA 2023'!B490</f>
        <v>Bo Thong</v>
      </c>
      <c r="B86" s="63" t="str">
        <f>'RAW DATA 2023'!D490</f>
        <v>B1-015-0014</v>
      </c>
      <c r="C86" s="63" t="str">
        <f>A86&amp;B86</f>
        <v>Bo ThongB1-015-0014</v>
      </c>
      <c r="D86" s="63">
        <f>VLOOKUP(C86,'RAW DATA 2023'!E:BP,63,0)</f>
        <v>11</v>
      </c>
      <c r="E86" s="63" t="str">
        <f>A86&amp;D86</f>
        <v>Bo Thong11</v>
      </c>
      <c r="F86" s="389">
        <f>VLOOKUP(C86,'RAW DATA 2023'!E:BO,57,0)</f>
        <v>428.78947010579225</v>
      </c>
      <c r="G86" s="63">
        <f>VLOOKUP(C86,'RAW DATA 2023'!E:BO,58,0)</f>
        <v>150</v>
      </c>
      <c r="H86" s="397">
        <f>IFERROR((G86-F86)/G86,0)</f>
        <v>-1.8585964673719484</v>
      </c>
      <c r="I86" s="398">
        <f>IF(H86&lt;0,((0.25-(H86*(-1)))*$L$7),IF(H86&gt;0,(H86*$N$7)+$L$6,0))</f>
        <v>-85.791811593170578</v>
      </c>
      <c r="J86" s="73">
        <f>VLOOKUP(C86,'RAW DATA 2023'!E:AC,21,0)</f>
        <v>10.295639999999999</v>
      </c>
      <c r="K86" s="398">
        <f>I86*J86</f>
        <v>-883.28160711111059</v>
      </c>
      <c r="R86" s="400"/>
    </row>
    <row r="87" spans="1:18">
      <c r="A87" s="63" t="str">
        <f>'RAW DATA 2023'!B488</f>
        <v>Bo Thong</v>
      </c>
      <c r="B87" s="63" t="str">
        <f>'RAW DATA 2023'!D488</f>
        <v>BG-002-0016</v>
      </c>
      <c r="C87" s="63" t="str">
        <f>A87&amp;B87</f>
        <v>Bo ThongBG-002-0016</v>
      </c>
      <c r="D87" s="63">
        <f>VLOOKUP(C87,'RAW DATA 2023'!E:BP,63,0)</f>
        <v>12</v>
      </c>
      <c r="E87" s="63" t="str">
        <f>A87&amp;D87</f>
        <v>Bo Thong12</v>
      </c>
      <c r="F87" s="389">
        <f>VLOOKUP(C87,'RAW DATA 2023'!E:BO,57,0)</f>
        <v>272.01023559247045</v>
      </c>
      <c r="G87" s="63">
        <f>VLOOKUP(C87,'RAW DATA 2023'!E:BO,58,0)</f>
        <v>183</v>
      </c>
      <c r="H87" s="390">
        <f>IFERROR((G87-F87)/G87,0)</f>
        <v>-0.48639473001349975</v>
      </c>
      <c r="I87" s="398">
        <f>IF(H87&lt;0,((0.25-(H87*(-1)))*$L$7),IF(H87&gt;0,(H87*$N$7)+$L$6,0))</f>
        <v>-12.60771893405332</v>
      </c>
      <c r="J87" s="73">
        <f>VLOOKUP(C87,'RAW DATA 2023'!E:AC,21,0)</f>
        <v>16.0489</v>
      </c>
      <c r="K87" s="398">
        <f>I87*J87</f>
        <v>-202.34002040072832</v>
      </c>
      <c r="R87" s="400"/>
    </row>
    <row r="88" spans="1:18">
      <c r="A88" s="63" t="str">
        <f>'RAW DATA 2023'!B486</f>
        <v>Bo Thong</v>
      </c>
      <c r="B88" s="63" t="str">
        <f>'RAW DATA 2023'!D486</f>
        <v>BG-002-0013</v>
      </c>
      <c r="C88" s="63" t="str">
        <f>A88&amp;B88</f>
        <v>Bo ThongBG-002-0013</v>
      </c>
      <c r="D88" s="63">
        <f>VLOOKUP(C88,'RAW DATA 2023'!E:BP,63,0)</f>
        <v>2</v>
      </c>
      <c r="E88" s="63" t="str">
        <f>A88&amp;D88</f>
        <v>Bo Thong2</v>
      </c>
      <c r="F88" s="389">
        <f>VLOOKUP(C88,'RAW DATA 2023'!E:BO,57,0)</f>
        <v>278.16112896206545</v>
      </c>
      <c r="G88" s="63">
        <f>VLOOKUP(C88,'RAW DATA 2023'!E:BO,58,0)</f>
        <v>191</v>
      </c>
      <c r="H88" s="390">
        <f>IFERROR((G88-F88)/G88,0)</f>
        <v>-0.45634098933018558</v>
      </c>
      <c r="I88" s="398">
        <f>IF(H88&lt;0,((0.25-(H88*(-1)))*$L$7),IF(H88&gt;0,(H88*$N$7)+$L$6,0))</f>
        <v>-11.004852764276565</v>
      </c>
      <c r="J88" s="73">
        <f>VLOOKUP(C88,'RAW DATA 2023'!E:AC,21,0)</f>
        <v>17.62433</v>
      </c>
      <c r="K88" s="398">
        <f>I88*J88</f>
        <v>-193.95315671902239</v>
      </c>
      <c r="R88" s="400"/>
    </row>
    <row r="89" spans="1:18">
      <c r="A89" s="63" t="str">
        <f>'RAW DATA 2023'!B494</f>
        <v>Bo Thong</v>
      </c>
      <c r="B89" s="63" t="str">
        <f>'RAW DATA 2023'!D494</f>
        <v>B1-014-0011</v>
      </c>
      <c r="C89" s="63" t="str">
        <f>A89&amp;B89</f>
        <v>Bo ThongB1-014-0011</v>
      </c>
      <c r="D89" s="63">
        <f>VLOOKUP(C89,'RAW DATA 2023'!E:BP,63,0)</f>
        <v>3</v>
      </c>
      <c r="E89" s="63" t="str">
        <f>A89&amp;D89</f>
        <v>Bo Thong3</v>
      </c>
      <c r="F89" s="389">
        <f>VLOOKUP(C89,'RAW DATA 2023'!E:BO,57,0)</f>
        <v>307.77749803371029</v>
      </c>
      <c r="G89" s="63">
        <f>VLOOKUP(C89,'RAW DATA 2023'!E:BO,58,0)</f>
        <v>223</v>
      </c>
      <c r="H89" s="390">
        <f>IFERROR((G89-F89)/G89,0)</f>
        <v>-0.38016815261753495</v>
      </c>
      <c r="I89" s="398">
        <f>IF(H89&lt;0,((0.25-(H89*(-1)))*$L$7),IF(H89&gt;0,(H89*$N$7)+$L$6,0))</f>
        <v>-6.9423014729351973</v>
      </c>
      <c r="J89" s="73">
        <f>VLOOKUP(C89,'RAW DATA 2023'!E:AC,21,0)</f>
        <v>23.648599999999998</v>
      </c>
      <c r="K89" s="398">
        <f>I89*J89</f>
        <v>-164.17571061285528</v>
      </c>
      <c r="R89" s="400"/>
    </row>
    <row r="90" spans="1:18">
      <c r="A90" s="63" t="str">
        <f>'RAW DATA 2023'!B496</f>
        <v>Bo Thong</v>
      </c>
      <c r="B90" s="63" t="str">
        <f>'RAW DATA 2023'!D496</f>
        <v>B1-015-0012</v>
      </c>
      <c r="C90" s="63" t="str">
        <f>A90&amp;B90</f>
        <v>Bo ThongB1-015-0012</v>
      </c>
      <c r="D90" s="63">
        <f>VLOOKUP(C90,'RAW DATA 2023'!E:BP,63,0)</f>
        <v>3</v>
      </c>
      <c r="E90" s="63" t="str">
        <f>A90&amp;D90</f>
        <v>Bo Thong3</v>
      </c>
      <c r="F90" s="389">
        <f>VLOOKUP(C90,'RAW DATA 2023'!E:BO,57,0)</f>
        <v>267.29186969524244</v>
      </c>
      <c r="G90" s="63">
        <f>VLOOKUP(C90,'RAW DATA 2023'!E:BO,58,0)</f>
        <v>214</v>
      </c>
      <c r="H90" s="397">
        <f>IFERROR((G90-F90)/G90,0)</f>
        <v>-0.2490274284824413</v>
      </c>
      <c r="I90" s="398">
        <f>IF(H90&lt;0,((0.25-(H90*(-1)))*$L$7),IF(H90&gt;0,(H90*$N$7)+$L$6,0))</f>
        <v>5.1870480936463778E-2</v>
      </c>
      <c r="J90" s="73">
        <f>VLOOKUP(C90,'RAW DATA 2023'!E:AC,21,0)</f>
        <v>23.176130000000001</v>
      </c>
      <c r="K90" s="398">
        <f>I90*J90</f>
        <v>1.2021570093460063</v>
      </c>
      <c r="R90" s="400"/>
    </row>
    <row r="91" spans="1:18">
      <c r="A91" s="63" t="str">
        <f>'RAW DATA 2023'!B497</f>
        <v>Bo Thong</v>
      </c>
      <c r="B91" s="63" t="str">
        <f>'RAW DATA 2023'!D497</f>
        <v>B1-011-0012</v>
      </c>
      <c r="C91" s="63" t="str">
        <f>A91&amp;B91</f>
        <v>Bo ThongB1-011-0012</v>
      </c>
      <c r="D91" s="63">
        <f>VLOOKUP(C91,'RAW DATA 2023'!E:BP,63,0)</f>
        <v>3</v>
      </c>
      <c r="E91" s="63" t="str">
        <f>A91&amp;D91</f>
        <v>Bo Thong3</v>
      </c>
      <c r="F91" s="389">
        <f>VLOOKUP(C91,'RAW DATA 2023'!E:BO,57,0)</f>
        <v>275.12648341972215</v>
      </c>
      <c r="G91" s="63">
        <f>VLOOKUP(C91,'RAW DATA 2023'!E:BO,58,0)</f>
        <v>192</v>
      </c>
      <c r="H91" s="397">
        <f>IFERROR((G91-F91)/G91,0)</f>
        <v>-0.43295043447771953</v>
      </c>
      <c r="I91" s="398">
        <f>IF(H91&lt;0,((0.25-(H91*(-1)))*$L$7),IF(H91&gt;0,(H91*$N$7)+$L$6,0))</f>
        <v>-9.7573565054783753</v>
      </c>
      <c r="J91" s="73">
        <f>VLOOKUP(C91,'RAW DATA 2023'!E:AC,21,0)</f>
        <v>26.540869999999998</v>
      </c>
      <c r="K91" s="398">
        <f>I91*J91</f>
        <v>-258.96873055555585</v>
      </c>
      <c r="R91" s="400"/>
    </row>
    <row r="92" spans="1:18">
      <c r="A92" s="63" t="str">
        <f>'RAW DATA 2023'!B499</f>
        <v>Bo Thong</v>
      </c>
      <c r="B92" s="63" t="str">
        <f>'RAW DATA 2023'!D499</f>
        <v>B1-013-0012</v>
      </c>
      <c r="C92" s="63" t="str">
        <f>A92&amp;B92</f>
        <v>Bo ThongB1-013-0012</v>
      </c>
      <c r="D92" s="63">
        <f>VLOOKUP(C92,'RAW DATA 2023'!E:BP,63,0)</f>
        <v>3</v>
      </c>
      <c r="E92" s="63" t="str">
        <f>A92&amp;D92</f>
        <v>Bo Thong3</v>
      </c>
      <c r="F92" s="389">
        <f>VLOOKUP(C92,'RAW DATA 2023'!E:BO,57,0)</f>
        <v>250.32957622410711</v>
      </c>
      <c r="G92" s="63">
        <f>VLOOKUP(C92,'RAW DATA 2023'!E:BO,58,0)</f>
        <v>184</v>
      </c>
      <c r="H92" s="390">
        <f>IFERROR((G92-F92)/G92,0)</f>
        <v>-0.36048682730492998</v>
      </c>
      <c r="I92" s="398">
        <f>IF(H92&lt;0,((0.25-(H92*(-1)))*$L$7),IF(H92&gt;0,(H92*$N$7)+$L$6,0))</f>
        <v>-5.8926307895962662</v>
      </c>
      <c r="J92" s="73">
        <f>VLOOKUP(C92,'RAW DATA 2023'!E:AC,21,0)</f>
        <v>26.586929999999999</v>
      </c>
      <c r="K92" s="398">
        <f>I92*J92</f>
        <v>-156.66696231884066</v>
      </c>
      <c r="R92" s="400"/>
    </row>
    <row r="93" spans="1:18">
      <c r="A93" s="63" t="str">
        <f>'RAW DATA 2023'!B495</f>
        <v>Bo Thong</v>
      </c>
      <c r="B93" s="63" t="str">
        <f>'RAW DATA 2023'!D495</f>
        <v>B1-010-0010</v>
      </c>
      <c r="C93" s="63" t="str">
        <f>A93&amp;B93</f>
        <v>Bo ThongB1-010-0010</v>
      </c>
      <c r="D93" s="63">
        <f>VLOOKUP(C93,'RAW DATA 2023'!E:BP,63,0)</f>
        <v>4</v>
      </c>
      <c r="E93" s="63" t="str">
        <f>A93&amp;D93</f>
        <v>Bo Thong4</v>
      </c>
      <c r="F93" s="389">
        <f>VLOOKUP(C93,'RAW DATA 2023'!E:BO,57,0)</f>
        <v>213.91983290335233</v>
      </c>
      <c r="G93" s="63">
        <f>VLOOKUP(C93,'RAW DATA 2023'!E:BO,58,0)</f>
        <v>191</v>
      </c>
      <c r="H93" s="390">
        <f>IFERROR((G93-F93)/G93,0)</f>
        <v>-0.11999912514844152</v>
      </c>
      <c r="I93" s="398">
        <f>IF(H93&lt;0,((0.25-(H93*(-1)))*$L$7),IF(H93&gt;0,(H93*$N$7)+$L$6,0))</f>
        <v>6.9333799920831192</v>
      </c>
      <c r="J93" s="73">
        <f>VLOOKUP(C93,'RAW DATA 2023'!E:AC,21,0)</f>
        <v>56.293169999999996</v>
      </c>
      <c r="K93" s="398">
        <f>I93*J93</f>
        <v>390.30193856893368</v>
      </c>
      <c r="R93" s="400"/>
    </row>
    <row r="94" spans="1:18">
      <c r="A94" s="63" t="str">
        <f>'RAW DATA 2023'!B485</f>
        <v>Bo Thong</v>
      </c>
      <c r="B94" s="63" t="str">
        <f>'RAW DATA 2023'!D485</f>
        <v>BG-002-0014</v>
      </c>
      <c r="C94" s="63" t="str">
        <f>A94&amp;B94</f>
        <v>Bo ThongBG-002-0014</v>
      </c>
      <c r="D94" s="63">
        <f>VLOOKUP(C94,'RAW DATA 2023'!E:BP,63,0)</f>
        <v>6</v>
      </c>
      <c r="E94" s="63" t="str">
        <f>A94&amp;D94</f>
        <v>Bo Thong6</v>
      </c>
      <c r="F94" s="389">
        <f>VLOOKUP(C94,'RAW DATA 2023'!E:BO,57,0)</f>
        <v>256.49993991260789</v>
      </c>
      <c r="G94" s="63">
        <f>VLOOKUP(C94,'RAW DATA 2023'!E:BO,58,0)</f>
        <v>175</v>
      </c>
      <c r="H94" s="390">
        <f>IFERROR((G94-F94)/G94,0)</f>
        <v>-0.46571394235775937</v>
      </c>
      <c r="I94" s="398">
        <f>IF(H94&lt;0,((0.25-(H94*(-1)))*$L$7),IF(H94&gt;0,(H94*$N$7)+$L$6,0))</f>
        <v>-11.504743592413833</v>
      </c>
      <c r="J94" s="73">
        <f>VLOOKUP(C94,'RAW DATA 2023'!E:AC,21,0)</f>
        <v>16.392790000000002</v>
      </c>
      <c r="K94" s="398">
        <f>I94*J94</f>
        <v>-188.59484571428558</v>
      </c>
      <c r="R94" s="400"/>
    </row>
    <row r="95" spans="1:18">
      <c r="A95" s="63" t="str">
        <f>'RAW DATA 2023'!B492</f>
        <v>Bo Thong</v>
      </c>
      <c r="B95" s="63" t="str">
        <f>'RAW DATA 2023'!D492</f>
        <v>B1-014-0012</v>
      </c>
      <c r="C95" s="63" t="str">
        <f>A95&amp;B95</f>
        <v>Bo ThongB1-014-0012</v>
      </c>
      <c r="D95" s="63">
        <f>VLOOKUP(C95,'RAW DATA 2023'!E:BP,63,0)</f>
        <v>6</v>
      </c>
      <c r="E95" s="63" t="str">
        <f>A95&amp;D95</f>
        <v>Bo Thong6</v>
      </c>
      <c r="F95" s="389">
        <f>VLOOKUP(C95,'RAW DATA 2023'!E:BO,57,0)</f>
        <v>181.72112511385365</v>
      </c>
      <c r="G95" s="63">
        <f>VLOOKUP(C95,'RAW DATA 2023'!E:BO,58,0)</f>
        <v>183</v>
      </c>
      <c r="H95" s="390">
        <f>IFERROR((G95-F95)/G95,0)</f>
        <v>6.9883873559910088E-3</v>
      </c>
      <c r="I95" s="398">
        <f>IF(H95&lt;0,((0.25-(H95*(-1)))*$L$7),IF(H95&gt;0,(H95*$N$7)+$L$6,0))</f>
        <v>13.706047325652854</v>
      </c>
      <c r="J95" s="73">
        <f>VLOOKUP(C95,'RAW DATA 2023'!E:AC,21,0)</f>
        <v>30.03856</v>
      </c>
      <c r="K95" s="398">
        <f>I95*J95</f>
        <v>411.70992495446279</v>
      </c>
      <c r="R95" s="400"/>
    </row>
    <row r="96" spans="1:18">
      <c r="A96" s="63" t="str">
        <f>'RAW DATA 2023'!B493</f>
        <v>Bo Thong</v>
      </c>
      <c r="B96" s="63" t="str">
        <f>'RAW DATA 2023'!D493</f>
        <v>B1-013-0013</v>
      </c>
      <c r="C96" s="63" t="str">
        <f>A96&amp;B96</f>
        <v>Bo ThongB1-013-0013</v>
      </c>
      <c r="D96" s="63">
        <f>VLOOKUP(C96,'RAW DATA 2023'!E:BP,63,0)</f>
        <v>6</v>
      </c>
      <c r="E96" s="63" t="str">
        <f>A96&amp;D96</f>
        <v>Bo Thong6</v>
      </c>
      <c r="F96" s="389">
        <f>VLOOKUP(C96,'RAW DATA 2023'!E:BO,57,0)</f>
        <v>245.12373833282072</v>
      </c>
      <c r="G96" s="63">
        <f>VLOOKUP(C96,'RAW DATA 2023'!E:BO,58,0)</f>
        <v>175</v>
      </c>
      <c r="H96" s="390">
        <f>IFERROR((G96-F96)/G96,0)</f>
        <v>-0.40070707618754697</v>
      </c>
      <c r="I96" s="398">
        <f>IF(H96&lt;0,((0.25-(H96*(-1)))*$L$7),IF(H96&gt;0,(H96*$N$7)+$L$6,0))</f>
        <v>-8.0377107300025052</v>
      </c>
      <c r="J96" s="73">
        <f>VLOOKUP(C96,'RAW DATA 2023'!E:AC,21,0)</f>
        <v>21.590479999999999</v>
      </c>
      <c r="K96" s="398">
        <f>I96*J96</f>
        <v>-173.53803276190447</v>
      </c>
      <c r="R96" s="400"/>
    </row>
    <row r="97" spans="1:18">
      <c r="A97" s="63" t="str">
        <f>'RAW DATA 2023'!B487</f>
        <v>Bo Thong</v>
      </c>
      <c r="B97" s="63" t="str">
        <f>'RAW DATA 2023'!D487</f>
        <v>BG-002-0015</v>
      </c>
      <c r="C97" s="63" t="str">
        <f>A97&amp;B97</f>
        <v>Bo ThongBG-002-0015</v>
      </c>
      <c r="D97" s="63">
        <f>VLOOKUP(C97,'RAW DATA 2023'!E:BP,63,0)</f>
        <v>7</v>
      </c>
      <c r="E97" s="63" t="str">
        <f>A97&amp;D97</f>
        <v>Bo Thong7</v>
      </c>
      <c r="F97" s="389">
        <f>VLOOKUP(C97,'RAW DATA 2023'!E:BO,57,0)</f>
        <v>0</v>
      </c>
      <c r="G97" s="63">
        <f>VLOOKUP(C97,'RAW DATA 2023'!E:BO,58,0)</f>
        <v>0</v>
      </c>
      <c r="H97" s="390">
        <f>IFERROR((G97-F97)/G97,0)</f>
        <v>0</v>
      </c>
      <c r="I97" s="398">
        <f>IF(H97&lt;0,((0.25-(H97*(-1)))*$L$7),IF(H97&gt;0,(H97*$N$7)+$L$6,0))</f>
        <v>0</v>
      </c>
      <c r="J97" s="73">
        <f>VLOOKUP(C97,'RAW DATA 2023'!E:AC,21,0)</f>
        <v>0</v>
      </c>
      <c r="K97" s="398">
        <f>I97*J97</f>
        <v>0</v>
      </c>
      <c r="R97" s="400"/>
    </row>
    <row r="98" spans="1:18">
      <c r="A98" s="63" t="str">
        <f>'RAW DATA 2023'!B491</f>
        <v>Bo Thong</v>
      </c>
      <c r="B98" s="63" t="str">
        <f>'RAW DATA 2023'!D491</f>
        <v>B1-015-0013</v>
      </c>
      <c r="C98" s="63" t="str">
        <f>A98&amp;B98</f>
        <v>Bo ThongB1-015-0013</v>
      </c>
      <c r="D98" s="63">
        <f>VLOOKUP(C98,'RAW DATA 2023'!E:BP,63,0)</f>
        <v>7</v>
      </c>
      <c r="E98" s="63" t="str">
        <f>A98&amp;D98</f>
        <v>Bo Thong7</v>
      </c>
      <c r="F98" s="389">
        <f>VLOOKUP(C98,'RAW DATA 2023'!E:BO,57,0)</f>
        <v>214.56745867326316</v>
      </c>
      <c r="G98" s="63">
        <f>VLOOKUP(C98,'RAW DATA 2023'!E:BO,58,0)</f>
        <v>183</v>
      </c>
      <c r="H98" s="397">
        <f>IFERROR((G98-F98)/G98,0)</f>
        <v>-0.17249977417083695</v>
      </c>
      <c r="I98" s="398">
        <f>IF(H98&lt;0,((0.25-(H98*(-1)))*$L$7),IF(H98&gt;0,(H98*$N$7)+$L$6,0))</f>
        <v>4.1333453775553632</v>
      </c>
      <c r="J98" s="73">
        <f>VLOOKUP(C98,'RAW DATA 2023'!E:AC,21,0)</f>
        <v>27.562060000000002</v>
      </c>
      <c r="K98" s="398">
        <f>I98*J98</f>
        <v>113.92351329690358</v>
      </c>
      <c r="R98" s="400"/>
    </row>
    <row r="99" spans="1:18">
      <c r="A99" s="63" t="str">
        <f>'RAW DATA 2023'!B498</f>
        <v>Bo Thong</v>
      </c>
      <c r="B99" s="63" t="str">
        <f>'RAW DATA 2023'!D498</f>
        <v>B1-010-0011</v>
      </c>
      <c r="C99" s="63" t="str">
        <f>A99&amp;B99</f>
        <v>Bo ThongB1-010-0011</v>
      </c>
      <c r="D99" s="63">
        <f>VLOOKUP(C99,'RAW DATA 2023'!E:BP,63,0)</f>
        <v>7</v>
      </c>
      <c r="E99" s="63" t="str">
        <f>A99&amp;D99</f>
        <v>Bo Thong7</v>
      </c>
      <c r="F99" s="389">
        <f>VLOOKUP(C99,'RAW DATA 2023'!E:BO,57,0)</f>
        <v>199.1577212331317</v>
      </c>
      <c r="G99" s="63">
        <f>VLOOKUP(C99,'RAW DATA 2023'!E:BO,58,0)</f>
        <v>165</v>
      </c>
      <c r="H99" s="390">
        <f>IFERROR((G99-F99)/G99,0)</f>
        <v>-0.20701649232201028</v>
      </c>
      <c r="I99" s="398">
        <f>IF(H99&lt;0,((0.25-(H99*(-1)))*$L$7),IF(H99&gt;0,(H99*$N$7)+$L$6,0))</f>
        <v>2.2924537428261189</v>
      </c>
      <c r="J99" s="73">
        <f>VLOOKUP(C99,'RAW DATA 2023'!E:AC,21,0)</f>
        <v>40.960749999999997</v>
      </c>
      <c r="K99" s="398">
        <f>I99*J99</f>
        <v>93.900624646464948</v>
      </c>
      <c r="R99" s="400"/>
    </row>
    <row r="100" spans="1:18">
      <c r="A100" s="63" t="str">
        <f>'RAW DATA 2023'!B500</f>
        <v>Bo Thong</v>
      </c>
      <c r="B100" s="63" t="str">
        <f>'RAW DATA 2023'!D500</f>
        <v>B1-011-0013</v>
      </c>
      <c r="C100" s="63" t="str">
        <f>A100&amp;B100</f>
        <v>Bo ThongB1-011-0013</v>
      </c>
      <c r="D100" s="63">
        <f>VLOOKUP(C100,'RAW DATA 2023'!E:BP,63,0)</f>
        <v>7</v>
      </c>
      <c r="E100" s="63" t="str">
        <f>A100&amp;D100</f>
        <v>Bo Thong7</v>
      </c>
      <c r="F100" s="389">
        <f>VLOOKUP(C100,'RAW DATA 2023'!E:BO,57,0)</f>
        <v>183.74404582068328</v>
      </c>
      <c r="G100" s="63">
        <f>VLOOKUP(C100,'RAW DATA 2023'!E:BO,58,0)</f>
        <v>166</v>
      </c>
      <c r="H100" s="390">
        <f>IFERROR((G100-F100)/G100,0)</f>
        <v>-0.1068918422932728</v>
      </c>
      <c r="I100" s="398">
        <f>IF(H100&lt;0,((0.25-(H100*(-1)))*$L$7),IF(H100&gt;0,(H100*$N$7)+$L$6,0))</f>
        <v>7.6324350776921168</v>
      </c>
      <c r="J100" s="73">
        <f>VLOOKUP(C100,'RAW DATA 2023'!E:AC,21,0)</f>
        <v>30.48405</v>
      </c>
      <c r="K100" s="398">
        <f>I100*J100</f>
        <v>232.66753253012038</v>
      </c>
      <c r="R100" s="400"/>
    </row>
    <row r="101" spans="1:18">
      <c r="A101" s="63" t="str">
        <f>'RAW DATA 2023'!B501</f>
        <v>Bo Thong</v>
      </c>
      <c r="B101" s="63" t="str">
        <f>'RAW DATA 2023'!D501</f>
        <v>BG-001-0012</v>
      </c>
      <c r="C101" s="63" t="str">
        <f>A101&amp;B101</f>
        <v>Bo ThongBG-001-0012</v>
      </c>
      <c r="D101" s="63">
        <f>VLOOKUP(C101,'RAW DATA 2023'!E:BP,63,0)</f>
        <v>7</v>
      </c>
      <c r="E101" s="63" t="str">
        <f>A101&amp;D101</f>
        <v>Bo Thong7</v>
      </c>
      <c r="F101" s="389">
        <f>VLOOKUP(C101,'RAW DATA 2023'!E:BO,57,0)</f>
        <v>283.32728683674458</v>
      </c>
      <c r="G101" s="63">
        <f>VLOOKUP(C101,'RAW DATA 2023'!E:BO,58,0)</f>
        <v>150</v>
      </c>
      <c r="H101" s="390">
        <f>IFERROR((G101-F101)/G101,0)</f>
        <v>-0.88884857891163049</v>
      </c>
      <c r="I101" s="398">
        <f>IF(H101&lt;0,((0.25-(H101*(-1)))*$L$7),IF(H101&gt;0,(H101*$N$7)+$L$6,0))</f>
        <v>-34.071924208620295</v>
      </c>
      <c r="J101" s="73">
        <f>VLOOKUP(C101,'RAW DATA 2023'!E:AC,21,0)</f>
        <v>8.0410199999999996</v>
      </c>
      <c r="K101" s="398">
        <f>I101*J101</f>
        <v>-273.97302399999995</v>
      </c>
      <c r="R101" s="400"/>
    </row>
    <row r="102" spans="1:18">
      <c r="A102" s="63" t="str">
        <f>'RAW DATA 2023'!B685</f>
        <v>Chantaburi3</v>
      </c>
      <c r="B102" s="63" t="str">
        <f>'RAW DATA 2023'!D685</f>
        <v>A1-008-0045</v>
      </c>
      <c r="C102" s="63" t="str">
        <f>A102&amp;B102</f>
        <v>Chantaburi3A1-008-0045</v>
      </c>
      <c r="D102" s="63">
        <f>VLOOKUP(C102,'RAW DATA 2023'!E:BP,63,0)</f>
        <v>11</v>
      </c>
      <c r="E102" s="63" t="str">
        <f>A102&amp;D102</f>
        <v>Chantaburi311</v>
      </c>
      <c r="F102" s="389">
        <f>VLOOKUP(C102,'RAW DATA 2023'!E:BO,57,0)</f>
        <v>375.12058128025916</v>
      </c>
      <c r="G102" s="63">
        <f>VLOOKUP(C102,'RAW DATA 2023'!E:BO,58,0)</f>
        <v>158</v>
      </c>
      <c r="H102" s="390">
        <f>IFERROR((G102-F102)/G102,0)</f>
        <v>-1.3741808941788554</v>
      </c>
      <c r="I102" s="398">
        <f>IF(H102&lt;0,((0.25-(H102*(-1)))*$L$7),IF(H102&gt;0,(H102*$N$7)+$L$6,0))</f>
        <v>-59.956314356205624</v>
      </c>
      <c r="J102" s="73">
        <f>VLOOKUP(C102,'RAW DATA 2023'!E:AC,21,0)</f>
        <v>23.65193</v>
      </c>
      <c r="K102" s="398">
        <f>I102*J102</f>
        <v>-1418.0825502109706</v>
      </c>
      <c r="R102" s="400"/>
    </row>
    <row r="103" spans="1:18">
      <c r="A103" s="63" t="str">
        <f>'RAW DATA 2023'!B692</f>
        <v>Chantaburi3</v>
      </c>
      <c r="B103" s="63" t="str">
        <f>'RAW DATA 2023'!D692</f>
        <v>B1-024-0041</v>
      </c>
      <c r="C103" s="63" t="str">
        <f>A103&amp;B103</f>
        <v>Chantaburi3B1-024-0041</v>
      </c>
      <c r="D103" s="63">
        <f>VLOOKUP(C103,'RAW DATA 2023'!E:BP,63,0)</f>
        <v>2</v>
      </c>
      <c r="E103" s="63" t="str">
        <f>A103&amp;D103</f>
        <v>Chantaburi32</v>
      </c>
      <c r="F103" s="389">
        <f>VLOOKUP(C103,'RAW DATA 2023'!E:BO,57,0)</f>
        <v>159.48409394649778</v>
      </c>
      <c r="G103" s="63">
        <f>VLOOKUP(C103,'RAW DATA 2023'!E:BO,58,0)</f>
        <v>150</v>
      </c>
      <c r="H103" s="390">
        <f>IFERROR((G103-F103)/G103,0)</f>
        <v>-6.3227292976651861E-2</v>
      </c>
      <c r="I103" s="398">
        <f>IF(H103&lt;0,((0.25-(H103*(-1)))*$L$7),IF(H103&gt;0,(H103*$N$7)+$L$6,0))</f>
        <v>9.9612110412452353</v>
      </c>
      <c r="J103" s="73">
        <f>VLOOKUP(C103,'RAW DATA 2023'!E:AC,21,0)</f>
        <v>9.1286000000000005</v>
      </c>
      <c r="K103" s="398">
        <f>I103*J103</f>
        <v>90.931911111111262</v>
      </c>
      <c r="R103" s="400"/>
    </row>
    <row r="104" spans="1:18">
      <c r="A104" s="63" t="str">
        <f>'RAW DATA 2023'!B688</f>
        <v>Chantaburi3</v>
      </c>
      <c r="B104" s="63" t="str">
        <f>'RAW DATA 2023'!D688</f>
        <v>B1-023-0027</v>
      </c>
      <c r="C104" s="63" t="str">
        <f>A104&amp;B104</f>
        <v>Chantaburi3B1-023-0027</v>
      </c>
      <c r="D104" s="63">
        <f>VLOOKUP(C104,'RAW DATA 2023'!E:BP,63,0)</f>
        <v>3</v>
      </c>
      <c r="E104" s="63" t="str">
        <f>A104&amp;D104</f>
        <v>Chantaburi33</v>
      </c>
      <c r="F104" s="389">
        <f>VLOOKUP(C104,'RAW DATA 2023'!E:BO,57,0)</f>
        <v>108.78548480308957</v>
      </c>
      <c r="G104" s="63">
        <f>VLOOKUP(C104,'RAW DATA 2023'!E:BO,58,0)</f>
        <v>166</v>
      </c>
      <c r="H104" s="390">
        <f>IFERROR((G104-F104)/G104,0)</f>
        <v>0.34466575419825557</v>
      </c>
      <c r="I104" s="398">
        <f>IF(H104&lt;0,((0.25-(H104*(-1)))*$L$7),IF(H104&gt;0,(H104*$N$7)+$L$6,0))</f>
        <v>31.715506890573629</v>
      </c>
      <c r="J104" s="73">
        <f>VLOOKUP(C104,'RAW DATA 2023'!E:AC,21,0)</f>
        <v>24.69219</v>
      </c>
      <c r="K104" s="398">
        <f>I104*J104</f>
        <v>783.1253220883533</v>
      </c>
      <c r="R104" s="400"/>
    </row>
    <row r="105" spans="1:18">
      <c r="A105" s="63" t="str">
        <f>'RAW DATA 2023'!B687</f>
        <v>Chantaburi3</v>
      </c>
      <c r="B105" s="63" t="str">
        <f>'RAW DATA 2023'!D687</f>
        <v>A1-011-0043</v>
      </c>
      <c r="C105" s="63" t="str">
        <f>A105&amp;B105</f>
        <v>Chantaburi3A1-011-0043</v>
      </c>
      <c r="D105" s="63">
        <f>VLOOKUP(C105,'RAW DATA 2023'!E:BP,63,0)</f>
        <v>4</v>
      </c>
      <c r="E105" s="63" t="str">
        <f>A105&amp;D105</f>
        <v>Chantaburi34</v>
      </c>
      <c r="F105" s="389">
        <f>VLOOKUP(C105,'RAW DATA 2023'!E:BO,57,0)</f>
        <v>191.72186712361813</v>
      </c>
      <c r="G105" s="63">
        <f>VLOOKUP(C105,'RAW DATA 2023'!E:BO,58,0)</f>
        <v>167</v>
      </c>
      <c r="H105" s="390">
        <f>IFERROR((G105-F105)/G105,0)</f>
        <v>-0.14803513247675523</v>
      </c>
      <c r="I105" s="398">
        <f>IF(H105&lt;0,((0.25-(H105*(-1)))*$L$7),IF(H105&gt;0,(H105*$N$7)+$L$6,0))</f>
        <v>5.4381262679063882</v>
      </c>
      <c r="J105" s="73">
        <f>VLOOKUP(C105,'RAW DATA 2023'!E:AC,21,0)</f>
        <v>24.043400000000002</v>
      </c>
      <c r="K105" s="398">
        <f>I105*J105</f>
        <v>130.75104510978048</v>
      </c>
      <c r="R105" s="400"/>
    </row>
    <row r="106" spans="1:18">
      <c r="A106" s="63" t="str">
        <f>'RAW DATA 2023'!B694</f>
        <v>Chantaburi3</v>
      </c>
      <c r="B106" s="63" t="str">
        <f>'RAW DATA 2023'!D694</f>
        <v>A1-010-0046</v>
      </c>
      <c r="C106" s="63" t="str">
        <f>A106&amp;B106</f>
        <v>Chantaburi3A1-010-0046</v>
      </c>
      <c r="D106" s="63">
        <f>VLOOKUP(C106,'RAW DATA 2023'!E:BP,63,0)</f>
        <v>4</v>
      </c>
      <c r="E106" s="63" t="str">
        <f>A106&amp;D106</f>
        <v>Chantaburi34</v>
      </c>
      <c r="F106" s="389">
        <f>VLOOKUP(C106,'RAW DATA 2023'!E:BO,57,0)</f>
        <v>269.41109783844598</v>
      </c>
      <c r="G106" s="63">
        <f>VLOOKUP(C106,'RAW DATA 2023'!E:BO,58,0)</f>
        <v>150</v>
      </c>
      <c r="H106" s="390">
        <f>IFERROR((G106-F106)/G106,0)</f>
        <v>-0.79607398558963993</v>
      </c>
      <c r="I106" s="398">
        <f>IF(H106&lt;0,((0.25-(H106*(-1)))*$L$7),IF(H106&gt;0,(H106*$N$7)+$L$6,0))</f>
        <v>-29.12394589811413</v>
      </c>
      <c r="J106" s="73">
        <f>VLOOKUP(C106,'RAW DATA 2023'!E:AC,21,0)</f>
        <v>16.692619999999998</v>
      </c>
      <c r="K106" s="398">
        <f>I106*J106</f>
        <v>-486.15496177777783</v>
      </c>
      <c r="R106" s="400"/>
    </row>
    <row r="107" spans="1:18">
      <c r="A107" s="63" t="str">
        <f>'RAW DATA 2023'!B689</f>
        <v>Chantaburi3</v>
      </c>
      <c r="B107" s="63" t="str">
        <f>'RAW DATA 2023'!D689</f>
        <v>A1-009-0042</v>
      </c>
      <c r="C107" s="63" t="str">
        <f>A107&amp;B107</f>
        <v>Chantaburi3A1-009-0042</v>
      </c>
      <c r="D107" s="63">
        <f>VLOOKUP(C107,'RAW DATA 2023'!E:BP,63,0)</f>
        <v>5</v>
      </c>
      <c r="E107" s="63" t="str">
        <f>A107&amp;D107</f>
        <v>Chantaburi35</v>
      </c>
      <c r="F107" s="389">
        <f>VLOOKUP(C107,'RAW DATA 2023'!E:BO,57,0)</f>
        <v>200.87106614636426</v>
      </c>
      <c r="G107" s="63">
        <f>VLOOKUP(C107,'RAW DATA 2023'!E:BO,58,0)</f>
        <v>166</v>
      </c>
      <c r="H107" s="390">
        <f>IFERROR((G107-F107)/G107,0)</f>
        <v>-0.21006666353231479</v>
      </c>
      <c r="I107" s="398">
        <f>IF(H107&lt;0,((0.25-(H107*(-1)))*$L$7),IF(H107&gt;0,(H107*$N$7)+$L$6,0))</f>
        <v>2.1297779449432115</v>
      </c>
      <c r="J107" s="73">
        <f>VLOOKUP(C107,'RAW DATA 2023'!E:AC,21,0)</f>
        <v>28.92933</v>
      </c>
      <c r="K107" s="398">
        <f>I107*J107</f>
        <v>61.613048995983995</v>
      </c>
      <c r="R107" s="400"/>
    </row>
    <row r="108" spans="1:18">
      <c r="A108" s="63" t="str">
        <f>'RAW DATA 2023'!B695</f>
        <v>Chantaburi3</v>
      </c>
      <c r="B108" s="63" t="str">
        <f>'RAW DATA 2023'!D695</f>
        <v>B1-023-0028</v>
      </c>
      <c r="C108" s="63" t="str">
        <f>A108&amp;B108</f>
        <v>Chantaburi3B1-023-0028</v>
      </c>
      <c r="D108" s="63">
        <f>VLOOKUP(C108,'RAW DATA 2023'!E:BP,63,0)</f>
        <v>5</v>
      </c>
      <c r="E108" s="63" t="str">
        <f>A108&amp;D108</f>
        <v>Chantaburi35</v>
      </c>
      <c r="F108" s="389">
        <f>VLOOKUP(C108,'RAW DATA 2023'!E:BO,57,0)</f>
        <v>0</v>
      </c>
      <c r="G108" s="63">
        <f>VLOOKUP(C108,'RAW DATA 2023'!E:BO,58,0)</f>
        <v>0</v>
      </c>
      <c r="H108" s="390">
        <f>IFERROR((G108-F108)/G108,0)</f>
        <v>0</v>
      </c>
      <c r="I108" s="398">
        <f>IF(H108&lt;0,((0.25-(H108*(-1)))*$L$7),IF(H108&gt;0,(H108*$N$7)+$L$6,0))</f>
        <v>0</v>
      </c>
      <c r="J108" s="73">
        <f>VLOOKUP(C108,'RAW DATA 2023'!E:AC,21,0)</f>
        <v>0</v>
      </c>
      <c r="K108" s="398">
        <f>I108*J108</f>
        <v>0</v>
      </c>
      <c r="R108" s="400"/>
    </row>
    <row r="109" spans="1:18">
      <c r="A109" s="63" t="str">
        <f>'RAW DATA 2023'!B686</f>
        <v>Chantaburi3</v>
      </c>
      <c r="B109" s="63" t="str">
        <f>'RAW DATA 2023'!D686</f>
        <v>B1-024-0042</v>
      </c>
      <c r="C109" s="63" t="str">
        <f>A109&amp;B109</f>
        <v>Chantaburi3B1-024-0042</v>
      </c>
      <c r="D109" s="63">
        <f>VLOOKUP(C109,'RAW DATA 2023'!E:BP,63,0)</f>
        <v>7</v>
      </c>
      <c r="E109" s="63" t="str">
        <f>A109&amp;D109</f>
        <v>Chantaburi37</v>
      </c>
      <c r="F109" s="389">
        <f>VLOOKUP(C109,'RAW DATA 2023'!E:BO,57,0)</f>
        <v>129.5971554853455</v>
      </c>
      <c r="G109" s="63">
        <f>VLOOKUP(C109,'RAW DATA 2023'!E:BO,58,0)</f>
        <v>186</v>
      </c>
      <c r="H109" s="390">
        <f>IFERROR((G109-F109)/G109,0)</f>
        <v>0.30324109954115325</v>
      </c>
      <c r="I109" s="398">
        <f>IF(H109&lt;0,((0.25-(H109*(-1)))*$L$7),IF(H109&gt;0,(H109*$N$7)+$L$6,0))</f>
        <v>29.506191975528175</v>
      </c>
      <c r="J109" s="73">
        <f>VLOOKUP(C109,'RAW DATA 2023'!E:AC,21,0)</f>
        <v>29.751999999999999</v>
      </c>
      <c r="K109" s="398">
        <f>I109*J109</f>
        <v>877.86822365591422</v>
      </c>
      <c r="R109" s="400"/>
    </row>
    <row r="110" spans="1:18">
      <c r="A110" s="63" t="str">
        <f>'RAW DATA 2023'!B690</f>
        <v>Chantaburi3</v>
      </c>
      <c r="B110" s="63" t="str">
        <f>'RAW DATA 2023'!D690</f>
        <v>A1-010-0047</v>
      </c>
      <c r="C110" s="63" t="str">
        <f>A110&amp;B110</f>
        <v>Chantaburi3A1-010-0047</v>
      </c>
      <c r="D110" s="63">
        <f>VLOOKUP(C110,'RAW DATA 2023'!E:BP,63,0)</f>
        <v>7</v>
      </c>
      <c r="E110" s="63" t="str">
        <f>A110&amp;D110</f>
        <v>Chantaburi37</v>
      </c>
      <c r="F110" s="389">
        <f>VLOOKUP(C110,'RAW DATA 2023'!E:BO,57,0)</f>
        <v>237.13662946020639</v>
      </c>
      <c r="G110" s="63">
        <f>VLOOKUP(C110,'RAW DATA 2023'!E:BO,58,0)</f>
        <v>150</v>
      </c>
      <c r="H110" s="390">
        <f>IFERROR((G110-F110)/G110,0)</f>
        <v>-0.58091086306804263</v>
      </c>
      <c r="I110" s="398">
        <f>IF(H110&lt;0,((0.25-(H110*(-1)))*$L$7),IF(H110&gt;0,(H110*$N$7)+$L$6,0))</f>
        <v>-17.64857936362894</v>
      </c>
      <c r="J110" s="73">
        <f>VLOOKUP(C110,'RAW DATA 2023'!E:AC,21,0)</f>
        <v>14.336219999999999</v>
      </c>
      <c r="K110" s="398">
        <f>I110*J110</f>
        <v>-253.01391644444448</v>
      </c>
      <c r="R110" s="400"/>
    </row>
    <row r="111" spans="1:18">
      <c r="A111" s="63" t="str">
        <f>'RAW DATA 2023'!B691</f>
        <v>Chantaburi3</v>
      </c>
      <c r="B111" s="63" t="str">
        <f>'RAW DATA 2023'!D691</f>
        <v>A1-011-0044</v>
      </c>
      <c r="C111" s="63" t="str">
        <f>A111&amp;B111</f>
        <v>Chantaburi3A1-011-0044</v>
      </c>
      <c r="D111" s="63">
        <f>VLOOKUP(C111,'RAW DATA 2023'!E:BP,63,0)</f>
        <v>7</v>
      </c>
      <c r="E111" s="63" t="str">
        <f>A111&amp;D111</f>
        <v>Chantaburi37</v>
      </c>
      <c r="F111" s="389">
        <f>VLOOKUP(C111,'RAW DATA 2023'!E:BO,57,0)</f>
        <v>248.06454650430157</v>
      </c>
      <c r="G111" s="63">
        <f>VLOOKUP(C111,'RAW DATA 2023'!E:BO,58,0)</f>
        <v>150</v>
      </c>
      <c r="H111" s="390">
        <f>IFERROR((G111-F111)/G111,0)</f>
        <v>-0.65376364336201054</v>
      </c>
      <c r="I111" s="398">
        <f>IF(H111&lt;0,((0.25-(H111*(-1)))*$L$7),IF(H111&gt;0,(H111*$N$7)+$L$6,0))</f>
        <v>-21.534060979307231</v>
      </c>
      <c r="J111" s="73">
        <f>VLOOKUP(C111,'RAW DATA 2023'!E:AC,21,0)</f>
        <v>12.99869</v>
      </c>
      <c r="K111" s="398">
        <f>I111*J111</f>
        <v>-279.91458311111109</v>
      </c>
      <c r="R111" s="400"/>
    </row>
    <row r="112" spans="1:18">
      <c r="A112" s="63" t="str">
        <f>'RAW DATA 2023'!B693</f>
        <v>Chantaburi3</v>
      </c>
      <c r="B112" s="63" t="str">
        <f>'RAW DATA 2023'!D693</f>
        <v>A1-009-0043</v>
      </c>
      <c r="C112" s="63" t="str">
        <f>A112&amp;B112</f>
        <v>Chantaburi3A1-009-0043</v>
      </c>
      <c r="D112" s="63">
        <f>VLOOKUP(C112,'RAW DATA 2023'!E:BP,63,0)</f>
        <v>7</v>
      </c>
      <c r="E112" s="63" t="str">
        <f>A112&amp;D112</f>
        <v>Chantaburi37</v>
      </c>
      <c r="F112" s="389">
        <f>VLOOKUP(C112,'RAW DATA 2023'!E:BO,57,0)</f>
        <v>327.93639784053414</v>
      </c>
      <c r="G112" s="63">
        <f>VLOOKUP(C112,'RAW DATA 2023'!E:BO,58,0)</f>
        <v>150</v>
      </c>
      <c r="H112" s="390">
        <f>IFERROR((G112-F112)/G112,0)</f>
        <v>-1.1862426522702276</v>
      </c>
      <c r="I112" s="398">
        <f>IF(H112&lt;0,((0.25-(H112*(-1)))*$L$7),IF(H112&gt;0,(H112*$N$7)+$L$6,0))</f>
        <v>-49.932941454412145</v>
      </c>
      <c r="J112" s="73">
        <f>VLOOKUP(C112,'RAW DATA 2023'!E:AC,21,0)</f>
        <v>9.8153899999999989</v>
      </c>
      <c r="K112" s="398">
        <f>I112*J112</f>
        <v>-490.1112942222224</v>
      </c>
      <c r="R112" s="400"/>
    </row>
    <row r="113" spans="1:18">
      <c r="A113" s="63" t="str">
        <f>'RAW DATA 2023'!B684</f>
        <v>Chantaburi3</v>
      </c>
      <c r="B113" s="63" t="str">
        <f>'RAW DATA 2023'!D684</f>
        <v>B1-023-0029</v>
      </c>
      <c r="C113" s="63" t="str">
        <f>A113&amp;B113</f>
        <v>Chantaburi3B1-023-0029</v>
      </c>
      <c r="D113" s="63">
        <f>VLOOKUP(C113,'RAW DATA 2023'!E:BP,63,0)</f>
        <v>8</v>
      </c>
      <c r="E113" s="63" t="str">
        <f>A113&amp;D113</f>
        <v>Chantaburi38</v>
      </c>
      <c r="F113" s="389">
        <f>VLOOKUP(C113,'RAW DATA 2023'!E:BO,57,0)</f>
        <v>155.07510069903242</v>
      </c>
      <c r="G113" s="63">
        <f>VLOOKUP(C113,'RAW DATA 2023'!E:BO,58,0)</f>
        <v>174</v>
      </c>
      <c r="H113" s="390">
        <f>IFERROR((G113-F113)/G113,0)</f>
        <v>0.10876378908602058</v>
      </c>
      <c r="I113" s="398">
        <f>IF(H113&lt;0,((0.25-(H113*(-1)))*$L$7),IF(H113&gt;0,(H113*$N$7)+$L$6,0))</f>
        <v>19.134068751254432</v>
      </c>
      <c r="J113" s="73">
        <f>VLOOKUP(C113,'RAW DATA 2023'!E:AC,21,0)</f>
        <v>15.015040000000001</v>
      </c>
      <c r="K113" s="398">
        <f>I113*J113</f>
        <v>287.29880766283537</v>
      </c>
      <c r="R113" s="400"/>
    </row>
    <row r="114" spans="1:18">
      <c r="A114" s="63" t="str">
        <f>'RAW DATA 2023'!B647</f>
        <v>CHBR1</v>
      </c>
      <c r="B114" s="63" t="str">
        <f>'RAW DATA 2023'!D647</f>
        <v>A1-015-0019</v>
      </c>
      <c r="C114" s="63" t="str">
        <f>A114&amp;B114</f>
        <v>CHBR1A1-015-0019</v>
      </c>
      <c r="D114" s="63">
        <f>VLOOKUP(C114,'RAW DATA 2023'!E:BP,63,0)</f>
        <v>12</v>
      </c>
      <c r="E114" s="63" t="str">
        <f>A114&amp;D114</f>
        <v>CHBR112</v>
      </c>
      <c r="F114" s="389">
        <f>VLOOKUP(C114,'RAW DATA 2023'!E:BO,57,0)</f>
        <v>326.11966234797728</v>
      </c>
      <c r="G114" s="63">
        <f>VLOOKUP(C114,'RAW DATA 2023'!E:BO,58,0)</f>
        <v>183</v>
      </c>
      <c r="H114" s="390">
        <f>IFERROR((G114-F114)/G114,0)</f>
        <v>-0.78207465763922013</v>
      </c>
      <c r="I114" s="398">
        <f>IF(H114&lt;0,((0.25-(H114*(-1)))*$L$7),IF(H114&gt;0,(H114*$N$7)+$L$6,0))</f>
        <v>-28.37731507409174</v>
      </c>
      <c r="J114" s="73">
        <f>VLOOKUP(C114,'RAW DATA 2023'!E:AC,21,0)</f>
        <v>22.134029999999999</v>
      </c>
      <c r="K114" s="398">
        <f>I114*J114</f>
        <v>-628.10434316939882</v>
      </c>
      <c r="R114" s="400"/>
    </row>
    <row r="115" spans="1:18">
      <c r="A115" s="63" t="str">
        <f>'RAW DATA 2023'!B656</f>
        <v>CHBR1</v>
      </c>
      <c r="B115" s="63" t="str">
        <f>'RAW DATA 2023'!D656</f>
        <v>A1-016-0012</v>
      </c>
      <c r="C115" s="63" t="str">
        <f>A115&amp;B115</f>
        <v>CHBR1A1-016-0012</v>
      </c>
      <c r="D115" s="63">
        <f>VLOOKUP(C115,'RAW DATA 2023'!E:BP,63,0)</f>
        <v>2</v>
      </c>
      <c r="E115" s="63" t="str">
        <f>A115&amp;D115</f>
        <v>CHBR12</v>
      </c>
      <c r="F115" s="389">
        <f>VLOOKUP(C115,'RAW DATA 2023'!E:BO,57,0)</f>
        <v>362.70788061696413</v>
      </c>
      <c r="G115" s="63">
        <f>VLOOKUP(C115,'RAW DATA 2023'!E:BO,58,0)</f>
        <v>183</v>
      </c>
      <c r="H115" s="390">
        <f>IFERROR((G115-F115)/G115,0)</f>
        <v>-0.98201027659543239</v>
      </c>
      <c r="I115" s="398">
        <f>IF(H115&lt;0,((0.25-(H115*(-1)))*$L$7),IF(H115&gt;0,(H115*$N$7)+$L$6,0))</f>
        <v>-39.040548085089732</v>
      </c>
      <c r="J115" s="73">
        <f>VLOOKUP(C115,'RAW DATA 2023'!E:AC,21,0)</f>
        <v>9.3969799999999992</v>
      </c>
      <c r="K115" s="398">
        <f>I115*J115</f>
        <v>-366.86324954462646</v>
      </c>
      <c r="R115" s="400"/>
    </row>
    <row r="116" spans="1:18">
      <c r="A116" s="63" t="str">
        <f>'RAW DATA 2023'!B657</f>
        <v>CHBR1</v>
      </c>
      <c r="B116" s="63" t="str">
        <f>'RAW DATA 2023'!D657</f>
        <v>A1-011-0013</v>
      </c>
      <c r="C116" s="63" t="str">
        <f>A116&amp;B116</f>
        <v>CHBR1A1-011-0013</v>
      </c>
      <c r="D116" s="63">
        <f>VLOOKUP(C116,'RAW DATA 2023'!E:BP,63,0)</f>
        <v>2</v>
      </c>
      <c r="E116" s="63" t="str">
        <f>A116&amp;D116</f>
        <v>CHBR12</v>
      </c>
      <c r="F116" s="389">
        <f>VLOOKUP(C116,'RAW DATA 2023'!E:BO,57,0)</f>
        <v>478.69065387117297</v>
      </c>
      <c r="G116" s="63">
        <f>VLOOKUP(C116,'RAW DATA 2023'!E:BO,58,0)</f>
        <v>180</v>
      </c>
      <c r="H116" s="390">
        <f>IFERROR((G116-F116)/G116,0)</f>
        <v>-1.6593925215065164</v>
      </c>
      <c r="I116" s="398">
        <f>IF(H116&lt;0,((0.25-(H116*(-1)))*$L$7),IF(H116&gt;0,(H116*$N$7)+$L$6,0))</f>
        <v>-75.16760114701421</v>
      </c>
      <c r="J116" s="73">
        <f>VLOOKUP(C116,'RAW DATA 2023'!E:AC,21,0)</f>
        <v>6.9024300000000007</v>
      </c>
      <c r="K116" s="398">
        <f>I116*J116</f>
        <v>-518.8391051851853</v>
      </c>
      <c r="R116" s="400"/>
    </row>
    <row r="117" spans="1:18">
      <c r="A117" s="63" t="str">
        <f>'RAW DATA 2023'!B662</f>
        <v>CHBR1</v>
      </c>
      <c r="B117" s="63" t="str">
        <f>'RAW DATA 2023'!D662</f>
        <v>A1-017-0013</v>
      </c>
      <c r="C117" s="63" t="str">
        <f>A117&amp;B117</f>
        <v>CHBR1A1-017-0013</v>
      </c>
      <c r="D117" s="63">
        <f>VLOOKUP(C117,'RAW DATA 2023'!E:BP,63,0)</f>
        <v>2</v>
      </c>
      <c r="E117" s="63" t="str">
        <f>A117&amp;D117</f>
        <v>CHBR12</v>
      </c>
      <c r="F117" s="389">
        <f>VLOOKUP(C117,'RAW DATA 2023'!E:BO,57,0)</f>
        <v>312.76614765128176</v>
      </c>
      <c r="G117" s="63">
        <f>VLOOKUP(C117,'RAW DATA 2023'!E:BO,58,0)</f>
        <v>172</v>
      </c>
      <c r="H117" s="390">
        <f>IFERROR((G117-F117)/G117,0)</f>
        <v>-0.81840783518187066</v>
      </c>
      <c r="I117" s="398">
        <f>IF(H117&lt;0,((0.25-(H117*(-1)))*$L$7),IF(H117&gt;0,(H117*$N$7)+$L$6,0))</f>
        <v>-30.315084543033102</v>
      </c>
      <c r="J117" s="73">
        <f>VLOOKUP(C117,'RAW DATA 2023'!E:AC,21,0)</f>
        <v>11.711919999999999</v>
      </c>
      <c r="K117" s="398">
        <f>I117*J117</f>
        <v>-355.04784496124023</v>
      </c>
      <c r="R117" s="400"/>
    </row>
    <row r="118" spans="1:18">
      <c r="A118" s="63" t="str">
        <f>'RAW DATA 2023'!B663</f>
        <v>CHBR1</v>
      </c>
      <c r="B118" s="63" t="str">
        <f>'RAW DATA 2023'!D663</f>
        <v>A1-015-0017</v>
      </c>
      <c r="C118" s="63" t="str">
        <f>A118&amp;B118</f>
        <v>CHBR1A1-015-0017</v>
      </c>
      <c r="D118" s="63">
        <f>VLOOKUP(C118,'RAW DATA 2023'!E:BP,63,0)</f>
        <v>2</v>
      </c>
      <c r="E118" s="63" t="str">
        <f>A118&amp;D118</f>
        <v>CHBR12</v>
      </c>
      <c r="F118" s="389">
        <f>VLOOKUP(C118,'RAW DATA 2023'!E:BO,57,0)</f>
        <v>426.10081734012039</v>
      </c>
      <c r="G118" s="63">
        <f>VLOOKUP(C118,'RAW DATA 2023'!E:BO,58,0)</f>
        <v>166</v>
      </c>
      <c r="H118" s="390">
        <f>IFERROR((G118-F118)/G118,0)</f>
        <v>-1.5668723936151832</v>
      </c>
      <c r="I118" s="398">
        <f>IF(H118&lt;0,((0.25-(H118*(-1)))*$L$7),IF(H118&gt;0,(H118*$N$7)+$L$6,0))</f>
        <v>-70.233194326143106</v>
      </c>
      <c r="J118" s="73">
        <f>VLOOKUP(C118,'RAW DATA 2023'!E:AC,21,0)</f>
        <v>8.5692599999999999</v>
      </c>
      <c r="K118" s="398">
        <f>I118*J118</f>
        <v>-601.84650281124505</v>
      </c>
      <c r="R118" s="400"/>
    </row>
    <row r="119" spans="1:18">
      <c r="A119" s="63" t="str">
        <f>'RAW DATA 2023'!B659</f>
        <v>CHBR1</v>
      </c>
      <c r="B119" s="63" t="str">
        <f>'RAW DATA 2023'!D659</f>
        <v>A1-018-0012</v>
      </c>
      <c r="C119" s="63" t="str">
        <f>A119&amp;B119</f>
        <v>CHBR1A1-018-0012</v>
      </c>
      <c r="D119" s="63">
        <f>VLOOKUP(C119,'RAW DATA 2023'!E:BP,63,0)</f>
        <v>3</v>
      </c>
      <c r="E119" s="63" t="str">
        <f>A119&amp;D119</f>
        <v>CHBR13</v>
      </c>
      <c r="F119" s="389">
        <f>VLOOKUP(C119,'RAW DATA 2023'!E:BO,57,0)</f>
        <v>194.85494609320617</v>
      </c>
      <c r="G119" s="63">
        <f>VLOOKUP(C119,'RAW DATA 2023'!E:BO,58,0)</f>
        <v>184</v>
      </c>
      <c r="H119" s="390">
        <f>IFERROR((G119-F119)/G119,0)</f>
        <v>-5.8994272245685687E-2</v>
      </c>
      <c r="I119" s="398">
        <f>IF(H119&lt;0,((0.25-(H119*(-1)))*$L$7),IF(H119&gt;0,(H119*$N$7)+$L$6,0))</f>
        <v>10.186972146896764</v>
      </c>
      <c r="J119" s="73">
        <f>VLOOKUP(C119,'RAW DATA 2023'!E:AC,21,0)</f>
        <v>14.75417</v>
      </c>
      <c r="K119" s="398">
        <f>I119*J119</f>
        <v>150.30031884057982</v>
      </c>
      <c r="R119" s="400"/>
    </row>
    <row r="120" spans="1:18">
      <c r="A120" s="63" t="str">
        <f>'RAW DATA 2023'!B661</f>
        <v>CHBR1</v>
      </c>
      <c r="B120" s="63" t="str">
        <f>'RAW DATA 2023'!D661</f>
        <v>A1-019-0004</v>
      </c>
      <c r="C120" s="63" t="str">
        <f>A120&amp;B120</f>
        <v>CHBR1A1-019-0004</v>
      </c>
      <c r="D120" s="63">
        <f>VLOOKUP(C120,'RAW DATA 2023'!E:BP,63,0)</f>
        <v>3</v>
      </c>
      <c r="E120" s="63" t="str">
        <f>A120&amp;D120</f>
        <v>CHBR13</v>
      </c>
      <c r="F120" s="389">
        <f>VLOOKUP(C120,'RAW DATA 2023'!E:BO,57,0)</f>
        <v>215.85257941732698</v>
      </c>
      <c r="G120" s="63">
        <f>VLOOKUP(C120,'RAW DATA 2023'!E:BO,58,0)</f>
        <v>175</v>
      </c>
      <c r="H120" s="390">
        <f>IFERROR((G120-F120)/G120,0)</f>
        <v>-0.23344331095615417</v>
      </c>
      <c r="I120" s="398">
        <f>IF(H120&lt;0,((0.25-(H120*(-1)))*$L$7),IF(H120&gt;0,(H120*$N$7)+$L$6,0))</f>
        <v>0.88302341567177756</v>
      </c>
      <c r="J120" s="73">
        <f>VLOOKUP(C120,'RAW DATA 2023'!E:AC,21,0)</f>
        <v>12.5319</v>
      </c>
      <c r="K120" s="398">
        <f>I120*J120</f>
        <v>11.06596114285715</v>
      </c>
      <c r="R120" s="400"/>
    </row>
    <row r="121" spans="1:18">
      <c r="A121" s="63" t="str">
        <f>'RAW DATA 2023'!B652</f>
        <v>CHBR1</v>
      </c>
      <c r="B121" s="63" t="str">
        <f>'RAW DATA 2023'!D652</f>
        <v>A1-009-0033</v>
      </c>
      <c r="C121" s="63" t="str">
        <f>A121&amp;B121</f>
        <v>CHBR1A1-009-0033</v>
      </c>
      <c r="D121" s="63">
        <f>VLOOKUP(C121,'RAW DATA 2023'!E:BP,63,0)</f>
        <v>5</v>
      </c>
      <c r="E121" s="63" t="str">
        <f>A121&amp;D121</f>
        <v>CHBR15</v>
      </c>
      <c r="F121" s="389">
        <f>VLOOKUP(C121,'RAW DATA 2023'!E:BO,57,0)</f>
        <v>251.50549772913095</v>
      </c>
      <c r="G121" s="63">
        <f>VLOOKUP(C121,'RAW DATA 2023'!E:BO,58,0)</f>
        <v>180</v>
      </c>
      <c r="H121" s="390">
        <f>IFERROR((G121-F121)/G121,0)</f>
        <v>-0.39725276516183861</v>
      </c>
      <c r="I121" s="398">
        <f>IF(H121&lt;0,((0.25-(H121*(-1)))*$L$7),IF(H121&gt;0,(H121*$N$7)+$L$6,0))</f>
        <v>-7.8534808086313923</v>
      </c>
      <c r="J121" s="73">
        <f>VLOOKUP(C121,'RAW DATA 2023'!E:AC,21,0)</f>
        <v>9.6130599999999991</v>
      </c>
      <c r="K121" s="398">
        <f>I121*J121</f>
        <v>-75.495982222222082</v>
      </c>
      <c r="R121" s="400"/>
    </row>
    <row r="122" spans="1:18">
      <c r="A122" s="63" t="str">
        <f>'RAW DATA 2023'!B653</f>
        <v>CHBR1</v>
      </c>
      <c r="B122" s="63" t="str">
        <f>'RAW DATA 2023'!D653</f>
        <v>A1-012-0039</v>
      </c>
      <c r="C122" s="63" t="str">
        <f>A122&amp;B122</f>
        <v>CHBR1A1-012-0039</v>
      </c>
      <c r="D122" s="63">
        <f>VLOOKUP(C122,'RAW DATA 2023'!E:BP,63,0)</f>
        <v>5</v>
      </c>
      <c r="E122" s="63" t="str">
        <f>A122&amp;D122</f>
        <v>CHBR15</v>
      </c>
      <c r="F122" s="389">
        <f>VLOOKUP(C122,'RAW DATA 2023'!E:BO,57,0)</f>
        <v>241.94375126190732</v>
      </c>
      <c r="G122" s="63">
        <f>VLOOKUP(C122,'RAW DATA 2023'!E:BO,58,0)</f>
        <v>175</v>
      </c>
      <c r="H122" s="390">
        <f>IFERROR((G122-F122)/G122,0)</f>
        <v>-0.3825357214966133</v>
      </c>
      <c r="I122" s="398">
        <f>IF(H122&lt;0,((0.25-(H122*(-1)))*$L$7),IF(H122&gt;0,(H122*$N$7)+$L$6,0))</f>
        <v>-7.06857181315271</v>
      </c>
      <c r="J122" s="73">
        <f>VLOOKUP(C122,'RAW DATA 2023'!E:AC,21,0)</f>
        <v>8.81602</v>
      </c>
      <c r="K122" s="398">
        <f>I122*J122</f>
        <v>-62.316670476190552</v>
      </c>
      <c r="R122" s="400"/>
    </row>
    <row r="123" spans="1:18">
      <c r="A123" s="63" t="str">
        <f>'RAW DATA 2023'!B649</f>
        <v>CHBR1</v>
      </c>
      <c r="B123" s="63" t="str">
        <f>'RAW DATA 2023'!D649</f>
        <v>A1-016-0013</v>
      </c>
      <c r="C123" s="63" t="str">
        <f>A123&amp;B123</f>
        <v>CHBR1A1-016-0013</v>
      </c>
      <c r="D123" s="63">
        <f>VLOOKUP(C123,'RAW DATA 2023'!E:BP,63,0)</f>
        <v>6</v>
      </c>
      <c r="E123" s="63" t="str">
        <f>A123&amp;D123</f>
        <v>CHBR16</v>
      </c>
      <c r="F123" s="389">
        <f>VLOOKUP(C123,'RAW DATA 2023'!E:BO,57,0)</f>
        <v>208.61033654942332</v>
      </c>
      <c r="G123" s="63">
        <f>VLOOKUP(C123,'RAW DATA 2023'!E:BO,58,0)</f>
        <v>172</v>
      </c>
      <c r="H123" s="390">
        <f>IFERROR((G123-F123)/G123,0)</f>
        <v>-0.21285079389199607</v>
      </c>
      <c r="I123" s="398">
        <f>IF(H123&lt;0,((0.25-(H123*(-1)))*$L$7),IF(H123&gt;0,(H123*$N$7)+$L$6,0))</f>
        <v>1.9812909924268762</v>
      </c>
      <c r="J123" s="73">
        <f>VLOOKUP(C123,'RAW DATA 2023'!E:AC,21,0)</f>
        <v>13.596219999999999</v>
      </c>
      <c r="K123" s="398">
        <f>I123*J123</f>
        <v>26.938068217054141</v>
      </c>
      <c r="R123" s="400"/>
    </row>
    <row r="124" spans="1:18">
      <c r="A124" s="63" t="str">
        <f>'RAW DATA 2023'!B648</f>
        <v>CHBR1</v>
      </c>
      <c r="B124" s="63" t="str">
        <f>'RAW DATA 2023'!D648</f>
        <v>A1-019-0005</v>
      </c>
      <c r="C124" s="63" t="str">
        <f>A124&amp;B124</f>
        <v>CHBR1A1-019-0005</v>
      </c>
      <c r="D124" s="63">
        <f>VLOOKUP(C124,'RAW DATA 2023'!E:BP,63,0)</f>
        <v>7</v>
      </c>
      <c r="E124" s="63" t="str">
        <f>A124&amp;D124</f>
        <v>CHBR17</v>
      </c>
      <c r="F124" s="389">
        <f>VLOOKUP(C124,'RAW DATA 2023'!E:BO,57,0)</f>
        <v>243.8268798723804</v>
      </c>
      <c r="G124" s="63">
        <f>VLOOKUP(C124,'RAW DATA 2023'!E:BO,58,0)</f>
        <v>186</v>
      </c>
      <c r="H124" s="390">
        <f>IFERROR((G124-F124)/G124,0)</f>
        <v>-0.31089720361494838</v>
      </c>
      <c r="I124" s="398">
        <f>IF(H124&lt;0,((0.25-(H124*(-1)))*$L$7),IF(H124&gt;0,(H124*$N$7)+$L$6,0))</f>
        <v>-3.2478508594639139</v>
      </c>
      <c r="J124" s="73">
        <f>VLOOKUP(C124,'RAW DATA 2023'!E:AC,21,0)</f>
        <v>10.5313</v>
      </c>
      <c r="K124" s="398">
        <f>I124*J124</f>
        <v>-34.204091756272319</v>
      </c>
      <c r="R124" s="400"/>
    </row>
    <row r="125" spans="1:18">
      <c r="A125" s="63" t="str">
        <f>'RAW DATA 2023'!B650</f>
        <v>CHBR1</v>
      </c>
      <c r="B125" s="63" t="str">
        <f>'RAW DATA 2023'!D650</f>
        <v>A1-011-0014</v>
      </c>
      <c r="C125" s="63" t="str">
        <f>A125&amp;B125</f>
        <v>CHBR1A1-011-0014</v>
      </c>
      <c r="D125" s="63">
        <f>VLOOKUP(C125,'RAW DATA 2023'!E:BP,63,0)</f>
        <v>7</v>
      </c>
      <c r="E125" s="63" t="str">
        <f>A125&amp;D125</f>
        <v>CHBR17</v>
      </c>
      <c r="F125" s="389">
        <f>VLOOKUP(C125,'RAW DATA 2023'!E:BO,57,0)</f>
        <v>206.03057825498092</v>
      </c>
      <c r="G125" s="63">
        <f>VLOOKUP(C125,'RAW DATA 2023'!E:BO,58,0)</f>
        <v>183</v>
      </c>
      <c r="H125" s="390">
        <f>IFERROR((G125-F125)/G125,0)</f>
        <v>-0.12585015439880287</v>
      </c>
      <c r="I125" s="398">
        <f>IF(H125&lt;0,((0.25-(H125*(-1)))*$L$7),IF(H125&gt;0,(H125*$N$7)+$L$6,0))</f>
        <v>6.6213250987305141</v>
      </c>
      <c r="J125" s="73">
        <f>VLOOKUP(C125,'RAW DATA 2023'!E:AC,21,0)</f>
        <v>14.286950000000001</v>
      </c>
      <c r="K125" s="398">
        <f>I125*J125</f>
        <v>94.598540619307926</v>
      </c>
      <c r="R125" s="400"/>
    </row>
    <row r="126" spans="1:18">
      <c r="A126" s="63" t="str">
        <f>'RAW DATA 2023'!B651</f>
        <v>CHBR1</v>
      </c>
      <c r="B126" s="63" t="str">
        <f>'RAW DATA 2023'!D651</f>
        <v>A1-018-0013</v>
      </c>
      <c r="C126" s="63" t="str">
        <f>A126&amp;B126</f>
        <v>CHBR1A1-018-0013</v>
      </c>
      <c r="D126" s="63">
        <f>VLOOKUP(C126,'RAW DATA 2023'!E:BP,63,0)</f>
        <v>7</v>
      </c>
      <c r="E126" s="63" t="str">
        <f>A126&amp;D126</f>
        <v>CHBR17</v>
      </c>
      <c r="F126" s="389">
        <f>VLOOKUP(C126,'RAW DATA 2023'!E:BO,57,0)</f>
        <v>189.79004426883256</v>
      </c>
      <c r="G126" s="63">
        <f>VLOOKUP(C126,'RAW DATA 2023'!E:BO,58,0)</f>
        <v>182</v>
      </c>
      <c r="H126" s="390">
        <f>IFERROR((G126-F126)/G126,0)</f>
        <v>-4.2802441037541536E-2</v>
      </c>
      <c r="I126" s="398">
        <f>IF(H126&lt;0,((0.25-(H126*(-1)))*$L$7),IF(H126&gt;0,(H126*$N$7)+$L$6,0))</f>
        <v>11.050536477997785</v>
      </c>
      <c r="J126" s="73">
        <f>VLOOKUP(C126,'RAW DATA 2023'!E:AC,21,0)</f>
        <v>13.666499999999999</v>
      </c>
      <c r="K126" s="398">
        <f>I126*J126</f>
        <v>151.02215677655673</v>
      </c>
      <c r="R126" s="400"/>
    </row>
    <row r="127" spans="1:18">
      <c r="A127" s="63" t="str">
        <f>'RAW DATA 2023'!B654</f>
        <v>CHBR1</v>
      </c>
      <c r="B127" s="63" t="str">
        <f>'RAW DATA 2023'!D654</f>
        <v>A1-017-0014</v>
      </c>
      <c r="C127" s="63" t="str">
        <f>A127&amp;B127</f>
        <v>CHBR1A1-017-0014</v>
      </c>
      <c r="D127" s="63">
        <f>VLOOKUP(C127,'RAW DATA 2023'!E:BP,63,0)</f>
        <v>7</v>
      </c>
      <c r="E127" s="63" t="str">
        <f>A127&amp;D127</f>
        <v>CHBR17</v>
      </c>
      <c r="F127" s="389">
        <f>VLOOKUP(C127,'RAW DATA 2023'!E:BO,57,0)</f>
        <v>168.0331574335647</v>
      </c>
      <c r="G127" s="63">
        <f>VLOOKUP(C127,'RAW DATA 2023'!E:BO,58,0)</f>
        <v>186</v>
      </c>
      <c r="H127" s="390">
        <f>IFERROR((G127-F127)/G127,0)</f>
        <v>9.6595927776533891E-2</v>
      </c>
      <c r="I127" s="398">
        <f>IF(H127&lt;0,((0.25-(H127*(-1)))*$L$7),IF(H127&gt;0,(H127*$N$7)+$L$6,0))</f>
        <v>18.485116148081808</v>
      </c>
      <c r="J127" s="73">
        <f>VLOOKUP(C127,'RAW DATA 2023'!E:AC,21,0)</f>
        <v>16.81071</v>
      </c>
      <c r="K127" s="398">
        <f>I127*J127</f>
        <v>310.74792688172033</v>
      </c>
      <c r="R127" s="400"/>
    </row>
    <row r="128" spans="1:18">
      <c r="A128" s="63" t="str">
        <f>'RAW DATA 2023'!B655</f>
        <v>CHBR1</v>
      </c>
      <c r="B128" s="63" t="str">
        <f>'RAW DATA 2023'!D655</f>
        <v>A1-012-0040</v>
      </c>
      <c r="C128" s="63" t="str">
        <f>A128&amp;B128</f>
        <v>CHBR1A1-012-0040</v>
      </c>
      <c r="D128" s="63">
        <f>VLOOKUP(C128,'RAW DATA 2023'!E:BP,63,0)</f>
        <v>7</v>
      </c>
      <c r="E128" s="63" t="str">
        <f>A128&amp;D128</f>
        <v>CHBR17</v>
      </c>
      <c r="F128" s="389">
        <f>VLOOKUP(C128,'RAW DATA 2023'!E:BO,57,0)</f>
        <v>278.08124592360173</v>
      </c>
      <c r="G128" s="63">
        <f>VLOOKUP(C128,'RAW DATA 2023'!E:BO,58,0)</f>
        <v>150</v>
      </c>
      <c r="H128" s="390">
        <f>IFERROR((G128-F128)/G128,0)</f>
        <v>-0.85387497282401148</v>
      </c>
      <c r="I128" s="398">
        <f>IF(H128&lt;0,((0.25-(H128*(-1)))*$L$7),IF(H128&gt;0,(H128*$N$7)+$L$6,0))</f>
        <v>-32.206665217280616</v>
      </c>
      <c r="J128" s="73">
        <f>VLOOKUP(C128,'RAW DATA 2023'!E:AC,21,0)</f>
        <v>5.6728999999999994</v>
      </c>
      <c r="K128" s="398">
        <f>I128*J128</f>
        <v>-182.70519111111119</v>
      </c>
      <c r="R128" s="400"/>
    </row>
    <row r="129" spans="1:18">
      <c r="A129" s="63" t="str">
        <f>'RAW DATA 2023'!B658</f>
        <v>CHBR1</v>
      </c>
      <c r="B129" s="63" t="str">
        <f>'RAW DATA 2023'!D658</f>
        <v>A1-015-0018</v>
      </c>
      <c r="C129" s="63" t="str">
        <f>A129&amp;B129</f>
        <v>CHBR1A1-015-0018</v>
      </c>
      <c r="D129" s="63">
        <f>VLOOKUP(C129,'RAW DATA 2023'!E:BP,63,0)</f>
        <v>7</v>
      </c>
      <c r="E129" s="63" t="str">
        <f>A129&amp;D129</f>
        <v>CHBR17</v>
      </c>
      <c r="F129" s="389">
        <f>VLOOKUP(C129,'RAW DATA 2023'!E:BO,57,0)</f>
        <v>169.22912855954496</v>
      </c>
      <c r="G129" s="63">
        <f>VLOOKUP(C129,'RAW DATA 2023'!E:BO,58,0)</f>
        <v>183</v>
      </c>
      <c r="H129" s="390">
        <f>IFERROR((G129-F129)/G129,0)</f>
        <v>7.5250663609043936E-2</v>
      </c>
      <c r="I129" s="398">
        <f>IF(H129&lt;0,((0.25-(H129*(-1)))*$L$7),IF(H129&gt;0,(H129*$N$7)+$L$6,0))</f>
        <v>17.34670205914901</v>
      </c>
      <c r="J129" s="73">
        <f>VLOOKUP(C129,'RAW DATA 2023'!E:AC,21,0)</f>
        <v>17.166520000000002</v>
      </c>
      <c r="K129" s="398">
        <f>I129*J129</f>
        <v>297.78250783242271</v>
      </c>
      <c r="R129" s="400"/>
    </row>
    <row r="130" spans="1:18">
      <c r="A130" s="63" t="str">
        <f>'RAW DATA 2023'!B660</f>
        <v>CHBR1</v>
      </c>
      <c r="B130" s="63" t="str">
        <f>'RAW DATA 2023'!D660</f>
        <v>A1-009-0034</v>
      </c>
      <c r="C130" s="63" t="str">
        <f>A130&amp;B130</f>
        <v>CHBR1A1-009-0034</v>
      </c>
      <c r="D130" s="63">
        <f>VLOOKUP(C130,'RAW DATA 2023'!E:BP,63,0)</f>
        <v>7</v>
      </c>
      <c r="E130" s="63" t="str">
        <f>A130&amp;D130</f>
        <v>CHBR17</v>
      </c>
      <c r="F130" s="389">
        <f>VLOOKUP(C130,'RAW DATA 2023'!E:BO,57,0)</f>
        <v>225.46051368782759</v>
      </c>
      <c r="G130" s="63">
        <f>VLOOKUP(C130,'RAW DATA 2023'!E:BO,58,0)</f>
        <v>150</v>
      </c>
      <c r="H130" s="390">
        <f>IFERROR((G130-F130)/G130,0)</f>
        <v>-0.50307009125218394</v>
      </c>
      <c r="I130" s="398">
        <f>IF(H130&lt;0,((0.25-(H130*(-1)))*$L$7),IF(H130&gt;0,(H130*$N$7)+$L$6,0))</f>
        <v>-13.497071533449811</v>
      </c>
      <c r="J130" s="73">
        <f>VLOOKUP(C130,'RAW DATA 2023'!E:AC,21,0)</f>
        <v>5.9600400000000002</v>
      </c>
      <c r="K130" s="398">
        <f>I130*J130</f>
        <v>-80.443086222222206</v>
      </c>
      <c r="R130" s="400"/>
    </row>
    <row r="131" spans="1:18">
      <c r="A131" s="63" t="str">
        <f>'RAW DATA 2023'!B323</f>
        <v>Choknavy</v>
      </c>
      <c r="B131" s="63" t="str">
        <f>'RAW DATA 2023'!D323</f>
        <v>A1-003-0035</v>
      </c>
      <c r="C131" s="63" t="str">
        <f>A131&amp;B131</f>
        <v>ChoknavyA1-003-0035</v>
      </c>
      <c r="D131" s="63">
        <f>VLOOKUP(C131,'RAW DATA 2023'!E:BP,63,0)</f>
        <v>1</v>
      </c>
      <c r="E131" s="63" t="str">
        <f>A131&amp;D131</f>
        <v>Choknavy1</v>
      </c>
      <c r="F131" s="389">
        <f>VLOOKUP(C131,'RAW DATA 2023'!E:BO,57,0)</f>
        <v>0</v>
      </c>
      <c r="G131" s="63">
        <f>VLOOKUP(C131,'RAW DATA 2023'!E:BO,58,0)</f>
        <v>0</v>
      </c>
      <c r="H131" s="397">
        <f>IFERROR((G131-F131)/G131,0)</f>
        <v>0</v>
      </c>
      <c r="I131" s="398">
        <f>IF(H131&lt;0,((0.25-(H131*(-1)))*$L$7),IF(H131&gt;0,(H131*$N$7)+$L$6,0))</f>
        <v>0</v>
      </c>
      <c r="J131" s="73">
        <f>VLOOKUP(C131,'RAW DATA 2023'!E:AC,21,0)</f>
        <v>0</v>
      </c>
      <c r="K131" s="398">
        <f>I131*J131</f>
        <v>0</v>
      </c>
      <c r="R131" s="400"/>
    </row>
    <row r="132" spans="1:18">
      <c r="A132" s="63" t="str">
        <f>'RAW DATA 2023'!B318</f>
        <v>Choknavy</v>
      </c>
      <c r="B132" s="63" t="str">
        <f>'RAW DATA 2023'!D318</f>
        <v>A1-002-0037</v>
      </c>
      <c r="C132" s="63" t="str">
        <f>A132&amp;B132</f>
        <v>ChoknavyA1-002-0037</v>
      </c>
      <c r="D132" s="63">
        <f>VLOOKUP(C132,'RAW DATA 2023'!E:BP,63,0)</f>
        <v>10</v>
      </c>
      <c r="E132" s="63" t="str">
        <f>A132&amp;D132</f>
        <v>Choknavy10</v>
      </c>
      <c r="F132" s="389">
        <f>VLOOKUP(C132,'RAW DATA 2023'!E:BO,57,0)</f>
        <v>224.98101810380535</v>
      </c>
      <c r="G132" s="63">
        <f>VLOOKUP(C132,'RAW DATA 2023'!E:BO,58,0)</f>
        <v>200</v>
      </c>
      <c r="H132" s="399">
        <f>IFERROR((G132-F132)/G132,0)</f>
        <v>-0.12490509051902678</v>
      </c>
      <c r="I132" s="398">
        <f>IF(H132&lt;0,((0.25-(H132*(-1)))*$L$7),IF(H132&gt;0,(H132*$N$7)+$L$6,0))</f>
        <v>6.671728505651906</v>
      </c>
      <c r="J132" s="73">
        <f>VLOOKUP(C132,'RAW DATA 2023'!E:AC,21,0)</f>
        <v>40.70194</v>
      </c>
      <c r="K132" s="398">
        <f>I132*J132</f>
        <v>271.55229333333352</v>
      </c>
      <c r="R132" s="400"/>
    </row>
    <row r="133" spans="1:18">
      <c r="A133" s="63" t="str">
        <f>'RAW DATA 2023'!B313</f>
        <v>Choknavy</v>
      </c>
      <c r="B133" s="63" t="str">
        <f>'RAW DATA 2023'!D313</f>
        <v>A1-003-0037</v>
      </c>
      <c r="C133" s="63" t="str">
        <f>A133&amp;B133</f>
        <v>ChoknavyA1-003-0037</v>
      </c>
      <c r="D133" s="63">
        <f>VLOOKUP(C133,'RAW DATA 2023'!E:BP,63,0)</f>
        <v>11</v>
      </c>
      <c r="E133" s="63" t="str">
        <f>A133&amp;D133</f>
        <v>Choknavy11</v>
      </c>
      <c r="F133" s="389">
        <f>VLOOKUP(C133,'RAW DATA 2023'!E:BO,57,0)</f>
        <v>188.7587727928817</v>
      </c>
      <c r="G133" s="63">
        <f>VLOOKUP(C133,'RAW DATA 2023'!E:BO,58,0)</f>
        <v>200</v>
      </c>
      <c r="H133" s="390">
        <f>IFERROR((G133-F133)/G133,0)</f>
        <v>5.6206136035591499E-2</v>
      </c>
      <c r="I133" s="398">
        <f>IF(H133&lt;0,((0.25-(H133*(-1)))*$L$7),IF(H133&gt;0,(H133*$N$7)+$L$6,0))</f>
        <v>16.330993921898212</v>
      </c>
      <c r="J133" s="73">
        <f>VLOOKUP(C133,'RAW DATA 2023'!E:AC,21,0)</f>
        <v>36.386360000000003</v>
      </c>
      <c r="K133" s="398">
        <f>I133*J133</f>
        <v>594.22542400000032</v>
      </c>
      <c r="R133" s="400"/>
    </row>
    <row r="134" spans="1:18">
      <c r="A134" s="63" t="str">
        <f>'RAW DATA 2023'!B322</f>
        <v>Choknavy</v>
      </c>
      <c r="B134" s="63" t="str">
        <f>'RAW DATA 2023'!D322</f>
        <v>A1-006-0031</v>
      </c>
      <c r="C134" s="63" t="str">
        <f>A134&amp;B134</f>
        <v>ChoknavyA1-006-0031</v>
      </c>
      <c r="D134" s="63">
        <f>VLOOKUP(C134,'RAW DATA 2023'!E:BP,63,0)</f>
        <v>3</v>
      </c>
      <c r="E134" s="63" t="str">
        <f>A134&amp;D134</f>
        <v>Choknavy3</v>
      </c>
      <c r="F134" s="389">
        <f>VLOOKUP(C134,'RAW DATA 2023'!E:BO,57,0)</f>
        <v>282.65577345852512</v>
      </c>
      <c r="G134" s="63">
        <f>VLOOKUP(C134,'RAW DATA 2023'!E:BO,58,0)</f>
        <v>210</v>
      </c>
      <c r="H134" s="397">
        <f>IFERROR((G134-F134)/G134,0)</f>
        <v>-0.34597987361202437</v>
      </c>
      <c r="I134" s="398">
        <f>IF(H134&lt;0,((0.25-(H134*(-1)))*$L$7),IF(H134&gt;0,(H134*$N$7)+$L$6,0))</f>
        <v>-5.1189265926412997</v>
      </c>
      <c r="J134" s="73">
        <f>VLOOKUP(C134,'RAW DATA 2023'!E:AC,21,0)</f>
        <v>31.495159999999998</v>
      </c>
      <c r="K134" s="398">
        <f>I134*J134</f>
        <v>-161.22141206349255</v>
      </c>
      <c r="R134" s="400"/>
    </row>
    <row r="135" spans="1:18">
      <c r="A135" s="63" t="str">
        <f>'RAW DATA 2023'!B320</f>
        <v>Choknavy</v>
      </c>
      <c r="B135" s="63" t="str">
        <f>'RAW DATA 2023'!D320</f>
        <v>A1-002-0036</v>
      </c>
      <c r="C135" s="63" t="str">
        <f>A135&amp;B135</f>
        <v>ChoknavyA1-002-0036</v>
      </c>
      <c r="D135" s="63">
        <f>VLOOKUP(C135,'RAW DATA 2023'!E:BP,63,0)</f>
        <v>4</v>
      </c>
      <c r="E135" s="63" t="str">
        <f>A135&amp;D135</f>
        <v>Choknavy4</v>
      </c>
      <c r="F135" s="389">
        <f>VLOOKUP(C135,'RAW DATA 2023'!E:BO,57,0)</f>
        <v>387.29332050419293</v>
      </c>
      <c r="G135" s="63">
        <f>VLOOKUP(C135,'RAW DATA 2023'!E:BO,58,0)</f>
        <v>214</v>
      </c>
      <c r="H135" s="397">
        <f>IFERROR((G135-F135)/G135,0)</f>
        <v>-0.8097818715149202</v>
      </c>
      <c r="I135" s="398">
        <f>IF(H135&lt;0,((0.25-(H135*(-1)))*$L$7),IF(H135&gt;0,(H135*$N$7)+$L$6,0))</f>
        <v>-29.855033147462411</v>
      </c>
      <c r="J135" s="73">
        <f>VLOOKUP(C135,'RAW DATA 2023'!E:AC,21,0)</f>
        <v>20.536580000000001</v>
      </c>
      <c r="K135" s="398">
        <f>I135*J135</f>
        <v>-613.12027663551362</v>
      </c>
      <c r="R135" s="400"/>
    </row>
    <row r="136" spans="1:18">
      <c r="A136" s="63" t="str">
        <f>'RAW DATA 2023'!B321</f>
        <v>Choknavy</v>
      </c>
      <c r="B136" s="63" t="str">
        <f>'RAW DATA 2023'!D321</f>
        <v>A1-001-0040</v>
      </c>
      <c r="C136" s="63" t="str">
        <f>A136&amp;B136</f>
        <v>ChoknavyA1-001-0040</v>
      </c>
      <c r="D136" s="63">
        <f>VLOOKUP(C136,'RAW DATA 2023'!E:BP,63,0)</f>
        <v>4</v>
      </c>
      <c r="E136" s="63" t="str">
        <f>A136&amp;D136</f>
        <v>Choknavy4</v>
      </c>
      <c r="F136" s="389">
        <f>VLOOKUP(C136,'RAW DATA 2023'!E:BO,57,0)</f>
        <v>353.71335599035916</v>
      </c>
      <c r="G136" s="63">
        <f>VLOOKUP(C136,'RAW DATA 2023'!E:BO,58,0)</f>
        <v>207</v>
      </c>
      <c r="H136" s="397">
        <f>IFERROR((G136-F136)/G136,0)</f>
        <v>-0.70876017386646939</v>
      </c>
      <c r="I136" s="398">
        <f>IF(H136&lt;0,((0.25-(H136*(-1)))*$L$7),IF(H136&gt;0,(H136*$N$7)+$L$6,0))</f>
        <v>-24.467209272878367</v>
      </c>
      <c r="J136" s="73">
        <f>VLOOKUP(C136,'RAW DATA 2023'!E:AC,21,0)</f>
        <v>21.450299999999999</v>
      </c>
      <c r="K136" s="398">
        <f>I136*J136</f>
        <v>-524.82897906602284</v>
      </c>
      <c r="R136" s="400"/>
    </row>
    <row r="137" spans="1:18">
      <c r="A137" s="63" t="str">
        <f>'RAW DATA 2023'!B319</f>
        <v>Choknavy</v>
      </c>
      <c r="B137" s="63" t="str">
        <f>'RAW DATA 2023'!D319</f>
        <v>G1-G01-0001</v>
      </c>
      <c r="C137" s="63" t="str">
        <f>A137&amp;B137</f>
        <v>ChoknavyG1-G01-0001</v>
      </c>
      <c r="D137" s="63">
        <f>VLOOKUP(C137,'RAW DATA 2023'!E:BP,63,0)</f>
        <v>5</v>
      </c>
      <c r="E137" s="63" t="str">
        <f>A137&amp;D137</f>
        <v>Choknavy5</v>
      </c>
      <c r="F137" s="389">
        <f>VLOOKUP(C137,'RAW DATA 2023'!E:BO,57,0)</f>
        <v>152.77986961378377</v>
      </c>
      <c r="G137" s="63">
        <f>VLOOKUP(C137,'RAW DATA 2023'!E:BO,58,0)</f>
        <v>189</v>
      </c>
      <c r="H137" s="390">
        <f>IFERROR((G137-F137)/G137,0)</f>
        <v>0.19164090151437158</v>
      </c>
      <c r="I137" s="398">
        <f>IF(H137&lt;0,((0.25-(H137*(-1)))*$L$7),IF(H137&gt;0,(H137*$N$7)+$L$6,0))</f>
        <v>23.554181414099819</v>
      </c>
      <c r="J137" s="73">
        <f>VLOOKUP(C137,'RAW DATA 2023'!E:AC,21,0)</f>
        <v>5.5235900000000004</v>
      </c>
      <c r="K137" s="398">
        <f>I137*J137</f>
        <v>130.10364091710764</v>
      </c>
      <c r="R137" s="400"/>
    </row>
    <row r="138" spans="1:18">
      <c r="A138" s="63" t="str">
        <f>'RAW DATA 2023'!B314</f>
        <v>Choknavy</v>
      </c>
      <c r="B138" s="63" t="str">
        <f>'RAW DATA 2023'!D314</f>
        <v>A1-006-0032</v>
      </c>
      <c r="C138" s="63" t="str">
        <f>A138&amp;B138</f>
        <v>ChoknavyA1-006-0032</v>
      </c>
      <c r="D138" s="63">
        <f>VLOOKUP(C138,'RAW DATA 2023'!E:BP,63,0)</f>
        <v>7</v>
      </c>
      <c r="E138" s="63" t="str">
        <f>A138&amp;D138</f>
        <v>Choknavy7</v>
      </c>
      <c r="F138" s="389">
        <f>VLOOKUP(C138,'RAW DATA 2023'!E:BO,57,0)</f>
        <v>222.05710802324418</v>
      </c>
      <c r="G138" s="63">
        <f>VLOOKUP(C138,'RAW DATA 2023'!E:BO,58,0)</f>
        <v>192</v>
      </c>
      <c r="H138" s="397">
        <f>IFERROR((G138-F138)/G138,0)</f>
        <v>-0.15654743762106346</v>
      </c>
      <c r="I138" s="398">
        <f>IF(H138&lt;0,((0.25-(H138*(-1)))*$L$7),IF(H138&gt;0,(H138*$N$7)+$L$6,0))</f>
        <v>4.9841366602099493</v>
      </c>
      <c r="J138" s="73">
        <f>VLOOKUP(C138,'RAW DATA 2023'!E:AC,21,0)</f>
        <v>34.892120000000006</v>
      </c>
      <c r="K138" s="398">
        <f>I138*J138</f>
        <v>173.90709444444479</v>
      </c>
      <c r="R138" s="400"/>
    </row>
    <row r="139" spans="1:18">
      <c r="A139" s="63" t="str">
        <f>'RAW DATA 2023'!B315</f>
        <v>Choknavy</v>
      </c>
      <c r="B139" s="63" t="str">
        <f>'RAW DATA 2023'!D315</f>
        <v>A1-003-0036</v>
      </c>
      <c r="C139" s="63" t="str">
        <f>A139&amp;B139</f>
        <v>ChoknavyA1-003-0036</v>
      </c>
      <c r="D139" s="63">
        <f>VLOOKUP(C139,'RAW DATA 2023'!E:BP,63,0)</f>
        <v>7</v>
      </c>
      <c r="E139" s="63" t="str">
        <f>A139&amp;D139</f>
        <v>Choknavy7</v>
      </c>
      <c r="F139" s="389">
        <f>VLOOKUP(C139,'RAW DATA 2023'!E:BO,57,0)</f>
        <v>274.06129479649348</v>
      </c>
      <c r="G139" s="63">
        <f>VLOOKUP(C139,'RAW DATA 2023'!E:BO,58,0)</f>
        <v>204</v>
      </c>
      <c r="H139" s="399">
        <f>IFERROR((G139-F139)/G139,0)</f>
        <v>-0.34343771959065433</v>
      </c>
      <c r="I139" s="398">
        <f>IF(H139&lt;0,((0.25-(H139*(-1)))*$L$7),IF(H139&gt;0,(H139*$N$7)+$L$6,0))</f>
        <v>-4.9833450448348984</v>
      </c>
      <c r="J139" s="73">
        <f>VLOOKUP(C139,'RAW DATA 2023'!E:AC,21,0)</f>
        <v>30.78059</v>
      </c>
      <c r="K139" s="398">
        <f>I139*J139</f>
        <v>-153.39030065359464</v>
      </c>
      <c r="R139" s="400"/>
    </row>
    <row r="140" spans="1:18">
      <c r="A140" s="63" t="str">
        <f>'RAW DATA 2023'!B316</f>
        <v>Choknavy</v>
      </c>
      <c r="B140" s="63" t="str">
        <f>'RAW DATA 2023'!D316</f>
        <v>A1-005-0006</v>
      </c>
      <c r="C140" s="63" t="str">
        <f>A140&amp;B140</f>
        <v>ChoknavyA1-005-0006</v>
      </c>
      <c r="D140" s="63">
        <f>VLOOKUP(C140,'RAW DATA 2023'!E:BP,63,0)</f>
        <v>8</v>
      </c>
      <c r="E140" s="63" t="str">
        <f>A140&amp;D140</f>
        <v>Choknavy8</v>
      </c>
      <c r="F140" s="389">
        <f>VLOOKUP(C140,'RAW DATA 2023'!E:BO,57,0)</f>
        <v>191.70243687625972</v>
      </c>
      <c r="G140" s="63">
        <f>VLOOKUP(C140,'RAW DATA 2023'!E:BO,58,0)</f>
        <v>197</v>
      </c>
      <c r="H140" s="390">
        <f>IFERROR((G140-F140)/G140,0)</f>
        <v>2.6891183369239974E-2</v>
      </c>
      <c r="I140" s="398">
        <f>IF(H140&lt;0,((0.25-(H140*(-1)))*$L$7),IF(H140&gt;0,(H140*$N$7)+$L$6,0))</f>
        <v>14.767529779692799</v>
      </c>
      <c r="J140" s="73">
        <f>VLOOKUP(C140,'RAW DATA 2023'!E:AC,21,0)</f>
        <v>37.014600000000002</v>
      </c>
      <c r="K140" s="398">
        <f>I140*J140</f>
        <v>546.6142077834171</v>
      </c>
      <c r="R140" s="400"/>
    </row>
    <row r="141" spans="1:18">
      <c r="A141" s="63" t="str">
        <f>'RAW DATA 2023'!B317</f>
        <v>Choknavy</v>
      </c>
      <c r="B141" s="63" t="str">
        <f>'RAW DATA 2023'!D317</f>
        <v>A1-001-0041</v>
      </c>
      <c r="C141" s="63" t="str">
        <f>A141&amp;B141</f>
        <v>ChoknavyA1-001-0041</v>
      </c>
      <c r="D141" s="63">
        <f>VLOOKUP(C141,'RAW DATA 2023'!E:BP,63,0)</f>
        <v>9</v>
      </c>
      <c r="E141" s="63" t="str">
        <f>A141&amp;D141</f>
        <v>Choknavy9</v>
      </c>
      <c r="F141" s="389">
        <f>VLOOKUP(C141,'RAW DATA 2023'!E:BO,57,0)</f>
        <v>187.65111987789479</v>
      </c>
      <c r="G141" s="63">
        <f>VLOOKUP(C141,'RAW DATA 2023'!E:BO,58,0)</f>
        <v>200</v>
      </c>
      <c r="H141" s="390">
        <f>IFERROR((G141-F141)/G141,0)</f>
        <v>6.1744400610526072E-2</v>
      </c>
      <c r="I141" s="398">
        <f>IF(H141&lt;0,((0.25-(H141*(-1)))*$L$7),IF(H141&gt;0,(H141*$N$7)+$L$6,0))</f>
        <v>16.626368032561391</v>
      </c>
      <c r="J141" s="73">
        <f>VLOOKUP(C141,'RAW DATA 2023'!E:AC,21,0)</f>
        <v>40.227599999999995</v>
      </c>
      <c r="K141" s="398">
        <f>I141*J141</f>
        <v>668.83888266666656</v>
      </c>
      <c r="R141" s="400"/>
    </row>
    <row r="142" spans="1:18">
      <c r="A142" s="63" t="str">
        <f>'RAW DATA 2023'!B415</f>
        <v>CS1</v>
      </c>
      <c r="B142" s="63" t="str">
        <f>'RAW DATA 2023'!D415</f>
        <v>A1-007-0050</v>
      </c>
      <c r="C142" s="63" t="str">
        <f>A142&amp;B142</f>
        <v>CS1A1-007-0050</v>
      </c>
      <c r="D142" s="63">
        <f>VLOOKUP(C142,'RAW DATA 2023'!E:BP,63,0)</f>
        <v>10</v>
      </c>
      <c r="E142" s="63" t="str">
        <f>A142&amp;D142</f>
        <v>CS110</v>
      </c>
      <c r="F142" s="389">
        <f>VLOOKUP(C142,'RAW DATA 2023'!E:BO,57,0)</f>
        <v>436.46221493464839</v>
      </c>
      <c r="G142" s="63">
        <f>VLOOKUP(C142,'RAW DATA 2023'!E:BO,58,0)</f>
        <v>210</v>
      </c>
      <c r="H142" s="390">
        <f>IFERROR((G142-F142)/G142,0)</f>
        <v>-1.0783914996888018</v>
      </c>
      <c r="I142" s="398">
        <f>IF(H142&lt;0,((0.25-(H142*(-1)))*$L$7),IF(H142&gt;0,(H142*$N$7)+$L$6,0))</f>
        <v>-44.180879983402761</v>
      </c>
      <c r="J142" s="73">
        <f>VLOOKUP(C142,'RAW DATA 2023'!E:AC,21,0)</f>
        <v>23.235900000000001</v>
      </c>
      <c r="K142" s="398">
        <f>I142*J142</f>
        <v>-1026.5825092063483</v>
      </c>
      <c r="R142" s="400"/>
    </row>
    <row r="143" spans="1:18">
      <c r="A143" s="63" t="str">
        <f>'RAW DATA 2023'!B416</f>
        <v>CS1</v>
      </c>
      <c r="B143" s="63" t="str">
        <f>'RAW DATA 2023'!D416</f>
        <v>A1-010-0051</v>
      </c>
      <c r="C143" s="63" t="str">
        <f>A143&amp;B143</f>
        <v>CS1A1-010-0051</v>
      </c>
      <c r="D143" s="63">
        <f>VLOOKUP(C143,'RAW DATA 2023'!E:BP,63,0)</f>
        <v>10</v>
      </c>
      <c r="E143" s="63" t="str">
        <f>A143&amp;D143</f>
        <v>CS110</v>
      </c>
      <c r="F143" s="389">
        <f>VLOOKUP(C143,'RAW DATA 2023'!E:BO,57,0)</f>
        <v>292.96256249728037</v>
      </c>
      <c r="G143" s="63">
        <f>VLOOKUP(C143,'RAW DATA 2023'!E:BO,58,0)</f>
        <v>192</v>
      </c>
      <c r="H143" s="397">
        <f>IFERROR((G143-F143)/G143,0)</f>
        <v>-0.52584667967333532</v>
      </c>
      <c r="I143" s="398">
        <f>IF(H143&lt;0,((0.25-(H143*(-1)))*$L$7),IF(H143&gt;0,(H143*$N$7)+$L$6,0))</f>
        <v>-14.711822915911217</v>
      </c>
      <c r="J143" s="73">
        <f>VLOOKUP(C143,'RAW DATA 2023'!E:AC,21,0)</f>
        <v>36.309580000000004</v>
      </c>
      <c r="K143" s="398">
        <f>I143*J143</f>
        <v>-534.18011111111161</v>
      </c>
      <c r="R143" s="400"/>
    </row>
    <row r="144" spans="1:18">
      <c r="A144" s="63" t="str">
        <f>'RAW DATA 2023'!B417</f>
        <v>CS1</v>
      </c>
      <c r="B144" s="63" t="str">
        <f>'RAW DATA 2023'!D417</f>
        <v>A1-004-0040</v>
      </c>
      <c r="C144" s="63" t="str">
        <f>A144&amp;B144</f>
        <v>CS1A1-004-0040</v>
      </c>
      <c r="D144" s="63">
        <f>VLOOKUP(C144,'RAW DATA 2023'!E:BP,63,0)</f>
        <v>2</v>
      </c>
      <c r="E144" s="63" t="str">
        <f>A144&amp;D144</f>
        <v>CS12</v>
      </c>
      <c r="F144" s="389">
        <f>VLOOKUP(C144,'RAW DATA 2023'!E:BO,57,0)</f>
        <v>589.60486816583102</v>
      </c>
      <c r="G144" s="63">
        <f>VLOOKUP(C144,'RAW DATA 2023'!E:BO,58,0)</f>
        <v>219</v>
      </c>
      <c r="H144" s="397">
        <f>IFERROR((G144-F144)/G144,0)</f>
        <v>-1.692259671990096</v>
      </c>
      <c r="I144" s="398">
        <f>IF(H144&lt;0,((0.25-(H144*(-1)))*$L$7),IF(H144&gt;0,(H144*$N$7)+$L$6,0))</f>
        <v>-76.92051583947179</v>
      </c>
      <c r="J144" s="73">
        <f>VLOOKUP(C144,'RAW DATA 2023'!E:AC,21,0)</f>
        <v>11.816360000000001</v>
      </c>
      <c r="K144" s="398">
        <f>I144*J144</f>
        <v>-908.92050654490095</v>
      </c>
      <c r="R144" s="400"/>
    </row>
    <row r="145" spans="1:18">
      <c r="A145" s="63" t="str">
        <f>'RAW DATA 2023'!B420</f>
        <v>CS1</v>
      </c>
      <c r="B145" s="63" t="str">
        <f>'RAW DATA 2023'!D420</f>
        <v>A1-096-0027</v>
      </c>
      <c r="C145" s="63" t="str">
        <f>A145&amp;B145</f>
        <v>CS1A1-096-0027</v>
      </c>
      <c r="D145" s="63">
        <f>VLOOKUP(C145,'RAW DATA 2023'!E:BP,63,0)</f>
        <v>2</v>
      </c>
      <c r="E145" s="63" t="str">
        <f>A145&amp;D145</f>
        <v>CS12</v>
      </c>
      <c r="F145" s="389">
        <f>VLOOKUP(C145,'RAW DATA 2023'!E:BO,57,0)</f>
        <v>376.13415277041344</v>
      </c>
      <c r="G145" s="63">
        <f>VLOOKUP(C145,'RAW DATA 2023'!E:BO,58,0)</f>
        <v>210</v>
      </c>
      <c r="H145" s="397">
        <f>IFERROR((G145-F145)/G145,0)</f>
        <v>-0.79111501319244493</v>
      </c>
      <c r="I145" s="398">
        <f>IF(H145&lt;0,((0.25-(H145*(-1)))*$L$7),IF(H145&gt;0,(H145*$N$7)+$L$6,0))</f>
        <v>-28.859467370263729</v>
      </c>
      <c r="J145" s="73">
        <f>VLOOKUP(C145,'RAW DATA 2023'!E:AC,21,0)</f>
        <v>13.088659999999999</v>
      </c>
      <c r="K145" s="398">
        <f>I145*J145</f>
        <v>-377.73175619047606</v>
      </c>
      <c r="R145" s="400"/>
    </row>
    <row r="146" spans="1:18">
      <c r="A146" s="63" t="str">
        <f>'RAW DATA 2023'!B421</f>
        <v>CS1</v>
      </c>
      <c r="B146" s="63" t="str">
        <f>'RAW DATA 2023'!D421</f>
        <v>A1-010-0049</v>
      </c>
      <c r="C146" s="63" t="str">
        <f>A146&amp;B146</f>
        <v>CS1A1-010-0049</v>
      </c>
      <c r="D146" s="63">
        <f>VLOOKUP(C146,'RAW DATA 2023'!E:BP,63,0)</f>
        <v>2</v>
      </c>
      <c r="E146" s="63" t="str">
        <f>A146&amp;D146</f>
        <v>CS12</v>
      </c>
      <c r="F146" s="389">
        <f>VLOOKUP(C146,'RAW DATA 2023'!E:BO,57,0)</f>
        <v>305.34288228070557</v>
      </c>
      <c r="G146" s="63">
        <f>VLOOKUP(C146,'RAW DATA 2023'!E:BO,58,0)</f>
        <v>214</v>
      </c>
      <c r="H146" s="397">
        <f>IFERROR((G146-F146)/G146,0)</f>
        <v>-0.42683589850796994</v>
      </c>
      <c r="I146" s="398">
        <f>IF(H146&lt;0,((0.25-(H146*(-1)))*$L$7),IF(H146&gt;0,(H146*$N$7)+$L$6,0))</f>
        <v>-9.4312479204250632</v>
      </c>
      <c r="J146" s="73">
        <f>VLOOKUP(C146,'RAW DATA 2023'!E:AC,21,0)</f>
        <v>17.605779999999999</v>
      </c>
      <c r="K146" s="398">
        <f>I146*J146</f>
        <v>-166.04447601246116</v>
      </c>
      <c r="R146" s="400"/>
    </row>
    <row r="147" spans="1:18">
      <c r="A147" s="63" t="str">
        <f>'RAW DATA 2023'!B422</f>
        <v>CS1</v>
      </c>
      <c r="B147" s="63" t="str">
        <f>'RAW DATA 2023'!D422</f>
        <v>A1-007-0048</v>
      </c>
      <c r="C147" s="63" t="str">
        <f>A147&amp;B147</f>
        <v>CS1A1-007-0048</v>
      </c>
      <c r="D147" s="63">
        <f>VLOOKUP(C147,'RAW DATA 2023'!E:BP,63,0)</f>
        <v>2</v>
      </c>
      <c r="E147" s="63" t="str">
        <f>A147&amp;D147</f>
        <v>CS12</v>
      </c>
      <c r="F147" s="389">
        <f>VLOOKUP(C147,'RAW DATA 2023'!E:BO,57,0)</f>
        <v>280.23161010005651</v>
      </c>
      <c r="G147" s="63">
        <f>VLOOKUP(C147,'RAW DATA 2023'!E:BO,58,0)</f>
        <v>204</v>
      </c>
      <c r="H147" s="390">
        <f>IFERROR((G147-F147)/G147,0)</f>
        <v>-0.37368436323557114</v>
      </c>
      <c r="I147" s="398">
        <f>IF(H147&lt;0,((0.25-(H147*(-1)))*$L$7),IF(H147&gt;0,(H147*$N$7)+$L$6,0))</f>
        <v>-6.5964993725637946</v>
      </c>
      <c r="J147" s="73">
        <f>VLOOKUP(C147,'RAW DATA 2023'!E:AC,21,0)</f>
        <v>17.96584</v>
      </c>
      <c r="K147" s="398">
        <f>I147*J147</f>
        <v>-118.51165228758153</v>
      </c>
      <c r="R147" s="400"/>
    </row>
    <row r="148" spans="1:18">
      <c r="A148" s="63" t="str">
        <f>'RAW DATA 2023'!B427</f>
        <v>CS1</v>
      </c>
      <c r="B148" s="63" t="str">
        <f>'RAW DATA 2023'!D427</f>
        <v>C1-080-0017</v>
      </c>
      <c r="C148" s="63" t="str">
        <f>A148&amp;B148</f>
        <v>CS1C1-080-0017</v>
      </c>
      <c r="D148" s="63">
        <f>VLOOKUP(C148,'RAW DATA 2023'!E:BP,63,0)</f>
        <v>2</v>
      </c>
      <c r="E148" s="63" t="str">
        <f>A148&amp;D148</f>
        <v>CS12</v>
      </c>
      <c r="F148" s="389">
        <f>VLOOKUP(C148,'RAW DATA 2023'!E:BO,57,0)</f>
        <v>268.17224928432159</v>
      </c>
      <c r="G148" s="63">
        <f>VLOOKUP(C148,'RAW DATA 2023'!E:BO,58,0)</f>
        <v>223</v>
      </c>
      <c r="H148" s="390">
        <f>IFERROR((G148-F148)/G148,0)</f>
        <v>-0.20256614028843764</v>
      </c>
      <c r="I148" s="398">
        <f>IF(H148&lt;0,((0.25-(H148*(-1)))*$L$7),IF(H148&gt;0,(H148*$N$7)+$L$6,0))</f>
        <v>2.5298058512833261</v>
      </c>
      <c r="J148" s="73">
        <f>VLOOKUP(C148,'RAW DATA 2023'!E:AC,21,0)</f>
        <v>15.335100000000001</v>
      </c>
      <c r="K148" s="398">
        <f>I148*J148</f>
        <v>38.794825710014933</v>
      </c>
      <c r="R148" s="400"/>
    </row>
    <row r="149" spans="1:18">
      <c r="A149" s="63" t="str">
        <f>'RAW DATA 2023'!B428</f>
        <v>CS1</v>
      </c>
      <c r="B149" s="63" t="str">
        <f>'RAW DATA 2023'!D428</f>
        <v>C1-084-0018</v>
      </c>
      <c r="C149" s="63" t="str">
        <f>A149&amp;B149</f>
        <v>CS1C1-084-0018</v>
      </c>
      <c r="D149" s="63">
        <f>VLOOKUP(C149,'RAW DATA 2023'!E:BP,63,0)</f>
        <v>2</v>
      </c>
      <c r="E149" s="63" t="str">
        <f>A149&amp;D149</f>
        <v>CS12</v>
      </c>
      <c r="F149" s="389">
        <f>VLOOKUP(C149,'RAW DATA 2023'!E:BO,57,0)</f>
        <v>351.24671079405675</v>
      </c>
      <c r="G149" s="63">
        <f>VLOOKUP(C149,'RAW DATA 2023'!E:BO,58,0)</f>
        <v>219</v>
      </c>
      <c r="H149" s="390">
        <f>IFERROR((G149-F149)/G149,0)</f>
        <v>-0.6038662593335925</v>
      </c>
      <c r="I149" s="398">
        <f>IF(H149&lt;0,((0.25-(H149*(-1)))*$L$7),IF(H149&gt;0,(H149*$N$7)+$L$6,0))</f>
        <v>-18.872867164458267</v>
      </c>
      <c r="J149" s="73">
        <f>VLOOKUP(C149,'RAW DATA 2023'!E:AC,21,0)</f>
        <v>11.42601</v>
      </c>
      <c r="K149" s="398">
        <f>I149*J149</f>
        <v>-215.64156894977179</v>
      </c>
      <c r="R149" s="400"/>
    </row>
    <row r="150" spans="1:18">
      <c r="A150" s="63" t="str">
        <f>'RAW DATA 2023'!B430</f>
        <v>CS1</v>
      </c>
      <c r="B150" s="63" t="str">
        <f>'RAW DATA 2023'!D430</f>
        <v>C1-083-0019</v>
      </c>
      <c r="C150" s="63" t="str">
        <f>A150&amp;B150</f>
        <v>CS1C1-083-0019</v>
      </c>
      <c r="D150" s="63">
        <f>VLOOKUP(C150,'RAW DATA 2023'!E:BP,63,0)</f>
        <v>2</v>
      </c>
      <c r="E150" s="63" t="str">
        <f>A150&amp;D150</f>
        <v>CS12</v>
      </c>
      <c r="F150" s="389">
        <f>VLOOKUP(C150,'RAW DATA 2023'!E:BO,57,0)</f>
        <v>306.97989911805922</v>
      </c>
      <c r="G150" s="63">
        <f>VLOOKUP(C150,'RAW DATA 2023'!E:BO,58,0)</f>
        <v>219</v>
      </c>
      <c r="H150" s="390">
        <f>IFERROR((G150-F150)/G150,0)</f>
        <v>-0.40173469916922017</v>
      </c>
      <c r="I150" s="398">
        <f>IF(H150&lt;0,((0.25-(H150*(-1)))*$L$7),IF(H150&gt;0,(H150*$N$7)+$L$6,0))</f>
        <v>-8.0925172890250767</v>
      </c>
      <c r="J150" s="73">
        <f>VLOOKUP(C150,'RAW DATA 2023'!E:AC,21,0)</f>
        <v>14.17102</v>
      </c>
      <c r="K150" s="398">
        <f>I150*J150</f>
        <v>-114.67922435312015</v>
      </c>
      <c r="R150" s="400"/>
    </row>
    <row r="151" spans="1:18">
      <c r="A151" s="63" t="str">
        <f>'RAW DATA 2023'!B434</f>
        <v>CS1</v>
      </c>
      <c r="B151" s="63" t="str">
        <f>'RAW DATA 2023'!D434</f>
        <v>C1-062-0019</v>
      </c>
      <c r="C151" s="63" t="str">
        <f>A151&amp;B151</f>
        <v>CS1C1-062-0019</v>
      </c>
      <c r="D151" s="63">
        <f>VLOOKUP(C151,'RAW DATA 2023'!E:BP,63,0)</f>
        <v>2</v>
      </c>
      <c r="E151" s="63" t="str">
        <f>A151&amp;D151</f>
        <v>CS12</v>
      </c>
      <c r="F151" s="389">
        <f>VLOOKUP(C151,'RAW DATA 2023'!E:BO,57,0)</f>
        <v>379.67449207266412</v>
      </c>
      <c r="G151" s="63">
        <f>VLOOKUP(C151,'RAW DATA 2023'!E:BO,58,0)</f>
        <v>165</v>
      </c>
      <c r="H151" s="390">
        <f>IFERROR((G151-F151)/G151,0)</f>
        <v>-1.301057527713116</v>
      </c>
      <c r="I151" s="398">
        <f>IF(H151&lt;0,((0.25-(H151*(-1)))*$L$7),IF(H151&gt;0,(H151*$N$7)+$L$6,0))</f>
        <v>-56.056401478032853</v>
      </c>
      <c r="J151" s="73">
        <f>VLOOKUP(C151,'RAW DATA 2023'!E:AC,21,0)</f>
        <v>9.4836399999999994</v>
      </c>
      <c r="K151" s="398">
        <f>I151*J151</f>
        <v>-531.61873131313143</v>
      </c>
      <c r="R151" s="400"/>
    </row>
    <row r="152" spans="1:18">
      <c r="A152" s="63" t="str">
        <f>'RAW DATA 2023'!B437</f>
        <v>CS1</v>
      </c>
      <c r="B152" s="63" t="str">
        <f>'RAW DATA 2023'!D437</f>
        <v>C1-063-0019</v>
      </c>
      <c r="C152" s="63" t="str">
        <f>A152&amp;B152</f>
        <v>CS1C1-063-0019</v>
      </c>
      <c r="D152" s="63">
        <f>VLOOKUP(C152,'RAW DATA 2023'!E:BP,63,0)</f>
        <v>2</v>
      </c>
      <c r="E152" s="63" t="str">
        <f>A152&amp;D152</f>
        <v>CS12</v>
      </c>
      <c r="F152" s="389">
        <f>VLOOKUP(C152,'RAW DATA 2023'!E:BO,57,0)</f>
        <v>348.25009398042266</v>
      </c>
      <c r="G152" s="63">
        <f>VLOOKUP(C152,'RAW DATA 2023'!E:BO,58,0)</f>
        <v>150</v>
      </c>
      <c r="H152" s="390">
        <f>IFERROR((G152-F152)/G152,0)</f>
        <v>-1.3216672932028177</v>
      </c>
      <c r="I152" s="398">
        <f>IF(H152&lt;0,((0.25-(H152*(-1)))*$L$7),IF(H152&gt;0,(H152*$N$7)+$L$6,0))</f>
        <v>-57.15558897081695</v>
      </c>
      <c r="J152" s="73">
        <f>VLOOKUP(C152,'RAW DATA 2023'!E:AC,21,0)</f>
        <v>9.5232600000000005</v>
      </c>
      <c r="K152" s="398">
        <f>I152*J152</f>
        <v>-544.30753422222222</v>
      </c>
      <c r="R152" s="400"/>
    </row>
    <row r="153" spans="1:18">
      <c r="A153" s="63" t="str">
        <f>'RAW DATA 2023'!B419</f>
        <v>CS1</v>
      </c>
      <c r="B153" s="63" t="str">
        <f>'RAW DATA 2023'!D419</f>
        <v>A1-014-0045</v>
      </c>
      <c r="C153" s="63" t="str">
        <f>A153&amp;B153</f>
        <v>CS1A1-014-0045</v>
      </c>
      <c r="D153" s="63">
        <f>VLOOKUP(C153,'RAW DATA 2023'!E:BP,63,0)</f>
        <v>3</v>
      </c>
      <c r="E153" s="63" t="str">
        <f>A153&amp;D153</f>
        <v>CS13</v>
      </c>
      <c r="F153" s="389">
        <f>VLOOKUP(C153,'RAW DATA 2023'!E:BO,57,0)</f>
        <v>157.84486611489908</v>
      </c>
      <c r="G153" s="63">
        <f>VLOOKUP(C153,'RAW DATA 2023'!E:BO,58,0)</f>
        <v>180</v>
      </c>
      <c r="H153" s="390">
        <f>IFERROR((G153-F153)/G153,0)</f>
        <v>0.12308407713944958</v>
      </c>
      <c r="I153" s="398">
        <f>IF(H153&lt;0,((0.25-(H153*(-1)))*$L$7),IF(H153&gt;0,(H153*$N$7)+$L$6,0))</f>
        <v>19.897817447437312</v>
      </c>
      <c r="J153" s="73">
        <f>VLOOKUP(C153,'RAW DATA 2023'!E:AC,21,0)</f>
        <v>19.255689999999998</v>
      </c>
      <c r="K153" s="398">
        <f>I153*J153</f>
        <v>383.14620444444415</v>
      </c>
      <c r="R153" s="400"/>
    </row>
    <row r="154" spans="1:18">
      <c r="A154" s="63" t="str">
        <f>'RAW DATA 2023'!B423</f>
        <v>CS1</v>
      </c>
      <c r="B154" s="63" t="str">
        <f>'RAW DATA 2023'!D423</f>
        <v>A1-008-0030</v>
      </c>
      <c r="C154" s="63" t="str">
        <f>A154&amp;B154</f>
        <v>CS1A1-008-0030</v>
      </c>
      <c r="D154" s="63">
        <f>VLOOKUP(C154,'RAW DATA 2023'!E:BP,63,0)</f>
        <v>3</v>
      </c>
      <c r="E154" s="63" t="str">
        <f>A154&amp;D154</f>
        <v>CS13</v>
      </c>
      <c r="F154" s="389">
        <f>VLOOKUP(C154,'RAW DATA 2023'!E:BO,57,0)</f>
        <v>311.41454020137058</v>
      </c>
      <c r="G154" s="63">
        <f>VLOOKUP(C154,'RAW DATA 2023'!E:BO,58,0)</f>
        <v>200</v>
      </c>
      <c r="H154" s="390">
        <f>IFERROR((G154-F154)/G154,0)</f>
        <v>-0.55707270100685291</v>
      </c>
      <c r="I154" s="398">
        <f>IF(H154&lt;0,((0.25-(H154*(-1)))*$L$7),IF(H154&gt;0,(H154*$N$7)+$L$6,0))</f>
        <v>-16.37721072036549</v>
      </c>
      <c r="J154" s="73">
        <f>VLOOKUP(C154,'RAW DATA 2023'!E:AC,21,0)</f>
        <v>17.111729999999998</v>
      </c>
      <c r="K154" s="398">
        <f>I154*J154</f>
        <v>-280.24240799999973</v>
      </c>
      <c r="R154" s="400"/>
    </row>
    <row r="155" spans="1:18">
      <c r="A155" s="63" t="str">
        <f>'RAW DATA 2023'!B429</f>
        <v>CS1</v>
      </c>
      <c r="B155" s="63" t="str">
        <f>'RAW DATA 2023'!D429</f>
        <v>C1-085-0019</v>
      </c>
      <c r="C155" s="63" t="str">
        <f>A155&amp;B155</f>
        <v>CS1C1-085-0019</v>
      </c>
      <c r="D155" s="63">
        <f>VLOOKUP(C155,'RAW DATA 2023'!E:BP,63,0)</f>
        <v>3</v>
      </c>
      <c r="E155" s="63" t="str">
        <f>A155&amp;D155</f>
        <v>CS13</v>
      </c>
      <c r="F155" s="389">
        <f>VLOOKUP(C155,'RAW DATA 2023'!E:BO,57,0)</f>
        <v>257.93209959237953</v>
      </c>
      <c r="G155" s="63">
        <f>VLOOKUP(C155,'RAW DATA 2023'!E:BO,58,0)</f>
        <v>207</v>
      </c>
      <c r="H155" s="390">
        <f>IFERROR((G155-F155)/G155,0)</f>
        <v>-0.24604879030135038</v>
      </c>
      <c r="I155" s="398">
        <f>IF(H155&lt;0,((0.25-(H155*(-1)))*$L$7),IF(H155&gt;0,(H155*$N$7)+$L$6,0))</f>
        <v>0.21073118392797982</v>
      </c>
      <c r="J155" s="73">
        <f>VLOOKUP(C155,'RAW DATA 2023'!E:AC,21,0)</f>
        <v>16.422139999999999</v>
      </c>
      <c r="K155" s="398">
        <f>I155*J155</f>
        <v>3.4606570048310341</v>
      </c>
      <c r="R155" s="400"/>
    </row>
    <row r="156" spans="1:18">
      <c r="A156" s="63" t="str">
        <f>'RAW DATA 2023'!B435</f>
        <v>CS1</v>
      </c>
      <c r="B156" s="63" t="str">
        <f>'RAW DATA 2023'!D435</f>
        <v>C1-0B4-0017</v>
      </c>
      <c r="C156" s="63" t="str">
        <f>A156&amp;B156</f>
        <v>CS1C1-0B4-0017</v>
      </c>
      <c r="D156" s="63">
        <f>VLOOKUP(C156,'RAW DATA 2023'!E:BP,63,0)</f>
        <v>3</v>
      </c>
      <c r="E156" s="63" t="str">
        <f>A156&amp;D156</f>
        <v>CS13</v>
      </c>
      <c r="F156" s="389">
        <f>VLOOKUP(C156,'RAW DATA 2023'!E:BO,57,0)</f>
        <v>331.44811268352294</v>
      </c>
      <c r="G156" s="63">
        <f>VLOOKUP(C156,'RAW DATA 2023'!E:BO,58,0)</f>
        <v>150</v>
      </c>
      <c r="H156" s="390">
        <f>IFERROR((G156-F156)/G156,0)</f>
        <v>-1.2096540845568196</v>
      </c>
      <c r="I156" s="398">
        <f>IF(H156&lt;0,((0.25-(H156*(-1)))*$L$7),IF(H156&gt;0,(H156*$N$7)+$L$6,0))</f>
        <v>-51.181551176363712</v>
      </c>
      <c r="J156" s="73">
        <f>VLOOKUP(C156,'RAW DATA 2023'!E:AC,21,0)</f>
        <v>5.1308299999999996</v>
      </c>
      <c r="K156" s="398">
        <f>I156*J156</f>
        <v>-262.60383822222218</v>
      </c>
      <c r="R156" s="400"/>
    </row>
    <row r="157" spans="1:18">
      <c r="A157" s="63" t="str">
        <f>'RAW DATA 2023'!B424</f>
        <v>CS1</v>
      </c>
      <c r="B157" s="63" t="str">
        <f>'RAW DATA 2023'!D424</f>
        <v>A1-007-0049</v>
      </c>
      <c r="C157" s="63" t="str">
        <f>A157&amp;B157</f>
        <v>CS1A1-007-0049</v>
      </c>
      <c r="D157" s="63">
        <f>VLOOKUP(C157,'RAW DATA 2023'!E:BP,63,0)</f>
        <v>4</v>
      </c>
      <c r="E157" s="63" t="str">
        <f>A157&amp;D157</f>
        <v>CS14</v>
      </c>
      <c r="F157" s="389">
        <f>VLOOKUP(C157,'RAW DATA 2023'!E:BO,57,0)</f>
        <v>225.71370965949748</v>
      </c>
      <c r="G157" s="63">
        <f>VLOOKUP(C157,'RAW DATA 2023'!E:BO,58,0)</f>
        <v>150</v>
      </c>
      <c r="H157" s="390">
        <f>IFERROR((G157-F157)/G157,0)</f>
        <v>-0.50475806439664983</v>
      </c>
      <c r="I157" s="398">
        <f>IF(H157&lt;0,((0.25-(H157*(-1)))*$L$7),IF(H157&gt;0,(H157*$N$7)+$L$6,0))</f>
        <v>-13.587096767821325</v>
      </c>
      <c r="J157" s="73">
        <f>VLOOKUP(C157,'RAW DATA 2023'!E:AC,21,0)</f>
        <v>8.9996399999999994</v>
      </c>
      <c r="K157" s="398">
        <f>I157*J157</f>
        <v>-122.27897955555551</v>
      </c>
      <c r="R157" s="400"/>
    </row>
    <row r="158" spans="1:18">
      <c r="A158" s="63" t="str">
        <f>'RAW DATA 2023'!B426</f>
        <v>CS1</v>
      </c>
      <c r="B158" s="63" t="str">
        <f>'RAW DATA 2023'!D426</f>
        <v>A1-010-0050</v>
      </c>
      <c r="C158" s="63" t="str">
        <f>A158&amp;B158</f>
        <v>CS1A1-010-0050</v>
      </c>
      <c r="D158" s="63">
        <f>VLOOKUP(C158,'RAW DATA 2023'!E:BP,63,0)</f>
        <v>4</v>
      </c>
      <c r="E158" s="63" t="str">
        <f>A158&amp;D158</f>
        <v>CS14</v>
      </c>
      <c r="F158" s="389">
        <f>VLOOKUP(C158,'RAW DATA 2023'!E:BO,57,0)</f>
        <v>345.82524312214446</v>
      </c>
      <c r="G158" s="63">
        <f>VLOOKUP(C158,'RAW DATA 2023'!E:BO,58,0)</f>
        <v>150</v>
      </c>
      <c r="H158" s="390">
        <f>IFERROR((G158-F158)/G158,0)</f>
        <v>-1.3055016208142964</v>
      </c>
      <c r="I158" s="398">
        <f>IF(H158&lt;0,((0.25-(H158*(-1)))*$L$7),IF(H158&gt;0,(H158*$N$7)+$L$6,0))</f>
        <v>-56.293419776762477</v>
      </c>
      <c r="J158" s="73">
        <f>VLOOKUP(C158,'RAW DATA 2023'!E:AC,21,0)</f>
        <v>7.9363400000000004</v>
      </c>
      <c r="K158" s="398">
        <f>I158*J158</f>
        <v>-446.76371911111113</v>
      </c>
      <c r="R158" s="400"/>
    </row>
    <row r="159" spans="1:18">
      <c r="A159" s="63" t="str">
        <f>'RAW DATA 2023'!B418</f>
        <v>CS1</v>
      </c>
      <c r="B159" s="63" t="str">
        <f>'RAW DATA 2023'!D418</f>
        <v>A1-096-0028</v>
      </c>
      <c r="C159" s="63" t="str">
        <f>A159&amp;B159</f>
        <v>CS1A1-096-0028</v>
      </c>
      <c r="D159" s="63">
        <f>VLOOKUP(C159,'RAW DATA 2023'!E:BP,63,0)</f>
        <v>5</v>
      </c>
      <c r="E159" s="63" t="str">
        <f>A159&amp;D159</f>
        <v>CS15</v>
      </c>
      <c r="F159" s="389">
        <f>VLOOKUP(C159,'RAW DATA 2023'!E:BO,57,0)</f>
        <v>383.55062909526868</v>
      </c>
      <c r="G159" s="63">
        <f>VLOOKUP(C159,'RAW DATA 2023'!E:BO,58,0)</f>
        <v>175</v>
      </c>
      <c r="H159" s="397">
        <f>IFERROR((G159-F159)/G159,0)</f>
        <v>-1.1917178805443924</v>
      </c>
      <c r="I159" s="398">
        <f>IF(H159&lt;0,((0.25-(H159*(-1)))*$L$7),IF(H159&gt;0,(H159*$N$7)+$L$6,0))</f>
        <v>-50.224953629034268</v>
      </c>
      <c r="J159" s="73">
        <f>VLOOKUP(C159,'RAW DATA 2023'!E:AC,21,0)</f>
        <v>10.000870000000001</v>
      </c>
      <c r="K159" s="398">
        <f>I159*J159</f>
        <v>-502.29323199999999</v>
      </c>
      <c r="R159" s="400"/>
    </row>
    <row r="160" spans="1:18">
      <c r="A160" s="63" t="str">
        <f>'RAW DATA 2023'!B425</f>
        <v>CS1</v>
      </c>
      <c r="B160" s="63" t="str">
        <f>'RAW DATA 2023'!D425</f>
        <v>A1-008-0031</v>
      </c>
      <c r="C160" s="63" t="str">
        <f>A160&amp;B160</f>
        <v>CS1A1-008-0031</v>
      </c>
      <c r="D160" s="63">
        <f>VLOOKUP(C160,'RAW DATA 2023'!E:BP,63,0)</f>
        <v>5</v>
      </c>
      <c r="E160" s="63" t="str">
        <f>A160&amp;D160</f>
        <v>CS15</v>
      </c>
      <c r="F160" s="389">
        <f>VLOOKUP(C160,'RAW DATA 2023'!E:BO,57,0)</f>
        <v>1005.7143964567803</v>
      </c>
      <c r="G160" s="63">
        <f>VLOOKUP(C160,'RAW DATA 2023'!E:BO,58,0)</f>
        <v>150</v>
      </c>
      <c r="H160" s="390">
        <f>IFERROR((G160-F160)/G160,0)</f>
        <v>-5.7047626430452016</v>
      </c>
      <c r="I160" s="398">
        <f>IF(H160&lt;0,((0.25-(H160*(-1)))*$L$7),IF(H160&gt;0,(H160*$N$7)+$L$6,0))</f>
        <v>-290.92067429574411</v>
      </c>
      <c r="J160" s="73">
        <f>VLOOKUP(C160,'RAW DATA 2023'!E:AC,21,0)</f>
        <v>4.2311800000000002</v>
      </c>
      <c r="K160" s="398">
        <f>I160*J160</f>
        <v>-1230.9377386666665</v>
      </c>
      <c r="R160" s="400"/>
    </row>
    <row r="161" spans="1:18">
      <c r="A161" s="63" t="str">
        <f>'RAW DATA 2023'!B431</f>
        <v>CS1</v>
      </c>
      <c r="B161" s="63" t="str">
        <f>'RAW DATA 2023'!D431</f>
        <v>C1-080-0018</v>
      </c>
      <c r="C161" s="63" t="str">
        <f>A161&amp;B161</f>
        <v>CS1C1-080-0018</v>
      </c>
      <c r="D161" s="63">
        <f>VLOOKUP(C161,'RAW DATA 2023'!E:BP,63,0)</f>
        <v>5</v>
      </c>
      <c r="E161" s="63" t="str">
        <f>A161&amp;D161</f>
        <v>CS15</v>
      </c>
      <c r="F161" s="389">
        <f>VLOOKUP(C161,'RAW DATA 2023'!E:BO,57,0)</f>
        <v>298.82328166236914</v>
      </c>
      <c r="G161" s="63">
        <f>VLOOKUP(C161,'RAW DATA 2023'!E:BO,58,0)</f>
        <v>161</v>
      </c>
      <c r="H161" s="390">
        <f>IFERROR((G161-F161)/G161,0)</f>
        <v>-0.85604522771657854</v>
      </c>
      <c r="I161" s="398">
        <f>IF(H161&lt;0,((0.25-(H161*(-1)))*$L$7),IF(H161&gt;0,(H161*$N$7)+$L$6,0))</f>
        <v>-32.32241214488419</v>
      </c>
      <c r="J161" s="73">
        <f>VLOOKUP(C161,'RAW DATA 2023'!E:AC,21,0)</f>
        <v>8.2412500000000009</v>
      </c>
      <c r="K161" s="398">
        <f>I161*J161</f>
        <v>-266.37707908902684</v>
      </c>
      <c r="R161" s="400"/>
    </row>
    <row r="162" spans="1:18">
      <c r="A162" s="63" t="str">
        <f>'RAW DATA 2023'!B432</f>
        <v>CS1</v>
      </c>
      <c r="B162" s="63" t="str">
        <f>'RAW DATA 2023'!D432</f>
        <v>C1-062-0020</v>
      </c>
      <c r="C162" s="63" t="str">
        <f>A162&amp;B162</f>
        <v>CS1C1-062-0020</v>
      </c>
      <c r="D162" s="63">
        <f>VLOOKUP(C162,'RAW DATA 2023'!E:BP,63,0)</f>
        <v>5</v>
      </c>
      <c r="E162" s="63" t="str">
        <f>A162&amp;D162</f>
        <v>CS15</v>
      </c>
      <c r="F162" s="389">
        <f>VLOOKUP(C162,'RAW DATA 2023'!E:BO,57,0)</f>
        <v>253.75717062683208</v>
      </c>
      <c r="G162" s="63">
        <f>VLOOKUP(C162,'RAW DATA 2023'!E:BO,58,0)</f>
        <v>150</v>
      </c>
      <c r="H162" s="390">
        <f>IFERROR((G162-F162)/G162,0)</f>
        <v>-0.69171447084554716</v>
      </c>
      <c r="I162" s="398">
        <f>IF(H162&lt;0,((0.25-(H162*(-1)))*$L$7),IF(H162&gt;0,(H162*$N$7)+$L$6,0))</f>
        <v>-23.558105111762515</v>
      </c>
      <c r="J162" s="73">
        <f>VLOOKUP(C162,'RAW DATA 2023'!E:AC,21,0)</f>
        <v>11.64682</v>
      </c>
      <c r="K162" s="398">
        <f>I162*J162</f>
        <v>-274.37700977777791</v>
      </c>
      <c r="R162" s="400"/>
    </row>
    <row r="163" spans="1:18">
      <c r="A163" s="63" t="str">
        <f>'RAW DATA 2023'!B433</f>
        <v>CS1</v>
      </c>
      <c r="B163" s="63" t="str">
        <f>'RAW DATA 2023'!D433</f>
        <v>C1-084-0019</v>
      </c>
      <c r="C163" s="63" t="str">
        <f>A163&amp;B163</f>
        <v>CS1C1-084-0019</v>
      </c>
      <c r="D163" s="63">
        <f>VLOOKUP(C163,'RAW DATA 2023'!E:BP,63,0)</f>
        <v>5</v>
      </c>
      <c r="E163" s="63" t="str">
        <f>A163&amp;D163</f>
        <v>CS15</v>
      </c>
      <c r="F163" s="389">
        <f>VLOOKUP(C163,'RAW DATA 2023'!E:BO,57,0)</f>
        <v>213.84692029866019</v>
      </c>
      <c r="G163" s="63">
        <f>VLOOKUP(C163,'RAW DATA 2023'!E:BO,58,0)</f>
        <v>151</v>
      </c>
      <c r="H163" s="390">
        <f>IFERROR((G163-F163)/G163,0)</f>
        <v>-0.41620477018980262</v>
      </c>
      <c r="I163" s="398">
        <f>IF(H163&lt;0,((0.25-(H163*(-1)))*$L$7),IF(H163&gt;0,(H163*$N$7)+$L$6,0))</f>
        <v>-8.8642544101228076</v>
      </c>
      <c r="J163" s="73">
        <f>VLOOKUP(C163,'RAW DATA 2023'!E:AC,21,0)</f>
        <v>11.31587</v>
      </c>
      <c r="K163" s="398">
        <f>I163*J163</f>
        <v>-100.30675055187638</v>
      </c>
      <c r="R163" s="400"/>
    </row>
    <row r="164" spans="1:18">
      <c r="A164" s="63" t="str">
        <f>'RAW DATA 2023'!B436</f>
        <v>CS1</v>
      </c>
      <c r="B164" s="63" t="str">
        <f>'RAW DATA 2023'!D436</f>
        <v>C1-083-0020</v>
      </c>
      <c r="C164" s="63" t="str">
        <f>A164&amp;B164</f>
        <v>CS1C1-083-0020</v>
      </c>
      <c r="D164" s="63">
        <f>VLOOKUP(C164,'RAW DATA 2023'!E:BP,63,0)</f>
        <v>5</v>
      </c>
      <c r="E164" s="63" t="str">
        <f>A164&amp;D164</f>
        <v>CS15</v>
      </c>
      <c r="F164" s="389">
        <f>VLOOKUP(C164,'RAW DATA 2023'!E:BO,57,0)</f>
        <v>353.37736392671997</v>
      </c>
      <c r="G164" s="63">
        <f>VLOOKUP(C164,'RAW DATA 2023'!E:BO,58,0)</f>
        <v>150</v>
      </c>
      <c r="H164" s="397">
        <f>IFERROR((G164-F164)/G164,0)</f>
        <v>-1.3558490928447997</v>
      </c>
      <c r="I164" s="398">
        <f>IF(H164&lt;0,((0.25-(H164*(-1)))*$L$7),IF(H164&gt;0,(H164*$N$7)+$L$6,0))</f>
        <v>-58.978618285055987</v>
      </c>
      <c r="J164" s="73">
        <f>VLOOKUP(C164,'RAW DATA 2023'!E:AC,21,0)</f>
        <v>5.2756499999999997</v>
      </c>
      <c r="K164" s="398">
        <f>I164*J164</f>
        <v>-311.15054755555559</v>
      </c>
      <c r="R164" s="400"/>
    </row>
    <row r="165" spans="1:18">
      <c r="A165" s="63" t="str">
        <f>'RAW DATA 2023'!B438</f>
        <v>CS1</v>
      </c>
      <c r="B165" s="63" t="str">
        <f>'RAW DATA 2023'!D438</f>
        <v>C1-056-0019</v>
      </c>
      <c r="C165" s="63" t="str">
        <f>A165&amp;B165</f>
        <v>CS1C1-056-0019</v>
      </c>
      <c r="D165" s="63">
        <f>VLOOKUP(C165,'RAW DATA 2023'!E:BP,63,0)</f>
        <v>5</v>
      </c>
      <c r="E165" s="63" t="str">
        <f>A165&amp;D165</f>
        <v>CS15</v>
      </c>
      <c r="F165" s="389">
        <f>VLOOKUP(C165,'RAW DATA 2023'!E:BO,57,0)</f>
        <v>539.32740202998446</v>
      </c>
      <c r="G165" s="63">
        <f>VLOOKUP(C165,'RAW DATA 2023'!E:BO,58,0)</f>
        <v>150</v>
      </c>
      <c r="H165" s="397">
        <f>IFERROR((G165-F165)/G165,0)</f>
        <v>-2.5955160135332296</v>
      </c>
      <c r="I165" s="398">
        <f>IF(H165&lt;0,((0.25-(H165*(-1)))*$L$7),IF(H165&gt;0,(H165*$N$7)+$L$6,0))</f>
        <v>-125.09418738843891</v>
      </c>
      <c r="J165" s="73">
        <f>VLOOKUP(C165,'RAW DATA 2023'!E:AC,21,0)</f>
        <v>5.0719599999999998</v>
      </c>
      <c r="K165" s="398">
        <f>I165*J165</f>
        <v>-634.47271466666655</v>
      </c>
      <c r="R165" s="400"/>
    </row>
    <row r="166" spans="1:18">
      <c r="A166" s="63" t="str">
        <f>'RAW DATA 2023'!B439</f>
        <v>CS1</v>
      </c>
      <c r="B166" s="63" t="str">
        <f>'RAW DATA 2023'!D439</f>
        <v>C1-063-0020</v>
      </c>
      <c r="C166" s="63" t="str">
        <f>A166&amp;B166</f>
        <v>CS1C1-063-0020</v>
      </c>
      <c r="D166" s="63">
        <f>VLOOKUP(C166,'RAW DATA 2023'!E:BP,63,0)</f>
        <v>5</v>
      </c>
      <c r="E166" s="63" t="str">
        <f>A166&amp;D166</f>
        <v>CS15</v>
      </c>
      <c r="F166" s="389">
        <f>VLOOKUP(C166,'RAW DATA 2023'!E:BO,57,0)</f>
        <v>735.39612957160932</v>
      </c>
      <c r="G166" s="63">
        <f>VLOOKUP(C166,'RAW DATA 2023'!E:BO,58,0)</f>
        <v>150</v>
      </c>
      <c r="H166" s="390">
        <f>IFERROR((G166-F166)/G166,0)</f>
        <v>-3.9026408638107286</v>
      </c>
      <c r="I166" s="398">
        <f>IF(H166&lt;0,((0.25-(H166*(-1)))*$L$7),IF(H166&gt;0,(H166*$N$7)+$L$6,0))</f>
        <v>-194.80751273657219</v>
      </c>
      <c r="J166" s="73">
        <f>VLOOKUP(C166,'RAW DATA 2023'!E:AC,21,0)</f>
        <v>2.6555200000000001</v>
      </c>
      <c r="K166" s="398">
        <f>I166*J166</f>
        <v>-517.31524622222219</v>
      </c>
      <c r="R166" s="400"/>
    </row>
    <row r="167" spans="1:18">
      <c r="A167" s="63" t="str">
        <f>'RAW DATA 2023'!B441</f>
        <v>CS1</v>
      </c>
      <c r="B167" s="63" t="str">
        <f>'RAW DATA 2023'!D441</f>
        <v>C1-084-0020</v>
      </c>
      <c r="C167" s="63" t="str">
        <f>A167&amp;B167</f>
        <v>CS1C1-084-0020</v>
      </c>
      <c r="D167" s="63">
        <f>VLOOKUP(C167,'RAW DATA 2023'!E:BP,63,0)</f>
        <v>8</v>
      </c>
      <c r="E167" s="63" t="str">
        <f>A167&amp;D167</f>
        <v>CS18</v>
      </c>
      <c r="F167" s="389">
        <f>VLOOKUP(C167,'RAW DATA 2023'!E:BO,57,0)</f>
        <v>812.38413391012534</v>
      </c>
      <c r="G167" s="63">
        <f>VLOOKUP(C167,'RAW DATA 2023'!E:BO,58,0)</f>
        <v>150</v>
      </c>
      <c r="H167" s="390">
        <f>IFERROR((G167-F167)/G167,0)</f>
        <v>-4.4158942260675023</v>
      </c>
      <c r="I167" s="398">
        <f>IF(H167&lt;0,((0.25-(H167*(-1)))*$L$7),IF(H167&gt;0,(H167*$N$7)+$L$6,0))</f>
        <v>-222.1810253902668</v>
      </c>
      <c r="J167" s="73">
        <f>VLOOKUP(C167,'RAW DATA 2023'!E:AC,21,0)</f>
        <v>5.8761800000000006</v>
      </c>
      <c r="K167" s="398">
        <f>I167*J167</f>
        <v>-1305.575697777778</v>
      </c>
      <c r="R167" s="400"/>
    </row>
    <row r="168" spans="1:18">
      <c r="A168" s="63" t="str">
        <f>'RAW DATA 2023'!B440</f>
        <v>CS1</v>
      </c>
      <c r="B168" s="63" t="str">
        <f>'RAW DATA 2023'!D440</f>
        <v>C1-085-0020</v>
      </c>
      <c r="C168" s="63" t="str">
        <f>A168&amp;B168</f>
        <v>CS1C1-085-0020</v>
      </c>
      <c r="D168" s="63">
        <f>VLOOKUP(C168,'RAW DATA 2023'!E:BP,63,0)</f>
        <v>9</v>
      </c>
      <c r="E168" s="63" t="str">
        <f>A168&amp;D168</f>
        <v>CS19</v>
      </c>
      <c r="F168" s="389">
        <f>VLOOKUP(C168,'RAW DATA 2023'!E:BO,57,0)</f>
        <v>641.28195476668361</v>
      </c>
      <c r="G168" s="63">
        <f>VLOOKUP(C168,'RAW DATA 2023'!E:BO,58,0)</f>
        <v>150</v>
      </c>
      <c r="H168" s="390">
        <f>IFERROR((G168-F168)/G168,0)</f>
        <v>-3.2752130317778909</v>
      </c>
      <c r="I168" s="398">
        <f>IF(H168&lt;0,((0.25-(H168*(-1)))*$L$7),IF(H168&gt;0,(H168*$N$7)+$L$6,0))</f>
        <v>-161.34469502815418</v>
      </c>
      <c r="J168" s="73">
        <f>VLOOKUP(C168,'RAW DATA 2023'!E:AC,21,0)</f>
        <v>9.356819999999999</v>
      </c>
      <c r="K168" s="398">
        <f>I168*J168</f>
        <v>-1509.6732693333333</v>
      </c>
      <c r="R168" s="400"/>
    </row>
    <row r="169" spans="1:18">
      <c r="A169" s="63" t="str">
        <f>'RAW DATA 2023'!B412</f>
        <v>CS4</v>
      </c>
      <c r="B169" s="63" t="str">
        <f>'RAW DATA 2023'!D412</f>
        <v>A1-002-0046</v>
      </c>
      <c r="C169" s="63" t="str">
        <f>A169&amp;B169</f>
        <v>CS4A1-002-0046</v>
      </c>
      <c r="D169" s="63">
        <f>VLOOKUP(C169,'RAW DATA 2023'!E:BP,63,0)</f>
        <v>2</v>
      </c>
      <c r="E169" s="63" t="str">
        <f>A169&amp;D169</f>
        <v>CS42</v>
      </c>
      <c r="F169" s="389">
        <f>VLOOKUP(C169,'RAW DATA 2023'!E:BO,57,0)</f>
        <v>321.02476760192911</v>
      </c>
      <c r="G169" s="63">
        <f>VLOOKUP(C169,'RAW DATA 2023'!E:BO,58,0)</f>
        <v>166</v>
      </c>
      <c r="H169" s="390">
        <f>IFERROR((G169-F169)/G169,0)</f>
        <v>-0.93388414218029592</v>
      </c>
      <c r="I169" s="398">
        <f>IF(H169&lt;0,((0.25-(H169*(-1)))*$L$7),IF(H169&gt;0,(H169*$N$7)+$L$6,0))</f>
        <v>-36.473820916282449</v>
      </c>
      <c r="J169" s="73">
        <f>VLOOKUP(C169,'RAW DATA 2023'!E:AC,21,0)</f>
        <v>12.698040000000001</v>
      </c>
      <c r="K169" s="398">
        <f>I169*J169</f>
        <v>-463.14603694779123</v>
      </c>
      <c r="R169" s="400"/>
    </row>
    <row r="170" spans="1:18">
      <c r="A170" s="63" t="str">
        <f>'RAW DATA 2023'!B413</f>
        <v>CS4</v>
      </c>
      <c r="B170" s="63" t="str">
        <f>'RAW DATA 2023'!D413</f>
        <v>A1-023-0008</v>
      </c>
      <c r="C170" s="63" t="str">
        <f>A170&amp;B170</f>
        <v>CS4A1-023-0008</v>
      </c>
      <c r="D170" s="63">
        <f>VLOOKUP(C170,'RAW DATA 2023'!E:BP,63,0)</f>
        <v>3</v>
      </c>
      <c r="E170" s="63" t="str">
        <f>A170&amp;D170</f>
        <v>CS43</v>
      </c>
      <c r="F170" s="389">
        <f>VLOOKUP(C170,'RAW DATA 2023'!E:BO,57,0)</f>
        <v>291.52189474614465</v>
      </c>
      <c r="G170" s="63">
        <f>VLOOKUP(C170,'RAW DATA 2023'!E:BO,58,0)</f>
        <v>150</v>
      </c>
      <c r="H170" s="397">
        <f>IFERROR((G170-F170)/G170,0)</f>
        <v>-0.943479298307631</v>
      </c>
      <c r="I170" s="398">
        <f>IF(H170&lt;0,((0.25-(H170*(-1)))*$L$7),IF(H170&gt;0,(H170*$N$7)+$L$6,0))</f>
        <v>-36.985562576406991</v>
      </c>
      <c r="J170" s="73">
        <f>VLOOKUP(C170,'RAW DATA 2023'!E:AC,21,0)</f>
        <v>3.3946499999999999</v>
      </c>
      <c r="K170" s="398">
        <f>I170*J170</f>
        <v>-125.55304</v>
      </c>
      <c r="R170" s="400"/>
    </row>
    <row r="171" spans="1:18">
      <c r="A171" s="63" t="str">
        <f>'RAW DATA 2023'!B409</f>
        <v>CS4</v>
      </c>
      <c r="B171" s="63" t="str">
        <f>'RAW DATA 2023'!D409</f>
        <v>A1-003-0037</v>
      </c>
      <c r="C171" s="63" t="str">
        <f>A171&amp;B171</f>
        <v>CS4A1-003-0037</v>
      </c>
      <c r="D171" s="63">
        <f>VLOOKUP(C171,'RAW DATA 2023'!E:BP,63,0)</f>
        <v>4</v>
      </c>
      <c r="E171" s="63" t="str">
        <f>A171&amp;D171</f>
        <v>CS44</v>
      </c>
      <c r="F171" s="389">
        <f>VLOOKUP(C171,'RAW DATA 2023'!E:BO,57,0)</f>
        <v>401.37622878708669</v>
      </c>
      <c r="G171" s="63">
        <f>VLOOKUP(C171,'RAW DATA 2023'!E:BO,58,0)</f>
        <v>189</v>
      </c>
      <c r="H171" s="390">
        <f>IFERROR((G171-F171)/G171,0)</f>
        <v>-1.1236837501962258</v>
      </c>
      <c r="I171" s="398">
        <f>IF(H171&lt;0,((0.25-(H171*(-1)))*$L$7),IF(H171&gt;0,(H171*$N$7)+$L$6,0))</f>
        <v>-46.596466677132042</v>
      </c>
      <c r="J171" s="73">
        <f>VLOOKUP(C171,'RAW DATA 2023'!E:AC,21,0)</f>
        <v>14.11758</v>
      </c>
      <c r="K171" s="398">
        <f>I171*J171</f>
        <v>-657.82934603174579</v>
      </c>
      <c r="R171" s="400"/>
    </row>
    <row r="172" spans="1:18">
      <c r="A172" s="63" t="str">
        <f>'RAW DATA 2023'!B414</f>
        <v>CS4</v>
      </c>
      <c r="B172" s="63" t="str">
        <f>'RAW DATA 2023'!D414</f>
        <v>A1-026-0014</v>
      </c>
      <c r="C172" s="63" t="str">
        <f>A172&amp;B172</f>
        <v>CS4A1-026-0014</v>
      </c>
      <c r="D172" s="63">
        <f>VLOOKUP(C172,'RAW DATA 2023'!E:BP,63,0)</f>
        <v>4</v>
      </c>
      <c r="E172" s="63" t="str">
        <f>A172&amp;D172</f>
        <v>CS44</v>
      </c>
      <c r="F172" s="389">
        <f>VLOOKUP(C172,'RAW DATA 2023'!E:BO,57,0)</f>
        <v>319.43315858316765</v>
      </c>
      <c r="G172" s="63">
        <f>VLOOKUP(C172,'RAW DATA 2023'!E:BO,58,0)</f>
        <v>150</v>
      </c>
      <c r="H172" s="397">
        <f>IFERROR((G172-F172)/G172,0)</f>
        <v>-1.1295543905544509</v>
      </c>
      <c r="I172" s="398">
        <f>IF(H172&lt;0,((0.25-(H172*(-1)))*$L$7),IF(H172&gt;0,(H172*$N$7)+$L$6,0))</f>
        <v>-46.909567496237386</v>
      </c>
      <c r="J172" s="73">
        <f>VLOOKUP(C172,'RAW DATA 2023'!E:AC,21,0)</f>
        <v>4.7935100000000004</v>
      </c>
      <c r="K172" s="398">
        <f>I172*J172</f>
        <v>-224.86148088888888</v>
      </c>
      <c r="R172" s="400"/>
    </row>
    <row r="173" spans="1:18">
      <c r="A173" s="63" t="str">
        <f>'RAW DATA 2023'!B405</f>
        <v>CS4</v>
      </c>
      <c r="B173" s="63" t="str">
        <f>'RAW DATA 2023'!D405</f>
        <v>A1-011-0045</v>
      </c>
      <c r="C173" s="63" t="str">
        <f>A173&amp;B173</f>
        <v>CS4A1-011-0045</v>
      </c>
      <c r="D173" s="63">
        <f>VLOOKUP(C173,'RAW DATA 2023'!E:BP,63,0)</f>
        <v>5</v>
      </c>
      <c r="E173" s="63" t="str">
        <f>A173&amp;D173</f>
        <v>CS45</v>
      </c>
      <c r="F173" s="389">
        <f>VLOOKUP(C173,'RAW DATA 2023'!E:BO,57,0)</f>
        <v>283.7850552020999</v>
      </c>
      <c r="G173" s="63">
        <f>VLOOKUP(C173,'RAW DATA 2023'!E:BO,58,0)</f>
        <v>182</v>
      </c>
      <c r="H173" s="397">
        <f>IFERROR((G173-F173)/G173,0)</f>
        <v>-0.55925854506648298</v>
      </c>
      <c r="I173" s="398">
        <f>IF(H173&lt;0,((0.25-(H173*(-1)))*$L$7),IF(H173&gt;0,(H173*$N$7)+$L$6,0))</f>
        <v>-16.493789070212426</v>
      </c>
      <c r="J173" s="73">
        <f>VLOOKUP(C173,'RAW DATA 2023'!E:AC,21,0)</f>
        <v>11.37185</v>
      </c>
      <c r="K173" s="398">
        <f>I173*J173</f>
        <v>-187.56489523809518</v>
      </c>
      <c r="R173" s="400"/>
    </row>
    <row r="174" spans="1:18">
      <c r="A174" s="63" t="str">
        <f>'RAW DATA 2023'!B406</f>
        <v>CS4</v>
      </c>
      <c r="B174" s="63" t="str">
        <f>'RAW DATA 2023'!D406</f>
        <v>A1-025-0017</v>
      </c>
      <c r="C174" s="63" t="str">
        <f>A174&amp;B174</f>
        <v>CS4A1-025-0017</v>
      </c>
      <c r="D174" s="63">
        <f>VLOOKUP(C174,'RAW DATA 2023'!E:BP,63,0)</f>
        <v>5</v>
      </c>
      <c r="E174" s="63" t="str">
        <f>A174&amp;D174</f>
        <v>CS45</v>
      </c>
      <c r="F174" s="389">
        <f>VLOOKUP(C174,'RAW DATA 2023'!E:BO,57,0)</f>
        <v>241.69817868071635</v>
      </c>
      <c r="G174" s="63">
        <f>VLOOKUP(C174,'RAW DATA 2023'!E:BO,58,0)</f>
        <v>197</v>
      </c>
      <c r="H174" s="390">
        <f>IFERROR((G174-F174)/G174,0)</f>
        <v>-0.22689430802394087</v>
      </c>
      <c r="I174" s="398">
        <f>IF(H174&lt;0,((0.25-(H174*(-1)))*$L$7),IF(H174&gt;0,(H174*$N$7)+$L$6,0))</f>
        <v>1.2323035720564872</v>
      </c>
      <c r="J174" s="73">
        <f>VLOOKUP(C174,'RAW DATA 2023'!E:AC,21,0)</f>
        <v>15.90166</v>
      </c>
      <c r="K174" s="398">
        <f>I174*J174</f>
        <v>19.595672419627761</v>
      </c>
      <c r="R174" s="400"/>
    </row>
    <row r="175" spans="1:18">
      <c r="A175" s="63" t="str">
        <f>'RAW DATA 2023'!B408</f>
        <v>CS4</v>
      </c>
      <c r="B175" s="63" t="str">
        <f>'RAW DATA 2023'!D408</f>
        <v>A1-023-0009</v>
      </c>
      <c r="C175" s="63" t="str">
        <f>A175&amp;B175</f>
        <v>CS4A1-023-0009</v>
      </c>
      <c r="D175" s="63">
        <f>VLOOKUP(C175,'RAW DATA 2023'!E:BP,63,0)</f>
        <v>5</v>
      </c>
      <c r="E175" s="63" t="str">
        <f>A175&amp;D175</f>
        <v>CS45</v>
      </c>
      <c r="F175" s="389">
        <f>VLOOKUP(C175,'RAW DATA 2023'!E:BO,57,0)</f>
        <v>222.17524444659225</v>
      </c>
      <c r="G175" s="63">
        <f>VLOOKUP(C175,'RAW DATA 2023'!E:BO,58,0)</f>
        <v>150</v>
      </c>
      <c r="H175" s="390">
        <f>IFERROR((G175-F175)/G175,0)</f>
        <v>-0.48116829631061497</v>
      </c>
      <c r="I175" s="398">
        <f>IF(H175&lt;0,((0.25-(H175*(-1)))*$L$7),IF(H175&gt;0,(H175*$N$7)+$L$6,0))</f>
        <v>-12.328975803232799</v>
      </c>
      <c r="J175" s="73">
        <f>VLOOKUP(C175,'RAW DATA 2023'!E:AC,21,0)</f>
        <v>6.2078999999999995</v>
      </c>
      <c r="K175" s="398">
        <f>I175*J175</f>
        <v>-76.53704888888889</v>
      </c>
      <c r="R175" s="400"/>
    </row>
    <row r="176" spans="1:18">
      <c r="A176" s="63" t="str">
        <f>'RAW DATA 2023'!B410</f>
        <v>CS4</v>
      </c>
      <c r="B176" s="63" t="str">
        <f>'RAW DATA 2023'!D410</f>
        <v>A1-002-0047</v>
      </c>
      <c r="C176" s="63" t="str">
        <f>A176&amp;B176</f>
        <v>CS4A1-002-0047</v>
      </c>
      <c r="D176" s="63">
        <f>VLOOKUP(C176,'RAW DATA 2023'!E:BP,63,0)</f>
        <v>5</v>
      </c>
      <c r="E176" s="63" t="str">
        <f>A176&amp;D176</f>
        <v>CS45</v>
      </c>
      <c r="F176" s="389">
        <f>VLOOKUP(C176,'RAW DATA 2023'!E:BO,57,0)</f>
        <v>434.45320849498569</v>
      </c>
      <c r="G176" s="63">
        <f>VLOOKUP(C176,'RAW DATA 2023'!E:BO,58,0)</f>
        <v>150</v>
      </c>
      <c r="H176" s="397">
        <f>IFERROR((G176-F176)/G176,0)</f>
        <v>-1.8963547232999045</v>
      </c>
      <c r="I176" s="398">
        <f>IF(H176&lt;0,((0.25-(H176*(-1)))*$L$7),IF(H176&gt;0,(H176*$N$7)+$L$6,0))</f>
        <v>-87.805585242661579</v>
      </c>
      <c r="J176" s="73">
        <f>VLOOKUP(C176,'RAW DATA 2023'!E:AC,21,0)</f>
        <v>4.3715200000000003</v>
      </c>
      <c r="K176" s="398">
        <f>I176*J176</f>
        <v>-383.84387199999998</v>
      </c>
      <c r="R176" s="400"/>
    </row>
    <row r="177" spans="1:18">
      <c r="A177" s="63" t="str">
        <f>'RAW DATA 2023'!B407</f>
        <v>CS4</v>
      </c>
      <c r="B177" s="63" t="str">
        <f>'RAW DATA 2023'!D407</f>
        <v>A1-026-0015</v>
      </c>
      <c r="C177" s="63" t="str">
        <f>A177&amp;B177</f>
        <v>CS4A1-026-0015</v>
      </c>
      <c r="D177" s="63">
        <f>VLOOKUP(C177,'RAW DATA 2023'!E:BP,63,0)</f>
        <v>6</v>
      </c>
      <c r="E177" s="63" t="str">
        <f>A177&amp;D177</f>
        <v>CS46</v>
      </c>
      <c r="F177" s="389">
        <f>VLOOKUP(C177,'RAW DATA 2023'!E:BO,57,0)</f>
        <v>478.71657465337194</v>
      </c>
      <c r="G177" s="63">
        <f>VLOOKUP(C177,'RAW DATA 2023'!E:BO,58,0)</f>
        <v>150</v>
      </c>
      <c r="H177" s="397">
        <f>IFERROR((G177-F177)/G177,0)</f>
        <v>-2.1914438310224797</v>
      </c>
      <c r="I177" s="398">
        <f>IF(H177&lt;0,((0.25-(H177*(-1)))*$L$7),IF(H177&gt;0,(H177*$N$7)+$L$6,0))</f>
        <v>-103.5436709878656</v>
      </c>
      <c r="J177" s="73">
        <f>VLOOKUP(C177,'RAW DATA 2023'!E:AC,21,0)</f>
        <v>5.4647899999999998</v>
      </c>
      <c r="K177" s="398">
        <f>I177*J177</f>
        <v>-565.84441777777806</v>
      </c>
      <c r="R177" s="400"/>
    </row>
    <row r="178" spans="1:18">
      <c r="A178" s="63" t="str">
        <f>'RAW DATA 2023'!B404</f>
        <v>CS4</v>
      </c>
      <c r="B178" s="63" t="str">
        <f>'RAW DATA 2023'!D404</f>
        <v>A1-011-0046</v>
      </c>
      <c r="C178" s="63" t="str">
        <f>A178&amp;B178</f>
        <v>CS4A1-011-0046</v>
      </c>
      <c r="D178" s="63">
        <f>VLOOKUP(C178,'RAW DATA 2023'!E:BP,63,0)</f>
        <v>9</v>
      </c>
      <c r="E178" s="63" t="str">
        <f>A178&amp;D178</f>
        <v>CS49</v>
      </c>
      <c r="F178" s="389">
        <f>VLOOKUP(C178,'RAW DATA 2023'!E:BO,57,0)</f>
        <v>276.13740067319276</v>
      </c>
      <c r="G178" s="63">
        <f>VLOOKUP(C178,'RAW DATA 2023'!E:BO,58,0)</f>
        <v>174</v>
      </c>
      <c r="H178" s="390">
        <f>IFERROR((G178-F178)/G178,0)</f>
        <v>-0.58699655559306185</v>
      </c>
      <c r="I178" s="398">
        <f>IF(H178&lt;0,((0.25-(H178*(-1)))*$L$7),IF(H178&gt;0,(H178*$N$7)+$L$6,0))</f>
        <v>-17.973149631629965</v>
      </c>
      <c r="J178" s="73">
        <f>VLOOKUP(C178,'RAW DATA 2023'!E:AC,21,0)</f>
        <v>16.842130000000001</v>
      </c>
      <c r="K178" s="398">
        <f>I178*J178</f>
        <v>-302.70612260536399</v>
      </c>
      <c r="R178" s="400"/>
    </row>
    <row r="179" spans="1:18">
      <c r="A179" s="63" t="str">
        <f>'RAW DATA 2023'!B411</f>
        <v>CS4</v>
      </c>
      <c r="B179" s="63" t="str">
        <f>'RAW DATA 2023'!D411</f>
        <v>A1-002-0048</v>
      </c>
      <c r="C179" s="63" t="str">
        <f>A179&amp;B179</f>
        <v>CS4A1-002-0048</v>
      </c>
      <c r="D179" s="63">
        <f>VLOOKUP(C179,'RAW DATA 2023'!E:BP,63,0)</f>
        <v>9</v>
      </c>
      <c r="E179" s="63" t="str">
        <f>A179&amp;D179</f>
        <v>CS49</v>
      </c>
      <c r="F179" s="389">
        <f>VLOOKUP(C179,'RAW DATA 2023'!E:BO,57,0)</f>
        <v>0</v>
      </c>
      <c r="G179" s="63">
        <f>VLOOKUP(C179,'RAW DATA 2023'!E:BO,58,0)</f>
        <v>0</v>
      </c>
      <c r="H179" s="390">
        <f>IFERROR((G179-F179)/G179,0)</f>
        <v>0</v>
      </c>
      <c r="I179" s="398">
        <f>IF(H179&lt;0,((0.25-(H179*(-1)))*$L$7),IF(H179&gt;0,(H179*$N$7)+$L$6,0))</f>
        <v>0</v>
      </c>
      <c r="J179" s="73">
        <f>VLOOKUP(C179,'RAW DATA 2023'!E:AC,21,0)</f>
        <v>0</v>
      </c>
      <c r="K179" s="398">
        <f>I179*J179</f>
        <v>0</v>
      </c>
      <c r="R179" s="400"/>
    </row>
    <row r="180" spans="1:18">
      <c r="A180" s="63" t="str">
        <f>'RAW DATA 2023'!B628</f>
        <v>Kamong</v>
      </c>
      <c r="B180" s="63" t="str">
        <f>'RAW DATA 2023'!D628</f>
        <v>C1-026-0043</v>
      </c>
      <c r="C180" s="63" t="str">
        <f>A180&amp;B180</f>
        <v>KamongC1-026-0043</v>
      </c>
      <c r="D180" s="63">
        <f>VLOOKUP(C180,'RAW DATA 2023'!E:BP,63,0)</f>
        <v>12</v>
      </c>
      <c r="E180" s="63" t="str">
        <f>A180&amp;D180</f>
        <v>Kamong12</v>
      </c>
      <c r="F180" s="389">
        <f>VLOOKUP(C180,'RAW DATA 2023'!E:BO,57,0)</f>
        <v>246.47345657873262</v>
      </c>
      <c r="G180" s="63">
        <f>VLOOKUP(C180,'RAW DATA 2023'!E:BO,58,0)</f>
        <v>189</v>
      </c>
      <c r="H180" s="390">
        <f>IFERROR((G180-F180)/G180,0)</f>
        <v>-0.30409236285043717</v>
      </c>
      <c r="I180" s="398">
        <f>IF(H180&lt;0,((0.25-(H180*(-1)))*$L$7),IF(H180&gt;0,(H180*$N$7)+$L$6,0))</f>
        <v>-2.8849260186899826</v>
      </c>
      <c r="J180" s="73">
        <f>VLOOKUP(C180,'RAW DATA 2023'!E:AC,21,0)</f>
        <v>51.306309999999996</v>
      </c>
      <c r="K180" s="398">
        <f>I180*J180</f>
        <v>-148.01490864197402</v>
      </c>
      <c r="R180" s="400"/>
    </row>
    <row r="181" spans="1:18">
      <c r="A181" s="63" t="str">
        <f>'RAW DATA 2023'!B634</f>
        <v>Kamong</v>
      </c>
      <c r="B181" s="63" t="str">
        <f>'RAW DATA 2023'!D634</f>
        <v>D1-022-0038</v>
      </c>
      <c r="C181" s="63" t="str">
        <f>A181&amp;B181</f>
        <v>KamongD1-022-0038</v>
      </c>
      <c r="D181" s="63">
        <f>VLOOKUP(C181,'RAW DATA 2023'!E:BP,63,0)</f>
        <v>2</v>
      </c>
      <c r="E181" s="63" t="str">
        <f>A181&amp;D181</f>
        <v>Kamong2</v>
      </c>
      <c r="F181" s="389">
        <f>VLOOKUP(C181,'RAW DATA 2023'!E:BO,57,0)</f>
        <v>370.61467889908255</v>
      </c>
      <c r="G181" s="63">
        <f>VLOOKUP(C181,'RAW DATA 2023'!E:BO,58,0)</f>
        <v>186</v>
      </c>
      <c r="H181" s="390">
        <f>IFERROR((G181-F181)/G181,0)</f>
        <v>-0.9925520370918417</v>
      </c>
      <c r="I181" s="398">
        <f>IF(H181&lt;0,((0.25-(H181*(-1)))*$L$7),IF(H181&gt;0,(H181*$N$7)+$L$6,0))</f>
        <v>-39.602775311564891</v>
      </c>
      <c r="J181" s="73">
        <f>VLOOKUP(C181,'RAW DATA 2023'!E:AC,21,0)</f>
        <v>15.735239999999999</v>
      </c>
      <c r="K181" s="398">
        <f>I181*J181</f>
        <v>-623.15917419354832</v>
      </c>
      <c r="R181" s="400"/>
    </row>
    <row r="182" spans="1:18">
      <c r="A182" s="63" t="str">
        <f>'RAW DATA 2023'!B635</f>
        <v>Kamong</v>
      </c>
      <c r="B182" s="63" t="str">
        <f>'RAW DATA 2023'!D635</f>
        <v>D1-032-0008</v>
      </c>
      <c r="C182" s="63" t="str">
        <f>A182&amp;B182</f>
        <v>KamongD1-032-0008</v>
      </c>
      <c r="D182" s="63">
        <f>VLOOKUP(C182,'RAW DATA 2023'!E:BP,63,0)</f>
        <v>3</v>
      </c>
      <c r="E182" s="63" t="str">
        <f>A182&amp;D182</f>
        <v>Kamong3</v>
      </c>
      <c r="F182" s="389">
        <f>VLOOKUP(C182,'RAW DATA 2023'!E:BO,57,0)</f>
        <v>270.44844420018632</v>
      </c>
      <c r="G182" s="63">
        <f>VLOOKUP(C182,'RAW DATA 2023'!E:BO,58,0)</f>
        <v>189</v>
      </c>
      <c r="H182" s="390">
        <f>IFERROR((G182-F182)/G182,0)</f>
        <v>-0.43094414920733498</v>
      </c>
      <c r="I182" s="398">
        <f>IF(H182&lt;0,((0.25-(H182*(-1)))*$L$7),IF(H182&gt;0,(H182*$N$7)+$L$6,0))</f>
        <v>-9.6503546243912002</v>
      </c>
      <c r="J182" s="73">
        <f>VLOOKUP(C182,'RAW DATA 2023'!E:AC,21,0)</f>
        <v>20.179009999999998</v>
      </c>
      <c r="K182" s="398">
        <f>I182*J182</f>
        <v>-194.73460246913626</v>
      </c>
      <c r="R182" s="400"/>
    </row>
    <row r="183" spans="1:18">
      <c r="A183" s="63" t="str">
        <f>'RAW DATA 2023'!B630</f>
        <v>Kamong</v>
      </c>
      <c r="B183" s="63" t="str">
        <f>'RAW DATA 2023'!D630</f>
        <v>C1-006-0030</v>
      </c>
      <c r="C183" s="63" t="str">
        <f>A183&amp;B183</f>
        <v>KamongC1-006-0030</v>
      </c>
      <c r="D183" s="63">
        <f>VLOOKUP(C183,'RAW DATA 2023'!E:BP,63,0)</f>
        <v>4</v>
      </c>
      <c r="E183" s="63" t="str">
        <f>A183&amp;D183</f>
        <v>Kamong4</v>
      </c>
      <c r="F183" s="389">
        <f>VLOOKUP(C183,'RAW DATA 2023'!E:BO,57,0)</f>
        <v>197.96740346740418</v>
      </c>
      <c r="G183" s="63">
        <f>VLOOKUP(C183,'RAW DATA 2023'!E:BO,58,0)</f>
        <v>184</v>
      </c>
      <c r="H183" s="390">
        <f>IFERROR((G183-F183)/G183,0)</f>
        <v>-7.5909801453283604E-2</v>
      </c>
      <c r="I183" s="398">
        <f>IF(H183&lt;0,((0.25-(H183*(-1)))*$L$7),IF(H183&gt;0,(H183*$N$7)+$L$6,0))</f>
        <v>9.2848105891582087</v>
      </c>
      <c r="J183" s="73">
        <f>VLOOKUP(C183,'RAW DATA 2023'!E:AC,21,0)</f>
        <v>78.695179999999993</v>
      </c>
      <c r="K183" s="398">
        <f>I183*J183</f>
        <v>730.66984057971126</v>
      </c>
      <c r="R183" s="400"/>
    </row>
    <row r="184" spans="1:18">
      <c r="A184" s="63" t="str">
        <f>'RAW DATA 2023'!B632</f>
        <v>Kamong</v>
      </c>
      <c r="B184" s="63" t="str">
        <f>'RAW DATA 2023'!D632</f>
        <v>AG-011-0008</v>
      </c>
      <c r="C184" s="63" t="str">
        <f>A184&amp;B184</f>
        <v>KamongAG-011-0008</v>
      </c>
      <c r="D184" s="63">
        <f>VLOOKUP(C184,'RAW DATA 2023'!E:BP,63,0)</f>
        <v>4</v>
      </c>
      <c r="E184" s="63" t="str">
        <f>A184&amp;D184</f>
        <v>Kamong4</v>
      </c>
      <c r="F184" s="389">
        <f>VLOOKUP(C184,'RAW DATA 2023'!E:BO,57,0)</f>
        <v>217.14851312335261</v>
      </c>
      <c r="G184" s="63">
        <f>VLOOKUP(C184,'RAW DATA 2023'!E:BO,58,0)</f>
        <v>178</v>
      </c>
      <c r="H184" s="390">
        <f>IFERROR((G184-F184)/G184,0)</f>
        <v>-0.21993546698512706</v>
      </c>
      <c r="I184" s="398">
        <f>IF(H184&lt;0,((0.25-(H184*(-1)))*$L$7),IF(H184&gt;0,(H184*$N$7)+$L$6,0))</f>
        <v>1.6034417607932236</v>
      </c>
      <c r="J184" s="73">
        <f>VLOOKUP(C184,'RAW DATA 2023'!E:AC,21,0)</f>
        <v>29.620480000000001</v>
      </c>
      <c r="K184" s="398">
        <f>I184*J184</f>
        <v>47.494714606740466</v>
      </c>
      <c r="R184" s="400"/>
    </row>
    <row r="185" spans="1:18">
      <c r="A185" s="63" t="str">
        <f>'RAW DATA 2023'!B637</f>
        <v>Kamong</v>
      </c>
      <c r="B185" s="63" t="str">
        <f>'RAW DATA 2023'!D637</f>
        <v>D1-027-0001</v>
      </c>
      <c r="C185" s="63" t="str">
        <f>A185&amp;B185</f>
        <v>KamongD1-027-0001</v>
      </c>
      <c r="D185" s="63">
        <f>VLOOKUP(C185,'RAW DATA 2023'!E:BP,63,0)</f>
        <v>4</v>
      </c>
      <c r="E185" s="63" t="str">
        <f>A185&amp;D185</f>
        <v>Kamong4</v>
      </c>
      <c r="F185" s="389">
        <f>VLOOKUP(C185,'RAW DATA 2023'!E:BO,57,0)</f>
        <v>227.6187852302665</v>
      </c>
      <c r="G185" s="63">
        <f>VLOOKUP(C185,'RAW DATA 2023'!E:BO,58,0)</f>
        <v>166</v>
      </c>
      <c r="H185" s="390">
        <f>IFERROR((G185-F185)/G185,0)</f>
        <v>-0.37119750138714758</v>
      </c>
      <c r="I185" s="398">
        <f>IF(H185&lt;0,((0.25-(H185*(-1)))*$L$7),IF(H185&gt;0,(H185*$N$7)+$L$6,0))</f>
        <v>-6.4638667406478714</v>
      </c>
      <c r="J185" s="73">
        <f>VLOOKUP(C185,'RAW DATA 2023'!E:AC,21,0)</f>
        <v>14.761809999999999</v>
      </c>
      <c r="K185" s="398">
        <f>I185*J185</f>
        <v>-95.41837269076315</v>
      </c>
      <c r="R185" s="400"/>
    </row>
    <row r="186" spans="1:18">
      <c r="A186" s="63" t="str">
        <f>'RAW DATA 2023'!B639</f>
        <v>Kamong</v>
      </c>
      <c r="B186" s="63" t="str">
        <f>'RAW DATA 2023'!D639</f>
        <v>D1-022-0039</v>
      </c>
      <c r="C186" s="63" t="str">
        <f>A186&amp;B186</f>
        <v>KamongD1-022-0039</v>
      </c>
      <c r="D186" s="63">
        <f>VLOOKUP(C186,'RAW DATA 2023'!E:BP,63,0)</f>
        <v>4</v>
      </c>
      <c r="E186" s="63" t="str">
        <f>A186&amp;D186</f>
        <v>Kamong4</v>
      </c>
      <c r="F186" s="389">
        <f>VLOOKUP(C186,'RAW DATA 2023'!E:BO,57,0)</f>
        <v>336.96653518693228</v>
      </c>
      <c r="G186" s="63">
        <f>VLOOKUP(C186,'RAW DATA 2023'!E:BO,58,0)</f>
        <v>150</v>
      </c>
      <c r="H186" s="390">
        <f>IFERROR((G186-F186)/G186,0)</f>
        <v>-1.2464435679128818</v>
      </c>
      <c r="I186" s="398">
        <f>IF(H186&lt;0,((0.25-(H186*(-1)))*$L$7),IF(H186&gt;0,(H186*$N$7)+$L$6,0))</f>
        <v>-53.143656955353698</v>
      </c>
      <c r="J186" s="73">
        <f>VLOOKUP(C186,'RAW DATA 2023'!E:AC,21,0)</f>
        <v>7.9175699999999996</v>
      </c>
      <c r="K186" s="398">
        <f>I186*J186</f>
        <v>-420.76862399999976</v>
      </c>
      <c r="R186" s="400"/>
    </row>
    <row r="187" spans="1:18">
      <c r="A187" s="63" t="str">
        <f>'RAW DATA 2023'!B629</f>
        <v>Kamong</v>
      </c>
      <c r="B187" s="63" t="str">
        <f>'RAW DATA 2023'!D629</f>
        <v>C1-018-0018</v>
      </c>
      <c r="C187" s="63" t="str">
        <f>A187&amp;B187</f>
        <v>KamongC1-018-0018</v>
      </c>
      <c r="D187" s="63">
        <f>VLOOKUP(C187,'RAW DATA 2023'!E:BP,63,0)</f>
        <v>5</v>
      </c>
      <c r="E187" s="63" t="str">
        <f>A187&amp;D187</f>
        <v>Kamong5</v>
      </c>
      <c r="F187" s="389">
        <f>VLOOKUP(C187,'RAW DATA 2023'!E:BO,57,0)</f>
        <v>216.28448171914053</v>
      </c>
      <c r="G187" s="63">
        <f>VLOOKUP(C187,'RAW DATA 2023'!E:BO,58,0)</f>
        <v>178</v>
      </c>
      <c r="H187" s="390">
        <f>IFERROR((G187-F187)/G187,0)</f>
        <v>-0.21508135797269962</v>
      </c>
      <c r="I187" s="398">
        <f>IF(H187&lt;0,((0.25-(H187*(-1)))*$L$7),IF(H187&gt;0,(H187*$N$7)+$L$6,0))</f>
        <v>1.862327574789354</v>
      </c>
      <c r="J187" s="73">
        <f>VLOOKUP(C187,'RAW DATA 2023'!E:AC,21,0)</f>
        <v>36.822120000000005</v>
      </c>
      <c r="K187" s="398">
        <f>I187*J187</f>
        <v>68.574849438202577</v>
      </c>
      <c r="R187" s="400"/>
    </row>
    <row r="188" spans="1:18">
      <c r="A188" s="63" t="str">
        <f>'RAW DATA 2023'!B631</f>
        <v>Kamong</v>
      </c>
      <c r="B188" s="63" t="str">
        <f>'RAW DATA 2023'!D631</f>
        <v>C1-024-0042</v>
      </c>
      <c r="C188" s="63" t="str">
        <f>A188&amp;B188</f>
        <v>KamongC1-024-0042</v>
      </c>
      <c r="D188" s="63">
        <f>VLOOKUP(C188,'RAW DATA 2023'!E:BP,63,0)</f>
        <v>5</v>
      </c>
      <c r="E188" s="63" t="str">
        <f>A188&amp;D188</f>
        <v>Kamong5</v>
      </c>
      <c r="F188" s="389">
        <f>VLOOKUP(C188,'RAW DATA 2023'!E:BO,57,0)</f>
        <v>214.76139225103768</v>
      </c>
      <c r="G188" s="63">
        <f>VLOOKUP(C188,'RAW DATA 2023'!E:BO,58,0)</f>
        <v>150</v>
      </c>
      <c r="H188" s="390">
        <f>IFERROR((G188-F188)/G188,0)</f>
        <v>-0.43174261500691785</v>
      </c>
      <c r="I188" s="398">
        <f>IF(H188&lt;0,((0.25-(H188*(-1)))*$L$7),IF(H188&gt;0,(H188*$N$7)+$L$6,0))</f>
        <v>-9.6929394670356199</v>
      </c>
      <c r="J188" s="73">
        <f>VLOOKUP(C188,'RAW DATA 2023'!E:AC,21,0)</f>
        <v>29.709009999999999</v>
      </c>
      <c r="K188" s="398">
        <f>I188*J188</f>
        <v>-287.96763555555589</v>
      </c>
      <c r="R188" s="400"/>
    </row>
    <row r="189" spans="1:18">
      <c r="A189" s="63" t="str">
        <f>'RAW DATA 2023'!B640</f>
        <v>Kamong</v>
      </c>
      <c r="B189" s="63" t="str">
        <f>'RAW DATA 2023'!D640</f>
        <v>D1-032-0009</v>
      </c>
      <c r="C189" s="63" t="str">
        <f>A189&amp;B189</f>
        <v>KamongD1-032-0009</v>
      </c>
      <c r="D189" s="63">
        <f>VLOOKUP(C189,'RAW DATA 2023'!E:BP,63,0)</f>
        <v>5</v>
      </c>
      <c r="E189" s="63" t="str">
        <f>A189&amp;D189</f>
        <v>Kamong5</v>
      </c>
      <c r="F189" s="389">
        <f>VLOOKUP(C189,'RAW DATA 2023'!E:BO,57,0)</f>
        <v>0</v>
      </c>
      <c r="G189" s="63">
        <f>VLOOKUP(C189,'RAW DATA 2023'!E:BO,58,0)</f>
        <v>0</v>
      </c>
      <c r="H189" s="390">
        <f>IFERROR((G189-F189)/G189,0)</f>
        <v>0</v>
      </c>
      <c r="I189" s="398">
        <f>IF(H189&lt;0,((0.25-(H189*(-1)))*$L$7),IF(H189&gt;0,(H189*$N$7)+$L$6,0))</f>
        <v>0</v>
      </c>
      <c r="J189" s="73">
        <f>VLOOKUP(C189,'RAW DATA 2023'!E:AC,21,0)</f>
        <v>0</v>
      </c>
      <c r="K189" s="398">
        <f>I189*J189</f>
        <v>0</v>
      </c>
      <c r="R189" s="400"/>
    </row>
    <row r="190" spans="1:18">
      <c r="A190" s="63" t="str">
        <f>'RAW DATA 2023'!B626</f>
        <v>Kamong</v>
      </c>
      <c r="B190" s="63" t="str">
        <f>'RAW DATA 2023'!D626</f>
        <v>AG-031-0012</v>
      </c>
      <c r="C190" s="63" t="str">
        <f>A190&amp;B190</f>
        <v>KamongAG-031-0012</v>
      </c>
      <c r="D190" s="63">
        <f>VLOOKUP(C190,'RAW DATA 2023'!E:BP,63,0)</f>
        <v>6</v>
      </c>
      <c r="E190" s="63" t="str">
        <f>A190&amp;D190</f>
        <v>Kamong6</v>
      </c>
      <c r="F190" s="389">
        <f>VLOOKUP(C190,'RAW DATA 2023'!E:BO,57,0)</f>
        <v>254.46301924011019</v>
      </c>
      <c r="G190" s="63">
        <f>VLOOKUP(C190,'RAW DATA 2023'!E:BO,58,0)</f>
        <v>185</v>
      </c>
      <c r="H190" s="390">
        <f>IFERROR((G190-F190)/G190,0)</f>
        <v>-0.37547577967627127</v>
      </c>
      <c r="I190" s="398">
        <f>IF(H190&lt;0,((0.25-(H190*(-1)))*$L$7),IF(H190&gt;0,(H190*$N$7)+$L$6,0))</f>
        <v>-6.6920415827344684</v>
      </c>
      <c r="J190" s="73">
        <f>VLOOKUP(C190,'RAW DATA 2023'!E:AC,21,0)</f>
        <v>26.9697</v>
      </c>
      <c r="K190" s="398">
        <f>I190*J190</f>
        <v>-180.48235387387379</v>
      </c>
      <c r="R190" s="400"/>
    </row>
    <row r="191" spans="1:18">
      <c r="A191" s="63" t="str">
        <f>'RAW DATA 2023'!B636</f>
        <v>Kamong</v>
      </c>
      <c r="B191" s="63" t="str">
        <f>'RAW DATA 2023'!D636</f>
        <v>D1-022-0040</v>
      </c>
      <c r="C191" s="63" t="str">
        <f>A191&amp;B191</f>
        <v>KamongD1-022-0040</v>
      </c>
      <c r="D191" s="63">
        <f>VLOOKUP(C191,'RAW DATA 2023'!E:BP,63,0)</f>
        <v>7</v>
      </c>
      <c r="E191" s="63" t="str">
        <f>A191&amp;D191</f>
        <v>Kamong7</v>
      </c>
      <c r="F191" s="389">
        <f>VLOOKUP(C191,'RAW DATA 2023'!E:BO,57,0)</f>
        <v>291.62166874855473</v>
      </c>
      <c r="G191" s="63">
        <f>VLOOKUP(C191,'RAW DATA 2023'!E:BO,58,0)</f>
        <v>150</v>
      </c>
      <c r="H191" s="390">
        <f>IFERROR((G191-F191)/G191,0)</f>
        <v>-0.9441444583236982</v>
      </c>
      <c r="I191" s="398">
        <f>IF(H191&lt;0,((0.25-(H191*(-1)))*$L$7),IF(H191&gt;0,(H191*$N$7)+$L$6,0))</f>
        <v>-37.021037777263906</v>
      </c>
      <c r="J191" s="73">
        <f>VLOOKUP(C191,'RAW DATA 2023'!E:AC,21,0)</f>
        <v>9.0382700000000007</v>
      </c>
      <c r="K191" s="398">
        <f>I191*J191</f>
        <v>-334.60613511111109</v>
      </c>
      <c r="R191" s="400"/>
    </row>
    <row r="192" spans="1:18">
      <c r="A192" s="63" t="str">
        <f>'RAW DATA 2023'!B638</f>
        <v>Kamong</v>
      </c>
      <c r="B192" s="63" t="str">
        <f>'RAW DATA 2023'!D638</f>
        <v>D1-027-0002</v>
      </c>
      <c r="C192" s="63" t="str">
        <f>A192&amp;B192</f>
        <v>KamongD1-027-0002</v>
      </c>
      <c r="D192" s="63">
        <f>VLOOKUP(C192,'RAW DATA 2023'!E:BP,63,0)</f>
        <v>7</v>
      </c>
      <c r="E192" s="63" t="str">
        <f>A192&amp;D192</f>
        <v>Kamong7</v>
      </c>
      <c r="F192" s="389">
        <f>VLOOKUP(C192,'RAW DATA 2023'!E:BO,57,0)</f>
        <v>371.89338873021222</v>
      </c>
      <c r="G192" s="63">
        <f>VLOOKUP(C192,'RAW DATA 2023'!E:BO,58,0)</f>
        <v>150</v>
      </c>
      <c r="H192" s="390">
        <f>IFERROR((G192-F192)/G192,0)</f>
        <v>-1.4792892582014148</v>
      </c>
      <c r="I192" s="398">
        <f>IF(H192&lt;0,((0.25-(H192*(-1)))*$L$7),IF(H192&gt;0,(H192*$N$7)+$L$6,0))</f>
        <v>-65.562093770742123</v>
      </c>
      <c r="J192" s="73">
        <f>VLOOKUP(C192,'RAW DATA 2023'!E:AC,21,0)</f>
        <v>8.4168400000000005</v>
      </c>
      <c r="K192" s="398">
        <f>I192*J192</f>
        <v>-551.82565333333321</v>
      </c>
      <c r="R192" s="400"/>
    </row>
    <row r="193" spans="1:18">
      <c r="A193" s="63" t="str">
        <f>'RAW DATA 2023'!B627</f>
        <v>Kamong</v>
      </c>
      <c r="B193" s="63" t="str">
        <f>'RAW DATA 2023'!D627</f>
        <v>C1-006-0031</v>
      </c>
      <c r="C193" s="63" t="str">
        <f>A193&amp;B193</f>
        <v>KamongC1-006-0031</v>
      </c>
      <c r="D193" s="63">
        <f>VLOOKUP(C193,'RAW DATA 2023'!E:BP,63,0)</f>
        <v>8</v>
      </c>
      <c r="E193" s="63" t="str">
        <f>A193&amp;D193</f>
        <v>Kamong8</v>
      </c>
      <c r="F193" s="389">
        <f>VLOOKUP(C193,'RAW DATA 2023'!E:BO,57,0)</f>
        <v>191.98229674353215</v>
      </c>
      <c r="G193" s="63">
        <f>VLOOKUP(C193,'RAW DATA 2023'!E:BO,58,0)</f>
        <v>192</v>
      </c>
      <c r="H193" s="390">
        <f>IFERROR((G193-F193)/G193,0)</f>
        <v>9.2204460770073382E-5</v>
      </c>
      <c r="I193" s="398">
        <f>IF(H193&lt;0,((0.25-(H193*(-1)))*$L$7),IF(H193&gt;0,(H193*$N$7)+$L$6,0))</f>
        <v>13.338250904574405</v>
      </c>
      <c r="J193" s="73">
        <f>VLOOKUP(C193,'RAW DATA 2023'!E:AC,21,0)</f>
        <v>75.109909999999999</v>
      </c>
      <c r="K193" s="398">
        <f>I193*J193</f>
        <v>1001.8348250000022</v>
      </c>
      <c r="R193" s="400"/>
    </row>
    <row r="194" spans="1:18">
      <c r="A194" s="63" t="str">
        <f>'RAW DATA 2023'!B633</f>
        <v>Kamong</v>
      </c>
      <c r="B194" s="63" t="str">
        <f>'RAW DATA 2023'!D633</f>
        <v>D1-032-0010</v>
      </c>
      <c r="C194" s="63" t="str">
        <f>A194&amp;B194</f>
        <v>KamongD1-032-0010</v>
      </c>
      <c r="D194" s="63">
        <f>VLOOKUP(C194,'RAW DATA 2023'!E:BP,63,0)</f>
        <v>8</v>
      </c>
      <c r="E194" s="63" t="str">
        <f>A194&amp;D194</f>
        <v>Kamong8</v>
      </c>
      <c r="F194" s="389">
        <f>VLOOKUP(C194,'RAW DATA 2023'!E:BO,57,0)</f>
        <v>553.39598971089254</v>
      </c>
      <c r="G194" s="63">
        <f>VLOOKUP(C194,'RAW DATA 2023'!E:BO,58,0)</f>
        <v>150</v>
      </c>
      <c r="H194" s="390">
        <f>IFERROR((G194-F194)/G194,0)</f>
        <v>-2.689306598072617</v>
      </c>
      <c r="I194" s="398">
        <f>IF(H194&lt;0,((0.25-(H194*(-1)))*$L$7),IF(H194&gt;0,(H194*$N$7)+$L$6,0))</f>
        <v>-130.09635189720623</v>
      </c>
      <c r="J194" s="73">
        <f>VLOOKUP(C194,'RAW DATA 2023'!E:AC,21,0)</f>
        <v>7.3087</v>
      </c>
      <c r="K194" s="398">
        <f>I194*J194</f>
        <v>-950.83520711111123</v>
      </c>
      <c r="R194" s="400"/>
    </row>
    <row r="195" spans="1:18">
      <c r="A195" s="63" t="str">
        <f>'RAW DATA 2023'!B624</f>
        <v>Kamong</v>
      </c>
      <c r="B195" s="63" t="str">
        <f>'RAW DATA 2023'!D624</f>
        <v>AG-031-0013</v>
      </c>
      <c r="C195" s="63" t="str">
        <f>A195&amp;B195</f>
        <v>KamongAG-031-0013</v>
      </c>
      <c r="D195" s="63">
        <f>VLOOKUP(C195,'RAW DATA 2023'!E:BP,63,0)</f>
        <v>9</v>
      </c>
      <c r="E195" s="63" t="str">
        <f>A195&amp;D195</f>
        <v>Kamong9</v>
      </c>
      <c r="F195" s="389">
        <f>VLOOKUP(C195,'RAW DATA 2023'!E:BO,57,0)</f>
        <v>301.54419944665472</v>
      </c>
      <c r="G195" s="63">
        <f>VLOOKUP(C195,'RAW DATA 2023'!E:BO,58,0)</f>
        <v>185</v>
      </c>
      <c r="H195" s="390">
        <f>IFERROR((G195-F195)/G195,0)</f>
        <v>-0.62996864565759303</v>
      </c>
      <c r="I195" s="398">
        <f>IF(H195&lt;0,((0.25-(H195*(-1)))*$L$7),IF(H195&gt;0,(H195*$N$7)+$L$6,0))</f>
        <v>-20.264994435071628</v>
      </c>
      <c r="J195" s="73">
        <f>VLOOKUP(C195,'RAW DATA 2023'!E:AC,21,0)</f>
        <v>14.52258</v>
      </c>
      <c r="K195" s="398">
        <f>I195*J195</f>
        <v>-294.3000028828825</v>
      </c>
      <c r="R195" s="400"/>
    </row>
    <row r="196" spans="1:18">
      <c r="A196" s="63" t="str">
        <f>'RAW DATA 2023'!B625</f>
        <v>Kamong</v>
      </c>
      <c r="B196" s="63" t="str">
        <f>'RAW DATA 2023'!D625</f>
        <v>AG-011-0009</v>
      </c>
      <c r="C196" s="63" t="str">
        <f>A196&amp;B196</f>
        <v>KamongAG-011-0009</v>
      </c>
      <c r="D196" s="63">
        <f>VLOOKUP(C196,'RAW DATA 2023'!E:BP,63,0)</f>
        <v>9</v>
      </c>
      <c r="E196" s="63" t="str">
        <f>A196&amp;D196</f>
        <v>Kamong9</v>
      </c>
      <c r="F196" s="389">
        <f>VLOOKUP(C196,'RAW DATA 2023'!E:BO,57,0)</f>
        <v>229.83934402837605</v>
      </c>
      <c r="G196" s="63">
        <f>VLOOKUP(C196,'RAW DATA 2023'!E:BO,58,0)</f>
        <v>182</v>
      </c>
      <c r="H196" s="390">
        <f>IFERROR((G196-F196)/G196,0)</f>
        <v>-0.26285353861745081</v>
      </c>
      <c r="I196" s="398">
        <f>IF(H196&lt;0,((0.25-(H196*(-1)))*$L$7),IF(H196&gt;0,(H196*$N$7)+$L$6,0))</f>
        <v>-0.68552205959737655</v>
      </c>
      <c r="J196" s="73">
        <f>VLOOKUP(C196,'RAW DATA 2023'!E:AC,21,0)</f>
        <v>22.706469999999999</v>
      </c>
      <c r="K196" s="398">
        <f>I196*J196</f>
        <v>-15.565786080586042</v>
      </c>
      <c r="R196" s="400"/>
    </row>
    <row r="197" spans="1:18">
      <c r="A197" s="63" t="str">
        <f>'RAW DATA 2023'!B785</f>
        <v>Kanchanadit</v>
      </c>
      <c r="B197" s="63" t="str">
        <f>'RAW DATA 2023'!D785</f>
        <v>C1-043-0013</v>
      </c>
      <c r="C197" s="63" t="str">
        <f>A197&amp;B197</f>
        <v>KanchanaditC1-043-0013</v>
      </c>
      <c r="D197" s="63">
        <f>VLOOKUP(C197,'RAW DATA 2023'!E:BP,63,0)</f>
        <v>1</v>
      </c>
      <c r="E197" s="63" t="str">
        <f>A197&amp;D197</f>
        <v>Kanchanadit1</v>
      </c>
      <c r="F197" s="389">
        <f>VLOOKUP(C197,'RAW DATA 2023'!E:BO,57,0)</f>
        <v>302.28087219774153</v>
      </c>
      <c r="G197" s="63">
        <f>VLOOKUP(C197,'RAW DATA 2023'!E:BO,58,0)</f>
        <v>150</v>
      </c>
      <c r="H197" s="390">
        <f>IFERROR((G197-F197)/G197,0)</f>
        <v>-1.0152058146516103</v>
      </c>
      <c r="I197" s="398">
        <f>IF(H197&lt;0,((0.25-(H197*(-1)))*$L$7),IF(H197&gt;0,(H197*$N$7)+$L$6,0))</f>
        <v>-40.810976781419221</v>
      </c>
      <c r="J197" s="73">
        <f>VLOOKUP(C197,'RAW DATA 2023'!E:AC,21,0)</f>
        <v>6.0183599999999995</v>
      </c>
      <c r="K197" s="398">
        <f>I197*J197</f>
        <v>-245.61515022222216</v>
      </c>
      <c r="R197" s="400"/>
    </row>
    <row r="198" spans="1:18">
      <c r="A198" s="63" t="str">
        <f>'RAW DATA 2023'!B789</f>
        <v>Kanchanadit</v>
      </c>
      <c r="B198" s="63" t="str">
        <f>'RAW DATA 2023'!D789</f>
        <v>D1-050-0012</v>
      </c>
      <c r="C198" s="63" t="str">
        <f>A198&amp;B198</f>
        <v>KanchanaditD1-050-0012</v>
      </c>
      <c r="D198" s="63">
        <f>VLOOKUP(C198,'RAW DATA 2023'!E:BP,63,0)</f>
        <v>1</v>
      </c>
      <c r="E198" s="63" t="str">
        <f>A198&amp;D198</f>
        <v>Kanchanadit1</v>
      </c>
      <c r="F198" s="389">
        <f>VLOOKUP(C198,'RAW DATA 2023'!E:BO,57,0)</f>
        <v>336.33739721853419</v>
      </c>
      <c r="G198" s="63">
        <f>VLOOKUP(C198,'RAW DATA 2023'!E:BO,58,0)</f>
        <v>189</v>
      </c>
      <c r="H198" s="390">
        <f>IFERROR((G198-F198)/G198,0)</f>
        <v>-0.77956294824621264</v>
      </c>
      <c r="I198" s="398">
        <f>IF(H198&lt;0,((0.25-(H198*(-1)))*$L$7),IF(H198&gt;0,(H198*$N$7)+$L$6,0))</f>
        <v>-28.243357239798009</v>
      </c>
      <c r="J198" s="73">
        <f>VLOOKUP(C198,'RAW DATA 2023'!E:AC,21,0)</f>
        <v>13.685589999999999</v>
      </c>
      <c r="K198" s="398">
        <f>I198*J198</f>
        <v>-386.52700740740721</v>
      </c>
      <c r="R198" s="400"/>
    </row>
    <row r="199" spans="1:18">
      <c r="A199" s="63" t="str">
        <f>'RAW DATA 2023'!B790</f>
        <v>Kanchanadit</v>
      </c>
      <c r="B199" s="63" t="str">
        <f>'RAW DATA 2023'!D790</f>
        <v>D1-053-0005</v>
      </c>
      <c r="C199" s="63" t="str">
        <f>A199&amp;B199</f>
        <v>KanchanaditD1-053-0005</v>
      </c>
      <c r="D199" s="63">
        <f>VLOOKUP(C199,'RAW DATA 2023'!E:BP,63,0)</f>
        <v>1</v>
      </c>
      <c r="E199" s="63" t="str">
        <f>A199&amp;D199</f>
        <v>Kanchanadit1</v>
      </c>
      <c r="F199" s="389">
        <f>VLOOKUP(C199,'RAW DATA 2023'!E:BO,57,0)</f>
        <v>208.01924513784255</v>
      </c>
      <c r="G199" s="63">
        <f>VLOOKUP(C199,'RAW DATA 2023'!E:BO,58,0)</f>
        <v>174</v>
      </c>
      <c r="H199" s="390">
        <f>IFERROR((G199-F199)/G199,0)</f>
        <v>-0.19551290309104913</v>
      </c>
      <c r="I199" s="398">
        <f>IF(H199&lt;0,((0.25-(H199*(-1)))*$L$7),IF(H199&gt;0,(H199*$N$7)+$L$6,0))</f>
        <v>2.9059785018107132</v>
      </c>
      <c r="J199" s="73">
        <f>VLOOKUP(C199,'RAW DATA 2023'!E:AC,21,0)</f>
        <v>16.167719999999999</v>
      </c>
      <c r="K199" s="398">
        <f>I199*J199</f>
        <v>46.983046743295098</v>
      </c>
      <c r="R199" s="400"/>
    </row>
    <row r="200" spans="1:18">
      <c r="A200" s="63" t="str">
        <f>'RAW DATA 2023'!B791</f>
        <v>Kanchanadit</v>
      </c>
      <c r="B200" s="63" t="str">
        <f>'RAW DATA 2023'!D791</f>
        <v>D1-048-0011</v>
      </c>
      <c r="C200" s="63" t="str">
        <f>A200&amp;B200</f>
        <v>KanchanaditD1-048-0011</v>
      </c>
      <c r="D200" s="63">
        <f>VLOOKUP(C200,'RAW DATA 2023'!E:BP,63,0)</f>
        <v>1</v>
      </c>
      <c r="E200" s="63" t="str">
        <f>A200&amp;D200</f>
        <v>Kanchanadit1</v>
      </c>
      <c r="F200" s="389">
        <f>VLOOKUP(C200,'RAW DATA 2023'!E:BO,57,0)</f>
        <v>296.57968231515048</v>
      </c>
      <c r="G200" s="63">
        <f>VLOOKUP(C200,'RAW DATA 2023'!E:BO,58,0)</f>
        <v>163</v>
      </c>
      <c r="H200" s="390">
        <f>IFERROR((G200-F200)/G200,0)</f>
        <v>-0.8195072534671809</v>
      </c>
      <c r="I200" s="398">
        <f>IF(H200&lt;0,((0.25-(H200*(-1)))*$L$7),IF(H200&gt;0,(H200*$N$7)+$L$6,0))</f>
        <v>-30.373720184916316</v>
      </c>
      <c r="J200" s="73">
        <f>VLOOKUP(C200,'RAW DATA 2023'!E:AC,21,0)</f>
        <v>8.48325</v>
      </c>
      <c r="K200" s="398">
        <f>I200*J200</f>
        <v>-257.66786175869134</v>
      </c>
      <c r="R200" s="400"/>
    </row>
    <row r="201" spans="1:18">
      <c r="A201" s="63" t="str">
        <f>'RAW DATA 2023'!B792</f>
        <v>Kanchanadit</v>
      </c>
      <c r="B201" s="63" t="str">
        <f>'RAW DATA 2023'!D792</f>
        <v>D1-052-0011</v>
      </c>
      <c r="C201" s="63" t="str">
        <f>A201&amp;B201</f>
        <v>KanchanaditD1-052-0011</v>
      </c>
      <c r="D201" s="63">
        <f>VLOOKUP(C201,'RAW DATA 2023'!E:BP,63,0)</f>
        <v>1</v>
      </c>
      <c r="E201" s="63" t="str">
        <f>A201&amp;D201</f>
        <v>Kanchanadit1</v>
      </c>
      <c r="F201" s="389">
        <f>VLOOKUP(C201,'RAW DATA 2023'!E:BO,57,0)</f>
        <v>224.62120370988742</v>
      </c>
      <c r="G201" s="63">
        <f>VLOOKUP(C201,'RAW DATA 2023'!E:BO,58,0)</f>
        <v>163</v>
      </c>
      <c r="H201" s="390">
        <f>IFERROR((G201-F201)/G201,0)</f>
        <v>-0.37804419453918664</v>
      </c>
      <c r="I201" s="398">
        <f>IF(H201&lt;0,((0.25-(H201*(-1)))*$L$7),IF(H201&gt;0,(H201*$N$7)+$L$6,0))</f>
        <v>-6.8290237087566208</v>
      </c>
      <c r="J201" s="73">
        <f>VLOOKUP(C201,'RAW DATA 2023'!E:AC,21,0)</f>
        <v>14.374559999999999</v>
      </c>
      <c r="K201" s="398">
        <f>I201*J201</f>
        <v>-98.164211042944558</v>
      </c>
      <c r="R201" s="400"/>
    </row>
    <row r="202" spans="1:18">
      <c r="A202" s="63" t="str">
        <f>'RAW DATA 2023'!B793</f>
        <v>Kanchanadit</v>
      </c>
      <c r="B202" s="63" t="str">
        <f>'RAW DATA 2023'!D793</f>
        <v>D1-051-0005</v>
      </c>
      <c r="C202" s="63" t="str">
        <f>A202&amp;B202</f>
        <v>KanchanaditD1-051-0005</v>
      </c>
      <c r="D202" s="63">
        <f>VLOOKUP(C202,'RAW DATA 2023'!E:BP,63,0)</f>
        <v>1</v>
      </c>
      <c r="E202" s="63" t="str">
        <f>A202&amp;D202</f>
        <v>Kanchanadit1</v>
      </c>
      <c r="F202" s="389">
        <f>VLOOKUP(C202,'RAW DATA 2023'!E:BO,57,0)</f>
        <v>331.19244014015345</v>
      </c>
      <c r="G202" s="63">
        <f>VLOOKUP(C202,'RAW DATA 2023'!E:BO,58,0)</f>
        <v>150</v>
      </c>
      <c r="H202" s="390">
        <f>IFERROR((G202-F202)/G202,0)</f>
        <v>-1.2079496009343564</v>
      </c>
      <c r="I202" s="398">
        <f>IF(H202&lt;0,((0.25-(H202*(-1)))*$L$7),IF(H202&gt;0,(H202*$N$7)+$L$6,0))</f>
        <v>-51.090645383165679</v>
      </c>
      <c r="J202" s="73">
        <f>VLOOKUP(C202,'RAW DATA 2023'!E:AC,21,0)</f>
        <v>6.3130800000000002</v>
      </c>
      <c r="K202" s="398">
        <f>I202*J202</f>
        <v>-322.53933155555558</v>
      </c>
      <c r="R202" s="400"/>
    </row>
    <row r="203" spans="1:18">
      <c r="A203" s="63" t="str">
        <f>'RAW DATA 2023'!B773</f>
        <v>Kanchanadit</v>
      </c>
      <c r="B203" s="63" t="str">
        <f>'RAW DATA 2023'!D773</f>
        <v>C1-047-0008</v>
      </c>
      <c r="C203" s="63" t="str">
        <f>A203&amp;B203</f>
        <v>KanchanaditC1-047-0008</v>
      </c>
      <c r="D203" s="63">
        <f>VLOOKUP(C203,'RAW DATA 2023'!E:BP,63,0)</f>
        <v>11</v>
      </c>
      <c r="E203" s="63" t="str">
        <f>A203&amp;D203</f>
        <v>Kanchanadit11</v>
      </c>
      <c r="F203" s="389">
        <f>VLOOKUP(C203,'RAW DATA 2023'!E:BO,57,0)</f>
        <v>245.33274970705244</v>
      </c>
      <c r="G203" s="63">
        <f>VLOOKUP(C203,'RAW DATA 2023'!E:BO,58,0)</f>
        <v>200</v>
      </c>
      <c r="H203" s="390">
        <f>IFERROR((G203-F203)/G203,0)</f>
        <v>-0.22666374853526222</v>
      </c>
      <c r="I203" s="398">
        <f>IF(H203&lt;0,((0.25-(H203*(-1)))*$L$7),IF(H203&gt;0,(H203*$N$7)+$L$6,0))</f>
        <v>1.2446000781193483</v>
      </c>
      <c r="J203" s="73">
        <f>VLOOKUP(C203,'RAW DATA 2023'!E:AC,21,0)</f>
        <v>9.5494900000000005</v>
      </c>
      <c r="K203" s="398">
        <f>I203*J203</f>
        <v>11.885295999999936</v>
      </c>
      <c r="R203" s="400"/>
    </row>
    <row r="204" spans="1:18">
      <c r="A204" s="63" t="str">
        <f>'RAW DATA 2023'!B777</f>
        <v>Kanchanadit</v>
      </c>
      <c r="B204" s="63" t="str">
        <f>'RAW DATA 2023'!D777</f>
        <v>C1-046-0013</v>
      </c>
      <c r="C204" s="63" t="str">
        <f>A204&amp;B204</f>
        <v>KanchanaditC1-046-0013</v>
      </c>
      <c r="D204" s="63">
        <f>VLOOKUP(C204,'RAW DATA 2023'!E:BP,63,0)</f>
        <v>11</v>
      </c>
      <c r="E204" s="63" t="str">
        <f>A204&amp;D204</f>
        <v>Kanchanadit11</v>
      </c>
      <c r="F204" s="389">
        <f>VLOOKUP(C204,'RAW DATA 2023'!E:BO,57,0)</f>
        <v>242.25105661025268</v>
      </c>
      <c r="G204" s="63">
        <f>VLOOKUP(C204,'RAW DATA 2023'!E:BO,58,0)</f>
        <v>197</v>
      </c>
      <c r="H204" s="390">
        <f>IFERROR((G204-F204)/G204,0)</f>
        <v>-0.2297007949759019</v>
      </c>
      <c r="I204" s="398">
        <f>IF(H204&lt;0,((0.25-(H204*(-1)))*$L$7),IF(H204&gt;0,(H204*$N$7)+$L$6,0))</f>
        <v>1.0826242679518987</v>
      </c>
      <c r="J204" s="73">
        <f>VLOOKUP(C204,'RAW DATA 2023'!E:AC,21,0)</f>
        <v>10.308909999999999</v>
      </c>
      <c r="K204" s="398">
        <f>I204*J204</f>
        <v>11.160676142132006</v>
      </c>
      <c r="R204" s="400"/>
    </row>
    <row r="205" spans="1:18">
      <c r="A205" s="63" t="str">
        <f>'RAW DATA 2023'!B771</f>
        <v>Kanchanadit</v>
      </c>
      <c r="B205" s="63" t="str">
        <f>'RAW DATA 2023'!D771</f>
        <v>C1-044-0016</v>
      </c>
      <c r="C205" s="63" t="str">
        <f>A205&amp;B205</f>
        <v>KanchanaditC1-044-0016</v>
      </c>
      <c r="D205" s="63">
        <f>VLOOKUP(C205,'RAW DATA 2023'!E:BP,63,0)</f>
        <v>12</v>
      </c>
      <c r="E205" s="63" t="str">
        <f>A205&amp;D205</f>
        <v>Kanchanadit12</v>
      </c>
      <c r="F205" s="389">
        <f>VLOOKUP(C205,'RAW DATA 2023'!E:BO,57,0)</f>
        <v>237.30903754267536</v>
      </c>
      <c r="G205" s="63">
        <f>VLOOKUP(C205,'RAW DATA 2023'!E:BO,58,0)</f>
        <v>192</v>
      </c>
      <c r="H205" s="390">
        <f>IFERROR((G205-F205)/G205,0)</f>
        <v>-0.23598457053476748</v>
      </c>
      <c r="I205" s="398">
        <f>IF(H205&lt;0,((0.25-(H205*(-1)))*$L$7),IF(H205&gt;0,(H205*$N$7)+$L$6,0))</f>
        <v>0.74748957147906747</v>
      </c>
      <c r="J205" s="73">
        <f>VLOOKUP(C205,'RAW DATA 2023'!E:AC,21,0)</f>
        <v>10.33677</v>
      </c>
      <c r="K205" s="398">
        <f>I205*J205</f>
        <v>7.7266277777776802</v>
      </c>
      <c r="R205" s="400"/>
    </row>
    <row r="206" spans="1:18">
      <c r="A206" s="63" t="str">
        <f>'RAW DATA 2023'!B775</f>
        <v>Kanchanadit</v>
      </c>
      <c r="B206" s="63" t="str">
        <f>'RAW DATA 2023'!D775</f>
        <v>D1-049-0012</v>
      </c>
      <c r="C206" s="63" t="str">
        <f>A206&amp;B206</f>
        <v>KanchanaditD1-049-0012</v>
      </c>
      <c r="D206" s="63">
        <f>VLOOKUP(C206,'RAW DATA 2023'!E:BP,63,0)</f>
        <v>12</v>
      </c>
      <c r="E206" s="63" t="str">
        <f>A206&amp;D206</f>
        <v>Kanchanadit12</v>
      </c>
      <c r="F206" s="389">
        <f>VLOOKUP(C206,'RAW DATA 2023'!E:BO,57,0)</f>
        <v>204.55451175104136</v>
      </c>
      <c r="G206" s="63">
        <f>VLOOKUP(C206,'RAW DATA 2023'!E:BO,58,0)</f>
        <v>189</v>
      </c>
      <c r="H206" s="390">
        <f>IFERROR((G206-F206)/G206,0)</f>
        <v>-8.2299003973763815E-2</v>
      </c>
      <c r="I206" s="398">
        <f>IF(H206&lt;0,((0.25-(H206*(-1)))*$L$7),IF(H206&gt;0,(H206*$N$7)+$L$6,0))</f>
        <v>8.9440531213992625</v>
      </c>
      <c r="J206" s="73">
        <f>VLOOKUP(C206,'RAW DATA 2023'!E:AC,21,0)</f>
        <v>17.29251</v>
      </c>
      <c r="K206" s="398">
        <f>I206*J206</f>
        <v>154.66512804232795</v>
      </c>
      <c r="R206" s="400"/>
    </row>
    <row r="207" spans="1:18">
      <c r="A207" s="63" t="str">
        <f>'RAW DATA 2023'!B778</f>
        <v>Kanchanadit</v>
      </c>
      <c r="B207" s="63" t="str">
        <f>'RAW DATA 2023'!D778</f>
        <v>C1-045-0012</v>
      </c>
      <c r="C207" s="63" t="str">
        <f>A207&amp;B207</f>
        <v>KanchanaditC1-045-0012</v>
      </c>
      <c r="D207" s="63">
        <f>VLOOKUP(C207,'RAW DATA 2023'!E:BP,63,0)</f>
        <v>12</v>
      </c>
      <c r="E207" s="63" t="str">
        <f>A207&amp;D207</f>
        <v>Kanchanadit12</v>
      </c>
      <c r="F207" s="389">
        <f>VLOOKUP(C207,'RAW DATA 2023'!E:BO,57,0)</f>
        <v>277.79382527385189</v>
      </c>
      <c r="G207" s="63">
        <f>VLOOKUP(C207,'RAW DATA 2023'!E:BO,58,0)</f>
        <v>200</v>
      </c>
      <c r="H207" s="390">
        <f>IFERROR((G207-F207)/G207,0)</f>
        <v>-0.38896912636925945</v>
      </c>
      <c r="I207" s="398">
        <f>IF(H207&lt;0,((0.25-(H207*(-1)))*$L$7),IF(H207&gt;0,(H207*$N$7)+$L$6,0))</f>
        <v>-7.4116867396938382</v>
      </c>
      <c r="J207" s="73">
        <f>VLOOKUP(C207,'RAW DATA 2023'!E:AC,21,0)</f>
        <v>8.6442700000000006</v>
      </c>
      <c r="K207" s="398">
        <f>I207*J207</f>
        <v>-64.068621333333255</v>
      </c>
      <c r="R207" s="400"/>
    </row>
    <row r="208" spans="1:18">
      <c r="A208" s="63" t="str">
        <f>'RAW DATA 2023'!B780</f>
        <v>Kanchanadit</v>
      </c>
      <c r="B208" s="63" t="str">
        <f>'RAW DATA 2023'!D780</f>
        <v>D1-048-0013</v>
      </c>
      <c r="C208" s="63" t="str">
        <f>A208&amp;B208</f>
        <v>KanchanaditD1-048-0013</v>
      </c>
      <c r="D208" s="63">
        <f>VLOOKUP(C208,'RAW DATA 2023'!E:BP,63,0)</f>
        <v>12</v>
      </c>
      <c r="E208" s="63" t="str">
        <f>A208&amp;D208</f>
        <v>Kanchanadit12</v>
      </c>
      <c r="F208" s="389">
        <f>VLOOKUP(C208,'RAW DATA 2023'!E:BO,57,0)</f>
        <v>203.12939261378861</v>
      </c>
      <c r="G208" s="63">
        <f>VLOOKUP(C208,'RAW DATA 2023'!E:BO,58,0)</f>
        <v>189</v>
      </c>
      <c r="H208" s="390">
        <f>IFERROR((G208-F208)/G208,0)</f>
        <v>-7.475869107824662E-2</v>
      </c>
      <c r="I208" s="398">
        <f>IF(H208&lt;0,((0.25-(H208*(-1)))*$L$7),IF(H208&gt;0,(H208*$N$7)+$L$6,0))</f>
        <v>9.3462031424935148</v>
      </c>
      <c r="J208" s="73">
        <f>VLOOKUP(C208,'RAW DATA 2023'!E:AC,21,0)</f>
        <v>17.249980000000001</v>
      </c>
      <c r="K208" s="398">
        <f>I208*J208</f>
        <v>161.22181728395029</v>
      </c>
      <c r="R208" s="400"/>
    </row>
    <row r="209" spans="1:18">
      <c r="A209" s="63" t="str">
        <f>'RAW DATA 2023'!B786</f>
        <v>Kanchanadit</v>
      </c>
      <c r="B209" s="63" t="str">
        <f>'RAW DATA 2023'!D786</f>
        <v>C1-040-0016</v>
      </c>
      <c r="C209" s="63" t="str">
        <f>A209&amp;B209</f>
        <v>KanchanaditC1-040-0016</v>
      </c>
      <c r="D209" s="63">
        <f>VLOOKUP(C209,'RAW DATA 2023'!E:BP,63,0)</f>
        <v>12</v>
      </c>
      <c r="E209" s="63" t="str">
        <f>A209&amp;D209</f>
        <v>Kanchanadit12</v>
      </c>
      <c r="F209" s="389">
        <f>VLOOKUP(C209,'RAW DATA 2023'!E:BO,57,0)</f>
        <v>451.44741534312249</v>
      </c>
      <c r="G209" s="63">
        <f>VLOOKUP(C209,'RAW DATA 2023'!E:BO,58,0)</f>
        <v>150</v>
      </c>
      <c r="H209" s="390">
        <f>IFERROR((G209-F209)/G209,0)</f>
        <v>-2.0096494356208168</v>
      </c>
      <c r="I209" s="398">
        <f>IF(H209&lt;0,((0.25-(H209*(-1)))*$L$7),IF(H209&gt;0,(H209*$N$7)+$L$6,0))</f>
        <v>-93.847969899776899</v>
      </c>
      <c r="J209" s="73">
        <f>VLOOKUP(C209,'RAW DATA 2023'!E:AC,21,0)</f>
        <v>4.0044000000000004</v>
      </c>
      <c r="K209" s="398">
        <f>I209*J209</f>
        <v>-375.80481066666664</v>
      </c>
      <c r="R209" s="400"/>
    </row>
    <row r="210" spans="1:18">
      <c r="A210" s="63" t="str">
        <f>'RAW DATA 2023'!B794</f>
        <v>Kanchanadit</v>
      </c>
      <c r="B210" s="63" t="str">
        <f>'RAW DATA 2023'!D794</f>
        <v>D1-052-0012</v>
      </c>
      <c r="C210" s="63" t="str">
        <f>A210&amp;B210</f>
        <v>KanchanaditD1-052-0012</v>
      </c>
      <c r="D210" s="63">
        <f>VLOOKUP(C210,'RAW DATA 2023'!E:BP,63,0)</f>
        <v>3</v>
      </c>
      <c r="E210" s="63" t="str">
        <f>A210&amp;D210</f>
        <v>Kanchanadit3</v>
      </c>
      <c r="F210" s="389">
        <f>VLOOKUP(C210,'RAW DATA 2023'!E:BO,57,0)</f>
        <v>0</v>
      </c>
      <c r="G210" s="63">
        <f>VLOOKUP(C210,'RAW DATA 2023'!E:BO,58,0)</f>
        <v>0</v>
      </c>
      <c r="H210" s="390">
        <f>IFERROR((G210-F210)/G210,0)</f>
        <v>0</v>
      </c>
      <c r="I210" s="398">
        <f>IF(H210&lt;0,((0.25-(H210*(-1)))*$L$7),IF(H210&gt;0,(H210*$N$7)+$L$6,0))</f>
        <v>0</v>
      </c>
      <c r="J210" s="73">
        <f>VLOOKUP(C210,'RAW DATA 2023'!E:AC,21,0)</f>
        <v>0</v>
      </c>
      <c r="K210" s="398">
        <f>I210*J210</f>
        <v>0</v>
      </c>
      <c r="R210" s="400"/>
    </row>
    <row r="211" spans="1:18">
      <c r="A211" s="63" t="str">
        <f>'RAW DATA 2023'!B784</f>
        <v>Kanchanadit</v>
      </c>
      <c r="B211" s="63" t="str">
        <f>'RAW DATA 2023'!D784</f>
        <v>C1-046-0012</v>
      </c>
      <c r="C211" s="63" t="str">
        <f>A211&amp;B211</f>
        <v>KanchanaditC1-046-0012</v>
      </c>
      <c r="D211" s="63">
        <f>VLOOKUP(C211,'RAW DATA 2023'!E:BP,63,0)</f>
        <v>4</v>
      </c>
      <c r="E211" s="63" t="str">
        <f>A211&amp;D211</f>
        <v>Kanchanadit4</v>
      </c>
      <c r="F211" s="389">
        <f>VLOOKUP(C211,'RAW DATA 2023'!E:BO,57,0)</f>
        <v>415.98497472206844</v>
      </c>
      <c r="G211" s="63">
        <f>VLOOKUP(C211,'RAW DATA 2023'!E:BO,58,0)</f>
        <v>214</v>
      </c>
      <c r="H211" s="390">
        <f>IFERROR((G211-F211)/G211,0)</f>
        <v>-0.94385502206574035</v>
      </c>
      <c r="I211" s="398">
        <f>IF(H211&lt;0,((0.25-(H211*(-1)))*$L$7),IF(H211&gt;0,(H211*$N$7)+$L$6,0))</f>
        <v>-37.005601176839484</v>
      </c>
      <c r="J211" s="73">
        <f>VLOOKUP(C211,'RAW DATA 2023'!E:AC,21,0)</f>
        <v>9.5419199999999993</v>
      </c>
      <c r="K211" s="398">
        <f>I211*J211</f>
        <v>-353.10448598130819</v>
      </c>
      <c r="R211" s="400"/>
    </row>
    <row r="212" spans="1:18">
      <c r="A212" s="63" t="str">
        <f>'RAW DATA 2023'!B779</f>
        <v>Kanchanadit</v>
      </c>
      <c r="B212" s="63" t="str">
        <f>'RAW DATA 2023'!D779</f>
        <v>C1-045-0011</v>
      </c>
      <c r="C212" s="63" t="str">
        <f>A212&amp;B212</f>
        <v>KanchanaditC1-045-0011</v>
      </c>
      <c r="D212" s="63">
        <f>VLOOKUP(C212,'RAW DATA 2023'!E:BP,63,0)</f>
        <v>6</v>
      </c>
      <c r="E212" s="63" t="str">
        <f>A212&amp;D212</f>
        <v>Kanchanadit6</v>
      </c>
      <c r="F212" s="389">
        <f>VLOOKUP(C212,'RAW DATA 2023'!E:BO,57,0)</f>
        <v>263.85823842852778</v>
      </c>
      <c r="G212" s="63">
        <f>VLOOKUP(C212,'RAW DATA 2023'!E:BO,58,0)</f>
        <v>210</v>
      </c>
      <c r="H212" s="390">
        <f>IFERROR((G212-F212)/G212,0)</f>
        <v>-0.25646780204060848</v>
      </c>
      <c r="I212" s="398">
        <f>IF(H212&lt;0,((0.25-(H212*(-1)))*$L$7),IF(H212&gt;0,(H212*$N$7)+$L$6,0))</f>
        <v>-0.34494944216578582</v>
      </c>
      <c r="J212" s="73">
        <f>VLOOKUP(C212,'RAW DATA 2023'!E:AC,21,0)</f>
        <v>10.702830000000001</v>
      </c>
      <c r="K212" s="398">
        <f>I212*J212</f>
        <v>-3.6919352380952377</v>
      </c>
      <c r="R212" s="400"/>
    </row>
    <row r="213" spans="1:18">
      <c r="A213" s="63" t="str">
        <f>'RAW DATA 2023'!B782</f>
        <v>Kanchanadit</v>
      </c>
      <c r="B213" s="63" t="str">
        <f>'RAW DATA 2023'!D782</f>
        <v>C1-047-0006</v>
      </c>
      <c r="C213" s="63" t="str">
        <f>A213&amp;B213</f>
        <v>KanchanaditC1-047-0006</v>
      </c>
      <c r="D213" s="63">
        <f>VLOOKUP(C213,'RAW DATA 2023'!E:BP,63,0)</f>
        <v>6</v>
      </c>
      <c r="E213" s="63" t="str">
        <f>A213&amp;D213</f>
        <v>Kanchanadit6</v>
      </c>
      <c r="F213" s="389">
        <f>VLOOKUP(C213,'RAW DATA 2023'!E:BO,57,0)</f>
        <v>270.21857094722338</v>
      </c>
      <c r="G213" s="63">
        <f>VLOOKUP(C213,'RAW DATA 2023'!E:BO,58,0)</f>
        <v>210</v>
      </c>
      <c r="H213" s="390">
        <f>IFERROR((G213-F213)/G213,0)</f>
        <v>-0.2867550997486828</v>
      </c>
      <c r="I213" s="398">
        <f>IF(H213&lt;0,((0.25-(H213*(-1)))*$L$7),IF(H213&gt;0,(H213*$N$7)+$L$6,0))</f>
        <v>-1.9602719865964158</v>
      </c>
      <c r="J213" s="73">
        <f>VLOOKUP(C213,'RAW DATA 2023'!E:AC,21,0)</f>
        <v>12.138530000000001</v>
      </c>
      <c r="K213" s="398">
        <f>I213*J213</f>
        <v>-23.794820317460193</v>
      </c>
      <c r="R213" s="400"/>
    </row>
    <row r="214" spans="1:18">
      <c r="A214" s="63" t="str">
        <f>'RAW DATA 2023'!B783</f>
        <v>Kanchanadit</v>
      </c>
      <c r="B214" s="63" t="str">
        <f>'RAW DATA 2023'!D783</f>
        <v>C1-044-0014</v>
      </c>
      <c r="C214" s="63" t="str">
        <f>A214&amp;B214</f>
        <v>KanchanaditC1-044-0014</v>
      </c>
      <c r="D214" s="63">
        <f>VLOOKUP(C214,'RAW DATA 2023'!E:BP,63,0)</f>
        <v>6</v>
      </c>
      <c r="E214" s="63" t="str">
        <f>A214&amp;D214</f>
        <v>Kanchanadit6</v>
      </c>
      <c r="F214" s="389">
        <f>VLOOKUP(C214,'RAW DATA 2023'!E:BO,57,0)</f>
        <v>246.80429733884793</v>
      </c>
      <c r="G214" s="63">
        <f>VLOOKUP(C214,'RAW DATA 2023'!E:BO,58,0)</f>
        <v>207</v>
      </c>
      <c r="H214" s="390">
        <f>IFERROR((G214-F214)/G214,0)</f>
        <v>-0.19229129149201898</v>
      </c>
      <c r="I214" s="398">
        <f>IF(H214&lt;0,((0.25-(H214*(-1)))*$L$7),IF(H214&gt;0,(H214*$N$7)+$L$6,0))</f>
        <v>3.077797787092321</v>
      </c>
      <c r="J214" s="73">
        <f>VLOOKUP(C214,'RAW DATA 2023'!E:AC,21,0)</f>
        <v>13.145809999999999</v>
      </c>
      <c r="K214" s="398">
        <f>I214*J214</f>
        <v>40.460144927536099</v>
      </c>
      <c r="R214" s="400"/>
    </row>
    <row r="215" spans="1:18">
      <c r="A215" s="63" t="str">
        <f>'RAW DATA 2023'!B769</f>
        <v>Kanchanadit</v>
      </c>
      <c r="B215" s="63" t="str">
        <f>'RAW DATA 2023'!D769</f>
        <v>C1-043-0014</v>
      </c>
      <c r="C215" s="63" t="str">
        <f>A215&amp;B215</f>
        <v>KanchanaditC1-043-0014</v>
      </c>
      <c r="D215" s="63">
        <f>VLOOKUP(C215,'RAW DATA 2023'!E:BP,63,0)</f>
        <v>7</v>
      </c>
      <c r="E215" s="63" t="str">
        <f>A215&amp;D215</f>
        <v>Kanchanadit7</v>
      </c>
      <c r="F215" s="389">
        <f>VLOOKUP(C215,'RAW DATA 2023'!E:BO,57,0)</f>
        <v>289.53616711905096</v>
      </c>
      <c r="G215" s="63">
        <f>VLOOKUP(C215,'RAW DATA 2023'!E:BO,58,0)</f>
        <v>207</v>
      </c>
      <c r="H215" s="390">
        <f>IFERROR((G215-F215)/G215,0)</f>
        <v>-0.39872544501956986</v>
      </c>
      <c r="I215" s="398">
        <f>IF(H215&lt;0,((0.25-(H215*(-1)))*$L$7),IF(H215&gt;0,(H215*$N$7)+$L$6,0))</f>
        <v>-7.9320237343770597</v>
      </c>
      <c r="J215" s="73">
        <f>VLOOKUP(C215,'RAW DATA 2023'!E:AC,21,0)</f>
        <v>7.6888900000000007</v>
      </c>
      <c r="K215" s="398">
        <f>I215*J215</f>
        <v>-60.988457971014434</v>
      </c>
      <c r="R215" s="400"/>
    </row>
    <row r="216" spans="1:18">
      <c r="A216" s="63" t="str">
        <f>'RAW DATA 2023'!B781</f>
        <v>Kanchanadit</v>
      </c>
      <c r="B216" s="63" t="str">
        <f>'RAW DATA 2023'!D781</f>
        <v>C1-040-0015</v>
      </c>
      <c r="C216" s="63" t="str">
        <f>A216&amp;B216</f>
        <v>KanchanaditC1-040-0015</v>
      </c>
      <c r="D216" s="63">
        <f>VLOOKUP(C216,'RAW DATA 2023'!E:BP,63,0)</f>
        <v>7</v>
      </c>
      <c r="E216" s="63" t="str">
        <f>A216&amp;D216</f>
        <v>Kanchanadit7</v>
      </c>
      <c r="F216" s="389">
        <f>VLOOKUP(C216,'RAW DATA 2023'!E:BO,57,0)</f>
        <v>279.24123847516358</v>
      </c>
      <c r="G216" s="63">
        <f>VLOOKUP(C216,'RAW DATA 2023'!E:BO,58,0)</f>
        <v>210</v>
      </c>
      <c r="H216" s="390">
        <f>IFERROR((G216-F216)/G216,0)</f>
        <v>-0.32972018321506469</v>
      </c>
      <c r="I216" s="398">
        <f>IF(H216&lt;0,((0.25-(H216*(-1)))*$L$7),IF(H216&gt;0,(H216*$N$7)+$L$6,0))</f>
        <v>-4.2517431048034506</v>
      </c>
      <c r="J216" s="73">
        <f>VLOOKUP(C216,'RAW DATA 2023'!E:AC,21,0)</f>
        <v>10.947010000000001</v>
      </c>
      <c r="K216" s="398">
        <f>I216*J216</f>
        <v>-46.543874285714423</v>
      </c>
      <c r="R216" s="400"/>
    </row>
    <row r="217" spans="1:18">
      <c r="A217" s="63" t="str">
        <f>'RAW DATA 2023'!B787</f>
        <v>Kanchanadit</v>
      </c>
      <c r="B217" s="63" t="str">
        <f>'RAW DATA 2023'!D787</f>
        <v>D1-049-0011</v>
      </c>
      <c r="C217" s="63" t="str">
        <f>A217&amp;B217</f>
        <v>KanchanaditD1-049-0011</v>
      </c>
      <c r="D217" s="63">
        <f>VLOOKUP(C217,'RAW DATA 2023'!E:BP,63,0)</f>
        <v>7</v>
      </c>
      <c r="E217" s="63" t="str">
        <f>A217&amp;D217</f>
        <v>Kanchanadit7</v>
      </c>
      <c r="F217" s="389">
        <f>VLOOKUP(C217,'RAW DATA 2023'!E:BO,57,0)</f>
        <v>202.24314236160754</v>
      </c>
      <c r="G217" s="63">
        <f>VLOOKUP(C217,'RAW DATA 2023'!E:BO,58,0)</f>
        <v>204</v>
      </c>
      <c r="H217" s="390">
        <f>IFERROR((G217-F217)/G217,0)</f>
        <v>8.6120472470218659E-3</v>
      </c>
      <c r="I217" s="398">
        <f>IF(H217&lt;0,((0.25-(H217*(-1)))*$L$7),IF(H217&gt;0,(H217*$N$7)+$L$6,0))</f>
        <v>13.792642519841166</v>
      </c>
      <c r="J217" s="73">
        <f>VLOOKUP(C217,'RAW DATA 2023'!E:AC,21,0)</f>
        <v>24.481459999999998</v>
      </c>
      <c r="K217" s="398">
        <f>I217*J217</f>
        <v>337.66402614379069</v>
      </c>
      <c r="R217" s="400"/>
    </row>
    <row r="218" spans="1:18">
      <c r="A218" s="63" t="str">
        <f>'RAW DATA 2023'!B788</f>
        <v>Kanchanadit</v>
      </c>
      <c r="B218" s="63" t="str">
        <f>'RAW DATA 2023'!D788</f>
        <v>D1-048-0012</v>
      </c>
      <c r="C218" s="63" t="str">
        <f>A218&amp;B218</f>
        <v>KanchanaditD1-048-0012</v>
      </c>
      <c r="D218" s="63">
        <f>VLOOKUP(C218,'RAW DATA 2023'!E:BP,63,0)</f>
        <v>7</v>
      </c>
      <c r="E218" s="63" t="str">
        <f>A218&amp;D218</f>
        <v>Kanchanadit7</v>
      </c>
      <c r="F218" s="389">
        <f>VLOOKUP(C218,'RAW DATA 2023'!E:BO,57,0)</f>
        <v>244.45629946196857</v>
      </c>
      <c r="G218" s="63">
        <f>VLOOKUP(C218,'RAW DATA 2023'!E:BO,58,0)</f>
        <v>200</v>
      </c>
      <c r="H218" s="390">
        <f>IFERROR((G218-F218)/G218,0)</f>
        <v>-0.22228149730984284</v>
      </c>
      <c r="I218" s="398">
        <f>IF(H218&lt;0,((0.25-(H218*(-1)))*$L$7),IF(H218&gt;0,(H218*$N$7)+$L$6,0))</f>
        <v>1.4783201434750486</v>
      </c>
      <c r="J218" s="73">
        <f>VLOOKUP(C218,'RAW DATA 2023'!E:AC,21,0)</f>
        <v>20.918849999999999</v>
      </c>
      <c r="K218" s="398">
        <f>I218*J218</f>
        <v>30.924757333333019</v>
      </c>
      <c r="R218" s="400"/>
    </row>
    <row r="219" spans="1:18">
      <c r="A219" s="63" t="str">
        <f>'RAW DATA 2023'!B767</f>
        <v>Kanchanadit</v>
      </c>
      <c r="B219" s="63" t="str">
        <f>'RAW DATA 2023'!D767</f>
        <v>D1-051-0006</v>
      </c>
      <c r="C219" s="63" t="str">
        <f>A219&amp;B219</f>
        <v>KanchanaditD1-051-0006</v>
      </c>
      <c r="D219" s="63">
        <f>VLOOKUP(C219,'RAW DATA 2023'!E:BP,63,0)</f>
        <v>8</v>
      </c>
      <c r="E219" s="63" t="str">
        <f>A219&amp;D219</f>
        <v>Kanchanadit8</v>
      </c>
      <c r="F219" s="389">
        <f>VLOOKUP(C219,'RAW DATA 2023'!E:BO,57,0)</f>
        <v>196.09907361177684</v>
      </c>
      <c r="G219" s="63">
        <f>VLOOKUP(C219,'RAW DATA 2023'!E:BO,58,0)</f>
        <v>219</v>
      </c>
      <c r="H219" s="390">
        <f>IFERROR((G219-F219)/G219,0)</f>
        <v>0.10457044012887286</v>
      </c>
      <c r="I219" s="398">
        <f>IF(H219&lt;0,((0.25-(H219*(-1)))*$L$7),IF(H219&gt;0,(H219*$N$7)+$L$6,0))</f>
        <v>18.910423473539886</v>
      </c>
      <c r="J219" s="73">
        <f>VLOOKUP(C219,'RAW DATA 2023'!E:AC,21,0)</f>
        <v>20.048830000000002</v>
      </c>
      <c r="K219" s="398">
        <f>I219*J219</f>
        <v>379.13186544901072</v>
      </c>
      <c r="R219" s="400"/>
    </row>
    <row r="220" spans="1:18">
      <c r="A220" s="63" t="str">
        <f>'RAW DATA 2023'!B768</f>
        <v>Kanchanadit</v>
      </c>
      <c r="B220" s="63" t="str">
        <f>'RAW DATA 2023'!D768</f>
        <v>D1-052-0013</v>
      </c>
      <c r="C220" s="63" t="str">
        <f>A220&amp;B220</f>
        <v>KanchanaditD1-052-0013</v>
      </c>
      <c r="D220" s="63">
        <f>VLOOKUP(C220,'RAW DATA 2023'!E:BP,63,0)</f>
        <v>8</v>
      </c>
      <c r="E220" s="63" t="str">
        <f>A220&amp;D220</f>
        <v>Kanchanadit8</v>
      </c>
      <c r="F220" s="389">
        <f>VLOOKUP(C220,'RAW DATA 2023'!E:BO,57,0)</f>
        <v>214.95550355947262</v>
      </c>
      <c r="G220" s="63">
        <f>VLOOKUP(C220,'RAW DATA 2023'!E:BO,58,0)</f>
        <v>197</v>
      </c>
      <c r="H220" s="390">
        <f>IFERROR((G220-F220)/G220,0)</f>
        <v>-9.1144688119150344E-2</v>
      </c>
      <c r="I220" s="398">
        <f>IF(H220&lt;0,((0.25-(H220*(-1)))*$L$7),IF(H220&gt;0,(H220*$N$7)+$L$6,0))</f>
        <v>8.4722833003119824</v>
      </c>
      <c r="J220" s="73">
        <f>VLOOKUP(C220,'RAW DATA 2023'!E:AC,21,0)</f>
        <v>20.60839</v>
      </c>
      <c r="K220" s="398">
        <f>I220*J220</f>
        <v>174.60011844331646</v>
      </c>
      <c r="R220" s="400"/>
    </row>
    <row r="221" spans="1:18">
      <c r="A221" s="63" t="str">
        <f>'RAW DATA 2023'!B770</f>
        <v>Kanchanadit</v>
      </c>
      <c r="B221" s="63" t="str">
        <f>'RAW DATA 2023'!D770</f>
        <v>D1-053-0006</v>
      </c>
      <c r="C221" s="63" t="str">
        <f>A221&amp;B221</f>
        <v>KanchanaditD1-053-0006</v>
      </c>
      <c r="D221" s="63">
        <f>VLOOKUP(C221,'RAW DATA 2023'!E:BP,63,0)</f>
        <v>8</v>
      </c>
      <c r="E221" s="63" t="str">
        <f>A221&amp;D221</f>
        <v>Kanchanadit8</v>
      </c>
      <c r="F221" s="389">
        <f>VLOOKUP(C221,'RAW DATA 2023'!E:BO,57,0)</f>
        <v>203.48922614154964</v>
      </c>
      <c r="G221" s="63">
        <f>VLOOKUP(C221,'RAW DATA 2023'!E:BO,58,0)</f>
        <v>223</v>
      </c>
      <c r="H221" s="390">
        <f>IFERROR((G221-F221)/G221,0)</f>
        <v>8.7492259454934371E-2</v>
      </c>
      <c r="I221" s="398">
        <f>IF(H221&lt;0,((0.25-(H221*(-1)))*$L$7),IF(H221&gt;0,(H221*$N$7)+$L$6,0))</f>
        <v>17.999587170929836</v>
      </c>
      <c r="J221" s="73">
        <f>VLOOKUP(C221,'RAW DATA 2023'!E:AC,21,0)</f>
        <v>22.652979999999999</v>
      </c>
      <c r="K221" s="398">
        <f>I221*J221</f>
        <v>407.74428819133016</v>
      </c>
      <c r="R221" s="400"/>
    </row>
    <row r="222" spans="1:18">
      <c r="A222" s="63" t="str">
        <f>'RAW DATA 2023'!B772</f>
        <v>Kanchanadit</v>
      </c>
      <c r="B222" s="63" t="str">
        <f>'RAW DATA 2023'!D772</f>
        <v>C1-041-0015</v>
      </c>
      <c r="C222" s="63" t="str">
        <f>A222&amp;B222</f>
        <v>KanchanaditC1-041-0015</v>
      </c>
      <c r="D222" s="63">
        <f>VLOOKUP(C222,'RAW DATA 2023'!E:BP,63,0)</f>
        <v>8</v>
      </c>
      <c r="E222" s="63" t="str">
        <f>A222&amp;D222</f>
        <v>Kanchanadit8</v>
      </c>
      <c r="F222" s="389">
        <f>VLOOKUP(C222,'RAW DATA 2023'!E:BO,57,0)</f>
        <v>349.97086068785575</v>
      </c>
      <c r="G222" s="63">
        <f>VLOOKUP(C222,'RAW DATA 2023'!E:BO,58,0)</f>
        <v>210</v>
      </c>
      <c r="H222" s="390">
        <f>IFERROR((G222-F222)/G222,0)</f>
        <v>-0.66652790803740836</v>
      </c>
      <c r="I222" s="398">
        <f>IF(H222&lt;0,((0.25-(H222*(-1)))*$L$7),IF(H222&gt;0,(H222*$N$7)+$L$6,0))</f>
        <v>-22.214821761995115</v>
      </c>
      <c r="J222" s="73">
        <f>VLOOKUP(C222,'RAW DATA 2023'!E:AC,21,0)</f>
        <v>8.5238799999999983</v>
      </c>
      <c r="K222" s="398">
        <f>I222*J222</f>
        <v>-189.35647492063489</v>
      </c>
      <c r="R222" s="400"/>
    </row>
    <row r="223" spans="1:18">
      <c r="A223" s="63" t="str">
        <f>'RAW DATA 2023'!B774</f>
        <v>Kanchanadit</v>
      </c>
      <c r="B223" s="63" t="str">
        <f>'RAW DATA 2023'!D774</f>
        <v>D1-050-0013</v>
      </c>
      <c r="C223" s="63" t="str">
        <f>A223&amp;B223</f>
        <v>KanchanaditD1-050-0013</v>
      </c>
      <c r="D223" s="63">
        <f>VLOOKUP(C223,'RAW DATA 2023'!E:BP,63,0)</f>
        <v>8</v>
      </c>
      <c r="E223" s="63" t="str">
        <f>A223&amp;D223</f>
        <v>Kanchanadit8</v>
      </c>
      <c r="F223" s="389">
        <f>VLOOKUP(C223,'RAW DATA 2023'!E:BO,57,0)</f>
        <v>230.97017463717145</v>
      </c>
      <c r="G223" s="63">
        <f>VLOOKUP(C223,'RAW DATA 2023'!E:BO,58,0)</f>
        <v>219</v>
      </c>
      <c r="H223" s="390">
        <f>IFERROR((G223-F223)/G223,0)</f>
        <v>-5.4658331676581982E-2</v>
      </c>
      <c r="I223" s="398">
        <f>IF(H223&lt;0,((0.25-(H223*(-1)))*$L$7),IF(H223&gt;0,(H223*$N$7)+$L$6,0))</f>
        <v>10.418222310582294</v>
      </c>
      <c r="J223" s="73">
        <f>VLOOKUP(C223,'RAW DATA 2023'!E:AC,21,0)</f>
        <v>21.650029999999997</v>
      </c>
      <c r="K223" s="398">
        <f>I223*J223</f>
        <v>225.55482557077596</v>
      </c>
      <c r="R223" s="400"/>
    </row>
    <row r="224" spans="1:18">
      <c r="A224" s="63" t="str">
        <f>'RAW DATA 2023'!B776</f>
        <v>Kanchanadit</v>
      </c>
      <c r="B224" s="63" t="str">
        <f>'RAW DATA 2023'!D776</f>
        <v>C1-042-0005</v>
      </c>
      <c r="C224" s="63" t="str">
        <f>A224&amp;B224</f>
        <v>KanchanaditC1-042-0005</v>
      </c>
      <c r="D224" s="63">
        <f>VLOOKUP(C224,'RAW DATA 2023'!E:BP,63,0)</f>
        <v>8</v>
      </c>
      <c r="E224" s="63" t="str">
        <f>A224&amp;D224</f>
        <v>Kanchanadit8</v>
      </c>
      <c r="F224" s="389">
        <f>VLOOKUP(C224,'RAW DATA 2023'!E:BO,57,0)</f>
        <v>278.85402765630289</v>
      </c>
      <c r="G224" s="63">
        <f>VLOOKUP(C224,'RAW DATA 2023'!E:BO,58,0)</f>
        <v>197</v>
      </c>
      <c r="H224" s="390">
        <f>IFERROR((G224-F224)/G224,0)</f>
        <v>-0.41550267845839028</v>
      </c>
      <c r="I224" s="398">
        <f>IF(H224&lt;0,((0.25-(H224*(-1)))*$L$7),IF(H224&gt;0,(H224*$N$7)+$L$6,0))</f>
        <v>-8.8268095177808163</v>
      </c>
      <c r="J224" s="73">
        <f>VLOOKUP(C224,'RAW DATA 2023'!E:AC,21,0)</f>
        <v>11.342079999999999</v>
      </c>
      <c r="K224" s="398">
        <f>I224*J224</f>
        <v>-100.11437969543144</v>
      </c>
      <c r="R224" s="400"/>
    </row>
    <row r="225" spans="1:18">
      <c r="A225" s="63" t="str">
        <f>'RAW DATA 2023'!B583</f>
        <v>Laemsing</v>
      </c>
      <c r="B225" s="63" t="str">
        <f>'RAW DATA 2023'!D583</f>
        <v>A1-018-0025</v>
      </c>
      <c r="C225" s="63" t="str">
        <f>A225&amp;B225</f>
        <v>LaemsingA1-018-0025</v>
      </c>
      <c r="D225" s="63">
        <f>VLOOKUP(C225,'RAW DATA 2023'!E:BP,63,0)</f>
        <v>1</v>
      </c>
      <c r="E225" s="63" t="str">
        <f>A225&amp;D225</f>
        <v>Laemsing1</v>
      </c>
      <c r="F225" s="389">
        <f>VLOOKUP(C225,'RAW DATA 2023'!E:BO,57,0)</f>
        <v>0</v>
      </c>
      <c r="G225" s="63">
        <f>VLOOKUP(C225,'RAW DATA 2023'!E:BO,58,0)</f>
        <v>0</v>
      </c>
      <c r="H225" s="390">
        <f>IFERROR((G225-F225)/G225,0)</f>
        <v>0</v>
      </c>
      <c r="I225" s="398">
        <f>IF(H225&lt;0,((0.25-(H225*(-1)))*$L$7),IF(H225&gt;0,(H225*$N$7)+$L$6,0))</f>
        <v>0</v>
      </c>
      <c r="J225" s="73">
        <f>VLOOKUP(C225,'RAW DATA 2023'!E:AC,21,0)</f>
        <v>0</v>
      </c>
      <c r="K225" s="398">
        <f>I225*J225</f>
        <v>0</v>
      </c>
      <c r="R225" s="400"/>
    </row>
    <row r="226" spans="1:18">
      <c r="A226" s="63" t="str">
        <f>'RAW DATA 2023'!B591</f>
        <v>Laemsing</v>
      </c>
      <c r="B226" s="63" t="str">
        <f>'RAW DATA 2023'!D591</f>
        <v>B1-028-0013</v>
      </c>
      <c r="C226" s="63" t="str">
        <f>A226&amp;B226</f>
        <v>LaemsingB1-028-0013</v>
      </c>
      <c r="D226" s="63">
        <f>VLOOKUP(C226,'RAW DATA 2023'!E:BP,63,0)</f>
        <v>1</v>
      </c>
      <c r="E226" s="63" t="str">
        <f>A226&amp;D226</f>
        <v>Laemsing1</v>
      </c>
      <c r="F226" s="389">
        <f>VLOOKUP(C226,'RAW DATA 2023'!E:BO,57,0)</f>
        <v>187.69196948895612</v>
      </c>
      <c r="G226" s="63">
        <f>VLOOKUP(C226,'RAW DATA 2023'!E:BO,58,0)</f>
        <v>150</v>
      </c>
      <c r="H226" s="390">
        <f>IFERROR((G226-F226)/G226,0)</f>
        <v>-0.25127979659304078</v>
      </c>
      <c r="I226" s="398">
        <f>IF(H226&lt;0,((0.25-(H226*(-1)))*$L$7),IF(H226&gt;0,(H226*$N$7)+$L$6,0))</f>
        <v>-6.8255818295508419E-2</v>
      </c>
      <c r="J226" s="73">
        <f>VLOOKUP(C226,'RAW DATA 2023'!E:AC,21,0)</f>
        <v>11.188079999999999</v>
      </c>
      <c r="K226" s="398">
        <f>I226*J226</f>
        <v>-0.76365155555561182</v>
      </c>
      <c r="R226" s="400"/>
    </row>
    <row r="227" spans="1:18">
      <c r="A227" s="63" t="str">
        <f>'RAW DATA 2023'!B594</f>
        <v>Laemsing</v>
      </c>
      <c r="B227" s="63" t="str">
        <f>'RAW DATA 2023'!D594</f>
        <v>B1-028-0016</v>
      </c>
      <c r="C227" s="63" t="str">
        <f>A227&amp;B227</f>
        <v>LaemsingB1-028-0016</v>
      </c>
      <c r="D227" s="63">
        <f>VLOOKUP(C227,'RAW DATA 2023'!E:BP,63,0)</f>
        <v>11</v>
      </c>
      <c r="E227" s="63" t="str">
        <f>A227&amp;D227</f>
        <v>Laemsing11</v>
      </c>
      <c r="F227" s="389">
        <f>VLOOKUP(C227,'RAW DATA 2023'!E:BO,57,0)</f>
        <v>318.09702825038232</v>
      </c>
      <c r="G227" s="63">
        <f>VLOOKUP(C227,'RAW DATA 2023'!E:BO,58,0)</f>
        <v>156</v>
      </c>
      <c r="H227" s="390">
        <f>IFERROR((G227-F227)/G227,0)</f>
        <v>-1.0390835144255277</v>
      </c>
      <c r="I227" s="398">
        <f>IF(H227&lt;0,((0.25-(H227*(-1)))*$L$7),IF(H227&gt;0,(H227*$N$7)+$L$6,0))</f>
        <v>-42.084454102694814</v>
      </c>
      <c r="J227" s="73">
        <f>VLOOKUP(C227,'RAW DATA 2023'!E:AC,21,0)</f>
        <v>13.032389999999999</v>
      </c>
      <c r="K227" s="398">
        <f>I227*J227</f>
        <v>-548.46101880341882</v>
      </c>
      <c r="R227" s="400"/>
    </row>
    <row r="228" spans="1:18">
      <c r="A228" s="63" t="str">
        <f>'RAW DATA 2023'!B595</f>
        <v>Laemsing</v>
      </c>
      <c r="B228" s="63" t="str">
        <f>'RAW DATA 2023'!D595</f>
        <v>B1-013-0034</v>
      </c>
      <c r="C228" s="63" t="str">
        <f>A228&amp;B228</f>
        <v>LaemsingB1-013-0034</v>
      </c>
      <c r="D228" s="63">
        <f>VLOOKUP(C228,'RAW DATA 2023'!E:BP,63,0)</f>
        <v>12</v>
      </c>
      <c r="E228" s="63" t="str">
        <f>A228&amp;D228</f>
        <v>Laemsing12</v>
      </c>
      <c r="F228" s="389">
        <f>VLOOKUP(C228,'RAW DATA 2023'!E:BO,57,0)</f>
        <v>206.503366870788</v>
      </c>
      <c r="G228" s="63">
        <f>VLOOKUP(C228,'RAW DATA 2023'!E:BO,58,0)</f>
        <v>150</v>
      </c>
      <c r="H228" s="390">
        <f>IFERROR((G228-F228)/G228,0)</f>
        <v>-0.37668911247192</v>
      </c>
      <c r="I228" s="398">
        <f>IF(H228&lt;0,((0.25-(H228*(-1)))*$L$7),IF(H228&gt;0,(H228*$N$7)+$L$6,0))</f>
        <v>-6.756752665169067</v>
      </c>
      <c r="J228" s="73">
        <f>VLOOKUP(C228,'RAW DATA 2023'!E:AC,21,0)</f>
        <v>11.04735</v>
      </c>
      <c r="K228" s="398">
        <f>I228*J228</f>
        <v>-74.644211555555486</v>
      </c>
      <c r="R228" s="400"/>
    </row>
    <row r="229" spans="1:18">
      <c r="A229" s="63" t="str">
        <f>'RAW DATA 2023'!B576</f>
        <v>Laemsing</v>
      </c>
      <c r="B229" s="63" t="str">
        <f>'RAW DATA 2023'!D576</f>
        <v>A1-002-0037</v>
      </c>
      <c r="C229" s="63" t="str">
        <f>A229&amp;B229</f>
        <v>LaemsingA1-002-0037</v>
      </c>
      <c r="D229" s="63">
        <f>VLOOKUP(C229,'RAW DATA 2023'!E:BP,63,0)</f>
        <v>3</v>
      </c>
      <c r="E229" s="63" t="str">
        <f>A229&amp;D229</f>
        <v>Laemsing3</v>
      </c>
      <c r="F229" s="389">
        <f>VLOOKUP(C229,'RAW DATA 2023'!E:BO,57,0)</f>
        <v>201.31094235353123</v>
      </c>
      <c r="G229" s="63">
        <f>VLOOKUP(C229,'RAW DATA 2023'!E:BO,58,0)</f>
        <v>197</v>
      </c>
      <c r="H229" s="390">
        <f>IFERROR((G229-F229)/G229,0)</f>
        <v>-2.1882956109295592E-2</v>
      </c>
      <c r="I229" s="398">
        <f>IF(H229&lt;0,((0.25-(H229*(-1)))*$L$7),IF(H229&gt;0,(H229*$N$7)+$L$6,0))</f>
        <v>12.16624234083757</v>
      </c>
      <c r="J229" s="73">
        <f>VLOOKUP(C229,'RAW DATA 2023'!E:AC,21,0)</f>
        <v>18.681630000000002</v>
      </c>
      <c r="K229" s="398">
        <f>I229*J229</f>
        <v>227.28523790186139</v>
      </c>
      <c r="R229" s="400"/>
    </row>
    <row r="230" spans="1:18">
      <c r="A230" s="63" t="str">
        <f>'RAW DATA 2023'!B587</f>
        <v>Laemsing</v>
      </c>
      <c r="B230" s="63" t="str">
        <f>'RAW DATA 2023'!D587</f>
        <v>B1-006-0040</v>
      </c>
      <c r="C230" s="63" t="str">
        <f>A230&amp;B230</f>
        <v>LaemsingB1-006-0040</v>
      </c>
      <c r="D230" s="63">
        <f>VLOOKUP(C230,'RAW DATA 2023'!E:BP,63,0)</f>
        <v>3</v>
      </c>
      <c r="E230" s="63" t="str">
        <f>A230&amp;D230</f>
        <v>Laemsing3</v>
      </c>
      <c r="F230" s="389">
        <f>VLOOKUP(C230,'RAW DATA 2023'!E:BO,57,0)</f>
        <v>203.76072540616451</v>
      </c>
      <c r="G230" s="63">
        <f>VLOOKUP(C230,'RAW DATA 2023'!E:BO,58,0)</f>
        <v>194</v>
      </c>
      <c r="H230" s="390">
        <f>IFERROR((G230-F230)/G230,0)</f>
        <v>-5.0313017557549022E-2</v>
      </c>
      <c r="I230" s="398">
        <f>IF(H230&lt;0,((0.25-(H230*(-1)))*$L$7),IF(H230&gt;0,(H230*$N$7)+$L$6,0))</f>
        <v>10.649972396930719</v>
      </c>
      <c r="J230" s="73">
        <f>VLOOKUP(C230,'RAW DATA 2023'!E:AC,21,0)</f>
        <v>20.650500000000001</v>
      </c>
      <c r="K230" s="398">
        <f>I230*J230</f>
        <v>219.92725498281783</v>
      </c>
      <c r="R230" s="400"/>
    </row>
    <row r="231" spans="1:18">
      <c r="A231" s="63" t="str">
        <f>'RAW DATA 2023'!B579</f>
        <v>Laemsing</v>
      </c>
      <c r="B231" s="63" t="str">
        <f>'RAW DATA 2023'!D579</f>
        <v>A1-019-0028</v>
      </c>
      <c r="C231" s="63" t="str">
        <f>A231&amp;B231</f>
        <v>LaemsingA1-019-0028</v>
      </c>
      <c r="D231" s="63">
        <f>VLOOKUP(C231,'RAW DATA 2023'!E:BP,63,0)</f>
        <v>4</v>
      </c>
      <c r="E231" s="63" t="str">
        <f>A231&amp;D231</f>
        <v>Laemsing4</v>
      </c>
      <c r="F231" s="389">
        <f>VLOOKUP(C231,'RAW DATA 2023'!E:BO,57,0)</f>
        <v>177.62142083767188</v>
      </c>
      <c r="G231" s="63">
        <f>VLOOKUP(C231,'RAW DATA 2023'!E:BO,58,0)</f>
        <v>197</v>
      </c>
      <c r="H231" s="390">
        <f>IFERROR((G231-F231)/G231,0)</f>
        <v>9.8368422143797582E-2</v>
      </c>
      <c r="I231" s="398">
        <f>IF(H231&lt;0,((0.25-(H231*(-1)))*$L$7),IF(H231&gt;0,(H231*$N$7)+$L$6,0))</f>
        <v>18.579649181002537</v>
      </c>
      <c r="J231" s="73">
        <f>VLOOKUP(C231,'RAW DATA 2023'!E:AC,21,0)</f>
        <v>18.324120000000001</v>
      </c>
      <c r="K231" s="398">
        <f>I231*J231</f>
        <v>340.45572115059224</v>
      </c>
      <c r="R231" s="400"/>
    </row>
    <row r="232" spans="1:18">
      <c r="A232" s="63" t="str">
        <f>'RAW DATA 2023'!B580</f>
        <v>Laemsing</v>
      </c>
      <c r="B232" s="63" t="str">
        <f>'RAW DATA 2023'!D580</f>
        <v>A1-025-0013</v>
      </c>
      <c r="C232" s="63" t="str">
        <f>A232&amp;B232</f>
        <v>LaemsingA1-025-0013</v>
      </c>
      <c r="D232" s="63">
        <f>VLOOKUP(C232,'RAW DATA 2023'!E:BP,63,0)</f>
        <v>4</v>
      </c>
      <c r="E232" s="63" t="str">
        <f>A232&amp;D232</f>
        <v>Laemsing4</v>
      </c>
      <c r="F232" s="389">
        <f>VLOOKUP(C232,'RAW DATA 2023'!E:BO,57,0)</f>
        <v>161.01376796801361</v>
      </c>
      <c r="G232" s="63">
        <f>VLOOKUP(C232,'RAW DATA 2023'!E:BO,58,0)</f>
        <v>197</v>
      </c>
      <c r="H232" s="390">
        <f>IFERROR((G232-F232)/G232,0)</f>
        <v>0.18267122858876339</v>
      </c>
      <c r="I232" s="398">
        <f>IF(H232&lt;0,((0.25-(H232*(-1)))*$L$7),IF(H232&gt;0,(H232*$N$7)+$L$6,0))</f>
        <v>23.07579885806738</v>
      </c>
      <c r="J232" s="73">
        <f>VLOOKUP(C232,'RAW DATA 2023'!E:AC,21,0)</f>
        <v>25.080680000000001</v>
      </c>
      <c r="K232" s="398">
        <f>I232*J232</f>
        <v>578.75672690355339</v>
      </c>
      <c r="R232" s="400"/>
    </row>
    <row r="233" spans="1:18">
      <c r="A233" s="63" t="str">
        <f>'RAW DATA 2023'!B582</f>
        <v>Laemsing</v>
      </c>
      <c r="B233" s="63" t="str">
        <f>'RAW DATA 2023'!D582</f>
        <v>A1-026-0015</v>
      </c>
      <c r="C233" s="63" t="str">
        <f>A233&amp;B233</f>
        <v>LaemsingA1-026-0015</v>
      </c>
      <c r="D233" s="63">
        <f>VLOOKUP(C233,'RAW DATA 2023'!E:BP,63,0)</f>
        <v>4</v>
      </c>
      <c r="E233" s="63" t="str">
        <f>A233&amp;D233</f>
        <v>Laemsing4</v>
      </c>
      <c r="F233" s="389">
        <f>VLOOKUP(C233,'RAW DATA 2023'!E:BO,57,0)</f>
        <v>161.99992701598435</v>
      </c>
      <c r="G233" s="63">
        <f>VLOOKUP(C233,'RAW DATA 2023'!E:BO,58,0)</f>
        <v>194</v>
      </c>
      <c r="H233" s="390">
        <f>IFERROR((G233-F233)/G233,0)</f>
        <v>0.16494882981451364</v>
      </c>
      <c r="I233" s="398">
        <f>IF(H233&lt;0,((0.25-(H233*(-1)))*$L$7),IF(H233&gt;0,(H233*$N$7)+$L$6,0))</f>
        <v>22.130604256774063</v>
      </c>
      <c r="J233" s="73">
        <f>VLOOKUP(C233,'RAW DATA 2023'!E:AC,21,0)</f>
        <v>22.607689999999998</v>
      </c>
      <c r="K233" s="398">
        <f>I233*J233</f>
        <v>500.32184054982838</v>
      </c>
      <c r="R233" s="400"/>
    </row>
    <row r="234" spans="1:18">
      <c r="A234" s="63" t="str">
        <f>'RAW DATA 2023'!B588</f>
        <v>Laemsing</v>
      </c>
      <c r="B234" s="63" t="str">
        <f>'RAW DATA 2023'!D588</f>
        <v>B1-027-0014</v>
      </c>
      <c r="C234" s="63" t="str">
        <f>A234&amp;B234</f>
        <v>LaemsingB1-027-0014</v>
      </c>
      <c r="D234" s="63">
        <f>VLOOKUP(C234,'RAW DATA 2023'!E:BP,63,0)</f>
        <v>4</v>
      </c>
      <c r="E234" s="63" t="str">
        <f>A234&amp;D234</f>
        <v>Laemsing4</v>
      </c>
      <c r="F234" s="389">
        <f>VLOOKUP(C234,'RAW DATA 2023'!E:BO,57,0)</f>
        <v>163.23431672767165</v>
      </c>
      <c r="G234" s="63">
        <f>VLOOKUP(C234,'RAW DATA 2023'!E:BO,58,0)</f>
        <v>204</v>
      </c>
      <c r="H234" s="390">
        <f>IFERROR((G234-F234)/G234,0)</f>
        <v>0.19983178074670757</v>
      </c>
      <c r="I234" s="398">
        <f>IF(H234&lt;0,((0.25-(H234*(-1)))*$L$7),IF(H234&gt;0,(H234*$N$7)+$L$6,0))</f>
        <v>23.991028306491071</v>
      </c>
      <c r="J234" s="73">
        <f>VLOOKUP(C234,'RAW DATA 2023'!E:AC,21,0)</f>
        <v>25.74925</v>
      </c>
      <c r="K234" s="398">
        <f>I234*J234</f>
        <v>617.75098562091523</v>
      </c>
      <c r="R234" s="400"/>
    </row>
    <row r="235" spans="1:18">
      <c r="A235" s="63" t="str">
        <f>'RAW DATA 2023'!B590</f>
        <v>Laemsing</v>
      </c>
      <c r="B235" s="63" t="str">
        <f>'RAW DATA 2023'!D590</f>
        <v>B1-013-0032</v>
      </c>
      <c r="C235" s="63" t="str">
        <f>A235&amp;B235</f>
        <v>LaemsingB1-013-0032</v>
      </c>
      <c r="D235" s="63">
        <f>VLOOKUP(C235,'RAW DATA 2023'!E:BP,63,0)</f>
        <v>4</v>
      </c>
      <c r="E235" s="63" t="str">
        <f>A235&amp;D235</f>
        <v>Laemsing4</v>
      </c>
      <c r="F235" s="389">
        <f>VLOOKUP(C235,'RAW DATA 2023'!E:BO,57,0)</f>
        <v>212.9189702920653</v>
      </c>
      <c r="G235" s="63">
        <f>VLOOKUP(C235,'RAW DATA 2023'!E:BO,58,0)</f>
        <v>204</v>
      </c>
      <c r="H235" s="390">
        <f>IFERROR((G235-F235)/G235,0)</f>
        <v>-4.3720442608163219E-2</v>
      </c>
      <c r="I235" s="398">
        <f>IF(H235&lt;0,((0.25-(H235*(-1)))*$L$7),IF(H235&gt;0,(H235*$N$7)+$L$6,0))</f>
        <v>11.001576394231297</v>
      </c>
      <c r="J235" s="73">
        <f>VLOOKUP(C235,'RAW DATA 2023'!E:AC,21,0)</f>
        <v>18.02919</v>
      </c>
      <c r="K235" s="398">
        <f>I235*J235</f>
        <v>198.34951111111096</v>
      </c>
      <c r="R235" s="400"/>
    </row>
    <row r="236" spans="1:18">
      <c r="A236" s="63" t="str">
        <f>'RAW DATA 2023'!B581</f>
        <v>Laemsing</v>
      </c>
      <c r="B236" s="63" t="str">
        <f>'RAW DATA 2023'!D581</f>
        <v>A1-018-0026</v>
      </c>
      <c r="C236" s="63" t="str">
        <f>A236&amp;B236</f>
        <v>LaemsingA1-018-0026</v>
      </c>
      <c r="D236" s="63">
        <f>VLOOKUP(C236,'RAW DATA 2023'!E:BP,63,0)</f>
        <v>6</v>
      </c>
      <c r="E236" s="63" t="str">
        <f>A236&amp;D236</f>
        <v>Laemsing6</v>
      </c>
      <c r="F236" s="389">
        <f>VLOOKUP(C236,'RAW DATA 2023'!E:BO,57,0)</f>
        <v>147.37492598172869</v>
      </c>
      <c r="G236" s="63">
        <f>VLOOKUP(C236,'RAW DATA 2023'!E:BO,58,0)</f>
        <v>191</v>
      </c>
      <c r="H236" s="390">
        <f>IFERROR((G236-F236)/G236,0)</f>
        <v>0.22840352889147281</v>
      </c>
      <c r="I236" s="398">
        <f>IF(H236&lt;0,((0.25-(H236*(-1)))*$L$7),IF(H236&gt;0,(H236*$N$7)+$L$6,0))</f>
        <v>25.514854874211885</v>
      </c>
      <c r="J236" s="73">
        <f>VLOOKUP(C236,'RAW DATA 2023'!E:AC,21,0)</f>
        <v>26.98658</v>
      </c>
      <c r="K236" s="398">
        <f>I236*J236</f>
        <v>688.55867225130896</v>
      </c>
      <c r="R236" s="400"/>
    </row>
    <row r="237" spans="1:18">
      <c r="A237" s="63" t="str">
        <f>'RAW DATA 2023'!B584</f>
        <v>Laemsing</v>
      </c>
      <c r="B237" s="63" t="str">
        <f>'RAW DATA 2023'!D584</f>
        <v>B1-028-0014</v>
      </c>
      <c r="C237" s="63" t="str">
        <f>A237&amp;B237</f>
        <v>LaemsingB1-028-0014</v>
      </c>
      <c r="D237" s="63">
        <f>VLOOKUP(C237,'RAW DATA 2023'!E:BP,63,0)</f>
        <v>6</v>
      </c>
      <c r="E237" s="63" t="str">
        <f>A237&amp;D237</f>
        <v>Laemsing6</v>
      </c>
      <c r="F237" s="389">
        <f>VLOOKUP(C237,'RAW DATA 2023'!E:BO,57,0)</f>
        <v>149.03789989496926</v>
      </c>
      <c r="G237" s="63">
        <f>VLOOKUP(C237,'RAW DATA 2023'!E:BO,58,0)</f>
        <v>210</v>
      </c>
      <c r="H237" s="390">
        <f>IFERROR((G237-F237)/G237,0)</f>
        <v>0.29029571478586069</v>
      </c>
      <c r="I237" s="398">
        <f>IF(H237&lt;0,((0.25-(H237*(-1)))*$L$7),IF(H237&gt;0,(H237*$N$7)+$L$6,0))</f>
        <v>28.815771455245905</v>
      </c>
      <c r="J237" s="73">
        <f>VLOOKUP(C237,'RAW DATA 2023'!E:AC,21,0)</f>
        <v>27.468150000000001</v>
      </c>
      <c r="K237" s="398">
        <f>I237*J237</f>
        <v>791.51593269841283</v>
      </c>
      <c r="R237" s="400"/>
    </row>
    <row r="238" spans="1:18">
      <c r="A238" s="63" t="str">
        <f>'RAW DATA 2023'!B589</f>
        <v>Laemsing</v>
      </c>
      <c r="B238" s="63" t="str">
        <f>'RAW DATA 2023'!D589</f>
        <v>B1-012-0030</v>
      </c>
      <c r="C238" s="63" t="str">
        <f>A238&amp;B238</f>
        <v>LaemsingB1-012-0030</v>
      </c>
      <c r="D238" s="63">
        <f>VLOOKUP(C238,'RAW DATA 2023'!E:BP,63,0)</f>
        <v>6</v>
      </c>
      <c r="E238" s="63" t="str">
        <f>A238&amp;D238</f>
        <v>Laemsing6</v>
      </c>
      <c r="F238" s="389">
        <f>VLOOKUP(C238,'RAW DATA 2023'!E:BO,57,0)</f>
        <v>144.26911949993573</v>
      </c>
      <c r="G238" s="63">
        <f>VLOOKUP(C238,'RAW DATA 2023'!E:BO,58,0)</f>
        <v>185</v>
      </c>
      <c r="H238" s="390">
        <f>IFERROR((G238-F238)/G238,0)</f>
        <v>0.22016692162196905</v>
      </c>
      <c r="I238" s="398">
        <f>IF(H238&lt;0,((0.25-(H238*(-1)))*$L$7),IF(H238&gt;0,(H238*$N$7)+$L$6,0))</f>
        <v>25.075569153171685</v>
      </c>
      <c r="J238" s="73">
        <f>VLOOKUP(C238,'RAW DATA 2023'!E:AC,21,0)</f>
        <v>30.421689999999998</v>
      </c>
      <c r="K238" s="398">
        <f>I238*J238</f>
        <v>762.84119135135143</v>
      </c>
      <c r="R238" s="400"/>
    </row>
    <row r="239" spans="1:18">
      <c r="A239" s="63" t="str">
        <f>'RAW DATA 2023'!B577</f>
        <v>Laemsing</v>
      </c>
      <c r="B239" s="63" t="str">
        <f>'RAW DATA 2023'!D577</f>
        <v>A1-025-0014</v>
      </c>
      <c r="C239" s="63" t="str">
        <f>A239&amp;B239</f>
        <v>LaemsingA1-025-0014</v>
      </c>
      <c r="D239" s="63">
        <f>VLOOKUP(C239,'RAW DATA 2023'!E:BP,63,0)</f>
        <v>7</v>
      </c>
      <c r="E239" s="63" t="str">
        <f>A239&amp;D239</f>
        <v>Laemsing7</v>
      </c>
      <c r="F239" s="389">
        <f>VLOOKUP(C239,'RAW DATA 2023'!E:BO,57,0)</f>
        <v>194.26849361754367</v>
      </c>
      <c r="G239" s="63">
        <f>VLOOKUP(C239,'RAW DATA 2023'!E:BO,58,0)</f>
        <v>170</v>
      </c>
      <c r="H239" s="390">
        <f>IFERROR((G239-F239)/G239,0)</f>
        <v>-0.14275584480908041</v>
      </c>
      <c r="I239" s="398">
        <f>IF(H239&lt;0,((0.25-(H239*(-1)))*$L$7),IF(H239&gt;0,(H239*$N$7)+$L$6,0))</f>
        <v>5.7196882768490456</v>
      </c>
      <c r="J239" s="73">
        <f>VLOOKUP(C239,'RAW DATA 2023'!E:AC,21,0)</f>
        <v>12.382379999999999</v>
      </c>
      <c r="K239" s="398">
        <f>I239*J239</f>
        <v>70.82335372549008</v>
      </c>
      <c r="R239" s="400"/>
    </row>
    <row r="240" spans="1:18">
      <c r="A240" s="63" t="str">
        <f>'RAW DATA 2023'!B578</f>
        <v>Laemsing</v>
      </c>
      <c r="B240" s="63" t="str">
        <f>'RAW DATA 2023'!D578</f>
        <v>A1-019-0029</v>
      </c>
      <c r="C240" s="63" t="str">
        <f>A240&amp;B240</f>
        <v>LaemsingA1-019-0029</v>
      </c>
      <c r="D240" s="63">
        <f>VLOOKUP(C240,'RAW DATA 2023'!E:BP,63,0)</f>
        <v>7</v>
      </c>
      <c r="E240" s="63" t="str">
        <f>A240&amp;D240</f>
        <v>Laemsing7</v>
      </c>
      <c r="F240" s="389">
        <f>VLOOKUP(C240,'RAW DATA 2023'!E:BO,57,0)</f>
        <v>204.30152500408116</v>
      </c>
      <c r="G240" s="63">
        <f>VLOOKUP(C240,'RAW DATA 2023'!E:BO,58,0)</f>
        <v>166</v>
      </c>
      <c r="H240" s="390">
        <f>IFERROR((G240-F240)/G240,0)</f>
        <v>-0.23073207833783829</v>
      </c>
      <c r="I240" s="398">
        <f>IF(H240&lt;0,((0.25-(H240*(-1)))*$L$7),IF(H240&gt;0,(H240*$N$7)+$L$6,0))</f>
        <v>1.0276224886486245</v>
      </c>
      <c r="J240" s="73">
        <f>VLOOKUP(C240,'RAW DATA 2023'!E:AC,21,0)</f>
        <v>10.291120000000001</v>
      </c>
      <c r="K240" s="398">
        <f>I240*J240</f>
        <v>10.575386345381634</v>
      </c>
      <c r="R240" s="400"/>
    </row>
    <row r="241" spans="1:18">
      <c r="A241" s="63" t="str">
        <f>'RAW DATA 2023'!B585</f>
        <v>Laemsing</v>
      </c>
      <c r="B241" s="63" t="str">
        <f>'RAW DATA 2023'!D585</f>
        <v>B1-013-0033</v>
      </c>
      <c r="C241" s="63" t="str">
        <f>A241&amp;B241</f>
        <v>LaemsingB1-013-0033</v>
      </c>
      <c r="D241" s="63">
        <f>VLOOKUP(C241,'RAW DATA 2023'!E:BP,63,0)</f>
        <v>7</v>
      </c>
      <c r="E241" s="63" t="str">
        <f>A241&amp;D241</f>
        <v>Laemsing7</v>
      </c>
      <c r="F241" s="389">
        <f>VLOOKUP(C241,'RAW DATA 2023'!E:BO,57,0)</f>
        <v>188.13128199858335</v>
      </c>
      <c r="G241" s="63">
        <f>VLOOKUP(C241,'RAW DATA 2023'!E:BO,58,0)</f>
        <v>181</v>
      </c>
      <c r="H241" s="390">
        <f>IFERROR((G241-F241)/G241,0)</f>
        <v>-3.9399348058471534E-2</v>
      </c>
      <c r="I241" s="398">
        <f>IF(H241&lt;0,((0.25-(H241*(-1)))*$L$7),IF(H241&gt;0,(H241*$N$7)+$L$6,0))</f>
        <v>11.232034770214852</v>
      </c>
      <c r="J241" s="73">
        <f>VLOOKUP(C241,'RAW DATA 2023'!E:AC,21,0)</f>
        <v>13.62365</v>
      </c>
      <c r="K241" s="398">
        <f>I241*J241</f>
        <v>153.02131049723758</v>
      </c>
      <c r="R241" s="400"/>
    </row>
    <row r="242" spans="1:18">
      <c r="A242" s="63" t="str">
        <f>'RAW DATA 2023'!B586</f>
        <v>Laemsing</v>
      </c>
      <c r="B242" s="63" t="str">
        <f>'RAW DATA 2023'!D586</f>
        <v>B1-027-0015</v>
      </c>
      <c r="C242" s="63" t="str">
        <f>A242&amp;B242</f>
        <v>LaemsingB1-027-0015</v>
      </c>
      <c r="D242" s="63">
        <f>VLOOKUP(C242,'RAW DATA 2023'!E:BP,63,0)</f>
        <v>7</v>
      </c>
      <c r="E242" s="63" t="str">
        <f>A242&amp;D242</f>
        <v>Laemsing7</v>
      </c>
      <c r="F242" s="389">
        <f>VLOOKUP(C242,'RAW DATA 2023'!E:BO,57,0)</f>
        <v>158.47080761541636</v>
      </c>
      <c r="G242" s="63">
        <f>VLOOKUP(C242,'RAW DATA 2023'!E:BO,58,0)</f>
        <v>181</v>
      </c>
      <c r="H242" s="390">
        <f>IFERROR((G242-F242)/G242,0)</f>
        <v>0.12447067615792065</v>
      </c>
      <c r="I242" s="398">
        <f>IF(H242&lt;0,((0.25-(H242*(-1)))*$L$7),IF(H242&gt;0,(H242*$N$7)+$L$6,0))</f>
        <v>19.971769395089101</v>
      </c>
      <c r="J242" s="73">
        <f>VLOOKUP(C242,'RAW DATA 2023'!E:AC,21,0)</f>
        <v>14.876139999999999</v>
      </c>
      <c r="K242" s="398">
        <f>I242*J242</f>
        <v>297.1028375690608</v>
      </c>
      <c r="R242" s="400"/>
    </row>
    <row r="243" spans="1:18">
      <c r="A243" s="63" t="str">
        <f>'RAW DATA 2023'!B592</f>
        <v>Laemsing</v>
      </c>
      <c r="B243" s="63" t="str">
        <f>'RAW DATA 2023'!D592</f>
        <v>B1-012-0031</v>
      </c>
      <c r="C243" s="63" t="str">
        <f>A243&amp;B243</f>
        <v>LaemsingB1-012-0031</v>
      </c>
      <c r="D243" s="63">
        <f>VLOOKUP(C243,'RAW DATA 2023'!E:BP,63,0)</f>
        <v>7</v>
      </c>
      <c r="E243" s="63" t="str">
        <f>A243&amp;D243</f>
        <v>Laemsing7</v>
      </c>
      <c r="F243" s="389">
        <f>VLOOKUP(C243,'RAW DATA 2023'!E:BO,57,0)</f>
        <v>239.26076619126556</v>
      </c>
      <c r="G243" s="63">
        <f>VLOOKUP(C243,'RAW DATA 2023'!E:BO,58,0)</f>
        <v>150</v>
      </c>
      <c r="H243" s="390">
        <f>IFERROR((G243-F243)/G243,0)</f>
        <v>-0.59507177460843708</v>
      </c>
      <c r="I243" s="398">
        <f>IF(H243&lt;0,((0.25-(H243*(-1)))*$L$7),IF(H243&gt;0,(H243*$N$7)+$L$6,0))</f>
        <v>-18.403827979116645</v>
      </c>
      <c r="J243" s="73">
        <f>VLOOKUP(C243,'RAW DATA 2023'!E:AC,21,0)</f>
        <v>5.5980799999999995</v>
      </c>
      <c r="K243" s="398">
        <f>I243*J243</f>
        <v>-103.0261013333333</v>
      </c>
      <c r="R243" s="400"/>
    </row>
    <row r="244" spans="1:18">
      <c r="A244" s="63" t="str">
        <f>'RAW DATA 2023'!B574</f>
        <v>Laemsing</v>
      </c>
      <c r="B244" s="63" t="str">
        <f>'RAW DATA 2023'!D574</f>
        <v>A1-002-0038</v>
      </c>
      <c r="C244" s="63" t="str">
        <f>A244&amp;B244</f>
        <v>LaemsingA1-002-0038</v>
      </c>
      <c r="D244" s="63">
        <f>VLOOKUP(C244,'RAW DATA 2023'!E:BP,63,0)</f>
        <v>8</v>
      </c>
      <c r="E244" s="63" t="str">
        <f>A244&amp;D244</f>
        <v>Laemsing8</v>
      </c>
      <c r="F244" s="389">
        <f>VLOOKUP(C244,'RAW DATA 2023'!E:BO,57,0)</f>
        <v>302.07120942098254</v>
      </c>
      <c r="G244" s="63">
        <f>VLOOKUP(C244,'RAW DATA 2023'!E:BO,58,0)</f>
        <v>223</v>
      </c>
      <c r="H244" s="390">
        <f>IFERROR((G244-F244)/G244,0)</f>
        <v>-0.35457941444386792</v>
      </c>
      <c r="I244" s="398">
        <f>IF(H244&lt;0,((0.25-(H244*(-1)))*$L$7),IF(H244&gt;0,(H244*$N$7)+$L$6,0))</f>
        <v>-5.5775687703396226</v>
      </c>
      <c r="J244" s="73">
        <f>VLOOKUP(C244,'RAW DATA 2023'!E:AC,21,0)</f>
        <v>15.397120000000001</v>
      </c>
      <c r="K244" s="398">
        <f>I244*J244</f>
        <v>-85.878495665171613</v>
      </c>
      <c r="R244" s="400"/>
    </row>
    <row r="245" spans="1:18">
      <c r="A245" s="63" t="str">
        <f>'RAW DATA 2023'!B575</f>
        <v>Laemsing</v>
      </c>
      <c r="B245" s="63" t="str">
        <f>'RAW DATA 2023'!D575</f>
        <v>A1-026-0016</v>
      </c>
      <c r="C245" s="63" t="str">
        <f>A245&amp;B245</f>
        <v>LaemsingA1-026-0016</v>
      </c>
      <c r="D245" s="63">
        <f>VLOOKUP(C245,'RAW DATA 2023'!E:BP,63,0)</f>
        <v>8</v>
      </c>
      <c r="E245" s="63" t="str">
        <f>A245&amp;D245</f>
        <v>Laemsing8</v>
      </c>
      <c r="F245" s="389">
        <f>VLOOKUP(C245,'RAW DATA 2023'!E:BO,57,0)</f>
        <v>169.328537003798</v>
      </c>
      <c r="G245" s="63">
        <f>VLOOKUP(C245,'RAW DATA 2023'!E:BO,58,0)</f>
        <v>186</v>
      </c>
      <c r="H245" s="390">
        <f>IFERROR((G245-F245)/G245,0)</f>
        <v>8.9631521484956969E-2</v>
      </c>
      <c r="I245" s="398">
        <f>IF(H245&lt;0,((0.25-(H245*(-1)))*$L$7),IF(H245&gt;0,(H245*$N$7)+$L$6,0))</f>
        <v>18.113681145864373</v>
      </c>
      <c r="J245" s="73">
        <f>VLOOKUP(C245,'RAW DATA 2023'!E:AC,21,0)</f>
        <v>17.142970000000002</v>
      </c>
      <c r="K245" s="398">
        <f>I245*J245</f>
        <v>310.52229247311863</v>
      </c>
      <c r="R245" s="400"/>
    </row>
    <row r="246" spans="1:18">
      <c r="A246" s="63" t="str">
        <f>'RAW DATA 2023'!B593</f>
        <v>Laemsing</v>
      </c>
      <c r="B246" s="63" t="str">
        <f>'RAW DATA 2023'!D593</f>
        <v>B1-006-0041</v>
      </c>
      <c r="C246" s="63" t="str">
        <f>A246&amp;B246</f>
        <v>LaemsingB1-006-0041</v>
      </c>
      <c r="D246" s="63">
        <f>VLOOKUP(C246,'RAW DATA 2023'!E:BP,63,0)</f>
        <v>8</v>
      </c>
      <c r="E246" s="63" t="str">
        <f>A246&amp;D246</f>
        <v>Laemsing8</v>
      </c>
      <c r="F246" s="389">
        <f>VLOOKUP(C246,'RAW DATA 2023'!E:BO,57,0)</f>
        <v>265.47702267154546</v>
      </c>
      <c r="G246" s="63">
        <f>VLOOKUP(C246,'RAW DATA 2023'!E:BO,58,0)</f>
        <v>204</v>
      </c>
      <c r="H246" s="390">
        <f>IFERROR((G246-F246)/G246,0)</f>
        <v>-0.30135795427228163</v>
      </c>
      <c r="I246" s="398">
        <f>IF(H246&lt;0,((0.25-(H246*(-1)))*$L$7),IF(H246&gt;0,(H246*$N$7)+$L$6,0))</f>
        <v>-2.739090894521687</v>
      </c>
      <c r="J246" s="73">
        <f>VLOOKUP(C246,'RAW DATA 2023'!E:AC,21,0)</f>
        <v>17.43066</v>
      </c>
      <c r="K246" s="398">
        <f>I246*J246</f>
        <v>-47.744162091503384</v>
      </c>
      <c r="R246" s="400"/>
    </row>
    <row r="247" spans="1:18">
      <c r="A247" s="63" t="str">
        <f>'RAW DATA 2023'!B10</f>
        <v>Lamae</v>
      </c>
      <c r="B247" s="63" t="str">
        <f>'RAW DATA 2023'!D10</f>
        <v>A1-007-0046</v>
      </c>
      <c r="C247" s="63" t="str">
        <f>A247&amp;B247</f>
        <v>LamaeA1-007-0046</v>
      </c>
      <c r="D247" s="63">
        <f>VLOOKUP(C247,'RAW DATA 2023'!E:BP,63,0)</f>
        <v>11</v>
      </c>
      <c r="E247" s="63" t="str">
        <f>A247&amp;D247</f>
        <v>Lamae11</v>
      </c>
      <c r="F247" s="389">
        <f>VLOOKUP(C247,'RAW DATA 2023'!E:BO,57,0)</f>
        <v>131.62890636162857</v>
      </c>
      <c r="G247" s="63">
        <f>VLOOKUP(C247,'RAW DATA 2023'!E:BO,58,0)</f>
        <v>178</v>
      </c>
      <c r="H247" s="397">
        <f>IFERROR((G247-F247)/G247,0)</f>
        <v>0.26051176201332266</v>
      </c>
      <c r="I247" s="398">
        <f>IF(H247&lt;0,((0.25-(H247*(-1)))*$L$7),IF(H247&gt;0,(H247*$N$7)+$L$6,0))</f>
        <v>27.227293974043874</v>
      </c>
      <c r="J247" s="73">
        <f>VLOOKUP(C247,'RAW DATA 2023'!E:AC,21,0)</f>
        <v>44.091540000000002</v>
      </c>
      <c r="K247" s="398">
        <f>I247*J247</f>
        <v>1200.4933213483146</v>
      </c>
      <c r="R247" s="400"/>
    </row>
    <row r="248" spans="1:18">
      <c r="A248" s="63" t="str">
        <f>'RAW DATA 2023'!B12</f>
        <v>Lamae</v>
      </c>
      <c r="B248" s="63" t="str">
        <f>'RAW DATA 2023'!D12</f>
        <v>B1-021-0014</v>
      </c>
      <c r="C248" s="63" t="str">
        <f>A248&amp;B248</f>
        <v>LamaeB1-021-0014</v>
      </c>
      <c r="D248" s="63">
        <f>VLOOKUP(C248,'RAW DATA 2023'!E:BP,63,0)</f>
        <v>12</v>
      </c>
      <c r="E248" s="63" t="str">
        <f>A248&amp;D248</f>
        <v>Lamae12</v>
      </c>
      <c r="F248" s="389">
        <f>VLOOKUP(C248,'RAW DATA 2023'!E:BO,57,0)</f>
        <v>166.34901526821943</v>
      </c>
      <c r="G248" s="63">
        <f>VLOOKUP(C248,'RAW DATA 2023'!E:BO,58,0)</f>
        <v>175</v>
      </c>
      <c r="H248" s="399">
        <f>IFERROR((G248-F248)/G248,0)</f>
        <v>4.9434198467317531E-2</v>
      </c>
      <c r="I248" s="398">
        <f>IF(H248&lt;0,((0.25-(H248*(-1)))*$L$7),IF(H248&gt;0,(H248*$N$7)+$L$6,0))</f>
        <v>15.969823918256935</v>
      </c>
      <c r="J248" s="73">
        <f>VLOOKUP(C248,'RAW DATA 2023'!E:AC,21,0)</f>
        <v>36.34543</v>
      </c>
      <c r="K248" s="398">
        <f>I248*J248</f>
        <v>580.43011733333321</v>
      </c>
      <c r="R248" s="400"/>
    </row>
    <row r="249" spans="1:18">
      <c r="A249" s="63" t="str">
        <f>'RAW DATA 2023'!B14</f>
        <v>Lamae</v>
      </c>
      <c r="B249" s="63" t="str">
        <f>'RAW DATA 2023'!D14</f>
        <v>B1-018-0014</v>
      </c>
      <c r="C249" s="63" t="str">
        <f>A249&amp;B249</f>
        <v>LamaeB1-018-0014</v>
      </c>
      <c r="D249" s="63">
        <f>VLOOKUP(C249,'RAW DATA 2023'!E:BP,63,0)</f>
        <v>12</v>
      </c>
      <c r="E249" s="63" t="str">
        <f>A249&amp;D249</f>
        <v>Lamae12</v>
      </c>
      <c r="F249" s="389">
        <f>VLOOKUP(C249,'RAW DATA 2023'!E:BO,57,0)</f>
        <v>135.1992816754468</v>
      </c>
      <c r="G249" s="63">
        <f>VLOOKUP(C249,'RAW DATA 2023'!E:BO,58,0)</f>
        <v>180</v>
      </c>
      <c r="H249" s="390">
        <f>IFERROR((G249-F249)/G249,0)</f>
        <v>0.24889287958085113</v>
      </c>
      <c r="I249" s="398">
        <f>IF(H249&lt;0,((0.25-(H249*(-1)))*$L$7),IF(H249&gt;0,(H249*$N$7)+$L$6,0))</f>
        <v>26.607620244312059</v>
      </c>
      <c r="J249" s="73">
        <f>VLOOKUP(C249,'RAW DATA 2023'!E:AC,21,0)</f>
        <v>29.407319999999999</v>
      </c>
      <c r="K249" s="398">
        <f>I249*J249</f>
        <v>782.45880296296286</v>
      </c>
      <c r="R249" s="400"/>
    </row>
    <row r="250" spans="1:18">
      <c r="A250" s="63" t="str">
        <f>'RAW DATA 2023'!B15</f>
        <v>Lamae</v>
      </c>
      <c r="B250" s="63" t="str">
        <f>'RAW DATA 2023'!D15</f>
        <v>B1-022-0013</v>
      </c>
      <c r="C250" s="63" t="str">
        <f>A250&amp;B250</f>
        <v>LamaeB1-022-0013</v>
      </c>
      <c r="D250" s="63">
        <f>VLOOKUP(C250,'RAW DATA 2023'!E:BP,63,0)</f>
        <v>12</v>
      </c>
      <c r="E250" s="63" t="str">
        <f>A250&amp;D250</f>
        <v>Lamae12</v>
      </c>
      <c r="F250" s="389">
        <f>VLOOKUP(C250,'RAW DATA 2023'!E:BO,57,0)</f>
        <v>170.74214642046508</v>
      </c>
      <c r="G250" s="63">
        <f>VLOOKUP(C250,'RAW DATA 2023'!E:BO,58,0)</f>
        <v>167</v>
      </c>
      <c r="H250" s="390">
        <f>IFERROR((G250-F250)/G250,0)</f>
        <v>-2.2408062397994467E-2</v>
      </c>
      <c r="I250" s="398">
        <f>IF(H250&lt;0,((0.25-(H250*(-1)))*$L$7),IF(H250&gt;0,(H250*$N$7)+$L$6,0))</f>
        <v>12.138236672106961</v>
      </c>
      <c r="J250" s="73">
        <f>VLOOKUP(C250,'RAW DATA 2023'!E:AC,21,0)</f>
        <v>25.45177</v>
      </c>
      <c r="K250" s="398">
        <f>I250*J250</f>
        <v>308.9396079840318</v>
      </c>
      <c r="R250" s="400"/>
    </row>
    <row r="251" spans="1:18">
      <c r="A251" s="63" t="str">
        <f>'RAW DATA 2023'!B18</f>
        <v>Lamae</v>
      </c>
      <c r="B251" s="63" t="str">
        <f>'RAW DATA 2023'!D18</f>
        <v>A1-009-0021</v>
      </c>
      <c r="C251" s="63" t="str">
        <f>A251&amp;B251</f>
        <v>LamaeA1-009-0021</v>
      </c>
      <c r="D251" s="63">
        <f>VLOOKUP(C251,'RAW DATA 2023'!E:BP,63,0)</f>
        <v>12</v>
      </c>
      <c r="E251" s="63" t="str">
        <f>A251&amp;D251</f>
        <v>Lamae12</v>
      </c>
      <c r="F251" s="389">
        <f>VLOOKUP(C251,'RAW DATA 2023'!E:BO,57,0)</f>
        <v>143.33687844098782</v>
      </c>
      <c r="G251" s="63">
        <f>VLOOKUP(C251,'RAW DATA 2023'!E:BO,58,0)</f>
        <v>180</v>
      </c>
      <c r="H251" s="390">
        <f>IFERROR((G251-F251)/G251,0)</f>
        <v>0.20368400866117881</v>
      </c>
      <c r="I251" s="398">
        <f>IF(H251&lt;0,((0.25-(H251*(-1)))*$L$7),IF(H251&gt;0,(H251*$N$7)+$L$6,0))</f>
        <v>24.196480461929539</v>
      </c>
      <c r="J251" s="73">
        <f>VLOOKUP(C251,'RAW DATA 2023'!E:AC,21,0)</f>
        <v>26.820060000000002</v>
      </c>
      <c r="K251" s="398">
        <f>I251*J251</f>
        <v>648.95105777777803</v>
      </c>
      <c r="R251" s="400"/>
    </row>
    <row r="252" spans="1:18">
      <c r="A252" s="63" t="str">
        <f>'RAW DATA 2023'!B21</f>
        <v>Lamae</v>
      </c>
      <c r="B252" s="63" t="str">
        <f>'RAW DATA 2023'!D21</f>
        <v>A1-010-0023</v>
      </c>
      <c r="C252" s="63" t="str">
        <f>A252&amp;B252</f>
        <v>LamaeA1-010-0023</v>
      </c>
      <c r="D252" s="63">
        <f>VLOOKUP(C252,'RAW DATA 2023'!E:BP,63,0)</f>
        <v>12</v>
      </c>
      <c r="E252" s="63" t="str">
        <f>A252&amp;D252</f>
        <v>Lamae12</v>
      </c>
      <c r="F252" s="389">
        <f>VLOOKUP(C252,'RAW DATA 2023'!E:BO,57,0)</f>
        <v>153.05398072568545</v>
      </c>
      <c r="G252" s="63">
        <f>VLOOKUP(C252,'RAW DATA 2023'!E:BO,58,0)</f>
        <v>175</v>
      </c>
      <c r="H252" s="397">
        <f>IFERROR((G252-F252)/G252,0)</f>
        <v>0.12540582442465459</v>
      </c>
      <c r="I252" s="398">
        <f>IF(H252&lt;0,((0.25-(H252*(-1)))*$L$7),IF(H252&gt;0,(H252*$N$7)+$L$6,0))</f>
        <v>20.021643969314912</v>
      </c>
      <c r="J252" s="73">
        <f>VLOOKUP(C252,'RAW DATA 2023'!E:AC,21,0)</f>
        <v>28.944220000000001</v>
      </c>
      <c r="K252" s="398">
        <f>I252*J252</f>
        <v>579.51086780952414</v>
      </c>
      <c r="R252" s="400"/>
    </row>
    <row r="253" spans="1:18">
      <c r="A253" s="63" t="str">
        <f>'RAW DATA 2023'!B26</f>
        <v>Lamae</v>
      </c>
      <c r="B253" s="63" t="str">
        <f>'RAW DATA 2023'!D26</f>
        <v>A1-007-0047</v>
      </c>
      <c r="C253" s="63" t="str">
        <f>A253&amp;B253</f>
        <v>LamaeA1-007-0047</v>
      </c>
      <c r="D253" s="63">
        <f>VLOOKUP(C253,'RAW DATA 2023'!E:BP,63,0)</f>
        <v>12</v>
      </c>
      <c r="E253" s="63" t="str">
        <f>A253&amp;D253</f>
        <v>Lamae12</v>
      </c>
      <c r="F253" s="389">
        <f>VLOOKUP(C253,'RAW DATA 2023'!E:BO,57,0)</f>
        <v>0</v>
      </c>
      <c r="G253" s="63">
        <f>VLOOKUP(C253,'RAW DATA 2023'!E:BO,58,0)</f>
        <v>0</v>
      </c>
      <c r="H253" s="397">
        <f>IFERROR((G253-F253)/G253,0)</f>
        <v>0</v>
      </c>
      <c r="I253" s="398">
        <f>IF(H253&lt;0,((0.25-(H253*(-1)))*$L$7),IF(H253&gt;0,(H253*$N$7)+$L$6,0))</f>
        <v>0</v>
      </c>
      <c r="J253" s="73">
        <f>VLOOKUP(C253,'RAW DATA 2023'!E:AC,21,0)</f>
        <v>0</v>
      </c>
      <c r="K253" s="398">
        <f>I253*J253</f>
        <v>0</v>
      </c>
      <c r="R253" s="400"/>
    </row>
    <row r="254" spans="1:18">
      <c r="A254" s="63" t="str">
        <f>'RAW DATA 2023'!B27</f>
        <v>Lamae</v>
      </c>
      <c r="B254" s="63" t="str">
        <f>'RAW DATA 2023'!D27</f>
        <v>A1-011-0024</v>
      </c>
      <c r="C254" s="63" t="str">
        <f>A254&amp;B254</f>
        <v>LamaeA1-011-0024</v>
      </c>
      <c r="D254" s="63">
        <f>VLOOKUP(C254,'RAW DATA 2023'!E:BP,63,0)</f>
        <v>12</v>
      </c>
      <c r="E254" s="63" t="str">
        <f>A254&amp;D254</f>
        <v>Lamae12</v>
      </c>
      <c r="F254" s="389">
        <f>VLOOKUP(C254,'RAW DATA 2023'!E:BO,57,0)</f>
        <v>0</v>
      </c>
      <c r="G254" s="63">
        <f>VLOOKUP(C254,'RAW DATA 2023'!E:BO,58,0)</f>
        <v>0</v>
      </c>
      <c r="H254" s="390">
        <f>IFERROR((G254-F254)/G254,0)</f>
        <v>0</v>
      </c>
      <c r="I254" s="398">
        <f>IF(H254&lt;0,((0.25-(H254*(-1)))*$L$7),IF(H254&gt;0,(H254*$N$7)+$L$6,0))</f>
        <v>0</v>
      </c>
      <c r="J254" s="73">
        <f>VLOOKUP(C254,'RAW DATA 2023'!E:AC,21,0)</f>
        <v>0</v>
      </c>
      <c r="K254" s="398">
        <f>I254*J254</f>
        <v>0</v>
      </c>
      <c r="R254" s="400"/>
    </row>
    <row r="255" spans="1:18">
      <c r="A255" s="63" t="str">
        <f>'RAW DATA 2023'!B28</f>
        <v>Lamae</v>
      </c>
      <c r="B255" s="63" t="str">
        <f>'RAW DATA 2023'!D28</f>
        <v>A1-012-0015</v>
      </c>
      <c r="C255" s="63" t="str">
        <f>A255&amp;B255</f>
        <v>LamaeA1-012-0015</v>
      </c>
      <c r="D255" s="63">
        <f>VLOOKUP(C255,'RAW DATA 2023'!E:BP,63,0)</f>
        <v>12</v>
      </c>
      <c r="E255" s="63" t="str">
        <f>A255&amp;D255</f>
        <v>Lamae12</v>
      </c>
      <c r="F255" s="389">
        <f>VLOOKUP(C255,'RAW DATA 2023'!E:BO,57,0)</f>
        <v>0</v>
      </c>
      <c r="G255" s="63">
        <f>VLOOKUP(C255,'RAW DATA 2023'!E:BO,58,0)</f>
        <v>0</v>
      </c>
      <c r="H255" s="390">
        <f>IFERROR((G255-F255)/G255,0)</f>
        <v>0</v>
      </c>
      <c r="I255" s="398">
        <f>IF(H255&lt;0,((0.25-(H255*(-1)))*$L$7),IF(H255&gt;0,(H255*$N$7)+$L$6,0))</f>
        <v>0</v>
      </c>
      <c r="J255" s="73">
        <f>VLOOKUP(C255,'RAW DATA 2023'!E:AC,21,0)</f>
        <v>0</v>
      </c>
      <c r="K255" s="398">
        <f>I255*J255</f>
        <v>0</v>
      </c>
      <c r="R255" s="400"/>
    </row>
    <row r="256" spans="1:18">
      <c r="A256" s="63" t="str">
        <f>'RAW DATA 2023'!B29</f>
        <v>Lamae</v>
      </c>
      <c r="B256" s="63" t="str">
        <f>'RAW DATA 2023'!D29</f>
        <v>A1-013-0017</v>
      </c>
      <c r="C256" s="63" t="str">
        <f>A256&amp;B256</f>
        <v>LamaeA1-013-0017</v>
      </c>
      <c r="D256" s="63">
        <f>VLOOKUP(C256,'RAW DATA 2023'!E:BP,63,0)</f>
        <v>12</v>
      </c>
      <c r="E256" s="63" t="str">
        <f>A256&amp;D256</f>
        <v>Lamae12</v>
      </c>
      <c r="F256" s="389">
        <f>VLOOKUP(C256,'RAW DATA 2023'!E:BO,57,0)</f>
        <v>0</v>
      </c>
      <c r="G256" s="63">
        <f>VLOOKUP(C256,'RAW DATA 2023'!E:BO,58,0)</f>
        <v>0</v>
      </c>
      <c r="H256" s="390">
        <f>IFERROR((G256-F256)/G256,0)</f>
        <v>0</v>
      </c>
      <c r="I256" s="398">
        <f>IF(H256&lt;0,((0.25-(H256*(-1)))*$L$7),IF(H256&gt;0,(H256*$N$7)+$L$6,0))</f>
        <v>0</v>
      </c>
      <c r="J256" s="73">
        <f>VLOOKUP(C256,'RAW DATA 2023'!E:AC,21,0)</f>
        <v>0</v>
      </c>
      <c r="K256" s="398">
        <f>I256*J256</f>
        <v>0</v>
      </c>
      <c r="R256" s="400"/>
    </row>
    <row r="257" spans="1:18">
      <c r="A257" s="63" t="str">
        <f>'RAW DATA 2023'!B9</f>
        <v>Lamae</v>
      </c>
      <c r="B257" s="63" t="str">
        <f>'RAW DATA 2023'!D9</f>
        <v>B1-021-0012</v>
      </c>
      <c r="C257" s="63" t="str">
        <f>A257&amp;B257</f>
        <v>LamaeB1-021-0012</v>
      </c>
      <c r="D257" s="63">
        <f>VLOOKUP(C257,'RAW DATA 2023'!E:BP,63,0)</f>
        <v>2</v>
      </c>
      <c r="E257" s="63" t="str">
        <f>A257&amp;D257</f>
        <v>Lamae2</v>
      </c>
      <c r="F257" s="389">
        <f>VLOOKUP(C257,'RAW DATA 2023'!E:BO,57,0)</f>
        <v>185.38598699019067</v>
      </c>
      <c r="G257" s="63">
        <f>VLOOKUP(C257,'RAW DATA 2023'!E:BO,58,0)</f>
        <v>210</v>
      </c>
      <c r="H257" s="390">
        <f>IFERROR((G257-F257)/G257,0)</f>
        <v>0.1172095857609968</v>
      </c>
      <c r="I257" s="398">
        <f>IF(H257&lt;0,((0.25-(H257*(-1)))*$L$7),IF(H257&gt;0,(H257*$N$7)+$L$6,0))</f>
        <v>19.584511240586497</v>
      </c>
      <c r="J257" s="73">
        <f>VLOOKUP(C257,'RAW DATA 2023'!E:AC,21,0)</f>
        <v>23.084119999999999</v>
      </c>
      <c r="K257" s="398">
        <f>I257*J257</f>
        <v>452.09120761904757</v>
      </c>
      <c r="R257" s="400"/>
    </row>
    <row r="258" spans="1:18">
      <c r="A258" s="63" t="str">
        <f>'RAW DATA 2023'!B11</f>
        <v>Lamae</v>
      </c>
      <c r="B258" s="63" t="str">
        <f>'RAW DATA 2023'!D11</f>
        <v>B1-022-0011</v>
      </c>
      <c r="C258" s="63" t="str">
        <f>A258&amp;B258</f>
        <v>LamaeB1-022-0011</v>
      </c>
      <c r="D258" s="63">
        <f>VLOOKUP(C258,'RAW DATA 2023'!E:BP,63,0)</f>
        <v>2</v>
      </c>
      <c r="E258" s="63" t="str">
        <f>A258&amp;D258</f>
        <v>Lamae2</v>
      </c>
      <c r="F258" s="389">
        <f>VLOOKUP(C258,'RAW DATA 2023'!E:BO,57,0)</f>
        <v>209.48376120364097</v>
      </c>
      <c r="G258" s="63">
        <f>VLOOKUP(C258,'RAW DATA 2023'!E:BO,58,0)</f>
        <v>207</v>
      </c>
      <c r="H258" s="390">
        <f>IFERROR((G258-F258)/G258,0)</f>
        <v>-1.1998846394400804E-2</v>
      </c>
      <c r="I258" s="398">
        <f>IF(H258&lt;0,((0.25-(H258*(-1)))*$L$7),IF(H258&gt;0,(H258*$N$7)+$L$6,0))</f>
        <v>12.693394858965291</v>
      </c>
      <c r="J258" s="73">
        <f>VLOOKUP(C258,'RAW DATA 2023'!E:AC,21,0)</f>
        <v>24.10154</v>
      </c>
      <c r="K258" s="398">
        <f>I258*J258</f>
        <v>305.93036392914632</v>
      </c>
      <c r="R258" s="400"/>
    </row>
    <row r="259" spans="1:18">
      <c r="A259" s="63" t="str">
        <f>'RAW DATA 2023'!B22</f>
        <v>Lamae</v>
      </c>
      <c r="B259" s="63" t="str">
        <f>'RAW DATA 2023'!D22</f>
        <v>A1-012-0012</v>
      </c>
      <c r="C259" s="63" t="str">
        <f>A259&amp;B259</f>
        <v>LamaeA1-012-0012</v>
      </c>
      <c r="D259" s="63">
        <f>VLOOKUP(C259,'RAW DATA 2023'!E:BP,63,0)</f>
        <v>2</v>
      </c>
      <c r="E259" s="63" t="str">
        <f>A259&amp;D259</f>
        <v>Lamae2</v>
      </c>
      <c r="F259" s="389">
        <f>VLOOKUP(C259,'RAW DATA 2023'!E:BO,57,0)</f>
        <v>262.81794169237855</v>
      </c>
      <c r="G259" s="63">
        <f>VLOOKUP(C259,'RAW DATA 2023'!E:BO,58,0)</f>
        <v>210</v>
      </c>
      <c r="H259" s="397">
        <f>IFERROR((G259-F259)/G259,0)</f>
        <v>-0.25151400805894547</v>
      </c>
      <c r="I259" s="398">
        <f>IF(H259&lt;0,((0.25-(H259*(-1)))*$L$7),IF(H259&gt;0,(H259*$N$7)+$L$6,0))</f>
        <v>-8.0747096477091773E-2</v>
      </c>
      <c r="J259" s="73">
        <f>VLOOKUP(C259,'RAW DATA 2023'!E:AC,21,0)</f>
        <v>12.67896</v>
      </c>
      <c r="K259" s="398">
        <f>I259*J259</f>
        <v>-1.0237892063491876</v>
      </c>
      <c r="R259" s="400"/>
    </row>
    <row r="260" spans="1:18">
      <c r="A260" s="63" t="str">
        <f>'RAW DATA 2023'!B25</f>
        <v>Lamae</v>
      </c>
      <c r="B260" s="63" t="str">
        <f>'RAW DATA 2023'!D25</f>
        <v>A1-007-0044</v>
      </c>
      <c r="C260" s="63" t="str">
        <f>A260&amp;B260</f>
        <v>LamaeA1-007-0044</v>
      </c>
      <c r="D260" s="63">
        <f>VLOOKUP(C260,'RAW DATA 2023'!E:BP,63,0)</f>
        <v>2</v>
      </c>
      <c r="E260" s="63" t="str">
        <f>A260&amp;D260</f>
        <v>Lamae2</v>
      </c>
      <c r="F260" s="389">
        <f>VLOOKUP(C260,'RAW DATA 2023'!E:BO,57,0)</f>
        <v>499.66339340049188</v>
      </c>
      <c r="G260" s="63">
        <f>VLOOKUP(C260,'RAW DATA 2023'!E:BO,58,0)</f>
        <v>187</v>
      </c>
      <c r="H260" s="390">
        <f>IFERROR((G260-F260)/G260,0)</f>
        <v>-1.671996756152363</v>
      </c>
      <c r="I260" s="398">
        <f>IF(H260&lt;0,((0.25-(H260*(-1)))*$L$7),IF(H260&gt;0,(H260*$N$7)+$L$6,0))</f>
        <v>-75.839826994792702</v>
      </c>
      <c r="J260" s="73">
        <f>VLOOKUP(C260,'RAW DATA 2023'!E:AC,21,0)</f>
        <v>7.9533199999999997</v>
      </c>
      <c r="K260" s="398">
        <f>I260*J260</f>
        <v>-603.17841283422467</v>
      </c>
      <c r="R260" s="400"/>
    </row>
    <row r="261" spans="1:18">
      <c r="A261" s="63" t="str">
        <f>'RAW DATA 2023'!B16</f>
        <v>Lamae</v>
      </c>
      <c r="B261" s="63" t="str">
        <f>'RAW DATA 2023'!D16</f>
        <v>B1-018-0012</v>
      </c>
      <c r="C261" s="63" t="str">
        <f>A261&amp;B261</f>
        <v>LamaeB1-018-0012</v>
      </c>
      <c r="D261" s="63">
        <f>VLOOKUP(C261,'RAW DATA 2023'!E:BP,63,0)</f>
        <v>3</v>
      </c>
      <c r="E261" s="63" t="str">
        <f>A261&amp;D261</f>
        <v>Lamae3</v>
      </c>
      <c r="F261" s="389">
        <f>VLOOKUP(C261,'RAW DATA 2023'!E:BO,57,0)</f>
        <v>151.77858839691118</v>
      </c>
      <c r="G261" s="63">
        <f>VLOOKUP(C261,'RAW DATA 2023'!E:BO,58,0)</f>
        <v>192</v>
      </c>
      <c r="H261" s="390">
        <f>IFERROR((G261-F261)/G261,0)</f>
        <v>0.20948651876608762</v>
      </c>
      <c r="I261" s="398">
        <f>IF(H261&lt;0,((0.25-(H261*(-1)))*$L$7),IF(H261&gt;0,(H261*$N$7)+$L$6,0))</f>
        <v>24.505947667524673</v>
      </c>
      <c r="J261" s="73">
        <f>VLOOKUP(C261,'RAW DATA 2023'!E:AC,21,0)</f>
        <v>34.227609999999999</v>
      </c>
      <c r="K261" s="398">
        <f>I261*J261</f>
        <v>838.78001944444418</v>
      </c>
      <c r="R261" s="400"/>
    </row>
    <row r="262" spans="1:18">
      <c r="A262" s="63" t="str">
        <f>'RAW DATA 2023'!B17</f>
        <v>Lamae</v>
      </c>
      <c r="B262" s="63" t="str">
        <f>'RAW DATA 2023'!D17</f>
        <v>A1-013-0015</v>
      </c>
      <c r="C262" s="63" t="str">
        <f>A262&amp;B262</f>
        <v>LamaeA1-013-0015</v>
      </c>
      <c r="D262" s="63">
        <f>VLOOKUP(C262,'RAW DATA 2023'!E:BP,63,0)</f>
        <v>5</v>
      </c>
      <c r="E262" s="63" t="str">
        <f>A262&amp;D262</f>
        <v>Lamae5</v>
      </c>
      <c r="F262" s="389">
        <f>VLOOKUP(C262,'RAW DATA 2023'!E:BO,57,0)</f>
        <v>132.78069192468428</v>
      </c>
      <c r="G262" s="63">
        <f>VLOOKUP(C262,'RAW DATA 2023'!E:BO,58,0)</f>
        <v>183</v>
      </c>
      <c r="H262" s="390">
        <f>IFERROR((G262-F262)/G262,0)</f>
        <v>0.274422448498993</v>
      </c>
      <c r="I262" s="398">
        <f>IF(H262&lt;0,((0.25-(H262*(-1)))*$L$7),IF(H262&gt;0,(H262*$N$7)+$L$6,0))</f>
        <v>27.969197253279628</v>
      </c>
      <c r="J262" s="73">
        <f>VLOOKUP(C262,'RAW DATA 2023'!E:AC,21,0)</f>
        <v>35.65099</v>
      </c>
      <c r="K262" s="398">
        <f>I262*J262</f>
        <v>997.12957158469953</v>
      </c>
      <c r="R262" s="400"/>
    </row>
    <row r="263" spans="1:18">
      <c r="A263" s="63" t="str">
        <f>'RAW DATA 2023'!B4</f>
        <v>Lamae</v>
      </c>
      <c r="B263" s="63" t="str">
        <f>'RAW DATA 2023'!D4</f>
        <v>A1-012-0013</v>
      </c>
      <c r="C263" s="63" t="str">
        <f>A263&amp;B263</f>
        <v>LamaeA1-012-0013</v>
      </c>
      <c r="D263" s="63">
        <f>VLOOKUP(C263,'RAW DATA 2023'!E:BP,63,0)</f>
        <v>6</v>
      </c>
      <c r="E263" s="63" t="str">
        <f>A263&amp;D263</f>
        <v>Lamae6</v>
      </c>
      <c r="F263" s="389">
        <f>VLOOKUP(C263,'RAW DATA 2023'!E:BO,57,0)</f>
        <v>108.02386794532927</v>
      </c>
      <c r="G263" s="63">
        <f>VLOOKUP(C263,'RAW DATA 2023'!E:BO,58,0)</f>
        <v>187</v>
      </c>
      <c r="H263" s="397">
        <f>IFERROR((G263-F263)/G263,0)</f>
        <v>0.42233225697684884</v>
      </c>
      <c r="I263" s="398">
        <f>IF(H263&lt;0,((0.25-(H263*(-1)))*$L$7),IF(H263&gt;0,(H263*$N$7)+$L$6,0))</f>
        <v>35.857720372098605</v>
      </c>
      <c r="J263" s="73">
        <f>VLOOKUP(C263,'RAW DATA 2023'!E:AC,21,0)</f>
        <v>36.7363</v>
      </c>
      <c r="K263" s="398">
        <f>I263*J263</f>
        <v>1317.2799729055259</v>
      </c>
      <c r="R263" s="400"/>
    </row>
    <row r="264" spans="1:18">
      <c r="A264" s="63" t="str">
        <f>'RAW DATA 2023'!B20</f>
        <v>Lamae</v>
      </c>
      <c r="B264" s="63" t="str">
        <f>'RAW DATA 2023'!D20</f>
        <v>A1-011-0022</v>
      </c>
      <c r="C264" s="63" t="str">
        <f>A264&amp;B264</f>
        <v>LamaeA1-011-0022</v>
      </c>
      <c r="D264" s="63">
        <f>VLOOKUP(C264,'RAW DATA 2023'!E:BP,63,0)</f>
        <v>6</v>
      </c>
      <c r="E264" s="63" t="str">
        <f>A264&amp;D264</f>
        <v>Lamae6</v>
      </c>
      <c r="F264" s="389">
        <f>VLOOKUP(C264,'RAW DATA 2023'!E:BO,57,0)</f>
        <v>158.91686402407737</v>
      </c>
      <c r="G264" s="63">
        <f>VLOOKUP(C264,'RAW DATA 2023'!E:BO,58,0)</f>
        <v>194</v>
      </c>
      <c r="H264" s="390">
        <f>IFERROR((G264-F264)/G264,0)</f>
        <v>0.18084090709238468</v>
      </c>
      <c r="I264" s="398">
        <f>IF(H264&lt;0,((0.25-(H264*(-1)))*$L$7),IF(H264&gt;0,(H264*$N$7)+$L$6,0))</f>
        <v>22.978181711593848</v>
      </c>
      <c r="J264" s="73">
        <f>VLOOKUP(C264,'RAW DATA 2023'!E:AC,21,0)</f>
        <v>28.999839999999999</v>
      </c>
      <c r="K264" s="398">
        <f>I264*J264</f>
        <v>666.36359312714774</v>
      </c>
      <c r="R264" s="400"/>
    </row>
    <row r="265" spans="1:18">
      <c r="A265" s="63" t="str">
        <f>'RAW DATA 2023'!B7</f>
        <v>Lamae</v>
      </c>
      <c r="B265" s="63" t="str">
        <f>'RAW DATA 2023'!D7</f>
        <v>B1-018-0013</v>
      </c>
      <c r="C265" s="63" t="str">
        <f>A265&amp;B265</f>
        <v>LamaeB1-018-0013</v>
      </c>
      <c r="D265" s="63">
        <f>VLOOKUP(C265,'RAW DATA 2023'!E:BP,63,0)</f>
        <v>7</v>
      </c>
      <c r="E265" s="63" t="str">
        <f>A265&amp;D265</f>
        <v>Lamae7</v>
      </c>
      <c r="F265" s="389">
        <f>VLOOKUP(C265,'RAW DATA 2023'!E:BO,57,0)</f>
        <v>150.68803235530979</v>
      </c>
      <c r="G265" s="63">
        <f>VLOOKUP(C265,'RAW DATA 2023'!E:BO,58,0)</f>
        <v>180</v>
      </c>
      <c r="H265" s="390">
        <f>IFERROR((G265-F265)/G265,0)</f>
        <v>0.16284426469272339</v>
      </c>
      <c r="I265" s="398">
        <f>IF(H265&lt;0,((0.25-(H265*(-1)))*$L$7),IF(H265&gt;0,(H265*$N$7)+$L$6,0))</f>
        <v>22.018360783611918</v>
      </c>
      <c r="J265" s="73">
        <f>VLOOKUP(C265,'RAW DATA 2023'!E:AC,21,0)</f>
        <v>25.393049999999999</v>
      </c>
      <c r="K265" s="398">
        <f>I265*J265</f>
        <v>559.11333629629655</v>
      </c>
      <c r="R265" s="400"/>
    </row>
    <row r="266" spans="1:18">
      <c r="A266" s="63" t="str">
        <f>'RAW DATA 2023'!B8</f>
        <v>Lamae</v>
      </c>
      <c r="B266" s="63" t="str">
        <f>'RAW DATA 2023'!D8</f>
        <v>A1-007-0045</v>
      </c>
      <c r="C266" s="63" t="str">
        <f>A266&amp;B266</f>
        <v>LamaeA1-007-0045</v>
      </c>
      <c r="D266" s="63">
        <f>VLOOKUP(C266,'RAW DATA 2023'!E:BP,63,0)</f>
        <v>7</v>
      </c>
      <c r="E266" s="63" t="str">
        <f>A266&amp;D266</f>
        <v>Lamae7</v>
      </c>
      <c r="F266" s="389">
        <f>VLOOKUP(C266,'RAW DATA 2023'!E:BO,57,0)</f>
        <v>276.84221257508665</v>
      </c>
      <c r="G266" s="63">
        <f>VLOOKUP(C266,'RAW DATA 2023'!E:BO,58,0)</f>
        <v>214</v>
      </c>
      <c r="H266" s="390">
        <f>IFERROR((G266-F266)/G266,0)</f>
        <v>-0.29365519894900305</v>
      </c>
      <c r="I266" s="398">
        <f>IF(H266&lt;0,((0.25-(H266*(-1)))*$L$7),IF(H266&gt;0,(H266*$N$7)+$L$6,0))</f>
        <v>-2.3282772772801628</v>
      </c>
      <c r="J266" s="73">
        <f>VLOOKUP(C266,'RAW DATA 2023'!E:AC,21,0)</f>
        <v>22.668790000000001</v>
      </c>
      <c r="K266" s="398">
        <f>I266*J266</f>
        <v>-52.779228660435784</v>
      </c>
      <c r="R266" s="400"/>
    </row>
    <row r="267" spans="1:18">
      <c r="A267" s="63" t="str">
        <f>'RAW DATA 2023'!B13</f>
        <v>Lamae</v>
      </c>
      <c r="B267" s="63" t="str">
        <f>'RAW DATA 2023'!D13</f>
        <v>B1-021-0013</v>
      </c>
      <c r="C267" s="63" t="str">
        <f>A267&amp;B267</f>
        <v>LamaeB1-021-0013</v>
      </c>
      <c r="D267" s="63">
        <f>VLOOKUP(C267,'RAW DATA 2023'!E:BP,63,0)</f>
        <v>8</v>
      </c>
      <c r="E267" s="63" t="str">
        <f>A267&amp;D267</f>
        <v>Lamae8</v>
      </c>
      <c r="F267" s="389">
        <f>VLOOKUP(C267,'RAW DATA 2023'!E:BO,57,0)</f>
        <v>179.47869323012074</v>
      </c>
      <c r="G267" s="63">
        <f>VLOOKUP(C267,'RAW DATA 2023'!E:BO,58,0)</f>
        <v>197</v>
      </c>
      <c r="H267" s="390">
        <f>IFERROR((G267-F267)/G267,0)</f>
        <v>8.8940643501925182E-2</v>
      </c>
      <c r="I267" s="398">
        <f>IF(H267&lt;0,((0.25-(H267*(-1)))*$L$7),IF(H267&gt;0,(H267*$N$7)+$L$6,0))</f>
        <v>18.076834320102677</v>
      </c>
      <c r="J267" s="73">
        <f>VLOOKUP(C267,'RAW DATA 2023'!E:AC,21,0)</f>
        <v>45.87556</v>
      </c>
      <c r="K267" s="398">
        <f>I267*J267</f>
        <v>829.28489746192952</v>
      </c>
      <c r="R267" s="400"/>
    </row>
    <row r="268" spans="1:18">
      <c r="A268" s="63" t="str">
        <f>'RAW DATA 2023'!B23</f>
        <v>Lamae</v>
      </c>
      <c r="B268" s="63" t="str">
        <f>'RAW DATA 2023'!D23</f>
        <v>A1-010-0022</v>
      </c>
      <c r="C268" s="63" t="str">
        <f>A268&amp;B268</f>
        <v>LamaeA1-010-0022</v>
      </c>
      <c r="D268" s="63">
        <f>VLOOKUP(C268,'RAW DATA 2023'!E:BP,63,0)</f>
        <v>8</v>
      </c>
      <c r="E268" s="63" t="str">
        <f>A268&amp;D268</f>
        <v>Lamae8</v>
      </c>
      <c r="F268" s="389">
        <f>VLOOKUP(C268,'RAW DATA 2023'!E:BO,57,0)</f>
        <v>196.9202258059706</v>
      </c>
      <c r="G268" s="63">
        <f>VLOOKUP(C268,'RAW DATA 2023'!E:BO,58,0)</f>
        <v>187</v>
      </c>
      <c r="H268" s="390">
        <f>IFERROR((G268-F268)/G268,0)</f>
        <v>-5.3049335860805361E-2</v>
      </c>
      <c r="I268" s="398">
        <f>IF(H268&lt;0,((0.25-(H268*(-1)))*$L$7),IF(H268&gt;0,(H268*$N$7)+$L$6,0))</f>
        <v>10.504035420757049</v>
      </c>
      <c r="J268" s="73">
        <f>VLOOKUP(C268,'RAW DATA 2023'!E:AC,21,0)</f>
        <v>32.192239999999998</v>
      </c>
      <c r="K268" s="398">
        <f>I268*J268</f>
        <v>338.14842923351188</v>
      </c>
      <c r="R268" s="400"/>
    </row>
    <row r="269" spans="1:18">
      <c r="A269" s="63" t="str">
        <f>'RAW DATA 2023'!B24</f>
        <v>Lamae</v>
      </c>
      <c r="B269" s="63" t="str">
        <f>'RAW DATA 2023'!D24</f>
        <v>A1-009-0020</v>
      </c>
      <c r="C269" s="63" t="str">
        <f>A269&amp;B269</f>
        <v>LamaeA1-009-0020</v>
      </c>
      <c r="D269" s="63">
        <f>VLOOKUP(C269,'RAW DATA 2023'!E:BP,63,0)</f>
        <v>8</v>
      </c>
      <c r="E269" s="63" t="str">
        <f>A269&amp;D269</f>
        <v>Lamae8</v>
      </c>
      <c r="F269" s="389">
        <f>VLOOKUP(C269,'RAW DATA 2023'!E:BO,57,0)</f>
        <v>220.21703880159555</v>
      </c>
      <c r="G269" s="63">
        <f>VLOOKUP(C269,'RAW DATA 2023'!E:BO,58,0)</f>
        <v>187</v>
      </c>
      <c r="H269" s="390">
        <f>IFERROR((G269-F269)/G269,0)</f>
        <v>-0.17763122353794411</v>
      </c>
      <c r="I269" s="398">
        <f>IF(H269&lt;0,((0.25-(H269*(-1)))*$L$7),IF(H269&gt;0,(H269*$N$7)+$L$6,0))</f>
        <v>3.8596680779763144</v>
      </c>
      <c r="J269" s="73">
        <f>VLOOKUP(C269,'RAW DATA 2023'!E:AC,21,0)</f>
        <v>33.981850000000001</v>
      </c>
      <c r="K269" s="398">
        <f>I269*J269</f>
        <v>131.15866167557942</v>
      </c>
      <c r="R269" s="400"/>
    </row>
    <row r="270" spans="1:18">
      <c r="A270" s="63" t="str">
        <f>'RAW DATA 2023'!B3</f>
        <v>Lamae</v>
      </c>
      <c r="B270" s="63" t="str">
        <f>'RAW DATA 2023'!D3</f>
        <v>A1-013-0016</v>
      </c>
      <c r="C270" s="63" t="str">
        <f>A270&amp;B270</f>
        <v>LamaeA1-013-0016</v>
      </c>
      <c r="D270" s="63">
        <f>VLOOKUP(C270,'RAW DATA 2023'!E:BP,63,0)</f>
        <v>9</v>
      </c>
      <c r="E270" s="63" t="str">
        <f>A270&amp;D270</f>
        <v>Lamae9</v>
      </c>
      <c r="F270" s="389">
        <f>VLOOKUP(C270,'RAW DATA 2023'!E:BO,57,0)</f>
        <v>154.92074112424515</v>
      </c>
      <c r="G270" s="63">
        <f>VLOOKUP(C270,'RAW DATA 2023'!E:BO,58,0)</f>
        <v>191</v>
      </c>
      <c r="H270" s="397">
        <f>IFERROR((G270-F270)/G270,0)</f>
        <v>0.1888966433285594</v>
      </c>
      <c r="I270" s="398">
        <f>IF(H270&lt;0,((0.25-(H270*(-1)))*$L$7),IF(H270&gt;0,(H270*$N$7)+$L$6,0))</f>
        <v>23.407820977523169</v>
      </c>
      <c r="J270" s="73">
        <f>VLOOKUP(C270,'RAW DATA 2023'!E:AC,21,0)</f>
        <v>20.41601</v>
      </c>
      <c r="K270" s="398">
        <f>I270*J270</f>
        <v>477.89430715532279</v>
      </c>
      <c r="R270" s="400"/>
    </row>
    <row r="271" spans="1:18">
      <c r="A271" s="63" t="str">
        <f>'RAW DATA 2023'!B5</f>
        <v>Lamae</v>
      </c>
      <c r="B271" s="63" t="str">
        <f>'RAW DATA 2023'!D5</f>
        <v>A1-011-0023</v>
      </c>
      <c r="C271" s="63" t="str">
        <f>A271&amp;B271</f>
        <v>LamaeA1-011-0023</v>
      </c>
      <c r="D271" s="63">
        <f>VLOOKUP(C271,'RAW DATA 2023'!E:BP,63,0)</f>
        <v>9</v>
      </c>
      <c r="E271" s="63" t="str">
        <f>A271&amp;D271</f>
        <v>Lamae9</v>
      </c>
      <c r="F271" s="389">
        <f>VLOOKUP(C271,'RAW DATA 2023'!E:BO,57,0)</f>
        <v>139.04724762895853</v>
      </c>
      <c r="G271" s="63">
        <f>VLOOKUP(C271,'RAW DATA 2023'!E:BO,58,0)</f>
        <v>187</v>
      </c>
      <c r="H271" s="397">
        <f>IFERROR((G271-F271)/G271,0)</f>
        <v>0.25643183086118432</v>
      </c>
      <c r="I271" s="398">
        <f>IF(H271&lt;0,((0.25-(H271*(-1)))*$L$7),IF(H271&gt;0,(H271*$N$7)+$L$6,0))</f>
        <v>27.009697645929833</v>
      </c>
      <c r="J271" s="73">
        <f>VLOOKUP(C271,'RAW DATA 2023'!E:AC,21,0)</f>
        <v>20.785169999999997</v>
      </c>
      <c r="K271" s="398">
        <f>I271*J271</f>
        <v>561.40115721925133</v>
      </c>
      <c r="R271" s="400"/>
    </row>
    <row r="272" spans="1:18">
      <c r="A272" s="63" t="str">
        <f>'RAW DATA 2023'!B6</f>
        <v>Lamae</v>
      </c>
      <c r="B272" s="63" t="str">
        <f>'RAW DATA 2023'!D6</f>
        <v>A1-012-0014</v>
      </c>
      <c r="C272" s="63" t="str">
        <f>A272&amp;B272</f>
        <v>LamaeA1-012-0014</v>
      </c>
      <c r="D272" s="63">
        <f>VLOOKUP(C272,'RAW DATA 2023'!E:BP,63,0)</f>
        <v>9</v>
      </c>
      <c r="E272" s="63" t="str">
        <f>A272&amp;D272</f>
        <v>Lamae9</v>
      </c>
      <c r="F272" s="389">
        <f>VLOOKUP(C272,'RAW DATA 2023'!E:BO,57,0)</f>
        <v>101.89949331946933</v>
      </c>
      <c r="G272" s="63">
        <f>VLOOKUP(C272,'RAW DATA 2023'!E:BO,58,0)</f>
        <v>185</v>
      </c>
      <c r="H272" s="397">
        <f>IFERROR((G272-F272)/G272,0)</f>
        <v>0.4491919280028685</v>
      </c>
      <c r="I272" s="398">
        <f>IF(H272&lt;0,((0.25-(H272*(-1)))*$L$7),IF(H272&gt;0,(H272*$N$7)+$L$6,0))</f>
        <v>37.290236160152986</v>
      </c>
      <c r="J272" s="73">
        <f>VLOOKUP(C272,'RAW DATA 2023'!E:AC,21,0)</f>
        <v>31.467560000000002</v>
      </c>
      <c r="K272" s="398">
        <f>I272*J272</f>
        <v>1173.4327437837837</v>
      </c>
      <c r="R272" s="400"/>
    </row>
    <row r="273" spans="1:18">
      <c r="A273" s="63" t="str">
        <f>'RAW DATA 2023'!B19</f>
        <v>Lamae</v>
      </c>
      <c r="B273" s="63" t="str">
        <f>'RAW DATA 2023'!D19</f>
        <v>B1-022-0012</v>
      </c>
      <c r="C273" s="63" t="str">
        <f>A273&amp;B273</f>
        <v>LamaeB1-022-0012</v>
      </c>
      <c r="D273" s="63">
        <f>VLOOKUP(C273,'RAW DATA 2023'!E:BP,63,0)</f>
        <v>9</v>
      </c>
      <c r="E273" s="63" t="str">
        <f>A273&amp;D273</f>
        <v>Lamae9</v>
      </c>
      <c r="F273" s="389">
        <f>VLOOKUP(C273,'RAW DATA 2023'!E:BO,57,0)</f>
        <v>215.12618841732464</v>
      </c>
      <c r="G273" s="63">
        <f>VLOOKUP(C273,'RAW DATA 2023'!E:BO,58,0)</f>
        <v>186</v>
      </c>
      <c r="H273" s="390">
        <f>IFERROR((G273-F273)/G273,0)</f>
        <v>-0.15659241084583139</v>
      </c>
      <c r="I273" s="398">
        <f>IF(H273&lt;0,((0.25-(H273*(-1)))*$L$7),IF(H273&gt;0,(H273*$N$7)+$L$6,0))</f>
        <v>4.9817380882223263</v>
      </c>
      <c r="J273" s="73">
        <f>VLOOKUP(C273,'RAW DATA 2023'!E:AC,21,0)</f>
        <v>43.273940000000003</v>
      </c>
      <c r="K273" s="398">
        <f>I273*J273</f>
        <v>215.57943512544767</v>
      </c>
      <c r="R273" s="400"/>
    </row>
    <row r="274" spans="1:18">
      <c r="A274" s="63" t="str">
        <f>'RAW DATA 2023'!B401</f>
        <v>Lamlaung</v>
      </c>
      <c r="B274" s="63" t="str">
        <f>'RAW DATA 2023'!D401</f>
        <v>B1-110-0005</v>
      </c>
      <c r="C274" s="63" t="str">
        <f>A274&amp;B274</f>
        <v>LamlaungB1-110-0005</v>
      </c>
      <c r="D274" s="63">
        <f>VLOOKUP(C274,'RAW DATA 2023'!E:BP,63,0)</f>
        <v>1</v>
      </c>
      <c r="E274" s="63" t="str">
        <f>A274&amp;D274</f>
        <v>Lamlaung1</v>
      </c>
      <c r="F274" s="389">
        <f>VLOOKUP(C274,'RAW DATA 2023'!E:BO,57,0)</f>
        <v>902.39257607715626</v>
      </c>
      <c r="G274" s="63">
        <f>VLOOKUP(C274,'RAW DATA 2023'!E:BO,58,0)</f>
        <v>150</v>
      </c>
      <c r="H274" s="390">
        <f>IFERROR((G274-F274)/G274,0)</f>
        <v>-5.0159505071810422</v>
      </c>
      <c r="I274" s="398">
        <f>IF(H274&lt;0,((0.25-(H274*(-1)))*$L$7),IF(H274&gt;0,(H274*$N$7)+$L$6,0))</f>
        <v>-254.18402704965558</v>
      </c>
      <c r="J274" s="73">
        <f>VLOOKUP(C274,'RAW DATA 2023'!E:AC,21,0)</f>
        <v>9.8045200000000001</v>
      </c>
      <c r="K274" s="398">
        <f>I274*J274</f>
        <v>-2492.1523768888892</v>
      </c>
      <c r="R274" s="400"/>
    </row>
    <row r="275" spans="1:18">
      <c r="A275" s="63" t="str">
        <f>'RAW DATA 2023'!B394</f>
        <v>Lamlaung</v>
      </c>
      <c r="B275" s="63" t="str">
        <f>'RAW DATA 2023'!D394</f>
        <v>A1-002-0046</v>
      </c>
      <c r="C275" s="63" t="str">
        <f>A275&amp;B275</f>
        <v>LamlaungA1-002-0046</v>
      </c>
      <c r="D275" s="63">
        <f>VLOOKUP(C275,'RAW DATA 2023'!E:BP,63,0)</f>
        <v>10</v>
      </c>
      <c r="E275" s="63" t="str">
        <f>A275&amp;D275</f>
        <v>Lamlaung10</v>
      </c>
      <c r="F275" s="389">
        <f>VLOOKUP(C275,'RAW DATA 2023'!E:BO,57,0)</f>
        <v>184.61475136870149</v>
      </c>
      <c r="G275" s="63">
        <f>VLOOKUP(C275,'RAW DATA 2023'!E:BO,58,0)</f>
        <v>200</v>
      </c>
      <c r="H275" s="390">
        <f>IFERROR((G275-F275)/G275,0)</f>
        <v>7.6926243156492546E-2</v>
      </c>
      <c r="I275" s="398">
        <f>IF(H275&lt;0,((0.25-(H275*(-1)))*$L$7),IF(H275&gt;0,(H275*$N$7)+$L$6,0))</f>
        <v>17.436066301679602</v>
      </c>
      <c r="J275" s="73">
        <f>VLOOKUP(C275,'RAW DATA 2023'!E:AC,21,0)</f>
        <v>47.50488</v>
      </c>
      <c r="K275" s="398">
        <f>I275*J275</f>
        <v>828.2982373333333</v>
      </c>
      <c r="R275" s="400"/>
    </row>
    <row r="276" spans="1:18">
      <c r="A276" s="63" t="str">
        <f>'RAW DATA 2023'!B398</f>
        <v>Lamlaung</v>
      </c>
      <c r="B276" s="63" t="str">
        <f>'RAW DATA 2023'!D398</f>
        <v>A1-003-0045</v>
      </c>
      <c r="C276" s="63" t="str">
        <f>A276&amp;B276</f>
        <v>LamlaungA1-003-0045</v>
      </c>
      <c r="D276" s="63">
        <f>VLOOKUP(C276,'RAW DATA 2023'!E:BP,63,0)</f>
        <v>10</v>
      </c>
      <c r="E276" s="63" t="str">
        <f>A276&amp;D276</f>
        <v>Lamlaung10</v>
      </c>
      <c r="F276" s="389">
        <f>VLOOKUP(C276,'RAW DATA 2023'!E:BO,57,0)</f>
        <v>186.65949363148951</v>
      </c>
      <c r="G276" s="63">
        <f>VLOOKUP(C276,'RAW DATA 2023'!E:BO,58,0)</f>
        <v>149</v>
      </c>
      <c r="H276" s="397">
        <f>IFERROR((G276-F276)/G276,0)</f>
        <v>-0.25274827940596989</v>
      </c>
      <c r="I276" s="398">
        <f>IF(H276&lt;0,((0.25-(H276*(-1)))*$L$7),IF(H276&gt;0,(H276*$N$7)+$L$6,0))</f>
        <v>-0.14657490165172743</v>
      </c>
      <c r="J276" s="73">
        <f>VLOOKUP(C276,'RAW DATA 2023'!E:AC,21,0)</f>
        <v>26.346820000000001</v>
      </c>
      <c r="K276" s="398">
        <f>I276*J276</f>
        <v>-3.8617825503357652</v>
      </c>
      <c r="R276" s="400"/>
    </row>
    <row r="277" spans="1:18">
      <c r="A277" s="63" t="str">
        <f>'RAW DATA 2023'!B403</f>
        <v>Lamlaung</v>
      </c>
      <c r="B277" s="63" t="str">
        <f>'RAW DATA 2023'!D403</f>
        <v>A1-001-0019</v>
      </c>
      <c r="C277" s="63" t="str">
        <f>A277&amp;B277</f>
        <v>LamlaungA1-001-0019</v>
      </c>
      <c r="D277" s="63">
        <f>VLOOKUP(C277,'RAW DATA 2023'!E:BP,63,0)</f>
        <v>3</v>
      </c>
      <c r="E277" s="63" t="str">
        <f>A277&amp;D277</f>
        <v>Lamlaung3</v>
      </c>
      <c r="F277" s="389">
        <f>VLOOKUP(C277,'RAW DATA 2023'!E:BO,57,0)</f>
        <v>302.13958776212041</v>
      </c>
      <c r="G277" s="63">
        <f>VLOOKUP(C277,'RAW DATA 2023'!E:BO,58,0)</f>
        <v>150</v>
      </c>
      <c r="H277" s="390">
        <f>IFERROR((G277-F277)/G277,0)</f>
        <v>-1.014263918414136</v>
      </c>
      <c r="I277" s="398">
        <f>IF(H277&lt;0,((0.25-(H277*(-1)))*$L$7),IF(H277&gt;0,(H277*$N$7)+$L$6,0))</f>
        <v>-40.760742315420586</v>
      </c>
      <c r="J277" s="73">
        <f>VLOOKUP(C277,'RAW DATA 2023'!E:AC,21,0)</f>
        <v>13.585360000000001</v>
      </c>
      <c r="K277" s="398">
        <f>I277*J277</f>
        <v>-553.74935822222233</v>
      </c>
      <c r="R277" s="400"/>
    </row>
    <row r="278" spans="1:18">
      <c r="A278" s="63" t="str">
        <f>'RAW DATA 2023'!B397</f>
        <v>Lamlaung</v>
      </c>
      <c r="B278" s="63" t="str">
        <f>'RAW DATA 2023'!D397</f>
        <v>B1-111-0007</v>
      </c>
      <c r="C278" s="63" t="str">
        <f>A278&amp;B278</f>
        <v>LamlaungB1-111-0007</v>
      </c>
      <c r="D278" s="63">
        <f>VLOOKUP(C278,'RAW DATA 2023'!E:BP,63,0)</f>
        <v>4</v>
      </c>
      <c r="E278" s="63" t="str">
        <f>A278&amp;D278</f>
        <v>Lamlaung4</v>
      </c>
      <c r="F278" s="389">
        <f>VLOOKUP(C278,'RAW DATA 2023'!E:BO,57,0)</f>
        <v>280.14521891354877</v>
      </c>
      <c r="G278" s="63">
        <f>VLOOKUP(C278,'RAW DATA 2023'!E:BO,58,0)</f>
        <v>189</v>
      </c>
      <c r="H278" s="397">
        <f>IFERROR((G278-F278)/G278,0)</f>
        <v>-0.48224983552142209</v>
      </c>
      <c r="I278" s="398">
        <f>IF(H278&lt;0,((0.25-(H278*(-1)))*$L$7),IF(H278&gt;0,(H278*$N$7)+$L$6,0))</f>
        <v>-12.386657894475846</v>
      </c>
      <c r="J278" s="73">
        <f>VLOOKUP(C278,'RAW DATA 2023'!E:AC,21,0)</f>
        <v>31.89798</v>
      </c>
      <c r="K278" s="398">
        <f>I278*J278</f>
        <v>-395.10936578483268</v>
      </c>
      <c r="R278" s="400"/>
    </row>
    <row r="279" spans="1:18">
      <c r="A279" s="63" t="str">
        <f>'RAW DATA 2023'!B400</f>
        <v>Lamlaung</v>
      </c>
      <c r="B279" s="63" t="str">
        <f>'RAW DATA 2023'!D400</f>
        <v>A1-002-0045</v>
      </c>
      <c r="C279" s="63" t="str">
        <f>A279&amp;B279</f>
        <v>LamlaungA1-002-0045</v>
      </c>
      <c r="D279" s="63">
        <f>VLOOKUP(C279,'RAW DATA 2023'!E:BP,63,0)</f>
        <v>4</v>
      </c>
      <c r="E279" s="63" t="str">
        <f>A279&amp;D279</f>
        <v>Lamlaung4</v>
      </c>
      <c r="F279" s="389">
        <f>VLOOKUP(C279,'RAW DATA 2023'!E:BO,57,0)</f>
        <v>199.7353128309673</v>
      </c>
      <c r="G279" s="63">
        <f>VLOOKUP(C279,'RAW DATA 2023'!E:BO,58,0)</f>
        <v>163</v>
      </c>
      <c r="H279" s="397">
        <f>IFERROR((G279-F279)/G279,0)</f>
        <v>-0.22537001736789755</v>
      </c>
      <c r="I279" s="398">
        <f>IF(H279&lt;0,((0.25-(H279*(-1)))*$L$7),IF(H279&gt;0,(H279*$N$7)+$L$6,0))</f>
        <v>1.3135990737121306</v>
      </c>
      <c r="J279" s="73">
        <f>VLOOKUP(C279,'RAW DATA 2023'!E:AC,21,0)</f>
        <v>35.19041</v>
      </c>
      <c r="K279" s="398">
        <f>I279*J279</f>
        <v>46.226089979550096</v>
      </c>
      <c r="R279" s="400"/>
    </row>
    <row r="280" spans="1:18">
      <c r="A280" s="63" t="str">
        <f>'RAW DATA 2023'!B402</f>
        <v>Lamlaung</v>
      </c>
      <c r="B280" s="63" t="str">
        <f>'RAW DATA 2023'!D402</f>
        <v>A1-004-0045</v>
      </c>
      <c r="C280" s="63" t="str">
        <f>A280&amp;B280</f>
        <v>LamlaungA1-004-0045</v>
      </c>
      <c r="D280" s="63">
        <f>VLOOKUP(C280,'RAW DATA 2023'!E:BP,63,0)</f>
        <v>4</v>
      </c>
      <c r="E280" s="63" t="str">
        <f>A280&amp;D280</f>
        <v>Lamlaung4</v>
      </c>
      <c r="F280" s="389">
        <f>VLOOKUP(C280,'RAW DATA 2023'!E:BO,57,0)</f>
        <v>439.08057860925692</v>
      </c>
      <c r="G280" s="63">
        <f>VLOOKUP(C280,'RAW DATA 2023'!E:BO,58,0)</f>
        <v>165</v>
      </c>
      <c r="H280" s="397">
        <f>IFERROR((G280-F280)/G280,0)</f>
        <v>-1.6610944158136782</v>
      </c>
      <c r="I280" s="398">
        <f>IF(H280&lt;0,((0.25-(H280*(-1)))*$L$7),IF(H280&gt;0,(H280*$N$7)+$L$6,0))</f>
        <v>-75.25836884339617</v>
      </c>
      <c r="J280" s="73">
        <f>VLOOKUP(C280,'RAW DATA 2023'!E:AC,21,0)</f>
        <v>26.450320000000001</v>
      </c>
      <c r="K280" s="398">
        <f>I280*J280</f>
        <v>-1990.6079385858586</v>
      </c>
      <c r="R280" s="400"/>
    </row>
    <row r="281" spans="1:18">
      <c r="A281" s="63" t="str">
        <f>'RAW DATA 2023'!B395</f>
        <v>Lamlaung</v>
      </c>
      <c r="B281" s="63" t="str">
        <f>'RAW DATA 2023'!D395</f>
        <v>B1-112-0006</v>
      </c>
      <c r="C281" s="63" t="str">
        <f>A281&amp;B281</f>
        <v>LamlaungB1-112-0006</v>
      </c>
      <c r="D281" s="63">
        <f>VLOOKUP(C281,'RAW DATA 2023'!E:BP,63,0)</f>
        <v>7</v>
      </c>
      <c r="E281" s="63" t="str">
        <f>A281&amp;D281</f>
        <v>Lamlaung7</v>
      </c>
      <c r="F281" s="389">
        <f>VLOOKUP(C281,'RAW DATA 2023'!E:BO,57,0)</f>
        <v>211.61693682967598</v>
      </c>
      <c r="G281" s="63">
        <f>VLOOKUP(C281,'RAW DATA 2023'!E:BO,58,0)</f>
        <v>192</v>
      </c>
      <c r="H281" s="390">
        <f>IFERROR((G281-F281)/G281,0)</f>
        <v>-0.10217154598789573</v>
      </c>
      <c r="I281" s="398">
        <f>IF(H281&lt;0,((0.25-(H281*(-1)))*$L$7),IF(H281&gt;0,(H281*$N$7)+$L$6,0))</f>
        <v>7.8841842139788945</v>
      </c>
      <c r="J281" s="73">
        <f>VLOOKUP(C281,'RAW DATA 2023'!E:AC,21,0)</f>
        <v>57.047040000000003</v>
      </c>
      <c r="K281" s="398">
        <f>I281*J281</f>
        <v>449.76937222222256</v>
      </c>
      <c r="R281" s="400"/>
    </row>
    <row r="282" spans="1:18">
      <c r="A282" s="63" t="str">
        <f>'RAW DATA 2023'!B391</f>
        <v>Lamlaung</v>
      </c>
      <c r="B282" s="63" t="str">
        <f>'RAW DATA 2023'!D391</f>
        <v>A1-003-0044</v>
      </c>
      <c r="C282" s="63" t="str">
        <f>A282&amp;B282</f>
        <v>LamlaungA1-003-0044</v>
      </c>
      <c r="D282" s="63">
        <f>VLOOKUP(C282,'RAW DATA 2023'!E:BP,63,0)</f>
        <v>8</v>
      </c>
      <c r="E282" s="63" t="str">
        <f>A282&amp;D282</f>
        <v>Lamlaung8</v>
      </c>
      <c r="F282" s="389">
        <f>VLOOKUP(C282,'RAW DATA 2023'!E:BO,57,0)</f>
        <v>161.67915172360043</v>
      </c>
      <c r="G282" s="63">
        <f>VLOOKUP(C282,'RAW DATA 2023'!E:BO,58,0)</f>
        <v>192</v>
      </c>
      <c r="H282" s="397">
        <f>IFERROR((G282-F282)/G282,0)</f>
        <v>0.15792108477291444</v>
      </c>
      <c r="I282" s="398">
        <f>IF(H282&lt;0,((0.25-(H282*(-1)))*$L$7),IF(H282&gt;0,(H282*$N$7)+$L$6,0))</f>
        <v>21.755791187888772</v>
      </c>
      <c r="J282" s="73">
        <f>VLOOKUP(C282,'RAW DATA 2023'!E:AC,21,0)</f>
        <v>44.647239999999996</v>
      </c>
      <c r="K282" s="398">
        <f>I282*J282</f>
        <v>971.336030555555</v>
      </c>
      <c r="R282" s="400"/>
    </row>
    <row r="283" spans="1:18">
      <c r="A283" s="63" t="str">
        <f>'RAW DATA 2023'!B392</f>
        <v>Lamlaung</v>
      </c>
      <c r="B283" s="63" t="str">
        <f>'RAW DATA 2023'!D392</f>
        <v>A1-004-0046</v>
      </c>
      <c r="C283" s="63" t="str">
        <f>A283&amp;B283</f>
        <v>LamlaungA1-004-0046</v>
      </c>
      <c r="D283" s="63">
        <f>VLOOKUP(C283,'RAW DATA 2023'!E:BP,63,0)</f>
        <v>9</v>
      </c>
      <c r="E283" s="63" t="str">
        <f>A283&amp;D283</f>
        <v>Lamlaung9</v>
      </c>
      <c r="F283" s="389">
        <f>VLOOKUP(C283,'RAW DATA 2023'!E:BO,57,0)</f>
        <v>195.81128463130284</v>
      </c>
      <c r="G283" s="63">
        <f>VLOOKUP(C283,'RAW DATA 2023'!E:BO,58,0)</f>
        <v>219</v>
      </c>
      <c r="H283" s="397">
        <f>IFERROR((G283-F283)/G283,0)</f>
        <v>0.10588454506254411</v>
      </c>
      <c r="I283" s="398">
        <f>IF(H283&lt;0,((0.25-(H283*(-1)))*$L$7),IF(H283&gt;0,(H283*$N$7)+$L$6,0))</f>
        <v>18.980509070002352</v>
      </c>
      <c r="J283" s="73">
        <f>VLOOKUP(C283,'RAW DATA 2023'!E:AC,21,0)</f>
        <v>38.171030000000002</v>
      </c>
      <c r="K283" s="398">
        <f>I283*J283</f>
        <v>724.50558112633189</v>
      </c>
      <c r="R283" s="400"/>
    </row>
    <row r="284" spans="1:18">
      <c r="A284" s="63" t="str">
        <f>'RAW DATA 2023'!B393</f>
        <v>Lamlaung</v>
      </c>
      <c r="B284" s="63" t="str">
        <f>'RAW DATA 2023'!D393</f>
        <v>B1-111-0008</v>
      </c>
      <c r="C284" s="63" t="str">
        <f>A284&amp;B284</f>
        <v>LamlaungB1-111-0008</v>
      </c>
      <c r="D284" s="63">
        <f>VLOOKUP(C284,'RAW DATA 2023'!E:BP,63,0)</f>
        <v>9</v>
      </c>
      <c r="E284" s="63" t="str">
        <f>A284&amp;D284</f>
        <v>Lamlaung9</v>
      </c>
      <c r="F284" s="389">
        <f>VLOOKUP(C284,'RAW DATA 2023'!E:BO,57,0)</f>
        <v>169.61472299536791</v>
      </c>
      <c r="G284" s="63">
        <f>VLOOKUP(C284,'RAW DATA 2023'!E:BO,58,0)</f>
        <v>210</v>
      </c>
      <c r="H284" s="397">
        <f>IFERROR((G284-F284)/G284,0)</f>
        <v>0.19231084287920042</v>
      </c>
      <c r="I284" s="398">
        <f>IF(H284&lt;0,((0.25-(H284*(-1)))*$L$7),IF(H284&gt;0,(H284*$N$7)+$L$6,0))</f>
        <v>23.589911620224022</v>
      </c>
      <c r="J284" s="73">
        <f>VLOOKUP(C284,'RAW DATA 2023'!E:AC,21,0)</f>
        <v>58.027730000000005</v>
      </c>
      <c r="K284" s="398">
        <f>I284*J284</f>
        <v>1368.8690222222222</v>
      </c>
      <c r="R284" s="400"/>
    </row>
    <row r="285" spans="1:18">
      <c r="A285" s="63" t="str">
        <f>'RAW DATA 2023'!B396</f>
        <v>Lamlaung</v>
      </c>
      <c r="B285" s="63" t="str">
        <f>'RAW DATA 2023'!D396</f>
        <v>A1-005-0008</v>
      </c>
      <c r="C285" s="63" t="str">
        <f>A285&amp;B285</f>
        <v>LamlaungA1-005-0008</v>
      </c>
      <c r="D285" s="63">
        <f>VLOOKUP(C285,'RAW DATA 2023'!E:BP,63,0)</f>
        <v>9</v>
      </c>
      <c r="E285" s="63" t="str">
        <f>A285&amp;D285</f>
        <v>Lamlaung9</v>
      </c>
      <c r="F285" s="389">
        <f>VLOOKUP(C285,'RAW DATA 2023'!E:BO,57,0)</f>
        <v>143.85041223202526</v>
      </c>
      <c r="G285" s="63">
        <f>VLOOKUP(C285,'RAW DATA 2023'!E:BO,58,0)</f>
        <v>197</v>
      </c>
      <c r="H285" s="397">
        <f>IFERROR((G285-F285)/G285,0)</f>
        <v>0.26979486176636924</v>
      </c>
      <c r="I285" s="398">
        <f>IF(H285&lt;0,((0.25-(H285*(-1)))*$L$7),IF(H285&gt;0,(H285*$N$7)+$L$6,0))</f>
        <v>27.722392627539694</v>
      </c>
      <c r="J285" s="73">
        <f>VLOOKUP(C285,'RAW DATA 2023'!E:AC,21,0)</f>
        <v>62.622500000000002</v>
      </c>
      <c r="K285" s="398">
        <f>I285*J285</f>
        <v>1736.0455323181045</v>
      </c>
      <c r="R285" s="400"/>
    </row>
    <row r="286" spans="1:18">
      <c r="A286" s="63" t="str">
        <f>'RAW DATA 2023'!B399</f>
        <v>Lamlaung</v>
      </c>
      <c r="B286" s="63" t="str">
        <f>'RAW DATA 2023'!D399</f>
        <v>B1-112-0007</v>
      </c>
      <c r="C286" s="63" t="str">
        <f>A286&amp;B286</f>
        <v>LamlaungB1-112-0007</v>
      </c>
      <c r="D286" s="63">
        <f>VLOOKUP(C286,'RAW DATA 2023'!E:BP,63,0)</f>
        <v>9</v>
      </c>
      <c r="E286" s="63" t="str">
        <f>A286&amp;D286</f>
        <v>Lamlaung9</v>
      </c>
      <c r="F286" s="389">
        <f>VLOOKUP(C286,'RAW DATA 2023'!E:BO,57,0)</f>
        <v>218.21052586872898</v>
      </c>
      <c r="G286" s="63">
        <f>VLOOKUP(C286,'RAW DATA 2023'!E:BO,58,0)</f>
        <v>150</v>
      </c>
      <c r="H286" s="397">
        <f>IFERROR((G286-F286)/G286,0)</f>
        <v>-0.45473683912485985</v>
      </c>
      <c r="I286" s="398">
        <f>IF(H286&lt;0,((0.25-(H286*(-1)))*$L$7),IF(H286&gt;0,(H286*$N$7)+$L$6,0))</f>
        <v>-10.919298086659193</v>
      </c>
      <c r="J286" s="73">
        <f>VLOOKUP(C286,'RAW DATA 2023'!E:AC,21,0)</f>
        <v>24.722900000000003</v>
      </c>
      <c r="K286" s="398">
        <f>I286*J286</f>
        <v>-269.95671466666658</v>
      </c>
      <c r="R286" s="400"/>
    </row>
    <row r="287" spans="1:18">
      <c r="A287" s="63" t="str">
        <f>'RAW DATA 2023'!B615</f>
        <v>Lucky1</v>
      </c>
      <c r="B287" s="63" t="str">
        <f>'RAW DATA 2023'!D615</f>
        <v>B1-017-0012</v>
      </c>
      <c r="C287" s="63" t="str">
        <f>A287&amp;B287</f>
        <v>Lucky1B1-017-0012</v>
      </c>
      <c r="D287" s="63">
        <f>VLOOKUP(C287,'RAW DATA 2023'!E:BP,63,0)</f>
        <v>1</v>
      </c>
      <c r="E287" s="63" t="str">
        <f>A287&amp;D287</f>
        <v>Lucky11</v>
      </c>
      <c r="F287" s="389">
        <f>VLOOKUP(C287,'RAW DATA 2023'!E:BO,57,0)</f>
        <v>222.08795846582331</v>
      </c>
      <c r="G287" s="63">
        <f>VLOOKUP(C287,'RAW DATA 2023'!E:BO,58,0)</f>
        <v>177</v>
      </c>
      <c r="H287" s="390">
        <f>IFERROR((G287-F287)/G287,0)</f>
        <v>-0.25473422862047063</v>
      </c>
      <c r="I287" s="398">
        <f>IF(H287&lt;0,((0.25-(H287*(-1)))*$L$7),IF(H287&gt;0,(H287*$N$7)+$L$6,0))</f>
        <v>-0.25249219309176674</v>
      </c>
      <c r="J287" s="73">
        <f>VLOOKUP(C287,'RAW DATA 2023'!E:AC,21,0)</f>
        <v>10.541679999999999</v>
      </c>
      <c r="K287" s="398">
        <f>I287*J287</f>
        <v>-2.6616919020716154</v>
      </c>
      <c r="R287" s="400"/>
    </row>
    <row r="288" spans="1:18">
      <c r="A288" s="63" t="str">
        <f>'RAW DATA 2023'!B616</f>
        <v>Lucky1</v>
      </c>
      <c r="B288" s="63" t="str">
        <f>'RAW DATA 2023'!D616</f>
        <v>B1-024-0011</v>
      </c>
      <c r="C288" s="63" t="str">
        <f>A288&amp;B288</f>
        <v>Lucky1B1-024-0011</v>
      </c>
      <c r="D288" s="63">
        <f>VLOOKUP(C288,'RAW DATA 2023'!E:BP,63,0)</f>
        <v>1</v>
      </c>
      <c r="E288" s="63" t="str">
        <f>A288&amp;D288</f>
        <v>Lucky11</v>
      </c>
      <c r="F288" s="389">
        <f>VLOOKUP(C288,'RAW DATA 2023'!E:BO,57,0)</f>
        <v>200.69270385949309</v>
      </c>
      <c r="G288" s="63">
        <f>VLOOKUP(C288,'RAW DATA 2023'!E:BO,58,0)</f>
        <v>170</v>
      </c>
      <c r="H288" s="390">
        <f>IFERROR((G288-F288)/G288,0)</f>
        <v>-0.18054531682054761</v>
      </c>
      <c r="I288" s="398">
        <f>IF(H288&lt;0,((0.25-(H288*(-1)))*$L$7),IF(H288&gt;0,(H288*$N$7)+$L$6,0))</f>
        <v>3.7042497695707941</v>
      </c>
      <c r="J288" s="73">
        <f>VLOOKUP(C288,'RAW DATA 2023'!E:AC,21,0)</f>
        <v>10.838469999999999</v>
      </c>
      <c r="K288" s="398">
        <f>I288*J288</f>
        <v>40.14839999999996</v>
      </c>
      <c r="R288" s="400"/>
    </row>
    <row r="289" spans="1:18">
      <c r="A289" s="63" t="str">
        <f>'RAW DATA 2023'!B619</f>
        <v>Lucky1</v>
      </c>
      <c r="B289" s="63" t="str">
        <f>'RAW DATA 2023'!D619</f>
        <v>B1-023-0013</v>
      </c>
      <c r="C289" s="63" t="str">
        <f>A289&amp;B289</f>
        <v>Lucky1B1-023-0013</v>
      </c>
      <c r="D289" s="63">
        <f>VLOOKUP(C289,'RAW DATA 2023'!E:BP,63,0)</f>
        <v>1</v>
      </c>
      <c r="E289" s="63" t="str">
        <f>A289&amp;D289</f>
        <v>Lucky11</v>
      </c>
      <c r="F289" s="389">
        <f>VLOOKUP(C289,'RAW DATA 2023'!E:BO,57,0)</f>
        <v>275.92035783422455</v>
      </c>
      <c r="G289" s="63">
        <f>VLOOKUP(C289,'RAW DATA 2023'!E:BO,58,0)</f>
        <v>150</v>
      </c>
      <c r="H289" s="390">
        <f>IFERROR((G289-F289)/G289,0)</f>
        <v>-0.83946905222816359</v>
      </c>
      <c r="I289" s="398">
        <f>IF(H289&lt;0,((0.25-(H289*(-1)))*$L$7),IF(H289&gt;0,(H289*$N$7)+$L$6,0))</f>
        <v>-31.438349452168726</v>
      </c>
      <c r="J289" s="73">
        <f>VLOOKUP(C289,'RAW DATA 2023'!E:AC,21,0)</f>
        <v>7.6504700000000003</v>
      </c>
      <c r="K289" s="398">
        <f>I289*J289</f>
        <v>-240.5181493333333</v>
      </c>
      <c r="R289" s="400"/>
    </row>
    <row r="290" spans="1:18">
      <c r="A290" s="63" t="str">
        <f>'RAW DATA 2023'!B598</f>
        <v>Lucky1</v>
      </c>
      <c r="B290" s="63" t="str">
        <f>'RAW DATA 2023'!D598</f>
        <v>BG-027-0012</v>
      </c>
      <c r="C290" s="63" t="str">
        <f>A290&amp;B290</f>
        <v>Lucky1BG-027-0012</v>
      </c>
      <c r="D290" s="63">
        <f>VLOOKUP(C290,'RAW DATA 2023'!E:BP,63,0)</f>
        <v>10</v>
      </c>
      <c r="E290" s="63" t="str">
        <f>A290&amp;D290</f>
        <v>Lucky110</v>
      </c>
      <c r="F290" s="389">
        <f>VLOOKUP(C290,'RAW DATA 2023'!E:BO,57,0)</f>
        <v>240.43717943318788</v>
      </c>
      <c r="G290" s="63">
        <f>VLOOKUP(C290,'RAW DATA 2023'!E:BO,58,0)</f>
        <v>187</v>
      </c>
      <c r="H290" s="390">
        <f>IFERROR((G290-F290)/G290,0)</f>
        <v>-0.28576031782453409</v>
      </c>
      <c r="I290" s="398">
        <f>IF(H290&lt;0,((0.25-(H290*(-1)))*$L$7),IF(H290&gt;0,(H290*$N$7)+$L$6,0))</f>
        <v>-1.9072169506418184</v>
      </c>
      <c r="J290" s="73">
        <f>VLOOKUP(C290,'RAW DATA 2023'!E:AC,21,0)</f>
        <v>22.795560000000002</v>
      </c>
      <c r="K290" s="398">
        <f>I290*J290</f>
        <v>-43.476078431372613</v>
      </c>
      <c r="R290" s="400"/>
    </row>
    <row r="291" spans="1:18">
      <c r="A291" s="63" t="str">
        <f>'RAW DATA 2023'!B600</f>
        <v>Lucky1</v>
      </c>
      <c r="B291" s="63" t="str">
        <f>'RAW DATA 2023'!D600</f>
        <v>BG-026-0011</v>
      </c>
      <c r="C291" s="63" t="str">
        <f>A291&amp;B291</f>
        <v>Lucky1BG-026-0011</v>
      </c>
      <c r="D291" s="63">
        <f>VLOOKUP(C291,'RAW DATA 2023'!E:BP,63,0)</f>
        <v>2</v>
      </c>
      <c r="E291" s="63" t="str">
        <f>A291&amp;D291</f>
        <v>Lucky12</v>
      </c>
      <c r="F291" s="389">
        <f>VLOOKUP(C291,'RAW DATA 2023'!E:BO,57,0)</f>
        <v>600.21855405507074</v>
      </c>
      <c r="G291" s="63">
        <f>VLOOKUP(C291,'RAW DATA 2023'!E:BO,58,0)</f>
        <v>210</v>
      </c>
      <c r="H291" s="390">
        <f>IFERROR((G291-F291)/G291,0)</f>
        <v>-1.8581835907384321</v>
      </c>
      <c r="I291" s="398">
        <f>IF(H291&lt;0,((0.25-(H291*(-1)))*$L$7),IF(H291&gt;0,(H291*$N$7)+$L$6,0))</f>
        <v>-85.769791506049714</v>
      </c>
      <c r="J291" s="73">
        <f>VLOOKUP(C291,'RAW DATA 2023'!E:AC,21,0)</f>
        <v>7.0443899999999999</v>
      </c>
      <c r="K291" s="398">
        <f>I291*J291</f>
        <v>-604.19586158730158</v>
      </c>
      <c r="R291" s="400"/>
    </row>
    <row r="292" spans="1:18">
      <c r="A292" s="63" t="str">
        <f>'RAW DATA 2023'!B602</f>
        <v>Lucky1</v>
      </c>
      <c r="B292" s="63" t="str">
        <f>'RAW DATA 2023'!D602</f>
        <v>BG-025-0009</v>
      </c>
      <c r="C292" s="63" t="str">
        <f>A292&amp;B292</f>
        <v>Lucky1BG-025-0009</v>
      </c>
      <c r="D292" s="63">
        <f>VLOOKUP(C292,'RAW DATA 2023'!E:BP,63,0)</f>
        <v>2</v>
      </c>
      <c r="E292" s="63" t="str">
        <f>A292&amp;D292</f>
        <v>Lucky12</v>
      </c>
      <c r="F292" s="389">
        <f>VLOOKUP(C292,'RAW DATA 2023'!E:BO,57,0)</f>
        <v>504.69597779341444</v>
      </c>
      <c r="G292" s="63">
        <f>VLOOKUP(C292,'RAW DATA 2023'!E:BO,58,0)</f>
        <v>207</v>
      </c>
      <c r="H292" s="390">
        <f>IFERROR((G292-F292)/G292,0)</f>
        <v>-1.4381448202580407</v>
      </c>
      <c r="I292" s="398">
        <f>IF(H292&lt;0,((0.25-(H292*(-1)))*$L$7),IF(H292&gt;0,(H292*$N$7)+$L$6,0))</f>
        <v>-63.367723747095503</v>
      </c>
      <c r="J292" s="73">
        <f>VLOOKUP(C292,'RAW DATA 2023'!E:AC,21,0)</f>
        <v>8.7685700000000004</v>
      </c>
      <c r="K292" s="398">
        <f>I292*J292</f>
        <v>-555.64432141706925</v>
      </c>
      <c r="R292" s="400"/>
    </row>
    <row r="293" spans="1:18">
      <c r="A293" s="63" t="str">
        <f>'RAW DATA 2023'!B604</f>
        <v>Lucky1</v>
      </c>
      <c r="B293" s="63" t="str">
        <f>'RAW DATA 2023'!D604</f>
        <v>BG-028-0011</v>
      </c>
      <c r="C293" s="63" t="str">
        <f>A293&amp;B293</f>
        <v>Lucky1BG-028-0011</v>
      </c>
      <c r="D293" s="63">
        <f>VLOOKUP(C293,'RAW DATA 2023'!E:BP,63,0)</f>
        <v>2</v>
      </c>
      <c r="E293" s="63" t="str">
        <f>A293&amp;D293</f>
        <v>Lucky12</v>
      </c>
      <c r="F293" s="389">
        <f>VLOOKUP(C293,'RAW DATA 2023'!E:BO,57,0)</f>
        <v>523.54415391228292</v>
      </c>
      <c r="G293" s="63">
        <f>VLOOKUP(C293,'RAW DATA 2023'!E:BO,58,0)</f>
        <v>204</v>
      </c>
      <c r="H293" s="390">
        <f>IFERROR((G293-F293)/G293,0)</f>
        <v>-1.5663929113347201</v>
      </c>
      <c r="I293" s="398">
        <f>IF(H293&lt;0,((0.25-(H293*(-1)))*$L$7),IF(H293&gt;0,(H293*$N$7)+$L$6,0))</f>
        <v>-70.207621937851741</v>
      </c>
      <c r="J293" s="73">
        <f>VLOOKUP(C293,'RAW DATA 2023'!E:AC,21,0)</f>
        <v>8.5846299999999989</v>
      </c>
      <c r="K293" s="398">
        <f>I293*J293</f>
        <v>-602.70645751634015</v>
      </c>
      <c r="R293" s="400"/>
    </row>
    <row r="294" spans="1:18">
      <c r="A294" s="63" t="str">
        <f>'RAW DATA 2023'!B605</f>
        <v>Lucky1</v>
      </c>
      <c r="B294" s="63" t="str">
        <f>'RAW DATA 2023'!D605</f>
        <v>BG-027-0010</v>
      </c>
      <c r="C294" s="63" t="str">
        <f>A294&amp;B294</f>
        <v>Lucky1BG-027-0010</v>
      </c>
      <c r="D294" s="63">
        <f>VLOOKUP(C294,'RAW DATA 2023'!E:BP,63,0)</f>
        <v>2</v>
      </c>
      <c r="E294" s="63" t="str">
        <f>A294&amp;D294</f>
        <v>Lucky12</v>
      </c>
      <c r="F294" s="389">
        <f>VLOOKUP(C294,'RAW DATA 2023'!E:BO,57,0)</f>
        <v>352.39654301083129</v>
      </c>
      <c r="G294" s="63">
        <f>VLOOKUP(C294,'RAW DATA 2023'!E:BO,58,0)</f>
        <v>210</v>
      </c>
      <c r="H294" s="390">
        <f>IFERROR((G294-F294)/G294,0)</f>
        <v>-0.67807877624205382</v>
      </c>
      <c r="I294" s="398">
        <f>IF(H294&lt;0,((0.25-(H294*(-1)))*$L$7),IF(H294&gt;0,(H294*$N$7)+$L$6,0))</f>
        <v>-22.830868066242871</v>
      </c>
      <c r="J294" s="73">
        <f>VLOOKUP(C294,'RAW DATA 2023'!E:AC,21,0)</f>
        <v>13.00033</v>
      </c>
      <c r="K294" s="398">
        <f>I294*J294</f>
        <v>-296.80881904761918</v>
      </c>
      <c r="R294" s="400"/>
    </row>
    <row r="295" spans="1:18">
      <c r="A295" s="63" t="str">
        <f>'RAW DATA 2023'!B609</f>
        <v>Lucky1</v>
      </c>
      <c r="B295" s="63" t="str">
        <f>'RAW DATA 2023'!D609</f>
        <v>B1-020-0010</v>
      </c>
      <c r="C295" s="63" t="str">
        <f>A295&amp;B295</f>
        <v>Lucky1B1-020-0010</v>
      </c>
      <c r="D295" s="63">
        <f>VLOOKUP(C295,'RAW DATA 2023'!E:BP,63,0)</f>
        <v>2</v>
      </c>
      <c r="E295" s="63" t="str">
        <f>A295&amp;D295</f>
        <v>Lucky12</v>
      </c>
      <c r="F295" s="389">
        <f>VLOOKUP(C295,'RAW DATA 2023'!E:BO,57,0)</f>
        <v>208.19206041715989</v>
      </c>
      <c r="G295" s="63">
        <f>VLOOKUP(C295,'RAW DATA 2023'!E:BO,58,0)</f>
        <v>194</v>
      </c>
      <c r="H295" s="390">
        <f>IFERROR((G295-F295)/G295,0)</f>
        <v>-7.3154950603916982E-2</v>
      </c>
      <c r="I295" s="398">
        <f>IF(H295&lt;0,((0.25-(H295*(-1)))*$L$7),IF(H295&gt;0,(H295*$N$7)+$L$6,0))</f>
        <v>9.431735967791095</v>
      </c>
      <c r="J295" s="73">
        <f>VLOOKUP(C295,'RAW DATA 2023'!E:AC,21,0)</f>
        <v>16.936910000000001</v>
      </c>
      <c r="K295" s="398">
        <f>I295*J295</f>
        <v>159.74446323024068</v>
      </c>
      <c r="R295" s="400"/>
    </row>
    <row r="296" spans="1:18">
      <c r="A296" s="63" t="str">
        <f>'RAW DATA 2023'!B610</f>
        <v>Lucky1</v>
      </c>
      <c r="B296" s="63" t="str">
        <f>'RAW DATA 2023'!D610</f>
        <v>B1-019-0012</v>
      </c>
      <c r="C296" s="63" t="str">
        <f>A296&amp;B296</f>
        <v>Lucky1B1-019-0012</v>
      </c>
      <c r="D296" s="63">
        <f>VLOOKUP(C296,'RAW DATA 2023'!E:BP,63,0)</f>
        <v>2</v>
      </c>
      <c r="E296" s="63" t="str">
        <f>A296&amp;D296</f>
        <v>Lucky12</v>
      </c>
      <c r="F296" s="389">
        <f>VLOOKUP(C296,'RAW DATA 2023'!E:BO,57,0)</f>
        <v>208.56903916697377</v>
      </c>
      <c r="G296" s="63">
        <f>VLOOKUP(C296,'RAW DATA 2023'!E:BO,58,0)</f>
        <v>191</v>
      </c>
      <c r="H296" s="390">
        <f>IFERROR((G296-F296)/G296,0)</f>
        <v>-9.1984498256407157E-2</v>
      </c>
      <c r="I296" s="398">
        <f>IF(H296&lt;0,((0.25-(H296*(-1)))*$L$7),IF(H296&gt;0,(H296*$N$7)+$L$6,0))</f>
        <v>8.4274934263249524</v>
      </c>
      <c r="J296" s="73">
        <f>VLOOKUP(C296,'RAW DATA 2023'!E:AC,21,0)</f>
        <v>15.710430000000001</v>
      </c>
      <c r="K296" s="398">
        <f>I296*J296</f>
        <v>132.39954554973832</v>
      </c>
      <c r="R296" s="400"/>
    </row>
    <row r="297" spans="1:18">
      <c r="A297" s="63" t="str">
        <f>'RAW DATA 2023'!B611</f>
        <v>Lucky1</v>
      </c>
      <c r="B297" s="63" t="str">
        <f>'RAW DATA 2023'!D611</f>
        <v>B1-021-0013</v>
      </c>
      <c r="C297" s="63" t="str">
        <f>A297&amp;B297</f>
        <v>Lucky1B1-021-0013</v>
      </c>
      <c r="D297" s="63">
        <f>VLOOKUP(C297,'RAW DATA 2023'!E:BP,63,0)</f>
        <v>2</v>
      </c>
      <c r="E297" s="63" t="str">
        <f>A297&amp;D297</f>
        <v>Lucky12</v>
      </c>
      <c r="F297" s="389">
        <f>VLOOKUP(C297,'RAW DATA 2023'!E:BO,57,0)</f>
        <v>215.26035380090013</v>
      </c>
      <c r="G297" s="63">
        <f>VLOOKUP(C297,'RAW DATA 2023'!E:BO,58,0)</f>
        <v>207</v>
      </c>
      <c r="H297" s="390">
        <f>IFERROR((G297-F297)/G297,0)</f>
        <v>-3.9905090825604513E-2</v>
      </c>
      <c r="I297" s="398">
        <f>IF(H297&lt;0,((0.25-(H297*(-1)))*$L$7),IF(H297&gt;0,(H297*$N$7)+$L$6,0))</f>
        <v>11.205061822634427</v>
      </c>
      <c r="J297" s="73">
        <f>VLOOKUP(C297,'RAW DATA 2023'!E:AC,21,0)</f>
        <v>18.01126</v>
      </c>
      <c r="K297" s="398">
        <f>I297*J297</f>
        <v>201.81728180354256</v>
      </c>
      <c r="R297" s="400"/>
    </row>
    <row r="298" spans="1:18">
      <c r="A298" s="63" t="str">
        <f>'RAW DATA 2023'!B612</f>
        <v>Lucky1</v>
      </c>
      <c r="B298" s="63" t="str">
        <f>'RAW DATA 2023'!D612</f>
        <v>B1-018-0011</v>
      </c>
      <c r="C298" s="63" t="str">
        <f>A298&amp;B298</f>
        <v>Lucky1B1-018-0011</v>
      </c>
      <c r="D298" s="63">
        <f>VLOOKUP(C298,'RAW DATA 2023'!E:BP,63,0)</f>
        <v>2</v>
      </c>
      <c r="E298" s="63" t="str">
        <f>A298&amp;D298</f>
        <v>Lucky12</v>
      </c>
      <c r="F298" s="389">
        <f>VLOOKUP(C298,'RAW DATA 2023'!E:BO,57,0)</f>
        <v>224.01617879169524</v>
      </c>
      <c r="G298" s="63">
        <f>VLOOKUP(C298,'RAW DATA 2023'!E:BO,58,0)</f>
        <v>194</v>
      </c>
      <c r="H298" s="390">
        <f>IFERROR((G298-F298)/G298,0)</f>
        <v>-0.15472257109121257</v>
      </c>
      <c r="I298" s="398">
        <f>IF(H298&lt;0,((0.25-(H298*(-1)))*$L$7),IF(H298&gt;0,(H298*$N$7)+$L$6,0))</f>
        <v>5.0814628751353297</v>
      </c>
      <c r="J298" s="73">
        <f>VLOOKUP(C298,'RAW DATA 2023'!E:AC,21,0)</f>
        <v>14.800240000000001</v>
      </c>
      <c r="K298" s="398">
        <f>I298*J298</f>
        <v>75.206870103092911</v>
      </c>
      <c r="R298" s="400"/>
    </row>
    <row r="299" spans="1:18">
      <c r="A299" s="63" t="str">
        <f>'RAW DATA 2023'!B614</f>
        <v>Lucky1</v>
      </c>
      <c r="B299" s="63" t="str">
        <f>'RAW DATA 2023'!D614</f>
        <v>B1-022-0010</v>
      </c>
      <c r="C299" s="63" t="str">
        <f>A299&amp;B299</f>
        <v>Lucky1B1-022-0010</v>
      </c>
      <c r="D299" s="63">
        <f>VLOOKUP(C299,'RAW DATA 2023'!E:BP,63,0)</f>
        <v>2</v>
      </c>
      <c r="E299" s="63" t="str">
        <f>A299&amp;D299</f>
        <v>Lucky12</v>
      </c>
      <c r="F299" s="389">
        <f>VLOOKUP(C299,'RAW DATA 2023'!E:BO,57,0)</f>
        <v>216.69522418013545</v>
      </c>
      <c r="G299" s="63">
        <f>VLOOKUP(C299,'RAW DATA 2023'!E:BO,58,0)</f>
        <v>183</v>
      </c>
      <c r="H299" s="390">
        <f>IFERROR((G299-F299)/G299,0)</f>
        <v>-0.18412690808817189</v>
      </c>
      <c r="I299" s="398">
        <f>IF(H299&lt;0,((0.25-(H299*(-1)))*$L$7),IF(H299&gt;0,(H299*$N$7)+$L$6,0))</f>
        <v>3.5132315686308324</v>
      </c>
      <c r="J299" s="73">
        <f>VLOOKUP(C299,'RAW DATA 2023'!E:AC,21,0)</f>
        <v>12.58653</v>
      </c>
      <c r="K299" s="398">
        <f>I299*J299</f>
        <v>44.219394535519029</v>
      </c>
      <c r="R299" s="400"/>
    </row>
    <row r="300" spans="1:18">
      <c r="A300" s="63" t="str">
        <f>'RAW DATA 2023'!B621</f>
        <v>Lucky1</v>
      </c>
      <c r="B300" s="63" t="str">
        <f>'RAW DATA 2023'!D621</f>
        <v>B1-021-0014</v>
      </c>
      <c r="C300" s="63" t="str">
        <f>A300&amp;B300</f>
        <v>Lucky1B1-021-0014</v>
      </c>
      <c r="D300" s="63">
        <f>VLOOKUP(C300,'RAW DATA 2023'!E:BP,63,0)</f>
        <v>4</v>
      </c>
      <c r="E300" s="63" t="str">
        <f>A300&amp;D300</f>
        <v>Lucky14</v>
      </c>
      <c r="F300" s="389">
        <f>VLOOKUP(C300,'RAW DATA 2023'!E:BO,57,0)</f>
        <v>302.85919986057195</v>
      </c>
      <c r="G300" s="63">
        <f>VLOOKUP(C300,'RAW DATA 2023'!E:BO,58,0)</f>
        <v>150</v>
      </c>
      <c r="H300" s="390">
        <f>IFERROR((G300-F300)/G300,0)</f>
        <v>-1.0190613324038129</v>
      </c>
      <c r="I300" s="398">
        <f>IF(H300&lt;0,((0.25-(H300*(-1)))*$L$7),IF(H300&gt;0,(H300*$N$7)+$L$6,0))</f>
        <v>-41.016604394870022</v>
      </c>
      <c r="J300" s="73">
        <f>VLOOKUP(C300,'RAW DATA 2023'!E:AC,21,0)</f>
        <v>5.8524799999999999</v>
      </c>
      <c r="K300" s="398">
        <f>I300*J300</f>
        <v>-240.04885688888891</v>
      </c>
      <c r="R300" s="400"/>
    </row>
    <row r="301" spans="1:18">
      <c r="A301" s="63" t="str">
        <f>'RAW DATA 2023'!B596</f>
        <v>Lucky1</v>
      </c>
      <c r="B301" s="63" t="str">
        <f>'RAW DATA 2023'!D596</f>
        <v>BG-026-0012</v>
      </c>
      <c r="C301" s="63" t="str">
        <f>A301&amp;B301</f>
        <v>Lucky1BG-026-0012</v>
      </c>
      <c r="D301" s="63">
        <f>VLOOKUP(C301,'RAW DATA 2023'!E:BP,63,0)</f>
        <v>5</v>
      </c>
      <c r="E301" s="63" t="str">
        <f>A301&amp;D301</f>
        <v>Lucky15</v>
      </c>
      <c r="F301" s="389">
        <f>VLOOKUP(C301,'RAW DATA 2023'!E:BO,57,0)</f>
        <v>383.18120524239896</v>
      </c>
      <c r="G301" s="63">
        <f>VLOOKUP(C301,'RAW DATA 2023'!E:BO,58,0)</f>
        <v>172</v>
      </c>
      <c r="H301" s="390">
        <f>IFERROR((G301-F301)/G301,0)</f>
        <v>-1.2277977048976683</v>
      </c>
      <c r="I301" s="398">
        <f>IF(H301&lt;0,((0.25-(H301*(-1)))*$L$7),IF(H301&gt;0,(H301*$N$7)+$L$6,0))</f>
        <v>-52.149210927875643</v>
      </c>
      <c r="J301" s="73">
        <f>VLOOKUP(C301,'RAW DATA 2023'!E:AC,21,0)</f>
        <v>5.9682599999999999</v>
      </c>
      <c r="K301" s="398">
        <f>I301*J301</f>
        <v>-311.24004961240308</v>
      </c>
      <c r="R301" s="400"/>
    </row>
    <row r="302" spans="1:18">
      <c r="A302" s="63" t="str">
        <f>'RAW DATA 2023'!B607</f>
        <v>Lucky1</v>
      </c>
      <c r="B302" s="63" t="str">
        <f>'RAW DATA 2023'!D607</f>
        <v>B1-015-0007</v>
      </c>
      <c r="C302" s="63" t="str">
        <f>A302&amp;B302</f>
        <v>Lucky1B1-015-0007</v>
      </c>
      <c r="D302" s="63">
        <f>VLOOKUP(C302,'RAW DATA 2023'!E:BP,63,0)</f>
        <v>5</v>
      </c>
      <c r="E302" s="63" t="str">
        <f>A302&amp;D302</f>
        <v>Lucky15</v>
      </c>
      <c r="F302" s="389">
        <f>VLOOKUP(C302,'RAW DATA 2023'!E:BO,57,0)</f>
        <v>193.40552202859635</v>
      </c>
      <c r="G302" s="63">
        <f>VLOOKUP(C302,'RAW DATA 2023'!E:BO,58,0)</f>
        <v>183</v>
      </c>
      <c r="H302" s="390">
        <f>IFERROR((G302-F302)/G302,0)</f>
        <v>-5.6860776112548368E-2</v>
      </c>
      <c r="I302" s="398">
        <f>IF(H302&lt;0,((0.25-(H302*(-1)))*$L$7),IF(H302&gt;0,(H302*$N$7)+$L$6,0))</f>
        <v>10.300758607330755</v>
      </c>
      <c r="J302" s="73">
        <f>VLOOKUP(C302,'RAW DATA 2023'!E:AC,21,0)</f>
        <v>17.339279999999999</v>
      </c>
      <c r="K302" s="398">
        <f>I302*J302</f>
        <v>178.60773770491798</v>
      </c>
      <c r="R302" s="400"/>
    </row>
    <row r="303" spans="1:18">
      <c r="A303" s="63" t="str">
        <f>'RAW DATA 2023'!B608</f>
        <v>Lucky1</v>
      </c>
      <c r="B303" s="63" t="str">
        <f>'RAW DATA 2023'!D608</f>
        <v>B1-017-0013</v>
      </c>
      <c r="C303" s="63" t="str">
        <f>A303&amp;B303</f>
        <v>Lucky1B1-017-0013</v>
      </c>
      <c r="D303" s="63">
        <f>VLOOKUP(C303,'RAW DATA 2023'!E:BP,63,0)</f>
        <v>5</v>
      </c>
      <c r="E303" s="63" t="str">
        <f>A303&amp;D303</f>
        <v>Lucky15</v>
      </c>
      <c r="F303" s="389">
        <f>VLOOKUP(C303,'RAW DATA 2023'!E:BO,57,0)</f>
        <v>203.531715325308</v>
      </c>
      <c r="G303" s="63">
        <f>VLOOKUP(C303,'RAW DATA 2023'!E:BO,58,0)</f>
        <v>184</v>
      </c>
      <c r="H303" s="390">
        <f>IFERROR((G303-F303)/G303,0)</f>
        <v>-0.10615062676797826</v>
      </c>
      <c r="I303" s="398">
        <f>IF(H303&lt;0,((0.25-(H303*(-1)))*$L$7),IF(H303&gt;0,(H303*$N$7)+$L$6,0))</f>
        <v>7.671966572374493</v>
      </c>
      <c r="J303" s="73">
        <f>VLOOKUP(C303,'RAW DATA 2023'!E:AC,21,0)</f>
        <v>16.751049999999999</v>
      </c>
      <c r="K303" s="398">
        <f>I303*J303</f>
        <v>128.51349565217376</v>
      </c>
      <c r="R303" s="400"/>
    </row>
    <row r="304" spans="1:18">
      <c r="A304" s="63" t="str">
        <f>'RAW DATA 2023'!B613</f>
        <v>Lucky1</v>
      </c>
      <c r="B304" s="63" t="str">
        <f>'RAW DATA 2023'!D613</f>
        <v>B1-016-0004</v>
      </c>
      <c r="C304" s="63" t="str">
        <f>A304&amp;B304</f>
        <v>Lucky1B1-016-0004</v>
      </c>
      <c r="D304" s="63">
        <f>VLOOKUP(C304,'RAW DATA 2023'!E:BP,63,0)</f>
        <v>5</v>
      </c>
      <c r="E304" s="63" t="str">
        <f>A304&amp;D304</f>
        <v>Lucky15</v>
      </c>
      <c r="F304" s="389">
        <f>VLOOKUP(C304,'RAW DATA 2023'!E:BO,57,0)</f>
        <v>183.3849549087077</v>
      </c>
      <c r="G304" s="63">
        <f>VLOOKUP(C304,'RAW DATA 2023'!E:BO,58,0)</f>
        <v>165</v>
      </c>
      <c r="H304" s="390">
        <f>IFERROR((G304-F304)/G304,0)</f>
        <v>-0.11142396914368302</v>
      </c>
      <c r="I304" s="398">
        <f>IF(H304&lt;0,((0.25-(H304*(-1)))*$L$7),IF(H304&gt;0,(H304*$N$7)+$L$6,0))</f>
        <v>7.3907216456702391</v>
      </c>
      <c r="J304" s="73">
        <f>VLOOKUP(C304,'RAW DATA 2023'!E:AC,21,0)</f>
        <v>14.68798</v>
      </c>
      <c r="K304" s="398">
        <f>I304*J304</f>
        <v>108.55477171717156</v>
      </c>
      <c r="R304" s="400"/>
    </row>
    <row r="305" spans="1:18">
      <c r="A305" s="63" t="str">
        <f>'RAW DATA 2023'!B623</f>
        <v>Lucky1</v>
      </c>
      <c r="B305" s="63" t="str">
        <f>'RAW DATA 2023'!D623</f>
        <v>B1-018-0012</v>
      </c>
      <c r="C305" s="63" t="str">
        <f>A305&amp;B305</f>
        <v>Lucky1B1-018-0012</v>
      </c>
      <c r="D305" s="63">
        <f>VLOOKUP(C305,'RAW DATA 2023'!E:BP,63,0)</f>
        <v>5</v>
      </c>
      <c r="E305" s="63" t="str">
        <f>A305&amp;D305</f>
        <v>Lucky15</v>
      </c>
      <c r="F305" s="389">
        <f>VLOOKUP(C305,'RAW DATA 2023'!E:BO,57,0)</f>
        <v>0</v>
      </c>
      <c r="G305" s="63">
        <f>VLOOKUP(C305,'RAW DATA 2023'!E:BO,58,0)</f>
        <v>0</v>
      </c>
      <c r="H305" s="390">
        <f>IFERROR((G305-F305)/G305,0)</f>
        <v>0</v>
      </c>
      <c r="I305" s="398">
        <f>IF(H305&lt;0,((0.25-(H305*(-1)))*$L$7),IF(H305&gt;0,(H305*$N$7)+$L$6,0))</f>
        <v>0</v>
      </c>
      <c r="J305" s="73">
        <f>VLOOKUP(C305,'RAW DATA 2023'!E:AC,21,0)</f>
        <v>0</v>
      </c>
      <c r="K305" s="398">
        <f>I305*J305</f>
        <v>0</v>
      </c>
      <c r="R305" s="400"/>
    </row>
    <row r="306" spans="1:18">
      <c r="A306" s="63" t="str">
        <f>'RAW DATA 2023'!B597</f>
        <v>Lucky1</v>
      </c>
      <c r="B306" s="63" t="str">
        <f>'RAW DATA 2023'!D597</f>
        <v>BG-028-0012</v>
      </c>
      <c r="C306" s="63" t="str">
        <f>A306&amp;B306</f>
        <v>Lucky1BG-028-0012</v>
      </c>
      <c r="D306" s="63">
        <f>VLOOKUP(C306,'RAW DATA 2023'!E:BP,63,0)</f>
        <v>6</v>
      </c>
      <c r="E306" s="63" t="str">
        <f>A306&amp;D306</f>
        <v>Lucky16</v>
      </c>
      <c r="F306" s="389">
        <f>VLOOKUP(C306,'RAW DATA 2023'!E:BO,57,0)</f>
        <v>230.62526513634523</v>
      </c>
      <c r="G306" s="63">
        <f>VLOOKUP(C306,'RAW DATA 2023'!E:BO,58,0)</f>
        <v>197</v>
      </c>
      <c r="H306" s="390">
        <f>IFERROR((G306-F306)/G306,0)</f>
        <v>-0.17068662505759002</v>
      </c>
      <c r="I306" s="398">
        <f>IF(H306&lt;0,((0.25-(H306*(-1)))*$L$7),IF(H306&gt;0,(H306*$N$7)+$L$6,0))</f>
        <v>4.230046663595199</v>
      </c>
      <c r="J306" s="73">
        <f>VLOOKUP(C306,'RAW DATA 2023'!E:AC,21,0)</f>
        <v>18.877080000000003</v>
      </c>
      <c r="K306" s="398">
        <f>I306*J306</f>
        <v>79.850929272419677</v>
      </c>
      <c r="R306" s="400"/>
    </row>
    <row r="307" spans="1:18">
      <c r="A307" s="63" t="str">
        <f>'RAW DATA 2023'!B603</f>
        <v>Lucky1</v>
      </c>
      <c r="B307" s="63" t="str">
        <f>'RAW DATA 2023'!D603</f>
        <v>BG-027-0011</v>
      </c>
      <c r="C307" s="63" t="str">
        <f>A307&amp;B307</f>
        <v>Lucky1BG-027-0011</v>
      </c>
      <c r="D307" s="63">
        <f>VLOOKUP(C307,'RAW DATA 2023'!E:BP,63,0)</f>
        <v>6</v>
      </c>
      <c r="E307" s="63" t="str">
        <f>A307&amp;D307</f>
        <v>Lucky16</v>
      </c>
      <c r="F307" s="389">
        <f>VLOOKUP(C307,'RAW DATA 2023'!E:BO,57,0)</f>
        <v>329.83578378348778</v>
      </c>
      <c r="G307" s="63">
        <f>VLOOKUP(C307,'RAW DATA 2023'!E:BO,58,0)</f>
        <v>166</v>
      </c>
      <c r="H307" s="390">
        <f>IFERROR((G307-F307)/G307,0)</f>
        <v>-0.98696255291257706</v>
      </c>
      <c r="I307" s="398">
        <f>IF(H307&lt;0,((0.25-(H307*(-1)))*$L$7),IF(H307&gt;0,(H307*$N$7)+$L$6,0))</f>
        <v>-39.304669488670775</v>
      </c>
      <c r="J307" s="73">
        <f>VLOOKUP(C307,'RAW DATA 2023'!E:AC,21,0)</f>
        <v>7.30342</v>
      </c>
      <c r="K307" s="398">
        <f>I307*J307</f>
        <v>-287.05850923694794</v>
      </c>
      <c r="R307" s="400"/>
    </row>
    <row r="308" spans="1:18">
      <c r="A308" s="63" t="str">
        <f>'RAW DATA 2023'!B620</f>
        <v>Lucky1</v>
      </c>
      <c r="B308" s="63" t="str">
        <f>'RAW DATA 2023'!D620</f>
        <v>B1-019-0013</v>
      </c>
      <c r="C308" s="63" t="str">
        <f>A308&amp;B308</f>
        <v>Lucky1B1-019-0013</v>
      </c>
      <c r="D308" s="63">
        <f>VLOOKUP(C308,'RAW DATA 2023'!E:BP,63,0)</f>
        <v>6</v>
      </c>
      <c r="E308" s="63" t="str">
        <f>A308&amp;D308</f>
        <v>Lucky16</v>
      </c>
      <c r="F308" s="389">
        <f>VLOOKUP(C308,'RAW DATA 2023'!E:BO,57,0)</f>
        <v>990.93342129010898</v>
      </c>
      <c r="G308" s="63">
        <f>VLOOKUP(C308,'RAW DATA 2023'!E:BO,58,0)</f>
        <v>150</v>
      </c>
      <c r="H308" s="390">
        <f>IFERROR((G308-F308)/G308,0)</f>
        <v>-5.6062228086007266</v>
      </c>
      <c r="I308" s="398">
        <f>IF(H308&lt;0,((0.25-(H308*(-1)))*$L$7),IF(H308&gt;0,(H308*$N$7)+$L$6,0))</f>
        <v>-285.66521645870546</v>
      </c>
      <c r="J308" s="73">
        <f>VLOOKUP(C308,'RAW DATA 2023'!E:AC,21,0)</f>
        <v>3.5017199999999997</v>
      </c>
      <c r="K308" s="398">
        <f>I308*J308</f>
        <v>-1000.319601777778</v>
      </c>
      <c r="R308" s="400"/>
    </row>
    <row r="309" spans="1:18">
      <c r="A309" s="63" t="str">
        <f>'RAW DATA 2023'!B622</f>
        <v>Lucky1</v>
      </c>
      <c r="B309" s="63" t="str">
        <f>'RAW DATA 2023'!D622</f>
        <v>B1-020-0011</v>
      </c>
      <c r="C309" s="63" t="str">
        <f>A309&amp;B309</f>
        <v>Lucky1B1-020-0011</v>
      </c>
      <c r="D309" s="63">
        <f>VLOOKUP(C309,'RAW DATA 2023'!E:BP,63,0)</f>
        <v>6</v>
      </c>
      <c r="E309" s="63" t="str">
        <f>A309&amp;D309</f>
        <v>Lucky16</v>
      </c>
      <c r="F309" s="389">
        <f>VLOOKUP(C309,'RAW DATA 2023'!E:BO,57,0)</f>
        <v>403.45426708066276</v>
      </c>
      <c r="G309" s="63">
        <f>VLOOKUP(C309,'RAW DATA 2023'!E:BO,58,0)</f>
        <v>150</v>
      </c>
      <c r="H309" s="390">
        <f>IFERROR((G309-F309)/G309,0)</f>
        <v>-1.6896951138710852</v>
      </c>
      <c r="I309" s="398">
        <f>IF(H309&lt;0,((0.25-(H309*(-1)))*$L$7),IF(H309&gt;0,(H309*$N$7)+$L$6,0))</f>
        <v>-76.783739406457883</v>
      </c>
      <c r="J309" s="73">
        <f>VLOOKUP(C309,'RAW DATA 2023'!E:AC,21,0)</f>
        <v>6.7665699999999998</v>
      </c>
      <c r="K309" s="398">
        <f>I309*J309</f>
        <v>-519.56254755555574</v>
      </c>
      <c r="R309" s="400"/>
    </row>
    <row r="310" spans="1:18">
      <c r="A310" s="63" t="str">
        <f>'RAW DATA 2023'!B599</f>
        <v>Lucky1</v>
      </c>
      <c r="B310" s="63" t="str">
        <f>'RAW DATA 2023'!D599</f>
        <v>BG-025-0010</v>
      </c>
      <c r="C310" s="63" t="str">
        <f>A310&amp;B310</f>
        <v>Lucky1BG-025-0010</v>
      </c>
      <c r="D310" s="63">
        <f>VLOOKUP(C310,'RAW DATA 2023'!E:BP,63,0)</f>
        <v>8</v>
      </c>
      <c r="E310" s="63" t="str">
        <f>A310&amp;D310</f>
        <v>Lucky18</v>
      </c>
      <c r="F310" s="389">
        <f>VLOOKUP(C310,'RAW DATA 2023'!E:BO,57,0)</f>
        <v>265.08937990738877</v>
      </c>
      <c r="G310" s="63">
        <f>VLOOKUP(C310,'RAW DATA 2023'!E:BO,58,0)</f>
        <v>214</v>
      </c>
      <c r="H310" s="390">
        <f>IFERROR((G310-F310)/G310,0)</f>
        <v>-0.23873542012798493</v>
      </c>
      <c r="I310" s="398">
        <f>IF(H310&lt;0,((0.25-(H310*(-1)))*$L$7),IF(H310&gt;0,(H310*$N$7)+$L$6,0))</f>
        <v>0.60077759317413704</v>
      </c>
      <c r="J310" s="73">
        <f>VLOOKUP(C310,'RAW DATA 2023'!E:AC,21,0)</f>
        <v>22.848200000000002</v>
      </c>
      <c r="K310" s="398">
        <f>I310*J310</f>
        <v>13.726686604361319</v>
      </c>
      <c r="R310" s="400"/>
    </row>
    <row r="311" spans="1:18">
      <c r="A311" s="63" t="str">
        <f>'RAW DATA 2023'!B601</f>
        <v>Lucky1</v>
      </c>
      <c r="B311" s="63" t="str">
        <f>'RAW DATA 2023'!D601</f>
        <v>BG-026-0013</v>
      </c>
      <c r="C311" s="63" t="str">
        <f>A311&amp;B311</f>
        <v>Lucky1BG-026-0013</v>
      </c>
      <c r="D311" s="63">
        <f>VLOOKUP(C311,'RAW DATA 2023'!E:BP,63,0)</f>
        <v>8</v>
      </c>
      <c r="E311" s="63" t="str">
        <f>A311&amp;D311</f>
        <v>Lucky18</v>
      </c>
      <c r="F311" s="389">
        <f>VLOOKUP(C311,'RAW DATA 2023'!E:BO,57,0)</f>
        <v>305.65800808172247</v>
      </c>
      <c r="G311" s="63">
        <f>VLOOKUP(C311,'RAW DATA 2023'!E:BO,58,0)</f>
        <v>163</v>
      </c>
      <c r="H311" s="390">
        <f>IFERROR((G311-F311)/G311,0)</f>
        <v>-0.87520250356884954</v>
      </c>
      <c r="I311" s="398">
        <f>IF(H311&lt;0,((0.25-(H311*(-1)))*$L$7),IF(H311&gt;0,(H311*$N$7)+$L$6,0))</f>
        <v>-33.344133523671978</v>
      </c>
      <c r="J311" s="73">
        <f>VLOOKUP(C311,'RAW DATA 2023'!E:AC,21,0)</f>
        <v>8.26309</v>
      </c>
      <c r="K311" s="398">
        <f>I311*J311</f>
        <v>-275.52557627811871</v>
      </c>
      <c r="R311" s="400"/>
    </row>
    <row r="312" spans="1:18">
      <c r="A312" s="63" t="str">
        <f>'RAW DATA 2023'!B617</f>
        <v>Lucky1</v>
      </c>
      <c r="B312" s="63" t="str">
        <f>'RAW DATA 2023'!D617</f>
        <v>B1-021-0015</v>
      </c>
      <c r="C312" s="63" t="str">
        <f>A312&amp;B312</f>
        <v>Lucky1B1-021-0015</v>
      </c>
      <c r="D312" s="63">
        <f>VLOOKUP(C312,'RAW DATA 2023'!E:BP,63,0)</f>
        <v>8</v>
      </c>
      <c r="E312" s="63" t="str">
        <f>A312&amp;D312</f>
        <v>Lucky18</v>
      </c>
      <c r="F312" s="389">
        <f>VLOOKUP(C312,'RAW DATA 2023'!E:BO,57,0)</f>
        <v>379.81238826649678</v>
      </c>
      <c r="G312" s="63">
        <f>VLOOKUP(C312,'RAW DATA 2023'!E:BO,58,0)</f>
        <v>150</v>
      </c>
      <c r="H312" s="390">
        <f>IFERROR((G312-F312)/G312,0)</f>
        <v>-1.5320825884433118</v>
      </c>
      <c r="I312" s="398">
        <f>IF(H312&lt;0,((0.25-(H312*(-1)))*$L$7),IF(H312&gt;0,(H312*$N$7)+$L$6,0))</f>
        <v>-68.377738050309972</v>
      </c>
      <c r="J312" s="73">
        <f>VLOOKUP(C312,'RAW DATA 2023'!E:AC,21,0)</f>
        <v>7.6577299999999999</v>
      </c>
      <c r="K312" s="398">
        <f>I312*J312</f>
        <v>-523.6182560000002</v>
      </c>
      <c r="R312" s="400"/>
    </row>
    <row r="313" spans="1:18">
      <c r="A313" s="63" t="str">
        <f>'RAW DATA 2023'!B606</f>
        <v>Lucky1</v>
      </c>
      <c r="B313" s="63" t="str">
        <f>'RAW DATA 2023'!D606</f>
        <v>BG-028-0013</v>
      </c>
      <c r="C313" s="63" t="str">
        <f>A313&amp;B313</f>
        <v>Lucky1BG-028-0013</v>
      </c>
      <c r="D313" s="63">
        <f>VLOOKUP(C313,'RAW DATA 2023'!E:BP,63,0)</f>
        <v>9</v>
      </c>
      <c r="E313" s="63" t="str">
        <f>A313&amp;D313</f>
        <v>Lucky19</v>
      </c>
      <c r="F313" s="389">
        <f>VLOOKUP(C313,'RAW DATA 2023'!E:BO,57,0)</f>
        <v>239.86686964914901</v>
      </c>
      <c r="G313" s="63">
        <f>VLOOKUP(C313,'RAW DATA 2023'!E:BO,58,0)</f>
        <v>149</v>
      </c>
      <c r="H313" s="390">
        <f>IFERROR((G313-F313)/G313,0)</f>
        <v>-0.60984476274596655</v>
      </c>
      <c r="I313" s="398">
        <f>IF(H313&lt;0,((0.25-(H313*(-1)))*$L$7),IF(H313&gt;0,(H313*$N$7)+$L$6,0))</f>
        <v>-19.191720679784883</v>
      </c>
      <c r="J313" s="73">
        <f>VLOOKUP(C313,'RAW DATA 2023'!E:AC,21,0)</f>
        <v>12.7433</v>
      </c>
      <c r="K313" s="398">
        <f>I313*J313</f>
        <v>-244.56585413870269</v>
      </c>
      <c r="R313" s="400"/>
    </row>
    <row r="314" spans="1:18">
      <c r="A314" s="63" t="str">
        <f>'RAW DATA 2023'!B618</f>
        <v>Lucky1</v>
      </c>
      <c r="B314" s="63" t="str">
        <f>'RAW DATA 2023'!D618</f>
        <v>B1-017-0014</v>
      </c>
      <c r="C314" s="63" t="str">
        <f>A314&amp;B314</f>
        <v>Lucky1B1-017-0014</v>
      </c>
      <c r="D314" s="63">
        <f>VLOOKUP(C314,'RAW DATA 2023'!E:BP,63,0)</f>
        <v>9</v>
      </c>
      <c r="E314" s="63" t="str">
        <f>A314&amp;D314</f>
        <v>Lucky19</v>
      </c>
      <c r="F314" s="389">
        <f>VLOOKUP(C314,'RAW DATA 2023'!E:BO,57,0)</f>
        <v>555.04530822581398</v>
      </c>
      <c r="G314" s="63">
        <f>VLOOKUP(C314,'RAW DATA 2023'!E:BO,58,0)</f>
        <v>150</v>
      </c>
      <c r="H314" s="390">
        <f>IFERROR((G314-F314)/G314,0)</f>
        <v>-2.70030205483876</v>
      </c>
      <c r="I314" s="398">
        <f>IF(H314&lt;0,((0.25-(H314*(-1)))*$L$7),IF(H314&gt;0,(H314*$N$7)+$L$6,0))</f>
        <v>-130.68277625806721</v>
      </c>
      <c r="J314" s="73">
        <f>VLOOKUP(C314,'RAW DATA 2023'!E:AC,21,0)</f>
        <v>11.456860000000001</v>
      </c>
      <c r="K314" s="398">
        <f>I314*J314</f>
        <v>-1497.2142719999999</v>
      </c>
      <c r="R314" s="400"/>
    </row>
    <row r="315" spans="1:18">
      <c r="A315" s="63" t="str">
        <f>'RAW DATA 2023'!B561</f>
        <v>Lucky2</v>
      </c>
      <c r="B315" s="63" t="str">
        <f>'RAW DATA 2023'!D561</f>
        <v>AC-004-0008</v>
      </c>
      <c r="C315" s="63" t="str">
        <f>A315&amp;B315</f>
        <v>Lucky2AC-004-0008</v>
      </c>
      <c r="D315" s="63">
        <f>VLOOKUP(C315,'RAW DATA 2023'!E:BP,63,0)</f>
        <v>2</v>
      </c>
      <c r="E315" s="63" t="str">
        <f>A315&amp;D315</f>
        <v>Lucky22</v>
      </c>
      <c r="F315" s="389">
        <f>VLOOKUP(C315,'RAW DATA 2023'!E:BO,57,0)</f>
        <v>444.11657607690887</v>
      </c>
      <c r="G315" s="63">
        <f>VLOOKUP(C315,'RAW DATA 2023'!E:BO,58,0)</f>
        <v>223</v>
      </c>
      <c r="H315" s="390">
        <f>IFERROR((G315-F315)/G315,0)</f>
        <v>-0.99155415281125059</v>
      </c>
      <c r="I315" s="398">
        <f>IF(H315&lt;0,((0.25-(H315*(-1)))*$L$7),IF(H315&gt;0,(H315*$N$7)+$L$6,0))</f>
        <v>-39.549554816600036</v>
      </c>
      <c r="J315" s="73">
        <f>VLOOKUP(C315,'RAW DATA 2023'!E:AC,21,0)</f>
        <v>2.7044999999999999</v>
      </c>
      <c r="K315" s="398">
        <f>I315*J315</f>
        <v>-106.9617710014948</v>
      </c>
      <c r="R315" s="400"/>
    </row>
    <row r="316" spans="1:18">
      <c r="A316" s="63" t="str">
        <f>'RAW DATA 2023'!B562</f>
        <v>Lucky2</v>
      </c>
      <c r="B316" s="63" t="str">
        <f>'RAW DATA 2023'!D562</f>
        <v>AC-005-0008</v>
      </c>
      <c r="C316" s="63" t="str">
        <f>A316&amp;B316</f>
        <v>Lucky2AC-005-0008</v>
      </c>
      <c r="D316" s="63">
        <f>VLOOKUP(C316,'RAW DATA 2023'!E:BP,63,0)</f>
        <v>2</v>
      </c>
      <c r="E316" s="63" t="str">
        <f>A316&amp;D316</f>
        <v>Lucky22</v>
      </c>
      <c r="F316" s="389">
        <f>VLOOKUP(C316,'RAW DATA 2023'!E:BO,57,0)</f>
        <v>418.56480753304055</v>
      </c>
      <c r="G316" s="63">
        <f>VLOOKUP(C316,'RAW DATA 2023'!E:BO,58,0)</f>
        <v>182</v>
      </c>
      <c r="H316" s="390">
        <f>IFERROR((G316-F316)/G316,0)</f>
        <v>-1.2998066347969262</v>
      </c>
      <c r="I316" s="398">
        <f>IF(H316&lt;0,((0.25-(H316*(-1)))*$L$7),IF(H316&gt;0,(H316*$N$7)+$L$6,0))</f>
        <v>-55.989687189169395</v>
      </c>
      <c r="J316" s="73">
        <f>VLOOKUP(C316,'RAW DATA 2023'!E:AC,21,0)</f>
        <v>2.8737399999999997</v>
      </c>
      <c r="K316" s="398">
        <f>I316*J316</f>
        <v>-160.89980366300364</v>
      </c>
      <c r="R316" s="400"/>
    </row>
    <row r="317" spans="1:18">
      <c r="A317" s="63" t="str">
        <f>'RAW DATA 2023'!B564</f>
        <v>Lucky2</v>
      </c>
      <c r="B317" s="63" t="str">
        <f>'RAW DATA 2023'!D564</f>
        <v>AC-001-0008</v>
      </c>
      <c r="C317" s="63" t="str">
        <f>A317&amp;B317</f>
        <v>Lucky2AC-001-0008</v>
      </c>
      <c r="D317" s="63">
        <f>VLOOKUP(C317,'RAW DATA 2023'!E:BP,63,0)</f>
        <v>2</v>
      </c>
      <c r="E317" s="63" t="str">
        <f>A317&amp;D317</f>
        <v>Lucky22</v>
      </c>
      <c r="F317" s="389">
        <f>VLOOKUP(C317,'RAW DATA 2023'!E:BO,57,0)</f>
        <v>383.16782126877837</v>
      </c>
      <c r="G317" s="63">
        <f>VLOOKUP(C317,'RAW DATA 2023'!E:BO,58,0)</f>
        <v>180</v>
      </c>
      <c r="H317" s="390">
        <f>IFERROR((G317-F317)/G317,0)</f>
        <v>-1.1287101181598798</v>
      </c>
      <c r="I317" s="398">
        <f>IF(H317&lt;0,((0.25-(H317*(-1)))*$L$7),IF(H317&gt;0,(H317*$N$7)+$L$6,0))</f>
        <v>-46.864539635193587</v>
      </c>
      <c r="J317" s="73">
        <f>VLOOKUP(C317,'RAW DATA 2023'!E:AC,21,0)</f>
        <v>3.3749000000000002</v>
      </c>
      <c r="K317" s="398">
        <f>I317*J317</f>
        <v>-158.16313481481484</v>
      </c>
      <c r="R317" s="400"/>
    </row>
    <row r="318" spans="1:18">
      <c r="A318" s="63" t="str">
        <f>'RAW DATA 2023'!B567</f>
        <v>Lucky2</v>
      </c>
      <c r="B318" s="63" t="str">
        <f>'RAW DATA 2023'!D567</f>
        <v>AC-002-0008</v>
      </c>
      <c r="C318" s="63" t="str">
        <f>A318&amp;B318</f>
        <v>Lucky2AC-002-0008</v>
      </c>
      <c r="D318" s="63">
        <f>VLOOKUP(C318,'RAW DATA 2023'!E:BP,63,0)</f>
        <v>2</v>
      </c>
      <c r="E318" s="63" t="str">
        <f>A318&amp;D318</f>
        <v>Lucky22</v>
      </c>
      <c r="F318" s="389">
        <f>VLOOKUP(C318,'RAW DATA 2023'!E:BO,57,0)</f>
        <v>359.55255433854825</v>
      </c>
      <c r="G318" s="63">
        <f>VLOOKUP(C318,'RAW DATA 2023'!E:BO,58,0)</f>
        <v>174</v>
      </c>
      <c r="H318" s="390">
        <f>IFERROR((G318-F318)/G318,0)</f>
        <v>-1.0663939904514268</v>
      </c>
      <c r="I318" s="398">
        <f>IF(H318&lt;0,((0.25-(H318*(-1)))*$L$7),IF(H318&gt;0,(H318*$N$7)+$L$6,0))</f>
        <v>-43.541012824076098</v>
      </c>
      <c r="J318" s="73">
        <f>VLOOKUP(C318,'RAW DATA 2023'!E:AC,21,0)</f>
        <v>3.6318600000000001</v>
      </c>
      <c r="K318" s="398">
        <f>I318*J318</f>
        <v>-158.13486283524901</v>
      </c>
      <c r="R318" s="400"/>
    </row>
    <row r="319" spans="1:18">
      <c r="A319" s="63" t="str">
        <f>'RAW DATA 2023'!B566</f>
        <v>Lucky2</v>
      </c>
      <c r="B319" s="63" t="str">
        <f>'RAW DATA 2023'!D566</f>
        <v>A1-045-0003</v>
      </c>
      <c r="C319" s="63" t="str">
        <f>A319&amp;B319</f>
        <v>Lucky2A1-045-0003</v>
      </c>
      <c r="D319" s="63">
        <f>VLOOKUP(C319,'RAW DATA 2023'!E:BP,63,0)</f>
        <v>3</v>
      </c>
      <c r="E319" s="63" t="str">
        <f>A319&amp;D319</f>
        <v>Lucky23</v>
      </c>
      <c r="F319" s="389">
        <f>VLOOKUP(C319,'RAW DATA 2023'!E:BO,57,0)</f>
        <v>191.09330620760332</v>
      </c>
      <c r="G319" s="63">
        <f>VLOOKUP(C319,'RAW DATA 2023'!E:BO,58,0)</f>
        <v>210</v>
      </c>
      <c r="H319" s="390">
        <f>IFERROR((G319-F319)/G319,0)</f>
        <v>9.0031875201888961E-2</v>
      </c>
      <c r="I319" s="398">
        <f>IF(H319&lt;0,((0.25-(H319*(-1)))*$L$7),IF(H319&gt;0,(H319*$N$7)+$L$6,0))</f>
        <v>18.135033344100744</v>
      </c>
      <c r="J319" s="73">
        <f>VLOOKUP(C319,'RAW DATA 2023'!E:AC,21,0)</f>
        <v>39.34272</v>
      </c>
      <c r="K319" s="398">
        <f>I319*J319</f>
        <v>713.48153904761921</v>
      </c>
      <c r="R319" s="400"/>
    </row>
    <row r="320" spans="1:18">
      <c r="A320" s="63" t="str">
        <f>'RAW DATA 2023'!B569</f>
        <v>Lucky2</v>
      </c>
      <c r="B320" s="63" t="str">
        <f>'RAW DATA 2023'!D569</f>
        <v>AC-003-0008</v>
      </c>
      <c r="C320" s="63" t="str">
        <f>A320&amp;B320</f>
        <v>Lucky2AC-003-0008</v>
      </c>
      <c r="D320" s="63">
        <f>VLOOKUP(C320,'RAW DATA 2023'!E:BP,63,0)</f>
        <v>3</v>
      </c>
      <c r="E320" s="63" t="str">
        <f>A320&amp;D320</f>
        <v>Lucky23</v>
      </c>
      <c r="F320" s="389">
        <f>VLOOKUP(C320,'RAW DATA 2023'!E:BO,57,0)</f>
        <v>407.58491905397756</v>
      </c>
      <c r="G320" s="63">
        <f>VLOOKUP(C320,'RAW DATA 2023'!E:BO,58,0)</f>
        <v>167</v>
      </c>
      <c r="H320" s="390">
        <f>IFERROR((G320-F320)/G320,0)</f>
        <v>-1.4406282578082488</v>
      </c>
      <c r="I320" s="398">
        <f>IF(H320&lt;0,((0.25-(H320*(-1)))*$L$7),IF(H320&gt;0,(H320*$N$7)+$L$6,0))</f>
        <v>-63.500173749773268</v>
      </c>
      <c r="J320" s="73">
        <f>VLOOKUP(C320,'RAW DATA 2023'!E:AC,21,0)</f>
        <v>3.19781</v>
      </c>
      <c r="K320" s="398">
        <f>I320*J320</f>
        <v>-203.06149061876246</v>
      </c>
      <c r="R320" s="400"/>
    </row>
    <row r="321" spans="1:18">
      <c r="A321" s="63" t="str">
        <f>'RAW DATA 2023'!B558</f>
        <v>Lucky2</v>
      </c>
      <c r="B321" s="63" t="str">
        <f>'RAW DATA 2023'!D558</f>
        <v>AC-001-0009</v>
      </c>
      <c r="C321" s="63" t="str">
        <f>A321&amp;B321</f>
        <v>Lucky2AC-001-0009</v>
      </c>
      <c r="D321" s="63">
        <f>VLOOKUP(C321,'RAW DATA 2023'!E:BP,63,0)</f>
        <v>5</v>
      </c>
      <c r="E321" s="63" t="str">
        <f>A321&amp;D321</f>
        <v>Lucky25</v>
      </c>
      <c r="F321" s="389">
        <f>VLOOKUP(C321,'RAW DATA 2023'!E:BO,57,0)</f>
        <v>257.79046606593232</v>
      </c>
      <c r="G321" s="63">
        <f>VLOOKUP(C321,'RAW DATA 2023'!E:BO,58,0)</f>
        <v>165</v>
      </c>
      <c r="H321" s="390">
        <f>IFERROR((G321-F321)/G321,0)</f>
        <v>-0.56236646100565046</v>
      </c>
      <c r="I321" s="398">
        <f>IF(H321&lt;0,((0.25-(H321*(-1)))*$L$7),IF(H321&gt;0,(H321*$N$7)+$L$6,0))</f>
        <v>-16.659544586968025</v>
      </c>
      <c r="J321" s="73">
        <f>VLOOKUP(C321,'RAW DATA 2023'!E:AC,21,0)</f>
        <v>2.78437</v>
      </c>
      <c r="K321" s="398">
        <f>I321*J321</f>
        <v>-46.386336161616157</v>
      </c>
      <c r="R321" s="400"/>
    </row>
    <row r="322" spans="1:18">
      <c r="A322" s="63" t="str">
        <f>'RAW DATA 2023'!B560</f>
        <v>Lucky2</v>
      </c>
      <c r="B322" s="63" t="str">
        <f>'RAW DATA 2023'!D560</f>
        <v>AC-004-0009</v>
      </c>
      <c r="C322" s="63" t="str">
        <f>A322&amp;B322</f>
        <v>Lucky2AC-004-0009</v>
      </c>
      <c r="D322" s="63">
        <f>VLOOKUP(C322,'RAW DATA 2023'!E:BP,63,0)</f>
        <v>5</v>
      </c>
      <c r="E322" s="63" t="str">
        <f>A322&amp;D322</f>
        <v>Lucky25</v>
      </c>
      <c r="F322" s="389">
        <f>VLOOKUP(C322,'RAW DATA 2023'!E:BO,57,0)</f>
        <v>364.004176029782</v>
      </c>
      <c r="G322" s="63">
        <f>VLOOKUP(C322,'RAW DATA 2023'!E:BO,58,0)</f>
        <v>165</v>
      </c>
      <c r="H322" s="390">
        <f>IFERROR((G322-F322)/G322,0)</f>
        <v>-1.206085915332012</v>
      </c>
      <c r="I322" s="398">
        <f>IF(H322&lt;0,((0.25-(H322*(-1)))*$L$7),IF(H322&gt;0,(H322*$N$7)+$L$6,0))</f>
        <v>-50.991248817707309</v>
      </c>
      <c r="J322" s="73">
        <f>VLOOKUP(C322,'RAW DATA 2023'!E:AC,21,0)</f>
        <v>2.0737399999999999</v>
      </c>
      <c r="K322" s="398">
        <f>I322*J322</f>
        <v>-105.74259232323234</v>
      </c>
      <c r="R322" s="400"/>
    </row>
    <row r="323" spans="1:18">
      <c r="A323" s="63" t="str">
        <f>'RAW DATA 2023'!B563</f>
        <v>Lucky2</v>
      </c>
      <c r="B323" s="63" t="str">
        <f>'RAW DATA 2023'!D563</f>
        <v>AC-005-0009</v>
      </c>
      <c r="C323" s="63" t="str">
        <f>A323&amp;B323</f>
        <v>Lucky2AC-005-0009</v>
      </c>
      <c r="D323" s="63">
        <f>VLOOKUP(C323,'RAW DATA 2023'!E:BP,63,0)</f>
        <v>5</v>
      </c>
      <c r="E323" s="63" t="str">
        <f>A323&amp;D323</f>
        <v>Lucky25</v>
      </c>
      <c r="F323" s="389">
        <f>VLOOKUP(C323,'RAW DATA 2023'!E:BO,57,0)</f>
        <v>304.27857137426923</v>
      </c>
      <c r="G323" s="63">
        <f>VLOOKUP(C323,'RAW DATA 2023'!E:BO,58,0)</f>
        <v>165</v>
      </c>
      <c r="H323" s="390">
        <f>IFERROR((G323-F323)/G323,0)</f>
        <v>-0.84411255378344985</v>
      </c>
      <c r="I323" s="398">
        <f>IF(H323&lt;0,((0.25-(H323*(-1)))*$L$7),IF(H323&gt;0,(H323*$N$7)+$L$6,0))</f>
        <v>-31.686002868450661</v>
      </c>
      <c r="J323" s="73">
        <f>VLOOKUP(C323,'RAW DATA 2023'!E:AC,21,0)</f>
        <v>2.6307800000000001</v>
      </c>
      <c r="K323" s="398">
        <f>I323*J323</f>
        <v>-83.358902626262633</v>
      </c>
      <c r="R323" s="400"/>
    </row>
    <row r="324" spans="1:18">
      <c r="A324" s="63" t="str">
        <f>'RAW DATA 2023'!B565</f>
        <v>Lucky2</v>
      </c>
      <c r="B324" s="63" t="str">
        <f>'RAW DATA 2023'!D565</f>
        <v>AC-002-0009</v>
      </c>
      <c r="C324" s="63" t="str">
        <f>A324&amp;B324</f>
        <v>Lucky2AC-002-0009</v>
      </c>
      <c r="D324" s="63">
        <f>VLOOKUP(C324,'RAW DATA 2023'!E:BP,63,0)</f>
        <v>5</v>
      </c>
      <c r="E324" s="63" t="str">
        <f>A324&amp;D324</f>
        <v>Lucky25</v>
      </c>
      <c r="F324" s="389">
        <f>VLOOKUP(C324,'RAW DATA 2023'!E:BO,57,0)</f>
        <v>240.72984951070794</v>
      </c>
      <c r="G324" s="63">
        <f>VLOOKUP(C324,'RAW DATA 2023'!E:BO,58,0)</f>
        <v>158</v>
      </c>
      <c r="H324" s="390">
        <f>IFERROR((G324-F324)/G324,0)</f>
        <v>-0.52360664247283506</v>
      </c>
      <c r="I324" s="398">
        <f>IF(H324&lt;0,((0.25-(H324*(-1)))*$L$7),IF(H324&gt;0,(H324*$N$7)+$L$6,0))</f>
        <v>-14.592354265217871</v>
      </c>
      <c r="J324" s="73">
        <f>VLOOKUP(C324,'RAW DATA 2023'!E:AC,21,0)</f>
        <v>2.9716399999999998</v>
      </c>
      <c r="K324" s="398">
        <f>I324*J324</f>
        <v>-43.363223628692033</v>
      </c>
      <c r="R324" s="400"/>
    </row>
    <row r="325" spans="1:18">
      <c r="A325" s="63" t="str">
        <f>'RAW DATA 2023'!B568</f>
        <v>Lucky2</v>
      </c>
      <c r="B325" s="63" t="str">
        <f>'RAW DATA 2023'!D568</f>
        <v>A1-045-0004</v>
      </c>
      <c r="C325" s="63" t="str">
        <f>A325&amp;B325</f>
        <v>Lucky2A1-045-0004</v>
      </c>
      <c r="D325" s="63">
        <f>VLOOKUP(C325,'RAW DATA 2023'!E:BP,63,0)</f>
        <v>6</v>
      </c>
      <c r="E325" s="63" t="str">
        <f>A325&amp;D325</f>
        <v>Lucky26</v>
      </c>
      <c r="F325" s="389">
        <f>VLOOKUP(C325,'RAW DATA 2023'!E:BO,57,0)</f>
        <v>190.06585626453725</v>
      </c>
      <c r="G325" s="63">
        <f>VLOOKUP(C325,'RAW DATA 2023'!E:BO,58,0)</f>
        <v>163</v>
      </c>
      <c r="H325" s="390">
        <f>IFERROR((G325-F325)/G325,0)</f>
        <v>-0.16604819794194628</v>
      </c>
      <c r="I325" s="398">
        <f>IF(H325&lt;0,((0.25-(H325*(-1)))*$L$7),IF(H325&gt;0,(H325*$N$7)+$L$6,0))</f>
        <v>4.4774294430961987</v>
      </c>
      <c r="J325" s="73">
        <f>VLOOKUP(C325,'RAW DATA 2023'!E:AC,21,0)</f>
        <v>24.493189999999998</v>
      </c>
      <c r="K325" s="398">
        <f>I325*J325</f>
        <v>109.66653006134938</v>
      </c>
      <c r="R325" s="400"/>
    </row>
    <row r="326" spans="1:18">
      <c r="A326" s="63" t="str">
        <f>'RAW DATA 2023'!B557</f>
        <v>Lucky2</v>
      </c>
      <c r="B326" s="63" t="str">
        <f>'RAW DATA 2023'!D557</f>
        <v>AC-001-0010</v>
      </c>
      <c r="C326" s="63" t="str">
        <f>A326&amp;B326</f>
        <v>Lucky2AC-001-0010</v>
      </c>
      <c r="D326" s="63">
        <f>VLOOKUP(C326,'RAW DATA 2023'!E:BP,63,0)</f>
        <v>7</v>
      </c>
      <c r="E326" s="63" t="str">
        <f>A326&amp;D326</f>
        <v>Lucky27</v>
      </c>
      <c r="F326" s="389">
        <f>VLOOKUP(C326,'RAW DATA 2023'!E:BO,57,0)</f>
        <v>238.74900645531309</v>
      </c>
      <c r="G326" s="63">
        <f>VLOOKUP(C326,'RAW DATA 2023'!E:BO,58,0)</f>
        <v>175</v>
      </c>
      <c r="H326" s="390">
        <f>IFERROR((G326-F326)/G326,0)</f>
        <v>-0.36428003688750338</v>
      </c>
      <c r="I326" s="398">
        <f>IF(H326&lt;0,((0.25-(H326*(-1)))*$L$7),IF(H326&gt;0,(H326*$N$7)+$L$6,0))</f>
        <v>-6.0949353006668474</v>
      </c>
      <c r="J326" s="73">
        <f>VLOOKUP(C326,'RAW DATA 2023'!E:AC,21,0)</f>
        <v>3.2082100000000002</v>
      </c>
      <c r="K326" s="398">
        <f>I326*J326</f>
        <v>-19.55383238095239</v>
      </c>
      <c r="R326" s="400"/>
    </row>
    <row r="327" spans="1:18">
      <c r="A327" s="63" t="str">
        <f>'RAW DATA 2023'!B559</f>
        <v>Lucky2</v>
      </c>
      <c r="B327" s="63" t="str">
        <f>'RAW DATA 2023'!D559</f>
        <v>AC-002-0010</v>
      </c>
      <c r="C327" s="63" t="str">
        <f>A327&amp;B327</f>
        <v>Lucky2AC-002-0010</v>
      </c>
      <c r="D327" s="63">
        <f>VLOOKUP(C327,'RAW DATA 2023'!E:BP,63,0)</f>
        <v>7</v>
      </c>
      <c r="E327" s="63" t="str">
        <f>A327&amp;D327</f>
        <v>Lucky27</v>
      </c>
      <c r="F327" s="389">
        <f>VLOOKUP(C327,'RAW DATA 2023'!E:BO,57,0)</f>
        <v>160.42310153742355</v>
      </c>
      <c r="G327" s="63">
        <f>VLOOKUP(C327,'RAW DATA 2023'!E:BO,58,0)</f>
        <v>166</v>
      </c>
      <c r="H327" s="390">
        <f>IFERROR((G327-F327)/G327,0)</f>
        <v>3.359577387094248E-2</v>
      </c>
      <c r="I327" s="398">
        <f>IF(H327&lt;0,((0.25-(H327*(-1)))*$L$7),IF(H327&gt;0,(H327*$N$7)+$L$6,0))</f>
        <v>15.1251079397836</v>
      </c>
      <c r="J327" s="73">
        <f>VLOOKUP(C327,'RAW DATA 2023'!E:AC,21,0)</f>
        <v>4.0314199999999998</v>
      </c>
      <c r="K327" s="398">
        <f>I327*J327</f>
        <v>60.975662650602395</v>
      </c>
      <c r="R327" s="400"/>
    </row>
    <row r="328" spans="1:18">
      <c r="A328" s="63" t="str">
        <f>'RAW DATA 2023'!B571</f>
        <v>Lucky2</v>
      </c>
      <c r="B328" s="63" t="str">
        <f>'RAW DATA 2023'!D571</f>
        <v>AC-004-0010</v>
      </c>
      <c r="C328" s="63" t="str">
        <f>A328&amp;B328</f>
        <v>Lucky2AC-004-0010</v>
      </c>
      <c r="D328" s="63">
        <f>VLOOKUP(C328,'RAW DATA 2023'!E:BP,63,0)</f>
        <v>7</v>
      </c>
      <c r="E328" s="63" t="str">
        <f>A328&amp;D328</f>
        <v>Lucky27</v>
      </c>
      <c r="F328" s="389">
        <f>VLOOKUP(C328,'RAW DATA 2023'!E:BO,57,0)</f>
        <v>133.61429847589881</v>
      </c>
      <c r="G328" s="63">
        <f>VLOOKUP(C328,'RAW DATA 2023'!E:BO,58,0)</f>
        <v>150</v>
      </c>
      <c r="H328" s="390">
        <f>IFERROR((G328-F328)/G328,0)</f>
        <v>0.10923801016067462</v>
      </c>
      <c r="I328" s="398">
        <f>IF(H328&lt;0,((0.25-(H328*(-1)))*$L$7),IF(H328&gt;0,(H328*$N$7)+$L$6,0))</f>
        <v>19.159360541902647</v>
      </c>
      <c r="J328" s="73">
        <f>VLOOKUP(C328,'RAW DATA 2023'!E:AC,21,0)</f>
        <v>4.3881600000000001</v>
      </c>
      <c r="K328" s="398">
        <f>I328*J328</f>
        <v>84.074339555555525</v>
      </c>
      <c r="R328" s="400"/>
    </row>
    <row r="329" spans="1:18">
      <c r="A329" s="63" t="str">
        <f>'RAW DATA 2023'!B572</f>
        <v>Lucky2</v>
      </c>
      <c r="B329" s="63" t="str">
        <f>'RAW DATA 2023'!D572</f>
        <v>AC-005-0010</v>
      </c>
      <c r="C329" s="63" t="str">
        <f>A329&amp;B329</f>
        <v>Lucky2AC-005-0010</v>
      </c>
      <c r="D329" s="63">
        <f>VLOOKUP(C329,'RAW DATA 2023'!E:BP,63,0)</f>
        <v>7</v>
      </c>
      <c r="E329" s="63" t="str">
        <f>A329&amp;D329</f>
        <v>Lucky27</v>
      </c>
      <c r="F329" s="389">
        <f>VLOOKUP(C329,'RAW DATA 2023'!E:BO,57,0)</f>
        <v>189.66478661103818</v>
      </c>
      <c r="G329" s="63">
        <f>VLOOKUP(C329,'RAW DATA 2023'!E:BO,58,0)</f>
        <v>150</v>
      </c>
      <c r="H329" s="390">
        <f>IFERROR((G329-F329)/G329,0)</f>
        <v>-0.26443191074025452</v>
      </c>
      <c r="I329" s="398">
        <f>IF(H329&lt;0,((0.25-(H329*(-1)))*$L$7),IF(H329&gt;0,(H329*$N$7)+$L$6,0))</f>
        <v>-0.76970190614690759</v>
      </c>
      <c r="J329" s="73">
        <f>VLOOKUP(C329,'RAW DATA 2023'!E:AC,21,0)</f>
        <v>3.1470700000000003</v>
      </c>
      <c r="K329" s="398">
        <f>I329*J329</f>
        <v>-2.4223057777777486</v>
      </c>
      <c r="R329" s="400"/>
    </row>
    <row r="330" spans="1:18">
      <c r="A330" s="63" t="str">
        <f>'RAW DATA 2023'!B573</f>
        <v>Lucky2</v>
      </c>
      <c r="B330" s="63" t="str">
        <f>'RAW DATA 2023'!D573</f>
        <v>AC-003-0009</v>
      </c>
      <c r="C330" s="63" t="str">
        <f>A330&amp;B330</f>
        <v>Lucky2AC-003-0009</v>
      </c>
      <c r="D330" s="63">
        <f>VLOOKUP(C330,'RAW DATA 2023'!E:BP,63,0)</f>
        <v>7</v>
      </c>
      <c r="E330" s="63" t="str">
        <f>A330&amp;D330</f>
        <v>Lucky27</v>
      </c>
      <c r="F330" s="389">
        <f>VLOOKUP(C330,'RAW DATA 2023'!E:BO,57,0)</f>
        <v>130.91175463050465</v>
      </c>
      <c r="G330" s="63">
        <f>VLOOKUP(C330,'RAW DATA 2023'!E:BO,58,0)</f>
        <v>150</v>
      </c>
      <c r="H330" s="390">
        <f>IFERROR((G330-F330)/G330,0)</f>
        <v>0.12725496912996903</v>
      </c>
      <c r="I330" s="398">
        <f>IF(H330&lt;0,((0.25-(H330*(-1)))*$L$7),IF(H330&gt;0,(H330*$N$7)+$L$6,0))</f>
        <v>20.120265020265016</v>
      </c>
      <c r="J330" s="73">
        <f>VLOOKUP(C330,'RAW DATA 2023'!E:AC,21,0)</f>
        <v>5.0793599999999994</v>
      </c>
      <c r="K330" s="398">
        <f>I330*J330</f>
        <v>102.19806933333331</v>
      </c>
      <c r="R330" s="400"/>
    </row>
    <row r="331" spans="1:18">
      <c r="A331" s="63" t="str">
        <f>'RAW DATA 2023'!B570</f>
        <v>Lucky2</v>
      </c>
      <c r="B331" s="63" t="str">
        <f>'RAW DATA 2023'!D570</f>
        <v>A1-045-0005</v>
      </c>
      <c r="C331" s="63" t="str">
        <f>A331&amp;B331</f>
        <v>Lucky2A1-045-0005</v>
      </c>
      <c r="D331" s="63">
        <f>VLOOKUP(C331,'RAW DATA 2023'!E:BP,63,0)</f>
        <v>9</v>
      </c>
      <c r="E331" s="63" t="str">
        <f>A331&amp;D331</f>
        <v>Lucky29</v>
      </c>
      <c r="F331" s="389">
        <f>VLOOKUP(C331,'RAW DATA 2023'!E:BO,57,0)</f>
        <v>221.00301889035046</v>
      </c>
      <c r="G331" s="63">
        <f>VLOOKUP(C331,'RAW DATA 2023'!E:BO,58,0)</f>
        <v>150</v>
      </c>
      <c r="H331" s="390">
        <f>IFERROR((G331-F331)/G331,0)</f>
        <v>-0.47335345926900307</v>
      </c>
      <c r="I331" s="398">
        <f>IF(H331&lt;0,((0.25-(H331*(-1)))*$L$7),IF(H331&gt;0,(H331*$N$7)+$L$6,0))</f>
        <v>-11.912184494346832</v>
      </c>
      <c r="J331" s="73">
        <f>VLOOKUP(C331,'RAW DATA 2023'!E:AC,21,0)</f>
        <v>22.548020000000001</v>
      </c>
      <c r="K331" s="398">
        <f>I331*J331</f>
        <v>-268.59617422222226</v>
      </c>
      <c r="R331" s="400"/>
    </row>
    <row r="332" spans="1:18">
      <c r="A332" s="63" t="str">
        <f>'RAW DATA 2023'!B700</f>
        <v>Lucky3</v>
      </c>
      <c r="B332" s="63" t="str">
        <f>'RAW DATA 2023'!D700</f>
        <v>B1-011-0027</v>
      </c>
      <c r="C332" s="63" t="str">
        <f>A332&amp;B332</f>
        <v>Lucky3B1-011-0027</v>
      </c>
      <c r="D332" s="63">
        <f>VLOOKUP(C332,'RAW DATA 2023'!E:BP,63,0)</f>
        <v>3</v>
      </c>
      <c r="E332" s="63" t="str">
        <f>A332&amp;D332</f>
        <v>Lucky33</v>
      </c>
      <c r="F332" s="389">
        <f>VLOOKUP(C332,'RAW DATA 2023'!E:BO,57,0)</f>
        <v>224.92250916475632</v>
      </c>
      <c r="G332" s="63">
        <f>VLOOKUP(C332,'RAW DATA 2023'!E:BO,58,0)</f>
        <v>200</v>
      </c>
      <c r="H332" s="390">
        <f>IFERROR((G332-F332)/G332,0)</f>
        <v>-0.1246125458237816</v>
      </c>
      <c r="I332" s="398">
        <f>IF(H332&lt;0,((0.25-(H332*(-1)))*$L$7),IF(H332&gt;0,(H332*$N$7)+$L$6,0))</f>
        <v>6.6873308893983143</v>
      </c>
      <c r="J332" s="73">
        <f>VLOOKUP(C332,'RAW DATA 2023'!E:AC,21,0)</f>
        <v>27.521189999999997</v>
      </c>
      <c r="K332" s="398">
        <f>I332*J332</f>
        <v>184.04330399999998</v>
      </c>
      <c r="R332" s="400"/>
    </row>
    <row r="333" spans="1:18">
      <c r="A333" s="63" t="str">
        <f>'RAW DATA 2023'!B702</f>
        <v>Lucky3</v>
      </c>
      <c r="B333" s="63" t="str">
        <f>'RAW DATA 2023'!D702</f>
        <v>B1-022-0011</v>
      </c>
      <c r="C333" s="63" t="str">
        <f>A333&amp;B333</f>
        <v>Lucky3B1-022-0011</v>
      </c>
      <c r="D333" s="63">
        <f>VLOOKUP(C333,'RAW DATA 2023'!E:BP,63,0)</f>
        <v>3</v>
      </c>
      <c r="E333" s="63" t="str">
        <f>A333&amp;D333</f>
        <v>Lucky33</v>
      </c>
      <c r="F333" s="389">
        <f>VLOOKUP(C333,'RAW DATA 2023'!E:BO,57,0)</f>
        <v>204.85514155625674</v>
      </c>
      <c r="G333" s="63">
        <f>VLOOKUP(C333,'RAW DATA 2023'!E:BO,58,0)</f>
        <v>187</v>
      </c>
      <c r="H333" s="390">
        <f>IFERROR((G333-F333)/G333,0)</f>
        <v>-9.5482040407790056E-2</v>
      </c>
      <c r="I333" s="398">
        <f>IF(H333&lt;0,((0.25-(H333*(-1)))*$L$7),IF(H333&gt;0,(H333*$N$7)+$L$6,0))</f>
        <v>8.2409578449178635</v>
      </c>
      <c r="J333" s="73">
        <f>VLOOKUP(C333,'RAW DATA 2023'!E:AC,21,0)</f>
        <v>14.09369</v>
      </c>
      <c r="K333" s="398">
        <f>I333*J333</f>
        <v>116.14550516934045</v>
      </c>
      <c r="R333" s="400"/>
    </row>
    <row r="334" spans="1:18">
      <c r="A334" s="63" t="str">
        <f>'RAW DATA 2023'!B704</f>
        <v>Lucky3</v>
      </c>
      <c r="B334" s="63" t="str">
        <f>'RAW DATA 2023'!D704</f>
        <v>BG-026-0010</v>
      </c>
      <c r="C334" s="63" t="str">
        <f>A334&amp;B334</f>
        <v>Lucky3BG-026-0010</v>
      </c>
      <c r="D334" s="63">
        <f>VLOOKUP(C334,'RAW DATA 2023'!E:BP,63,0)</f>
        <v>3</v>
      </c>
      <c r="E334" s="63" t="str">
        <f>A334&amp;D334</f>
        <v>Lucky33</v>
      </c>
      <c r="F334" s="389">
        <f>VLOOKUP(C334,'RAW DATA 2023'!E:BO,57,0)</f>
        <v>386.27798540649616</v>
      </c>
      <c r="G334" s="63">
        <f>VLOOKUP(C334,'RAW DATA 2023'!E:BO,58,0)</f>
        <v>197</v>
      </c>
      <c r="H334" s="390">
        <f>IFERROR((G334-F334)/G334,0)</f>
        <v>-0.96080195637815313</v>
      </c>
      <c r="I334" s="398">
        <f>IF(H334&lt;0,((0.25-(H334*(-1)))*$L$7),IF(H334&gt;0,(H334*$N$7)+$L$6,0))</f>
        <v>-37.9094376735015</v>
      </c>
      <c r="J334" s="73">
        <f>VLOOKUP(C334,'RAW DATA 2023'!E:AC,21,0)</f>
        <v>11.130979999999999</v>
      </c>
      <c r="K334" s="398">
        <f>I334*J334</f>
        <v>-421.96919255499171</v>
      </c>
      <c r="R334" s="400"/>
    </row>
    <row r="335" spans="1:18">
      <c r="A335" s="63" t="str">
        <f>'RAW DATA 2023'!B705</f>
        <v>Lucky3</v>
      </c>
      <c r="B335" s="63" t="str">
        <f>'RAW DATA 2023'!D705</f>
        <v>BG-027-0010</v>
      </c>
      <c r="C335" s="63" t="str">
        <f>A335&amp;B335</f>
        <v>Lucky3BG-027-0010</v>
      </c>
      <c r="D335" s="63">
        <f>VLOOKUP(C335,'RAW DATA 2023'!E:BP,63,0)</f>
        <v>3</v>
      </c>
      <c r="E335" s="63" t="str">
        <f>A335&amp;D335</f>
        <v>Lucky33</v>
      </c>
      <c r="F335" s="389">
        <f>VLOOKUP(C335,'RAW DATA 2023'!E:BO,57,0)</f>
        <v>349.84822888065258</v>
      </c>
      <c r="G335" s="63">
        <f>VLOOKUP(C335,'RAW DATA 2023'!E:BO,58,0)</f>
        <v>186</v>
      </c>
      <c r="H335" s="390">
        <f>IFERROR((G335-F335)/G335,0)</f>
        <v>-0.88090445634759451</v>
      </c>
      <c r="I335" s="398">
        <f>IF(H335&lt;0,((0.25-(H335*(-1)))*$L$7),IF(H335&gt;0,(H335*$N$7)+$L$6,0))</f>
        <v>-33.648237671871712</v>
      </c>
      <c r="J335" s="73">
        <f>VLOOKUP(C335,'RAW DATA 2023'!E:AC,21,0)</f>
        <v>12.492100000000001</v>
      </c>
      <c r="K335" s="398">
        <f>I335*J335</f>
        <v>-420.33714982078862</v>
      </c>
      <c r="R335" s="400"/>
    </row>
    <row r="336" spans="1:18">
      <c r="A336" s="63" t="str">
        <f>'RAW DATA 2023'!B708</f>
        <v>Lucky3</v>
      </c>
      <c r="B336" s="63" t="str">
        <f>'RAW DATA 2023'!D708</f>
        <v>B1-023-0011</v>
      </c>
      <c r="C336" s="63" t="str">
        <f>A336&amp;B336</f>
        <v>Lucky3B1-023-0011</v>
      </c>
      <c r="D336" s="63">
        <f>VLOOKUP(C336,'RAW DATA 2023'!E:BP,63,0)</f>
        <v>3</v>
      </c>
      <c r="E336" s="63" t="str">
        <f>A336&amp;D336</f>
        <v>Lucky33</v>
      </c>
      <c r="F336" s="389">
        <f>VLOOKUP(C336,'RAW DATA 2023'!E:BO,57,0)</f>
        <v>237.38453771100072</v>
      </c>
      <c r="G336" s="63">
        <f>VLOOKUP(C336,'RAW DATA 2023'!E:BO,58,0)</f>
        <v>180</v>
      </c>
      <c r="H336" s="390">
        <f>IFERROR((G336-F336)/G336,0)</f>
        <v>-0.31880298728333734</v>
      </c>
      <c r="I336" s="398">
        <f>IF(H336&lt;0,((0.25-(H336*(-1)))*$L$7),IF(H336&gt;0,(H336*$N$7)+$L$6,0))</f>
        <v>-3.6694926551113247</v>
      </c>
      <c r="J336" s="73">
        <f>VLOOKUP(C336,'RAW DATA 2023'!E:AC,21,0)</f>
        <v>11.685979999999999</v>
      </c>
      <c r="K336" s="398">
        <f>I336*J336</f>
        <v>-42.881617777777834</v>
      </c>
      <c r="R336" s="400"/>
    </row>
    <row r="337" spans="1:18">
      <c r="A337" s="63" t="str">
        <f>'RAW DATA 2023'!B696</f>
        <v>Lucky3</v>
      </c>
      <c r="B337" s="63" t="str">
        <f>'RAW DATA 2023'!D696</f>
        <v>B1-025-0010</v>
      </c>
      <c r="C337" s="63" t="str">
        <f>A337&amp;B337</f>
        <v>Lucky3B1-025-0010</v>
      </c>
      <c r="D337" s="63">
        <f>VLOOKUP(C337,'RAW DATA 2023'!E:BP,63,0)</f>
        <v>5</v>
      </c>
      <c r="E337" s="63" t="str">
        <f>A337&amp;D337</f>
        <v>Lucky35</v>
      </c>
      <c r="F337" s="389">
        <f>VLOOKUP(C337,'RAW DATA 2023'!E:BO,57,0)</f>
        <v>226.68648150038428</v>
      </c>
      <c r="G337" s="63">
        <f>VLOOKUP(C337,'RAW DATA 2023'!E:BO,58,0)</f>
        <v>194</v>
      </c>
      <c r="H337" s="390">
        <f>IFERROR((G337-F337)/G337,0)</f>
        <v>-0.16848701804321792</v>
      </c>
      <c r="I337" s="398">
        <f>IF(H337&lt;0,((0.25-(H337*(-1)))*$L$7),IF(H337&gt;0,(H337*$N$7)+$L$6,0))</f>
        <v>4.3473590376950444</v>
      </c>
      <c r="J337" s="73">
        <f>VLOOKUP(C337,'RAW DATA 2023'!E:AC,21,0)</f>
        <v>13.32352</v>
      </c>
      <c r="K337" s="398">
        <f>I337*J337</f>
        <v>57.922125085910679</v>
      </c>
      <c r="R337" s="400"/>
    </row>
    <row r="338" spans="1:18">
      <c r="A338" s="63" t="str">
        <f>'RAW DATA 2023'!B697</f>
        <v>Lucky3</v>
      </c>
      <c r="B338" s="63" t="str">
        <f>'RAW DATA 2023'!D697</f>
        <v>B1-024-0009</v>
      </c>
      <c r="C338" s="63" t="str">
        <f>A338&amp;B338</f>
        <v>Lucky3B1-024-0009</v>
      </c>
      <c r="D338" s="63">
        <f>VLOOKUP(C338,'RAW DATA 2023'!E:BP,63,0)</f>
        <v>5</v>
      </c>
      <c r="E338" s="63" t="str">
        <f>A338&amp;D338</f>
        <v>Lucky35</v>
      </c>
      <c r="F338" s="389">
        <f>VLOOKUP(C338,'RAW DATA 2023'!E:BO,57,0)</f>
        <v>227.4350396575872</v>
      </c>
      <c r="G338" s="63">
        <f>VLOOKUP(C338,'RAW DATA 2023'!E:BO,58,0)</f>
        <v>192</v>
      </c>
      <c r="H338" s="390">
        <f>IFERROR((G338-F338)/G338,0)</f>
        <v>-0.18455749821659997</v>
      </c>
      <c r="I338" s="398">
        <f>IF(H338&lt;0,((0.25-(H338*(-1)))*$L$7),IF(H338&gt;0,(H338*$N$7)+$L$6,0))</f>
        <v>3.490266761781335</v>
      </c>
      <c r="J338" s="73">
        <f>VLOOKUP(C338,'RAW DATA 2023'!E:AC,21,0)</f>
        <v>13.00886</v>
      </c>
      <c r="K338" s="398">
        <f>I338*J338</f>
        <v>45.40439166666674</v>
      </c>
      <c r="R338" s="400"/>
    </row>
    <row r="339" spans="1:18">
      <c r="A339" s="63" t="str">
        <f>'RAW DATA 2023'!B699</f>
        <v>Lucky3</v>
      </c>
      <c r="B339" s="63" t="str">
        <f>'RAW DATA 2023'!D699</f>
        <v>B1-023-0012</v>
      </c>
      <c r="C339" s="63" t="str">
        <f>A339&amp;B339</f>
        <v>Lucky3B1-023-0012</v>
      </c>
      <c r="D339" s="63">
        <f>VLOOKUP(C339,'RAW DATA 2023'!E:BP,63,0)</f>
        <v>5</v>
      </c>
      <c r="E339" s="63" t="str">
        <f>A339&amp;D339</f>
        <v>Lucky35</v>
      </c>
      <c r="F339" s="389">
        <f>VLOOKUP(C339,'RAW DATA 2023'!E:BO,57,0)</f>
        <v>330.53319337816953</v>
      </c>
      <c r="G339" s="63">
        <f>VLOOKUP(C339,'RAW DATA 2023'!E:BO,58,0)</f>
        <v>150</v>
      </c>
      <c r="H339" s="390">
        <f>IFERROR((G339-F339)/G339,0)</f>
        <v>-1.2035546225211302</v>
      </c>
      <c r="I339" s="398">
        <f>IF(H339&lt;0,((0.25-(H339*(-1)))*$L$7),IF(H339&gt;0,(H339*$N$7)+$L$6,0))</f>
        <v>-50.856246534460283</v>
      </c>
      <c r="J339" s="73">
        <f>VLOOKUP(C339,'RAW DATA 2023'!E:AC,21,0)</f>
        <v>4.7491400000000006</v>
      </c>
      <c r="K339" s="398">
        <f>I339*J339</f>
        <v>-241.52343466666673</v>
      </c>
      <c r="R339" s="400"/>
    </row>
    <row r="340" spans="1:18">
      <c r="A340" s="63" t="str">
        <f>'RAW DATA 2023'!B701</f>
        <v>Lucky3</v>
      </c>
      <c r="B340" s="63" t="str">
        <f>'RAW DATA 2023'!D701</f>
        <v>BG-027-0011</v>
      </c>
      <c r="C340" s="63" t="str">
        <f>A340&amp;B340</f>
        <v>Lucky3BG-027-0011</v>
      </c>
      <c r="D340" s="63">
        <f>VLOOKUP(C340,'RAW DATA 2023'!E:BP,63,0)</f>
        <v>5</v>
      </c>
      <c r="E340" s="63" t="str">
        <f>A340&amp;D340</f>
        <v>Lucky35</v>
      </c>
      <c r="F340" s="389">
        <f>VLOOKUP(C340,'RAW DATA 2023'!E:BO,57,0)</f>
        <v>340.73727335189824</v>
      </c>
      <c r="G340" s="63">
        <f>VLOOKUP(C340,'RAW DATA 2023'!E:BO,58,0)</f>
        <v>150</v>
      </c>
      <c r="H340" s="390">
        <f>IFERROR((G340-F340)/G340,0)</f>
        <v>-1.2715818223459883</v>
      </c>
      <c r="I340" s="398">
        <f>IF(H340&lt;0,((0.25-(H340*(-1)))*$L$7),IF(H340&gt;0,(H340*$N$7)+$L$6,0))</f>
        <v>-54.48436385845271</v>
      </c>
      <c r="J340" s="73">
        <f>VLOOKUP(C340,'RAW DATA 2023'!E:AC,21,0)</f>
        <v>4.6718900000000003</v>
      </c>
      <c r="K340" s="398">
        <f>I340*J340</f>
        <v>-254.54495466666665</v>
      </c>
      <c r="R340" s="400"/>
    </row>
    <row r="341" spans="1:18">
      <c r="A341" s="63" t="str">
        <f>'RAW DATA 2023'!B703</f>
        <v>Lucky3</v>
      </c>
      <c r="B341" s="63" t="str">
        <f>'RAW DATA 2023'!D703</f>
        <v>B1-022-0012</v>
      </c>
      <c r="C341" s="63" t="str">
        <f>A341&amp;B341</f>
        <v>Lucky3B1-022-0012</v>
      </c>
      <c r="D341" s="63">
        <f>VLOOKUP(C341,'RAW DATA 2023'!E:BP,63,0)</f>
        <v>5</v>
      </c>
      <c r="E341" s="63" t="str">
        <f>A341&amp;D341</f>
        <v>Lucky35</v>
      </c>
      <c r="F341" s="389">
        <f>VLOOKUP(C341,'RAW DATA 2023'!E:BO,57,0)</f>
        <v>586.39096964129931</v>
      </c>
      <c r="G341" s="63">
        <f>VLOOKUP(C341,'RAW DATA 2023'!E:BO,58,0)</f>
        <v>150</v>
      </c>
      <c r="H341" s="390">
        <f>IFERROR((G341-F341)/G341,0)</f>
        <v>-2.9092731309419952</v>
      </c>
      <c r="I341" s="398">
        <f>IF(H341&lt;0,((0.25-(H341*(-1)))*$L$7),IF(H341&gt;0,(H341*$N$7)+$L$6,0))</f>
        <v>-141.82790031690641</v>
      </c>
      <c r="J341" s="73">
        <f>VLOOKUP(C341,'RAW DATA 2023'!E:AC,21,0)</f>
        <v>2.60189</v>
      </c>
      <c r="K341" s="398">
        <f>I341*J341</f>
        <v>-369.02059555555564</v>
      </c>
      <c r="R341" s="400"/>
    </row>
    <row r="342" spans="1:18">
      <c r="A342" s="63" t="str">
        <f>'RAW DATA 2023'!B706</f>
        <v>Lucky3</v>
      </c>
      <c r="B342" s="63" t="str">
        <f>'RAW DATA 2023'!D706</f>
        <v>BG-026-0011</v>
      </c>
      <c r="C342" s="63" t="str">
        <f>A342&amp;B342</f>
        <v>Lucky3BG-026-0011</v>
      </c>
      <c r="D342" s="63">
        <f>VLOOKUP(C342,'RAW DATA 2023'!E:BP,63,0)</f>
        <v>5</v>
      </c>
      <c r="E342" s="63" t="str">
        <f>A342&amp;D342</f>
        <v>Lucky35</v>
      </c>
      <c r="F342" s="389">
        <f>VLOOKUP(C342,'RAW DATA 2023'!E:BO,57,0)</f>
        <v>397.03374505610122</v>
      </c>
      <c r="G342" s="63">
        <f>VLOOKUP(C342,'RAW DATA 2023'!E:BO,58,0)</f>
        <v>150</v>
      </c>
      <c r="H342" s="390">
        <f>IFERROR((G342-F342)/G342,0)</f>
        <v>-1.6468916337073416</v>
      </c>
      <c r="I342" s="398">
        <f>IF(H342&lt;0,((0.25-(H342*(-1)))*$L$7),IF(H342&gt;0,(H342*$N$7)+$L$6,0))</f>
        <v>-74.500887131058221</v>
      </c>
      <c r="J342" s="73">
        <f>VLOOKUP(C342,'RAW DATA 2023'!E:AC,21,0)</f>
        <v>4.0302199999999999</v>
      </c>
      <c r="K342" s="398">
        <f>I342*J342</f>
        <v>-300.25496533333347</v>
      </c>
      <c r="R342" s="400"/>
    </row>
    <row r="343" spans="1:18">
      <c r="A343" s="63" t="str">
        <f>'RAW DATA 2023'!B698</f>
        <v>Lucky3</v>
      </c>
      <c r="B343" s="63" t="str">
        <f>'RAW DATA 2023'!D698</f>
        <v>B1-011-0028</v>
      </c>
      <c r="C343" s="63" t="str">
        <f>A343&amp;B343</f>
        <v>Lucky3B1-011-0028</v>
      </c>
      <c r="D343" s="63">
        <f>VLOOKUP(C343,'RAW DATA 2023'!E:BP,63,0)</f>
        <v>6</v>
      </c>
      <c r="E343" s="63" t="str">
        <f>A343&amp;D343</f>
        <v>Lucky36</v>
      </c>
      <c r="F343" s="389">
        <f>VLOOKUP(C343,'RAW DATA 2023'!E:BO,57,0)</f>
        <v>292.0393120339474</v>
      </c>
      <c r="G343" s="63">
        <f>VLOOKUP(C343,'RAW DATA 2023'!E:BO,58,0)</f>
        <v>169</v>
      </c>
      <c r="H343" s="390">
        <f>IFERROR((G343-F343)/G343,0)</f>
        <v>-0.7280432664730615</v>
      </c>
      <c r="I343" s="398">
        <f>IF(H343&lt;0,((0.25-(H343*(-1)))*$L$7),IF(H343&gt;0,(H343*$N$7)+$L$6,0))</f>
        <v>-25.495640878563282</v>
      </c>
      <c r="J343" s="73">
        <f>VLOOKUP(C343,'RAW DATA 2023'!E:AC,21,0)</f>
        <v>18.32009</v>
      </c>
      <c r="K343" s="398">
        <f>I343*J343</f>
        <v>-467.08243550295839</v>
      </c>
      <c r="R343" s="400"/>
    </row>
    <row r="344" spans="1:18" ht="15" customHeight="1">
      <c r="A344" s="63" t="str">
        <f>'RAW DATA 2023'!B709</f>
        <v>Lucky3</v>
      </c>
      <c r="B344" s="63" t="str">
        <f>'RAW DATA 2023'!D709</f>
        <v>BG-027-0012</v>
      </c>
      <c r="C344" s="63" t="str">
        <f>A344&amp;B344</f>
        <v>Lucky3BG-027-0012</v>
      </c>
      <c r="D344" s="63">
        <f>VLOOKUP(C344,'RAW DATA 2023'!E:BP,63,0)</f>
        <v>7</v>
      </c>
      <c r="E344" s="63" t="str">
        <f>A344&amp;D344</f>
        <v>Lucky37</v>
      </c>
      <c r="F344" s="389">
        <f>VLOOKUP(C344,'RAW DATA 2023'!E:BO,57,0)</f>
        <v>323.2332220322445</v>
      </c>
      <c r="G344" s="63">
        <f>VLOOKUP(C344,'RAW DATA 2023'!E:BO,58,0)</f>
        <v>150</v>
      </c>
      <c r="H344" s="390">
        <f>IFERROR((G344-F344)/G344,0)</f>
        <v>-1.1548881468816299</v>
      </c>
      <c r="I344" s="398">
        <f>IF(H344&lt;0,((0.25-(H344*(-1)))*$L$7),IF(H344&gt;0,(H344*$N$7)+$L$6,0))</f>
        <v>-48.260701167020265</v>
      </c>
      <c r="J344" s="73">
        <f>VLOOKUP(C344,'RAW DATA 2023'!E:AC,21,0)</f>
        <v>4.4683599999999997</v>
      </c>
      <c r="K344" s="398">
        <f>I344*J344</f>
        <v>-215.64618666666667</v>
      </c>
      <c r="R344" s="400"/>
    </row>
    <row r="345" spans="1:18">
      <c r="A345" s="63" t="str">
        <f>'RAW DATA 2023'!B707</f>
        <v>Lucky3</v>
      </c>
      <c r="B345" s="63" t="str">
        <f>'RAW DATA 2023'!D707</f>
        <v>B1-024-0010</v>
      </c>
      <c r="C345" s="63" t="str">
        <f>A345&amp;B345</f>
        <v>Lucky3B1-024-0010</v>
      </c>
      <c r="D345" s="63">
        <f>VLOOKUP(C345,'RAW DATA 2023'!E:BP,63,0)</f>
        <v>8</v>
      </c>
      <c r="E345" s="63" t="str">
        <f>A345&amp;D345</f>
        <v>Lucky38</v>
      </c>
      <c r="F345" s="389">
        <f>VLOOKUP(C345,'RAW DATA 2023'!E:BO,57,0)</f>
        <v>410.53644359868906</v>
      </c>
      <c r="G345" s="63">
        <f>VLOOKUP(C345,'RAW DATA 2023'!E:BO,58,0)</f>
        <v>150</v>
      </c>
      <c r="H345" s="390">
        <f>IFERROR((G345-F345)/G345,0)</f>
        <v>-1.7369096239912605</v>
      </c>
      <c r="I345" s="398">
        <f>IF(H345&lt;0,((0.25-(H345*(-1)))*$L$7),IF(H345&gt;0,(H345*$N$7)+$L$6,0))</f>
        <v>-79.301846612867223</v>
      </c>
      <c r="J345" s="73">
        <f>VLOOKUP(C345,'RAW DATA 2023'!E:AC,21,0)</f>
        <v>4.7294999999999998</v>
      </c>
      <c r="K345" s="398">
        <f>I345*J345</f>
        <v>-375.05808355555553</v>
      </c>
      <c r="R345" s="400"/>
    </row>
    <row r="346" spans="1:18">
      <c r="A346" s="63" t="str">
        <f>'RAW DATA 2023'!B710</f>
        <v>Lucky3</v>
      </c>
      <c r="B346" s="63" t="str">
        <f>'RAW DATA 2023'!D710</f>
        <v>B1-025-0011</v>
      </c>
      <c r="C346" s="63" t="str">
        <f>A346&amp;B346</f>
        <v>Lucky3B1-025-0011</v>
      </c>
      <c r="D346" s="63">
        <f>VLOOKUP(C346,'RAW DATA 2023'!E:BP,63,0)</f>
        <v>8</v>
      </c>
      <c r="E346" s="63" t="str">
        <f>A346&amp;D346</f>
        <v>Lucky38</v>
      </c>
      <c r="F346" s="389">
        <f>VLOOKUP(C346,'RAW DATA 2023'!E:BO,57,0)</f>
        <v>0</v>
      </c>
      <c r="G346" s="63">
        <f>VLOOKUP(C346,'RAW DATA 2023'!E:BO,58,0)</f>
        <v>0</v>
      </c>
      <c r="H346" s="390">
        <f>IFERROR((G346-F346)/G346,0)</f>
        <v>0</v>
      </c>
      <c r="I346" s="398">
        <f>IF(H346&lt;0,((0.25-(H346*(-1)))*$L$7),IF(H346&gt;0,(H346*$N$7)+$L$6,0))</f>
        <v>0</v>
      </c>
      <c r="J346" s="73">
        <f>VLOOKUP(C346,'RAW DATA 2023'!E:AC,21,0)</f>
        <v>0</v>
      </c>
      <c r="K346" s="398">
        <f>I346*J346</f>
        <v>0</v>
      </c>
      <c r="R346" s="400"/>
    </row>
    <row r="347" spans="1:18">
      <c r="A347" s="63" t="str">
        <f>'RAW DATA 2023'!B350</f>
        <v>Maeklong1</v>
      </c>
      <c r="B347" s="63" t="str">
        <f>'RAW DATA 2023'!D350</f>
        <v>A1-029-0012</v>
      </c>
      <c r="C347" s="63" t="str">
        <f>A347&amp;B347</f>
        <v>Maeklong1A1-029-0012</v>
      </c>
      <c r="D347" s="63">
        <f>VLOOKUP(C347,'RAW DATA 2023'!E:BP,63,0)</f>
        <v>1</v>
      </c>
      <c r="E347" s="63" t="str">
        <f>A347&amp;D347</f>
        <v>Maeklong11</v>
      </c>
      <c r="F347" s="389">
        <f>VLOOKUP(C347,'RAW DATA 2023'!E:BO,57,0)</f>
        <v>127.93152455710985</v>
      </c>
      <c r="G347" s="63">
        <f>VLOOKUP(C347,'RAW DATA 2023'!E:BO,58,0)</f>
        <v>177</v>
      </c>
      <c r="H347" s="397">
        <f>IFERROR((G347-F347)/G347,0)</f>
        <v>0.27722302510107427</v>
      </c>
      <c r="I347" s="398">
        <f>IF(H347&lt;0,((0.25-(H347*(-1)))*$L$7),IF(H347&gt;0,(H347*$N$7)+$L$6,0))</f>
        <v>28.118561338723964</v>
      </c>
      <c r="J347" s="73">
        <f>VLOOKUP(C347,'RAW DATA 2023'!E:AC,21,0)</f>
        <v>18.047930000000001</v>
      </c>
      <c r="K347" s="398">
        <f>I347*J347</f>
        <v>507.48182674199643</v>
      </c>
      <c r="R347" s="400"/>
    </row>
    <row r="348" spans="1:18">
      <c r="A348" s="63" t="str">
        <f>'RAW DATA 2023'!B356</f>
        <v>Maeklong1</v>
      </c>
      <c r="B348" s="63" t="str">
        <f>'RAW DATA 2023'!D356</f>
        <v>A1-005-0042</v>
      </c>
      <c r="C348" s="63" t="str">
        <f>A348&amp;B348</f>
        <v>Maeklong1A1-005-0042</v>
      </c>
      <c r="D348" s="63">
        <f>VLOOKUP(C348,'RAW DATA 2023'!E:BP,63,0)</f>
        <v>1</v>
      </c>
      <c r="E348" s="63" t="str">
        <f>A348&amp;D348</f>
        <v>Maeklong11</v>
      </c>
      <c r="F348" s="389">
        <f>VLOOKUP(C348,'RAW DATA 2023'!E:BO,57,0)</f>
        <v>182.17425581469973</v>
      </c>
      <c r="G348" s="63">
        <f>VLOOKUP(C348,'RAW DATA 2023'!E:BO,58,0)</f>
        <v>150</v>
      </c>
      <c r="H348" s="390">
        <f>IFERROR((G348-F348)/G348,0)</f>
        <v>-0.21449503876466489</v>
      </c>
      <c r="I348" s="398">
        <f>IF(H348&lt;0,((0.25-(H348*(-1)))*$L$7),IF(H348&gt;0,(H348*$N$7)+$L$6,0))</f>
        <v>1.8935979325512062</v>
      </c>
      <c r="J348" s="73">
        <f>VLOOKUP(C348,'RAW DATA 2023'!E:AC,21,0)</f>
        <v>14.958639999999999</v>
      </c>
      <c r="K348" s="398">
        <f>I348*J348</f>
        <v>28.325649777777773</v>
      </c>
      <c r="R348" s="400"/>
    </row>
    <row r="349" spans="1:18">
      <c r="A349" s="63" t="str">
        <f>'RAW DATA 2023'!B327</f>
        <v>Maeklong1</v>
      </c>
      <c r="B349" s="63" t="str">
        <f>'RAW DATA 2023'!D327</f>
        <v>A1-024-0012</v>
      </c>
      <c r="C349" s="63" t="str">
        <f>A349&amp;B349</f>
        <v>Maeklong1A1-024-0012</v>
      </c>
      <c r="D349" s="63">
        <f>VLOOKUP(C349,'RAW DATA 2023'!E:BP,63,0)</f>
        <v>10</v>
      </c>
      <c r="E349" s="63" t="str">
        <f>A349&amp;D349</f>
        <v>Maeklong110</v>
      </c>
      <c r="F349" s="389">
        <f>VLOOKUP(C349,'RAW DATA 2023'!E:BO,57,0)</f>
        <v>174.51074776584164</v>
      </c>
      <c r="G349" s="63">
        <f>VLOOKUP(C349,'RAW DATA 2023'!E:BO,58,0)</f>
        <v>192</v>
      </c>
      <c r="H349" s="397">
        <f>IFERROR((G349-F349)/G349,0)</f>
        <v>9.1089855386241439E-2</v>
      </c>
      <c r="I349" s="398">
        <f>IF(H349&lt;0,((0.25-(H349*(-1)))*$L$7),IF(H349&gt;0,(H349*$N$7)+$L$6,0))</f>
        <v>18.191458953932877</v>
      </c>
      <c r="J349" s="73">
        <f>VLOOKUP(C349,'RAW DATA 2023'!E:AC,21,0)</f>
        <v>42.80471</v>
      </c>
      <c r="K349" s="398">
        <f>I349*J349</f>
        <v>778.68012500000009</v>
      </c>
      <c r="R349" s="400"/>
    </row>
    <row r="350" spans="1:18">
      <c r="A350" s="63" t="str">
        <f>'RAW DATA 2023'!B328</f>
        <v>Maeklong1</v>
      </c>
      <c r="B350" s="63" t="str">
        <f>'RAW DATA 2023'!D328</f>
        <v>A1-019-0024</v>
      </c>
      <c r="C350" s="63" t="str">
        <f>A350&amp;B350</f>
        <v>Maeklong1A1-019-0024</v>
      </c>
      <c r="D350" s="63">
        <f>VLOOKUP(C350,'RAW DATA 2023'!E:BP,63,0)</f>
        <v>10</v>
      </c>
      <c r="E350" s="63" t="str">
        <f>A350&amp;D350</f>
        <v>Maeklong110</v>
      </c>
      <c r="F350" s="389">
        <f>VLOOKUP(C350,'RAW DATA 2023'!E:BO,57,0)</f>
        <v>169.52302128246734</v>
      </c>
      <c r="G350" s="63">
        <f>VLOOKUP(C350,'RAW DATA 2023'!E:BO,58,0)</f>
        <v>192</v>
      </c>
      <c r="H350" s="397">
        <f>IFERROR((G350-F350)/G350,0)</f>
        <v>0.11706759748714927</v>
      </c>
      <c r="I350" s="398">
        <f>IF(H350&lt;0,((0.25-(H350*(-1)))*$L$7),IF(H350&gt;0,(H350*$N$7)+$L$6,0))</f>
        <v>19.576938532647961</v>
      </c>
      <c r="J350" s="73">
        <f>VLOOKUP(C350,'RAW DATA 2023'!E:AC,21,0)</f>
        <v>58.341449999999995</v>
      </c>
      <c r="K350" s="398">
        <f>I350*J350</f>
        <v>1142.1469805555544</v>
      </c>
      <c r="R350" s="400"/>
    </row>
    <row r="351" spans="1:18">
      <c r="A351" s="63" t="str">
        <f>'RAW DATA 2023'!B329</f>
        <v>Maeklong1</v>
      </c>
      <c r="B351" s="63" t="str">
        <f>'RAW DATA 2023'!D329</f>
        <v>A1-015-0037</v>
      </c>
      <c r="C351" s="63" t="str">
        <f>A351&amp;B351</f>
        <v>Maeklong1A1-015-0037</v>
      </c>
      <c r="D351" s="63">
        <f>VLOOKUP(C351,'RAW DATA 2023'!E:BP,63,0)</f>
        <v>10</v>
      </c>
      <c r="E351" s="63" t="str">
        <f>A351&amp;D351</f>
        <v>Maeklong110</v>
      </c>
      <c r="F351" s="389">
        <f>VLOOKUP(C351,'RAW DATA 2023'!E:BO,57,0)</f>
        <v>171.91437863615113</v>
      </c>
      <c r="G351" s="63">
        <f>VLOOKUP(C351,'RAW DATA 2023'!E:BO,58,0)</f>
        <v>181</v>
      </c>
      <c r="H351" s="397">
        <f>IFERROR((G351-F351)/G351,0)</f>
        <v>5.0196803115187143E-2</v>
      </c>
      <c r="I351" s="398">
        <f>IF(H351&lt;0,((0.25-(H351*(-1)))*$L$7),IF(H351&gt;0,(H351*$N$7)+$L$6,0))</f>
        <v>16.010496166143316</v>
      </c>
      <c r="J351" s="73">
        <f>VLOOKUP(C351,'RAW DATA 2023'!E:AC,21,0)</f>
        <v>26.824380000000001</v>
      </c>
      <c r="K351" s="398">
        <f>I351*J351</f>
        <v>429.47163314917145</v>
      </c>
      <c r="R351" s="400"/>
    </row>
    <row r="352" spans="1:18">
      <c r="A352" s="63" t="str">
        <f>'RAW DATA 2023'!B335</f>
        <v>Maeklong1</v>
      </c>
      <c r="B352" s="63" t="str">
        <f>'RAW DATA 2023'!D335</f>
        <v>A1-023-0018</v>
      </c>
      <c r="C352" s="63" t="str">
        <f>A352&amp;B352</f>
        <v>Maeklong1A1-023-0018</v>
      </c>
      <c r="D352" s="63">
        <f>VLOOKUP(C352,'RAW DATA 2023'!E:BP,63,0)</f>
        <v>10</v>
      </c>
      <c r="E352" s="63" t="str">
        <f>A352&amp;D352</f>
        <v>Maeklong110</v>
      </c>
      <c r="F352" s="389">
        <f>VLOOKUP(C352,'RAW DATA 2023'!E:BO,57,0)</f>
        <v>297.29875293536247</v>
      </c>
      <c r="G352" s="63">
        <f>VLOOKUP(C352,'RAW DATA 2023'!E:BO,58,0)</f>
        <v>150</v>
      </c>
      <c r="H352" s="397">
        <f>IFERROR((G352-F352)/G352,0)</f>
        <v>-0.98199168623574984</v>
      </c>
      <c r="I352" s="398">
        <f>IF(H352&lt;0,((0.25-(H352*(-1)))*$L$7),IF(H352&gt;0,(H352*$N$7)+$L$6,0))</f>
        <v>-39.039556599239994</v>
      </c>
      <c r="J352" s="73">
        <f>VLOOKUP(C352,'RAW DATA 2023'!E:AC,21,0)</f>
        <v>11.57438</v>
      </c>
      <c r="K352" s="398">
        <f>I352*J352</f>
        <v>-451.85866311111141</v>
      </c>
      <c r="R352" s="400"/>
    </row>
    <row r="353" spans="1:18">
      <c r="A353" s="63" t="str">
        <f>'RAW DATA 2023'!B340</f>
        <v>Maeklong1</v>
      </c>
      <c r="B353" s="63" t="str">
        <f>'RAW DATA 2023'!D340</f>
        <v>A1-017-0032</v>
      </c>
      <c r="C353" s="63" t="str">
        <f>A353&amp;B353</f>
        <v>Maeklong1A1-017-0032</v>
      </c>
      <c r="D353" s="63">
        <f>VLOOKUP(C353,'RAW DATA 2023'!E:BP,63,0)</f>
        <v>10</v>
      </c>
      <c r="E353" s="63" t="str">
        <f>A353&amp;D353</f>
        <v>Maeklong110</v>
      </c>
      <c r="F353" s="389">
        <f>VLOOKUP(C353,'RAW DATA 2023'!E:BO,57,0)</f>
        <v>0</v>
      </c>
      <c r="G353" s="63">
        <f>VLOOKUP(C353,'RAW DATA 2023'!E:BO,58,0)</f>
        <v>0</v>
      </c>
      <c r="H353" s="397">
        <f>IFERROR((G353-F353)/G353,0)</f>
        <v>0</v>
      </c>
      <c r="I353" s="398">
        <f>IF(H353&lt;0,((0.25-(H353*(-1)))*$L$7),IF(H353&gt;0,(H353*$N$7)+$L$6,0))</f>
        <v>0</v>
      </c>
      <c r="J353" s="73">
        <f>VLOOKUP(C353,'RAW DATA 2023'!E:AC,21,0)</f>
        <v>0</v>
      </c>
      <c r="K353" s="398">
        <f>I353*J353</f>
        <v>0</v>
      </c>
      <c r="R353" s="400"/>
    </row>
    <row r="354" spans="1:18">
      <c r="A354" s="63" t="str">
        <f>'RAW DATA 2023'!B346</f>
        <v>Maeklong1</v>
      </c>
      <c r="B354" s="63" t="str">
        <f>'RAW DATA 2023'!D346</f>
        <v>A1-009-0043</v>
      </c>
      <c r="C354" s="63" t="str">
        <f>A354&amp;B354</f>
        <v>Maeklong1A1-009-0043</v>
      </c>
      <c r="D354" s="63">
        <f>VLOOKUP(C354,'RAW DATA 2023'!E:BP,63,0)</f>
        <v>10</v>
      </c>
      <c r="E354" s="63" t="str">
        <f>A354&amp;D354</f>
        <v>Maeklong110</v>
      </c>
      <c r="F354" s="389">
        <f>VLOOKUP(C354,'RAW DATA 2023'!E:BO,57,0)</f>
        <v>194.54911263857002</v>
      </c>
      <c r="G354" s="63">
        <f>VLOOKUP(C354,'RAW DATA 2023'!E:BO,58,0)</f>
        <v>192</v>
      </c>
      <c r="H354" s="390">
        <f>IFERROR((G354-F354)/G354,0)</f>
        <v>-1.3276628325885534E-2</v>
      </c>
      <c r="I354" s="398">
        <f>IF(H354&lt;0,((0.25-(H354*(-1)))*$L$7),IF(H354&gt;0,(H354*$N$7)+$L$6,0))</f>
        <v>12.625246489286106</v>
      </c>
      <c r="J354" s="73">
        <f>VLOOKUP(C354,'RAW DATA 2023'!E:AC,21,0)</f>
        <v>35.246629999999996</v>
      </c>
      <c r="K354" s="398">
        <f>I354*J354</f>
        <v>444.99739166666626</v>
      </c>
      <c r="R354" s="400"/>
    </row>
    <row r="355" spans="1:18">
      <c r="A355" s="63" t="str">
        <f>'RAW DATA 2023'!B349</f>
        <v>Maeklong1</v>
      </c>
      <c r="B355" s="63" t="str">
        <f>'RAW DATA 2023'!D349</f>
        <v>A1-002-0035</v>
      </c>
      <c r="C355" s="63" t="str">
        <f>A355&amp;B355</f>
        <v>Maeklong1A1-002-0035</v>
      </c>
      <c r="D355" s="63">
        <f>VLOOKUP(C355,'RAW DATA 2023'!E:BP,63,0)</f>
        <v>10</v>
      </c>
      <c r="E355" s="63" t="str">
        <f>A355&amp;D355</f>
        <v>Maeklong110</v>
      </c>
      <c r="F355" s="389">
        <f>VLOOKUP(C355,'RAW DATA 2023'!E:BO,57,0)</f>
        <v>793.91938433903749</v>
      </c>
      <c r="G355" s="63">
        <f>VLOOKUP(C355,'RAW DATA 2023'!E:BO,58,0)</f>
        <v>175</v>
      </c>
      <c r="H355" s="397">
        <f>IFERROR((G355-F355)/G355,0)</f>
        <v>-3.5366821962230715</v>
      </c>
      <c r="I355" s="398">
        <f>IF(H355&lt;0,((0.25-(H355*(-1)))*$L$7),IF(H355&gt;0,(H355*$N$7)+$L$6,0))</f>
        <v>-175.28971713189716</v>
      </c>
      <c r="J355" s="73">
        <f>VLOOKUP(C355,'RAW DATA 2023'!E:AC,21,0)</f>
        <v>5.1885699999999995</v>
      </c>
      <c r="K355" s="398">
        <f>I355*J355</f>
        <v>-909.50296761904758</v>
      </c>
      <c r="R355" s="400"/>
    </row>
    <row r="356" spans="1:18">
      <c r="A356" s="63" t="str">
        <f>'RAW DATA 2023'!B331</f>
        <v>Maeklong1</v>
      </c>
      <c r="B356" s="63" t="str">
        <f>'RAW DATA 2023'!D331</f>
        <v>A1-021-0026</v>
      </c>
      <c r="C356" s="63" t="str">
        <f>A356&amp;B356</f>
        <v>Maeklong1A1-021-0026</v>
      </c>
      <c r="D356" s="63">
        <f>VLOOKUP(C356,'RAW DATA 2023'!E:BP,63,0)</f>
        <v>12</v>
      </c>
      <c r="E356" s="63" t="str">
        <f>A356&amp;D356</f>
        <v>Maeklong112</v>
      </c>
      <c r="F356" s="389">
        <f>VLOOKUP(C356,'RAW DATA 2023'!E:BO,57,0)</f>
        <v>240.7923123788575</v>
      </c>
      <c r="G356" s="63">
        <f>VLOOKUP(C356,'RAW DATA 2023'!E:BO,58,0)</f>
        <v>191</v>
      </c>
      <c r="H356" s="397">
        <f>IFERROR((G356-F356)/G356,0)</f>
        <v>-0.26069273496784034</v>
      </c>
      <c r="I356" s="398">
        <f>IF(H356&lt;0,((0.25-(H356*(-1)))*$L$7),IF(H356&gt;0,(H356*$N$7)+$L$6,0))</f>
        <v>-0.57027919828481843</v>
      </c>
      <c r="J356" s="73">
        <f>VLOOKUP(C356,'RAW DATA 2023'!E:AC,21,0)</f>
        <v>29.49521</v>
      </c>
      <c r="K356" s="398">
        <f>I356*J356</f>
        <v>-16.820504712042361</v>
      </c>
      <c r="R356" s="400"/>
    </row>
    <row r="357" spans="1:18">
      <c r="A357" s="63" t="str">
        <f>'RAW DATA 2023'!B348</f>
        <v>Maeklong1</v>
      </c>
      <c r="B357" s="63" t="str">
        <f>'RAW DATA 2023'!D348</f>
        <v>A1-030-0008</v>
      </c>
      <c r="C357" s="63" t="str">
        <f>A357&amp;B357</f>
        <v>Maeklong1A1-030-0008</v>
      </c>
      <c r="D357" s="63">
        <f>VLOOKUP(C357,'RAW DATA 2023'!E:BP,63,0)</f>
        <v>12</v>
      </c>
      <c r="E357" s="63" t="str">
        <f>A357&amp;D357</f>
        <v>Maeklong112</v>
      </c>
      <c r="F357" s="389">
        <f>VLOOKUP(C357,'RAW DATA 2023'!E:BO,57,0)</f>
        <v>142.25056407458644</v>
      </c>
      <c r="G357" s="63">
        <f>VLOOKUP(C357,'RAW DATA 2023'!E:BO,58,0)</f>
        <v>181</v>
      </c>
      <c r="H357" s="397">
        <f>IFERROR((G357-F357)/G357,0)</f>
        <v>0.21408528135587604</v>
      </c>
      <c r="I357" s="398">
        <f>IF(H357&lt;0,((0.25-(H357*(-1)))*$L$7),IF(H357&gt;0,(H357*$N$7)+$L$6,0))</f>
        <v>24.751215005646721</v>
      </c>
      <c r="J357" s="73">
        <f>VLOOKUP(C357,'RAW DATA 2023'!E:AC,21,0)</f>
        <v>15.3969</v>
      </c>
      <c r="K357" s="398">
        <f>I357*J357</f>
        <v>381.09198232044201</v>
      </c>
      <c r="R357" s="400"/>
    </row>
    <row r="358" spans="1:18">
      <c r="A358" s="63" t="str">
        <f>'RAW DATA 2023'!B351</f>
        <v>Maeklong1</v>
      </c>
      <c r="B358" s="63" t="str">
        <f>'RAW DATA 2023'!D351</f>
        <v>A1-029-0015</v>
      </c>
      <c r="C358" s="63" t="str">
        <f>A358&amp;B358</f>
        <v>Maeklong1A1-029-0015</v>
      </c>
      <c r="D358" s="63">
        <f>VLOOKUP(C358,'RAW DATA 2023'!E:BP,63,0)</f>
        <v>12</v>
      </c>
      <c r="E358" s="63" t="str">
        <f>A358&amp;D358</f>
        <v>Maeklong112</v>
      </c>
      <c r="F358" s="389">
        <f>VLOOKUP(C358,'RAW DATA 2023'!E:BO,57,0)</f>
        <v>165.85061751250055</v>
      </c>
      <c r="G358" s="63">
        <f>VLOOKUP(C358,'RAW DATA 2023'!E:BO,58,0)</f>
        <v>156</v>
      </c>
      <c r="H358" s="390">
        <f>IFERROR((G358-F358)/G358,0)</f>
        <v>-6.3144984054490691E-2</v>
      </c>
      <c r="I358" s="398">
        <f>IF(H358&lt;0,((0.25-(H358*(-1)))*$L$7),IF(H358&gt;0,(H358*$N$7)+$L$6,0))</f>
        <v>9.9656008504271636</v>
      </c>
      <c r="J358" s="73">
        <f>VLOOKUP(C358,'RAW DATA 2023'!E:AC,21,0)</f>
        <v>10.911520000000001</v>
      </c>
      <c r="K358" s="398">
        <f>I358*J358</f>
        <v>108.73985299145302</v>
      </c>
      <c r="R358" s="400"/>
    </row>
    <row r="359" spans="1:18">
      <c r="A359" s="63" t="str">
        <f>'RAW DATA 2023'!B352</f>
        <v>Maeklong1</v>
      </c>
      <c r="B359" s="63" t="str">
        <f>'RAW DATA 2023'!D352</f>
        <v>A1-006-0043</v>
      </c>
      <c r="C359" s="63" t="str">
        <f>A359&amp;B359</f>
        <v>Maeklong1A1-006-0043</v>
      </c>
      <c r="D359" s="63">
        <f>VLOOKUP(C359,'RAW DATA 2023'!E:BP,63,0)</f>
        <v>12</v>
      </c>
      <c r="E359" s="63" t="str">
        <f>A359&amp;D359</f>
        <v>Maeklong112</v>
      </c>
      <c r="F359" s="389">
        <f>VLOOKUP(C359,'RAW DATA 2023'!E:BO,57,0)</f>
        <v>211.19023401378041</v>
      </c>
      <c r="G359" s="63">
        <f>VLOOKUP(C359,'RAW DATA 2023'!E:BO,58,0)</f>
        <v>167</v>
      </c>
      <c r="H359" s="397">
        <f>IFERROR((G359-F359)/G359,0)</f>
        <v>-0.26461217972323597</v>
      </c>
      <c r="I359" s="398">
        <f>IF(H359&lt;0,((0.25-(H359*(-1)))*$L$7),IF(H359&gt;0,(H359*$N$7)+$L$6,0))</f>
        <v>-0.77931625190591869</v>
      </c>
      <c r="J359" s="73">
        <f>VLOOKUP(C359,'RAW DATA 2023'!E:AC,21,0)</f>
        <v>19.13007</v>
      </c>
      <c r="K359" s="398">
        <f>I359*J359</f>
        <v>-14.908374451097858</v>
      </c>
      <c r="R359" s="400"/>
    </row>
    <row r="360" spans="1:18">
      <c r="A360" s="63" t="str">
        <f>'RAW DATA 2023'!B353</f>
        <v>Maeklong1</v>
      </c>
      <c r="B360" s="63" t="str">
        <f>'RAW DATA 2023'!D353</f>
        <v>A1-009-0044</v>
      </c>
      <c r="C360" s="63" t="str">
        <f>A360&amp;B360</f>
        <v>Maeklong1A1-009-0044</v>
      </c>
      <c r="D360" s="63">
        <f>VLOOKUP(C360,'RAW DATA 2023'!E:BP,63,0)</f>
        <v>12</v>
      </c>
      <c r="E360" s="63" t="str">
        <f>A360&amp;D360</f>
        <v>Maeklong112</v>
      </c>
      <c r="F360" s="389">
        <f>VLOOKUP(C360,'RAW DATA 2023'!E:BO,57,0)</f>
        <v>1241.5884405549864</v>
      </c>
      <c r="G360" s="63">
        <f>VLOOKUP(C360,'RAW DATA 2023'!E:BO,58,0)</f>
        <v>150</v>
      </c>
      <c r="H360" s="397">
        <f>IFERROR((G360-F360)/G360,0)</f>
        <v>-7.2772562703665757</v>
      </c>
      <c r="I360" s="398">
        <f>IF(H360&lt;0,((0.25-(H360*(-1)))*$L$7),IF(H360&gt;0,(H360*$N$7)+$L$6,0))</f>
        <v>-374.7870010862174</v>
      </c>
      <c r="J360" s="73">
        <f>VLOOKUP(C360,'RAW DATA 2023'!E:AC,21,0)</f>
        <v>2.1665399999999999</v>
      </c>
      <c r="K360" s="398">
        <f>I360*J360</f>
        <v>-811.99102933333336</v>
      </c>
      <c r="R360" s="400"/>
    </row>
    <row r="361" spans="1:18">
      <c r="A361" s="63" t="str">
        <f>'RAW DATA 2023'!B338</f>
        <v>Maeklong1</v>
      </c>
      <c r="B361" s="63" t="str">
        <f>'RAW DATA 2023'!D338</f>
        <v>A1-017-0029</v>
      </c>
      <c r="C361" s="63" t="str">
        <f>A361&amp;B361</f>
        <v>Maeklong1A1-017-0029</v>
      </c>
      <c r="D361" s="63">
        <f>VLOOKUP(C361,'RAW DATA 2023'!E:BP,63,0)</f>
        <v>2</v>
      </c>
      <c r="E361" s="63" t="str">
        <f>A361&amp;D361</f>
        <v>Maeklong12</v>
      </c>
      <c r="F361" s="389">
        <f>VLOOKUP(C361,'RAW DATA 2023'!E:BO,57,0)</f>
        <v>199.44168123140733</v>
      </c>
      <c r="G361" s="63">
        <f>VLOOKUP(C361,'RAW DATA 2023'!E:BO,58,0)</f>
        <v>167</v>
      </c>
      <c r="H361" s="397">
        <f>IFERROR((G361-F361)/G361,0)</f>
        <v>-0.19426156425992414</v>
      </c>
      <c r="I361" s="398">
        <f>IF(H361&lt;0,((0.25-(H361*(-1)))*$L$7),IF(H361&gt;0,(H361*$N$7)+$L$6,0))</f>
        <v>2.9727165728040461</v>
      </c>
      <c r="J361" s="73">
        <f>VLOOKUP(C361,'RAW DATA 2023'!E:AC,21,0)</f>
        <v>17.668240000000001</v>
      </c>
      <c r="K361" s="398">
        <f>I361*J361</f>
        <v>52.522669860279365</v>
      </c>
      <c r="R361" s="400"/>
    </row>
    <row r="362" spans="1:18">
      <c r="A362" s="63" t="str">
        <f>'RAW DATA 2023'!B358</f>
        <v>Maeklong1</v>
      </c>
      <c r="B362" s="63" t="str">
        <f>'RAW DATA 2023'!D358</f>
        <v>A1-002-0033</v>
      </c>
      <c r="C362" s="63" t="str">
        <f>A362&amp;B362</f>
        <v>Maeklong1A1-002-0033</v>
      </c>
      <c r="D362" s="63">
        <f>VLOOKUP(C362,'RAW DATA 2023'!E:BP,63,0)</f>
        <v>2</v>
      </c>
      <c r="E362" s="63" t="str">
        <f>A362&amp;D362</f>
        <v>Maeklong12</v>
      </c>
      <c r="F362" s="389">
        <f>VLOOKUP(C362,'RAW DATA 2023'!E:BO,57,0)</f>
        <v>251.1025893207609</v>
      </c>
      <c r="G362" s="63">
        <f>VLOOKUP(C362,'RAW DATA 2023'!E:BO,58,0)</f>
        <v>150</v>
      </c>
      <c r="H362" s="397">
        <f>IFERROR((G362-F362)/G362,0)</f>
        <v>-0.67401726213840596</v>
      </c>
      <c r="I362" s="398">
        <f>IF(H362&lt;0,((0.25-(H362*(-1)))*$L$7),IF(H362&gt;0,(H362*$N$7)+$L$6,0))</f>
        <v>-22.614253980714984</v>
      </c>
      <c r="J362" s="73">
        <f>VLOOKUP(C362,'RAW DATA 2023'!E:AC,21,0)</f>
        <v>13.604340000000001</v>
      </c>
      <c r="K362" s="398">
        <f>I362*J362</f>
        <v>-307.6520000000001</v>
      </c>
      <c r="R362" s="400"/>
    </row>
    <row r="363" spans="1:18">
      <c r="A363" s="63" t="str">
        <f>'RAW DATA 2023'!B330</f>
        <v>Maeklong1</v>
      </c>
      <c r="B363" s="63" t="str">
        <f>'RAW DATA 2023'!D330</f>
        <v>A1-023-0016</v>
      </c>
      <c r="C363" s="63" t="str">
        <f>A363&amp;B363</f>
        <v>Maeklong1A1-023-0016</v>
      </c>
      <c r="D363" s="63">
        <f>VLOOKUP(C363,'RAW DATA 2023'!E:BP,63,0)</f>
        <v>3</v>
      </c>
      <c r="E363" s="63" t="str">
        <f>A363&amp;D363</f>
        <v>Maeklong13</v>
      </c>
      <c r="F363" s="389">
        <f>VLOOKUP(C363,'RAW DATA 2023'!E:BO,57,0)</f>
        <v>235.69009567719326</v>
      </c>
      <c r="G363" s="63">
        <f>VLOOKUP(C363,'RAW DATA 2023'!E:BO,58,0)</f>
        <v>207</v>
      </c>
      <c r="H363" s="397">
        <f>IFERROR((G363-F363)/G363,0)</f>
        <v>-0.1385994960250882</v>
      </c>
      <c r="I363" s="398">
        <f>IF(H363&lt;0,((0.25-(H363*(-1)))*$L$7),IF(H363&gt;0,(H363*$N$7)+$L$6,0))</f>
        <v>5.9413602119952964</v>
      </c>
      <c r="J363" s="73">
        <f>VLOOKUP(C363,'RAW DATA 2023'!E:AC,21,0)</f>
        <v>23.567790000000002</v>
      </c>
      <c r="K363" s="398">
        <f>I363*J363</f>
        <v>140.02472979066064</v>
      </c>
      <c r="R363" s="400"/>
    </row>
    <row r="364" spans="1:18">
      <c r="A364" s="63" t="str">
        <f>'RAW DATA 2023'!B334</f>
        <v>Maeklong1</v>
      </c>
      <c r="B364" s="63" t="str">
        <f>'RAW DATA 2023'!D334</f>
        <v>A1-021-0024</v>
      </c>
      <c r="C364" s="63" t="str">
        <f>A364&amp;B364</f>
        <v>Maeklong1A1-021-0024</v>
      </c>
      <c r="D364" s="63">
        <f>VLOOKUP(C364,'RAW DATA 2023'!E:BP,63,0)</f>
        <v>3</v>
      </c>
      <c r="E364" s="63" t="str">
        <f>A364&amp;D364</f>
        <v>Maeklong13</v>
      </c>
      <c r="F364" s="389">
        <f>VLOOKUP(C364,'RAW DATA 2023'!E:BO,57,0)</f>
        <v>165.91989093899241</v>
      </c>
      <c r="G364" s="63">
        <f>VLOOKUP(C364,'RAW DATA 2023'!E:BO,58,0)</f>
        <v>187</v>
      </c>
      <c r="H364" s="397">
        <f>IFERROR((G364-F364)/G364,0)</f>
        <v>0.11272785594121706</v>
      </c>
      <c r="I364" s="398">
        <f>IF(H364&lt;0,((0.25-(H364*(-1)))*$L$7),IF(H364&gt;0,(H364*$N$7)+$L$6,0))</f>
        <v>19.345485650198246</v>
      </c>
      <c r="J364" s="73">
        <f>VLOOKUP(C364,'RAW DATA 2023'!E:AC,21,0)</f>
        <v>33.005379999999995</v>
      </c>
      <c r="K364" s="398">
        <f>I364*J364</f>
        <v>638.50510516934003</v>
      </c>
      <c r="R364" s="400"/>
    </row>
    <row r="365" spans="1:18">
      <c r="A365" s="63" t="str">
        <f>'RAW DATA 2023'!B337</f>
        <v>Maeklong1</v>
      </c>
      <c r="B365" s="63" t="str">
        <f>'RAW DATA 2023'!D337</f>
        <v>A1-015-0035</v>
      </c>
      <c r="C365" s="63" t="str">
        <f>A365&amp;B365</f>
        <v>Maeklong1A1-015-0035</v>
      </c>
      <c r="D365" s="63">
        <f>VLOOKUP(C365,'RAW DATA 2023'!E:BP,63,0)</f>
        <v>3</v>
      </c>
      <c r="E365" s="63" t="str">
        <f>A365&amp;D365</f>
        <v>Maeklong13</v>
      </c>
      <c r="F365" s="389">
        <f>VLOOKUP(C365,'RAW DATA 2023'!E:BO,57,0)</f>
        <v>158.37567541125665</v>
      </c>
      <c r="G365" s="63">
        <f>VLOOKUP(C365,'RAW DATA 2023'!E:BO,58,0)</f>
        <v>185</v>
      </c>
      <c r="H365" s="397">
        <f>IFERROR((G365-F365)/G365,0)</f>
        <v>0.14391526804726135</v>
      </c>
      <c r="I365" s="398">
        <f>IF(H365&lt;0,((0.25-(H365*(-1)))*$L$7),IF(H365&gt;0,(H365*$N$7)+$L$6,0))</f>
        <v>21.008814295853938</v>
      </c>
      <c r="J365" s="73">
        <f>VLOOKUP(C365,'RAW DATA 2023'!E:AC,21,0)</f>
        <v>28.619599999999998</v>
      </c>
      <c r="K365" s="398">
        <f>I365*J365</f>
        <v>601.26386162162134</v>
      </c>
      <c r="R365" s="400"/>
    </row>
    <row r="366" spans="1:18">
      <c r="A366" s="63" t="str">
        <f>'RAW DATA 2023'!B339</f>
        <v>Maeklong1</v>
      </c>
      <c r="B366" s="63" t="str">
        <f>'RAW DATA 2023'!D339</f>
        <v>A1-017-0030</v>
      </c>
      <c r="C366" s="63" t="str">
        <f>A366&amp;B366</f>
        <v>Maeklong1A1-017-0030</v>
      </c>
      <c r="D366" s="63">
        <f>VLOOKUP(C366,'RAW DATA 2023'!E:BP,63,0)</f>
        <v>3</v>
      </c>
      <c r="E366" s="63" t="str">
        <f>A366&amp;D366</f>
        <v>Maeklong13</v>
      </c>
      <c r="F366" s="389">
        <f>VLOOKUP(C366,'RAW DATA 2023'!E:BO,57,0)</f>
        <v>0</v>
      </c>
      <c r="G366" s="63">
        <f>VLOOKUP(C366,'RAW DATA 2023'!E:BO,58,0)</f>
        <v>0</v>
      </c>
      <c r="H366" s="397">
        <f>IFERROR((G366-F366)/G366,0)</f>
        <v>0</v>
      </c>
      <c r="I366" s="398">
        <f>IF(H366&lt;0,((0.25-(H366*(-1)))*$L$7),IF(H366&gt;0,(H366*$N$7)+$L$6,0))</f>
        <v>0</v>
      </c>
      <c r="J366" s="73">
        <f>VLOOKUP(C366,'RAW DATA 2023'!E:AC,21,0)</f>
        <v>0</v>
      </c>
      <c r="K366" s="398">
        <f>I366*J366</f>
        <v>0</v>
      </c>
      <c r="R366" s="400"/>
    </row>
    <row r="367" spans="1:18">
      <c r="A367" s="63" t="str">
        <f>'RAW DATA 2023'!B354</f>
        <v>Maeklong1</v>
      </c>
      <c r="B367" s="63" t="str">
        <f>'RAW DATA 2023'!D354</f>
        <v>A1-006-0041</v>
      </c>
      <c r="C367" s="63" t="str">
        <f>A367&amp;B367</f>
        <v>Maeklong1A1-006-0041</v>
      </c>
      <c r="D367" s="63">
        <f>VLOOKUP(C367,'RAW DATA 2023'!E:BP,63,0)</f>
        <v>3</v>
      </c>
      <c r="E367" s="63" t="str">
        <f>A367&amp;D367</f>
        <v>Maeklong13</v>
      </c>
      <c r="F367" s="389">
        <f>VLOOKUP(C367,'RAW DATA 2023'!E:BO,57,0)</f>
        <v>192.84573135545492</v>
      </c>
      <c r="G367" s="63">
        <f>VLOOKUP(C367,'RAW DATA 2023'!E:BO,58,0)</f>
        <v>181</v>
      </c>
      <c r="H367" s="397">
        <f>IFERROR((G367-F367)/G367,0)</f>
        <v>-6.5446029588148713E-2</v>
      </c>
      <c r="I367" s="398">
        <f>IF(H367&lt;0,((0.25-(H367*(-1)))*$L$7),IF(H367&gt;0,(H367*$N$7)+$L$6,0))</f>
        <v>9.842878421965402</v>
      </c>
      <c r="J367" s="73">
        <f>VLOOKUP(C367,'RAW DATA 2023'!E:AC,21,0)</f>
        <v>23.152080000000002</v>
      </c>
      <c r="K367" s="398">
        <f>I367*J367</f>
        <v>227.88310865561675</v>
      </c>
      <c r="R367" s="400"/>
    </row>
    <row r="368" spans="1:18">
      <c r="A368" s="63" t="str">
        <f>'RAW DATA 2023'!B355</f>
        <v>Maeklong1</v>
      </c>
      <c r="B368" s="63" t="str">
        <f>'RAW DATA 2023'!D355</f>
        <v>A1-030-0006</v>
      </c>
      <c r="C368" s="63" t="str">
        <f>A368&amp;B368</f>
        <v>Maeklong1A1-030-0006</v>
      </c>
      <c r="D368" s="63">
        <f>VLOOKUP(C368,'RAW DATA 2023'!E:BP,63,0)</f>
        <v>3</v>
      </c>
      <c r="E368" s="63" t="str">
        <f>A368&amp;D368</f>
        <v>Maeklong13</v>
      </c>
      <c r="F368" s="389">
        <f>VLOOKUP(C368,'RAW DATA 2023'!E:BO,57,0)</f>
        <v>154.20994497607495</v>
      </c>
      <c r="G368" s="63">
        <f>VLOOKUP(C368,'RAW DATA 2023'!E:BO,58,0)</f>
        <v>182</v>
      </c>
      <c r="H368" s="390">
        <f>IFERROR((G368-F368)/G368,0)</f>
        <v>0.1526926100215662</v>
      </c>
      <c r="I368" s="398">
        <f>IF(H368&lt;0,((0.25-(H368*(-1)))*$L$7),IF(H368&gt;0,(H368*$N$7)+$L$6,0))</f>
        <v>21.476939201150198</v>
      </c>
      <c r="J368" s="73">
        <f>VLOOKUP(C368,'RAW DATA 2023'!E:AC,21,0)</f>
        <v>14.99893</v>
      </c>
      <c r="K368" s="398">
        <f>I368*J368</f>
        <v>322.13110769230775</v>
      </c>
      <c r="R368" s="400"/>
    </row>
    <row r="369" spans="1:18">
      <c r="A369" s="63" t="str">
        <f>'RAW DATA 2023'!B359</f>
        <v>Maeklong1</v>
      </c>
      <c r="B369" s="63" t="str">
        <f>'RAW DATA 2023'!D359</f>
        <v>A1-005-0043</v>
      </c>
      <c r="C369" s="63" t="str">
        <f>A369&amp;B369</f>
        <v>Maeklong1A1-005-0043</v>
      </c>
      <c r="D369" s="63">
        <f>VLOOKUP(C369,'RAW DATA 2023'!E:BP,63,0)</f>
        <v>3</v>
      </c>
      <c r="E369" s="63" t="str">
        <f>A369&amp;D369</f>
        <v>Maeklong13</v>
      </c>
      <c r="F369" s="389">
        <f>VLOOKUP(C369,'RAW DATA 2023'!E:BO,57,0)</f>
        <v>0</v>
      </c>
      <c r="G369" s="63">
        <f>VLOOKUP(C369,'RAW DATA 2023'!E:BO,58,0)</f>
        <v>0</v>
      </c>
      <c r="H369" s="390">
        <f>IFERROR((G369-F369)/G369,0)</f>
        <v>0</v>
      </c>
      <c r="I369" s="398">
        <f>IF(H369&lt;0,((0.25-(H369*(-1)))*$L$7),IF(H369&gt;0,(H369*$N$7)+$L$6,0))</f>
        <v>0</v>
      </c>
      <c r="J369" s="73">
        <f>VLOOKUP(C369,'RAW DATA 2023'!E:AC,21,0)</f>
        <v>0</v>
      </c>
      <c r="K369" s="398">
        <f>I369*J369</f>
        <v>0</v>
      </c>
      <c r="R369" s="400"/>
    </row>
    <row r="370" spans="1:18">
      <c r="A370" s="63" t="str">
        <f>'RAW DATA 2023'!B357</f>
        <v>Maeklong1</v>
      </c>
      <c r="B370" s="63" t="str">
        <f>'RAW DATA 2023'!D357</f>
        <v>A1-009-0042</v>
      </c>
      <c r="C370" s="63" t="str">
        <f>A370&amp;B370</f>
        <v>Maeklong1A1-009-0042</v>
      </c>
      <c r="D370" s="63">
        <f>VLOOKUP(C370,'RAW DATA 2023'!E:BP,63,0)</f>
        <v>4</v>
      </c>
      <c r="E370" s="63" t="str">
        <f>A370&amp;D370</f>
        <v>Maeklong14</v>
      </c>
      <c r="F370" s="389">
        <f>VLOOKUP(C370,'RAW DATA 2023'!E:BO,57,0)</f>
        <v>224.3134449030897</v>
      </c>
      <c r="G370" s="63">
        <f>VLOOKUP(C370,'RAW DATA 2023'!E:BO,58,0)</f>
        <v>151</v>
      </c>
      <c r="H370" s="397">
        <f>IFERROR((G370-F370)/G370,0)</f>
        <v>-0.48551950266946825</v>
      </c>
      <c r="I370" s="398">
        <f>IF(H370&lt;0,((0.25-(H370*(-1)))*$L$7),IF(H370&gt;0,(H370*$N$7)+$L$6,0))</f>
        <v>-12.56104014237164</v>
      </c>
      <c r="J370" s="73">
        <f>VLOOKUP(C370,'RAW DATA 2023'!E:AC,21,0)</f>
        <v>15.83165</v>
      </c>
      <c r="K370" s="398">
        <f>I370*J370</f>
        <v>-198.86199116997798</v>
      </c>
      <c r="R370" s="400"/>
    </row>
    <row r="371" spans="1:18">
      <c r="A371" s="63" t="str">
        <f>'RAW DATA 2023'!B333</f>
        <v>Maeklong1</v>
      </c>
      <c r="B371" s="63" t="str">
        <f>'RAW DATA 2023'!D333</f>
        <v>A1-024-0011</v>
      </c>
      <c r="C371" s="63" t="str">
        <f>A371&amp;B371</f>
        <v>Maeklong1A1-024-0011</v>
      </c>
      <c r="D371" s="63">
        <f>VLOOKUP(C371,'RAW DATA 2023'!E:BP,63,0)</f>
        <v>5</v>
      </c>
      <c r="E371" s="63" t="str">
        <f>A371&amp;D371</f>
        <v>Maeklong15</v>
      </c>
      <c r="F371" s="389">
        <f>VLOOKUP(C371,'RAW DATA 2023'!E:BO,57,0)</f>
        <v>232.29700418805609</v>
      </c>
      <c r="G371" s="63">
        <f>VLOOKUP(C371,'RAW DATA 2023'!E:BO,58,0)</f>
        <v>197</v>
      </c>
      <c r="H371" s="397">
        <f>IFERROR((G371-F371)/G371,0)</f>
        <v>-0.1791726100916553</v>
      </c>
      <c r="I371" s="398">
        <f>IF(H371&lt;0,((0.25-(H371*(-1)))*$L$7),IF(H371&gt;0,(H371*$N$7)+$L$6,0))</f>
        <v>3.7774607951117174</v>
      </c>
      <c r="J371" s="73">
        <f>VLOOKUP(C371,'RAW DATA 2023'!E:AC,21,0)</f>
        <v>29.701130000000003</v>
      </c>
      <c r="K371" s="398">
        <f>I371*J371</f>
        <v>112.19485414551649</v>
      </c>
      <c r="R371" s="400"/>
    </row>
    <row r="372" spans="1:18">
      <c r="A372" s="63" t="str">
        <f>'RAW DATA 2023'!B336</f>
        <v>Maeklong1</v>
      </c>
      <c r="B372" s="63" t="str">
        <f>'RAW DATA 2023'!D336</f>
        <v>A1-019-0023</v>
      </c>
      <c r="C372" s="63" t="str">
        <f>A372&amp;B372</f>
        <v>Maeklong1A1-019-0023</v>
      </c>
      <c r="D372" s="63">
        <f>VLOOKUP(C372,'RAW DATA 2023'!E:BP,63,0)</f>
        <v>5</v>
      </c>
      <c r="E372" s="63" t="str">
        <f>A372&amp;D372</f>
        <v>Maeklong15</v>
      </c>
      <c r="F372" s="389">
        <f>VLOOKUP(C372,'RAW DATA 2023'!E:BO,57,0)</f>
        <v>180.50173025860914</v>
      </c>
      <c r="G372" s="63">
        <f>VLOOKUP(C372,'RAW DATA 2023'!E:BO,58,0)</f>
        <v>191</v>
      </c>
      <c r="H372" s="397">
        <f>IFERROR((G372-F372)/G372,0)</f>
        <v>5.4964763043931185E-2</v>
      </c>
      <c r="I372" s="398">
        <f>IF(H372&lt;0,((0.25-(H372*(-1)))*$L$7),IF(H372&gt;0,(H372*$N$7)+$L$6,0))</f>
        <v>16.264787362342997</v>
      </c>
      <c r="J372" s="73">
        <f>VLOOKUP(C372,'RAW DATA 2023'!E:AC,21,0)</f>
        <v>51.633900000000004</v>
      </c>
      <c r="K372" s="398">
        <f>I372*J372</f>
        <v>839.81440418848217</v>
      </c>
      <c r="R372" s="400"/>
    </row>
    <row r="373" spans="1:18">
      <c r="A373" s="63" t="str">
        <f>'RAW DATA 2023'!B347</f>
        <v>Maeklong1</v>
      </c>
      <c r="B373" s="63" t="str">
        <f>'RAW DATA 2023'!D347</f>
        <v>A1-029-0013</v>
      </c>
      <c r="C373" s="63" t="str">
        <f>A373&amp;B373</f>
        <v>Maeklong1A1-029-0013</v>
      </c>
      <c r="D373" s="63">
        <f>VLOOKUP(C373,'RAW DATA 2023'!E:BP,63,0)</f>
        <v>5</v>
      </c>
      <c r="E373" s="63" t="str">
        <f>A373&amp;D373</f>
        <v>Maeklong15</v>
      </c>
      <c r="F373" s="389">
        <f>VLOOKUP(C373,'RAW DATA 2023'!E:BO,57,0)</f>
        <v>147.38252250261564</v>
      </c>
      <c r="G373" s="63">
        <f>VLOOKUP(C373,'RAW DATA 2023'!E:BO,58,0)</f>
        <v>187</v>
      </c>
      <c r="H373" s="390">
        <f>IFERROR((G373-F373)/G373,0)</f>
        <v>0.21185816843521046</v>
      </c>
      <c r="I373" s="398">
        <f>IF(H373&lt;0,((0.25-(H373*(-1)))*$L$7),IF(H373&gt;0,(H373*$N$7)+$L$6,0))</f>
        <v>24.632435649877891</v>
      </c>
      <c r="J373" s="73">
        <f>VLOOKUP(C373,'RAW DATA 2023'!E:AC,21,0)</f>
        <v>15.02492</v>
      </c>
      <c r="K373" s="398">
        <f>I373*J373</f>
        <v>370.10037504456329</v>
      </c>
      <c r="R373" s="400"/>
    </row>
    <row r="374" spans="1:18">
      <c r="A374" s="63" t="str">
        <f>'RAW DATA 2023'!B325</f>
        <v>Maeklong1</v>
      </c>
      <c r="B374" s="63" t="str">
        <f>'RAW DATA 2023'!D325</f>
        <v>A1-015-0036</v>
      </c>
      <c r="C374" s="63" t="str">
        <f>A374&amp;B374</f>
        <v>Maeklong1A1-015-0036</v>
      </c>
      <c r="D374" s="63">
        <f>VLOOKUP(C374,'RAW DATA 2023'!E:BP,63,0)</f>
        <v>6</v>
      </c>
      <c r="E374" s="63" t="str">
        <f>A374&amp;D374</f>
        <v>Maeklong16</v>
      </c>
      <c r="F374" s="389">
        <f>VLOOKUP(C374,'RAW DATA 2023'!E:BO,57,0)</f>
        <v>140.96590346108917</v>
      </c>
      <c r="G374" s="63">
        <f>VLOOKUP(C374,'RAW DATA 2023'!E:BO,58,0)</f>
        <v>189</v>
      </c>
      <c r="H374" s="397">
        <f>IFERROR((G374-F374)/G374,0)</f>
        <v>0.25414865893603616</v>
      </c>
      <c r="I374" s="398">
        <f>IF(H374&lt;0,((0.25-(H374*(-1)))*$L$7),IF(H374&gt;0,(H374*$N$7)+$L$6,0))</f>
        <v>26.887928476588598</v>
      </c>
      <c r="J374" s="73">
        <f>VLOOKUP(C374,'RAW DATA 2023'!E:AC,21,0)</f>
        <v>27.471409999999999</v>
      </c>
      <c r="K374" s="398">
        <f>I374*J374</f>
        <v>738.64930723104078</v>
      </c>
      <c r="R374" s="400"/>
    </row>
    <row r="375" spans="1:18">
      <c r="A375" s="63" t="str">
        <f>'RAW DATA 2023'!B342</f>
        <v>Maeklong1</v>
      </c>
      <c r="B375" s="63" t="str">
        <f>'RAW DATA 2023'!D342</f>
        <v>A1-002-0034</v>
      </c>
      <c r="C375" s="63" t="str">
        <f>A375&amp;B375</f>
        <v>Maeklong1A1-002-0034</v>
      </c>
      <c r="D375" s="63">
        <f>VLOOKUP(C375,'RAW DATA 2023'!E:BP,63,0)</f>
        <v>7</v>
      </c>
      <c r="E375" s="63" t="str">
        <f>A375&amp;D375</f>
        <v>Maeklong17</v>
      </c>
      <c r="F375" s="389">
        <f>VLOOKUP(C375,'RAW DATA 2023'!E:BO,57,0)</f>
        <v>163.29554326945888</v>
      </c>
      <c r="G375" s="63">
        <f>VLOOKUP(C375,'RAW DATA 2023'!E:BO,58,0)</f>
        <v>210</v>
      </c>
      <c r="H375" s="397">
        <f>IFERROR((G375-F375)/G375,0)</f>
        <v>0.22240217490733868</v>
      </c>
      <c r="I375" s="398">
        <f>IF(H375&lt;0,((0.25-(H375*(-1)))*$L$7),IF(H375&gt;0,(H375*$N$7)+$L$6,0))</f>
        <v>25.19478266172473</v>
      </c>
      <c r="J375" s="73">
        <f>VLOOKUP(C375,'RAW DATA 2023'!E:AC,21,0)</f>
        <v>38.771920000000001</v>
      </c>
      <c r="K375" s="398">
        <f>I375*J375</f>
        <v>976.85009777777839</v>
      </c>
      <c r="R375" s="400"/>
    </row>
    <row r="376" spans="1:18">
      <c r="A376" s="63" t="str">
        <f>'RAW DATA 2023'!B324</f>
        <v>Maeklong1</v>
      </c>
      <c r="B376" s="63" t="str">
        <f>'RAW DATA 2023'!D324</f>
        <v>A1-017-0031</v>
      </c>
      <c r="C376" s="63" t="str">
        <f>A376&amp;B376</f>
        <v>Maeklong1A1-017-0031</v>
      </c>
      <c r="D376" s="63">
        <f>VLOOKUP(C376,'RAW DATA 2023'!E:BP,63,0)</f>
        <v>8</v>
      </c>
      <c r="E376" s="63" t="str">
        <f>A376&amp;D376</f>
        <v>Maeklong18</v>
      </c>
      <c r="F376" s="389">
        <f>VLOOKUP(C376,'RAW DATA 2023'!E:BO,57,0)</f>
        <v>157.63848117227198</v>
      </c>
      <c r="G376" s="63">
        <f>VLOOKUP(C376,'RAW DATA 2023'!E:BO,58,0)</f>
        <v>189</v>
      </c>
      <c r="H376" s="390">
        <f>IFERROR((G376-F376)/G376,0)</f>
        <v>0.16593396205147101</v>
      </c>
      <c r="I376" s="398">
        <f>IF(H376&lt;0,((0.25-(H376*(-1)))*$L$7),IF(H376&gt;0,(H376*$N$7)+$L$6,0))</f>
        <v>22.18314464274512</v>
      </c>
      <c r="J376" s="73">
        <f>VLOOKUP(C376,'RAW DATA 2023'!E:AC,21,0)</f>
        <v>36.068080000000002</v>
      </c>
      <c r="K376" s="398">
        <f>I376*J376</f>
        <v>800.1034356261024</v>
      </c>
      <c r="R376" s="400"/>
    </row>
    <row r="377" spans="1:18">
      <c r="A377" s="63" t="str">
        <f>'RAW DATA 2023'!B326</f>
        <v>Maeklong1</v>
      </c>
      <c r="B377" s="63" t="str">
        <f>'RAW DATA 2023'!D326</f>
        <v>A1-021-0025</v>
      </c>
      <c r="C377" s="63" t="str">
        <f>A377&amp;B377</f>
        <v>Maeklong1A1-021-0025</v>
      </c>
      <c r="D377" s="63">
        <f>VLOOKUP(C377,'RAW DATA 2023'!E:BP,63,0)</f>
        <v>8</v>
      </c>
      <c r="E377" s="63" t="str">
        <f>A377&amp;D377</f>
        <v>Maeklong18</v>
      </c>
      <c r="F377" s="389">
        <f>VLOOKUP(C377,'RAW DATA 2023'!E:BO,57,0)</f>
        <v>162.29610056030481</v>
      </c>
      <c r="G377" s="63">
        <f>VLOOKUP(C377,'RAW DATA 2023'!E:BO,58,0)</f>
        <v>194</v>
      </c>
      <c r="H377" s="390">
        <f>IFERROR((G377-F377)/G377,0)</f>
        <v>0.16342216206028448</v>
      </c>
      <c r="I377" s="398">
        <f>IF(H377&lt;0,((0.25-(H377*(-1)))*$L$7),IF(H377&gt;0,(H377*$N$7)+$L$6,0))</f>
        <v>22.049181976548507</v>
      </c>
      <c r="J377" s="73">
        <f>VLOOKUP(C377,'RAW DATA 2023'!E:AC,21,0)</f>
        <v>42.30377</v>
      </c>
      <c r="K377" s="398">
        <f>I377*J377</f>
        <v>932.76352302405348</v>
      </c>
      <c r="R377" s="400"/>
    </row>
    <row r="378" spans="1:18">
      <c r="A378" s="63" t="str">
        <f>'RAW DATA 2023'!B332</f>
        <v>Maeklong1</v>
      </c>
      <c r="B378" s="63" t="str">
        <f>'RAW DATA 2023'!D332</f>
        <v>A1-023-0017</v>
      </c>
      <c r="C378" s="63" t="str">
        <f>A378&amp;B378</f>
        <v>Maeklong1A1-023-0017</v>
      </c>
      <c r="D378" s="63">
        <f>VLOOKUP(C378,'RAW DATA 2023'!E:BP,63,0)</f>
        <v>8</v>
      </c>
      <c r="E378" s="63" t="str">
        <f>A378&amp;D378</f>
        <v>Maeklong18</v>
      </c>
      <c r="F378" s="389">
        <f>VLOOKUP(C378,'RAW DATA 2023'!E:BO,57,0)</f>
        <v>176.24856681619775</v>
      </c>
      <c r="G378" s="63">
        <f>VLOOKUP(C378,'RAW DATA 2023'!E:BO,58,0)</f>
        <v>194</v>
      </c>
      <c r="H378" s="397">
        <f>IFERROR((G378-F378)/G378,0)</f>
        <v>9.1502232906197162E-2</v>
      </c>
      <c r="I378" s="398">
        <f>IF(H378&lt;0,((0.25-(H378*(-1)))*$L$7),IF(H378&gt;0,(H378*$N$7)+$L$6,0))</f>
        <v>18.213452421663849</v>
      </c>
      <c r="J378" s="73">
        <f>VLOOKUP(C378,'RAW DATA 2023'!E:AC,21,0)</f>
        <v>34.391959999999997</v>
      </c>
      <c r="K378" s="398">
        <f>I378*J378</f>
        <v>626.39632714776621</v>
      </c>
      <c r="R378" s="400"/>
    </row>
    <row r="379" spans="1:18">
      <c r="A379" s="63" t="str">
        <f>'RAW DATA 2023'!B345</f>
        <v>Maeklong1</v>
      </c>
      <c r="B379" s="63" t="str">
        <f>'RAW DATA 2023'!D345</f>
        <v>A1-030-0007</v>
      </c>
      <c r="C379" s="63" t="str">
        <f>A379&amp;B379</f>
        <v>Maeklong1A1-030-0007</v>
      </c>
      <c r="D379" s="63">
        <f>VLOOKUP(C379,'RAW DATA 2023'!E:BP,63,0)</f>
        <v>8</v>
      </c>
      <c r="E379" s="63" t="str">
        <f>A379&amp;D379</f>
        <v>Maeklong18</v>
      </c>
      <c r="F379" s="389">
        <f>VLOOKUP(C379,'RAW DATA 2023'!E:BO,57,0)</f>
        <v>157.73883548934842</v>
      </c>
      <c r="G379" s="63">
        <f>VLOOKUP(C379,'RAW DATA 2023'!E:BO,58,0)</f>
        <v>192</v>
      </c>
      <c r="H379" s="397">
        <f>IFERROR((G379-F379)/G379,0)</f>
        <v>0.17844356515964366</v>
      </c>
      <c r="I379" s="398">
        <f>IF(H379&lt;0,((0.25-(H379*(-1)))*$L$7),IF(H379&gt;0,(H379*$N$7)+$L$6,0))</f>
        <v>22.850323475180996</v>
      </c>
      <c r="J379" s="73">
        <f>VLOOKUP(C379,'RAW DATA 2023'!E:AC,21,0)</f>
        <v>14.47578</v>
      </c>
      <c r="K379" s="398">
        <f>I379*J379</f>
        <v>330.77625555555557</v>
      </c>
      <c r="R379" s="400"/>
    </row>
    <row r="380" spans="1:18">
      <c r="A380" s="63" t="str">
        <f>'RAW DATA 2023'!B341</f>
        <v>Maeklong1</v>
      </c>
      <c r="B380" s="63" t="str">
        <f>'RAW DATA 2023'!D341</f>
        <v>A1-029-0014</v>
      </c>
      <c r="C380" s="63" t="str">
        <f>A380&amp;B380</f>
        <v>Maeklong1A1-029-0014</v>
      </c>
      <c r="D380" s="63">
        <f>VLOOKUP(C380,'RAW DATA 2023'!E:BP,63,0)</f>
        <v>9</v>
      </c>
      <c r="E380" s="63" t="str">
        <f>A380&amp;D380</f>
        <v>Maeklong19</v>
      </c>
      <c r="F380" s="389">
        <f>VLOOKUP(C380,'RAW DATA 2023'!E:BO,57,0)</f>
        <v>126.26622759602928</v>
      </c>
      <c r="G380" s="63">
        <f>VLOOKUP(C380,'RAW DATA 2023'!E:BO,58,0)</f>
        <v>189</v>
      </c>
      <c r="H380" s="397">
        <f>IFERROR((G380-F380)/G380,0)</f>
        <v>0.33192472171413079</v>
      </c>
      <c r="I380" s="398">
        <f>IF(H380&lt;0,((0.25-(H380*(-1)))*$L$7),IF(H380&gt;0,(H380*$N$7)+$L$6,0))</f>
        <v>31.03598515808698</v>
      </c>
      <c r="J380" s="73">
        <f>VLOOKUP(C380,'RAW DATA 2023'!E:AC,21,0)</f>
        <v>18.648479999999999</v>
      </c>
      <c r="K380" s="398">
        <f>I380*J380</f>
        <v>578.77394850088183</v>
      </c>
      <c r="R380" s="400"/>
    </row>
    <row r="381" spans="1:18">
      <c r="A381" s="63" t="str">
        <f>'RAW DATA 2023'!B343</f>
        <v>Maeklong1</v>
      </c>
      <c r="B381" s="63" t="str">
        <f>'RAW DATA 2023'!D343</f>
        <v>A1-005-0044</v>
      </c>
      <c r="C381" s="63" t="str">
        <f>A381&amp;B381</f>
        <v>Maeklong1A1-005-0044</v>
      </c>
      <c r="D381" s="63">
        <f>VLOOKUP(C381,'RAW DATA 2023'!E:BP,63,0)</f>
        <v>9</v>
      </c>
      <c r="E381" s="63" t="str">
        <f>A381&amp;D381</f>
        <v>Maeklong19</v>
      </c>
      <c r="F381" s="389">
        <f>VLOOKUP(C381,'RAW DATA 2023'!E:BO,57,0)</f>
        <v>172.20103580385822</v>
      </c>
      <c r="G381" s="63">
        <f>VLOOKUP(C381,'RAW DATA 2023'!E:BO,58,0)</f>
        <v>214</v>
      </c>
      <c r="H381" s="397">
        <f>IFERROR((G381-F381)/G381,0)</f>
        <v>0.19532226259879337</v>
      </c>
      <c r="I381" s="398">
        <f>IF(H381&lt;0,((0.25-(H381*(-1)))*$L$7),IF(H381&gt;0,(H381*$N$7)+$L$6,0))</f>
        <v>23.750520671935647</v>
      </c>
      <c r="J381" s="73">
        <f>VLOOKUP(C381,'RAW DATA 2023'!E:AC,21,0)</f>
        <v>46.207589999999996</v>
      </c>
      <c r="K381" s="398">
        <f>I381*J381</f>
        <v>1097.4543214953267</v>
      </c>
      <c r="R381" s="400"/>
    </row>
    <row r="382" spans="1:18">
      <c r="A382" s="63" t="str">
        <f>'RAW DATA 2023'!B344</f>
        <v>Maeklong1</v>
      </c>
      <c r="B382" s="63" t="str">
        <f>'RAW DATA 2023'!D344</f>
        <v>A1-006-0042</v>
      </c>
      <c r="C382" s="63" t="str">
        <f>A382&amp;B382</f>
        <v>Maeklong1A1-006-0042</v>
      </c>
      <c r="D382" s="63">
        <f>VLOOKUP(C382,'RAW DATA 2023'!E:BP,63,0)</f>
        <v>9</v>
      </c>
      <c r="E382" s="63" t="str">
        <f>A382&amp;D382</f>
        <v>Maeklong19</v>
      </c>
      <c r="F382" s="389">
        <f>VLOOKUP(C382,'RAW DATA 2023'!E:BO,57,0)</f>
        <v>180.01318439939678</v>
      </c>
      <c r="G382" s="63">
        <f>VLOOKUP(C382,'RAW DATA 2023'!E:BO,58,0)</f>
        <v>207</v>
      </c>
      <c r="H382" s="397">
        <f>IFERROR((G382-F382)/G382,0)</f>
        <v>0.13037108985798659</v>
      </c>
      <c r="I382" s="398">
        <f>IF(H382&lt;0,((0.25-(H382*(-1)))*$L$7),IF(H382&gt;0,(H382*$N$7)+$L$6,0))</f>
        <v>20.286458125759285</v>
      </c>
      <c r="J382" s="73">
        <f>VLOOKUP(C382,'RAW DATA 2023'!E:AC,21,0)</f>
        <v>37.212919999999997</v>
      </c>
      <c r="K382" s="398">
        <f>I382*J382</f>
        <v>754.91834331723021</v>
      </c>
      <c r="R382" s="400"/>
    </row>
    <row r="383" spans="1:18">
      <c r="A383" s="63" t="str">
        <f>'RAW DATA 2023'!B869</f>
        <v>Nakornfarm</v>
      </c>
      <c r="B383" s="63" t="str">
        <f>'RAW DATA 2023'!D869</f>
        <v>BG-113-0009</v>
      </c>
      <c r="C383" s="63" t="str">
        <f>A383&amp;B383</f>
        <v>NakornfarmBG-113-0009</v>
      </c>
      <c r="D383" s="63">
        <f>VLOOKUP(C383,'RAW DATA 2023'!E:BP,63,0)</f>
        <v>1</v>
      </c>
      <c r="E383" s="63" t="str">
        <f>A383&amp;D383</f>
        <v>Nakornfarm1</v>
      </c>
      <c r="F383" s="389">
        <f>VLOOKUP(C383,'RAW DATA 2023'!E:BO,57,0)</f>
        <v>0</v>
      </c>
      <c r="G383" s="63">
        <f>VLOOKUP(C383,'RAW DATA 2023'!E:BO,58,0)</f>
        <v>0</v>
      </c>
      <c r="H383" s="390">
        <f>IFERROR((G383-F383)/G383,0)</f>
        <v>0</v>
      </c>
      <c r="I383" s="398">
        <f>IF(H383&lt;0,((0.25-(H383*(-1)))*$L$7),IF(H383&gt;0,(H383*$N$7)+$L$6,0))</f>
        <v>0</v>
      </c>
      <c r="J383" s="73">
        <f>VLOOKUP(C383,'RAW DATA 2023'!E:AC,21,0)</f>
        <v>0</v>
      </c>
      <c r="K383" s="398">
        <f>I383*J383</f>
        <v>0</v>
      </c>
      <c r="R383" s="400"/>
    </row>
    <row r="384" spans="1:18">
      <c r="A384" s="63" t="str">
        <f>'RAW DATA 2023'!B893</f>
        <v>Nakornfarm</v>
      </c>
      <c r="B384" s="63" t="str">
        <f>'RAW DATA 2023'!D893</f>
        <v>A1-098-0005</v>
      </c>
      <c r="C384" s="63" t="str">
        <f>A384&amp;B384</f>
        <v>NakornfarmA1-098-0005</v>
      </c>
      <c r="D384" s="63">
        <f>VLOOKUP(C384,'RAW DATA 2023'!E:BP,63,0)</f>
        <v>1</v>
      </c>
      <c r="E384" s="63" t="str">
        <f>A384&amp;D384</f>
        <v>Nakornfarm1</v>
      </c>
      <c r="F384" s="389">
        <f>VLOOKUP(C384,'RAW DATA 2023'!E:BO,57,0)</f>
        <v>223.07041121065933</v>
      </c>
      <c r="G384" s="63">
        <f>VLOOKUP(C384,'RAW DATA 2023'!E:BO,58,0)</f>
        <v>149</v>
      </c>
      <c r="H384" s="390">
        <f>IFERROR((G384-F384)/G384,0)</f>
        <v>-0.49711685376281428</v>
      </c>
      <c r="I384" s="398">
        <f>IF(H384&lt;0,((0.25-(H384*(-1)))*$L$7),IF(H384&gt;0,(H384*$N$7)+$L$6,0))</f>
        <v>-13.179565534016762</v>
      </c>
      <c r="J384" s="73">
        <f>VLOOKUP(C384,'RAW DATA 2023'!E:AC,21,0)</f>
        <v>7.5742200000000004</v>
      </c>
      <c r="K384" s="398">
        <f>I384*J384</f>
        <v>-99.824928859060435</v>
      </c>
      <c r="R384" s="400"/>
    </row>
    <row r="385" spans="1:18">
      <c r="A385" s="63" t="str">
        <f>'RAW DATA 2023'!B894</f>
        <v>Nakornfarm</v>
      </c>
      <c r="B385" s="63" t="str">
        <f>'RAW DATA 2023'!D894</f>
        <v>A1-099-0007</v>
      </c>
      <c r="C385" s="63" t="str">
        <f>A385&amp;B385</f>
        <v>NakornfarmA1-099-0007</v>
      </c>
      <c r="D385" s="63">
        <f>VLOOKUP(C385,'RAW DATA 2023'!E:BP,63,0)</f>
        <v>1</v>
      </c>
      <c r="E385" s="63" t="str">
        <f>A385&amp;D385</f>
        <v>Nakornfarm1</v>
      </c>
      <c r="F385" s="389">
        <f>VLOOKUP(C385,'RAW DATA 2023'!E:BO,57,0)</f>
        <v>194.70276516583255</v>
      </c>
      <c r="G385" s="63">
        <f>VLOOKUP(C385,'RAW DATA 2023'!E:BO,58,0)</f>
        <v>149</v>
      </c>
      <c r="H385" s="390">
        <f>IFERROR((G385-F385)/G385,0)</f>
        <v>-0.30672996755592313</v>
      </c>
      <c r="I385" s="398">
        <f>IF(H385&lt;0,((0.25-(H385*(-1)))*$L$7),IF(H385&gt;0,(H385*$N$7)+$L$6,0))</f>
        <v>-3.0255982696492341</v>
      </c>
      <c r="J385" s="73">
        <f>VLOOKUP(C385,'RAW DATA 2023'!E:AC,21,0)</f>
        <v>8.7835599999999996</v>
      </c>
      <c r="K385" s="398">
        <f>I385*J385</f>
        <v>-26.575523937360224</v>
      </c>
      <c r="R385" s="400"/>
    </row>
    <row r="386" spans="1:18">
      <c r="A386" s="63" t="str">
        <f>'RAW DATA 2023'!B858</f>
        <v>Nakornfarm</v>
      </c>
      <c r="B386" s="63" t="str">
        <f>'RAW DATA 2023'!D858</f>
        <v>BG-113-0010</v>
      </c>
      <c r="C386" s="63" t="str">
        <f>A386&amp;B386</f>
        <v>NakornfarmBG-113-0010</v>
      </c>
      <c r="D386" s="63">
        <f>VLOOKUP(C386,'RAW DATA 2023'!E:BP,63,0)</f>
        <v>10</v>
      </c>
      <c r="E386" s="63" t="str">
        <f>A386&amp;D386</f>
        <v>Nakornfarm10</v>
      </c>
      <c r="F386" s="389">
        <f>VLOOKUP(C386,'RAW DATA 2023'!E:BO,57,0)</f>
        <v>254.17041350076167</v>
      </c>
      <c r="G386" s="63">
        <f>VLOOKUP(C386,'RAW DATA 2023'!E:BO,58,0)</f>
        <v>210</v>
      </c>
      <c r="H386" s="390">
        <f>IFERROR((G386-F386)/G386,0)</f>
        <v>-0.21033530238457937</v>
      </c>
      <c r="I386" s="398">
        <f>IF(H386&lt;0,((0.25-(H386*(-1)))*$L$7),IF(H386&gt;0,(H386*$N$7)+$L$6,0))</f>
        <v>2.1154505394891006</v>
      </c>
      <c r="J386" s="73">
        <f>VLOOKUP(C386,'RAW DATA 2023'!E:AC,21,0)</f>
        <v>16.777720000000002</v>
      </c>
      <c r="K386" s="398">
        <f>I386*J386</f>
        <v>35.492436825397078</v>
      </c>
      <c r="R386" s="400"/>
    </row>
    <row r="387" spans="1:18">
      <c r="A387" s="63" t="str">
        <f>'RAW DATA 2023'!B861</f>
        <v>Nakornfarm</v>
      </c>
      <c r="B387" s="63" t="str">
        <f>'RAW DATA 2023'!D861</f>
        <v>BG-116-0011</v>
      </c>
      <c r="C387" s="63" t="str">
        <f>A387&amp;B387</f>
        <v>NakornfarmBG-116-0011</v>
      </c>
      <c r="D387" s="63">
        <f>VLOOKUP(C387,'RAW DATA 2023'!E:BP,63,0)</f>
        <v>10</v>
      </c>
      <c r="E387" s="63" t="str">
        <f>A387&amp;D387</f>
        <v>Nakornfarm10</v>
      </c>
      <c r="F387" s="389">
        <f>VLOOKUP(C387,'RAW DATA 2023'!E:BO,57,0)</f>
        <v>202.82098027856748</v>
      </c>
      <c r="G387" s="63">
        <f>VLOOKUP(C387,'RAW DATA 2023'!E:BO,58,0)</f>
        <v>204</v>
      </c>
      <c r="H387" s="390">
        <f>IFERROR((G387-F387)/G387,0)</f>
        <v>5.7795084383947285E-3</v>
      </c>
      <c r="I387" s="398">
        <f>IF(H387&lt;0,((0.25-(H387*(-1)))*$L$7),IF(H387&gt;0,(H387*$N$7)+$L$6,0))</f>
        <v>13.641573783381054</v>
      </c>
      <c r="J387" s="73">
        <f>VLOOKUP(C387,'RAW DATA 2023'!E:AC,21,0)</f>
        <v>23.165659999999999</v>
      </c>
      <c r="K387" s="398">
        <f>I387*J387</f>
        <v>316.0160601307191</v>
      </c>
      <c r="R387" s="400"/>
    </row>
    <row r="388" spans="1:18">
      <c r="A388" s="63" t="str">
        <f>'RAW DATA 2023'!B862</f>
        <v>Nakornfarm</v>
      </c>
      <c r="B388" s="63" t="str">
        <f>'RAW DATA 2023'!D862</f>
        <v>BG-119-0011</v>
      </c>
      <c r="C388" s="63" t="str">
        <f>A388&amp;B388</f>
        <v>NakornfarmBG-119-0011</v>
      </c>
      <c r="D388" s="63">
        <f>VLOOKUP(C388,'RAW DATA 2023'!E:BP,63,0)</f>
        <v>10</v>
      </c>
      <c r="E388" s="63" t="str">
        <f>A388&amp;D388</f>
        <v>Nakornfarm10</v>
      </c>
      <c r="F388" s="389">
        <f>VLOOKUP(C388,'RAW DATA 2023'!E:BO,57,0)</f>
        <v>232.66586574168451</v>
      </c>
      <c r="G388" s="63">
        <f>VLOOKUP(C388,'RAW DATA 2023'!E:BO,58,0)</f>
        <v>197</v>
      </c>
      <c r="H388" s="390">
        <f>IFERROR((G388-F388)/G388,0)</f>
        <v>-0.18104500376489602</v>
      </c>
      <c r="I388" s="398">
        <f>IF(H388&lt;0,((0.25-(H388*(-1)))*$L$7),IF(H388&gt;0,(H388*$N$7)+$L$6,0))</f>
        <v>3.677599799205546</v>
      </c>
      <c r="J388" s="73">
        <f>VLOOKUP(C388,'RAW DATA 2023'!E:AC,21,0)</f>
        <v>19.523259999999997</v>
      </c>
      <c r="K388" s="398">
        <f>I388*J388</f>
        <v>71.798737055837663</v>
      </c>
      <c r="R388" s="400"/>
    </row>
    <row r="389" spans="1:18">
      <c r="A389" s="63" t="str">
        <f>'RAW DATA 2023'!B887</f>
        <v>Nakornfarm</v>
      </c>
      <c r="B389" s="63" t="str">
        <f>'RAW DATA 2023'!D887</f>
        <v>F1-090-0013</v>
      </c>
      <c r="C389" s="63" t="str">
        <f>A389&amp;B389</f>
        <v>NakornfarmF1-090-0013</v>
      </c>
      <c r="D389" s="63">
        <f>VLOOKUP(C389,'RAW DATA 2023'!E:BP,63,0)</f>
        <v>10</v>
      </c>
      <c r="E389" s="63" t="str">
        <f>A389&amp;D389</f>
        <v>Nakornfarm10</v>
      </c>
      <c r="F389" s="389">
        <f>VLOOKUP(C389,'RAW DATA 2023'!E:BO,57,0)</f>
        <v>558.51158795169601</v>
      </c>
      <c r="G389" s="63">
        <f>VLOOKUP(C389,'RAW DATA 2023'!E:BO,58,0)</f>
        <v>150</v>
      </c>
      <c r="H389" s="390">
        <f>IFERROR((G389-F389)/G389,0)</f>
        <v>-2.7234105863446403</v>
      </c>
      <c r="I389" s="398">
        <f>IF(H389&lt;0,((0.25-(H389*(-1)))*$L$7),IF(H389&gt;0,(H389*$N$7)+$L$6,0))</f>
        <v>-131.91523127171416</v>
      </c>
      <c r="J389" s="73">
        <f>VLOOKUP(C389,'RAW DATA 2023'!E:AC,21,0)</f>
        <v>3.0324599999999999</v>
      </c>
      <c r="K389" s="398">
        <f>I389*J389</f>
        <v>-400.02766222222232</v>
      </c>
      <c r="R389" s="400"/>
    </row>
    <row r="390" spans="1:18">
      <c r="A390" s="63" t="str">
        <f>'RAW DATA 2023'!B883</f>
        <v>Nakornfarm</v>
      </c>
      <c r="B390" s="63" t="str">
        <f>'RAW DATA 2023'!D883</f>
        <v>D1-081-0015</v>
      </c>
      <c r="C390" s="63" t="str">
        <f>A390&amp;B390</f>
        <v>NakornfarmD1-081-0015</v>
      </c>
      <c r="D390" s="63">
        <f>VLOOKUP(C390,'RAW DATA 2023'!E:BP,63,0)</f>
        <v>11</v>
      </c>
      <c r="E390" s="63" t="str">
        <f>A390&amp;D390</f>
        <v>Nakornfarm11</v>
      </c>
      <c r="F390" s="389">
        <f>VLOOKUP(C390,'RAW DATA 2023'!E:BO,57,0)</f>
        <v>209.9624824695164</v>
      </c>
      <c r="G390" s="63">
        <f>VLOOKUP(C390,'RAW DATA 2023'!E:BO,58,0)</f>
        <v>166</v>
      </c>
      <c r="H390" s="390">
        <f>IFERROR((G390-F390)/G390,0)</f>
        <v>-0.26483423174407472</v>
      </c>
      <c r="I390" s="398">
        <f>IF(H390&lt;0,((0.25-(H390*(-1)))*$L$7),IF(H390&gt;0,(H390*$N$7)+$L$6,0))</f>
        <v>-0.79115902635065183</v>
      </c>
      <c r="J390" s="73">
        <f>VLOOKUP(C390,'RAW DATA 2023'!E:AC,21,0)</f>
        <v>16.335830000000001</v>
      </c>
      <c r="K390" s="398">
        <f>I390*J390</f>
        <v>-12.924239357429769</v>
      </c>
      <c r="R390" s="400"/>
    </row>
    <row r="391" spans="1:18">
      <c r="A391" s="63" t="str">
        <f>'RAW DATA 2023'!B886</f>
        <v>Nakornfarm</v>
      </c>
      <c r="B391" s="63" t="str">
        <f>'RAW DATA 2023'!D886</f>
        <v>D1-083-0015</v>
      </c>
      <c r="C391" s="63" t="str">
        <f>A391&amp;B391</f>
        <v>NakornfarmD1-083-0015</v>
      </c>
      <c r="D391" s="63">
        <f>VLOOKUP(C391,'RAW DATA 2023'!E:BP,63,0)</f>
        <v>11</v>
      </c>
      <c r="E391" s="63" t="str">
        <f>A391&amp;D391</f>
        <v>Nakornfarm11</v>
      </c>
      <c r="F391" s="389">
        <f>VLOOKUP(C391,'RAW DATA 2023'!E:BO,57,0)</f>
        <v>329.73651311102321</v>
      </c>
      <c r="G391" s="63">
        <f>VLOOKUP(C391,'RAW DATA 2023'!E:BO,58,0)</f>
        <v>150</v>
      </c>
      <c r="H391" s="390">
        <f>IFERROR((G391-F391)/G391,0)</f>
        <v>-1.1982434207401547</v>
      </c>
      <c r="I391" s="398">
        <f>IF(H391&lt;0,((0.25-(H391*(-1)))*$L$7),IF(H391&gt;0,(H391*$N$7)+$L$6,0))</f>
        <v>-50.57298243947492</v>
      </c>
      <c r="J391" s="73">
        <f>VLOOKUP(C391,'RAW DATA 2023'!E:AC,21,0)</f>
        <v>7.5093300000000003</v>
      </c>
      <c r="K391" s="398">
        <f>I391*J391</f>
        <v>-379.76921422222222</v>
      </c>
      <c r="R391" s="400"/>
    </row>
    <row r="392" spans="1:18">
      <c r="A392" s="63" t="str">
        <f>'RAW DATA 2023'!B888</f>
        <v>Nakornfarm</v>
      </c>
      <c r="B392" s="63" t="str">
        <f>'RAW DATA 2023'!D888</f>
        <v>FG-125-0011</v>
      </c>
      <c r="C392" s="63" t="str">
        <f>A392&amp;B392</f>
        <v>NakornfarmFG-125-0011</v>
      </c>
      <c r="D392" s="63">
        <f>VLOOKUP(C392,'RAW DATA 2023'!E:BP,63,0)</f>
        <v>11</v>
      </c>
      <c r="E392" s="63" t="str">
        <f>A392&amp;D392</f>
        <v>Nakornfarm11</v>
      </c>
      <c r="F392" s="389">
        <f>VLOOKUP(C392,'RAW DATA 2023'!E:BO,57,0)</f>
        <v>891.2270090147191</v>
      </c>
      <c r="G392" s="63">
        <f>VLOOKUP(C392,'RAW DATA 2023'!E:BO,58,0)</f>
        <v>150</v>
      </c>
      <c r="H392" s="390">
        <f>IFERROR((G392-F392)/G392,0)</f>
        <v>-4.9415133934314603</v>
      </c>
      <c r="I392" s="398">
        <f>IF(H392&lt;0,((0.25-(H392*(-1)))*$L$7),IF(H392&gt;0,(H392*$N$7)+$L$6,0))</f>
        <v>-250.21404764967789</v>
      </c>
      <c r="J392" s="73">
        <f>VLOOKUP(C392,'RAW DATA 2023'!E:AC,21,0)</f>
        <v>3.1870100000000003</v>
      </c>
      <c r="K392" s="398">
        <f>I392*J392</f>
        <v>-797.43467199999998</v>
      </c>
      <c r="R392" s="400"/>
    </row>
    <row r="393" spans="1:18">
      <c r="A393" s="63" t="str">
        <f>'RAW DATA 2023'!B890</f>
        <v>Nakornfarm</v>
      </c>
      <c r="B393" s="63" t="str">
        <f>'RAW DATA 2023'!D890</f>
        <v>E1-075-0013</v>
      </c>
      <c r="C393" s="63" t="str">
        <f>A393&amp;B393</f>
        <v>NakornfarmE1-075-0013</v>
      </c>
      <c r="D393" s="63">
        <f>VLOOKUP(C393,'RAW DATA 2023'!E:BP,63,0)</f>
        <v>11</v>
      </c>
      <c r="E393" s="63" t="str">
        <f>A393&amp;D393</f>
        <v>Nakornfarm11</v>
      </c>
      <c r="F393" s="389">
        <f>VLOOKUP(C393,'RAW DATA 2023'!E:BO,57,0)</f>
        <v>802.08366023151143</v>
      </c>
      <c r="G393" s="63">
        <f>VLOOKUP(C393,'RAW DATA 2023'!E:BO,58,0)</f>
        <v>150</v>
      </c>
      <c r="H393" s="390">
        <f>IFERROR((G393-F393)/G393,0)</f>
        <v>-4.3472244015434098</v>
      </c>
      <c r="I393" s="398">
        <f>IF(H393&lt;0,((0.25-(H393*(-1)))*$L$7),IF(H393&gt;0,(H393*$N$7)+$L$6,0))</f>
        <v>-218.51863474898187</v>
      </c>
      <c r="J393" s="73">
        <f>VLOOKUP(C393,'RAW DATA 2023'!E:AC,21,0)</f>
        <v>2.0750600000000001</v>
      </c>
      <c r="K393" s="398">
        <f>I393*J393</f>
        <v>-453.43927822222236</v>
      </c>
      <c r="R393" s="400"/>
    </row>
    <row r="394" spans="1:18">
      <c r="A394" s="63" t="str">
        <f>'RAW DATA 2023'!B871</f>
        <v>Nakornfarm</v>
      </c>
      <c r="B394" s="63" t="str">
        <f>'RAW DATA 2023'!D871</f>
        <v>BG-102-0012</v>
      </c>
      <c r="C394" s="63" t="str">
        <f>A394&amp;B394</f>
        <v>NakornfarmBG-102-0012</v>
      </c>
      <c r="D394" s="63">
        <f>VLOOKUP(C394,'RAW DATA 2023'!E:BP,63,0)</f>
        <v>12</v>
      </c>
      <c r="E394" s="63" t="str">
        <f>A394&amp;D394</f>
        <v>Nakornfarm12</v>
      </c>
      <c r="F394" s="389">
        <f>VLOOKUP(C394,'RAW DATA 2023'!E:BO,57,0)</f>
        <v>268.55401014607583</v>
      </c>
      <c r="G394" s="63">
        <f>VLOOKUP(C394,'RAW DATA 2023'!E:BO,58,0)</f>
        <v>165</v>
      </c>
      <c r="H394" s="390">
        <f>IFERROR((G394-F394)/G394,0)</f>
        <v>-0.6276000614913686</v>
      </c>
      <c r="I394" s="398">
        <f>IF(H394&lt;0,((0.25-(H394*(-1)))*$L$7),IF(H394&gt;0,(H394*$N$7)+$L$6,0))</f>
        <v>-20.138669946206328</v>
      </c>
      <c r="J394" s="73">
        <f>VLOOKUP(C394,'RAW DATA 2023'!E:AC,21,0)</f>
        <v>14.88063</v>
      </c>
      <c r="K394" s="398">
        <f>I394*J394</f>
        <v>-299.67609616161627</v>
      </c>
      <c r="R394" s="400"/>
    </row>
    <row r="395" spans="1:18">
      <c r="A395" s="63" t="str">
        <f>'RAW DATA 2023'!B872</f>
        <v>Nakornfarm</v>
      </c>
      <c r="B395" s="63" t="str">
        <f>'RAW DATA 2023'!D872</f>
        <v>BG-101-0011</v>
      </c>
      <c r="C395" s="63" t="str">
        <f>A395&amp;B395</f>
        <v>NakornfarmBG-101-0011</v>
      </c>
      <c r="D395" s="63">
        <f>VLOOKUP(C395,'RAW DATA 2023'!E:BP,63,0)</f>
        <v>12</v>
      </c>
      <c r="E395" s="63" t="str">
        <f>A395&amp;D395</f>
        <v>Nakornfarm12</v>
      </c>
      <c r="F395" s="389">
        <f>VLOOKUP(C395,'RAW DATA 2023'!E:BO,57,0)</f>
        <v>259.00710150595523</v>
      </c>
      <c r="G395" s="63">
        <f>VLOOKUP(C395,'RAW DATA 2023'!E:BO,58,0)</f>
        <v>170</v>
      </c>
      <c r="H395" s="390">
        <f>IFERROR((G395-F395)/G395,0)</f>
        <v>-0.52357118532914848</v>
      </c>
      <c r="I395" s="398">
        <f>IF(H395&lt;0,((0.25-(H395*(-1)))*$L$7),IF(H395&gt;0,(H395*$N$7)+$L$6,0))</f>
        <v>-14.590463217554586</v>
      </c>
      <c r="J395" s="73">
        <f>VLOOKUP(C395,'RAW DATA 2023'!E:AC,21,0)</f>
        <v>17.61739</v>
      </c>
      <c r="K395" s="398">
        <f>I395*J395</f>
        <v>-257.04588078431397</v>
      </c>
      <c r="R395" s="400"/>
    </row>
    <row r="396" spans="1:18">
      <c r="A396" s="63" t="str">
        <f>'RAW DATA 2023'!B867</f>
        <v>Nakornfarm</v>
      </c>
      <c r="B396" s="63" t="str">
        <f>'RAW DATA 2023'!D867</f>
        <v>BG-102-0010</v>
      </c>
      <c r="C396" s="63" t="str">
        <f>A396&amp;B396</f>
        <v>NakornfarmBG-102-0010</v>
      </c>
      <c r="D396" s="63">
        <f>VLOOKUP(C396,'RAW DATA 2023'!E:BP,63,0)</f>
        <v>2</v>
      </c>
      <c r="E396" s="63" t="str">
        <f>A396&amp;D396</f>
        <v>Nakornfarm2</v>
      </c>
      <c r="F396" s="389">
        <f>VLOOKUP(C396,'RAW DATA 2023'!E:BO,57,0)</f>
        <v>620.81324597299954</v>
      </c>
      <c r="G396" s="63">
        <f>VLOOKUP(C396,'RAW DATA 2023'!E:BO,58,0)</f>
        <v>150</v>
      </c>
      <c r="H396" s="390">
        <f>IFERROR((G396-F396)/G396,0)</f>
        <v>-3.1387549731533304</v>
      </c>
      <c r="I396" s="398">
        <f>IF(H396&lt;0,((0.25-(H396*(-1)))*$L$7),IF(H396&gt;0,(H396*$N$7)+$L$6,0))</f>
        <v>-154.06693190151097</v>
      </c>
      <c r="J396" s="73">
        <f>VLOOKUP(C396,'RAW DATA 2023'!E:AC,21,0)</f>
        <v>3.9880800000000001</v>
      </c>
      <c r="K396" s="398">
        <f>I396*J396</f>
        <v>-614.43124977777791</v>
      </c>
      <c r="R396" s="400"/>
    </row>
    <row r="397" spans="1:18">
      <c r="A397" s="63" t="str">
        <f>'RAW DATA 2023'!B896</f>
        <v>Nakornfarm</v>
      </c>
      <c r="B397" s="63" t="str">
        <f>'RAW DATA 2023'!D896</f>
        <v>B1-107-0005</v>
      </c>
      <c r="C397" s="63" t="str">
        <f>A397&amp;B397</f>
        <v>NakornfarmB1-107-0005</v>
      </c>
      <c r="D397" s="63">
        <f>VLOOKUP(C397,'RAW DATA 2023'!E:BP,63,0)</f>
        <v>2</v>
      </c>
      <c r="E397" s="63" t="str">
        <f>A397&amp;D397</f>
        <v>Nakornfarm2</v>
      </c>
      <c r="F397" s="389">
        <f>VLOOKUP(C397,'RAW DATA 2023'!E:BO,57,0)</f>
        <v>395.28656317142821</v>
      </c>
      <c r="G397" s="63">
        <f>VLOOKUP(C397,'RAW DATA 2023'!E:BO,58,0)</f>
        <v>150</v>
      </c>
      <c r="H397" s="390">
        <f>IFERROR((G397-F397)/G397,0)</f>
        <v>-1.6352437544761882</v>
      </c>
      <c r="I397" s="398">
        <f>IF(H397&lt;0,((0.25-(H397*(-1)))*$L$7),IF(H397&gt;0,(H397*$N$7)+$L$6,0))</f>
        <v>-73.879666905396704</v>
      </c>
      <c r="J397" s="73">
        <f>VLOOKUP(C397,'RAW DATA 2023'!E:AC,21,0)</f>
        <v>5.2034599999999998</v>
      </c>
      <c r="K397" s="398">
        <f>I397*J397</f>
        <v>-384.42989155555551</v>
      </c>
      <c r="R397" s="400"/>
    </row>
    <row r="398" spans="1:18">
      <c r="A398" s="63" t="str">
        <f>'RAW DATA 2023'!B897</f>
        <v>Nakornfarm</v>
      </c>
      <c r="B398" s="63" t="str">
        <f>'RAW DATA 2023'!D897</f>
        <v>B1-108-0005</v>
      </c>
      <c r="C398" s="63" t="str">
        <f>A398&amp;B398</f>
        <v>NakornfarmB1-108-0005</v>
      </c>
      <c r="D398" s="63">
        <f>VLOOKUP(C398,'RAW DATA 2023'!E:BP,63,0)</f>
        <v>2</v>
      </c>
      <c r="E398" s="63" t="str">
        <f>A398&amp;D398</f>
        <v>Nakornfarm2</v>
      </c>
      <c r="F398" s="389">
        <f>VLOOKUP(C398,'RAW DATA 2023'!E:BO,57,0)</f>
        <v>401.93462886907736</v>
      </c>
      <c r="G398" s="63">
        <f>VLOOKUP(C398,'RAW DATA 2023'!E:BO,58,0)</f>
        <v>150</v>
      </c>
      <c r="H398" s="390">
        <f>IFERROR((G398-F398)/G398,0)</f>
        <v>-1.6795641924605158</v>
      </c>
      <c r="I398" s="398">
        <f>IF(H398&lt;0,((0.25-(H398*(-1)))*$L$7),IF(H398&gt;0,(H398*$N$7)+$L$6,0))</f>
        <v>-76.243423597894179</v>
      </c>
      <c r="J398" s="73">
        <f>VLOOKUP(C398,'RAW DATA 2023'!E:AC,21,0)</f>
        <v>4.9915000000000003</v>
      </c>
      <c r="K398" s="398">
        <f>I398*J398</f>
        <v>-380.5690488888888</v>
      </c>
      <c r="R398" s="400"/>
    </row>
    <row r="399" spans="1:18">
      <c r="A399" s="63" t="str">
        <f>'RAW DATA 2023'!B866</f>
        <v>Nakornfarm</v>
      </c>
      <c r="B399" s="63" t="str">
        <f>'RAW DATA 2023'!D866</f>
        <v>BG-116-0009</v>
      </c>
      <c r="C399" s="63" t="str">
        <f>A399&amp;B399</f>
        <v>NakornfarmBG-116-0009</v>
      </c>
      <c r="D399" s="63">
        <f>VLOOKUP(C399,'RAW DATA 2023'!E:BP,63,0)</f>
        <v>3</v>
      </c>
      <c r="E399" s="63" t="str">
        <f>A399&amp;D399</f>
        <v>Nakornfarm3</v>
      </c>
      <c r="F399" s="389">
        <f>VLOOKUP(C399,'RAW DATA 2023'!E:BO,57,0)</f>
        <v>478.69837431879034</v>
      </c>
      <c r="G399" s="63">
        <f>VLOOKUP(C399,'RAW DATA 2023'!E:BO,58,0)</f>
        <v>150</v>
      </c>
      <c r="H399" s="390">
        <f>IFERROR((G399-F399)/G399,0)</f>
        <v>-2.1913224954586021</v>
      </c>
      <c r="I399" s="398">
        <f>IF(H399&lt;0,((0.25-(H399*(-1)))*$L$7),IF(H399&gt;0,(H399*$N$7)+$L$6,0))</f>
        <v>-103.53719975779212</v>
      </c>
      <c r="J399" s="73">
        <f>VLOOKUP(C399,'RAW DATA 2023'!E:AC,21,0)</f>
        <v>3.4699299999999997</v>
      </c>
      <c r="K399" s="398">
        <f>I399*J399</f>
        <v>-359.26683555555559</v>
      </c>
      <c r="R399" s="400"/>
    </row>
    <row r="400" spans="1:18">
      <c r="A400" s="63" t="str">
        <f>'RAW DATA 2023'!B881</f>
        <v>Nakornfarm</v>
      </c>
      <c r="B400" s="63" t="str">
        <f>'RAW DATA 2023'!D881</f>
        <v>F1-090-0012</v>
      </c>
      <c r="C400" s="63" t="str">
        <f>A400&amp;B400</f>
        <v>NakornfarmF1-090-0012</v>
      </c>
      <c r="D400" s="63">
        <f>VLOOKUP(C400,'RAW DATA 2023'!E:BP,63,0)</f>
        <v>3</v>
      </c>
      <c r="E400" s="63" t="str">
        <f>A400&amp;D400</f>
        <v>Nakornfarm3</v>
      </c>
      <c r="F400" s="389">
        <f>VLOOKUP(C400,'RAW DATA 2023'!E:BO,57,0)</f>
        <v>161.81075481546338</v>
      </c>
      <c r="G400" s="63">
        <f>VLOOKUP(C400,'RAW DATA 2023'!E:BO,58,0)</f>
        <v>163</v>
      </c>
      <c r="H400" s="390">
        <f>IFERROR((G400-F400)/G400,0)</f>
        <v>7.295982727218508E-3</v>
      </c>
      <c r="I400" s="398">
        <f>IF(H400&lt;0,((0.25-(H400*(-1)))*$L$7),IF(H400&gt;0,(H400*$N$7)+$L$6,0))</f>
        <v>13.72245241211832</v>
      </c>
      <c r="J400" s="73">
        <f>VLOOKUP(C400,'RAW DATA 2023'!E:AC,21,0)</f>
        <v>11.878399999999999</v>
      </c>
      <c r="K400" s="398">
        <f>I400*J400</f>
        <v>163.00077873210626</v>
      </c>
      <c r="R400" s="400"/>
    </row>
    <row r="401" spans="1:18">
      <c r="A401" s="63" t="str">
        <f>'RAW DATA 2023'!B870</f>
        <v>Nakornfarm</v>
      </c>
      <c r="B401" s="63" t="str">
        <f>'RAW DATA 2023'!D870</f>
        <v>E1-075-0011</v>
      </c>
      <c r="C401" s="63" t="str">
        <f>A401&amp;B401</f>
        <v>NakornfarmE1-075-0011</v>
      </c>
      <c r="D401" s="63">
        <f>VLOOKUP(C401,'RAW DATA 2023'!E:BP,63,0)</f>
        <v>4</v>
      </c>
      <c r="E401" s="63" t="str">
        <f>A401&amp;D401</f>
        <v>Nakornfarm4</v>
      </c>
      <c r="F401" s="389">
        <f>VLOOKUP(C401,'RAW DATA 2023'!E:BO,57,0)</f>
        <v>186.41195250866897</v>
      </c>
      <c r="G401" s="63">
        <f>VLOOKUP(C401,'RAW DATA 2023'!E:BO,58,0)</f>
        <v>165</v>
      </c>
      <c r="H401" s="390">
        <f>IFERROR((G401-F401)/G401,0)</f>
        <v>-0.12976940914344834</v>
      </c>
      <c r="I401" s="398">
        <f>IF(H401&lt;0,((0.25-(H401*(-1)))*$L$7),IF(H401&gt;0,(H401*$N$7)+$L$6,0))</f>
        <v>6.4122981790160889</v>
      </c>
      <c r="J401" s="73">
        <f>VLOOKUP(C401,'RAW DATA 2023'!E:AC,21,0)</f>
        <v>10.69332</v>
      </c>
      <c r="K401" s="398">
        <f>I401*J401</f>
        <v>68.568756363636325</v>
      </c>
      <c r="R401" s="400"/>
    </row>
    <row r="402" spans="1:18">
      <c r="A402" s="63" t="str">
        <f>'RAW DATA 2023'!B874</f>
        <v>Nakornfarm</v>
      </c>
      <c r="B402" s="63" t="str">
        <f>'RAW DATA 2023'!D874</f>
        <v>E1-074-0012</v>
      </c>
      <c r="C402" s="63" t="str">
        <f>A402&amp;B402</f>
        <v>NakornfarmE1-074-0012</v>
      </c>
      <c r="D402" s="63">
        <f>VLOOKUP(C402,'RAW DATA 2023'!E:BP,63,0)</f>
        <v>4</v>
      </c>
      <c r="E402" s="63" t="str">
        <f>A402&amp;D402</f>
        <v>Nakornfarm4</v>
      </c>
      <c r="F402" s="389">
        <f>VLOOKUP(C402,'RAW DATA 2023'!E:BO,57,0)</f>
        <v>277.30236242238664</v>
      </c>
      <c r="G402" s="63">
        <f>VLOOKUP(C402,'RAW DATA 2023'!E:BO,58,0)</f>
        <v>163</v>
      </c>
      <c r="H402" s="390">
        <f>IFERROR((G402-F402)/G402,0)</f>
        <v>-0.70124148725390578</v>
      </c>
      <c r="I402" s="398">
        <f>IF(H402&lt;0,((0.25-(H402*(-1)))*$L$7),IF(H402&gt;0,(H402*$N$7)+$L$6,0))</f>
        <v>-24.066212653541644</v>
      </c>
      <c r="J402" s="73">
        <f>VLOOKUP(C402,'RAW DATA 2023'!E:AC,21,0)</f>
        <v>6.58392</v>
      </c>
      <c r="K402" s="398">
        <f>I402*J402</f>
        <v>-158.4500188139059</v>
      </c>
      <c r="R402" s="400"/>
    </row>
    <row r="403" spans="1:18">
      <c r="A403" s="63" t="str">
        <f>'RAW DATA 2023'!B875</f>
        <v>Nakornfarm</v>
      </c>
      <c r="B403" s="63" t="str">
        <f>'RAW DATA 2023'!D875</f>
        <v>D1-081-0013</v>
      </c>
      <c r="C403" s="63" t="str">
        <f>A403&amp;B403</f>
        <v>NakornfarmD1-081-0013</v>
      </c>
      <c r="D403" s="63">
        <f>VLOOKUP(C403,'RAW DATA 2023'!E:BP,63,0)</f>
        <v>4</v>
      </c>
      <c r="E403" s="63" t="str">
        <f>A403&amp;D403</f>
        <v>Nakornfarm4</v>
      </c>
      <c r="F403" s="389">
        <f>VLOOKUP(C403,'RAW DATA 2023'!E:BO,57,0)</f>
        <v>321.78408843179744</v>
      </c>
      <c r="G403" s="63">
        <f>VLOOKUP(C403,'RAW DATA 2023'!E:BO,58,0)</f>
        <v>150</v>
      </c>
      <c r="H403" s="390">
        <f>IFERROR((G403-F403)/G403,0)</f>
        <v>-1.145227256211983</v>
      </c>
      <c r="I403" s="398">
        <f>IF(H403&lt;0,((0.25-(H403*(-1)))*$L$7),IF(H403&gt;0,(H403*$N$7)+$L$6,0))</f>
        <v>-47.745453664639093</v>
      </c>
      <c r="J403" s="73">
        <f>VLOOKUP(C403,'RAW DATA 2023'!E:AC,21,0)</f>
        <v>5.4586699999999997</v>
      </c>
      <c r="K403" s="398">
        <f>I403*J403</f>
        <v>-260.62667555555549</v>
      </c>
      <c r="R403" s="400"/>
    </row>
    <row r="404" spans="1:18">
      <c r="A404" s="63" t="str">
        <f>'RAW DATA 2023'!B876</f>
        <v>Nakornfarm</v>
      </c>
      <c r="B404" s="63" t="str">
        <f>'RAW DATA 2023'!D876</f>
        <v>E1-077-0015</v>
      </c>
      <c r="C404" s="63" t="str">
        <f>A404&amp;B404</f>
        <v>NakornfarmE1-077-0015</v>
      </c>
      <c r="D404" s="63">
        <f>VLOOKUP(C404,'RAW DATA 2023'!E:BP,63,0)</f>
        <v>4</v>
      </c>
      <c r="E404" s="63" t="str">
        <f>A404&amp;D404</f>
        <v>Nakornfarm4</v>
      </c>
      <c r="F404" s="389">
        <f>VLOOKUP(C404,'RAW DATA 2023'!E:BO,57,0)</f>
        <v>347.21926371564729</v>
      </c>
      <c r="G404" s="63">
        <f>VLOOKUP(C404,'RAW DATA 2023'!E:BO,58,0)</f>
        <v>150</v>
      </c>
      <c r="H404" s="390">
        <f>IFERROR((G404-F404)/G404,0)</f>
        <v>-1.3147950914376485</v>
      </c>
      <c r="I404" s="398">
        <f>IF(H404&lt;0,((0.25-(H404*(-1)))*$L$7),IF(H404&gt;0,(H404*$N$7)+$L$6,0))</f>
        <v>-56.789071543341258</v>
      </c>
      <c r="J404" s="73">
        <f>VLOOKUP(C404,'RAW DATA 2023'!E:AC,21,0)</f>
        <v>4.1255800000000002</v>
      </c>
      <c r="K404" s="398">
        <f>I404*J404</f>
        <v>-234.28785777777784</v>
      </c>
      <c r="R404" s="400"/>
    </row>
    <row r="405" spans="1:18">
      <c r="A405" s="63" t="str">
        <f>'RAW DATA 2023'!B877</f>
        <v>Nakornfarm</v>
      </c>
      <c r="B405" s="63" t="str">
        <f>'RAW DATA 2023'!D877</f>
        <v>D1-080-0015</v>
      </c>
      <c r="C405" s="63" t="str">
        <f>A405&amp;B405</f>
        <v>NakornfarmD1-080-0015</v>
      </c>
      <c r="D405" s="63">
        <f>VLOOKUP(C405,'RAW DATA 2023'!E:BP,63,0)</f>
        <v>4</v>
      </c>
      <c r="E405" s="63" t="str">
        <f>A405&amp;D405</f>
        <v>Nakornfarm4</v>
      </c>
      <c r="F405" s="389">
        <f>VLOOKUP(C405,'RAW DATA 2023'!E:BO,57,0)</f>
        <v>332.7091353435477</v>
      </c>
      <c r="G405" s="63">
        <f>VLOOKUP(C405,'RAW DATA 2023'!E:BO,58,0)</f>
        <v>150</v>
      </c>
      <c r="H405" s="390">
        <f>IFERROR((G405-F405)/G405,0)</f>
        <v>-1.2180609022903179</v>
      </c>
      <c r="I405" s="398">
        <f>IF(H405&lt;0,((0.25-(H405*(-1)))*$L$7),IF(H405&gt;0,(H405*$N$7)+$L$6,0))</f>
        <v>-51.629914788816961</v>
      </c>
      <c r="J405" s="73">
        <f>VLOOKUP(C405,'RAW DATA 2023'!E:AC,21,0)</f>
        <v>5.34802</v>
      </c>
      <c r="K405" s="398">
        <f>I405*J405</f>
        <v>-276.11781688888891</v>
      </c>
      <c r="R405" s="400"/>
    </row>
    <row r="406" spans="1:18">
      <c r="A406" s="63" t="str">
        <f>'RAW DATA 2023'!B878</f>
        <v>Nakornfarm</v>
      </c>
      <c r="B406" s="63" t="str">
        <f>'RAW DATA 2023'!D878</f>
        <v>D1-083-0013</v>
      </c>
      <c r="C406" s="63" t="str">
        <f>A406&amp;B406</f>
        <v>NakornfarmD1-083-0013</v>
      </c>
      <c r="D406" s="63">
        <f>VLOOKUP(C406,'RAW DATA 2023'!E:BP,63,0)</f>
        <v>4</v>
      </c>
      <c r="E406" s="63" t="str">
        <f>A406&amp;D406</f>
        <v>Nakornfarm4</v>
      </c>
      <c r="F406" s="389">
        <f>VLOOKUP(C406,'RAW DATA 2023'!E:BO,57,0)</f>
        <v>631.97492588071157</v>
      </c>
      <c r="G406" s="63">
        <f>VLOOKUP(C406,'RAW DATA 2023'!E:BO,58,0)</f>
        <v>150</v>
      </c>
      <c r="H406" s="390">
        <f>IFERROR((G406-F406)/G406,0)</f>
        <v>-3.2131661725380769</v>
      </c>
      <c r="I406" s="398">
        <f>IF(H406&lt;0,((0.25-(H406*(-1)))*$L$7),IF(H406&gt;0,(H406*$N$7)+$L$6,0))</f>
        <v>-158.03552920203077</v>
      </c>
      <c r="J406" s="73">
        <f>VLOOKUP(C406,'RAW DATA 2023'!E:AC,21,0)</f>
        <v>2.2936000000000001</v>
      </c>
      <c r="K406" s="398">
        <f>I406*J406</f>
        <v>-362.47028977777779</v>
      </c>
      <c r="R406" s="400"/>
    </row>
    <row r="407" spans="1:18">
      <c r="A407" s="63" t="str">
        <f>'RAW DATA 2023'!B879</f>
        <v>Nakornfarm</v>
      </c>
      <c r="B407" s="63" t="str">
        <f>'RAW DATA 2023'!D879</f>
        <v>FG-125-0009</v>
      </c>
      <c r="C407" s="63" t="str">
        <f>A407&amp;B407</f>
        <v>NakornfarmFG-125-0009</v>
      </c>
      <c r="D407" s="63">
        <f>VLOOKUP(C407,'RAW DATA 2023'!E:BP,63,0)</f>
        <v>4</v>
      </c>
      <c r="E407" s="63" t="str">
        <f>A407&amp;D407</f>
        <v>Nakornfarm4</v>
      </c>
      <c r="F407" s="389">
        <f>VLOOKUP(C407,'RAW DATA 2023'!E:BO,57,0)</f>
        <v>610.00039135459076</v>
      </c>
      <c r="G407" s="63">
        <f>VLOOKUP(C407,'RAW DATA 2023'!E:BO,58,0)</f>
        <v>232</v>
      </c>
      <c r="H407" s="390">
        <f>IFERROR((G407-F407)/G407,0)</f>
        <v>-1.6293120317008223</v>
      </c>
      <c r="I407" s="398">
        <f>IF(H407&lt;0,((0.25-(H407*(-1)))*$L$7),IF(H407&gt;0,(H407*$N$7)+$L$6,0))</f>
        <v>-73.563308357377196</v>
      </c>
      <c r="J407" s="73">
        <f>VLOOKUP(C407,'RAW DATA 2023'!E:AC,21,0)</f>
        <v>17.861039999999999</v>
      </c>
      <c r="K407" s="398">
        <f>I407*J407</f>
        <v>-1313.9171931034484</v>
      </c>
      <c r="R407" s="400"/>
    </row>
    <row r="408" spans="1:18">
      <c r="A408" s="63" t="str">
        <f>'RAW DATA 2023'!B880</f>
        <v>Nakornfarm</v>
      </c>
      <c r="B408" s="63" t="str">
        <f>'RAW DATA 2023'!D880</f>
        <v>F1-089-0012</v>
      </c>
      <c r="C408" s="63" t="str">
        <f>A408&amp;B408</f>
        <v>NakornfarmF1-089-0012</v>
      </c>
      <c r="D408" s="63">
        <f>VLOOKUP(C408,'RAW DATA 2023'!E:BP,63,0)</f>
        <v>4</v>
      </c>
      <c r="E408" s="63" t="str">
        <f>A408&amp;D408</f>
        <v>Nakornfarm4</v>
      </c>
      <c r="F408" s="389">
        <f>VLOOKUP(C408,'RAW DATA 2023'!E:BO,57,0)</f>
        <v>169.01917412269282</v>
      </c>
      <c r="G408" s="63">
        <f>VLOOKUP(C408,'RAW DATA 2023'!E:BO,58,0)</f>
        <v>184</v>
      </c>
      <c r="H408" s="390">
        <f>IFERROR((G408-F408)/G408,0)</f>
        <v>8.1417531941886861E-2</v>
      </c>
      <c r="I408" s="398">
        <f>IF(H408&lt;0,((0.25-(H408*(-1)))*$L$7),IF(H408&gt;0,(H408*$N$7)+$L$6,0))</f>
        <v>17.675601703567299</v>
      </c>
      <c r="J408" s="73">
        <f>VLOOKUP(C408,'RAW DATA 2023'!E:AC,21,0)</f>
        <v>15.40253</v>
      </c>
      <c r="K408" s="398">
        <f>I408*J408</f>
        <v>272.24898550724646</v>
      </c>
      <c r="R408" s="400"/>
    </row>
    <row r="409" spans="1:18">
      <c r="A409" s="63" t="str">
        <f>'RAW DATA 2023'!B885</f>
        <v>Nakornfarm</v>
      </c>
      <c r="B409" s="63" t="str">
        <f>'RAW DATA 2023'!D885</f>
        <v>F1-124-0008</v>
      </c>
      <c r="C409" s="63" t="str">
        <f>A409&amp;B409</f>
        <v>NakornfarmF1-124-0008</v>
      </c>
      <c r="D409" s="63">
        <f>VLOOKUP(C409,'RAW DATA 2023'!E:BP,63,0)</f>
        <v>4</v>
      </c>
      <c r="E409" s="63" t="str">
        <f>A409&amp;D409</f>
        <v>Nakornfarm4</v>
      </c>
      <c r="F409" s="389">
        <f>VLOOKUP(C409,'RAW DATA 2023'!E:BO,57,0)</f>
        <v>228.20635255942969</v>
      </c>
      <c r="G409" s="63">
        <f>VLOOKUP(C409,'RAW DATA 2023'!E:BO,58,0)</f>
        <v>150</v>
      </c>
      <c r="H409" s="390">
        <f>IFERROR((G409-F409)/G409,0)</f>
        <v>-0.52137568372953125</v>
      </c>
      <c r="I409" s="398">
        <f>IF(H409&lt;0,((0.25-(H409*(-1)))*$L$7),IF(H409&gt;0,(H409*$N$7)+$L$6,0))</f>
        <v>-14.473369798908333</v>
      </c>
      <c r="J409" s="73">
        <f>VLOOKUP(C409,'RAW DATA 2023'!E:AC,21,0)</f>
        <v>5.7753100000000002</v>
      </c>
      <c r="K409" s="398">
        <f>I409*J409</f>
        <v>-83.588197333333284</v>
      </c>
      <c r="R409" s="400"/>
    </row>
    <row r="410" spans="1:18">
      <c r="A410" s="63" t="str">
        <f>'RAW DATA 2023'!B860</f>
        <v>Nakornfarm</v>
      </c>
      <c r="B410" s="63" t="str">
        <f>'RAW DATA 2023'!D860</f>
        <v>BG-119-0010</v>
      </c>
      <c r="C410" s="63" t="str">
        <f>A410&amp;B410</f>
        <v>NakornfarmBG-119-0010</v>
      </c>
      <c r="D410" s="63">
        <f>VLOOKUP(C410,'RAW DATA 2023'!E:BP,63,0)</f>
        <v>5</v>
      </c>
      <c r="E410" s="63" t="str">
        <f>A410&amp;D410</f>
        <v>Nakornfarm5</v>
      </c>
      <c r="F410" s="389">
        <f>VLOOKUP(C410,'RAW DATA 2023'!E:BO,57,0)</f>
        <v>252.08297903977811</v>
      </c>
      <c r="G410" s="63">
        <f>VLOOKUP(C410,'RAW DATA 2023'!E:BO,58,0)</f>
        <v>204</v>
      </c>
      <c r="H410" s="390">
        <f>IFERROR((G410-F410)/G410,0)</f>
        <v>-0.23570087764597111</v>
      </c>
      <c r="I410" s="398">
        <f>IF(H410&lt;0,((0.25-(H410*(-1)))*$L$7),IF(H410&gt;0,(H410*$N$7)+$L$6,0))</f>
        <v>0.76261985888154071</v>
      </c>
      <c r="J410" s="73">
        <f>VLOOKUP(C410,'RAW DATA 2023'!E:AC,21,0)</f>
        <v>20.44444</v>
      </c>
      <c r="K410" s="398">
        <f>I410*J410</f>
        <v>15.591335947712126</v>
      </c>
      <c r="R410" s="400"/>
    </row>
    <row r="411" spans="1:18">
      <c r="A411" s="63" t="str">
        <f>'RAW DATA 2023'!B863</f>
        <v>Nakornfarm</v>
      </c>
      <c r="B411" s="63" t="str">
        <f>'RAW DATA 2023'!D863</f>
        <v>BG-110-0011</v>
      </c>
      <c r="C411" s="63" t="str">
        <f>A411&amp;B411</f>
        <v>NakornfarmBG-110-0011</v>
      </c>
      <c r="D411" s="63">
        <f>VLOOKUP(C411,'RAW DATA 2023'!E:BP,63,0)</f>
        <v>6</v>
      </c>
      <c r="E411" s="63" t="str">
        <f>A411&amp;D411</f>
        <v>Nakornfarm6</v>
      </c>
      <c r="F411" s="389">
        <f>VLOOKUP(C411,'RAW DATA 2023'!E:BO,57,0)</f>
        <v>339.71097783095519</v>
      </c>
      <c r="G411" s="63">
        <f>VLOOKUP(C411,'RAW DATA 2023'!E:BO,58,0)</f>
        <v>210</v>
      </c>
      <c r="H411" s="390">
        <f>IFERROR((G411-F411)/G411,0)</f>
        <v>-0.61767132300454852</v>
      </c>
      <c r="I411" s="398">
        <f>IF(H411&lt;0,((0.25-(H411*(-1)))*$L$7),IF(H411&gt;0,(H411*$N$7)+$L$6,0))</f>
        <v>-19.609137226909255</v>
      </c>
      <c r="J411" s="73">
        <f>VLOOKUP(C411,'RAW DATA 2023'!E:AC,21,0)</f>
        <v>17.827110000000001</v>
      </c>
      <c r="K411" s="398">
        <f>I411*J411</f>
        <v>-349.57424634920625</v>
      </c>
      <c r="R411" s="400"/>
    </row>
    <row r="412" spans="1:18">
      <c r="A412" s="63" t="str">
        <f>'RAW DATA 2023'!B865</f>
        <v>Nakornfarm</v>
      </c>
      <c r="B412" s="63" t="str">
        <f>'RAW DATA 2023'!D865</f>
        <v>BG-111-0010</v>
      </c>
      <c r="C412" s="63" t="str">
        <f>A412&amp;B412</f>
        <v>NakornfarmBG-111-0010</v>
      </c>
      <c r="D412" s="63">
        <f>VLOOKUP(C412,'RAW DATA 2023'!E:BP,63,0)</f>
        <v>6</v>
      </c>
      <c r="E412" s="63" t="str">
        <f>A412&amp;D412</f>
        <v>Nakornfarm6</v>
      </c>
      <c r="F412" s="389">
        <f>VLOOKUP(C412,'RAW DATA 2023'!E:BO,57,0)</f>
        <v>295.13017050350339</v>
      </c>
      <c r="G412" s="63">
        <f>VLOOKUP(C412,'RAW DATA 2023'!E:BO,58,0)</f>
        <v>200</v>
      </c>
      <c r="H412" s="390">
        <f>IFERROR((G412-F412)/G412,0)</f>
        <v>-0.47565085251751699</v>
      </c>
      <c r="I412" s="398">
        <f>IF(H412&lt;0,((0.25-(H412*(-1)))*$L$7),IF(H412&gt;0,(H412*$N$7)+$L$6,0))</f>
        <v>-12.034712134267574</v>
      </c>
      <c r="J412" s="73">
        <f>VLOOKUP(C412,'RAW DATA 2023'!E:AC,21,0)</f>
        <v>29.698509999999999</v>
      </c>
      <c r="K412" s="398">
        <f>I412*J412</f>
        <v>-357.41301866666686</v>
      </c>
      <c r="R412" s="400"/>
    </row>
    <row r="413" spans="1:18">
      <c r="A413" s="63" t="str">
        <f>'RAW DATA 2023'!B891</f>
        <v>Nakornfarm</v>
      </c>
      <c r="B413" s="63" t="str">
        <f>'RAW DATA 2023'!D891</f>
        <v>A1-099-0008</v>
      </c>
      <c r="C413" s="63" t="str">
        <f>A413&amp;B413</f>
        <v>NakornfarmA1-099-0008</v>
      </c>
      <c r="D413" s="63">
        <f>VLOOKUP(C413,'RAW DATA 2023'!E:BP,63,0)</f>
        <v>6</v>
      </c>
      <c r="E413" s="63" t="str">
        <f>A413&amp;D413</f>
        <v>Nakornfarm6</v>
      </c>
      <c r="F413" s="389">
        <f>VLOOKUP(C413,'RAW DATA 2023'!E:BO,57,0)</f>
        <v>274.10179874887234</v>
      </c>
      <c r="G413" s="63">
        <f>VLOOKUP(C413,'RAW DATA 2023'!E:BO,58,0)</f>
        <v>154</v>
      </c>
      <c r="H413" s="390">
        <f>IFERROR((G413-F413)/G413,0)</f>
        <v>-0.77988181005761259</v>
      </c>
      <c r="I413" s="398">
        <f>IF(H413&lt;0,((0.25-(H413*(-1)))*$L$7),IF(H413&gt;0,(H413*$N$7)+$L$6,0))</f>
        <v>-28.260363203072671</v>
      </c>
      <c r="J413" s="73">
        <f>VLOOKUP(C413,'RAW DATA 2023'!E:AC,21,0)</f>
        <v>7.4157099999999998</v>
      </c>
      <c r="K413" s="398">
        <f>I413*J413</f>
        <v>-209.57065800865803</v>
      </c>
      <c r="R413" s="400"/>
    </row>
    <row r="414" spans="1:18">
      <c r="A414" s="63" t="str">
        <f>'RAW DATA 2023'!B859</f>
        <v>Nakornfarm</v>
      </c>
      <c r="B414" s="63" t="str">
        <f>'RAW DATA 2023'!D859</f>
        <v>BG-101-0010</v>
      </c>
      <c r="C414" s="63" t="str">
        <f>A414&amp;B414</f>
        <v>NakornfarmBG-101-0010</v>
      </c>
      <c r="D414" s="63">
        <f>VLOOKUP(C414,'RAW DATA 2023'!E:BP,63,0)</f>
        <v>7</v>
      </c>
      <c r="E414" s="63" t="str">
        <f>A414&amp;D414</f>
        <v>Nakornfarm7</v>
      </c>
      <c r="F414" s="389">
        <f>VLOOKUP(C414,'RAW DATA 2023'!E:BO,57,0)</f>
        <v>257.78263278317655</v>
      </c>
      <c r="G414" s="63">
        <f>VLOOKUP(C414,'RAW DATA 2023'!E:BO,58,0)</f>
        <v>228</v>
      </c>
      <c r="H414" s="390">
        <f>IFERROR((G414-F414)/G414,0)</f>
        <v>-0.13062558238235331</v>
      </c>
      <c r="I414" s="398">
        <f>IF(H414&lt;0,((0.25-(H414*(-1)))*$L$7),IF(H414&gt;0,(H414*$N$7)+$L$6,0))</f>
        <v>6.3666356062744907</v>
      </c>
      <c r="J414" s="73">
        <f>VLOOKUP(C414,'RAW DATA 2023'!E:AC,21,0)</f>
        <v>15.559200000000001</v>
      </c>
      <c r="K414" s="398">
        <f>I414*J414</f>
        <v>99.059756725146059</v>
      </c>
      <c r="R414" s="400"/>
    </row>
    <row r="415" spans="1:18">
      <c r="A415" s="63" t="str">
        <f>'RAW DATA 2023'!B873</f>
        <v>Nakornfarm</v>
      </c>
      <c r="B415" s="63" t="str">
        <f>'RAW DATA 2023'!D873</f>
        <v>E1-077-0016</v>
      </c>
      <c r="C415" s="63" t="str">
        <f>A415&amp;B415</f>
        <v>NakornfarmE1-077-0016</v>
      </c>
      <c r="D415" s="63">
        <f>VLOOKUP(C415,'RAW DATA 2023'!E:BP,63,0)</f>
        <v>7</v>
      </c>
      <c r="E415" s="63" t="str">
        <f>A415&amp;D415</f>
        <v>Nakornfarm7</v>
      </c>
      <c r="F415" s="389">
        <f>VLOOKUP(C415,'RAW DATA 2023'!E:BO,57,0)</f>
        <v>451.88496147084783</v>
      </c>
      <c r="G415" s="63">
        <f>VLOOKUP(C415,'RAW DATA 2023'!E:BO,58,0)</f>
        <v>150</v>
      </c>
      <c r="H415" s="390">
        <f>IFERROR((G415-F415)/G415,0)</f>
        <v>-2.0125664098056522</v>
      </c>
      <c r="I415" s="398">
        <f>IF(H415&lt;0,((0.25-(H415*(-1)))*$L$7),IF(H415&gt;0,(H415*$N$7)+$L$6,0))</f>
        <v>-94.003541856301453</v>
      </c>
      <c r="J415" s="73">
        <f>VLOOKUP(C415,'RAW DATA 2023'!E:AC,21,0)</f>
        <v>4.3175100000000004</v>
      </c>
      <c r="K415" s="398">
        <f>I415*J415</f>
        <v>-405.86123200000014</v>
      </c>
      <c r="R415" s="400"/>
    </row>
    <row r="416" spans="1:18">
      <c r="A416" s="63" t="str">
        <f>'RAW DATA 2023'!B882</f>
        <v>Nakornfarm</v>
      </c>
      <c r="B416" s="63" t="str">
        <f>'RAW DATA 2023'!D882</f>
        <v>F1-089-0013</v>
      </c>
      <c r="C416" s="63" t="str">
        <f>A416&amp;B416</f>
        <v>NakornfarmF1-089-0013</v>
      </c>
      <c r="D416" s="63">
        <f>VLOOKUP(C416,'RAW DATA 2023'!E:BP,63,0)</f>
        <v>7</v>
      </c>
      <c r="E416" s="63" t="str">
        <f>A416&amp;D416</f>
        <v>Nakornfarm7</v>
      </c>
      <c r="F416" s="389">
        <f>VLOOKUP(C416,'RAW DATA 2023'!E:BO,57,0)</f>
        <v>177.84631202647782</v>
      </c>
      <c r="G416" s="63">
        <f>VLOOKUP(C416,'RAW DATA 2023'!E:BO,58,0)</f>
        <v>150</v>
      </c>
      <c r="H416" s="390">
        <f>IFERROR((G416-F416)/G416,0)</f>
        <v>-0.18564208017651879</v>
      </c>
      <c r="I416" s="398">
        <f>IF(H416&lt;0,((0.25-(H416*(-1)))*$L$7),IF(H416&gt;0,(H416*$N$7)+$L$6,0))</f>
        <v>3.432422390585665</v>
      </c>
      <c r="J416" s="73">
        <f>VLOOKUP(C416,'RAW DATA 2023'!E:AC,21,0)</f>
        <v>10.523530000000001</v>
      </c>
      <c r="K416" s="398">
        <f>I416*J416</f>
        <v>36.121199999999966</v>
      </c>
      <c r="R416" s="400"/>
    </row>
    <row r="417" spans="1:18">
      <c r="A417" s="63" t="str">
        <f>'RAW DATA 2023'!B889</f>
        <v>Nakornfarm</v>
      </c>
      <c r="B417" s="63" t="str">
        <f>'RAW DATA 2023'!D889</f>
        <v>F1-070-0019</v>
      </c>
      <c r="C417" s="63" t="str">
        <f>A417&amp;B417</f>
        <v>NakornfarmF1-070-0019</v>
      </c>
      <c r="D417" s="63">
        <f>VLOOKUP(C417,'RAW DATA 2023'!E:BP,63,0)</f>
        <v>7</v>
      </c>
      <c r="E417" s="63" t="str">
        <f>A417&amp;D417</f>
        <v>Nakornfarm7</v>
      </c>
      <c r="F417" s="389">
        <f>VLOOKUP(C417,'RAW DATA 2023'!E:BO,57,0)</f>
        <v>281.20971826654369</v>
      </c>
      <c r="G417" s="63">
        <f>VLOOKUP(C417,'RAW DATA 2023'!E:BO,58,0)</f>
        <v>150</v>
      </c>
      <c r="H417" s="390">
        <f>IFERROR((G417-F417)/G417,0)</f>
        <v>-0.87473145511029127</v>
      </c>
      <c r="I417" s="398">
        <f>IF(H417&lt;0,((0.25-(H417*(-1)))*$L$7),IF(H417&gt;0,(H417*$N$7)+$L$6,0))</f>
        <v>-33.319010939215538</v>
      </c>
      <c r="J417" s="73">
        <f>VLOOKUP(C417,'RAW DATA 2023'!E:AC,21,0)</f>
        <v>3.73935</v>
      </c>
      <c r="K417" s="398">
        <f>I417*J417</f>
        <v>-124.59144355555561</v>
      </c>
      <c r="R417" s="400"/>
    </row>
    <row r="418" spans="1:18">
      <c r="A418" s="63" t="str">
        <f>'RAW DATA 2023'!B892</f>
        <v>Nakornfarm</v>
      </c>
      <c r="B418" s="63" t="str">
        <f>'RAW DATA 2023'!D892</f>
        <v>A1-098-0006</v>
      </c>
      <c r="C418" s="63" t="str">
        <f>A418&amp;B418</f>
        <v>NakornfarmA1-098-0006</v>
      </c>
      <c r="D418" s="63">
        <f>VLOOKUP(C418,'RAW DATA 2023'!E:BP,63,0)</f>
        <v>7</v>
      </c>
      <c r="E418" s="63" t="str">
        <f>A418&amp;D418</f>
        <v>Nakornfarm7</v>
      </c>
      <c r="F418" s="389">
        <f>VLOOKUP(C418,'RAW DATA 2023'!E:BO,57,0)</f>
        <v>186.35623628712617</v>
      </c>
      <c r="G418" s="63">
        <f>VLOOKUP(C418,'RAW DATA 2023'!E:BO,58,0)</f>
        <v>182</v>
      </c>
      <c r="H418" s="390">
        <f>IFERROR((G418-F418)/G418,0)</f>
        <v>-2.3935364214978931E-2</v>
      </c>
      <c r="I418" s="398">
        <f>IF(H418&lt;0,((0.25-(H418*(-1)))*$L$7),IF(H418&gt;0,(H418*$N$7)+$L$6,0))</f>
        <v>12.056780575201124</v>
      </c>
      <c r="J418" s="73">
        <f>VLOOKUP(C418,'RAW DATA 2023'!E:AC,21,0)</f>
        <v>17.994040000000002</v>
      </c>
      <c r="K418" s="398">
        <f>I418*J418</f>
        <v>216.95019194139206</v>
      </c>
      <c r="R418" s="400"/>
    </row>
    <row r="419" spans="1:18">
      <c r="A419" s="63" t="str">
        <f>'RAW DATA 2023'!B868</f>
        <v>Nakornfarm</v>
      </c>
      <c r="B419" s="63" t="str">
        <f>'RAW DATA 2023'!D868</f>
        <v>BG-110-0012</v>
      </c>
      <c r="C419" s="63" t="str">
        <f>A419&amp;B419</f>
        <v>NakornfarmBG-110-0012</v>
      </c>
      <c r="D419" s="63">
        <f>VLOOKUP(C419,'RAW DATA 2023'!E:BP,63,0)</f>
        <v>8</v>
      </c>
      <c r="E419" s="63" t="str">
        <f>A419&amp;D419</f>
        <v>Nakornfarm8</v>
      </c>
      <c r="F419" s="389">
        <f>VLOOKUP(C419,'RAW DATA 2023'!E:BO,57,0)</f>
        <v>0</v>
      </c>
      <c r="G419" s="63">
        <f>VLOOKUP(C419,'RAW DATA 2023'!E:BO,58,0)</f>
        <v>0</v>
      </c>
      <c r="H419" s="390">
        <f>IFERROR((G419-F419)/G419,0)</f>
        <v>0</v>
      </c>
      <c r="I419" s="398">
        <f>IF(H419&lt;0,((0.25-(H419*(-1)))*$L$7),IF(H419&gt;0,(H419*$N$7)+$L$6,0))</f>
        <v>0</v>
      </c>
      <c r="J419" s="73">
        <f>VLOOKUP(C419,'RAW DATA 2023'!E:AC,21,0)</f>
        <v>0</v>
      </c>
      <c r="K419" s="398">
        <f>I419*J419</f>
        <v>0</v>
      </c>
      <c r="R419" s="400"/>
    </row>
    <row r="420" spans="1:18">
      <c r="A420" s="63" t="str">
        <f>'RAW DATA 2023'!B884</f>
        <v>Nakornfarm</v>
      </c>
      <c r="B420" s="63" t="str">
        <f>'RAW DATA 2023'!D884</f>
        <v>FG-125-0010</v>
      </c>
      <c r="C420" s="63" t="str">
        <f>A420&amp;B420</f>
        <v>NakornfarmFG-125-0010</v>
      </c>
      <c r="D420" s="63">
        <f>VLOOKUP(C420,'RAW DATA 2023'!E:BP,63,0)</f>
        <v>8</v>
      </c>
      <c r="E420" s="63" t="str">
        <f>A420&amp;D420</f>
        <v>Nakornfarm8</v>
      </c>
      <c r="F420" s="389">
        <f>VLOOKUP(C420,'RAW DATA 2023'!E:BO,57,0)</f>
        <v>262.31837962318514</v>
      </c>
      <c r="G420" s="63">
        <f>VLOOKUP(C420,'RAW DATA 2023'!E:BO,58,0)</f>
        <v>181</v>
      </c>
      <c r="H420" s="390">
        <f>IFERROR((G420-F420)/G420,0)</f>
        <v>-0.44927281559770793</v>
      </c>
      <c r="I420" s="398">
        <f>IF(H420&lt;0,((0.25-(H420*(-1)))*$L$7),IF(H420&gt;0,(H420*$N$7)+$L$6,0))</f>
        <v>-10.627883498544424</v>
      </c>
      <c r="J420" s="73">
        <f>VLOOKUP(C420,'RAW DATA 2023'!E:AC,21,0)</f>
        <v>14.798780000000001</v>
      </c>
      <c r="K420" s="398">
        <f>I420*J420</f>
        <v>-157.27970976058927</v>
      </c>
      <c r="R420" s="400"/>
    </row>
    <row r="421" spans="1:18">
      <c r="A421" s="63" t="str">
        <f>'RAW DATA 2023'!B895</f>
        <v>Nakornfarm</v>
      </c>
      <c r="B421" s="63" t="str">
        <f>'RAW DATA 2023'!D895</f>
        <v>B1-108-0006</v>
      </c>
      <c r="C421" s="63" t="str">
        <f>A421&amp;B421</f>
        <v>NakornfarmB1-108-0006</v>
      </c>
      <c r="D421" s="63">
        <f>VLOOKUP(C421,'RAW DATA 2023'!E:BP,63,0)</f>
        <v>8</v>
      </c>
      <c r="E421" s="63" t="str">
        <f>A421&amp;D421</f>
        <v>Nakornfarm8</v>
      </c>
      <c r="F421" s="389">
        <f>VLOOKUP(C421,'RAW DATA 2023'!E:BO,57,0)</f>
        <v>276.98805058976313</v>
      </c>
      <c r="G421" s="63">
        <f>VLOOKUP(C421,'RAW DATA 2023'!E:BO,58,0)</f>
        <v>150</v>
      </c>
      <c r="H421" s="390">
        <f>IFERROR((G421-F421)/G421,0)</f>
        <v>-0.84658700393175423</v>
      </c>
      <c r="I421" s="398">
        <f>IF(H421&lt;0,((0.25-(H421*(-1)))*$L$7),IF(H421&gt;0,(H421*$N$7)+$L$6,0))</f>
        <v>-31.817973543026895</v>
      </c>
      <c r="J421" s="73">
        <f>VLOOKUP(C421,'RAW DATA 2023'!E:AC,21,0)</f>
        <v>6.8764899999999995</v>
      </c>
      <c r="K421" s="398">
        <f>I421*J421</f>
        <v>-218.79597688888899</v>
      </c>
      <c r="R421" s="400"/>
    </row>
    <row r="422" spans="1:18">
      <c r="A422" s="63" t="str">
        <f>'RAW DATA 2023'!B898</f>
        <v>Nakornfarm</v>
      </c>
      <c r="B422" s="63" t="str">
        <f>'RAW DATA 2023'!D898</f>
        <v>B1-107-0006</v>
      </c>
      <c r="C422" s="63" t="str">
        <f>A422&amp;B422</f>
        <v>NakornfarmB1-107-0006</v>
      </c>
      <c r="D422" s="63">
        <f>VLOOKUP(C422,'RAW DATA 2023'!E:BP,63,0)</f>
        <v>8</v>
      </c>
      <c r="E422" s="63" t="str">
        <f>A422&amp;D422</f>
        <v>Nakornfarm8</v>
      </c>
      <c r="F422" s="389">
        <f>VLOOKUP(C422,'RAW DATA 2023'!E:BO,57,0)</f>
        <v>0</v>
      </c>
      <c r="G422" s="63">
        <f>VLOOKUP(C422,'RAW DATA 2023'!E:BO,58,0)</f>
        <v>0</v>
      </c>
      <c r="H422" s="390">
        <f>IFERROR((G422-F422)/G422,0)</f>
        <v>0</v>
      </c>
      <c r="I422" s="398">
        <f>IF(H422&lt;0,((0.25-(H422*(-1)))*$L$7),IF(H422&gt;0,(H422*$N$7)+$L$6,0))</f>
        <v>0</v>
      </c>
      <c r="J422" s="73">
        <f>VLOOKUP(C422,'RAW DATA 2023'!E:AC,21,0)</f>
        <v>0</v>
      </c>
      <c r="K422" s="398">
        <f>I422*J422</f>
        <v>0</v>
      </c>
      <c r="R422" s="400"/>
    </row>
    <row r="423" spans="1:18">
      <c r="A423" s="63" t="str">
        <f>'RAW DATA 2023'!B864</f>
        <v>Nakornfarm</v>
      </c>
      <c r="B423" s="63" t="str">
        <f>'RAW DATA 2023'!D864</f>
        <v>BG-102-0011</v>
      </c>
      <c r="C423" s="63" t="str">
        <f>A423&amp;B423</f>
        <v>NakornfarmBG-102-0011</v>
      </c>
      <c r="D423" s="63">
        <f>VLOOKUP(C423,'RAW DATA 2023'!E:BP,63,0)</f>
        <v>9</v>
      </c>
      <c r="E423" s="63" t="str">
        <f>A423&amp;D423</f>
        <v>Nakornfarm9</v>
      </c>
      <c r="F423" s="389">
        <f>VLOOKUP(C423,'RAW DATA 2023'!E:BO,57,0)</f>
        <v>217.6816491034763</v>
      </c>
      <c r="G423" s="63">
        <f>VLOOKUP(C423,'RAW DATA 2023'!E:BO,58,0)</f>
        <v>183</v>
      </c>
      <c r="H423" s="390">
        <f>IFERROR((G423-F423)/G423,0)</f>
        <v>-0.18951720821571749</v>
      </c>
      <c r="I423" s="398">
        <f>IF(H423&lt;0,((0.25-(H423*(-1)))*$L$7),IF(H423&gt;0,(H423*$N$7)+$L$6,0))</f>
        <v>3.2257488951617339</v>
      </c>
      <c r="J423" s="73">
        <f>VLOOKUP(C423,'RAW DATA 2023'!E:AC,21,0)</f>
        <v>15.355979999999999</v>
      </c>
      <c r="K423" s="398">
        <f>I423*J423</f>
        <v>49.534535519125676</v>
      </c>
      <c r="R423" s="400"/>
    </row>
    <row r="424" spans="1:18">
      <c r="A424" s="63" t="str">
        <f>'RAW DATA 2023'!B799</f>
        <v>Pakpanang1</v>
      </c>
      <c r="B424" s="63" t="str">
        <f>'RAW DATA 2023'!D799</f>
        <v>D1-173-0009</v>
      </c>
      <c r="C424" s="63" t="str">
        <f>A424&amp;B424</f>
        <v>Pakpanang1D1-173-0009</v>
      </c>
      <c r="D424" s="63">
        <f>VLOOKUP(C424,'RAW DATA 2023'!E:BP,63,0)</f>
        <v>10</v>
      </c>
      <c r="E424" s="63" t="str">
        <f>A424&amp;D424</f>
        <v>Pakpanang110</v>
      </c>
      <c r="F424" s="389">
        <f>VLOOKUP(C424,'RAW DATA 2023'!E:BO,57,0)</f>
        <v>183.48703362622948</v>
      </c>
      <c r="G424" s="63">
        <f>VLOOKUP(C424,'RAW DATA 2023'!E:BO,58,0)</f>
        <v>204</v>
      </c>
      <c r="H424" s="390">
        <f>IFERROR((G424-F424)/G424,0)</f>
        <v>0.10055375673416923</v>
      </c>
      <c r="I424" s="398">
        <f>IF(H424&lt;0,((0.25-(H424*(-1)))*$L$7),IF(H424&gt;0,(H424*$N$7)+$L$6,0))</f>
        <v>18.696200359155693</v>
      </c>
      <c r="J424" s="73">
        <f>VLOOKUP(C424,'RAW DATA 2023'!E:AC,21,0)</f>
        <v>24.95879</v>
      </c>
      <c r="K424" s="398">
        <f>I424*J424</f>
        <v>466.63453856209151</v>
      </c>
      <c r="R424" s="400"/>
    </row>
    <row r="425" spans="1:18">
      <c r="A425" s="63" t="str">
        <f>'RAW DATA 2023'!B795</f>
        <v>Pakpanang1</v>
      </c>
      <c r="B425" s="63" t="str">
        <f>'RAW DATA 2023'!D795</f>
        <v>C1-139-0010</v>
      </c>
      <c r="C425" s="63" t="str">
        <f>A425&amp;B425</f>
        <v>Pakpanang1C1-139-0010</v>
      </c>
      <c r="D425" s="63">
        <f>VLOOKUP(C425,'RAW DATA 2023'!E:BP,63,0)</f>
        <v>11</v>
      </c>
      <c r="E425" s="63" t="str">
        <f>A425&amp;D425</f>
        <v>Pakpanang111</v>
      </c>
      <c r="F425" s="389">
        <f>VLOOKUP(C425,'RAW DATA 2023'!E:BO,57,0)</f>
        <v>233.95951941556362</v>
      </c>
      <c r="G425" s="63">
        <f>VLOOKUP(C425,'RAW DATA 2023'!E:BO,58,0)</f>
        <v>232</v>
      </c>
      <c r="H425" s="390">
        <f>IFERROR((G425-F425)/G425,0)</f>
        <v>-8.4462043774293939E-3</v>
      </c>
      <c r="I425" s="398">
        <f>IF(H425&lt;0,((0.25-(H425*(-1)))*$L$7),IF(H425&gt;0,(H425*$N$7)+$L$6,0))</f>
        <v>12.882869099870431</v>
      </c>
      <c r="J425" s="73">
        <f>VLOOKUP(C425,'RAW DATA 2023'!E:AC,21,0)</f>
        <v>15.96889</v>
      </c>
      <c r="K425" s="398">
        <f>I425*J425</f>
        <v>205.72511954022994</v>
      </c>
      <c r="R425" s="400"/>
    </row>
    <row r="426" spans="1:18">
      <c r="A426" s="63" t="str">
        <f>'RAW DATA 2023'!B796</f>
        <v>Pakpanang1</v>
      </c>
      <c r="B426" s="63" t="str">
        <f>'RAW DATA 2023'!D796</f>
        <v>C1-138-0011</v>
      </c>
      <c r="C426" s="63" t="str">
        <f>A426&amp;B426</f>
        <v>Pakpanang1C1-138-0011</v>
      </c>
      <c r="D426" s="63">
        <f>VLOOKUP(C426,'RAW DATA 2023'!E:BP,63,0)</f>
        <v>11</v>
      </c>
      <c r="E426" s="63" t="str">
        <f>A426&amp;D426</f>
        <v>Pakpanang111</v>
      </c>
      <c r="F426" s="389">
        <f>VLOOKUP(C426,'RAW DATA 2023'!E:BO,57,0)</f>
        <v>174.9830264877159</v>
      </c>
      <c r="G426" s="63">
        <f>VLOOKUP(C426,'RAW DATA 2023'!E:BO,58,0)</f>
        <v>192</v>
      </c>
      <c r="H426" s="390">
        <f>IFERROR((G426-F426)/G426,0)</f>
        <v>8.8630070376479672E-2</v>
      </c>
      <c r="I426" s="398">
        <f>IF(H426&lt;0,((0.25-(H426*(-1)))*$L$7),IF(H426&gt;0,(H426*$N$7)+$L$6,0))</f>
        <v>18.060270420078915</v>
      </c>
      <c r="J426" s="73">
        <f>VLOOKUP(C426,'RAW DATA 2023'!E:AC,21,0)</f>
        <v>24.964779999999998</v>
      </c>
      <c r="K426" s="398">
        <f>I426*J426</f>
        <v>450.87067777777764</v>
      </c>
      <c r="R426" s="400"/>
    </row>
    <row r="427" spans="1:18">
      <c r="A427" s="63" t="str">
        <f>'RAW DATA 2023'!B797</f>
        <v>Pakpanang1</v>
      </c>
      <c r="B427" s="63" t="str">
        <f>'RAW DATA 2023'!D797</f>
        <v>D1-174-0009</v>
      </c>
      <c r="C427" s="63" t="str">
        <f>A427&amp;B427</f>
        <v>Pakpanang1D1-174-0009</v>
      </c>
      <c r="D427" s="63">
        <f>VLOOKUP(C427,'RAW DATA 2023'!E:BP,63,0)</f>
        <v>11</v>
      </c>
      <c r="E427" s="63" t="str">
        <f>A427&amp;D427</f>
        <v>Pakpanang111</v>
      </c>
      <c r="F427" s="389">
        <f>VLOOKUP(C427,'RAW DATA 2023'!E:BO,57,0)</f>
        <v>236.64462795385867</v>
      </c>
      <c r="G427" s="63">
        <f>VLOOKUP(C427,'RAW DATA 2023'!E:BO,58,0)</f>
        <v>214</v>
      </c>
      <c r="H427" s="390">
        <f>IFERROR((G427-F427)/G427,0)</f>
        <v>-0.1058160184759751</v>
      </c>
      <c r="I427" s="398">
        <f>IF(H427&lt;0,((0.25-(H427*(-1)))*$L$7),IF(H427&gt;0,(H427*$N$7)+$L$6,0))</f>
        <v>7.6898123479479947</v>
      </c>
      <c r="J427" s="73">
        <f>VLOOKUP(C427,'RAW DATA 2023'!E:AC,21,0)</f>
        <v>24.455299999999998</v>
      </c>
      <c r="K427" s="398">
        <f>I427*J427</f>
        <v>188.05666791277258</v>
      </c>
      <c r="R427" s="400"/>
    </row>
    <row r="428" spans="1:18">
      <c r="A428" s="63" t="str">
        <f>'RAW DATA 2023'!B798</f>
        <v>Pakpanang1</v>
      </c>
      <c r="B428" s="63" t="str">
        <f>'RAW DATA 2023'!D798</f>
        <v>C1-140-0010</v>
      </c>
      <c r="C428" s="63" t="str">
        <f>A428&amp;B428</f>
        <v>Pakpanang1C1-140-0010</v>
      </c>
      <c r="D428" s="63">
        <f>VLOOKUP(C428,'RAW DATA 2023'!E:BP,63,0)</f>
        <v>11</v>
      </c>
      <c r="E428" s="63" t="str">
        <f>A428&amp;D428</f>
        <v>Pakpanang111</v>
      </c>
      <c r="F428" s="389">
        <f>VLOOKUP(C428,'RAW DATA 2023'!E:BO,57,0)</f>
        <v>259.8159479474395</v>
      </c>
      <c r="G428" s="63">
        <f>VLOOKUP(C428,'RAW DATA 2023'!E:BO,58,0)</f>
        <v>189</v>
      </c>
      <c r="H428" s="390">
        <f>IFERROR((G428-F428)/G428,0)</f>
        <v>-0.37468755527745767</v>
      </c>
      <c r="I428" s="398">
        <f>IF(H428&lt;0,((0.25-(H428*(-1)))*$L$7),IF(H428&gt;0,(H428*$N$7)+$L$6,0))</f>
        <v>-6.6500029481310765</v>
      </c>
      <c r="J428" s="73">
        <f>VLOOKUP(C428,'RAW DATA 2023'!E:AC,21,0)</f>
        <v>14.961799999999998</v>
      </c>
      <c r="K428" s="398">
        <f>I428*J428</f>
        <v>-99.496014109347527</v>
      </c>
      <c r="R428" s="400"/>
    </row>
    <row r="429" spans="1:18">
      <c r="A429" s="63" t="str">
        <f>'RAW DATA 2023'!B800</f>
        <v>Pakpanang1</v>
      </c>
      <c r="B429" s="63" t="str">
        <f>'RAW DATA 2023'!D800</f>
        <v>A1-183-0011</v>
      </c>
      <c r="C429" s="63" t="str">
        <f>A429&amp;B429</f>
        <v>Pakpanang1A1-183-0011</v>
      </c>
      <c r="D429" s="63">
        <f>VLOOKUP(C429,'RAW DATA 2023'!E:BP,63,0)</f>
        <v>11</v>
      </c>
      <c r="E429" s="63" t="str">
        <f>A429&amp;D429</f>
        <v>Pakpanang111</v>
      </c>
      <c r="F429" s="389">
        <f>VLOOKUP(C429,'RAW DATA 2023'!E:BO,57,0)</f>
        <v>265.82736012419628</v>
      </c>
      <c r="G429" s="63">
        <f>VLOOKUP(C429,'RAW DATA 2023'!E:BO,58,0)</f>
        <v>207</v>
      </c>
      <c r="H429" s="390">
        <f>IFERROR((G429-F429)/G429,0)</f>
        <v>-0.28419014552751826</v>
      </c>
      <c r="I429" s="398">
        <f>IF(H429&lt;0,((0.25-(H429*(-1)))*$L$7),IF(H429&gt;0,(H429*$N$7)+$L$6,0))</f>
        <v>-1.8234744281343072</v>
      </c>
      <c r="J429" s="73">
        <f>VLOOKUP(C429,'RAW DATA 2023'!E:AC,21,0)</f>
        <v>23.717290000000002</v>
      </c>
      <c r="K429" s="398">
        <f>I429*J429</f>
        <v>-43.247871819645525</v>
      </c>
      <c r="R429" s="400"/>
    </row>
    <row r="430" spans="1:18">
      <c r="A430" s="63" t="str">
        <f>'RAW DATA 2023'!B814</f>
        <v>Pakpanang1</v>
      </c>
      <c r="B430" s="63" t="str">
        <f>'RAW DATA 2023'!D814</f>
        <v>A1-004-0020</v>
      </c>
      <c r="C430" s="63" t="str">
        <f>A430&amp;B430</f>
        <v>Pakpanang1A1-004-0020</v>
      </c>
      <c r="D430" s="63">
        <f>VLOOKUP(C430,'RAW DATA 2023'!E:BP,63,0)</f>
        <v>11</v>
      </c>
      <c r="E430" s="63" t="str">
        <f>A430&amp;D430</f>
        <v>Pakpanang111</v>
      </c>
      <c r="F430" s="389">
        <f>VLOOKUP(C430,'RAW DATA 2023'!E:BO,57,0)</f>
        <v>314.1627243884659</v>
      </c>
      <c r="G430" s="63">
        <f>VLOOKUP(C430,'RAW DATA 2023'!E:BO,58,0)</f>
        <v>150</v>
      </c>
      <c r="H430" s="390">
        <f>IFERROR((G430-F430)/G430,0)</f>
        <v>-1.0944181625897726</v>
      </c>
      <c r="I430" s="398">
        <f>IF(H430&lt;0,((0.25-(H430*(-1)))*$L$7),IF(H430&gt;0,(H430*$N$7)+$L$6,0))</f>
        <v>-45.03563533812121</v>
      </c>
      <c r="J430" s="73">
        <f>VLOOKUP(C430,'RAW DATA 2023'!E:AC,21,0)</f>
        <v>21.34468</v>
      </c>
      <c r="K430" s="398">
        <f>I430*J430</f>
        <v>-961.27122488888904</v>
      </c>
      <c r="R430" s="400"/>
    </row>
    <row r="431" spans="1:18">
      <c r="A431" s="63" t="str">
        <f>'RAW DATA 2023'!B815</f>
        <v>Pakpanang1</v>
      </c>
      <c r="B431" s="63" t="str">
        <f>'RAW DATA 2023'!D815</f>
        <v>D1-171-0011</v>
      </c>
      <c r="C431" s="63" t="str">
        <f>A431&amp;B431</f>
        <v>Pakpanang1D1-171-0011</v>
      </c>
      <c r="D431" s="63">
        <f>VLOOKUP(C431,'RAW DATA 2023'!E:BP,63,0)</f>
        <v>11</v>
      </c>
      <c r="E431" s="63" t="str">
        <f>A431&amp;D431</f>
        <v>Pakpanang111</v>
      </c>
      <c r="F431" s="389">
        <f>VLOOKUP(C431,'RAW DATA 2023'!E:BO,57,0)</f>
        <v>424.67244032926868</v>
      </c>
      <c r="G431" s="63">
        <f>VLOOKUP(C431,'RAW DATA 2023'!E:BO,58,0)</f>
        <v>150</v>
      </c>
      <c r="H431" s="390">
        <f>IFERROR((G431-F431)/G431,0)</f>
        <v>-1.8311496021951246</v>
      </c>
      <c r="I431" s="398">
        <f>IF(H431&lt;0,((0.25-(H431*(-1)))*$L$7),IF(H431&gt;0,(H431*$N$7)+$L$6,0))</f>
        <v>-84.327978783739979</v>
      </c>
      <c r="J431" s="73">
        <f>VLOOKUP(C431,'RAW DATA 2023'!E:AC,21,0)</f>
        <v>4.88598</v>
      </c>
      <c r="K431" s="398">
        <f>I431*J431</f>
        <v>-412.02481777777786</v>
      </c>
      <c r="R431" s="400"/>
    </row>
    <row r="432" spans="1:18">
      <c r="A432" s="63" t="str">
        <f>'RAW DATA 2023'!B818</f>
        <v>Pakpanang1</v>
      </c>
      <c r="B432" s="63" t="str">
        <f>'RAW DATA 2023'!D818</f>
        <v>D1-172-0010</v>
      </c>
      <c r="C432" s="63" t="str">
        <f>A432&amp;B432</f>
        <v>Pakpanang1D1-172-0010</v>
      </c>
      <c r="D432" s="63">
        <f>VLOOKUP(C432,'RAW DATA 2023'!E:BP,63,0)</f>
        <v>11</v>
      </c>
      <c r="E432" s="63" t="str">
        <f>A432&amp;D432</f>
        <v>Pakpanang111</v>
      </c>
      <c r="F432" s="389">
        <f>VLOOKUP(C432,'RAW DATA 2023'!E:BO,57,0)</f>
        <v>711.1506821413758</v>
      </c>
      <c r="G432" s="63">
        <f>VLOOKUP(C432,'RAW DATA 2023'!E:BO,58,0)</f>
        <v>150</v>
      </c>
      <c r="H432" s="390">
        <f>IFERROR((G432-F432)/G432,0)</f>
        <v>-3.741004547609172</v>
      </c>
      <c r="I432" s="398">
        <f>IF(H432&lt;0,((0.25-(H432*(-1)))*$L$7),IF(H432&gt;0,(H432*$N$7)+$L$6,0))</f>
        <v>-186.1869092058225</v>
      </c>
      <c r="J432" s="73">
        <f>VLOOKUP(C432,'RAW DATA 2023'!E:AC,21,0)</f>
        <v>2.7003200000000001</v>
      </c>
      <c r="K432" s="398">
        <f>I432*J432</f>
        <v>-502.76423466666665</v>
      </c>
      <c r="R432" s="400"/>
    </row>
    <row r="433" spans="1:18">
      <c r="A433" s="63" t="str">
        <f>'RAW DATA 2023'!B808</f>
        <v>Pakpanang1</v>
      </c>
      <c r="B433" s="63" t="str">
        <f>'RAW DATA 2023'!D808</f>
        <v>A1-181-0008</v>
      </c>
      <c r="C433" s="63" t="str">
        <f>A433&amp;B433</f>
        <v>Pakpanang1A1-181-0008</v>
      </c>
      <c r="D433" s="63">
        <f>VLOOKUP(C433,'RAW DATA 2023'!E:BP,63,0)</f>
        <v>4</v>
      </c>
      <c r="E433" s="63" t="str">
        <f>A433&amp;D433</f>
        <v>Pakpanang14</v>
      </c>
      <c r="F433" s="389">
        <f>VLOOKUP(C433,'RAW DATA 2023'!E:BO,57,0)</f>
        <v>157.85531909978471</v>
      </c>
      <c r="G433" s="63">
        <f>VLOOKUP(C433,'RAW DATA 2023'!E:BO,58,0)</f>
        <v>150</v>
      </c>
      <c r="H433" s="390">
        <f>IFERROR((G433-F433)/G433,0)</f>
        <v>-5.2368793998564721E-2</v>
      </c>
      <c r="I433" s="398">
        <f>IF(H433&lt;0,((0.25-(H433*(-1)))*$L$7),IF(H433&gt;0,(H433*$N$7)+$L$6,0))</f>
        <v>10.540330986743214</v>
      </c>
      <c r="J433" s="73">
        <f>VLOOKUP(C433,'RAW DATA 2023'!E:AC,21,0)</f>
        <v>10.38907</v>
      </c>
      <c r="K433" s="398">
        <f>I433*J433</f>
        <v>109.50423644444433</v>
      </c>
      <c r="R433" s="400"/>
    </row>
    <row r="434" spans="1:18">
      <c r="A434" s="63" t="str">
        <f>'RAW DATA 2023'!B812</f>
        <v>Pakpanang1</v>
      </c>
      <c r="B434" s="63" t="str">
        <f>'RAW DATA 2023'!D812</f>
        <v>C1-140-0009</v>
      </c>
      <c r="C434" s="63" t="str">
        <f>A434&amp;B434</f>
        <v>Pakpanang1C1-140-0009</v>
      </c>
      <c r="D434" s="63">
        <f>VLOOKUP(C434,'RAW DATA 2023'!E:BP,63,0)</f>
        <v>4</v>
      </c>
      <c r="E434" s="63" t="str">
        <f>A434&amp;D434</f>
        <v>Pakpanang14</v>
      </c>
      <c r="F434" s="389">
        <f>VLOOKUP(C434,'RAW DATA 2023'!E:BO,57,0)</f>
        <v>214.88153842812775</v>
      </c>
      <c r="G434" s="63">
        <f>VLOOKUP(C434,'RAW DATA 2023'!E:BO,58,0)</f>
        <v>150</v>
      </c>
      <c r="H434" s="390">
        <f>IFERROR((G434-F434)/G434,0)</f>
        <v>-0.4325435895208517</v>
      </c>
      <c r="I434" s="398">
        <f>IF(H434&lt;0,((0.25-(H434*(-1)))*$L$7),IF(H434&gt;0,(H434*$N$7)+$L$6,0))</f>
        <v>-9.7356581077787574</v>
      </c>
      <c r="J434" s="73">
        <f>VLOOKUP(C434,'RAW DATA 2023'!E:AC,21,0)</f>
        <v>6.9070499999999999</v>
      </c>
      <c r="K434" s="398">
        <f>I434*J434</f>
        <v>-67.244677333333271</v>
      </c>
      <c r="R434" s="400"/>
    </row>
    <row r="435" spans="1:18">
      <c r="A435" s="63" t="str">
        <f>'RAW DATA 2023'!B816</f>
        <v>Pakpanang1</v>
      </c>
      <c r="B435" s="63" t="str">
        <f>'RAW DATA 2023'!D816</f>
        <v>D1-174-0008</v>
      </c>
      <c r="C435" s="63" t="str">
        <f>A435&amp;B435</f>
        <v>Pakpanang1D1-174-0008</v>
      </c>
      <c r="D435" s="63">
        <f>VLOOKUP(C435,'RAW DATA 2023'!E:BP,63,0)</f>
        <v>4</v>
      </c>
      <c r="E435" s="63" t="str">
        <f>A435&amp;D435</f>
        <v>Pakpanang14</v>
      </c>
      <c r="F435" s="389">
        <f>VLOOKUP(C435,'RAW DATA 2023'!E:BO,57,0)</f>
        <v>302.13713096351449</v>
      </c>
      <c r="G435" s="63">
        <f>VLOOKUP(C435,'RAW DATA 2023'!E:BO,58,0)</f>
        <v>150</v>
      </c>
      <c r="H435" s="390">
        <f>IFERROR((G435-F435)/G435,0)</f>
        <v>-1.0142475397567632</v>
      </c>
      <c r="I435" s="398">
        <f>IF(H435&lt;0,((0.25-(H435*(-1)))*$L$7),IF(H435&gt;0,(H435*$N$7)+$L$6,0))</f>
        <v>-40.759868787027372</v>
      </c>
      <c r="J435" s="73">
        <f>VLOOKUP(C435,'RAW DATA 2023'!E:AC,21,0)</f>
        <v>6.7791399999999999</v>
      </c>
      <c r="K435" s="398">
        <f>I435*J435</f>
        <v>-276.31685688888876</v>
      </c>
      <c r="R435" s="400"/>
    </row>
    <row r="436" spans="1:18">
      <c r="A436" s="63" t="str">
        <f>'RAW DATA 2023'!B817</f>
        <v>Pakpanang1</v>
      </c>
      <c r="B436" s="63" t="str">
        <f>'RAW DATA 2023'!D817</f>
        <v>D1-177-0009</v>
      </c>
      <c r="C436" s="63" t="str">
        <f>A436&amp;B436</f>
        <v>Pakpanang1D1-177-0009</v>
      </c>
      <c r="D436" s="63">
        <f>VLOOKUP(C436,'RAW DATA 2023'!E:BP,63,0)</f>
        <v>4</v>
      </c>
      <c r="E436" s="63" t="str">
        <f>A436&amp;D436</f>
        <v>Pakpanang14</v>
      </c>
      <c r="F436" s="389">
        <f>VLOOKUP(C436,'RAW DATA 2023'!E:BO,57,0)</f>
        <v>388.83729384325284</v>
      </c>
      <c r="G436" s="63">
        <f>VLOOKUP(C436,'RAW DATA 2023'!E:BO,58,0)</f>
        <v>150</v>
      </c>
      <c r="H436" s="390">
        <f>IFERROR((G436-F436)/G436,0)</f>
        <v>-1.5922486256216857</v>
      </c>
      <c r="I436" s="398">
        <f>IF(H436&lt;0,((0.25-(H436*(-1)))*$L$7),IF(H436&gt;0,(H436*$N$7)+$L$6,0))</f>
        <v>-71.586593366489907</v>
      </c>
      <c r="J436" s="73">
        <f>VLOOKUP(C436,'RAW DATA 2023'!E:AC,21,0)</f>
        <v>6.9843700000000002</v>
      </c>
      <c r="K436" s="398">
        <f>I436*J436</f>
        <v>-499.98725511111115</v>
      </c>
      <c r="R436" s="400"/>
    </row>
    <row r="437" spans="1:18">
      <c r="A437" s="63" t="str">
        <f>'RAW DATA 2023'!B801</f>
        <v>Pakpanang1</v>
      </c>
      <c r="B437" s="63" t="str">
        <f>'RAW DATA 2023'!D801</f>
        <v>C1-137-0010</v>
      </c>
      <c r="C437" s="63" t="str">
        <f>A437&amp;B437</f>
        <v>Pakpanang1C1-137-0010</v>
      </c>
      <c r="D437" s="63">
        <f>VLOOKUP(C437,'RAW DATA 2023'!E:BP,63,0)</f>
        <v>5</v>
      </c>
      <c r="E437" s="63" t="str">
        <f>A437&amp;D437</f>
        <v>Pakpanang15</v>
      </c>
      <c r="F437" s="389">
        <f>VLOOKUP(C437,'RAW DATA 2023'!E:BO,57,0)</f>
        <v>167.89006482333147</v>
      </c>
      <c r="G437" s="63">
        <f>VLOOKUP(C437,'RAW DATA 2023'!E:BO,58,0)</f>
        <v>204</v>
      </c>
      <c r="H437" s="390">
        <f>IFERROR((G437-F437)/G437,0)</f>
        <v>0.17700948616013984</v>
      </c>
      <c r="I437" s="398">
        <f>IF(H437&lt;0,((0.25-(H437*(-1)))*$L$7),IF(H437&gt;0,(H437*$N$7)+$L$6,0))</f>
        <v>22.773839261874127</v>
      </c>
      <c r="J437" s="73">
        <f>VLOOKUP(C437,'RAW DATA 2023'!E:AC,21,0)</f>
        <v>22.874479999999998</v>
      </c>
      <c r="K437" s="398">
        <f>I437*J437</f>
        <v>520.93973071895448</v>
      </c>
      <c r="R437" s="400"/>
    </row>
    <row r="438" spans="1:18">
      <c r="A438" s="63" t="str">
        <f>'RAW DATA 2023'!B802</f>
        <v>Pakpanang1</v>
      </c>
      <c r="B438" s="63" t="str">
        <f>'RAW DATA 2023'!D802</f>
        <v>C1-136-0009</v>
      </c>
      <c r="C438" s="63" t="str">
        <f>A438&amp;B438</f>
        <v>Pakpanang1C1-136-0009</v>
      </c>
      <c r="D438" s="63">
        <f>VLOOKUP(C438,'RAW DATA 2023'!E:BP,63,0)</f>
        <v>5</v>
      </c>
      <c r="E438" s="63" t="str">
        <f>A438&amp;D438</f>
        <v>Pakpanang15</v>
      </c>
      <c r="F438" s="389">
        <f>VLOOKUP(C438,'RAW DATA 2023'!E:BO,57,0)</f>
        <v>195.4896496640562</v>
      </c>
      <c r="G438" s="63">
        <f>VLOOKUP(C438,'RAW DATA 2023'!E:BO,58,0)</f>
        <v>204</v>
      </c>
      <c r="H438" s="390">
        <f>IFERROR((G438-F438)/G438,0)</f>
        <v>4.1717403607567635E-2</v>
      </c>
      <c r="I438" s="398">
        <f>IF(H438&lt;0,((0.25-(H438*(-1)))*$L$7),IF(H438&gt;0,(H438*$N$7)+$L$6,0))</f>
        <v>15.558261525736942</v>
      </c>
      <c r="J438" s="73">
        <f>VLOOKUP(C438,'RAW DATA 2023'!E:AC,21,0)</f>
        <v>19.594049999999999</v>
      </c>
      <c r="K438" s="398">
        <f>I438*J438</f>
        <v>304.8493542483659</v>
      </c>
      <c r="R438" s="400"/>
    </row>
    <row r="439" spans="1:18">
      <c r="A439" s="63" t="str">
        <f>'RAW DATA 2023'!B803</f>
        <v>Pakpanang1</v>
      </c>
      <c r="B439" s="63" t="str">
        <f>'RAW DATA 2023'!D803</f>
        <v>D1-171-0009</v>
      </c>
      <c r="C439" s="63" t="str">
        <f>A439&amp;B439</f>
        <v>Pakpanang1D1-171-0009</v>
      </c>
      <c r="D439" s="63">
        <f>VLOOKUP(C439,'RAW DATA 2023'!E:BP,63,0)</f>
        <v>5</v>
      </c>
      <c r="E439" s="63" t="str">
        <f>A439&amp;D439</f>
        <v>Pakpanang15</v>
      </c>
      <c r="F439" s="389">
        <f>VLOOKUP(C439,'RAW DATA 2023'!E:BO,57,0)</f>
        <v>206.74513025355236</v>
      </c>
      <c r="G439" s="63">
        <f>VLOOKUP(C439,'RAW DATA 2023'!E:BO,58,0)</f>
        <v>197</v>
      </c>
      <c r="H439" s="390">
        <f>IFERROR((G439-F439)/G439,0)</f>
        <v>-4.946766626168711E-2</v>
      </c>
      <c r="I439" s="398">
        <f>IF(H439&lt;0,((0.25-(H439*(-1)))*$L$7),IF(H439&gt;0,(H439*$N$7)+$L$6,0))</f>
        <v>10.695057799376688</v>
      </c>
      <c r="J439" s="73">
        <f>VLOOKUP(C439,'RAW DATA 2023'!E:AC,21,0)</f>
        <v>22.143349999999998</v>
      </c>
      <c r="K439" s="398">
        <f>I439*J439</f>
        <v>236.82440812182776</v>
      </c>
      <c r="R439" s="400"/>
    </row>
    <row r="440" spans="1:18">
      <c r="A440" s="63" t="str">
        <f>'RAW DATA 2023'!B804</f>
        <v>Pakpanang1</v>
      </c>
      <c r="B440" s="63" t="str">
        <f>'RAW DATA 2023'!D804</f>
        <v>A1-184-0010</v>
      </c>
      <c r="C440" s="63" t="str">
        <f>A440&amp;B440</f>
        <v>Pakpanang1A1-184-0010</v>
      </c>
      <c r="D440" s="63">
        <f>VLOOKUP(C440,'RAW DATA 2023'!E:BP,63,0)</f>
        <v>5</v>
      </c>
      <c r="E440" s="63" t="str">
        <f>A440&amp;D440</f>
        <v>Pakpanang15</v>
      </c>
      <c r="F440" s="389">
        <f>VLOOKUP(C440,'RAW DATA 2023'!E:BO,57,0)</f>
        <v>225.19573908360263</v>
      </c>
      <c r="G440" s="63">
        <f>VLOOKUP(C440,'RAW DATA 2023'!E:BO,58,0)</f>
        <v>189</v>
      </c>
      <c r="H440" s="390">
        <f>IFERROR((G440-F440)/G440,0)</f>
        <v>-0.19151184700318852</v>
      </c>
      <c r="I440" s="398">
        <f>IF(H440&lt;0,((0.25-(H440*(-1)))*$L$7),IF(H440&gt;0,(H440*$N$7)+$L$6,0))</f>
        <v>3.1193681598299459</v>
      </c>
      <c r="J440" s="73">
        <f>VLOOKUP(C440,'RAW DATA 2023'!E:AC,21,0)</f>
        <v>16.41384</v>
      </c>
      <c r="K440" s="398">
        <f>I440*J440</f>
        <v>51.200809876543161</v>
      </c>
      <c r="R440" s="400"/>
    </row>
    <row r="441" spans="1:18">
      <c r="A441" s="63" t="str">
        <f>'RAW DATA 2023'!B805</f>
        <v>Pakpanang1</v>
      </c>
      <c r="B441" s="63" t="str">
        <f>'RAW DATA 2023'!D805</f>
        <v>D1-172-0008</v>
      </c>
      <c r="C441" s="63" t="str">
        <f>A441&amp;B441</f>
        <v>Pakpanang1D1-172-0008</v>
      </c>
      <c r="D441" s="63">
        <f>VLOOKUP(C441,'RAW DATA 2023'!E:BP,63,0)</f>
        <v>5</v>
      </c>
      <c r="E441" s="63" t="str">
        <f>A441&amp;D441</f>
        <v>Pakpanang15</v>
      </c>
      <c r="F441" s="389">
        <f>VLOOKUP(C441,'RAW DATA 2023'!E:BO,57,0)</f>
        <v>195.08629017586728</v>
      </c>
      <c r="G441" s="63">
        <f>VLOOKUP(C441,'RAW DATA 2023'!E:BO,58,0)</f>
        <v>175</v>
      </c>
      <c r="H441" s="390">
        <f>IFERROR((G441-F441)/G441,0)</f>
        <v>-0.11477880100495587</v>
      </c>
      <c r="I441" s="398">
        <f>IF(H441&lt;0,((0.25-(H441*(-1)))*$L$7),IF(H441&gt;0,(H441*$N$7)+$L$6,0))</f>
        <v>7.2117972797356877</v>
      </c>
      <c r="J441" s="73">
        <f>VLOOKUP(C441,'RAW DATA 2023'!E:AC,21,0)</f>
        <v>14.676410000000001</v>
      </c>
      <c r="K441" s="398">
        <f>I441*J441</f>
        <v>105.84329371428565</v>
      </c>
      <c r="R441" s="400"/>
    </row>
    <row r="442" spans="1:18">
      <c r="A442" s="63" t="str">
        <f>'RAW DATA 2023'!B806</f>
        <v>Pakpanang1</v>
      </c>
      <c r="B442" s="63" t="str">
        <f>'RAW DATA 2023'!D806</f>
        <v>C1-138-0010</v>
      </c>
      <c r="C442" s="63" t="str">
        <f>A442&amp;B442</f>
        <v>Pakpanang1C1-138-0010</v>
      </c>
      <c r="D442" s="63">
        <f>VLOOKUP(C442,'RAW DATA 2023'!E:BP,63,0)</f>
        <v>5</v>
      </c>
      <c r="E442" s="63" t="str">
        <f>A442&amp;D442</f>
        <v>Pakpanang15</v>
      </c>
      <c r="F442" s="389">
        <f>VLOOKUP(C442,'RAW DATA 2023'!E:BO,57,0)</f>
        <v>230.72573365824101</v>
      </c>
      <c r="G442" s="63">
        <f>VLOOKUP(C442,'RAW DATA 2023'!E:BO,58,0)</f>
        <v>187</v>
      </c>
      <c r="H442" s="390">
        <f>IFERROR((G442-F442)/G442,0)</f>
        <v>-0.23382745271786637</v>
      </c>
      <c r="I442" s="398">
        <f>IF(H442&lt;0,((0.25-(H442*(-1)))*$L$7),IF(H442&gt;0,(H442*$N$7)+$L$6,0))</f>
        <v>0.86253585504712704</v>
      </c>
      <c r="J442" s="73">
        <f>VLOOKUP(C442,'RAW DATA 2023'!E:AC,21,0)</f>
        <v>14.621589999999999</v>
      </c>
      <c r="K442" s="398">
        <f>I442*J442</f>
        <v>12.611645632798522</v>
      </c>
      <c r="R442" s="400"/>
    </row>
    <row r="443" spans="1:18">
      <c r="A443" s="63" t="str">
        <f>'RAW DATA 2023'!B807</f>
        <v>Pakpanang1</v>
      </c>
      <c r="B443" s="63" t="str">
        <f>'RAW DATA 2023'!D807</f>
        <v>A1-183-0010</v>
      </c>
      <c r="C443" s="63" t="str">
        <f>A443&amp;B443</f>
        <v>Pakpanang1A1-183-0010</v>
      </c>
      <c r="D443" s="63">
        <f>VLOOKUP(C443,'RAW DATA 2023'!E:BP,63,0)</f>
        <v>5</v>
      </c>
      <c r="E443" s="63" t="str">
        <f>A443&amp;D443</f>
        <v>Pakpanang15</v>
      </c>
      <c r="F443" s="389">
        <f>VLOOKUP(C443,'RAW DATA 2023'!E:BO,57,0)</f>
        <v>233.58117098255175</v>
      </c>
      <c r="G443" s="63">
        <f>VLOOKUP(C443,'RAW DATA 2023'!E:BO,58,0)</f>
        <v>180</v>
      </c>
      <c r="H443" s="390">
        <f>IFERROR((G443-F443)/G443,0)</f>
        <v>-0.29767317212528754</v>
      </c>
      <c r="I443" s="398">
        <f>IF(H443&lt;0,((0.25-(H443*(-1)))*$L$7),IF(H443&gt;0,(H443*$N$7)+$L$6,0))</f>
        <v>-2.5425691800153358</v>
      </c>
      <c r="J443" s="73">
        <f>VLOOKUP(C443,'RAW DATA 2023'!E:AC,21,0)</f>
        <v>14.36708</v>
      </c>
      <c r="K443" s="398">
        <f>I443*J443</f>
        <v>-36.529294814814733</v>
      </c>
      <c r="R443" s="400"/>
    </row>
    <row r="444" spans="1:18">
      <c r="A444" s="63" t="str">
        <f>'RAW DATA 2023'!B809</f>
        <v>Pakpanang1</v>
      </c>
      <c r="B444" s="63" t="str">
        <f>'RAW DATA 2023'!D809</f>
        <v>A1-192-0009</v>
      </c>
      <c r="C444" s="63" t="str">
        <f>A444&amp;B444</f>
        <v>Pakpanang1A1-192-0009</v>
      </c>
      <c r="D444" s="63">
        <f>VLOOKUP(C444,'RAW DATA 2023'!E:BP,63,0)</f>
        <v>5</v>
      </c>
      <c r="E444" s="63" t="str">
        <f>A444&amp;D444</f>
        <v>Pakpanang15</v>
      </c>
      <c r="F444" s="389">
        <f>VLOOKUP(C444,'RAW DATA 2023'!E:BO,57,0)</f>
        <v>237.18765674324484</v>
      </c>
      <c r="G444" s="63">
        <f>VLOOKUP(C444,'RAW DATA 2023'!E:BO,58,0)</f>
        <v>166</v>
      </c>
      <c r="H444" s="390">
        <f>IFERROR((G444-F444)/G444,0)</f>
        <v>-0.42884130568219786</v>
      </c>
      <c r="I444" s="398">
        <f>IF(H444&lt;0,((0.25-(H444*(-1)))*$L$7),IF(H444&gt;0,(H444*$N$7)+$L$6,0))</f>
        <v>-9.5382029697172204</v>
      </c>
      <c r="J444" s="73">
        <f>VLOOKUP(C444,'RAW DATA 2023'!E:AC,21,0)</f>
        <v>10.38721</v>
      </c>
      <c r="K444" s="398">
        <f>I444*J444</f>
        <v>-99.075317269076407</v>
      </c>
      <c r="R444" s="400"/>
    </row>
    <row r="445" spans="1:18">
      <c r="A445" s="63" t="str">
        <f>'RAW DATA 2023'!B810</f>
        <v>Pakpanang1</v>
      </c>
      <c r="B445" s="63" t="str">
        <f>'RAW DATA 2023'!D810</f>
        <v>D1-173-0008</v>
      </c>
      <c r="C445" s="63" t="str">
        <f>A445&amp;B445</f>
        <v>Pakpanang1D1-173-0008</v>
      </c>
      <c r="D445" s="63">
        <f>VLOOKUP(C445,'RAW DATA 2023'!E:BP,63,0)</f>
        <v>5</v>
      </c>
      <c r="E445" s="63" t="str">
        <f>A445&amp;D445</f>
        <v>Pakpanang15</v>
      </c>
      <c r="F445" s="389">
        <f>VLOOKUP(C445,'RAW DATA 2023'!E:BO,57,0)</f>
        <v>296.81963990272493</v>
      </c>
      <c r="G445" s="63">
        <f>VLOOKUP(C445,'RAW DATA 2023'!E:BO,58,0)</f>
        <v>165</v>
      </c>
      <c r="H445" s="390">
        <f>IFERROR((G445-F445)/G445,0)</f>
        <v>-0.79890690850136326</v>
      </c>
      <c r="I445" s="398">
        <f>IF(H445&lt;0,((0.25-(H445*(-1)))*$L$7),IF(H445&gt;0,(H445*$N$7)+$L$6,0))</f>
        <v>-29.275035120072708</v>
      </c>
      <c r="J445" s="73">
        <f>VLOOKUP(C445,'RAW DATA 2023'!E:AC,21,0)</f>
        <v>8.026720000000001</v>
      </c>
      <c r="K445" s="398">
        <f>I445*J445</f>
        <v>-234.98250989899003</v>
      </c>
      <c r="R445" s="400"/>
    </row>
    <row r="446" spans="1:18">
      <c r="A446" s="63" t="str">
        <f>'RAW DATA 2023'!B811</f>
        <v>Pakpanang1</v>
      </c>
      <c r="B446" s="63" t="str">
        <f>'RAW DATA 2023'!D811</f>
        <v>C1-139-0009</v>
      </c>
      <c r="C446" s="63" t="str">
        <f>A446&amp;B446</f>
        <v>Pakpanang1C1-139-0009</v>
      </c>
      <c r="D446" s="63">
        <f>VLOOKUP(C446,'RAW DATA 2023'!E:BP,63,0)</f>
        <v>5</v>
      </c>
      <c r="E446" s="63" t="str">
        <f>A446&amp;D446</f>
        <v>Pakpanang15</v>
      </c>
      <c r="F446" s="389">
        <f>VLOOKUP(C446,'RAW DATA 2023'!E:BO,57,0)</f>
        <v>335.04761291302441</v>
      </c>
      <c r="G446" s="63">
        <f>VLOOKUP(C446,'RAW DATA 2023'!E:BO,58,0)</f>
        <v>166</v>
      </c>
      <c r="H446" s="390">
        <f>IFERROR((G446-F446)/G446,0)</f>
        <v>-1.0183591139338819</v>
      </c>
      <c r="I446" s="398">
        <f>IF(H446&lt;0,((0.25-(H446*(-1)))*$L$7),IF(H446&gt;0,(H446*$N$7)+$L$6,0))</f>
        <v>-40.979152743140368</v>
      </c>
      <c r="J446" s="73">
        <f>VLOOKUP(C446,'RAW DATA 2023'!E:AC,21,0)</f>
        <v>7.3742600000000005</v>
      </c>
      <c r="K446" s="398">
        <f>I446*J446</f>
        <v>-302.19092690763028</v>
      </c>
      <c r="R446" s="400"/>
    </row>
    <row r="447" spans="1:18">
      <c r="A447" s="63" t="str">
        <f>'RAW DATA 2023'!B813</f>
        <v>Pakpanang1</v>
      </c>
      <c r="B447" s="63" t="str">
        <f>'RAW DATA 2023'!D813</f>
        <v>C1-141-0009</v>
      </c>
      <c r="C447" s="63" t="str">
        <f>A447&amp;B447</f>
        <v>Pakpanang1C1-141-0009</v>
      </c>
      <c r="D447" s="63">
        <f>VLOOKUP(C447,'RAW DATA 2023'!E:BP,63,0)</f>
        <v>5</v>
      </c>
      <c r="E447" s="63" t="str">
        <f>A447&amp;D447</f>
        <v>Pakpanang15</v>
      </c>
      <c r="F447" s="389">
        <f>VLOOKUP(C447,'RAW DATA 2023'!E:BO,57,0)</f>
        <v>262.85972804660429</v>
      </c>
      <c r="G447" s="63">
        <f>VLOOKUP(C447,'RAW DATA 2023'!E:BO,58,0)</f>
        <v>150</v>
      </c>
      <c r="H447" s="390">
        <f>IFERROR((G447-F447)/G447,0)</f>
        <v>-0.75239818697736194</v>
      </c>
      <c r="I447" s="398">
        <f>IF(H447&lt;0,((0.25-(H447*(-1)))*$L$7),IF(H447&gt;0,(H447*$N$7)+$L$6,0))</f>
        <v>-26.79456997212597</v>
      </c>
      <c r="J447" s="73">
        <f>VLOOKUP(C447,'RAW DATA 2023'!E:AC,21,0)</f>
        <v>6.2929899999999996</v>
      </c>
      <c r="K447" s="398">
        <f>I447*J447</f>
        <v>-168.617960888889</v>
      </c>
      <c r="R447" s="400"/>
    </row>
    <row r="448" spans="1:18">
      <c r="A448" s="63" t="str">
        <f>'RAW DATA 2023'!B819</f>
        <v>Pakpanang1</v>
      </c>
      <c r="B448" s="63" t="str">
        <f>'RAW DATA 2023'!D819</f>
        <v>A1-180-0009</v>
      </c>
      <c r="C448" s="63" t="str">
        <f>A448&amp;B448</f>
        <v>Pakpanang1A1-180-0009</v>
      </c>
      <c r="D448" s="63">
        <f>VLOOKUP(C448,'RAW DATA 2023'!E:BP,63,0)</f>
        <v>5</v>
      </c>
      <c r="E448" s="63" t="str">
        <f>A448&amp;D448</f>
        <v>Pakpanang15</v>
      </c>
      <c r="F448" s="389">
        <f>VLOOKUP(C448,'RAW DATA 2023'!E:BO,57,0)</f>
        <v>294.60640235384204</v>
      </c>
      <c r="G448" s="63">
        <f>VLOOKUP(C448,'RAW DATA 2023'!E:BO,58,0)</f>
        <v>150</v>
      </c>
      <c r="H448" s="390">
        <f>IFERROR((G448-F448)/G448,0)</f>
        <v>-0.96404268235894697</v>
      </c>
      <c r="I448" s="398">
        <f>IF(H448&lt;0,((0.25-(H448*(-1)))*$L$7),IF(H448&gt;0,(H448*$N$7)+$L$6,0))</f>
        <v>-38.082276392477176</v>
      </c>
      <c r="J448" s="73">
        <f>VLOOKUP(C448,'RAW DATA 2023'!E:AC,21,0)</f>
        <v>5.7981800000000003</v>
      </c>
      <c r="K448" s="398">
        <f>I448*J448</f>
        <v>-220.80789333333334</v>
      </c>
      <c r="R448" s="400"/>
    </row>
    <row r="449" spans="1:18">
      <c r="A449" s="63" t="str">
        <f>'RAW DATA 2023'!B379</f>
        <v>PB5</v>
      </c>
      <c r="B449" s="63" t="str">
        <f>'RAW DATA 2023'!D379</f>
        <v>A1-011-0048</v>
      </c>
      <c r="C449" s="63" t="str">
        <f>A449&amp;B449</f>
        <v>PB5A1-011-0048</v>
      </c>
      <c r="D449" s="63">
        <f>VLOOKUP(C449,'RAW DATA 2023'!E:BP,63,0)</f>
        <v>10</v>
      </c>
      <c r="E449" s="63" t="str">
        <f>A449&amp;D449</f>
        <v>PB510</v>
      </c>
      <c r="F449" s="389">
        <f>VLOOKUP(C449,'RAW DATA 2023'!E:BO,57,0)</f>
        <v>0</v>
      </c>
      <c r="G449" s="63">
        <f>VLOOKUP(C449,'RAW DATA 2023'!E:BO,58,0)</f>
        <v>0</v>
      </c>
      <c r="H449" s="390">
        <f>IFERROR((G449-F449)/G449,0)</f>
        <v>0</v>
      </c>
      <c r="I449" s="398">
        <f>IF(H449&lt;0,((0.25-(H449*(-1)))*$L$7),IF(H449&gt;0,(H449*$N$7)+$L$6,0))</f>
        <v>0</v>
      </c>
      <c r="J449" s="73">
        <f>VLOOKUP(C449,'RAW DATA 2023'!E:AC,21,0)</f>
        <v>0</v>
      </c>
      <c r="K449" s="398">
        <f>I449*J449</f>
        <v>0</v>
      </c>
      <c r="R449" s="400"/>
    </row>
    <row r="450" spans="1:18">
      <c r="A450" s="63" t="str">
        <f>'RAW DATA 2023'!B362</f>
        <v>PB5</v>
      </c>
      <c r="B450" s="63" t="str">
        <f>'RAW DATA 2023'!D362</f>
        <v>B1-021-0048</v>
      </c>
      <c r="C450" s="63" t="str">
        <f>A450&amp;B450</f>
        <v>PB5B1-021-0048</v>
      </c>
      <c r="D450" s="63">
        <f>VLOOKUP(C450,'RAW DATA 2023'!E:BP,63,0)</f>
        <v>11</v>
      </c>
      <c r="E450" s="63" t="str">
        <f>A450&amp;D450</f>
        <v>PB511</v>
      </c>
      <c r="F450" s="389">
        <f>VLOOKUP(C450,'RAW DATA 2023'!E:BO,57,0)</f>
        <v>260.88305544418489</v>
      </c>
      <c r="G450" s="63">
        <f>VLOOKUP(C450,'RAW DATA 2023'!E:BO,58,0)</f>
        <v>186</v>
      </c>
      <c r="H450" s="397">
        <f>IFERROR((G450-F450)/G450,0)</f>
        <v>-0.40259707228056391</v>
      </c>
      <c r="I450" s="398">
        <f>IF(H450&lt;0,((0.25-(H450*(-1)))*$L$7),IF(H450&gt;0,(H450*$N$7)+$L$6,0))</f>
        <v>-8.1385105216300762</v>
      </c>
      <c r="J450" s="73">
        <f>VLOOKUP(C450,'RAW DATA 2023'!E:AC,21,0)</f>
        <v>17.783470000000001</v>
      </c>
      <c r="K450" s="398">
        <f>I450*J450</f>
        <v>-144.73095770609282</v>
      </c>
      <c r="R450" s="400"/>
    </row>
    <row r="451" spans="1:18">
      <c r="A451" s="63" t="str">
        <f>'RAW DATA 2023'!B363</f>
        <v>PB5</v>
      </c>
      <c r="B451" s="63" t="str">
        <f>'RAW DATA 2023'!D363</f>
        <v>B1-023-0050</v>
      </c>
      <c r="C451" s="63" t="str">
        <f>A451&amp;B451</f>
        <v>PB5B1-023-0050</v>
      </c>
      <c r="D451" s="63">
        <f>VLOOKUP(C451,'RAW DATA 2023'!E:BP,63,0)</f>
        <v>11</v>
      </c>
      <c r="E451" s="63" t="str">
        <f>A451&amp;D451</f>
        <v>PB511</v>
      </c>
      <c r="F451" s="389">
        <f>VLOOKUP(C451,'RAW DATA 2023'!E:BO,57,0)</f>
        <v>221.47118578699994</v>
      </c>
      <c r="G451" s="63">
        <f>VLOOKUP(C451,'RAW DATA 2023'!E:BO,58,0)</f>
        <v>186</v>
      </c>
      <c r="H451" s="397">
        <f>IFERROR((G451-F451)/G451,0)</f>
        <v>-0.19070529993010721</v>
      </c>
      <c r="I451" s="398">
        <f>IF(H451&lt;0,((0.25-(H451*(-1)))*$L$7),IF(H451&gt;0,(H451*$N$7)+$L$6,0))</f>
        <v>3.1623840037276159</v>
      </c>
      <c r="J451" s="73">
        <f>VLOOKUP(C451,'RAW DATA 2023'!E:AC,21,0)</f>
        <v>23.595299999999998</v>
      </c>
      <c r="K451" s="398">
        <f>I451*J451</f>
        <v>74.617399283154214</v>
      </c>
      <c r="R451" s="400"/>
    </row>
    <row r="452" spans="1:18">
      <c r="A452" s="63" t="str">
        <f>'RAW DATA 2023'!B365</f>
        <v>PB5</v>
      </c>
      <c r="B452" s="63" t="str">
        <f>'RAW DATA 2023'!D365</f>
        <v>B1-022-0051</v>
      </c>
      <c r="C452" s="63" t="str">
        <f>A452&amp;B452</f>
        <v>PB5B1-022-0051</v>
      </c>
      <c r="D452" s="63">
        <f>VLOOKUP(C452,'RAW DATA 2023'!E:BP,63,0)</f>
        <v>11</v>
      </c>
      <c r="E452" s="63" t="str">
        <f>A452&amp;D452</f>
        <v>PB511</v>
      </c>
      <c r="F452" s="389">
        <f>VLOOKUP(C452,'RAW DATA 2023'!E:BO,57,0)</f>
        <v>269.13987190406368</v>
      </c>
      <c r="G452" s="63">
        <f>VLOOKUP(C452,'RAW DATA 2023'!E:BO,58,0)</f>
        <v>187</v>
      </c>
      <c r="H452" s="397">
        <f>IFERROR((G452-F452)/G452,0)</f>
        <v>-0.43925065189338869</v>
      </c>
      <c r="I452" s="398">
        <f>IF(H452&lt;0,((0.25-(H452*(-1)))*$L$7),IF(H452&gt;0,(H452*$N$7)+$L$6,0))</f>
        <v>-10.093368100980731</v>
      </c>
      <c r="J452" s="73">
        <f>VLOOKUP(C452,'RAW DATA 2023'!E:AC,21,0)</f>
        <v>22.26144</v>
      </c>
      <c r="K452" s="398">
        <f>I452*J452</f>
        <v>-224.69290837789649</v>
      </c>
      <c r="R452" s="400"/>
    </row>
    <row r="453" spans="1:18">
      <c r="A453" s="63" t="str">
        <f>'RAW DATA 2023'!B368</f>
        <v>PB5</v>
      </c>
      <c r="B453" s="63" t="str">
        <f>'RAW DATA 2023'!D368</f>
        <v>A1-009-0049</v>
      </c>
      <c r="C453" s="63" t="str">
        <f>A453&amp;B453</f>
        <v>PB5A1-009-0049</v>
      </c>
      <c r="D453" s="63">
        <f>VLOOKUP(C453,'RAW DATA 2023'!E:BP,63,0)</f>
        <v>11</v>
      </c>
      <c r="E453" s="63" t="str">
        <f>A453&amp;D453</f>
        <v>PB511</v>
      </c>
      <c r="F453" s="389">
        <f>VLOOKUP(C453,'RAW DATA 2023'!E:BO,57,0)</f>
        <v>334.63149150483702</v>
      </c>
      <c r="G453" s="63">
        <f>VLOOKUP(C453,'RAW DATA 2023'!E:BO,58,0)</f>
        <v>162</v>
      </c>
      <c r="H453" s="397">
        <f>IFERROR((G453-F453)/G453,0)</f>
        <v>-1.0656264907705988</v>
      </c>
      <c r="I453" s="398">
        <f>IF(H453&lt;0,((0.25-(H453*(-1)))*$L$7),IF(H453&gt;0,(H453*$N$7)+$L$6,0))</f>
        <v>-43.500079507765271</v>
      </c>
      <c r="J453" s="73">
        <f>VLOOKUP(C453,'RAW DATA 2023'!E:AC,21,0)</f>
        <v>9.7808600000000006</v>
      </c>
      <c r="K453" s="398">
        <f>I453*J453</f>
        <v>-425.46818765432107</v>
      </c>
      <c r="R453" s="400"/>
    </row>
    <row r="454" spans="1:18">
      <c r="A454" s="63" t="str">
        <f>'RAW DATA 2023'!B370</f>
        <v>PB5</v>
      </c>
      <c r="B454" s="63" t="str">
        <f>'RAW DATA 2023'!D370</f>
        <v>A1-005-0053</v>
      </c>
      <c r="C454" s="63" t="str">
        <f>A454&amp;B454</f>
        <v>PB5A1-005-0053</v>
      </c>
      <c r="D454" s="63">
        <f>VLOOKUP(C454,'RAW DATA 2023'!E:BP,63,0)</f>
        <v>11</v>
      </c>
      <c r="E454" s="63" t="str">
        <f>A454&amp;D454</f>
        <v>PB511</v>
      </c>
      <c r="F454" s="389">
        <f>VLOOKUP(C454,'RAW DATA 2023'!E:BO,57,0)</f>
        <v>256.86097953674658</v>
      </c>
      <c r="G454" s="63">
        <f>VLOOKUP(C454,'RAW DATA 2023'!E:BO,58,0)</f>
        <v>182</v>
      </c>
      <c r="H454" s="390">
        <f>IFERROR((G454-F454)/G454,0)</f>
        <v>-0.41132406338871746</v>
      </c>
      <c r="I454" s="398">
        <f>IF(H454&lt;0,((0.25-(H454*(-1)))*$L$7),IF(H454&gt;0,(H454*$N$7)+$L$6,0))</f>
        <v>-8.603950047398266</v>
      </c>
      <c r="J454" s="73">
        <f>VLOOKUP(C454,'RAW DATA 2023'!E:AC,21,0)</f>
        <v>17.32227</v>
      </c>
      <c r="K454" s="398">
        <f>I454*J454</f>
        <v>-149.03994578754555</v>
      </c>
      <c r="R454" s="400"/>
    </row>
    <row r="455" spans="1:18">
      <c r="A455" s="63" t="str">
        <f>'RAW DATA 2023'!B367</f>
        <v>PB5</v>
      </c>
      <c r="B455" s="63" t="str">
        <f>'RAW DATA 2023'!D367</f>
        <v>B1-021-0046</v>
      </c>
      <c r="C455" s="63" t="str">
        <f>A455&amp;B455</f>
        <v>PB5B1-021-0046</v>
      </c>
      <c r="D455" s="63">
        <f>VLOOKUP(C455,'RAW DATA 2023'!E:BP,63,0)</f>
        <v>2</v>
      </c>
      <c r="E455" s="63" t="str">
        <f>A455&amp;D455</f>
        <v>PB52</v>
      </c>
      <c r="F455" s="389">
        <f>VLOOKUP(C455,'RAW DATA 2023'!E:BO,57,0)</f>
        <v>380.15716888037514</v>
      </c>
      <c r="G455" s="63">
        <f>VLOOKUP(C455,'RAW DATA 2023'!E:BO,58,0)</f>
        <v>194</v>
      </c>
      <c r="H455" s="390">
        <f>IFERROR((G455-F455)/G455,0)</f>
        <v>-0.95957303546585127</v>
      </c>
      <c r="I455" s="398">
        <f>IF(H455&lt;0,((0.25-(H455*(-1)))*$L$7),IF(H455&gt;0,(H455*$N$7)+$L$6,0))</f>
        <v>-37.843895224845404</v>
      </c>
      <c r="J455" s="73">
        <f>VLOOKUP(C455,'RAW DATA 2023'!E:AC,21,0)</f>
        <v>15.107379999999999</v>
      </c>
      <c r="K455" s="398">
        <f>I455*J455</f>
        <v>-571.72210584192499</v>
      </c>
      <c r="R455" s="400"/>
    </row>
    <row r="456" spans="1:18">
      <c r="A456" s="63" t="str">
        <f>'RAW DATA 2023'!B375</f>
        <v>PB5</v>
      </c>
      <c r="B456" s="63" t="str">
        <f>'RAW DATA 2023'!D375</f>
        <v>A1-005-0051</v>
      </c>
      <c r="C456" s="63" t="str">
        <f>A456&amp;B456</f>
        <v>PB5A1-005-0051</v>
      </c>
      <c r="D456" s="63">
        <f>VLOOKUP(C456,'RAW DATA 2023'!E:BP,63,0)</f>
        <v>2</v>
      </c>
      <c r="E456" s="63" t="str">
        <f>A456&amp;D456</f>
        <v>PB52</v>
      </c>
      <c r="F456" s="389">
        <f>VLOOKUP(C456,'RAW DATA 2023'!E:BO,57,0)</f>
        <v>377.90552920650384</v>
      </c>
      <c r="G456" s="63">
        <f>VLOOKUP(C456,'RAW DATA 2023'!E:BO,58,0)</f>
        <v>207</v>
      </c>
      <c r="H456" s="397">
        <f>IFERROR((G456-F456)/G456,0)</f>
        <v>-0.8256305758768302</v>
      </c>
      <c r="I456" s="398">
        <f>IF(H456&lt;0,((0.25-(H456*(-1)))*$L$7),IF(H456&gt;0,(H456*$N$7)+$L$6,0))</f>
        <v>-30.700297380097613</v>
      </c>
      <c r="J456" s="73">
        <f>VLOOKUP(C456,'RAW DATA 2023'!E:AC,21,0)</f>
        <v>11.56061</v>
      </c>
      <c r="K456" s="398">
        <f>I456*J456</f>
        <v>-354.91416489533026</v>
      </c>
      <c r="R456" s="400"/>
    </row>
    <row r="457" spans="1:18">
      <c r="A457" s="63" t="str">
        <f>'RAW DATA 2023'!B371</f>
        <v>PB5</v>
      </c>
      <c r="B457" s="63" t="str">
        <f>'RAW DATA 2023'!D371</f>
        <v>A1-007-0050</v>
      </c>
      <c r="C457" s="63" t="str">
        <f>A457&amp;B457</f>
        <v>PB5A1-007-0050</v>
      </c>
      <c r="D457" s="63">
        <f>VLOOKUP(C457,'RAW DATA 2023'!E:BP,63,0)</f>
        <v>3</v>
      </c>
      <c r="E457" s="63" t="str">
        <f>A457&amp;D457</f>
        <v>PB53</v>
      </c>
      <c r="F457" s="389">
        <f>VLOOKUP(C457,'RAW DATA 2023'!E:BO,57,0)</f>
        <v>728.19662717719518</v>
      </c>
      <c r="G457" s="63">
        <f>VLOOKUP(C457,'RAW DATA 2023'!E:BO,58,0)</f>
        <v>210</v>
      </c>
      <c r="H457" s="390">
        <f>IFERROR((G457-F457)/G457,0)</f>
        <v>-2.4676029865580724</v>
      </c>
      <c r="I457" s="398">
        <f>IF(H457&lt;0,((0.25-(H457*(-1)))*$L$7),IF(H457&gt;0,(H457*$N$7)+$L$6,0))</f>
        <v>-118.2721592830972</v>
      </c>
      <c r="J457" s="73">
        <f>VLOOKUP(C457,'RAW DATA 2023'!E:AC,21,0)</f>
        <v>7.1732200000000006</v>
      </c>
      <c r="K457" s="398">
        <f>I457*J457</f>
        <v>-848.39221841269853</v>
      </c>
      <c r="R457" s="400"/>
    </row>
    <row r="458" spans="1:18">
      <c r="A458" s="63" t="str">
        <f>'RAW DATA 2023'!B374</f>
        <v>PB5</v>
      </c>
      <c r="B458" s="63" t="str">
        <f>'RAW DATA 2023'!D374</f>
        <v>A1-009-0047</v>
      </c>
      <c r="C458" s="63" t="str">
        <f>A458&amp;B458</f>
        <v>PB5A1-009-0047</v>
      </c>
      <c r="D458" s="63">
        <f>VLOOKUP(C458,'RAW DATA 2023'!E:BP,63,0)</f>
        <v>3</v>
      </c>
      <c r="E458" s="63" t="str">
        <f>A458&amp;D458</f>
        <v>PB53</v>
      </c>
      <c r="F458" s="389">
        <f>VLOOKUP(C458,'RAW DATA 2023'!E:BO,57,0)</f>
        <v>398.64745566467883</v>
      </c>
      <c r="G458" s="63">
        <f>VLOOKUP(C458,'RAW DATA 2023'!E:BO,58,0)</f>
        <v>204</v>
      </c>
      <c r="H458" s="390">
        <f>IFERROR((G458-F458)/G458,0)</f>
        <v>-0.95415419443470018</v>
      </c>
      <c r="I458" s="398">
        <f>IF(H458&lt;0,((0.25-(H458*(-1)))*$L$7),IF(H458&gt;0,(H458*$N$7)+$L$6,0))</f>
        <v>-37.554890369850675</v>
      </c>
      <c r="J458" s="73">
        <f>VLOOKUP(C458,'RAW DATA 2023'!E:AC,21,0)</f>
        <v>14.59615</v>
      </c>
      <c r="K458" s="398">
        <f>I458*J458</f>
        <v>-548.15681307189595</v>
      </c>
      <c r="R458" s="400"/>
    </row>
    <row r="459" spans="1:18">
      <c r="A459" s="63" t="str">
        <f>'RAW DATA 2023'!B377</f>
        <v>PB5</v>
      </c>
      <c r="B459" s="63" t="str">
        <f>'RAW DATA 2023'!D377</f>
        <v>B1-022-0049</v>
      </c>
      <c r="C459" s="63" t="str">
        <f>A459&amp;B459</f>
        <v>PB5B1-022-0049</v>
      </c>
      <c r="D459" s="63">
        <f>VLOOKUP(C459,'RAW DATA 2023'!E:BP,63,0)</f>
        <v>3</v>
      </c>
      <c r="E459" s="63" t="str">
        <f>A459&amp;D459</f>
        <v>PB53</v>
      </c>
      <c r="F459" s="389">
        <f>VLOOKUP(C459,'RAW DATA 2023'!E:BO,57,0)</f>
        <v>365.8323347696641</v>
      </c>
      <c r="G459" s="63">
        <f>VLOOKUP(C459,'RAW DATA 2023'!E:BO,58,0)</f>
        <v>204</v>
      </c>
      <c r="H459" s="397">
        <f>IFERROR((G459-F459)/G459,0)</f>
        <v>-0.79329575867482405</v>
      </c>
      <c r="I459" s="398">
        <f>IF(H459&lt;0,((0.25-(H459*(-1)))*$L$7),IF(H459&gt;0,(H459*$N$7)+$L$6,0))</f>
        <v>-28.975773795990616</v>
      </c>
      <c r="J459" s="73">
        <f>VLOOKUP(C459,'RAW DATA 2023'!E:AC,21,0)</f>
        <v>14.657719999999999</v>
      </c>
      <c r="K459" s="398">
        <f>I459*J459</f>
        <v>-424.71877908496754</v>
      </c>
      <c r="R459" s="400"/>
    </row>
    <row r="460" spans="1:18">
      <c r="A460" s="63" t="str">
        <f>'RAW DATA 2023'!B369</f>
        <v>PB5</v>
      </c>
      <c r="B460" s="63" t="str">
        <f>'RAW DATA 2023'!D369</f>
        <v>A1-011-0046</v>
      </c>
      <c r="C460" s="63" t="str">
        <f>A460&amp;B460</f>
        <v>PB5A1-011-0046</v>
      </c>
      <c r="D460" s="63">
        <f>VLOOKUP(C460,'RAW DATA 2023'!E:BP,63,0)</f>
        <v>4</v>
      </c>
      <c r="E460" s="63" t="str">
        <f>A460&amp;D460</f>
        <v>PB54</v>
      </c>
      <c r="F460" s="389">
        <f>VLOOKUP(C460,'RAW DATA 2023'!E:BO,57,0)</f>
        <v>194.01562623880776</v>
      </c>
      <c r="G460" s="63">
        <f>VLOOKUP(C460,'RAW DATA 2023'!E:BO,58,0)</f>
        <v>189</v>
      </c>
      <c r="H460" s="397">
        <f>IFERROR((G460-F460)/G460,0)</f>
        <v>-2.65377049672368E-2</v>
      </c>
      <c r="I460" s="398">
        <f>IF(H460&lt;0,((0.25-(H460*(-1)))*$L$7),IF(H460&gt;0,(H460*$N$7)+$L$6,0))</f>
        <v>11.917989068414039</v>
      </c>
      <c r="J460" s="73">
        <f>VLOOKUP(C460,'RAW DATA 2023'!E:AC,21,0)</f>
        <v>19.045529999999999</v>
      </c>
      <c r="K460" s="398">
        <f>I460*J460</f>
        <v>226.98441834215163</v>
      </c>
      <c r="R460" s="400"/>
    </row>
    <row r="461" spans="1:18">
      <c r="A461" s="63" t="str">
        <f>'RAW DATA 2023'!B373</f>
        <v>PB5</v>
      </c>
      <c r="B461" s="63" t="str">
        <f>'RAW DATA 2023'!D373</f>
        <v>B1-023-0048</v>
      </c>
      <c r="C461" s="63" t="str">
        <f>A461&amp;B461</f>
        <v>PB5B1-023-0048</v>
      </c>
      <c r="D461" s="63">
        <f>VLOOKUP(C461,'RAW DATA 2023'!E:BP,63,0)</f>
        <v>4</v>
      </c>
      <c r="E461" s="63" t="str">
        <f>A461&amp;D461</f>
        <v>PB54</v>
      </c>
      <c r="F461" s="389">
        <f>VLOOKUP(C461,'RAW DATA 2023'!E:BO,57,0)</f>
        <v>306.98243552703235</v>
      </c>
      <c r="G461" s="63">
        <f>VLOOKUP(C461,'RAW DATA 2023'!E:BO,58,0)</f>
        <v>200</v>
      </c>
      <c r="H461" s="397">
        <f>IFERROR((G461-F461)/G461,0)</f>
        <v>-0.53491217763516175</v>
      </c>
      <c r="I461" s="398">
        <f>IF(H461&lt;0,((0.25-(H461*(-1)))*$L$7),IF(H461&gt;0,(H461*$N$7)+$L$6,0))</f>
        <v>-15.19531614054196</v>
      </c>
      <c r="J461" s="73">
        <f>VLOOKUP(C461,'RAW DATA 2023'!E:AC,21,0)</f>
        <v>18.860229999999998</v>
      </c>
      <c r="K461" s="398">
        <f>I461*J461</f>
        <v>-286.58715733333366</v>
      </c>
      <c r="R461" s="400"/>
    </row>
    <row r="462" spans="1:18">
      <c r="A462" s="63" t="str">
        <f>'RAW DATA 2023'!B366</f>
        <v>PB5</v>
      </c>
      <c r="B462" s="63" t="str">
        <f>'RAW DATA 2023'!D366</f>
        <v>B1-022-0050</v>
      </c>
      <c r="C462" s="63" t="str">
        <f>A462&amp;B462</f>
        <v>PB5B1-022-0050</v>
      </c>
      <c r="D462" s="63">
        <f>VLOOKUP(C462,'RAW DATA 2023'!E:BP,63,0)</f>
        <v>6</v>
      </c>
      <c r="E462" s="63" t="str">
        <f>A462&amp;D462</f>
        <v>PB56</v>
      </c>
      <c r="F462" s="389">
        <f>VLOOKUP(C462,'RAW DATA 2023'!E:BO,57,0)</f>
        <v>160.39319820297069</v>
      </c>
      <c r="G462" s="63">
        <f>VLOOKUP(C462,'RAW DATA 2023'!E:BO,58,0)</f>
        <v>180</v>
      </c>
      <c r="H462" s="397">
        <f>IFERROR((G462-F462)/G462,0)</f>
        <v>0.10892667665016281</v>
      </c>
      <c r="I462" s="398">
        <f>IF(H462&lt;0,((0.25-(H462*(-1)))*$L$7),IF(H462&gt;0,(H462*$N$7)+$L$6,0))</f>
        <v>19.142756088008685</v>
      </c>
      <c r="J462" s="73">
        <f>VLOOKUP(C462,'RAW DATA 2023'!E:AC,21,0)</f>
        <v>25.295080000000002</v>
      </c>
      <c r="K462" s="398">
        <f>I462*J462</f>
        <v>484.21754666666675</v>
      </c>
      <c r="R462" s="400"/>
    </row>
    <row r="463" spans="1:18">
      <c r="A463" s="63" t="str">
        <f>'RAW DATA 2023'!B376</f>
        <v>PB5</v>
      </c>
      <c r="B463" s="63" t="str">
        <f>'RAW DATA 2023'!D376</f>
        <v>A1-007-0051</v>
      </c>
      <c r="C463" s="63" t="str">
        <f>A463&amp;B463</f>
        <v>PB5A1-007-0051</v>
      </c>
      <c r="D463" s="63">
        <f>VLOOKUP(C463,'RAW DATA 2023'!E:BP,63,0)</f>
        <v>6</v>
      </c>
      <c r="E463" s="63" t="str">
        <f>A463&amp;D463</f>
        <v>PB56</v>
      </c>
      <c r="F463" s="389">
        <f>VLOOKUP(C463,'RAW DATA 2023'!E:BO,57,0)</f>
        <v>227.72586832085665</v>
      </c>
      <c r="G463" s="63">
        <f>VLOOKUP(C463,'RAW DATA 2023'!E:BO,58,0)</f>
        <v>162</v>
      </c>
      <c r="H463" s="397">
        <f>IFERROR((G463-F463)/G463,0)</f>
        <v>-0.40571523654849784</v>
      </c>
      <c r="I463" s="398">
        <f>IF(H463&lt;0,((0.25-(H463*(-1)))*$L$7),IF(H463&gt;0,(H463*$N$7)+$L$6,0))</f>
        <v>-8.3048126159198858</v>
      </c>
      <c r="J463" s="73">
        <f>VLOOKUP(C463,'RAW DATA 2023'!E:AC,21,0)</f>
        <v>11.24901</v>
      </c>
      <c r="K463" s="398">
        <f>I463*J463</f>
        <v>-93.420920164608958</v>
      </c>
      <c r="R463" s="400"/>
    </row>
    <row r="464" spans="1:18">
      <c r="A464" s="63" t="str">
        <f>'RAW DATA 2023'!B378</f>
        <v>PB5</v>
      </c>
      <c r="B464" s="63" t="str">
        <f>'RAW DATA 2023'!D378</f>
        <v>B1-023-0049</v>
      </c>
      <c r="C464" s="63" t="str">
        <f>A464&amp;B464</f>
        <v>PB5B1-023-0049</v>
      </c>
      <c r="D464" s="63">
        <f>VLOOKUP(C464,'RAW DATA 2023'!E:BP,63,0)</f>
        <v>6</v>
      </c>
      <c r="E464" s="63" t="str">
        <f>A464&amp;D464</f>
        <v>PB56</v>
      </c>
      <c r="F464" s="389">
        <f>VLOOKUP(C464,'RAW DATA 2023'!E:BO,57,0)</f>
        <v>307.73693071443984</v>
      </c>
      <c r="G464" s="63">
        <f>VLOOKUP(C464,'RAW DATA 2023'!E:BO,58,0)</f>
        <v>150</v>
      </c>
      <c r="H464" s="390">
        <f>IFERROR((G464-F464)/G464,0)</f>
        <v>-1.0515795380962656</v>
      </c>
      <c r="I464" s="398">
        <f>IF(H464&lt;0,((0.25-(H464*(-1)))*$L$7),IF(H464&gt;0,(H464*$N$7)+$L$6,0))</f>
        <v>-42.750908698467498</v>
      </c>
      <c r="J464" s="73">
        <f>VLOOKUP(C464,'RAW DATA 2023'!E:AC,21,0)</f>
        <v>7.8761000000000001</v>
      </c>
      <c r="K464" s="398">
        <f>I464*J464</f>
        <v>-336.71043199999986</v>
      </c>
      <c r="R464" s="400"/>
    </row>
    <row r="465" spans="1:18">
      <c r="A465" s="63" t="str">
        <f>'RAW DATA 2023'!B364</f>
        <v>PB5</v>
      </c>
      <c r="B465" s="63" t="str">
        <f>'RAW DATA 2023'!D364</f>
        <v>B1-021-0047</v>
      </c>
      <c r="C465" s="63" t="str">
        <f>A465&amp;B465</f>
        <v>PB5B1-021-0047</v>
      </c>
      <c r="D465" s="63">
        <f>VLOOKUP(C465,'RAW DATA 2023'!E:BP,63,0)</f>
        <v>7</v>
      </c>
      <c r="E465" s="63" t="str">
        <f>A465&amp;D465</f>
        <v>PB57</v>
      </c>
      <c r="F465" s="389">
        <f>VLOOKUP(C465,'RAW DATA 2023'!E:BO,57,0)</f>
        <v>256.22981796607053</v>
      </c>
      <c r="G465" s="63">
        <f>VLOOKUP(C465,'RAW DATA 2023'!E:BO,58,0)</f>
        <v>204</v>
      </c>
      <c r="H465" s="397">
        <f>IFERROR((G465-F465)/G465,0)</f>
        <v>-0.25602851944152222</v>
      </c>
      <c r="I465" s="398">
        <f>IF(H465&lt;0,((0.25-(H465*(-1)))*$L$7),IF(H465&gt;0,(H465*$N$7)+$L$6,0))</f>
        <v>-0.32152103688118494</v>
      </c>
      <c r="J465" s="73">
        <f>VLOOKUP(C465,'RAW DATA 2023'!E:AC,21,0)</f>
        <v>28.821549999999998</v>
      </c>
      <c r="K465" s="398">
        <f>I465*J465</f>
        <v>-9.2667346405229161</v>
      </c>
      <c r="R465" s="400"/>
    </row>
    <row r="466" spans="1:18">
      <c r="A466" s="63" t="str">
        <f>'RAW DATA 2023'!B372</f>
        <v>PB5</v>
      </c>
      <c r="B466" s="63" t="str">
        <f>'RAW DATA 2023'!D372</f>
        <v>A1-005-0052</v>
      </c>
      <c r="C466" s="63" t="str">
        <f>A466&amp;B466</f>
        <v>PB5A1-005-0052</v>
      </c>
      <c r="D466" s="63">
        <f>VLOOKUP(C466,'RAW DATA 2023'!E:BP,63,0)</f>
        <v>7</v>
      </c>
      <c r="E466" s="63" t="str">
        <f>A466&amp;D466</f>
        <v>PB57</v>
      </c>
      <c r="F466" s="389">
        <f>VLOOKUP(C466,'RAW DATA 2023'!E:BO,57,0)</f>
        <v>372.55784346534148</v>
      </c>
      <c r="G466" s="63">
        <f>VLOOKUP(C466,'RAW DATA 2023'!E:BO,58,0)</f>
        <v>187</v>
      </c>
      <c r="H466" s="390">
        <f>IFERROR((G466-F466)/G466,0)</f>
        <v>-0.99228793296974049</v>
      </c>
      <c r="I466" s="398">
        <f>IF(H466&lt;0,((0.25-(H466*(-1)))*$L$7),IF(H466&gt;0,(H466*$N$7)+$L$6,0))</f>
        <v>-39.58868975838616</v>
      </c>
      <c r="J466" s="73">
        <f>VLOOKUP(C466,'RAW DATA 2023'!E:AC,21,0)</f>
        <v>11.146030000000001</v>
      </c>
      <c r="K466" s="398">
        <f>I466*J466</f>
        <v>-441.25672370766495</v>
      </c>
      <c r="R466" s="400"/>
    </row>
    <row r="467" spans="1:18">
      <c r="A467" s="63" t="str">
        <f>'RAW DATA 2023'!B360</f>
        <v>PB5</v>
      </c>
      <c r="B467" s="63" t="str">
        <f>'RAW DATA 2023'!D360</f>
        <v>A1-009-0048</v>
      </c>
      <c r="C467" s="63" t="str">
        <f>A467&amp;B467</f>
        <v>PB5A1-009-0048</v>
      </c>
      <c r="D467" s="63">
        <f>VLOOKUP(C467,'RAW DATA 2023'!E:BP,63,0)</f>
        <v>8</v>
      </c>
      <c r="E467" s="63" t="str">
        <f>A467&amp;D467</f>
        <v>PB58</v>
      </c>
      <c r="F467" s="389">
        <f>VLOOKUP(C467,'RAW DATA 2023'!E:BO,57,0)</f>
        <v>225.00954489632815</v>
      </c>
      <c r="G467" s="63">
        <f>VLOOKUP(C467,'RAW DATA 2023'!E:BO,58,0)</f>
        <v>200</v>
      </c>
      <c r="H467" s="397">
        <f>IFERROR((G467-F467)/G467,0)</f>
        <v>-0.12504772448164075</v>
      </c>
      <c r="I467" s="398">
        <f>IF(H467&lt;0,((0.25-(H467*(-1)))*$L$7),IF(H467&gt;0,(H467*$N$7)+$L$6,0))</f>
        <v>6.6641213609791601</v>
      </c>
      <c r="J467" s="73">
        <f>VLOOKUP(C467,'RAW DATA 2023'!E:AC,21,0)</f>
        <v>30.779799999999998</v>
      </c>
      <c r="K467" s="398">
        <f>I467*J467</f>
        <v>205.12032266666634</v>
      </c>
      <c r="R467" s="400"/>
    </row>
    <row r="468" spans="1:18">
      <c r="A468" s="63" t="str">
        <f>'RAW DATA 2023'!B361</f>
        <v>PB5</v>
      </c>
      <c r="B468" s="63" t="str">
        <f>'RAW DATA 2023'!D361</f>
        <v>A1-011-0047</v>
      </c>
      <c r="C468" s="63" t="str">
        <f>A468&amp;B468</f>
        <v>PB5A1-011-0047</v>
      </c>
      <c r="D468" s="63">
        <f>VLOOKUP(C468,'RAW DATA 2023'!E:BP,63,0)</f>
        <v>8</v>
      </c>
      <c r="E468" s="63" t="str">
        <f>A468&amp;D468</f>
        <v>PB58</v>
      </c>
      <c r="F468" s="389">
        <f>VLOOKUP(C468,'RAW DATA 2023'!E:BO,57,0)</f>
        <v>227.51737373529716</v>
      </c>
      <c r="G468" s="63">
        <f>VLOOKUP(C468,'RAW DATA 2023'!E:BO,58,0)</f>
        <v>194</v>
      </c>
      <c r="H468" s="397">
        <f>IFERROR((G468-F468)/G468,0)</f>
        <v>-0.1727699677077173</v>
      </c>
      <c r="I468" s="398">
        <f>IF(H468&lt;0,((0.25-(H468*(-1)))*$L$7),IF(H468&gt;0,(H468*$N$7)+$L$6,0))</f>
        <v>4.1189350555884108</v>
      </c>
      <c r="J468" s="73">
        <f>VLOOKUP(C468,'RAW DATA 2023'!E:AC,21,0)</f>
        <v>16.53847</v>
      </c>
      <c r="K468" s="398">
        <f>I468*J468</f>
        <v>68.120883848797263</v>
      </c>
      <c r="R468" s="400"/>
    </row>
    <row r="469" spans="1:18">
      <c r="A469" s="63" t="str">
        <f>'RAW DATA 2023'!B51</f>
        <v>Petchburi5</v>
      </c>
      <c r="B469" s="63" t="str">
        <f>'RAW DATA 2023'!D51</f>
        <v>B1-127-0007</v>
      </c>
      <c r="C469" s="63" t="str">
        <f>A469&amp;B469</f>
        <v>Petchburi5B1-127-0007</v>
      </c>
      <c r="D469" s="63">
        <f>VLOOKUP(C469,'RAW DATA 2023'!E:BP,63,0)</f>
        <v>1</v>
      </c>
      <c r="E469" s="63" t="str">
        <f>A469&amp;D469</f>
        <v>Petchburi51</v>
      </c>
      <c r="F469" s="389">
        <f>VLOOKUP(C469,'RAW DATA 2023'!E:BO,57,0)</f>
        <v>217.65244928650608</v>
      </c>
      <c r="G469" s="63">
        <f>VLOOKUP(C469,'RAW DATA 2023'!E:BO,58,0)</f>
        <v>204</v>
      </c>
      <c r="H469" s="390">
        <f>IFERROR((G469-F469)/G469,0)</f>
        <v>-6.6923771012284722E-2</v>
      </c>
      <c r="I469" s="398">
        <f>IF(H469&lt;0,((0.25-(H469*(-1)))*$L$7),IF(H469&gt;0,(H469*$N$7)+$L$6,0))</f>
        <v>9.7640655460114818</v>
      </c>
      <c r="J469" s="73">
        <f>VLOOKUP(C469,'RAW DATA 2023'!E:AC,21,0)</f>
        <v>12.95316</v>
      </c>
      <c r="K469" s="398">
        <f>I469*J469</f>
        <v>126.47550326797409</v>
      </c>
      <c r="R469" s="400"/>
    </row>
    <row r="470" spans="1:18">
      <c r="A470" s="63" t="str">
        <f>'RAW DATA 2023'!B60</f>
        <v>Petchburi5</v>
      </c>
      <c r="B470" s="63" t="str">
        <f>'RAW DATA 2023'!D60</f>
        <v>AG-003-0011</v>
      </c>
      <c r="C470" s="63" t="str">
        <f>A470&amp;B470</f>
        <v>Petchburi5AG-003-0011</v>
      </c>
      <c r="D470" s="63">
        <f>VLOOKUP(C470,'RAW DATA 2023'!E:BP,63,0)</f>
        <v>1</v>
      </c>
      <c r="E470" s="63" t="str">
        <f>A470&amp;D470</f>
        <v>Petchburi51</v>
      </c>
      <c r="F470" s="389">
        <f>VLOOKUP(C470,'RAW DATA 2023'!E:BO,57,0)</f>
        <v>177.53597612826758</v>
      </c>
      <c r="G470" s="63">
        <f>VLOOKUP(C470,'RAW DATA 2023'!E:BO,58,0)</f>
        <v>210</v>
      </c>
      <c r="H470" s="390">
        <f>IFERROR((G470-F470)/G470,0)</f>
        <v>0.15459058986539248</v>
      </c>
      <c r="I470" s="398">
        <f>IF(H470&lt;0,((0.25-(H470*(-1)))*$L$7),IF(H470&gt;0,(H470*$N$7)+$L$6,0))</f>
        <v>21.578164792820935</v>
      </c>
      <c r="J470" s="73">
        <f>VLOOKUP(C470,'RAW DATA 2023'!E:AC,21,0)</f>
        <v>18.157040000000002</v>
      </c>
      <c r="K470" s="398">
        <f>I470*J470</f>
        <v>391.79560126984148</v>
      </c>
      <c r="R470" s="400"/>
    </row>
    <row r="471" spans="1:18">
      <c r="A471" s="63" t="str">
        <f>'RAW DATA 2023'!B61</f>
        <v>Petchburi5</v>
      </c>
      <c r="B471" s="63" t="str">
        <f>'RAW DATA 2023'!D61</f>
        <v>AG-006-0010</v>
      </c>
      <c r="C471" s="63" t="str">
        <f>A471&amp;B471</f>
        <v>Petchburi5AG-006-0010</v>
      </c>
      <c r="D471" s="63">
        <f>VLOOKUP(C471,'RAW DATA 2023'!E:BP,63,0)</f>
        <v>1</v>
      </c>
      <c r="E471" s="63" t="str">
        <f>A471&amp;D471</f>
        <v>Petchburi51</v>
      </c>
      <c r="F471" s="389">
        <f>VLOOKUP(C471,'RAW DATA 2023'!E:BO,57,0)</f>
        <v>172.13075208002533</v>
      </c>
      <c r="G471" s="63">
        <f>VLOOKUP(C471,'RAW DATA 2023'!E:BO,58,0)</f>
        <v>200</v>
      </c>
      <c r="H471" s="390">
        <f>IFERROR((G471-F471)/G471,0)</f>
        <v>0.13934623959987336</v>
      </c>
      <c r="I471" s="398">
        <f>IF(H471&lt;0,((0.25-(H471*(-1)))*$L$7),IF(H471&gt;0,(H471*$N$7)+$L$6,0))</f>
        <v>20.765132778659911</v>
      </c>
      <c r="J471" s="73">
        <f>VLOOKUP(C471,'RAW DATA 2023'!E:AC,21,0)</f>
        <v>24.152349999999998</v>
      </c>
      <c r="K471" s="398">
        <f>I471*J471</f>
        <v>501.52675466666665</v>
      </c>
      <c r="R471" s="400"/>
    </row>
    <row r="472" spans="1:18">
      <c r="A472" s="63" t="str">
        <f>'RAW DATA 2023'!B88</f>
        <v>Petchburi5</v>
      </c>
      <c r="B472" s="63" t="str">
        <f>'RAW DATA 2023'!D88</f>
        <v>A1-034-0007</v>
      </c>
      <c r="C472" s="63" t="str">
        <f>A472&amp;B472</f>
        <v>Petchburi5A1-034-0007</v>
      </c>
      <c r="D472" s="63">
        <f>VLOOKUP(C472,'RAW DATA 2023'!E:BP,63,0)</f>
        <v>1</v>
      </c>
      <c r="E472" s="63" t="str">
        <f>A472&amp;D472</f>
        <v>Petchburi51</v>
      </c>
      <c r="F472" s="389">
        <f>VLOOKUP(C472,'RAW DATA 2023'!E:BO,57,0)</f>
        <v>0</v>
      </c>
      <c r="G472" s="63">
        <f>VLOOKUP(C472,'RAW DATA 2023'!E:BO,58,0)</f>
        <v>0</v>
      </c>
      <c r="H472" s="390">
        <f>IFERROR((G472-F472)/G472,0)</f>
        <v>0</v>
      </c>
      <c r="I472" s="398">
        <f>IF(H472&lt;0,((0.25-(H472*(-1)))*$L$7),IF(H472&gt;0,(H472*$N$7)+$L$6,0))</f>
        <v>0</v>
      </c>
      <c r="J472" s="73">
        <f>VLOOKUP(C472,'RAW DATA 2023'!E:AC,21,0)</f>
        <v>0</v>
      </c>
      <c r="K472" s="398">
        <f>I472*J472</f>
        <v>0</v>
      </c>
      <c r="R472" s="400"/>
    </row>
    <row r="473" spans="1:18">
      <c r="A473" s="63" t="str">
        <f>'RAW DATA 2023'!B90</f>
        <v>Petchburi5</v>
      </c>
      <c r="B473" s="63" t="str">
        <f>'RAW DATA 2023'!D90</f>
        <v>G1-G01-0002</v>
      </c>
      <c r="C473" s="63" t="str">
        <f>A473&amp;B473</f>
        <v>Petchburi5G1-G01-0002</v>
      </c>
      <c r="D473" s="63">
        <f>VLOOKUP(C473,'RAW DATA 2023'!E:BP,63,0)</f>
        <v>1</v>
      </c>
      <c r="E473" s="63" t="str">
        <f>A473&amp;D473</f>
        <v>Petchburi51</v>
      </c>
      <c r="F473" s="389">
        <f>VLOOKUP(C473,'RAW DATA 2023'!E:BO,57,0)</f>
        <v>252.47330847947657</v>
      </c>
      <c r="G473" s="63">
        <f>VLOOKUP(C473,'RAW DATA 2023'!E:BO,58,0)</f>
        <v>210</v>
      </c>
      <c r="H473" s="397">
        <f>IFERROR((G473-F473)/G473,0)</f>
        <v>-0.20225384990226938</v>
      </c>
      <c r="I473" s="398">
        <f>IF(H473&lt;0,((0.25-(H473*(-1)))*$L$7),IF(H473&gt;0,(H473*$N$7)+$L$6,0))</f>
        <v>2.5464613385456332</v>
      </c>
      <c r="J473" s="73">
        <f>VLOOKUP(C473,'RAW DATA 2023'!E:AC,21,0)</f>
        <v>13.1435</v>
      </c>
      <c r="K473" s="398">
        <f>I473*J473</f>
        <v>33.469414603174528</v>
      </c>
      <c r="R473" s="400"/>
    </row>
    <row r="474" spans="1:18">
      <c r="A474" s="63" t="str">
        <f>'RAW DATA 2023'!B41</f>
        <v>Petchburi5</v>
      </c>
      <c r="B474" s="63" t="str">
        <f>'RAW DATA 2023'!D41</f>
        <v>B1-127-0009</v>
      </c>
      <c r="C474" s="63" t="str">
        <f>A474&amp;B474</f>
        <v>Petchburi5B1-127-0009</v>
      </c>
      <c r="D474" s="63">
        <f>VLOOKUP(C474,'RAW DATA 2023'!E:BP,63,0)</f>
        <v>10</v>
      </c>
      <c r="E474" s="63" t="str">
        <f>A474&amp;D474</f>
        <v>Petchburi510</v>
      </c>
      <c r="F474" s="389">
        <f>VLOOKUP(C474,'RAW DATA 2023'!E:BO,57,0)</f>
        <v>159.88444711675692</v>
      </c>
      <c r="G474" s="63">
        <f>VLOOKUP(C474,'RAW DATA 2023'!E:BO,58,0)</f>
        <v>192</v>
      </c>
      <c r="H474" s="397">
        <f>IFERROR((G474-F474)/G474,0)</f>
        <v>0.16726850460022438</v>
      </c>
      <c r="I474" s="398">
        <f>IF(H474&lt;0,((0.25-(H474*(-1)))*$L$7),IF(H474&gt;0,(H474*$N$7)+$L$6,0))</f>
        <v>22.254320245345301</v>
      </c>
      <c r="J474" s="73">
        <f>VLOOKUP(C474,'RAW DATA 2023'!E:AC,21,0)</f>
        <v>26.976220000000001</v>
      </c>
      <c r="K474" s="398">
        <f>I474*J474</f>
        <v>600.33743888888887</v>
      </c>
      <c r="R474" s="400"/>
    </row>
    <row r="475" spans="1:18">
      <c r="A475" s="63" t="str">
        <f>'RAW DATA 2023'!B62</f>
        <v>Petchburi5</v>
      </c>
      <c r="B475" s="63" t="str">
        <f>'RAW DATA 2023'!D62</f>
        <v>AG-006-0012</v>
      </c>
      <c r="C475" s="63" t="str">
        <f>A475&amp;B475</f>
        <v>Petchburi5AG-006-0012</v>
      </c>
      <c r="D475" s="63">
        <f>VLOOKUP(C475,'RAW DATA 2023'!E:BP,63,0)</f>
        <v>10</v>
      </c>
      <c r="E475" s="63" t="str">
        <f>A475&amp;D475</f>
        <v>Petchburi510</v>
      </c>
      <c r="F475" s="389">
        <f>VLOOKUP(C475,'RAW DATA 2023'!E:BO,57,0)</f>
        <v>176.20103410114714</v>
      </c>
      <c r="G475" s="63">
        <f>VLOOKUP(C475,'RAW DATA 2023'!E:BO,58,0)</f>
        <v>187</v>
      </c>
      <c r="H475" s="390">
        <f>IFERROR((G475-F475)/G475,0)</f>
        <v>5.7748480742528641E-2</v>
      </c>
      <c r="I475" s="398">
        <f>IF(H475&lt;0,((0.25-(H475*(-1)))*$L$7),IF(H475&gt;0,(H475*$N$7)+$L$6,0))</f>
        <v>16.413252306268195</v>
      </c>
      <c r="J475" s="73">
        <f>VLOOKUP(C475,'RAW DATA 2023'!E:AC,21,0)</f>
        <v>19.346270000000001</v>
      </c>
      <c r="K475" s="398">
        <f>I475*J475</f>
        <v>317.53521069518717</v>
      </c>
      <c r="R475" s="400"/>
    </row>
    <row r="476" spans="1:18">
      <c r="A476" s="63" t="str">
        <f>'RAW DATA 2023'!B65</f>
        <v>Petchburi5</v>
      </c>
      <c r="B476" s="63" t="str">
        <f>'RAW DATA 2023'!D65</f>
        <v>AG-004-0012</v>
      </c>
      <c r="C476" s="63" t="str">
        <f>A476&amp;B476</f>
        <v>Petchburi5AG-004-0012</v>
      </c>
      <c r="D476" s="63">
        <f>VLOOKUP(C476,'RAW DATA 2023'!E:BP,63,0)</f>
        <v>10</v>
      </c>
      <c r="E476" s="63" t="str">
        <f>A476&amp;D476</f>
        <v>Petchburi510</v>
      </c>
      <c r="F476" s="389">
        <f>VLOOKUP(C476,'RAW DATA 2023'!E:BO,57,0)</f>
        <v>187.91827726928395</v>
      </c>
      <c r="G476" s="63">
        <f>VLOOKUP(C476,'RAW DATA 2023'!E:BO,58,0)</f>
        <v>183</v>
      </c>
      <c r="H476" s="390">
        <f>IFERROR((G476-F476)/G476,0)</f>
        <v>-2.6875832072589877E-2</v>
      </c>
      <c r="I476" s="398">
        <f>IF(H476&lt;0,((0.25-(H476*(-1)))*$L$7),IF(H476&gt;0,(H476*$N$7)+$L$6,0))</f>
        <v>11.899955622795208</v>
      </c>
      <c r="J476" s="73">
        <f>VLOOKUP(C476,'RAW DATA 2023'!E:AC,21,0)</f>
        <v>18.414950000000001</v>
      </c>
      <c r="K476" s="398">
        <f>I476*J476</f>
        <v>219.13708779599261</v>
      </c>
      <c r="R476" s="400"/>
    </row>
    <row r="477" spans="1:18">
      <c r="A477" s="63" t="str">
        <f>'RAW DATA 2023'!B68</f>
        <v>Petchburi5</v>
      </c>
      <c r="B477" s="63" t="str">
        <f>'RAW DATA 2023'!D68</f>
        <v>AG-005-0012</v>
      </c>
      <c r="C477" s="63" t="str">
        <f>A477&amp;B477</f>
        <v>Petchburi5AG-005-0012</v>
      </c>
      <c r="D477" s="63">
        <f>VLOOKUP(C477,'RAW DATA 2023'!E:BP,63,0)</f>
        <v>10</v>
      </c>
      <c r="E477" s="63" t="str">
        <f>A477&amp;D477</f>
        <v>Petchburi510</v>
      </c>
      <c r="F477" s="389">
        <f>VLOOKUP(C477,'RAW DATA 2023'!E:BO,57,0)</f>
        <v>171.17151322741466</v>
      </c>
      <c r="G477" s="63">
        <f>VLOOKUP(C477,'RAW DATA 2023'!E:BO,58,0)</f>
        <v>192</v>
      </c>
      <c r="H477" s="397">
        <f>IFERROR((G477-F477)/G477,0)</f>
        <v>0.10848170194054862</v>
      </c>
      <c r="I477" s="398">
        <f>IF(H477&lt;0,((0.25-(H477*(-1)))*$L$7),IF(H477&gt;0,(H477*$N$7)+$L$6,0))</f>
        <v>19.119024103495928</v>
      </c>
      <c r="J477" s="73">
        <f>VLOOKUP(C477,'RAW DATA 2023'!E:AC,21,0)</f>
        <v>21.481900000000003</v>
      </c>
      <c r="K477" s="398">
        <f>I477*J477</f>
        <v>410.71296388888925</v>
      </c>
      <c r="R477" s="400"/>
    </row>
    <row r="478" spans="1:18">
      <c r="A478" s="63" t="str">
        <f>'RAW DATA 2023'!B69</f>
        <v>Petchburi5</v>
      </c>
      <c r="B478" s="63" t="str">
        <f>'RAW DATA 2023'!D69</f>
        <v>AG-003-0013</v>
      </c>
      <c r="C478" s="63" t="str">
        <f>A478&amp;B478</f>
        <v>Petchburi5AG-003-0013</v>
      </c>
      <c r="D478" s="63">
        <f>VLOOKUP(C478,'RAW DATA 2023'!E:BP,63,0)</f>
        <v>10</v>
      </c>
      <c r="E478" s="63" t="str">
        <f>A478&amp;D478</f>
        <v>Petchburi510</v>
      </c>
      <c r="F478" s="389">
        <f>VLOOKUP(C478,'RAW DATA 2023'!E:BO,57,0)</f>
        <v>243.30759974381257</v>
      </c>
      <c r="G478" s="63">
        <f>VLOOKUP(C478,'RAW DATA 2023'!E:BO,58,0)</f>
        <v>189</v>
      </c>
      <c r="H478" s="390">
        <f>IFERROR((G478-F478)/G478,0)</f>
        <v>-0.2873417975863099</v>
      </c>
      <c r="I478" s="398">
        <f>IF(H478&lt;0,((0.25-(H478*(-1)))*$L$7),IF(H478&gt;0,(H478*$N$7)+$L$6,0))</f>
        <v>-1.991562537936528</v>
      </c>
      <c r="J478" s="73">
        <f>VLOOKUP(C478,'RAW DATA 2023'!E:AC,21,0)</f>
        <v>11.725790000000002</v>
      </c>
      <c r="K478" s="398">
        <f>I478*J478</f>
        <v>-23.352644091710765</v>
      </c>
      <c r="R478" s="400"/>
    </row>
    <row r="479" spans="1:18">
      <c r="A479" s="63" t="str">
        <f>'RAW DATA 2023'!B43</f>
        <v>Petchburi5</v>
      </c>
      <c r="B479" s="63" t="str">
        <f>'RAW DATA 2023'!D43</f>
        <v>B1-124-0009</v>
      </c>
      <c r="C479" s="63" t="str">
        <f>A479&amp;B479</f>
        <v>Petchburi5B1-124-0009</v>
      </c>
      <c r="D479" s="63">
        <f>VLOOKUP(C479,'RAW DATA 2023'!E:BP,63,0)</f>
        <v>11</v>
      </c>
      <c r="E479" s="63" t="str">
        <f>A479&amp;D479</f>
        <v>Petchburi511</v>
      </c>
      <c r="F479" s="389">
        <f>VLOOKUP(C479,'RAW DATA 2023'!E:BO,57,0)</f>
        <v>163.52441057443821</v>
      </c>
      <c r="G479" s="63">
        <f>VLOOKUP(C479,'RAW DATA 2023'!E:BO,58,0)</f>
        <v>192</v>
      </c>
      <c r="H479" s="397">
        <f>IFERROR((G479-F479)/G479,0)</f>
        <v>0.14831036159146768</v>
      </c>
      <c r="I479" s="398">
        <f>IF(H479&lt;0,((0.25-(H479*(-1)))*$L$7),IF(H479&gt;0,(H479*$N$7)+$L$6,0))</f>
        <v>21.243219284878279</v>
      </c>
      <c r="J479" s="73">
        <f>VLOOKUP(C479,'RAW DATA 2023'!E:AC,21,0)</f>
        <v>19.362919999999999</v>
      </c>
      <c r="K479" s="398">
        <f>I479*J479</f>
        <v>411.3307555555553</v>
      </c>
      <c r="R479" s="400"/>
    </row>
    <row r="480" spans="1:18">
      <c r="A480" s="63" t="str">
        <f>'RAW DATA 2023'!B44</f>
        <v>Petchburi5</v>
      </c>
      <c r="B480" s="63" t="str">
        <f>'RAW DATA 2023'!D44</f>
        <v>B1-126-0009</v>
      </c>
      <c r="C480" s="63" t="str">
        <f>A480&amp;B480</f>
        <v>Petchburi5B1-126-0009</v>
      </c>
      <c r="D480" s="63">
        <f>VLOOKUP(C480,'RAW DATA 2023'!E:BP,63,0)</f>
        <v>11</v>
      </c>
      <c r="E480" s="63" t="str">
        <f>A480&amp;D480</f>
        <v>Petchburi511</v>
      </c>
      <c r="F480" s="389">
        <f>VLOOKUP(C480,'RAW DATA 2023'!E:BO,57,0)</f>
        <v>147.96179842599875</v>
      </c>
      <c r="G480" s="63">
        <f>VLOOKUP(C480,'RAW DATA 2023'!E:BO,58,0)</f>
        <v>184</v>
      </c>
      <c r="H480" s="390">
        <f>IFERROR((G480-F480)/G480,0)</f>
        <v>0.19585979116305027</v>
      </c>
      <c r="I480" s="398">
        <f>IF(H480&lt;0,((0.25-(H480*(-1)))*$L$7),IF(H480&gt;0,(H480*$N$7)+$L$6,0))</f>
        <v>23.779188862029351</v>
      </c>
      <c r="J480" s="73">
        <f>VLOOKUP(C480,'RAW DATA 2023'!E:AC,21,0)</f>
        <v>30.91103</v>
      </c>
      <c r="K480" s="398">
        <f>I480*J480</f>
        <v>735.03922028985517</v>
      </c>
      <c r="R480" s="400"/>
    </row>
    <row r="481" spans="1:18">
      <c r="A481" s="63" t="str">
        <f>'RAW DATA 2023'!B45</f>
        <v>Petchburi5</v>
      </c>
      <c r="B481" s="63" t="str">
        <f>'RAW DATA 2023'!D45</f>
        <v>B1-125-0009</v>
      </c>
      <c r="C481" s="63" t="str">
        <f>A481&amp;B481</f>
        <v>Petchburi5B1-125-0009</v>
      </c>
      <c r="D481" s="63">
        <f>VLOOKUP(C481,'RAW DATA 2023'!E:BP,63,0)</f>
        <v>11</v>
      </c>
      <c r="E481" s="63" t="str">
        <f>A481&amp;D481</f>
        <v>Petchburi511</v>
      </c>
      <c r="F481" s="389">
        <f>VLOOKUP(C481,'RAW DATA 2023'!E:BO,57,0)</f>
        <v>190.07914612403422</v>
      </c>
      <c r="G481" s="63">
        <f>VLOOKUP(C481,'RAW DATA 2023'!E:BO,58,0)</f>
        <v>192</v>
      </c>
      <c r="H481" s="390">
        <f>IFERROR((G481-F481)/G481,0)</f>
        <v>1.0004447270655081E-2</v>
      </c>
      <c r="I481" s="398">
        <f>IF(H481&lt;0,((0.25-(H481*(-1)))*$L$7),IF(H481&gt;0,(H481*$N$7)+$L$6,0))</f>
        <v>13.866903854434938</v>
      </c>
      <c r="J481" s="73">
        <f>VLOOKUP(C481,'RAW DATA 2023'!E:AC,21,0)</f>
        <v>23.8934</v>
      </c>
      <c r="K481" s="398">
        <f>I481*J481</f>
        <v>331.32748055555572</v>
      </c>
      <c r="R481" s="400"/>
    </row>
    <row r="482" spans="1:18">
      <c r="A482" s="63" t="str">
        <f>'RAW DATA 2023'!B64</f>
        <v>Petchburi5</v>
      </c>
      <c r="B482" s="63" t="str">
        <f>'RAW DATA 2023'!D64</f>
        <v>AG-001-0014</v>
      </c>
      <c r="C482" s="63" t="str">
        <f>A482&amp;B482</f>
        <v>Petchburi5AG-001-0014</v>
      </c>
      <c r="D482" s="63">
        <f>VLOOKUP(C482,'RAW DATA 2023'!E:BP,63,0)</f>
        <v>11</v>
      </c>
      <c r="E482" s="63" t="str">
        <f>A482&amp;D482</f>
        <v>Petchburi511</v>
      </c>
      <c r="F482" s="389">
        <f>VLOOKUP(C482,'RAW DATA 2023'!E:BO,57,0)</f>
        <v>180.27802504316296</v>
      </c>
      <c r="G482" s="63">
        <f>VLOOKUP(C482,'RAW DATA 2023'!E:BO,58,0)</f>
        <v>192</v>
      </c>
      <c r="H482" s="397">
        <f>IFERROR((G482-F482)/G482,0)</f>
        <v>6.1051952900192941E-2</v>
      </c>
      <c r="I482" s="398">
        <f>IF(H482&lt;0,((0.25-(H482*(-1)))*$L$7),IF(H482&gt;0,(H482*$N$7)+$L$6,0))</f>
        <v>16.58943748801029</v>
      </c>
      <c r="J482" s="73">
        <f>VLOOKUP(C482,'RAW DATA 2023'!E:AC,21,0)</f>
        <v>21.37829</v>
      </c>
      <c r="K482" s="398">
        <f>I482*J482</f>
        <v>354.65380555555549</v>
      </c>
      <c r="R482" s="400"/>
    </row>
    <row r="483" spans="1:18">
      <c r="A483" s="63" t="str">
        <f>'RAW DATA 2023'!B80</f>
        <v>Petchburi5</v>
      </c>
      <c r="B483" s="63" t="str">
        <f>'RAW DATA 2023'!D80</f>
        <v>A1-033-0010</v>
      </c>
      <c r="C483" s="63" t="str">
        <f>A483&amp;B483</f>
        <v>Petchburi5A1-033-0010</v>
      </c>
      <c r="D483" s="63">
        <f>VLOOKUP(C483,'RAW DATA 2023'!E:BP,63,0)</f>
        <v>11</v>
      </c>
      <c r="E483" s="63" t="str">
        <f>A483&amp;D483</f>
        <v>Petchburi511</v>
      </c>
      <c r="F483" s="389">
        <f>VLOOKUP(C483,'RAW DATA 2023'!E:BO,57,0)</f>
        <v>191.39220619051468</v>
      </c>
      <c r="G483" s="63">
        <f>VLOOKUP(C483,'RAW DATA 2023'!E:BO,58,0)</f>
        <v>186</v>
      </c>
      <c r="H483" s="397">
        <f>IFERROR((G483-F483)/G483,0)</f>
        <v>-2.8990355862982178E-2</v>
      </c>
      <c r="I483" s="398">
        <f>IF(H483&lt;0,((0.25-(H483*(-1)))*$L$7),IF(H483&gt;0,(H483*$N$7)+$L$6,0))</f>
        <v>11.787181020640951</v>
      </c>
      <c r="J483" s="73">
        <f>VLOOKUP(C483,'RAW DATA 2023'!E:AC,21,0)</f>
        <v>17.919349999999998</v>
      </c>
      <c r="K483" s="398">
        <f>I483*J483</f>
        <v>211.21862222222239</v>
      </c>
      <c r="L483" s="63">
        <f>ROUND(VLOOKUP(C483,'RAW DATA 2023'!E:BO,23,0),0)</f>
        <v>37</v>
      </c>
      <c r="R483" s="400"/>
    </row>
    <row r="484" spans="1:18">
      <c r="A484" s="63" t="str">
        <f>'RAW DATA 2023'!B84</f>
        <v>Petchburi5</v>
      </c>
      <c r="B484" s="63" t="str">
        <f>'RAW DATA 2023'!D84</f>
        <v>A1-034-0009</v>
      </c>
      <c r="C484" s="63" t="str">
        <f>A484&amp;B484</f>
        <v>Petchburi5A1-034-0009</v>
      </c>
      <c r="D484" s="63">
        <f>VLOOKUP(C484,'RAW DATA 2023'!E:BP,63,0)</f>
        <v>11</v>
      </c>
      <c r="E484" s="63" t="str">
        <f>A484&amp;D484</f>
        <v>Petchburi511</v>
      </c>
      <c r="F484" s="389">
        <f>VLOOKUP(C484,'RAW DATA 2023'!E:BO,57,0)</f>
        <v>196.26300286529201</v>
      </c>
      <c r="G484" s="63">
        <f>VLOOKUP(C484,'RAW DATA 2023'!E:BO,58,0)</f>
        <v>191</v>
      </c>
      <c r="H484" s="390">
        <f>IFERROR((G484-F484)/G484,0)</f>
        <v>-2.7554988823518371E-2</v>
      </c>
      <c r="I484" s="398">
        <f>IF(H484&lt;0,((0.25-(H484*(-1)))*$L$7),IF(H484&gt;0,(H484*$N$7)+$L$6,0))</f>
        <v>11.863733929412355</v>
      </c>
      <c r="J484" s="73">
        <f>VLOOKUP(C484,'RAW DATA 2023'!E:AC,21,0)</f>
        <v>27.532970000000002</v>
      </c>
      <c r="K484" s="398">
        <f>I484*J484</f>
        <v>326.64383036649252</v>
      </c>
      <c r="L484" s="63">
        <f>ROUND(VLOOKUP(C484,'RAW DATA 2023'!E:BO,23,0),0)</f>
        <v>34</v>
      </c>
      <c r="R484" s="400"/>
    </row>
    <row r="485" spans="1:18">
      <c r="A485" s="63" t="str">
        <f>'RAW DATA 2023'!B93</f>
        <v>Petchburi5</v>
      </c>
      <c r="B485" s="63" t="str">
        <f>'RAW DATA 2023'!D93</f>
        <v>G1-G01-0004</v>
      </c>
      <c r="C485" s="63" t="str">
        <f>A485&amp;B485</f>
        <v>Petchburi5G1-G01-0004</v>
      </c>
      <c r="D485" s="63">
        <f>VLOOKUP(C485,'RAW DATA 2023'!E:BP,63,0)</f>
        <v>11</v>
      </c>
      <c r="E485" s="63" t="str">
        <f>A485&amp;D485</f>
        <v>Petchburi511</v>
      </c>
      <c r="F485" s="389">
        <f>VLOOKUP(C485,'RAW DATA 2023'!E:BO,57,0)</f>
        <v>232.40125999073427</v>
      </c>
      <c r="G485" s="63">
        <f>VLOOKUP(C485,'RAW DATA 2023'!E:BO,58,0)</f>
        <v>189</v>
      </c>
      <c r="H485" s="397">
        <f>IFERROR((G485-F485)/G485,0)</f>
        <v>-0.2296362962472713</v>
      </c>
      <c r="I485" s="398">
        <f>IF(H485&lt;0,((0.25-(H485*(-1)))*$L$7),IF(H485&gt;0,(H485*$N$7)+$L$6,0))</f>
        <v>1.0860642001455305</v>
      </c>
      <c r="J485" s="73">
        <f>VLOOKUP(C485,'RAW DATA 2023'!E:AC,21,0)</f>
        <v>16.447740000000003</v>
      </c>
      <c r="K485" s="398">
        <f>I485*J485</f>
        <v>17.863301587301653</v>
      </c>
      <c r="R485" s="400"/>
    </row>
    <row r="486" spans="1:18">
      <c r="A486" s="63" t="str">
        <f>'RAW DATA 2023'!B57</f>
        <v>Petchburi5</v>
      </c>
      <c r="B486" s="63" t="str">
        <f>'RAW DATA 2023'!D57</f>
        <v>B1-115-0009</v>
      </c>
      <c r="C486" s="63" t="str">
        <f>A486&amp;B486</f>
        <v>Petchburi5B1-115-0009</v>
      </c>
      <c r="D486" s="63">
        <f>VLOOKUP(C486,'RAW DATA 2023'!E:BP,63,0)</f>
        <v>12</v>
      </c>
      <c r="E486" s="63" t="str">
        <f>A486&amp;D486</f>
        <v>Petchburi512</v>
      </c>
      <c r="F486" s="389">
        <f>VLOOKUP(C486,'RAW DATA 2023'!E:BO,57,0)</f>
        <v>158.48500343524847</v>
      </c>
      <c r="G486" s="63">
        <f>VLOOKUP(C486,'RAW DATA 2023'!E:BO,58,0)</f>
        <v>189</v>
      </c>
      <c r="H486" s="390">
        <f>IFERROR((G486-F486)/G486,0)</f>
        <v>0.16145500827910861</v>
      </c>
      <c r="I486" s="398">
        <f>IF(H486&lt;0,((0.25-(H486*(-1)))*$L$7),IF(H486&gt;0,(H486*$N$7)+$L$6,0))</f>
        <v>21.944267108219126</v>
      </c>
      <c r="J486" s="73">
        <f>VLOOKUP(C486,'RAW DATA 2023'!E:AC,21,0)</f>
        <v>24.044840000000001</v>
      </c>
      <c r="K486" s="398">
        <f>I486*J486</f>
        <v>527.64639153439157</v>
      </c>
      <c r="R486" s="400"/>
    </row>
    <row r="487" spans="1:18">
      <c r="A487" s="63" t="str">
        <f>'RAW DATA 2023'!B58</f>
        <v>Petchburi5</v>
      </c>
      <c r="B487" s="63" t="str">
        <f>'RAW DATA 2023'!D58</f>
        <v>B1-116-0008</v>
      </c>
      <c r="C487" s="63" t="str">
        <f>A487&amp;B487</f>
        <v>Petchburi5B1-116-0008</v>
      </c>
      <c r="D487" s="63">
        <f>VLOOKUP(C487,'RAW DATA 2023'!E:BP,63,0)</f>
        <v>12</v>
      </c>
      <c r="E487" s="63" t="str">
        <f>A487&amp;D487</f>
        <v>Petchburi512</v>
      </c>
      <c r="F487" s="389">
        <f>VLOOKUP(C487,'RAW DATA 2023'!E:BO,57,0)</f>
        <v>163.66182639876482</v>
      </c>
      <c r="G487" s="63">
        <f>VLOOKUP(C487,'RAW DATA 2023'!E:BO,58,0)</f>
        <v>170</v>
      </c>
      <c r="H487" s="397">
        <f>IFERROR((G487-F487)/G487,0)</f>
        <v>3.7283374124912845E-2</v>
      </c>
      <c r="I487" s="398">
        <f>IF(H487&lt;0,((0.25-(H487*(-1)))*$L$7),IF(H487&gt;0,(H487*$N$7)+$L$6,0))</f>
        <v>15.321779953328686</v>
      </c>
      <c r="J487" s="73">
        <f>VLOOKUP(C487,'RAW DATA 2023'!E:AC,21,0)</f>
        <v>17.396419999999999</v>
      </c>
      <c r="K487" s="398">
        <f>I487*J487</f>
        <v>266.54411921568624</v>
      </c>
      <c r="R487" s="400"/>
    </row>
    <row r="488" spans="1:18">
      <c r="A488" s="63" t="str">
        <f>'RAW DATA 2023'!B77</f>
        <v>Petchburi5</v>
      </c>
      <c r="B488" s="63" t="str">
        <f>'RAW DATA 2023'!D77</f>
        <v>A1-032-0009</v>
      </c>
      <c r="C488" s="63" t="str">
        <f>A488&amp;B488</f>
        <v>Petchburi5A1-032-0009</v>
      </c>
      <c r="D488" s="63">
        <f>VLOOKUP(C488,'RAW DATA 2023'!E:BP,63,0)</f>
        <v>12</v>
      </c>
      <c r="E488" s="63" t="str">
        <f>A488&amp;D488</f>
        <v>Petchburi512</v>
      </c>
      <c r="F488" s="389">
        <f>VLOOKUP(C488,'RAW DATA 2023'!E:BO,57,0)</f>
        <v>158.59136674708284</v>
      </c>
      <c r="G488" s="63">
        <f>VLOOKUP(C488,'RAW DATA 2023'!E:BO,58,0)</f>
        <v>186</v>
      </c>
      <c r="H488" s="397">
        <f>IFERROR((G488-F488)/G488,0)</f>
        <v>0.14735824329525352</v>
      </c>
      <c r="I488" s="398">
        <f>IF(H488&lt;0,((0.25-(H488*(-1)))*$L$7),IF(H488&gt;0,(H488*$N$7)+$L$6,0))</f>
        <v>21.192439642413522</v>
      </c>
      <c r="J488" s="73">
        <f>VLOOKUP(C488,'RAW DATA 2023'!E:AC,21,0)</f>
        <v>29.24784</v>
      </c>
      <c r="K488" s="398">
        <f>I488*J488</f>
        <v>619.83308387096793</v>
      </c>
      <c r="R488" s="400"/>
    </row>
    <row r="489" spans="1:18">
      <c r="A489" s="63" t="str">
        <f>'RAW DATA 2023'!B89</f>
        <v>Petchburi5</v>
      </c>
      <c r="B489" s="63" t="str">
        <f>'RAW DATA 2023'!D89</f>
        <v>AG-002-0014</v>
      </c>
      <c r="C489" s="63" t="str">
        <f>A489&amp;B489</f>
        <v>Petchburi5AG-002-0014</v>
      </c>
      <c r="D489" s="63">
        <f>VLOOKUP(C489,'RAW DATA 2023'!E:BP,63,0)</f>
        <v>12</v>
      </c>
      <c r="E489" s="63" t="str">
        <f>A489&amp;D489</f>
        <v>Petchburi512</v>
      </c>
      <c r="F489" s="389">
        <f>VLOOKUP(C489,'RAW DATA 2023'!E:BO,57,0)</f>
        <v>218.20931310346268</v>
      </c>
      <c r="G489" s="63">
        <f>VLOOKUP(C489,'RAW DATA 2023'!E:BO,58,0)</f>
        <v>191</v>
      </c>
      <c r="H489" s="390">
        <f>IFERROR((G489-F489)/G489,0)</f>
        <v>-0.14245713666734386</v>
      </c>
      <c r="I489" s="398">
        <f>IF(H489&lt;0,((0.25-(H489*(-1)))*$L$7),IF(H489&gt;0,(H489*$N$7)+$L$6,0))</f>
        <v>5.7356193777416609</v>
      </c>
      <c r="J489" s="73">
        <f>VLOOKUP(C489,'RAW DATA 2023'!E:AC,21,0)</f>
        <v>15.31992</v>
      </c>
      <c r="K489" s="398">
        <f>I489*J489</f>
        <v>87.869230017452026</v>
      </c>
      <c r="R489" s="400"/>
    </row>
    <row r="490" spans="1:18">
      <c r="A490" s="63" t="str">
        <f>'RAW DATA 2023'!B50</f>
        <v>Petchburi5</v>
      </c>
      <c r="B490" s="63" t="str">
        <f>'RAW DATA 2023'!D50</f>
        <v>B1-125-0007</v>
      </c>
      <c r="C490" s="63" t="str">
        <f>A490&amp;B490</f>
        <v>Petchburi5B1-125-0007</v>
      </c>
      <c r="D490" s="63">
        <f>VLOOKUP(C490,'RAW DATA 2023'!E:BP,63,0)</f>
        <v>2</v>
      </c>
      <c r="E490" s="63" t="str">
        <f>A490&amp;D490</f>
        <v>Petchburi52</v>
      </c>
      <c r="F490" s="389">
        <f>VLOOKUP(C490,'RAW DATA 2023'!E:BO,57,0)</f>
        <v>209.74172730674354</v>
      </c>
      <c r="G490" s="63">
        <f>VLOOKUP(C490,'RAW DATA 2023'!E:BO,58,0)</f>
        <v>204</v>
      </c>
      <c r="H490" s="390">
        <f>IFERROR((G490-F490)/G490,0)</f>
        <v>-2.8145722091880106E-2</v>
      </c>
      <c r="I490" s="398">
        <f>IF(H490&lt;0,((0.25-(H490*(-1)))*$L$7),IF(H490&gt;0,(H490*$N$7)+$L$6,0))</f>
        <v>11.832228155099729</v>
      </c>
      <c r="J490" s="73">
        <f>VLOOKUP(C490,'RAW DATA 2023'!E:AC,21,0)</f>
        <v>16.008389999999999</v>
      </c>
      <c r="K490" s="398">
        <f>I490*J490</f>
        <v>189.41492287581693</v>
      </c>
      <c r="R490" s="400"/>
    </row>
    <row r="491" spans="1:18">
      <c r="A491" s="63" t="str">
        <f>'RAW DATA 2023'!B55</f>
        <v>Petchburi5</v>
      </c>
      <c r="B491" s="63" t="str">
        <f>'RAW DATA 2023'!D55</f>
        <v>B1-124-0007</v>
      </c>
      <c r="C491" s="63" t="str">
        <f>A491&amp;B491</f>
        <v>Petchburi5B1-124-0007</v>
      </c>
      <c r="D491" s="63">
        <f>VLOOKUP(C491,'RAW DATA 2023'!E:BP,63,0)</f>
        <v>3</v>
      </c>
      <c r="E491" s="63" t="str">
        <f>A491&amp;D491</f>
        <v>Petchburi53</v>
      </c>
      <c r="F491" s="389">
        <f>VLOOKUP(C491,'RAW DATA 2023'!E:BO,57,0)</f>
        <v>243.42352796373166</v>
      </c>
      <c r="G491" s="63">
        <f>VLOOKUP(C491,'RAW DATA 2023'!E:BO,58,0)</f>
        <v>204</v>
      </c>
      <c r="H491" s="390">
        <f>IFERROR((G491-F491)/G491,0)</f>
        <v>-0.19325258805750814</v>
      </c>
      <c r="I491" s="398">
        <f>IF(H491&lt;0,((0.25-(H491*(-1)))*$L$7),IF(H491&gt;0,(H491*$N$7)+$L$6,0))</f>
        <v>3.0265286369328992</v>
      </c>
      <c r="J491" s="73">
        <f>VLOOKUP(C491,'RAW DATA 2023'!E:AC,21,0)</f>
        <v>14.6243</v>
      </c>
      <c r="K491" s="398">
        <f>I491*J491</f>
        <v>44.260862745097796</v>
      </c>
      <c r="R491" s="400"/>
    </row>
    <row r="492" spans="1:18">
      <c r="A492" s="63" t="str">
        <f>'RAW DATA 2023'!B56</f>
        <v>Petchburi5</v>
      </c>
      <c r="B492" s="63" t="str">
        <f>'RAW DATA 2023'!D56</f>
        <v>B1-126-0007</v>
      </c>
      <c r="C492" s="63" t="str">
        <f>A492&amp;B492</f>
        <v>Petchburi5B1-126-0007</v>
      </c>
      <c r="D492" s="63">
        <f>VLOOKUP(C492,'RAW DATA 2023'!E:BP,63,0)</f>
        <v>3</v>
      </c>
      <c r="E492" s="63" t="str">
        <f>A492&amp;D492</f>
        <v>Petchburi53</v>
      </c>
      <c r="F492" s="389">
        <f>VLOOKUP(C492,'RAW DATA 2023'!E:BO,57,0)</f>
        <v>207.02579083992737</v>
      </c>
      <c r="G492" s="63">
        <f>VLOOKUP(C492,'RAW DATA 2023'!E:BO,58,0)</f>
        <v>187</v>
      </c>
      <c r="H492" s="390">
        <f>IFERROR((G492-F492)/G492,0)</f>
        <v>-0.10708979058784689</v>
      </c>
      <c r="I492" s="398">
        <f>IF(H492&lt;0,((0.25-(H492*(-1)))*$L$7),IF(H492&gt;0,(H492*$N$7)+$L$6,0))</f>
        <v>7.621877835314832</v>
      </c>
      <c r="J492" s="73">
        <f>VLOOKUP(C492,'RAW DATA 2023'!E:AC,21,0)</f>
        <v>16.926939999999998</v>
      </c>
      <c r="K492" s="398">
        <f>I492*J492</f>
        <v>129.01506880570403</v>
      </c>
      <c r="R492" s="400"/>
    </row>
    <row r="493" spans="1:18">
      <c r="A493" s="63" t="str">
        <f>'RAW DATA 2023'!B66</f>
        <v>Petchburi5</v>
      </c>
      <c r="B493" s="63" t="str">
        <f>'RAW DATA 2023'!D66</f>
        <v>AG-001-0012</v>
      </c>
      <c r="C493" s="63" t="str">
        <f>A493&amp;B493</f>
        <v>Petchburi5AG-001-0012</v>
      </c>
      <c r="D493" s="63">
        <f>VLOOKUP(C493,'RAW DATA 2023'!E:BP,63,0)</f>
        <v>3</v>
      </c>
      <c r="E493" s="63" t="str">
        <f>A493&amp;D493</f>
        <v>Petchburi53</v>
      </c>
      <c r="F493" s="389">
        <f>VLOOKUP(C493,'RAW DATA 2023'!E:BO,57,0)</f>
        <v>193.44922712696533</v>
      </c>
      <c r="G493" s="63">
        <f>VLOOKUP(C493,'RAW DATA 2023'!E:BO,58,0)</f>
        <v>200</v>
      </c>
      <c r="H493" s="390">
        <f>IFERROR((G493-F493)/G493,0)</f>
        <v>3.2753864365173371E-2</v>
      </c>
      <c r="I493" s="398">
        <f>IF(H493&lt;0,((0.25-(H493*(-1)))*$L$7),IF(H493&gt;0,(H493*$N$7)+$L$6,0))</f>
        <v>15.080206099475914</v>
      </c>
      <c r="J493" s="73">
        <f>VLOOKUP(C493,'RAW DATA 2023'!E:AC,21,0)</f>
        <v>19.016060000000003</v>
      </c>
      <c r="K493" s="398">
        <f>I493*J493</f>
        <v>286.76610399999998</v>
      </c>
      <c r="R493" s="400"/>
    </row>
    <row r="494" spans="1:18">
      <c r="A494" s="63" t="str">
        <f>'RAW DATA 2023'!B83</f>
        <v>Petchburi5</v>
      </c>
      <c r="B494" s="63" t="str">
        <f>'RAW DATA 2023'!D83</f>
        <v>A1-033-0008</v>
      </c>
      <c r="C494" s="63" t="str">
        <f>A494&amp;B494</f>
        <v>Petchburi5A1-033-0008</v>
      </c>
      <c r="D494" s="63">
        <f>VLOOKUP(C494,'RAW DATA 2023'!E:BP,63,0)</f>
        <v>3</v>
      </c>
      <c r="E494" s="63" t="str">
        <f>A494&amp;D494</f>
        <v>Petchburi53</v>
      </c>
      <c r="F494" s="389">
        <f>VLOOKUP(C494,'RAW DATA 2023'!E:BO,57,0)</f>
        <v>203.00894367257644</v>
      </c>
      <c r="G494" s="63">
        <f>VLOOKUP(C494,'RAW DATA 2023'!E:BO,58,0)</f>
        <v>207</v>
      </c>
      <c r="H494" s="390">
        <f>IFERROR((G494-F494)/G494,0)</f>
        <v>1.9280465349872291E-2</v>
      </c>
      <c r="I494" s="398">
        <f>IF(H494&lt;0,((0.25-(H494*(-1)))*$L$7),IF(H494&gt;0,(H494*$N$7)+$L$6,0))</f>
        <v>14.361624818659855</v>
      </c>
      <c r="J494" s="73">
        <f>VLOOKUP(C494,'RAW DATA 2023'!E:AC,21,0)</f>
        <v>26.363889999999998</v>
      </c>
      <c r="K494" s="398">
        <f>I494*J494</f>
        <v>378.62829694041835</v>
      </c>
      <c r="R494" s="400"/>
    </row>
    <row r="495" spans="1:18">
      <c r="A495" s="63" t="str">
        <f>'RAW DATA 2023'!B87</f>
        <v>Petchburi5</v>
      </c>
      <c r="B495" s="63" t="str">
        <f>'RAW DATA 2023'!D87</f>
        <v>A1-032-0007</v>
      </c>
      <c r="C495" s="63" t="str">
        <f>A495&amp;B495</f>
        <v>Petchburi5A1-032-0007</v>
      </c>
      <c r="D495" s="63">
        <f>VLOOKUP(C495,'RAW DATA 2023'!E:BP,63,0)</f>
        <v>3</v>
      </c>
      <c r="E495" s="63" t="str">
        <f>A495&amp;D495</f>
        <v>Petchburi53</v>
      </c>
      <c r="F495" s="389">
        <f>VLOOKUP(C495,'RAW DATA 2023'!E:BO,57,0)</f>
        <v>210.73018400840775</v>
      </c>
      <c r="G495" s="63">
        <f>VLOOKUP(C495,'RAW DATA 2023'!E:BO,58,0)</f>
        <v>204</v>
      </c>
      <c r="H495" s="397">
        <f>IFERROR((G495-F495)/G495,0)</f>
        <v>-3.2991098080430131E-2</v>
      </c>
      <c r="I495" s="398">
        <f>IF(H495&lt;0,((0.25-(H495*(-1)))*$L$7),IF(H495&gt;0,(H495*$N$7)+$L$6,0))</f>
        <v>11.573808102377059</v>
      </c>
      <c r="J495" s="73">
        <f>VLOOKUP(C495,'RAW DATA 2023'!E:AC,21,0)</f>
        <v>18.040479999999999</v>
      </c>
      <c r="K495" s="398">
        <f>I495*J495</f>
        <v>208.79705359477128</v>
      </c>
      <c r="R495" s="400"/>
    </row>
    <row r="496" spans="1:18">
      <c r="A496" s="63" t="str">
        <f>'RAW DATA 2023'!B53</f>
        <v>Petchburi5</v>
      </c>
      <c r="B496" s="63" t="str">
        <f>'RAW DATA 2023'!D53</f>
        <v>B1-116-0006</v>
      </c>
      <c r="C496" s="63" t="str">
        <f>A496&amp;B496</f>
        <v>Petchburi5B1-116-0006</v>
      </c>
      <c r="D496" s="63">
        <f>VLOOKUP(C496,'RAW DATA 2023'!E:BP,63,0)</f>
        <v>4</v>
      </c>
      <c r="E496" s="63" t="str">
        <f>A496&amp;D496</f>
        <v>Petchburi54</v>
      </c>
      <c r="F496" s="389">
        <f>VLOOKUP(C496,'RAW DATA 2023'!E:BO,57,0)</f>
        <v>179.74330882197125</v>
      </c>
      <c r="G496" s="63">
        <f>VLOOKUP(C496,'RAW DATA 2023'!E:BO,58,0)</f>
        <v>204</v>
      </c>
      <c r="H496" s="397">
        <f>IFERROR((G496-F496)/G496,0)</f>
        <v>0.11890534891190561</v>
      </c>
      <c r="I496" s="398">
        <f>IF(H496&lt;0,((0.25-(H496*(-1)))*$L$7),IF(H496&gt;0,(H496*$N$7)+$L$6,0))</f>
        <v>19.674951941968299</v>
      </c>
      <c r="J496" s="73">
        <f>VLOOKUP(C496,'RAW DATA 2023'!E:AC,21,0)</f>
        <v>31.616630000000001</v>
      </c>
      <c r="K496" s="398">
        <f>I496*J496</f>
        <v>622.05567581699324</v>
      </c>
      <c r="R496" s="400"/>
    </row>
    <row r="497" spans="1:18">
      <c r="A497" s="63" t="str">
        <f>'RAW DATA 2023'!B54</f>
        <v>Petchburi5</v>
      </c>
      <c r="B497" s="63" t="str">
        <f>'RAW DATA 2023'!D54</f>
        <v>B1-115-0007</v>
      </c>
      <c r="C497" s="63" t="str">
        <f>A497&amp;B497</f>
        <v>Petchburi5B1-115-0007</v>
      </c>
      <c r="D497" s="63">
        <f>VLOOKUP(C497,'RAW DATA 2023'!E:BP,63,0)</f>
        <v>4</v>
      </c>
      <c r="E497" s="63" t="str">
        <f>A497&amp;D497</f>
        <v>Petchburi54</v>
      </c>
      <c r="F497" s="389">
        <f>VLOOKUP(C497,'RAW DATA 2023'!E:BO,57,0)</f>
        <v>200.88947395151189</v>
      </c>
      <c r="G497" s="63">
        <f>VLOOKUP(C497,'RAW DATA 2023'!E:BO,58,0)</f>
        <v>204</v>
      </c>
      <c r="H497" s="390">
        <f>IFERROR((G497-F497)/G497,0)</f>
        <v>1.5247676708275057E-2</v>
      </c>
      <c r="I497" s="398">
        <f>IF(H497&lt;0,((0.25-(H497*(-1)))*$L$7),IF(H497&gt;0,(H497*$N$7)+$L$6,0))</f>
        <v>14.14654275777467</v>
      </c>
      <c r="J497" s="73">
        <f>VLOOKUP(C497,'RAW DATA 2023'!E:AC,21,0)</f>
        <v>26.975270000000002</v>
      </c>
      <c r="K497" s="398">
        <f>I497*J497</f>
        <v>381.60681045751636</v>
      </c>
      <c r="R497" s="400"/>
    </row>
    <row r="498" spans="1:18">
      <c r="A498" s="63" t="str">
        <f>'RAW DATA 2023'!B70</f>
        <v>Petchburi5</v>
      </c>
      <c r="B498" s="63" t="str">
        <f>'RAW DATA 2023'!D70</f>
        <v>AG-002-0012</v>
      </c>
      <c r="C498" s="63" t="str">
        <f>A498&amp;B498</f>
        <v>Petchburi5AG-002-0012</v>
      </c>
      <c r="D498" s="63">
        <f>VLOOKUP(C498,'RAW DATA 2023'!E:BP,63,0)</f>
        <v>4</v>
      </c>
      <c r="E498" s="63" t="str">
        <f>A498&amp;D498</f>
        <v>Petchburi54</v>
      </c>
      <c r="F498" s="389">
        <f>VLOOKUP(C498,'RAW DATA 2023'!E:BO,57,0)</f>
        <v>202.55238285788462</v>
      </c>
      <c r="G498" s="63">
        <f>VLOOKUP(C498,'RAW DATA 2023'!E:BO,58,0)</f>
        <v>194</v>
      </c>
      <c r="H498" s="397">
        <f>IFERROR((G498-F498)/G498,0)</f>
        <v>-4.4084447721054763E-2</v>
      </c>
      <c r="I498" s="398">
        <f>IF(H498&lt;0,((0.25-(H498*(-1)))*$L$7),IF(H498&gt;0,(H498*$N$7)+$L$6,0))</f>
        <v>10.982162788210413</v>
      </c>
      <c r="J498" s="73">
        <f>VLOOKUP(C498,'RAW DATA 2023'!E:AC,21,0)</f>
        <v>18.64274</v>
      </c>
      <c r="K498" s="398">
        <f>I498*J498</f>
        <v>204.73760549828179</v>
      </c>
      <c r="R498" s="400"/>
    </row>
    <row r="499" spans="1:18">
      <c r="A499" s="63" t="str">
        <f>'RAW DATA 2023'!B81</f>
        <v>Petchburi5</v>
      </c>
      <c r="B499" s="63" t="str">
        <f>'RAW DATA 2023'!D81</f>
        <v>A1-020-0015</v>
      </c>
      <c r="C499" s="63" t="str">
        <f>A499&amp;B499</f>
        <v>Petchburi5A1-020-0015</v>
      </c>
      <c r="D499" s="63">
        <f>VLOOKUP(C499,'RAW DATA 2023'!E:BP,63,0)</f>
        <v>4</v>
      </c>
      <c r="E499" s="63" t="str">
        <f>A499&amp;D499</f>
        <v>Petchburi54</v>
      </c>
      <c r="F499" s="389">
        <f>VLOOKUP(C499,'RAW DATA 2023'!E:BO,57,0)</f>
        <v>225.1927731366315</v>
      </c>
      <c r="G499" s="63">
        <f>VLOOKUP(C499,'RAW DATA 2023'!E:BO,58,0)</f>
        <v>200</v>
      </c>
      <c r="H499" s="390">
        <f>IFERROR((G499-F499)/G499,0)</f>
        <v>-0.12596386568315751</v>
      </c>
      <c r="I499" s="398">
        <f>IF(H499&lt;0,((0.25-(H499*(-1)))*$L$7),IF(H499&gt;0,(H499*$N$7)+$L$6,0))</f>
        <v>6.6152604968982667</v>
      </c>
      <c r="J499" s="73">
        <f>VLOOKUP(C499,'RAW DATA 2023'!E:AC,21,0)</f>
        <v>18.962029999999999</v>
      </c>
      <c r="K499" s="398">
        <f>I499*J499</f>
        <v>125.43876799999983</v>
      </c>
      <c r="R499" s="400"/>
    </row>
    <row r="500" spans="1:18">
      <c r="A500" s="63" t="str">
        <f>'RAW DATA 2023'!B85</f>
        <v>Petchburi5</v>
      </c>
      <c r="B500" s="63" t="str">
        <f>'RAW DATA 2023'!D85</f>
        <v>A1-021-0019</v>
      </c>
      <c r="C500" s="63" t="str">
        <f>A500&amp;B500</f>
        <v>Petchburi5A1-021-0019</v>
      </c>
      <c r="D500" s="63">
        <f>VLOOKUP(C500,'RAW DATA 2023'!E:BP,63,0)</f>
        <v>4</v>
      </c>
      <c r="E500" s="63" t="str">
        <f>A500&amp;D500</f>
        <v>Petchburi54</v>
      </c>
      <c r="F500" s="389">
        <f>VLOOKUP(C500,'RAW DATA 2023'!E:BO,57,0)</f>
        <v>267.96894085556119</v>
      </c>
      <c r="G500" s="63">
        <f>VLOOKUP(C500,'RAW DATA 2023'!E:BO,58,0)</f>
        <v>204</v>
      </c>
      <c r="H500" s="390">
        <f>IFERROR((G500-F500)/G500,0)</f>
        <v>-0.31357323948804505</v>
      </c>
      <c r="I500" s="398">
        <f>IF(H500&lt;0,((0.25-(H500*(-1)))*$L$7),IF(H500&gt;0,(H500*$N$7)+$L$6,0))</f>
        <v>-3.3905727726957364</v>
      </c>
      <c r="J500" s="73">
        <f>VLOOKUP(C500,'RAW DATA 2023'!E:AC,21,0)</f>
        <v>16.658540000000002</v>
      </c>
      <c r="K500" s="398">
        <f>I500*J500</f>
        <v>-56.481992156862837</v>
      </c>
      <c r="R500" s="400"/>
    </row>
    <row r="501" spans="1:18">
      <c r="A501" s="63" t="str">
        <f>'RAW DATA 2023'!B86</f>
        <v>Petchburi5</v>
      </c>
      <c r="B501" s="63" t="str">
        <f>'RAW DATA 2023'!D86</f>
        <v>A1-035-0006</v>
      </c>
      <c r="C501" s="63" t="str">
        <f>A501&amp;B501</f>
        <v>Petchburi5A1-035-0006</v>
      </c>
      <c r="D501" s="63">
        <f>VLOOKUP(C501,'RAW DATA 2023'!E:BP,63,0)</f>
        <v>4</v>
      </c>
      <c r="E501" s="63" t="str">
        <f>A501&amp;D501</f>
        <v>Petchburi54</v>
      </c>
      <c r="F501" s="389">
        <f>VLOOKUP(C501,'RAW DATA 2023'!E:BO,57,0)</f>
        <v>307.47165654217088</v>
      </c>
      <c r="G501" s="63">
        <f>VLOOKUP(C501,'RAW DATA 2023'!E:BO,58,0)</f>
        <v>232</v>
      </c>
      <c r="H501" s="390">
        <f>IFERROR((G501-F501)/G501,0)</f>
        <v>-0.32530886440590895</v>
      </c>
      <c r="I501" s="398">
        <f>IF(H501&lt;0,((0.25-(H501*(-1)))*$L$7),IF(H501&gt;0,(H501*$N$7)+$L$6,0))</f>
        <v>-4.0164727683151442</v>
      </c>
      <c r="J501" s="73">
        <f>VLOOKUP(C501,'RAW DATA 2023'!E:AC,21,0)</f>
        <v>15.26825</v>
      </c>
      <c r="K501" s="398">
        <f>I501*J501</f>
        <v>-61.324510344827701</v>
      </c>
      <c r="R501" s="400"/>
    </row>
    <row r="502" spans="1:18">
      <c r="A502" s="63" t="str">
        <f>'RAW DATA 2023'!B92</f>
        <v>Petchburi5</v>
      </c>
      <c r="B502" s="63" t="str">
        <f>'RAW DATA 2023'!D92</f>
        <v>G1-G02-0001</v>
      </c>
      <c r="C502" s="63" t="str">
        <f>A502&amp;B502</f>
        <v>Petchburi5G1-G02-0001</v>
      </c>
      <c r="D502" s="63">
        <f>VLOOKUP(C502,'RAW DATA 2023'!E:BP,63,0)</f>
        <v>4</v>
      </c>
      <c r="E502" s="63" t="str">
        <f>A502&amp;D502</f>
        <v>Petchburi54</v>
      </c>
      <c r="F502" s="389">
        <f>VLOOKUP(C502,'RAW DATA 2023'!E:BO,57,0)</f>
        <v>186.70343718479813</v>
      </c>
      <c r="G502" s="63">
        <f>VLOOKUP(C502,'RAW DATA 2023'!E:BO,58,0)</f>
        <v>204</v>
      </c>
      <c r="H502" s="390">
        <f>IFERROR((G502-F502)/G502,0)</f>
        <v>8.4787072623538559E-2</v>
      </c>
      <c r="I502" s="398">
        <f>IF(H502&lt;0,((0.25-(H502*(-1)))*$L$7),IF(H502&gt;0,(H502*$N$7)+$L$6,0))</f>
        <v>17.855310539922058</v>
      </c>
      <c r="J502" s="73">
        <f>VLOOKUP(C502,'RAW DATA 2023'!E:AC,21,0)</f>
        <v>15.27791</v>
      </c>
      <c r="K502" s="398">
        <f>I502*J502</f>
        <v>272.79182745098063</v>
      </c>
      <c r="R502" s="400"/>
    </row>
    <row r="503" spans="1:18">
      <c r="A503" s="63" t="str">
        <f>'RAW DATA 2023'!B52</f>
        <v>Petchburi5</v>
      </c>
      <c r="B503" s="63" t="str">
        <f>'RAW DATA 2023'!D52</f>
        <v>B1-127-0008</v>
      </c>
      <c r="C503" s="63" t="str">
        <f>A503&amp;B503</f>
        <v>Petchburi5B1-127-0008</v>
      </c>
      <c r="D503" s="63">
        <f>VLOOKUP(C503,'RAW DATA 2023'!E:BP,63,0)</f>
        <v>5</v>
      </c>
      <c r="E503" s="63" t="str">
        <f>A503&amp;D503</f>
        <v>Petchburi55</v>
      </c>
      <c r="F503" s="389">
        <f>VLOOKUP(C503,'RAW DATA 2023'!E:BO,57,0)</f>
        <v>164.84611084116841</v>
      </c>
      <c r="G503" s="63">
        <f>VLOOKUP(C503,'RAW DATA 2023'!E:BO,58,0)</f>
        <v>189</v>
      </c>
      <c r="H503" s="390">
        <f>IFERROR((G503-F503)/G503,0)</f>
        <v>0.12779835533773329</v>
      </c>
      <c r="I503" s="398">
        <f>IF(H503&lt;0,((0.25-(H503*(-1)))*$L$7),IF(H503&gt;0,(H503*$N$7)+$L$6,0))</f>
        <v>20.149245618012444</v>
      </c>
      <c r="J503" s="73">
        <f>VLOOKUP(C503,'RAW DATA 2023'!E:AC,21,0)</f>
        <v>19.407409999999999</v>
      </c>
      <c r="K503" s="398">
        <f>I503*J503</f>
        <v>391.04467089947087</v>
      </c>
      <c r="R503" s="400"/>
    </row>
    <row r="504" spans="1:18">
      <c r="A504" s="63" t="str">
        <f>'RAW DATA 2023'!B71</f>
        <v>Petchburi5</v>
      </c>
      <c r="B504" s="63" t="str">
        <f>'RAW DATA 2023'!D71</f>
        <v>AG-006-0011</v>
      </c>
      <c r="C504" s="63" t="str">
        <f>A504&amp;B504</f>
        <v>Petchburi5AG-006-0011</v>
      </c>
      <c r="D504" s="63">
        <f>VLOOKUP(C504,'RAW DATA 2023'!E:BP,63,0)</f>
        <v>5</v>
      </c>
      <c r="E504" s="63" t="str">
        <f>A504&amp;D504</f>
        <v>Petchburi55</v>
      </c>
      <c r="F504" s="389">
        <f>VLOOKUP(C504,'RAW DATA 2023'!E:BO,57,0)</f>
        <v>190.53118000983667</v>
      </c>
      <c r="G504" s="63">
        <f>VLOOKUP(C504,'RAW DATA 2023'!E:BO,58,0)</f>
        <v>192</v>
      </c>
      <c r="H504" s="390">
        <f>IFERROR((G504-F504)/G504,0)</f>
        <v>7.6501041154339866E-3</v>
      </c>
      <c r="I504" s="398">
        <f>IF(H504&lt;0,((0.25-(H504*(-1)))*$L$7),IF(H504&gt;0,(H504*$N$7)+$L$6,0))</f>
        <v>13.74133888615648</v>
      </c>
      <c r="J504" s="73">
        <f>VLOOKUP(C504,'RAW DATA 2023'!E:AC,21,0)</f>
        <v>20.047459999999997</v>
      </c>
      <c r="K504" s="398">
        <f>I504*J504</f>
        <v>275.47894166666657</v>
      </c>
      <c r="R504" s="400"/>
    </row>
    <row r="505" spans="1:18">
      <c r="A505" s="63" t="str">
        <f>'RAW DATA 2023'!B72</f>
        <v>Petchburi5</v>
      </c>
      <c r="B505" s="63" t="str">
        <f>'RAW DATA 2023'!D72</f>
        <v>AG-004-0011</v>
      </c>
      <c r="C505" s="63" t="str">
        <f>A505&amp;B505</f>
        <v>Petchburi5AG-004-0011</v>
      </c>
      <c r="D505" s="63">
        <f>VLOOKUP(C505,'RAW DATA 2023'!E:BP,63,0)</f>
        <v>5</v>
      </c>
      <c r="E505" s="63" t="str">
        <f>A505&amp;D505</f>
        <v>Petchburi55</v>
      </c>
      <c r="F505" s="389">
        <f>VLOOKUP(C505,'RAW DATA 2023'!E:BO,57,0)</f>
        <v>208.08642890766023</v>
      </c>
      <c r="G505" s="63">
        <f>VLOOKUP(C505,'RAW DATA 2023'!E:BO,58,0)</f>
        <v>192</v>
      </c>
      <c r="H505" s="390">
        <f>IFERROR((G505-F505)/G505,0)</f>
        <v>-8.3783483894063718E-2</v>
      </c>
      <c r="I505" s="398">
        <f>IF(H505&lt;0,((0.25-(H505*(-1)))*$L$7),IF(H505&gt;0,(H505*$N$7)+$L$6,0))</f>
        <v>8.8648808589832697</v>
      </c>
      <c r="J505" s="73">
        <f>VLOOKUP(C505,'RAW DATA 2023'!E:AC,21,0)</f>
        <v>17.35623</v>
      </c>
      <c r="K505" s="398">
        <f>I505*J505</f>
        <v>153.86091111111119</v>
      </c>
      <c r="R505" s="400"/>
    </row>
    <row r="506" spans="1:18">
      <c r="A506" s="63" t="str">
        <f>'RAW DATA 2023'!B73</f>
        <v>Petchburi5</v>
      </c>
      <c r="B506" s="63" t="str">
        <f>'RAW DATA 2023'!D73</f>
        <v>AG-005-0011</v>
      </c>
      <c r="C506" s="63" t="str">
        <f>A506&amp;B506</f>
        <v>Petchburi5AG-005-0011</v>
      </c>
      <c r="D506" s="63">
        <f>VLOOKUP(C506,'RAW DATA 2023'!E:BP,63,0)</f>
        <v>5</v>
      </c>
      <c r="E506" s="63" t="str">
        <f>A506&amp;D506</f>
        <v>Petchburi55</v>
      </c>
      <c r="F506" s="389">
        <f>VLOOKUP(C506,'RAW DATA 2023'!E:BO,57,0)</f>
        <v>193.92572702897414</v>
      </c>
      <c r="G506" s="63">
        <f>VLOOKUP(C506,'RAW DATA 2023'!E:BO,58,0)</f>
        <v>192</v>
      </c>
      <c r="H506" s="397">
        <f>IFERROR((G506-F506)/G506,0)</f>
        <v>-1.0029828275906963E-2</v>
      </c>
      <c r="I506" s="398">
        <f>IF(H506&lt;0,((0.25-(H506*(-1)))*$L$7),IF(H506&gt;0,(H506*$N$7)+$L$6,0))</f>
        <v>12.798409158618297</v>
      </c>
      <c r="J506" s="73">
        <f>VLOOKUP(C506,'RAW DATA 2023'!E:AC,21,0)</f>
        <v>19.61373</v>
      </c>
      <c r="K506" s="398">
        <f>I506*J506</f>
        <v>251.02454166666644</v>
      </c>
      <c r="R506" s="400"/>
    </row>
    <row r="507" spans="1:18">
      <c r="A507" s="63" t="str">
        <f>'RAW DATA 2023'!B75</f>
        <v>Petchburi5</v>
      </c>
      <c r="B507" s="63" t="str">
        <f>'RAW DATA 2023'!D75</f>
        <v>A1-034-0008</v>
      </c>
      <c r="C507" s="63" t="str">
        <f>A507&amp;B507</f>
        <v>Petchburi5A1-034-0008</v>
      </c>
      <c r="D507" s="63">
        <f>VLOOKUP(C507,'RAW DATA 2023'!E:BP,63,0)</f>
        <v>5</v>
      </c>
      <c r="E507" s="63" t="str">
        <f>A507&amp;D507</f>
        <v>Petchburi55</v>
      </c>
      <c r="F507" s="389">
        <f>VLOOKUP(C507,'RAW DATA 2023'!E:BO,57,0)</f>
        <v>163.98969093244381</v>
      </c>
      <c r="G507" s="63">
        <f>VLOOKUP(C507,'RAW DATA 2023'!E:BO,58,0)</f>
        <v>194</v>
      </c>
      <c r="H507" s="390">
        <f>IFERROR((G507-F507)/G507,0)</f>
        <v>0.15469231478121748</v>
      </c>
      <c r="I507" s="398">
        <f>IF(H507&lt;0,((0.25-(H507*(-1)))*$L$7),IF(H507&gt;0,(H507*$N$7)+$L$6,0))</f>
        <v>21.583590121664933</v>
      </c>
      <c r="J507" s="73">
        <f>VLOOKUP(C507,'RAW DATA 2023'!E:AC,21,0)</f>
        <v>23.96434</v>
      </c>
      <c r="K507" s="398">
        <f>I507*J507</f>
        <v>517.23649209621988</v>
      </c>
      <c r="R507" s="400"/>
    </row>
    <row r="508" spans="1:18">
      <c r="A508" s="63" t="str">
        <f>'RAW DATA 2023'!B47</f>
        <v>Petchburi5</v>
      </c>
      <c r="B508" s="63" t="str">
        <f>'RAW DATA 2023'!D47</f>
        <v>B1-125-0008</v>
      </c>
      <c r="C508" s="63" t="str">
        <f>A508&amp;B508</f>
        <v>Petchburi5B1-125-0008</v>
      </c>
      <c r="D508" s="63">
        <f>VLOOKUP(C508,'RAW DATA 2023'!E:BP,63,0)</f>
        <v>6</v>
      </c>
      <c r="E508" s="63" t="str">
        <f>A508&amp;D508</f>
        <v>Petchburi56</v>
      </c>
      <c r="F508" s="389">
        <f>VLOOKUP(C508,'RAW DATA 2023'!E:BO,57,0)</f>
        <v>161.62092574277852</v>
      </c>
      <c r="G508" s="63">
        <f>VLOOKUP(C508,'RAW DATA 2023'!E:BO,58,0)</f>
        <v>194</v>
      </c>
      <c r="H508" s="390">
        <f>IFERROR((G508-F508)/G508,0)</f>
        <v>0.16690244462485296</v>
      </c>
      <c r="I508" s="398">
        <f>IF(H508&lt;0,((0.25-(H508*(-1)))*$L$7),IF(H508&gt;0,(H508*$N$7)+$L$6,0))</f>
        <v>22.234797046658827</v>
      </c>
      <c r="J508" s="73">
        <f>VLOOKUP(C508,'RAW DATA 2023'!E:AC,21,0)</f>
        <v>19.625970000000002</v>
      </c>
      <c r="K508" s="398">
        <f>I508*J508</f>
        <v>436.37945979381476</v>
      </c>
      <c r="R508" s="400"/>
    </row>
    <row r="509" spans="1:18">
      <c r="A509" s="63" t="str">
        <f>'RAW DATA 2023'!B48</f>
        <v>Petchburi5</v>
      </c>
      <c r="B509" s="63" t="str">
        <f>'RAW DATA 2023'!D48</f>
        <v>B1-126-0008</v>
      </c>
      <c r="C509" s="63" t="str">
        <f>A509&amp;B509</f>
        <v>Petchburi5B1-126-0008</v>
      </c>
      <c r="D509" s="63">
        <f>VLOOKUP(C509,'RAW DATA 2023'!E:BP,63,0)</f>
        <v>6</v>
      </c>
      <c r="E509" s="63" t="str">
        <f>A509&amp;D509</f>
        <v>Petchburi56</v>
      </c>
      <c r="F509" s="389">
        <f>VLOOKUP(C509,'RAW DATA 2023'!E:BO,57,0)</f>
        <v>127.52837604979031</v>
      </c>
      <c r="G509" s="63">
        <f>VLOOKUP(C509,'RAW DATA 2023'!E:BO,58,0)</f>
        <v>186</v>
      </c>
      <c r="H509" s="399">
        <f>IFERROR((G509-F509)/G509,0)</f>
        <v>0.31436356962478329</v>
      </c>
      <c r="I509" s="398">
        <f>IF(H509&lt;0,((0.25-(H509*(-1)))*$L$7),IF(H509&gt;0,(H509*$N$7)+$L$6,0))</f>
        <v>30.099390379988442</v>
      </c>
      <c r="J509" s="73">
        <f>VLOOKUP(C509,'RAW DATA 2023'!E:AC,21,0)</f>
        <v>27.31617</v>
      </c>
      <c r="K509" s="398">
        <f>I509*J509</f>
        <v>822.20006451612892</v>
      </c>
      <c r="R509" s="400"/>
    </row>
    <row r="510" spans="1:18">
      <c r="A510" s="63" t="str">
        <f>'RAW DATA 2023'!B63</f>
        <v>Petchburi5</v>
      </c>
      <c r="B510" s="63" t="str">
        <f>'RAW DATA 2023'!D63</f>
        <v>AG-001-0013</v>
      </c>
      <c r="C510" s="63" t="str">
        <f>A510&amp;B510</f>
        <v>Petchburi5AG-001-0013</v>
      </c>
      <c r="D510" s="63">
        <f>VLOOKUP(C510,'RAW DATA 2023'!E:BP,63,0)</f>
        <v>6</v>
      </c>
      <c r="E510" s="63" t="str">
        <f>A510&amp;D510</f>
        <v>Petchburi56</v>
      </c>
      <c r="F510" s="389">
        <f>VLOOKUP(C510,'RAW DATA 2023'!E:BO,57,0)</f>
        <v>224.43754008604625</v>
      </c>
      <c r="G510" s="63">
        <f>VLOOKUP(C510,'RAW DATA 2023'!E:BO,58,0)</f>
        <v>177</v>
      </c>
      <c r="H510" s="390">
        <f>IFERROR((G510-F510)/G510,0)</f>
        <v>-0.2680087010511088</v>
      </c>
      <c r="I510" s="398">
        <f>IF(H510&lt;0,((0.25-(H510*(-1)))*$L$7),IF(H510&gt;0,(H510*$N$7)+$L$6,0))</f>
        <v>-0.96046405605913598</v>
      </c>
      <c r="J510" s="73">
        <f>VLOOKUP(C510,'RAW DATA 2023'!E:AC,21,0)</f>
        <v>9.8226200000000006</v>
      </c>
      <c r="K510" s="398">
        <f>I510*J510</f>
        <v>-9.434273446327591</v>
      </c>
      <c r="R510" s="400"/>
    </row>
    <row r="511" spans="1:18">
      <c r="A511" s="63" t="str">
        <f>'RAW DATA 2023'!B67</f>
        <v>Petchburi5</v>
      </c>
      <c r="B511" s="63" t="str">
        <f>'RAW DATA 2023'!D67</f>
        <v>AG-003-0012</v>
      </c>
      <c r="C511" s="63" t="str">
        <f>A511&amp;B511</f>
        <v>Petchburi5AG-003-0012</v>
      </c>
      <c r="D511" s="63">
        <f>VLOOKUP(C511,'RAW DATA 2023'!E:BP,63,0)</f>
        <v>6</v>
      </c>
      <c r="E511" s="63" t="str">
        <f>A511&amp;D511</f>
        <v>Petchburi56</v>
      </c>
      <c r="F511" s="389">
        <f>VLOOKUP(C511,'RAW DATA 2023'!E:BO,57,0)</f>
        <v>187.04073205328382</v>
      </c>
      <c r="G511" s="63">
        <f>VLOOKUP(C511,'RAW DATA 2023'!E:BO,58,0)</f>
        <v>200</v>
      </c>
      <c r="H511" s="390">
        <f>IFERROR((G511-F511)/G511,0)</f>
        <v>6.4796339733580913E-2</v>
      </c>
      <c r="I511" s="398">
        <f>IF(H511&lt;0,((0.25-(H511*(-1)))*$L$7),IF(H511&gt;0,(H511*$N$7)+$L$6,0))</f>
        <v>16.789138119124317</v>
      </c>
      <c r="J511" s="73">
        <f>VLOOKUP(C511,'RAW DATA 2023'!E:AC,21,0)</f>
        <v>21.269490000000001</v>
      </c>
      <c r="K511" s="398">
        <f>I511*J511</f>
        <v>357.09640533333351</v>
      </c>
      <c r="R511" s="400"/>
    </row>
    <row r="512" spans="1:18">
      <c r="A512" s="63" t="str">
        <f>'RAW DATA 2023'!B94</f>
        <v>Petchburi5</v>
      </c>
      <c r="B512" s="63" t="str">
        <f>'RAW DATA 2023'!D94</f>
        <v>G1-G01-0003</v>
      </c>
      <c r="C512" s="63" t="str">
        <f>A512&amp;B512</f>
        <v>Petchburi5G1-G01-0003</v>
      </c>
      <c r="D512" s="63">
        <f>VLOOKUP(C512,'RAW DATA 2023'!E:BP,63,0)</f>
        <v>6</v>
      </c>
      <c r="E512" s="63" t="str">
        <f>A512&amp;D512</f>
        <v>Petchburi56</v>
      </c>
      <c r="F512" s="389">
        <f>VLOOKUP(C512,'RAW DATA 2023'!E:BO,57,0)</f>
        <v>192.37523305197931</v>
      </c>
      <c r="G512" s="63">
        <f>VLOOKUP(C512,'RAW DATA 2023'!E:BO,58,0)</f>
        <v>172</v>
      </c>
      <c r="H512" s="390">
        <f>IFERROR((G512-F512)/G512,0)</f>
        <v>-0.11846065727894946</v>
      </c>
      <c r="I512" s="398">
        <f>IF(H512&lt;0,((0.25-(H512*(-1)))*$L$7),IF(H512&gt;0,(H512*$N$7)+$L$6,0))</f>
        <v>7.0154316117893636</v>
      </c>
      <c r="J512" s="73">
        <f>VLOOKUP(C512,'RAW DATA 2023'!E:AC,21,0)</f>
        <v>14.975200000000001</v>
      </c>
      <c r="K512" s="398">
        <f>I512*J512</f>
        <v>105.05749147286808</v>
      </c>
      <c r="R512" s="400"/>
    </row>
    <row r="513" spans="1:18">
      <c r="A513" s="63" t="str">
        <f>'RAW DATA 2023'!B42</f>
        <v>Petchburi5</v>
      </c>
      <c r="B513" s="63" t="str">
        <f>'RAW DATA 2023'!D42</f>
        <v>B1-124-0008</v>
      </c>
      <c r="C513" s="63" t="str">
        <f>A513&amp;B513</f>
        <v>Petchburi5B1-124-0008</v>
      </c>
      <c r="D513" s="63">
        <f>VLOOKUP(C513,'RAW DATA 2023'!E:BP,63,0)</f>
        <v>7</v>
      </c>
      <c r="E513" s="63" t="str">
        <f>A513&amp;D513</f>
        <v>Petchburi57</v>
      </c>
      <c r="F513" s="389">
        <f>VLOOKUP(C513,'RAW DATA 2023'!E:BO,57,0)</f>
        <v>184.98169217580985</v>
      </c>
      <c r="G513" s="63">
        <f>VLOOKUP(C513,'RAW DATA 2023'!E:BO,58,0)</f>
        <v>191</v>
      </c>
      <c r="H513" s="390">
        <f>IFERROR((G513-F513)/G513,0)</f>
        <v>3.1509465048115942E-2</v>
      </c>
      <c r="I513" s="398">
        <f>IF(H513&lt;0,((0.25-(H513*(-1)))*$L$7),IF(H513&gt;0,(H513*$N$7)+$L$6,0))</f>
        <v>15.013838135899517</v>
      </c>
      <c r="J513" s="73">
        <f>VLOOKUP(C513,'RAW DATA 2023'!E:AC,21,0)</f>
        <v>17.39311</v>
      </c>
      <c r="K513" s="398">
        <f>I513*J513</f>
        <v>261.13733821989524</v>
      </c>
      <c r="R513" s="400"/>
    </row>
    <row r="514" spans="1:18">
      <c r="A514" s="63" t="str">
        <f>'RAW DATA 2023'!B79</f>
        <v>Petchburi5</v>
      </c>
      <c r="B514" s="63" t="str">
        <f>'RAW DATA 2023'!D79</f>
        <v>A1-033-0009</v>
      </c>
      <c r="C514" s="63" t="str">
        <f>A514&amp;B514</f>
        <v>Petchburi5A1-033-0009</v>
      </c>
      <c r="D514" s="63">
        <f>VLOOKUP(C514,'RAW DATA 2023'!E:BP,63,0)</f>
        <v>7</v>
      </c>
      <c r="E514" s="63" t="str">
        <f>A514&amp;D514</f>
        <v>Petchburi57</v>
      </c>
      <c r="F514" s="389">
        <f>VLOOKUP(C514,'RAW DATA 2023'!E:BO,57,0)</f>
        <v>167.59428255218171</v>
      </c>
      <c r="G514" s="63">
        <f>VLOOKUP(C514,'RAW DATA 2023'!E:BO,58,0)</f>
        <v>191</v>
      </c>
      <c r="H514" s="390">
        <f>IFERROR((G514-F514)/G514,0)</f>
        <v>0.12254302328700675</v>
      </c>
      <c r="I514" s="398">
        <f>IF(H514&lt;0,((0.25-(H514*(-1)))*$L$7),IF(H514&gt;0,(H514*$N$7)+$L$6,0))</f>
        <v>19.868961241973693</v>
      </c>
      <c r="J514" s="73">
        <f>VLOOKUP(C514,'RAW DATA 2023'!E:AC,21,0)</f>
        <v>26.07667</v>
      </c>
      <c r="K514" s="398">
        <f>I514*J514</f>
        <v>518.11634554973818</v>
      </c>
      <c r="R514" s="400"/>
    </row>
    <row r="515" spans="1:18">
      <c r="A515" s="63" t="str">
        <f>'RAW DATA 2023'!B82</f>
        <v>Petchburi5</v>
      </c>
      <c r="B515" s="63" t="str">
        <f>'RAW DATA 2023'!D82</f>
        <v>A1-032-0008</v>
      </c>
      <c r="C515" s="63" t="str">
        <f>A515&amp;B515</f>
        <v>Petchburi5A1-032-0008</v>
      </c>
      <c r="D515" s="63">
        <f>VLOOKUP(C515,'RAW DATA 2023'!E:BP,63,0)</f>
        <v>7</v>
      </c>
      <c r="E515" s="63" t="str">
        <f>A515&amp;D515</f>
        <v>Petchburi57</v>
      </c>
      <c r="F515" s="389">
        <f>VLOOKUP(C515,'RAW DATA 2023'!E:BO,57,0)</f>
        <v>149.04048505753147</v>
      </c>
      <c r="G515" s="63">
        <f>VLOOKUP(C515,'RAW DATA 2023'!E:BO,58,0)</f>
        <v>194</v>
      </c>
      <c r="H515" s="390">
        <f>IFERROR((G515-F515)/G515,0)</f>
        <v>0.23175007702303366</v>
      </c>
      <c r="I515" s="398">
        <f>IF(H515&lt;0,((0.25-(H515*(-1)))*$L$7),IF(H515&gt;0,(H515*$N$7)+$L$6,0))</f>
        <v>25.693337441228465</v>
      </c>
      <c r="J515" s="73">
        <f>VLOOKUP(C515,'RAW DATA 2023'!E:AC,21,0)</f>
        <v>30.557200000000002</v>
      </c>
      <c r="K515" s="398">
        <f>I515*J515</f>
        <v>785.11645085910652</v>
      </c>
      <c r="R515" s="400"/>
    </row>
    <row r="516" spans="1:18">
      <c r="A516" s="63" t="str">
        <f>'RAW DATA 2023'!B59</f>
        <v>Petchburi5</v>
      </c>
      <c r="B516" s="63" t="str">
        <f>'RAW DATA 2023'!D59</f>
        <v>AG-002-0013</v>
      </c>
      <c r="C516" s="63" t="str">
        <f>A516&amp;B516</f>
        <v>Petchburi5AG-002-0013</v>
      </c>
      <c r="D516" s="63">
        <f>VLOOKUP(C516,'RAW DATA 2023'!E:BP,63,0)</f>
        <v>8</v>
      </c>
      <c r="E516" s="63" t="str">
        <f>A516&amp;D516</f>
        <v>Petchburi58</v>
      </c>
      <c r="F516" s="389">
        <f>VLOOKUP(C516,'RAW DATA 2023'!E:BO,57,0)</f>
        <v>248.70889088366076</v>
      </c>
      <c r="G516" s="63">
        <f>VLOOKUP(C516,'RAW DATA 2023'!E:BO,58,0)</f>
        <v>200</v>
      </c>
      <c r="H516" s="390">
        <f>IFERROR((G516-F516)/G516,0)</f>
        <v>-0.24354445441830377</v>
      </c>
      <c r="I516" s="398">
        <f>IF(H516&lt;0,((0.25-(H516*(-1)))*$L$7),IF(H516&gt;0,(H516*$N$7)+$L$6,0))</f>
        <v>0.34429576435713205</v>
      </c>
      <c r="J516" s="73">
        <f>VLOOKUP(C516,'RAW DATA 2023'!E:AC,21,0)</f>
        <v>15.328959999999999</v>
      </c>
      <c r="K516" s="398">
        <f>I516*J516</f>
        <v>5.277695999999902</v>
      </c>
      <c r="R516" s="400"/>
    </row>
    <row r="517" spans="1:18">
      <c r="A517" s="63" t="str">
        <f>'RAW DATA 2023'!B91</f>
        <v>Petchburi5</v>
      </c>
      <c r="B517" s="63" t="str">
        <f>'RAW DATA 2023'!D91</f>
        <v>G1-G02-0002</v>
      </c>
      <c r="C517" s="63" t="str">
        <f>A517&amp;B517</f>
        <v>Petchburi5G1-G02-0002</v>
      </c>
      <c r="D517" s="63">
        <f>VLOOKUP(C517,'RAW DATA 2023'!E:BP,63,0)</f>
        <v>8</v>
      </c>
      <c r="E517" s="63" t="str">
        <f>A517&amp;D517</f>
        <v>Petchburi58</v>
      </c>
      <c r="F517" s="389">
        <f>VLOOKUP(C517,'RAW DATA 2023'!E:BO,57,0)</f>
        <v>194.46846608756357</v>
      </c>
      <c r="G517" s="63">
        <f>VLOOKUP(C517,'RAW DATA 2023'!E:BO,58,0)</f>
        <v>177</v>
      </c>
      <c r="H517" s="399">
        <f>IFERROR((G517-F517)/G517,0)</f>
        <v>-9.8691898799794175E-2</v>
      </c>
      <c r="I517" s="398">
        <f>IF(H517&lt;0,((0.25-(H517*(-1)))*$L$7),IF(H517&gt;0,(H517*$N$7)+$L$6,0))</f>
        <v>8.0697653973443106</v>
      </c>
      <c r="J517" s="73">
        <f>VLOOKUP(C517,'RAW DATA 2023'!E:AC,21,0)</f>
        <v>20.16797</v>
      </c>
      <c r="K517" s="398">
        <f>I517*J517</f>
        <v>162.75078644067813</v>
      </c>
      <c r="R517" s="400"/>
    </row>
    <row r="518" spans="1:18">
      <c r="A518" s="63" t="str">
        <f>'RAW DATA 2023'!B46</f>
        <v>Petchburi5</v>
      </c>
      <c r="B518" s="63" t="str">
        <f>'RAW DATA 2023'!D46</f>
        <v>B1-116-0007</v>
      </c>
      <c r="C518" s="63" t="str">
        <f>A518&amp;B518</f>
        <v>Petchburi5B1-116-0007</v>
      </c>
      <c r="D518" s="63">
        <f>VLOOKUP(C518,'RAW DATA 2023'!E:BP,63,0)</f>
        <v>9</v>
      </c>
      <c r="E518" s="63" t="str">
        <f>A518&amp;D518</f>
        <v>Petchburi59</v>
      </c>
      <c r="F518" s="389">
        <f>VLOOKUP(C518,'RAW DATA 2023'!E:BO,57,0)</f>
        <v>147.98717373601147</v>
      </c>
      <c r="G518" s="63">
        <f>VLOOKUP(C518,'RAW DATA 2023'!E:BO,58,0)</f>
        <v>200</v>
      </c>
      <c r="H518" s="390">
        <f>IFERROR((G518-F518)/G518,0)</f>
        <v>0.26006413131994266</v>
      </c>
      <c r="I518" s="398">
        <f>IF(H518&lt;0,((0.25-(H518*(-1)))*$L$7),IF(H518&gt;0,(H518*$N$7)+$L$6,0))</f>
        <v>27.203420337063612</v>
      </c>
      <c r="J518" s="73">
        <f>VLOOKUP(C518,'RAW DATA 2023'!E:AC,21,0)</f>
        <v>34.285119999999999</v>
      </c>
      <c r="K518" s="398">
        <f>I518*J518</f>
        <v>932.67253066666638</v>
      </c>
      <c r="R518" s="400"/>
    </row>
    <row r="519" spans="1:18">
      <c r="A519" s="63" t="str">
        <f>'RAW DATA 2023'!B49</f>
        <v>Petchburi5</v>
      </c>
      <c r="B519" s="63" t="str">
        <f>'RAW DATA 2023'!D49</f>
        <v>B1-115-0008</v>
      </c>
      <c r="C519" s="63" t="str">
        <f>A519&amp;B519</f>
        <v>Petchburi5B1-115-0008</v>
      </c>
      <c r="D519" s="63">
        <f>VLOOKUP(C519,'RAW DATA 2023'!E:BP,63,0)</f>
        <v>9</v>
      </c>
      <c r="E519" s="63" t="str">
        <f>A519&amp;D519</f>
        <v>Petchburi59</v>
      </c>
      <c r="F519" s="389">
        <f>VLOOKUP(C519,'RAW DATA 2023'!E:BO,57,0)</f>
        <v>147.37680289987972</v>
      </c>
      <c r="G519" s="63">
        <f>VLOOKUP(C519,'RAW DATA 2023'!E:BO,58,0)</f>
        <v>191</v>
      </c>
      <c r="H519" s="390">
        <f>IFERROR((G519-F519)/G519,0)</f>
        <v>0.22839370209487056</v>
      </c>
      <c r="I519" s="398">
        <f>IF(H519&lt;0,((0.25-(H519*(-1)))*$L$7),IF(H519&gt;0,(H519*$N$7)+$L$6,0))</f>
        <v>25.514330778393095</v>
      </c>
      <c r="J519" s="73">
        <f>VLOOKUP(C519,'RAW DATA 2023'!E:AC,21,0)</f>
        <v>38.189169999999997</v>
      </c>
      <c r="K519" s="398">
        <f>I519*J519</f>
        <v>974.37111553228613</v>
      </c>
      <c r="R519" s="400"/>
    </row>
    <row r="520" spans="1:18">
      <c r="A520" s="63" t="str">
        <f>'RAW DATA 2023'!B74</f>
        <v>Petchburi5</v>
      </c>
      <c r="B520" s="63" t="str">
        <f>'RAW DATA 2023'!D74</f>
        <v>A1-021-0020</v>
      </c>
      <c r="C520" s="63" t="str">
        <f>A520&amp;B520</f>
        <v>Petchburi5A1-021-0020</v>
      </c>
      <c r="D520" s="63">
        <f>VLOOKUP(C520,'RAW DATA 2023'!E:BP,63,0)</f>
        <v>9</v>
      </c>
      <c r="E520" s="63" t="str">
        <f>A520&amp;D520</f>
        <v>Petchburi59</v>
      </c>
      <c r="F520" s="389">
        <f>VLOOKUP(C520,'RAW DATA 2023'!E:BO,57,0)</f>
        <v>256.5313303125734</v>
      </c>
      <c r="G520" s="63">
        <f>VLOOKUP(C520,'RAW DATA 2023'!E:BO,58,0)</f>
        <v>204</v>
      </c>
      <c r="H520" s="397">
        <f>IFERROR((G520-F520)/G520,0)</f>
        <v>-0.25750652114006573</v>
      </c>
      <c r="I520" s="398">
        <f>IF(H520&lt;0,((0.25-(H520*(-1)))*$L$7),IF(H520&gt;0,(H520*$N$7)+$L$6,0))</f>
        <v>-0.40034779413683869</v>
      </c>
      <c r="J520" s="73">
        <f>VLOOKUP(C520,'RAW DATA 2023'!E:AC,21,0)</f>
        <v>17.540839999999999</v>
      </c>
      <c r="K520" s="398">
        <f>I520*J520</f>
        <v>-7.0224366013072252</v>
      </c>
      <c r="R520" s="400"/>
    </row>
    <row r="521" spans="1:18">
      <c r="A521" s="63" t="str">
        <f>'RAW DATA 2023'!B76</f>
        <v>Petchburi5</v>
      </c>
      <c r="B521" s="63" t="str">
        <f>'RAW DATA 2023'!D76</f>
        <v>A1-035-0007</v>
      </c>
      <c r="C521" s="63" t="str">
        <f>A521&amp;B521</f>
        <v>Petchburi5A1-035-0007</v>
      </c>
      <c r="D521" s="63">
        <f>VLOOKUP(C521,'RAW DATA 2023'!E:BP,63,0)</f>
        <v>9</v>
      </c>
      <c r="E521" s="63" t="str">
        <f>A521&amp;D521</f>
        <v>Petchburi59</v>
      </c>
      <c r="F521" s="389">
        <f>VLOOKUP(C521,'RAW DATA 2023'!E:BO,57,0)</f>
        <v>166.83526568657376</v>
      </c>
      <c r="G521" s="63">
        <f>VLOOKUP(C521,'RAW DATA 2023'!E:BO,58,0)</f>
        <v>189</v>
      </c>
      <c r="H521" s="390">
        <f>IFERROR((G521-F521)/G521,0)</f>
        <v>0.11727372652606474</v>
      </c>
      <c r="I521" s="398">
        <f>IF(H521&lt;0,((0.25-(H521*(-1)))*$L$7),IF(H521&gt;0,(H521*$N$7)+$L$6,0))</f>
        <v>19.587932081390122</v>
      </c>
      <c r="J521" s="73">
        <f>VLOOKUP(C521,'RAW DATA 2023'!E:AC,21,0)</f>
        <v>26.048549999999999</v>
      </c>
      <c r="K521" s="398">
        <f>I521*J521</f>
        <v>510.23722821869461</v>
      </c>
      <c r="R521" s="400"/>
    </row>
    <row r="522" spans="1:18">
      <c r="A522" s="63" t="str">
        <f>'RAW DATA 2023'!B78</f>
        <v>Petchburi5</v>
      </c>
      <c r="B522" s="63" t="str">
        <f>'RAW DATA 2023'!D78</f>
        <v>A1-020-0016</v>
      </c>
      <c r="C522" s="63" t="str">
        <f>A522&amp;B522</f>
        <v>Petchburi5A1-020-0016</v>
      </c>
      <c r="D522" s="63">
        <f>VLOOKUP(C522,'RAW DATA 2023'!E:BP,63,0)</f>
        <v>9</v>
      </c>
      <c r="E522" s="63" t="str">
        <f>A522&amp;D522</f>
        <v>Petchburi59</v>
      </c>
      <c r="F522" s="389">
        <f>VLOOKUP(C522,'RAW DATA 2023'!E:BO,57,0)</f>
        <v>203.49447880733848</v>
      </c>
      <c r="G522" s="63">
        <f>VLOOKUP(C522,'RAW DATA 2023'!E:BO,58,0)</f>
        <v>194</v>
      </c>
      <c r="H522" s="390">
        <f>IFERROR((G522-F522)/G522,0)</f>
        <v>-4.8940612408961241E-2</v>
      </c>
      <c r="I522" s="398">
        <f>IF(H522&lt;0,((0.25-(H522*(-1)))*$L$7),IF(H522&gt;0,(H522*$N$7)+$L$6,0))</f>
        <v>10.723167338188734</v>
      </c>
      <c r="J522" s="73">
        <f>VLOOKUP(C522,'RAW DATA 2023'!E:AC,21,0)</f>
        <v>21.449169999999999</v>
      </c>
      <c r="K522" s="398">
        <f>I522*J522</f>
        <v>230.00303917525764</v>
      </c>
      <c r="R522" s="400"/>
    </row>
    <row r="523" spans="1:18">
      <c r="A523" s="63" t="str">
        <f>'RAW DATA 2023'!B899</f>
        <v>Ranode</v>
      </c>
      <c r="B523" s="63" t="str">
        <f>'RAW DATA 2023'!D899</f>
        <v>AG-091-0013</v>
      </c>
      <c r="C523" s="63" t="str">
        <f>A523&amp;B523</f>
        <v>RanodeAG-091-0013</v>
      </c>
      <c r="D523" s="63">
        <f>VLOOKUP(C523,'RAW DATA 2023'!E:BP,63,0)</f>
        <v>11</v>
      </c>
      <c r="E523" s="63" t="str">
        <f>A523&amp;D523</f>
        <v>Ranode11</v>
      </c>
      <c r="F523" s="389">
        <f>VLOOKUP(C523,'RAW DATA 2023'!E:BO,57,0)</f>
        <v>153.35013332738532</v>
      </c>
      <c r="G523" s="63">
        <f>VLOOKUP(C523,'RAW DATA 2023'!E:BO,58,0)</f>
        <v>204</v>
      </c>
      <c r="H523" s="390">
        <f>IFERROR((G523-F523)/G523,0)</f>
        <v>0.24828366015987588</v>
      </c>
      <c r="I523" s="398">
        <f>IF(H523&lt;0,((0.25-(H523*(-1)))*$L$7),IF(H523&gt;0,(H523*$N$7)+$L$6,0))</f>
        <v>26.575128541860046</v>
      </c>
      <c r="J523" s="73">
        <f>VLOOKUP(C523,'RAW DATA 2023'!E:AC,21,0)</f>
        <v>27.796240000000001</v>
      </c>
      <c r="K523" s="398">
        <f>I523*J523</f>
        <v>738.68865098039191</v>
      </c>
      <c r="R523" s="400"/>
    </row>
    <row r="524" spans="1:18">
      <c r="A524" s="63" t="str">
        <f>'RAW DATA 2023'!B903</f>
        <v>Ranode</v>
      </c>
      <c r="B524" s="63" t="str">
        <f>'RAW DATA 2023'!D903</f>
        <v>A1-016-0028</v>
      </c>
      <c r="C524" s="63" t="str">
        <f>A524&amp;B524</f>
        <v>RanodeA1-016-0028</v>
      </c>
      <c r="D524" s="63">
        <f>VLOOKUP(C524,'RAW DATA 2023'!E:BP,63,0)</f>
        <v>11</v>
      </c>
      <c r="E524" s="63" t="str">
        <f>A524&amp;D524</f>
        <v>Ranode11</v>
      </c>
      <c r="F524" s="389">
        <f>VLOOKUP(C524,'RAW DATA 2023'!E:BO,57,0)</f>
        <v>207.85334849189911</v>
      </c>
      <c r="G524" s="63">
        <f>VLOOKUP(C524,'RAW DATA 2023'!E:BO,58,0)</f>
        <v>177</v>
      </c>
      <c r="H524" s="390">
        <f>IFERROR((G524-F524)/G524,0)</f>
        <v>-0.17431270334406279</v>
      </c>
      <c r="I524" s="398">
        <f>IF(H524&lt;0,((0.25-(H524*(-1)))*$L$7),IF(H524&gt;0,(H524*$N$7)+$L$6,0))</f>
        <v>4.036655821649985</v>
      </c>
      <c r="J524" s="73">
        <f>VLOOKUP(C524,'RAW DATA 2023'!E:AC,21,0)</f>
        <v>49.899180000000001</v>
      </c>
      <c r="K524" s="398">
        <f>I524*J524</f>
        <v>201.42581544256049</v>
      </c>
      <c r="R524" s="400"/>
    </row>
    <row r="525" spans="1:18">
      <c r="A525" s="63" t="str">
        <f>'RAW DATA 2023'!B900</f>
        <v>Ranode</v>
      </c>
      <c r="B525" s="63" t="str">
        <f>'RAW DATA 2023'!D900</f>
        <v>AG-090-0011</v>
      </c>
      <c r="C525" s="63" t="str">
        <f>A525&amp;B525</f>
        <v>RanodeAG-090-0011</v>
      </c>
      <c r="D525" s="63">
        <f>VLOOKUP(C525,'RAW DATA 2023'!E:BP,63,0)</f>
        <v>12</v>
      </c>
      <c r="E525" s="63" t="str">
        <f>A525&amp;D525</f>
        <v>Ranode12</v>
      </c>
      <c r="F525" s="389">
        <f>VLOOKUP(C525,'RAW DATA 2023'!E:BO,57,0)</f>
        <v>242.69393717717196</v>
      </c>
      <c r="G525" s="63">
        <f>VLOOKUP(C525,'RAW DATA 2023'!E:BO,58,0)</f>
        <v>210</v>
      </c>
      <c r="H525" s="390">
        <f>IFERROR((G525-F525)/G525,0)</f>
        <v>-0.1556854151293903</v>
      </c>
      <c r="I525" s="398">
        <f>IF(H525&lt;0,((0.25-(H525*(-1)))*$L$7),IF(H525&gt;0,(H525*$N$7)+$L$6,0))</f>
        <v>5.0301111930991844</v>
      </c>
      <c r="J525" s="73">
        <f>VLOOKUP(C525,'RAW DATA 2023'!E:AC,21,0)</f>
        <v>20.21781</v>
      </c>
      <c r="K525" s="398">
        <f>I525*J525</f>
        <v>101.69783238095262</v>
      </c>
      <c r="R525" s="400"/>
    </row>
    <row r="526" spans="1:18">
      <c r="A526" s="63" t="str">
        <f>'RAW DATA 2023'!B906</f>
        <v>Ranode</v>
      </c>
      <c r="B526" s="63" t="str">
        <f>'RAW DATA 2023'!D906</f>
        <v>AG-093-0014</v>
      </c>
      <c r="C526" s="63" t="str">
        <f>A526&amp;B526</f>
        <v>RanodeAG-093-0014</v>
      </c>
      <c r="D526" s="63">
        <f>VLOOKUP(C526,'RAW DATA 2023'!E:BP,63,0)</f>
        <v>12</v>
      </c>
      <c r="E526" s="63" t="str">
        <f>A526&amp;D526</f>
        <v>Ranode12</v>
      </c>
      <c r="F526" s="389">
        <f>VLOOKUP(C526,'RAW DATA 2023'!E:BO,57,0)</f>
        <v>349.50744807995426</v>
      </c>
      <c r="G526" s="63">
        <f>VLOOKUP(C526,'RAW DATA 2023'!E:BO,58,0)</f>
        <v>150</v>
      </c>
      <c r="H526" s="390">
        <f>IFERROR((G526-F526)/G526,0)</f>
        <v>-1.3300496538663618</v>
      </c>
      <c r="I526" s="398">
        <f>IF(H526&lt;0,((0.25-(H526*(-1)))*$L$7),IF(H526&gt;0,(H526*$N$7)+$L$6,0))</f>
        <v>-57.602648206205963</v>
      </c>
      <c r="J526" s="73">
        <f>VLOOKUP(C526,'RAW DATA 2023'!E:AC,21,0)</f>
        <v>5.7732999999999999</v>
      </c>
      <c r="K526" s="398">
        <f>I526*J526</f>
        <v>-332.5573688888889</v>
      </c>
      <c r="R526" s="400"/>
    </row>
    <row r="527" spans="1:18">
      <c r="A527" s="63" t="str">
        <f>'RAW DATA 2023'!B907</f>
        <v>Ranode</v>
      </c>
      <c r="B527" s="63" t="str">
        <f>'RAW DATA 2023'!D907</f>
        <v>A1-082-0016</v>
      </c>
      <c r="C527" s="63" t="str">
        <f>A527&amp;B527</f>
        <v>RanodeA1-082-0016</v>
      </c>
      <c r="D527" s="63">
        <f>VLOOKUP(C527,'RAW DATA 2023'!E:BP,63,0)</f>
        <v>3</v>
      </c>
      <c r="E527" s="63" t="str">
        <f>A527&amp;D527</f>
        <v>Ranode3</v>
      </c>
      <c r="F527" s="389">
        <f>VLOOKUP(C527,'RAW DATA 2023'!E:BO,57,0)</f>
        <v>456.22200850542259</v>
      </c>
      <c r="G527" s="63">
        <f>VLOOKUP(C527,'RAW DATA 2023'!E:BO,58,0)</f>
        <v>150</v>
      </c>
      <c r="H527" s="390">
        <f>IFERROR((G527-F527)/G527,0)</f>
        <v>-2.0414800567028171</v>
      </c>
      <c r="I527" s="398">
        <f>IF(H527&lt;0,((0.25-(H527*(-1)))*$L$7),IF(H527&gt;0,(H527*$N$7)+$L$6,0))</f>
        <v>-95.545603024150253</v>
      </c>
      <c r="J527" s="73">
        <f>VLOOKUP(C527,'RAW DATA 2023'!E:AC,21,0)</f>
        <v>4.82986</v>
      </c>
      <c r="K527" s="398">
        <f>I527*J527</f>
        <v>-461.47188622222234</v>
      </c>
      <c r="R527" s="400"/>
    </row>
    <row r="528" spans="1:18">
      <c r="A528" s="63" t="str">
        <f>'RAW DATA 2023'!B908</f>
        <v>Ranode</v>
      </c>
      <c r="B528" s="63" t="str">
        <f>'RAW DATA 2023'!D908</f>
        <v>A1-083-0016</v>
      </c>
      <c r="C528" s="63" t="str">
        <f>A528&amp;B528</f>
        <v>RanodeA1-083-0016</v>
      </c>
      <c r="D528" s="63">
        <f>VLOOKUP(C528,'RAW DATA 2023'!E:BP,63,0)</f>
        <v>3</v>
      </c>
      <c r="E528" s="63" t="str">
        <f>A528&amp;D528</f>
        <v>Ranode3</v>
      </c>
      <c r="F528" s="389">
        <f>VLOOKUP(C528,'RAW DATA 2023'!E:BO,57,0)</f>
        <v>527.63992127483971</v>
      </c>
      <c r="G528" s="63">
        <f>VLOOKUP(C528,'RAW DATA 2023'!E:BO,58,0)</f>
        <v>150</v>
      </c>
      <c r="H528" s="390">
        <f>IFERROR((G528-F528)/G528,0)</f>
        <v>-2.5175994751655981</v>
      </c>
      <c r="I528" s="398">
        <f>IF(H528&lt;0,((0.25-(H528*(-1)))*$L$7),IF(H528&gt;0,(H528*$N$7)+$L$6,0))</f>
        <v>-120.93863867549857</v>
      </c>
      <c r="J528" s="73">
        <f>VLOOKUP(C528,'RAW DATA 2023'!E:AC,21,0)</f>
        <v>3.1501999999999999</v>
      </c>
      <c r="K528" s="398">
        <f>I528*J528</f>
        <v>-380.9808995555556</v>
      </c>
      <c r="R528" s="400"/>
    </row>
    <row r="529" spans="1:18">
      <c r="A529" s="63" t="str">
        <f>'RAW DATA 2023'!B905</f>
        <v>Ranode</v>
      </c>
      <c r="B529" s="63" t="str">
        <f>'RAW DATA 2023'!D905</f>
        <v>AG-093-0012</v>
      </c>
      <c r="C529" s="63" t="str">
        <f>A529&amp;B529</f>
        <v>RanodeAG-093-0012</v>
      </c>
      <c r="D529" s="63">
        <f>VLOOKUP(C529,'RAW DATA 2023'!E:BP,63,0)</f>
        <v>4</v>
      </c>
      <c r="E529" s="63" t="str">
        <f>A529&amp;D529</f>
        <v>Ranode4</v>
      </c>
      <c r="F529" s="389">
        <f>VLOOKUP(C529,'RAW DATA 2023'!E:BO,57,0)</f>
        <v>319.74101608378953</v>
      </c>
      <c r="G529" s="63">
        <f>VLOOKUP(C529,'RAW DATA 2023'!E:BO,58,0)</f>
        <v>163</v>
      </c>
      <c r="H529" s="390">
        <f>IFERROR((G529-F529)/G529,0)</f>
        <v>-0.9616013256674204</v>
      </c>
      <c r="I529" s="398">
        <f>IF(H529&lt;0,((0.25-(H529*(-1)))*$L$7),IF(H529&gt;0,(H529*$N$7)+$L$6,0))</f>
        <v>-37.952070702262425</v>
      </c>
      <c r="J529" s="73">
        <f>VLOOKUP(C529,'RAW DATA 2023'!E:AC,21,0)</f>
        <v>7.8501400000000006</v>
      </c>
      <c r="K529" s="398">
        <f>I529*J529</f>
        <v>-297.92906830265838</v>
      </c>
      <c r="R529" s="400"/>
    </row>
    <row r="530" spans="1:18">
      <c r="A530" s="63" t="str">
        <f>'RAW DATA 2023'!B901</f>
        <v>Ranode</v>
      </c>
      <c r="B530" s="63" t="str">
        <f>'RAW DATA 2023'!D901</f>
        <v>AG-091-0012</v>
      </c>
      <c r="C530" s="63" t="str">
        <f>A530&amp;B530</f>
        <v>RanodeAG-091-0012</v>
      </c>
      <c r="D530" s="63">
        <f>VLOOKUP(C530,'RAW DATA 2023'!E:BP,63,0)</f>
        <v>6</v>
      </c>
      <c r="E530" s="63" t="str">
        <f>A530&amp;D530</f>
        <v>Ranode6</v>
      </c>
      <c r="F530" s="389">
        <f>VLOOKUP(C530,'RAW DATA 2023'!E:BO,57,0)</f>
        <v>232.03013894219399</v>
      </c>
      <c r="G530" s="63">
        <f>VLOOKUP(C530,'RAW DATA 2023'!E:BO,58,0)</f>
        <v>210</v>
      </c>
      <c r="H530" s="390">
        <f>IFERROR((G530-F530)/G530,0)</f>
        <v>-0.10490542353425708</v>
      </c>
      <c r="I530" s="398">
        <f>IF(H530&lt;0,((0.25-(H530*(-1)))*$L$7),IF(H530&gt;0,(H530*$N$7)+$L$6,0))</f>
        <v>7.7383774115062893</v>
      </c>
      <c r="J530" s="73">
        <f>VLOOKUP(C530,'RAW DATA 2023'!E:AC,21,0)</f>
        <v>25.143549999999998</v>
      </c>
      <c r="K530" s="398">
        <f>I530*J530</f>
        <v>194.57027936507893</v>
      </c>
      <c r="R530" s="400"/>
    </row>
    <row r="531" spans="1:18">
      <c r="A531" s="63" t="str">
        <f>'RAW DATA 2023'!B902</f>
        <v>Ranode</v>
      </c>
      <c r="B531" s="63" t="str">
        <f>'RAW DATA 2023'!D902</f>
        <v>AG-090-0010</v>
      </c>
      <c r="C531" s="63" t="str">
        <f>A531&amp;B531</f>
        <v>RanodeAG-090-0010</v>
      </c>
      <c r="D531" s="63">
        <f>VLOOKUP(C531,'RAW DATA 2023'!E:BP,63,0)</f>
        <v>6</v>
      </c>
      <c r="E531" s="63" t="str">
        <f>A531&amp;D531</f>
        <v>Ranode6</v>
      </c>
      <c r="F531" s="389">
        <f>VLOOKUP(C531,'RAW DATA 2023'!E:BO,57,0)</f>
        <v>257.78986594552055</v>
      </c>
      <c r="G531" s="63">
        <f>VLOOKUP(C531,'RAW DATA 2023'!E:BO,58,0)</f>
        <v>219</v>
      </c>
      <c r="H531" s="390">
        <f>IFERROR((G531-F531)/G531,0)</f>
        <v>-0.17712267555032213</v>
      </c>
      <c r="I531" s="398">
        <f>IF(H531&lt;0,((0.25-(H531*(-1)))*$L$7),IF(H531&gt;0,(H531*$N$7)+$L$6,0))</f>
        <v>3.8867906373161532</v>
      </c>
      <c r="J531" s="73">
        <f>VLOOKUP(C531,'RAW DATA 2023'!E:AC,21,0)</f>
        <v>19.8203</v>
      </c>
      <c r="K531" s="398">
        <f>I531*J531</f>
        <v>77.037356468797356</v>
      </c>
      <c r="R531" s="400"/>
    </row>
    <row r="532" spans="1:18">
      <c r="A532" s="63" t="str">
        <f>'RAW DATA 2023'!B904</f>
        <v>Ranode</v>
      </c>
      <c r="B532" s="63" t="str">
        <f>'RAW DATA 2023'!D904</f>
        <v>AG-093-0013</v>
      </c>
      <c r="C532" s="63" t="str">
        <f>A532&amp;B532</f>
        <v>RanodeAG-093-0013</v>
      </c>
      <c r="D532" s="63">
        <f>VLOOKUP(C532,'RAW DATA 2023'!E:BP,63,0)</f>
        <v>6</v>
      </c>
      <c r="E532" s="63" t="str">
        <f>A532&amp;D532</f>
        <v>Ranode6</v>
      </c>
      <c r="F532" s="389">
        <f>VLOOKUP(C532,'RAW DATA 2023'!E:BO,57,0)</f>
        <v>240.43119414536764</v>
      </c>
      <c r="G532" s="63">
        <f>VLOOKUP(C532,'RAW DATA 2023'!E:BO,58,0)</f>
        <v>150</v>
      </c>
      <c r="H532" s="390">
        <f>IFERROR((G532-F532)/G532,0)</f>
        <v>-0.60287462763578425</v>
      </c>
      <c r="I532" s="398">
        <f>IF(H532&lt;0,((0.25-(H532*(-1)))*$L$7),IF(H532&gt;0,(H532*$N$7)+$L$6,0))</f>
        <v>-18.819980140575161</v>
      </c>
      <c r="J532" s="73">
        <f>VLOOKUP(C532,'RAW DATA 2023'!E:AC,21,0)</f>
        <v>11.059959999999998</v>
      </c>
      <c r="K532" s="398">
        <f>I532*J532</f>
        <v>-208.14822755555562</v>
      </c>
      <c r="R532" s="400"/>
    </row>
    <row r="533" spans="1:18">
      <c r="A533" s="63" t="str">
        <f>'RAW DATA 2023'!B909</f>
        <v>Ranode</v>
      </c>
      <c r="B533" s="63" t="str">
        <f>'RAW DATA 2023'!D909</f>
        <v>A1-015-0033</v>
      </c>
      <c r="C533" s="63" t="str">
        <f>A533&amp;B533</f>
        <v>RanodeA1-015-0033</v>
      </c>
      <c r="D533" s="63">
        <f>VLOOKUP(C533,'RAW DATA 2023'!E:BP,63,0)</f>
        <v>7</v>
      </c>
      <c r="E533" s="63" t="str">
        <f>A533&amp;D533</f>
        <v>Ranode7</v>
      </c>
      <c r="F533" s="389">
        <f>VLOOKUP(C533,'RAW DATA 2023'!E:BO,57,0)</f>
        <v>721.18538116993329</v>
      </c>
      <c r="G533" s="63">
        <f>VLOOKUP(C533,'RAW DATA 2023'!E:BO,58,0)</f>
        <v>150</v>
      </c>
      <c r="H533" s="390">
        <f>IFERROR((G533-F533)/G533,0)</f>
        <v>-3.8079025411328886</v>
      </c>
      <c r="I533" s="398">
        <f>IF(H533&lt;0,((0.25-(H533*(-1)))*$L$7),IF(H533&gt;0,(H533*$N$7)+$L$6,0))</f>
        <v>-189.75480219375407</v>
      </c>
      <c r="J533" s="73">
        <f>VLOOKUP(C533,'RAW DATA 2023'!E:AC,21,0)</f>
        <v>11.61844</v>
      </c>
      <c r="K533" s="398">
        <f>I533*J533</f>
        <v>-2204.6547839999998</v>
      </c>
      <c r="R533" s="400"/>
    </row>
    <row r="534" spans="1:18">
      <c r="A534" s="63" t="str">
        <f>'RAW DATA 2023'!B549</f>
        <v>Rayong3</v>
      </c>
      <c r="B534" s="63" t="str">
        <f>'RAW DATA 2023'!D549</f>
        <v>C1-005-0001</v>
      </c>
      <c r="C534" s="63" t="str">
        <f>A534&amp;B534</f>
        <v>Rayong3C1-005-0001</v>
      </c>
      <c r="D534" s="63">
        <f>VLOOKUP(C534,'RAW DATA 2023'!E:BP,63,0)</f>
        <v>12</v>
      </c>
      <c r="E534" s="63" t="str">
        <f>A534&amp;D534</f>
        <v>Rayong312</v>
      </c>
      <c r="F534" s="389">
        <f>VLOOKUP(C534,'RAW DATA 2023'!E:BO,57,0)</f>
        <v>208.22126044053752</v>
      </c>
      <c r="G534" s="63">
        <f>VLOOKUP(C534,'RAW DATA 2023'!E:BO,58,0)</f>
        <v>150</v>
      </c>
      <c r="H534" s="390">
        <f>IFERROR((G534-F534)/G534,0)</f>
        <v>-0.38814173627025012</v>
      </c>
      <c r="I534" s="398">
        <f>IF(H534&lt;0,((0.25-(H534*(-1)))*$L$7),IF(H534&gt;0,(H534*$N$7)+$L$6,0))</f>
        <v>-7.3675592677466728</v>
      </c>
      <c r="J534" s="73">
        <f>VLOOKUP(C534,'RAW DATA 2023'!E:AC,21,0)</f>
        <v>31.916460000000001</v>
      </c>
      <c r="K534" s="398">
        <f>I534*J534</f>
        <v>-235.14641066666599</v>
      </c>
      <c r="R534" s="400"/>
    </row>
    <row r="535" spans="1:18">
      <c r="A535" s="63" t="str">
        <f>'RAW DATA 2023'!B544</f>
        <v>Rayong3</v>
      </c>
      <c r="B535" s="63" t="str">
        <f>'RAW DATA 2023'!D544</f>
        <v>D1-047-0011</v>
      </c>
      <c r="C535" s="63" t="str">
        <f>A535&amp;B535</f>
        <v>Rayong3D1-047-0011</v>
      </c>
      <c r="D535" s="63">
        <f>VLOOKUP(C535,'RAW DATA 2023'!E:BP,63,0)</f>
        <v>2</v>
      </c>
      <c r="E535" s="63" t="str">
        <f>A535&amp;D535</f>
        <v>Rayong32</v>
      </c>
      <c r="F535" s="389">
        <f>VLOOKUP(C535,'RAW DATA 2023'!E:BO,57,0)</f>
        <v>165.37183387816421</v>
      </c>
      <c r="G535" s="63">
        <f>VLOOKUP(C535,'RAW DATA 2023'!E:BO,58,0)</f>
        <v>194</v>
      </c>
      <c r="H535" s="390">
        <f>IFERROR((G535-F535)/G535,0)</f>
        <v>0.14756786660740098</v>
      </c>
      <c r="I535" s="398">
        <f>IF(H535&lt;0,((0.25-(H535*(-1)))*$L$7),IF(H535&gt;0,(H535*$N$7)+$L$6,0))</f>
        <v>21.20361955239472</v>
      </c>
      <c r="J535" s="73">
        <f>VLOOKUP(C535,'RAW DATA 2023'!E:AC,21,0)</f>
        <v>21.19312</v>
      </c>
      <c r="K535" s="398">
        <f>I535*J535</f>
        <v>449.37085360824761</v>
      </c>
      <c r="R535" s="400"/>
    </row>
    <row r="536" spans="1:18">
      <c r="A536" s="63" t="str">
        <f>'RAW DATA 2023'!B545</f>
        <v>Rayong3</v>
      </c>
      <c r="B536" s="63" t="str">
        <f>'RAW DATA 2023'!D545</f>
        <v>D1-046-0011</v>
      </c>
      <c r="C536" s="63" t="str">
        <f>A536&amp;B536</f>
        <v>Rayong3D1-046-0011</v>
      </c>
      <c r="D536" s="63">
        <f>VLOOKUP(C536,'RAW DATA 2023'!E:BP,63,0)</f>
        <v>3</v>
      </c>
      <c r="E536" s="63" t="str">
        <f>A536&amp;D536</f>
        <v>Rayong33</v>
      </c>
      <c r="F536" s="389">
        <f>VLOOKUP(C536,'RAW DATA 2023'!E:BO,57,0)</f>
        <v>183.91908003871453</v>
      </c>
      <c r="G536" s="63">
        <f>VLOOKUP(C536,'RAW DATA 2023'!E:BO,58,0)</f>
        <v>200</v>
      </c>
      <c r="H536" s="390">
        <f>IFERROR((G536-F536)/G536,0)</f>
        <v>8.0404599806427376E-2</v>
      </c>
      <c r="I536" s="398">
        <f>IF(H536&lt;0,((0.25-(H536*(-1)))*$L$7),IF(H536&gt;0,(H536*$N$7)+$L$6,0))</f>
        <v>17.621578656342795</v>
      </c>
      <c r="J536" s="73">
        <f>VLOOKUP(C536,'RAW DATA 2023'!E:AC,21,0)</f>
        <v>20.550429999999999</v>
      </c>
      <c r="K536" s="398">
        <f>I536*J536</f>
        <v>362.13101866666665</v>
      </c>
      <c r="R536" s="400"/>
    </row>
    <row r="537" spans="1:18">
      <c r="A537" s="63" t="str">
        <f>'RAW DATA 2023'!B546</f>
        <v>Rayong3</v>
      </c>
      <c r="B537" s="63" t="str">
        <f>'RAW DATA 2023'!D546</f>
        <v>D1-030-0016</v>
      </c>
      <c r="C537" s="63" t="str">
        <f>A537&amp;B537</f>
        <v>Rayong3D1-030-0016</v>
      </c>
      <c r="D537" s="63">
        <f>VLOOKUP(C537,'RAW DATA 2023'!E:BP,63,0)</f>
        <v>3</v>
      </c>
      <c r="E537" s="63" t="str">
        <f>A537&amp;D537</f>
        <v>Rayong33</v>
      </c>
      <c r="F537" s="389">
        <f>VLOOKUP(C537,'RAW DATA 2023'!E:BO,57,0)</f>
        <v>233.3300629653896</v>
      </c>
      <c r="G537" s="63">
        <f>VLOOKUP(C537,'RAW DATA 2023'!E:BO,58,0)</f>
        <v>210</v>
      </c>
      <c r="H537" s="390">
        <f>IFERROR((G537-F537)/G537,0)</f>
        <v>-0.11109553793042667</v>
      </c>
      <c r="I537" s="398">
        <f>IF(H537&lt;0,((0.25-(H537*(-1)))*$L$7),IF(H537&gt;0,(H537*$N$7)+$L$6,0))</f>
        <v>7.4082379770439113</v>
      </c>
      <c r="J537" s="73">
        <f>VLOOKUP(C537,'RAW DATA 2023'!E:AC,21,0)</f>
        <v>54.518839999999997</v>
      </c>
      <c r="K537" s="398">
        <f>I537*J537</f>
        <v>403.88854095238065</v>
      </c>
      <c r="R537" s="400"/>
    </row>
    <row r="538" spans="1:18">
      <c r="A538" s="63" t="str">
        <f>'RAW DATA 2023'!B554</f>
        <v>Rayong3</v>
      </c>
      <c r="B538" s="63" t="str">
        <f>'RAW DATA 2023'!D554</f>
        <v>A1-044-0012</v>
      </c>
      <c r="C538" s="63" t="str">
        <f>A538&amp;B538</f>
        <v>Rayong3A1-044-0012</v>
      </c>
      <c r="D538" s="63">
        <f>VLOOKUP(C538,'RAW DATA 2023'!E:BP,63,0)</f>
        <v>3</v>
      </c>
      <c r="E538" s="63" t="str">
        <f>A538&amp;D538</f>
        <v>Rayong33</v>
      </c>
      <c r="F538" s="389">
        <f>VLOOKUP(C538,'RAW DATA 2023'!E:BO,57,0)</f>
        <v>316.03681618948423</v>
      </c>
      <c r="G538" s="63">
        <f>VLOOKUP(C538,'RAW DATA 2023'!E:BO,58,0)</f>
        <v>214</v>
      </c>
      <c r="H538" s="390">
        <f>IFERROR((G538-F538)/G538,0)</f>
        <v>-0.47680755228730948</v>
      </c>
      <c r="I538" s="398">
        <f>IF(H538&lt;0,((0.25-(H538*(-1)))*$L$7),IF(H538&gt;0,(H538*$N$7)+$L$6,0))</f>
        <v>-12.096402788656507</v>
      </c>
      <c r="J538" s="73">
        <f>VLOOKUP(C538,'RAW DATA 2023'!E:AC,21,0)</f>
        <v>14.939080000000001</v>
      </c>
      <c r="K538" s="398">
        <f>I538*J538</f>
        <v>-180.70912897196266</v>
      </c>
      <c r="R538" s="400"/>
    </row>
    <row r="539" spans="1:18">
      <c r="A539" s="63" t="str">
        <f>'RAW DATA 2023'!B556</f>
        <v>Rayong3</v>
      </c>
      <c r="B539" s="63" t="str">
        <f>'RAW DATA 2023'!D556</f>
        <v>A1-043-0009</v>
      </c>
      <c r="C539" s="63" t="str">
        <f>A539&amp;B539</f>
        <v>Rayong3A1-043-0009</v>
      </c>
      <c r="D539" s="63">
        <f>VLOOKUP(C539,'RAW DATA 2023'!E:BP,63,0)</f>
        <v>3</v>
      </c>
      <c r="E539" s="63" t="str">
        <f>A539&amp;D539</f>
        <v>Rayong33</v>
      </c>
      <c r="F539" s="389">
        <f>VLOOKUP(C539,'RAW DATA 2023'!E:BO,57,0)</f>
        <v>236.40049003037518</v>
      </c>
      <c r="G539" s="63">
        <f>VLOOKUP(C539,'RAW DATA 2023'!E:BO,58,0)</f>
        <v>214</v>
      </c>
      <c r="H539" s="390">
        <f>IFERROR((G539-F539)/G539,0)</f>
        <v>-0.10467518705782795</v>
      </c>
      <c r="I539" s="398">
        <f>IF(H539&lt;0,((0.25-(H539*(-1)))*$L$7),IF(H539&gt;0,(H539*$N$7)+$L$6,0))</f>
        <v>7.7506566902491754</v>
      </c>
      <c r="J539" s="73">
        <f>VLOOKUP(C539,'RAW DATA 2023'!E:AC,21,0)</f>
        <v>20.85585</v>
      </c>
      <c r="K539" s="398">
        <f>I539*J539</f>
        <v>161.64653333333325</v>
      </c>
      <c r="R539" s="400"/>
    </row>
    <row r="540" spans="1:18">
      <c r="A540" s="63" t="str">
        <f>'RAW DATA 2023'!B543</f>
        <v>Rayong3</v>
      </c>
      <c r="B540" s="63" t="str">
        <f>'RAW DATA 2023'!D543</f>
        <v>D1-031-0041</v>
      </c>
      <c r="C540" s="63" t="str">
        <f>A540&amp;B540</f>
        <v>Rayong3D1-031-0041</v>
      </c>
      <c r="D540" s="63">
        <f>VLOOKUP(C540,'RAW DATA 2023'!E:BP,63,0)</f>
        <v>4</v>
      </c>
      <c r="E540" s="63" t="str">
        <f>A540&amp;D540</f>
        <v>Rayong34</v>
      </c>
      <c r="F540" s="389">
        <f>VLOOKUP(C540,'RAW DATA 2023'!E:BO,57,0)</f>
        <v>203.30474776416918</v>
      </c>
      <c r="G540" s="63">
        <f>VLOOKUP(C540,'RAW DATA 2023'!E:BO,58,0)</f>
        <v>210</v>
      </c>
      <c r="H540" s="390">
        <f>IFERROR((G540-F540)/G540,0)</f>
        <v>3.188215350395629E-2</v>
      </c>
      <c r="I540" s="398">
        <f>IF(H540&lt;0,((0.25-(H540*(-1)))*$L$7),IF(H540&gt;0,(H540*$N$7)+$L$6,0))</f>
        <v>15.033714853544335</v>
      </c>
      <c r="J540" s="73">
        <f>VLOOKUP(C540,'RAW DATA 2023'!E:AC,21,0)</f>
        <v>63.309800000000003</v>
      </c>
      <c r="K540" s="398">
        <f>I540*J540</f>
        <v>951.78148063492119</v>
      </c>
      <c r="R540" s="400"/>
    </row>
    <row r="541" spans="1:18">
      <c r="A541" s="63" t="str">
        <f>'RAW DATA 2023'!B553</f>
        <v>Rayong3</v>
      </c>
      <c r="B541" s="63" t="str">
        <f>'RAW DATA 2023'!D553</f>
        <v>A1-023-0031</v>
      </c>
      <c r="C541" s="63" t="str">
        <f>A541&amp;B541</f>
        <v>Rayong3A1-023-0031</v>
      </c>
      <c r="D541" s="63">
        <f>VLOOKUP(C541,'RAW DATA 2023'!E:BP,63,0)</f>
        <v>4</v>
      </c>
      <c r="E541" s="63" t="str">
        <f>A541&amp;D541</f>
        <v>Rayong34</v>
      </c>
      <c r="F541" s="389">
        <f>VLOOKUP(C541,'RAW DATA 2023'!E:BO,57,0)</f>
        <v>278.73074290704938</v>
      </c>
      <c r="G541" s="63">
        <f>VLOOKUP(C541,'RAW DATA 2023'!E:BO,58,0)</f>
        <v>219</v>
      </c>
      <c r="H541" s="390">
        <f>IFERROR((G541-F541)/G541,0)</f>
        <v>-0.27274311829702913</v>
      </c>
      <c r="I541" s="398">
        <f>IF(H541&lt;0,((0.25-(H541*(-1)))*$L$7),IF(H541&gt;0,(H541*$N$7)+$L$6,0))</f>
        <v>-1.212966309174887</v>
      </c>
      <c r="J541" s="73">
        <f>VLOOKUP(C541,'RAW DATA 2023'!E:AC,21,0)</f>
        <v>47.631800000000005</v>
      </c>
      <c r="K541" s="398">
        <f>I541*J541</f>
        <v>-57.775768645356393</v>
      </c>
      <c r="R541" s="400"/>
    </row>
    <row r="542" spans="1:18">
      <c r="A542" s="63" t="str">
        <f>'RAW DATA 2023'!B555</f>
        <v>Rayong3</v>
      </c>
      <c r="B542" s="63" t="str">
        <f>'RAW DATA 2023'!D555</f>
        <v>A1-045-0009</v>
      </c>
      <c r="C542" s="63" t="str">
        <f>A542&amp;B542</f>
        <v>Rayong3A1-045-0009</v>
      </c>
      <c r="D542" s="63">
        <f>VLOOKUP(C542,'RAW DATA 2023'!E:BP,63,0)</f>
        <v>4</v>
      </c>
      <c r="E542" s="63" t="str">
        <f>A542&amp;D542</f>
        <v>Rayong34</v>
      </c>
      <c r="F542" s="389">
        <f>VLOOKUP(C542,'RAW DATA 2023'!E:BO,57,0)</f>
        <v>319.29533631613646</v>
      </c>
      <c r="G542" s="63">
        <f>VLOOKUP(C542,'RAW DATA 2023'!E:BO,58,0)</f>
        <v>214</v>
      </c>
      <c r="H542" s="390">
        <f>IFERROR((G542-F542)/G542,0)</f>
        <v>-0.49203428185110493</v>
      </c>
      <c r="I542" s="398">
        <f>IF(H542&lt;0,((0.25-(H542*(-1)))*$L$7),IF(H542&gt;0,(H542*$N$7)+$L$6,0))</f>
        <v>-12.90849503205893</v>
      </c>
      <c r="J542" s="73">
        <f>VLOOKUP(C542,'RAW DATA 2023'!E:AC,21,0)</f>
        <v>15.716760000000001</v>
      </c>
      <c r="K542" s="398">
        <f>I542*J542</f>
        <v>-202.87971838006251</v>
      </c>
      <c r="R542" s="400"/>
    </row>
    <row r="543" spans="1:18">
      <c r="A543" s="63" t="str">
        <f>'RAW DATA 2023'!B548</f>
        <v>Rayong3</v>
      </c>
      <c r="B543" s="63" t="str">
        <f>'RAW DATA 2023'!D548</f>
        <v>C1-016-0037</v>
      </c>
      <c r="C543" s="63" t="str">
        <f>A543&amp;B543</f>
        <v>Rayong3C1-016-0037</v>
      </c>
      <c r="D543" s="63">
        <f>VLOOKUP(C543,'RAW DATA 2023'!E:BP,63,0)</f>
        <v>5</v>
      </c>
      <c r="E543" s="63" t="str">
        <f>A543&amp;D543</f>
        <v>Rayong35</v>
      </c>
      <c r="F543" s="389">
        <f>VLOOKUP(C543,'RAW DATA 2023'!E:BO,57,0)</f>
        <v>181.43946063411701</v>
      </c>
      <c r="G543" s="63">
        <f>VLOOKUP(C543,'RAW DATA 2023'!E:BO,58,0)</f>
        <v>191</v>
      </c>
      <c r="H543" s="390">
        <f>IFERROR((G543-F543)/G543,0)</f>
        <v>5.0055179926088947E-2</v>
      </c>
      <c r="I543" s="398">
        <f>IF(H543&lt;0,((0.25-(H543*(-1)))*$L$7),IF(H543&gt;0,(H543*$N$7)+$L$6,0))</f>
        <v>16.002942929391413</v>
      </c>
      <c r="J543" s="73">
        <f>VLOOKUP(C543,'RAW DATA 2023'!E:AC,21,0)</f>
        <v>100.50542999999999</v>
      </c>
      <c r="K543" s="398">
        <f>I543*J543</f>
        <v>1608.3826603839434</v>
      </c>
      <c r="R543" s="400"/>
    </row>
    <row r="544" spans="1:18">
      <c r="A544" s="63" t="str">
        <f>'RAW DATA 2023'!B542</f>
        <v>Rayong3</v>
      </c>
      <c r="B544" s="63" t="str">
        <f>'RAW DATA 2023'!D542</f>
        <v>D1-030-0017</v>
      </c>
      <c r="C544" s="63" t="str">
        <f>A544&amp;B544</f>
        <v>Rayong3D1-030-0017</v>
      </c>
      <c r="D544" s="63">
        <f>VLOOKUP(C544,'RAW DATA 2023'!E:BP,63,0)</f>
        <v>8</v>
      </c>
      <c r="E544" s="63" t="str">
        <f>A544&amp;D544</f>
        <v>Rayong38</v>
      </c>
      <c r="F544" s="389">
        <f>VLOOKUP(C544,'RAW DATA 2023'!E:BO,57,0)</f>
        <v>176.13061802438745</v>
      </c>
      <c r="G544" s="63">
        <f>VLOOKUP(C544,'RAW DATA 2023'!E:BO,58,0)</f>
        <v>200</v>
      </c>
      <c r="H544" s="390">
        <f>IFERROR((G544-F544)/G544,0)</f>
        <v>0.11934690987806278</v>
      </c>
      <c r="I544" s="398">
        <f>IF(H544&lt;0,((0.25-(H544*(-1)))*$L$7),IF(H544&gt;0,(H544*$N$7)+$L$6,0))</f>
        <v>19.698501860163347</v>
      </c>
      <c r="J544" s="73">
        <f>VLOOKUP(C544,'RAW DATA 2023'!E:AC,21,0)</f>
        <v>98.010210000000001</v>
      </c>
      <c r="K544" s="398">
        <f>I544*J544</f>
        <v>1930.6543040000004</v>
      </c>
      <c r="R544" s="400"/>
    </row>
    <row r="545" spans="1:18">
      <c r="A545" s="63" t="str">
        <f>'RAW DATA 2023'!B547</f>
        <v>Rayong3</v>
      </c>
      <c r="B545" s="63" t="str">
        <f>'RAW DATA 2023'!D547</f>
        <v>D1-031-0042</v>
      </c>
      <c r="C545" s="63" t="str">
        <f>A545&amp;B545</f>
        <v>Rayong3D1-031-0042</v>
      </c>
      <c r="D545" s="63">
        <f>VLOOKUP(C545,'RAW DATA 2023'!E:BP,63,0)</f>
        <v>8</v>
      </c>
      <c r="E545" s="63" t="str">
        <f>A545&amp;D545</f>
        <v>Rayong38</v>
      </c>
      <c r="F545" s="389">
        <f>VLOOKUP(C545,'RAW DATA 2023'!E:BO,57,0)</f>
        <v>245.24140224506229</v>
      </c>
      <c r="G545" s="63">
        <f>VLOOKUP(C545,'RAW DATA 2023'!E:BO,58,0)</f>
        <v>150</v>
      </c>
      <c r="H545" s="397">
        <f>IFERROR((G545-F545)/G545,0)</f>
        <v>-0.63494268163374856</v>
      </c>
      <c r="I545" s="398">
        <f>IF(H545&lt;0,((0.25-(H545*(-1)))*$L$7),IF(H545&gt;0,(H545*$N$7)+$L$6,0))</f>
        <v>-20.530276353799923</v>
      </c>
      <c r="J545" s="73">
        <f>VLOOKUP(C545,'RAW DATA 2023'!E:AC,21,0)</f>
        <v>26.010860000000001</v>
      </c>
      <c r="K545" s="398">
        <f>I545*J545</f>
        <v>-534.01014400000031</v>
      </c>
      <c r="R545" s="400"/>
    </row>
    <row r="546" spans="1:18">
      <c r="A546" s="63" t="str">
        <f>'RAW DATA 2023'!B550</f>
        <v>Rayong3</v>
      </c>
      <c r="B546" s="63" t="str">
        <f>'RAW DATA 2023'!D550</f>
        <v>C1-016-0038</v>
      </c>
      <c r="C546" s="63" t="str">
        <f>A546&amp;B546</f>
        <v>Rayong3C1-016-0038</v>
      </c>
      <c r="D546" s="63">
        <f>VLOOKUP(C546,'RAW DATA 2023'!E:BP,63,0)</f>
        <v>8</v>
      </c>
      <c r="E546" s="63" t="str">
        <f>A546&amp;D546</f>
        <v>Rayong38</v>
      </c>
      <c r="F546" s="389">
        <f>VLOOKUP(C546,'RAW DATA 2023'!E:BO,57,0)</f>
        <v>275.51475580339985</v>
      </c>
      <c r="G546" s="63">
        <f>VLOOKUP(C546,'RAW DATA 2023'!E:BO,58,0)</f>
        <v>150</v>
      </c>
      <c r="H546" s="390">
        <f>IFERROR((G546-F546)/G546,0)</f>
        <v>-0.83676503868933239</v>
      </c>
      <c r="I546" s="398">
        <f>IF(H546&lt;0,((0.25-(H546*(-1)))*$L$7),IF(H546&gt;0,(H546*$N$7)+$L$6,0))</f>
        <v>-31.294135396764396</v>
      </c>
      <c r="J546" s="73">
        <f>VLOOKUP(C546,'RAW DATA 2023'!E:AC,21,0)</f>
        <v>30.574750000000002</v>
      </c>
      <c r="K546" s="398">
        <f>I546*J546</f>
        <v>-956.81036622222223</v>
      </c>
      <c r="R546" s="400"/>
    </row>
    <row r="547" spans="1:18">
      <c r="A547" s="63" t="str">
        <f>'RAW DATA 2023'!B551</f>
        <v>Rayong3</v>
      </c>
      <c r="B547" s="63" t="str">
        <f>'RAW DATA 2023'!D551</f>
        <v>A1-042-0009</v>
      </c>
      <c r="C547" s="63" t="str">
        <f>A547&amp;B547</f>
        <v>Rayong3A1-042-0009</v>
      </c>
      <c r="D547" s="63">
        <f>VLOOKUP(C547,'RAW DATA 2023'!E:BP,63,0)</f>
        <v>8</v>
      </c>
      <c r="E547" s="63" t="str">
        <f>A547&amp;D547</f>
        <v>Rayong38</v>
      </c>
      <c r="F547" s="389">
        <f>VLOOKUP(C547,'RAW DATA 2023'!E:BO,57,0)</f>
        <v>209.18592467822225</v>
      </c>
      <c r="G547" s="63">
        <f>VLOOKUP(C547,'RAW DATA 2023'!E:BO,58,0)</f>
        <v>192</v>
      </c>
      <c r="H547" s="390">
        <f>IFERROR((G547-F547)/G547,0)</f>
        <v>-8.9510024365740889E-2</v>
      </c>
      <c r="I547" s="398">
        <f>IF(H547&lt;0,((0.25-(H547*(-1)))*$L$7),IF(H547&gt;0,(H547*$N$7)+$L$6,0))</f>
        <v>8.5594653671604863</v>
      </c>
      <c r="J547" s="73">
        <f>VLOOKUP(C547,'RAW DATA 2023'!E:AC,21,0)</f>
        <v>22.678699999999999</v>
      </c>
      <c r="K547" s="398">
        <f>I547*J547</f>
        <v>194.11754722222253</v>
      </c>
      <c r="R547" s="400"/>
    </row>
    <row r="548" spans="1:18">
      <c r="A548" s="63" t="str">
        <f>'RAW DATA 2023'!B552</f>
        <v>Rayong3</v>
      </c>
      <c r="B548" s="63" t="str">
        <f>'RAW DATA 2023'!D552</f>
        <v>A1-005-0028</v>
      </c>
      <c r="C548" s="63" t="str">
        <f>A548&amp;B548</f>
        <v>Rayong3A1-005-0028</v>
      </c>
      <c r="D548" s="63">
        <f>VLOOKUP(C548,'RAW DATA 2023'!E:BP,63,0)</f>
        <v>8</v>
      </c>
      <c r="E548" s="63" t="str">
        <f>A548&amp;D548</f>
        <v>Rayong38</v>
      </c>
      <c r="F548" s="389">
        <f>VLOOKUP(C548,'RAW DATA 2023'!E:BO,57,0)</f>
        <v>211.00328801992438</v>
      </c>
      <c r="G548" s="63">
        <f>VLOOKUP(C548,'RAW DATA 2023'!E:BO,58,0)</f>
        <v>150</v>
      </c>
      <c r="H548" s="390">
        <f>IFERROR((G548-F548)/G548,0)</f>
        <v>-0.40668858679949588</v>
      </c>
      <c r="I548" s="398">
        <f>IF(H548&lt;0,((0.25-(H548*(-1)))*$L$7),IF(H548&gt;0,(H548*$N$7)+$L$6,0))</f>
        <v>-8.3567246293064468</v>
      </c>
      <c r="J548" s="73">
        <f>VLOOKUP(C548,'RAW DATA 2023'!E:AC,21,0)</f>
        <v>33.330089999999998</v>
      </c>
      <c r="K548" s="398">
        <f>I548*J548</f>
        <v>-278.53038400000048</v>
      </c>
      <c r="R548" s="400"/>
    </row>
    <row r="549" spans="1:18">
      <c r="A549" s="63" t="str">
        <f>'RAW DATA 2023'!B110</f>
        <v>Roiphet1</v>
      </c>
      <c r="B549" s="63" t="str">
        <f>'RAW DATA 2023'!D110</f>
        <v>D1-I02-0088</v>
      </c>
      <c r="C549" s="63" t="str">
        <f>A549&amp;B549</f>
        <v>Roiphet1D1-I02-0088</v>
      </c>
      <c r="D549" s="63">
        <f>VLOOKUP(C549,'RAW DATA 2023'!E:BP,63,0)</f>
        <v>1</v>
      </c>
      <c r="E549" s="63" t="str">
        <f>A549&amp;D549</f>
        <v>Roiphet11</v>
      </c>
      <c r="F549" s="389">
        <f>VLOOKUP(C549,'RAW DATA 2023'!E:BO,57,0)</f>
        <v>203.53774864923798</v>
      </c>
      <c r="G549" s="63">
        <f>VLOOKUP(C549,'RAW DATA 2023'!E:BO,58,0)</f>
        <v>182</v>
      </c>
      <c r="H549" s="397">
        <f>IFERROR((G549-F549)/G549,0)</f>
        <v>-0.11833927829251639</v>
      </c>
      <c r="I549" s="398">
        <f>IF(H549&lt;0,((0.25-(H549*(-1)))*$L$7),IF(H549&gt;0,(H549*$N$7)+$L$6,0))</f>
        <v>7.0219051577324594</v>
      </c>
      <c r="J549" s="73">
        <f>VLOOKUP(C549,'RAW DATA 2023'!E:AC,21,0)</f>
        <v>4.1273</v>
      </c>
      <c r="K549" s="398">
        <f>I549*J549</f>
        <v>28.98150915750918</v>
      </c>
      <c r="R549" s="400"/>
    </row>
    <row r="550" spans="1:18">
      <c r="A550" s="63" t="str">
        <f>'RAW DATA 2023'!B134</f>
        <v>Roiphet1</v>
      </c>
      <c r="B550" s="63" t="str">
        <f>'RAW DATA 2023'!D134</f>
        <v>D4-I08-0070</v>
      </c>
      <c r="C550" s="63" t="str">
        <f>A550&amp;B550</f>
        <v>Roiphet1D4-I08-0070</v>
      </c>
      <c r="D550" s="63">
        <f>VLOOKUP(C550,'RAW DATA 2023'!E:BP,63,0)</f>
        <v>1</v>
      </c>
      <c r="E550" s="63" t="str">
        <f>A550&amp;D550</f>
        <v>Roiphet11</v>
      </c>
      <c r="F550" s="389">
        <f>VLOOKUP(C550,'RAW DATA 2023'!E:BO,57,0)</f>
        <v>195.86730353850203</v>
      </c>
      <c r="G550" s="63">
        <f>VLOOKUP(C550,'RAW DATA 2023'!E:BO,58,0)</f>
        <v>184</v>
      </c>
      <c r="H550" s="390">
        <f>IFERROR((G550-F550)/G550,0)</f>
        <v>-6.4496214883163192E-2</v>
      </c>
      <c r="I550" s="398">
        <f>IF(H550&lt;0,((0.25-(H550*(-1)))*$L$7),IF(H550&gt;0,(H550*$N$7)+$L$6,0))</f>
        <v>9.8935352062312969</v>
      </c>
      <c r="J550" s="73">
        <f>VLOOKUP(C550,'RAW DATA 2023'!E:AC,21,0)</f>
        <v>5.6944999999999997</v>
      </c>
      <c r="K550" s="398">
        <f>I550*J550</f>
        <v>56.33873623188412</v>
      </c>
      <c r="R550" s="400"/>
    </row>
    <row r="551" spans="1:18">
      <c r="A551" s="63" t="str">
        <f>'RAW DATA 2023'!B135</f>
        <v>Roiphet1</v>
      </c>
      <c r="B551" s="63" t="str">
        <f>'RAW DATA 2023'!D135</f>
        <v>D4-I07-0075</v>
      </c>
      <c r="C551" s="63" t="str">
        <f>A551&amp;B551</f>
        <v>Roiphet1D4-I07-0075</v>
      </c>
      <c r="D551" s="63">
        <f>VLOOKUP(C551,'RAW DATA 2023'!E:BP,63,0)</f>
        <v>1</v>
      </c>
      <c r="E551" s="63" t="str">
        <f>A551&amp;D551</f>
        <v>Roiphet11</v>
      </c>
      <c r="F551" s="389">
        <f>VLOOKUP(C551,'RAW DATA 2023'!E:BO,57,0)</f>
        <v>277.46657196895376</v>
      </c>
      <c r="G551" s="63">
        <f>VLOOKUP(C551,'RAW DATA 2023'!E:BO,58,0)</f>
        <v>184</v>
      </c>
      <c r="H551" s="390">
        <f>IFERROR((G551-F551)/G551,0)</f>
        <v>-0.50797049983127041</v>
      </c>
      <c r="I551" s="398">
        <f>IF(H551&lt;0,((0.25-(H551*(-1)))*$L$7),IF(H551&gt;0,(H551*$N$7)+$L$6,0))</f>
        <v>-13.758426657667755</v>
      </c>
      <c r="J551" s="73">
        <f>VLOOKUP(C551,'RAW DATA 2023'!E:AC,21,0)</f>
        <v>3.8226900000000001</v>
      </c>
      <c r="K551" s="398">
        <f>I551*J551</f>
        <v>-52.594199999999951</v>
      </c>
      <c r="R551" s="400"/>
    </row>
    <row r="552" spans="1:18">
      <c r="A552" s="63" t="str">
        <f>'RAW DATA 2023'!B136</f>
        <v>Roiphet1</v>
      </c>
      <c r="B552" s="63" t="str">
        <f>'RAW DATA 2023'!D136</f>
        <v>D4-G08-0058</v>
      </c>
      <c r="C552" s="63" t="str">
        <f>A552&amp;B552</f>
        <v>Roiphet1D4-G08-0058</v>
      </c>
      <c r="D552" s="63">
        <f>VLOOKUP(C552,'RAW DATA 2023'!E:BP,63,0)</f>
        <v>1</v>
      </c>
      <c r="E552" s="63" t="str">
        <f>A552&amp;D552</f>
        <v>Roiphet11</v>
      </c>
      <c r="F552" s="389">
        <f>VLOOKUP(C552,'RAW DATA 2023'!E:BO,57,0)</f>
        <v>277.75877069376975</v>
      </c>
      <c r="G552" s="63">
        <f>VLOOKUP(C552,'RAW DATA 2023'!E:BO,58,0)</f>
        <v>169</v>
      </c>
      <c r="H552" s="390">
        <f>IFERROR((G552-F552)/G552,0)</f>
        <v>-0.64354302185662571</v>
      </c>
      <c r="I552" s="398">
        <f>IF(H552&lt;0,((0.25-(H552*(-1)))*$L$7),IF(H552&gt;0,(H552*$N$7)+$L$6,0))</f>
        <v>-20.988961165686707</v>
      </c>
      <c r="J552" s="73">
        <f>VLOOKUP(C552,'RAW DATA 2023'!E:AC,21,0)</f>
        <v>7.7354200000000004</v>
      </c>
      <c r="K552" s="398">
        <f>I552*J552</f>
        <v>-162.35842998027627</v>
      </c>
      <c r="R552" s="400"/>
    </row>
    <row r="553" spans="1:18">
      <c r="A553" s="63" t="str">
        <f>'RAW DATA 2023'!B147</f>
        <v>Roiphet1</v>
      </c>
      <c r="B553" s="63" t="str">
        <f>'RAW DATA 2023'!D147</f>
        <v>A1-I01-0087</v>
      </c>
      <c r="C553" s="63" t="str">
        <f>A553&amp;B553</f>
        <v>Roiphet1A1-I01-0087</v>
      </c>
      <c r="D553" s="63">
        <f>VLOOKUP(C553,'RAW DATA 2023'!E:BP,63,0)</f>
        <v>1</v>
      </c>
      <c r="E553" s="63" t="str">
        <f>A553&amp;D553</f>
        <v>Roiphet11</v>
      </c>
      <c r="F553" s="389">
        <f>VLOOKUP(C553,'RAW DATA 2023'!E:BO,57,0)</f>
        <v>437.6448309645977</v>
      </c>
      <c r="G553" s="63">
        <f>VLOOKUP(C553,'RAW DATA 2023'!E:BO,58,0)</f>
        <v>186</v>
      </c>
      <c r="H553" s="390">
        <f>IFERROR((G553-F553)/G553,0)</f>
        <v>-1.3529291987343963</v>
      </c>
      <c r="I553" s="398">
        <f>IF(H553&lt;0,((0.25-(H553*(-1)))*$L$7),IF(H553&gt;0,(H553*$N$7)+$L$6,0))</f>
        <v>-58.822890599167806</v>
      </c>
      <c r="J553" s="73">
        <f>VLOOKUP(C553,'RAW DATA 2023'!E:AC,21,0)</f>
        <v>3.1845400000000001</v>
      </c>
      <c r="K553" s="398">
        <f>I553*J553</f>
        <v>-187.32384802867386</v>
      </c>
      <c r="R553" s="400"/>
    </row>
    <row r="554" spans="1:18">
      <c r="A554" s="63" t="str">
        <f>'RAW DATA 2023'!B160</f>
        <v>Roiphet1</v>
      </c>
      <c r="B554" s="63" t="str">
        <f>'RAW DATA 2023'!D160</f>
        <v>A3-I05-0083</v>
      </c>
      <c r="C554" s="63" t="str">
        <f>A554&amp;B554</f>
        <v>Roiphet1A3-I05-0083</v>
      </c>
      <c r="D554" s="63">
        <f>VLOOKUP(C554,'RAW DATA 2023'!E:BP,63,0)</f>
        <v>1</v>
      </c>
      <c r="E554" s="63" t="str">
        <f>A554&amp;D554</f>
        <v>Roiphet11</v>
      </c>
      <c r="F554" s="389">
        <f>VLOOKUP(C554,'RAW DATA 2023'!E:BO,57,0)</f>
        <v>334.36577969852664</v>
      </c>
      <c r="G554" s="63">
        <f>VLOOKUP(C554,'RAW DATA 2023'!E:BO,58,0)</f>
        <v>184</v>
      </c>
      <c r="H554" s="397">
        <f>IFERROR((G554-F554)/G554,0)</f>
        <v>-0.81720532444851435</v>
      </c>
      <c r="I554" s="398">
        <f>IF(H554&lt;0,((0.25-(H554*(-1)))*$L$7),IF(H554&gt;0,(H554*$N$7)+$L$6,0))</f>
        <v>-30.2509506372541</v>
      </c>
      <c r="J554" s="73">
        <f>VLOOKUP(C554,'RAW DATA 2023'!E:AC,21,0)</f>
        <v>3.0636199999999998</v>
      </c>
      <c r="K554" s="398">
        <f>I554*J554</f>
        <v>-92.677417391304402</v>
      </c>
      <c r="R554" s="400"/>
    </row>
    <row r="555" spans="1:18">
      <c r="A555" s="63" t="str">
        <f>'RAW DATA 2023'!B168</f>
        <v>Roiphet1</v>
      </c>
      <c r="B555" s="63" t="str">
        <f>'RAW DATA 2023'!D168</f>
        <v>A1-G01-0062</v>
      </c>
      <c r="C555" s="63" t="str">
        <f>A555&amp;B555</f>
        <v>Roiphet1A1-G01-0062</v>
      </c>
      <c r="D555" s="63">
        <f>VLOOKUP(C555,'RAW DATA 2023'!E:BP,63,0)</f>
        <v>1</v>
      </c>
      <c r="E555" s="63" t="str">
        <f>A555&amp;D555</f>
        <v>Roiphet11</v>
      </c>
      <c r="F555" s="389">
        <f>VLOOKUP(C555,'RAW DATA 2023'!E:BO,57,0)</f>
        <v>410.64789409025065</v>
      </c>
      <c r="G555" s="63">
        <f>VLOOKUP(C555,'RAW DATA 2023'!E:BO,58,0)</f>
        <v>183</v>
      </c>
      <c r="H555" s="397">
        <f>IFERROR((G555-F555)/G555,0)</f>
        <v>-1.243977563334703</v>
      </c>
      <c r="I555" s="398">
        <f>IF(H555&lt;0,((0.25-(H555*(-1)))*$L$7),IF(H555&gt;0,(H555*$N$7)+$L$6,0))</f>
        <v>-53.012136711184162</v>
      </c>
      <c r="J555" s="73">
        <f>VLOOKUP(C555,'RAW DATA 2023'!E:AC,21,0)</f>
        <v>5.4536999999999995</v>
      </c>
      <c r="K555" s="398">
        <f>I555*J555</f>
        <v>-289.11228998178507</v>
      </c>
      <c r="R555" s="400"/>
    </row>
    <row r="556" spans="1:18">
      <c r="A556" s="63" t="str">
        <f>'RAW DATA 2023'!B170</f>
        <v>Roiphet1</v>
      </c>
      <c r="B556" s="63" t="str">
        <f>'RAW DATA 2023'!D170</f>
        <v>A3-G05-0075</v>
      </c>
      <c r="C556" s="63" t="str">
        <f>A556&amp;B556</f>
        <v>Roiphet1A3-G05-0075</v>
      </c>
      <c r="D556" s="63">
        <f>VLOOKUP(C556,'RAW DATA 2023'!E:BP,63,0)</f>
        <v>1</v>
      </c>
      <c r="E556" s="63" t="str">
        <f>A556&amp;D556</f>
        <v>Roiphet11</v>
      </c>
      <c r="F556" s="389">
        <f>VLOOKUP(C556,'RAW DATA 2023'!E:BO,57,0)</f>
        <v>296.50386754104716</v>
      </c>
      <c r="G556" s="63">
        <f>VLOOKUP(C556,'RAW DATA 2023'!E:BO,58,0)</f>
        <v>178</v>
      </c>
      <c r="H556" s="390">
        <f>IFERROR((G556-F556)/G556,0)</f>
        <v>-0.66575206483734362</v>
      </c>
      <c r="I556" s="398">
        <f>IF(H556&lt;0,((0.25-(H556*(-1)))*$L$7),IF(H556&gt;0,(H556*$N$7)+$L$6,0))</f>
        <v>-22.173443457991659</v>
      </c>
      <c r="J556" s="73">
        <f>VLOOKUP(C556,'RAW DATA 2023'!E:AC,21,0)</f>
        <v>5.7762799999999999</v>
      </c>
      <c r="K556" s="398">
        <f>I556*J556</f>
        <v>-128.08001797752806</v>
      </c>
      <c r="R556" s="400"/>
    </row>
    <row r="557" spans="1:18">
      <c r="A557" s="63" t="str">
        <f>'RAW DATA 2023'!B187</f>
        <v>Roiphet1</v>
      </c>
      <c r="B557" s="63" t="str">
        <f>'RAW DATA 2023'!D187</f>
        <v>B6-G12-0086</v>
      </c>
      <c r="C557" s="63" t="str">
        <f>A557&amp;B557</f>
        <v>Roiphet1B6-G12-0086</v>
      </c>
      <c r="D557" s="63">
        <f>VLOOKUP(C557,'RAW DATA 2023'!E:BP,63,0)</f>
        <v>1</v>
      </c>
      <c r="E557" s="63" t="str">
        <f>A557&amp;D557</f>
        <v>Roiphet11</v>
      </c>
      <c r="F557" s="389">
        <f>VLOOKUP(C557,'RAW DATA 2023'!E:BO,57,0)</f>
        <v>285.76402947950027</v>
      </c>
      <c r="G557" s="63">
        <f>VLOOKUP(C557,'RAW DATA 2023'!E:BO,58,0)</f>
        <v>187</v>
      </c>
      <c r="H557" s="390">
        <f>IFERROR((G557-F557)/G557,0)</f>
        <v>-0.52814989026470727</v>
      </c>
      <c r="I557" s="398">
        <f>IF(H557&lt;0,((0.25-(H557*(-1)))*$L$7),IF(H557&gt;0,(H557*$N$7)+$L$6,0))</f>
        <v>-14.834660814117722</v>
      </c>
      <c r="J557" s="73">
        <f>VLOOKUP(C557,'RAW DATA 2023'!E:AC,21,0)</f>
        <v>8.0286299999999997</v>
      </c>
      <c r="K557" s="398">
        <f>I557*J557</f>
        <v>-119.10200285204996</v>
      </c>
      <c r="R557" s="400"/>
    </row>
    <row r="558" spans="1:18">
      <c r="A558" s="63" t="str">
        <f>'RAW DATA 2023'!B195</f>
        <v>Roiphet1</v>
      </c>
      <c r="B558" s="63" t="str">
        <f>'RAW DATA 2023'!D195</f>
        <v>B6-G11-0081</v>
      </c>
      <c r="C558" s="63" t="str">
        <f>A558&amp;B558</f>
        <v>Roiphet1B6-G11-0081</v>
      </c>
      <c r="D558" s="63">
        <f>VLOOKUP(C558,'RAW DATA 2023'!E:BP,63,0)</f>
        <v>1</v>
      </c>
      <c r="E558" s="63" t="str">
        <f>A558&amp;D558</f>
        <v>Roiphet11</v>
      </c>
      <c r="F558" s="389">
        <f>VLOOKUP(C558,'RAW DATA 2023'!E:BO,57,0)</f>
        <v>334.55514851353092</v>
      </c>
      <c r="G558" s="63">
        <f>VLOOKUP(C558,'RAW DATA 2023'!E:BO,58,0)</f>
        <v>180</v>
      </c>
      <c r="H558" s="397">
        <f>IFERROR((G558-F558)/G558,0)</f>
        <v>-0.85863971396406069</v>
      </c>
      <c r="I558" s="398">
        <f>IF(H558&lt;0,((0.25-(H558*(-1)))*$L$7),IF(H558&gt;0,(H558*$N$7)+$L$6,0))</f>
        <v>-32.460784744749908</v>
      </c>
      <c r="J558" s="73">
        <f>VLOOKUP(C558,'RAW DATA 2023'!E:AC,21,0)</f>
        <v>6.7478699999999998</v>
      </c>
      <c r="K558" s="398">
        <f>I558*J558</f>
        <v>-219.04115555555555</v>
      </c>
      <c r="R558" s="400"/>
    </row>
    <row r="559" spans="1:18">
      <c r="A559" s="63" t="str">
        <f>'RAW DATA 2023'!B196</f>
        <v>Roiphet1</v>
      </c>
      <c r="B559" s="63" t="str">
        <f>'RAW DATA 2023'!D196</f>
        <v>B6-I12-0085</v>
      </c>
      <c r="C559" s="63" t="str">
        <f>A559&amp;B559</f>
        <v>Roiphet1B6-I12-0085</v>
      </c>
      <c r="D559" s="63">
        <f>VLOOKUP(C559,'RAW DATA 2023'!E:BP,63,0)</f>
        <v>1</v>
      </c>
      <c r="E559" s="63" t="str">
        <f>A559&amp;D559</f>
        <v>Roiphet11</v>
      </c>
      <c r="F559" s="389">
        <f>VLOOKUP(C559,'RAW DATA 2023'!E:BO,57,0)</f>
        <v>385.72698058982672</v>
      </c>
      <c r="G559" s="63">
        <f>VLOOKUP(C559,'RAW DATA 2023'!E:BO,58,0)</f>
        <v>183</v>
      </c>
      <c r="H559" s="390">
        <f>IFERROR((G559-F559)/G559,0)</f>
        <v>-1.1077977081411297</v>
      </c>
      <c r="I559" s="398">
        <f>IF(H559&lt;0,((0.25-(H559*(-1)))*$L$7),IF(H559&gt;0,(H559*$N$7)+$L$6,0))</f>
        <v>-45.749211100860251</v>
      </c>
      <c r="J559" s="73">
        <f>VLOOKUP(C559,'RAW DATA 2023'!E:AC,21,0)</f>
        <v>3.5630799999999998</v>
      </c>
      <c r="K559" s="398">
        <f>I559*J559</f>
        <v>-163.00809908925314</v>
      </c>
      <c r="R559" s="400"/>
    </row>
    <row r="560" spans="1:18">
      <c r="A560" s="63" t="str">
        <f>'RAW DATA 2023'!B197</f>
        <v>Roiphet1</v>
      </c>
      <c r="B560" s="63" t="str">
        <f>'RAW DATA 2023'!D197</f>
        <v>B6-I11-0082</v>
      </c>
      <c r="C560" s="63" t="str">
        <f>A560&amp;B560</f>
        <v>Roiphet1B6-I11-0082</v>
      </c>
      <c r="D560" s="63">
        <f>VLOOKUP(C560,'RAW DATA 2023'!E:BP,63,0)</f>
        <v>1</v>
      </c>
      <c r="E560" s="63" t="str">
        <f>A560&amp;D560</f>
        <v>Roiphet11</v>
      </c>
      <c r="F560" s="389">
        <f>VLOOKUP(C560,'RAW DATA 2023'!E:BO,57,0)</f>
        <v>388.09110901201404</v>
      </c>
      <c r="G560" s="63">
        <f>VLOOKUP(C560,'RAW DATA 2023'!E:BO,58,0)</f>
        <v>175</v>
      </c>
      <c r="H560" s="390">
        <f>IFERROR((G560-F560)/G560,0)</f>
        <v>-1.2176634800686517</v>
      </c>
      <c r="I560" s="398">
        <f>IF(H560&lt;0,((0.25-(H560*(-1)))*$L$7),IF(H560&gt;0,(H560*$N$7)+$L$6,0))</f>
        <v>-51.608718936994755</v>
      </c>
      <c r="J560" s="73">
        <f>VLOOKUP(C560,'RAW DATA 2023'!E:AC,21,0)</f>
        <v>3.3876999999999997</v>
      </c>
      <c r="K560" s="398">
        <f>I560*J560</f>
        <v>-174.83485714285712</v>
      </c>
      <c r="R560" s="400"/>
    </row>
    <row r="561" spans="1:18">
      <c r="A561" s="63" t="str">
        <f>'RAW DATA 2023'!B220</f>
        <v>Roiphet1</v>
      </c>
      <c r="B561" s="63" t="str">
        <f>'RAW DATA 2023'!D220</f>
        <v>C4-G08-0060</v>
      </c>
      <c r="C561" s="63" t="str">
        <f>A561&amp;B561</f>
        <v>Roiphet1C4-G08-0060</v>
      </c>
      <c r="D561" s="63">
        <f>VLOOKUP(C561,'RAW DATA 2023'!E:BP,63,0)</f>
        <v>1</v>
      </c>
      <c r="E561" s="63" t="str">
        <f>A561&amp;D561</f>
        <v>Roiphet11</v>
      </c>
      <c r="F561" s="389">
        <f>VLOOKUP(C561,'RAW DATA 2023'!E:BO,57,0)</f>
        <v>230.15987972339821</v>
      </c>
      <c r="G561" s="63">
        <f>VLOOKUP(C561,'RAW DATA 2023'!E:BO,58,0)</f>
        <v>185</v>
      </c>
      <c r="H561" s="390">
        <f>IFERROR((G561-F561)/G561,0)</f>
        <v>-0.24410745796431463</v>
      </c>
      <c r="I561" s="398">
        <f>IF(H561&lt;0,((0.25-(H561*(-1)))*$L$7),IF(H561&gt;0,(H561*$N$7)+$L$6,0))</f>
        <v>0.31426890856988654</v>
      </c>
      <c r="J561" s="73">
        <f>VLOOKUP(C561,'RAW DATA 2023'!E:AC,21,0)</f>
        <v>8.1445600000000002</v>
      </c>
      <c r="K561" s="398">
        <f>I561*J561</f>
        <v>2.5595819819819554</v>
      </c>
      <c r="R561" s="400"/>
    </row>
    <row r="562" spans="1:18">
      <c r="A562" s="63" t="str">
        <f>'RAW DATA 2023'!B226</f>
        <v>Roiphet1</v>
      </c>
      <c r="B562" s="63" t="str">
        <f>'RAW DATA 2023'!D226</f>
        <v>C4-G07-0056</v>
      </c>
      <c r="C562" s="63" t="str">
        <f>A562&amp;B562</f>
        <v>Roiphet1C4-G07-0056</v>
      </c>
      <c r="D562" s="63">
        <f>VLOOKUP(C562,'RAW DATA 2023'!E:BP,63,0)</f>
        <v>1</v>
      </c>
      <c r="E562" s="63" t="str">
        <f>A562&amp;D562</f>
        <v>Roiphet11</v>
      </c>
      <c r="F562" s="389">
        <f>VLOOKUP(C562,'RAW DATA 2023'!E:BO,57,0)</f>
        <v>241.8239036579605</v>
      </c>
      <c r="G562" s="63">
        <f>VLOOKUP(C562,'RAW DATA 2023'!E:BO,58,0)</f>
        <v>184</v>
      </c>
      <c r="H562" s="397">
        <f>IFERROR((G562-F562)/G562,0)</f>
        <v>-0.31426034596717661</v>
      </c>
      <c r="I562" s="398">
        <f>IF(H562&lt;0,((0.25-(H562*(-1)))*$L$7),IF(H562&gt;0,(H562*$N$7)+$L$6,0))</f>
        <v>-3.4272184515827528</v>
      </c>
      <c r="J562" s="73">
        <f>VLOOKUP(C562,'RAW DATA 2023'!E:AC,21,0)</f>
        <v>7.5995900000000001</v>
      </c>
      <c r="K562" s="398">
        <f>I562*J562</f>
        <v>-26.045455072463774</v>
      </c>
      <c r="R562" s="400"/>
    </row>
    <row r="563" spans="1:18">
      <c r="A563" s="63" t="str">
        <f>'RAW DATA 2023'!B95</f>
        <v>Roiphet1</v>
      </c>
      <c r="B563" s="63" t="str">
        <f>'RAW DATA 2023'!D95</f>
        <v>A5-I09-0099</v>
      </c>
      <c r="C563" s="63" t="str">
        <f>A563&amp;B563</f>
        <v>Roiphet1A5-I09-0099</v>
      </c>
      <c r="D563" s="63">
        <f>VLOOKUP(C563,'RAW DATA 2023'!E:BP,63,0)</f>
        <v>10</v>
      </c>
      <c r="E563" s="63" t="str">
        <f>A563&amp;D563</f>
        <v>Roiphet110</v>
      </c>
      <c r="F563" s="389">
        <f>VLOOKUP(C563,'RAW DATA 2023'!E:BO,57,0)</f>
        <v>313.83456675870428</v>
      </c>
      <c r="G563" s="63">
        <f>VLOOKUP(C563,'RAW DATA 2023'!E:BO,58,0)</f>
        <v>200</v>
      </c>
      <c r="H563" s="397">
        <f>IFERROR((G563-F563)/G563,0)</f>
        <v>-0.56917283379352146</v>
      </c>
      <c r="I563" s="398">
        <f>IF(H563&lt;0,((0.25-(H563*(-1)))*$L$7),IF(H563&gt;0,(H563*$N$7)+$L$6,0))</f>
        <v>-17.022551135654478</v>
      </c>
      <c r="J563" s="73">
        <f>VLOOKUP(C563,'RAW DATA 2023'!E:AC,21,0)</f>
        <v>3.2848899999999999</v>
      </c>
      <c r="K563" s="398">
        <f>I563*J563</f>
        <v>-55.917208000000038</v>
      </c>
      <c r="R563" s="400"/>
    </row>
    <row r="564" spans="1:18">
      <c r="A564" s="63" t="str">
        <f>'RAW DATA 2023'!B96</f>
        <v>Roiphet1</v>
      </c>
      <c r="B564" s="63" t="str">
        <f>'RAW DATA 2023'!D96</f>
        <v>A3-G05-0077</v>
      </c>
      <c r="C564" s="63" t="str">
        <f>A564&amp;B564</f>
        <v>Roiphet1A3-G05-0077</v>
      </c>
      <c r="D564" s="63">
        <f>VLOOKUP(C564,'RAW DATA 2023'!E:BP,63,0)</f>
        <v>10</v>
      </c>
      <c r="E564" s="63" t="str">
        <f>A564&amp;D564</f>
        <v>Roiphet110</v>
      </c>
      <c r="F564" s="389">
        <f>VLOOKUP(C564,'RAW DATA 2023'!E:BO,57,0)</f>
        <v>306.76999618083278</v>
      </c>
      <c r="G564" s="63">
        <f>VLOOKUP(C564,'RAW DATA 2023'!E:BO,58,0)</f>
        <v>182</v>
      </c>
      <c r="H564" s="397">
        <f>IFERROR((G564-F564)/G564,0)</f>
        <v>-0.6855494295650153</v>
      </c>
      <c r="I564" s="398">
        <f>IF(H564&lt;0,((0.25-(H564*(-1)))*$L$7),IF(H564&gt;0,(H564*$N$7)+$L$6,0))</f>
        <v>-23.229302910134152</v>
      </c>
      <c r="J564" s="73">
        <f>VLOOKUP(C564,'RAW DATA 2023'!E:AC,21,0)</f>
        <v>6.3364599999999998</v>
      </c>
      <c r="K564" s="398">
        <f>I564*J564</f>
        <v>-147.19154871794865</v>
      </c>
      <c r="R564" s="400"/>
    </row>
    <row r="565" spans="1:18">
      <c r="A565" s="63" t="str">
        <f>'RAW DATA 2023'!B97</f>
        <v>Roiphet1</v>
      </c>
      <c r="B565" s="63" t="str">
        <f>'RAW DATA 2023'!D97</f>
        <v>A5-G09-0084</v>
      </c>
      <c r="C565" s="63" t="str">
        <f>A565&amp;B565</f>
        <v>Roiphet1A5-G09-0084</v>
      </c>
      <c r="D565" s="63">
        <f>VLOOKUP(C565,'RAW DATA 2023'!E:BP,63,0)</f>
        <v>10</v>
      </c>
      <c r="E565" s="63" t="str">
        <f>A565&amp;D565</f>
        <v>Roiphet110</v>
      </c>
      <c r="F565" s="389">
        <f>VLOOKUP(C565,'RAW DATA 2023'!E:BO,57,0)</f>
        <v>289.2816313125561</v>
      </c>
      <c r="G565" s="63">
        <f>VLOOKUP(C565,'RAW DATA 2023'!E:BO,58,0)</f>
        <v>187</v>
      </c>
      <c r="H565" s="397">
        <f>IFERROR((G565-F565)/G565,0)</f>
        <v>-0.54696059525431073</v>
      </c>
      <c r="I565" s="398">
        <f>IF(H565&lt;0,((0.25-(H565*(-1)))*$L$7),IF(H565&gt;0,(H565*$N$7)+$L$6,0))</f>
        <v>-15.83789841356324</v>
      </c>
      <c r="J565" s="73">
        <f>VLOOKUP(C565,'RAW DATA 2023'!E:AC,21,0)</f>
        <v>7.5512199999999998</v>
      </c>
      <c r="K565" s="398">
        <f>I565*J565</f>
        <v>-119.595455258467</v>
      </c>
      <c r="R565" s="400"/>
    </row>
    <row r="566" spans="1:18">
      <c r="A566" s="63" t="str">
        <f>'RAW DATA 2023'!B98</f>
        <v>Roiphet1</v>
      </c>
      <c r="B566" s="63" t="str">
        <f>'RAW DATA 2023'!D98</f>
        <v>A5-I10-0095</v>
      </c>
      <c r="C566" s="63" t="str">
        <f>A566&amp;B566</f>
        <v>Roiphet1A5-I10-0095</v>
      </c>
      <c r="D566" s="63">
        <f>VLOOKUP(C566,'RAW DATA 2023'!E:BP,63,0)</f>
        <v>10</v>
      </c>
      <c r="E566" s="63" t="str">
        <f>A566&amp;D566</f>
        <v>Roiphet110</v>
      </c>
      <c r="F566" s="389">
        <f>VLOOKUP(C566,'RAW DATA 2023'!E:BO,57,0)</f>
        <v>381.10047813994191</v>
      </c>
      <c r="G566" s="63">
        <f>VLOOKUP(C566,'RAW DATA 2023'!E:BO,58,0)</f>
        <v>210</v>
      </c>
      <c r="H566" s="397">
        <f>IFERROR((G566-F566)/G566,0)</f>
        <v>-0.81476418161877107</v>
      </c>
      <c r="I566" s="398">
        <f>IF(H566&lt;0,((0.25-(H566*(-1)))*$L$7),IF(H566&gt;0,(H566*$N$7)+$L$6,0))</f>
        <v>-30.120756353001124</v>
      </c>
      <c r="J566" s="73">
        <f>VLOOKUP(C566,'RAW DATA 2023'!E:AC,21,0)</f>
        <v>3.1999</v>
      </c>
      <c r="K566" s="398">
        <f>I566*J566</f>
        <v>-96.383408253968298</v>
      </c>
      <c r="R566" s="400"/>
    </row>
    <row r="567" spans="1:18">
      <c r="A567" s="63" t="str">
        <f>'RAW DATA 2023'!B99</f>
        <v>Roiphet1</v>
      </c>
      <c r="B567" s="63" t="str">
        <f>'RAW DATA 2023'!D99</f>
        <v>A3-I05-0085</v>
      </c>
      <c r="C567" s="63" t="str">
        <f>A567&amp;B567</f>
        <v>Roiphet1A3-I05-0085</v>
      </c>
      <c r="D567" s="63">
        <f>VLOOKUP(C567,'RAW DATA 2023'!E:BP,63,0)</f>
        <v>10</v>
      </c>
      <c r="E567" s="63" t="str">
        <f>A567&amp;D567</f>
        <v>Roiphet110</v>
      </c>
      <c r="F567" s="389">
        <f>VLOOKUP(C567,'RAW DATA 2023'!E:BO,57,0)</f>
        <v>355.69474216411936</v>
      </c>
      <c r="G567" s="63">
        <f>VLOOKUP(C567,'RAW DATA 2023'!E:BO,58,0)</f>
        <v>181</v>
      </c>
      <c r="H567" s="397">
        <f>IFERROR((G567-F567)/G567,0)</f>
        <v>-0.96516432134872576</v>
      </c>
      <c r="I567" s="398">
        <f>IF(H567&lt;0,((0.25-(H567*(-1)))*$L$7),IF(H567&gt;0,(H567*$N$7)+$L$6,0))</f>
        <v>-38.142097138598707</v>
      </c>
      <c r="J567" s="73">
        <f>VLOOKUP(C567,'RAW DATA 2023'!E:AC,21,0)</f>
        <v>3.1843900000000001</v>
      </c>
      <c r="K567" s="398">
        <f>I567*J567</f>
        <v>-121.45931270718233</v>
      </c>
      <c r="R567" s="400"/>
    </row>
    <row r="568" spans="1:18">
      <c r="A568" s="63" t="str">
        <f>'RAW DATA 2023'!B100</f>
        <v>Roiphet1</v>
      </c>
      <c r="B568" s="63" t="str">
        <f>'RAW DATA 2023'!D100</f>
        <v>A6-I11-0102</v>
      </c>
      <c r="C568" s="63" t="str">
        <f>A568&amp;B568</f>
        <v>Roiphet1A6-I11-0102</v>
      </c>
      <c r="D568" s="63">
        <f>VLOOKUP(C568,'RAW DATA 2023'!E:BP,63,0)</f>
        <v>10</v>
      </c>
      <c r="E568" s="63" t="str">
        <f>A568&amp;D568</f>
        <v>Roiphet110</v>
      </c>
      <c r="F568" s="389">
        <f>VLOOKUP(C568,'RAW DATA 2023'!E:BO,57,0)</f>
        <v>413.10654556245635</v>
      </c>
      <c r="G568" s="63">
        <f>VLOOKUP(C568,'RAW DATA 2023'!E:BO,58,0)</f>
        <v>204</v>
      </c>
      <c r="H568" s="397">
        <f>IFERROR((G568-F568)/G568,0)</f>
        <v>-1.0250320860904722</v>
      </c>
      <c r="I568" s="398">
        <f>IF(H568&lt;0,((0.25-(H568*(-1)))*$L$7),IF(H568&gt;0,(H568*$N$7)+$L$6,0))</f>
        <v>-41.335044591491858</v>
      </c>
      <c r="J568" s="73">
        <f>VLOOKUP(C568,'RAW DATA 2023'!E:AC,21,0)</f>
        <v>2.8306199999999997</v>
      </c>
      <c r="K568" s="398">
        <f>I568*J568</f>
        <v>-117.00380392156868</v>
      </c>
      <c r="R568" s="400"/>
    </row>
    <row r="569" spans="1:18">
      <c r="A569" s="63" t="str">
        <f>'RAW DATA 2023'!B101</f>
        <v>Roiphet1</v>
      </c>
      <c r="B569" s="63" t="str">
        <f>'RAW DATA 2023'!D101</f>
        <v>A5-G10-0069</v>
      </c>
      <c r="C569" s="63" t="str">
        <f>A569&amp;B569</f>
        <v>Roiphet1A5-G10-0069</v>
      </c>
      <c r="D569" s="63">
        <f>VLOOKUP(C569,'RAW DATA 2023'!E:BP,63,0)</f>
        <v>10</v>
      </c>
      <c r="E569" s="63" t="str">
        <f>A569&amp;D569</f>
        <v>Roiphet110</v>
      </c>
      <c r="F569" s="389">
        <f>VLOOKUP(C569,'RAW DATA 2023'!E:BO,57,0)</f>
        <v>322.0099978767492</v>
      </c>
      <c r="G569" s="63">
        <f>VLOOKUP(C569,'RAW DATA 2023'!E:BO,58,0)</f>
        <v>187</v>
      </c>
      <c r="H569" s="397">
        <f>IFERROR((G569-F569)/G569,0)</f>
        <v>-0.72197859827138611</v>
      </c>
      <c r="I569" s="398">
        <f>IF(H569&lt;0,((0.25-(H569*(-1)))*$L$7),IF(H569&gt;0,(H569*$N$7)+$L$6,0))</f>
        <v>-25.17219190780726</v>
      </c>
      <c r="J569" s="73">
        <f>VLOOKUP(C569,'RAW DATA 2023'!E:AC,21,0)</f>
        <v>6.4523700000000002</v>
      </c>
      <c r="K569" s="398">
        <f>I569*J569</f>
        <v>-162.42029590017833</v>
      </c>
      <c r="L569" s="63">
        <f>ROUND(VLOOKUP(C569,'RAW DATA 2023'!E:BO,23,0),0)</f>
        <v>36</v>
      </c>
      <c r="R569" s="400"/>
    </row>
    <row r="570" spans="1:18">
      <c r="A570" s="63" t="str">
        <f>'RAW DATA 2023'!B102</f>
        <v>Roiphet1</v>
      </c>
      <c r="B570" s="63" t="str">
        <f>'RAW DATA 2023'!D102</f>
        <v>A6-G11-0092</v>
      </c>
      <c r="C570" s="63" t="str">
        <f>A570&amp;B570</f>
        <v>Roiphet1A6-G11-0092</v>
      </c>
      <c r="D570" s="63">
        <f>VLOOKUP(C570,'RAW DATA 2023'!E:BP,63,0)</f>
        <v>10</v>
      </c>
      <c r="E570" s="63" t="str">
        <f>A570&amp;D570</f>
        <v>Roiphet110</v>
      </c>
      <c r="F570" s="389">
        <f>VLOOKUP(C570,'RAW DATA 2023'!E:BO,57,0)</f>
        <v>312.40972865367871</v>
      </c>
      <c r="G570" s="63">
        <f>VLOOKUP(C570,'RAW DATA 2023'!E:BO,58,0)</f>
        <v>182</v>
      </c>
      <c r="H570" s="397">
        <f>IFERROR((G570-F570)/G570,0)</f>
        <v>-0.7165369706246083</v>
      </c>
      <c r="I570" s="398">
        <f>IF(H570&lt;0,((0.25-(H570*(-1)))*$L$7),IF(H570&gt;0,(H570*$N$7)+$L$6,0))</f>
        <v>-24.881971766645776</v>
      </c>
      <c r="J570" s="73">
        <f>VLOOKUP(C570,'RAW DATA 2023'!E:AC,21,0)</f>
        <v>7.2236099999999999</v>
      </c>
      <c r="K570" s="398">
        <f>I570*J570</f>
        <v>-179.73766007326009</v>
      </c>
      <c r="R570" s="400"/>
    </row>
    <row r="571" spans="1:18">
      <c r="A571" s="63" t="str">
        <f>'RAW DATA 2023'!B103</f>
        <v>Roiphet1</v>
      </c>
      <c r="B571" s="63" t="str">
        <f>'RAW DATA 2023'!D103</f>
        <v>A4-I07-0095</v>
      </c>
      <c r="C571" s="63" t="str">
        <f>A571&amp;B571</f>
        <v>Roiphet1A4-I07-0095</v>
      </c>
      <c r="D571" s="63">
        <f>VLOOKUP(C571,'RAW DATA 2023'!E:BP,63,0)</f>
        <v>10</v>
      </c>
      <c r="E571" s="63" t="str">
        <f>A571&amp;D571</f>
        <v>Roiphet110</v>
      </c>
      <c r="F571" s="389">
        <f>VLOOKUP(C571,'RAW DATA 2023'!E:BO,57,0)</f>
        <v>316.1602552689277</v>
      </c>
      <c r="G571" s="63">
        <f>VLOOKUP(C571,'RAW DATA 2023'!E:BO,58,0)</f>
        <v>186</v>
      </c>
      <c r="H571" s="390">
        <f>IFERROR((G571-F571)/G571,0)</f>
        <v>-0.69978631865014895</v>
      </c>
      <c r="I571" s="398">
        <f>IF(H571&lt;0,((0.25-(H571*(-1)))*$L$7),IF(H571&gt;0,(H571*$N$7)+$L$6,0))</f>
        <v>-23.98860366134128</v>
      </c>
      <c r="J571" s="73">
        <f>VLOOKUP(C571,'RAW DATA 2023'!E:AC,21,0)</f>
        <v>3.93154</v>
      </c>
      <c r="K571" s="398">
        <f>I571*J571</f>
        <v>-94.312154838709702</v>
      </c>
      <c r="L571" s="63">
        <f>ROUND(VLOOKUP(C571,'RAW DATA 2023'!E:BO,23,0),0)</f>
        <v>36</v>
      </c>
      <c r="R571" s="400"/>
    </row>
    <row r="572" spans="1:18">
      <c r="A572" s="63" t="str">
        <f>'RAW DATA 2023'!B104</f>
        <v>Roiphet1</v>
      </c>
      <c r="B572" s="63" t="str">
        <f>'RAW DATA 2023'!D104</f>
        <v>A4-G07-0072</v>
      </c>
      <c r="C572" s="63" t="str">
        <f>A572&amp;B572</f>
        <v>Roiphet1A4-G07-0072</v>
      </c>
      <c r="D572" s="63">
        <f>VLOOKUP(C572,'RAW DATA 2023'!E:BP,63,0)</f>
        <v>10</v>
      </c>
      <c r="E572" s="63" t="str">
        <f>A572&amp;D572</f>
        <v>Roiphet110</v>
      </c>
      <c r="F572" s="389">
        <f>VLOOKUP(C572,'RAW DATA 2023'!E:BO,57,0)</f>
        <v>300.0344740038289</v>
      </c>
      <c r="G572" s="63">
        <f>VLOOKUP(C572,'RAW DATA 2023'!E:BO,58,0)</f>
        <v>186</v>
      </c>
      <c r="H572" s="390">
        <f>IFERROR((G572-F572)/G572,0)</f>
        <v>-0.6130885699130586</v>
      </c>
      <c r="I572" s="398">
        <f>IF(H572&lt;0,((0.25-(H572*(-1)))*$L$7),IF(H572&gt;0,(H572*$N$7)+$L$6,0))</f>
        <v>-19.364723728696461</v>
      </c>
      <c r="J572" s="73">
        <f>VLOOKUP(C572,'RAW DATA 2023'!E:AC,21,0)</f>
        <v>7.2866499999999998</v>
      </c>
      <c r="K572" s="398">
        <f>I572*J572</f>
        <v>-141.10396415770606</v>
      </c>
      <c r="R572" s="400"/>
    </row>
    <row r="573" spans="1:18">
      <c r="A573" s="63" t="str">
        <f>'RAW DATA 2023'!B198</f>
        <v>Roiphet1</v>
      </c>
      <c r="B573" s="63" t="str">
        <f>'RAW DATA 2023'!D198</f>
        <v>C2-I03-0060</v>
      </c>
      <c r="C573" s="63" t="str">
        <f>A573&amp;B573</f>
        <v>Roiphet1C2-I03-0060</v>
      </c>
      <c r="D573" s="63">
        <f>VLOOKUP(C573,'RAW DATA 2023'!E:BP,63,0)</f>
        <v>10</v>
      </c>
      <c r="E573" s="63" t="str">
        <f>A573&amp;D573</f>
        <v>Roiphet110</v>
      </c>
      <c r="F573" s="389">
        <f>VLOOKUP(C573,'RAW DATA 2023'!E:BO,57,0)</f>
        <v>323.21884900278479</v>
      </c>
      <c r="G573" s="63">
        <f>VLOOKUP(C573,'RAW DATA 2023'!E:BO,58,0)</f>
        <v>181</v>
      </c>
      <c r="H573" s="390">
        <f>IFERROR((G573-F573)/G573,0)</f>
        <v>-0.78573949725295467</v>
      </c>
      <c r="I573" s="398">
        <f>IF(H573&lt;0,((0.25-(H573*(-1)))*$L$7),IF(H573&gt;0,(H573*$N$7)+$L$6,0))</f>
        <v>-28.57277318682425</v>
      </c>
      <c r="J573" s="73">
        <f>VLOOKUP(C573,'RAW DATA 2023'!E:AC,21,0)</f>
        <v>3.5478800000000001</v>
      </c>
      <c r="K573" s="398">
        <f>I573*J573</f>
        <v>-101.37277053407003</v>
      </c>
      <c r="R573" s="400"/>
    </row>
    <row r="574" spans="1:18">
      <c r="A574" s="63" t="str">
        <f>'RAW DATA 2023'!B206</f>
        <v>Roiphet1</v>
      </c>
      <c r="B574" s="63" t="str">
        <f>'RAW DATA 2023'!D206</f>
        <v>D5-G09-0069</v>
      </c>
      <c r="C574" s="63" t="str">
        <f>A574&amp;B574</f>
        <v>Roiphet1D5-G09-0069</v>
      </c>
      <c r="D574" s="63">
        <f>VLOOKUP(C574,'RAW DATA 2023'!E:BP,63,0)</f>
        <v>10</v>
      </c>
      <c r="E574" s="63" t="str">
        <f>A574&amp;D574</f>
        <v>Roiphet110</v>
      </c>
      <c r="F574" s="389">
        <f>VLOOKUP(C574,'RAW DATA 2023'!E:BO,57,0)</f>
        <v>181.0669947567861</v>
      </c>
      <c r="G574" s="63">
        <f>VLOOKUP(C574,'RAW DATA 2023'!E:BO,58,0)</f>
        <v>191</v>
      </c>
      <c r="H574" s="390">
        <f>IFERROR((G574-F574)/G574,0)</f>
        <v>5.2005263053475907E-2</v>
      </c>
      <c r="I574" s="398">
        <f>IF(H574&lt;0,((0.25-(H574*(-1)))*$L$7),IF(H574&gt;0,(H574*$N$7)+$L$6,0))</f>
        <v>16.106947362852051</v>
      </c>
      <c r="J574" s="73">
        <f>VLOOKUP(C574,'RAW DATA 2023'!E:AC,21,0)</f>
        <v>13.70152</v>
      </c>
      <c r="K574" s="398">
        <f>I574*J574</f>
        <v>220.68966143106462</v>
      </c>
      <c r="R574" s="400"/>
    </row>
    <row r="575" spans="1:18">
      <c r="A575" s="63" t="str">
        <f>'RAW DATA 2023'!B207</f>
        <v>Roiphet1</v>
      </c>
      <c r="B575" s="63" t="str">
        <f>'RAW DATA 2023'!D207</f>
        <v>C2-G03-0067</v>
      </c>
      <c r="C575" s="63" t="str">
        <f>A575&amp;B575</f>
        <v>Roiphet1C2-G03-0067</v>
      </c>
      <c r="D575" s="63">
        <f>VLOOKUP(C575,'RAW DATA 2023'!E:BP,63,0)</f>
        <v>10</v>
      </c>
      <c r="E575" s="63" t="str">
        <f>A575&amp;D575</f>
        <v>Roiphet110</v>
      </c>
      <c r="F575" s="389">
        <f>VLOOKUP(C575,'RAW DATA 2023'!E:BO,57,0)</f>
        <v>320.03129960498171</v>
      </c>
      <c r="G575" s="63">
        <f>VLOOKUP(C575,'RAW DATA 2023'!E:BO,58,0)</f>
        <v>166</v>
      </c>
      <c r="H575" s="397">
        <f>IFERROR((G575-F575)/G575,0)</f>
        <v>-0.92789939521073317</v>
      </c>
      <c r="I575" s="398">
        <f>IF(H575&lt;0,((0.25-(H575*(-1)))*$L$7),IF(H575&gt;0,(H575*$N$7)+$L$6,0))</f>
        <v>-36.154634411239101</v>
      </c>
      <c r="J575" s="73">
        <f>VLOOKUP(C575,'RAW DATA 2023'!E:AC,21,0)</f>
        <v>5.7642899999999999</v>
      </c>
      <c r="K575" s="398">
        <f>I575*J575</f>
        <v>-208.40579759036143</v>
      </c>
      <c r="R575" s="400"/>
    </row>
    <row r="576" spans="1:18">
      <c r="A576" s="63" t="str">
        <f>'RAW DATA 2023'!B208</f>
        <v>Roiphet1</v>
      </c>
      <c r="B576" s="63" t="str">
        <f>'RAW DATA 2023'!D208</f>
        <v>C2-G04-0065</v>
      </c>
      <c r="C576" s="63" t="str">
        <f>A576&amp;B576</f>
        <v>Roiphet1C2-G04-0065</v>
      </c>
      <c r="D576" s="63">
        <f>VLOOKUP(C576,'RAW DATA 2023'!E:BP,63,0)</f>
        <v>10</v>
      </c>
      <c r="E576" s="63" t="str">
        <f>A576&amp;D576</f>
        <v>Roiphet110</v>
      </c>
      <c r="F576" s="389">
        <f>VLOOKUP(C576,'RAW DATA 2023'!E:BO,57,0)</f>
        <v>355.4284137356691</v>
      </c>
      <c r="G576" s="63">
        <f>VLOOKUP(C576,'RAW DATA 2023'!E:BO,58,0)</f>
        <v>165</v>
      </c>
      <c r="H576" s="397">
        <f>IFERROR((G576-F576)/G576,0)</f>
        <v>-1.1541115983979946</v>
      </c>
      <c r="I576" s="398">
        <f>IF(H576&lt;0,((0.25-(H576*(-1)))*$L$7),IF(H576&gt;0,(H576*$N$7)+$L$6,0))</f>
        <v>-48.219285247893048</v>
      </c>
      <c r="J576" s="73">
        <f>VLOOKUP(C576,'RAW DATA 2023'!E:AC,21,0)</f>
        <v>5.0912700000000006</v>
      </c>
      <c r="K576" s="398">
        <f>I576*J576</f>
        <v>-245.49740040404046</v>
      </c>
      <c r="R576" s="400"/>
    </row>
    <row r="577" spans="1:18">
      <c r="A577" s="63" t="str">
        <f>'RAW DATA 2023'!B209</f>
        <v>Roiphet1</v>
      </c>
      <c r="B577" s="63" t="str">
        <f>'RAW DATA 2023'!D209</f>
        <v>C2-I04-0068</v>
      </c>
      <c r="C577" s="63" t="str">
        <f>A577&amp;B577</f>
        <v>Roiphet1C2-I04-0068</v>
      </c>
      <c r="D577" s="63">
        <f>VLOOKUP(C577,'RAW DATA 2023'!E:BP,63,0)</f>
        <v>10</v>
      </c>
      <c r="E577" s="63" t="str">
        <f>A577&amp;D577</f>
        <v>Roiphet110</v>
      </c>
      <c r="F577" s="389">
        <f>VLOOKUP(C577,'RAW DATA 2023'!E:BO,57,0)</f>
        <v>357.45387427093505</v>
      </c>
      <c r="G577" s="63">
        <f>VLOOKUP(C577,'RAW DATA 2023'!E:BO,58,0)</f>
        <v>167</v>
      </c>
      <c r="H577" s="397">
        <f>IFERROR((G577-F577)/G577,0)</f>
        <v>-1.1404423609038026</v>
      </c>
      <c r="I577" s="398">
        <f>IF(H577&lt;0,((0.25-(H577*(-1)))*$L$7),IF(H577&gt;0,(H577*$N$7)+$L$6,0))</f>
        <v>-47.490259248202804</v>
      </c>
      <c r="J577" s="73">
        <f>VLOOKUP(C577,'RAW DATA 2023'!E:AC,21,0)</f>
        <v>3.0312800000000002</v>
      </c>
      <c r="K577" s="398">
        <f>I577*J577</f>
        <v>-143.9562730538922</v>
      </c>
      <c r="R577" s="400"/>
    </row>
    <row r="578" spans="1:18">
      <c r="A578" s="63" t="str">
        <f>'RAW DATA 2023'!B212</f>
        <v>Roiphet1</v>
      </c>
      <c r="B578" s="63" t="str">
        <f>'RAW DATA 2023'!D212</f>
        <v>C5-I09-0065</v>
      </c>
      <c r="C578" s="63" t="str">
        <f>A578&amp;B578</f>
        <v>Roiphet1C5-I09-0065</v>
      </c>
      <c r="D578" s="63">
        <f>VLOOKUP(C578,'RAW DATA 2023'!E:BP,63,0)</f>
        <v>10</v>
      </c>
      <c r="E578" s="63" t="str">
        <f>A578&amp;D578</f>
        <v>Roiphet110</v>
      </c>
      <c r="F578" s="389">
        <f>VLOOKUP(C578,'RAW DATA 2023'!E:BO,57,0)</f>
        <v>390.67071496652056</v>
      </c>
      <c r="G578" s="63">
        <f>VLOOKUP(C578,'RAW DATA 2023'!E:BO,58,0)</f>
        <v>189</v>
      </c>
      <c r="H578" s="397">
        <f>IFERROR((G578-F578)/G578,0)</f>
        <v>-1.0670408199286803</v>
      </c>
      <c r="I578" s="398">
        <f>IF(H578&lt;0,((0.25-(H578*(-1)))*$L$7),IF(H578&gt;0,(H578*$N$7)+$L$6,0))</f>
        <v>-43.575510396196286</v>
      </c>
      <c r="J578" s="73">
        <f>VLOOKUP(C578,'RAW DATA 2023'!E:AC,21,0)</f>
        <v>3.3363800000000001</v>
      </c>
      <c r="K578" s="398">
        <f>I578*J578</f>
        <v>-145.38446137566137</v>
      </c>
      <c r="R578" s="400"/>
    </row>
    <row r="579" spans="1:18">
      <c r="A579" s="63" t="str">
        <f>'RAW DATA 2023'!B214</f>
        <v>Roiphet1</v>
      </c>
      <c r="B579" s="63" t="str">
        <f>'RAW DATA 2023'!D214</f>
        <v>D5-G10-0070</v>
      </c>
      <c r="C579" s="63" t="str">
        <f>A579&amp;B579</f>
        <v>Roiphet1D5-G10-0070</v>
      </c>
      <c r="D579" s="63">
        <f>VLOOKUP(C579,'RAW DATA 2023'!E:BP,63,0)</f>
        <v>10</v>
      </c>
      <c r="E579" s="63" t="str">
        <f>A579&amp;D579</f>
        <v>Roiphet110</v>
      </c>
      <c r="F579" s="389">
        <f>VLOOKUP(C579,'RAW DATA 2023'!E:BO,57,0)</f>
        <v>230.94008133089702</v>
      </c>
      <c r="G579" s="63">
        <f>VLOOKUP(C579,'RAW DATA 2023'!E:BO,58,0)</f>
        <v>186</v>
      </c>
      <c r="H579" s="397">
        <f>IFERROR((G579-F579)/G579,0)</f>
        <v>-0.24161334048869362</v>
      </c>
      <c r="I579" s="398">
        <f>IF(H579&lt;0,((0.25-(H579*(-1)))*$L$7),IF(H579&gt;0,(H579*$N$7)+$L$6,0))</f>
        <v>0.44728850726967345</v>
      </c>
      <c r="J579" s="73">
        <f>VLOOKUP(C579,'RAW DATA 2023'!E:AC,21,0)</f>
        <v>10.45851</v>
      </c>
      <c r="K579" s="398">
        <f>I579*J579</f>
        <v>4.6779713261649523</v>
      </c>
      <c r="R579" s="400"/>
    </row>
    <row r="580" spans="1:18">
      <c r="A580" s="63" t="str">
        <f>'RAW DATA 2023'!B216</f>
        <v>Roiphet1</v>
      </c>
      <c r="B580" s="63" t="str">
        <f>'RAW DATA 2023'!D216</f>
        <v>C5-G10-0065</v>
      </c>
      <c r="C580" s="63" t="str">
        <f>A580&amp;B580</f>
        <v>Roiphet1C5-G10-0065</v>
      </c>
      <c r="D580" s="63">
        <f>VLOOKUP(C580,'RAW DATA 2023'!E:BP,63,0)</f>
        <v>10</v>
      </c>
      <c r="E580" s="63" t="str">
        <f>A580&amp;D580</f>
        <v>Roiphet110</v>
      </c>
      <c r="F580" s="389">
        <f>VLOOKUP(C580,'RAW DATA 2023'!E:BO,57,0)</f>
        <v>293.56108713464738</v>
      </c>
      <c r="G580" s="63">
        <f>VLOOKUP(C580,'RAW DATA 2023'!E:BO,58,0)</f>
        <v>178</v>
      </c>
      <c r="H580" s="397">
        <f>IFERROR((G580-F580)/G580,0)</f>
        <v>-0.64921959064408641</v>
      </c>
      <c r="I580" s="398">
        <f>IF(H580&lt;0,((0.25-(H580*(-1)))*$L$7),IF(H580&gt;0,(H580*$N$7)+$L$6,0))</f>
        <v>-21.291711501017943</v>
      </c>
      <c r="J580" s="73">
        <f>VLOOKUP(C580,'RAW DATA 2023'!E:AC,21,0)</f>
        <v>7.1273599999999995</v>
      </c>
      <c r="K580" s="398">
        <f>I580*J580</f>
        <v>-151.75369288389524</v>
      </c>
      <c r="R580" s="400"/>
    </row>
    <row r="581" spans="1:18">
      <c r="A581" s="63" t="str">
        <f>'RAW DATA 2023'!B217</f>
        <v>Roiphet1</v>
      </c>
      <c r="B581" s="63" t="str">
        <f>'RAW DATA 2023'!D217</f>
        <v>C5-G09-0058</v>
      </c>
      <c r="C581" s="63" t="str">
        <f>A581&amp;B581</f>
        <v>Roiphet1C5-G09-0058</v>
      </c>
      <c r="D581" s="63">
        <f>VLOOKUP(C581,'RAW DATA 2023'!E:BP,63,0)</f>
        <v>10</v>
      </c>
      <c r="E581" s="63" t="str">
        <f>A581&amp;D581</f>
        <v>Roiphet110</v>
      </c>
      <c r="F581" s="389">
        <f>VLOOKUP(C581,'RAW DATA 2023'!E:BO,57,0)</f>
        <v>272.52336596893582</v>
      </c>
      <c r="G581" s="63">
        <f>VLOOKUP(C581,'RAW DATA 2023'!E:BO,58,0)</f>
        <v>187</v>
      </c>
      <c r="H581" s="397">
        <f>IFERROR((G581-F581)/G581,0)</f>
        <v>-0.45734420304243756</v>
      </c>
      <c r="I581" s="398">
        <f>IF(H581&lt;0,((0.25-(H581*(-1)))*$L$7),IF(H581&gt;0,(H581*$N$7)+$L$6,0))</f>
        <v>-11.05835749559667</v>
      </c>
      <c r="J581" s="73">
        <f>VLOOKUP(C581,'RAW DATA 2023'!E:AC,21,0)</f>
        <v>8.2558100000000003</v>
      </c>
      <c r="K581" s="398">
        <f>I581*J581</f>
        <v>-91.295698395721956</v>
      </c>
      <c r="R581" s="400"/>
    </row>
    <row r="582" spans="1:18">
      <c r="A582" s="63" t="str">
        <f>'RAW DATA 2023'!B218</f>
        <v>Roiphet1</v>
      </c>
      <c r="B582" s="63" t="str">
        <f>'RAW DATA 2023'!D218</f>
        <v>C5-I10-0066</v>
      </c>
      <c r="C582" s="63" t="str">
        <f>A582&amp;B582</f>
        <v>Roiphet1C5-I10-0066</v>
      </c>
      <c r="D582" s="63">
        <f>VLOOKUP(C582,'RAW DATA 2023'!E:BP,63,0)</f>
        <v>10</v>
      </c>
      <c r="E582" s="63" t="str">
        <f>A582&amp;D582</f>
        <v>Roiphet110</v>
      </c>
      <c r="F582" s="389">
        <f>VLOOKUP(C582,'RAW DATA 2023'!E:BO,57,0)</f>
        <v>301.89358442139684</v>
      </c>
      <c r="G582" s="63">
        <f>VLOOKUP(C582,'RAW DATA 2023'!E:BO,58,0)</f>
        <v>191</v>
      </c>
      <c r="H582" s="397">
        <f>IFERROR((G582-F582)/G582,0)</f>
        <v>-0.58059468283453841</v>
      </c>
      <c r="I582" s="398">
        <f>IF(H582&lt;0,((0.25-(H582*(-1)))*$L$7),IF(H582&gt;0,(H582*$N$7)+$L$6,0))</f>
        <v>-17.63171641784205</v>
      </c>
      <c r="J582" s="73">
        <f>VLOOKUP(C582,'RAW DATA 2023'!E:AC,21,0)</f>
        <v>4.37934</v>
      </c>
      <c r="K582" s="398">
        <f>I582*J582</f>
        <v>-77.215280977312403</v>
      </c>
      <c r="R582" s="400"/>
    </row>
    <row r="583" spans="1:18">
      <c r="A583" s="63" t="str">
        <f>'RAW DATA 2023'!B221</f>
        <v>Roiphet1</v>
      </c>
      <c r="B583" s="63" t="str">
        <f>'RAW DATA 2023'!D221</f>
        <v>D5-I10-0075</v>
      </c>
      <c r="C583" s="63" t="str">
        <f>A583&amp;B583</f>
        <v>Roiphet1D5-I10-0075</v>
      </c>
      <c r="D583" s="63">
        <f>VLOOKUP(C583,'RAW DATA 2023'!E:BP,63,0)</f>
        <v>10</v>
      </c>
      <c r="E583" s="63" t="str">
        <f>A583&amp;D583</f>
        <v>Roiphet110</v>
      </c>
      <c r="F583" s="389">
        <f>VLOOKUP(C583,'RAW DATA 2023'!E:BO,57,0)</f>
        <v>274.91653615623545</v>
      </c>
      <c r="G583" s="63">
        <f>VLOOKUP(C583,'RAW DATA 2023'!E:BO,58,0)</f>
        <v>186</v>
      </c>
      <c r="H583" s="390">
        <f>IFERROR((G583-F583)/G583,0)</f>
        <v>-0.47804589331309383</v>
      </c>
      <c r="I583" s="398">
        <f>IF(H583&lt;0,((0.25-(H583*(-1)))*$L$7),IF(H583&gt;0,(H583*$N$7)+$L$6,0))</f>
        <v>-12.162447643365004</v>
      </c>
      <c r="J583" s="73">
        <f>VLOOKUP(C583,'RAW DATA 2023'!E:AC,21,0)</f>
        <v>4.9868300000000003</v>
      </c>
      <c r="K583" s="398">
        <f>I583*J583</f>
        <v>-60.652058781361909</v>
      </c>
      <c r="R583" s="400"/>
    </row>
    <row r="584" spans="1:18">
      <c r="A584" s="63" t="str">
        <f>'RAW DATA 2023'!B223</f>
        <v>Roiphet1</v>
      </c>
      <c r="B584" s="63" t="str">
        <f>'RAW DATA 2023'!D223</f>
        <v>D5-I09-0083</v>
      </c>
      <c r="C584" s="63" t="str">
        <f>A584&amp;B584</f>
        <v>Roiphet1D5-I09-0083</v>
      </c>
      <c r="D584" s="63">
        <f>VLOOKUP(C584,'RAW DATA 2023'!E:BP,63,0)</f>
        <v>10</v>
      </c>
      <c r="E584" s="63" t="str">
        <f>A584&amp;D584</f>
        <v>Roiphet110</v>
      </c>
      <c r="F584" s="389">
        <f>VLOOKUP(C584,'RAW DATA 2023'!E:BO,57,0)</f>
        <v>244.77042565912558</v>
      </c>
      <c r="G584" s="63">
        <f>VLOOKUP(C584,'RAW DATA 2023'!E:BO,58,0)</f>
        <v>184</v>
      </c>
      <c r="H584" s="397">
        <f>IFERROR((G584-F584)/G584,0)</f>
        <v>-0.33027405249524772</v>
      </c>
      <c r="I584" s="398">
        <f>IF(H584&lt;0,((0.25-(H584*(-1)))*$L$7),IF(H584&gt;0,(H584*$N$7)+$L$6,0))</f>
        <v>-4.2812827997465455</v>
      </c>
      <c r="J584" s="73">
        <f>VLOOKUP(C584,'RAW DATA 2023'!E:AC,21,0)</f>
        <v>5.1848999999999998</v>
      </c>
      <c r="K584" s="398">
        <f>I584*J584</f>
        <v>-22.198023188405863</v>
      </c>
      <c r="R584" s="400"/>
    </row>
    <row r="585" spans="1:18">
      <c r="A585" s="63" t="str">
        <f>'RAW DATA 2023'!B227</f>
        <v>Roiphet1</v>
      </c>
      <c r="B585" s="63" t="str">
        <f>'RAW DATA 2023'!D227</f>
        <v>D3-G05-0081</v>
      </c>
      <c r="C585" s="63" t="str">
        <f>A585&amp;B585</f>
        <v>Roiphet1D3-G05-0081</v>
      </c>
      <c r="D585" s="63">
        <f>VLOOKUP(C585,'RAW DATA 2023'!E:BP,63,0)</f>
        <v>10</v>
      </c>
      <c r="E585" s="63" t="str">
        <f>A585&amp;D585</f>
        <v>Roiphet110</v>
      </c>
      <c r="F585" s="389">
        <f>VLOOKUP(C585,'RAW DATA 2023'!E:BO,57,0)</f>
        <v>261.97749978441459</v>
      </c>
      <c r="G585" s="63">
        <f>VLOOKUP(C585,'RAW DATA 2023'!E:BO,58,0)</f>
        <v>183</v>
      </c>
      <c r="H585" s="390">
        <f>IFERROR((G585-F585)/G585,0)</f>
        <v>-0.4315710370733038</v>
      </c>
      <c r="I585" s="398">
        <f>IF(H585&lt;0,((0.25-(H585*(-1)))*$L$7),IF(H585&gt;0,(H585*$N$7)+$L$6,0))</f>
        <v>-9.6837886439095371</v>
      </c>
      <c r="J585" s="73">
        <f>VLOOKUP(C585,'RAW DATA 2023'!E:AC,21,0)</f>
        <v>8.6972500000000004</v>
      </c>
      <c r="K585" s="398">
        <f>I585*J585</f>
        <v>-84.222330783242228</v>
      </c>
      <c r="R585" s="400"/>
    </row>
    <row r="586" spans="1:18">
      <c r="A586" s="63" t="str">
        <f>'RAW DATA 2023'!B235</f>
        <v>Roiphet1</v>
      </c>
      <c r="B586" s="63" t="str">
        <f>'RAW DATA 2023'!D235</f>
        <v>D3-G06-0084</v>
      </c>
      <c r="C586" s="63" t="str">
        <f>A586&amp;B586</f>
        <v>Roiphet1D3-G06-0084</v>
      </c>
      <c r="D586" s="63">
        <f>VLOOKUP(C586,'RAW DATA 2023'!E:BP,63,0)</f>
        <v>10</v>
      </c>
      <c r="E586" s="63" t="str">
        <f>A586&amp;D586</f>
        <v>Roiphet110</v>
      </c>
      <c r="F586" s="389">
        <f>VLOOKUP(C586,'RAW DATA 2023'!E:BO,57,0)</f>
        <v>259.36458085590999</v>
      </c>
      <c r="G586" s="63">
        <f>VLOOKUP(C586,'RAW DATA 2023'!E:BO,58,0)</f>
        <v>184</v>
      </c>
      <c r="H586" s="397">
        <f>IFERROR((G586-F586)/G586,0)</f>
        <v>-0.40959011334733691</v>
      </c>
      <c r="I586" s="398">
        <f>IF(H586&lt;0,((0.25-(H586*(-1)))*$L$7),IF(H586&gt;0,(H586*$N$7)+$L$6,0))</f>
        <v>-8.5114727118579694</v>
      </c>
      <c r="J586" s="73">
        <f>VLOOKUP(C586,'RAW DATA 2023'!E:AC,21,0)</f>
        <v>9.0399699999999985</v>
      </c>
      <c r="K586" s="398">
        <f>I586*J586</f>
        <v>-76.943457971014681</v>
      </c>
      <c r="R586" s="400"/>
    </row>
    <row r="587" spans="1:18">
      <c r="A587" s="63" t="str">
        <f>'RAW DATA 2023'!B175</f>
        <v>Roiphet1</v>
      </c>
      <c r="B587" s="63" t="str">
        <f>'RAW DATA 2023'!D175</f>
        <v>D6-I12-0086</v>
      </c>
      <c r="C587" s="63" t="str">
        <f>A587&amp;B587</f>
        <v>Roiphet1D6-I12-0086</v>
      </c>
      <c r="D587" s="63">
        <f>VLOOKUP(C587,'RAW DATA 2023'!E:BP,63,0)</f>
        <v>11</v>
      </c>
      <c r="E587" s="63" t="str">
        <f>A587&amp;D587</f>
        <v>Roiphet111</v>
      </c>
      <c r="F587" s="389">
        <f>VLOOKUP(C587,'RAW DATA 2023'!E:BO,57,0)</f>
        <v>300.68848076403469</v>
      </c>
      <c r="G587" s="63">
        <f>VLOOKUP(C587,'RAW DATA 2023'!E:BO,58,0)</f>
        <v>186</v>
      </c>
      <c r="H587" s="397">
        <f>IFERROR((G587-F587)/G587,0)</f>
        <v>-0.61660473529050908</v>
      </c>
      <c r="I587" s="398">
        <f>IF(H587&lt;0,((0.25-(H587*(-1)))*$L$7),IF(H587&gt;0,(H587*$N$7)+$L$6,0))</f>
        <v>-19.552252548827152</v>
      </c>
      <c r="J587" s="73">
        <f>VLOOKUP(C587,'RAW DATA 2023'!E:AC,21,0)</f>
        <v>3.84904</v>
      </c>
      <c r="K587" s="398">
        <f>I587*J587</f>
        <v>-75.257402150537658</v>
      </c>
      <c r="R587" s="400"/>
    </row>
    <row r="588" spans="1:18">
      <c r="A588" s="63" t="str">
        <f>'RAW DATA 2023'!B176</f>
        <v>Roiphet1</v>
      </c>
      <c r="B588" s="63" t="str">
        <f>'RAW DATA 2023'!D176</f>
        <v>D6-I11-0084</v>
      </c>
      <c r="C588" s="63" t="str">
        <f>A588&amp;B588</f>
        <v>Roiphet1D6-I11-0084</v>
      </c>
      <c r="D588" s="63">
        <f>VLOOKUP(C588,'RAW DATA 2023'!E:BP,63,0)</f>
        <v>11</v>
      </c>
      <c r="E588" s="63" t="str">
        <f>A588&amp;D588</f>
        <v>Roiphet111</v>
      </c>
      <c r="F588" s="389">
        <f>VLOOKUP(C588,'RAW DATA 2023'!E:BO,57,0)</f>
        <v>396.83364844594843</v>
      </c>
      <c r="G588" s="63">
        <f>VLOOKUP(C588,'RAW DATA 2023'!E:BO,58,0)</f>
        <v>186</v>
      </c>
      <c r="H588" s="390">
        <f>IFERROR((G588-F588)/G588,0)</f>
        <v>-1.1335142389567119</v>
      </c>
      <c r="I588" s="398">
        <f>IF(H588&lt;0,((0.25-(H588*(-1)))*$L$7),IF(H588&gt;0,(H588*$N$7)+$L$6,0))</f>
        <v>-47.120759411024636</v>
      </c>
      <c r="J588" s="73">
        <f>VLOOKUP(C588,'RAW DATA 2023'!E:AC,21,0)</f>
        <v>2.8666999999999998</v>
      </c>
      <c r="K588" s="398">
        <f>I588*J588</f>
        <v>-135.0810810035843</v>
      </c>
      <c r="R588" s="400"/>
    </row>
    <row r="589" spans="1:18">
      <c r="A589" s="63" t="str">
        <f>'RAW DATA 2023'!B177</f>
        <v>Roiphet1</v>
      </c>
      <c r="B589" s="63" t="str">
        <f>'RAW DATA 2023'!D177</f>
        <v>D6-G11-0077</v>
      </c>
      <c r="C589" s="63" t="str">
        <f>A589&amp;B589</f>
        <v>Roiphet1D6-G11-0077</v>
      </c>
      <c r="D589" s="63">
        <f>VLOOKUP(C589,'RAW DATA 2023'!E:BP,63,0)</f>
        <v>11</v>
      </c>
      <c r="E589" s="63" t="str">
        <f>A589&amp;D589</f>
        <v>Roiphet111</v>
      </c>
      <c r="F589" s="389">
        <f>VLOOKUP(C589,'RAW DATA 2023'!E:BO,57,0)</f>
        <v>280.97964057398264</v>
      </c>
      <c r="G589" s="63">
        <f>VLOOKUP(C589,'RAW DATA 2023'!E:BO,58,0)</f>
        <v>181</v>
      </c>
      <c r="H589" s="390">
        <f>IFERROR((G589-F589)/G589,0)</f>
        <v>-0.55237370482863335</v>
      </c>
      <c r="I589" s="398">
        <f>IF(H589&lt;0,((0.25-(H589*(-1)))*$L$7),IF(H589&gt;0,(H589*$N$7)+$L$6,0))</f>
        <v>-16.126597590860445</v>
      </c>
      <c r="J589" s="73">
        <f>VLOOKUP(C589,'RAW DATA 2023'!E:AC,21,0)</f>
        <v>7.2064899999999996</v>
      </c>
      <c r="K589" s="398">
        <f>I589*J589</f>
        <v>-116.21616427255988</v>
      </c>
      <c r="R589" s="400"/>
    </row>
    <row r="590" spans="1:18">
      <c r="A590" s="63" t="str">
        <f>'RAW DATA 2023'!B178</f>
        <v>Roiphet1</v>
      </c>
      <c r="B590" s="63" t="str">
        <f>'RAW DATA 2023'!D178</f>
        <v>D6-G12-0080</v>
      </c>
      <c r="C590" s="63" t="str">
        <f>A590&amp;B590</f>
        <v>Roiphet1D6-G12-0080</v>
      </c>
      <c r="D590" s="63">
        <f>VLOOKUP(C590,'RAW DATA 2023'!E:BP,63,0)</f>
        <v>11</v>
      </c>
      <c r="E590" s="63" t="str">
        <f>A590&amp;D590</f>
        <v>Roiphet111</v>
      </c>
      <c r="F590" s="389">
        <f>VLOOKUP(C590,'RAW DATA 2023'!E:BO,57,0)</f>
        <v>328.07219480441842</v>
      </c>
      <c r="G590" s="63">
        <f>VLOOKUP(C590,'RAW DATA 2023'!E:BO,58,0)</f>
        <v>174</v>
      </c>
      <c r="H590" s="397">
        <f>IFERROR((G590-F590)/G590,0)</f>
        <v>-0.88547238393343919</v>
      </c>
      <c r="I590" s="398">
        <f>IF(H590&lt;0,((0.25-(H590*(-1)))*$L$7),IF(H590&gt;0,(H590*$N$7)+$L$6,0))</f>
        <v>-33.891860476450091</v>
      </c>
      <c r="J590" s="73">
        <f>VLOOKUP(C590,'RAW DATA 2023'!E:AC,21,0)</f>
        <v>6.0220399999999996</v>
      </c>
      <c r="K590" s="398">
        <f>I590*J590</f>
        <v>-204.09813946360148</v>
      </c>
      <c r="R590" s="400"/>
    </row>
    <row r="591" spans="1:18">
      <c r="A591" s="63" t="str">
        <f>'RAW DATA 2023'!B179</f>
        <v>Roiphet1</v>
      </c>
      <c r="B591" s="63" t="str">
        <f>'RAW DATA 2023'!D179</f>
        <v>D4-G08-0060</v>
      </c>
      <c r="C591" s="63" t="str">
        <f>A591&amp;B591</f>
        <v>Roiphet1D4-G08-0060</v>
      </c>
      <c r="D591" s="63">
        <f>VLOOKUP(C591,'RAW DATA 2023'!E:BP,63,0)</f>
        <v>11</v>
      </c>
      <c r="E591" s="63" t="str">
        <f>A591&amp;D591</f>
        <v>Roiphet111</v>
      </c>
      <c r="F591" s="389">
        <f>VLOOKUP(C591,'RAW DATA 2023'!E:BO,57,0)</f>
        <v>266.67582074175823</v>
      </c>
      <c r="G591" s="63">
        <f>VLOOKUP(C591,'RAW DATA 2023'!E:BO,58,0)</f>
        <v>187</v>
      </c>
      <c r="H591" s="397">
        <f>IFERROR((G591-F591)/G591,0)</f>
        <v>-0.42607390770993708</v>
      </c>
      <c r="I591" s="398">
        <f>IF(H591&lt;0,((0.25-(H591*(-1)))*$L$7),IF(H591&gt;0,(H591*$N$7)+$L$6,0))</f>
        <v>-9.390608411196645</v>
      </c>
      <c r="J591" s="73">
        <f>VLOOKUP(C591,'RAW DATA 2023'!E:AC,21,0)</f>
        <v>8.7360000000000007</v>
      </c>
      <c r="K591" s="398">
        <f>I591*J591</f>
        <v>-82.036355080213895</v>
      </c>
      <c r="R591" s="400"/>
    </row>
    <row r="592" spans="1:18">
      <c r="A592" s="63" t="str">
        <f>'RAW DATA 2023'!B184</f>
        <v>Roiphet1</v>
      </c>
      <c r="B592" s="63" t="str">
        <f>'RAW DATA 2023'!D184</f>
        <v>D4-G07-0063</v>
      </c>
      <c r="C592" s="63" t="str">
        <f>A592&amp;B592</f>
        <v>Roiphet1D4-G07-0063</v>
      </c>
      <c r="D592" s="63">
        <f>VLOOKUP(C592,'RAW DATA 2023'!E:BP,63,0)</f>
        <v>11</v>
      </c>
      <c r="E592" s="63" t="str">
        <f>A592&amp;D592</f>
        <v>Roiphet111</v>
      </c>
      <c r="F592" s="389">
        <f>VLOOKUP(C592,'RAW DATA 2023'!E:BO,57,0)</f>
        <v>250.4027720296603</v>
      </c>
      <c r="G592" s="63">
        <f>VLOOKUP(C592,'RAW DATA 2023'!E:BO,58,0)</f>
        <v>180</v>
      </c>
      <c r="H592" s="397">
        <f>IFERROR((G592-F592)/G592,0)</f>
        <v>-0.39112651127589054</v>
      </c>
      <c r="I592" s="398">
        <f>IF(H592&lt;0,((0.25-(H592*(-1)))*$L$7),IF(H592&gt;0,(H592*$N$7)+$L$6,0))</f>
        <v>-7.5267472680474956</v>
      </c>
      <c r="J592" s="73">
        <f>VLOOKUP(C592,'RAW DATA 2023'!E:AC,21,0)</f>
        <v>9.2783999999999995</v>
      </c>
      <c r="K592" s="398">
        <f>I592*J592</f>
        <v>-69.836171851851873</v>
      </c>
      <c r="R592" s="400"/>
    </row>
    <row r="593" spans="1:18">
      <c r="A593" s="63" t="str">
        <f>'RAW DATA 2023'!B256</f>
        <v>Roiphet1</v>
      </c>
      <c r="B593" s="63" t="str">
        <f>'RAW DATA 2023'!D256</f>
        <v>C4-G07-0058</v>
      </c>
      <c r="C593" s="63" t="str">
        <f>A593&amp;B593</f>
        <v>Roiphet1C4-G07-0058</v>
      </c>
      <c r="D593" s="63">
        <f>VLOOKUP(C593,'RAW DATA 2023'!E:BP,63,0)</f>
        <v>11</v>
      </c>
      <c r="E593" s="63" t="str">
        <f>A593&amp;D593</f>
        <v>Roiphet111</v>
      </c>
      <c r="F593" s="389">
        <f>VLOOKUP(C593,'RAW DATA 2023'!E:BO,57,0)</f>
        <v>291.64495340907024</v>
      </c>
      <c r="G593" s="63">
        <f>VLOOKUP(C593,'RAW DATA 2023'!E:BO,58,0)</f>
        <v>165</v>
      </c>
      <c r="H593" s="390">
        <f>IFERROR((G593-F593)/G593,0)</f>
        <v>-0.76754517217618323</v>
      </c>
      <c r="I593" s="398">
        <f>IF(H593&lt;0,((0.25-(H593*(-1)))*$L$7),IF(H593&gt;0,(H593*$N$7)+$L$6,0))</f>
        <v>-27.602409182729772</v>
      </c>
      <c r="J593" s="73">
        <f>VLOOKUP(C593,'RAW DATA 2023'!E:AC,21,0)</f>
        <v>8.2258500000000012</v>
      </c>
      <c r="K593" s="398">
        <f>I593*J593</f>
        <v>-227.05327757575773</v>
      </c>
      <c r="R593" s="400"/>
    </row>
    <row r="594" spans="1:18">
      <c r="A594" s="63" t="str">
        <f>'RAW DATA 2023'!B305</f>
        <v>Roiphet1</v>
      </c>
      <c r="B594" s="63" t="str">
        <f>'RAW DATA 2023'!D305</f>
        <v>B5-I09-0095</v>
      </c>
      <c r="C594" s="63" t="str">
        <f>A594&amp;B594</f>
        <v>Roiphet1B5-I09-0095</v>
      </c>
      <c r="D594" s="63">
        <f>VLOOKUP(C594,'RAW DATA 2023'!E:BP,63,0)</f>
        <v>11</v>
      </c>
      <c r="E594" s="63" t="str">
        <f>A594&amp;D594</f>
        <v>Roiphet111</v>
      </c>
      <c r="F594" s="389">
        <f>VLOOKUP(C594,'RAW DATA 2023'!E:BO,57,0)</f>
        <v>328.69522206396482</v>
      </c>
      <c r="G594" s="63">
        <f>VLOOKUP(C594,'RAW DATA 2023'!E:BO,58,0)</f>
        <v>150</v>
      </c>
      <c r="H594" s="390">
        <f>IFERROR((G594-F594)/G594,0)</f>
        <v>-1.1913014804264321</v>
      </c>
      <c r="I594" s="398">
        <f>IF(H594&lt;0,((0.25-(H594*(-1)))*$L$7),IF(H594&gt;0,(H594*$N$7)+$L$6,0))</f>
        <v>-50.202745622743052</v>
      </c>
      <c r="J594" s="73">
        <f>VLOOKUP(C594,'RAW DATA 2023'!E:AC,21,0)</f>
        <v>2.7030500000000002</v>
      </c>
      <c r="K594" s="398">
        <f>I594*J594</f>
        <v>-135.70053155555561</v>
      </c>
      <c r="R594" s="400"/>
    </row>
    <row r="595" spans="1:18">
      <c r="A595" s="63" t="str">
        <f>'RAW DATA 2023'!B309</f>
        <v>Roiphet1</v>
      </c>
      <c r="B595" s="63" t="str">
        <f>'RAW DATA 2023'!D309</f>
        <v>B5-G09-0086</v>
      </c>
      <c r="C595" s="63" t="str">
        <f>A595&amp;B595</f>
        <v>Roiphet1B5-G09-0086</v>
      </c>
      <c r="D595" s="63">
        <f>VLOOKUP(C595,'RAW DATA 2023'!E:BP,63,0)</f>
        <v>11</v>
      </c>
      <c r="E595" s="63" t="str">
        <f>A595&amp;D595</f>
        <v>Roiphet111</v>
      </c>
      <c r="F595" s="389">
        <f>VLOOKUP(C595,'RAW DATA 2023'!E:BO,57,0)</f>
        <v>285.85699145561978</v>
      </c>
      <c r="G595" s="63">
        <f>VLOOKUP(C595,'RAW DATA 2023'!E:BO,58,0)</f>
        <v>150</v>
      </c>
      <c r="H595" s="397">
        <f>IFERROR((G595-F595)/G595,0)</f>
        <v>-0.90571327637079857</v>
      </c>
      <c r="I595" s="398">
        <f>IF(H595&lt;0,((0.25-(H595*(-1)))*$L$7),IF(H595&gt;0,(H595*$N$7)+$L$6,0))</f>
        <v>-34.971374739775925</v>
      </c>
      <c r="J595" s="73">
        <f>VLOOKUP(C595,'RAW DATA 2023'!E:AC,21,0)</f>
        <v>5.4632399999999999</v>
      </c>
      <c r="K595" s="398">
        <f>I595*J595</f>
        <v>-191.05701333333343</v>
      </c>
      <c r="R595" s="400"/>
    </row>
    <row r="596" spans="1:18">
      <c r="A596" s="63" t="str">
        <f>'RAW DATA 2023'!B310</f>
        <v>Roiphet1</v>
      </c>
      <c r="B596" s="63" t="str">
        <f>'RAW DATA 2023'!D310</f>
        <v>B5-G10-0085</v>
      </c>
      <c r="C596" s="63" t="str">
        <f>A596&amp;B596</f>
        <v>Roiphet1B5-G10-0085</v>
      </c>
      <c r="D596" s="63">
        <f>VLOOKUP(C596,'RAW DATA 2023'!E:BP,63,0)</f>
        <v>11</v>
      </c>
      <c r="E596" s="63" t="str">
        <f>A596&amp;D596</f>
        <v>Roiphet111</v>
      </c>
      <c r="F596" s="389">
        <f>VLOOKUP(C596,'RAW DATA 2023'!E:BO,57,0)</f>
        <v>285.6326837437299</v>
      </c>
      <c r="G596" s="63">
        <f>VLOOKUP(C596,'RAW DATA 2023'!E:BO,58,0)</f>
        <v>150</v>
      </c>
      <c r="H596" s="390">
        <f>IFERROR((G596-F596)/G596,0)</f>
        <v>-0.90421789162486599</v>
      </c>
      <c r="I596" s="398">
        <f>IF(H596&lt;0,((0.25-(H596*(-1)))*$L$7),IF(H596&gt;0,(H596*$N$7)+$L$6,0))</f>
        <v>-34.891620886659524</v>
      </c>
      <c r="J596" s="73">
        <f>VLOOKUP(C596,'RAW DATA 2023'!E:AC,21,0)</f>
        <v>5.0816699999999999</v>
      </c>
      <c r="K596" s="398">
        <f>I596*J596</f>
        <v>-177.3077031111111</v>
      </c>
      <c r="R596" s="400"/>
    </row>
    <row r="597" spans="1:18">
      <c r="A597" s="63" t="str">
        <f>'RAW DATA 2023'!B312</f>
        <v>Roiphet1</v>
      </c>
      <c r="B597" s="63" t="str">
        <f>'RAW DATA 2023'!D312</f>
        <v>B5-I10-0092</v>
      </c>
      <c r="C597" s="63" t="str">
        <f>A597&amp;B597</f>
        <v>Roiphet1B5-I10-0092</v>
      </c>
      <c r="D597" s="63">
        <f>VLOOKUP(C597,'RAW DATA 2023'!E:BP,63,0)</f>
        <v>11</v>
      </c>
      <c r="E597" s="63" t="str">
        <f>A597&amp;D597</f>
        <v>Roiphet111</v>
      </c>
      <c r="F597" s="389">
        <f>VLOOKUP(C597,'RAW DATA 2023'!E:BO,57,0)</f>
        <v>620.90271838852823</v>
      </c>
      <c r="G597" s="63">
        <f>VLOOKUP(C597,'RAW DATA 2023'!E:BO,58,0)</f>
        <v>150</v>
      </c>
      <c r="H597" s="390">
        <f>IFERROR((G597-F597)/G597,0)</f>
        <v>-3.1393514559235216</v>
      </c>
      <c r="I597" s="398">
        <f>IF(H597&lt;0,((0.25-(H597*(-1)))*$L$7),IF(H597&gt;0,(H597*$N$7)+$L$6,0))</f>
        <v>-154.09874431592115</v>
      </c>
      <c r="J597" s="73">
        <f>VLOOKUP(C597,'RAW DATA 2023'!E:AC,21,0)</f>
        <v>1.2371300000000001</v>
      </c>
      <c r="K597" s="398">
        <f>I597*J597</f>
        <v>-190.64017955555553</v>
      </c>
      <c r="R597" s="400"/>
    </row>
    <row r="598" spans="1:18">
      <c r="A598" s="63" t="str">
        <f>'RAW DATA 2023'!B180</f>
        <v>Roiphet1</v>
      </c>
      <c r="B598" s="63" t="str">
        <f>'RAW DATA 2023'!D180</f>
        <v>D1-I02-0090</v>
      </c>
      <c r="C598" s="63" t="str">
        <f>A598&amp;B598</f>
        <v>Roiphet1D1-I02-0090</v>
      </c>
      <c r="D598" s="63">
        <f>VLOOKUP(C598,'RAW DATA 2023'!E:BP,63,0)</f>
        <v>12</v>
      </c>
      <c r="E598" s="63" t="str">
        <f>A598&amp;D598</f>
        <v>Roiphet112</v>
      </c>
      <c r="F598" s="389">
        <f>VLOOKUP(C598,'RAW DATA 2023'!E:BO,57,0)</f>
        <v>554.44706806014199</v>
      </c>
      <c r="G598" s="63">
        <f>VLOOKUP(C598,'RAW DATA 2023'!E:BO,58,0)</f>
        <v>167</v>
      </c>
      <c r="H598" s="390">
        <f>IFERROR((G598-F598)/G598,0)</f>
        <v>-2.3200423237134249</v>
      </c>
      <c r="I598" s="398">
        <f>IF(H598&lt;0,((0.25-(H598*(-1)))*$L$7),IF(H598&gt;0,(H598*$N$7)+$L$6,0))</f>
        <v>-110.402257264716</v>
      </c>
      <c r="J598" s="73">
        <f>VLOOKUP(C598,'RAW DATA 2023'!E:AC,21,0)</f>
        <v>2.5346700000000002</v>
      </c>
      <c r="K598" s="398">
        <f>I598*J598</f>
        <v>-279.8332894211577</v>
      </c>
      <c r="R598" s="400"/>
    </row>
    <row r="599" spans="1:18">
      <c r="A599" s="63" t="str">
        <f>'RAW DATA 2023'!B181</f>
        <v>Roiphet1</v>
      </c>
      <c r="B599" s="63" t="str">
        <f>'RAW DATA 2023'!D181</f>
        <v>D1-I01-0092</v>
      </c>
      <c r="C599" s="63" t="str">
        <f>A599&amp;B599</f>
        <v>Roiphet1D1-I01-0092</v>
      </c>
      <c r="D599" s="63">
        <f>VLOOKUP(C599,'RAW DATA 2023'!E:BP,63,0)</f>
        <v>12</v>
      </c>
      <c r="E599" s="63" t="str">
        <f>A599&amp;D599</f>
        <v>Roiphet112</v>
      </c>
      <c r="F599" s="389">
        <f>VLOOKUP(C599,'RAW DATA 2023'!E:BO,57,0)</f>
        <v>392.2601508437387</v>
      </c>
      <c r="G599" s="63">
        <f>VLOOKUP(C599,'RAW DATA 2023'!E:BO,58,0)</f>
        <v>166</v>
      </c>
      <c r="H599" s="390">
        <f>IFERROR((G599-F599)/G599,0)</f>
        <v>-1.3630129568899922</v>
      </c>
      <c r="I599" s="398">
        <f>IF(H599&lt;0,((0.25-(H599*(-1)))*$L$7),IF(H599&gt;0,(H599*$N$7)+$L$6,0))</f>
        <v>-59.36069103413292</v>
      </c>
      <c r="J599" s="73">
        <f>VLOOKUP(C599,'RAW DATA 2023'!E:AC,21,0)</f>
        <v>3.0216699999999999</v>
      </c>
      <c r="K599" s="398">
        <f>I599*J599</f>
        <v>-179.36841927710842</v>
      </c>
      <c r="R599" s="400"/>
    </row>
    <row r="600" spans="1:18">
      <c r="A600" s="63" t="str">
        <f>'RAW DATA 2023'!B182</f>
        <v>Roiphet1</v>
      </c>
      <c r="B600" s="63" t="str">
        <f>'RAW DATA 2023'!D182</f>
        <v>D1-G02-0080</v>
      </c>
      <c r="C600" s="63" t="str">
        <f>A600&amp;B600</f>
        <v>Roiphet1D1-G02-0080</v>
      </c>
      <c r="D600" s="63">
        <f>VLOOKUP(C600,'RAW DATA 2023'!E:BP,63,0)</f>
        <v>12</v>
      </c>
      <c r="E600" s="63" t="str">
        <f>A600&amp;D600</f>
        <v>Roiphet112</v>
      </c>
      <c r="F600" s="389">
        <f>VLOOKUP(C600,'RAW DATA 2023'!E:BO,57,0)</f>
        <v>364.51507195612646</v>
      </c>
      <c r="G600" s="63">
        <f>VLOOKUP(C600,'RAW DATA 2023'!E:BO,58,0)</f>
        <v>167</v>
      </c>
      <c r="H600" s="397">
        <f>IFERROR((G600-F600)/G600,0)</f>
        <v>-1.1827249817732124</v>
      </c>
      <c r="I600" s="398">
        <f>IF(H600&lt;0,((0.25-(H600*(-1)))*$L$7),IF(H600&gt;0,(H600*$N$7)+$L$6,0))</f>
        <v>-49.745332361237999</v>
      </c>
      <c r="J600" s="73">
        <f>VLOOKUP(C600,'RAW DATA 2023'!E:AC,21,0)</f>
        <v>6.2579799999999999</v>
      </c>
      <c r="K600" s="398">
        <f>I600*J600</f>
        <v>-311.30529500998017</v>
      </c>
      <c r="R600" s="400"/>
    </row>
    <row r="601" spans="1:18">
      <c r="A601" s="63" t="str">
        <f>'RAW DATA 2023'!B183</f>
        <v>Roiphet1</v>
      </c>
      <c r="B601" s="63" t="str">
        <f>'RAW DATA 2023'!D183</f>
        <v>D1-G01-0078</v>
      </c>
      <c r="C601" s="63" t="str">
        <f>A601&amp;B601</f>
        <v>Roiphet1D1-G01-0078</v>
      </c>
      <c r="D601" s="63">
        <f>VLOOKUP(C601,'RAW DATA 2023'!E:BP,63,0)</f>
        <v>12</v>
      </c>
      <c r="E601" s="63" t="str">
        <f>A601&amp;D601</f>
        <v>Roiphet112</v>
      </c>
      <c r="F601" s="389">
        <f>VLOOKUP(C601,'RAW DATA 2023'!E:BO,57,0)</f>
        <v>346.29979490150299</v>
      </c>
      <c r="G601" s="63">
        <f>VLOOKUP(C601,'RAW DATA 2023'!E:BO,58,0)</f>
        <v>167</v>
      </c>
      <c r="H601" s="390">
        <f>IFERROR((G601-F601)/G601,0)</f>
        <v>-1.0736514664760659</v>
      </c>
      <c r="I601" s="398">
        <f>IF(H601&lt;0,((0.25-(H601*(-1)))*$L$7),IF(H601&gt;0,(H601*$N$7)+$L$6,0))</f>
        <v>-43.928078212056853</v>
      </c>
      <c r="J601" s="73">
        <f>VLOOKUP(C601,'RAW DATA 2023'!E:AC,21,0)</f>
        <v>6.8357399999999995</v>
      </c>
      <c r="K601" s="398">
        <f>I601*J601</f>
        <v>-300.28092135728548</v>
      </c>
      <c r="R601" s="400"/>
    </row>
    <row r="602" spans="1:18">
      <c r="A602" s="63" t="str">
        <f>'RAW DATA 2023'!B250</f>
        <v>Roiphet1</v>
      </c>
      <c r="B602" s="63" t="str">
        <f>'RAW DATA 2023'!D250</f>
        <v>C4-G08-0062</v>
      </c>
      <c r="C602" s="63" t="str">
        <f>A602&amp;B602</f>
        <v>Roiphet1C4-G08-0062</v>
      </c>
      <c r="D602" s="63">
        <f>VLOOKUP(C602,'RAW DATA 2023'!E:BP,63,0)</f>
        <v>12</v>
      </c>
      <c r="E602" s="63" t="str">
        <f>A602&amp;D602</f>
        <v>Roiphet112</v>
      </c>
      <c r="F602" s="389">
        <f>VLOOKUP(C602,'RAW DATA 2023'!E:BO,57,0)</f>
        <v>295.94465650007191</v>
      </c>
      <c r="G602" s="63">
        <f>VLOOKUP(C602,'RAW DATA 2023'!E:BO,58,0)</f>
        <v>170</v>
      </c>
      <c r="H602" s="397">
        <f>IFERROR((G602-F602)/G602,0)</f>
        <v>-0.74085092058865831</v>
      </c>
      <c r="I602" s="398">
        <f>IF(H602&lt;0,((0.25-(H602*(-1)))*$L$7),IF(H602&gt;0,(H602*$N$7)+$L$6,0))</f>
        <v>-26.178715764728445</v>
      </c>
      <c r="J602" s="73">
        <f>VLOOKUP(C602,'RAW DATA 2023'!E:AC,21,0)</f>
        <v>8.2813700000000008</v>
      </c>
      <c r="K602" s="398">
        <f>I602*J602</f>
        <v>-216.79563137254922</v>
      </c>
      <c r="R602" s="400"/>
    </row>
    <row r="603" spans="1:18">
      <c r="A603" s="63" t="str">
        <f>'RAW DATA 2023'!B251</f>
        <v>Roiphet1</v>
      </c>
      <c r="B603" s="63" t="str">
        <f>'RAW DATA 2023'!D251</f>
        <v>C4-I07-0061</v>
      </c>
      <c r="C603" s="63" t="str">
        <f>A603&amp;B603</f>
        <v>Roiphet1C4-I07-0061</v>
      </c>
      <c r="D603" s="63">
        <f>VLOOKUP(C603,'RAW DATA 2023'!E:BP,63,0)</f>
        <v>12</v>
      </c>
      <c r="E603" s="63" t="str">
        <f>A603&amp;D603</f>
        <v>Roiphet112</v>
      </c>
      <c r="F603" s="389">
        <f>VLOOKUP(C603,'RAW DATA 2023'!E:BO,57,0)</f>
        <v>267.58244534284444</v>
      </c>
      <c r="G603" s="63">
        <f>VLOOKUP(C603,'RAW DATA 2023'!E:BO,58,0)</f>
        <v>174</v>
      </c>
      <c r="H603" s="390">
        <f>IFERROR((G603-F603)/G603,0)</f>
        <v>-0.53783014564853127</v>
      </c>
      <c r="I603" s="398">
        <f>IF(H603&lt;0,((0.25-(H603*(-1)))*$L$7),IF(H603&gt;0,(H603*$N$7)+$L$6,0))</f>
        <v>-15.350941101255001</v>
      </c>
      <c r="J603" s="73">
        <f>VLOOKUP(C603,'RAW DATA 2023'!E:AC,21,0)</f>
        <v>4.5364599999999999</v>
      </c>
      <c r="K603" s="398">
        <f>I603*J603</f>
        <v>-69.63893026819926</v>
      </c>
      <c r="R603" s="400"/>
    </row>
    <row r="604" spans="1:18">
      <c r="A604" s="63" t="str">
        <f>'RAW DATA 2023'!B257</f>
        <v>Roiphet1</v>
      </c>
      <c r="B604" s="63" t="str">
        <f>'RAW DATA 2023'!D257</f>
        <v>C4-I08-0065</v>
      </c>
      <c r="C604" s="63" t="str">
        <f>A604&amp;B604</f>
        <v>Roiphet1C4-I08-0065</v>
      </c>
      <c r="D604" s="63">
        <f>VLOOKUP(C604,'RAW DATA 2023'!E:BP,63,0)</f>
        <v>12</v>
      </c>
      <c r="E604" s="63" t="str">
        <f>A604&amp;D604</f>
        <v>Roiphet112</v>
      </c>
      <c r="F604" s="389">
        <f>VLOOKUP(C604,'RAW DATA 2023'!E:BO,57,0)</f>
        <v>252.8933183052882</v>
      </c>
      <c r="G604" s="63">
        <f>VLOOKUP(C604,'RAW DATA 2023'!E:BO,58,0)</f>
        <v>175</v>
      </c>
      <c r="H604" s="397">
        <f>IFERROR((G604-F604)/G604,0)</f>
        <v>-0.4451046760302183</v>
      </c>
      <c r="I604" s="398">
        <f>IF(H604&lt;0,((0.25-(H604*(-1)))*$L$7),IF(H604&gt;0,(H604*$N$7)+$L$6,0))</f>
        <v>-10.405582721611644</v>
      </c>
      <c r="J604" s="73">
        <f>VLOOKUP(C604,'RAW DATA 2023'!E:AC,21,0)</f>
        <v>4.7821699999999998</v>
      </c>
      <c r="K604" s="398">
        <f>I604*J604</f>
        <v>-49.761265523809556</v>
      </c>
      <c r="R604" s="400"/>
    </row>
    <row r="605" spans="1:18">
      <c r="A605" s="63" t="str">
        <f>'RAW DATA 2023'!B269</f>
        <v>Roiphet1</v>
      </c>
      <c r="B605" s="63" t="str">
        <f>'RAW DATA 2023'!D269</f>
        <v>B1-I02-0096</v>
      </c>
      <c r="C605" s="63" t="str">
        <f>A605&amp;B605</f>
        <v>Roiphet1B1-I02-0096</v>
      </c>
      <c r="D605" s="63">
        <f>VLOOKUP(C605,'RAW DATA 2023'!E:BP,63,0)</f>
        <v>12</v>
      </c>
      <c r="E605" s="63" t="str">
        <f>A605&amp;D605</f>
        <v>Roiphet112</v>
      </c>
      <c r="F605" s="389">
        <f>VLOOKUP(C605,'RAW DATA 2023'!E:BO,57,0)</f>
        <v>338.05421089879695</v>
      </c>
      <c r="G605" s="63">
        <f>VLOOKUP(C605,'RAW DATA 2023'!E:BO,58,0)</f>
        <v>182</v>
      </c>
      <c r="H605" s="399">
        <f>IFERROR((G605-F605)/G605,0)</f>
        <v>-0.8574407192241591</v>
      </c>
      <c r="I605" s="398">
        <f>IF(H605&lt;0,((0.25-(H605*(-1)))*$L$7),IF(H605&gt;0,(H605*$N$7)+$L$6,0))</f>
        <v>-32.396838358621821</v>
      </c>
      <c r="J605" s="73">
        <f>VLOOKUP(C605,'RAW DATA 2023'!E:AC,21,0)</f>
        <v>4.5922499999999999</v>
      </c>
      <c r="K605" s="398">
        <f>I605*J605</f>
        <v>-148.77438095238105</v>
      </c>
      <c r="R605" s="400"/>
    </row>
    <row r="606" spans="1:18">
      <c r="A606" s="63" t="str">
        <f>'RAW DATA 2023'!B278</f>
        <v>Roiphet1</v>
      </c>
      <c r="B606" s="63" t="str">
        <f>'RAW DATA 2023'!D278</f>
        <v>B1-G02-0089</v>
      </c>
      <c r="C606" s="63" t="str">
        <f>A606&amp;B606</f>
        <v>Roiphet1B1-G02-0089</v>
      </c>
      <c r="D606" s="63">
        <f>VLOOKUP(C606,'RAW DATA 2023'!E:BP,63,0)</f>
        <v>12</v>
      </c>
      <c r="E606" s="63" t="str">
        <f>A606&amp;D606</f>
        <v>Roiphet112</v>
      </c>
      <c r="F606" s="389">
        <f>VLOOKUP(C606,'RAW DATA 2023'!E:BO,57,0)</f>
        <v>264.573622125611</v>
      </c>
      <c r="G606" s="63">
        <f>VLOOKUP(C606,'RAW DATA 2023'!E:BO,58,0)</f>
        <v>185</v>
      </c>
      <c r="H606" s="390">
        <f>IFERROR((G606-F606)/G606,0)</f>
        <v>-0.43012768716546484</v>
      </c>
      <c r="I606" s="398">
        <f>IF(H606&lt;0,((0.25-(H606*(-1)))*$L$7),IF(H606&gt;0,(H606*$N$7)+$L$6,0))</f>
        <v>-9.6068099821581256</v>
      </c>
      <c r="J606" s="73">
        <f>VLOOKUP(C606,'RAW DATA 2023'!E:AC,21,0)</f>
        <v>10.75098</v>
      </c>
      <c r="K606" s="398">
        <f>I606*J606</f>
        <v>-103.28262198198237</v>
      </c>
      <c r="R606" s="400"/>
    </row>
    <row r="607" spans="1:18">
      <c r="A607" s="63" t="str">
        <f>'RAW DATA 2023'!B282</f>
        <v>Roiphet1</v>
      </c>
      <c r="B607" s="63" t="str">
        <f>'RAW DATA 2023'!D282</f>
        <v>B1-I01-0096</v>
      </c>
      <c r="C607" s="63" t="str">
        <f>A607&amp;B607</f>
        <v>Roiphet1B1-I01-0096</v>
      </c>
      <c r="D607" s="63">
        <f>VLOOKUP(C607,'RAW DATA 2023'!E:BP,63,0)</f>
        <v>12</v>
      </c>
      <c r="E607" s="63" t="str">
        <f>A607&amp;D607</f>
        <v>Roiphet112</v>
      </c>
      <c r="F607" s="389">
        <f>VLOOKUP(C607,'RAW DATA 2023'!E:BO,57,0)</f>
        <v>328.05183774586641</v>
      </c>
      <c r="G607" s="63">
        <f>VLOOKUP(C607,'RAW DATA 2023'!E:BO,58,0)</f>
        <v>183</v>
      </c>
      <c r="H607" s="390">
        <f>IFERROR((G607-F607)/G607,0)</f>
        <v>-0.79263299314681102</v>
      </c>
      <c r="I607" s="398">
        <f>IF(H607&lt;0,((0.25-(H607*(-1)))*$L$7),IF(H607&gt;0,(H607*$N$7)+$L$6,0))</f>
        <v>-28.940426301163257</v>
      </c>
      <c r="J607" s="73">
        <f>VLOOKUP(C607,'RAW DATA 2023'!E:AC,21,0)</f>
        <v>5.07796</v>
      </c>
      <c r="K607" s="398">
        <f>I607*J607</f>
        <v>-146.95832714025497</v>
      </c>
      <c r="R607" s="400"/>
    </row>
    <row r="608" spans="1:18">
      <c r="A608" s="63" t="str">
        <f>'RAW DATA 2023'!B285</f>
        <v>Roiphet1</v>
      </c>
      <c r="B608" s="63" t="str">
        <f>'RAW DATA 2023'!D285</f>
        <v>B1-G01-0085</v>
      </c>
      <c r="C608" s="63" t="str">
        <f>A608&amp;B608</f>
        <v>Roiphet1B1-G01-0085</v>
      </c>
      <c r="D608" s="63">
        <f>VLOOKUP(C608,'RAW DATA 2023'!E:BP,63,0)</f>
        <v>12</v>
      </c>
      <c r="E608" s="63" t="str">
        <f>A608&amp;D608</f>
        <v>Roiphet112</v>
      </c>
      <c r="F608" s="389">
        <f>VLOOKUP(C608,'RAW DATA 2023'!E:BO,57,0)</f>
        <v>256.41849808184656</v>
      </c>
      <c r="G608" s="63">
        <f>VLOOKUP(C608,'RAW DATA 2023'!E:BO,58,0)</f>
        <v>184</v>
      </c>
      <c r="H608" s="390">
        <f>IFERROR((G608-F608)/G608,0)</f>
        <v>-0.39357879392307915</v>
      </c>
      <c r="I608" s="398">
        <f>IF(H608&lt;0,((0.25-(H608*(-1)))*$L$7),IF(H608&gt;0,(H608*$N$7)+$L$6,0))</f>
        <v>-7.657535675897555</v>
      </c>
      <c r="J608" s="73">
        <f>VLOOKUP(C608,'RAW DATA 2023'!E:AC,21,0)</f>
        <v>11.09661</v>
      </c>
      <c r="K608" s="398">
        <f>I608*J608</f>
        <v>-84.972686956521571</v>
      </c>
      <c r="R608" s="400"/>
    </row>
    <row r="609" spans="1:18">
      <c r="A609" s="63" t="str">
        <f>'RAW DATA 2023'!B121</f>
        <v>Roiphet1</v>
      </c>
      <c r="B609" s="63" t="str">
        <f>'RAW DATA 2023'!D121</f>
        <v>D6-I11-0082</v>
      </c>
      <c r="C609" s="63" t="str">
        <f>A609&amp;B609</f>
        <v>Roiphet1D6-I11-0082</v>
      </c>
      <c r="D609" s="63">
        <f>VLOOKUP(C609,'RAW DATA 2023'!E:BP,63,0)</f>
        <v>2</v>
      </c>
      <c r="E609" s="63" t="str">
        <f>A609&amp;D609</f>
        <v>Roiphet12</v>
      </c>
      <c r="F609" s="389">
        <f>VLOOKUP(C609,'RAW DATA 2023'!E:BO,57,0)</f>
        <v>261.46523873786106</v>
      </c>
      <c r="G609" s="63">
        <f>VLOOKUP(C609,'RAW DATA 2023'!E:BO,58,0)</f>
        <v>189</v>
      </c>
      <c r="H609" s="397">
        <f>IFERROR((G609-F609)/G609,0)</f>
        <v>-0.38341396157598445</v>
      </c>
      <c r="I609" s="398">
        <f>IF(H609&lt;0,((0.25-(H609*(-1)))*$L$7),IF(H609&gt;0,(H609*$N$7)+$L$6,0))</f>
        <v>-7.1154112840525041</v>
      </c>
      <c r="J609" s="73">
        <f>VLOOKUP(C609,'RAW DATA 2023'!E:AC,21,0)</f>
        <v>4.15707</v>
      </c>
      <c r="K609" s="398">
        <f>I609*J609</f>
        <v>-29.579262786596143</v>
      </c>
      <c r="R609" s="400"/>
    </row>
    <row r="610" spans="1:18">
      <c r="A610" s="63" t="str">
        <f>'RAW DATA 2023'!B122</f>
        <v>Roiphet1</v>
      </c>
      <c r="B610" s="63" t="str">
        <f>'RAW DATA 2023'!D122</f>
        <v>D1-G02-0078</v>
      </c>
      <c r="C610" s="63" t="str">
        <f>A610&amp;B610</f>
        <v>Roiphet1D1-G02-0078</v>
      </c>
      <c r="D610" s="63">
        <f>VLOOKUP(C610,'RAW DATA 2023'!E:BP,63,0)</f>
        <v>2</v>
      </c>
      <c r="E610" s="63" t="str">
        <f>A610&amp;D610</f>
        <v>Roiphet12</v>
      </c>
      <c r="F610" s="389">
        <f>VLOOKUP(C610,'RAW DATA 2023'!E:BO,57,0)</f>
        <v>172.39443564857993</v>
      </c>
      <c r="G610" s="63">
        <f>VLOOKUP(C610,'RAW DATA 2023'!E:BO,58,0)</f>
        <v>187</v>
      </c>
      <c r="H610" s="397">
        <f>IFERROR((G610-F610)/G610,0)</f>
        <v>7.8104622200107332E-2</v>
      </c>
      <c r="I610" s="398">
        <f>IF(H610&lt;0,((0.25-(H610*(-1)))*$L$7),IF(H610&gt;0,(H610*$N$7)+$L$6,0))</f>
        <v>17.498913184005726</v>
      </c>
      <c r="J610" s="73">
        <f>VLOOKUP(C610,'RAW DATA 2023'!E:AC,21,0)</f>
        <v>11.804790000000001</v>
      </c>
      <c r="K610" s="398">
        <f>I610*J610</f>
        <v>206.57099536541895</v>
      </c>
      <c r="R610" s="400"/>
    </row>
    <row r="611" spans="1:18">
      <c r="A611" s="63" t="str">
        <f>'RAW DATA 2023'!B123</f>
        <v>Roiphet1</v>
      </c>
      <c r="B611" s="63" t="str">
        <f>'RAW DATA 2023'!D123</f>
        <v>D6-G11-0075</v>
      </c>
      <c r="C611" s="63" t="str">
        <f>A611&amp;B611</f>
        <v>Roiphet1D6-G11-0075</v>
      </c>
      <c r="D611" s="63">
        <f>VLOOKUP(C611,'RAW DATA 2023'!E:BP,63,0)</f>
        <v>2</v>
      </c>
      <c r="E611" s="63" t="str">
        <f>A611&amp;D611</f>
        <v>Roiphet12</v>
      </c>
      <c r="F611" s="389">
        <f>VLOOKUP(C611,'RAW DATA 2023'!E:BO,57,0)</f>
        <v>212.08294172833035</v>
      </c>
      <c r="G611" s="63">
        <f>VLOOKUP(C611,'RAW DATA 2023'!E:BO,58,0)</f>
        <v>186</v>
      </c>
      <c r="H611" s="390">
        <f>IFERROR((G611-F611)/G611,0)</f>
        <v>-0.14023086950715244</v>
      </c>
      <c r="I611" s="398">
        <f>IF(H611&lt;0,((0.25-(H611*(-1)))*$L$7),IF(H611&gt;0,(H611*$N$7)+$L$6,0))</f>
        <v>5.8543536262852038</v>
      </c>
      <c r="J611" s="73">
        <f>VLOOKUP(C611,'RAW DATA 2023'!E:AC,21,0)</f>
        <v>9.4653200000000002</v>
      </c>
      <c r="K611" s="398">
        <f>I611*J611</f>
        <v>55.413330465949869</v>
      </c>
      <c r="R611" s="400"/>
    </row>
    <row r="612" spans="1:18">
      <c r="A612" s="63" t="str">
        <f>'RAW DATA 2023'!B125</f>
        <v>Roiphet1</v>
      </c>
      <c r="B612" s="63" t="str">
        <f>'RAW DATA 2023'!D125</f>
        <v>D6-G12-0078</v>
      </c>
      <c r="C612" s="63" t="str">
        <f>A612&amp;B612</f>
        <v>Roiphet1D6-G12-0078</v>
      </c>
      <c r="D612" s="63">
        <f>VLOOKUP(C612,'RAW DATA 2023'!E:BP,63,0)</f>
        <v>2</v>
      </c>
      <c r="E612" s="63" t="str">
        <f>A612&amp;D612</f>
        <v>Roiphet12</v>
      </c>
      <c r="F612" s="389">
        <f>VLOOKUP(C612,'RAW DATA 2023'!E:BO,57,0)</f>
        <v>246.30966996067247</v>
      </c>
      <c r="G612" s="63">
        <f>VLOOKUP(C612,'RAW DATA 2023'!E:BO,58,0)</f>
        <v>184</v>
      </c>
      <c r="H612" s="390">
        <f>IFERROR((G612-F612)/G612,0)</f>
        <v>-0.33863951065582859</v>
      </c>
      <c r="I612" s="398">
        <f>IF(H612&lt;0,((0.25-(H612*(-1)))*$L$7),IF(H612&gt;0,(H612*$N$7)+$L$6,0))</f>
        <v>-4.7274405683108585</v>
      </c>
      <c r="J612" s="73">
        <f>VLOOKUP(C612,'RAW DATA 2023'!E:AC,21,0)</f>
        <v>7.8799700000000001</v>
      </c>
      <c r="K612" s="398">
        <f>I612*J612</f>
        <v>-37.252089855072519</v>
      </c>
      <c r="R612" s="400"/>
    </row>
    <row r="613" spans="1:18">
      <c r="A613" s="63" t="str">
        <f>'RAW DATA 2023'!B130</f>
        <v>Roiphet1</v>
      </c>
      <c r="B613" s="63" t="str">
        <f>'RAW DATA 2023'!D130</f>
        <v>D1-I01-0090</v>
      </c>
      <c r="C613" s="63" t="str">
        <f>A613&amp;B613</f>
        <v>Roiphet1D1-I01-0090</v>
      </c>
      <c r="D613" s="63">
        <f>VLOOKUP(C613,'RAW DATA 2023'!E:BP,63,0)</f>
        <v>2</v>
      </c>
      <c r="E613" s="63" t="str">
        <f>A613&amp;D613</f>
        <v>Roiphet12</v>
      </c>
      <c r="F613" s="389">
        <f>VLOOKUP(C613,'RAW DATA 2023'!E:BO,57,0)</f>
        <v>241.99299870908956</v>
      </c>
      <c r="G613" s="63">
        <f>VLOOKUP(C613,'RAW DATA 2023'!E:BO,58,0)</f>
        <v>183</v>
      </c>
      <c r="H613" s="390">
        <f>IFERROR((G613-F613)/G613,0)</f>
        <v>-0.32236611316442382</v>
      </c>
      <c r="I613" s="398">
        <f>IF(H613&lt;0,((0.25-(H613*(-1)))*$L$7),IF(H613&gt;0,(H613*$N$7)+$L$6,0))</f>
        <v>-3.8595260354359371</v>
      </c>
      <c r="J613" s="73">
        <f>VLOOKUP(C613,'RAW DATA 2023'!E:AC,21,0)</f>
        <v>4.6091499999999996</v>
      </c>
      <c r="K613" s="398">
        <f>I613*J613</f>
        <v>-17.789134426229548</v>
      </c>
      <c r="R613" s="400"/>
    </row>
    <row r="614" spans="1:18">
      <c r="A614" s="63" t="str">
        <f>'RAW DATA 2023'!B133</f>
        <v>Roiphet1</v>
      </c>
      <c r="B614" s="63" t="str">
        <f>'RAW DATA 2023'!D133</f>
        <v>D1-G01-0076</v>
      </c>
      <c r="C614" s="63" t="str">
        <f>A614&amp;B614</f>
        <v>Roiphet1D1-G01-0076</v>
      </c>
      <c r="D614" s="63">
        <f>VLOOKUP(C614,'RAW DATA 2023'!E:BP,63,0)</f>
        <v>2</v>
      </c>
      <c r="E614" s="63" t="str">
        <f>A614&amp;D614</f>
        <v>Roiphet12</v>
      </c>
      <c r="F614" s="389">
        <f>VLOOKUP(C614,'RAW DATA 2023'!E:BO,57,0)</f>
        <v>188.06628116141309</v>
      </c>
      <c r="G614" s="63">
        <f>VLOOKUP(C614,'RAW DATA 2023'!E:BO,58,0)</f>
        <v>185</v>
      </c>
      <c r="H614" s="397">
        <f>IFERROR((G614-F614)/G614,0)</f>
        <v>-1.6574492764395068E-2</v>
      </c>
      <c r="I614" s="398">
        <f>IF(H614&lt;0,((0.25-(H614*(-1)))*$L$7),IF(H614&gt;0,(H614*$N$7)+$L$6,0))</f>
        <v>12.449360385898929</v>
      </c>
      <c r="J614" s="73">
        <f>VLOOKUP(C614,'RAW DATA 2023'!E:AC,21,0)</f>
        <v>10.6181</v>
      </c>
      <c r="K614" s="398">
        <f>I614*J614</f>
        <v>132.18855351351343</v>
      </c>
      <c r="R614" s="400"/>
    </row>
    <row r="615" spans="1:18">
      <c r="A615" s="63" t="str">
        <f>'RAW DATA 2023'!B185</f>
        <v>Roiphet1</v>
      </c>
      <c r="B615" s="63" t="str">
        <f>'RAW DATA 2023'!D185</f>
        <v>B4-G08-0079</v>
      </c>
      <c r="C615" s="63" t="str">
        <f>A615&amp;B615</f>
        <v>Roiphet1B4-G08-0079</v>
      </c>
      <c r="D615" s="63">
        <f>VLOOKUP(C615,'RAW DATA 2023'!E:BP,63,0)</f>
        <v>2</v>
      </c>
      <c r="E615" s="63" t="str">
        <f>A615&amp;D615</f>
        <v>Roiphet12</v>
      </c>
      <c r="F615" s="389">
        <f>VLOOKUP(C615,'RAW DATA 2023'!E:BO,57,0)</f>
        <v>253.01900552806609</v>
      </c>
      <c r="G615" s="63">
        <f>VLOOKUP(C615,'RAW DATA 2023'!E:BO,58,0)</f>
        <v>186</v>
      </c>
      <c r="H615" s="390">
        <f>IFERROR((G615-F615)/G615,0)</f>
        <v>-0.36031723402186067</v>
      </c>
      <c r="I615" s="398">
        <f>IF(H615&lt;0,((0.25-(H615*(-1)))*$L$7),IF(H615&gt;0,(H615*$N$7)+$L$6,0))</f>
        <v>-5.8835858144992361</v>
      </c>
      <c r="J615" s="73">
        <f>VLOOKUP(C615,'RAW DATA 2023'!E:AC,21,0)</f>
        <v>7.5867399999999998</v>
      </c>
      <c r="K615" s="398">
        <f>I615*J615</f>
        <v>-44.637235842293933</v>
      </c>
      <c r="R615" s="400"/>
    </row>
    <row r="616" spans="1:18">
      <c r="A616" s="63" t="str">
        <f>'RAW DATA 2023'!B186</f>
        <v>Roiphet1</v>
      </c>
      <c r="B616" s="63" t="str">
        <f>'RAW DATA 2023'!D186</f>
        <v>B2-I04-0097</v>
      </c>
      <c r="C616" s="63" t="str">
        <f>A616&amp;B616</f>
        <v>Roiphet1B2-I04-0097</v>
      </c>
      <c r="D616" s="63">
        <f>VLOOKUP(C616,'RAW DATA 2023'!E:BP,63,0)</f>
        <v>2</v>
      </c>
      <c r="E616" s="63" t="str">
        <f>A616&amp;D616</f>
        <v>Roiphet12</v>
      </c>
      <c r="F616" s="389">
        <f>VLOOKUP(C616,'RAW DATA 2023'!E:BO,57,0)</f>
        <v>368.90983913874055</v>
      </c>
      <c r="G616" s="63">
        <f>VLOOKUP(C616,'RAW DATA 2023'!E:BO,58,0)</f>
        <v>200</v>
      </c>
      <c r="H616" s="397">
        <f>IFERROR((G616-F616)/G616,0)</f>
        <v>-0.84454919569370279</v>
      </c>
      <c r="I616" s="398">
        <f>IF(H616&lt;0,((0.25-(H616*(-1)))*$L$7),IF(H616&gt;0,(H616*$N$7)+$L$6,0))</f>
        <v>-31.709290436997485</v>
      </c>
      <c r="J616" s="73">
        <f>VLOOKUP(C616,'RAW DATA 2023'!E:AC,21,0)</f>
        <v>3.3606599999999998</v>
      </c>
      <c r="K616" s="398">
        <f>I616*J616</f>
        <v>-106.56414399999996</v>
      </c>
      <c r="R616" s="400"/>
    </row>
    <row r="617" spans="1:18">
      <c r="A617" s="63" t="str">
        <f>'RAW DATA 2023'!B188</f>
        <v>Roiphet1</v>
      </c>
      <c r="B617" s="63" t="str">
        <f>'RAW DATA 2023'!D188</f>
        <v>B2-G03-0079</v>
      </c>
      <c r="C617" s="63" t="str">
        <f>A617&amp;B617</f>
        <v>Roiphet1B2-G03-0079</v>
      </c>
      <c r="D617" s="63">
        <f>VLOOKUP(C617,'RAW DATA 2023'!E:BP,63,0)</f>
        <v>2</v>
      </c>
      <c r="E617" s="63" t="str">
        <f>A617&amp;D617</f>
        <v>Roiphet12</v>
      </c>
      <c r="F617" s="389">
        <f>VLOOKUP(C617,'RAW DATA 2023'!E:BO,57,0)</f>
        <v>354.08630427939255</v>
      </c>
      <c r="G617" s="63">
        <f>VLOOKUP(C617,'RAW DATA 2023'!E:BO,58,0)</f>
        <v>192</v>
      </c>
      <c r="H617" s="390">
        <f>IFERROR((G617-F617)/G617,0)</f>
        <v>-0.84419950145516953</v>
      </c>
      <c r="I617" s="398">
        <f>IF(H617&lt;0,((0.25-(H617*(-1)))*$L$7),IF(H617&gt;0,(H617*$N$7)+$L$6,0))</f>
        <v>-31.690640077609043</v>
      </c>
      <c r="J617" s="73">
        <f>VLOOKUP(C617,'RAW DATA 2023'!E:AC,21,0)</f>
        <v>5.5274200000000002</v>
      </c>
      <c r="K617" s="398">
        <f>I617*J617</f>
        <v>-175.16747777777778</v>
      </c>
      <c r="R617" s="400"/>
    </row>
    <row r="618" spans="1:18">
      <c r="A618" s="63" t="str">
        <f>'RAW DATA 2023'!B189</f>
        <v>Roiphet1</v>
      </c>
      <c r="B618" s="63" t="str">
        <f>'RAW DATA 2023'!D189</f>
        <v>B2-I03-0094</v>
      </c>
      <c r="C618" s="63" t="str">
        <f>A618&amp;B618</f>
        <v>Roiphet1B2-I03-0094</v>
      </c>
      <c r="D618" s="63">
        <f>VLOOKUP(C618,'RAW DATA 2023'!E:BP,63,0)</f>
        <v>2</v>
      </c>
      <c r="E618" s="63" t="str">
        <f>A618&amp;D618</f>
        <v>Roiphet12</v>
      </c>
      <c r="F618" s="389">
        <f>VLOOKUP(C618,'RAW DATA 2023'!E:BO,57,0)</f>
        <v>419.86614902131936</v>
      </c>
      <c r="G618" s="63">
        <f>VLOOKUP(C618,'RAW DATA 2023'!E:BO,58,0)</f>
        <v>192</v>
      </c>
      <c r="H618" s="397">
        <f>IFERROR((G618-F618)/G618,0)</f>
        <v>-1.1868028594860383</v>
      </c>
      <c r="I618" s="398">
        <f>IF(H618&lt;0,((0.25-(H618*(-1)))*$L$7),IF(H618&gt;0,(H618*$N$7)+$L$6,0))</f>
        <v>-49.962819172588709</v>
      </c>
      <c r="J618" s="73">
        <f>VLOOKUP(C618,'RAW DATA 2023'!E:AC,21,0)</f>
        <v>2.8410700000000002</v>
      </c>
      <c r="K618" s="398">
        <f>I618*J618</f>
        <v>-141.94786666666661</v>
      </c>
      <c r="R618" s="400"/>
    </row>
    <row r="619" spans="1:18">
      <c r="A619" s="63" t="str">
        <f>'RAW DATA 2023'!B190</f>
        <v>Roiphet1</v>
      </c>
      <c r="B619" s="63" t="str">
        <f>'RAW DATA 2023'!D190</f>
        <v>B2-G04-0091</v>
      </c>
      <c r="C619" s="63" t="str">
        <f>A619&amp;B619</f>
        <v>Roiphet1B2-G04-0091</v>
      </c>
      <c r="D619" s="63">
        <f>VLOOKUP(C619,'RAW DATA 2023'!E:BP,63,0)</f>
        <v>2</v>
      </c>
      <c r="E619" s="63" t="str">
        <f>A619&amp;D619</f>
        <v>Roiphet12</v>
      </c>
      <c r="F619" s="389">
        <f>VLOOKUP(C619,'RAW DATA 2023'!E:BO,57,0)</f>
        <v>274.36185415877054</v>
      </c>
      <c r="G619" s="63">
        <f>VLOOKUP(C619,'RAW DATA 2023'!E:BO,58,0)</f>
        <v>189</v>
      </c>
      <c r="H619" s="390">
        <f>IFERROR((G619-F619)/G619,0)</f>
        <v>-0.45165002200407695</v>
      </c>
      <c r="I619" s="398">
        <f>IF(H619&lt;0,((0.25-(H619*(-1)))*$L$7),IF(H619&gt;0,(H619*$N$7)+$L$6,0))</f>
        <v>-10.754667840217438</v>
      </c>
      <c r="J619" s="73">
        <f>VLOOKUP(C619,'RAW DATA 2023'!E:AC,21,0)</f>
        <v>6.9918500000000003</v>
      </c>
      <c r="K619" s="398">
        <f>I619*J619</f>
        <v>-75.195024338624293</v>
      </c>
      <c r="R619" s="400"/>
    </row>
    <row r="620" spans="1:18">
      <c r="A620" s="63" t="str">
        <f>'RAW DATA 2023'!B191</f>
        <v>Roiphet1</v>
      </c>
      <c r="B620" s="63" t="str">
        <f>'RAW DATA 2023'!D191</f>
        <v>B1-G02-0087</v>
      </c>
      <c r="C620" s="63" t="str">
        <f>A620&amp;B620</f>
        <v>Roiphet1B1-G02-0087</v>
      </c>
      <c r="D620" s="63">
        <f>VLOOKUP(C620,'RAW DATA 2023'!E:BP,63,0)</f>
        <v>2</v>
      </c>
      <c r="E620" s="63" t="str">
        <f>A620&amp;D620</f>
        <v>Roiphet12</v>
      </c>
      <c r="F620" s="389">
        <f>VLOOKUP(C620,'RAW DATA 2023'!E:BO,57,0)</f>
        <v>234.063544252752</v>
      </c>
      <c r="G620" s="63">
        <f>VLOOKUP(C620,'RAW DATA 2023'!E:BO,58,0)</f>
        <v>181</v>
      </c>
      <c r="H620" s="397">
        <f>IFERROR((G620-F620)/G620,0)</f>
        <v>-0.29316875277763532</v>
      </c>
      <c r="I620" s="398">
        <f>IF(H620&lt;0,((0.25-(H620*(-1)))*$L$7),IF(H620&gt;0,(H620*$N$7)+$L$6,0))</f>
        <v>-2.3023334814738838</v>
      </c>
      <c r="J620" s="73">
        <f>VLOOKUP(C620,'RAW DATA 2023'!E:AC,21,0)</f>
        <v>8.08413</v>
      </c>
      <c r="K620" s="398">
        <f>I620*J620</f>
        <v>-18.612363167587468</v>
      </c>
      <c r="R620" s="400"/>
    </row>
    <row r="621" spans="1:18">
      <c r="A621" s="63" t="str">
        <f>'RAW DATA 2023'!B192</f>
        <v>Roiphet1</v>
      </c>
      <c r="B621" s="63" t="str">
        <f>'RAW DATA 2023'!D192</f>
        <v>B1-I02-0094</v>
      </c>
      <c r="C621" s="63" t="str">
        <f>A621&amp;B621</f>
        <v>Roiphet1B1-I02-0094</v>
      </c>
      <c r="D621" s="63">
        <f>VLOOKUP(C621,'RAW DATA 2023'!E:BP,63,0)</f>
        <v>2</v>
      </c>
      <c r="E621" s="63" t="str">
        <f>A621&amp;D621</f>
        <v>Roiphet12</v>
      </c>
      <c r="F621" s="389">
        <f>VLOOKUP(C621,'RAW DATA 2023'!E:BO,57,0)</f>
        <v>249.22632981970617</v>
      </c>
      <c r="G621" s="63">
        <f>VLOOKUP(C621,'RAW DATA 2023'!E:BO,58,0)</f>
        <v>185</v>
      </c>
      <c r="H621" s="397">
        <f>IFERROR((G621-F621)/G621,0)</f>
        <v>-0.34716935037679009</v>
      </c>
      <c r="I621" s="398">
        <f>IF(H621&lt;0,((0.25-(H621*(-1)))*$L$7),IF(H621&gt;0,(H621*$N$7)+$L$6,0))</f>
        <v>-5.1823653534288052</v>
      </c>
      <c r="J621" s="73">
        <f>VLOOKUP(C621,'RAW DATA 2023'!E:AC,21,0)</f>
        <v>4.9142000000000001</v>
      </c>
      <c r="K621" s="398">
        <f>I621*J621</f>
        <v>-25.467179819819837</v>
      </c>
      <c r="R621" s="400"/>
    </row>
    <row r="622" spans="1:18">
      <c r="A622" s="63" t="str">
        <f>'RAW DATA 2023'!B193</f>
        <v>Roiphet1</v>
      </c>
      <c r="B622" s="63" t="str">
        <f>'RAW DATA 2023'!D193</f>
        <v>B1-G01-0083</v>
      </c>
      <c r="C622" s="63" t="str">
        <f>A622&amp;B622</f>
        <v>Roiphet1B1-G01-0083</v>
      </c>
      <c r="D622" s="63">
        <f>VLOOKUP(C622,'RAW DATA 2023'!E:BP,63,0)</f>
        <v>2</v>
      </c>
      <c r="E622" s="63" t="str">
        <f>A622&amp;D622</f>
        <v>Roiphet12</v>
      </c>
      <c r="F622" s="389">
        <f>VLOOKUP(C622,'RAW DATA 2023'!E:BO,57,0)</f>
        <v>293.97574971529804</v>
      </c>
      <c r="G622" s="63">
        <f>VLOOKUP(C622,'RAW DATA 2023'!E:BO,58,0)</f>
        <v>174</v>
      </c>
      <c r="H622" s="397">
        <f>IFERROR((G622-F622)/G622,0)</f>
        <v>-0.68951580296148296</v>
      </c>
      <c r="I622" s="398">
        <f>IF(H622&lt;0,((0.25-(H622*(-1)))*$L$7),IF(H622&gt;0,(H622*$N$7)+$L$6,0))</f>
        <v>-23.440842824612425</v>
      </c>
      <c r="J622" s="73">
        <f>VLOOKUP(C622,'RAW DATA 2023'!E:AC,21,0)</f>
        <v>6.3224</v>
      </c>
      <c r="K622" s="398">
        <f>I622*J622</f>
        <v>-148.20238467432958</v>
      </c>
      <c r="R622" s="400"/>
    </row>
    <row r="623" spans="1:18">
      <c r="A623" s="63" t="str">
        <f>'RAW DATA 2023'!B194</f>
        <v>Roiphet1</v>
      </c>
      <c r="B623" s="63" t="str">
        <f>'RAW DATA 2023'!D194</f>
        <v>B1-I01-0094</v>
      </c>
      <c r="C623" s="63" t="str">
        <f>A623&amp;B623</f>
        <v>Roiphet1B1-I01-0094</v>
      </c>
      <c r="D623" s="63">
        <f>VLOOKUP(C623,'RAW DATA 2023'!E:BP,63,0)</f>
        <v>2</v>
      </c>
      <c r="E623" s="63" t="str">
        <f>A623&amp;D623</f>
        <v>Roiphet12</v>
      </c>
      <c r="F623" s="389">
        <f>VLOOKUP(C623,'RAW DATA 2023'!E:BO,57,0)</f>
        <v>311.83834605526289</v>
      </c>
      <c r="G623" s="63">
        <f>VLOOKUP(C623,'RAW DATA 2023'!E:BO,58,0)</f>
        <v>175</v>
      </c>
      <c r="H623" s="390">
        <f>IFERROR((G623-F623)/G623,0)</f>
        <v>-0.78193340603007366</v>
      </c>
      <c r="I623" s="398">
        <f>IF(H623&lt;0,((0.25-(H623*(-1)))*$L$7),IF(H623&gt;0,(H623*$N$7)+$L$6,0))</f>
        <v>-28.369781654937263</v>
      </c>
      <c r="J623" s="73">
        <f>VLOOKUP(C623,'RAW DATA 2023'!E:AC,21,0)</f>
        <v>3.5503</v>
      </c>
      <c r="K623" s="398">
        <f>I623*J623</f>
        <v>-100.72123580952376</v>
      </c>
      <c r="R623" s="400"/>
    </row>
    <row r="624" spans="1:18">
      <c r="A624" s="63" t="str">
        <f>'RAW DATA 2023'!B236</f>
        <v>Roiphet1</v>
      </c>
      <c r="B624" s="63" t="str">
        <f>'RAW DATA 2023'!D236</f>
        <v>C6-G11-0058</v>
      </c>
      <c r="C624" s="63" t="str">
        <f>A624&amp;B624</f>
        <v>Roiphet1C6-G11-0058</v>
      </c>
      <c r="D624" s="63">
        <f>VLOOKUP(C624,'RAW DATA 2023'!E:BP,63,0)</f>
        <v>2</v>
      </c>
      <c r="E624" s="63" t="str">
        <f>A624&amp;D624</f>
        <v>Roiphet12</v>
      </c>
      <c r="F624" s="389">
        <f>VLOOKUP(C624,'RAW DATA 2023'!E:BO,57,0)</f>
        <v>440.56107645458417</v>
      </c>
      <c r="G624" s="63">
        <f>VLOOKUP(C624,'RAW DATA 2023'!E:BO,58,0)</f>
        <v>189</v>
      </c>
      <c r="H624" s="397">
        <f>IFERROR((G624-F624)/G624,0)</f>
        <v>-1.3310109865321913</v>
      </c>
      <c r="I624" s="398">
        <f>IF(H624&lt;0,((0.25-(H624*(-1)))*$L$7),IF(H624&gt;0,(H624*$N$7)+$L$6,0))</f>
        <v>-57.653919281716874</v>
      </c>
      <c r="J624" s="73">
        <f>VLOOKUP(C624,'RAW DATA 2023'!E:AC,21,0)</f>
        <v>6.90266</v>
      </c>
      <c r="K624" s="398">
        <f>I624*J624</f>
        <v>-397.96540246913582</v>
      </c>
      <c r="R624" s="400"/>
    </row>
    <row r="625" spans="1:18">
      <c r="A625" s="63" t="str">
        <f>'RAW DATA 2023'!B238</f>
        <v>Roiphet1</v>
      </c>
      <c r="B625" s="63" t="str">
        <f>'RAW DATA 2023'!D238</f>
        <v>C4-I07-0059</v>
      </c>
      <c r="C625" s="63" t="str">
        <f>A625&amp;B625</f>
        <v>Roiphet1C4-I07-0059</v>
      </c>
      <c r="D625" s="63">
        <f>VLOOKUP(C625,'RAW DATA 2023'!E:BP,63,0)</f>
        <v>2</v>
      </c>
      <c r="E625" s="63" t="str">
        <f>A625&amp;D625</f>
        <v>Roiphet12</v>
      </c>
      <c r="F625" s="389">
        <f>VLOOKUP(C625,'RAW DATA 2023'!E:BO,57,0)</f>
        <v>266.53933355331435</v>
      </c>
      <c r="G625" s="63">
        <f>VLOOKUP(C625,'RAW DATA 2023'!E:BO,58,0)</f>
        <v>187</v>
      </c>
      <c r="H625" s="397">
        <f>IFERROR((G625-F625)/G625,0)</f>
        <v>-0.42534402969686819</v>
      </c>
      <c r="I625" s="398">
        <f>IF(H625&lt;0,((0.25-(H625*(-1)))*$L$7),IF(H625&gt;0,(H625*$N$7)+$L$6,0))</f>
        <v>-9.3516815838329705</v>
      </c>
      <c r="J625" s="73">
        <f>VLOOKUP(C625,'RAW DATA 2023'!E:AC,21,0)</f>
        <v>4.1821800000000007</v>
      </c>
      <c r="K625" s="398">
        <f>I625*J625</f>
        <v>-39.110415686274578</v>
      </c>
      <c r="R625" s="400"/>
    </row>
    <row r="626" spans="1:18">
      <c r="A626" s="63" t="str">
        <f>'RAW DATA 2023'!B247</f>
        <v>Roiphet1</v>
      </c>
      <c r="B626" s="63" t="str">
        <f>'RAW DATA 2023'!D247</f>
        <v>C6-I11-0064</v>
      </c>
      <c r="C626" s="63" t="str">
        <f>A626&amp;B626</f>
        <v>Roiphet1C6-I11-0064</v>
      </c>
      <c r="D626" s="63">
        <f>VLOOKUP(C626,'RAW DATA 2023'!E:BP,63,0)</f>
        <v>2</v>
      </c>
      <c r="E626" s="63" t="str">
        <f>A626&amp;D626</f>
        <v>Roiphet12</v>
      </c>
      <c r="F626" s="389">
        <f>VLOOKUP(C626,'RAW DATA 2023'!E:BO,57,0)</f>
        <v>399.60020978299747</v>
      </c>
      <c r="G626" s="63">
        <f>VLOOKUP(C626,'RAW DATA 2023'!E:BO,58,0)</f>
        <v>187</v>
      </c>
      <c r="H626" s="390">
        <f>IFERROR((G626-F626)/G626,0)</f>
        <v>-1.1368995175561363</v>
      </c>
      <c r="I626" s="398">
        <f>IF(H626&lt;0,((0.25-(H626*(-1)))*$L$7),IF(H626&gt;0,(H626*$N$7)+$L$6,0))</f>
        <v>-47.301307602993937</v>
      </c>
      <c r="J626" s="73">
        <f>VLOOKUP(C626,'RAW DATA 2023'!E:AC,21,0)</f>
        <v>4.5570900000000005</v>
      </c>
      <c r="K626" s="398">
        <f>I626*J626</f>
        <v>-215.55631586452768</v>
      </c>
      <c r="R626" s="400"/>
    </row>
    <row r="627" spans="1:18">
      <c r="A627" s="63" t="str">
        <f>'RAW DATA 2023'!B255</f>
        <v>Roiphet1</v>
      </c>
      <c r="B627" s="63" t="str">
        <f>'RAW DATA 2023'!D255</f>
        <v>C4-I08-0063</v>
      </c>
      <c r="C627" s="63" t="str">
        <f>A627&amp;B627</f>
        <v>Roiphet1C4-I08-0063</v>
      </c>
      <c r="D627" s="63">
        <f>VLOOKUP(C627,'RAW DATA 2023'!E:BP,63,0)</f>
        <v>2</v>
      </c>
      <c r="E627" s="63" t="str">
        <f>A627&amp;D627</f>
        <v>Roiphet12</v>
      </c>
      <c r="F627" s="389">
        <f>VLOOKUP(C627,'RAW DATA 2023'!E:BO,57,0)</f>
        <v>235.34632507664543</v>
      </c>
      <c r="G627" s="63">
        <f>VLOOKUP(C627,'RAW DATA 2023'!E:BO,58,0)</f>
        <v>182</v>
      </c>
      <c r="H627" s="397">
        <f>IFERROR((G627-F627)/G627,0)</f>
        <v>-0.29311167624530454</v>
      </c>
      <c r="I627" s="398">
        <f>IF(H627&lt;0,((0.25-(H627*(-1)))*$L$7),IF(H627&gt;0,(H627*$N$7)+$L$6,0))</f>
        <v>-2.2992893997495756</v>
      </c>
      <c r="J627" s="73">
        <f>VLOOKUP(C627,'RAW DATA 2023'!E:AC,21,0)</f>
        <v>4.8045900000000001</v>
      </c>
      <c r="K627" s="398">
        <f>I627*J627</f>
        <v>-11.047142857142815</v>
      </c>
      <c r="R627" s="400"/>
    </row>
    <row r="628" spans="1:18">
      <c r="A628" s="63" t="str">
        <f>'RAW DATA 2023'!B215</f>
        <v>Roiphet1</v>
      </c>
      <c r="B628" s="63" t="str">
        <f>'RAW DATA 2023'!D215</f>
        <v>C2-I04-0066</v>
      </c>
      <c r="C628" s="63" t="str">
        <f>A628&amp;B628</f>
        <v>Roiphet1C2-I04-0066</v>
      </c>
      <c r="D628" s="63">
        <f>VLOOKUP(C628,'RAW DATA 2023'!E:BP,63,0)</f>
        <v>3</v>
      </c>
      <c r="E628" s="63" t="str">
        <f>A628&amp;D628</f>
        <v>Roiphet13</v>
      </c>
      <c r="F628" s="389">
        <f>VLOOKUP(C628,'RAW DATA 2023'!E:BO,57,0)</f>
        <v>201.23053991248599</v>
      </c>
      <c r="G628" s="63">
        <f>VLOOKUP(C628,'RAW DATA 2023'!E:BO,58,0)</f>
        <v>191</v>
      </c>
      <c r="H628" s="397">
        <f>IFERROR((G628-F628)/G628,0)</f>
        <v>-5.3563036191026148E-2</v>
      </c>
      <c r="I628" s="398">
        <f>IF(H628&lt;0,((0.25-(H628*(-1)))*$L$7),IF(H628&gt;0,(H628*$N$7)+$L$6,0))</f>
        <v>10.476638069811939</v>
      </c>
      <c r="J628" s="73">
        <f>VLOOKUP(C628,'RAW DATA 2023'!E:AC,21,0)</f>
        <v>7.1348599999999998</v>
      </c>
      <c r="K628" s="398">
        <f>I628*J628</f>
        <v>74.749345898778401</v>
      </c>
      <c r="R628" s="400"/>
    </row>
    <row r="629" spans="1:18">
      <c r="A629" s="63" t="str">
        <f>'RAW DATA 2023'!B222</f>
        <v>Roiphet1</v>
      </c>
      <c r="B629" s="63" t="str">
        <f>'RAW DATA 2023'!D222</f>
        <v>C2-I03-0058</v>
      </c>
      <c r="C629" s="63" t="str">
        <f>A629&amp;B629</f>
        <v>Roiphet1C2-I03-0058</v>
      </c>
      <c r="D629" s="63">
        <f>VLOOKUP(C629,'RAW DATA 2023'!E:BP,63,0)</f>
        <v>3</v>
      </c>
      <c r="E629" s="63" t="str">
        <f>A629&amp;D629</f>
        <v>Roiphet13</v>
      </c>
      <c r="F629" s="389">
        <f>VLOOKUP(C629,'RAW DATA 2023'!E:BO,57,0)</f>
        <v>209.78457681505228</v>
      </c>
      <c r="G629" s="63">
        <f>VLOOKUP(C629,'RAW DATA 2023'!E:BO,58,0)</f>
        <v>189</v>
      </c>
      <c r="H629" s="397">
        <f>IFERROR((G629-F629)/G629,0)</f>
        <v>-0.10997130589974749</v>
      </c>
      <c r="I629" s="398">
        <f>IF(H629&lt;0,((0.25-(H629*(-1)))*$L$7),IF(H629&gt;0,(H629*$N$7)+$L$6,0))</f>
        <v>7.4681970186801339</v>
      </c>
      <c r="J629" s="73">
        <f>VLOOKUP(C629,'RAW DATA 2023'!E:AC,21,0)</f>
        <v>6.69719</v>
      </c>
      <c r="K629" s="398">
        <f>I629*J629</f>
        <v>50.015934391534408</v>
      </c>
      <c r="R629" s="400"/>
    </row>
    <row r="630" spans="1:18">
      <c r="A630" s="63" t="str">
        <f>'RAW DATA 2023'!B233</f>
        <v>Roiphet1</v>
      </c>
      <c r="B630" s="63" t="str">
        <f>'RAW DATA 2023'!D233</f>
        <v>C6-G12-0059</v>
      </c>
      <c r="C630" s="63" t="str">
        <f>A630&amp;B630</f>
        <v>Roiphet1C6-G12-0059</v>
      </c>
      <c r="D630" s="63">
        <f>VLOOKUP(C630,'RAW DATA 2023'!E:BP,63,0)</f>
        <v>3</v>
      </c>
      <c r="E630" s="63" t="str">
        <f>A630&amp;D630</f>
        <v>Roiphet13</v>
      </c>
      <c r="F630" s="389">
        <f>VLOOKUP(C630,'RAW DATA 2023'!E:BO,57,0)</f>
        <v>293.71640879695963</v>
      </c>
      <c r="G630" s="63">
        <f>VLOOKUP(C630,'RAW DATA 2023'!E:BO,58,0)</f>
        <v>194</v>
      </c>
      <c r="H630" s="390">
        <f>IFERROR((G630-F630)/G630,0)</f>
        <v>-0.51400210720082284</v>
      </c>
      <c r="I630" s="398">
        <f>IF(H630&lt;0,((0.25-(H630*(-1)))*$L$7),IF(H630&gt;0,(H630*$N$7)+$L$6,0))</f>
        <v>-14.080112384043886</v>
      </c>
      <c r="J630" s="73">
        <f>VLOOKUP(C630,'RAW DATA 2023'!E:AC,21,0)</f>
        <v>11.25116</v>
      </c>
      <c r="K630" s="398">
        <f>I630*J630</f>
        <v>-158.41759725085922</v>
      </c>
      <c r="R630" s="400"/>
    </row>
    <row r="631" spans="1:18">
      <c r="A631" s="63" t="str">
        <f>'RAW DATA 2023'!B239</f>
        <v>Roiphet1</v>
      </c>
      <c r="B631" s="63" t="str">
        <f>'RAW DATA 2023'!D239</f>
        <v>C3-G05-0073</v>
      </c>
      <c r="C631" s="63" t="str">
        <f>A631&amp;B631</f>
        <v>Roiphet1C3-G05-0073</v>
      </c>
      <c r="D631" s="63">
        <f>VLOOKUP(C631,'RAW DATA 2023'!E:BP,63,0)</f>
        <v>3</v>
      </c>
      <c r="E631" s="63" t="str">
        <f>A631&amp;D631</f>
        <v>Roiphet13</v>
      </c>
      <c r="F631" s="389">
        <f>VLOOKUP(C631,'RAW DATA 2023'!E:BO,57,0)</f>
        <v>216.92915733402469</v>
      </c>
      <c r="G631" s="63">
        <f>VLOOKUP(C631,'RAW DATA 2023'!E:BO,58,0)</f>
        <v>169</v>
      </c>
      <c r="H631" s="390">
        <f>IFERROR((G631-F631)/G631,0)</f>
        <v>-0.2836044812664183</v>
      </c>
      <c r="I631" s="398">
        <f>IF(H631&lt;0,((0.25-(H631*(-1)))*$L$7),IF(H631&gt;0,(H631*$N$7)+$L$6,0))</f>
        <v>-1.7922390008756426</v>
      </c>
      <c r="J631" s="73">
        <f>VLOOKUP(C631,'RAW DATA 2023'!E:AC,21,0)</f>
        <v>6.6344200000000004</v>
      </c>
      <c r="K631" s="398">
        <f>I631*J631</f>
        <v>-11.890466272189382</v>
      </c>
      <c r="R631" s="400"/>
    </row>
    <row r="632" spans="1:18">
      <c r="A632" s="63" t="str">
        <f>'RAW DATA 2023'!B241</f>
        <v>Roiphet1</v>
      </c>
      <c r="B632" s="63" t="str">
        <f>'RAW DATA 2023'!D241</f>
        <v>C6-I12-0061</v>
      </c>
      <c r="C632" s="63" t="str">
        <f>A632&amp;B632</f>
        <v>Roiphet1C6-I12-0061</v>
      </c>
      <c r="D632" s="63">
        <f>VLOOKUP(C632,'RAW DATA 2023'!E:BP,63,0)</f>
        <v>3</v>
      </c>
      <c r="E632" s="63" t="str">
        <f>A632&amp;D632</f>
        <v>Roiphet13</v>
      </c>
      <c r="F632" s="389">
        <f>VLOOKUP(C632,'RAW DATA 2023'!E:BO,57,0)</f>
        <v>318.01655262990658</v>
      </c>
      <c r="G632" s="63">
        <f>VLOOKUP(C632,'RAW DATA 2023'!E:BO,58,0)</f>
        <v>191</v>
      </c>
      <c r="H632" s="390">
        <f>IFERROR((G632-F632)/G632,0)</f>
        <v>-0.66500812895239048</v>
      </c>
      <c r="I632" s="398">
        <f>IF(H632&lt;0,((0.25-(H632*(-1)))*$L$7),IF(H632&gt;0,(H632*$N$7)+$L$6,0))</f>
        <v>-22.133766877460825</v>
      </c>
      <c r="J632" s="73">
        <f>VLOOKUP(C632,'RAW DATA 2023'!E:AC,21,0)</f>
        <v>4.7206999999999999</v>
      </c>
      <c r="K632" s="398">
        <f>I632*J632</f>
        <v>-104.48687329842932</v>
      </c>
      <c r="R632" s="400"/>
    </row>
    <row r="633" spans="1:18">
      <c r="A633" s="63" t="str">
        <f>'RAW DATA 2023'!B252</f>
        <v>Roiphet1</v>
      </c>
      <c r="B633" s="63" t="str">
        <f>'RAW DATA 2023'!D252</f>
        <v>C3-G06-0077</v>
      </c>
      <c r="C633" s="63" t="str">
        <f>A633&amp;B633</f>
        <v>Roiphet1C3-G06-0077</v>
      </c>
      <c r="D633" s="63">
        <f>VLOOKUP(C633,'RAW DATA 2023'!E:BP,63,0)</f>
        <v>3</v>
      </c>
      <c r="E633" s="63" t="str">
        <f>A633&amp;D633</f>
        <v>Roiphet13</v>
      </c>
      <c r="F633" s="389">
        <f>VLOOKUP(C633,'RAW DATA 2023'!E:BO,57,0)</f>
        <v>210.82141243002593</v>
      </c>
      <c r="G633" s="63">
        <f>VLOOKUP(C633,'RAW DATA 2023'!E:BO,58,0)</f>
        <v>170</v>
      </c>
      <c r="H633" s="390">
        <f>IFERROR((G633-F633)/G633,0)</f>
        <v>-0.24012595547074075</v>
      </c>
      <c r="I633" s="398">
        <f>IF(H633&lt;0,((0.25-(H633*(-1)))*$L$7),IF(H633&gt;0,(H633*$N$7)+$L$6,0))</f>
        <v>0.52661570822715986</v>
      </c>
      <c r="J633" s="73">
        <f>VLOOKUP(C633,'RAW DATA 2023'!E:AC,21,0)</f>
        <v>7.8546899999999997</v>
      </c>
      <c r="K633" s="398">
        <f>I633*J633</f>
        <v>4.1364031372547903</v>
      </c>
      <c r="R633" s="400"/>
    </row>
    <row r="634" spans="1:18">
      <c r="A634" s="63" t="str">
        <f>'RAW DATA 2023'!B277</f>
        <v>Roiphet1</v>
      </c>
      <c r="B634" s="63" t="str">
        <f>'RAW DATA 2023'!D277</f>
        <v>B4-G07-0076</v>
      </c>
      <c r="C634" s="63" t="str">
        <f>A634&amp;B634</f>
        <v>Roiphet1B4-G07-0076</v>
      </c>
      <c r="D634" s="63">
        <f>VLOOKUP(C634,'RAW DATA 2023'!E:BP,63,0)</f>
        <v>3</v>
      </c>
      <c r="E634" s="63" t="str">
        <f>A634&amp;D634</f>
        <v>Roiphet13</v>
      </c>
      <c r="F634" s="389">
        <f>VLOOKUP(C634,'RAW DATA 2023'!E:BO,57,0)</f>
        <v>265.29108208869292</v>
      </c>
      <c r="G634" s="63">
        <f>VLOOKUP(C634,'RAW DATA 2023'!E:BO,58,0)</f>
        <v>184</v>
      </c>
      <c r="H634" s="397">
        <f>IFERROR((G634-F634)/G634,0)</f>
        <v>-0.44179935917767887</v>
      </c>
      <c r="I634" s="398">
        <f>IF(H634&lt;0,((0.25-(H634*(-1)))*$L$7),IF(H634&gt;0,(H634*$N$7)+$L$6,0))</f>
        <v>-10.229299156142874</v>
      </c>
      <c r="J634" s="73">
        <f>VLOOKUP(C634,'RAW DATA 2023'!E:AC,21,0)</f>
        <v>7.8161800000000001</v>
      </c>
      <c r="K634" s="398">
        <f>I634*J634</f>
        <v>-79.954043478260814</v>
      </c>
      <c r="R634" s="400"/>
    </row>
    <row r="635" spans="1:18">
      <c r="A635" s="63" t="str">
        <f>'RAW DATA 2023'!B281</f>
        <v>Roiphet1</v>
      </c>
      <c r="B635" s="63" t="str">
        <f>'RAW DATA 2023'!D281</f>
        <v>B4-I08-0088</v>
      </c>
      <c r="C635" s="63" t="str">
        <f>A635&amp;B635</f>
        <v>Roiphet1B4-I08-0088</v>
      </c>
      <c r="D635" s="63">
        <f>VLOOKUP(C635,'RAW DATA 2023'!E:BP,63,0)</f>
        <v>3</v>
      </c>
      <c r="E635" s="63" t="str">
        <f>A635&amp;D635</f>
        <v>Roiphet13</v>
      </c>
      <c r="F635" s="389">
        <f>VLOOKUP(C635,'RAW DATA 2023'!E:BO,57,0)</f>
        <v>301.05051049738461</v>
      </c>
      <c r="G635" s="63">
        <f>VLOOKUP(C635,'RAW DATA 2023'!E:BO,58,0)</f>
        <v>186</v>
      </c>
      <c r="H635" s="390">
        <f>IFERROR((G635-F635)/G635,0)</f>
        <v>-0.61855113170636888</v>
      </c>
      <c r="I635" s="398">
        <f>IF(H635&lt;0,((0.25-(H635*(-1)))*$L$7),IF(H635&gt;0,(H635*$N$7)+$L$6,0))</f>
        <v>-19.65606035767301</v>
      </c>
      <c r="J635" s="73">
        <f>VLOOKUP(C635,'RAW DATA 2023'!E:AC,21,0)</f>
        <v>4.2096200000000001</v>
      </c>
      <c r="K635" s="398">
        <f>I635*J635</f>
        <v>-82.744544802867452</v>
      </c>
      <c r="R635" s="400"/>
    </row>
    <row r="636" spans="1:18">
      <c r="A636" s="63" t="str">
        <f>'RAW DATA 2023'!B283</f>
        <v>Roiphet1</v>
      </c>
      <c r="B636" s="63" t="str">
        <f>'RAW DATA 2023'!D283</f>
        <v>B4-I07-0088</v>
      </c>
      <c r="C636" s="63" t="str">
        <f>A636&amp;B636</f>
        <v>Roiphet1B4-I07-0088</v>
      </c>
      <c r="D636" s="63">
        <f>VLOOKUP(C636,'RAW DATA 2023'!E:BP,63,0)</f>
        <v>3</v>
      </c>
      <c r="E636" s="63" t="str">
        <f>A636&amp;D636</f>
        <v>Roiphet13</v>
      </c>
      <c r="F636" s="389">
        <f>VLOOKUP(C636,'RAW DATA 2023'!E:BO,57,0)</f>
        <v>269.64772259971147</v>
      </c>
      <c r="G636" s="63">
        <f>VLOOKUP(C636,'RAW DATA 2023'!E:BO,58,0)</f>
        <v>186</v>
      </c>
      <c r="H636" s="397">
        <f>IFERROR((G636-F636)/G636,0)</f>
        <v>-0.44971893870812618</v>
      </c>
      <c r="I636" s="398">
        <f>IF(H636&lt;0,((0.25-(H636*(-1)))*$L$7),IF(H636&gt;0,(H636*$N$7)+$L$6,0))</f>
        <v>-10.651676731100064</v>
      </c>
      <c r="J636" s="73">
        <f>VLOOKUP(C636,'RAW DATA 2023'!E:AC,21,0)</f>
        <v>4.6932900000000002</v>
      </c>
      <c r="K636" s="398">
        <f>I636*J636</f>
        <v>-49.991407885304625</v>
      </c>
      <c r="R636" s="400"/>
    </row>
    <row r="637" spans="1:18">
      <c r="A637" s="63" t="str">
        <f>'RAW DATA 2023'!B113</f>
        <v>Roiphet1</v>
      </c>
      <c r="B637" s="63" t="str">
        <f>'RAW DATA 2023'!D113</f>
        <v>D2-G03-0080</v>
      </c>
      <c r="C637" s="63" t="str">
        <f>A637&amp;B637</f>
        <v>Roiphet1D2-G03-0080</v>
      </c>
      <c r="D637" s="63">
        <f>VLOOKUP(C637,'RAW DATA 2023'!E:BP,63,0)</f>
        <v>4</v>
      </c>
      <c r="E637" s="63" t="str">
        <f>A637&amp;D637</f>
        <v>Roiphet14</v>
      </c>
      <c r="F637" s="389">
        <f>VLOOKUP(C637,'RAW DATA 2023'!E:BO,57,0)</f>
        <v>216.41867439736808</v>
      </c>
      <c r="G637" s="63">
        <f>VLOOKUP(C637,'RAW DATA 2023'!E:BO,58,0)</f>
        <v>187</v>
      </c>
      <c r="H637" s="390">
        <f>IFERROR((G637-F637)/G637,0)</f>
        <v>-0.15731911442442822</v>
      </c>
      <c r="I637" s="398">
        <f>IF(H637&lt;0,((0.25-(H637*(-1)))*$L$7),IF(H637&gt;0,(H637*$N$7)+$L$6,0))</f>
        <v>4.9429805640304947</v>
      </c>
      <c r="J637" s="73">
        <f>VLOOKUP(C637,'RAW DATA 2023'!E:AC,21,0)</f>
        <v>9.5929199999999994</v>
      </c>
      <c r="K637" s="398">
        <f>I637*J637</f>
        <v>47.417617112299411</v>
      </c>
      <c r="R637" s="400"/>
    </row>
    <row r="638" spans="1:18">
      <c r="A638" s="63" t="str">
        <f>'RAW DATA 2023'!B117</f>
        <v>Roiphet1</v>
      </c>
      <c r="B638" s="63" t="str">
        <f>'RAW DATA 2023'!D117</f>
        <v>D2-I03-0085</v>
      </c>
      <c r="C638" s="63" t="str">
        <f>A638&amp;B638</f>
        <v>Roiphet1D2-I03-0085</v>
      </c>
      <c r="D638" s="63">
        <f>VLOOKUP(C638,'RAW DATA 2023'!E:BP,63,0)</f>
        <v>4</v>
      </c>
      <c r="E638" s="63" t="str">
        <f>A638&amp;D638</f>
        <v>Roiphet14</v>
      </c>
      <c r="F638" s="389">
        <f>VLOOKUP(C638,'RAW DATA 2023'!E:BO,57,0)</f>
        <v>266.2998031595418</v>
      </c>
      <c r="G638" s="63">
        <f>VLOOKUP(C638,'RAW DATA 2023'!E:BO,58,0)</f>
        <v>186</v>
      </c>
      <c r="H638" s="397">
        <f>IFERROR((G638-F638)/G638,0)</f>
        <v>-0.43171937182549353</v>
      </c>
      <c r="I638" s="398">
        <f>IF(H638&lt;0,((0.25-(H638*(-1)))*$L$7),IF(H638&gt;0,(H638*$N$7)+$L$6,0))</f>
        <v>-9.691699830692988</v>
      </c>
      <c r="J638" s="73">
        <f>VLOOKUP(C638,'RAW DATA 2023'!E:AC,21,0)</f>
        <v>4.35886</v>
      </c>
      <c r="K638" s="398">
        <f>I638*J638</f>
        <v>-42.244762724014436</v>
      </c>
      <c r="L638" s="63">
        <f>ROUND(VLOOKUP(C638,'RAW DATA 2023'!E:BO,23,0),0)</f>
        <v>37</v>
      </c>
      <c r="R638" s="400"/>
    </row>
    <row r="639" spans="1:18">
      <c r="A639" s="63" t="str">
        <f>'RAW DATA 2023'!B126</f>
        <v>Roiphet1</v>
      </c>
      <c r="B639" s="63" t="str">
        <f>'RAW DATA 2023'!D126</f>
        <v>D3-G05-0080</v>
      </c>
      <c r="C639" s="63" t="str">
        <f>A639&amp;B639</f>
        <v>Roiphet1D3-G05-0080</v>
      </c>
      <c r="D639" s="63">
        <f>VLOOKUP(C639,'RAW DATA 2023'!E:BP,63,0)</f>
        <v>4</v>
      </c>
      <c r="E639" s="63" t="str">
        <f>A639&amp;D639</f>
        <v>Roiphet14</v>
      </c>
      <c r="F639" s="389">
        <f>VLOOKUP(C639,'RAW DATA 2023'!E:BO,57,0)</f>
        <v>210.54488176838163</v>
      </c>
      <c r="G639" s="63">
        <f>VLOOKUP(C639,'RAW DATA 2023'!E:BO,58,0)</f>
        <v>189</v>
      </c>
      <c r="H639" s="390">
        <f>IFERROR((G639-F639)/G639,0)</f>
        <v>-0.11399408343059063</v>
      </c>
      <c r="I639" s="398">
        <f>IF(H639&lt;0,((0.25-(H639*(-1)))*$L$7),IF(H639&gt;0,(H639*$N$7)+$L$6,0))</f>
        <v>7.2536488837018327</v>
      </c>
      <c r="J639" s="73">
        <f>VLOOKUP(C639,'RAW DATA 2023'!E:AC,21,0)</f>
        <v>9.0817499999999995</v>
      </c>
      <c r="K639" s="398">
        <f>I639*J639</f>
        <v>65.875825749559112</v>
      </c>
      <c r="L639" s="63">
        <f>ROUND(VLOOKUP(C639,'RAW DATA 2023'!E:BO,23,0),0)</f>
        <v>34</v>
      </c>
      <c r="R639" s="400"/>
    </row>
    <row r="640" spans="1:18">
      <c r="A640" s="63" t="str">
        <f>'RAW DATA 2023'!B127</f>
        <v>Roiphet1</v>
      </c>
      <c r="B640" s="63" t="str">
        <f>'RAW DATA 2023'!D127</f>
        <v>D3-I06-0080</v>
      </c>
      <c r="C640" s="63" t="str">
        <f>A640&amp;B640</f>
        <v>Roiphet1D3-I06-0080</v>
      </c>
      <c r="D640" s="63">
        <f>VLOOKUP(C640,'RAW DATA 2023'!E:BP,63,0)</f>
        <v>4</v>
      </c>
      <c r="E640" s="63" t="str">
        <f>A640&amp;D640</f>
        <v>Roiphet14</v>
      </c>
      <c r="F640" s="389">
        <f>VLOOKUP(C640,'RAW DATA 2023'!E:BO,57,0)</f>
        <v>247.44704289600875</v>
      </c>
      <c r="G640" s="63">
        <f>VLOOKUP(C640,'RAW DATA 2023'!E:BO,58,0)</f>
        <v>185</v>
      </c>
      <c r="H640" s="390">
        <f>IFERROR((G640-F640)/G640,0)</f>
        <v>-0.33755158322166895</v>
      </c>
      <c r="I640" s="398">
        <f>IF(H640&lt;0,((0.25-(H640*(-1)))*$L$7),IF(H640&gt;0,(H640*$N$7)+$L$6,0))</f>
        <v>-4.669417771822344</v>
      </c>
      <c r="J640" s="73">
        <f>VLOOKUP(C640,'RAW DATA 2023'!E:AC,21,0)</f>
        <v>4.6386599999999998</v>
      </c>
      <c r="K640" s="398">
        <f>I640*J640</f>
        <v>-21.659841441441433</v>
      </c>
      <c r="L640" s="63">
        <f>ROUND(VLOOKUP(C640,'RAW DATA 2023'!E:BO,23,0),0)</f>
        <v>38</v>
      </c>
      <c r="R640" s="400"/>
    </row>
    <row r="641" spans="1:18">
      <c r="A641" s="63" t="str">
        <f>'RAW DATA 2023'!B129</f>
        <v>Roiphet1</v>
      </c>
      <c r="B641" s="63" t="str">
        <f>'RAW DATA 2023'!D129</f>
        <v>D3-I05-0094</v>
      </c>
      <c r="C641" s="63" t="str">
        <f>A641&amp;B641</f>
        <v>Roiphet1D3-I05-0094</v>
      </c>
      <c r="D641" s="63">
        <f>VLOOKUP(C641,'RAW DATA 2023'!E:BP,63,0)</f>
        <v>4</v>
      </c>
      <c r="E641" s="63" t="str">
        <f>A641&amp;D641</f>
        <v>Roiphet14</v>
      </c>
      <c r="F641" s="389">
        <f>VLOOKUP(C641,'RAW DATA 2023'!E:BO,57,0)</f>
        <v>229.31655184672948</v>
      </c>
      <c r="G641" s="63">
        <f>VLOOKUP(C641,'RAW DATA 2023'!E:BO,58,0)</f>
        <v>187</v>
      </c>
      <c r="H641" s="390">
        <f>IFERROR((G641-F641)/G641,0)</f>
        <v>-0.22629172110550524</v>
      </c>
      <c r="I641" s="398">
        <f>IF(H641&lt;0,((0.25-(H641*(-1)))*$L$7),IF(H641&gt;0,(H641*$N$7)+$L$6,0))</f>
        <v>1.2644415410397203</v>
      </c>
      <c r="J641" s="73">
        <f>VLOOKUP(C641,'RAW DATA 2023'!E:AC,21,0)</f>
        <v>4.6130200000000006</v>
      </c>
      <c r="K641" s="398">
        <f>I641*J641</f>
        <v>5.8328941176470508</v>
      </c>
      <c r="R641" s="400"/>
    </row>
    <row r="642" spans="1:18">
      <c r="A642" s="63" t="str">
        <f>'RAW DATA 2023'!B131</f>
        <v>Roiphet1</v>
      </c>
      <c r="B642" s="63" t="str">
        <f>'RAW DATA 2023'!D131</f>
        <v>D3-G06-0083</v>
      </c>
      <c r="C642" s="63" t="str">
        <f>A642&amp;B642</f>
        <v>Roiphet1D3-G06-0083</v>
      </c>
      <c r="D642" s="63">
        <f>VLOOKUP(C642,'RAW DATA 2023'!E:BP,63,0)</f>
        <v>4</v>
      </c>
      <c r="E642" s="63" t="str">
        <f>A642&amp;D642</f>
        <v>Roiphet14</v>
      </c>
      <c r="F642" s="389">
        <f>VLOOKUP(C642,'RAW DATA 2023'!E:BO,57,0)</f>
        <v>198.16357359880814</v>
      </c>
      <c r="G642" s="63">
        <f>VLOOKUP(C642,'RAW DATA 2023'!E:BO,58,0)</f>
        <v>191</v>
      </c>
      <c r="H642" s="397">
        <f>IFERROR((G642-F642)/G642,0)</f>
        <v>-3.7505620936168285E-2</v>
      </c>
      <c r="I642" s="398">
        <f>IF(H642&lt;0,((0.25-(H642*(-1)))*$L$7),IF(H642&gt;0,(H642*$N$7)+$L$6,0))</f>
        <v>11.333033550071026</v>
      </c>
      <c r="J642" s="73">
        <f>VLOOKUP(C642,'RAW DATA 2023'!E:AC,21,0)</f>
        <v>10.90072</v>
      </c>
      <c r="K642" s="398">
        <f>I642*J642</f>
        <v>123.53822547993023</v>
      </c>
      <c r="R642" s="400"/>
    </row>
    <row r="643" spans="1:18">
      <c r="A643" s="63" t="str">
        <f>'RAW DATA 2023'!B152</f>
        <v>Roiphet1</v>
      </c>
      <c r="B643" s="63" t="str">
        <f>'RAW DATA 2023'!D152</f>
        <v>A2-I03-0094</v>
      </c>
      <c r="C643" s="63" t="str">
        <f>A643&amp;B643</f>
        <v>Roiphet1A2-I03-0094</v>
      </c>
      <c r="D643" s="63">
        <f>VLOOKUP(C643,'RAW DATA 2023'!E:BP,63,0)</f>
        <v>4</v>
      </c>
      <c r="E643" s="63" t="str">
        <f>A643&amp;D643</f>
        <v>Roiphet14</v>
      </c>
      <c r="F643" s="389">
        <f>VLOOKUP(C643,'RAW DATA 2023'!E:BO,57,0)</f>
        <v>232.07902569053815</v>
      </c>
      <c r="G643" s="63">
        <f>VLOOKUP(C643,'RAW DATA 2023'!E:BO,58,0)</f>
        <v>200</v>
      </c>
      <c r="H643" s="390">
        <f>IFERROR((G643-F643)/G643,0)</f>
        <v>-0.16039512845269072</v>
      </c>
      <c r="I643" s="398">
        <f>IF(H643&lt;0,((0.25-(H643*(-1)))*$L$7),IF(H643&gt;0,(H643*$N$7)+$L$6,0))</f>
        <v>4.7789264825231621</v>
      </c>
      <c r="J643" s="73">
        <f>VLOOKUP(C643,'RAW DATA 2023'!E:AC,21,0)</f>
        <v>4.7643999999999993</v>
      </c>
      <c r="K643" s="398">
        <f>I643*J643</f>
        <v>22.768717333333349</v>
      </c>
      <c r="R643" s="400"/>
    </row>
    <row r="644" spans="1:18">
      <c r="A644" s="63" t="str">
        <f>'RAW DATA 2023'!B228</f>
        <v>Roiphet1</v>
      </c>
      <c r="B644" s="63" t="str">
        <f>'RAW DATA 2023'!D228</f>
        <v>C2-G03-0065</v>
      </c>
      <c r="C644" s="63" t="str">
        <f>A644&amp;B644</f>
        <v>Roiphet1C2-G03-0065</v>
      </c>
      <c r="D644" s="63">
        <f>VLOOKUP(C644,'RAW DATA 2023'!E:BP,63,0)</f>
        <v>4</v>
      </c>
      <c r="E644" s="63" t="str">
        <f>A644&amp;D644</f>
        <v>Roiphet14</v>
      </c>
      <c r="F644" s="389">
        <f>VLOOKUP(C644,'RAW DATA 2023'!E:BO,57,0)</f>
        <v>232.47365083430944</v>
      </c>
      <c r="G644" s="63">
        <f>VLOOKUP(C644,'RAW DATA 2023'!E:BO,58,0)</f>
        <v>185</v>
      </c>
      <c r="H644" s="390">
        <f>IFERROR((G644-F644)/G644,0)</f>
        <v>-0.25661432883410507</v>
      </c>
      <c r="I644" s="398">
        <f>IF(H644&lt;0,((0.25-(H644*(-1)))*$L$7),IF(H644&gt;0,(H644*$N$7)+$L$6,0))</f>
        <v>-0.35276420448560353</v>
      </c>
      <c r="J644" s="73">
        <f>VLOOKUP(C644,'RAW DATA 2023'!E:AC,21,0)</f>
        <v>11.24343</v>
      </c>
      <c r="K644" s="398">
        <f>I644*J644</f>
        <v>-3.9662796396395694</v>
      </c>
      <c r="R644" s="400"/>
    </row>
    <row r="645" spans="1:18">
      <c r="A645" s="63" t="str">
        <f>'RAW DATA 2023'!B237</f>
        <v>Roiphet1</v>
      </c>
      <c r="B645" s="63" t="str">
        <f>'RAW DATA 2023'!D237</f>
        <v>C2-G04-0063</v>
      </c>
      <c r="C645" s="63" t="str">
        <f>A645&amp;B645</f>
        <v>Roiphet1C2-G04-0063</v>
      </c>
      <c r="D645" s="63">
        <f>VLOOKUP(C645,'RAW DATA 2023'!E:BP,63,0)</f>
        <v>4</v>
      </c>
      <c r="E645" s="63" t="str">
        <f>A645&amp;D645</f>
        <v>Roiphet14</v>
      </c>
      <c r="F645" s="389">
        <f>VLOOKUP(C645,'RAW DATA 2023'!E:BO,57,0)</f>
        <v>223.77854302377307</v>
      </c>
      <c r="G645" s="63">
        <f>VLOOKUP(C645,'RAW DATA 2023'!E:BO,58,0)</f>
        <v>184</v>
      </c>
      <c r="H645" s="390">
        <f>IFERROR((G645-F645)/G645,0)</f>
        <v>-0.21618773382485362</v>
      </c>
      <c r="I645" s="398">
        <f>IF(H645&lt;0,((0.25-(H645*(-1)))*$L$7),IF(H645&gt;0,(H645*$N$7)+$L$6,0))</f>
        <v>1.8033208626744734</v>
      </c>
      <c r="J645" s="73">
        <f>VLOOKUP(C645,'RAW DATA 2023'!E:AC,21,0)</f>
        <v>11.846590000000001</v>
      </c>
      <c r="K645" s="398">
        <f>I645*J645</f>
        <v>21.363202898550792</v>
      </c>
      <c r="R645" s="400"/>
    </row>
    <row r="646" spans="1:18">
      <c r="A646" s="63" t="str">
        <f>'RAW DATA 2023'!B240</f>
        <v>Roiphet1</v>
      </c>
      <c r="B646" s="63" t="str">
        <f>'RAW DATA 2023'!D240</f>
        <v>C3-I06-0062</v>
      </c>
      <c r="C646" s="63" t="str">
        <f>A646&amp;B646</f>
        <v>Roiphet1C3-I06-0062</v>
      </c>
      <c r="D646" s="63">
        <f>VLOOKUP(C646,'RAW DATA 2023'!E:BP,63,0)</f>
        <v>4</v>
      </c>
      <c r="E646" s="63" t="str">
        <f>A646&amp;D646</f>
        <v>Roiphet14</v>
      </c>
      <c r="F646" s="389">
        <f>VLOOKUP(C646,'RAW DATA 2023'!E:BO,57,0)</f>
        <v>256.05757708361381</v>
      </c>
      <c r="G646" s="63">
        <f>VLOOKUP(C646,'RAW DATA 2023'!E:BO,58,0)</f>
        <v>178</v>
      </c>
      <c r="H646" s="390">
        <f>IFERROR((G646-F646)/G646,0)</f>
        <v>-0.43852571395288659</v>
      </c>
      <c r="I646" s="398">
        <f>IF(H646&lt;0,((0.25-(H646*(-1)))*$L$7),IF(H646&gt;0,(H646*$N$7)+$L$6,0))</f>
        <v>-10.054704744153952</v>
      </c>
      <c r="J646" s="73">
        <f>VLOOKUP(C646,'RAW DATA 2023'!E:AC,21,0)</f>
        <v>4.1591199999999997</v>
      </c>
      <c r="K646" s="398">
        <f>I646*J646</f>
        <v>-41.818723595505581</v>
      </c>
      <c r="R646" s="400"/>
    </row>
    <row r="647" spans="1:18">
      <c r="A647" s="63" t="str">
        <f>'RAW DATA 2023'!B248</f>
        <v>Roiphet1</v>
      </c>
      <c r="B647" s="63" t="str">
        <f>'RAW DATA 2023'!D248</f>
        <v>C3-I05-0065</v>
      </c>
      <c r="C647" s="63" t="str">
        <f>A647&amp;B647</f>
        <v>Roiphet1C3-I05-0065</v>
      </c>
      <c r="D647" s="63">
        <f>VLOOKUP(C647,'RAW DATA 2023'!E:BP,63,0)</f>
        <v>4</v>
      </c>
      <c r="E647" s="63" t="str">
        <f>A647&amp;D647</f>
        <v>Roiphet14</v>
      </c>
      <c r="F647" s="389">
        <f>VLOOKUP(C647,'RAW DATA 2023'!E:BO,57,0)</f>
        <v>280.23349910675483</v>
      </c>
      <c r="G647" s="63">
        <f>VLOOKUP(C647,'RAW DATA 2023'!E:BO,58,0)</f>
        <v>178</v>
      </c>
      <c r="H647" s="390">
        <f>IFERROR((G647-F647)/G647,0)</f>
        <v>-0.57434550059974621</v>
      </c>
      <c r="I647" s="398">
        <f>IF(H647&lt;0,((0.25-(H647*(-1)))*$L$7),IF(H647&gt;0,(H647*$N$7)+$L$6,0))</f>
        <v>-17.298426698653131</v>
      </c>
      <c r="J647" s="73">
        <f>VLOOKUP(C647,'RAW DATA 2023'!E:AC,21,0)</f>
        <v>3.7279800000000001</v>
      </c>
      <c r="K647" s="398">
        <f>I647*J647</f>
        <v>-64.488188764044907</v>
      </c>
      <c r="R647" s="400"/>
    </row>
    <row r="648" spans="1:18">
      <c r="A648" s="63" t="str">
        <f>'RAW DATA 2023'!B106</f>
        <v>Roiphet1</v>
      </c>
      <c r="B648" s="63" t="str">
        <f>'RAW DATA 2023'!D106</f>
        <v>D4-G08-0059</v>
      </c>
      <c r="C648" s="63" t="str">
        <f>A648&amp;B648</f>
        <v>Roiphet1D4-G08-0059</v>
      </c>
      <c r="D648" s="63">
        <f>VLOOKUP(C648,'RAW DATA 2023'!E:BP,63,0)</f>
        <v>5</v>
      </c>
      <c r="E648" s="63" t="str">
        <f>A648&amp;D648</f>
        <v>Roiphet15</v>
      </c>
      <c r="F648" s="389">
        <f>VLOOKUP(C648,'RAW DATA 2023'!E:BO,57,0)</f>
        <v>198.36916645010601</v>
      </c>
      <c r="G648" s="63">
        <f>VLOOKUP(C648,'RAW DATA 2023'!E:BO,58,0)</f>
        <v>189</v>
      </c>
      <c r="H648" s="390">
        <f>IFERROR((G648-F648)/G648,0)</f>
        <v>-4.9572309259820146E-2</v>
      </c>
      <c r="I648" s="398">
        <f>IF(H648&lt;0,((0.25-(H648*(-1)))*$L$7),IF(H648&gt;0,(H648*$N$7)+$L$6,0))</f>
        <v>10.68947683947626</v>
      </c>
      <c r="J648" s="73">
        <f>VLOOKUP(C648,'RAW DATA 2023'!E:AC,21,0)</f>
        <v>9.6585699999999992</v>
      </c>
      <c r="K648" s="398">
        <f>I648*J648</f>
        <v>103.24506031746022</v>
      </c>
      <c r="R648" s="400"/>
    </row>
    <row r="649" spans="1:18">
      <c r="A649" s="63" t="str">
        <f>'RAW DATA 2023'!B107</f>
        <v>Roiphet1</v>
      </c>
      <c r="B649" s="63" t="str">
        <f>'RAW DATA 2023'!D107</f>
        <v>D4-I08-0071</v>
      </c>
      <c r="C649" s="63" t="str">
        <f>A649&amp;B649</f>
        <v>Roiphet1D4-I08-0071</v>
      </c>
      <c r="D649" s="63">
        <f>VLOOKUP(C649,'RAW DATA 2023'!E:BP,63,0)</f>
        <v>5</v>
      </c>
      <c r="E649" s="63" t="str">
        <f>A649&amp;D649</f>
        <v>Roiphet15</v>
      </c>
      <c r="F649" s="389">
        <f>VLOOKUP(C649,'RAW DATA 2023'!E:BO,57,0)</f>
        <v>269.30452422115332</v>
      </c>
      <c r="G649" s="63">
        <f>VLOOKUP(C649,'RAW DATA 2023'!E:BO,58,0)</f>
        <v>191</v>
      </c>
      <c r="H649" s="390">
        <f>IFERROR((G649-F649)/G649,0)</f>
        <v>-0.40997133100080269</v>
      </c>
      <c r="I649" s="398">
        <f>IF(H649&lt;0,((0.25-(H649*(-1)))*$L$7),IF(H649&gt;0,(H649*$N$7)+$L$6,0))</f>
        <v>-8.5318043200428111</v>
      </c>
      <c r="J649" s="73">
        <f>VLOOKUP(C649,'RAW DATA 2023'!E:AC,21,0)</f>
        <v>4.0373799999999997</v>
      </c>
      <c r="K649" s="398">
        <f>I649*J649</f>
        <v>-34.446136125654441</v>
      </c>
      <c r="R649" s="400"/>
    </row>
    <row r="650" spans="1:18">
      <c r="A650" s="63" t="str">
        <f>'RAW DATA 2023'!B111</f>
        <v>Roiphet1</v>
      </c>
      <c r="B650" s="63" t="str">
        <f>'RAW DATA 2023'!D111</f>
        <v>D4-G07-0062</v>
      </c>
      <c r="C650" s="63" t="str">
        <f>A650&amp;B650</f>
        <v>Roiphet1D4-G07-0062</v>
      </c>
      <c r="D650" s="63">
        <f>VLOOKUP(C650,'RAW DATA 2023'!E:BP,63,0)</f>
        <v>5</v>
      </c>
      <c r="E650" s="63" t="str">
        <f>A650&amp;D650</f>
        <v>Roiphet15</v>
      </c>
      <c r="F650" s="389">
        <f>VLOOKUP(C650,'RAW DATA 2023'!E:BO,57,0)</f>
        <v>236.1486613532484</v>
      </c>
      <c r="G650" s="63">
        <f>VLOOKUP(C650,'RAW DATA 2023'!E:BO,58,0)</f>
        <v>184</v>
      </c>
      <c r="H650" s="390">
        <f>IFERROR((G650-F650)/G650,0)</f>
        <v>-0.28341663778939347</v>
      </c>
      <c r="I650" s="398">
        <f>IF(H650&lt;0,((0.25-(H650*(-1)))*$L$7),IF(H650&gt;0,(H650*$N$7)+$L$6,0))</f>
        <v>-1.7822206821009849</v>
      </c>
      <c r="J650" s="73">
        <f>VLOOKUP(C650,'RAW DATA 2023'!E:AC,21,0)</f>
        <v>8.3072700000000008</v>
      </c>
      <c r="K650" s="398">
        <f>I650*J650</f>
        <v>-14.80538840579705</v>
      </c>
      <c r="R650" s="400"/>
    </row>
    <row r="651" spans="1:18">
      <c r="A651" s="63" t="str">
        <f>'RAW DATA 2023'!B112</f>
        <v>Roiphet1</v>
      </c>
      <c r="B651" s="63" t="str">
        <f>'RAW DATA 2023'!D112</f>
        <v>D4-I07-0076</v>
      </c>
      <c r="C651" s="63" t="str">
        <f>A651&amp;B651</f>
        <v>Roiphet1D4-I07-0076</v>
      </c>
      <c r="D651" s="63">
        <f>VLOOKUP(C651,'RAW DATA 2023'!E:BP,63,0)</f>
        <v>5</v>
      </c>
      <c r="E651" s="63" t="str">
        <f>A651&amp;D651</f>
        <v>Roiphet15</v>
      </c>
      <c r="F651" s="389">
        <f>VLOOKUP(C651,'RAW DATA 2023'!E:BO,57,0)</f>
        <v>212.80345549864029</v>
      </c>
      <c r="G651" s="63">
        <f>VLOOKUP(C651,'RAW DATA 2023'!E:BO,58,0)</f>
        <v>186</v>
      </c>
      <c r="H651" s="390">
        <f>IFERROR((G651-F651)/G651,0)</f>
        <v>-0.14410459945505533</v>
      </c>
      <c r="I651" s="398">
        <f>IF(H651&lt;0,((0.25-(H651*(-1)))*$L$7),IF(H651&gt;0,(H651*$N$7)+$L$6,0))</f>
        <v>5.6477546957303826</v>
      </c>
      <c r="J651" s="73">
        <f>VLOOKUP(C651,'RAW DATA 2023'!E:AC,21,0)</f>
        <v>4.9937800000000001</v>
      </c>
      <c r="K651" s="398">
        <f>I651*J651</f>
        <v>28.203644444444471</v>
      </c>
      <c r="R651" s="400"/>
    </row>
    <row r="652" spans="1:18">
      <c r="A652" s="63" t="str">
        <f>'RAW DATA 2023'!B114</f>
        <v>Roiphet1</v>
      </c>
      <c r="B652" s="63" t="str">
        <f>'RAW DATA 2023'!D114</f>
        <v>D5-I09-0082</v>
      </c>
      <c r="C652" s="63" t="str">
        <f>A652&amp;B652</f>
        <v>Roiphet1D5-I09-0082</v>
      </c>
      <c r="D652" s="63">
        <f>VLOOKUP(C652,'RAW DATA 2023'!E:BP,63,0)</f>
        <v>5</v>
      </c>
      <c r="E652" s="63" t="str">
        <f>A652&amp;D652</f>
        <v>Roiphet15</v>
      </c>
      <c r="F652" s="389">
        <f>VLOOKUP(C652,'RAW DATA 2023'!E:BO,57,0)</f>
        <v>264.2498096670941</v>
      </c>
      <c r="G652" s="63">
        <f>VLOOKUP(C652,'RAW DATA 2023'!E:BO,58,0)</f>
        <v>186</v>
      </c>
      <c r="H652" s="390">
        <f>IFERROR((G652-F652)/G652,0)</f>
        <v>-0.42069790143598979</v>
      </c>
      <c r="I652" s="398">
        <f>IF(H652&lt;0,((0.25-(H652*(-1)))*$L$7),IF(H652&gt;0,(H652*$N$7)+$L$6,0))</f>
        <v>-9.1038880765861219</v>
      </c>
      <c r="J652" s="73">
        <f>VLOOKUP(C652,'RAW DATA 2023'!E:AC,21,0)</f>
        <v>4.9518500000000003</v>
      </c>
      <c r="K652" s="398">
        <f>I652*J652</f>
        <v>-45.081088172042989</v>
      </c>
      <c r="R652" s="400"/>
    </row>
    <row r="653" spans="1:18">
      <c r="A653" s="63" t="str">
        <f>'RAW DATA 2023'!B115</f>
        <v>Roiphet1</v>
      </c>
      <c r="B653" s="63" t="str">
        <f>'RAW DATA 2023'!D115</f>
        <v>D2-I04-0091</v>
      </c>
      <c r="C653" s="63" t="str">
        <f>A653&amp;B653</f>
        <v>Roiphet1D2-I04-0091</v>
      </c>
      <c r="D653" s="63">
        <f>VLOOKUP(C653,'RAW DATA 2023'!E:BP,63,0)</f>
        <v>5</v>
      </c>
      <c r="E653" s="63" t="str">
        <f>A653&amp;D653</f>
        <v>Roiphet15</v>
      </c>
      <c r="F653" s="389">
        <f>VLOOKUP(C653,'RAW DATA 2023'!E:BO,57,0)</f>
        <v>278.43864009506268</v>
      </c>
      <c r="G653" s="63">
        <f>VLOOKUP(C653,'RAW DATA 2023'!E:BO,58,0)</f>
        <v>189</v>
      </c>
      <c r="H653" s="390">
        <f>IFERROR((G653-F653)/G653,0)</f>
        <v>-0.47322031796329461</v>
      </c>
      <c r="I653" s="398">
        <f>IF(H653&lt;0,((0.25-(H653*(-1)))*$L$7),IF(H653&gt;0,(H653*$N$7)+$L$6,0))</f>
        <v>-11.905083624709047</v>
      </c>
      <c r="J653" s="73">
        <f>VLOOKUP(C653,'RAW DATA 2023'!E:AC,21,0)</f>
        <v>4.4097200000000001</v>
      </c>
      <c r="K653" s="398">
        <f>I653*J653</f>
        <v>-52.498085361551979</v>
      </c>
      <c r="R653" s="400"/>
    </row>
    <row r="654" spans="1:18">
      <c r="A654" s="63" t="str">
        <f>'RAW DATA 2023'!B118</f>
        <v>Roiphet1</v>
      </c>
      <c r="B654" s="63" t="str">
        <f>'RAW DATA 2023'!D118</f>
        <v>D5-I10-0074</v>
      </c>
      <c r="C654" s="63" t="str">
        <f>A654&amp;B654</f>
        <v>Roiphet1D5-I10-0074</v>
      </c>
      <c r="D654" s="63">
        <f>VLOOKUP(C654,'RAW DATA 2023'!E:BP,63,0)</f>
        <v>5</v>
      </c>
      <c r="E654" s="63" t="str">
        <f>A654&amp;D654</f>
        <v>Roiphet15</v>
      </c>
      <c r="F654" s="389">
        <f>VLOOKUP(C654,'RAW DATA 2023'!E:BO,57,0)</f>
        <v>204.15999601406554</v>
      </c>
      <c r="G654" s="63">
        <f>VLOOKUP(C654,'RAW DATA 2023'!E:BO,58,0)</f>
        <v>186</v>
      </c>
      <c r="H654" s="397">
        <f>IFERROR((G654-F654)/G654,0)</f>
        <v>-9.7634387172395379E-2</v>
      </c>
      <c r="I654" s="398">
        <f>IF(H654&lt;0,((0.25-(H654*(-1)))*$L$7),IF(H654&gt;0,(H654*$N$7)+$L$6,0))</f>
        <v>8.1261660174722472</v>
      </c>
      <c r="J654" s="73">
        <f>VLOOKUP(C654,'RAW DATA 2023'!E:AC,21,0)</f>
        <v>6.6232899999999999</v>
      </c>
      <c r="K654" s="398">
        <f>I654*J654</f>
        <v>53.821954121863762</v>
      </c>
      <c r="R654" s="400"/>
    </row>
    <row r="655" spans="1:18">
      <c r="A655" s="63" t="str">
        <f>'RAW DATA 2023'!B119</f>
        <v>Roiphet1</v>
      </c>
      <c r="B655" s="63" t="str">
        <f>'RAW DATA 2023'!D119</f>
        <v>D5-G10-0069</v>
      </c>
      <c r="C655" s="63" t="str">
        <f>A655&amp;B655</f>
        <v>Roiphet1D5-G10-0069</v>
      </c>
      <c r="D655" s="63">
        <f>VLOOKUP(C655,'RAW DATA 2023'!E:BP,63,0)</f>
        <v>5</v>
      </c>
      <c r="E655" s="63" t="str">
        <f>A655&amp;D655</f>
        <v>Roiphet15</v>
      </c>
      <c r="F655" s="389">
        <f>VLOOKUP(C655,'RAW DATA 2023'!E:BO,57,0)</f>
        <v>202.45344143655325</v>
      </c>
      <c r="G655" s="63">
        <f>VLOOKUP(C655,'RAW DATA 2023'!E:BO,58,0)</f>
        <v>189</v>
      </c>
      <c r="H655" s="390">
        <f>IFERROR((G655-F655)/G655,0)</f>
        <v>-7.1182229823033058E-2</v>
      </c>
      <c r="I655" s="398">
        <f>IF(H655&lt;0,((0.25-(H655*(-1)))*$L$7),IF(H655&gt;0,(H655*$N$7)+$L$6,0))</f>
        <v>9.5369477427715701</v>
      </c>
      <c r="J655" s="73">
        <f>VLOOKUP(C655,'RAW DATA 2023'!E:AC,21,0)</f>
        <v>10.91056</v>
      </c>
      <c r="K655" s="398">
        <f>I655*J655</f>
        <v>104.05344056437379</v>
      </c>
      <c r="R655" s="400"/>
    </row>
    <row r="656" spans="1:18">
      <c r="A656" s="63" t="str">
        <f>'RAW DATA 2023'!B120</f>
        <v>Roiphet1</v>
      </c>
      <c r="B656" s="63" t="str">
        <f>'RAW DATA 2023'!D120</f>
        <v>D2-G04-0079</v>
      </c>
      <c r="C656" s="63" t="str">
        <f>A656&amp;B656</f>
        <v>Roiphet1D2-G04-0079</v>
      </c>
      <c r="D656" s="63">
        <f>VLOOKUP(C656,'RAW DATA 2023'!E:BP,63,0)</f>
        <v>5</v>
      </c>
      <c r="E656" s="63" t="str">
        <f>A656&amp;D656</f>
        <v>Roiphet15</v>
      </c>
      <c r="F656" s="389">
        <f>VLOOKUP(C656,'RAW DATA 2023'!E:BO,57,0)</f>
        <v>272.18209494803023</v>
      </c>
      <c r="G656" s="63">
        <f>VLOOKUP(C656,'RAW DATA 2023'!E:BO,58,0)</f>
        <v>186</v>
      </c>
      <c r="H656" s="397">
        <f>IFERROR((G656-F656)/G656,0)</f>
        <v>-0.46334459649478615</v>
      </c>
      <c r="I656" s="398">
        <f>IF(H656&lt;0,((0.25-(H656*(-1)))*$L$7),IF(H656&gt;0,(H656*$N$7)+$L$6,0))</f>
        <v>-11.378378479721929</v>
      </c>
      <c r="J656" s="73">
        <f>VLOOKUP(C656,'RAW DATA 2023'!E:AC,21,0)</f>
        <v>7.97194</v>
      </c>
      <c r="K656" s="398">
        <f>I656*J656</f>
        <v>-90.707750537634439</v>
      </c>
      <c r="R656" s="400"/>
    </row>
    <row r="657" spans="1:18">
      <c r="A657" s="63" t="str">
        <f>'RAW DATA 2023'!B128</f>
        <v>Roiphet1</v>
      </c>
      <c r="B657" s="63" t="str">
        <f>'RAW DATA 2023'!D128</f>
        <v>D5-G09-0068</v>
      </c>
      <c r="C657" s="63" t="str">
        <f>A657&amp;B657</f>
        <v>Roiphet1D5-G09-0068</v>
      </c>
      <c r="D657" s="63">
        <f>VLOOKUP(C657,'RAW DATA 2023'!E:BP,63,0)</f>
        <v>5</v>
      </c>
      <c r="E657" s="63" t="str">
        <f>A657&amp;D657</f>
        <v>Roiphet15</v>
      </c>
      <c r="F657" s="389">
        <f>VLOOKUP(C657,'RAW DATA 2023'!E:BO,57,0)</f>
        <v>202.69779559650323</v>
      </c>
      <c r="G657" s="63">
        <f>VLOOKUP(C657,'RAW DATA 2023'!E:BO,58,0)</f>
        <v>187</v>
      </c>
      <c r="H657" s="397">
        <f>IFERROR((G657-F657)/G657,0)</f>
        <v>-8.3945430997343459E-2</v>
      </c>
      <c r="I657" s="398">
        <f>IF(H657&lt;0,((0.25-(H657*(-1)))*$L$7),IF(H657&gt;0,(H657*$N$7)+$L$6,0))</f>
        <v>8.8562436801416826</v>
      </c>
      <c r="J657" s="73">
        <f>VLOOKUP(C657,'RAW DATA 2023'!E:AC,21,0)</f>
        <v>12.052239999999999</v>
      </c>
      <c r="K657" s="398">
        <f>I657*J657</f>
        <v>106.73757433155079</v>
      </c>
      <c r="R657" s="400"/>
    </row>
    <row r="658" spans="1:18">
      <c r="A658" s="63" t="str">
        <f>'RAW DATA 2023'!B149</f>
        <v>Roiphet1</v>
      </c>
      <c r="B658" s="63" t="str">
        <f>'RAW DATA 2023'!D149</f>
        <v>A6-G11-0091</v>
      </c>
      <c r="C658" s="63" t="str">
        <f>A658&amp;B658</f>
        <v>Roiphet1A6-G11-0091</v>
      </c>
      <c r="D658" s="63">
        <f>VLOOKUP(C658,'RAW DATA 2023'!E:BP,63,0)</f>
        <v>5</v>
      </c>
      <c r="E658" s="63" t="str">
        <f>A658&amp;D658</f>
        <v>Roiphet15</v>
      </c>
      <c r="F658" s="389">
        <f>VLOOKUP(C658,'RAW DATA 2023'!E:BO,57,0)</f>
        <v>275.24031386621851</v>
      </c>
      <c r="G658" s="63">
        <f>VLOOKUP(C658,'RAW DATA 2023'!E:BO,58,0)</f>
        <v>200</v>
      </c>
      <c r="H658" s="390">
        <f>IFERROR((G658-F658)/G658,0)</f>
        <v>-0.37620156933109256</v>
      </c>
      <c r="I658" s="398">
        <f>IF(H658&lt;0,((0.25-(H658*(-1)))*$L$7),IF(H658&gt;0,(H658*$N$7)+$L$6,0))</f>
        <v>-6.7307503643249369</v>
      </c>
      <c r="J658" s="73">
        <f>VLOOKUP(C658,'RAW DATA 2023'!E:AC,21,0)</f>
        <v>5.9745200000000001</v>
      </c>
      <c r="K658" s="398">
        <f>I658*J658</f>
        <v>-40.213002666666625</v>
      </c>
      <c r="R658" s="400"/>
    </row>
    <row r="659" spans="1:18">
      <c r="A659" s="63" t="str">
        <f>'RAW DATA 2023'!B150</f>
        <v>Roiphet1</v>
      </c>
      <c r="B659" s="63" t="str">
        <f>'RAW DATA 2023'!D150</f>
        <v>A6-I11-0101</v>
      </c>
      <c r="C659" s="63" t="str">
        <f>A659&amp;B659</f>
        <v>Roiphet1A6-I11-0101</v>
      </c>
      <c r="D659" s="63">
        <f>VLOOKUP(C659,'RAW DATA 2023'!E:BP,63,0)</f>
        <v>5</v>
      </c>
      <c r="E659" s="63" t="str">
        <f>A659&amp;D659</f>
        <v>Roiphet15</v>
      </c>
      <c r="F659" s="389">
        <f>VLOOKUP(C659,'RAW DATA 2023'!E:BO,57,0)</f>
        <v>305.00378680868204</v>
      </c>
      <c r="G659" s="63">
        <f>VLOOKUP(C659,'RAW DATA 2023'!E:BO,58,0)</f>
        <v>197</v>
      </c>
      <c r="H659" s="397">
        <f>IFERROR((G659-F659)/G659,0)</f>
        <v>-0.54824257263290377</v>
      </c>
      <c r="I659" s="398">
        <f>IF(H659&lt;0,((0.25-(H659*(-1)))*$L$7),IF(H659&gt;0,(H659*$N$7)+$L$6,0))</f>
        <v>-15.906270540421534</v>
      </c>
      <c r="J659" s="73">
        <f>VLOOKUP(C659,'RAW DATA 2023'!E:AC,21,0)</f>
        <v>3.32734</v>
      </c>
      <c r="K659" s="398">
        <f>I659*J659</f>
        <v>-52.92557021996619</v>
      </c>
      <c r="R659" s="400"/>
    </row>
    <row r="660" spans="1:18">
      <c r="A660" s="63" t="str">
        <f>'RAW DATA 2023'!B151</f>
        <v>Roiphet1</v>
      </c>
      <c r="B660" s="63" t="str">
        <f>'RAW DATA 2023'!D151</f>
        <v>A1-I02-0094</v>
      </c>
      <c r="C660" s="63" t="str">
        <f>A660&amp;B660</f>
        <v>Roiphet1A1-I02-0094</v>
      </c>
      <c r="D660" s="63">
        <f>VLOOKUP(C660,'RAW DATA 2023'!E:BP,63,0)</f>
        <v>5</v>
      </c>
      <c r="E660" s="63" t="str">
        <f>A660&amp;D660</f>
        <v>Roiphet15</v>
      </c>
      <c r="F660" s="389">
        <f>VLOOKUP(C660,'RAW DATA 2023'!E:BO,57,0)</f>
        <v>260.84042057470577</v>
      </c>
      <c r="G660" s="63">
        <f>VLOOKUP(C660,'RAW DATA 2023'!E:BO,58,0)</f>
        <v>197</v>
      </c>
      <c r="H660" s="390">
        <f>IFERROR((G660-F660)/G660,0)</f>
        <v>-0.32406304860256741</v>
      </c>
      <c r="I660" s="398">
        <f>IF(H660&lt;0,((0.25-(H660*(-1)))*$L$7),IF(H660&gt;0,(H660*$N$7)+$L$6,0))</f>
        <v>-3.9500292588035952</v>
      </c>
      <c r="J660" s="73">
        <f>VLOOKUP(C660,'RAW DATA 2023'!E:AC,21,0)</f>
        <v>5.0217000000000001</v>
      </c>
      <c r="K660" s="398">
        <f>I660*J660</f>
        <v>-19.835861928934015</v>
      </c>
      <c r="R660" s="400"/>
    </row>
    <row r="661" spans="1:18">
      <c r="A661" s="63" t="str">
        <f>'RAW DATA 2023'!B153</f>
        <v>Roiphet1</v>
      </c>
      <c r="B661" s="63" t="str">
        <f>'RAW DATA 2023'!D153</f>
        <v>A2-G03-0082</v>
      </c>
      <c r="C661" s="63" t="str">
        <f>A661&amp;B661</f>
        <v>Roiphet1A2-G03-0082</v>
      </c>
      <c r="D661" s="63">
        <f>VLOOKUP(C661,'RAW DATA 2023'!E:BP,63,0)</f>
        <v>5</v>
      </c>
      <c r="E661" s="63" t="str">
        <f>A661&amp;D661</f>
        <v>Roiphet15</v>
      </c>
      <c r="F661" s="389">
        <f>VLOOKUP(C661,'RAW DATA 2023'!E:BO,57,0)</f>
        <v>258.9258794148941</v>
      </c>
      <c r="G661" s="63">
        <f>VLOOKUP(C661,'RAW DATA 2023'!E:BO,58,0)</f>
        <v>204</v>
      </c>
      <c r="H661" s="390">
        <f>IFERROR((G661-F661)/G661,0)</f>
        <v>-0.26924450693575536</v>
      </c>
      <c r="I661" s="398">
        <f>IF(H661&lt;0,((0.25-(H661*(-1)))*$L$7),IF(H661&gt;0,(H661*$N$7)+$L$6,0))</f>
        <v>-1.0263737032402858</v>
      </c>
      <c r="J661" s="73">
        <f>VLOOKUP(C661,'RAW DATA 2023'!E:AC,21,0)</f>
        <v>7.7162100000000002</v>
      </c>
      <c r="K661" s="398">
        <f>I661*J661</f>
        <v>-7.9197150326797257</v>
      </c>
      <c r="R661" s="400"/>
    </row>
    <row r="662" spans="1:18">
      <c r="A662" s="63" t="str">
        <f>'RAW DATA 2023'!B154</f>
        <v>Roiphet1</v>
      </c>
      <c r="B662" s="63" t="str">
        <f>'RAW DATA 2023'!D154</f>
        <v>A4-G07-0071</v>
      </c>
      <c r="C662" s="63" t="str">
        <f>A662&amp;B662</f>
        <v>Roiphet1A4-G07-0071</v>
      </c>
      <c r="D662" s="63">
        <f>VLOOKUP(C662,'RAW DATA 2023'!E:BP,63,0)</f>
        <v>5</v>
      </c>
      <c r="E662" s="63" t="str">
        <f>A662&amp;D662</f>
        <v>Roiphet15</v>
      </c>
      <c r="F662" s="389">
        <f>VLOOKUP(C662,'RAW DATA 2023'!E:BO,57,0)</f>
        <v>229.32232914983365</v>
      </c>
      <c r="G662" s="63">
        <f>VLOOKUP(C662,'RAW DATA 2023'!E:BO,58,0)</f>
        <v>194</v>
      </c>
      <c r="H662" s="390">
        <f>IFERROR((G662-F662)/G662,0)</f>
        <v>-0.18207386159708067</v>
      </c>
      <c r="I662" s="398">
        <f>IF(H662&lt;0,((0.25-(H662*(-1)))*$L$7),IF(H662&gt;0,(H662*$N$7)+$L$6,0))</f>
        <v>3.6227273814890313</v>
      </c>
      <c r="J662" s="73">
        <f>VLOOKUP(C662,'RAW DATA 2023'!E:AC,21,0)</f>
        <v>9.9828700000000001</v>
      </c>
      <c r="K662" s="398">
        <f>I662*J662</f>
        <v>36.165216494845403</v>
      </c>
      <c r="R662" s="400"/>
    </row>
    <row r="663" spans="1:18">
      <c r="A663" s="63" t="str">
        <f>'RAW DATA 2023'!B156</f>
        <v>Roiphet1</v>
      </c>
      <c r="B663" s="63" t="str">
        <f>'RAW DATA 2023'!D156</f>
        <v>A2-I04-0099</v>
      </c>
      <c r="C663" s="63" t="str">
        <f>A663&amp;B663</f>
        <v>Roiphet1A2-I04-0099</v>
      </c>
      <c r="D663" s="63">
        <f>VLOOKUP(C663,'RAW DATA 2023'!E:BP,63,0)</f>
        <v>5</v>
      </c>
      <c r="E663" s="63" t="str">
        <f>A663&amp;D663</f>
        <v>Roiphet15</v>
      </c>
      <c r="F663" s="389">
        <f>VLOOKUP(C663,'RAW DATA 2023'!E:BO,57,0)</f>
        <v>275.70610579279099</v>
      </c>
      <c r="G663" s="63">
        <f>VLOOKUP(C663,'RAW DATA 2023'!E:BO,58,0)</f>
        <v>192</v>
      </c>
      <c r="H663" s="397">
        <f>IFERROR((G663-F663)/G663,0)</f>
        <v>-0.43596930100411974</v>
      </c>
      <c r="I663" s="398">
        <f>IF(H663&lt;0,((0.25-(H663*(-1)))*$L$7),IF(H663&gt;0,(H663*$N$7)+$L$6,0))</f>
        <v>-9.9183627202197204</v>
      </c>
      <c r="J663" s="73">
        <f>VLOOKUP(C663,'RAW DATA 2023'!E:AC,21,0)</f>
        <v>4.4280900000000001</v>
      </c>
      <c r="K663" s="398">
        <f>I663*J663</f>
        <v>-43.919402777777741</v>
      </c>
      <c r="R663" s="400"/>
    </row>
    <row r="664" spans="1:18">
      <c r="A664" s="63" t="str">
        <f>'RAW DATA 2023'!B158</f>
        <v>Roiphet1</v>
      </c>
      <c r="B664" s="63" t="str">
        <f>'RAW DATA 2023'!D158</f>
        <v>A5-I10-0094</v>
      </c>
      <c r="C664" s="63" t="str">
        <f>A664&amp;B664</f>
        <v>Roiphet1A5-I10-0094</v>
      </c>
      <c r="D664" s="63">
        <f>VLOOKUP(C664,'RAW DATA 2023'!E:BP,63,0)</f>
        <v>5</v>
      </c>
      <c r="E664" s="63" t="str">
        <f>A664&amp;D664</f>
        <v>Roiphet15</v>
      </c>
      <c r="F664" s="389">
        <f>VLOOKUP(C664,'RAW DATA 2023'!E:BO,57,0)</f>
        <v>351.5951126571498</v>
      </c>
      <c r="G664" s="63">
        <f>VLOOKUP(C664,'RAW DATA 2023'!E:BO,58,0)</f>
        <v>197</v>
      </c>
      <c r="H664" s="397">
        <f>IFERROR((G664-F664)/G664,0)</f>
        <v>-0.78474676475710559</v>
      </c>
      <c r="I664" s="398">
        <f>IF(H664&lt;0,((0.25-(H664*(-1)))*$L$7),IF(H664&gt;0,(H664*$N$7)+$L$6,0))</f>
        <v>-28.519827453712299</v>
      </c>
      <c r="J664" s="73">
        <f>VLOOKUP(C664,'RAW DATA 2023'!E:AC,21,0)</f>
        <v>3.4640500000000003</v>
      </c>
      <c r="K664" s="398">
        <f>I664*J664</f>
        <v>-98.794108291032103</v>
      </c>
      <c r="R664" s="400"/>
    </row>
    <row r="665" spans="1:18">
      <c r="A665" s="63" t="str">
        <f>'RAW DATA 2023'!B159</f>
        <v>Roiphet1</v>
      </c>
      <c r="B665" s="63" t="str">
        <f>'RAW DATA 2023'!D159</f>
        <v>A2-G04-0081</v>
      </c>
      <c r="C665" s="63" t="str">
        <f>A665&amp;B665</f>
        <v>Roiphet1A2-G04-0081</v>
      </c>
      <c r="D665" s="63">
        <f>VLOOKUP(C665,'RAW DATA 2023'!E:BP,63,0)</f>
        <v>5</v>
      </c>
      <c r="E665" s="63" t="str">
        <f>A665&amp;D665</f>
        <v>Roiphet15</v>
      </c>
      <c r="F665" s="389">
        <f>VLOOKUP(C665,'RAW DATA 2023'!E:BO,57,0)</f>
        <v>258.09626857288146</v>
      </c>
      <c r="G665" s="63">
        <f>VLOOKUP(C665,'RAW DATA 2023'!E:BO,58,0)</f>
        <v>191</v>
      </c>
      <c r="H665" s="397">
        <f>IFERROR((G665-F665)/G665,0)</f>
        <v>-0.35128936425592383</v>
      </c>
      <c r="I665" s="398">
        <f>IF(H665&lt;0,((0.25-(H665*(-1)))*$L$7),IF(H665&gt;0,(H665*$N$7)+$L$6,0))</f>
        <v>-5.4020994269826046</v>
      </c>
      <c r="J665" s="73">
        <f>VLOOKUP(C665,'RAW DATA 2023'!E:AC,21,0)</f>
        <v>8.45655</v>
      </c>
      <c r="K665" s="398">
        <f>I665*J665</f>
        <v>-45.683123909249744</v>
      </c>
      <c r="R665" s="400"/>
    </row>
    <row r="666" spans="1:18">
      <c r="A666" s="63" t="str">
        <f>'RAW DATA 2023'!B162</f>
        <v>Roiphet1</v>
      </c>
      <c r="B666" s="63" t="str">
        <f>'RAW DATA 2023'!D162</f>
        <v>A1-G02-0074</v>
      </c>
      <c r="C666" s="63" t="str">
        <f>A666&amp;B666</f>
        <v>Roiphet1A1-G02-0074</v>
      </c>
      <c r="D666" s="63">
        <f>VLOOKUP(C666,'RAW DATA 2023'!E:BP,63,0)</f>
        <v>5</v>
      </c>
      <c r="E666" s="63" t="str">
        <f>A666&amp;D666</f>
        <v>Roiphet15</v>
      </c>
      <c r="F666" s="389">
        <f>VLOOKUP(C666,'RAW DATA 2023'!E:BO,57,0)</f>
        <v>255.04908316851603</v>
      </c>
      <c r="G666" s="63">
        <f>VLOOKUP(C666,'RAW DATA 2023'!E:BO,58,0)</f>
        <v>194</v>
      </c>
      <c r="H666" s="390">
        <f>IFERROR((G666-F666)/G666,0)</f>
        <v>-0.31468599571400019</v>
      </c>
      <c r="I666" s="398">
        <f>IF(H666&lt;0,((0.25-(H666*(-1)))*$L$7),IF(H666&gt;0,(H666*$N$7)+$L$6,0))</f>
        <v>-3.4499197714133434</v>
      </c>
      <c r="J666" s="73">
        <f>VLOOKUP(C666,'RAW DATA 2023'!E:AC,21,0)</f>
        <v>8.9492999999999991</v>
      </c>
      <c r="K666" s="398">
        <f>I666*J666</f>
        <v>-30.874367010309431</v>
      </c>
      <c r="R666" s="400"/>
    </row>
    <row r="667" spans="1:18">
      <c r="A667" s="63" t="str">
        <f>'RAW DATA 2023'!B167</f>
        <v>Roiphet1</v>
      </c>
      <c r="B667" s="63" t="str">
        <f>'RAW DATA 2023'!D167</f>
        <v>A4-I07-0094</v>
      </c>
      <c r="C667" s="63" t="str">
        <f>A667&amp;B667</f>
        <v>Roiphet1A4-I07-0094</v>
      </c>
      <c r="D667" s="63">
        <f>VLOOKUP(C667,'RAW DATA 2023'!E:BP,63,0)</f>
        <v>5</v>
      </c>
      <c r="E667" s="63" t="str">
        <f>A667&amp;D667</f>
        <v>Roiphet15</v>
      </c>
      <c r="F667" s="389">
        <f>VLOOKUP(C667,'RAW DATA 2023'!E:BO,57,0)</f>
        <v>246.51649706278241</v>
      </c>
      <c r="G667" s="63">
        <f>VLOOKUP(C667,'RAW DATA 2023'!E:BO,58,0)</f>
        <v>192</v>
      </c>
      <c r="H667" s="390">
        <f>IFERROR((G667-F667)/G667,0)</f>
        <v>-0.28394008886865835</v>
      </c>
      <c r="I667" s="398">
        <f>IF(H667&lt;0,((0.25-(H667*(-1)))*$L$7),IF(H667&gt;0,(H667*$N$7)+$L$6,0))</f>
        <v>-1.810138072995112</v>
      </c>
      <c r="J667" s="73">
        <f>VLOOKUP(C667,'RAW DATA 2023'!E:AC,21,0)</f>
        <v>5.1187899999999997</v>
      </c>
      <c r="K667" s="398">
        <f>I667*J667</f>
        <v>-9.2657166666666484</v>
      </c>
      <c r="R667" s="400"/>
    </row>
    <row r="668" spans="1:18">
      <c r="A668" s="63" t="str">
        <f>'RAW DATA 2023'!B169</f>
        <v>Roiphet1</v>
      </c>
      <c r="B668" s="63" t="str">
        <f>'RAW DATA 2023'!D169</f>
        <v>A5-G10-0068</v>
      </c>
      <c r="C668" s="63" t="str">
        <f>A668&amp;B668</f>
        <v>Roiphet1A5-G10-0068</v>
      </c>
      <c r="D668" s="63">
        <f>VLOOKUP(C668,'RAW DATA 2023'!E:BP,63,0)</f>
        <v>5</v>
      </c>
      <c r="E668" s="63" t="str">
        <f>A668&amp;D668</f>
        <v>Roiphet15</v>
      </c>
      <c r="F668" s="389">
        <f>VLOOKUP(C668,'RAW DATA 2023'!E:BO,57,0)</f>
        <v>308.26286450027072</v>
      </c>
      <c r="G668" s="63">
        <f>VLOOKUP(C668,'RAW DATA 2023'!E:BO,58,0)</f>
        <v>200</v>
      </c>
      <c r="H668" s="397">
        <f>IFERROR((G668-F668)/G668,0)</f>
        <v>-0.54131432250135358</v>
      </c>
      <c r="I668" s="398">
        <f>IF(H668&lt;0,((0.25-(H668*(-1)))*$L$7),IF(H668&gt;0,(H668*$N$7)+$L$6,0))</f>
        <v>-15.536763866738859</v>
      </c>
      <c r="J668" s="73">
        <f>VLOOKUP(C668,'RAW DATA 2023'!E:AC,21,0)</f>
        <v>6.8346999999999998</v>
      </c>
      <c r="K668" s="398">
        <f>I668*J668</f>
        <v>-106.18912000000007</v>
      </c>
      <c r="R668" s="400"/>
    </row>
    <row r="669" spans="1:18">
      <c r="A669" s="63" t="str">
        <f>'RAW DATA 2023'!B224</f>
        <v>Roiphet1</v>
      </c>
      <c r="B669" s="63" t="str">
        <f>'RAW DATA 2023'!D224</f>
        <v>C1-G02-0073</v>
      </c>
      <c r="C669" s="63" t="str">
        <f>A669&amp;B669</f>
        <v>Roiphet1C1-G02-0073</v>
      </c>
      <c r="D669" s="63">
        <f>VLOOKUP(C669,'RAW DATA 2023'!E:BP,63,0)</f>
        <v>5</v>
      </c>
      <c r="E669" s="63" t="str">
        <f>A669&amp;D669</f>
        <v>Roiphet15</v>
      </c>
      <c r="F669" s="389">
        <f>VLOOKUP(C669,'RAW DATA 2023'!E:BO,57,0)</f>
        <v>251.14886512821829</v>
      </c>
      <c r="G669" s="63">
        <f>VLOOKUP(C669,'RAW DATA 2023'!E:BO,58,0)</f>
        <v>192</v>
      </c>
      <c r="H669" s="397">
        <f>IFERROR((G669-F669)/G669,0)</f>
        <v>-0.30806700587613695</v>
      </c>
      <c r="I669" s="398">
        <f>IF(H669&lt;0,((0.25-(H669*(-1)))*$L$7),IF(H669&gt;0,(H669*$N$7)+$L$6,0))</f>
        <v>-3.0969069800606372</v>
      </c>
      <c r="J669" s="73">
        <f>VLOOKUP(C669,'RAW DATA 2023'!E:AC,21,0)</f>
        <v>8.1731700000000007</v>
      </c>
      <c r="K669" s="398">
        <f>I669*J669</f>
        <v>-25.311547222222202</v>
      </c>
      <c r="R669" s="400"/>
    </row>
    <row r="670" spans="1:18">
      <c r="A670" s="63" t="str">
        <f>'RAW DATA 2023'!B229</f>
        <v>Roiphet1</v>
      </c>
      <c r="B670" s="63" t="str">
        <f>'RAW DATA 2023'!D229</f>
        <v>C1-I01-0079</v>
      </c>
      <c r="C670" s="63" t="str">
        <f>A670&amp;B670</f>
        <v>Roiphet1C1-I01-0079</v>
      </c>
      <c r="D670" s="63">
        <f>VLOOKUP(C670,'RAW DATA 2023'!E:BP,63,0)</f>
        <v>5</v>
      </c>
      <c r="E670" s="63" t="str">
        <f>A670&amp;D670</f>
        <v>Roiphet15</v>
      </c>
      <c r="F670" s="389">
        <f>VLOOKUP(C670,'RAW DATA 2023'!E:BO,57,0)</f>
        <v>277.51925959721046</v>
      </c>
      <c r="G670" s="63">
        <f>VLOOKUP(C670,'RAW DATA 2023'!E:BO,58,0)</f>
        <v>197</v>
      </c>
      <c r="H670" s="390">
        <f>IFERROR((G670-F670)/G670,0)</f>
        <v>-0.40872720607721047</v>
      </c>
      <c r="I670" s="398">
        <f>IF(H670&lt;0,((0.25-(H670*(-1)))*$L$7),IF(H670&gt;0,(H670*$N$7)+$L$6,0))</f>
        <v>-8.465450990784559</v>
      </c>
      <c r="J670" s="73">
        <f>VLOOKUP(C670,'RAW DATA 2023'!E:AC,21,0)</f>
        <v>4.7563300000000002</v>
      </c>
      <c r="K670" s="398">
        <f>I670*J670</f>
        <v>-40.264478510998323</v>
      </c>
      <c r="R670" s="400"/>
    </row>
    <row r="671" spans="1:18">
      <c r="A671" s="63" t="str">
        <f>'RAW DATA 2023'!B232</f>
        <v>Roiphet1</v>
      </c>
      <c r="B671" s="63" t="str">
        <f>'RAW DATA 2023'!D232</f>
        <v>C1-G01-0072</v>
      </c>
      <c r="C671" s="63" t="str">
        <f>A671&amp;B671</f>
        <v>Roiphet1C1-G01-0072</v>
      </c>
      <c r="D671" s="63">
        <f>VLOOKUP(C671,'RAW DATA 2023'!E:BP,63,0)</f>
        <v>5</v>
      </c>
      <c r="E671" s="63" t="str">
        <f>A671&amp;D671</f>
        <v>Roiphet15</v>
      </c>
      <c r="F671" s="389">
        <f>VLOOKUP(C671,'RAW DATA 2023'!E:BO,57,0)</f>
        <v>268.34405984131143</v>
      </c>
      <c r="G671" s="63">
        <f>VLOOKUP(C671,'RAW DATA 2023'!E:BO,58,0)</f>
        <v>197</v>
      </c>
      <c r="H671" s="390">
        <f>IFERROR((G671-F671)/G671,0)</f>
        <v>-0.3621525880269616</v>
      </c>
      <c r="I671" s="398">
        <f>IF(H671&lt;0,((0.25-(H671*(-1)))*$L$7),IF(H671&gt;0,(H671*$N$7)+$L$6,0))</f>
        <v>-5.9814713614379524</v>
      </c>
      <c r="J671" s="73">
        <f>VLOOKUP(C671,'RAW DATA 2023'!E:AC,21,0)</f>
        <v>7.2204300000000003</v>
      </c>
      <c r="K671" s="398">
        <f>I671*J671</f>
        <v>-43.18879526226744</v>
      </c>
      <c r="R671" s="400"/>
    </row>
    <row r="672" spans="1:18">
      <c r="A672" s="63" t="str">
        <f>'RAW DATA 2023'!B234</f>
        <v>Roiphet1</v>
      </c>
      <c r="B672" s="63" t="str">
        <f>'RAW DATA 2023'!D234</f>
        <v>C1-I02-0071</v>
      </c>
      <c r="C672" s="63" t="str">
        <f>A672&amp;B672</f>
        <v>Roiphet1C1-I02-0071</v>
      </c>
      <c r="D672" s="63">
        <f>VLOOKUP(C672,'RAW DATA 2023'!E:BP,63,0)</f>
        <v>5</v>
      </c>
      <c r="E672" s="63" t="str">
        <f>A672&amp;D672</f>
        <v>Roiphet15</v>
      </c>
      <c r="F672" s="389">
        <f>VLOOKUP(C672,'RAW DATA 2023'!E:BO,57,0)</f>
        <v>279.40370597466756</v>
      </c>
      <c r="G672" s="63">
        <f>VLOOKUP(C672,'RAW DATA 2023'!E:BO,58,0)</f>
        <v>192</v>
      </c>
      <c r="H672" s="397">
        <f>IFERROR((G672-F672)/G672,0)</f>
        <v>-0.45522763528472687</v>
      </c>
      <c r="I672" s="398">
        <f>IF(H672&lt;0,((0.25-(H672*(-1)))*$L$7),IF(H672&gt;0,(H672*$N$7)+$L$6,0))</f>
        <v>-10.9454738818521</v>
      </c>
      <c r="J672" s="73">
        <f>VLOOKUP(C672,'RAW DATA 2023'!E:AC,21,0)</f>
        <v>4.6643599999999994</v>
      </c>
      <c r="K672" s="398">
        <f>I672*J672</f>
        <v>-51.053630555555657</v>
      </c>
      <c r="R672" s="400"/>
    </row>
    <row r="673" spans="1:18">
      <c r="A673" s="63" t="str">
        <f>'RAW DATA 2023'!B242</f>
        <v>Roiphet1</v>
      </c>
      <c r="B673" s="63" t="str">
        <f>'RAW DATA 2023'!D242</f>
        <v>C5-G09-0057</v>
      </c>
      <c r="C673" s="63" t="str">
        <f>A673&amp;B673</f>
        <v>Roiphet1C5-G09-0057</v>
      </c>
      <c r="D673" s="63">
        <f>VLOOKUP(C673,'RAW DATA 2023'!E:BP,63,0)</f>
        <v>5</v>
      </c>
      <c r="E673" s="63" t="str">
        <f>A673&amp;D673</f>
        <v>Roiphet15</v>
      </c>
      <c r="F673" s="389">
        <f>VLOOKUP(C673,'RAW DATA 2023'!E:BO,57,0)</f>
        <v>235.77650252820084</v>
      </c>
      <c r="G673" s="63">
        <f>VLOOKUP(C673,'RAW DATA 2023'!E:BO,58,0)</f>
        <v>191</v>
      </c>
      <c r="H673" s="390">
        <f>IFERROR((G673-F673)/G673,0)</f>
        <v>-0.23443195040942846</v>
      </c>
      <c r="I673" s="398">
        <f>IF(H673&lt;0,((0.25-(H673*(-1)))*$L$7),IF(H673&gt;0,(H673*$N$7)+$L$6,0))</f>
        <v>0.83029597816381528</v>
      </c>
      <c r="J673" s="73">
        <f>VLOOKUP(C673,'RAW DATA 2023'!E:AC,21,0)</f>
        <v>9.2931699999999999</v>
      </c>
      <c r="K673" s="398">
        <f>I673*J673</f>
        <v>7.7160816753926236</v>
      </c>
      <c r="R673" s="400"/>
    </row>
    <row r="674" spans="1:18">
      <c r="A674" s="63" t="str">
        <f>'RAW DATA 2023'!B243</f>
        <v>Roiphet1</v>
      </c>
      <c r="B674" s="63" t="str">
        <f>'RAW DATA 2023'!D243</f>
        <v>C5-I09-0064</v>
      </c>
      <c r="C674" s="63" t="str">
        <f>A674&amp;B674</f>
        <v>Roiphet1C5-I09-0064</v>
      </c>
      <c r="D674" s="63">
        <f>VLOOKUP(C674,'RAW DATA 2023'!E:BP,63,0)</f>
        <v>5</v>
      </c>
      <c r="E674" s="63" t="str">
        <f>A674&amp;D674</f>
        <v>Roiphet15</v>
      </c>
      <c r="F674" s="389">
        <f>VLOOKUP(C674,'RAW DATA 2023'!E:BO,57,0)</f>
        <v>261.17710268466305</v>
      </c>
      <c r="G674" s="63">
        <f>VLOOKUP(C674,'RAW DATA 2023'!E:BO,58,0)</f>
        <v>191</v>
      </c>
      <c r="H674" s="390">
        <f>IFERROR((G674-F674)/G674,0)</f>
        <v>-0.36741938578357619</v>
      </c>
      <c r="I674" s="398">
        <f>IF(H674&lt;0,((0.25-(H674*(-1)))*$L$7),IF(H674&gt;0,(H674*$N$7)+$L$6,0))</f>
        <v>-6.2623672417907308</v>
      </c>
      <c r="J674" s="73">
        <f>VLOOKUP(C674,'RAW DATA 2023'!E:AC,21,0)</f>
        <v>4.8661599999999998</v>
      </c>
      <c r="K674" s="398">
        <f>I674*J674</f>
        <v>-30.47368097731238</v>
      </c>
      <c r="R674" s="400"/>
    </row>
    <row r="675" spans="1:18">
      <c r="A675" s="63" t="str">
        <f>'RAW DATA 2023'!B245</f>
        <v>Roiphet1</v>
      </c>
      <c r="B675" s="63" t="str">
        <f>'RAW DATA 2023'!D245</f>
        <v>C5-G10-0064</v>
      </c>
      <c r="C675" s="63" t="str">
        <f>A675&amp;B675</f>
        <v>Roiphet1C5-G10-0064</v>
      </c>
      <c r="D675" s="63">
        <f>VLOOKUP(C675,'RAW DATA 2023'!E:BP,63,0)</f>
        <v>5</v>
      </c>
      <c r="E675" s="63" t="str">
        <f>A675&amp;D675</f>
        <v>Roiphet15</v>
      </c>
      <c r="F675" s="389">
        <f>VLOOKUP(C675,'RAW DATA 2023'!E:BO,57,0)</f>
        <v>257.30397456587775</v>
      </c>
      <c r="G675" s="63">
        <f>VLOOKUP(C675,'RAW DATA 2023'!E:BO,58,0)</f>
        <v>191</v>
      </c>
      <c r="H675" s="390">
        <f>IFERROR((G675-F675)/G675,0)</f>
        <v>-0.34714122809360082</v>
      </c>
      <c r="I675" s="398">
        <f>IF(H675&lt;0,((0.25-(H675*(-1)))*$L$7),IF(H675&gt;0,(H675*$N$7)+$L$6,0))</f>
        <v>-5.1808654983253772</v>
      </c>
      <c r="J675" s="73">
        <f>VLOOKUP(C675,'RAW DATA 2023'!E:AC,21,0)</f>
        <v>8.2597699999999996</v>
      </c>
      <c r="K675" s="398">
        <f>I675*J675</f>
        <v>-42.792757417102997</v>
      </c>
      <c r="R675" s="400"/>
    </row>
    <row r="676" spans="1:18">
      <c r="A676" s="63" t="str">
        <f>'RAW DATA 2023'!B254</f>
        <v>Roiphet1</v>
      </c>
      <c r="B676" s="63" t="str">
        <f>'RAW DATA 2023'!D254</f>
        <v>C5-I10-0065</v>
      </c>
      <c r="C676" s="63" t="str">
        <f>A676&amp;B676</f>
        <v>Roiphet1C5-I10-0065</v>
      </c>
      <c r="D676" s="63">
        <f>VLOOKUP(C676,'RAW DATA 2023'!E:BP,63,0)</f>
        <v>5</v>
      </c>
      <c r="E676" s="63" t="str">
        <f>A676&amp;D676</f>
        <v>Roiphet15</v>
      </c>
      <c r="F676" s="389">
        <f>VLOOKUP(C676,'RAW DATA 2023'!E:BO,57,0)</f>
        <v>276.84135135016868</v>
      </c>
      <c r="G676" s="63">
        <f>VLOOKUP(C676,'RAW DATA 2023'!E:BO,58,0)</f>
        <v>187</v>
      </c>
      <c r="H676" s="390">
        <f>IFERROR((G676-F676)/G676,0)</f>
        <v>-0.48043503395812126</v>
      </c>
      <c r="I676" s="398">
        <f>IF(H676&lt;0,((0.25-(H676*(-1)))*$L$7),IF(H676&gt;0,(H676*$N$7)+$L$6,0))</f>
        <v>-12.289868477766468</v>
      </c>
      <c r="J676" s="73">
        <f>VLOOKUP(C676,'RAW DATA 2023'!E:AC,21,0)</f>
        <v>4.5705400000000003</v>
      </c>
      <c r="K676" s="398">
        <f>I676*J676</f>
        <v>-56.171335472370757</v>
      </c>
      <c r="R676" s="400"/>
    </row>
    <row r="677" spans="1:18">
      <c r="A677" s="63" t="str">
        <f>'RAW DATA 2023'!B258</f>
        <v>Roiphet1</v>
      </c>
      <c r="B677" s="63" t="str">
        <f>'RAW DATA 2023'!D258</f>
        <v>C3-I05-0066</v>
      </c>
      <c r="C677" s="63" t="str">
        <f>A677&amp;B677</f>
        <v>Roiphet1C3-I05-0066</v>
      </c>
      <c r="D677" s="63">
        <f>VLOOKUP(C677,'RAW DATA 2023'!E:BP,63,0)</f>
        <v>5</v>
      </c>
      <c r="E677" s="63" t="str">
        <f>A677&amp;D677</f>
        <v>Roiphet15</v>
      </c>
      <c r="F677" s="389">
        <f>VLOOKUP(C677,'RAW DATA 2023'!E:BO,57,0)</f>
        <v>267.51320119518431</v>
      </c>
      <c r="G677" s="63">
        <f>VLOOKUP(C677,'RAW DATA 2023'!E:BO,58,0)</f>
        <v>150</v>
      </c>
      <c r="H677" s="397">
        <f>IFERROR((G677-F677)/G677,0)</f>
        <v>-0.78342134130122876</v>
      </c>
      <c r="I677" s="398">
        <f>IF(H677&lt;0,((0.25-(H677*(-1)))*$L$7),IF(H677&gt;0,(H677*$N$7)+$L$6,0))</f>
        <v>-28.4491382027322</v>
      </c>
      <c r="J677" s="73">
        <f>VLOOKUP(C677,'RAW DATA 2023'!E:AC,21,0)</f>
        <v>1.71689</v>
      </c>
      <c r="K677" s="398">
        <f>I677*J677</f>
        <v>-48.844040888888891</v>
      </c>
      <c r="R677" s="400"/>
    </row>
    <row r="678" spans="1:18">
      <c r="A678" s="63" t="str">
        <f>'RAW DATA 2023'!B259</f>
        <v>Roiphet1</v>
      </c>
      <c r="B678" s="63" t="str">
        <f>'RAW DATA 2023'!D259</f>
        <v>C3-I06-0063</v>
      </c>
      <c r="C678" s="63" t="str">
        <f>A678&amp;B678</f>
        <v>Roiphet1C3-I06-0063</v>
      </c>
      <c r="D678" s="63">
        <f>VLOOKUP(C678,'RAW DATA 2023'!E:BP,63,0)</f>
        <v>5</v>
      </c>
      <c r="E678" s="63" t="str">
        <f>A678&amp;D678</f>
        <v>Roiphet15</v>
      </c>
      <c r="F678" s="389">
        <f>VLOOKUP(C678,'RAW DATA 2023'!E:BO,57,0)</f>
        <v>310.83504564708358</v>
      </c>
      <c r="G678" s="63">
        <f>VLOOKUP(C678,'RAW DATA 2023'!E:BO,58,0)</f>
        <v>150</v>
      </c>
      <c r="H678" s="397">
        <f>IFERROR((G678-F678)/G678,0)</f>
        <v>-1.0722336376472239</v>
      </c>
      <c r="I678" s="398">
        <f>IF(H678&lt;0,((0.25-(H678*(-1)))*$L$7),IF(H678&gt;0,(H678*$N$7)+$L$6,0))</f>
        <v>-43.852460674518611</v>
      </c>
      <c r="J678" s="73">
        <f>VLOOKUP(C678,'RAW DATA 2023'!E:AC,21,0)</f>
        <v>1.5203599999999999</v>
      </c>
      <c r="K678" s="398">
        <f>I678*J678</f>
        <v>-66.671527111111118</v>
      </c>
      <c r="R678" s="400"/>
    </row>
    <row r="679" spans="1:18">
      <c r="A679" s="63" t="str">
        <f>'RAW DATA 2023'!B261</f>
        <v>Roiphet1</v>
      </c>
      <c r="B679" s="63" t="str">
        <f>'RAW DATA 2023'!D261</f>
        <v>C3-G05-0074</v>
      </c>
      <c r="C679" s="63" t="str">
        <f>A679&amp;B679</f>
        <v>Roiphet1C3-G05-0074</v>
      </c>
      <c r="D679" s="63">
        <f>VLOOKUP(C679,'RAW DATA 2023'!E:BP,63,0)</f>
        <v>5</v>
      </c>
      <c r="E679" s="63" t="str">
        <f>A679&amp;D679</f>
        <v>Roiphet15</v>
      </c>
      <c r="F679" s="389">
        <f>VLOOKUP(C679,'RAW DATA 2023'!E:BO,57,0)</f>
        <v>218.31780810124403</v>
      </c>
      <c r="G679" s="63">
        <f>VLOOKUP(C679,'RAW DATA 2023'!E:BO,58,0)</f>
        <v>150</v>
      </c>
      <c r="H679" s="397">
        <f>IFERROR((G679-F679)/G679,0)</f>
        <v>-0.45545205400829353</v>
      </c>
      <c r="I679" s="398">
        <f>IF(H679&lt;0,((0.25-(H679*(-1)))*$L$7),IF(H679&gt;0,(H679*$N$7)+$L$6,0))</f>
        <v>-10.957442880442322</v>
      </c>
      <c r="J679" s="73">
        <f>VLOOKUP(C679,'RAW DATA 2023'!E:AC,21,0)</f>
        <v>3.4846500000000002</v>
      </c>
      <c r="K679" s="398">
        <f>I679*J679</f>
        <v>-38.182853333333341</v>
      </c>
      <c r="R679" s="400"/>
    </row>
    <row r="680" spans="1:18">
      <c r="A680" s="63" t="str">
        <f>'RAW DATA 2023'!B263</f>
        <v>Roiphet1</v>
      </c>
      <c r="B680" s="63" t="str">
        <f>'RAW DATA 2023'!D263</f>
        <v>C3-G06-0078</v>
      </c>
      <c r="C680" s="63" t="str">
        <f>A680&amp;B680</f>
        <v>Roiphet1C3-G06-0078</v>
      </c>
      <c r="D680" s="63">
        <f>VLOOKUP(C680,'RAW DATA 2023'!E:BP,63,0)</f>
        <v>5</v>
      </c>
      <c r="E680" s="63" t="str">
        <f>A680&amp;D680</f>
        <v>Roiphet15</v>
      </c>
      <c r="F680" s="389">
        <f>VLOOKUP(C680,'RAW DATA 2023'!E:BO,57,0)</f>
        <v>229.62792881540062</v>
      </c>
      <c r="G680" s="63">
        <f>VLOOKUP(C680,'RAW DATA 2023'!E:BO,58,0)</f>
        <v>150</v>
      </c>
      <c r="H680" s="397">
        <f>IFERROR((G680-F680)/G680,0)</f>
        <v>-0.53085285876933752</v>
      </c>
      <c r="I680" s="398">
        <f>IF(H680&lt;0,((0.25-(H680*(-1)))*$L$7),IF(H680&gt;0,(H680*$N$7)+$L$6,0))</f>
        <v>-14.978819134364668</v>
      </c>
      <c r="J680" s="73">
        <f>VLOOKUP(C680,'RAW DATA 2023'!E:AC,21,0)</f>
        <v>3.2585700000000002</v>
      </c>
      <c r="K680" s="398">
        <f>I680*J680</f>
        <v>-48.809530666666681</v>
      </c>
      <c r="R680" s="400"/>
    </row>
    <row r="681" spans="1:18">
      <c r="A681" s="63" t="str">
        <f>'RAW DATA 2023'!B271</f>
        <v>Roiphet1</v>
      </c>
      <c r="B681" s="63" t="str">
        <f>'RAW DATA 2023'!D271</f>
        <v>B5-G10-0083</v>
      </c>
      <c r="C681" s="63" t="str">
        <f>A681&amp;B681</f>
        <v>Roiphet1B5-G10-0083</v>
      </c>
      <c r="D681" s="63">
        <f>VLOOKUP(C681,'RAW DATA 2023'!E:BP,63,0)</f>
        <v>5</v>
      </c>
      <c r="E681" s="63" t="str">
        <f>A681&amp;D681</f>
        <v>Roiphet15</v>
      </c>
      <c r="F681" s="389">
        <f>VLOOKUP(C681,'RAW DATA 2023'!E:BO,57,0)</f>
        <v>220.35889954629039</v>
      </c>
      <c r="G681" s="63">
        <f>VLOOKUP(C681,'RAW DATA 2023'!E:BO,58,0)</f>
        <v>192</v>
      </c>
      <c r="H681" s="390">
        <f>IFERROR((G681-F681)/G681,0)</f>
        <v>-0.14770260180359576</v>
      </c>
      <c r="I681" s="398">
        <f>IF(H681&lt;0,((0.25-(H681*(-1)))*$L$7),IF(H681&gt;0,(H681*$N$7)+$L$6,0))</f>
        <v>5.4558612371415594</v>
      </c>
      <c r="J681" s="73">
        <f>VLOOKUP(C681,'RAW DATA 2023'!E:AC,21,0)</f>
        <v>8.6575199999999999</v>
      </c>
      <c r="K681" s="398">
        <f>I681*J681</f>
        <v>47.234227777777789</v>
      </c>
      <c r="R681" s="400"/>
    </row>
    <row r="682" spans="1:18">
      <c r="A682" s="63" t="str">
        <f>'RAW DATA 2023'!B275</f>
        <v>Roiphet1</v>
      </c>
      <c r="B682" s="63" t="str">
        <f>'RAW DATA 2023'!D275</f>
        <v>B5-I10-0090</v>
      </c>
      <c r="C682" s="63" t="str">
        <f>A682&amp;B682</f>
        <v>Roiphet1B5-I10-0090</v>
      </c>
      <c r="D682" s="63">
        <f>VLOOKUP(C682,'RAW DATA 2023'!E:BP,63,0)</f>
        <v>5</v>
      </c>
      <c r="E682" s="63" t="str">
        <f>A682&amp;D682</f>
        <v>Roiphet15</v>
      </c>
      <c r="F682" s="389">
        <f>VLOOKUP(C682,'RAW DATA 2023'!E:BO,57,0)</f>
        <v>237.87043927384292</v>
      </c>
      <c r="G682" s="63">
        <f>VLOOKUP(C682,'RAW DATA 2023'!E:BO,58,0)</f>
        <v>200</v>
      </c>
      <c r="H682" s="390">
        <f>IFERROR((G682-F682)/G682,0)</f>
        <v>-0.1893521963692146</v>
      </c>
      <c r="I682" s="398">
        <f>IF(H682&lt;0,((0.25-(H682*(-1)))*$L$7),IF(H682&gt;0,(H682*$N$7)+$L$6,0))</f>
        <v>3.2345495269752211</v>
      </c>
      <c r="J682" s="73">
        <f>VLOOKUP(C682,'RAW DATA 2023'!E:AC,21,0)</f>
        <v>4.8887499999999999</v>
      </c>
      <c r="K682" s="398">
        <f>I682*J682</f>
        <v>15.812904000000112</v>
      </c>
      <c r="R682" s="400"/>
    </row>
    <row r="683" spans="1:18">
      <c r="A683" s="63" t="str">
        <f>'RAW DATA 2023'!B276</f>
        <v>Roiphet1</v>
      </c>
      <c r="B683" s="63" t="str">
        <f>'RAW DATA 2023'!D276</f>
        <v>B5-I09-0093</v>
      </c>
      <c r="C683" s="63" t="str">
        <f>A683&amp;B683</f>
        <v>Roiphet1B5-I09-0093</v>
      </c>
      <c r="D683" s="63">
        <f>VLOOKUP(C683,'RAW DATA 2023'!E:BP,63,0)</f>
        <v>5</v>
      </c>
      <c r="E683" s="63" t="str">
        <f>A683&amp;D683</f>
        <v>Roiphet15</v>
      </c>
      <c r="F683" s="389">
        <f>VLOOKUP(C683,'RAW DATA 2023'!E:BO,57,0)</f>
        <v>231.72470304046638</v>
      </c>
      <c r="G683" s="63">
        <f>VLOOKUP(C683,'RAW DATA 2023'!E:BO,58,0)</f>
        <v>192</v>
      </c>
      <c r="H683" s="390">
        <f>IFERROR((G683-F683)/G683,0)</f>
        <v>-0.20689949500242907</v>
      </c>
      <c r="I683" s="398">
        <f>IF(H683&lt;0,((0.25-(H683*(-1)))*$L$7),IF(H683&gt;0,(H683*$N$7)+$L$6,0))</f>
        <v>2.2986935998704494</v>
      </c>
      <c r="J683" s="73">
        <f>VLOOKUP(C683,'RAW DATA 2023'!E:AC,21,0)</f>
        <v>5.0091000000000001</v>
      </c>
      <c r="K683" s="398">
        <f>I683*J683</f>
        <v>11.514386111111069</v>
      </c>
      <c r="R683" s="400"/>
    </row>
    <row r="684" spans="1:18">
      <c r="A684" s="63" t="str">
        <f>'RAW DATA 2023'!B284</f>
        <v>Roiphet1</v>
      </c>
      <c r="B684" s="63" t="str">
        <f>'RAW DATA 2023'!D284</f>
        <v>B5-G09-0084</v>
      </c>
      <c r="C684" s="63" t="str">
        <f>A684&amp;B684</f>
        <v>Roiphet1B5-G09-0084</v>
      </c>
      <c r="D684" s="63">
        <f>VLOOKUP(C684,'RAW DATA 2023'!E:BP,63,0)</f>
        <v>5</v>
      </c>
      <c r="E684" s="63" t="str">
        <f>A684&amp;D684</f>
        <v>Roiphet15</v>
      </c>
      <c r="F684" s="389">
        <f>VLOOKUP(C684,'RAW DATA 2023'!E:BO,57,0)</f>
        <v>192.51196423265489</v>
      </c>
      <c r="G684" s="63">
        <f>VLOOKUP(C684,'RAW DATA 2023'!E:BO,58,0)</f>
        <v>187</v>
      </c>
      <c r="H684" s="397">
        <f>IFERROR((G684-F684)/G684,0)</f>
        <v>-2.9475744559651816E-2</v>
      </c>
      <c r="I684" s="398">
        <f>IF(H684&lt;0,((0.25-(H684*(-1)))*$L$7),IF(H684&gt;0,(H684*$N$7)+$L$6,0))</f>
        <v>11.761293623485237</v>
      </c>
      <c r="J684" s="73">
        <f>VLOOKUP(C684,'RAW DATA 2023'!E:AC,21,0)</f>
        <v>10.769600000000001</v>
      </c>
      <c r="K684" s="398">
        <f>I684*J684</f>
        <v>126.66442780748662</v>
      </c>
      <c r="R684" s="400"/>
    </row>
    <row r="685" spans="1:18">
      <c r="A685" s="63" t="str">
        <f>'RAW DATA 2023'!B290</f>
        <v>Roiphet1</v>
      </c>
      <c r="B685" s="63" t="str">
        <f>'RAW DATA 2023'!D290</f>
        <v>B3-G05-0092</v>
      </c>
      <c r="C685" s="63" t="str">
        <f>A685&amp;B685</f>
        <v>Roiphet1B3-G05-0092</v>
      </c>
      <c r="D685" s="63">
        <f>VLOOKUP(C685,'RAW DATA 2023'!E:BP,63,0)</f>
        <v>5</v>
      </c>
      <c r="E685" s="63" t="str">
        <f>A685&amp;D685</f>
        <v>Roiphet15</v>
      </c>
      <c r="F685" s="389">
        <f>VLOOKUP(C685,'RAW DATA 2023'!E:BO,57,0)</f>
        <v>217.77982253530436</v>
      </c>
      <c r="G685" s="63">
        <f>VLOOKUP(C685,'RAW DATA 2023'!E:BO,58,0)</f>
        <v>192</v>
      </c>
      <c r="H685" s="390">
        <f>IFERROR((G685-F685)/G685,0)</f>
        <v>-0.13426990903804356</v>
      </c>
      <c r="I685" s="398">
        <f>IF(H685&lt;0,((0.25-(H685*(-1)))*$L$7),IF(H685&gt;0,(H685*$N$7)+$L$6,0))</f>
        <v>6.1722715179710104</v>
      </c>
      <c r="J685" s="73">
        <f>VLOOKUP(C685,'RAW DATA 2023'!E:AC,21,0)</f>
        <v>8.7758299999999991</v>
      </c>
      <c r="K685" s="398">
        <f>I685*J685</f>
        <v>54.166805555555527</v>
      </c>
      <c r="R685" s="400"/>
    </row>
    <row r="686" spans="1:18">
      <c r="A686" s="63" t="str">
        <f>'RAW DATA 2023'!B294</f>
        <v>Roiphet1</v>
      </c>
      <c r="B686" s="63" t="str">
        <f>'RAW DATA 2023'!D294</f>
        <v>B3-I05-0092</v>
      </c>
      <c r="C686" s="63" t="str">
        <f>A686&amp;B686</f>
        <v>Roiphet1B3-I05-0092</v>
      </c>
      <c r="D686" s="63">
        <f>VLOOKUP(C686,'RAW DATA 2023'!E:BP,63,0)</f>
        <v>5</v>
      </c>
      <c r="E686" s="63" t="str">
        <f>A686&amp;D686</f>
        <v>Roiphet15</v>
      </c>
      <c r="F686" s="389">
        <f>VLOOKUP(C686,'RAW DATA 2023'!E:BO,57,0)</f>
        <v>255.86689801357673</v>
      </c>
      <c r="G686" s="63">
        <f>VLOOKUP(C686,'RAW DATA 2023'!E:BO,58,0)</f>
        <v>192</v>
      </c>
      <c r="H686" s="397">
        <f>IFERROR((G686-F686)/G686,0)</f>
        <v>-0.33264009382071213</v>
      </c>
      <c r="I686" s="398">
        <f>IF(H686&lt;0,((0.25-(H686*(-1)))*$L$7),IF(H686&gt;0,(H686*$N$7)+$L$6,0))</f>
        <v>-4.4074716704379808</v>
      </c>
      <c r="J686" s="73">
        <f>VLOOKUP(C686,'RAW DATA 2023'!E:AC,21,0)</f>
        <v>4.4723600000000001</v>
      </c>
      <c r="K686" s="398">
        <f>I686*J686</f>
        <v>-19.711800000000007</v>
      </c>
      <c r="R686" s="400"/>
    </row>
    <row r="687" spans="1:18">
      <c r="A687" s="63" t="str">
        <f>'RAW DATA 2023'!B105</f>
        <v>Roiphet1</v>
      </c>
      <c r="B687" s="63" t="str">
        <f>'RAW DATA 2023'!D105</f>
        <v>D6-I12-0085</v>
      </c>
      <c r="C687" s="63" t="str">
        <f>A687&amp;B687</f>
        <v>Roiphet1D6-I12-0085</v>
      </c>
      <c r="D687" s="63">
        <f>VLOOKUP(C687,'RAW DATA 2023'!E:BP,63,0)</f>
        <v>6</v>
      </c>
      <c r="E687" s="63" t="str">
        <f>A687&amp;D687</f>
        <v>Roiphet16</v>
      </c>
      <c r="F687" s="389">
        <f>VLOOKUP(C687,'RAW DATA 2023'!E:BO,57,0)</f>
        <v>336.21734519050341</v>
      </c>
      <c r="G687" s="63">
        <f>VLOOKUP(C687,'RAW DATA 2023'!E:BO,58,0)</f>
        <v>200</v>
      </c>
      <c r="H687" s="390">
        <f>IFERROR((G687-F687)/G687,0)</f>
        <v>-0.68108672595251707</v>
      </c>
      <c r="I687" s="398">
        <f>IF(H687&lt;0,((0.25-(H687*(-1)))*$L$7),IF(H687&gt;0,(H687*$N$7)+$L$6,0))</f>
        <v>-22.991292050800912</v>
      </c>
      <c r="J687" s="73">
        <f>VLOOKUP(C687,'RAW DATA 2023'!E:AC,21,0)</f>
        <v>2.8191100000000002</v>
      </c>
      <c r="K687" s="398">
        <f>I687*J687</f>
        <v>-64.814981333333364</v>
      </c>
      <c r="R687" s="400"/>
    </row>
    <row r="688" spans="1:18">
      <c r="A688" s="63" t="str">
        <f>'RAW DATA 2023'!B108</f>
        <v>Roiphet1</v>
      </c>
      <c r="B688" s="63" t="str">
        <f>'RAW DATA 2023'!D108</f>
        <v>D6-G12-0079</v>
      </c>
      <c r="C688" s="63" t="str">
        <f>A688&amp;B688</f>
        <v>Roiphet1D6-G12-0079</v>
      </c>
      <c r="D688" s="63">
        <f>VLOOKUP(C688,'RAW DATA 2023'!E:BP,63,0)</f>
        <v>6</v>
      </c>
      <c r="E688" s="63" t="str">
        <f>A688&amp;D688</f>
        <v>Roiphet16</v>
      </c>
      <c r="F688" s="389">
        <f>VLOOKUP(C688,'RAW DATA 2023'!E:BO,57,0)</f>
        <v>248.73313236853977</v>
      </c>
      <c r="G688" s="63">
        <f>VLOOKUP(C688,'RAW DATA 2023'!E:BO,58,0)</f>
        <v>197</v>
      </c>
      <c r="H688" s="390">
        <f>IFERROR((G688-F688)/G688,0)</f>
        <v>-0.26260473283522728</v>
      </c>
      <c r="I688" s="398">
        <f>IF(H688&lt;0,((0.25-(H688*(-1)))*$L$7),IF(H688&gt;0,(H688*$N$7)+$L$6,0))</f>
        <v>-0.67225241787878853</v>
      </c>
      <c r="J688" s="73">
        <f>VLOOKUP(C688,'RAW DATA 2023'!E:AC,21,0)</f>
        <v>6.56168</v>
      </c>
      <c r="K688" s="398">
        <f>I688*J688</f>
        <v>-4.4111052453468895</v>
      </c>
      <c r="R688" s="400"/>
    </row>
    <row r="689" spans="1:18">
      <c r="A689" s="63" t="str">
        <f>'RAW DATA 2023'!B109</f>
        <v>Roiphet1</v>
      </c>
      <c r="B689" s="63" t="str">
        <f>'RAW DATA 2023'!D109</f>
        <v>D6-I11-0083</v>
      </c>
      <c r="C689" s="63" t="str">
        <f>A689&amp;B689</f>
        <v>Roiphet1D6-I11-0083</v>
      </c>
      <c r="D689" s="63">
        <f>VLOOKUP(C689,'RAW DATA 2023'!E:BP,63,0)</f>
        <v>6</v>
      </c>
      <c r="E689" s="63" t="str">
        <f>A689&amp;D689</f>
        <v>Roiphet16</v>
      </c>
      <c r="F689" s="389">
        <f>VLOOKUP(C689,'RAW DATA 2023'!E:BO,57,0)</f>
        <v>354.27939237939239</v>
      </c>
      <c r="G689" s="63">
        <f>VLOOKUP(C689,'RAW DATA 2023'!E:BO,58,0)</f>
        <v>197</v>
      </c>
      <c r="H689" s="390">
        <f>IFERROR((G689-F689)/G689,0)</f>
        <v>-0.79837255014919994</v>
      </c>
      <c r="I689" s="398">
        <f>IF(H689&lt;0,((0.25-(H689*(-1)))*$L$7),IF(H689&gt;0,(H689*$N$7)+$L$6,0))</f>
        <v>-29.246536007957332</v>
      </c>
      <c r="J689" s="73">
        <f>VLOOKUP(C689,'RAW DATA 2023'!E:AC,21,0)</f>
        <v>2.5640999999999998</v>
      </c>
      <c r="K689" s="398">
        <f>I689*J689</f>
        <v>-74.991042978003392</v>
      </c>
      <c r="R689" s="400"/>
    </row>
    <row r="690" spans="1:18">
      <c r="A690" s="63" t="str">
        <f>'RAW DATA 2023'!B116</f>
        <v>Roiphet1</v>
      </c>
      <c r="B690" s="63" t="str">
        <f>'RAW DATA 2023'!D116</f>
        <v>D6-G11-0076</v>
      </c>
      <c r="C690" s="63" t="str">
        <f>A690&amp;B690</f>
        <v>Roiphet1D6-G11-0076</v>
      </c>
      <c r="D690" s="63">
        <f>VLOOKUP(C690,'RAW DATA 2023'!E:BP,63,0)</f>
        <v>6</v>
      </c>
      <c r="E690" s="63" t="str">
        <f>A690&amp;D690</f>
        <v>Roiphet16</v>
      </c>
      <c r="F690" s="389">
        <f>VLOOKUP(C690,'RAW DATA 2023'!E:BO,57,0)</f>
        <v>240.3509507558814</v>
      </c>
      <c r="G690" s="63">
        <f>VLOOKUP(C690,'RAW DATA 2023'!E:BO,58,0)</f>
        <v>192</v>
      </c>
      <c r="H690" s="390">
        <f>IFERROR((G690-F690)/G690,0)</f>
        <v>-0.2518278685202156</v>
      </c>
      <c r="I690" s="398">
        <f>IF(H690&lt;0,((0.25-(H690*(-1)))*$L$7),IF(H690&gt;0,(H690*$N$7)+$L$6,0))</f>
        <v>-9.7486321078165503E-2</v>
      </c>
      <c r="J690" s="73">
        <f>VLOOKUP(C690,'RAW DATA 2023'!E:AC,21,0)</f>
        <v>6.3938600000000001</v>
      </c>
      <c r="K690" s="398">
        <f>I690*J690</f>
        <v>-0.62331388888883932</v>
      </c>
      <c r="R690" s="400"/>
    </row>
    <row r="691" spans="1:18">
      <c r="A691" s="63" t="str">
        <f>'RAW DATA 2023'!B124</f>
        <v>Roiphet1</v>
      </c>
      <c r="B691" s="63" t="str">
        <f>'RAW DATA 2023'!D124</f>
        <v>D1-I01-0091</v>
      </c>
      <c r="C691" s="63" t="str">
        <f>A691&amp;B691</f>
        <v>Roiphet1D1-I01-0091</v>
      </c>
      <c r="D691" s="63">
        <f>VLOOKUP(C691,'RAW DATA 2023'!E:BP,63,0)</f>
        <v>6</v>
      </c>
      <c r="E691" s="63" t="str">
        <f>A691&amp;D691</f>
        <v>Roiphet16</v>
      </c>
      <c r="F691" s="389">
        <f>VLOOKUP(C691,'RAW DATA 2023'!E:BO,57,0)</f>
        <v>215.59006038714972</v>
      </c>
      <c r="G691" s="63">
        <f>VLOOKUP(C691,'RAW DATA 2023'!E:BO,58,0)</f>
        <v>184</v>
      </c>
      <c r="H691" s="390">
        <f>IFERROR((G691-F691)/G691,0)</f>
        <v>-0.17168511079972673</v>
      </c>
      <c r="I691" s="398">
        <f>IF(H691&lt;0,((0.25-(H691*(-1)))*$L$7),IF(H691&gt;0,(H691*$N$7)+$L$6,0))</f>
        <v>4.1767940906812413</v>
      </c>
      <c r="J691" s="73">
        <f>VLOOKUP(C691,'RAW DATA 2023'!E:AC,21,0)</f>
        <v>4.2856800000000002</v>
      </c>
      <c r="K691" s="398">
        <f>I691*J691</f>
        <v>17.900402898550784</v>
      </c>
      <c r="R691" s="400"/>
    </row>
    <row r="692" spans="1:18">
      <c r="A692" s="63" t="str">
        <f>'RAW DATA 2023'!B132</f>
        <v>Roiphet1</v>
      </c>
      <c r="B692" s="63" t="str">
        <f>'RAW DATA 2023'!D132</f>
        <v>D1-I02-0089</v>
      </c>
      <c r="C692" s="63" t="str">
        <f>A692&amp;B692</f>
        <v>Roiphet1D1-I02-0089</v>
      </c>
      <c r="D692" s="63">
        <f>VLOOKUP(C692,'RAW DATA 2023'!E:BP,63,0)</f>
        <v>6</v>
      </c>
      <c r="E692" s="63" t="str">
        <f>A692&amp;D692</f>
        <v>Roiphet16</v>
      </c>
      <c r="F692" s="389">
        <f>VLOOKUP(C692,'RAW DATA 2023'!E:BO,57,0)</f>
        <v>179.97230394094615</v>
      </c>
      <c r="G692" s="63">
        <f>VLOOKUP(C692,'RAW DATA 2023'!E:BO,58,0)</f>
        <v>182</v>
      </c>
      <c r="H692" s="390">
        <f>IFERROR((G692-F692)/G692,0)</f>
        <v>1.1141187137658529E-2</v>
      </c>
      <c r="I692" s="398">
        <f>IF(H692&lt;0,((0.25-(H692*(-1)))*$L$7),IF(H692&gt;0,(H692*$N$7)+$L$6,0))</f>
        <v>13.927529980675121</v>
      </c>
      <c r="J692" s="73">
        <f>VLOOKUP(C692,'RAW DATA 2023'!E:AC,21,0)</f>
        <v>4.8064600000000004</v>
      </c>
      <c r="K692" s="398">
        <f>I692*J692</f>
        <v>66.942115750915747</v>
      </c>
      <c r="R692" s="400"/>
    </row>
    <row r="693" spans="1:18">
      <c r="A693" s="63" t="str">
        <f>'RAW DATA 2023'!B137</f>
        <v>Roiphet1</v>
      </c>
      <c r="B693" s="63" t="str">
        <f>'RAW DATA 2023'!D137</f>
        <v>D1-G02-0079</v>
      </c>
      <c r="C693" s="63" t="str">
        <f>A693&amp;B693</f>
        <v>Roiphet1D1-G02-0079</v>
      </c>
      <c r="D693" s="63">
        <f>VLOOKUP(C693,'RAW DATA 2023'!E:BP,63,0)</f>
        <v>6</v>
      </c>
      <c r="E693" s="63" t="str">
        <f>A693&amp;D693</f>
        <v>Roiphet16</v>
      </c>
      <c r="F693" s="389">
        <f>VLOOKUP(C693,'RAW DATA 2023'!E:BO,57,0)</f>
        <v>199.02931273819439</v>
      </c>
      <c r="G693" s="63">
        <f>VLOOKUP(C693,'RAW DATA 2023'!E:BO,58,0)</f>
        <v>177</v>
      </c>
      <c r="H693" s="397">
        <f>IFERROR((G693-F693)/G693,0)</f>
        <v>-0.12445939400109826</v>
      </c>
      <c r="I693" s="398">
        <f>IF(H693&lt;0,((0.25-(H693*(-1)))*$L$7),IF(H693&gt;0,(H693*$N$7)+$L$6,0))</f>
        <v>6.6954989866080927</v>
      </c>
      <c r="J693" s="73">
        <f>VLOOKUP(C693,'RAW DATA 2023'!E:AC,21,0)</f>
        <v>7.9241999999999999</v>
      </c>
      <c r="K693" s="398">
        <f>I693*J693</f>
        <v>53.056473069679846</v>
      </c>
      <c r="R693" s="400"/>
    </row>
    <row r="694" spans="1:18">
      <c r="A694" s="63" t="str">
        <f>'RAW DATA 2023'!B138</f>
        <v>Roiphet1</v>
      </c>
      <c r="B694" s="63" t="str">
        <f>'RAW DATA 2023'!D138</f>
        <v>D1-G01-0077</v>
      </c>
      <c r="C694" s="63" t="str">
        <f>A694&amp;B694</f>
        <v>Roiphet1D1-G01-0077</v>
      </c>
      <c r="D694" s="63">
        <f>VLOOKUP(C694,'RAW DATA 2023'!E:BP,63,0)</f>
        <v>6</v>
      </c>
      <c r="E694" s="63" t="str">
        <f>A694&amp;D694</f>
        <v>Roiphet16</v>
      </c>
      <c r="F694" s="389">
        <f>VLOOKUP(C694,'RAW DATA 2023'!E:BO,57,0)</f>
        <v>221.07988673404608</v>
      </c>
      <c r="G694" s="63">
        <f>VLOOKUP(C694,'RAW DATA 2023'!E:BO,58,0)</f>
        <v>175</v>
      </c>
      <c r="H694" s="397">
        <f>IFERROR((G694-F694)/G694,0)</f>
        <v>-0.26331363848026335</v>
      </c>
      <c r="I694" s="398">
        <f>IF(H694&lt;0,((0.25-(H694*(-1)))*$L$7),IF(H694&gt;0,(H694*$N$7)+$L$6,0))</f>
        <v>-0.71006071894737843</v>
      </c>
      <c r="J694" s="73">
        <f>VLOOKUP(C694,'RAW DATA 2023'!E:AC,21,0)</f>
        <v>7.0100500000000006</v>
      </c>
      <c r="K694" s="398">
        <f>I694*J694</f>
        <v>-4.9775611428570707</v>
      </c>
      <c r="R694" s="400"/>
    </row>
    <row r="695" spans="1:18">
      <c r="A695" s="63" t="str">
        <f>'RAW DATA 2023'!B146</f>
        <v>Roiphet1</v>
      </c>
      <c r="B695" s="63" t="str">
        <f>'RAW DATA 2023'!D146</f>
        <v>A1-G01-0063</v>
      </c>
      <c r="C695" s="63" t="str">
        <f>A695&amp;B695</f>
        <v>Roiphet1A1-G01-0063</v>
      </c>
      <c r="D695" s="63">
        <f>VLOOKUP(C695,'RAW DATA 2023'!E:BP,63,0)</f>
        <v>6</v>
      </c>
      <c r="E695" s="63" t="str">
        <f>A695&amp;D695</f>
        <v>Roiphet16</v>
      </c>
      <c r="F695" s="389">
        <f>VLOOKUP(C695,'RAW DATA 2023'!E:BO,57,0)</f>
        <v>312.9520889517197</v>
      </c>
      <c r="G695" s="63">
        <f>VLOOKUP(C695,'RAW DATA 2023'!E:BO,58,0)</f>
        <v>187</v>
      </c>
      <c r="H695" s="390">
        <f>IFERROR((G695-F695)/G695,0)</f>
        <v>-0.6735405826295171</v>
      </c>
      <c r="I695" s="398">
        <f>IF(H695&lt;0,((0.25-(H695*(-1)))*$L$7),IF(H695&gt;0,(H695*$N$7)+$L$6,0))</f>
        <v>-22.588831073574248</v>
      </c>
      <c r="J695" s="73">
        <f>VLOOKUP(C695,'RAW DATA 2023'!E:AC,21,0)</f>
        <v>6.6633900000000006</v>
      </c>
      <c r="K695" s="398">
        <f>I695*J695</f>
        <v>-150.51819108734392</v>
      </c>
      <c r="R695" s="400"/>
    </row>
    <row r="696" spans="1:18">
      <c r="A696" s="63" t="str">
        <f>'RAW DATA 2023'!B148</f>
        <v>Roiphet1</v>
      </c>
      <c r="B696" s="63" t="str">
        <f>'RAW DATA 2023'!D148</f>
        <v>A1-I01-0088</v>
      </c>
      <c r="C696" s="63" t="str">
        <f>A696&amp;B696</f>
        <v>Roiphet1A1-I01-0088</v>
      </c>
      <c r="D696" s="63">
        <f>VLOOKUP(C696,'RAW DATA 2023'!E:BP,63,0)</f>
        <v>6</v>
      </c>
      <c r="E696" s="63" t="str">
        <f>A696&amp;D696</f>
        <v>Roiphet16</v>
      </c>
      <c r="F696" s="389">
        <f>VLOOKUP(C696,'RAW DATA 2023'!E:BO,57,0)</f>
        <v>263.12128079975218</v>
      </c>
      <c r="G696" s="63">
        <f>VLOOKUP(C696,'RAW DATA 2023'!E:BO,58,0)</f>
        <v>191</v>
      </c>
      <c r="H696" s="397">
        <f>IFERROR((G696-F696)/G696,0)</f>
        <v>-0.37759832879451405</v>
      </c>
      <c r="I696" s="398">
        <f>IF(H696&lt;0,((0.25-(H696*(-1)))*$L$7),IF(H696&gt;0,(H696*$N$7)+$L$6,0))</f>
        <v>-6.8052442023740829</v>
      </c>
      <c r="J696" s="73">
        <f>VLOOKUP(C696,'RAW DATA 2023'!E:AC,21,0)</f>
        <v>4.6814499999999999</v>
      </c>
      <c r="K696" s="398">
        <f>I696*J696</f>
        <v>-31.858410471204149</v>
      </c>
      <c r="R696" s="400"/>
    </row>
    <row r="697" spans="1:18">
      <c r="A697" s="63" t="str">
        <f>'RAW DATA 2023'!B155</f>
        <v>Roiphet1</v>
      </c>
      <c r="B697" s="63" t="str">
        <f>'RAW DATA 2023'!D155</f>
        <v>A3-G05-0076</v>
      </c>
      <c r="C697" s="63" t="str">
        <f>A697&amp;B697</f>
        <v>Roiphet1A3-G05-0076</v>
      </c>
      <c r="D697" s="63">
        <f>VLOOKUP(C697,'RAW DATA 2023'!E:BP,63,0)</f>
        <v>6</v>
      </c>
      <c r="E697" s="63" t="str">
        <f>A697&amp;D697</f>
        <v>Roiphet16</v>
      </c>
      <c r="F697" s="389">
        <f>VLOOKUP(C697,'RAW DATA 2023'!E:BO,57,0)</f>
        <v>285.29269656939641</v>
      </c>
      <c r="G697" s="63">
        <f>VLOOKUP(C697,'RAW DATA 2023'!E:BO,58,0)</f>
        <v>192</v>
      </c>
      <c r="H697" s="390">
        <f>IFERROR((G697-F697)/G697,0)</f>
        <v>-0.48589946129893963</v>
      </c>
      <c r="I697" s="398">
        <f>IF(H697&lt;0,((0.25-(H697*(-1)))*$L$7),IF(H697&gt;0,(H697*$N$7)+$L$6,0))</f>
        <v>-12.581304602610114</v>
      </c>
      <c r="J697" s="73">
        <f>VLOOKUP(C697,'RAW DATA 2023'!E:AC,21,0)</f>
        <v>7.0439499999999997</v>
      </c>
      <c r="K697" s="398">
        <f>I697*J697</f>
        <v>-88.622080555555513</v>
      </c>
      <c r="R697" s="400"/>
    </row>
    <row r="698" spans="1:18">
      <c r="A698" s="63" t="str">
        <f>'RAW DATA 2023'!B161</f>
        <v>Roiphet1</v>
      </c>
      <c r="B698" s="63" t="str">
        <f>'RAW DATA 2023'!D161</f>
        <v>A3-I06-0089</v>
      </c>
      <c r="C698" s="63" t="str">
        <f>A698&amp;B698</f>
        <v>Roiphet1A3-I06-0089</v>
      </c>
      <c r="D698" s="63">
        <f>VLOOKUP(C698,'RAW DATA 2023'!E:BP,63,0)</f>
        <v>6</v>
      </c>
      <c r="E698" s="63" t="str">
        <f>A698&amp;D698</f>
        <v>Roiphet16</v>
      </c>
      <c r="F698" s="389">
        <f>VLOOKUP(C698,'RAW DATA 2023'!E:BO,57,0)</f>
        <v>338.9163157730577</v>
      </c>
      <c r="G698" s="63">
        <f>VLOOKUP(C698,'RAW DATA 2023'!E:BO,58,0)</f>
        <v>210</v>
      </c>
      <c r="H698" s="397">
        <f>IFERROR((G698-F698)/G698,0)</f>
        <v>-0.61388721796694146</v>
      </c>
      <c r="I698" s="398">
        <f>IF(H698&lt;0,((0.25-(H698*(-1)))*$L$7),IF(H698&gt;0,(H698*$N$7)+$L$6,0))</f>
        <v>-19.407318291570213</v>
      </c>
      <c r="J698" s="73">
        <f>VLOOKUP(C698,'RAW DATA 2023'!E:AC,21,0)</f>
        <v>3.52671</v>
      </c>
      <c r="K698" s="398">
        <f>I698*J698</f>
        <v>-68.44398349206358</v>
      </c>
      <c r="R698" s="400"/>
    </row>
    <row r="699" spans="1:18">
      <c r="A699" s="63" t="str">
        <f>'RAW DATA 2023'!B163</f>
        <v>Roiphet1</v>
      </c>
      <c r="B699" s="63" t="str">
        <f>'RAW DATA 2023'!D163</f>
        <v>A5-I09-0098</v>
      </c>
      <c r="C699" s="63" t="str">
        <f>A699&amp;B699</f>
        <v>Roiphet1A5-I09-0098</v>
      </c>
      <c r="D699" s="63">
        <f>VLOOKUP(C699,'RAW DATA 2023'!E:BP,63,0)</f>
        <v>6</v>
      </c>
      <c r="E699" s="63" t="str">
        <f>A699&amp;D699</f>
        <v>Roiphet16</v>
      </c>
      <c r="F699" s="389">
        <f>VLOOKUP(C699,'RAW DATA 2023'!E:BO,57,0)</f>
        <v>332.94685535230002</v>
      </c>
      <c r="G699" s="63">
        <f>VLOOKUP(C699,'RAW DATA 2023'!E:BO,58,0)</f>
        <v>197</v>
      </c>
      <c r="H699" s="397">
        <f>IFERROR((G699-F699)/G699,0)</f>
        <v>-0.6900855601639595</v>
      </c>
      <c r="I699" s="398">
        <f>IF(H699&lt;0,((0.25-(H699*(-1)))*$L$7),IF(H699&gt;0,(H699*$N$7)+$L$6,0))</f>
        <v>-23.471229875411176</v>
      </c>
      <c r="J699" s="73">
        <f>VLOOKUP(C699,'RAW DATA 2023'!E:AC,21,0)</f>
        <v>3.9381200000000001</v>
      </c>
      <c r="K699" s="398">
        <f>I699*J699</f>
        <v>-92.432519796954267</v>
      </c>
      <c r="R699" s="400"/>
    </row>
    <row r="700" spans="1:18">
      <c r="A700" s="63" t="str">
        <f>'RAW DATA 2023'!B164</f>
        <v>Roiphet1</v>
      </c>
      <c r="B700" s="63" t="str">
        <f>'RAW DATA 2023'!D164</f>
        <v>A3-I05-0084</v>
      </c>
      <c r="C700" s="63" t="str">
        <f>A700&amp;B700</f>
        <v>Roiphet1A3-I05-0084</v>
      </c>
      <c r="D700" s="63">
        <f>VLOOKUP(C700,'RAW DATA 2023'!E:BP,63,0)</f>
        <v>6</v>
      </c>
      <c r="E700" s="63" t="str">
        <f>A700&amp;D700</f>
        <v>Roiphet16</v>
      </c>
      <c r="F700" s="389">
        <f>VLOOKUP(C700,'RAW DATA 2023'!E:BO,57,0)</f>
        <v>304.89518356366165</v>
      </c>
      <c r="G700" s="63">
        <f>VLOOKUP(C700,'RAW DATA 2023'!E:BO,58,0)</f>
        <v>194</v>
      </c>
      <c r="H700" s="397">
        <f>IFERROR((G700-F700)/G700,0)</f>
        <v>-0.57162465754464764</v>
      </c>
      <c r="I700" s="398">
        <f>IF(H700&lt;0,((0.25-(H700*(-1)))*$L$7),IF(H700&gt;0,(H700*$N$7)+$L$6,0))</f>
        <v>-17.153315069047874</v>
      </c>
      <c r="J700" s="73">
        <f>VLOOKUP(C700,'RAW DATA 2023'!E:AC,21,0)</f>
        <v>3.9103600000000003</v>
      </c>
      <c r="K700" s="398">
        <f>I700*J700</f>
        <v>-67.075637113402053</v>
      </c>
      <c r="R700" s="400"/>
    </row>
    <row r="701" spans="1:18">
      <c r="A701" s="63" t="str">
        <f>'RAW DATA 2023'!B171</f>
        <v>Roiphet1</v>
      </c>
      <c r="B701" s="63" t="str">
        <f>'RAW DATA 2023'!D171</f>
        <v>A4-G08-0069</v>
      </c>
      <c r="C701" s="63" t="str">
        <f>A701&amp;B701</f>
        <v>Roiphet1A4-G08-0069</v>
      </c>
      <c r="D701" s="63">
        <f>VLOOKUP(C701,'RAW DATA 2023'!E:BP,63,0)</f>
        <v>6</v>
      </c>
      <c r="E701" s="63" t="str">
        <f>A701&amp;D701</f>
        <v>Roiphet16</v>
      </c>
      <c r="F701" s="389">
        <f>VLOOKUP(C701,'RAW DATA 2023'!E:BO,57,0)</f>
        <v>376.41625639000802</v>
      </c>
      <c r="G701" s="63">
        <f>VLOOKUP(C701,'RAW DATA 2023'!E:BO,58,0)</f>
        <v>194</v>
      </c>
      <c r="H701" s="390">
        <f>IFERROR((G701-F701)/G701,0)</f>
        <v>-0.94028998139179387</v>
      </c>
      <c r="I701" s="398">
        <f>IF(H701&lt;0,((0.25-(H701*(-1)))*$L$7),IF(H701&gt;0,(H701*$N$7)+$L$6,0))</f>
        <v>-36.81546567422901</v>
      </c>
      <c r="J701" s="73">
        <f>VLOOKUP(C701,'RAW DATA 2023'!E:AC,21,0)</f>
        <v>5.7237799999999996</v>
      </c>
      <c r="K701" s="398">
        <f>I701*J701</f>
        <v>-210.72362611683852</v>
      </c>
      <c r="R701" s="400"/>
    </row>
    <row r="702" spans="1:18">
      <c r="A702" s="63" t="str">
        <f>'RAW DATA 2023'!B172</f>
        <v>Roiphet1</v>
      </c>
      <c r="B702" s="63" t="str">
        <f>'RAW DATA 2023'!D172</f>
        <v>A5-G09-0083</v>
      </c>
      <c r="C702" s="63" t="str">
        <f>A702&amp;B702</f>
        <v>Roiphet1A5-G09-0083</v>
      </c>
      <c r="D702" s="63">
        <f>VLOOKUP(C702,'RAW DATA 2023'!E:BP,63,0)</f>
        <v>6</v>
      </c>
      <c r="E702" s="63" t="str">
        <f>A702&amp;D702</f>
        <v>Roiphet16</v>
      </c>
      <c r="F702" s="389">
        <f>VLOOKUP(C702,'RAW DATA 2023'!E:BO,57,0)</f>
        <v>319.67021304423645</v>
      </c>
      <c r="G702" s="63">
        <f>VLOOKUP(C702,'RAW DATA 2023'!E:BO,58,0)</f>
        <v>200</v>
      </c>
      <c r="H702" s="397">
        <f>IFERROR((G702-F702)/G702,0)</f>
        <v>-0.5983510652211822</v>
      </c>
      <c r="I702" s="398">
        <f>IF(H702&lt;0,((0.25-(H702*(-1)))*$L$7),IF(H702&gt;0,(H702*$N$7)+$L$6,0))</f>
        <v>-18.578723478463051</v>
      </c>
      <c r="J702" s="73">
        <f>VLOOKUP(C702,'RAW DATA 2023'!E:AC,21,0)</f>
        <v>6.8811999999999998</v>
      </c>
      <c r="K702" s="398">
        <f>I702*J702</f>
        <v>-127.84391199999995</v>
      </c>
      <c r="R702" s="400"/>
    </row>
    <row r="703" spans="1:18">
      <c r="A703" s="63" t="str">
        <f>'RAW DATA 2023'!B173</f>
        <v>Roiphet1</v>
      </c>
      <c r="B703" s="63" t="str">
        <f>'RAW DATA 2023'!D173</f>
        <v>A4-I08-0099</v>
      </c>
      <c r="C703" s="63" t="str">
        <f>A703&amp;B703</f>
        <v>Roiphet1A4-I08-0099</v>
      </c>
      <c r="D703" s="63">
        <f>VLOOKUP(C703,'RAW DATA 2023'!E:BP,63,0)</f>
        <v>6</v>
      </c>
      <c r="E703" s="63" t="str">
        <f>A703&amp;D703</f>
        <v>Roiphet16</v>
      </c>
      <c r="F703" s="389">
        <f>VLOOKUP(C703,'RAW DATA 2023'!E:BO,57,0)</f>
        <v>372.41057866263475</v>
      </c>
      <c r="G703" s="63">
        <f>VLOOKUP(C703,'RAW DATA 2023'!E:BO,58,0)</f>
        <v>187</v>
      </c>
      <c r="H703" s="397">
        <f>IFERROR((G703-F703)/G703,0)</f>
        <v>-0.9915004206558008</v>
      </c>
      <c r="I703" s="398">
        <f>IF(H703&lt;0,((0.25-(H703*(-1)))*$L$7),IF(H703&gt;0,(H703*$N$7)+$L$6,0))</f>
        <v>-39.546689101642713</v>
      </c>
      <c r="J703" s="73">
        <f>VLOOKUP(C703,'RAW DATA 2023'!E:AC,21,0)</f>
        <v>3.4325700000000001</v>
      </c>
      <c r="K703" s="398">
        <f>I703*J703</f>
        <v>-135.74677860962572</v>
      </c>
      <c r="R703" s="400"/>
    </row>
    <row r="704" spans="1:18">
      <c r="A704" s="63" t="str">
        <f>'RAW DATA 2023'!B174</f>
        <v>Roiphet1</v>
      </c>
      <c r="B704" s="63" t="str">
        <f>'RAW DATA 2023'!D174</f>
        <v>A3-G06-0081</v>
      </c>
      <c r="C704" s="63" t="str">
        <f>A704&amp;B704</f>
        <v>Roiphet1A3-G06-0081</v>
      </c>
      <c r="D704" s="63">
        <f>VLOOKUP(C704,'RAW DATA 2023'!E:BP,63,0)</f>
        <v>6</v>
      </c>
      <c r="E704" s="63" t="str">
        <f>A704&amp;D704</f>
        <v>Roiphet16</v>
      </c>
      <c r="F704" s="389">
        <f>VLOOKUP(C704,'RAW DATA 2023'!E:BO,57,0)</f>
        <v>325.62911296779356</v>
      </c>
      <c r="G704" s="63">
        <f>VLOOKUP(C704,'RAW DATA 2023'!E:BO,58,0)</f>
        <v>197</v>
      </c>
      <c r="H704" s="390">
        <f>IFERROR((G704-F704)/G704,0)</f>
        <v>-0.65293965973499268</v>
      </c>
      <c r="I704" s="398">
        <f>IF(H704&lt;0,((0.25-(H704*(-1)))*$L$7),IF(H704&gt;0,(H704*$N$7)+$L$6,0))</f>
        <v>-21.490115185866276</v>
      </c>
      <c r="J704" s="73">
        <f>VLOOKUP(C704,'RAW DATA 2023'!E:AC,21,0)</f>
        <v>6.1950399999999997</v>
      </c>
      <c r="K704" s="398">
        <f>I704*J704</f>
        <v>-133.132123181049</v>
      </c>
      <c r="R704" s="400"/>
    </row>
    <row r="705" spans="1:18">
      <c r="A705" s="63" t="str">
        <f>'RAW DATA 2023'!B202</f>
        <v>Roiphet1</v>
      </c>
      <c r="B705" s="63" t="str">
        <f>'RAW DATA 2023'!D202</f>
        <v>C4-G08-0061</v>
      </c>
      <c r="C705" s="63" t="str">
        <f>A705&amp;B705</f>
        <v>Roiphet1C4-G08-0061</v>
      </c>
      <c r="D705" s="63">
        <f>VLOOKUP(C705,'RAW DATA 2023'!E:BP,63,0)</f>
        <v>6</v>
      </c>
      <c r="E705" s="63" t="str">
        <f>A705&amp;D705</f>
        <v>Roiphet16</v>
      </c>
      <c r="F705" s="389">
        <f>VLOOKUP(C705,'RAW DATA 2023'!E:BO,57,0)</f>
        <v>267.38531563903882</v>
      </c>
      <c r="G705" s="63">
        <f>VLOOKUP(C705,'RAW DATA 2023'!E:BO,58,0)</f>
        <v>219</v>
      </c>
      <c r="H705" s="397">
        <f>IFERROR((G705-F705)/G705,0)</f>
        <v>-0.22093751433351061</v>
      </c>
      <c r="I705" s="398">
        <f>IF(H705&lt;0,((0.25-(H705*(-1)))*$L$7),IF(H705&gt;0,(H705*$N$7)+$L$6,0))</f>
        <v>1.549999235546101</v>
      </c>
      <c r="J705" s="73">
        <f>VLOOKUP(C705,'RAW DATA 2023'!E:AC,21,0)</f>
        <v>6.5844199999999997</v>
      </c>
      <c r="K705" s="398">
        <f>I705*J705</f>
        <v>10.205845966514458</v>
      </c>
      <c r="R705" s="400"/>
    </row>
    <row r="706" spans="1:18">
      <c r="A706" s="63" t="str">
        <f>'RAW DATA 2023'!B203</f>
        <v>Roiphet1</v>
      </c>
      <c r="B706" s="63" t="str">
        <f>'RAW DATA 2023'!D203</f>
        <v>C4-I08-0064</v>
      </c>
      <c r="C706" s="63" t="str">
        <f>A706&amp;B706</f>
        <v>Roiphet1C4-I08-0064</v>
      </c>
      <c r="D706" s="63">
        <f>VLOOKUP(C706,'RAW DATA 2023'!E:BP,63,0)</f>
        <v>6</v>
      </c>
      <c r="E706" s="63" t="str">
        <f>A706&amp;D706</f>
        <v>Roiphet16</v>
      </c>
      <c r="F706" s="389">
        <f>VLOOKUP(C706,'RAW DATA 2023'!E:BO,57,0)</f>
        <v>342.09293818687991</v>
      </c>
      <c r="G706" s="63">
        <f>VLOOKUP(C706,'RAW DATA 2023'!E:BO,58,0)</f>
        <v>219</v>
      </c>
      <c r="H706" s="397">
        <f>IFERROR((G706-F706)/G706,0)</f>
        <v>-0.56206821089899506</v>
      </c>
      <c r="I706" s="398">
        <f>IF(H706&lt;0,((0.25-(H706*(-1)))*$L$7),IF(H706&gt;0,(H706*$N$7)+$L$6,0))</f>
        <v>-16.64363791461307</v>
      </c>
      <c r="J706" s="73">
        <f>VLOOKUP(C706,'RAW DATA 2023'!E:AC,21,0)</f>
        <v>3.0891500000000001</v>
      </c>
      <c r="K706" s="398">
        <f>I706*J706</f>
        <v>-51.414694063926966</v>
      </c>
      <c r="R706" s="400"/>
    </row>
    <row r="707" spans="1:18">
      <c r="A707" s="63" t="str">
        <f>'RAW DATA 2023'!B204</f>
        <v>Roiphet1</v>
      </c>
      <c r="B707" s="63" t="str">
        <f>'RAW DATA 2023'!D204</f>
        <v>C4-I07-0060</v>
      </c>
      <c r="C707" s="63" t="str">
        <f>A707&amp;B707</f>
        <v>Roiphet1C4-I07-0060</v>
      </c>
      <c r="D707" s="63">
        <f>VLOOKUP(C707,'RAW DATA 2023'!E:BP,63,0)</f>
        <v>6</v>
      </c>
      <c r="E707" s="63" t="str">
        <f>A707&amp;D707</f>
        <v>Roiphet16</v>
      </c>
      <c r="F707" s="389">
        <f>VLOOKUP(C707,'RAW DATA 2023'!E:BO,57,0)</f>
        <v>338.30954880326783</v>
      </c>
      <c r="G707" s="63">
        <f>VLOOKUP(C707,'RAW DATA 2023'!E:BO,58,0)</f>
        <v>219</v>
      </c>
      <c r="H707" s="397">
        <f>IFERROR((G707-F707)/G707,0)</f>
        <v>-0.54479246028889416</v>
      </c>
      <c r="I707" s="398">
        <f>IF(H707&lt;0,((0.25-(H707*(-1)))*$L$7),IF(H707&gt;0,(H707*$N$7)+$L$6,0))</f>
        <v>-15.722264548741023</v>
      </c>
      <c r="J707" s="73">
        <f>VLOOKUP(C707,'RAW DATA 2023'!E:AC,21,0)</f>
        <v>3.1531700000000003</v>
      </c>
      <c r="K707" s="398">
        <f>I707*J707</f>
        <v>-49.574972907153736</v>
      </c>
      <c r="R707" s="400"/>
    </row>
    <row r="708" spans="1:18">
      <c r="A708" s="63" t="str">
        <f>'RAW DATA 2023'!B205</f>
        <v>Roiphet1</v>
      </c>
      <c r="B708" s="63" t="str">
        <f>'RAW DATA 2023'!D205</f>
        <v>C4-G07-0057</v>
      </c>
      <c r="C708" s="63" t="str">
        <f>A708&amp;B708</f>
        <v>Roiphet1C4-G07-0057</v>
      </c>
      <c r="D708" s="63">
        <f>VLOOKUP(C708,'RAW DATA 2023'!E:BP,63,0)</f>
        <v>6</v>
      </c>
      <c r="E708" s="63" t="str">
        <f>A708&amp;D708</f>
        <v>Roiphet16</v>
      </c>
      <c r="F708" s="389">
        <f>VLOOKUP(C708,'RAW DATA 2023'!E:BO,57,0)</f>
        <v>298.67583000900788</v>
      </c>
      <c r="G708" s="63">
        <f>VLOOKUP(C708,'RAW DATA 2023'!E:BO,58,0)</f>
        <v>214</v>
      </c>
      <c r="H708" s="390">
        <f>IFERROR((G708-F708)/G708,0)</f>
        <v>-0.39568144864022375</v>
      </c>
      <c r="I708" s="398">
        <f>IF(H708&lt;0,((0.25-(H708*(-1)))*$L$7),IF(H708&gt;0,(H708*$N$7)+$L$6,0))</f>
        <v>-7.7696772608119336</v>
      </c>
      <c r="J708" s="73">
        <f>VLOOKUP(C708,'RAW DATA 2023'!E:AC,21,0)</f>
        <v>6.2168000000000001</v>
      </c>
      <c r="K708" s="398">
        <f>I708*J708</f>
        <v>-48.302529595015628</v>
      </c>
      <c r="R708" s="400"/>
    </row>
    <row r="709" spans="1:18">
      <c r="A709" s="63" t="str">
        <f>'RAW DATA 2023'!B213</f>
        <v>Roiphet1</v>
      </c>
      <c r="B709" s="63" t="str">
        <f>'RAW DATA 2023'!D213</f>
        <v>C6-G12-0060</v>
      </c>
      <c r="C709" s="63" t="str">
        <f>A709&amp;B709</f>
        <v>Roiphet1C6-G12-0060</v>
      </c>
      <c r="D709" s="63">
        <f>VLOOKUP(C709,'RAW DATA 2023'!E:BP,63,0)</f>
        <v>6</v>
      </c>
      <c r="E709" s="63" t="str">
        <f>A709&amp;D709</f>
        <v>Roiphet16</v>
      </c>
      <c r="F709" s="389">
        <f>VLOOKUP(C709,'RAW DATA 2023'!E:BO,57,0)</f>
        <v>209.81893265249863</v>
      </c>
      <c r="G709" s="63">
        <f>VLOOKUP(C709,'RAW DATA 2023'!E:BO,58,0)</f>
        <v>187</v>
      </c>
      <c r="H709" s="397">
        <f>IFERROR((G709-F709)/G709,0)</f>
        <v>-0.1220263778208483</v>
      </c>
      <c r="I709" s="398">
        <f>IF(H709&lt;0,((0.25-(H709*(-1)))*$L$7),IF(H709&gt;0,(H709*$N$7)+$L$6,0))</f>
        <v>6.8252598495547581</v>
      </c>
      <c r="J709" s="73">
        <f>VLOOKUP(C709,'RAW DATA 2023'!E:AC,21,0)</f>
        <v>8.052859999999999</v>
      </c>
      <c r="K709" s="398">
        <f>I709*J709</f>
        <v>54.962862032085525</v>
      </c>
      <c r="R709" s="400"/>
    </row>
    <row r="710" spans="1:18">
      <c r="A710" s="63" t="str">
        <f>'RAW DATA 2023'!B260</f>
        <v>Roiphet1</v>
      </c>
      <c r="B710" s="63" t="str">
        <f>'RAW DATA 2023'!D260</f>
        <v>C2-I04-0067</v>
      </c>
      <c r="C710" s="63" t="str">
        <f>A710&amp;B710</f>
        <v>Roiphet1C2-I04-0067</v>
      </c>
      <c r="D710" s="63">
        <f>VLOOKUP(C710,'RAW DATA 2023'!E:BP,63,0)</f>
        <v>6</v>
      </c>
      <c r="E710" s="63" t="str">
        <f>A710&amp;D710</f>
        <v>Roiphet16</v>
      </c>
      <c r="F710" s="389">
        <f>VLOOKUP(C710,'RAW DATA 2023'!E:BO,57,0)</f>
        <v>203.89810230559951</v>
      </c>
      <c r="G710" s="63">
        <f>VLOOKUP(C710,'RAW DATA 2023'!E:BO,58,0)</f>
        <v>150</v>
      </c>
      <c r="H710" s="390">
        <f>IFERROR((G710-F710)/G710,0)</f>
        <v>-0.35932068203733003</v>
      </c>
      <c r="I710" s="398">
        <f>IF(H710&lt;0,((0.25-(H710*(-1)))*$L$7),IF(H710&gt;0,(H710*$N$7)+$L$6,0))</f>
        <v>-5.8304363753242683</v>
      </c>
      <c r="J710" s="73">
        <f>VLOOKUP(C710,'RAW DATA 2023'!E:AC,21,0)</f>
        <v>2.6721900000000001</v>
      </c>
      <c r="K710" s="398">
        <f>I710*J710</f>
        <v>-15.580033777777757</v>
      </c>
      <c r="R710" s="400"/>
    </row>
    <row r="711" spans="1:18">
      <c r="A711" s="63" t="str">
        <f>'RAW DATA 2023'!B262</f>
        <v>Roiphet1</v>
      </c>
      <c r="B711" s="63" t="str">
        <f>'RAW DATA 2023'!D262</f>
        <v>C2-I03-0059</v>
      </c>
      <c r="C711" s="63" t="str">
        <f>A711&amp;B711</f>
        <v>Roiphet1C2-I03-0059</v>
      </c>
      <c r="D711" s="63">
        <f>VLOOKUP(C711,'RAW DATA 2023'!E:BP,63,0)</f>
        <v>6</v>
      </c>
      <c r="E711" s="63" t="str">
        <f>A711&amp;D711</f>
        <v>Roiphet16</v>
      </c>
      <c r="F711" s="389">
        <f>VLOOKUP(C711,'RAW DATA 2023'!E:BO,57,0)</f>
        <v>265.73823530700122</v>
      </c>
      <c r="G711" s="63">
        <f>VLOOKUP(C711,'RAW DATA 2023'!E:BO,58,0)</f>
        <v>150</v>
      </c>
      <c r="H711" s="390">
        <f>IFERROR((G711-F711)/G711,0)</f>
        <v>-0.77158823538000809</v>
      </c>
      <c r="I711" s="398">
        <f>IF(H711&lt;0,((0.25-(H711*(-1)))*$L$7),IF(H711&gt;0,(H711*$N$7)+$L$6,0))</f>
        <v>-27.818039220267099</v>
      </c>
      <c r="J711" s="73">
        <f>VLOOKUP(C711,'RAW DATA 2023'!E:AC,21,0)</f>
        <v>2.2828900000000001</v>
      </c>
      <c r="K711" s="398">
        <f>I711*J711</f>
        <v>-63.505523555555563</v>
      </c>
      <c r="R711" s="400"/>
    </row>
    <row r="712" spans="1:18">
      <c r="A712" s="63" t="str">
        <f>'RAW DATA 2023'!B264</f>
        <v>Roiphet1</v>
      </c>
      <c r="B712" s="63" t="str">
        <f>'RAW DATA 2023'!D264</f>
        <v>C2-G03-0066</v>
      </c>
      <c r="C712" s="63" t="str">
        <f>A712&amp;B712</f>
        <v>Roiphet1C2-G03-0066</v>
      </c>
      <c r="D712" s="63">
        <f>VLOOKUP(C712,'RAW DATA 2023'!E:BP,63,0)</f>
        <v>6</v>
      </c>
      <c r="E712" s="63" t="str">
        <f>A712&amp;D712</f>
        <v>Roiphet16</v>
      </c>
      <c r="F712" s="389">
        <f>VLOOKUP(C712,'RAW DATA 2023'!E:BO,57,0)</f>
        <v>251.6281168547047</v>
      </c>
      <c r="G712" s="63">
        <f>VLOOKUP(C712,'RAW DATA 2023'!E:BO,58,0)</f>
        <v>150</v>
      </c>
      <c r="H712" s="390">
        <f>IFERROR((G712-F712)/G712,0)</f>
        <v>-0.67752077903136465</v>
      </c>
      <c r="I712" s="398">
        <f>IF(H712&lt;0,((0.25-(H712*(-1)))*$L$7),IF(H712&gt;0,(H712*$N$7)+$L$6,0))</f>
        <v>-22.801108215006117</v>
      </c>
      <c r="J712" s="73">
        <f>VLOOKUP(C712,'RAW DATA 2023'!E:AC,21,0)</f>
        <v>3.7253099999999999</v>
      </c>
      <c r="K712" s="398">
        <f>I712*J712</f>
        <v>-84.941196444444429</v>
      </c>
      <c r="R712" s="400"/>
    </row>
    <row r="713" spans="1:18">
      <c r="A713" s="63" t="str">
        <f>'RAW DATA 2023'!B265</f>
        <v>Roiphet1</v>
      </c>
      <c r="B713" s="63" t="str">
        <f>'RAW DATA 2023'!D265</f>
        <v>C2-G04-0064</v>
      </c>
      <c r="C713" s="63" t="str">
        <f>A713&amp;B713</f>
        <v>Roiphet1C2-G04-0064</v>
      </c>
      <c r="D713" s="63">
        <f>VLOOKUP(C713,'RAW DATA 2023'!E:BP,63,0)</f>
        <v>6</v>
      </c>
      <c r="E713" s="63" t="str">
        <f>A713&amp;D713</f>
        <v>Roiphet16</v>
      </c>
      <c r="F713" s="389">
        <f>VLOOKUP(C713,'RAW DATA 2023'!E:BO,57,0)</f>
        <v>242.35045472155099</v>
      </c>
      <c r="G713" s="63">
        <f>VLOOKUP(C713,'RAW DATA 2023'!E:BO,58,0)</f>
        <v>150</v>
      </c>
      <c r="H713" s="390">
        <f>IFERROR((G713-F713)/G713,0)</f>
        <v>-0.61566969814367323</v>
      </c>
      <c r="I713" s="398">
        <f>IF(H713&lt;0,((0.25-(H713*(-1)))*$L$7),IF(H713&gt;0,(H713*$N$7)+$L$6,0))</f>
        <v>-19.502383900995905</v>
      </c>
      <c r="J713" s="73">
        <f>VLOOKUP(C713,'RAW DATA 2023'!E:AC,21,0)</f>
        <v>3.5879099999999999</v>
      </c>
      <c r="K713" s="398">
        <f>I713*J713</f>
        <v>-69.972798222222224</v>
      </c>
      <c r="R713" s="400"/>
    </row>
    <row r="714" spans="1:18">
      <c r="A714" s="63" t="str">
        <f>'RAW DATA 2023'!B267</f>
        <v>Roiphet1</v>
      </c>
      <c r="B714" s="63" t="str">
        <f>'RAW DATA 2023'!D267</f>
        <v>B6-G12-0087</v>
      </c>
      <c r="C714" s="63" t="str">
        <f>A714&amp;B714</f>
        <v>Roiphet1B6-G12-0087</v>
      </c>
      <c r="D714" s="63">
        <f>VLOOKUP(C714,'RAW DATA 2023'!E:BP,63,0)</f>
        <v>6</v>
      </c>
      <c r="E714" s="63" t="str">
        <f>A714&amp;D714</f>
        <v>Roiphet16</v>
      </c>
      <c r="F714" s="389">
        <f>VLOOKUP(C714,'RAW DATA 2023'!E:BO,57,0)</f>
        <v>206.28967355377713</v>
      </c>
      <c r="G714" s="63">
        <f>VLOOKUP(C714,'RAW DATA 2023'!E:BO,58,0)</f>
        <v>192</v>
      </c>
      <c r="H714" s="390">
        <f>IFERROR((G714-F714)/G714,0)</f>
        <v>-7.442538309258924E-2</v>
      </c>
      <c r="I714" s="398">
        <f>IF(H714&lt;0,((0.25-(H714*(-1)))*$L$7),IF(H714&gt;0,(H714*$N$7)+$L$6,0))</f>
        <v>9.3639795683952425</v>
      </c>
      <c r="J714" s="73">
        <f>VLOOKUP(C714,'RAW DATA 2023'!E:AC,21,0)</f>
        <v>8.5318799999999992</v>
      </c>
      <c r="K714" s="398">
        <f>I714*J714</f>
        <v>79.892349999999993</v>
      </c>
      <c r="R714" s="400"/>
    </row>
    <row r="715" spans="1:18">
      <c r="A715" s="63" t="str">
        <f>'RAW DATA 2023'!B268</f>
        <v>Roiphet1</v>
      </c>
      <c r="B715" s="63" t="str">
        <f>'RAW DATA 2023'!D268</f>
        <v>B6-G11-0082</v>
      </c>
      <c r="C715" s="63" t="str">
        <f>A715&amp;B715</f>
        <v>Roiphet1B6-G11-0082</v>
      </c>
      <c r="D715" s="63">
        <f>VLOOKUP(C715,'RAW DATA 2023'!E:BP,63,0)</f>
        <v>6</v>
      </c>
      <c r="E715" s="63" t="str">
        <f>A715&amp;D715</f>
        <v>Roiphet16</v>
      </c>
      <c r="F715" s="389">
        <f>VLOOKUP(C715,'RAW DATA 2023'!E:BO,57,0)</f>
        <v>224.34771994013846</v>
      </c>
      <c r="G715" s="63">
        <f>VLOOKUP(C715,'RAW DATA 2023'!E:BO,58,0)</f>
        <v>197</v>
      </c>
      <c r="H715" s="390">
        <f>IFERROR((G715-F715)/G715,0)</f>
        <v>-0.13882091340171807</v>
      </c>
      <c r="I715" s="398">
        <f>IF(H715&lt;0,((0.25-(H715*(-1)))*$L$7),IF(H715&gt;0,(H715*$N$7)+$L$6,0))</f>
        <v>5.9295512852417032</v>
      </c>
      <c r="J715" s="73">
        <f>VLOOKUP(C715,'RAW DATA 2023'!E:AC,21,0)</f>
        <v>7.6309399999999998</v>
      </c>
      <c r="K715" s="398">
        <f>I715*J715</f>
        <v>45.248050084602319</v>
      </c>
      <c r="R715" s="400"/>
    </row>
    <row r="716" spans="1:18">
      <c r="A716" s="63" t="str">
        <f>'RAW DATA 2023'!B272</f>
        <v>Roiphet1</v>
      </c>
      <c r="B716" s="63" t="str">
        <f>'RAW DATA 2023'!D272</f>
        <v>B1-I01-0095</v>
      </c>
      <c r="C716" s="63" t="str">
        <f>A716&amp;B716</f>
        <v>Roiphet1B1-I01-0095</v>
      </c>
      <c r="D716" s="63">
        <f>VLOOKUP(C716,'RAW DATA 2023'!E:BP,63,0)</f>
        <v>6</v>
      </c>
      <c r="E716" s="63" t="str">
        <f>A716&amp;D716</f>
        <v>Roiphet16</v>
      </c>
      <c r="F716" s="389">
        <f>VLOOKUP(C716,'RAW DATA 2023'!E:BO,57,0)</f>
        <v>205.29657404088982</v>
      </c>
      <c r="G716" s="63">
        <f>VLOOKUP(C716,'RAW DATA 2023'!E:BO,58,0)</f>
        <v>189</v>
      </c>
      <c r="H716" s="399">
        <f>IFERROR((G716-F716)/G716,0)</f>
        <v>-8.6225259475607524E-2</v>
      </c>
      <c r="I716" s="398">
        <f>IF(H716&lt;0,((0.25-(H716*(-1)))*$L$7),IF(H716&gt;0,(H716*$N$7)+$L$6,0))</f>
        <v>8.734652827967599</v>
      </c>
      <c r="J716" s="73">
        <f>VLOOKUP(C716,'RAW DATA 2023'!E:AC,21,0)</f>
        <v>4.7992400000000002</v>
      </c>
      <c r="K716" s="398">
        <f>I716*J716</f>
        <v>41.919695238095223</v>
      </c>
      <c r="R716" s="400"/>
    </row>
    <row r="717" spans="1:18">
      <c r="A717" s="63" t="str">
        <f>'RAW DATA 2023'!B273</f>
        <v>Roiphet1</v>
      </c>
      <c r="B717" s="63" t="str">
        <f>'RAW DATA 2023'!D273</f>
        <v>B6-I12-0086</v>
      </c>
      <c r="C717" s="63" t="str">
        <f>A717&amp;B717</f>
        <v>Roiphet1B6-I12-0086</v>
      </c>
      <c r="D717" s="63">
        <f>VLOOKUP(C717,'RAW DATA 2023'!E:BP,63,0)</f>
        <v>6</v>
      </c>
      <c r="E717" s="63" t="str">
        <f>A717&amp;D717</f>
        <v>Roiphet16</v>
      </c>
      <c r="F717" s="389">
        <f>VLOOKUP(C717,'RAW DATA 2023'!E:BO,57,0)</f>
        <v>239.90525862780203</v>
      </c>
      <c r="G717" s="63">
        <f>VLOOKUP(C717,'RAW DATA 2023'!E:BO,58,0)</f>
        <v>185</v>
      </c>
      <c r="H717" s="390">
        <f>IFERROR((G717-F717)/G717,0)</f>
        <v>-0.29678518177190283</v>
      </c>
      <c r="I717" s="398">
        <f>IF(H717&lt;0,((0.25-(H717*(-1)))*$L$7),IF(H717&gt;0,(H717*$N$7)+$L$6,0))</f>
        <v>-2.4952096945014843</v>
      </c>
      <c r="J717" s="73">
        <f>VLOOKUP(C717,'RAW DATA 2023'!E:AC,21,0)</f>
        <v>4.4846300000000001</v>
      </c>
      <c r="K717" s="398">
        <f>I717*J717</f>
        <v>-11.190092252252192</v>
      </c>
      <c r="R717" s="400"/>
    </row>
    <row r="718" spans="1:18">
      <c r="A718" s="63" t="str">
        <f>'RAW DATA 2023'!B274</f>
        <v>Roiphet1</v>
      </c>
      <c r="B718" s="63" t="str">
        <f>'RAW DATA 2023'!D274</f>
        <v>B2-G04-0092</v>
      </c>
      <c r="C718" s="63" t="str">
        <f>A718&amp;B718</f>
        <v>Roiphet1B2-G04-0092</v>
      </c>
      <c r="D718" s="63">
        <f>VLOOKUP(C718,'RAW DATA 2023'!E:BP,63,0)</f>
        <v>6</v>
      </c>
      <c r="E718" s="63" t="str">
        <f>A718&amp;D718</f>
        <v>Roiphet16</v>
      </c>
      <c r="F718" s="389">
        <f>VLOOKUP(C718,'RAW DATA 2023'!E:BO,57,0)</f>
        <v>240.16239986404557</v>
      </c>
      <c r="G718" s="63">
        <f>VLOOKUP(C718,'RAW DATA 2023'!E:BO,58,0)</f>
        <v>183</v>
      </c>
      <c r="H718" s="397">
        <f>IFERROR((G718-F718)/G718,0)</f>
        <v>-0.31236284078713428</v>
      </c>
      <c r="I718" s="398">
        <f>IF(H718&lt;0,((0.25-(H718*(-1)))*$L$7),IF(H718&gt;0,(H718*$N$7)+$L$6,0))</f>
        <v>-3.3260181753138283</v>
      </c>
      <c r="J718" s="73">
        <f>VLOOKUP(C718,'RAW DATA 2023'!E:AC,21,0)</f>
        <v>5.9431700000000003</v>
      </c>
      <c r="K718" s="398">
        <f>I718*J718</f>
        <v>-19.767091438979886</v>
      </c>
      <c r="R718" s="400"/>
    </row>
    <row r="719" spans="1:18">
      <c r="A719" s="63" t="str">
        <f>'RAW DATA 2023'!B280</f>
        <v>Roiphet1</v>
      </c>
      <c r="B719" s="63" t="str">
        <f>'RAW DATA 2023'!D280</f>
        <v>B2-I04-0098</v>
      </c>
      <c r="C719" s="63" t="str">
        <f>A719&amp;B719</f>
        <v>Roiphet1B2-I04-0098</v>
      </c>
      <c r="D719" s="63">
        <f>VLOOKUP(C719,'RAW DATA 2023'!E:BP,63,0)</f>
        <v>6</v>
      </c>
      <c r="E719" s="63" t="str">
        <f>A719&amp;D719</f>
        <v>Roiphet16</v>
      </c>
      <c r="F719" s="389">
        <f>VLOOKUP(C719,'RAW DATA 2023'!E:BO,57,0)</f>
        <v>245.19387787877815</v>
      </c>
      <c r="G719" s="63">
        <f>VLOOKUP(C719,'RAW DATA 2023'!E:BO,58,0)</f>
        <v>181</v>
      </c>
      <c r="H719" s="390">
        <f>IFERROR((G719-F719)/G719,0)</f>
        <v>-0.35466230872253124</v>
      </c>
      <c r="I719" s="398">
        <f>IF(H719&lt;0,((0.25-(H719*(-1)))*$L$7),IF(H719&gt;0,(H719*$N$7)+$L$6,0))</f>
        <v>-5.581989798535</v>
      </c>
      <c r="J719" s="73">
        <f>VLOOKUP(C719,'RAW DATA 2023'!E:AC,21,0)</f>
        <v>3.4246300000000001</v>
      </c>
      <c r="K719" s="398">
        <f>I719*J719</f>
        <v>-19.116249723756919</v>
      </c>
      <c r="R719" s="400"/>
    </row>
    <row r="720" spans="1:18">
      <c r="A720" s="63" t="str">
        <f>'RAW DATA 2023'!B286</f>
        <v>Roiphet1</v>
      </c>
      <c r="B720" s="63" t="str">
        <f>'RAW DATA 2023'!D286</f>
        <v>B6-I11-0083</v>
      </c>
      <c r="C720" s="63" t="str">
        <f>A720&amp;B720</f>
        <v>Roiphet1B6-I11-0083</v>
      </c>
      <c r="D720" s="63">
        <f>VLOOKUP(C720,'RAW DATA 2023'!E:BP,63,0)</f>
        <v>6</v>
      </c>
      <c r="E720" s="63" t="str">
        <f>A720&amp;D720</f>
        <v>Roiphet16</v>
      </c>
      <c r="F720" s="389">
        <f>VLOOKUP(C720,'RAW DATA 2023'!E:BO,57,0)</f>
        <v>237.34554168271731</v>
      </c>
      <c r="G720" s="63">
        <f>VLOOKUP(C720,'RAW DATA 2023'!E:BO,58,0)</f>
        <v>184</v>
      </c>
      <c r="H720" s="390">
        <f>IFERROR((G720-F720)/G720,0)</f>
        <v>-0.28992142218868105</v>
      </c>
      <c r="I720" s="398">
        <f>IF(H720&lt;0,((0.25-(H720*(-1)))*$L$7),IF(H720&gt;0,(H720*$N$7)+$L$6,0))</f>
        <v>-2.1291425167296563</v>
      </c>
      <c r="J720" s="73">
        <f>VLOOKUP(C720,'RAW DATA 2023'!E:AC,21,0)</f>
        <v>4.4131</v>
      </c>
      <c r="K720" s="398">
        <f>I720*J720</f>
        <v>-9.3961188405796463</v>
      </c>
      <c r="R720" s="400"/>
    </row>
    <row r="721" spans="1:18">
      <c r="A721" s="63" t="str">
        <f>'RAW DATA 2023'!B289</f>
        <v>Roiphet1</v>
      </c>
      <c r="B721" s="63" t="str">
        <f>'RAW DATA 2023'!D289</f>
        <v>B2-I03-0095</v>
      </c>
      <c r="C721" s="63" t="str">
        <f>A721&amp;B721</f>
        <v>Roiphet1B2-I03-0095</v>
      </c>
      <c r="D721" s="63">
        <f>VLOOKUP(C721,'RAW DATA 2023'!E:BP,63,0)</f>
        <v>6</v>
      </c>
      <c r="E721" s="63" t="str">
        <f>A721&amp;D721</f>
        <v>Roiphet16</v>
      </c>
      <c r="F721" s="389">
        <f>VLOOKUP(C721,'RAW DATA 2023'!E:BO,57,0)</f>
        <v>252.67062496192969</v>
      </c>
      <c r="G721" s="63">
        <f>VLOOKUP(C721,'RAW DATA 2023'!E:BO,58,0)</f>
        <v>181</v>
      </c>
      <c r="H721" s="397">
        <f>IFERROR((G721-F721)/G721,0)</f>
        <v>-0.39597030365707009</v>
      </c>
      <c r="I721" s="398">
        <f>IF(H721&lt;0,((0.25-(H721*(-1)))*$L$7),IF(H721&gt;0,(H721*$N$7)+$L$6,0))</f>
        <v>-7.7850828617104053</v>
      </c>
      <c r="J721" s="73">
        <f>VLOOKUP(C721,'RAW DATA 2023'!E:AC,21,0)</f>
        <v>3.2833999999999999</v>
      </c>
      <c r="K721" s="398">
        <f>I721*J721</f>
        <v>-25.561541068139945</v>
      </c>
      <c r="R721" s="400"/>
    </row>
    <row r="722" spans="1:18">
      <c r="A722" s="63" t="str">
        <f>'RAW DATA 2023'!B291</f>
        <v>Roiphet1</v>
      </c>
      <c r="B722" s="63" t="str">
        <f>'RAW DATA 2023'!D291</f>
        <v>B3-G06-0081</v>
      </c>
      <c r="C722" s="63" t="str">
        <f>A722&amp;B722</f>
        <v>Roiphet1B3-G06-0081</v>
      </c>
      <c r="D722" s="63">
        <f>VLOOKUP(C722,'RAW DATA 2023'!E:BP,63,0)</f>
        <v>6</v>
      </c>
      <c r="E722" s="63" t="str">
        <f>A722&amp;D722</f>
        <v>Roiphet16</v>
      </c>
      <c r="F722" s="389">
        <f>VLOOKUP(C722,'RAW DATA 2023'!E:BO,57,0)</f>
        <v>202.45969602676686</v>
      </c>
      <c r="G722" s="63">
        <f>VLOOKUP(C722,'RAW DATA 2023'!E:BO,58,0)</f>
        <v>186</v>
      </c>
      <c r="H722" s="390">
        <f>IFERROR((G722-F722)/G722,0)</f>
        <v>-8.849298939121969E-2</v>
      </c>
      <c r="I722" s="398">
        <f>IF(H722&lt;0,((0.25-(H722*(-1)))*$L$7),IF(H722&gt;0,(H722*$N$7)+$L$6,0))</f>
        <v>8.6137072324682844</v>
      </c>
      <c r="J722" s="73">
        <f>VLOOKUP(C722,'RAW DATA 2023'!E:AC,21,0)</f>
        <v>10.119969999999999</v>
      </c>
      <c r="K722" s="398">
        <f>I722*J722</f>
        <v>87.170458781362058</v>
      </c>
      <c r="R722" s="400"/>
    </row>
    <row r="723" spans="1:18">
      <c r="A723" s="63" t="str">
        <f>'RAW DATA 2023'!B297</f>
        <v>Roiphet1</v>
      </c>
      <c r="B723" s="63" t="str">
        <f>'RAW DATA 2023'!D297</f>
        <v>B1-I02-0095</v>
      </c>
      <c r="C723" s="63" t="str">
        <f>A723&amp;B723</f>
        <v>Roiphet1B1-I02-0095</v>
      </c>
      <c r="D723" s="63">
        <f>VLOOKUP(C723,'RAW DATA 2023'!E:BP,63,0)</f>
        <v>6</v>
      </c>
      <c r="E723" s="63" t="str">
        <f>A723&amp;D723</f>
        <v>Roiphet16</v>
      </c>
      <c r="F723" s="389">
        <f>VLOOKUP(C723,'RAW DATA 2023'!E:BO,57,0)</f>
        <v>172.87518295585872</v>
      </c>
      <c r="G723" s="63">
        <f>VLOOKUP(C723,'RAW DATA 2023'!E:BO,58,0)</f>
        <v>183</v>
      </c>
      <c r="H723" s="390">
        <f>IFERROR((G723-F723)/G723,0)</f>
        <v>5.5326869093668199E-2</v>
      </c>
      <c r="I723" s="398">
        <f>IF(H723&lt;0,((0.25-(H723*(-1)))*$L$7),IF(H723&gt;0,(H723*$N$7)+$L$6,0))</f>
        <v>16.284099684995638</v>
      </c>
      <c r="J723" s="73">
        <f>VLOOKUP(C723,'RAW DATA 2023'!E:AC,21,0)</f>
        <v>5.6502700000000008</v>
      </c>
      <c r="K723" s="398">
        <f>I723*J723</f>
        <v>92.009559927140316</v>
      </c>
      <c r="R723" s="400"/>
    </row>
    <row r="724" spans="1:18">
      <c r="A724" s="63" t="str">
        <f>'RAW DATA 2023'!B298</f>
        <v>Roiphet1</v>
      </c>
      <c r="B724" s="63" t="str">
        <f>'RAW DATA 2023'!D298</f>
        <v>B1-G01-0084</v>
      </c>
      <c r="C724" s="63" t="str">
        <f>A724&amp;B724</f>
        <v>Roiphet1B1-G01-0084</v>
      </c>
      <c r="D724" s="63">
        <f>VLOOKUP(C724,'RAW DATA 2023'!E:BP,63,0)</f>
        <v>6</v>
      </c>
      <c r="E724" s="63" t="str">
        <f>A724&amp;D724</f>
        <v>Roiphet16</v>
      </c>
      <c r="F724" s="389">
        <f>VLOOKUP(C724,'RAW DATA 2023'!E:BO,57,0)</f>
        <v>193.59189700393426</v>
      </c>
      <c r="G724" s="63">
        <f>VLOOKUP(C724,'RAW DATA 2023'!E:BO,58,0)</f>
        <v>178</v>
      </c>
      <c r="H724" s="397">
        <f>IFERROR((G724-F724)/G724,0)</f>
        <v>-8.7594926988394745E-2</v>
      </c>
      <c r="I724" s="398">
        <f>IF(H724&lt;0,((0.25-(H724*(-1)))*$L$7),IF(H724&gt;0,(H724*$N$7)+$L$6,0))</f>
        <v>8.6616038939522806</v>
      </c>
      <c r="J724" s="73">
        <f>VLOOKUP(C724,'RAW DATA 2023'!E:AC,21,0)</f>
        <v>7.9303999999999997</v>
      </c>
      <c r="K724" s="398">
        <f>I724*J724</f>
        <v>68.689983520599156</v>
      </c>
      <c r="R724" s="400"/>
    </row>
    <row r="725" spans="1:18">
      <c r="A725" s="63" t="str">
        <f>'RAW DATA 2023'!B303</f>
        <v>Roiphet1</v>
      </c>
      <c r="B725" s="63" t="str">
        <f>'RAW DATA 2023'!D303</f>
        <v>B2-G03-0080</v>
      </c>
      <c r="C725" s="63" t="str">
        <f>A725&amp;B725</f>
        <v>Roiphet1B2-G03-0080</v>
      </c>
      <c r="D725" s="63">
        <f>VLOOKUP(C725,'RAW DATA 2023'!E:BP,63,0)</f>
        <v>6</v>
      </c>
      <c r="E725" s="63" t="str">
        <f>A725&amp;D725</f>
        <v>Roiphet16</v>
      </c>
      <c r="F725" s="389">
        <f>VLOOKUP(C725,'RAW DATA 2023'!E:BO,57,0)</f>
        <v>243.45903426200275</v>
      </c>
      <c r="G725" s="63">
        <f>VLOOKUP(C725,'RAW DATA 2023'!E:BO,58,0)</f>
        <v>167</v>
      </c>
      <c r="H725" s="390">
        <f>IFERROR((G725-F725)/G725,0)</f>
        <v>-0.45783852851498652</v>
      </c>
      <c r="I725" s="398">
        <f>IF(H725&lt;0,((0.25-(H725*(-1)))*$L$7),IF(H725&gt;0,(H725*$N$7)+$L$6,0))</f>
        <v>-11.084721520799281</v>
      </c>
      <c r="J725" s="73">
        <f>VLOOKUP(C725,'RAW DATA 2023'!E:AC,21,0)</f>
        <v>5.79826</v>
      </c>
      <c r="K725" s="398">
        <f>I725*J725</f>
        <v>-64.272097405189641</v>
      </c>
      <c r="R725" s="400"/>
    </row>
    <row r="726" spans="1:18">
      <c r="A726" s="63" t="str">
        <f>'RAW DATA 2023'!B304</f>
        <v>Roiphet1</v>
      </c>
      <c r="B726" s="63" t="str">
        <f>'RAW DATA 2023'!D304</f>
        <v>B3-I06-0094</v>
      </c>
      <c r="C726" s="63" t="str">
        <f>A726&amp;B726</f>
        <v>Roiphet1B3-I06-0094</v>
      </c>
      <c r="D726" s="63">
        <f>VLOOKUP(C726,'RAW DATA 2023'!E:BP,63,0)</f>
        <v>6</v>
      </c>
      <c r="E726" s="63" t="str">
        <f>A726&amp;D726</f>
        <v>Roiphet16</v>
      </c>
      <c r="F726" s="389">
        <f>VLOOKUP(C726,'RAW DATA 2023'!E:BO,57,0)</f>
        <v>235.06235058140578</v>
      </c>
      <c r="G726" s="63">
        <f>VLOOKUP(C726,'RAW DATA 2023'!E:BO,58,0)</f>
        <v>186</v>
      </c>
      <c r="H726" s="397">
        <f>IFERROR((G726-F726)/G726,0)</f>
        <v>-0.26377607839465472</v>
      </c>
      <c r="I726" s="398">
        <f>IF(H726&lt;0,((0.25-(H726*(-1)))*$L$7),IF(H726&gt;0,(H726*$N$7)+$L$6,0))</f>
        <v>-0.73472418104825188</v>
      </c>
      <c r="J726" s="73">
        <f>VLOOKUP(C726,'RAW DATA 2023'!E:AC,21,0)</f>
        <v>5.0403700000000002</v>
      </c>
      <c r="K726" s="398">
        <f>I726*J726</f>
        <v>-3.7032817204301773</v>
      </c>
      <c r="R726" s="400"/>
    </row>
    <row r="727" spans="1:18">
      <c r="A727" s="63" t="str">
        <f>'RAW DATA 2023'!B306</f>
        <v>Roiphet1</v>
      </c>
      <c r="B727" s="63" t="str">
        <f>'RAW DATA 2023'!D306</f>
        <v>B1-G02-0088</v>
      </c>
      <c r="C727" s="63" t="str">
        <f>A727&amp;B727</f>
        <v>Roiphet1B1-G02-0088</v>
      </c>
      <c r="D727" s="63">
        <f>VLOOKUP(C727,'RAW DATA 2023'!E:BP,63,0)</f>
        <v>6</v>
      </c>
      <c r="E727" s="63" t="str">
        <f>A727&amp;D727</f>
        <v>Roiphet16</v>
      </c>
      <c r="F727" s="389">
        <f>VLOOKUP(C727,'RAW DATA 2023'!E:BO,57,0)</f>
        <v>184.87282819100821</v>
      </c>
      <c r="G727" s="63">
        <f>VLOOKUP(C727,'RAW DATA 2023'!E:BO,58,0)</f>
        <v>172</v>
      </c>
      <c r="H727" s="390">
        <f>IFERROR((G727-F727)/G727,0)</f>
        <v>-7.4842024366326809E-2</v>
      </c>
      <c r="I727" s="398">
        <f>IF(H727&lt;0,((0.25-(H727*(-1)))*$L$7),IF(H727&gt;0,(H727*$N$7)+$L$6,0))</f>
        <v>9.3417587004625702</v>
      </c>
      <c r="J727" s="73">
        <f>VLOOKUP(C727,'RAW DATA 2023'!E:AC,21,0)</f>
        <v>8.9217099999999991</v>
      </c>
      <c r="K727" s="398">
        <f>I727*J727</f>
        <v>83.344462015503908</v>
      </c>
      <c r="R727" s="400"/>
    </row>
    <row r="728" spans="1:18">
      <c r="A728" s="63" t="str">
        <f>'RAW DATA 2023'!B199</f>
        <v>Roiphet1</v>
      </c>
      <c r="B728" s="63" t="str">
        <f>'RAW DATA 2023'!D199</f>
        <v>C6-I12-0062</v>
      </c>
      <c r="C728" s="63" t="str">
        <f>A728&amp;B728</f>
        <v>Roiphet1C6-I12-0062</v>
      </c>
      <c r="D728" s="63">
        <f>VLOOKUP(C728,'RAW DATA 2023'!E:BP,63,0)</f>
        <v>7</v>
      </c>
      <c r="E728" s="63" t="str">
        <f>A728&amp;D728</f>
        <v>Roiphet17</v>
      </c>
      <c r="F728" s="389">
        <f>VLOOKUP(C728,'RAW DATA 2023'!E:BO,57,0)</f>
        <v>226.89715060447409</v>
      </c>
      <c r="G728" s="63">
        <f>VLOOKUP(C728,'RAW DATA 2023'!E:BO,58,0)</f>
        <v>207</v>
      </c>
      <c r="H728" s="390">
        <f>IFERROR((G728-F728)/G728,0)</f>
        <v>-9.6121500504705762E-2</v>
      </c>
      <c r="I728" s="398">
        <f>IF(H728&lt;0,((0.25-(H728*(-1)))*$L$7),IF(H728&gt;0,(H728*$N$7)+$L$6,0))</f>
        <v>8.2068533064156934</v>
      </c>
      <c r="J728" s="73">
        <f>VLOOKUP(C728,'RAW DATA 2023'!E:AC,21,0)</f>
        <v>3.99769</v>
      </c>
      <c r="K728" s="398">
        <f>I728*J728</f>
        <v>32.808455394524955</v>
      </c>
      <c r="R728" s="400"/>
    </row>
    <row r="729" spans="1:18">
      <c r="A729" s="63" t="str">
        <f>'RAW DATA 2023'!B200</f>
        <v>Roiphet1</v>
      </c>
      <c r="B729" s="63" t="str">
        <f>'RAW DATA 2023'!D200</f>
        <v>C6-G11-0059</v>
      </c>
      <c r="C729" s="63" t="str">
        <f>A729&amp;B729</f>
        <v>Roiphet1C6-G11-0059</v>
      </c>
      <c r="D729" s="63">
        <f>VLOOKUP(C729,'RAW DATA 2023'!E:BP,63,0)</f>
        <v>7</v>
      </c>
      <c r="E729" s="63" t="str">
        <f>A729&amp;D729</f>
        <v>Roiphet17</v>
      </c>
      <c r="F729" s="389">
        <f>VLOOKUP(C729,'RAW DATA 2023'!E:BO,57,0)</f>
        <v>176.89150474438486</v>
      </c>
      <c r="G729" s="63">
        <f>VLOOKUP(C729,'RAW DATA 2023'!E:BO,58,0)</f>
        <v>197</v>
      </c>
      <c r="H729" s="390">
        <f>IFERROR((G729-F729)/G729,0)</f>
        <v>0.10207357997774183</v>
      </c>
      <c r="I729" s="398">
        <f>IF(H729&lt;0,((0.25-(H729*(-1)))*$L$7),IF(H729&gt;0,(H729*$N$7)+$L$6,0))</f>
        <v>18.777257598812898</v>
      </c>
      <c r="J729" s="73">
        <f>VLOOKUP(C729,'RAW DATA 2023'!E:AC,21,0)</f>
        <v>8.8715400000000013</v>
      </c>
      <c r="K729" s="398">
        <f>I729*J729</f>
        <v>166.58319187817261</v>
      </c>
      <c r="R729" s="400"/>
    </row>
    <row r="730" spans="1:18">
      <c r="A730" s="63" t="str">
        <f>'RAW DATA 2023'!B201</f>
        <v>Roiphet1</v>
      </c>
      <c r="B730" s="63" t="str">
        <f>'RAW DATA 2023'!D201</f>
        <v>C6-I11-0065</v>
      </c>
      <c r="C730" s="63" t="str">
        <f>A730&amp;B730</f>
        <v>Roiphet1C6-I11-0065</v>
      </c>
      <c r="D730" s="63">
        <f>VLOOKUP(C730,'RAW DATA 2023'!E:BP,63,0)</f>
        <v>7</v>
      </c>
      <c r="E730" s="63" t="str">
        <f>A730&amp;D730</f>
        <v>Roiphet17</v>
      </c>
      <c r="F730" s="389">
        <f>VLOOKUP(C730,'RAW DATA 2023'!E:BO,57,0)</f>
        <v>210.47527220194993</v>
      </c>
      <c r="G730" s="63">
        <f>VLOOKUP(C730,'RAW DATA 2023'!E:BO,58,0)</f>
        <v>200</v>
      </c>
      <c r="H730" s="390">
        <f>IFERROR((G730-F730)/G730,0)</f>
        <v>-5.237636100974967E-2</v>
      </c>
      <c r="I730" s="398">
        <f>IF(H730&lt;0,((0.25-(H730*(-1)))*$L$7),IF(H730&gt;0,(H730*$N$7)+$L$6,0))</f>
        <v>10.53992741281335</v>
      </c>
      <c r="J730" s="73">
        <f>VLOOKUP(C730,'RAW DATA 2023'!E:AC,21,0)</f>
        <v>4.4094100000000003</v>
      </c>
      <c r="K730" s="398">
        <f>I730*J730</f>
        <v>46.474861333333315</v>
      </c>
      <c r="R730" s="400"/>
    </row>
    <row r="731" spans="1:18">
      <c r="A731" s="63" t="str">
        <f>'RAW DATA 2023'!B270</f>
        <v>Roiphet1</v>
      </c>
      <c r="B731" s="63" t="str">
        <f>'RAW DATA 2023'!D270</f>
        <v>B5-I10-0091</v>
      </c>
      <c r="C731" s="63" t="str">
        <f>A731&amp;B731</f>
        <v>Roiphet1B5-I10-0091</v>
      </c>
      <c r="D731" s="63">
        <f>VLOOKUP(C731,'RAW DATA 2023'!E:BP,63,0)</f>
        <v>7</v>
      </c>
      <c r="E731" s="63" t="str">
        <f>A731&amp;D731</f>
        <v>Roiphet17</v>
      </c>
      <c r="F731" s="389">
        <f>VLOOKUP(C731,'RAW DATA 2023'!E:BO,57,0)</f>
        <v>280.67933899223414</v>
      </c>
      <c r="G731" s="63">
        <f>VLOOKUP(C731,'RAW DATA 2023'!E:BO,58,0)</f>
        <v>170</v>
      </c>
      <c r="H731" s="390">
        <f>IFERROR((G731-F731)/G731,0)</f>
        <v>-0.65105493524843605</v>
      </c>
      <c r="I731" s="398">
        <f>IF(H731&lt;0,((0.25-(H731*(-1)))*$L$7),IF(H731&gt;0,(H731*$N$7)+$L$6,0))</f>
        <v>-21.389596546583256</v>
      </c>
      <c r="J731" s="73">
        <f>VLOOKUP(C731,'RAW DATA 2023'!E:AC,21,0)</f>
        <v>2.5470199999999998</v>
      </c>
      <c r="K731" s="398">
        <f>I731*J731</f>
        <v>-54.479730196078478</v>
      </c>
      <c r="R731" s="400"/>
    </row>
    <row r="732" spans="1:18">
      <c r="A732" s="63" t="str">
        <f>'RAW DATA 2023'!B279</f>
        <v>Roiphet1</v>
      </c>
      <c r="B732" s="63" t="str">
        <f>'RAW DATA 2023'!D279</f>
        <v>B4-I08-0089</v>
      </c>
      <c r="C732" s="63" t="str">
        <f>A732&amp;B732</f>
        <v>Roiphet1B4-I08-0089</v>
      </c>
      <c r="D732" s="63">
        <f>VLOOKUP(C732,'RAW DATA 2023'!E:BP,63,0)</f>
        <v>7</v>
      </c>
      <c r="E732" s="63" t="str">
        <f>A732&amp;D732</f>
        <v>Roiphet17</v>
      </c>
      <c r="F732" s="389">
        <f>VLOOKUP(C732,'RAW DATA 2023'!E:BO,57,0)</f>
        <v>276.6500066928495</v>
      </c>
      <c r="G732" s="63">
        <f>VLOOKUP(C732,'RAW DATA 2023'!E:BO,58,0)</f>
        <v>185</v>
      </c>
      <c r="H732" s="390">
        <f>IFERROR((G732-F732)/G732,0)</f>
        <v>-0.49540544158297029</v>
      </c>
      <c r="I732" s="398">
        <f>IF(H732&lt;0,((0.25-(H732*(-1)))*$L$7),IF(H732&gt;0,(H732*$N$7)+$L$6,0))</f>
        <v>-13.088290217758416</v>
      </c>
      <c r="J732" s="73">
        <f>VLOOKUP(C732,'RAW DATA 2023'!E:AC,21,0)</f>
        <v>3.5112100000000002</v>
      </c>
      <c r="K732" s="398">
        <f>I732*J732</f>
        <v>-45.955735495495531</v>
      </c>
      <c r="R732" s="400"/>
    </row>
    <row r="733" spans="1:18">
      <c r="A733" s="63" t="str">
        <f>'RAW DATA 2023'!B287</f>
        <v>Roiphet1</v>
      </c>
      <c r="B733" s="63" t="str">
        <f>'RAW DATA 2023'!D287</f>
        <v>B5-I09-0094</v>
      </c>
      <c r="C733" s="63" t="str">
        <f>A733&amp;B733</f>
        <v>Roiphet1B5-I09-0094</v>
      </c>
      <c r="D733" s="63">
        <f>VLOOKUP(C733,'RAW DATA 2023'!E:BP,63,0)</f>
        <v>7</v>
      </c>
      <c r="E733" s="63" t="str">
        <f>A733&amp;D733</f>
        <v>Roiphet17</v>
      </c>
      <c r="F733" s="389">
        <f>VLOOKUP(C733,'RAW DATA 2023'!E:BO,57,0)</f>
        <v>271.7881413968297</v>
      </c>
      <c r="G733" s="63">
        <f>VLOOKUP(C733,'RAW DATA 2023'!E:BO,58,0)</f>
        <v>164</v>
      </c>
      <c r="H733" s="397">
        <f>IFERROR((G733-F733)/G733,0)</f>
        <v>-0.65724476461481529</v>
      </c>
      <c r="I733" s="398">
        <f>IF(H733&lt;0,((0.25-(H733*(-1)))*$L$7),IF(H733&gt;0,(H733*$N$7)+$L$6,0))</f>
        <v>-21.719720779456818</v>
      </c>
      <c r="J733" s="73">
        <f>VLOOKUP(C733,'RAW DATA 2023'!E:AC,21,0)</f>
        <v>2.7890300000000003</v>
      </c>
      <c r="K733" s="398">
        <f>I733*J733</f>
        <v>-60.576952845528453</v>
      </c>
      <c r="R733" s="400"/>
    </row>
    <row r="734" spans="1:18">
      <c r="A734" s="63" t="str">
        <f>'RAW DATA 2023'!B288</f>
        <v>Roiphet1</v>
      </c>
      <c r="B734" s="63" t="str">
        <f>'RAW DATA 2023'!D288</f>
        <v>B5-G09-0085</v>
      </c>
      <c r="C734" s="63" t="str">
        <f>A734&amp;B734</f>
        <v>Roiphet1B5-G09-0085</v>
      </c>
      <c r="D734" s="63">
        <f>VLOOKUP(C734,'RAW DATA 2023'!E:BP,63,0)</f>
        <v>7</v>
      </c>
      <c r="E734" s="63" t="str">
        <f>A734&amp;D734</f>
        <v>Roiphet17</v>
      </c>
      <c r="F734" s="389">
        <f>VLOOKUP(C734,'RAW DATA 2023'!E:BO,57,0)</f>
        <v>218.89228007486813</v>
      </c>
      <c r="G734" s="63">
        <f>VLOOKUP(C734,'RAW DATA 2023'!E:BO,58,0)</f>
        <v>165</v>
      </c>
      <c r="H734" s="399">
        <f>IFERROR((G734-F734)/G734,0)</f>
        <v>-0.326619879241625</v>
      </c>
      <c r="I734" s="398">
        <f>IF(H734&lt;0,((0.25-(H734*(-1)))*$L$7),IF(H734&gt;0,(H734*$N$7)+$L$6,0))</f>
        <v>-4.0863935595533336</v>
      </c>
      <c r="J734" s="73">
        <f>VLOOKUP(C734,'RAW DATA 2023'!E:AC,21,0)</f>
        <v>5.8769999999999998</v>
      </c>
      <c r="K734" s="398">
        <f>I734*J734</f>
        <v>-24.015734949494941</v>
      </c>
      <c r="R734" s="400"/>
    </row>
    <row r="735" spans="1:18">
      <c r="A735" s="63" t="str">
        <f>'RAW DATA 2023'!B292</f>
        <v>Roiphet1</v>
      </c>
      <c r="B735" s="63" t="str">
        <f>'RAW DATA 2023'!D292</f>
        <v>B4-G08-0080</v>
      </c>
      <c r="C735" s="63" t="str">
        <f>A735&amp;B735</f>
        <v>Roiphet1B4-G08-0080</v>
      </c>
      <c r="D735" s="63">
        <f>VLOOKUP(C735,'RAW DATA 2023'!E:BP,63,0)</f>
        <v>7</v>
      </c>
      <c r="E735" s="63" t="str">
        <f>A735&amp;D735</f>
        <v>Roiphet17</v>
      </c>
      <c r="F735" s="389">
        <f>VLOOKUP(C735,'RAW DATA 2023'!E:BO,57,0)</f>
        <v>220.5673325530494</v>
      </c>
      <c r="G735" s="63">
        <f>VLOOKUP(C735,'RAW DATA 2023'!E:BO,58,0)</f>
        <v>182</v>
      </c>
      <c r="H735" s="399">
        <f>IFERROR((G735-F735)/G735,0)</f>
        <v>-0.21190842062115053</v>
      </c>
      <c r="I735" s="398">
        <f>IF(H735&lt;0,((0.25-(H735*(-1)))*$L$7),IF(H735&gt;0,(H735*$N$7)+$L$6,0))</f>
        <v>2.0315509002053052</v>
      </c>
      <c r="J735" s="73">
        <f>VLOOKUP(C735,'RAW DATA 2023'!E:AC,21,0)</f>
        <v>7.56135</v>
      </c>
      <c r="K735" s="398">
        <f>I735*J735</f>
        <v>15.361267399267383</v>
      </c>
      <c r="R735" s="400"/>
    </row>
    <row r="736" spans="1:18">
      <c r="A736" s="63" t="str">
        <f>'RAW DATA 2023'!B293</f>
        <v>Roiphet1</v>
      </c>
      <c r="B736" s="63" t="str">
        <f>'RAW DATA 2023'!D293</f>
        <v>B4-I07-0089</v>
      </c>
      <c r="C736" s="63" t="str">
        <f>A736&amp;B736</f>
        <v>Roiphet1B4-I07-0089</v>
      </c>
      <c r="D736" s="63">
        <f>VLOOKUP(C736,'RAW DATA 2023'!E:BP,63,0)</f>
        <v>7</v>
      </c>
      <c r="E736" s="63" t="str">
        <f>A736&amp;D736</f>
        <v>Roiphet17</v>
      </c>
      <c r="F736" s="389">
        <f>VLOOKUP(C736,'RAW DATA 2023'!E:BO,57,0)</f>
        <v>274.14645195955694</v>
      </c>
      <c r="G736" s="63">
        <f>VLOOKUP(C736,'RAW DATA 2023'!E:BO,58,0)</f>
        <v>185</v>
      </c>
      <c r="H736" s="390">
        <f>IFERROR((G736-F736)/G736,0)</f>
        <v>-0.48187271329490239</v>
      </c>
      <c r="I736" s="398">
        <f>IF(H736&lt;0,((0.25-(H736*(-1)))*$L$7),IF(H736&gt;0,(H736*$N$7)+$L$6,0))</f>
        <v>-12.366544709061461</v>
      </c>
      <c r="J736" s="73">
        <f>VLOOKUP(C736,'RAW DATA 2023'!E:AC,21,0)</f>
        <v>3.6663899999999998</v>
      </c>
      <c r="K736" s="398">
        <f>I736*J736</f>
        <v>-45.340575855855846</v>
      </c>
      <c r="R736" s="400"/>
    </row>
    <row r="737" spans="1:18">
      <c r="A737" s="63" t="str">
        <f>'RAW DATA 2023'!B295</f>
        <v>Roiphet1</v>
      </c>
      <c r="B737" s="63" t="str">
        <f>'RAW DATA 2023'!D295</f>
        <v>B4-G07-0077</v>
      </c>
      <c r="C737" s="63" t="str">
        <f>A737&amp;B737</f>
        <v>Roiphet1B4-G07-0077</v>
      </c>
      <c r="D737" s="63">
        <f>VLOOKUP(C737,'RAW DATA 2023'!E:BP,63,0)</f>
        <v>7</v>
      </c>
      <c r="E737" s="63" t="str">
        <f>A737&amp;D737</f>
        <v>Roiphet17</v>
      </c>
      <c r="F737" s="389">
        <f>VLOOKUP(C737,'RAW DATA 2023'!E:BO,57,0)</f>
        <v>237.6738544897226</v>
      </c>
      <c r="G737" s="63">
        <f>VLOOKUP(C737,'RAW DATA 2023'!E:BO,58,0)</f>
        <v>174</v>
      </c>
      <c r="H737" s="390">
        <f>IFERROR((G737-F737)/G737,0)</f>
        <v>-0.36594169246967012</v>
      </c>
      <c r="I737" s="398">
        <f>IF(H737&lt;0,((0.25-(H737*(-1)))*$L$7),IF(H737&gt;0,(H737*$N$7)+$L$6,0))</f>
        <v>-6.1835569317157404</v>
      </c>
      <c r="J737" s="73">
        <f>VLOOKUP(C737,'RAW DATA 2023'!E:AC,21,0)</f>
        <v>6.3746700000000001</v>
      </c>
      <c r="K737" s="398">
        <f>I737*J737</f>
        <v>-39.418134865900377</v>
      </c>
      <c r="R737" s="400"/>
    </row>
    <row r="738" spans="1:18">
      <c r="A738" s="63" t="str">
        <f>'RAW DATA 2023'!B300</f>
        <v>Roiphet1</v>
      </c>
      <c r="B738" s="63" t="str">
        <f>'RAW DATA 2023'!D300</f>
        <v>B5-G10-0084</v>
      </c>
      <c r="C738" s="63" t="str">
        <f>A738&amp;B738</f>
        <v>Roiphet1B5-G10-0084</v>
      </c>
      <c r="D738" s="63">
        <f>VLOOKUP(C738,'RAW DATA 2023'!E:BP,63,0)</f>
        <v>7</v>
      </c>
      <c r="E738" s="63" t="str">
        <f>A738&amp;D738</f>
        <v>Roiphet17</v>
      </c>
      <c r="F738" s="389">
        <f>VLOOKUP(C738,'RAW DATA 2023'!E:BO,57,0)</f>
        <v>425.53110743541839</v>
      </c>
      <c r="G738" s="63">
        <f>VLOOKUP(C738,'RAW DATA 2023'!E:BO,58,0)</f>
        <v>161</v>
      </c>
      <c r="H738" s="390">
        <f>IFERROR((G738-F738)/G738,0)</f>
        <v>-1.6430503567417292</v>
      </c>
      <c r="I738" s="398">
        <f>IF(H738&lt;0,((0.25-(H738*(-1)))*$L$7),IF(H738&gt;0,(H738*$N$7)+$L$6,0))</f>
        <v>-74.296019026225565</v>
      </c>
      <c r="J738" s="73">
        <f>VLOOKUP(C738,'RAW DATA 2023'!E:AC,21,0)</f>
        <v>2.7991700000000002</v>
      </c>
      <c r="K738" s="398">
        <f>I738*J738</f>
        <v>-207.96718757763983</v>
      </c>
      <c r="R738" s="400"/>
    </row>
    <row r="739" spans="1:18">
      <c r="A739" s="63" t="str">
        <f>'RAW DATA 2023'!B266</f>
        <v>Roiphet1</v>
      </c>
      <c r="B739" s="63" t="str">
        <f>'RAW DATA 2023'!D266</f>
        <v>B3-I06-0095</v>
      </c>
      <c r="C739" s="63" t="str">
        <f>A739&amp;B739</f>
        <v>Roiphet1B3-I06-0095</v>
      </c>
      <c r="D739" s="63">
        <f>VLOOKUP(C739,'RAW DATA 2023'!E:BP,63,0)</f>
        <v>8</v>
      </c>
      <c r="E739" s="63" t="str">
        <f>A739&amp;D739</f>
        <v>Roiphet18</v>
      </c>
      <c r="F739" s="389">
        <f>VLOOKUP(C739,'RAW DATA 2023'!E:BO,57,0)</f>
        <v>326.58973189676777</v>
      </c>
      <c r="G739" s="63">
        <f>VLOOKUP(C739,'RAW DATA 2023'!E:BO,58,0)</f>
        <v>175</v>
      </c>
      <c r="H739" s="397">
        <f>IFERROR((G739-F739)/G739,0)</f>
        <v>-0.8662270394101016</v>
      </c>
      <c r="I739" s="398">
        <f>IF(H739&lt;0,((0.25-(H739*(-1)))*$L$7),IF(H739&gt;0,(H739*$N$7)+$L$6,0))</f>
        <v>-32.865442101872084</v>
      </c>
      <c r="J739" s="73">
        <f>VLOOKUP(C739,'RAW DATA 2023'!E:AC,21,0)</f>
        <v>1.9955000000000001</v>
      </c>
      <c r="K739" s="398">
        <f>I739*J739</f>
        <v>-65.582989714285745</v>
      </c>
      <c r="R739" s="400"/>
    </row>
    <row r="740" spans="1:18">
      <c r="A740" s="63" t="str">
        <f>'RAW DATA 2023'!B296</f>
        <v>Roiphet1</v>
      </c>
      <c r="B740" s="63" t="str">
        <f>'RAW DATA 2023'!D296</f>
        <v>B6-I12-0087</v>
      </c>
      <c r="C740" s="63" t="str">
        <f>A740&amp;B740</f>
        <v>Roiphet1B6-I12-0087</v>
      </c>
      <c r="D740" s="63">
        <f>VLOOKUP(C740,'RAW DATA 2023'!E:BP,63,0)</f>
        <v>8</v>
      </c>
      <c r="E740" s="63" t="str">
        <f>A740&amp;D740</f>
        <v>Roiphet18</v>
      </c>
      <c r="F740" s="389">
        <f>VLOOKUP(C740,'RAW DATA 2023'!E:BO,57,0)</f>
        <v>275.71157024793393</v>
      </c>
      <c r="G740" s="63">
        <f>VLOOKUP(C740,'RAW DATA 2023'!E:BO,58,0)</f>
        <v>150</v>
      </c>
      <c r="H740" s="390">
        <f>IFERROR((G740-F740)/G740,0)</f>
        <v>-0.83807713498622627</v>
      </c>
      <c r="I740" s="398">
        <f>IF(H740&lt;0,((0.25-(H740*(-1)))*$L$7),IF(H740&gt;0,(H740*$N$7)+$L$6,0))</f>
        <v>-31.364113865932069</v>
      </c>
      <c r="J740" s="73">
        <f>VLOOKUP(C740,'RAW DATA 2023'!E:AC,21,0)</f>
        <v>2.3836999999999997</v>
      </c>
      <c r="K740" s="398">
        <f>I740*J740</f>
        <v>-74.762638222222265</v>
      </c>
      <c r="R740" s="400"/>
    </row>
    <row r="741" spans="1:18">
      <c r="A741" s="63" t="str">
        <f>'RAW DATA 2023'!B299</f>
        <v>Roiphet1</v>
      </c>
      <c r="B741" s="63" t="str">
        <f>'RAW DATA 2023'!D299</f>
        <v>B3-I05-0093</v>
      </c>
      <c r="C741" s="63" t="str">
        <f>A741&amp;B741</f>
        <v>Roiphet1B3-I05-0093</v>
      </c>
      <c r="D741" s="63">
        <f>VLOOKUP(C741,'RAW DATA 2023'!E:BP,63,0)</f>
        <v>8</v>
      </c>
      <c r="E741" s="63" t="str">
        <f>A741&amp;D741</f>
        <v>Roiphet18</v>
      </c>
      <c r="F741" s="389">
        <f>VLOOKUP(C741,'RAW DATA 2023'!E:BO,57,0)</f>
        <v>323.89707724923176</v>
      </c>
      <c r="G741" s="63">
        <f>VLOOKUP(C741,'RAW DATA 2023'!E:BO,58,0)</f>
        <v>150</v>
      </c>
      <c r="H741" s="390">
        <f>IFERROR((G741-F741)/G741,0)</f>
        <v>-1.1593138483282117</v>
      </c>
      <c r="I741" s="398">
        <f>IF(H741&lt;0,((0.25-(H741*(-1)))*$L$7),IF(H741&gt;0,(H741*$N$7)+$L$6,0))</f>
        <v>-48.49673857750463</v>
      </c>
      <c r="J741" s="73">
        <f>VLOOKUP(C741,'RAW DATA 2023'!E:AC,21,0)</f>
        <v>2.0990500000000001</v>
      </c>
      <c r="K741" s="398">
        <f>I741*J741</f>
        <v>-101.7970791111111</v>
      </c>
      <c r="R741" s="400"/>
    </row>
    <row r="742" spans="1:18">
      <c r="A742" s="63" t="str">
        <f>'RAW DATA 2023'!B301</f>
        <v>Roiphet1</v>
      </c>
      <c r="B742" s="63" t="str">
        <f>'RAW DATA 2023'!D301</f>
        <v>B6-I11-0084</v>
      </c>
      <c r="C742" s="63" t="str">
        <f>A742&amp;B742</f>
        <v>Roiphet1B6-I11-0084</v>
      </c>
      <c r="D742" s="63">
        <f>VLOOKUP(C742,'RAW DATA 2023'!E:BP,63,0)</f>
        <v>8</v>
      </c>
      <c r="E742" s="63" t="str">
        <f>A742&amp;D742</f>
        <v>Roiphet18</v>
      </c>
      <c r="F742" s="389">
        <f>VLOOKUP(C742,'RAW DATA 2023'!E:BO,57,0)</f>
        <v>333.45588540801066</v>
      </c>
      <c r="G742" s="63">
        <f>VLOOKUP(C742,'RAW DATA 2023'!E:BO,58,0)</f>
        <v>150</v>
      </c>
      <c r="H742" s="390">
        <f>IFERROR((G742-F742)/G742,0)</f>
        <v>-1.2230392360534044</v>
      </c>
      <c r="I742" s="398">
        <f>IF(H742&lt;0,((0.25-(H742*(-1)))*$L$7),IF(H742&gt;0,(H742*$N$7)+$L$6,0))</f>
        <v>-51.895425922848233</v>
      </c>
      <c r="J742" s="73">
        <f>VLOOKUP(C742,'RAW DATA 2023'!E:AC,21,0)</f>
        <v>1.92544</v>
      </c>
      <c r="K742" s="398">
        <f>I742*J742</f>
        <v>-99.921528888888901</v>
      </c>
      <c r="R742" s="400"/>
    </row>
    <row r="743" spans="1:18">
      <c r="A743" s="63" t="str">
        <f>'RAW DATA 2023'!B302</f>
        <v>Roiphet1</v>
      </c>
      <c r="B743" s="63" t="str">
        <f>'RAW DATA 2023'!D302</f>
        <v>B3-G06-0082</v>
      </c>
      <c r="C743" s="63" t="str">
        <f>A743&amp;B743</f>
        <v>Roiphet1B3-G06-0082</v>
      </c>
      <c r="D743" s="63">
        <f>VLOOKUP(C743,'RAW DATA 2023'!E:BP,63,0)</f>
        <v>8</v>
      </c>
      <c r="E743" s="63" t="str">
        <f>A743&amp;D743</f>
        <v>Roiphet18</v>
      </c>
      <c r="F743" s="389">
        <f>VLOOKUP(C743,'RAW DATA 2023'!E:BO,57,0)</f>
        <v>254.38065800114663</v>
      </c>
      <c r="G743" s="63">
        <f>VLOOKUP(C743,'RAW DATA 2023'!E:BO,58,0)</f>
        <v>150</v>
      </c>
      <c r="H743" s="397">
        <f>IFERROR((G743-F743)/G743,0)</f>
        <v>-0.69587105334097754</v>
      </c>
      <c r="I743" s="398">
        <f>IF(H743&lt;0,((0.25-(H743*(-1)))*$L$7),IF(H743&gt;0,(H743*$N$7)+$L$6,0))</f>
        <v>-23.779789511518803</v>
      </c>
      <c r="J743" s="73">
        <f>VLOOKUP(C743,'RAW DATA 2023'!E:AC,21,0)</f>
        <v>4.5875300000000001</v>
      </c>
      <c r="K743" s="398">
        <f>I743*J743</f>
        <v>-109.09049777777786</v>
      </c>
      <c r="R743" s="400"/>
    </row>
    <row r="744" spans="1:18">
      <c r="A744" s="63" t="str">
        <f>'RAW DATA 2023'!B307</f>
        <v>Roiphet1</v>
      </c>
      <c r="B744" s="63" t="str">
        <f>'RAW DATA 2023'!D307</f>
        <v>B6-G12-0088</v>
      </c>
      <c r="C744" s="63" t="str">
        <f>A744&amp;B744</f>
        <v>Roiphet1B6-G12-0088</v>
      </c>
      <c r="D744" s="63">
        <f>VLOOKUP(C744,'RAW DATA 2023'!E:BP,63,0)</f>
        <v>8</v>
      </c>
      <c r="E744" s="63" t="str">
        <f>A744&amp;D744</f>
        <v>Roiphet18</v>
      </c>
      <c r="F744" s="389">
        <f>VLOOKUP(C744,'RAW DATA 2023'!E:BO,57,0)</f>
        <v>333.16701954349509</v>
      </c>
      <c r="G744" s="63">
        <f>VLOOKUP(C744,'RAW DATA 2023'!E:BO,58,0)</f>
        <v>150</v>
      </c>
      <c r="H744" s="390">
        <f>IFERROR((G744-F744)/G744,0)</f>
        <v>-1.2211134636233005</v>
      </c>
      <c r="I744" s="398">
        <f>IF(H744&lt;0,((0.25-(H744*(-1)))*$L$7),IF(H744&gt;0,(H744*$N$7)+$L$6,0))</f>
        <v>-51.792718059909362</v>
      </c>
      <c r="J744" s="73">
        <f>VLOOKUP(C744,'RAW DATA 2023'!E:AC,21,0)</f>
        <v>3.40062</v>
      </c>
      <c r="K744" s="398">
        <f>I744*J744</f>
        <v>-176.12735288888896</v>
      </c>
      <c r="R744" s="400"/>
    </row>
    <row r="745" spans="1:18">
      <c r="A745" s="63" t="str">
        <f>'RAW DATA 2023'!B308</f>
        <v>Roiphet1</v>
      </c>
      <c r="B745" s="63" t="str">
        <f>'RAW DATA 2023'!D308</f>
        <v>B6-G11-0083</v>
      </c>
      <c r="C745" s="63" t="str">
        <f>A745&amp;B745</f>
        <v>Roiphet1B6-G11-0083</v>
      </c>
      <c r="D745" s="63">
        <f>VLOOKUP(C745,'RAW DATA 2023'!E:BP,63,0)</f>
        <v>8</v>
      </c>
      <c r="E745" s="63" t="str">
        <f>A745&amp;D745</f>
        <v>Roiphet18</v>
      </c>
      <c r="F745" s="389">
        <f>VLOOKUP(C745,'RAW DATA 2023'!E:BO,57,0)</f>
        <v>306.52031510610448</v>
      </c>
      <c r="G745" s="63">
        <f>VLOOKUP(C745,'RAW DATA 2023'!E:BO,58,0)</f>
        <v>150</v>
      </c>
      <c r="H745" s="390">
        <f>IFERROR((G745-F745)/G745,0)</f>
        <v>-1.0434687673740299</v>
      </c>
      <c r="I745" s="398">
        <f>IF(H745&lt;0,((0.25-(H745*(-1)))*$L$7),IF(H745&gt;0,(H745*$N$7)+$L$6,0))</f>
        <v>-42.318334259948266</v>
      </c>
      <c r="J745" s="73">
        <f>VLOOKUP(C745,'RAW DATA 2023'!E:AC,21,0)</f>
        <v>3.8971</v>
      </c>
      <c r="K745" s="398">
        <f>I745*J745</f>
        <v>-164.91878044444439</v>
      </c>
      <c r="R745" s="400"/>
    </row>
    <row r="746" spans="1:18">
      <c r="A746" s="63" t="str">
        <f>'RAW DATA 2023'!B311</f>
        <v>Roiphet1</v>
      </c>
      <c r="B746" s="63" t="str">
        <f>'RAW DATA 2023'!D311</f>
        <v>B3-G05-0093</v>
      </c>
      <c r="C746" s="63" t="str">
        <f>A746&amp;B746</f>
        <v>Roiphet1B3-G05-0093</v>
      </c>
      <c r="D746" s="63">
        <f>VLOOKUP(C746,'RAW DATA 2023'!E:BP,63,0)</f>
        <v>8</v>
      </c>
      <c r="E746" s="63" t="str">
        <f>A746&amp;D746</f>
        <v>Roiphet18</v>
      </c>
      <c r="F746" s="389">
        <f>VLOOKUP(C746,'RAW DATA 2023'!E:BO,57,0)</f>
        <v>440.32331167245218</v>
      </c>
      <c r="G746" s="63">
        <f>VLOOKUP(C746,'RAW DATA 2023'!E:BO,58,0)</f>
        <v>150</v>
      </c>
      <c r="H746" s="390">
        <f>IFERROR((G746-F746)/G746,0)</f>
        <v>-1.9354887444830144</v>
      </c>
      <c r="I746" s="398">
        <f>IF(H746&lt;0,((0.25-(H746*(-1)))*$L$7),IF(H746&gt;0,(H746*$N$7)+$L$6,0))</f>
        <v>-89.892733039094111</v>
      </c>
      <c r="J746" s="73">
        <f>VLOOKUP(C746,'RAW DATA 2023'!E:AC,21,0)</f>
        <v>2.4975900000000002</v>
      </c>
      <c r="K746" s="398">
        <f>I746*J746</f>
        <v>-224.51519111111108</v>
      </c>
      <c r="R746" s="400"/>
    </row>
    <row r="747" spans="1:18">
      <c r="A747" s="63" t="str">
        <f>'RAW DATA 2023'!B139</f>
        <v>Roiphet1</v>
      </c>
      <c r="B747" s="63" t="str">
        <f>'RAW DATA 2023'!D139</f>
        <v>A2-I04-0100</v>
      </c>
      <c r="C747" s="63" t="str">
        <f>A747&amp;B747</f>
        <v>Roiphet1A2-I04-0100</v>
      </c>
      <c r="D747" s="63">
        <f>VLOOKUP(C747,'RAW DATA 2023'!E:BP,63,0)</f>
        <v>9</v>
      </c>
      <c r="E747" s="63" t="str">
        <f>A747&amp;D747</f>
        <v>Roiphet19</v>
      </c>
      <c r="F747" s="389">
        <f>VLOOKUP(C747,'RAW DATA 2023'!E:BO,57,0)</f>
        <v>387.55347232888784</v>
      </c>
      <c r="G747" s="63">
        <f>VLOOKUP(C747,'RAW DATA 2023'!E:BO,58,0)</f>
        <v>191</v>
      </c>
      <c r="H747" s="390">
        <f>IFERROR((G747-F747)/G747,0)</f>
        <v>-1.0290757713554337</v>
      </c>
      <c r="I747" s="398">
        <f>IF(H747&lt;0,((0.25-(H747*(-1)))*$L$7),IF(H747&gt;0,(H747*$N$7)+$L$6,0))</f>
        <v>-41.550707805623134</v>
      </c>
      <c r="J747" s="73">
        <f>VLOOKUP(C747,'RAW DATA 2023'!E:AC,21,0)</f>
        <v>2.9948200000000003</v>
      </c>
      <c r="K747" s="398">
        <f>I747*J747</f>
        <v>-124.43689075043628</v>
      </c>
      <c r="R747" s="400"/>
    </row>
    <row r="748" spans="1:18">
      <c r="A748" s="63" t="str">
        <f>'RAW DATA 2023'!B140</f>
        <v>Roiphet1</v>
      </c>
      <c r="B748" s="63" t="str">
        <f>'RAW DATA 2023'!D140</f>
        <v>A2-G03-0083</v>
      </c>
      <c r="C748" s="63" t="str">
        <f>A748&amp;B748</f>
        <v>Roiphet1A2-G03-0083</v>
      </c>
      <c r="D748" s="63">
        <f>VLOOKUP(C748,'RAW DATA 2023'!E:BP,63,0)</f>
        <v>9</v>
      </c>
      <c r="E748" s="63" t="str">
        <f>A748&amp;D748</f>
        <v>Roiphet19</v>
      </c>
      <c r="F748" s="389">
        <f>VLOOKUP(C748,'RAW DATA 2023'!E:BO,57,0)</f>
        <v>349.91590708178262</v>
      </c>
      <c r="G748" s="63">
        <f>VLOOKUP(C748,'RAW DATA 2023'!E:BO,58,0)</f>
        <v>186</v>
      </c>
      <c r="H748" s="390">
        <f>IFERROR((G748-F748)/G748,0)</f>
        <v>-0.8812683176439926</v>
      </c>
      <c r="I748" s="398">
        <f>IF(H748&lt;0,((0.25-(H748*(-1)))*$L$7),IF(H748&gt;0,(H748*$N$7)+$L$6,0))</f>
        <v>-33.667643607679608</v>
      </c>
      <c r="J748" s="73">
        <f>VLOOKUP(C748,'RAW DATA 2023'!E:AC,21,0)</f>
        <v>5.3845200000000002</v>
      </c>
      <c r="K748" s="398">
        <f>I748*J748</f>
        <v>-181.28410035842302</v>
      </c>
      <c r="R748" s="400"/>
    </row>
    <row r="749" spans="1:18">
      <c r="A749" s="63" t="str">
        <f>'RAW DATA 2023'!B141</f>
        <v>Roiphet1</v>
      </c>
      <c r="B749" s="63" t="str">
        <f>'RAW DATA 2023'!D141</f>
        <v>A2-I03-0095</v>
      </c>
      <c r="C749" s="63" t="str">
        <f>A749&amp;B749</f>
        <v>Roiphet1A2-I03-0095</v>
      </c>
      <c r="D749" s="63">
        <f>VLOOKUP(C749,'RAW DATA 2023'!E:BP,63,0)</f>
        <v>9</v>
      </c>
      <c r="E749" s="63" t="str">
        <f>A749&amp;D749</f>
        <v>Roiphet19</v>
      </c>
      <c r="F749" s="389">
        <f>VLOOKUP(C749,'RAW DATA 2023'!E:BO,57,0)</f>
        <v>308.66846619344</v>
      </c>
      <c r="G749" s="63">
        <f>VLOOKUP(C749,'RAW DATA 2023'!E:BO,58,0)</f>
        <v>187</v>
      </c>
      <c r="H749" s="397">
        <f>IFERROR((G749-F749)/G749,0)</f>
        <v>-0.65063350905582884</v>
      </c>
      <c r="I749" s="398">
        <f>IF(H749&lt;0,((0.25-(H749*(-1)))*$L$7),IF(H749&gt;0,(H749*$N$7)+$L$6,0))</f>
        <v>-21.367120482977541</v>
      </c>
      <c r="J749" s="73">
        <f>VLOOKUP(C749,'RAW DATA 2023'!E:AC,21,0)</f>
        <v>3.4768400000000002</v>
      </c>
      <c r="K749" s="398">
        <f>I749*J749</f>
        <v>-74.290059180035641</v>
      </c>
      <c r="R749" s="400"/>
    </row>
    <row r="750" spans="1:18">
      <c r="A750" s="63" t="str">
        <f>'RAW DATA 2023'!B142</f>
        <v>Roiphet1</v>
      </c>
      <c r="B750" s="63" t="str">
        <f>'RAW DATA 2023'!D142</f>
        <v>A2-G04-0082</v>
      </c>
      <c r="C750" s="63" t="str">
        <f>A750&amp;B750</f>
        <v>Roiphet1A2-G04-0082</v>
      </c>
      <c r="D750" s="63">
        <f>VLOOKUP(C750,'RAW DATA 2023'!E:BP,63,0)</f>
        <v>9</v>
      </c>
      <c r="E750" s="63" t="str">
        <f>A750&amp;D750</f>
        <v>Roiphet19</v>
      </c>
      <c r="F750" s="389">
        <f>VLOOKUP(C750,'RAW DATA 2023'!E:BO,57,0)</f>
        <v>331.42567775846345</v>
      </c>
      <c r="G750" s="63">
        <f>VLOOKUP(C750,'RAW DATA 2023'!E:BO,58,0)</f>
        <v>189</v>
      </c>
      <c r="H750" s="397">
        <f>IFERROR((G750-F750)/G750,0)</f>
        <v>-0.75357501459504472</v>
      </c>
      <c r="I750" s="398">
        <f>IF(H750&lt;0,((0.25-(H750*(-1)))*$L$7),IF(H750&gt;0,(H750*$N$7)+$L$6,0))</f>
        <v>-26.857334111735721</v>
      </c>
      <c r="J750" s="73">
        <f>VLOOKUP(C750,'RAW DATA 2023'!E:AC,21,0)</f>
        <v>6.2935400000000001</v>
      </c>
      <c r="K750" s="398">
        <f>I750*J750</f>
        <v>-169.02770652557322</v>
      </c>
      <c r="R750" s="400"/>
    </row>
    <row r="751" spans="1:18">
      <c r="A751" s="63" t="str">
        <f>'RAW DATA 2023'!B143</f>
        <v>Roiphet1</v>
      </c>
      <c r="B751" s="63" t="str">
        <f>'RAW DATA 2023'!D143</f>
        <v>A1-I02-0095</v>
      </c>
      <c r="C751" s="63" t="str">
        <f>A751&amp;B751</f>
        <v>Roiphet1A1-I02-0095</v>
      </c>
      <c r="D751" s="63">
        <f>VLOOKUP(C751,'RAW DATA 2023'!E:BP,63,0)</f>
        <v>9</v>
      </c>
      <c r="E751" s="63" t="str">
        <f>A751&amp;D751</f>
        <v>Roiphet19</v>
      </c>
      <c r="F751" s="389">
        <f>VLOOKUP(C751,'RAW DATA 2023'!E:BO,57,0)</f>
        <v>327.04362424484503</v>
      </c>
      <c r="G751" s="63">
        <f>VLOOKUP(C751,'RAW DATA 2023'!E:BO,58,0)</f>
        <v>187</v>
      </c>
      <c r="H751" s="390">
        <f>IFERROR((G751-F751)/G751,0)</f>
        <v>-0.7488963863360697</v>
      </c>
      <c r="I751" s="398">
        <f>IF(H751&lt;0,((0.25-(H751*(-1)))*$L$7),IF(H751&gt;0,(H751*$N$7)+$L$6,0))</f>
        <v>-26.607807271257052</v>
      </c>
      <c r="J751" s="73">
        <f>VLOOKUP(C751,'RAW DATA 2023'!E:AC,21,0)</f>
        <v>3.2046399999999999</v>
      </c>
      <c r="K751" s="398">
        <f>I751*J751</f>
        <v>-85.268443493761197</v>
      </c>
      <c r="R751" s="400"/>
    </row>
    <row r="752" spans="1:18">
      <c r="A752" s="63" t="str">
        <f>'RAW DATA 2023'!B144</f>
        <v>Roiphet1</v>
      </c>
      <c r="B752" s="63" t="str">
        <f>'RAW DATA 2023'!D144</f>
        <v>A1-G02-0075</v>
      </c>
      <c r="C752" s="63" t="str">
        <f>A752&amp;B752</f>
        <v>Roiphet1A1-G02-0075</v>
      </c>
      <c r="D752" s="63">
        <f>VLOOKUP(C752,'RAW DATA 2023'!E:BP,63,0)</f>
        <v>9</v>
      </c>
      <c r="E752" s="63" t="str">
        <f>A752&amp;D752</f>
        <v>Roiphet19</v>
      </c>
      <c r="F752" s="389">
        <f>VLOOKUP(C752,'RAW DATA 2023'!E:BO,57,0)</f>
        <v>267.26622229572808</v>
      </c>
      <c r="G752" s="63">
        <f>VLOOKUP(C752,'RAW DATA 2023'!E:BO,58,0)</f>
        <v>177</v>
      </c>
      <c r="H752" s="390">
        <f>IFERROR((G752-F752)/G752,0)</f>
        <v>-0.50997865703801182</v>
      </c>
      <c r="I752" s="398">
        <f>IF(H752&lt;0,((0.25-(H752*(-1)))*$L$7),IF(H752&gt;0,(H752*$N$7)+$L$6,0))</f>
        <v>-13.865528375360631</v>
      </c>
      <c r="J752" s="73">
        <f>VLOOKUP(C752,'RAW DATA 2023'!E:AC,21,0)</f>
        <v>7.1951899999999993</v>
      </c>
      <c r="K752" s="398">
        <f>I752*J752</f>
        <v>-99.765111111111054</v>
      </c>
      <c r="R752" s="400"/>
    </row>
    <row r="753" spans="1:18">
      <c r="A753" s="63" t="str">
        <f>'RAW DATA 2023'!B145</f>
        <v>Roiphet1</v>
      </c>
      <c r="B753" s="63" t="str">
        <f>'RAW DATA 2023'!D145</f>
        <v>A1-I01-0089</v>
      </c>
      <c r="C753" s="63" t="str">
        <f>A753&amp;B753</f>
        <v>Roiphet1A1-I01-0089</v>
      </c>
      <c r="D753" s="63">
        <f>VLOOKUP(C753,'RAW DATA 2023'!E:BP,63,0)</f>
        <v>9</v>
      </c>
      <c r="E753" s="63" t="str">
        <f>A753&amp;D753</f>
        <v>Roiphet19</v>
      </c>
      <c r="F753" s="389">
        <f>VLOOKUP(C753,'RAW DATA 2023'!E:BO,57,0)</f>
        <v>289.65819169577026</v>
      </c>
      <c r="G753" s="63">
        <f>VLOOKUP(C753,'RAW DATA 2023'!E:BO,58,0)</f>
        <v>183</v>
      </c>
      <c r="H753" s="390">
        <f>IFERROR((G753-F753)/G753,0)</f>
        <v>-0.58283164861076642</v>
      </c>
      <c r="I753" s="398">
        <f>IF(H753&lt;0,((0.25-(H753*(-1)))*$L$7),IF(H753&gt;0,(H753*$N$7)+$L$6,0))</f>
        <v>-17.751021259240876</v>
      </c>
      <c r="J753" s="73">
        <f>VLOOKUP(C753,'RAW DATA 2023'!E:AC,21,0)</f>
        <v>3.2212499999999999</v>
      </c>
      <c r="K753" s="398">
        <f>I753*J753</f>
        <v>-57.180477231329668</v>
      </c>
      <c r="R753" s="400"/>
    </row>
    <row r="754" spans="1:18">
      <c r="A754" s="63" t="str">
        <f>'RAW DATA 2023'!B157</f>
        <v>Roiphet1</v>
      </c>
      <c r="B754" s="63" t="str">
        <f>'RAW DATA 2023'!D157</f>
        <v>A4-G08-0070</v>
      </c>
      <c r="C754" s="63" t="str">
        <f>A754&amp;B754</f>
        <v>Roiphet1A4-G08-0070</v>
      </c>
      <c r="D754" s="63">
        <f>VLOOKUP(C754,'RAW DATA 2023'!E:BP,63,0)</f>
        <v>9</v>
      </c>
      <c r="E754" s="63" t="str">
        <f>A754&amp;D754</f>
        <v>Roiphet19</v>
      </c>
      <c r="F754" s="389">
        <f>VLOOKUP(C754,'RAW DATA 2023'!E:BO,57,0)</f>
        <v>299.06246973781356</v>
      </c>
      <c r="G754" s="63">
        <f>VLOOKUP(C754,'RAW DATA 2023'!E:BO,58,0)</f>
        <v>183</v>
      </c>
      <c r="H754" s="397">
        <f>IFERROR((G754-F754)/G754,0)</f>
        <v>-0.63422114610827085</v>
      </c>
      <c r="I754" s="398">
        <f>IF(H754&lt;0,((0.25-(H754*(-1)))*$L$7),IF(H754&gt;0,(H754*$N$7)+$L$6,0))</f>
        <v>-20.49179445910778</v>
      </c>
      <c r="J754" s="73">
        <f>VLOOKUP(C754,'RAW DATA 2023'!E:AC,21,0)</f>
        <v>5.8241000000000005</v>
      </c>
      <c r="K754" s="398">
        <f>I754*J754</f>
        <v>-119.34626010928963</v>
      </c>
      <c r="R754" s="400"/>
    </row>
    <row r="755" spans="1:18">
      <c r="A755" s="63" t="str">
        <f>'RAW DATA 2023'!B165</f>
        <v>Roiphet1</v>
      </c>
      <c r="B755" s="63" t="str">
        <f>'RAW DATA 2023'!D165</f>
        <v>A1-G01-0064</v>
      </c>
      <c r="C755" s="63" t="str">
        <f>A755&amp;B755</f>
        <v>Roiphet1A1-G01-0064</v>
      </c>
      <c r="D755" s="63">
        <f>VLOOKUP(C755,'RAW DATA 2023'!E:BP,63,0)</f>
        <v>9</v>
      </c>
      <c r="E755" s="63" t="str">
        <f>A755&amp;D755</f>
        <v>Roiphet19</v>
      </c>
      <c r="F755" s="389">
        <f>VLOOKUP(C755,'RAW DATA 2023'!E:BO,57,0)</f>
        <v>321.04997086331144</v>
      </c>
      <c r="G755" s="63">
        <f>VLOOKUP(C755,'RAW DATA 2023'!E:BO,58,0)</f>
        <v>177</v>
      </c>
      <c r="H755" s="390">
        <f>IFERROR((G755-F755)/G755,0)</f>
        <v>-0.81384164329554487</v>
      </c>
      <c r="I755" s="398">
        <f>IF(H755&lt;0,((0.25-(H755*(-1)))*$L$7),IF(H755&gt;0,(H755*$N$7)+$L$6,0))</f>
        <v>-30.071554309095728</v>
      </c>
      <c r="J755" s="73">
        <f>VLOOKUP(C755,'RAW DATA 2023'!E:AC,21,0)</f>
        <v>5.19963</v>
      </c>
      <c r="K755" s="398">
        <f>I755*J755</f>
        <v>-156.36095593220341</v>
      </c>
      <c r="R755" s="400"/>
    </row>
    <row r="756" spans="1:18">
      <c r="A756" s="63" t="str">
        <f>'RAW DATA 2023'!B166</f>
        <v>Roiphet1</v>
      </c>
      <c r="B756" s="63" t="str">
        <f>'RAW DATA 2023'!D166</f>
        <v>A4-I08-0100</v>
      </c>
      <c r="C756" s="63" t="str">
        <f>A756&amp;B756</f>
        <v>Roiphet1A4-I08-0100</v>
      </c>
      <c r="D756" s="63">
        <f>VLOOKUP(C756,'RAW DATA 2023'!E:BP,63,0)</f>
        <v>9</v>
      </c>
      <c r="E756" s="63" t="str">
        <f>A756&amp;D756</f>
        <v>Roiphet19</v>
      </c>
      <c r="F756" s="389">
        <f>VLOOKUP(C756,'RAW DATA 2023'!E:BO,57,0)</f>
        <v>361.77926506278169</v>
      </c>
      <c r="G756" s="63">
        <f>VLOOKUP(C756,'RAW DATA 2023'!E:BO,58,0)</f>
        <v>180</v>
      </c>
      <c r="H756" s="397">
        <f>IFERROR((G756-F756)/G756,0)</f>
        <v>-1.0098848059043428</v>
      </c>
      <c r="I756" s="398">
        <f>IF(H756&lt;0,((0.25-(H756*(-1)))*$L$7),IF(H756&gt;0,(H756*$N$7)+$L$6,0))</f>
        <v>-40.527189648231619</v>
      </c>
      <c r="J756" s="73">
        <f>VLOOKUP(C756,'RAW DATA 2023'!E:AC,21,0)</f>
        <v>2.79779</v>
      </c>
      <c r="K756" s="398">
        <f>I756*J756</f>
        <v>-113.38656592592594</v>
      </c>
      <c r="R756" s="400"/>
    </row>
    <row r="757" spans="1:18">
      <c r="A757" s="63" t="str">
        <f>'RAW DATA 2023'!B210</f>
        <v>Roiphet1</v>
      </c>
      <c r="B757" s="63" t="str">
        <f>'RAW DATA 2023'!D210</f>
        <v>D2-I03-0086</v>
      </c>
      <c r="C757" s="63" t="str">
        <f>A757&amp;B757</f>
        <v>Roiphet1D2-I03-0086</v>
      </c>
      <c r="D757" s="63">
        <f>VLOOKUP(C757,'RAW DATA 2023'!E:BP,63,0)</f>
        <v>9</v>
      </c>
      <c r="E757" s="63" t="str">
        <f>A757&amp;D757</f>
        <v>Roiphet19</v>
      </c>
      <c r="F757" s="389">
        <f>VLOOKUP(C757,'RAW DATA 2023'!E:BO,57,0)</f>
        <v>216.16544190936057</v>
      </c>
      <c r="G757" s="63">
        <f>VLOOKUP(C757,'RAW DATA 2023'!E:BO,58,0)</f>
        <v>187</v>
      </c>
      <c r="H757" s="397">
        <f>IFERROR((G757-F757)/G757,0)</f>
        <v>-0.15596492999658057</v>
      </c>
      <c r="I757" s="398">
        <f>IF(H757&lt;0,((0.25-(H757*(-1)))*$L$7),IF(H757&gt;0,(H757*$N$7)+$L$6,0))</f>
        <v>5.0152037335157029</v>
      </c>
      <c r="J757" s="73">
        <f>VLOOKUP(C757,'RAW DATA 2023'!E:AC,21,0)</f>
        <v>5.8691899999999997</v>
      </c>
      <c r="K757" s="398">
        <f>I757*J757</f>
        <v>29.435183600713028</v>
      </c>
      <c r="R757" s="400"/>
    </row>
    <row r="758" spans="1:18">
      <c r="A758" s="63" t="str">
        <f>'RAW DATA 2023'!B211</f>
        <v>Roiphet1</v>
      </c>
      <c r="B758" s="63" t="str">
        <f>'RAW DATA 2023'!D211</f>
        <v>D2-G03-0081</v>
      </c>
      <c r="C758" s="63" t="str">
        <f>A758&amp;B758</f>
        <v>Roiphet1D2-G03-0081</v>
      </c>
      <c r="D758" s="63">
        <f>VLOOKUP(C758,'RAW DATA 2023'!E:BP,63,0)</f>
        <v>9</v>
      </c>
      <c r="E758" s="63" t="str">
        <f>A758&amp;D758</f>
        <v>Roiphet19</v>
      </c>
      <c r="F758" s="389">
        <f>VLOOKUP(C758,'RAW DATA 2023'!E:BO,57,0)</f>
        <v>186.17457188177787</v>
      </c>
      <c r="G758" s="63">
        <f>VLOOKUP(C758,'RAW DATA 2023'!E:BO,58,0)</f>
        <v>189</v>
      </c>
      <c r="H758" s="397">
        <f>IFERROR((G758-F758)/G758,0)</f>
        <v>1.4949355122868439E-2</v>
      </c>
      <c r="I758" s="398">
        <f>IF(H758&lt;0,((0.25-(H758*(-1)))*$L$7),IF(H758&gt;0,(H758*$N$7)+$L$6,0))</f>
        <v>14.13063227321965</v>
      </c>
      <c r="J758" s="73">
        <f>VLOOKUP(C758,'RAW DATA 2023'!E:AC,21,0)</f>
        <v>12.356399999999999</v>
      </c>
      <c r="K758" s="398">
        <f>I758*J758</f>
        <v>174.60374462081126</v>
      </c>
      <c r="R758" s="400"/>
    </row>
    <row r="759" spans="1:18">
      <c r="A759" s="63" t="str">
        <f>'RAW DATA 2023'!B219</f>
        <v>Roiphet1</v>
      </c>
      <c r="B759" s="63" t="str">
        <f>'RAW DATA 2023'!D219</f>
        <v>D2-G04-0080</v>
      </c>
      <c r="C759" s="63" t="str">
        <f>A759&amp;B759</f>
        <v>Roiphet1D2-G04-0080</v>
      </c>
      <c r="D759" s="63">
        <f>VLOOKUP(C759,'RAW DATA 2023'!E:BP,63,0)</f>
        <v>9</v>
      </c>
      <c r="E759" s="63" t="str">
        <f>A759&amp;D759</f>
        <v>Roiphet19</v>
      </c>
      <c r="F759" s="389">
        <f>VLOOKUP(C759,'RAW DATA 2023'!E:BO,57,0)</f>
        <v>184.75835186872723</v>
      </c>
      <c r="G759" s="63">
        <f>VLOOKUP(C759,'RAW DATA 2023'!E:BO,58,0)</f>
        <v>189</v>
      </c>
      <c r="H759" s="397">
        <f>IFERROR((G759-F759)/G759,0)</f>
        <v>2.2442582705146923E-2</v>
      </c>
      <c r="I759" s="398">
        <f>IF(H759&lt;0,((0.25-(H759*(-1)))*$L$7),IF(H759&gt;0,(H759*$N$7)+$L$6,0))</f>
        <v>14.530271077607836</v>
      </c>
      <c r="J759" s="73">
        <f>VLOOKUP(C759,'RAW DATA 2023'!E:AC,21,0)</f>
        <v>12.795339999999999</v>
      </c>
      <c r="K759" s="398">
        <f>I759*J759</f>
        <v>185.91975873015863</v>
      </c>
      <c r="R759" s="400"/>
    </row>
    <row r="760" spans="1:18">
      <c r="A760" s="63" t="str">
        <f>'RAW DATA 2023'!B225</f>
        <v>Roiphet1</v>
      </c>
      <c r="B760" s="63" t="str">
        <f>'RAW DATA 2023'!D225</f>
        <v>D2-I04-0092</v>
      </c>
      <c r="C760" s="63" t="str">
        <f>A760&amp;B760</f>
        <v>Roiphet1D2-I04-0092</v>
      </c>
      <c r="D760" s="63">
        <f>VLOOKUP(C760,'RAW DATA 2023'!E:BP,63,0)</f>
        <v>9</v>
      </c>
      <c r="E760" s="63" t="str">
        <f>A760&amp;D760</f>
        <v>Roiphet19</v>
      </c>
      <c r="F760" s="389">
        <f>VLOOKUP(C760,'RAW DATA 2023'!E:BO,57,0)</f>
        <v>261.14099810622355</v>
      </c>
      <c r="G760" s="63">
        <f>VLOOKUP(C760,'RAW DATA 2023'!E:BO,58,0)</f>
        <v>200</v>
      </c>
      <c r="H760" s="397">
        <f>IFERROR((G760-F760)/G760,0)</f>
        <v>-0.30570499053111777</v>
      </c>
      <c r="I760" s="398">
        <f>IF(H760&lt;0,((0.25-(H760*(-1)))*$L$7),IF(H760&gt;0,(H760*$N$7)+$L$6,0))</f>
        <v>-2.9709328283262812</v>
      </c>
      <c r="J760" s="73">
        <f>VLOOKUP(C760,'RAW DATA 2023'!E:AC,21,0)</f>
        <v>4.6467999999999998</v>
      </c>
      <c r="K760" s="398">
        <f>I760*J760</f>
        <v>-13.805330666666563</v>
      </c>
      <c r="R760" s="400"/>
    </row>
    <row r="761" spans="1:18">
      <c r="A761" s="63" t="str">
        <f>'RAW DATA 2023'!B230</f>
        <v>Roiphet1</v>
      </c>
      <c r="B761" s="63" t="str">
        <f>'RAW DATA 2023'!D230</f>
        <v>C1-I01-0080</v>
      </c>
      <c r="C761" s="63" t="str">
        <f>A761&amp;B761</f>
        <v>Roiphet1C1-I01-0080</v>
      </c>
      <c r="D761" s="63">
        <f>VLOOKUP(C761,'RAW DATA 2023'!E:BP,63,0)</f>
        <v>9</v>
      </c>
      <c r="E761" s="63" t="str">
        <f>A761&amp;D761</f>
        <v>Roiphet19</v>
      </c>
      <c r="F761" s="389">
        <f>VLOOKUP(C761,'RAW DATA 2023'!E:BO,57,0)</f>
        <v>307.24510717614169</v>
      </c>
      <c r="G761" s="63">
        <f>VLOOKUP(C761,'RAW DATA 2023'!E:BO,58,0)</f>
        <v>192</v>
      </c>
      <c r="H761" s="397">
        <f>IFERROR((G761-F761)/G761,0)</f>
        <v>-0.60023493320907129</v>
      </c>
      <c r="I761" s="398">
        <f>IF(H761&lt;0,((0.25-(H761*(-1)))*$L$7),IF(H761&gt;0,(H761*$N$7)+$L$6,0))</f>
        <v>-18.679196437817136</v>
      </c>
      <c r="J761" s="73">
        <f>VLOOKUP(C761,'RAW DATA 2023'!E:AC,21,0)</f>
        <v>3.4765199999999998</v>
      </c>
      <c r="K761" s="398">
        <f>I761*J761</f>
        <v>-64.938600000000022</v>
      </c>
      <c r="R761" s="400"/>
    </row>
    <row r="762" spans="1:18">
      <c r="A762" s="63" t="str">
        <f>'RAW DATA 2023'!B231</f>
        <v>Roiphet1</v>
      </c>
      <c r="B762" s="63" t="str">
        <f>'RAW DATA 2023'!D231</f>
        <v>C1-G01-0073</v>
      </c>
      <c r="C762" s="63" t="str">
        <f>A762&amp;B762</f>
        <v>Roiphet1C1-G01-0073</v>
      </c>
      <c r="D762" s="63">
        <f>VLOOKUP(C762,'RAW DATA 2023'!E:BP,63,0)</f>
        <v>9</v>
      </c>
      <c r="E762" s="63" t="str">
        <f>A762&amp;D762</f>
        <v>Roiphet19</v>
      </c>
      <c r="F762" s="389">
        <f>VLOOKUP(C762,'RAW DATA 2023'!E:BO,57,0)</f>
        <v>306.43421061727878</v>
      </c>
      <c r="G762" s="63">
        <f>VLOOKUP(C762,'RAW DATA 2023'!E:BO,58,0)</f>
        <v>189</v>
      </c>
      <c r="H762" s="397">
        <f>IFERROR((G762-F762)/G762,0)</f>
        <v>-0.62134502972105177</v>
      </c>
      <c r="I762" s="398">
        <f>IF(H762&lt;0,((0.25-(H762*(-1)))*$L$7),IF(H762&gt;0,(H762*$N$7)+$L$6,0))</f>
        <v>-19.805068251789429</v>
      </c>
      <c r="J762" s="73">
        <f>VLOOKUP(C762,'RAW DATA 2023'!E:AC,21,0)</f>
        <v>5.7860399999999998</v>
      </c>
      <c r="K762" s="398">
        <f>I762*J762</f>
        <v>-114.5929171075837</v>
      </c>
      <c r="R762" s="400"/>
    </row>
    <row r="763" spans="1:18">
      <c r="A763" s="63" t="str">
        <f>'RAW DATA 2023'!B244</f>
        <v>Roiphet1</v>
      </c>
      <c r="B763" s="63" t="str">
        <f>'RAW DATA 2023'!D244</f>
        <v>C1-I02-0072</v>
      </c>
      <c r="C763" s="63" t="str">
        <f>A763&amp;B763</f>
        <v>Roiphet1C1-I02-0072</v>
      </c>
      <c r="D763" s="63">
        <f>VLOOKUP(C763,'RAW DATA 2023'!E:BP,63,0)</f>
        <v>9</v>
      </c>
      <c r="E763" s="63" t="str">
        <f>A763&amp;D763</f>
        <v>Roiphet19</v>
      </c>
      <c r="F763" s="389">
        <f>VLOOKUP(C763,'RAW DATA 2023'!E:BO,57,0)</f>
        <v>286.29070545726807</v>
      </c>
      <c r="G763" s="63">
        <f>VLOOKUP(C763,'RAW DATA 2023'!E:BO,58,0)</f>
        <v>187</v>
      </c>
      <c r="H763" s="390">
        <f>IFERROR((G763-F763)/G763,0)</f>
        <v>-0.53096633934367954</v>
      </c>
      <c r="I763" s="398">
        <f>IF(H763&lt;0,((0.25-(H763*(-1)))*$L$7),IF(H763&gt;0,(H763*$N$7)+$L$6,0))</f>
        <v>-14.98487143166291</v>
      </c>
      <c r="J763" s="73">
        <f>VLOOKUP(C763,'RAW DATA 2023'!E:AC,21,0)</f>
        <v>3.5259399999999999</v>
      </c>
      <c r="K763" s="398">
        <f>I763*J763</f>
        <v>-52.835757575757519</v>
      </c>
      <c r="R763" s="400"/>
    </row>
    <row r="764" spans="1:18">
      <c r="A764" s="63" t="str">
        <f>'RAW DATA 2023'!B246</f>
        <v>Roiphet1</v>
      </c>
      <c r="B764" s="63" t="str">
        <f>'RAW DATA 2023'!D246</f>
        <v>C3-G05-0075</v>
      </c>
      <c r="C764" s="63" t="str">
        <f>A764&amp;B764</f>
        <v>Roiphet1C3-G05-0075</v>
      </c>
      <c r="D764" s="63">
        <f>VLOOKUP(C764,'RAW DATA 2023'!E:BP,63,0)</f>
        <v>9</v>
      </c>
      <c r="E764" s="63" t="str">
        <f>A764&amp;D764</f>
        <v>Roiphet19</v>
      </c>
      <c r="F764" s="389">
        <f>VLOOKUP(C764,'RAW DATA 2023'!E:BO,57,0)</f>
        <v>320.22700068570214</v>
      </c>
      <c r="G764" s="63">
        <f>VLOOKUP(C764,'RAW DATA 2023'!E:BO,58,0)</f>
        <v>150</v>
      </c>
      <c r="H764" s="390">
        <f>IFERROR((G764-F764)/G764,0)</f>
        <v>-1.1348466712380143</v>
      </c>
      <c r="I764" s="398">
        <f>IF(H764&lt;0,((0.25-(H764*(-1)))*$L$7),IF(H764&gt;0,(H764*$N$7)+$L$6,0))</f>
        <v>-47.191822466027432</v>
      </c>
      <c r="J764" s="73">
        <f>VLOOKUP(C764,'RAW DATA 2023'!E:AC,21,0)</f>
        <v>4.5063300000000002</v>
      </c>
      <c r="K764" s="398">
        <f>I764*J764</f>
        <v>-212.66192533333341</v>
      </c>
      <c r="R764" s="400"/>
    </row>
    <row r="765" spans="1:18">
      <c r="A765" s="63" t="str">
        <f>'RAW DATA 2023'!B249</f>
        <v>Roiphet1</v>
      </c>
      <c r="B765" s="63" t="str">
        <f>'RAW DATA 2023'!D249</f>
        <v>C3-G06-0079</v>
      </c>
      <c r="C765" s="63" t="str">
        <f>A765&amp;B765</f>
        <v>Roiphet1C3-G06-0079</v>
      </c>
      <c r="D765" s="63">
        <f>VLOOKUP(C765,'RAW DATA 2023'!E:BP,63,0)</f>
        <v>9</v>
      </c>
      <c r="E765" s="63" t="str">
        <f>A765&amp;D765</f>
        <v>Roiphet19</v>
      </c>
      <c r="F765" s="389">
        <f>VLOOKUP(C765,'RAW DATA 2023'!E:BO,57,0)</f>
        <v>364.40966213482437</v>
      </c>
      <c r="G765" s="63">
        <f>VLOOKUP(C765,'RAW DATA 2023'!E:BO,58,0)</f>
        <v>150</v>
      </c>
      <c r="H765" s="390">
        <f>IFERROR((G765-F765)/G765,0)</f>
        <v>-1.4293977475654958</v>
      </c>
      <c r="I765" s="398">
        <f>IF(H765&lt;0,((0.25-(H765*(-1)))*$L$7),IF(H765&gt;0,(H765*$N$7)+$L$6,0))</f>
        <v>-62.901213203493107</v>
      </c>
      <c r="J765" s="73">
        <f>VLOOKUP(C765,'RAW DATA 2023'!E:AC,21,0)</f>
        <v>4.1028199999999995</v>
      </c>
      <c r="K765" s="398">
        <f>I765*J765</f>
        <v>-258.07235555555553</v>
      </c>
      <c r="R765" s="400"/>
    </row>
    <row r="766" spans="1:18">
      <c r="A766" s="63" t="str">
        <f>'RAW DATA 2023'!B253</f>
        <v>Roiphet1</v>
      </c>
      <c r="B766" s="63" t="str">
        <f>'RAW DATA 2023'!D253</f>
        <v>C1-G02-0074</v>
      </c>
      <c r="C766" s="63" t="str">
        <f>A766&amp;B766</f>
        <v>Roiphet1C1-G02-0074</v>
      </c>
      <c r="D766" s="63">
        <f>VLOOKUP(C766,'RAW DATA 2023'!E:BP,63,0)</f>
        <v>9</v>
      </c>
      <c r="E766" s="63" t="str">
        <f>A766&amp;D766</f>
        <v>Roiphet19</v>
      </c>
      <c r="F766" s="389">
        <f>VLOOKUP(C766,'RAW DATA 2023'!E:BO,57,0)</f>
        <v>258.03818969070926</v>
      </c>
      <c r="G766" s="63">
        <f>VLOOKUP(C766,'RAW DATA 2023'!E:BO,58,0)</f>
        <v>180</v>
      </c>
      <c r="H766" s="390">
        <f>IFERROR((G766-F766)/G766,0)</f>
        <v>-0.43354549828171812</v>
      </c>
      <c r="I766" s="398">
        <f>IF(H766&lt;0,((0.25-(H766*(-1)))*$L$7),IF(H766&gt;0,(H766*$N$7)+$L$6,0))</f>
        <v>-9.7890932416916332</v>
      </c>
      <c r="J766" s="73">
        <f>VLOOKUP(C766,'RAW DATA 2023'!E:AC,21,0)</f>
        <v>6.64682</v>
      </c>
      <c r="K766" s="398">
        <f>I766*J766</f>
        <v>-65.066340740740785</v>
      </c>
      <c r="R766" s="400"/>
    </row>
    <row r="767" spans="1:18">
      <c r="A767" s="63" t="str">
        <f>'RAW DATA 2023'!B390</f>
        <v>Roiphet2</v>
      </c>
      <c r="B767" s="63" t="str">
        <f>'RAW DATA 2023'!D390</f>
        <v>B1-014-0046</v>
      </c>
      <c r="C767" s="63" t="str">
        <f>A767&amp;B767</f>
        <v>Roiphet2B1-014-0046</v>
      </c>
      <c r="D767" s="63">
        <f>VLOOKUP(C767,'RAW DATA 2023'!E:BP,63,0)</f>
        <v>10</v>
      </c>
      <c r="E767" s="63" t="str">
        <f>A767&amp;D767</f>
        <v>Roiphet210</v>
      </c>
      <c r="F767" s="389">
        <f>VLOOKUP(C767,'RAW DATA 2023'!E:BO,57,0)</f>
        <v>439.35328947258546</v>
      </c>
      <c r="G767" s="63">
        <f>VLOOKUP(C767,'RAW DATA 2023'!E:BO,58,0)</f>
        <v>156</v>
      </c>
      <c r="H767" s="390">
        <f>IFERROR((G767-F767)/G767,0)</f>
        <v>-1.8163672402088811</v>
      </c>
      <c r="I767" s="398">
        <f>IF(H767&lt;0,((0.25-(H767*(-1)))*$L$7),IF(H767&gt;0,(H767*$N$7)+$L$6,0))</f>
        <v>-83.53958614447366</v>
      </c>
      <c r="J767" s="73">
        <f>VLOOKUP(C767,'RAW DATA 2023'!E:AC,21,0)</f>
        <v>17.961389999999998</v>
      </c>
      <c r="K767" s="398">
        <f>I767*J767</f>
        <v>-1500.4870871794876</v>
      </c>
      <c r="R767" s="400"/>
    </row>
    <row r="768" spans="1:18">
      <c r="A768" s="63" t="str">
        <f>'RAW DATA 2023'!B385</f>
        <v>Roiphet2</v>
      </c>
      <c r="B768" s="63" t="str">
        <f>'RAW DATA 2023'!D385</f>
        <v>B1-009-0042</v>
      </c>
      <c r="C768" s="63" t="str">
        <f>A768&amp;B768</f>
        <v>Roiphet2B1-009-0042</v>
      </c>
      <c r="D768" s="63">
        <f>VLOOKUP(C768,'RAW DATA 2023'!E:BP,63,0)</f>
        <v>3</v>
      </c>
      <c r="E768" s="63" t="str">
        <f>A768&amp;D768</f>
        <v>Roiphet23</v>
      </c>
      <c r="F768" s="389">
        <f>VLOOKUP(C768,'RAW DATA 2023'!E:BO,57,0)</f>
        <v>255.38326862046353</v>
      </c>
      <c r="G768" s="63">
        <f>VLOOKUP(C768,'RAW DATA 2023'!E:BO,58,0)</f>
        <v>197</v>
      </c>
      <c r="H768" s="397">
        <f>IFERROR((G768-F768)/G768,0)</f>
        <v>-0.29636176964702299</v>
      </c>
      <c r="I768" s="398">
        <f>IF(H768&lt;0,((0.25-(H768*(-1)))*$L$7),IF(H768&gt;0,(H768*$N$7)+$L$6,0))</f>
        <v>-2.472627714507893</v>
      </c>
      <c r="J768" s="73">
        <f>VLOOKUP(C768,'RAW DATA 2023'!E:AC,21,0)</f>
        <v>18.048959999999997</v>
      </c>
      <c r="K768" s="398">
        <f>I768*J768</f>
        <v>-44.628358714044374</v>
      </c>
      <c r="R768" s="400"/>
    </row>
    <row r="769" spans="1:18">
      <c r="A769" s="63" t="str">
        <f>'RAW DATA 2023'!B388</f>
        <v>Roiphet2</v>
      </c>
      <c r="B769" s="63" t="str">
        <f>'RAW DATA 2023'!D388</f>
        <v>B1-013-0035</v>
      </c>
      <c r="C769" s="63" t="str">
        <f>A769&amp;B769</f>
        <v>Roiphet2B1-013-0035</v>
      </c>
      <c r="D769" s="63">
        <f>VLOOKUP(C769,'RAW DATA 2023'!E:BP,63,0)</f>
        <v>3</v>
      </c>
      <c r="E769" s="63" t="str">
        <f>A769&amp;D769</f>
        <v>Roiphet23</v>
      </c>
      <c r="F769" s="389">
        <f>VLOOKUP(C769,'RAW DATA 2023'!E:BO,57,0)</f>
        <v>248.10438201039292</v>
      </c>
      <c r="G769" s="63">
        <f>VLOOKUP(C769,'RAW DATA 2023'!E:BO,58,0)</f>
        <v>167</v>
      </c>
      <c r="H769" s="390">
        <f>IFERROR((G769-F769)/G769,0)</f>
        <v>-0.48565498209816121</v>
      </c>
      <c r="I769" s="398">
        <f>IF(H769&lt;0,((0.25-(H769*(-1)))*$L$7),IF(H769&gt;0,(H769*$N$7)+$L$6,0))</f>
        <v>-12.568265711901931</v>
      </c>
      <c r="J769" s="73">
        <f>VLOOKUP(C769,'RAW DATA 2023'!E:AC,21,0)</f>
        <v>12.92991</v>
      </c>
      <c r="K769" s="398">
        <f>I769*J769</f>
        <v>-162.5065445109779</v>
      </c>
      <c r="R769" s="400"/>
    </row>
    <row r="770" spans="1:18">
      <c r="A770" s="63" t="str">
        <f>'RAW DATA 2023'!B380</f>
        <v>Roiphet2</v>
      </c>
      <c r="B770" s="63" t="str">
        <f>'RAW DATA 2023'!D380</f>
        <v>A1-007-0050</v>
      </c>
      <c r="C770" s="63" t="str">
        <f>A770&amp;B770</f>
        <v>Roiphet2A1-007-0050</v>
      </c>
      <c r="D770" s="63">
        <f>VLOOKUP(C770,'RAW DATA 2023'!E:BP,63,0)</f>
        <v>4</v>
      </c>
      <c r="E770" s="63" t="str">
        <f>A770&amp;D770</f>
        <v>Roiphet24</v>
      </c>
      <c r="F770" s="389">
        <f>VLOOKUP(C770,'RAW DATA 2023'!E:BO,57,0)</f>
        <v>202.47943993757949</v>
      </c>
      <c r="G770" s="63">
        <f>VLOOKUP(C770,'RAW DATA 2023'!E:BO,58,0)</f>
        <v>183</v>
      </c>
      <c r="H770" s="397">
        <f>IFERROR((G770-F770)/G770,0)</f>
        <v>-0.10644502698130866</v>
      </c>
      <c r="I770" s="398">
        <f>IF(H770&lt;0,((0.25-(H770*(-1)))*$L$7),IF(H770&gt;0,(H770*$N$7)+$L$6,0))</f>
        <v>7.656265227663539</v>
      </c>
      <c r="J770" s="73">
        <f>VLOOKUP(C770,'RAW DATA 2023'!E:AC,21,0)</f>
        <v>22.53106</v>
      </c>
      <c r="K770" s="398">
        <f>I770*J770</f>
        <v>172.50377122040086</v>
      </c>
      <c r="R770" s="400"/>
    </row>
    <row r="771" spans="1:18">
      <c r="A771" s="63" t="str">
        <f>'RAW DATA 2023'!B381</f>
        <v>Roiphet2</v>
      </c>
      <c r="B771" s="63" t="str">
        <f>'RAW DATA 2023'!D381</f>
        <v>A1-006-0045</v>
      </c>
      <c r="C771" s="63" t="str">
        <f>A771&amp;B771</f>
        <v>Roiphet2A1-006-0045</v>
      </c>
      <c r="D771" s="63">
        <f>VLOOKUP(C771,'RAW DATA 2023'!E:BP,63,0)</f>
        <v>5</v>
      </c>
      <c r="E771" s="63" t="str">
        <f>A771&amp;D771</f>
        <v>Roiphet25</v>
      </c>
      <c r="F771" s="389">
        <f>VLOOKUP(C771,'RAW DATA 2023'!E:BO,57,0)</f>
        <v>213.10458855173988</v>
      </c>
      <c r="G771" s="63">
        <f>VLOOKUP(C771,'RAW DATA 2023'!E:BO,58,0)</f>
        <v>192</v>
      </c>
      <c r="H771" s="390">
        <f>IFERROR((G771-F771)/G771,0)</f>
        <v>-0.10991973204031187</v>
      </c>
      <c r="I771" s="398">
        <f>IF(H771&lt;0,((0.25-(H771*(-1)))*$L$7),IF(H771&gt;0,(H771*$N$7)+$L$6,0))</f>
        <v>7.4709476245167012</v>
      </c>
      <c r="J771" s="73">
        <f>VLOOKUP(C771,'RAW DATA 2023'!E:AC,21,0)</f>
        <v>30.169650000000001</v>
      </c>
      <c r="K771" s="398">
        <f>I771*J771</f>
        <v>225.3958750000003</v>
      </c>
      <c r="R771" s="400"/>
    </row>
    <row r="772" spans="1:18">
      <c r="A772" s="63" t="str">
        <f>'RAW DATA 2023'!B382</f>
        <v>Roiphet2</v>
      </c>
      <c r="B772" s="63" t="str">
        <f>'RAW DATA 2023'!D382</f>
        <v>A1-002-0048</v>
      </c>
      <c r="C772" s="63" t="str">
        <f>A772&amp;B772</f>
        <v>Roiphet2A1-002-0048</v>
      </c>
      <c r="D772" s="63">
        <f>VLOOKUP(C772,'RAW DATA 2023'!E:BP,63,0)</f>
        <v>5</v>
      </c>
      <c r="E772" s="63" t="str">
        <f>A772&amp;D772</f>
        <v>Roiphet25</v>
      </c>
      <c r="F772" s="389">
        <f>VLOOKUP(C772,'RAW DATA 2023'!E:BO,57,0)</f>
        <v>277.77490083719948</v>
      </c>
      <c r="G772" s="63">
        <f>VLOOKUP(C772,'RAW DATA 2023'!E:BO,58,0)</f>
        <v>189</v>
      </c>
      <c r="H772" s="397">
        <f>IFERROR((G772-F772)/G772,0)</f>
        <v>-0.46970847003809252</v>
      </c>
      <c r="I772" s="398">
        <f>IF(H772&lt;0,((0.25-(H772*(-1)))*$L$7),IF(H772&gt;0,(H772*$N$7)+$L$6,0))</f>
        <v>-11.717785068698268</v>
      </c>
      <c r="J772" s="73">
        <f>VLOOKUP(C772,'RAW DATA 2023'!E:AC,21,0)</f>
        <v>19.021750000000001</v>
      </c>
      <c r="K772" s="398">
        <f>I772*J772</f>
        <v>-222.89277813051129</v>
      </c>
      <c r="R772" s="400"/>
    </row>
    <row r="773" spans="1:18">
      <c r="A773" s="63" t="str">
        <f>'RAW DATA 2023'!B383</f>
        <v>Roiphet2</v>
      </c>
      <c r="B773" s="63" t="str">
        <f>'RAW DATA 2023'!D383</f>
        <v>B1-013-0036</v>
      </c>
      <c r="C773" s="63" t="str">
        <f>A773&amp;B773</f>
        <v>Roiphet2B1-013-0036</v>
      </c>
      <c r="D773" s="63">
        <f>VLOOKUP(C773,'RAW DATA 2023'!E:BP,63,0)</f>
        <v>5</v>
      </c>
      <c r="E773" s="63" t="str">
        <f>A773&amp;D773</f>
        <v>Roiphet25</v>
      </c>
      <c r="F773" s="389">
        <f>VLOOKUP(C773,'RAW DATA 2023'!E:BO,57,0)</f>
        <v>184.40166282927328</v>
      </c>
      <c r="G773" s="63">
        <f>VLOOKUP(C773,'RAW DATA 2023'!E:BO,58,0)</f>
        <v>150</v>
      </c>
      <c r="H773" s="397">
        <f>IFERROR((G773-F773)/G773,0)</f>
        <v>-0.22934441886182186</v>
      </c>
      <c r="I773" s="398">
        <f>IF(H773&lt;0,((0.25-(H773*(-1)))*$L$7),IF(H773&gt;0,(H773*$N$7)+$L$6,0))</f>
        <v>1.1016309940361677</v>
      </c>
      <c r="J773" s="73">
        <f>VLOOKUP(C773,'RAW DATA 2023'!E:AC,21,0)</f>
        <v>24.274290000000001</v>
      </c>
      <c r="K773" s="398">
        <f>I773*J773</f>
        <v>26.741310222222207</v>
      </c>
      <c r="R773" s="400"/>
    </row>
    <row r="774" spans="1:18">
      <c r="A774" s="63" t="str">
        <f>'RAW DATA 2023'!B384</f>
        <v>Roiphet2</v>
      </c>
      <c r="B774" s="63" t="str">
        <f>'RAW DATA 2023'!D384</f>
        <v>A1-001-0031</v>
      </c>
      <c r="C774" s="63" t="str">
        <f>A774&amp;B774</f>
        <v>Roiphet2A1-001-0031</v>
      </c>
      <c r="D774" s="63">
        <f>VLOOKUP(C774,'RAW DATA 2023'!E:BP,63,0)</f>
        <v>5</v>
      </c>
      <c r="E774" s="63" t="str">
        <f>A774&amp;D774</f>
        <v>Roiphet25</v>
      </c>
      <c r="F774" s="389">
        <f>VLOOKUP(C774,'RAW DATA 2023'!E:BO,57,0)</f>
        <v>410.39041982671171</v>
      </c>
      <c r="G774" s="63">
        <f>VLOOKUP(C774,'RAW DATA 2023'!E:BO,58,0)</f>
        <v>204</v>
      </c>
      <c r="H774" s="397">
        <f>IFERROR((G774-F774)/G774,0)</f>
        <v>-1.0117177442485867</v>
      </c>
      <c r="I774" s="398">
        <f>IF(H774&lt;0,((0.25-(H774*(-1)))*$L$7),IF(H774&gt;0,(H774*$N$7)+$L$6,0))</f>
        <v>-40.624946359924628</v>
      </c>
      <c r="J774" s="73">
        <f>VLOOKUP(C774,'RAW DATA 2023'!E:AC,21,0)</f>
        <v>13.199969999999999</v>
      </c>
      <c r="K774" s="398">
        <f>I774*J774</f>
        <v>-536.24807320261425</v>
      </c>
      <c r="R774" s="400"/>
    </row>
    <row r="775" spans="1:18">
      <c r="A775" s="63" t="str">
        <f>'RAW DATA 2023'!B386</f>
        <v>Roiphet2</v>
      </c>
      <c r="B775" s="63" t="str">
        <f>'RAW DATA 2023'!D386</f>
        <v>B1-014-0044</v>
      </c>
      <c r="C775" s="63" t="str">
        <f>A775&amp;B775</f>
        <v>Roiphet2B1-014-0044</v>
      </c>
      <c r="D775" s="63">
        <f>VLOOKUP(C775,'RAW DATA 2023'!E:BP,63,0)</f>
        <v>5</v>
      </c>
      <c r="E775" s="63" t="str">
        <f>A775&amp;D775</f>
        <v>Roiphet25</v>
      </c>
      <c r="F775" s="389">
        <f>VLOOKUP(C775,'RAW DATA 2023'!E:BO,57,0)</f>
        <v>320.28941255395705</v>
      </c>
      <c r="G775" s="63">
        <f>VLOOKUP(C775,'RAW DATA 2023'!E:BO,58,0)</f>
        <v>183</v>
      </c>
      <c r="H775" s="397">
        <f>IFERROR((G775-F775)/G775,0)</f>
        <v>-0.75021536914730624</v>
      </c>
      <c r="I775" s="398">
        <f>IF(H775&lt;0,((0.25-(H775*(-1)))*$L$7),IF(H775&gt;0,(H775*$N$7)+$L$6,0))</f>
        <v>-26.678153021189669</v>
      </c>
      <c r="J775" s="73">
        <f>VLOOKUP(C775,'RAW DATA 2023'!E:AC,21,0)</f>
        <v>14.757100000000001</v>
      </c>
      <c r="K775" s="398">
        <f>I775*J775</f>
        <v>-393.69217194899807</v>
      </c>
      <c r="R775" s="400"/>
    </row>
    <row r="776" spans="1:18">
      <c r="A776" s="63" t="str">
        <f>'RAW DATA 2023'!B387</f>
        <v>Roiphet2</v>
      </c>
      <c r="B776" s="63" t="str">
        <f>'RAW DATA 2023'!D387</f>
        <v>A1-008-0034</v>
      </c>
      <c r="C776" s="63" t="str">
        <f>A776&amp;B776</f>
        <v>Roiphet2A1-008-0034</v>
      </c>
      <c r="D776" s="63">
        <f>VLOOKUP(C776,'RAW DATA 2023'!E:BP,63,0)</f>
        <v>5</v>
      </c>
      <c r="E776" s="63" t="str">
        <f>A776&amp;D776</f>
        <v>Roiphet25</v>
      </c>
      <c r="F776" s="389">
        <f>VLOOKUP(C776,'RAW DATA 2023'!E:BO,57,0)</f>
        <v>308.26527097318905</v>
      </c>
      <c r="G776" s="63">
        <f>VLOOKUP(C776,'RAW DATA 2023'!E:BO,58,0)</f>
        <v>183</v>
      </c>
      <c r="H776" s="397">
        <f>IFERROR((G776-F776)/G776,0)</f>
        <v>-0.6845096774491205</v>
      </c>
      <c r="I776" s="398">
        <f>IF(H776&lt;0,((0.25-(H776*(-1)))*$L$7),IF(H776&gt;0,(H776*$N$7)+$L$6,0))</f>
        <v>-23.173849463953093</v>
      </c>
      <c r="J776" s="73">
        <f>VLOOKUP(C776,'RAW DATA 2023'!E:AC,21,0)</f>
        <v>20.774380000000001</v>
      </c>
      <c r="K776" s="398">
        <f>I776*J776</f>
        <v>-481.42235482695787</v>
      </c>
      <c r="R776" s="400"/>
    </row>
    <row r="777" spans="1:18">
      <c r="A777" s="63" t="str">
        <f>'RAW DATA 2023'!B389</f>
        <v>Roiphet2</v>
      </c>
      <c r="B777" s="63" t="str">
        <f>'RAW DATA 2023'!D389</f>
        <v>B1-009-0044</v>
      </c>
      <c r="C777" s="63" t="str">
        <f>A777&amp;B777</f>
        <v>Roiphet2B1-009-0044</v>
      </c>
      <c r="D777" s="63">
        <f>VLOOKUP(C777,'RAW DATA 2023'!E:BP,63,0)</f>
        <v>9</v>
      </c>
      <c r="E777" s="63" t="str">
        <f>A777&amp;D777</f>
        <v>Roiphet29</v>
      </c>
      <c r="F777" s="389">
        <f>VLOOKUP(C777,'RAW DATA 2023'!E:BO,57,0)</f>
        <v>265.27191158738225</v>
      </c>
      <c r="G777" s="63">
        <f>VLOOKUP(C777,'RAW DATA 2023'!E:BO,58,0)</f>
        <v>161</v>
      </c>
      <c r="H777" s="397">
        <f>IFERROR((G777-F777)/G777,0)</f>
        <v>-0.64765162476634941</v>
      </c>
      <c r="I777" s="398">
        <f>IF(H777&lt;0,((0.25-(H777*(-1)))*$L$7),IF(H777&gt;0,(H777*$N$7)+$L$6,0))</f>
        <v>-21.208086654205303</v>
      </c>
      <c r="J777" s="73">
        <f>VLOOKUP(C777,'RAW DATA 2023'!E:AC,21,0)</f>
        <v>24.02553</v>
      </c>
      <c r="K777" s="398">
        <f>I777*J777</f>
        <v>-509.53552215320912</v>
      </c>
      <c r="R777" s="400"/>
    </row>
    <row r="778" spans="1:18">
      <c r="A778" s="63" t="str">
        <f>'RAW DATA 2023'!B443</f>
        <v>Roiphet3</v>
      </c>
      <c r="B778" s="63" t="str">
        <f>'RAW DATA 2023'!D443</f>
        <v>A1-016-0031</v>
      </c>
      <c r="C778" s="63" t="str">
        <f>A778&amp;B778</f>
        <v>Roiphet3A1-016-0031</v>
      </c>
      <c r="D778" s="63">
        <f>VLOOKUP(C778,'RAW DATA 2023'!E:BP,63,0)</f>
        <v>10</v>
      </c>
      <c r="E778" s="63" t="str">
        <f>A778&amp;D778</f>
        <v>Roiphet310</v>
      </c>
      <c r="F778" s="389">
        <f>VLOOKUP(C778,'RAW DATA 2023'!E:BO,57,0)</f>
        <v>373.88754381916812</v>
      </c>
      <c r="G778" s="63">
        <f>VLOOKUP(C778,'RAW DATA 2023'!E:BO,58,0)</f>
        <v>150</v>
      </c>
      <c r="H778" s="390">
        <f>IFERROR((G778-F778)/G778,0)</f>
        <v>-1.4925836254611207</v>
      </c>
      <c r="I778" s="398">
        <f>IF(H778&lt;0,((0.25-(H778*(-1)))*$L$7),IF(H778&gt;0,(H778*$N$7)+$L$6,0))</f>
        <v>-66.271126691259767</v>
      </c>
      <c r="J778" s="73">
        <f>VLOOKUP(C778,'RAW DATA 2023'!E:AC,21,0)</f>
        <v>12.61149</v>
      </c>
      <c r="K778" s="398">
        <f>I778*J778</f>
        <v>-835.77765155555562</v>
      </c>
      <c r="R778" s="400"/>
    </row>
    <row r="779" spans="1:18">
      <c r="A779" s="63" t="str">
        <f>'RAW DATA 2023'!B465</f>
        <v>Roiphet3</v>
      </c>
      <c r="B779" s="63" t="str">
        <f>'RAW DATA 2023'!D465</f>
        <v>C1-043-0028</v>
      </c>
      <c r="C779" s="63" t="str">
        <f>A779&amp;B779</f>
        <v>Roiphet3C1-043-0028</v>
      </c>
      <c r="D779" s="63">
        <f>VLOOKUP(C779,'RAW DATA 2023'!E:BP,63,0)</f>
        <v>12</v>
      </c>
      <c r="E779" s="63" t="str">
        <f>A779&amp;D779</f>
        <v>Roiphet312</v>
      </c>
      <c r="F779" s="389">
        <f>VLOOKUP(C779,'RAW DATA 2023'!E:BO,57,0)</f>
        <v>305.37487995698689</v>
      </c>
      <c r="G779" s="63">
        <f>VLOOKUP(C779,'RAW DATA 2023'!E:BO,58,0)</f>
        <v>150</v>
      </c>
      <c r="H779" s="397">
        <f>IFERROR((G779-F779)/G779,0)</f>
        <v>-1.0358325330465792</v>
      </c>
      <c r="I779" s="398">
        <f>IF(H779&lt;0,((0.25-(H779*(-1)))*$L$7),IF(H779&gt;0,(H779*$N$7)+$L$6,0))</f>
        <v>-41.911068429150895</v>
      </c>
      <c r="J779" s="73">
        <f>VLOOKUP(C779,'RAW DATA 2023'!E:AC,21,0)</f>
        <v>12.349740000000001</v>
      </c>
      <c r="K779" s="398">
        <f>I779*J779</f>
        <v>-517.59079822222202</v>
      </c>
      <c r="R779" s="400"/>
    </row>
    <row r="780" spans="1:18">
      <c r="A780" s="63" t="str">
        <f>'RAW DATA 2023'!B474</f>
        <v>Roiphet3</v>
      </c>
      <c r="B780" s="63" t="str">
        <f>'RAW DATA 2023'!D474</f>
        <v>C1-044-0020</v>
      </c>
      <c r="C780" s="63" t="str">
        <f>A780&amp;B780</f>
        <v>Roiphet3C1-044-0020</v>
      </c>
      <c r="D780" s="63">
        <f>VLOOKUP(C780,'RAW DATA 2023'!E:BP,63,0)</f>
        <v>12</v>
      </c>
      <c r="E780" s="63" t="str">
        <f>A780&amp;D780</f>
        <v>Roiphet312</v>
      </c>
      <c r="F780" s="389">
        <f>VLOOKUP(C780,'RAW DATA 2023'!E:BO,57,0)</f>
        <v>462.93822287069605</v>
      </c>
      <c r="G780" s="63">
        <f>VLOOKUP(C780,'RAW DATA 2023'!E:BO,58,0)</f>
        <v>150</v>
      </c>
      <c r="H780" s="397">
        <f>IFERROR((G780-F780)/G780,0)</f>
        <v>-2.0862548191379737</v>
      </c>
      <c r="I780" s="398">
        <f>IF(H780&lt;0,((0.25-(H780*(-1)))*$L$7),IF(H780&gt;0,(H780*$N$7)+$L$6,0))</f>
        <v>-97.93359035402527</v>
      </c>
      <c r="J780" s="73">
        <f>VLOOKUP(C780,'RAW DATA 2023'!E:AC,21,0)</f>
        <v>6.0038400000000003</v>
      </c>
      <c r="K780" s="398">
        <f>I780*J780</f>
        <v>-587.97760711111107</v>
      </c>
      <c r="R780" s="400"/>
    </row>
    <row r="781" spans="1:18">
      <c r="A781" s="63" t="str">
        <f>'RAW DATA 2023'!B451</f>
        <v>Roiphet3</v>
      </c>
      <c r="B781" s="63" t="str">
        <f>'RAW DATA 2023'!D451</f>
        <v>A1-007-0012</v>
      </c>
      <c r="C781" s="63" t="str">
        <f>A781&amp;B781</f>
        <v>Roiphet3A1-007-0012</v>
      </c>
      <c r="D781" s="63">
        <f>VLOOKUP(C781,'RAW DATA 2023'!E:BP,63,0)</f>
        <v>2</v>
      </c>
      <c r="E781" s="63" t="str">
        <f>A781&amp;D781</f>
        <v>Roiphet32</v>
      </c>
      <c r="F781" s="389">
        <f>VLOOKUP(C781,'RAW DATA 2023'!E:BO,57,0)</f>
        <v>155.56994648292743</v>
      </c>
      <c r="G781" s="63">
        <f>VLOOKUP(C781,'RAW DATA 2023'!E:BO,58,0)</f>
        <v>150</v>
      </c>
      <c r="H781" s="397">
        <f>IFERROR((G781-F781)/G781,0)</f>
        <v>-3.7132976552849563E-2</v>
      </c>
      <c r="I781" s="398">
        <f>IF(H781&lt;0,((0.25-(H781*(-1)))*$L$7),IF(H781&gt;0,(H781*$N$7)+$L$6,0))</f>
        <v>11.352907917181357</v>
      </c>
      <c r="J781" s="73">
        <f>VLOOKUP(C781,'RAW DATA 2023'!E:AC,21,0)</f>
        <v>19.343360000000001</v>
      </c>
      <c r="K781" s="398">
        <f>I781*J781</f>
        <v>219.60338488888917</v>
      </c>
      <c r="R781" s="400"/>
    </row>
    <row r="782" spans="1:18">
      <c r="A782" s="63" t="str">
        <f>'RAW DATA 2023'!B444</f>
        <v>Roiphet3</v>
      </c>
      <c r="B782" s="63" t="str">
        <f>'RAW DATA 2023'!D444</f>
        <v>A1-016-0029</v>
      </c>
      <c r="C782" s="63" t="str">
        <f>A782&amp;B782</f>
        <v>Roiphet3A1-016-0029</v>
      </c>
      <c r="D782" s="63">
        <f>VLOOKUP(C782,'RAW DATA 2023'!E:BP,63,0)</f>
        <v>3</v>
      </c>
      <c r="E782" s="63" t="str">
        <f>A782&amp;D782</f>
        <v>Roiphet33</v>
      </c>
      <c r="F782" s="389">
        <f>VLOOKUP(C782,'RAW DATA 2023'!E:BO,57,0)</f>
        <v>221.25333374274348</v>
      </c>
      <c r="G782" s="63">
        <f>VLOOKUP(C782,'RAW DATA 2023'!E:BO,58,0)</f>
        <v>200</v>
      </c>
      <c r="H782" s="390">
        <f>IFERROR((G782-F782)/G782,0)</f>
        <v>-0.1062666687137174</v>
      </c>
      <c r="I782" s="398">
        <f>IF(H782&lt;0,((0.25-(H782*(-1)))*$L$7),IF(H782&gt;0,(H782*$N$7)+$L$6,0))</f>
        <v>7.6657776686017387</v>
      </c>
      <c r="J782" s="73">
        <f>VLOOKUP(C782,'RAW DATA 2023'!E:AC,21,0)</f>
        <v>27.682099999999998</v>
      </c>
      <c r="K782" s="398">
        <f>I782*J782</f>
        <v>212.20482400000017</v>
      </c>
      <c r="R782" s="400"/>
    </row>
    <row r="783" spans="1:18">
      <c r="A783" s="63" t="str">
        <f>'RAW DATA 2023'!B445</f>
        <v>Roiphet3</v>
      </c>
      <c r="B783" s="63" t="str">
        <f>'RAW DATA 2023'!D445</f>
        <v>A1-008-0022</v>
      </c>
      <c r="C783" s="63" t="str">
        <f>A783&amp;B783</f>
        <v>Roiphet3A1-008-0022</v>
      </c>
      <c r="D783" s="63">
        <f>VLOOKUP(C783,'RAW DATA 2023'!E:BP,63,0)</f>
        <v>3</v>
      </c>
      <c r="E783" s="63" t="str">
        <f>A783&amp;D783</f>
        <v>Roiphet33</v>
      </c>
      <c r="F783" s="389">
        <f>VLOOKUP(C783,'RAW DATA 2023'!E:BO,57,0)</f>
        <v>195.92038879652122</v>
      </c>
      <c r="G783" s="63">
        <f>VLOOKUP(C783,'RAW DATA 2023'!E:BO,58,0)</f>
        <v>204</v>
      </c>
      <c r="H783" s="397">
        <f>IFERROR((G783-F783)/G783,0)</f>
        <v>3.9605937271954786E-2</v>
      </c>
      <c r="I783" s="398">
        <f>IF(H783&lt;0,((0.25-(H783*(-1)))*$L$7),IF(H783&gt;0,(H783*$N$7)+$L$6,0))</f>
        <v>15.445649987837589</v>
      </c>
      <c r="J783" s="73">
        <f>VLOOKUP(C783,'RAW DATA 2023'!E:AC,21,0)</f>
        <v>29.321249999999999</v>
      </c>
      <c r="K783" s="398">
        <f>I783*J783</f>
        <v>452.88576470588288</v>
      </c>
      <c r="R783" s="400"/>
    </row>
    <row r="784" spans="1:18">
      <c r="A784" s="63" t="str">
        <f>'RAW DATA 2023'!B446</f>
        <v>Roiphet3</v>
      </c>
      <c r="B784" s="63" t="str">
        <f>'RAW DATA 2023'!D446</f>
        <v>A1-006-0011</v>
      </c>
      <c r="C784" s="63" t="str">
        <f>A784&amp;B784</f>
        <v>Roiphet3A1-006-0011</v>
      </c>
      <c r="D784" s="63">
        <f>VLOOKUP(C784,'RAW DATA 2023'!E:BP,63,0)</f>
        <v>3</v>
      </c>
      <c r="E784" s="63" t="str">
        <f>A784&amp;D784</f>
        <v>Roiphet33</v>
      </c>
      <c r="F784" s="389">
        <f>VLOOKUP(C784,'RAW DATA 2023'!E:BO,57,0)</f>
        <v>177.07116291429077</v>
      </c>
      <c r="G784" s="63">
        <f>VLOOKUP(C784,'RAW DATA 2023'!E:BO,58,0)</f>
        <v>183</v>
      </c>
      <c r="H784" s="390">
        <f>IFERROR((G784-F784)/G784,0)</f>
        <v>3.2398016861799085E-2</v>
      </c>
      <c r="I784" s="398">
        <f>IF(H784&lt;0,((0.25-(H784*(-1)))*$L$7),IF(H784&gt;0,(H784*$N$7)+$L$6,0))</f>
        <v>15.061227565962618</v>
      </c>
      <c r="J784" s="73">
        <f>VLOOKUP(C784,'RAW DATA 2023'!E:AC,21,0)</f>
        <v>31.498709999999999</v>
      </c>
      <c r="K784" s="398">
        <f>I784*J784</f>
        <v>474.40923934426235</v>
      </c>
      <c r="R784" s="400"/>
    </row>
    <row r="785" spans="1:18">
      <c r="A785" s="63" t="str">
        <f>'RAW DATA 2023'!B461</f>
        <v>Roiphet3</v>
      </c>
      <c r="B785" s="63" t="str">
        <f>'RAW DATA 2023'!D461</f>
        <v>C1-044-0017</v>
      </c>
      <c r="C785" s="63" t="str">
        <f>A785&amp;B785</f>
        <v>Roiphet3C1-044-0017</v>
      </c>
      <c r="D785" s="63">
        <f>VLOOKUP(C785,'RAW DATA 2023'!E:BP,63,0)</f>
        <v>3</v>
      </c>
      <c r="E785" s="63" t="str">
        <f>A785&amp;D785</f>
        <v>Roiphet33</v>
      </c>
      <c r="F785" s="389">
        <f>VLOOKUP(C785,'RAW DATA 2023'!E:BO,57,0)</f>
        <v>236.37282822764706</v>
      </c>
      <c r="G785" s="63">
        <f>VLOOKUP(C785,'RAW DATA 2023'!E:BO,58,0)</f>
        <v>191</v>
      </c>
      <c r="H785" s="390">
        <f>IFERROR((G785-F785)/G785,0)</f>
        <v>-0.23755407449029875</v>
      </c>
      <c r="I785" s="398">
        <f>IF(H785&lt;0,((0.25-(H785*(-1)))*$L$7),IF(H785&gt;0,(H785*$N$7)+$L$6,0))</f>
        <v>0.66378269385073341</v>
      </c>
      <c r="J785" s="73">
        <f>VLOOKUP(C785,'RAW DATA 2023'!E:AC,21,0)</f>
        <v>15.852259999999999</v>
      </c>
      <c r="K785" s="398">
        <f>I785*J785</f>
        <v>10.522455846422227</v>
      </c>
      <c r="R785" s="400"/>
    </row>
    <row r="786" spans="1:18">
      <c r="A786" s="63" t="str">
        <f>'RAW DATA 2023'!B463</f>
        <v>Roiphet3</v>
      </c>
      <c r="B786" s="63" t="str">
        <f>'RAW DATA 2023'!D463</f>
        <v>C1-041-0005</v>
      </c>
      <c r="C786" s="63" t="str">
        <f>A786&amp;B786</f>
        <v>Roiphet3C1-041-0005</v>
      </c>
      <c r="D786" s="63">
        <f>VLOOKUP(C786,'RAW DATA 2023'!E:BP,63,0)</f>
        <v>3</v>
      </c>
      <c r="E786" s="63" t="str">
        <f>A786&amp;D786</f>
        <v>Roiphet33</v>
      </c>
      <c r="F786" s="389">
        <f>VLOOKUP(C786,'RAW DATA 2023'!E:BO,57,0)</f>
        <v>172.62257164476182</v>
      </c>
      <c r="G786" s="63">
        <f>VLOOKUP(C786,'RAW DATA 2023'!E:BO,58,0)</f>
        <v>187</v>
      </c>
      <c r="H786" s="397">
        <f>IFERROR((G786-F786)/G786,0)</f>
        <v>7.6884643610899361E-2</v>
      </c>
      <c r="I786" s="398">
        <f>IF(H786&lt;0,((0.25-(H786*(-1)))*$L$7),IF(H786&gt;0,(H786*$N$7)+$L$6,0))</f>
        <v>17.433847659247967</v>
      </c>
      <c r="J786" s="73">
        <f>VLOOKUP(C786,'RAW DATA 2023'!E:AC,21,0)</f>
        <v>30.185040000000001</v>
      </c>
      <c r="K786" s="398">
        <f>I786*J786</f>
        <v>526.24138894830628</v>
      </c>
      <c r="R786" s="400"/>
    </row>
    <row r="787" spans="1:18">
      <c r="A787" s="63" t="str">
        <f>'RAW DATA 2023'!B452</f>
        <v>Roiphet3</v>
      </c>
      <c r="B787" s="63" t="str">
        <f>'RAW DATA 2023'!D452</f>
        <v>A1-023-0016</v>
      </c>
      <c r="C787" s="63" t="str">
        <f>A787&amp;B787</f>
        <v>Roiphet3A1-023-0016</v>
      </c>
      <c r="D787" s="63">
        <f>VLOOKUP(C787,'RAW DATA 2023'!E:BP,63,0)</f>
        <v>4</v>
      </c>
      <c r="E787" s="63" t="str">
        <f>A787&amp;D787</f>
        <v>Roiphet34</v>
      </c>
      <c r="F787" s="389">
        <f>VLOOKUP(C787,'RAW DATA 2023'!E:BO,57,0)</f>
        <v>241.84065899000379</v>
      </c>
      <c r="G787" s="63">
        <f>VLOOKUP(C787,'RAW DATA 2023'!E:BO,58,0)</f>
        <v>150</v>
      </c>
      <c r="H787" s="397">
        <f>IFERROR((G787-F787)/G787,0)</f>
        <v>-0.61227105993335862</v>
      </c>
      <c r="I787" s="398">
        <f>IF(H787&lt;0,((0.25-(H787*(-1)))*$L$7),IF(H787&gt;0,(H787*$N$7)+$L$6,0))</f>
        <v>-19.321123196445793</v>
      </c>
      <c r="J787" s="73">
        <f>VLOOKUP(C787,'RAW DATA 2023'!E:AC,21,0)</f>
        <v>17.079470000000001</v>
      </c>
      <c r="K787" s="398">
        <f>I787*J787</f>
        <v>-329.99454400000002</v>
      </c>
      <c r="R787" s="400"/>
    </row>
    <row r="788" spans="1:18">
      <c r="A788" s="63" t="str">
        <f>'RAW DATA 2023'!B453</f>
        <v>Roiphet3</v>
      </c>
      <c r="B788" s="63" t="str">
        <f>'RAW DATA 2023'!D453</f>
        <v>C1-046-0004</v>
      </c>
      <c r="C788" s="63" t="str">
        <f>A788&amp;B788</f>
        <v>Roiphet3C1-046-0004</v>
      </c>
      <c r="D788" s="63">
        <f>VLOOKUP(C788,'RAW DATA 2023'!E:BP,63,0)</f>
        <v>4</v>
      </c>
      <c r="E788" s="63" t="str">
        <f>A788&amp;D788</f>
        <v>Roiphet34</v>
      </c>
      <c r="F788" s="389">
        <f>VLOOKUP(C788,'RAW DATA 2023'!E:BO,57,0)</f>
        <v>190.18573618168236</v>
      </c>
      <c r="G788" s="63">
        <f>VLOOKUP(C788,'RAW DATA 2023'!E:BO,58,0)</f>
        <v>194</v>
      </c>
      <c r="H788" s="397">
        <f>IFERROR((G788-F788)/G788,0)</f>
        <v>1.9661153702668254E-2</v>
      </c>
      <c r="I788" s="398">
        <f>IF(H788&lt;0,((0.25-(H788*(-1)))*$L$7),IF(H788&gt;0,(H788*$N$7)+$L$6,0))</f>
        <v>14.381928197475641</v>
      </c>
      <c r="J788" s="73">
        <f>VLOOKUP(C788,'RAW DATA 2023'!E:AC,21,0)</f>
        <v>22.319830000000003</v>
      </c>
      <c r="K788" s="398">
        <f>I788*J788</f>
        <v>321.00219243986277</v>
      </c>
      <c r="R788" s="400"/>
    </row>
    <row r="789" spans="1:18">
      <c r="A789" s="63" t="str">
        <f>'RAW DATA 2023'!B454</f>
        <v>Roiphet3</v>
      </c>
      <c r="B789" s="63" t="str">
        <f>'RAW DATA 2023'!D454</f>
        <v>C1-054-0007</v>
      </c>
      <c r="C789" s="63" t="str">
        <f>A789&amp;B789</f>
        <v>Roiphet3C1-054-0007</v>
      </c>
      <c r="D789" s="63">
        <f>VLOOKUP(C789,'RAW DATA 2023'!E:BP,63,0)</f>
        <v>4</v>
      </c>
      <c r="E789" s="63" t="str">
        <f>A789&amp;D789</f>
        <v>Roiphet34</v>
      </c>
      <c r="F789" s="389">
        <f>VLOOKUP(C789,'RAW DATA 2023'!E:BO,57,0)</f>
        <v>148.77266928736293</v>
      </c>
      <c r="G789" s="63">
        <f>VLOOKUP(C789,'RAW DATA 2023'!E:BO,58,0)</f>
        <v>184</v>
      </c>
      <c r="H789" s="397">
        <f>IFERROR((G789-F789)/G789,0)</f>
        <v>0.19145288430781016</v>
      </c>
      <c r="I789" s="398">
        <f>IF(H789&lt;0,((0.25-(H789*(-1)))*$L$7),IF(H789&gt;0,(H789*$N$7)+$L$6,0))</f>
        <v>23.544153829749874</v>
      </c>
      <c r="J789" s="73">
        <f>VLOOKUP(C789,'RAW DATA 2023'!E:AC,21,0)</f>
        <v>25.766689999999997</v>
      </c>
      <c r="K789" s="398">
        <f>I789*J789</f>
        <v>606.65491304347768</v>
      </c>
      <c r="R789" s="400"/>
    </row>
    <row r="790" spans="1:18">
      <c r="A790" s="63" t="str">
        <f>'RAW DATA 2023'!B455</f>
        <v>Roiphet3</v>
      </c>
      <c r="B790" s="63" t="str">
        <f>'RAW DATA 2023'!D455</f>
        <v>C1-047-0011</v>
      </c>
      <c r="C790" s="63" t="str">
        <f>A790&amp;B790</f>
        <v>Roiphet3C1-047-0011</v>
      </c>
      <c r="D790" s="63">
        <f>VLOOKUP(C790,'RAW DATA 2023'!E:BP,63,0)</f>
        <v>4</v>
      </c>
      <c r="E790" s="63" t="str">
        <f>A790&amp;D790</f>
        <v>Roiphet34</v>
      </c>
      <c r="F790" s="389">
        <f>VLOOKUP(C790,'RAW DATA 2023'!E:BO,57,0)</f>
        <v>224.23361796883404</v>
      </c>
      <c r="G790" s="63">
        <f>VLOOKUP(C790,'RAW DATA 2023'!E:BO,58,0)</f>
        <v>187</v>
      </c>
      <c r="H790" s="390">
        <f>IFERROR((G790-F790)/G790,0)</f>
        <v>-0.1991102565178291</v>
      </c>
      <c r="I790" s="398">
        <f>IF(H790&lt;0,((0.25-(H790*(-1)))*$L$7),IF(H790&gt;0,(H790*$N$7)+$L$6,0))</f>
        <v>2.7141196523824482</v>
      </c>
      <c r="J790" s="73">
        <f>VLOOKUP(C790,'RAW DATA 2023'!E:AC,21,0)</f>
        <v>18.506709999999998</v>
      </c>
      <c r="K790" s="398">
        <f>I790*J790</f>
        <v>50.229425311942776</v>
      </c>
      <c r="R790" s="400"/>
    </row>
    <row r="791" spans="1:18">
      <c r="A791" s="63" t="str">
        <f>'RAW DATA 2023'!B456</f>
        <v>Roiphet3</v>
      </c>
      <c r="B791" s="63" t="str">
        <f>'RAW DATA 2023'!D456</f>
        <v>C1-048-0021</v>
      </c>
      <c r="C791" s="63" t="str">
        <f>A791&amp;B791</f>
        <v>Roiphet3C1-048-0021</v>
      </c>
      <c r="D791" s="63">
        <f>VLOOKUP(C791,'RAW DATA 2023'!E:BP,63,0)</f>
        <v>4</v>
      </c>
      <c r="E791" s="63" t="str">
        <f>A791&amp;D791</f>
        <v>Roiphet34</v>
      </c>
      <c r="F791" s="389">
        <f>VLOOKUP(C791,'RAW DATA 2023'!E:BO,57,0)</f>
        <v>160.11600276040772</v>
      </c>
      <c r="G791" s="63">
        <f>VLOOKUP(C791,'RAW DATA 2023'!E:BO,58,0)</f>
        <v>175</v>
      </c>
      <c r="H791" s="397">
        <f>IFERROR((G791-F791)/G791,0)</f>
        <v>8.5051412797670145E-2</v>
      </c>
      <c r="I791" s="398">
        <f>IF(H791&lt;0,((0.25-(H791*(-1)))*$L$7),IF(H791&gt;0,(H791*$N$7)+$L$6,0))</f>
        <v>17.869408682542407</v>
      </c>
      <c r="J791" s="73">
        <f>VLOOKUP(C791,'RAW DATA 2023'!E:AC,21,0)</f>
        <v>27.879939999999998</v>
      </c>
      <c r="K791" s="398">
        <f>I791*J791</f>
        <v>498.19804190476128</v>
      </c>
      <c r="R791" s="400"/>
    </row>
    <row r="792" spans="1:18">
      <c r="A792" s="63" t="str">
        <f>'RAW DATA 2023'!B457</f>
        <v>Roiphet3</v>
      </c>
      <c r="B792" s="63" t="str">
        <f>'RAW DATA 2023'!D457</f>
        <v>C1-057-0017</v>
      </c>
      <c r="C792" s="63" t="str">
        <f>A792&amp;B792</f>
        <v>Roiphet3C1-057-0017</v>
      </c>
      <c r="D792" s="63">
        <f>VLOOKUP(C792,'RAW DATA 2023'!E:BP,63,0)</f>
        <v>4</v>
      </c>
      <c r="E792" s="63" t="str">
        <f>A792&amp;D792</f>
        <v>Roiphet34</v>
      </c>
      <c r="F792" s="389">
        <f>VLOOKUP(C792,'RAW DATA 2023'!E:BO,57,0)</f>
        <v>173.46236541413609</v>
      </c>
      <c r="G792" s="63">
        <f>VLOOKUP(C792,'RAW DATA 2023'!E:BO,58,0)</f>
        <v>181</v>
      </c>
      <c r="H792" s="397">
        <f>IFERROR((G792-F792)/G792,0)</f>
        <v>4.1644389977148685E-2</v>
      </c>
      <c r="I792" s="398">
        <f>IF(H792&lt;0,((0.25-(H792*(-1)))*$L$7),IF(H792&gt;0,(H792*$N$7)+$L$6,0))</f>
        <v>15.55436746544793</v>
      </c>
      <c r="J792" s="73">
        <f>VLOOKUP(C792,'RAW DATA 2023'!E:AC,21,0)</f>
        <v>20.624380000000002</v>
      </c>
      <c r="K792" s="398">
        <f>I792*J792</f>
        <v>320.799185267035</v>
      </c>
      <c r="R792" s="400"/>
    </row>
    <row r="793" spans="1:18">
      <c r="A793" s="63" t="str">
        <f>'RAW DATA 2023'!B458</f>
        <v>Roiphet3</v>
      </c>
      <c r="B793" s="63" t="str">
        <f>'RAW DATA 2023'!D458</f>
        <v>C1-045-0025</v>
      </c>
      <c r="C793" s="63" t="str">
        <f>A793&amp;B793</f>
        <v>Roiphet3C1-045-0025</v>
      </c>
      <c r="D793" s="63">
        <f>VLOOKUP(C793,'RAW DATA 2023'!E:BP,63,0)</f>
        <v>4</v>
      </c>
      <c r="E793" s="63" t="str">
        <f>A793&amp;D793</f>
        <v>Roiphet34</v>
      </c>
      <c r="F793" s="389">
        <f>VLOOKUP(C793,'RAW DATA 2023'!E:BO,57,0)</f>
        <v>238.90940706206857</v>
      </c>
      <c r="G793" s="63">
        <f>VLOOKUP(C793,'RAW DATA 2023'!E:BO,58,0)</f>
        <v>189</v>
      </c>
      <c r="H793" s="397">
        <f>IFERROR((G793-F793)/G793,0)</f>
        <v>-0.26407093683634164</v>
      </c>
      <c r="I793" s="398">
        <f>IF(H793&lt;0,((0.25-(H793*(-1)))*$L$7),IF(H793&gt;0,(H793*$N$7)+$L$6,0))</f>
        <v>-0.75044996460488755</v>
      </c>
      <c r="J793" s="73">
        <f>VLOOKUP(C793,'RAW DATA 2023'!E:AC,21,0)</f>
        <v>15.76337</v>
      </c>
      <c r="K793" s="398">
        <f>I793*J793</f>
        <v>-11.829620458553746</v>
      </c>
      <c r="R793" s="400"/>
    </row>
    <row r="794" spans="1:18">
      <c r="A794" s="63" t="str">
        <f>'RAW DATA 2023'!B459</f>
        <v>Roiphet3</v>
      </c>
      <c r="B794" s="63" t="str">
        <f>'RAW DATA 2023'!D459</f>
        <v>C1-051-0025</v>
      </c>
      <c r="C794" s="63" t="str">
        <f>A794&amp;B794</f>
        <v>Roiphet3C1-051-0025</v>
      </c>
      <c r="D794" s="63">
        <f>VLOOKUP(C794,'RAW DATA 2023'!E:BP,63,0)</f>
        <v>4</v>
      </c>
      <c r="E794" s="63" t="str">
        <f>A794&amp;D794</f>
        <v>Roiphet34</v>
      </c>
      <c r="F794" s="389">
        <f>VLOOKUP(C794,'RAW DATA 2023'!E:BO,57,0)</f>
        <v>135.73959163555062</v>
      </c>
      <c r="G794" s="63">
        <f>VLOOKUP(C794,'RAW DATA 2023'!E:BO,58,0)</f>
        <v>182</v>
      </c>
      <c r="H794" s="397">
        <f>IFERROR((G794-F794)/G794,0)</f>
        <v>0.25417806793653502</v>
      </c>
      <c r="I794" s="398">
        <f>IF(H794&lt;0,((0.25-(H794*(-1)))*$L$7),IF(H794&gt;0,(H794*$N$7)+$L$6,0))</f>
        <v>26.889496956615204</v>
      </c>
      <c r="J794" s="73">
        <f>VLOOKUP(C794,'RAW DATA 2023'!E:AC,21,0)</f>
        <v>34.16507</v>
      </c>
      <c r="K794" s="398">
        <f>I794*J794</f>
        <v>918.68154578754536</v>
      </c>
      <c r="R794" s="400"/>
    </row>
    <row r="795" spans="1:18">
      <c r="A795" s="63" t="str">
        <f>'RAW DATA 2023'!B460</f>
        <v>Roiphet3</v>
      </c>
      <c r="B795" s="63" t="str">
        <f>'RAW DATA 2023'!D460</f>
        <v>C1-043-0025</v>
      </c>
      <c r="C795" s="63" t="str">
        <f>A795&amp;B795</f>
        <v>Roiphet3C1-043-0025</v>
      </c>
      <c r="D795" s="63">
        <f>VLOOKUP(C795,'RAW DATA 2023'!E:BP,63,0)</f>
        <v>4</v>
      </c>
      <c r="E795" s="63" t="str">
        <f>A795&amp;D795</f>
        <v>Roiphet34</v>
      </c>
      <c r="F795" s="389">
        <f>VLOOKUP(C795,'RAW DATA 2023'!E:BO,57,0)</f>
        <v>230.79563983801808</v>
      </c>
      <c r="G795" s="63">
        <f>VLOOKUP(C795,'RAW DATA 2023'!E:BO,58,0)</f>
        <v>191</v>
      </c>
      <c r="H795" s="390">
        <f>IFERROR((G795-F795)/G795,0)</f>
        <v>-0.20835413527758154</v>
      </c>
      <c r="I795" s="398">
        <f>IF(H795&lt;0,((0.25-(H795*(-1)))*$L$7),IF(H795&gt;0,(H795*$N$7)+$L$6,0))</f>
        <v>2.2211127851956514</v>
      </c>
      <c r="J795" s="73">
        <f>VLOOKUP(C795,'RAW DATA 2023'!E:AC,21,0)</f>
        <v>17.108080000000001</v>
      </c>
      <c r="K795" s="398">
        <f>I795*J795</f>
        <v>37.998975218150022</v>
      </c>
      <c r="R795" s="400"/>
    </row>
    <row r="796" spans="1:18">
      <c r="A796" s="63" t="str">
        <f>'RAW DATA 2023'!B462</f>
        <v>Roiphet3</v>
      </c>
      <c r="B796" s="63" t="str">
        <f>'RAW DATA 2023'!D462</f>
        <v>C1-042-0015</v>
      </c>
      <c r="C796" s="63" t="str">
        <f>A796&amp;B796</f>
        <v>Roiphet3C1-042-0015</v>
      </c>
      <c r="D796" s="63">
        <f>VLOOKUP(C796,'RAW DATA 2023'!E:BP,63,0)</f>
        <v>4</v>
      </c>
      <c r="E796" s="63" t="str">
        <f>A796&amp;D796</f>
        <v>Roiphet34</v>
      </c>
      <c r="F796" s="389">
        <f>VLOOKUP(C796,'RAW DATA 2023'!E:BO,57,0)</f>
        <v>259.70970801839934</v>
      </c>
      <c r="G796" s="63">
        <f>VLOOKUP(C796,'RAW DATA 2023'!E:BO,58,0)</f>
        <v>189</v>
      </c>
      <c r="H796" s="390">
        <f>IFERROR((G796-F796)/G796,0)</f>
        <v>-0.37412543925079017</v>
      </c>
      <c r="I796" s="398">
        <f>IF(H796&lt;0,((0.25-(H796*(-1)))*$L$7),IF(H796&gt;0,(H796*$N$7)+$L$6,0))</f>
        <v>-6.6200234267088094</v>
      </c>
      <c r="J796" s="73">
        <f>VLOOKUP(C796,'RAW DATA 2023'!E:AC,21,0)</f>
        <v>14.26357</v>
      </c>
      <c r="K796" s="398">
        <f>I796*J796</f>
        <v>-94.425167548500966</v>
      </c>
      <c r="R796" s="400"/>
    </row>
    <row r="797" spans="1:18">
      <c r="A797" s="63" t="str">
        <f>'RAW DATA 2023'!B447</f>
        <v>Roiphet3</v>
      </c>
      <c r="B797" s="63" t="str">
        <f>'RAW DATA 2023'!D447</f>
        <v>A1-027-0027</v>
      </c>
      <c r="C797" s="63" t="str">
        <f>A797&amp;B797</f>
        <v>Roiphet3A1-027-0027</v>
      </c>
      <c r="D797" s="63">
        <f>VLOOKUP(C797,'RAW DATA 2023'!E:BP,63,0)</f>
        <v>5</v>
      </c>
      <c r="E797" s="63" t="str">
        <f>A797&amp;D797</f>
        <v>Roiphet35</v>
      </c>
      <c r="F797" s="389">
        <f>VLOOKUP(C797,'RAW DATA 2023'!E:BO,57,0)</f>
        <v>196.5892474840106</v>
      </c>
      <c r="G797" s="63">
        <f>VLOOKUP(C797,'RAW DATA 2023'!E:BO,58,0)</f>
        <v>155</v>
      </c>
      <c r="H797" s="390">
        <f>IFERROR((G797-F797)/G797,0)</f>
        <v>-0.26831772570329421</v>
      </c>
      <c r="I797" s="398">
        <f>IF(H797&lt;0,((0.25-(H797*(-1)))*$L$7),IF(H797&gt;0,(H797*$N$7)+$L$6,0))</f>
        <v>-0.97694537084235777</v>
      </c>
      <c r="J797" s="73">
        <f>VLOOKUP(C797,'RAW DATA 2023'!E:AC,21,0)</f>
        <v>29.72588</v>
      </c>
      <c r="K797" s="398">
        <f>I797*J797</f>
        <v>-29.040560860215425</v>
      </c>
      <c r="R797" s="400"/>
    </row>
    <row r="798" spans="1:18">
      <c r="A798" s="63" t="str">
        <f>'RAW DATA 2023'!B449</f>
        <v>Roiphet3</v>
      </c>
      <c r="B798" s="63" t="str">
        <f>'RAW DATA 2023'!D449</f>
        <v>A1-026-0022</v>
      </c>
      <c r="C798" s="63" t="str">
        <f>A798&amp;B798</f>
        <v>Roiphet3A1-026-0022</v>
      </c>
      <c r="D798" s="63">
        <f>VLOOKUP(C798,'RAW DATA 2023'!E:BP,63,0)</f>
        <v>5</v>
      </c>
      <c r="E798" s="63" t="str">
        <f>A798&amp;D798</f>
        <v>Roiphet35</v>
      </c>
      <c r="F798" s="389">
        <f>VLOOKUP(C798,'RAW DATA 2023'!E:BO,57,0)</f>
        <v>219.08028972310504</v>
      </c>
      <c r="G798" s="63">
        <f>VLOOKUP(C798,'RAW DATA 2023'!E:BO,58,0)</f>
        <v>150</v>
      </c>
      <c r="H798" s="390">
        <f>IFERROR((G798-F798)/G798,0)</f>
        <v>-0.46053526482070029</v>
      </c>
      <c r="I798" s="398">
        <f>IF(H798&lt;0,((0.25-(H798*(-1)))*$L$7),IF(H798&gt;0,(H798*$N$7)+$L$6,0))</f>
        <v>-11.228547457104016</v>
      </c>
      <c r="J798" s="73">
        <f>VLOOKUP(C798,'RAW DATA 2023'!E:AC,21,0)</f>
        <v>27.213570000000001</v>
      </c>
      <c r="K798" s="398">
        <f>I798*J798</f>
        <v>-305.56886222222215</v>
      </c>
      <c r="R798" s="400"/>
    </row>
    <row r="799" spans="1:18">
      <c r="A799" s="63" t="str">
        <f>'RAW DATA 2023'!B450</f>
        <v>Roiphet3</v>
      </c>
      <c r="B799" s="63" t="str">
        <f>'RAW DATA 2023'!D450</f>
        <v>A1-024-0032</v>
      </c>
      <c r="C799" s="63" t="str">
        <f>A799&amp;B799</f>
        <v>Roiphet3A1-024-0032</v>
      </c>
      <c r="D799" s="63">
        <f>VLOOKUP(C799,'RAW DATA 2023'!E:BP,63,0)</f>
        <v>5</v>
      </c>
      <c r="E799" s="63" t="str">
        <f>A799&amp;D799</f>
        <v>Roiphet35</v>
      </c>
      <c r="F799" s="389">
        <f>VLOOKUP(C799,'RAW DATA 2023'!E:BO,57,0)</f>
        <v>313.85306838238995</v>
      </c>
      <c r="G799" s="63">
        <f>VLOOKUP(C799,'RAW DATA 2023'!E:BO,58,0)</f>
        <v>150</v>
      </c>
      <c r="H799" s="390">
        <f>IFERROR((G799-F799)/G799,0)</f>
        <v>-1.092353789215933</v>
      </c>
      <c r="I799" s="398">
        <f>IF(H799&lt;0,((0.25-(H799*(-1)))*$L$7),IF(H799&gt;0,(H799*$N$7)+$L$6,0))</f>
        <v>-44.925535424849762</v>
      </c>
      <c r="J799" s="73">
        <f>VLOOKUP(C799,'RAW DATA 2023'!E:AC,21,0)</f>
        <v>14.10173</v>
      </c>
      <c r="K799" s="398">
        <f>I799*J799</f>
        <v>-633.52777066666658</v>
      </c>
      <c r="R799" s="400"/>
    </row>
    <row r="800" spans="1:18">
      <c r="A800" s="63" t="str">
        <f>'RAW DATA 2023'!B473</f>
        <v>Roiphet3</v>
      </c>
      <c r="B800" s="63" t="str">
        <f>'RAW DATA 2023'!D473</f>
        <v>C1-041-0006</v>
      </c>
      <c r="C800" s="63" t="str">
        <f>A800&amp;B800</f>
        <v>Roiphet3C1-041-0006</v>
      </c>
      <c r="D800" s="63">
        <f>VLOOKUP(C800,'RAW DATA 2023'!E:BP,63,0)</f>
        <v>6</v>
      </c>
      <c r="E800" s="63" t="str">
        <f>A800&amp;D800</f>
        <v>Roiphet36</v>
      </c>
      <c r="F800" s="389">
        <f>VLOOKUP(C800,'RAW DATA 2023'!E:BO,57,0)</f>
        <v>220.66734139739467</v>
      </c>
      <c r="G800" s="63">
        <f>VLOOKUP(C800,'RAW DATA 2023'!E:BO,58,0)</f>
        <v>150</v>
      </c>
      <c r="H800" s="390">
        <f>IFERROR((G800-F800)/G800,0)</f>
        <v>-0.47111560931596441</v>
      </c>
      <c r="I800" s="398">
        <f>IF(H800&lt;0,((0.25-(H800*(-1)))*$L$7),IF(H800&gt;0,(H800*$N$7)+$L$6,0))</f>
        <v>-11.792832496851435</v>
      </c>
      <c r="J800" s="73">
        <f>VLOOKUP(C800,'RAW DATA 2023'!E:AC,21,0)</f>
        <v>11.821999999999999</v>
      </c>
      <c r="K800" s="398">
        <f>I800*J800</f>
        <v>-139.41486577777766</v>
      </c>
      <c r="R800" s="400"/>
    </row>
    <row r="801" spans="1:18">
      <c r="A801" s="63" t="str">
        <f>'RAW DATA 2023'!B464</f>
        <v>Roiphet3</v>
      </c>
      <c r="B801" s="63" t="str">
        <f>'RAW DATA 2023'!D464</f>
        <v>C1-044-0018</v>
      </c>
      <c r="C801" s="63" t="str">
        <f>A801&amp;B801</f>
        <v>Roiphet3C1-044-0018</v>
      </c>
      <c r="D801" s="63">
        <f>VLOOKUP(C801,'RAW DATA 2023'!E:BP,63,0)</f>
        <v>7</v>
      </c>
      <c r="E801" s="63" t="str">
        <f>A801&amp;D801</f>
        <v>Roiphet37</v>
      </c>
      <c r="F801" s="389">
        <f>VLOOKUP(C801,'RAW DATA 2023'!E:BO,57,0)</f>
        <v>226.2454258218475</v>
      </c>
      <c r="G801" s="63">
        <f>VLOOKUP(C801,'RAW DATA 2023'!E:BO,58,0)</f>
        <v>150</v>
      </c>
      <c r="H801" s="390">
        <f>IFERROR((G801-F801)/G801,0)</f>
        <v>-0.50830283881231675</v>
      </c>
      <c r="I801" s="398">
        <f>IF(H801&lt;0,((0.25-(H801*(-1)))*$L$7),IF(H801&gt;0,(H801*$N$7)+$L$6,0))</f>
        <v>-13.77615140332356</v>
      </c>
      <c r="J801" s="73">
        <f>VLOOKUP(C801,'RAW DATA 2023'!E:AC,21,0)</f>
        <v>10.501340000000001</v>
      </c>
      <c r="K801" s="398">
        <f>I801*J801</f>
        <v>-144.66804977777784</v>
      </c>
      <c r="R801" s="400"/>
    </row>
    <row r="802" spans="1:18">
      <c r="A802" s="63" t="str">
        <f>'RAW DATA 2023'!B466</f>
        <v>Roiphet3</v>
      </c>
      <c r="B802" s="63" t="str">
        <f>'RAW DATA 2023'!D466</f>
        <v>C1-043-0026</v>
      </c>
      <c r="C802" s="63" t="str">
        <f>A802&amp;B802</f>
        <v>Roiphet3C1-043-0026</v>
      </c>
      <c r="D802" s="63">
        <f>VLOOKUP(C802,'RAW DATA 2023'!E:BP,63,0)</f>
        <v>7</v>
      </c>
      <c r="E802" s="63" t="str">
        <f>A802&amp;D802</f>
        <v>Roiphet37</v>
      </c>
      <c r="F802" s="389">
        <f>VLOOKUP(C802,'RAW DATA 2023'!E:BO,57,0)</f>
        <v>357.56578105168717</v>
      </c>
      <c r="G802" s="63">
        <f>VLOOKUP(C802,'RAW DATA 2023'!E:BO,58,0)</f>
        <v>150</v>
      </c>
      <c r="H802" s="390">
        <f>IFERROR((G802-F802)/G802,0)</f>
        <v>-1.3837718736779145</v>
      </c>
      <c r="I802" s="398">
        <f>IF(H802&lt;0,((0.25-(H802*(-1)))*$L$7),IF(H802&gt;0,(H802*$N$7)+$L$6,0))</f>
        <v>-60.467833262822111</v>
      </c>
      <c r="J802" s="73">
        <f>VLOOKUP(C802,'RAW DATA 2023'!E:AC,21,0)</f>
        <v>7.31168</v>
      </c>
      <c r="K802" s="398">
        <f>I802*J802</f>
        <v>-442.12144711111119</v>
      </c>
      <c r="R802" s="400"/>
    </row>
    <row r="803" spans="1:18">
      <c r="A803" s="63" t="str">
        <f>'RAW DATA 2023'!B467</f>
        <v>Roiphet3</v>
      </c>
      <c r="B803" s="63" t="str">
        <f>'RAW DATA 2023'!D467</f>
        <v>C1-051-0026</v>
      </c>
      <c r="C803" s="63" t="str">
        <f>A803&amp;B803</f>
        <v>Roiphet3C1-051-0026</v>
      </c>
      <c r="D803" s="63">
        <f>VLOOKUP(C803,'RAW DATA 2023'!E:BP,63,0)</f>
        <v>7</v>
      </c>
      <c r="E803" s="63" t="str">
        <f>A803&amp;D803</f>
        <v>Roiphet37</v>
      </c>
      <c r="F803" s="389">
        <f>VLOOKUP(C803,'RAW DATA 2023'!E:BO,57,0)</f>
        <v>222.35765118698623</v>
      </c>
      <c r="G803" s="63">
        <f>VLOOKUP(C803,'RAW DATA 2023'!E:BO,58,0)</f>
        <v>150</v>
      </c>
      <c r="H803" s="397">
        <f>IFERROR((G803-F803)/G803,0)</f>
        <v>-0.48238434124657487</v>
      </c>
      <c r="I803" s="398">
        <f>IF(H803&lt;0,((0.25-(H803*(-1)))*$L$7),IF(H803&gt;0,(H803*$N$7)+$L$6,0))</f>
        <v>-12.39383153315066</v>
      </c>
      <c r="J803" s="73">
        <f>VLOOKUP(C803,'RAW DATA 2023'!E:AC,21,0)</f>
        <v>17.925650000000001</v>
      </c>
      <c r="K803" s="398">
        <f>I803*J803</f>
        <v>-222.16748622222215</v>
      </c>
      <c r="R803" s="400"/>
    </row>
    <row r="804" spans="1:18">
      <c r="A804" s="63" t="str">
        <f>'RAW DATA 2023'!B468</f>
        <v>Roiphet3</v>
      </c>
      <c r="B804" s="63" t="str">
        <f>'RAW DATA 2023'!D468</f>
        <v>C1-046-0005</v>
      </c>
      <c r="C804" s="63" t="str">
        <f>A804&amp;B804</f>
        <v>Roiphet3C1-046-0005</v>
      </c>
      <c r="D804" s="63">
        <f>VLOOKUP(C804,'RAW DATA 2023'!E:BP,63,0)</f>
        <v>7</v>
      </c>
      <c r="E804" s="63" t="str">
        <f>A804&amp;D804</f>
        <v>Roiphet37</v>
      </c>
      <c r="F804" s="389">
        <f>VLOOKUP(C804,'RAW DATA 2023'!E:BO,57,0)</f>
        <v>302.47366258795216</v>
      </c>
      <c r="G804" s="63">
        <f>VLOOKUP(C804,'RAW DATA 2023'!E:BO,58,0)</f>
        <v>150</v>
      </c>
      <c r="H804" s="390">
        <f>IFERROR((G804-F804)/G804,0)</f>
        <v>-1.016491083919681</v>
      </c>
      <c r="I804" s="398">
        <f>IF(H804&lt;0,((0.25-(H804*(-1)))*$L$7),IF(H804&gt;0,(H804*$N$7)+$L$6,0))</f>
        <v>-40.879524475716323</v>
      </c>
      <c r="J804" s="73">
        <f>VLOOKUP(C804,'RAW DATA 2023'!E:AC,21,0)</f>
        <v>10.36928</v>
      </c>
      <c r="K804" s="398">
        <f>I804*J804</f>
        <v>-423.89123555555574</v>
      </c>
      <c r="R804" s="400"/>
    </row>
    <row r="805" spans="1:18">
      <c r="A805" s="63" t="str">
        <f>'RAW DATA 2023'!B469</f>
        <v>Roiphet3</v>
      </c>
      <c r="B805" s="63" t="str">
        <f>'RAW DATA 2023'!D469</f>
        <v>C1-057-0018</v>
      </c>
      <c r="C805" s="63" t="str">
        <f>A805&amp;B805</f>
        <v>Roiphet3C1-057-0018</v>
      </c>
      <c r="D805" s="63">
        <f>VLOOKUP(C805,'RAW DATA 2023'!E:BP,63,0)</f>
        <v>7</v>
      </c>
      <c r="E805" s="63" t="str">
        <f>A805&amp;D805</f>
        <v>Roiphet37</v>
      </c>
      <c r="F805" s="389">
        <f>VLOOKUP(C805,'RAW DATA 2023'!E:BO,57,0)</f>
        <v>317.00419153248509</v>
      </c>
      <c r="G805" s="63">
        <f>VLOOKUP(C805,'RAW DATA 2023'!E:BO,58,0)</f>
        <v>150</v>
      </c>
      <c r="H805" s="397">
        <f>IFERROR((G805-F805)/G805,0)</f>
        <v>-1.1133612768832339</v>
      </c>
      <c r="I805" s="398">
        <f>IF(H805&lt;0,((0.25-(H805*(-1)))*$L$7),IF(H805&gt;0,(H805*$N$7)+$L$6,0))</f>
        <v>-46.045934767105813</v>
      </c>
      <c r="J805" s="73">
        <f>VLOOKUP(C805,'RAW DATA 2023'!E:AC,21,0)</f>
        <v>10.657200000000001</v>
      </c>
      <c r="K805" s="398">
        <f>I805*J805</f>
        <v>-490.7207360000001</v>
      </c>
      <c r="R805" s="400"/>
    </row>
    <row r="806" spans="1:18">
      <c r="A806" s="63" t="str">
        <f>'RAW DATA 2023'!B470</f>
        <v>Roiphet3</v>
      </c>
      <c r="B806" s="63" t="str">
        <f>'RAW DATA 2023'!D470</f>
        <v>C1-054-0008</v>
      </c>
      <c r="C806" s="63" t="str">
        <f>A806&amp;B806</f>
        <v>Roiphet3C1-054-0008</v>
      </c>
      <c r="D806" s="63">
        <f>VLOOKUP(C806,'RAW DATA 2023'!E:BP,63,0)</f>
        <v>7</v>
      </c>
      <c r="E806" s="63" t="str">
        <f>A806&amp;D806</f>
        <v>Roiphet37</v>
      </c>
      <c r="F806" s="389">
        <f>VLOOKUP(C806,'RAW DATA 2023'!E:BO,57,0)</f>
        <v>387.96643129000279</v>
      </c>
      <c r="G806" s="63">
        <f>VLOOKUP(C806,'RAW DATA 2023'!E:BO,58,0)</f>
        <v>150</v>
      </c>
      <c r="H806" s="390">
        <f>IFERROR((G806-F806)/G806,0)</f>
        <v>-1.5864428752666853</v>
      </c>
      <c r="I806" s="398">
        <f>IF(H806&lt;0,((0.25-(H806*(-1)))*$L$7),IF(H806&gt;0,(H806*$N$7)+$L$6,0))</f>
        <v>-71.276953347556557</v>
      </c>
      <c r="J806" s="73">
        <f>VLOOKUP(C806,'RAW DATA 2023'!E:AC,21,0)</f>
        <v>8.1713000000000005</v>
      </c>
      <c r="K806" s="398">
        <f>I806*J806</f>
        <v>-582.4253688888889</v>
      </c>
      <c r="R806" s="400"/>
    </row>
    <row r="807" spans="1:18">
      <c r="A807" s="63" t="str">
        <f>'RAW DATA 2023'!B471</f>
        <v>Roiphet3</v>
      </c>
      <c r="B807" s="63" t="str">
        <f>'RAW DATA 2023'!D471</f>
        <v>C1-042-0016</v>
      </c>
      <c r="C807" s="63" t="str">
        <f>A807&amp;B807</f>
        <v>Roiphet3C1-042-0016</v>
      </c>
      <c r="D807" s="63">
        <f>VLOOKUP(C807,'RAW DATA 2023'!E:BP,63,0)</f>
        <v>7</v>
      </c>
      <c r="E807" s="63" t="str">
        <f>A807&amp;D807</f>
        <v>Roiphet37</v>
      </c>
      <c r="F807" s="389">
        <f>VLOOKUP(C807,'RAW DATA 2023'!E:BO,57,0)</f>
        <v>435.29369572197413</v>
      </c>
      <c r="G807" s="63">
        <f>VLOOKUP(C807,'RAW DATA 2023'!E:BO,58,0)</f>
        <v>150</v>
      </c>
      <c r="H807" s="397">
        <f>IFERROR((G807-F807)/G807,0)</f>
        <v>-1.9019579714798276</v>
      </c>
      <c r="I807" s="398">
        <f>IF(H807&lt;0,((0.25-(H807*(-1)))*$L$7),IF(H807&gt;0,(H807*$N$7)+$L$6,0))</f>
        <v>-88.10442514559081</v>
      </c>
      <c r="J807" s="73">
        <f>VLOOKUP(C807,'RAW DATA 2023'!E:AC,21,0)</f>
        <v>5.2323199999999996</v>
      </c>
      <c r="K807" s="398">
        <f>I807*J807</f>
        <v>-460.9905457777777</v>
      </c>
      <c r="R807" s="400"/>
    </row>
    <row r="808" spans="1:18">
      <c r="A808" s="63" t="str">
        <f>'RAW DATA 2023'!B472</f>
        <v>Roiphet3</v>
      </c>
      <c r="B808" s="63" t="str">
        <f>'RAW DATA 2023'!D472</f>
        <v>C1-045-0026</v>
      </c>
      <c r="C808" s="63" t="str">
        <f>A808&amp;B808</f>
        <v>Roiphet3C1-045-0026</v>
      </c>
      <c r="D808" s="63">
        <f>VLOOKUP(C808,'RAW DATA 2023'!E:BP,63,0)</f>
        <v>7</v>
      </c>
      <c r="E808" s="63" t="str">
        <f>A808&amp;D808</f>
        <v>Roiphet37</v>
      </c>
      <c r="F808" s="389">
        <f>VLOOKUP(C808,'RAW DATA 2023'!E:BO,57,0)</f>
        <v>428.60895562351146</v>
      </c>
      <c r="G808" s="63">
        <f>VLOOKUP(C808,'RAW DATA 2023'!E:BO,58,0)</f>
        <v>150</v>
      </c>
      <c r="H808" s="390">
        <f>IFERROR((G808-F808)/G808,0)</f>
        <v>-1.8573930374900764</v>
      </c>
      <c r="I808" s="398">
        <f>IF(H808&lt;0,((0.25-(H808*(-1)))*$L$7),IF(H808&gt;0,(H808*$N$7)+$L$6,0))</f>
        <v>-85.72762866613742</v>
      </c>
      <c r="J808" s="73">
        <f>VLOOKUP(C808,'RAW DATA 2023'!E:AC,21,0)</f>
        <v>7.0961000000000007</v>
      </c>
      <c r="K808" s="398">
        <f>I808*J808</f>
        <v>-608.33182577777779</v>
      </c>
      <c r="R808" s="400"/>
    </row>
    <row r="809" spans="1:18">
      <c r="A809" s="63" t="str">
        <f>'RAW DATA 2023'!B448</f>
        <v>Roiphet3</v>
      </c>
      <c r="B809" s="63" t="str">
        <f>'RAW DATA 2023'!D448</f>
        <v>A1-006-0012</v>
      </c>
      <c r="C809" s="63" t="str">
        <f>A809&amp;B809</f>
        <v>Roiphet3A1-006-0012</v>
      </c>
      <c r="D809" s="63">
        <f>VLOOKUP(C809,'RAW DATA 2023'!E:BP,63,0)</f>
        <v>8</v>
      </c>
      <c r="E809" s="63" t="str">
        <f>A809&amp;D809</f>
        <v>Roiphet38</v>
      </c>
      <c r="F809" s="389">
        <f>VLOOKUP(C809,'RAW DATA 2023'!E:BO,57,0)</f>
        <v>288.3638982100606</v>
      </c>
      <c r="G809" s="63">
        <f>VLOOKUP(C809,'RAW DATA 2023'!E:BO,58,0)</f>
        <v>150</v>
      </c>
      <c r="H809" s="397">
        <f>IFERROR((G809-F809)/G809,0)</f>
        <v>-0.92242598806707066</v>
      </c>
      <c r="I809" s="398">
        <f>IF(H809&lt;0,((0.25-(H809*(-1)))*$L$7),IF(H809&gt;0,(H809*$N$7)+$L$6,0))</f>
        <v>-35.862719363577106</v>
      </c>
      <c r="J809" s="73">
        <f>VLOOKUP(C809,'RAW DATA 2023'!E:AC,21,0)</f>
        <v>13.359669999999999</v>
      </c>
      <c r="K809" s="398">
        <f>I809*J809</f>
        <v>-479.11409600000013</v>
      </c>
      <c r="R809" s="400"/>
    </row>
    <row r="810" spans="1:18">
      <c r="A810" s="63" t="str">
        <f>'RAW DATA 2023'!B442</f>
        <v>Roiphet3</v>
      </c>
      <c r="B810" s="63" t="str">
        <f>'RAW DATA 2023'!D442</f>
        <v>A1-008-0023</v>
      </c>
      <c r="C810" s="63" t="str">
        <f>A810&amp;B810</f>
        <v>Roiphet3A1-008-0023</v>
      </c>
      <c r="D810" s="63">
        <f>VLOOKUP(C810,'RAW DATA 2023'!E:BP,63,0)</f>
        <v>9</v>
      </c>
      <c r="E810" s="63" t="str">
        <f>A810&amp;D810</f>
        <v>Roiphet39</v>
      </c>
      <c r="F810" s="389">
        <f>VLOOKUP(C810,'RAW DATA 2023'!E:BO,57,0)</f>
        <v>286.10493049370399</v>
      </c>
      <c r="G810" s="63">
        <f>VLOOKUP(C810,'RAW DATA 2023'!E:BO,58,0)</f>
        <v>189</v>
      </c>
      <c r="H810" s="397">
        <f>IFERROR((G810-F810)/G810,0)</f>
        <v>-0.51378270102488888</v>
      </c>
      <c r="I810" s="398">
        <f>IF(H810&lt;0,((0.25-(H810*(-1)))*$L$7),IF(H810&gt;0,(H810*$N$7)+$L$6,0))</f>
        <v>-14.068410721327407</v>
      </c>
      <c r="J810" s="73">
        <f>VLOOKUP(C810,'RAW DATA 2023'!E:AC,21,0)</f>
        <v>20.467929999999999</v>
      </c>
      <c r="K810" s="398">
        <f>I810*J810</f>
        <v>-287.95124585537883</v>
      </c>
      <c r="R810" s="400"/>
    </row>
    <row r="811" spans="1:18">
      <c r="A811" s="63" t="str">
        <f>'RAW DATA 2023'!B835</f>
        <v>SR1</v>
      </c>
      <c r="B811" s="63" t="str">
        <f>'RAW DATA 2023'!D835</f>
        <v>C1-061-0038</v>
      </c>
      <c r="C811" s="63" t="str">
        <f>A811&amp;B811</f>
        <v>SR1C1-061-0038</v>
      </c>
      <c r="D811" s="63">
        <f>VLOOKUP(C811,'RAW DATA 2023'!E:BP,63,0)</f>
        <v>1</v>
      </c>
      <c r="E811" s="63" t="str">
        <f>A811&amp;D811</f>
        <v>SR11</v>
      </c>
      <c r="F811" s="389">
        <f>VLOOKUP(C811,'RAW DATA 2023'!E:BO,57,0)</f>
        <v>192.19752029017658</v>
      </c>
      <c r="G811" s="63">
        <f>VLOOKUP(C811,'RAW DATA 2023'!E:BO,58,0)</f>
        <v>170</v>
      </c>
      <c r="H811" s="390">
        <f>IFERROR((G811-F811)/G811,0)</f>
        <v>-0.13057364876574462</v>
      </c>
      <c r="I811" s="398">
        <f>IF(H811&lt;0,((0.25-(H811*(-1)))*$L$7),IF(H811&gt;0,(H811*$N$7)+$L$6,0))</f>
        <v>6.3694053991602875</v>
      </c>
      <c r="J811" s="73">
        <f>VLOOKUP(C811,'RAW DATA 2023'!E:AC,21,0)</f>
        <v>13.56691</v>
      </c>
      <c r="K811" s="398">
        <f>I811*J811</f>
        <v>86.413149803921698</v>
      </c>
      <c r="R811" s="400"/>
    </row>
    <row r="812" spans="1:18">
      <c r="A812" s="63" t="str">
        <f>'RAW DATA 2023'!B838</f>
        <v>SR1</v>
      </c>
      <c r="B812" s="63" t="str">
        <f>'RAW DATA 2023'!D838</f>
        <v>A1-027-0031</v>
      </c>
      <c r="C812" s="63" t="str">
        <f>A812&amp;B812</f>
        <v>SR1A1-027-0031</v>
      </c>
      <c r="D812" s="63">
        <f>VLOOKUP(C812,'RAW DATA 2023'!E:BP,63,0)</f>
        <v>1</v>
      </c>
      <c r="E812" s="63" t="str">
        <f>A812&amp;D812</f>
        <v>SR11</v>
      </c>
      <c r="F812" s="389">
        <f>VLOOKUP(C812,'RAW DATA 2023'!E:BO,57,0)</f>
        <v>422.56569183915445</v>
      </c>
      <c r="G812" s="63">
        <f>VLOOKUP(C812,'RAW DATA 2023'!E:BO,58,0)</f>
        <v>150</v>
      </c>
      <c r="H812" s="390">
        <f>IFERROR((G812-F812)/G812,0)</f>
        <v>-1.8171046122610297</v>
      </c>
      <c r="I812" s="398">
        <f>IF(H812&lt;0,((0.25-(H812*(-1)))*$L$7),IF(H812&gt;0,(H812*$N$7)+$L$6,0))</f>
        <v>-83.578912653921591</v>
      </c>
      <c r="J812" s="73">
        <f>VLOOKUP(C812,'RAW DATA 2023'!E:AC,21,0)</f>
        <v>5.71007</v>
      </c>
      <c r="K812" s="398">
        <f>I812*J812</f>
        <v>-477.24144177777805</v>
      </c>
      <c r="R812" s="400"/>
    </row>
    <row r="813" spans="1:18">
      <c r="A813" s="63" t="str">
        <f>'RAW DATA 2023'!B849</f>
        <v>SR1</v>
      </c>
      <c r="B813" s="63" t="str">
        <f>'RAW DATA 2023'!D849</f>
        <v>H1-095-0037</v>
      </c>
      <c r="C813" s="63" t="str">
        <f>A813&amp;B813</f>
        <v>SR1H1-095-0037</v>
      </c>
      <c r="D813" s="63">
        <f>VLOOKUP(C813,'RAW DATA 2023'!E:BP,63,0)</f>
        <v>1</v>
      </c>
      <c r="E813" s="63" t="str">
        <f>A813&amp;D813</f>
        <v>SR11</v>
      </c>
      <c r="F813" s="389">
        <f>VLOOKUP(C813,'RAW DATA 2023'!E:BO,57,0)</f>
        <v>389.40468152652642</v>
      </c>
      <c r="G813" s="63">
        <f>VLOOKUP(C813,'RAW DATA 2023'!E:BO,58,0)</f>
        <v>150</v>
      </c>
      <c r="H813" s="390">
        <f>IFERROR((G813-F813)/G813,0)</f>
        <v>-1.5960312101768428</v>
      </c>
      <c r="I813" s="398">
        <f>IF(H813&lt;0,((0.25-(H813*(-1)))*$L$7),IF(H813&gt;0,(H813*$N$7)+$L$6,0))</f>
        <v>-71.788331209431618</v>
      </c>
      <c r="J813" s="73">
        <f>VLOOKUP(C813,'RAW DATA 2023'!E:AC,21,0)</f>
        <v>4.9201899999999998</v>
      </c>
      <c r="K813" s="398">
        <f>I813*J813</f>
        <v>-353.21222933333337</v>
      </c>
      <c r="R813" s="400"/>
    </row>
    <row r="814" spans="1:18">
      <c r="A814" s="63" t="str">
        <f>'RAW DATA 2023'!B850</f>
        <v>SR1</v>
      </c>
      <c r="B814" s="63" t="str">
        <f>'RAW DATA 2023'!D850</f>
        <v>H1-092-0039</v>
      </c>
      <c r="C814" s="63" t="str">
        <f>A814&amp;B814</f>
        <v>SR1H1-092-0039</v>
      </c>
      <c r="D814" s="63">
        <f>VLOOKUP(C814,'RAW DATA 2023'!E:BP,63,0)</f>
        <v>1</v>
      </c>
      <c r="E814" s="63" t="str">
        <f>A814&amp;D814</f>
        <v>SR11</v>
      </c>
      <c r="F814" s="389">
        <f>VLOOKUP(C814,'RAW DATA 2023'!E:BO,57,0)</f>
        <v>443.58734379573548</v>
      </c>
      <c r="G814" s="63">
        <f>VLOOKUP(C814,'RAW DATA 2023'!E:BO,58,0)</f>
        <v>150</v>
      </c>
      <c r="H814" s="390">
        <f>IFERROR((G814-F814)/G814,0)</f>
        <v>-1.9572489586382364</v>
      </c>
      <c r="I814" s="398">
        <f>IF(H814&lt;0,((0.25-(H814*(-1)))*$L$7),IF(H814&gt;0,(H814*$N$7)+$L$6,0))</f>
        <v>-91.053277794039275</v>
      </c>
      <c r="J814" s="73">
        <f>VLOOKUP(C814,'RAW DATA 2023'!E:AC,21,0)</f>
        <v>4.4413</v>
      </c>
      <c r="K814" s="398">
        <f>I814*J814</f>
        <v>-404.39492266666662</v>
      </c>
      <c r="R814" s="400"/>
    </row>
    <row r="815" spans="1:18">
      <c r="A815" s="63" t="str">
        <f>'RAW DATA 2023'!B820</f>
        <v>SR1</v>
      </c>
      <c r="B815" s="63" t="str">
        <f>'RAW DATA 2023'!D820</f>
        <v>A1-028-0037</v>
      </c>
      <c r="C815" s="63" t="str">
        <f>A815&amp;B815</f>
        <v>SR1A1-028-0037</v>
      </c>
      <c r="D815" s="63">
        <f>VLOOKUP(C815,'RAW DATA 2023'!E:BP,63,0)</f>
        <v>10</v>
      </c>
      <c r="E815" s="63" t="str">
        <f>A815&amp;D815</f>
        <v>SR110</v>
      </c>
      <c r="F815" s="389">
        <f>VLOOKUP(C815,'RAW DATA 2023'!E:BO,57,0)</f>
        <v>188.38784452710826</v>
      </c>
      <c r="G815" s="63">
        <f>VLOOKUP(C815,'RAW DATA 2023'!E:BO,58,0)</f>
        <v>187</v>
      </c>
      <c r="H815" s="390">
        <f>IFERROR((G815-F815)/G815,0)</f>
        <v>-7.4216284872099299E-3</v>
      </c>
      <c r="I815" s="398">
        <f>IF(H815&lt;0,((0.25-(H815*(-1)))*$L$7),IF(H815&gt;0,(H815*$N$7)+$L$6,0))</f>
        <v>12.937513147348804</v>
      </c>
      <c r="J815" s="73">
        <f>VLOOKUP(C815,'RAW DATA 2023'!E:AC,21,0)</f>
        <v>29.019849999999998</v>
      </c>
      <c r="K815" s="398">
        <f>I815*J815</f>
        <v>375.44469090909018</v>
      </c>
      <c r="R815" s="400"/>
    </row>
    <row r="816" spans="1:18">
      <c r="A816" s="63" t="str">
        <f>'RAW DATA 2023'!B846</f>
        <v>SR1</v>
      </c>
      <c r="B816" s="63" t="str">
        <f>'RAW DATA 2023'!D846</f>
        <v>G1-129-0010</v>
      </c>
      <c r="C816" s="63" t="str">
        <f>A816&amp;B816</f>
        <v>SR1G1-129-0010</v>
      </c>
      <c r="D816" s="63">
        <f>VLOOKUP(C816,'RAW DATA 2023'!E:BP,63,0)</f>
        <v>10</v>
      </c>
      <c r="E816" s="63" t="str">
        <f>A816&amp;D816</f>
        <v>SR110</v>
      </c>
      <c r="F816" s="389">
        <f>VLOOKUP(C816,'RAW DATA 2023'!E:BO,57,0)</f>
        <v>200.50352006739274</v>
      </c>
      <c r="G816" s="63">
        <f>VLOOKUP(C816,'RAW DATA 2023'!E:BO,58,0)</f>
        <v>161</v>
      </c>
      <c r="H816" s="390">
        <f>IFERROR((G816-F816)/G816,0)</f>
        <v>-0.24536347867945801</v>
      </c>
      <c r="I816" s="398">
        <f>IF(H816&lt;0,((0.25-(H816*(-1)))*$L$7),IF(H816&gt;0,(H816*$N$7)+$L$6,0))</f>
        <v>0.24728113709557262</v>
      </c>
      <c r="J816" s="73">
        <f>VLOOKUP(C816,'RAW DATA 2023'!E:AC,21,0)</f>
        <v>8.1433099999999996</v>
      </c>
      <c r="K816" s="398">
        <f>I816*J816</f>
        <v>2.0136869565217475</v>
      </c>
      <c r="R816" s="400"/>
    </row>
    <row r="817" spans="1:18">
      <c r="A817" s="63" t="str">
        <f>'RAW DATA 2023'!B848</f>
        <v>SR1</v>
      </c>
      <c r="B817" s="63" t="str">
        <f>'RAW DATA 2023'!D848</f>
        <v>G1-130-0010</v>
      </c>
      <c r="C817" s="63" t="str">
        <f>A817&amp;B817</f>
        <v>SR1G1-130-0010</v>
      </c>
      <c r="D817" s="63">
        <f>VLOOKUP(C817,'RAW DATA 2023'!E:BP,63,0)</f>
        <v>10</v>
      </c>
      <c r="E817" s="63" t="str">
        <f>A817&amp;D817</f>
        <v>SR110</v>
      </c>
      <c r="F817" s="389">
        <f>VLOOKUP(C817,'RAW DATA 2023'!E:BO,57,0)</f>
        <v>256.14161923561414</v>
      </c>
      <c r="G817" s="63">
        <f>VLOOKUP(C817,'RAW DATA 2023'!E:BO,58,0)</f>
        <v>150</v>
      </c>
      <c r="H817" s="390">
        <f>IFERROR((G817-F817)/G817,0)</f>
        <v>-0.70761079490409429</v>
      </c>
      <c r="I817" s="398">
        <f>IF(H817&lt;0,((0.25-(H817*(-1)))*$L$7),IF(H817&gt;0,(H817*$N$7)+$L$6,0))</f>
        <v>-24.405909061551696</v>
      </c>
      <c r="J817" s="73">
        <f>VLOOKUP(C817,'RAW DATA 2023'!E:AC,21,0)</f>
        <v>6.69217</v>
      </c>
      <c r="K817" s="398">
        <f>I817*J817</f>
        <v>-163.32849244444441</v>
      </c>
      <c r="R817" s="400"/>
    </row>
    <row r="818" spans="1:18">
      <c r="A818" s="63" t="str">
        <f>'RAW DATA 2023'!B842</f>
        <v>SR1</v>
      </c>
      <c r="B818" s="63" t="str">
        <f>'RAW DATA 2023'!D842</f>
        <v>G1-128-0006</v>
      </c>
      <c r="C818" s="63" t="str">
        <f>A818&amp;B818</f>
        <v>SR1G1-128-0006</v>
      </c>
      <c r="D818" s="63">
        <f>VLOOKUP(C818,'RAW DATA 2023'!E:BP,63,0)</f>
        <v>11</v>
      </c>
      <c r="E818" s="63" t="str">
        <f>A818&amp;D818</f>
        <v>SR111</v>
      </c>
      <c r="F818" s="389">
        <f>VLOOKUP(C818,'RAW DATA 2023'!E:BO,57,0)</f>
        <v>322.46605597435337</v>
      </c>
      <c r="G818" s="63">
        <f>VLOOKUP(C818,'RAW DATA 2023'!E:BO,58,0)</f>
        <v>219</v>
      </c>
      <c r="H818" s="390">
        <f>IFERROR((G818-F818)/G818,0)</f>
        <v>-0.47244774417512952</v>
      </c>
      <c r="I818" s="398">
        <f>IF(H818&lt;0,((0.25-(H818*(-1)))*$L$7),IF(H818&gt;0,(H818*$N$7)+$L$6,0))</f>
        <v>-11.863879689340243</v>
      </c>
      <c r="J818" s="73">
        <f>VLOOKUP(C818,'RAW DATA 2023'!E:AC,21,0)</f>
        <v>13.082420000000001</v>
      </c>
      <c r="K818" s="398">
        <f>I818*J818</f>
        <v>-155.2082569254186</v>
      </c>
      <c r="R818" s="400"/>
    </row>
    <row r="819" spans="1:18">
      <c r="A819" s="63" t="str">
        <f>'RAW DATA 2023'!B823</f>
        <v>SR1</v>
      </c>
      <c r="B819" s="63" t="str">
        <f>'RAW DATA 2023'!D823</f>
        <v>A1-026-0029</v>
      </c>
      <c r="C819" s="63" t="str">
        <f>A819&amp;B819</f>
        <v>SR1A1-026-0029</v>
      </c>
      <c r="D819" s="63">
        <f>VLOOKUP(C819,'RAW DATA 2023'!E:BP,63,0)</f>
        <v>12</v>
      </c>
      <c r="E819" s="63" t="str">
        <f>A819&amp;D819</f>
        <v>SR112</v>
      </c>
      <c r="F819" s="389">
        <f>VLOOKUP(C819,'RAW DATA 2023'!E:BO,57,0)</f>
        <v>308.99713767902966</v>
      </c>
      <c r="G819" s="63">
        <f>VLOOKUP(C819,'RAW DATA 2023'!E:BO,58,0)</f>
        <v>150</v>
      </c>
      <c r="H819" s="390">
        <f>IFERROR((G819-F819)/G819,0)</f>
        <v>-1.0599809178601978</v>
      </c>
      <c r="I819" s="398">
        <f>IF(H819&lt;0,((0.25-(H819*(-1)))*$L$7),IF(H819&gt;0,(H819*$N$7)+$L$6,0))</f>
        <v>-43.198982285877214</v>
      </c>
      <c r="J819" s="73">
        <f>VLOOKUP(C819,'RAW DATA 2023'!E:AC,21,0)</f>
        <v>22.286110000000001</v>
      </c>
      <c r="K819" s="398">
        <f>I819*J819</f>
        <v>-962.73727111111111</v>
      </c>
      <c r="R819" s="400"/>
    </row>
    <row r="820" spans="1:18">
      <c r="A820" s="63" t="str">
        <f>'RAW DATA 2023'!B832</f>
        <v>SR1</v>
      </c>
      <c r="B820" s="63" t="str">
        <f>'RAW DATA 2023'!D832</f>
        <v>C1-060-0036</v>
      </c>
      <c r="C820" s="63" t="str">
        <f>A820&amp;B820</f>
        <v>SR1C1-060-0036</v>
      </c>
      <c r="D820" s="63">
        <f>VLOOKUP(C820,'RAW DATA 2023'!E:BP,63,0)</f>
        <v>12</v>
      </c>
      <c r="E820" s="63" t="str">
        <f>A820&amp;D820</f>
        <v>SR112</v>
      </c>
      <c r="F820" s="389">
        <f>VLOOKUP(C820,'RAW DATA 2023'!E:BO,57,0)</f>
        <v>181.32013592988025</v>
      </c>
      <c r="G820" s="63">
        <f>VLOOKUP(C820,'RAW DATA 2023'!E:BO,58,0)</f>
        <v>189</v>
      </c>
      <c r="H820" s="390">
        <f>IFERROR((G820-F820)/G820,0)</f>
        <v>4.063420142920502E-2</v>
      </c>
      <c r="I820" s="398">
        <f>IF(H820&lt;0,((0.25-(H820*(-1)))*$L$7),IF(H820&gt;0,(H820*$N$7)+$L$6,0))</f>
        <v>15.500490742890936</v>
      </c>
      <c r="J820" s="73">
        <f>VLOOKUP(C820,'RAW DATA 2023'!E:AC,21,0)</f>
        <v>29.627040000000001</v>
      </c>
      <c r="K820" s="398">
        <f>I820*J820</f>
        <v>459.23365925925947</v>
      </c>
      <c r="R820" s="400"/>
    </row>
    <row r="821" spans="1:18">
      <c r="A821" s="63" t="str">
        <f>'RAW DATA 2023'!B834</f>
        <v>SR1</v>
      </c>
      <c r="B821" s="63" t="str">
        <f>'RAW DATA 2023'!D834</f>
        <v>D1-062-0038</v>
      </c>
      <c r="C821" s="63" t="str">
        <f>A821&amp;B821</f>
        <v>SR1D1-062-0038</v>
      </c>
      <c r="D821" s="63">
        <f>VLOOKUP(C821,'RAW DATA 2023'!E:BP,63,0)</f>
        <v>12</v>
      </c>
      <c r="E821" s="63" t="str">
        <f>A821&amp;D821</f>
        <v>SR112</v>
      </c>
      <c r="F821" s="389">
        <f>VLOOKUP(C821,'RAW DATA 2023'!E:BO,57,0)</f>
        <v>175.71214388614291</v>
      </c>
      <c r="G821" s="63">
        <f>VLOOKUP(C821,'RAW DATA 2023'!E:BO,58,0)</f>
        <v>180</v>
      </c>
      <c r="H821" s="390">
        <f>IFERROR((G821-F821)/G821,0)</f>
        <v>2.3821422854761604E-2</v>
      </c>
      <c r="I821" s="398">
        <f>IF(H821&lt;0,((0.25-(H821*(-1)))*$L$7),IF(H821&gt;0,(H821*$N$7)+$L$6,0))</f>
        <v>14.60380921892062</v>
      </c>
      <c r="J821" s="73">
        <f>VLOOKUP(C821,'RAW DATA 2023'!E:AC,21,0)</f>
        <v>22.54616</v>
      </c>
      <c r="K821" s="398">
        <f>I821*J821</f>
        <v>329.25981925925936</v>
      </c>
      <c r="R821" s="400"/>
    </row>
    <row r="822" spans="1:18">
      <c r="A822" s="63" t="str">
        <f>'RAW DATA 2023'!B831</f>
        <v>SR1</v>
      </c>
      <c r="B822" s="63" t="str">
        <f>'RAW DATA 2023'!D831</f>
        <v>C1-060-0035</v>
      </c>
      <c r="C822" s="63" t="str">
        <f>A822&amp;B822</f>
        <v>SR1C1-060-0035</v>
      </c>
      <c r="D822" s="63">
        <f>VLOOKUP(C822,'RAW DATA 2023'!E:BP,63,0)</f>
        <v>2</v>
      </c>
      <c r="E822" s="63" t="str">
        <f>A822&amp;D822</f>
        <v>SR12</v>
      </c>
      <c r="F822" s="389">
        <f>VLOOKUP(C822,'RAW DATA 2023'!E:BO,57,0)</f>
        <v>275.22051970028429</v>
      </c>
      <c r="G822" s="63">
        <f>VLOOKUP(C822,'RAW DATA 2023'!E:BO,58,0)</f>
        <v>214</v>
      </c>
      <c r="H822" s="390">
        <f>IFERROR((G822-F822)/G822,0)</f>
        <v>-0.28607719486114153</v>
      </c>
      <c r="I822" s="398">
        <f>IF(H822&lt;0,((0.25-(H822*(-1)))*$L$7),IF(H822&gt;0,(H822*$N$7)+$L$6,0))</f>
        <v>-1.9241170592608814</v>
      </c>
      <c r="J822" s="73">
        <f>VLOOKUP(C822,'RAW DATA 2023'!E:AC,21,0)</f>
        <v>19.678650000000001</v>
      </c>
      <c r="K822" s="398">
        <f>I822*J822</f>
        <v>-37.864026168224143</v>
      </c>
      <c r="R822" s="400"/>
    </row>
    <row r="823" spans="1:18">
      <c r="A823" s="63" t="str">
        <f>'RAW DATA 2023'!B836</f>
        <v>SR1</v>
      </c>
      <c r="B823" s="63" t="str">
        <f>'RAW DATA 2023'!D836</f>
        <v>C1-062-0037</v>
      </c>
      <c r="C823" s="63" t="str">
        <f>A823&amp;B823</f>
        <v>SR1C1-062-0037</v>
      </c>
      <c r="D823" s="63">
        <f>VLOOKUP(C823,'RAW DATA 2023'!E:BP,63,0)</f>
        <v>2</v>
      </c>
      <c r="E823" s="63" t="str">
        <f>A823&amp;D823</f>
        <v>SR12</v>
      </c>
      <c r="F823" s="389">
        <f>VLOOKUP(C823,'RAW DATA 2023'!E:BO,57,0)</f>
        <v>259.20791706395369</v>
      </c>
      <c r="G823" s="63">
        <f>VLOOKUP(C823,'RAW DATA 2023'!E:BO,58,0)</f>
        <v>178</v>
      </c>
      <c r="H823" s="390">
        <f>IFERROR((G823-F823)/G823,0)</f>
        <v>-0.45622425316827914</v>
      </c>
      <c r="I823" s="398">
        <f>IF(H823&lt;0,((0.25-(H823*(-1)))*$L$7),IF(H823&gt;0,(H823*$N$7)+$L$6,0))</f>
        <v>-10.998626835641554</v>
      </c>
      <c r="J823" s="73">
        <f>VLOOKUP(C823,'RAW DATA 2023'!E:AC,21,0)</f>
        <v>17.713889999999999</v>
      </c>
      <c r="K823" s="398">
        <f>I823*J823</f>
        <v>-194.82846591760256</v>
      </c>
      <c r="R823" s="400"/>
    </row>
    <row r="824" spans="1:18">
      <c r="A824" s="63" t="str">
        <f>'RAW DATA 2023'!B840</f>
        <v>SR1</v>
      </c>
      <c r="B824" s="63" t="str">
        <f>'RAW DATA 2023'!D840</f>
        <v>C1-050-0014</v>
      </c>
      <c r="C824" s="63" t="str">
        <f>A824&amp;B824</f>
        <v>SR1C1-050-0014</v>
      </c>
      <c r="D824" s="63">
        <f>VLOOKUP(C824,'RAW DATA 2023'!E:BP,63,0)</f>
        <v>2</v>
      </c>
      <c r="E824" s="63" t="str">
        <f>A824&amp;D824</f>
        <v>SR12</v>
      </c>
      <c r="F824" s="389">
        <f>VLOOKUP(C824,'RAW DATA 2023'!E:BO,57,0)</f>
        <v>326.31271042937499</v>
      </c>
      <c r="G824" s="63">
        <f>VLOOKUP(C824,'RAW DATA 2023'!E:BO,58,0)</f>
        <v>150</v>
      </c>
      <c r="H824" s="390">
        <f>IFERROR((G824-F824)/G824,0)</f>
        <v>-1.1754180695291665</v>
      </c>
      <c r="I824" s="398">
        <f>IF(H824&lt;0,((0.25-(H824*(-1)))*$L$7),IF(H824&gt;0,(H824*$N$7)+$L$6,0))</f>
        <v>-49.355630374888882</v>
      </c>
      <c r="J824" s="73">
        <f>VLOOKUP(C824,'RAW DATA 2023'!E:AC,21,0)</f>
        <v>4.0393600000000003</v>
      </c>
      <c r="K824" s="398">
        <f>I824*J824</f>
        <v>-199.36515911111118</v>
      </c>
      <c r="R824" s="400"/>
    </row>
    <row r="825" spans="1:18">
      <c r="A825" s="63" t="str">
        <f>'RAW DATA 2023'!B847</f>
        <v>SR1</v>
      </c>
      <c r="B825" s="63" t="str">
        <f>'RAW DATA 2023'!D847</f>
        <v>G1-129-0008</v>
      </c>
      <c r="C825" s="63" t="str">
        <f>A825&amp;B825</f>
        <v>SR1G1-129-0008</v>
      </c>
      <c r="D825" s="63">
        <f>VLOOKUP(C825,'RAW DATA 2023'!E:BP,63,0)</f>
        <v>2</v>
      </c>
      <c r="E825" s="63" t="str">
        <f>A825&amp;D825</f>
        <v>SR12</v>
      </c>
      <c r="F825" s="389">
        <f>VLOOKUP(C825,'RAW DATA 2023'!E:BO,57,0)</f>
        <v>269.28943008803111</v>
      </c>
      <c r="G825" s="63">
        <f>VLOOKUP(C825,'RAW DATA 2023'!E:BO,58,0)</f>
        <v>150</v>
      </c>
      <c r="H825" s="390">
        <f>IFERROR((G825-F825)/G825,0)</f>
        <v>-0.79526286725354078</v>
      </c>
      <c r="I825" s="398">
        <f>IF(H825&lt;0,((0.25-(H825*(-1)))*$L$7),IF(H825&gt;0,(H825*$N$7)+$L$6,0))</f>
        <v>-29.080686253522178</v>
      </c>
      <c r="J825" s="73">
        <f>VLOOKUP(C825,'RAW DATA 2023'!E:AC,21,0)</f>
        <v>7.9256099999999998</v>
      </c>
      <c r="K825" s="398">
        <f>I825*J825</f>
        <v>-230.48217777777791</v>
      </c>
      <c r="R825" s="400"/>
    </row>
    <row r="826" spans="1:18">
      <c r="A826" s="63" t="str">
        <f>'RAW DATA 2023'!B851</f>
        <v>SR1</v>
      </c>
      <c r="B826" s="63" t="str">
        <f>'RAW DATA 2023'!D851</f>
        <v>H1-126-0008</v>
      </c>
      <c r="C826" s="63" t="str">
        <f>A826&amp;B826</f>
        <v>SR1H1-126-0008</v>
      </c>
      <c r="D826" s="63">
        <f>VLOOKUP(C826,'RAW DATA 2023'!E:BP,63,0)</f>
        <v>2</v>
      </c>
      <c r="E826" s="63" t="str">
        <f>A826&amp;D826</f>
        <v>SR12</v>
      </c>
      <c r="F826" s="389">
        <f>VLOOKUP(C826,'RAW DATA 2023'!E:BO,57,0)</f>
        <v>301.04383053579318</v>
      </c>
      <c r="G826" s="63">
        <f>VLOOKUP(C826,'RAW DATA 2023'!E:BO,58,0)</f>
        <v>150</v>
      </c>
      <c r="H826" s="390">
        <f>IFERROR((G826-F826)/G826,0)</f>
        <v>-1.0069588702386212</v>
      </c>
      <c r="I826" s="398">
        <f>IF(H826&lt;0,((0.25-(H826*(-1)))*$L$7),IF(H826&gt;0,(H826*$N$7)+$L$6,0))</f>
        <v>-40.371139746059796</v>
      </c>
      <c r="J826" s="73">
        <f>VLOOKUP(C826,'RAW DATA 2023'!E:AC,21,0)</f>
        <v>5.7699499999999997</v>
      </c>
      <c r="K826" s="398">
        <f>I826*J826</f>
        <v>-232.9394577777777</v>
      </c>
      <c r="R826" s="400"/>
    </row>
    <row r="827" spans="1:18">
      <c r="A827" s="63" t="str">
        <f>'RAW DATA 2023'!B852</f>
        <v>SR1</v>
      </c>
      <c r="B827" s="63" t="str">
        <f>'RAW DATA 2023'!D852</f>
        <v>G1-130-0008</v>
      </c>
      <c r="C827" s="63" t="str">
        <f>A827&amp;B827</f>
        <v>SR1G1-130-0008</v>
      </c>
      <c r="D827" s="63">
        <f>VLOOKUP(C827,'RAW DATA 2023'!E:BP,63,0)</f>
        <v>2</v>
      </c>
      <c r="E827" s="63" t="str">
        <f>A827&amp;D827</f>
        <v>SR12</v>
      </c>
      <c r="F827" s="389">
        <f>VLOOKUP(C827,'RAW DATA 2023'!E:BO,57,0)</f>
        <v>271.28689686713926</v>
      </c>
      <c r="G827" s="63">
        <f>VLOOKUP(C827,'RAW DATA 2023'!E:BO,58,0)</f>
        <v>150</v>
      </c>
      <c r="H827" s="390">
        <f>IFERROR((G827-F827)/G827,0)</f>
        <v>-0.80857931244759507</v>
      </c>
      <c r="I827" s="398">
        <f>IF(H827&lt;0,((0.25-(H827*(-1)))*$L$7),IF(H827&gt;0,(H827*$N$7)+$L$6,0))</f>
        <v>-29.790896663871738</v>
      </c>
      <c r="J827" s="73">
        <f>VLOOKUP(C827,'RAW DATA 2023'!E:AC,21,0)</f>
        <v>7.2154499999999997</v>
      </c>
      <c r="K827" s="398">
        <f>I827*J827</f>
        <v>-214.95472533333333</v>
      </c>
      <c r="R827" s="400"/>
    </row>
    <row r="828" spans="1:18">
      <c r="A828" s="63" t="str">
        <f>'RAW DATA 2023'!B833</f>
        <v>SR1</v>
      </c>
      <c r="B828" s="63" t="str">
        <f>'RAW DATA 2023'!D833</f>
        <v>D1-067-0004</v>
      </c>
      <c r="C828" s="63" t="str">
        <f>A828&amp;B828</f>
        <v>SR1D1-067-0004</v>
      </c>
      <c r="D828" s="63">
        <f>VLOOKUP(C828,'RAW DATA 2023'!E:BP,63,0)</f>
        <v>3</v>
      </c>
      <c r="E828" s="63" t="str">
        <f>A828&amp;D828</f>
        <v>SR13</v>
      </c>
      <c r="F828" s="389">
        <f>VLOOKUP(C828,'RAW DATA 2023'!E:BO,57,0)</f>
        <v>269.75741228754583</v>
      </c>
      <c r="G828" s="63">
        <f>VLOOKUP(C828,'RAW DATA 2023'!E:BO,58,0)</f>
        <v>200</v>
      </c>
      <c r="H828" s="390">
        <f>IFERROR((G828-F828)/G828,0)</f>
        <v>-0.34878706143772914</v>
      </c>
      <c r="I828" s="398">
        <f>IF(H828&lt;0,((0.25-(H828*(-1)))*$L$7),IF(H828&gt;0,(H828*$N$7)+$L$6,0))</f>
        <v>-5.2686432766788878</v>
      </c>
      <c r="J828" s="73">
        <f>VLOOKUP(C828,'RAW DATA 2023'!E:AC,21,0)</f>
        <v>20.570910000000001</v>
      </c>
      <c r="K828" s="398">
        <f>I828*J828</f>
        <v>-108.38078666666651</v>
      </c>
      <c r="R828" s="400"/>
    </row>
    <row r="829" spans="1:18">
      <c r="A829" s="63" t="str">
        <f>'RAW DATA 2023'!B837</f>
        <v>SR1</v>
      </c>
      <c r="B829" s="63" t="str">
        <f>'RAW DATA 2023'!D837</f>
        <v>D1-066-0037</v>
      </c>
      <c r="C829" s="63" t="str">
        <f>A829&amp;B829</f>
        <v>SR1D1-066-0037</v>
      </c>
      <c r="D829" s="63">
        <f>VLOOKUP(C829,'RAW DATA 2023'!E:BP,63,0)</f>
        <v>3</v>
      </c>
      <c r="E829" s="63" t="str">
        <f>A829&amp;D829</f>
        <v>SR13</v>
      </c>
      <c r="F829" s="389">
        <f>VLOOKUP(C829,'RAW DATA 2023'!E:BO,57,0)</f>
        <v>304.23452396694552</v>
      </c>
      <c r="G829" s="63">
        <f>VLOOKUP(C829,'RAW DATA 2023'!E:BO,58,0)</f>
        <v>166</v>
      </c>
      <c r="H829" s="390">
        <f>IFERROR((G829-F829)/G829,0)</f>
        <v>-0.83273809618641881</v>
      </c>
      <c r="I829" s="398">
        <f>IF(H829&lt;0,((0.25-(H829*(-1)))*$L$7),IF(H829&gt;0,(H829*$N$7)+$L$6,0))</f>
        <v>-31.079365129942339</v>
      </c>
      <c r="J829" s="73">
        <f>VLOOKUP(C829,'RAW DATA 2023'!E:AC,21,0)</f>
        <v>14.59531</v>
      </c>
      <c r="K829" s="398">
        <f>I829*J829</f>
        <v>-453.61296867469872</v>
      </c>
      <c r="R829" s="400"/>
    </row>
    <row r="830" spans="1:18">
      <c r="A830" s="63" t="str">
        <f>'RAW DATA 2023'!B839</f>
        <v>SR1</v>
      </c>
      <c r="B830" s="63" t="str">
        <f>'RAW DATA 2023'!D839</f>
        <v>C1-063-0004</v>
      </c>
      <c r="C830" s="63" t="str">
        <f>A830&amp;B830</f>
        <v>SR1C1-063-0004</v>
      </c>
      <c r="D830" s="63">
        <f>VLOOKUP(C830,'RAW DATA 2023'!E:BP,63,0)</f>
        <v>3</v>
      </c>
      <c r="E830" s="63" t="str">
        <f>A830&amp;D830</f>
        <v>SR13</v>
      </c>
      <c r="F830" s="389">
        <f>VLOOKUP(C830,'RAW DATA 2023'!E:BO,57,0)</f>
        <v>257.90846102996505</v>
      </c>
      <c r="G830" s="63">
        <f>VLOOKUP(C830,'RAW DATA 2023'!E:BO,58,0)</f>
        <v>150</v>
      </c>
      <c r="H830" s="390">
        <f>IFERROR((G830-F830)/G830,0)</f>
        <v>-0.71938974019976698</v>
      </c>
      <c r="I830" s="398">
        <f>IF(H830&lt;0,((0.25-(H830*(-1)))*$L$7),IF(H830&gt;0,(H830*$N$7)+$L$6,0))</f>
        <v>-25.034119477320907</v>
      </c>
      <c r="J830" s="73">
        <f>VLOOKUP(C830,'RAW DATA 2023'!E:AC,21,0)</f>
        <v>5.6879600000000003</v>
      </c>
      <c r="K830" s="398">
        <f>I830*J830</f>
        <v>-142.39307022222224</v>
      </c>
      <c r="R830" s="400"/>
    </row>
    <row r="831" spans="1:18">
      <c r="A831" s="63" t="str">
        <f>'RAW DATA 2023'!B853</f>
        <v>SR1</v>
      </c>
      <c r="B831" s="63" t="str">
        <f>'RAW DATA 2023'!D853</f>
        <v>H1-125-0010</v>
      </c>
      <c r="C831" s="63" t="str">
        <f>A831&amp;B831</f>
        <v>SR1H1-125-0010</v>
      </c>
      <c r="D831" s="63">
        <f>VLOOKUP(C831,'RAW DATA 2023'!E:BP,63,0)</f>
        <v>3</v>
      </c>
      <c r="E831" s="63" t="str">
        <f>A831&amp;D831</f>
        <v>SR13</v>
      </c>
      <c r="F831" s="389">
        <f>VLOOKUP(C831,'RAW DATA 2023'!E:BO,57,0)</f>
        <v>470.5437017163527</v>
      </c>
      <c r="G831" s="63">
        <f>VLOOKUP(C831,'RAW DATA 2023'!E:BO,58,0)</f>
        <v>150</v>
      </c>
      <c r="H831" s="390">
        <f>IFERROR((G831-F831)/G831,0)</f>
        <v>-2.1369580114423514</v>
      </c>
      <c r="I831" s="398">
        <f>IF(H831&lt;0,((0.25-(H831*(-1)))*$L$7),IF(H831&gt;0,(H831*$N$7)+$L$6,0))</f>
        <v>-100.63776061025875</v>
      </c>
      <c r="J831" s="73">
        <f>VLOOKUP(C831,'RAW DATA 2023'!E:AC,21,0)</f>
        <v>4.17455</v>
      </c>
      <c r="K831" s="398">
        <f>I831*J831</f>
        <v>-420.1173635555557</v>
      </c>
      <c r="R831" s="400"/>
    </row>
    <row r="832" spans="1:18">
      <c r="A832" s="63" t="str">
        <f>'RAW DATA 2023'!B845</f>
        <v>SR1</v>
      </c>
      <c r="B832" s="63" t="str">
        <f>'RAW DATA 2023'!D845</f>
        <v>A1-028-0036</v>
      </c>
      <c r="C832" s="63" t="str">
        <f>A832&amp;B832</f>
        <v>SR1A1-028-0036</v>
      </c>
      <c r="D832" s="63">
        <f>VLOOKUP(C832,'RAW DATA 2023'!E:BP,63,0)</f>
        <v>5</v>
      </c>
      <c r="E832" s="63" t="str">
        <f>A832&amp;D832</f>
        <v>SR15</v>
      </c>
      <c r="F832" s="389">
        <f>VLOOKUP(C832,'RAW DATA 2023'!E:BO,57,0)</f>
        <v>223.6314797635676</v>
      </c>
      <c r="G832" s="63">
        <f>VLOOKUP(C832,'RAW DATA 2023'!E:BO,58,0)</f>
        <v>228</v>
      </c>
      <c r="H832" s="390">
        <f>IFERROR((G832-F832)/G832,0)</f>
        <v>1.9160176475580715E-2</v>
      </c>
      <c r="I832" s="398">
        <f>IF(H832&lt;0,((0.25-(H832*(-1)))*$L$7),IF(H832&gt;0,(H832*$N$7)+$L$6,0))</f>
        <v>14.355209412030971</v>
      </c>
      <c r="J832" s="73">
        <f>VLOOKUP(C832,'RAW DATA 2023'!E:AC,21,0)</f>
        <v>28.134900000000002</v>
      </c>
      <c r="K832" s="398">
        <f>I832*J832</f>
        <v>403.88238128655018</v>
      </c>
      <c r="R832" s="400"/>
    </row>
    <row r="833" spans="1:18">
      <c r="A833" s="63" t="str">
        <f>'RAW DATA 2023'!B824</f>
        <v>SR1</v>
      </c>
      <c r="B833" s="63" t="str">
        <f>'RAW DATA 2023'!D824</f>
        <v>C1-050-0015</v>
      </c>
      <c r="C833" s="63" t="str">
        <f>A833&amp;B833</f>
        <v>SR1C1-050-0015</v>
      </c>
      <c r="D833" s="63">
        <f>VLOOKUP(C833,'RAW DATA 2023'!E:BP,63,0)</f>
        <v>6</v>
      </c>
      <c r="E833" s="63" t="str">
        <f>A833&amp;D833</f>
        <v>SR16</v>
      </c>
      <c r="F833" s="389">
        <f>VLOOKUP(C833,'RAW DATA 2023'!E:BO,57,0)</f>
        <v>152.52275184173027</v>
      </c>
      <c r="G833" s="63">
        <f>VLOOKUP(C833,'RAW DATA 2023'!E:BO,58,0)</f>
        <v>200</v>
      </c>
      <c r="H833" s="390">
        <f>IFERROR((G833-F833)/G833,0)</f>
        <v>0.23738624079134865</v>
      </c>
      <c r="I833" s="398">
        <f>IF(H833&lt;0,((0.25-(H833*(-1)))*$L$7),IF(H833&gt;0,(H833*$N$7)+$L$6,0))</f>
        <v>25.993932842205261</v>
      </c>
      <c r="J833" s="73">
        <f>VLOOKUP(C833,'RAW DATA 2023'!E:AC,21,0)</f>
        <v>10.58244</v>
      </c>
      <c r="K833" s="398">
        <f>I833*J833</f>
        <v>275.07923466666665</v>
      </c>
      <c r="R833" s="400"/>
    </row>
    <row r="834" spans="1:18">
      <c r="A834" s="63" t="str">
        <f>'RAW DATA 2023'!B844</f>
        <v>SR1</v>
      </c>
      <c r="B834" s="63" t="str">
        <f>'RAW DATA 2023'!D844</f>
        <v>G1-128-0005</v>
      </c>
      <c r="C834" s="63" t="str">
        <f>A834&amp;B834</f>
        <v>SR1G1-128-0005</v>
      </c>
      <c r="D834" s="63">
        <f>VLOOKUP(C834,'RAW DATA 2023'!E:BP,63,0)</f>
        <v>6</v>
      </c>
      <c r="E834" s="63" t="str">
        <f>A834&amp;D834</f>
        <v>SR16</v>
      </c>
      <c r="F834" s="389">
        <f>VLOOKUP(C834,'RAW DATA 2023'!E:BO,57,0)</f>
        <v>375.95148657461925</v>
      </c>
      <c r="G834" s="63">
        <f>VLOOKUP(C834,'RAW DATA 2023'!E:BO,58,0)</f>
        <v>228</v>
      </c>
      <c r="H834" s="390">
        <f>IFERROR((G834-F834)/G834,0)</f>
        <v>-0.64891002883604931</v>
      </c>
      <c r="I834" s="398">
        <f>IF(H834&lt;0,((0.25-(H834*(-1)))*$L$7),IF(H834&gt;0,(H834*$N$7)+$L$6,0))</f>
        <v>-21.27520153792263</v>
      </c>
      <c r="J834" s="73">
        <f>VLOOKUP(C834,'RAW DATA 2023'!E:AC,21,0)</f>
        <v>12.94116</v>
      </c>
      <c r="K834" s="398">
        <f>I834*J834</f>
        <v>-275.32578713450283</v>
      </c>
      <c r="R834" s="400"/>
    </row>
    <row r="835" spans="1:18">
      <c r="A835" s="63" t="str">
        <f>'RAW DATA 2023'!B854</f>
        <v>SR1</v>
      </c>
      <c r="B835" s="63" t="str">
        <f>'RAW DATA 2023'!D854</f>
        <v>H1-126-0009</v>
      </c>
      <c r="C835" s="63" t="str">
        <f>A835&amp;B835</f>
        <v>SR1H1-126-0009</v>
      </c>
      <c r="D835" s="63">
        <f>VLOOKUP(C835,'RAW DATA 2023'!E:BP,63,0)</f>
        <v>6</v>
      </c>
      <c r="E835" s="63" t="str">
        <f>A835&amp;D835</f>
        <v>SR16</v>
      </c>
      <c r="F835" s="389">
        <f>VLOOKUP(C835,'RAW DATA 2023'!E:BO,57,0)</f>
        <v>224.16812159474662</v>
      </c>
      <c r="G835" s="63">
        <f>VLOOKUP(C835,'RAW DATA 2023'!E:BO,58,0)</f>
        <v>164</v>
      </c>
      <c r="H835" s="390">
        <f>IFERROR((G835-F835)/G835,0)</f>
        <v>-0.36687879021186964</v>
      </c>
      <c r="I835" s="398">
        <f>IF(H835&lt;0,((0.25-(H835*(-1)))*$L$7),IF(H835&gt;0,(H835*$N$7)+$L$6,0))</f>
        <v>-6.233535477966381</v>
      </c>
      <c r="J835" s="73">
        <f>VLOOKUP(C835,'RAW DATA 2023'!E:AC,21,0)</f>
        <v>9.0760499999999986</v>
      </c>
      <c r="K835" s="398">
        <f>I835*J835</f>
        <v>-56.575879674796766</v>
      </c>
      <c r="R835" s="400"/>
    </row>
    <row r="836" spans="1:18">
      <c r="A836" s="63" t="str">
        <f>'RAW DATA 2023'!B856</f>
        <v>SR1</v>
      </c>
      <c r="B836" s="63" t="str">
        <f>'RAW DATA 2023'!D856</f>
        <v>H1-095-0038</v>
      </c>
      <c r="C836" s="63" t="str">
        <f>A836&amp;B836</f>
        <v>SR1H1-095-0038</v>
      </c>
      <c r="D836" s="63">
        <f>VLOOKUP(C836,'RAW DATA 2023'!E:BP,63,0)</f>
        <v>6</v>
      </c>
      <c r="E836" s="63" t="str">
        <f>A836&amp;D836</f>
        <v>SR16</v>
      </c>
      <c r="F836" s="389">
        <f>VLOOKUP(C836,'RAW DATA 2023'!E:BO,57,0)</f>
        <v>294.33690844184372</v>
      </c>
      <c r="G836" s="63">
        <f>VLOOKUP(C836,'RAW DATA 2023'!E:BO,58,0)</f>
        <v>150</v>
      </c>
      <c r="H836" s="390">
        <f>IFERROR((G836-F836)/G836,0)</f>
        <v>-0.9622460562789581</v>
      </c>
      <c r="I836" s="398">
        <f>IF(H836&lt;0,((0.25-(H836*(-1)))*$L$7),IF(H836&gt;0,(H836*$N$7)+$L$6,0))</f>
        <v>-37.986456334877765</v>
      </c>
      <c r="J836" s="73">
        <f>VLOOKUP(C836,'RAW DATA 2023'!E:AC,21,0)</f>
        <v>6.35039</v>
      </c>
      <c r="K836" s="398">
        <f>I836*J836</f>
        <v>-241.2288124444444</v>
      </c>
      <c r="R836" s="400"/>
    </row>
    <row r="837" spans="1:18">
      <c r="A837" s="63" t="str">
        <f>'RAW DATA 2023'!B827</f>
        <v>SR1</v>
      </c>
      <c r="B837" s="63" t="str">
        <f>'RAW DATA 2023'!D827</f>
        <v>C1-059-0036</v>
      </c>
      <c r="C837" s="63" t="str">
        <f>A837&amp;B837</f>
        <v>SR1C1-059-0036</v>
      </c>
      <c r="D837" s="63">
        <f>VLOOKUP(C837,'RAW DATA 2023'!E:BP,63,0)</f>
        <v>7</v>
      </c>
      <c r="E837" s="63" t="str">
        <f>A837&amp;D837</f>
        <v>SR17</v>
      </c>
      <c r="F837" s="389">
        <f>VLOOKUP(C837,'RAW DATA 2023'!E:BO,57,0)</f>
        <v>204.29342128784239</v>
      </c>
      <c r="G837" s="63">
        <f>VLOOKUP(C837,'RAW DATA 2023'!E:BO,58,0)</f>
        <v>200</v>
      </c>
      <c r="H837" s="390">
        <f>IFERROR((G837-F837)/G837,0)</f>
        <v>-2.1467106439211962E-2</v>
      </c>
      <c r="I837" s="398">
        <f>IF(H837&lt;0,((0.25-(H837*(-1)))*$L$7),IF(H837&gt;0,(H837*$N$7)+$L$6,0))</f>
        <v>12.188420989908696</v>
      </c>
      <c r="J837" s="73">
        <f>VLOOKUP(C837,'RAW DATA 2023'!E:AC,21,0)</f>
        <v>26.795669999999998</v>
      </c>
      <c r="K837" s="398">
        <f>I837*J837</f>
        <v>326.59690666666671</v>
      </c>
      <c r="R837" s="400"/>
    </row>
    <row r="838" spans="1:18">
      <c r="A838" s="63" t="str">
        <f>'RAW DATA 2023'!B841</f>
        <v>SR1</v>
      </c>
      <c r="B838" s="63" t="str">
        <f>'RAW DATA 2023'!D841</f>
        <v>G1-130-0009</v>
      </c>
      <c r="C838" s="63" t="str">
        <f>A838&amp;B838</f>
        <v>SR1G1-130-0009</v>
      </c>
      <c r="D838" s="63">
        <f>VLOOKUP(C838,'RAW DATA 2023'!E:BP,63,0)</f>
        <v>7</v>
      </c>
      <c r="E838" s="63" t="str">
        <f>A838&amp;D838</f>
        <v>SR17</v>
      </c>
      <c r="F838" s="389">
        <f>VLOOKUP(C838,'RAW DATA 2023'!E:BO,57,0)</f>
        <v>244.82395023328152</v>
      </c>
      <c r="G838" s="63">
        <f>VLOOKUP(C838,'RAW DATA 2023'!E:BO,58,0)</f>
        <v>200</v>
      </c>
      <c r="H838" s="390">
        <f>IFERROR((G838-F838)/G838,0)</f>
        <v>-0.22411975116640762</v>
      </c>
      <c r="I838" s="398">
        <f>IF(H838&lt;0,((0.25-(H838*(-1)))*$L$7),IF(H838&gt;0,(H838*$N$7)+$L$6,0))</f>
        <v>1.380279937791594</v>
      </c>
      <c r="J838" s="73">
        <f>VLOOKUP(C838,'RAW DATA 2023'!E:AC,21,0)</f>
        <v>12.924299999999999</v>
      </c>
      <c r="K838" s="398">
        <f>I838*J838</f>
        <v>17.839151999999896</v>
      </c>
      <c r="R838" s="400"/>
    </row>
    <row r="839" spans="1:18">
      <c r="A839" s="63" t="str">
        <f>'RAW DATA 2023'!B843</f>
        <v>SR1</v>
      </c>
      <c r="B839" s="63" t="str">
        <f>'RAW DATA 2023'!D843</f>
        <v>G1-129-0009</v>
      </c>
      <c r="C839" s="63" t="str">
        <f>A839&amp;B839</f>
        <v>SR1G1-129-0009</v>
      </c>
      <c r="D839" s="63">
        <f>VLOOKUP(C839,'RAW DATA 2023'!E:BP,63,0)</f>
        <v>7</v>
      </c>
      <c r="E839" s="63" t="str">
        <f>A839&amp;D839</f>
        <v>SR17</v>
      </c>
      <c r="F839" s="389">
        <f>VLOOKUP(C839,'RAW DATA 2023'!E:BO,57,0)</f>
        <v>276.71840813406499</v>
      </c>
      <c r="G839" s="63">
        <f>VLOOKUP(C839,'RAW DATA 2023'!E:BO,58,0)</f>
        <v>191</v>
      </c>
      <c r="H839" s="390">
        <f>IFERROR((G839-F839)/G839,0)</f>
        <v>-0.44878747714170147</v>
      </c>
      <c r="I839" s="398">
        <f>IF(H839&lt;0,((0.25-(H839*(-1)))*$L$7),IF(H839&gt;0,(H839*$N$7)+$L$6,0))</f>
        <v>-10.601998780890746</v>
      </c>
      <c r="J839" s="73">
        <f>VLOOKUP(C839,'RAW DATA 2023'!E:AC,21,0)</f>
        <v>10.930819999999999</v>
      </c>
      <c r="K839" s="398">
        <f>I839*J839</f>
        <v>-115.88854031413616</v>
      </c>
      <c r="R839" s="400"/>
    </row>
    <row r="840" spans="1:18">
      <c r="A840" s="63" t="str">
        <f>'RAW DATA 2023'!B855</f>
        <v>SR1</v>
      </c>
      <c r="B840" s="63" t="str">
        <f>'RAW DATA 2023'!D855</f>
        <v>H1-125-0011</v>
      </c>
      <c r="C840" s="63" t="str">
        <f>A840&amp;B840</f>
        <v>SR1H1-125-0011</v>
      </c>
      <c r="D840" s="63">
        <f>VLOOKUP(C840,'RAW DATA 2023'!E:BP,63,0)</f>
        <v>7</v>
      </c>
      <c r="E840" s="63" t="str">
        <f>A840&amp;D840</f>
        <v>SR17</v>
      </c>
      <c r="F840" s="389">
        <f>VLOOKUP(C840,'RAW DATA 2023'!E:BO,57,0)</f>
        <v>467.22373624200884</v>
      </c>
      <c r="G840" s="63">
        <f>VLOOKUP(C840,'RAW DATA 2023'!E:BO,58,0)</f>
        <v>162</v>
      </c>
      <c r="H840" s="390">
        <f>IFERROR((G840-F840)/G840,0)</f>
        <v>-1.8840971372963509</v>
      </c>
      <c r="I840" s="398">
        <f>IF(H840&lt;0,((0.25-(H840*(-1)))*$L$7),IF(H840&gt;0,(H840*$N$7)+$L$6,0))</f>
        <v>-87.151847322472051</v>
      </c>
      <c r="J840" s="73">
        <f>VLOOKUP(C840,'RAW DATA 2023'!E:AC,21,0)</f>
        <v>4.8553599999999992</v>
      </c>
      <c r="K840" s="398">
        <f>I840*J840</f>
        <v>-423.15359341563783</v>
      </c>
      <c r="R840" s="400"/>
    </row>
    <row r="841" spans="1:18">
      <c r="A841" s="63" t="str">
        <f>'RAW DATA 2023'!B857</f>
        <v>SR1</v>
      </c>
      <c r="B841" s="63" t="str">
        <f>'RAW DATA 2023'!D857</f>
        <v>H1-094-0029</v>
      </c>
      <c r="C841" s="63" t="str">
        <f>A841&amp;B841</f>
        <v>SR1H1-094-0029</v>
      </c>
      <c r="D841" s="63">
        <f>VLOOKUP(C841,'RAW DATA 2023'!E:BP,63,0)</f>
        <v>7</v>
      </c>
      <c r="E841" s="63" t="str">
        <f>A841&amp;D841</f>
        <v>SR17</v>
      </c>
      <c r="F841" s="389">
        <f>VLOOKUP(C841,'RAW DATA 2023'!E:BO,57,0)</f>
        <v>392.37801797105465</v>
      </c>
      <c r="G841" s="63">
        <f>VLOOKUP(C841,'RAW DATA 2023'!E:BO,58,0)</f>
        <v>150</v>
      </c>
      <c r="H841" s="390">
        <f>IFERROR((G841-F841)/G841,0)</f>
        <v>-1.6158534531403643</v>
      </c>
      <c r="I841" s="398">
        <f>IF(H841&lt;0,((0.25-(H841*(-1)))*$L$7),IF(H841&gt;0,(H841*$N$7)+$L$6,0))</f>
        <v>-72.84551750081944</v>
      </c>
      <c r="J841" s="73">
        <f>VLOOKUP(C841,'RAW DATA 2023'!E:AC,21,0)</f>
        <v>7.3662900000000002</v>
      </c>
      <c r="K841" s="398">
        <f>I841*J841</f>
        <v>-536.60120711111131</v>
      </c>
      <c r="R841" s="400"/>
    </row>
    <row r="842" spans="1:18">
      <c r="A842" s="63" t="str">
        <f>'RAW DATA 2023'!B830</f>
        <v>SR1</v>
      </c>
      <c r="B842" s="63" t="str">
        <f>'RAW DATA 2023'!D830</f>
        <v>C1-051-0032</v>
      </c>
      <c r="C842" s="63" t="str">
        <f>A842&amp;B842</f>
        <v>SR1C1-051-0032</v>
      </c>
      <c r="D842" s="63">
        <f>VLOOKUP(C842,'RAW DATA 2023'!E:BP,63,0)</f>
        <v>8</v>
      </c>
      <c r="E842" s="63" t="str">
        <f>A842&amp;D842</f>
        <v>SR18</v>
      </c>
      <c r="F842" s="389">
        <f>VLOOKUP(C842,'RAW DATA 2023'!E:BO,57,0)</f>
        <v>207.01807779483804</v>
      </c>
      <c r="G842" s="63">
        <f>VLOOKUP(C842,'RAW DATA 2023'!E:BO,58,0)</f>
        <v>194</v>
      </c>
      <c r="H842" s="390">
        <f>IFERROR((G842-F842)/G842,0)</f>
        <v>-6.710349378782493E-2</v>
      </c>
      <c r="I842" s="398">
        <f>IF(H842&lt;0,((0.25-(H842*(-1)))*$L$7),IF(H842&gt;0,(H842*$N$7)+$L$6,0))</f>
        <v>9.7544803313160049</v>
      </c>
      <c r="J842" s="73">
        <f>VLOOKUP(C842,'RAW DATA 2023'!E:AC,21,0)</f>
        <v>32.824800000000003</v>
      </c>
      <c r="K842" s="398">
        <f>I842*J842</f>
        <v>320.1888659793816</v>
      </c>
      <c r="R842" s="400"/>
    </row>
    <row r="843" spans="1:18">
      <c r="A843" s="63" t="str">
        <f>'RAW DATA 2023'!B821</f>
        <v>SR1</v>
      </c>
      <c r="B843" s="63" t="str">
        <f>'RAW DATA 2023'!D821</f>
        <v>A1-027-0032</v>
      </c>
      <c r="C843" s="63" t="str">
        <f>A843&amp;B843</f>
        <v>SR1A1-027-0032</v>
      </c>
      <c r="D843" s="63">
        <f>VLOOKUP(C843,'RAW DATA 2023'!E:BP,63,0)</f>
        <v>9</v>
      </c>
      <c r="E843" s="63" t="str">
        <f>A843&amp;D843</f>
        <v>SR19</v>
      </c>
      <c r="F843" s="389">
        <f>VLOOKUP(C843,'RAW DATA 2023'!E:BO,57,0)</f>
        <v>190.02420908300607</v>
      </c>
      <c r="G843" s="63">
        <f>VLOOKUP(C843,'RAW DATA 2023'!E:BO,58,0)</f>
        <v>219</v>
      </c>
      <c r="H843" s="390">
        <f>IFERROR((G843-F843)/G843,0)</f>
        <v>0.13230954756618232</v>
      </c>
      <c r="I843" s="398">
        <f>IF(H843&lt;0,((0.25-(H843*(-1)))*$L$7),IF(H843&gt;0,(H843*$N$7)+$L$6,0))</f>
        <v>20.389842536863057</v>
      </c>
      <c r="J843" s="73">
        <f>VLOOKUP(C843,'RAW DATA 2023'!E:AC,21,0)</f>
        <v>41.250219999999999</v>
      </c>
      <c r="K843" s="398">
        <f>I843*J843</f>
        <v>841.08549041095921</v>
      </c>
      <c r="R843" s="400"/>
    </row>
    <row r="844" spans="1:18">
      <c r="A844" s="63" t="str">
        <f>'RAW DATA 2023'!B822</f>
        <v>SR1</v>
      </c>
      <c r="B844" s="63" t="str">
        <f>'RAW DATA 2023'!D822</f>
        <v>A1-026-0028</v>
      </c>
      <c r="C844" s="63" t="str">
        <f>A844&amp;B844</f>
        <v>SR1A1-026-0028</v>
      </c>
      <c r="D844" s="63">
        <f>VLOOKUP(C844,'RAW DATA 2023'!E:BP,63,0)</f>
        <v>9</v>
      </c>
      <c r="E844" s="63" t="str">
        <f>A844&amp;D844</f>
        <v>SR19</v>
      </c>
      <c r="F844" s="389">
        <f>VLOOKUP(C844,'RAW DATA 2023'!E:BO,57,0)</f>
        <v>264.58535187329358</v>
      </c>
      <c r="G844" s="63">
        <f>VLOOKUP(C844,'RAW DATA 2023'!E:BO,58,0)</f>
        <v>223</v>
      </c>
      <c r="H844" s="390">
        <f>IFERROR((G844-F844)/G844,0)</f>
        <v>-0.18648139853494877</v>
      </c>
      <c r="I844" s="398">
        <f>IF(H844&lt;0,((0.25-(H844*(-1)))*$L$7),IF(H844&gt;0,(H844*$N$7)+$L$6,0))</f>
        <v>3.3876587448027324</v>
      </c>
      <c r="J844" s="73">
        <f>VLOOKUP(C844,'RAW DATA 2023'!E:AC,21,0)</f>
        <v>27.041409999999999</v>
      </c>
      <c r="K844" s="398">
        <f>I844*J844</f>
        <v>91.607069058296048</v>
      </c>
      <c r="R844" s="400"/>
    </row>
    <row r="845" spans="1:18">
      <c r="A845" s="63" t="str">
        <f>'RAW DATA 2023'!B825</f>
        <v>SR1</v>
      </c>
      <c r="B845" s="63" t="str">
        <f>'RAW DATA 2023'!D825</f>
        <v>C1-050-0016</v>
      </c>
      <c r="C845" s="63" t="str">
        <f>A845&amp;B845</f>
        <v>SR1C1-050-0016</v>
      </c>
      <c r="D845" s="63">
        <f>VLOOKUP(C845,'RAW DATA 2023'!E:BP,63,0)</f>
        <v>9</v>
      </c>
      <c r="E845" s="63" t="str">
        <f>A845&amp;D845</f>
        <v>SR19</v>
      </c>
      <c r="F845" s="389">
        <f>VLOOKUP(C845,'RAW DATA 2023'!E:BO,57,0)</f>
        <v>188.27224757650612</v>
      </c>
      <c r="G845" s="63">
        <f>VLOOKUP(C845,'RAW DATA 2023'!E:BO,58,0)</f>
        <v>228</v>
      </c>
      <c r="H845" s="390">
        <f>IFERROR((G845-F845)/G845,0)</f>
        <v>0.17424452817321878</v>
      </c>
      <c r="I845" s="398">
        <f>IF(H845&lt;0,((0.25-(H845*(-1)))*$L$7),IF(H845&gt;0,(H845*$N$7)+$L$6,0))</f>
        <v>22.626374835905004</v>
      </c>
      <c r="J845" s="73">
        <f>VLOOKUP(C845,'RAW DATA 2023'!E:AC,21,0)</f>
        <v>18.57236</v>
      </c>
      <c r="K845" s="398">
        <f>I845*J845</f>
        <v>420.22517894736865</v>
      </c>
      <c r="R845" s="400"/>
    </row>
    <row r="846" spans="1:18">
      <c r="A846" s="63" t="str">
        <f>'RAW DATA 2023'!B826</f>
        <v>SR1</v>
      </c>
      <c r="B846" s="63" t="str">
        <f>'RAW DATA 2023'!D826</f>
        <v>C1-061-0039</v>
      </c>
      <c r="C846" s="63" t="str">
        <f>A846&amp;B846</f>
        <v>SR1C1-061-0039</v>
      </c>
      <c r="D846" s="63">
        <f>VLOOKUP(C846,'RAW DATA 2023'!E:BP,63,0)</f>
        <v>9</v>
      </c>
      <c r="E846" s="63" t="str">
        <f>A846&amp;D846</f>
        <v>SR19</v>
      </c>
      <c r="F846" s="389">
        <f>VLOOKUP(C846,'RAW DATA 2023'!E:BO,57,0)</f>
        <v>192.00363603245964</v>
      </c>
      <c r="G846" s="63">
        <f>VLOOKUP(C846,'RAW DATA 2023'!E:BO,58,0)</f>
        <v>214</v>
      </c>
      <c r="H846" s="390">
        <f>IFERROR((G846-F846)/G846,0)</f>
        <v>0.10278674751187085</v>
      </c>
      <c r="I846" s="398">
        <f>IF(H846&lt;0,((0.25-(H846*(-1)))*$L$7),IF(H846&gt;0,(H846*$N$7)+$L$6,0))</f>
        <v>18.815293200633114</v>
      </c>
      <c r="J846" s="73">
        <f>VLOOKUP(C846,'RAW DATA 2023'!E:AC,21,0)</f>
        <v>24.595490000000002</v>
      </c>
      <c r="K846" s="398">
        <f>I846*J846</f>
        <v>462.7713557632398</v>
      </c>
      <c r="R846" s="400"/>
    </row>
    <row r="847" spans="1:18">
      <c r="A847" s="63" t="str">
        <f>'RAW DATA 2023'!B828</f>
        <v>SR1</v>
      </c>
      <c r="B847" s="63" t="str">
        <f>'RAW DATA 2023'!D828</f>
        <v>D1-068-0006</v>
      </c>
      <c r="C847" s="63" t="str">
        <f>A847&amp;B847</f>
        <v>SR1D1-068-0006</v>
      </c>
      <c r="D847" s="63">
        <f>VLOOKUP(C847,'RAW DATA 2023'!E:BP,63,0)</f>
        <v>9</v>
      </c>
      <c r="E847" s="63" t="str">
        <f>A847&amp;D847</f>
        <v>SR19</v>
      </c>
      <c r="F847" s="389">
        <f>VLOOKUP(C847,'RAW DATA 2023'!E:BO,57,0)</f>
        <v>181.37296639750789</v>
      </c>
      <c r="G847" s="63">
        <f>VLOOKUP(C847,'RAW DATA 2023'!E:BO,58,0)</f>
        <v>210</v>
      </c>
      <c r="H847" s="390">
        <f>IFERROR((G847-F847)/G847,0)</f>
        <v>0.13631920763091479</v>
      </c>
      <c r="I847" s="398">
        <f>IF(H847&lt;0,((0.25-(H847*(-1)))*$L$7),IF(H847&gt;0,(H847*$N$7)+$L$6,0))</f>
        <v>20.60369107364879</v>
      </c>
      <c r="J847" s="73">
        <f>VLOOKUP(C847,'RAW DATA 2023'!E:AC,21,0)</f>
        <v>25.064509999999999</v>
      </c>
      <c r="K847" s="398">
        <f>I847*J847</f>
        <v>516.4214209523808</v>
      </c>
    </row>
    <row r="848" spans="1:18">
      <c r="A848" s="63" t="str">
        <f>'RAW DATA 2023'!B829</f>
        <v>SR1</v>
      </c>
      <c r="B848" s="63" t="str">
        <f>'RAW DATA 2023'!D829</f>
        <v>D1-067-0005</v>
      </c>
      <c r="C848" s="63" t="str">
        <f>A848&amp;B848</f>
        <v>SR1D1-067-0005</v>
      </c>
      <c r="D848" s="63">
        <f>VLOOKUP(C848,'RAW DATA 2023'!E:BP,63,0)</f>
        <v>9</v>
      </c>
      <c r="E848" s="63" t="str">
        <f>A848&amp;D848</f>
        <v>SR19</v>
      </c>
      <c r="F848" s="389">
        <f>VLOOKUP(C848,'RAW DATA 2023'!E:BO,57,0)</f>
        <v>209.39716900327556</v>
      </c>
      <c r="G848" s="63">
        <f>VLOOKUP(C848,'RAW DATA 2023'!E:BO,58,0)</f>
        <v>197</v>
      </c>
      <c r="H848" s="390">
        <f>IFERROR((G848-F848)/G848,0)</f>
        <v>-6.2929791894799816E-2</v>
      </c>
      <c r="I848" s="398">
        <f>IF(H848&lt;0,((0.25-(H848*(-1)))*$L$7),IF(H848&gt;0,(H848*$N$7)+$L$6,0))</f>
        <v>9.9770777656106784</v>
      </c>
      <c r="J848" s="73">
        <f>VLOOKUP(C848,'RAW DATA 2023'!E:AC,21,0)</f>
        <v>17.734389999999998</v>
      </c>
      <c r="K848" s="398">
        <f>I848*J848</f>
        <v>176.93738815566834</v>
      </c>
    </row>
    <row r="849" spans="1:11">
      <c r="A849" s="63" t="str">
        <f>'RAW DATA 2023'!B753</f>
        <v>SR4</v>
      </c>
      <c r="B849" s="63" t="str">
        <f>'RAW DATA 2023'!D753</f>
        <v>G2-057-0008</v>
      </c>
      <c r="C849" s="63" t="str">
        <f>A849&amp;B849</f>
        <v>SR4G2-057-0008</v>
      </c>
      <c r="D849" s="63">
        <f>VLOOKUP(C849,'RAW DATA 2023'!E:BP,63,0)</f>
        <v>1</v>
      </c>
      <c r="E849" s="63" t="str">
        <f>A849&amp;D849</f>
        <v>SR41</v>
      </c>
      <c r="F849" s="389">
        <f>VLOOKUP(C849,'RAW DATA 2023'!E:BO,57,0)</f>
        <v>407.67485808683307</v>
      </c>
      <c r="G849" s="63">
        <f>VLOOKUP(C849,'RAW DATA 2023'!E:BO,58,0)</f>
        <v>150</v>
      </c>
      <c r="H849" s="390">
        <f>IFERROR((G849-F849)/G849,0)</f>
        <v>-1.7178323872455539</v>
      </c>
      <c r="I849" s="398">
        <f>IF(H849&lt;0,((0.25-(H849*(-1)))*$L$7),IF(H849&gt;0,(H849*$N$7)+$L$6,0))</f>
        <v>-78.284393986429549</v>
      </c>
      <c r="J849" s="73">
        <f>VLOOKUP(C849,'RAW DATA 2023'!E:AC,21,0)</f>
        <v>3.6078399999999999</v>
      </c>
      <c r="K849" s="398">
        <f>I849*J849</f>
        <v>-282.437568</v>
      </c>
    </row>
    <row r="850" spans="1:11">
      <c r="A850" s="63" t="str">
        <f>'RAW DATA 2023'!B764</f>
        <v>SR4</v>
      </c>
      <c r="B850" s="63" t="str">
        <f>'RAW DATA 2023'!D764</f>
        <v>A1-085-0008</v>
      </c>
      <c r="C850" s="63" t="str">
        <f>A850&amp;B850</f>
        <v>SR4A1-085-0008</v>
      </c>
      <c r="D850" s="63">
        <f>VLOOKUP(C850,'RAW DATA 2023'!E:BP,63,0)</f>
        <v>1</v>
      </c>
      <c r="E850" s="63" t="str">
        <f>A850&amp;D850</f>
        <v>SR41</v>
      </c>
      <c r="F850" s="389">
        <f>VLOOKUP(C850,'RAW DATA 2023'!E:BO,57,0)</f>
        <v>553.89093625606642</v>
      </c>
      <c r="G850" s="63">
        <f>VLOOKUP(C850,'RAW DATA 2023'!E:BO,58,0)</f>
        <v>149</v>
      </c>
      <c r="H850" s="390">
        <f>IFERROR((G850-F850)/G850,0)</f>
        <v>-2.7173888339333319</v>
      </c>
      <c r="I850" s="398">
        <f>IF(H850&lt;0,((0.25-(H850*(-1)))*$L$7),IF(H850&gt;0,(H850*$N$7)+$L$6,0))</f>
        <v>-131.59407114311105</v>
      </c>
      <c r="J850" s="73">
        <f>VLOOKUP(C850,'RAW DATA 2023'!E:AC,21,0)</f>
        <v>4.5847499999999997</v>
      </c>
      <c r="K850" s="398">
        <f>I850*J850</f>
        <v>-603.3259176733784</v>
      </c>
    </row>
    <row r="851" spans="1:11">
      <c r="A851" s="63" t="str">
        <f>'RAW DATA 2023'!B765</f>
        <v>SR4</v>
      </c>
      <c r="B851" s="63" t="str">
        <f>'RAW DATA 2023'!D765</f>
        <v>B1-067-0009</v>
      </c>
      <c r="C851" s="63" t="str">
        <f>A851&amp;B851</f>
        <v>SR4B1-067-0009</v>
      </c>
      <c r="D851" s="63">
        <f>VLOOKUP(C851,'RAW DATA 2023'!E:BP,63,0)</f>
        <v>1</v>
      </c>
      <c r="E851" s="63" t="str">
        <f>A851&amp;D851</f>
        <v>SR41</v>
      </c>
      <c r="F851" s="389">
        <f>VLOOKUP(C851,'RAW DATA 2023'!E:BO,57,0)</f>
        <v>546.55221016457392</v>
      </c>
      <c r="G851" s="63">
        <f>VLOOKUP(C851,'RAW DATA 2023'!E:BO,58,0)</f>
        <v>150</v>
      </c>
      <c r="H851" s="390">
        <f>IFERROR((G851-F851)/G851,0)</f>
        <v>-2.6436814010971594</v>
      </c>
      <c r="I851" s="398">
        <f>IF(H851&lt;0,((0.25-(H851*(-1)))*$L$7),IF(H851&gt;0,(H851*$N$7)+$L$6,0))</f>
        <v>-127.66300805851517</v>
      </c>
      <c r="J851" s="73">
        <f>VLOOKUP(C851,'RAW DATA 2023'!E:AC,21,0)</f>
        <v>2.8400599999999998</v>
      </c>
      <c r="K851" s="398">
        <f>I851*J851</f>
        <v>-362.57060266666656</v>
      </c>
    </row>
    <row r="852" spans="1:11">
      <c r="A852" s="63" t="str">
        <f>'RAW DATA 2023'!B766</f>
        <v>SR4</v>
      </c>
      <c r="B852" s="63" t="str">
        <f>'RAW DATA 2023'!D766</f>
        <v>A1-082-0008</v>
      </c>
      <c r="C852" s="63" t="str">
        <f>A852&amp;B852</f>
        <v>SR4A1-082-0008</v>
      </c>
      <c r="D852" s="63">
        <f>VLOOKUP(C852,'RAW DATA 2023'!E:BP,63,0)</f>
        <v>1</v>
      </c>
      <c r="E852" s="63" t="str">
        <f>A852&amp;D852</f>
        <v>SR41</v>
      </c>
      <c r="F852" s="389">
        <f>VLOOKUP(C852,'RAW DATA 2023'!E:BO,57,0)</f>
        <v>574.70785772735462</v>
      </c>
      <c r="G852" s="63">
        <f>VLOOKUP(C852,'RAW DATA 2023'!E:BO,58,0)</f>
        <v>150</v>
      </c>
      <c r="H852" s="390">
        <f>IFERROR((G852-F852)/G852,0)</f>
        <v>-2.8313857181823643</v>
      </c>
      <c r="I852" s="398">
        <f>IF(H852&lt;0,((0.25-(H852*(-1)))*$L$7),IF(H852&gt;0,(H852*$N$7)+$L$6,0))</f>
        <v>-137.6739049697261</v>
      </c>
      <c r="J852" s="73">
        <f>VLOOKUP(C852,'RAW DATA 2023'!E:AC,21,0)</f>
        <v>2.8840400000000002</v>
      </c>
      <c r="K852" s="398">
        <f>I852*J852</f>
        <v>-397.05704888888886</v>
      </c>
    </row>
    <row r="853" spans="1:11">
      <c r="A853" s="63" t="str">
        <f>'RAW DATA 2023'!B739</f>
        <v>SR4</v>
      </c>
      <c r="B853" s="63" t="str">
        <f>'RAW DATA 2023'!D739</f>
        <v>H1-047-0012</v>
      </c>
      <c r="C853" s="63" t="str">
        <f>A853&amp;B853</f>
        <v>SR4H1-047-0012</v>
      </c>
      <c r="D853" s="63">
        <f>VLOOKUP(C853,'RAW DATA 2023'!E:BP,63,0)</f>
        <v>10</v>
      </c>
      <c r="E853" s="63" t="str">
        <f>A853&amp;D853</f>
        <v>SR410</v>
      </c>
      <c r="F853" s="389">
        <f>VLOOKUP(C853,'RAW DATA 2023'!E:BO,57,0)</f>
        <v>180.91848464432709</v>
      </c>
      <c r="G853" s="63">
        <f>VLOOKUP(C853,'RAW DATA 2023'!E:BO,58,0)</f>
        <v>180</v>
      </c>
      <c r="H853" s="390">
        <f>IFERROR((G853-F853)/G853,0)</f>
        <v>-5.1026924684838566E-3</v>
      </c>
      <c r="I853" s="398">
        <f>IF(H853&lt;0,((0.25-(H853*(-1)))*$L$7),IF(H853&gt;0,(H853*$N$7)+$L$6,0))</f>
        <v>13.061189735014194</v>
      </c>
      <c r="J853" s="73">
        <f>VLOOKUP(C853,'RAW DATA 2023'!E:AC,21,0)</f>
        <v>20.76529</v>
      </c>
      <c r="K853" s="398">
        <f>I853*J853</f>
        <v>271.2193925925929</v>
      </c>
    </row>
    <row r="854" spans="1:11">
      <c r="A854" s="63" t="str">
        <f>'RAW DATA 2023'!B743</f>
        <v>SR4</v>
      </c>
      <c r="B854" s="63" t="str">
        <f>'RAW DATA 2023'!D743</f>
        <v>G1-053-0009</v>
      </c>
      <c r="C854" s="63" t="str">
        <f>A854&amp;B854</f>
        <v>SR4G1-053-0009</v>
      </c>
      <c r="D854" s="63">
        <f>VLOOKUP(C854,'RAW DATA 2023'!E:BP,63,0)</f>
        <v>10</v>
      </c>
      <c r="E854" s="63" t="str">
        <f>A854&amp;D854</f>
        <v>SR410</v>
      </c>
      <c r="F854" s="389">
        <f>VLOOKUP(C854,'RAW DATA 2023'!E:BO,57,0)</f>
        <v>199.94192169432716</v>
      </c>
      <c r="G854" s="63">
        <f>VLOOKUP(C854,'RAW DATA 2023'!E:BO,58,0)</f>
        <v>228</v>
      </c>
      <c r="H854" s="390">
        <f>IFERROR((G854-F854)/G854,0)</f>
        <v>0.12306174695470543</v>
      </c>
      <c r="I854" s="398">
        <f>IF(H854&lt;0,((0.25-(H854*(-1)))*$L$7),IF(H854&gt;0,(H854*$N$7)+$L$6,0))</f>
        <v>19.896626504250957</v>
      </c>
      <c r="J854" s="73">
        <f>VLOOKUP(C854,'RAW DATA 2023'!E:AC,21,0)</f>
        <v>20.64678</v>
      </c>
      <c r="K854" s="398">
        <f>I854*J854</f>
        <v>410.80127017543856</v>
      </c>
    </row>
    <row r="855" spans="1:11">
      <c r="A855" s="63" t="str">
        <f>'RAW DATA 2023'!B744</f>
        <v>SR4</v>
      </c>
      <c r="B855" s="63" t="str">
        <f>'RAW DATA 2023'!D744</f>
        <v>G1-051-0010</v>
      </c>
      <c r="C855" s="63" t="str">
        <f>A855&amp;B855</f>
        <v>SR4G1-051-0010</v>
      </c>
      <c r="D855" s="63">
        <f>VLOOKUP(C855,'RAW DATA 2023'!E:BP,63,0)</f>
        <v>10</v>
      </c>
      <c r="E855" s="63" t="str">
        <f>A855&amp;D855</f>
        <v>SR410</v>
      </c>
      <c r="F855" s="389">
        <f>VLOOKUP(C855,'RAW DATA 2023'!E:BO,57,0)</f>
        <v>224.57847388152484</v>
      </c>
      <c r="G855" s="63">
        <f>VLOOKUP(C855,'RAW DATA 2023'!E:BO,58,0)</f>
        <v>223</v>
      </c>
      <c r="H855" s="390">
        <f>IFERROR((G855-F855)/G855,0)</f>
        <v>-7.0783582131158885E-3</v>
      </c>
      <c r="I855" s="398">
        <f>IF(H855&lt;0,((0.25-(H855*(-1)))*$L$7),IF(H855&gt;0,(H855*$N$7)+$L$6,0))</f>
        <v>12.955820895300485</v>
      </c>
      <c r="J855" s="73">
        <f>VLOOKUP(C855,'RAW DATA 2023'!E:AC,21,0)</f>
        <v>18.741139999999998</v>
      </c>
      <c r="K855" s="398">
        <f>I855*J855</f>
        <v>242.80685321375171</v>
      </c>
    </row>
    <row r="856" spans="1:11">
      <c r="A856" s="63" t="str">
        <f>'RAW DATA 2023'!B757</f>
        <v>SR4</v>
      </c>
      <c r="B856" s="63" t="str">
        <f>'RAW DATA 2023'!D757</f>
        <v>B1-063-0009</v>
      </c>
      <c r="C856" s="63" t="str">
        <f>A856&amp;B856</f>
        <v>SR4B1-063-0009</v>
      </c>
      <c r="D856" s="63">
        <f>VLOOKUP(C856,'RAW DATA 2023'!E:BP,63,0)</f>
        <v>10</v>
      </c>
      <c r="E856" s="63" t="str">
        <f>A856&amp;D856</f>
        <v>SR410</v>
      </c>
      <c r="F856" s="389">
        <f>VLOOKUP(C856,'RAW DATA 2023'!E:BO,57,0)</f>
        <v>241.88963692099523</v>
      </c>
      <c r="G856" s="63">
        <f>VLOOKUP(C856,'RAW DATA 2023'!E:BO,58,0)</f>
        <v>207</v>
      </c>
      <c r="H856" s="390">
        <f>IFERROR((G856-F856)/G856,0)</f>
        <v>-0.1685489706328272</v>
      </c>
      <c r="I856" s="398">
        <f>IF(H856&lt;0,((0.25-(H856*(-1)))*$L$7),IF(H856&gt;0,(H856*$N$7)+$L$6,0))</f>
        <v>4.3440548995825496</v>
      </c>
      <c r="J856" s="73">
        <f>VLOOKUP(C856,'RAW DATA 2023'!E:AC,21,0)</f>
        <v>18.209259999999997</v>
      </c>
      <c r="K856" s="398">
        <f>I856*J856</f>
        <v>79.102025120772524</v>
      </c>
    </row>
    <row r="857" spans="1:11">
      <c r="A857" s="63" t="str">
        <f>'RAW DATA 2023'!B760</f>
        <v>SR4</v>
      </c>
      <c r="B857" s="63" t="str">
        <f>'RAW DATA 2023'!D760</f>
        <v>B1-064-0008</v>
      </c>
      <c r="C857" s="63" t="str">
        <f>A857&amp;B857</f>
        <v>SR4B1-064-0008</v>
      </c>
      <c r="D857" s="63">
        <f>VLOOKUP(C857,'RAW DATA 2023'!E:BP,63,0)</f>
        <v>10</v>
      </c>
      <c r="E857" s="63" t="str">
        <f>A857&amp;D857</f>
        <v>SR410</v>
      </c>
      <c r="F857" s="389">
        <f>VLOOKUP(C857,'RAW DATA 2023'!E:BO,57,0)</f>
        <v>225.19664321335182</v>
      </c>
      <c r="G857" s="63">
        <f>VLOOKUP(C857,'RAW DATA 2023'!E:BO,58,0)</f>
        <v>204</v>
      </c>
      <c r="H857" s="390">
        <f>IFERROR((G857-F857)/G857,0)</f>
        <v>-0.10390511379094029</v>
      </c>
      <c r="I857" s="398">
        <f>IF(H857&lt;0,((0.25-(H857*(-1)))*$L$7),IF(H857&gt;0,(H857*$N$7)+$L$6,0))</f>
        <v>7.7917272644831836</v>
      </c>
      <c r="J857" s="73">
        <f>VLOOKUP(C857,'RAW DATA 2023'!E:AC,21,0)</f>
        <v>20.18478</v>
      </c>
      <c r="K857" s="398">
        <f>I857*J857</f>
        <v>157.27430065359488</v>
      </c>
    </row>
    <row r="858" spans="1:11">
      <c r="A858" s="63" t="str">
        <f>'RAW DATA 2023'!B762</f>
        <v>SR4</v>
      </c>
      <c r="B858" s="63" t="str">
        <f>'RAW DATA 2023'!D762</f>
        <v>B1-067-0011</v>
      </c>
      <c r="C858" s="63" t="str">
        <f>A858&amp;B858</f>
        <v>SR4B1-067-0011</v>
      </c>
      <c r="D858" s="63">
        <f>VLOOKUP(C858,'RAW DATA 2023'!E:BP,63,0)</f>
        <v>10</v>
      </c>
      <c r="E858" s="63" t="str">
        <f>A858&amp;D858</f>
        <v>SR410</v>
      </c>
      <c r="F858" s="389">
        <f>VLOOKUP(C858,'RAW DATA 2023'!E:BO,57,0)</f>
        <v>216.59807669368533</v>
      </c>
      <c r="G858" s="63">
        <f>VLOOKUP(C858,'RAW DATA 2023'!E:BO,58,0)</f>
        <v>172</v>
      </c>
      <c r="H858" s="390">
        <f>IFERROR((G858-F858)/G858,0)</f>
        <v>-0.25929114356793798</v>
      </c>
      <c r="I858" s="398">
        <f>IF(H858&lt;0,((0.25-(H858*(-1)))*$L$7),IF(H858&gt;0,(H858*$N$7)+$L$6,0))</f>
        <v>-0.4955276569566921</v>
      </c>
      <c r="J858" s="73">
        <f>VLOOKUP(C858,'RAW DATA 2023'!E:AC,21,0)</f>
        <v>14.08408</v>
      </c>
      <c r="K858" s="398">
        <f>I858*J858</f>
        <v>-6.9790511627906078</v>
      </c>
    </row>
    <row r="859" spans="1:11">
      <c r="A859" s="63" t="str">
        <f>'RAW DATA 2023'!B763</f>
        <v>SR4</v>
      </c>
      <c r="B859" s="63" t="str">
        <f>'RAW DATA 2023'!D763</f>
        <v>B1-066-0009</v>
      </c>
      <c r="C859" s="63" t="str">
        <f>A859&amp;B859</f>
        <v>SR4B1-066-0009</v>
      </c>
      <c r="D859" s="63">
        <f>VLOOKUP(C859,'RAW DATA 2023'!E:BP,63,0)</f>
        <v>10</v>
      </c>
      <c r="E859" s="63" t="str">
        <f>A859&amp;D859</f>
        <v>SR410</v>
      </c>
      <c r="F859" s="389">
        <f>VLOOKUP(C859,'RAW DATA 2023'!E:BO,57,0)</f>
        <v>201.26355580929817</v>
      </c>
      <c r="G859" s="63">
        <f>VLOOKUP(C859,'RAW DATA 2023'!E:BO,58,0)</f>
        <v>166</v>
      </c>
      <c r="H859" s="390">
        <f>IFERROR((G859-F859)/G859,0)</f>
        <v>-0.21243105909215765</v>
      </c>
      <c r="I859" s="398">
        <f>IF(H859&lt;0,((0.25-(H859*(-1)))*$L$7),IF(H859&gt;0,(H859*$N$7)+$L$6,0))</f>
        <v>2.0036768484182588</v>
      </c>
      <c r="J859" s="73">
        <f>VLOOKUP(C859,'RAW DATA 2023'!E:AC,21,0)</f>
        <v>9.8262299999999989</v>
      </c>
      <c r="K859" s="398">
        <f>I859*J859</f>
        <v>19.688589558232945</v>
      </c>
    </row>
    <row r="860" spans="1:11">
      <c r="A860" s="63" t="str">
        <f>'RAW DATA 2023'!B742</f>
        <v>SR4</v>
      </c>
      <c r="B860" s="63" t="str">
        <f>'RAW DATA 2023'!D742</f>
        <v>G1-052-0012</v>
      </c>
      <c r="C860" s="63" t="str">
        <f>A860&amp;B860</f>
        <v>SR4G1-052-0012</v>
      </c>
      <c r="D860" s="63">
        <f>VLOOKUP(C860,'RAW DATA 2023'!E:BP,63,0)</f>
        <v>11</v>
      </c>
      <c r="E860" s="63" t="str">
        <f>A860&amp;D860</f>
        <v>SR411</v>
      </c>
      <c r="F860" s="389">
        <f>VLOOKUP(C860,'RAW DATA 2023'!E:BO,57,0)</f>
        <v>234.80895969111648</v>
      </c>
      <c r="G860" s="63">
        <f>VLOOKUP(C860,'RAW DATA 2023'!E:BO,58,0)</f>
        <v>223</v>
      </c>
      <c r="H860" s="390">
        <f>IFERROR((G860-F860)/G860,0)</f>
        <v>-5.2954976193347464E-2</v>
      </c>
      <c r="I860" s="398">
        <f>IF(H860&lt;0,((0.25-(H860*(-1)))*$L$7),IF(H860&gt;0,(H860*$N$7)+$L$6,0))</f>
        <v>10.509067936354802</v>
      </c>
      <c r="J860" s="73">
        <f>VLOOKUP(C860,'RAW DATA 2023'!E:AC,21,0)</f>
        <v>17.580740000000002</v>
      </c>
      <c r="K860" s="398">
        <f>I860*J860</f>
        <v>184.75719103139033</v>
      </c>
    </row>
    <row r="861" spans="1:11">
      <c r="A861" s="63" t="str">
        <f>'RAW DATA 2023'!B745</f>
        <v>SR4</v>
      </c>
      <c r="B861" s="63" t="str">
        <f>'RAW DATA 2023'!D745</f>
        <v>G2-058-0008</v>
      </c>
      <c r="C861" s="63" t="str">
        <f>A861&amp;B861</f>
        <v>SR4G2-058-0008</v>
      </c>
      <c r="D861" s="63">
        <f>VLOOKUP(C861,'RAW DATA 2023'!E:BP,63,0)</f>
        <v>12</v>
      </c>
      <c r="E861" s="63" t="str">
        <f>A861&amp;D861</f>
        <v>SR412</v>
      </c>
      <c r="F861" s="389">
        <f>VLOOKUP(C861,'RAW DATA 2023'!E:BO,57,0)</f>
        <v>335.60627899669134</v>
      </c>
      <c r="G861" s="63">
        <f>VLOOKUP(C861,'RAW DATA 2023'!E:BO,58,0)</f>
        <v>189</v>
      </c>
      <c r="H861" s="390">
        <f>IFERROR((G861-F861)/G861,0)</f>
        <v>-0.77569459786609174</v>
      </c>
      <c r="I861" s="398">
        <f>IF(H861&lt;0,((0.25-(H861*(-1)))*$L$7),IF(H861&gt;0,(H861*$N$7)+$L$6,0))</f>
        <v>-28.037045219524895</v>
      </c>
      <c r="J861" s="73">
        <f>VLOOKUP(C861,'RAW DATA 2023'!E:AC,21,0)</f>
        <v>10.820200000000002</v>
      </c>
      <c r="K861" s="398">
        <f>I861*J861</f>
        <v>-303.36643668430332</v>
      </c>
    </row>
    <row r="862" spans="1:11">
      <c r="A862" s="63" t="str">
        <f>'RAW DATA 2023'!B750</f>
        <v>SR4</v>
      </c>
      <c r="B862" s="63" t="str">
        <f>'RAW DATA 2023'!D750</f>
        <v>G2-059-0012</v>
      </c>
      <c r="C862" s="63" t="str">
        <f>A862&amp;B862</f>
        <v>SR4G2-059-0012</v>
      </c>
      <c r="D862" s="63">
        <f>VLOOKUP(C862,'RAW DATA 2023'!E:BP,63,0)</f>
        <v>12</v>
      </c>
      <c r="E862" s="63" t="str">
        <f>A862&amp;D862</f>
        <v>SR412</v>
      </c>
      <c r="F862" s="389">
        <f>VLOOKUP(C862,'RAW DATA 2023'!E:BO,57,0)</f>
        <v>252.81738879424569</v>
      </c>
      <c r="G862" s="63">
        <f>VLOOKUP(C862,'RAW DATA 2023'!E:BO,58,0)</f>
        <v>183</v>
      </c>
      <c r="H862" s="390">
        <f>IFERROR((G862-F862)/G862,0)</f>
        <v>-0.38151578576090539</v>
      </c>
      <c r="I862" s="398">
        <f>IF(H862&lt;0,((0.25-(H862*(-1)))*$L$7),IF(H862&gt;0,(H862*$N$7)+$L$6,0))</f>
        <v>-7.0141752405816211</v>
      </c>
      <c r="J862" s="73">
        <f>VLOOKUP(C862,'RAW DATA 2023'!E:AC,21,0)</f>
        <v>10.566000000000001</v>
      </c>
      <c r="K862" s="398">
        <f>I862*J862</f>
        <v>-74.11177559198542</v>
      </c>
    </row>
    <row r="863" spans="1:11">
      <c r="A863" s="63" t="str">
        <f>'RAW DATA 2023'!B752</f>
        <v>SR4</v>
      </c>
      <c r="B863" s="63" t="str">
        <f>'RAW DATA 2023'!D752</f>
        <v>G2-058-0006</v>
      </c>
      <c r="C863" s="63" t="str">
        <f>A863&amp;B863</f>
        <v>SR4G2-058-0006</v>
      </c>
      <c r="D863" s="63">
        <f>VLOOKUP(C863,'RAW DATA 2023'!E:BP,63,0)</f>
        <v>2</v>
      </c>
      <c r="E863" s="63" t="str">
        <f>A863&amp;D863</f>
        <v>SR42</v>
      </c>
      <c r="F863" s="389">
        <f>VLOOKUP(C863,'RAW DATA 2023'!E:BO,57,0)</f>
        <v>276.34447994889831</v>
      </c>
      <c r="G863" s="63">
        <f>VLOOKUP(C863,'RAW DATA 2023'!E:BO,58,0)</f>
        <v>150</v>
      </c>
      <c r="H863" s="390">
        <f>IFERROR((G863-F863)/G863,0)</f>
        <v>-0.84229653299265539</v>
      </c>
      <c r="I863" s="398">
        <f>IF(H863&lt;0,((0.25-(H863*(-1)))*$L$7),IF(H863&gt;0,(H863*$N$7)+$L$6,0))</f>
        <v>-31.589148426274956</v>
      </c>
      <c r="J863" s="73">
        <f>VLOOKUP(C863,'RAW DATA 2023'!E:AC,21,0)</f>
        <v>6.4811899999999998</v>
      </c>
      <c r="K863" s="398">
        <f>I863*J863</f>
        <v>-204.73527288888897</v>
      </c>
    </row>
    <row r="864" spans="1:11">
      <c r="A864" s="63" t="str">
        <f>'RAW DATA 2023'!B754</f>
        <v>SR4</v>
      </c>
      <c r="B864" s="63" t="str">
        <f>'RAW DATA 2023'!D754</f>
        <v>G2-057-0009</v>
      </c>
      <c r="C864" s="63" t="str">
        <f>A864&amp;B864</f>
        <v>SR4G2-057-0009</v>
      </c>
      <c r="D864" s="63">
        <f>VLOOKUP(C864,'RAW DATA 2023'!E:BP,63,0)</f>
        <v>3</v>
      </c>
      <c r="E864" s="63" t="str">
        <f>A864&amp;D864</f>
        <v>SR43</v>
      </c>
      <c r="F864" s="389">
        <f>VLOOKUP(C864,'RAW DATA 2023'!E:BO,57,0)</f>
        <v>0</v>
      </c>
      <c r="G864" s="63">
        <f>VLOOKUP(C864,'RAW DATA 2023'!E:BO,58,0)</f>
        <v>0</v>
      </c>
      <c r="H864" s="390">
        <f>IFERROR((G864-F864)/G864,0)</f>
        <v>0</v>
      </c>
      <c r="I864" s="398">
        <f>IF(H864&lt;0,((0.25-(H864*(-1)))*$L$7),IF(H864&gt;0,(H864*$N$7)+$L$6,0))</f>
        <v>0</v>
      </c>
      <c r="J864" s="73">
        <f>VLOOKUP(C864,'RAW DATA 2023'!E:AC,21,0)</f>
        <v>0</v>
      </c>
      <c r="K864" s="398">
        <f>I864*J864</f>
        <v>0</v>
      </c>
    </row>
    <row r="865" spans="1:11">
      <c r="A865" s="63" t="str">
        <f>'RAW DATA 2023'!B751</f>
        <v>SR4</v>
      </c>
      <c r="B865" s="63" t="str">
        <f>'RAW DATA 2023'!D751</f>
        <v>G2-059-0010</v>
      </c>
      <c r="C865" s="63" t="str">
        <f>A865&amp;B865</f>
        <v>SR4G2-059-0010</v>
      </c>
      <c r="D865" s="63">
        <f>VLOOKUP(C865,'RAW DATA 2023'!E:BP,63,0)</f>
        <v>4</v>
      </c>
      <c r="E865" s="63" t="str">
        <f>A865&amp;D865</f>
        <v>SR44</v>
      </c>
      <c r="F865" s="389">
        <f>VLOOKUP(C865,'RAW DATA 2023'!E:BO,57,0)</f>
        <v>381.89797118114666</v>
      </c>
      <c r="G865" s="63">
        <f>VLOOKUP(C865,'RAW DATA 2023'!E:BO,58,0)</f>
        <v>183</v>
      </c>
      <c r="H865" s="390">
        <f>IFERROR((G865-F865)/G865,0)</f>
        <v>-1.0868741594598179</v>
      </c>
      <c r="I865" s="398">
        <f>IF(H865&lt;0,((0.25-(H865*(-1)))*$L$7),IF(H865&gt;0,(H865*$N$7)+$L$6,0))</f>
        <v>-44.633288504523627</v>
      </c>
      <c r="J865" s="73">
        <f>VLOOKUP(C865,'RAW DATA 2023'!E:AC,21,0)</f>
        <v>9.2876700000000003</v>
      </c>
      <c r="K865" s="398">
        <f>I865*J865</f>
        <v>-414.53925464480898</v>
      </c>
    </row>
    <row r="866" spans="1:11">
      <c r="A866" s="63" t="str">
        <f>'RAW DATA 2023'!B748</f>
        <v>SR4</v>
      </c>
      <c r="B866" s="63" t="str">
        <f>'RAW DATA 2023'!D748</f>
        <v>G1-053-0008</v>
      </c>
      <c r="C866" s="63" t="str">
        <f>A866&amp;B866</f>
        <v>SR4G1-053-0008</v>
      </c>
      <c r="D866" s="63">
        <f>VLOOKUP(C866,'RAW DATA 2023'!E:BP,63,0)</f>
        <v>5</v>
      </c>
      <c r="E866" s="63" t="str">
        <f>A866&amp;D866</f>
        <v>SR45</v>
      </c>
      <c r="F866" s="389">
        <f>VLOOKUP(C866,'RAW DATA 2023'!E:BO,57,0)</f>
        <v>452.01888370092939</v>
      </c>
      <c r="G866" s="63">
        <f>VLOOKUP(C866,'RAW DATA 2023'!E:BO,58,0)</f>
        <v>191</v>
      </c>
      <c r="H866" s="390">
        <f>IFERROR((G866-F866)/G866,0)</f>
        <v>-1.3665910141409916</v>
      </c>
      <c r="I866" s="398">
        <f>IF(H866&lt;0,((0.25-(H866*(-1)))*$L$7),IF(H866&gt;0,(H866*$N$7)+$L$6,0))</f>
        <v>-59.551520754186221</v>
      </c>
      <c r="J866" s="73">
        <f>VLOOKUP(C866,'RAW DATA 2023'!E:AC,21,0)</f>
        <v>7.5345399999999998</v>
      </c>
      <c r="K866" s="398">
        <f>I866*J866</f>
        <v>-448.69331518324623</v>
      </c>
    </row>
    <row r="867" spans="1:11">
      <c r="A867" s="63" t="str">
        <f>'RAW DATA 2023'!B749</f>
        <v>SR4</v>
      </c>
      <c r="B867" s="63" t="str">
        <f>'RAW DATA 2023'!D749</f>
        <v>G1-051-0009</v>
      </c>
      <c r="C867" s="63" t="str">
        <f>A867&amp;B867</f>
        <v>SR4G1-051-0009</v>
      </c>
      <c r="D867" s="63">
        <f>VLOOKUP(C867,'RAW DATA 2023'!E:BP,63,0)</f>
        <v>5</v>
      </c>
      <c r="E867" s="63" t="str">
        <f>A867&amp;D867</f>
        <v>SR45</v>
      </c>
      <c r="F867" s="389">
        <f>VLOOKUP(C867,'RAW DATA 2023'!E:BO,57,0)</f>
        <v>190.09734721361235</v>
      </c>
      <c r="G867" s="63">
        <f>VLOOKUP(C867,'RAW DATA 2023'!E:BO,58,0)</f>
        <v>204</v>
      </c>
      <c r="H867" s="390">
        <f>IFERROR((G867-F867)/G867,0)</f>
        <v>6.8150258756802196E-2</v>
      </c>
      <c r="I867" s="398">
        <f>IF(H867&lt;0,((0.25-(H867*(-1)))*$L$7),IF(H867&gt;0,(H867*$N$7)+$L$6,0))</f>
        <v>16.968013800362783</v>
      </c>
      <c r="J867" s="73">
        <f>VLOOKUP(C867,'RAW DATA 2023'!E:AC,21,0)</f>
        <v>23.390499999999999</v>
      </c>
      <c r="K867" s="398">
        <f>I867*J867</f>
        <v>396.89032679738568</v>
      </c>
    </row>
    <row r="868" spans="1:11">
      <c r="A868" s="63" t="str">
        <f>'RAW DATA 2023'!B746</f>
        <v>SR4</v>
      </c>
      <c r="B868" s="63" t="str">
        <f>'RAW DATA 2023'!D746</f>
        <v>G1-052-0011</v>
      </c>
      <c r="C868" s="63" t="str">
        <f>A868&amp;B868</f>
        <v>SR4G1-052-0011</v>
      </c>
      <c r="D868" s="63">
        <f>VLOOKUP(C868,'RAW DATA 2023'!E:BP,63,0)</f>
        <v>6</v>
      </c>
      <c r="E868" s="63" t="str">
        <f>A868&amp;D868</f>
        <v>SR46</v>
      </c>
      <c r="F868" s="389">
        <f>VLOOKUP(C868,'RAW DATA 2023'!E:BO,57,0)</f>
        <v>211.17792504093859</v>
      </c>
      <c r="G868" s="63">
        <f>VLOOKUP(C868,'RAW DATA 2023'!E:BO,58,0)</f>
        <v>204</v>
      </c>
      <c r="H868" s="390">
        <f>IFERROR((G868-F868)/G868,0)</f>
        <v>-3.5185907063424456E-2</v>
      </c>
      <c r="I868" s="398">
        <f>IF(H868&lt;0,((0.25-(H868*(-1)))*$L$7),IF(H868&gt;0,(H868*$N$7)+$L$6,0))</f>
        <v>11.456751623284029</v>
      </c>
      <c r="J868" s="73">
        <f>VLOOKUP(C868,'RAW DATA 2023'!E:AC,21,0)</f>
        <v>22.82686</v>
      </c>
      <c r="K868" s="398">
        <f>I868*J868</f>
        <v>261.52166535947725</v>
      </c>
    </row>
    <row r="869" spans="1:11">
      <c r="A869" s="63" t="str">
        <f>'RAW DATA 2023'!B758</f>
        <v>SR4</v>
      </c>
      <c r="B869" s="63" t="str">
        <f>'RAW DATA 2023'!D758</f>
        <v>B1-068-0003</v>
      </c>
      <c r="C869" s="63" t="str">
        <f>A869&amp;B869</f>
        <v>SR4B1-068-0003</v>
      </c>
      <c r="D869" s="63">
        <f>VLOOKUP(C869,'RAW DATA 2023'!E:BP,63,0)</f>
        <v>6</v>
      </c>
      <c r="E869" s="63" t="str">
        <f>A869&amp;D869</f>
        <v>SR46</v>
      </c>
      <c r="F869" s="389">
        <f>VLOOKUP(C869,'RAW DATA 2023'!E:BO,57,0)</f>
        <v>291.98385433195813</v>
      </c>
      <c r="G869" s="63">
        <f>VLOOKUP(C869,'RAW DATA 2023'!E:BO,58,0)</f>
        <v>210</v>
      </c>
      <c r="H869" s="390">
        <f>IFERROR((G869-F869)/G869,0)</f>
        <v>-0.39039930634265774</v>
      </c>
      <c r="I869" s="398">
        <f>IF(H869&lt;0,((0.25-(H869*(-1)))*$L$7),IF(H869&gt;0,(H869*$N$7)+$L$6,0))</f>
        <v>-7.4879630049417463</v>
      </c>
      <c r="J869" s="73">
        <f>VLOOKUP(C869,'RAW DATA 2023'!E:AC,21,0)</f>
        <v>11.59568</v>
      </c>
      <c r="K869" s="398">
        <f>I869*J869</f>
        <v>-86.828022857142912</v>
      </c>
    </row>
    <row r="870" spans="1:11">
      <c r="A870" s="63" t="str">
        <f>'RAW DATA 2023'!B759</f>
        <v>SR4</v>
      </c>
      <c r="B870" s="63" t="str">
        <f>'RAW DATA 2023'!D759</f>
        <v>B1-065-0002</v>
      </c>
      <c r="C870" s="63" t="str">
        <f>A870&amp;B870</f>
        <v>SR4B1-065-0002</v>
      </c>
      <c r="D870" s="63">
        <f>VLOOKUP(C870,'RAW DATA 2023'!E:BP,63,0)</f>
        <v>6</v>
      </c>
      <c r="E870" s="63" t="str">
        <f>A870&amp;D870</f>
        <v>SR46</v>
      </c>
      <c r="F870" s="389">
        <f>VLOOKUP(C870,'RAW DATA 2023'!E:BO,57,0)</f>
        <v>280.16096232701688</v>
      </c>
      <c r="G870" s="63">
        <f>VLOOKUP(C870,'RAW DATA 2023'!E:BO,58,0)</f>
        <v>214</v>
      </c>
      <c r="H870" s="390">
        <f>IFERROR((G870-F870)/G870,0)</f>
        <v>-0.30916337535989197</v>
      </c>
      <c r="I870" s="398">
        <f>IF(H870&lt;0,((0.25-(H870*(-1)))*$L$7),IF(H870&gt;0,(H870*$N$7)+$L$6,0))</f>
        <v>-3.1553800191942383</v>
      </c>
      <c r="J870" s="73">
        <f>VLOOKUP(C870,'RAW DATA 2023'!E:AC,21,0)</f>
        <v>12.776530000000001</v>
      </c>
      <c r="K870" s="398">
        <f>I870*J870</f>
        <v>-40.314807476635764</v>
      </c>
    </row>
    <row r="871" spans="1:11">
      <c r="A871" s="63" t="str">
        <f>'RAW DATA 2023'!B761</f>
        <v>SR4</v>
      </c>
      <c r="B871" s="63" t="str">
        <f>'RAW DATA 2023'!D761</f>
        <v>B1-067-0010</v>
      </c>
      <c r="C871" s="63" t="str">
        <f>A871&amp;B871</f>
        <v>SR4B1-067-0010</v>
      </c>
      <c r="D871" s="63">
        <f>VLOOKUP(C871,'RAW DATA 2023'!E:BP,63,0)</f>
        <v>6</v>
      </c>
      <c r="E871" s="63" t="str">
        <f>A871&amp;D871</f>
        <v>SR46</v>
      </c>
      <c r="F871" s="389">
        <f>VLOOKUP(C871,'RAW DATA 2023'!E:BO,57,0)</f>
        <v>303.36548266117188</v>
      </c>
      <c r="G871" s="63">
        <f>VLOOKUP(C871,'RAW DATA 2023'!E:BO,58,0)</f>
        <v>200</v>
      </c>
      <c r="H871" s="390">
        <f>IFERROR((G871-F871)/G871,0)</f>
        <v>-0.51682741330585946</v>
      </c>
      <c r="I871" s="398">
        <f>IF(H871&lt;0,((0.25-(H871*(-1)))*$L$7),IF(H871&gt;0,(H871*$N$7)+$L$6,0))</f>
        <v>-14.230795376312505</v>
      </c>
      <c r="J871" s="73">
        <f>VLOOKUP(C871,'RAW DATA 2023'!E:AC,21,0)</f>
        <v>12.46278</v>
      </c>
      <c r="K871" s="398">
        <f>I871*J871</f>
        <v>-177.35527199999996</v>
      </c>
    </row>
    <row r="872" spans="1:11">
      <c r="A872" s="63" t="str">
        <f>'RAW DATA 2023'!B740</f>
        <v>SR4</v>
      </c>
      <c r="B872" s="63" t="str">
        <f>'RAW DATA 2023'!D740</f>
        <v>G2-058-0007</v>
      </c>
      <c r="C872" s="63" t="str">
        <f>A872&amp;B872</f>
        <v>SR4G2-058-0007</v>
      </c>
      <c r="D872" s="63">
        <f>VLOOKUP(C872,'RAW DATA 2023'!E:BP,63,0)</f>
        <v>7</v>
      </c>
      <c r="E872" s="63" t="str">
        <f>A872&amp;D872</f>
        <v>SR47</v>
      </c>
      <c r="F872" s="389">
        <f>VLOOKUP(C872,'RAW DATA 2023'!E:BO,57,0)</f>
        <v>237.72892568869449</v>
      </c>
      <c r="G872" s="63">
        <f>VLOOKUP(C872,'RAW DATA 2023'!E:BO,58,0)</f>
        <v>241</v>
      </c>
      <c r="H872" s="390">
        <f>IFERROR((G872-F872)/G872,0)</f>
        <v>1.3572922453549841E-2</v>
      </c>
      <c r="I872" s="398">
        <f>IF(H872&lt;0,((0.25-(H872*(-1)))*$L$7),IF(H872&gt;0,(H872*$N$7)+$L$6,0))</f>
        <v>14.057222530855991</v>
      </c>
      <c r="J872" s="73">
        <f>VLOOKUP(C872,'RAW DATA 2023'!E:AC,21,0)</f>
        <v>14.40225</v>
      </c>
      <c r="K872" s="398">
        <f>I872*J872</f>
        <v>202.45563319502071</v>
      </c>
    </row>
    <row r="873" spans="1:11">
      <c r="A873" s="63" t="str">
        <f>'RAW DATA 2023'!B755</f>
        <v>SR4</v>
      </c>
      <c r="B873" s="63" t="str">
        <f>'RAW DATA 2023'!D755</f>
        <v>F1-022-0003</v>
      </c>
      <c r="C873" s="63" t="str">
        <f>A873&amp;B873</f>
        <v>SR4F1-022-0003</v>
      </c>
      <c r="D873" s="63">
        <f>VLOOKUP(C873,'RAW DATA 2023'!E:BP,63,0)</f>
        <v>7</v>
      </c>
      <c r="E873" s="63" t="str">
        <f>A873&amp;D873</f>
        <v>SR47</v>
      </c>
      <c r="F873" s="389">
        <f>VLOOKUP(C873,'RAW DATA 2023'!E:BO,57,0)</f>
        <v>208.2168789895654</v>
      </c>
      <c r="G873" s="63">
        <f>VLOOKUP(C873,'RAW DATA 2023'!E:BO,58,0)</f>
        <v>184</v>
      </c>
      <c r="H873" s="390">
        <f>IFERROR((G873-F873)/G873,0)</f>
        <v>-0.13161347276937718</v>
      </c>
      <c r="I873" s="398">
        <f>IF(H873&lt;0,((0.25-(H873*(-1)))*$L$7),IF(H873&gt;0,(H873*$N$7)+$L$6,0))</f>
        <v>6.3139481189665503</v>
      </c>
      <c r="J873" s="73">
        <f>VLOOKUP(C873,'RAW DATA 2023'!E:AC,21,0)</f>
        <v>58.747</v>
      </c>
      <c r="K873" s="398">
        <f>I873*J873</f>
        <v>370.92551014492796</v>
      </c>
    </row>
    <row r="874" spans="1:11">
      <c r="A874" s="63" t="str">
        <f>'RAW DATA 2023'!B756</f>
        <v>SR4</v>
      </c>
      <c r="B874" s="63" t="str">
        <f>'RAW DATA 2023'!D756</f>
        <v>B1-066-0008</v>
      </c>
      <c r="C874" s="63" t="str">
        <f>A874&amp;B874</f>
        <v>SR4B1-066-0008</v>
      </c>
      <c r="D874" s="63">
        <f>VLOOKUP(C874,'RAW DATA 2023'!E:BP,63,0)</f>
        <v>7</v>
      </c>
      <c r="E874" s="63" t="str">
        <f>A874&amp;D874</f>
        <v>SR47</v>
      </c>
      <c r="F874" s="389">
        <f>VLOOKUP(C874,'RAW DATA 2023'!E:BO,57,0)</f>
        <v>318.87556296379404</v>
      </c>
      <c r="G874" s="63">
        <f>VLOOKUP(C874,'RAW DATA 2023'!E:BO,58,0)</f>
        <v>223</v>
      </c>
      <c r="H874" s="390">
        <f>IFERROR((G874-F874)/G874,0)</f>
        <v>-0.42993525992732751</v>
      </c>
      <c r="I874" s="398">
        <f>IF(H874&lt;0,((0.25-(H874*(-1)))*$L$7),IF(H874&gt;0,(H874*$N$7)+$L$6,0))</f>
        <v>-9.5965471961241349</v>
      </c>
      <c r="J874" s="73">
        <f>VLOOKUP(C874,'RAW DATA 2023'!E:AC,21,0)</f>
        <v>9.3589500000000001</v>
      </c>
      <c r="K874" s="398">
        <f>I874*J874</f>
        <v>-89.813605381165971</v>
      </c>
    </row>
    <row r="875" spans="1:11">
      <c r="A875" s="63" t="str">
        <f>'RAW DATA 2023'!B741</f>
        <v>SR4</v>
      </c>
      <c r="B875" s="63" t="str">
        <f>'RAW DATA 2023'!D741</f>
        <v>G2-059-0011</v>
      </c>
      <c r="C875" s="63" t="str">
        <f>A875&amp;B875</f>
        <v>SR4G2-059-0011</v>
      </c>
      <c r="D875" s="63">
        <f>VLOOKUP(C875,'RAW DATA 2023'!E:BP,63,0)</f>
        <v>8</v>
      </c>
      <c r="E875" s="63" t="str">
        <f>A875&amp;D875</f>
        <v>SR48</v>
      </c>
      <c r="F875" s="389">
        <f>VLOOKUP(C875,'RAW DATA 2023'!E:BO,57,0)</f>
        <v>195.61208565742609</v>
      </c>
      <c r="G875" s="63">
        <f>VLOOKUP(C875,'RAW DATA 2023'!E:BO,58,0)</f>
        <v>219</v>
      </c>
      <c r="H875" s="390">
        <f>IFERROR((G875-F875)/G875,0)</f>
        <v>0.1067941294181457</v>
      </c>
      <c r="I875" s="398">
        <f>IF(H875&lt;0,((0.25-(H875*(-1)))*$L$7),IF(H875&gt;0,(H875*$N$7)+$L$6,0))</f>
        <v>19.029020235634437</v>
      </c>
      <c r="J875" s="73">
        <f>VLOOKUP(C875,'RAW DATA 2023'!E:AC,21,0)</f>
        <v>20.43629</v>
      </c>
      <c r="K875" s="398">
        <f>I875*J875</f>
        <v>388.88257595129369</v>
      </c>
    </row>
    <row r="876" spans="1:11">
      <c r="A876" s="63" t="str">
        <f>'RAW DATA 2023'!B738</f>
        <v>SR4</v>
      </c>
      <c r="B876" s="63" t="str">
        <f>'RAW DATA 2023'!D738</f>
        <v>H1-048-0014</v>
      </c>
      <c r="C876" s="63" t="str">
        <f>A876&amp;B876</f>
        <v>SR4H1-048-0014</v>
      </c>
      <c r="D876" s="63">
        <f>VLOOKUP(C876,'RAW DATA 2023'!E:BP,63,0)</f>
        <v>9</v>
      </c>
      <c r="E876" s="63" t="str">
        <f>A876&amp;D876</f>
        <v>SR49</v>
      </c>
      <c r="F876" s="389">
        <f>VLOOKUP(C876,'RAW DATA 2023'!E:BO,57,0)</f>
        <v>263.92280504540582</v>
      </c>
      <c r="G876" s="63">
        <f>VLOOKUP(C876,'RAW DATA 2023'!E:BO,58,0)</f>
        <v>214</v>
      </c>
      <c r="H876" s="390">
        <f>IFERROR((G876-F876)/G876,0)</f>
        <v>-0.23328413572619544</v>
      </c>
      <c r="I876" s="398">
        <f>IF(H876&lt;0,((0.25-(H876*(-1)))*$L$7),IF(H876&gt;0,(H876*$N$7)+$L$6,0))</f>
        <v>0.89151276126957657</v>
      </c>
      <c r="J876" s="73">
        <f>VLOOKUP(C876,'RAW DATA 2023'!E:AC,21,0)</f>
        <v>24.374650000000003</v>
      </c>
      <c r="K876" s="398">
        <f>I876*J876</f>
        <v>21.730311526479486</v>
      </c>
    </row>
    <row r="877" spans="1:11">
      <c r="A877" s="63" t="str">
        <f>'RAW DATA 2023'!B747</f>
        <v>SR4</v>
      </c>
      <c r="B877" s="63" t="str">
        <f>'RAW DATA 2023'!D747</f>
        <v>G2-057-0010</v>
      </c>
      <c r="C877" s="63" t="str">
        <f>A877&amp;B877</f>
        <v>SR4G2-057-0010</v>
      </c>
      <c r="D877" s="63">
        <f>VLOOKUP(C877,'RAW DATA 2023'!E:BP,63,0)</f>
        <v>9</v>
      </c>
      <c r="E877" s="63" t="str">
        <f>A877&amp;D877</f>
        <v>SR49</v>
      </c>
      <c r="F877" s="389">
        <f>VLOOKUP(C877,'RAW DATA 2023'!E:BO,57,0)</f>
        <v>163.83811835661331</v>
      </c>
      <c r="G877" s="63">
        <f>VLOOKUP(C877,'RAW DATA 2023'!E:BO,58,0)</f>
        <v>210</v>
      </c>
      <c r="H877" s="390">
        <f>IFERROR((G877-F877)/G877,0)</f>
        <v>0.21981848401612711</v>
      </c>
      <c r="I877" s="398">
        <f>IF(H877&lt;0,((0.25-(H877*(-1)))*$L$7),IF(H877&gt;0,(H877*$N$7)+$L$6,0))</f>
        <v>25.056985814193446</v>
      </c>
      <c r="J877" s="73">
        <f>VLOOKUP(C877,'RAW DATA 2023'!E:AC,21,0)</f>
        <v>29.413650000000001</v>
      </c>
      <c r="K877" s="398">
        <f>I877*J877</f>
        <v>737.01741079365104</v>
      </c>
    </row>
    <row r="878" spans="1:11">
      <c r="A878" s="63" t="str">
        <f>'RAW DATA 2023'!B716</f>
        <v>Tachalab</v>
      </c>
      <c r="B878" s="63" t="str">
        <f>'RAW DATA 2023'!D716</f>
        <v>A1-006-0017</v>
      </c>
      <c r="C878" s="63" t="str">
        <f>A878&amp;B878</f>
        <v>TachalabA1-006-0017</v>
      </c>
      <c r="D878" s="63">
        <f>VLOOKUP(C878,'RAW DATA 2023'!E:BP,63,0)</f>
        <v>12</v>
      </c>
      <c r="E878" s="63" t="str">
        <f>A878&amp;D878</f>
        <v>Tachalab12</v>
      </c>
      <c r="F878" s="389">
        <f>VLOOKUP(C878,'RAW DATA 2023'!E:BO,57,0)</f>
        <v>273.277045473773</v>
      </c>
      <c r="G878" s="63">
        <f>VLOOKUP(C878,'RAW DATA 2023'!E:BO,58,0)</f>
        <v>165</v>
      </c>
      <c r="H878" s="390">
        <f>IFERROR((G878-F878)/G878,0)</f>
        <v>-0.65622451802286663</v>
      </c>
      <c r="I878" s="398">
        <f>IF(H878&lt;0,((0.25-(H878*(-1)))*$L$7),IF(H878&gt;0,(H878*$N$7)+$L$6,0))</f>
        <v>-21.665307627886222</v>
      </c>
      <c r="J878" s="73">
        <f>VLOOKUP(C878,'RAW DATA 2023'!E:AC,21,0)</f>
        <v>30.141549999999999</v>
      </c>
      <c r="K878" s="398">
        <f>I878*J878</f>
        <v>-653.02595313131394</v>
      </c>
    </row>
    <row r="879" spans="1:11">
      <c r="A879" s="63" t="str">
        <f>'RAW DATA 2023'!B717</f>
        <v>Tachalab</v>
      </c>
      <c r="B879" s="63" t="str">
        <f>'RAW DATA 2023'!D717</f>
        <v>B1-023-0012</v>
      </c>
      <c r="C879" s="63" t="str">
        <f>A879&amp;B879</f>
        <v>TachalabB1-023-0012</v>
      </c>
      <c r="D879" s="63">
        <f>VLOOKUP(C879,'RAW DATA 2023'!E:BP,63,0)</f>
        <v>2</v>
      </c>
      <c r="E879" s="63" t="str">
        <f>A879&amp;D879</f>
        <v>Tachalab2</v>
      </c>
      <c r="F879" s="389">
        <f>VLOOKUP(C879,'RAW DATA 2023'!E:BO,57,0)</f>
        <v>210.86655355380057</v>
      </c>
      <c r="G879" s="63">
        <f>VLOOKUP(C879,'RAW DATA 2023'!E:BO,58,0)</f>
        <v>187</v>
      </c>
      <c r="H879" s="390">
        <f>IFERROR((G879-F879)/G879,0)</f>
        <v>-0.12762862862994959</v>
      </c>
      <c r="I879" s="398">
        <f>IF(H879&lt;0,((0.25-(H879*(-1)))*$L$7),IF(H879&gt;0,(H879*$N$7)+$L$6,0))</f>
        <v>6.5264731397360221</v>
      </c>
      <c r="J879" s="73">
        <f>VLOOKUP(C879,'RAW DATA 2023'!E:AC,21,0)</f>
        <v>22.691200000000002</v>
      </c>
      <c r="K879" s="398">
        <f>I879*J879</f>
        <v>148.09350730837804</v>
      </c>
    </row>
    <row r="880" spans="1:11">
      <c r="A880" s="63" t="str">
        <f>'RAW DATA 2023'!B722</f>
        <v>Tachalab</v>
      </c>
      <c r="B880" s="63" t="str">
        <f>'RAW DATA 2023'!D722</f>
        <v>B1-025-0014</v>
      </c>
      <c r="C880" s="63" t="str">
        <f>A880&amp;B880</f>
        <v>TachalabB1-025-0014</v>
      </c>
      <c r="D880" s="63">
        <f>VLOOKUP(C880,'RAW DATA 2023'!E:BP,63,0)</f>
        <v>2</v>
      </c>
      <c r="E880" s="63" t="str">
        <f>A880&amp;D880</f>
        <v>Tachalab2</v>
      </c>
      <c r="F880" s="389">
        <f>VLOOKUP(C880,'RAW DATA 2023'!E:BO,57,0)</f>
        <v>414.69232108903066</v>
      </c>
      <c r="G880" s="63">
        <f>VLOOKUP(C880,'RAW DATA 2023'!E:BO,58,0)</f>
        <v>177</v>
      </c>
      <c r="H880" s="390">
        <f>IFERROR((G880-F880)/G880,0)</f>
        <v>-1.3428944694295517</v>
      </c>
      <c r="I880" s="398">
        <f>IF(H880&lt;0,((0.25-(H880*(-1)))*$L$7),IF(H880&gt;0,(H880*$N$7)+$L$6,0))</f>
        <v>-58.287705036242762</v>
      </c>
      <c r="J880" s="73">
        <f>VLOOKUP(C880,'RAW DATA 2023'!E:AC,21,0)</f>
        <v>11.8858</v>
      </c>
      <c r="K880" s="398">
        <f>I880*J880</f>
        <v>-692.79600451977421</v>
      </c>
    </row>
    <row r="881" spans="1:11">
      <c r="A881" s="63" t="str">
        <f>'RAW DATA 2023'!B718</f>
        <v>Tachalab</v>
      </c>
      <c r="B881" s="63" t="str">
        <f>'RAW DATA 2023'!D718</f>
        <v>A1-003-0023</v>
      </c>
      <c r="C881" s="63" t="str">
        <f>A881&amp;B881</f>
        <v>TachalabA1-003-0023</v>
      </c>
      <c r="D881" s="63">
        <f>VLOOKUP(C881,'RAW DATA 2023'!E:BP,63,0)</f>
        <v>3</v>
      </c>
      <c r="E881" s="63" t="str">
        <f>A881&amp;D881</f>
        <v>Tachalab3</v>
      </c>
      <c r="F881" s="389">
        <f>VLOOKUP(C881,'RAW DATA 2023'!E:BO,57,0)</f>
        <v>379.06162963092606</v>
      </c>
      <c r="G881" s="63">
        <f>VLOOKUP(C881,'RAW DATA 2023'!E:BO,58,0)</f>
        <v>185</v>
      </c>
      <c r="H881" s="390">
        <f>IFERROR((G881-F881)/G881,0)</f>
        <v>-1.0489817817887894</v>
      </c>
      <c r="I881" s="398">
        <f>IF(H881&lt;0,((0.25-(H881*(-1)))*$L$7),IF(H881&gt;0,(H881*$N$7)+$L$6,0))</f>
        <v>-42.612361695402107</v>
      </c>
      <c r="J881" s="73">
        <f>VLOOKUP(C881,'RAW DATA 2023'!E:AC,21,0)</f>
        <v>15.998959999999999</v>
      </c>
      <c r="K881" s="398">
        <f>I881*J881</f>
        <v>-681.75347027027044</v>
      </c>
    </row>
    <row r="882" spans="1:11">
      <c r="A882" s="63" t="str">
        <f>'RAW DATA 2023'!B719</f>
        <v>Tachalab</v>
      </c>
      <c r="B882" s="63" t="str">
        <f>'RAW DATA 2023'!D719</f>
        <v>A1-013-0011</v>
      </c>
      <c r="C882" s="63" t="str">
        <f>A882&amp;B882</f>
        <v>TachalabA1-013-0011</v>
      </c>
      <c r="D882" s="63">
        <f>VLOOKUP(C882,'RAW DATA 2023'!E:BP,63,0)</f>
        <v>3</v>
      </c>
      <c r="E882" s="63" t="str">
        <f>A882&amp;D882</f>
        <v>Tachalab3</v>
      </c>
      <c r="F882" s="389">
        <f>VLOOKUP(C882,'RAW DATA 2023'!E:BO,57,0)</f>
        <v>253.00997250511605</v>
      </c>
      <c r="G882" s="63">
        <f>VLOOKUP(C882,'RAW DATA 2023'!E:BO,58,0)</f>
        <v>181</v>
      </c>
      <c r="H882" s="390">
        <f>IFERROR((G882-F882)/G882,0)</f>
        <v>-0.39784515196196713</v>
      </c>
      <c r="I882" s="398">
        <f>IF(H882&lt;0,((0.25-(H882*(-1)))*$L$7),IF(H882&gt;0,(H882*$N$7)+$L$6,0))</f>
        <v>-7.8850747713049136</v>
      </c>
      <c r="J882" s="73">
        <f>VLOOKUP(C882,'RAW DATA 2023'!E:AC,21,0)</f>
        <v>13.369759999999999</v>
      </c>
      <c r="K882" s="398">
        <f>I882*J882</f>
        <v>-105.42155727440158</v>
      </c>
    </row>
    <row r="883" spans="1:11">
      <c r="A883" s="63" t="str">
        <f>'RAW DATA 2023'!B720</f>
        <v>Tachalab</v>
      </c>
      <c r="B883" s="63" t="str">
        <f>'RAW DATA 2023'!D720</f>
        <v>A1-006-0016</v>
      </c>
      <c r="C883" s="63" t="str">
        <f>A883&amp;B883</f>
        <v>TachalabA1-006-0016</v>
      </c>
      <c r="D883" s="63">
        <f>VLOOKUP(C883,'RAW DATA 2023'!E:BP,63,0)</f>
        <v>3</v>
      </c>
      <c r="E883" s="63" t="str">
        <f>A883&amp;D883</f>
        <v>Tachalab3</v>
      </c>
      <c r="F883" s="389">
        <f>VLOOKUP(C883,'RAW DATA 2023'!E:BO,57,0)</f>
        <v>298.07336498995215</v>
      </c>
      <c r="G883" s="63">
        <f>VLOOKUP(C883,'RAW DATA 2023'!E:BO,58,0)</f>
        <v>180</v>
      </c>
      <c r="H883" s="390">
        <f>IFERROR((G883-F883)/G883,0)</f>
        <v>-0.65596313883306756</v>
      </c>
      <c r="I883" s="398">
        <f>IF(H883&lt;0,((0.25-(H883*(-1)))*$L$7),IF(H883&gt;0,(H883*$N$7)+$L$6,0))</f>
        <v>-21.651367404430271</v>
      </c>
      <c r="J883" s="73">
        <f>VLOOKUP(C883,'RAW DATA 2023'!E:AC,21,0)</f>
        <v>15.465959999999999</v>
      </c>
      <c r="K883" s="398">
        <f>I883*J883</f>
        <v>-334.85918222222239</v>
      </c>
    </row>
    <row r="884" spans="1:11">
      <c r="A884" s="63" t="str">
        <f>'RAW DATA 2023'!B721</f>
        <v>Tachalab</v>
      </c>
      <c r="B884" s="63" t="str">
        <f>'RAW DATA 2023'!D721</f>
        <v>A1-011-0017</v>
      </c>
      <c r="C884" s="63" t="str">
        <f>A884&amp;B884</f>
        <v>TachalabA1-011-0017</v>
      </c>
      <c r="D884" s="63">
        <f>VLOOKUP(C884,'RAW DATA 2023'!E:BP,63,0)</f>
        <v>3</v>
      </c>
      <c r="E884" s="63" t="str">
        <f>A884&amp;D884</f>
        <v>Tachalab3</v>
      </c>
      <c r="F884" s="389">
        <f>VLOOKUP(C884,'RAW DATA 2023'!E:BO,57,0)</f>
        <v>229.59114176084907</v>
      </c>
      <c r="G884" s="63">
        <f>VLOOKUP(C884,'RAW DATA 2023'!E:BO,58,0)</f>
        <v>172</v>
      </c>
      <c r="H884" s="390">
        <f>IFERROR((G884-F884)/G884,0)</f>
        <v>-0.33483221953982018</v>
      </c>
      <c r="I884" s="398">
        <f>IF(H884&lt;0,((0.25-(H884*(-1)))*$L$7),IF(H884&gt;0,(H884*$N$7)+$L$6,0))</f>
        <v>-4.5243850421237433</v>
      </c>
      <c r="J884" s="73">
        <f>VLOOKUP(C884,'RAW DATA 2023'!E:AC,21,0)</f>
        <v>13.575610000000001</v>
      </c>
      <c r="K884" s="398">
        <f>I884*J884</f>
        <v>-61.421286821705515</v>
      </c>
    </row>
    <row r="885" spans="1:11">
      <c r="A885" s="63" t="str">
        <f>'RAW DATA 2023'!B723</f>
        <v>Tachalab</v>
      </c>
      <c r="B885" s="63" t="str">
        <f>'RAW DATA 2023'!D723</f>
        <v>A1-012-0016</v>
      </c>
      <c r="C885" s="63" t="str">
        <f>A885&amp;B885</f>
        <v>TachalabA1-012-0016</v>
      </c>
      <c r="D885" s="63">
        <f>VLOOKUP(C885,'RAW DATA 2023'!E:BP,63,0)</f>
        <v>3</v>
      </c>
      <c r="E885" s="63" t="str">
        <f>A885&amp;D885</f>
        <v>Tachalab3</v>
      </c>
      <c r="F885" s="389">
        <f>VLOOKUP(C885,'RAW DATA 2023'!E:BO,57,0)</f>
        <v>216.71134197071004</v>
      </c>
      <c r="G885" s="63">
        <f>VLOOKUP(C885,'RAW DATA 2023'!E:BO,58,0)</f>
        <v>150</v>
      </c>
      <c r="H885" s="390">
        <f>IFERROR((G885-F885)/G885,0)</f>
        <v>-0.44474227980473358</v>
      </c>
      <c r="I885" s="398">
        <f>IF(H885&lt;0,((0.25-(H885*(-1)))*$L$7),IF(H885&gt;0,(H885*$N$7)+$L$6,0))</f>
        <v>-10.386254922919125</v>
      </c>
      <c r="J885" s="73">
        <f>VLOOKUP(C885,'RAW DATA 2023'!E:AC,21,0)</f>
        <v>10.574969999999999</v>
      </c>
      <c r="K885" s="398">
        <f>I885*J885</f>
        <v>-109.83433422222205</v>
      </c>
    </row>
    <row r="886" spans="1:11">
      <c r="A886" s="63" t="str">
        <f>'RAW DATA 2023'!B715</f>
        <v>Tachalab</v>
      </c>
      <c r="B886" s="63" t="str">
        <f>'RAW DATA 2023'!D715</f>
        <v>B1-025-0015</v>
      </c>
      <c r="C886" s="63" t="str">
        <f>A886&amp;B886</f>
        <v>TachalabB1-025-0015</v>
      </c>
      <c r="D886" s="63">
        <f>VLOOKUP(C886,'RAW DATA 2023'!E:BP,63,0)</f>
        <v>6</v>
      </c>
      <c r="E886" s="63" t="str">
        <f>A886&amp;D886</f>
        <v>Tachalab6</v>
      </c>
      <c r="F886" s="389">
        <f>VLOOKUP(C886,'RAW DATA 2023'!E:BO,57,0)</f>
        <v>309.4976651516094</v>
      </c>
      <c r="G886" s="63">
        <f>VLOOKUP(C886,'RAW DATA 2023'!E:BO,58,0)</f>
        <v>175</v>
      </c>
      <c r="H886" s="390">
        <f>IFERROR((G886-F886)/G886,0)</f>
        <v>-0.76855808658062508</v>
      </c>
      <c r="I886" s="398">
        <f>IF(H886&lt;0,((0.25-(H886*(-1)))*$L$7),IF(H886&gt;0,(H886*$N$7)+$L$6,0))</f>
        <v>-27.656431284300005</v>
      </c>
      <c r="J886" s="73">
        <f>VLOOKUP(C886,'RAW DATA 2023'!E:AC,21,0)</f>
        <v>28.106750000000002</v>
      </c>
      <c r="K886" s="398">
        <f>I886*J886</f>
        <v>-777.33239999999921</v>
      </c>
    </row>
    <row r="887" spans="1:11">
      <c r="A887" s="63" t="str">
        <f>'RAW DATA 2023'!B712</f>
        <v>Tachalab</v>
      </c>
      <c r="B887" s="63" t="str">
        <f>'RAW DATA 2023'!D712</f>
        <v>A1-013-0012</v>
      </c>
      <c r="C887" s="63" t="str">
        <f>A887&amp;B887</f>
        <v>TachalabA1-013-0012</v>
      </c>
      <c r="D887" s="63">
        <f>VLOOKUP(C887,'RAW DATA 2023'!E:BP,63,0)</f>
        <v>7</v>
      </c>
      <c r="E887" s="63" t="str">
        <f>A887&amp;D887</f>
        <v>Tachalab7</v>
      </c>
      <c r="F887" s="389">
        <f>VLOOKUP(C887,'RAW DATA 2023'!E:BO,57,0)</f>
        <v>191.87123385472728</v>
      </c>
      <c r="G887" s="63">
        <f>VLOOKUP(C887,'RAW DATA 2023'!E:BO,58,0)</f>
        <v>191</v>
      </c>
      <c r="H887" s="390">
        <f>IFERROR((G887-F887)/G887,0)</f>
        <v>-4.5614337943836614E-3</v>
      </c>
      <c r="I887" s="398">
        <f>IF(H887&lt;0,((0.25-(H887*(-1)))*$L$7),IF(H887&gt;0,(H887*$N$7)+$L$6,0))</f>
        <v>13.090056864299537</v>
      </c>
      <c r="J887" s="73">
        <f>VLOOKUP(C887,'RAW DATA 2023'!E:AC,21,0)</f>
        <v>18.432639999999999</v>
      </c>
      <c r="K887" s="398">
        <f>I887*J887</f>
        <v>241.28430575916221</v>
      </c>
    </row>
    <row r="888" spans="1:11">
      <c r="A888" s="63" t="str">
        <f>'RAW DATA 2023'!B714</f>
        <v>Tachalab</v>
      </c>
      <c r="B888" s="63" t="str">
        <f>'RAW DATA 2023'!D714</f>
        <v>A1-005-0024</v>
      </c>
      <c r="C888" s="63" t="str">
        <f>A888&amp;B888</f>
        <v>TachalabA1-005-0024</v>
      </c>
      <c r="D888" s="63">
        <f>VLOOKUP(C888,'RAW DATA 2023'!E:BP,63,0)</f>
        <v>7</v>
      </c>
      <c r="E888" s="63" t="str">
        <f>A888&amp;D888</f>
        <v>Tachalab7</v>
      </c>
      <c r="F888" s="389">
        <f>VLOOKUP(C888,'RAW DATA 2023'!E:BO,57,0)</f>
        <v>165.79152279197126</v>
      </c>
      <c r="G888" s="63">
        <f>VLOOKUP(C888,'RAW DATA 2023'!E:BO,58,0)</f>
        <v>186</v>
      </c>
      <c r="H888" s="390">
        <f>IFERROR((G888-F888)/G888,0)</f>
        <v>0.1086477269248857</v>
      </c>
      <c r="I888" s="398">
        <f>IF(H888&lt;0,((0.25-(H888*(-1)))*$L$7),IF(H888&gt;0,(H888*$N$7)+$L$6,0))</f>
        <v>19.127878769327239</v>
      </c>
      <c r="J888" s="73">
        <f>VLOOKUP(C888,'RAW DATA 2023'!E:AC,21,0)</f>
        <v>32.890309999999999</v>
      </c>
      <c r="K888" s="398">
        <f>I888*J888</f>
        <v>629.12186236559137</v>
      </c>
    </row>
    <row r="889" spans="1:11">
      <c r="A889" s="63" t="str">
        <f>'RAW DATA 2023'!B711</f>
        <v>Tachalab</v>
      </c>
      <c r="B889" s="63" t="str">
        <f>'RAW DATA 2023'!D711</f>
        <v>A1-012-0017</v>
      </c>
      <c r="C889" s="63" t="str">
        <f>A889&amp;B889</f>
        <v>TachalabA1-012-0017</v>
      </c>
      <c r="D889" s="63">
        <f>VLOOKUP(C889,'RAW DATA 2023'!E:BP,63,0)</f>
        <v>8</v>
      </c>
      <c r="E889" s="63" t="str">
        <f>A889&amp;D889</f>
        <v>Tachalab8</v>
      </c>
      <c r="F889" s="389">
        <f>VLOOKUP(C889,'RAW DATA 2023'!E:BO,57,0)</f>
        <v>182.63255007711967</v>
      </c>
      <c r="G889" s="63">
        <f>VLOOKUP(C889,'RAW DATA 2023'!E:BO,58,0)</f>
        <v>197</v>
      </c>
      <c r="H889" s="390">
        <f>IFERROR((G889-F889)/G889,0)</f>
        <v>7.2931217882641244E-2</v>
      </c>
      <c r="I889" s="398">
        <f>IF(H889&lt;0,((0.25-(H889*(-1)))*$L$7),IF(H889&gt;0,(H889*$N$7)+$L$6,0))</f>
        <v>17.222998287074201</v>
      </c>
      <c r="J889" s="73">
        <f>VLOOKUP(C889,'RAW DATA 2023'!E:AC,21,0)</f>
        <v>19.73556</v>
      </c>
      <c r="K889" s="398">
        <f>I889*J889</f>
        <v>339.90551607445013</v>
      </c>
    </row>
    <row r="890" spans="1:11">
      <c r="A890" s="63" t="str">
        <f>'RAW DATA 2023'!B713</f>
        <v>Tachalab</v>
      </c>
      <c r="B890" s="63" t="str">
        <f>'RAW DATA 2023'!D713</f>
        <v>A1-011-0018</v>
      </c>
      <c r="C890" s="63" t="str">
        <f>A890&amp;B890</f>
        <v>TachalabA1-011-0018</v>
      </c>
      <c r="D890" s="63">
        <f>VLOOKUP(C890,'RAW DATA 2023'!E:BP,63,0)</f>
        <v>8</v>
      </c>
      <c r="E890" s="63" t="str">
        <f>A890&amp;D890</f>
        <v>Tachalab8</v>
      </c>
      <c r="F890" s="389">
        <f>VLOOKUP(C890,'RAW DATA 2023'!E:BO,57,0)</f>
        <v>169.462535679306</v>
      </c>
      <c r="G890" s="63">
        <f>VLOOKUP(C890,'RAW DATA 2023'!E:BO,58,0)</f>
        <v>194</v>
      </c>
      <c r="H890" s="390">
        <f>IFERROR((G890-F890)/G890,0)</f>
        <v>0.12648177484893813</v>
      </c>
      <c r="I890" s="398">
        <f>IF(H890&lt;0,((0.25-(H890*(-1)))*$L$7),IF(H890&gt;0,(H890*$N$7)+$L$6,0))</f>
        <v>20.07902799194337</v>
      </c>
      <c r="J890" s="73">
        <f>VLOOKUP(C890,'RAW DATA 2023'!E:AC,21,0)</f>
        <v>28.588000000000001</v>
      </c>
      <c r="K890" s="398">
        <f>I890*J890</f>
        <v>574.01925223367709</v>
      </c>
    </row>
    <row r="891" spans="1:11">
      <c r="A891" s="63" t="str">
        <f>'RAW DATA 2023'!B645</f>
        <v>Talaytong</v>
      </c>
      <c r="B891" s="63" t="str">
        <f>'RAW DATA 2023'!D645</f>
        <v>B1-032-0008</v>
      </c>
      <c r="C891" s="63" t="str">
        <f>A891&amp;B891</f>
        <v>TalaytongB1-032-0008</v>
      </c>
      <c r="D891" s="63">
        <f>VLOOKUP(C891,'RAW DATA 2023'!E:BP,63,0)</f>
        <v>1</v>
      </c>
      <c r="E891" s="63" t="str">
        <f>A891&amp;D891</f>
        <v>Talaytong1</v>
      </c>
      <c r="F891" s="389">
        <f>VLOOKUP(C891,'RAW DATA 2023'!E:BO,57,0)</f>
        <v>510.40190139690105</v>
      </c>
      <c r="G891" s="63">
        <f>VLOOKUP(C891,'RAW DATA 2023'!E:BO,58,0)</f>
        <v>150</v>
      </c>
      <c r="H891" s="390">
        <f>IFERROR((G891-F891)/G891,0)</f>
        <v>-2.4026793426460071</v>
      </c>
      <c r="I891" s="398">
        <f>IF(H891&lt;0,((0.25-(H891*(-1)))*$L$7),IF(H891&gt;0,(H891*$N$7)+$L$6,0))</f>
        <v>-114.80956494112039</v>
      </c>
      <c r="J891" s="73">
        <f>VLOOKUP(C891,'RAW DATA 2023'!E:AC,21,0)</f>
        <v>5.6095600000000001</v>
      </c>
      <c r="K891" s="398">
        <f>I891*J891</f>
        <v>-644.03114311111131</v>
      </c>
    </row>
    <row r="892" spans="1:11">
      <c r="A892" s="63" t="str">
        <f>'RAW DATA 2023'!B642</f>
        <v>Talaytong</v>
      </c>
      <c r="B892" s="63" t="str">
        <f>'RAW DATA 2023'!D642</f>
        <v>A1-038-0010</v>
      </c>
      <c r="C892" s="63" t="str">
        <f>A892&amp;B892</f>
        <v>TalaytongA1-038-0010</v>
      </c>
      <c r="D892" s="63">
        <f>VLOOKUP(C892,'RAW DATA 2023'!E:BP,63,0)</f>
        <v>10</v>
      </c>
      <c r="E892" s="63" t="str">
        <f>A892&amp;D892</f>
        <v>Talaytong10</v>
      </c>
      <c r="F892" s="389">
        <f>VLOOKUP(C892,'RAW DATA 2023'!E:BO,57,0)</f>
        <v>266.96934069550593</v>
      </c>
      <c r="G892" s="63">
        <f>VLOOKUP(C892,'RAW DATA 2023'!E:BO,58,0)</f>
        <v>154</v>
      </c>
      <c r="H892" s="390">
        <f>IFERROR((G892-F892)/G892,0)</f>
        <v>-0.73356714737341511</v>
      </c>
      <c r="I892" s="398">
        <f>IF(H892&lt;0,((0.25-(H892*(-1)))*$L$7),IF(H892&gt;0,(H892*$N$7)+$L$6,0))</f>
        <v>-25.790247859915475</v>
      </c>
      <c r="J892" s="73">
        <f>VLOOKUP(C892,'RAW DATA 2023'!E:AC,21,0)</f>
        <v>34.183750000000003</v>
      </c>
      <c r="K892" s="398">
        <f>I892*J892</f>
        <v>-881.60738528138575</v>
      </c>
    </row>
    <row r="893" spans="1:11">
      <c r="A893" s="63" t="str">
        <f>'RAW DATA 2023'!B644</f>
        <v>Talaytong</v>
      </c>
      <c r="B893" s="63" t="str">
        <f>'RAW DATA 2023'!D644</f>
        <v>A1-039-0006</v>
      </c>
      <c r="C893" s="63" t="str">
        <f>A893&amp;B893</f>
        <v>TalaytongA1-039-0006</v>
      </c>
      <c r="D893" s="63">
        <f>VLOOKUP(C893,'RAW DATA 2023'!E:BP,63,0)</f>
        <v>4</v>
      </c>
      <c r="E893" s="63" t="str">
        <f>A893&amp;D893</f>
        <v>Talaytong4</v>
      </c>
      <c r="F893" s="389">
        <f>VLOOKUP(C893,'RAW DATA 2023'!E:BO,57,0)</f>
        <v>342.92561306919112</v>
      </c>
      <c r="G893" s="63">
        <f>VLOOKUP(C893,'RAW DATA 2023'!E:BO,58,0)</f>
        <v>150</v>
      </c>
      <c r="H893" s="390">
        <f>IFERROR((G893-F893)/G893,0)</f>
        <v>-1.2861707537946074</v>
      </c>
      <c r="I893" s="398">
        <f>IF(H893&lt;0,((0.25-(H893*(-1)))*$L$7),IF(H893&gt;0,(H893*$N$7)+$L$6,0))</f>
        <v>-55.262440202379068</v>
      </c>
      <c r="J893" s="73">
        <f>VLOOKUP(C893,'RAW DATA 2023'!E:AC,21,0)</f>
        <v>15.525979999999999</v>
      </c>
      <c r="K893" s="398">
        <f>I893*J893</f>
        <v>-858.00354133333326</v>
      </c>
    </row>
    <row r="894" spans="1:11">
      <c r="A894" s="63" t="str">
        <f>'RAW DATA 2023'!B643</f>
        <v>Talaytong</v>
      </c>
      <c r="B894" s="63" t="str">
        <f>'RAW DATA 2023'!D643</f>
        <v>A1-038-0008</v>
      </c>
      <c r="C894" s="63" t="str">
        <f>A894&amp;B894</f>
        <v>TalaytongA1-038-0008</v>
      </c>
      <c r="D894" s="63">
        <f>VLOOKUP(C894,'RAW DATA 2023'!E:BP,63,0)</f>
        <v>5</v>
      </c>
      <c r="E894" s="63" t="str">
        <f>A894&amp;D894</f>
        <v>Talaytong5</v>
      </c>
      <c r="F894" s="389">
        <f>VLOOKUP(C894,'RAW DATA 2023'!E:BO,57,0)</f>
        <v>278.62890101328048</v>
      </c>
      <c r="G894" s="63">
        <f>VLOOKUP(C894,'RAW DATA 2023'!E:BO,58,0)</f>
        <v>172</v>
      </c>
      <c r="H894" s="390">
        <f>IFERROR((G894-F894)/G894,0)</f>
        <v>-0.61993547100744462</v>
      </c>
      <c r="I894" s="398">
        <f>IF(H894&lt;0,((0.25-(H894*(-1)))*$L$7),IF(H894&gt;0,(H894*$N$7)+$L$6,0))</f>
        <v>-19.729891787063714</v>
      </c>
      <c r="J894" s="73">
        <f>VLOOKUP(C894,'RAW DATA 2023'!E:AC,21,0)</f>
        <v>30.777259999999998</v>
      </c>
      <c r="K894" s="398">
        <f>I894*J894</f>
        <v>-607.23200930232451</v>
      </c>
    </row>
    <row r="895" spans="1:11">
      <c r="A895" s="63" t="str">
        <f>'RAW DATA 2023'!B646</f>
        <v>Talaytong</v>
      </c>
      <c r="B895" s="63" t="str">
        <f>'RAW DATA 2023'!D646</f>
        <v>A1-034-0008</v>
      </c>
      <c r="C895" s="63" t="str">
        <f>A895&amp;B895</f>
        <v>TalaytongA1-034-0008</v>
      </c>
      <c r="D895" s="63">
        <f>VLOOKUP(C895,'RAW DATA 2023'!E:BP,63,0)</f>
        <v>5</v>
      </c>
      <c r="E895" s="63" t="str">
        <f>A895&amp;D895</f>
        <v>Talaytong5</v>
      </c>
      <c r="F895" s="389">
        <f>VLOOKUP(C895,'RAW DATA 2023'!E:BO,57,0)</f>
        <v>313.39959080210031</v>
      </c>
      <c r="G895" s="63">
        <f>VLOOKUP(C895,'RAW DATA 2023'!E:BO,58,0)</f>
        <v>150</v>
      </c>
      <c r="H895" s="390">
        <f>IFERROR((G895-F895)/G895,0)</f>
        <v>-1.0893306053473353</v>
      </c>
      <c r="I895" s="398">
        <f>IF(H895&lt;0,((0.25-(H895*(-1)))*$L$7),IF(H895&gt;0,(H895*$N$7)+$L$6,0))</f>
        <v>-44.764298951857882</v>
      </c>
      <c r="J895" s="73">
        <f>VLOOKUP(C895,'RAW DATA 2023'!E:AC,21,0)</f>
        <v>13.807499999999999</v>
      </c>
      <c r="K895" s="398">
        <f>I895*J895</f>
        <v>-618.08305777777764</v>
      </c>
    </row>
    <row r="896" spans="1:11">
      <c r="A896" s="63" t="str">
        <f>'RAW DATA 2023'!B641</f>
        <v>Talaytong</v>
      </c>
      <c r="B896" s="63" t="str">
        <f>'RAW DATA 2023'!D641</f>
        <v>A1-039-0007</v>
      </c>
      <c r="C896" s="63" t="str">
        <f>A896&amp;B896</f>
        <v>TalaytongA1-039-0007</v>
      </c>
      <c r="D896" s="63">
        <f>VLOOKUP(C896,'RAW DATA 2023'!E:BP,63,0)</f>
        <v>8</v>
      </c>
      <c r="E896" s="63" t="str">
        <f>A896&amp;D896</f>
        <v>Talaytong8</v>
      </c>
      <c r="F896" s="389">
        <f>VLOOKUP(C896,'RAW DATA 2023'!E:BO,57,0)</f>
        <v>212.28604906429482</v>
      </c>
      <c r="G896" s="63">
        <f>VLOOKUP(C896,'RAW DATA 2023'!E:BO,58,0)</f>
        <v>177</v>
      </c>
      <c r="H896" s="390">
        <f>IFERROR((G896-F896)/G896,0)</f>
        <v>-0.19935620940279555</v>
      </c>
      <c r="I896" s="398">
        <f>IF(H896&lt;0,((0.25-(H896*(-1)))*$L$7),IF(H896&gt;0,(H896*$N$7)+$L$6,0))</f>
        <v>2.7010021651842373</v>
      </c>
      <c r="J896" s="73">
        <f>VLOOKUP(C896,'RAW DATA 2023'!E:AC,21,0)</f>
        <v>38.810300000000005</v>
      </c>
      <c r="K896" s="398">
        <f>I896*J896</f>
        <v>104.82670433144982</v>
      </c>
    </row>
    <row r="897" spans="1:11">
      <c r="A897" s="63" t="str">
        <f>'RAW DATA 2023'!B683</f>
        <v>Tamai2</v>
      </c>
      <c r="B897" s="63" t="str">
        <f>'RAW DATA 2023'!D683</f>
        <v>A1-032-0033</v>
      </c>
      <c r="C897" s="63" t="str">
        <f>A897&amp;B897</f>
        <v>Tamai2A1-032-0033</v>
      </c>
      <c r="D897" s="63">
        <f>VLOOKUP(C897,'RAW DATA 2023'!E:BP,63,0)</f>
        <v>10</v>
      </c>
      <c r="E897" s="63" t="str">
        <f>A897&amp;D897</f>
        <v>Tamai210</v>
      </c>
      <c r="F897" s="389">
        <f>VLOOKUP(C897,'RAW DATA 2023'!E:BO,57,0)</f>
        <v>0</v>
      </c>
      <c r="G897" s="63">
        <f>VLOOKUP(C897,'RAW DATA 2023'!E:BO,58,0)</f>
        <v>0</v>
      </c>
      <c r="H897" s="390">
        <f>IFERROR((G897-F897)/G897,0)</f>
        <v>0</v>
      </c>
      <c r="I897" s="398">
        <f>IF(H897&lt;0,((0.25-(H897*(-1)))*$L$7),IF(H897&gt;0,(H897*$N$7)+$L$6,0))</f>
        <v>0</v>
      </c>
      <c r="J897" s="73">
        <f>VLOOKUP(C897,'RAW DATA 2023'!E:AC,21,0)</f>
        <v>0</v>
      </c>
      <c r="K897" s="398">
        <f>I897*J897</f>
        <v>0</v>
      </c>
    </row>
    <row r="898" spans="1:11">
      <c r="A898" s="63" t="str">
        <f>'RAW DATA 2023'!B666</f>
        <v>Tamai2</v>
      </c>
      <c r="B898" s="63" t="str">
        <f>'RAW DATA 2023'!D666</f>
        <v>D1-068-0005</v>
      </c>
      <c r="C898" s="63" t="str">
        <f>A898&amp;B898</f>
        <v>Tamai2D1-068-0005</v>
      </c>
      <c r="D898" s="63">
        <f>VLOOKUP(C898,'RAW DATA 2023'!E:BP,63,0)</f>
        <v>12</v>
      </c>
      <c r="E898" s="63" t="str">
        <f>A898&amp;D898</f>
        <v>Tamai212</v>
      </c>
      <c r="F898" s="389">
        <f>VLOOKUP(C898,'RAW DATA 2023'!E:BO,57,0)</f>
        <v>603.91558964222077</v>
      </c>
      <c r="G898" s="63">
        <f>VLOOKUP(C898,'RAW DATA 2023'!E:BO,58,0)</f>
        <v>163</v>
      </c>
      <c r="H898" s="390">
        <f>IFERROR((G898-F898)/G898,0)</f>
        <v>-2.7050036174369372</v>
      </c>
      <c r="I898" s="398">
        <f>IF(H898&lt;0,((0.25-(H898*(-1)))*$L$7),IF(H898&gt;0,(H898*$N$7)+$L$6,0))</f>
        <v>-130.93352626330332</v>
      </c>
      <c r="J898" s="73">
        <f>VLOOKUP(C898,'RAW DATA 2023'!E:AC,21,0)</f>
        <v>15.045309999999999</v>
      </c>
      <c r="K898" s="398">
        <f>I898*J898</f>
        <v>-1969.9354920245398</v>
      </c>
    </row>
    <row r="899" spans="1:11">
      <c r="A899" s="63" t="str">
        <f>'RAW DATA 2023'!B671</f>
        <v>Tamai2</v>
      </c>
      <c r="B899" s="63" t="str">
        <f>'RAW DATA 2023'!D671</f>
        <v>D1-068-0003</v>
      </c>
      <c r="C899" s="63" t="str">
        <f>A899&amp;B899</f>
        <v>Tamai2D1-068-0003</v>
      </c>
      <c r="D899" s="63">
        <f>VLOOKUP(C899,'RAW DATA 2023'!E:BP,63,0)</f>
        <v>3</v>
      </c>
      <c r="E899" s="63" t="str">
        <f>A899&amp;D899</f>
        <v>Tamai23</v>
      </c>
      <c r="F899" s="389">
        <f>VLOOKUP(C899,'RAW DATA 2023'!E:BO,57,0)</f>
        <v>0</v>
      </c>
      <c r="G899" s="63">
        <f>VLOOKUP(C899,'RAW DATA 2023'!E:BO,58,0)</f>
        <v>0</v>
      </c>
      <c r="H899" s="390">
        <f>IFERROR((G899-F899)/G899,0)</f>
        <v>0</v>
      </c>
      <c r="I899" s="398">
        <f>IF(H899&lt;0,((0.25-(H899*(-1)))*$L$7),IF(H899&gt;0,(H899*$N$7)+$L$6,0))</f>
        <v>0</v>
      </c>
      <c r="J899" s="73">
        <f>VLOOKUP(C899,'RAW DATA 2023'!E:AC,21,0)</f>
        <v>0</v>
      </c>
      <c r="K899" s="398">
        <f>I899*J899</f>
        <v>0</v>
      </c>
    </row>
    <row r="900" spans="1:11">
      <c r="A900" s="63" t="str">
        <f>'RAW DATA 2023'!B675</f>
        <v>Tamai2</v>
      </c>
      <c r="B900" s="63" t="str">
        <f>'RAW DATA 2023'!D675</f>
        <v>E1-032-0036</v>
      </c>
      <c r="C900" s="63" t="str">
        <f>A900&amp;B900</f>
        <v>Tamai2E1-032-0036</v>
      </c>
      <c r="D900" s="63">
        <f>VLOOKUP(C900,'RAW DATA 2023'!E:BP,63,0)</f>
        <v>3</v>
      </c>
      <c r="E900" s="63" t="str">
        <f>A900&amp;D900</f>
        <v>Tamai23</v>
      </c>
      <c r="F900" s="389">
        <f>VLOOKUP(C900,'RAW DATA 2023'!E:BO,57,0)</f>
        <v>156.73744169514123</v>
      </c>
      <c r="G900" s="63">
        <f>VLOOKUP(C900,'RAW DATA 2023'!E:BO,58,0)</f>
        <v>194</v>
      </c>
      <c r="H900" s="390">
        <f>IFERROR((G900-F900)/G900,0)</f>
        <v>0.19207504280855037</v>
      </c>
      <c r="I900" s="398">
        <f>IF(H900&lt;0,((0.25-(H900*(-1)))*$L$7),IF(H900&gt;0,(H900*$N$7)+$L$6,0))</f>
        <v>23.577335616456018</v>
      </c>
      <c r="J900" s="73">
        <f>VLOOKUP(C900,'RAW DATA 2023'!E:AC,21,0)</f>
        <v>40.72345</v>
      </c>
      <c r="K900" s="398">
        <f>I900*J900</f>
        <v>960.15044810996585</v>
      </c>
    </row>
    <row r="901" spans="1:11">
      <c r="A901" s="63" t="str">
        <f>'RAW DATA 2023'!B674</f>
        <v>Tamai2</v>
      </c>
      <c r="B901" s="63" t="str">
        <f>'RAW DATA 2023'!D674</f>
        <v>C1-057-0009</v>
      </c>
      <c r="C901" s="63" t="str">
        <f>A901&amp;B901</f>
        <v>Tamai2C1-057-0009</v>
      </c>
      <c r="D901" s="63">
        <f>VLOOKUP(C901,'RAW DATA 2023'!E:BP,63,0)</f>
        <v>4</v>
      </c>
      <c r="E901" s="63" t="str">
        <f>A901&amp;D901</f>
        <v>Tamai24</v>
      </c>
      <c r="F901" s="389">
        <f>VLOOKUP(C901,'RAW DATA 2023'!E:BO,57,0)</f>
        <v>241.15872767098057</v>
      </c>
      <c r="G901" s="63">
        <f>VLOOKUP(C901,'RAW DATA 2023'!E:BO,58,0)</f>
        <v>200</v>
      </c>
      <c r="H901" s="390">
        <f>IFERROR((G901-F901)/G901,0)</f>
        <v>-0.20579363835490283</v>
      </c>
      <c r="I901" s="398">
        <f>IF(H901&lt;0,((0.25-(H901*(-1)))*$L$7),IF(H901&gt;0,(H901*$N$7)+$L$6,0))</f>
        <v>2.3576726210718491</v>
      </c>
      <c r="J901" s="73">
        <f>VLOOKUP(C901,'RAW DATA 2023'!E:AC,21,0)</f>
        <v>23.67155</v>
      </c>
      <c r="K901" s="398">
        <f>I901*J901</f>
        <v>55.809765333333331</v>
      </c>
    </row>
    <row r="902" spans="1:11">
      <c r="A902" s="63" t="str">
        <f>'RAW DATA 2023'!B679</f>
        <v>Tamai2</v>
      </c>
      <c r="B902" s="63" t="str">
        <f>'RAW DATA 2023'!D679</f>
        <v>C1-058-0010</v>
      </c>
      <c r="C902" s="63" t="str">
        <f>A902&amp;B902</f>
        <v>Tamai2C1-058-0010</v>
      </c>
      <c r="D902" s="63">
        <f>VLOOKUP(C902,'RAW DATA 2023'!E:BP,63,0)</f>
        <v>4</v>
      </c>
      <c r="E902" s="63" t="str">
        <f>A902&amp;D902</f>
        <v>Tamai24</v>
      </c>
      <c r="F902" s="389">
        <f>VLOOKUP(C902,'RAW DATA 2023'!E:BO,57,0)</f>
        <v>305.04870584086052</v>
      </c>
      <c r="G902" s="63">
        <f>VLOOKUP(C902,'RAW DATA 2023'!E:BO,58,0)</f>
        <v>150</v>
      </c>
      <c r="H902" s="390">
        <f>IFERROR((G902-F902)/G902,0)</f>
        <v>-1.0336580389390702</v>
      </c>
      <c r="I902" s="398">
        <f>IF(H902&lt;0,((0.25-(H902*(-1)))*$L$7),IF(H902&gt;0,(H902*$N$7)+$L$6,0))</f>
        <v>-41.795095410083746</v>
      </c>
      <c r="J902" s="73">
        <f>VLOOKUP(C902,'RAW DATA 2023'!E:AC,21,0)</f>
        <v>5.1036999999999999</v>
      </c>
      <c r="K902" s="398">
        <f>I902*J902</f>
        <v>-213.3096284444444</v>
      </c>
    </row>
    <row r="903" spans="1:11">
      <c r="A903" s="63" t="str">
        <f>'RAW DATA 2023'!B665</f>
        <v>Tamai2</v>
      </c>
      <c r="B903" s="63" t="str">
        <f>'RAW DATA 2023'!D665</f>
        <v>D1-073-0009</v>
      </c>
      <c r="C903" s="63" t="str">
        <f>A903&amp;B903</f>
        <v>Tamai2D1-073-0009</v>
      </c>
      <c r="D903" s="63">
        <f>VLOOKUP(C903,'RAW DATA 2023'!E:BP,63,0)</f>
        <v>5</v>
      </c>
      <c r="E903" s="63" t="str">
        <f>A903&amp;D903</f>
        <v>Tamai25</v>
      </c>
      <c r="F903" s="389">
        <f>VLOOKUP(C903,'RAW DATA 2023'!E:BO,57,0)</f>
        <v>203.14267503314395</v>
      </c>
      <c r="G903" s="63">
        <f>VLOOKUP(C903,'RAW DATA 2023'!E:BO,58,0)</f>
        <v>185</v>
      </c>
      <c r="H903" s="390">
        <f>IFERROR((G903-F903)/G903,0)</f>
        <v>-9.8068513692669973E-2</v>
      </c>
      <c r="I903" s="398">
        <f>IF(H903&lt;0,((0.25-(H903*(-1)))*$L$7),IF(H903&gt;0,(H903*$N$7)+$L$6,0))</f>
        <v>8.1030126030576017</v>
      </c>
      <c r="J903" s="73">
        <f>VLOOKUP(C903,'RAW DATA 2023'!E:AC,21,0)</f>
        <v>33.339400000000005</v>
      </c>
      <c r="K903" s="398">
        <f>I903*J903</f>
        <v>270.14957837837864</v>
      </c>
    </row>
    <row r="904" spans="1:11">
      <c r="A904" s="63" t="str">
        <f>'RAW DATA 2023'!B673</f>
        <v>Tamai2</v>
      </c>
      <c r="B904" s="63" t="str">
        <f>'RAW DATA 2023'!D673</f>
        <v>E1-027-0035</v>
      </c>
      <c r="C904" s="63" t="str">
        <f>A904&amp;B904</f>
        <v>Tamai2E1-027-0035</v>
      </c>
      <c r="D904" s="63">
        <f>VLOOKUP(C904,'RAW DATA 2023'!E:BP,63,0)</f>
        <v>5</v>
      </c>
      <c r="E904" s="63" t="str">
        <f>A904&amp;D904</f>
        <v>Tamai25</v>
      </c>
      <c r="F904" s="389">
        <f>VLOOKUP(C904,'RAW DATA 2023'!E:BO,57,0)</f>
        <v>186.89816831745259</v>
      </c>
      <c r="G904" s="63">
        <f>VLOOKUP(C904,'RAW DATA 2023'!E:BO,58,0)</f>
        <v>207</v>
      </c>
      <c r="H904" s="390">
        <f>IFERROR((G904-F904)/G904,0)</f>
        <v>9.711029798332084E-2</v>
      </c>
      <c r="I904" s="398">
        <f>IF(H904&lt;0,((0.25-(H904*(-1)))*$L$7),IF(H904&gt;0,(H904*$N$7)+$L$6,0))</f>
        <v>18.512549225777114</v>
      </c>
      <c r="J904" s="73">
        <f>VLOOKUP(C904,'RAW DATA 2023'!E:AC,21,0)</f>
        <v>26.30969</v>
      </c>
      <c r="K904" s="398">
        <f>I904*J904</f>
        <v>487.05943123993586</v>
      </c>
    </row>
    <row r="905" spans="1:11">
      <c r="A905" s="63" t="str">
        <f>'RAW DATA 2023'!B677</f>
        <v>Tamai2</v>
      </c>
      <c r="B905" s="63" t="str">
        <f>'RAW DATA 2023'!D677</f>
        <v>A1-082-0008</v>
      </c>
      <c r="C905" s="63" t="str">
        <f>A905&amp;B905</f>
        <v>Tamai2A1-082-0008</v>
      </c>
      <c r="D905" s="63">
        <f>VLOOKUP(C905,'RAW DATA 2023'!E:BP,63,0)</f>
        <v>5</v>
      </c>
      <c r="E905" s="63" t="str">
        <f>A905&amp;D905</f>
        <v>Tamai25</v>
      </c>
      <c r="F905" s="389">
        <f>VLOOKUP(C905,'RAW DATA 2023'!E:BO,57,0)</f>
        <v>165.30241529118422</v>
      </c>
      <c r="G905" s="63">
        <f>VLOOKUP(C905,'RAW DATA 2023'!E:BO,58,0)</f>
        <v>174</v>
      </c>
      <c r="H905" s="390">
        <f>IFERROR((G905-F905)/G905,0)</f>
        <v>4.9986119016182655E-2</v>
      </c>
      <c r="I905" s="398">
        <f>IF(H905&lt;0,((0.25-(H905*(-1)))*$L$7),IF(H905&gt;0,(H905*$N$7)+$L$6,0))</f>
        <v>15.999259680863076</v>
      </c>
      <c r="J905" s="73">
        <f>VLOOKUP(C905,'RAW DATA 2023'!E:AC,21,0)</f>
        <v>20.907209999999999</v>
      </c>
      <c r="K905" s="398">
        <f>I905*J905</f>
        <v>334.49988199233729</v>
      </c>
    </row>
    <row r="906" spans="1:11">
      <c r="A906" s="63" t="str">
        <f>'RAW DATA 2023'!B667</f>
        <v>Tamai2</v>
      </c>
      <c r="B906" s="63" t="str">
        <f>'RAW DATA 2023'!D667</f>
        <v>D1-039-0028</v>
      </c>
      <c r="C906" s="63" t="str">
        <f>A906&amp;B906</f>
        <v>Tamai2D1-039-0028</v>
      </c>
      <c r="D906" s="63">
        <f>VLOOKUP(C906,'RAW DATA 2023'!E:BP,63,0)</f>
        <v>6</v>
      </c>
      <c r="E906" s="63" t="str">
        <f>A906&amp;D906</f>
        <v>Tamai26</v>
      </c>
      <c r="F906" s="389">
        <f>VLOOKUP(C906,'RAW DATA 2023'!E:BO,57,0)</f>
        <v>204.10395936408534</v>
      </c>
      <c r="G906" s="63">
        <f>VLOOKUP(C906,'RAW DATA 2023'!E:BO,58,0)</f>
        <v>163</v>
      </c>
      <c r="H906" s="390">
        <f>IFERROR((G906-F906)/G906,0)</f>
        <v>-0.25217152984101437</v>
      </c>
      <c r="I906" s="398">
        <f>IF(H906&lt;0,((0.25-(H906*(-1)))*$L$7),IF(H906&gt;0,(H906*$N$7)+$L$6,0))</f>
        <v>-0.11581492485409998</v>
      </c>
      <c r="J906" s="73">
        <f>VLOOKUP(C906,'RAW DATA 2023'!E:AC,21,0)</f>
        <v>18.805040000000002</v>
      </c>
      <c r="K906" s="398">
        <f>I906*J906</f>
        <v>-2.1779042944783447</v>
      </c>
    </row>
    <row r="907" spans="1:11">
      <c r="A907" s="63" t="str">
        <f>'RAW DATA 2023'!B669</f>
        <v>Tamai2</v>
      </c>
      <c r="B907" s="63" t="str">
        <f>'RAW DATA 2023'!D669</f>
        <v>D1-040-0028</v>
      </c>
      <c r="C907" s="63" t="str">
        <f>A907&amp;B907</f>
        <v>Tamai2D1-040-0028</v>
      </c>
      <c r="D907" s="63">
        <f>VLOOKUP(C907,'RAW DATA 2023'!E:BP,63,0)</f>
        <v>6</v>
      </c>
      <c r="E907" s="63" t="str">
        <f>A907&amp;D907</f>
        <v>Tamai26</v>
      </c>
      <c r="F907" s="389">
        <f>VLOOKUP(C907,'RAW DATA 2023'!E:BO,57,0)</f>
        <v>217.72860160979232</v>
      </c>
      <c r="G907" s="63">
        <f>VLOOKUP(C907,'RAW DATA 2023'!E:BO,58,0)</f>
        <v>154</v>
      </c>
      <c r="H907" s="390">
        <f>IFERROR((G907-F907)/G907,0)</f>
        <v>-0.41382208837527479</v>
      </c>
      <c r="I907" s="398">
        <f>IF(H907&lt;0,((0.25-(H907*(-1)))*$L$7),IF(H907&gt;0,(H907*$N$7)+$L$6,0))</f>
        <v>-8.737178046681322</v>
      </c>
      <c r="J907" s="73">
        <f>VLOOKUP(C907,'RAW DATA 2023'!E:AC,21,0)</f>
        <v>19.463380000000001</v>
      </c>
      <c r="K907" s="398">
        <f>I907*J907</f>
        <v>-170.05501645021633</v>
      </c>
    </row>
    <row r="908" spans="1:11">
      <c r="A908" s="63" t="str">
        <f>'RAW DATA 2023'!B672</f>
        <v>Tamai2</v>
      </c>
      <c r="B908" s="63" t="str">
        <f>'RAW DATA 2023'!D672</f>
        <v>A1-006-0026</v>
      </c>
      <c r="C908" s="63" t="str">
        <f>A908&amp;B908</f>
        <v>Tamai2A1-006-0026</v>
      </c>
      <c r="D908" s="63">
        <f>VLOOKUP(C908,'RAW DATA 2023'!E:BP,63,0)</f>
        <v>6</v>
      </c>
      <c r="E908" s="63" t="str">
        <f>A908&amp;D908</f>
        <v>Tamai26</v>
      </c>
      <c r="F908" s="389">
        <f>VLOOKUP(C908,'RAW DATA 2023'!E:BO,57,0)</f>
        <v>188.23809438361519</v>
      </c>
      <c r="G908" s="63">
        <f>VLOOKUP(C908,'RAW DATA 2023'!E:BO,58,0)</f>
        <v>197</v>
      </c>
      <c r="H908" s="390">
        <f>IFERROR((G908-F908)/G908,0)</f>
        <v>4.4476678255760446E-2</v>
      </c>
      <c r="I908" s="398">
        <f>IF(H908&lt;0,((0.25-(H908*(-1)))*$L$7),IF(H908&gt;0,(H908*$N$7)+$L$6,0))</f>
        <v>15.705422840307225</v>
      </c>
      <c r="J908" s="73">
        <f>VLOOKUP(C908,'RAW DATA 2023'!E:AC,21,0)</f>
        <v>35.666359999999997</v>
      </c>
      <c r="K908" s="398">
        <f>I908*J908</f>
        <v>560.15526497461997</v>
      </c>
    </row>
    <row r="909" spans="1:11">
      <c r="A909" s="63" t="str">
        <f>'RAW DATA 2023'!B680</f>
        <v>Tamai2</v>
      </c>
      <c r="B909" s="63" t="str">
        <f>'RAW DATA 2023'!D680</f>
        <v>C1-093-0008</v>
      </c>
      <c r="C909" s="63" t="str">
        <f>A909&amp;B909</f>
        <v>Tamai2C1-093-0008</v>
      </c>
      <c r="D909" s="63">
        <f>VLOOKUP(C909,'RAW DATA 2023'!E:BP,63,0)</f>
        <v>6</v>
      </c>
      <c r="E909" s="63" t="str">
        <f>A909&amp;D909</f>
        <v>Tamai26</v>
      </c>
      <c r="F909" s="389">
        <f>VLOOKUP(C909,'RAW DATA 2023'!E:BO,57,0)</f>
        <v>392.08471579566378</v>
      </c>
      <c r="G909" s="63">
        <f>VLOOKUP(C909,'RAW DATA 2023'!E:BO,58,0)</f>
        <v>150</v>
      </c>
      <c r="H909" s="390">
        <f>IFERROR((G909-F909)/G909,0)</f>
        <v>-1.6138981053044252</v>
      </c>
      <c r="I909" s="398">
        <f>IF(H909&lt;0,((0.25-(H909*(-1)))*$L$7),IF(H909&gt;0,(H909*$N$7)+$L$6,0))</f>
        <v>-72.741232282902686</v>
      </c>
      <c r="J909" s="73">
        <f>VLOOKUP(C909,'RAW DATA 2023'!E:AC,21,0)</f>
        <v>5.1695200000000003</v>
      </c>
      <c r="K909" s="398">
        <f>I909*J909</f>
        <v>-376.03725511111111</v>
      </c>
    </row>
    <row r="910" spans="1:11">
      <c r="A910" s="63" t="str">
        <f>'RAW DATA 2023'!B681</f>
        <v>Tamai2</v>
      </c>
      <c r="B910" s="63" t="str">
        <f>'RAW DATA 2023'!D681</f>
        <v>C1-057-0010</v>
      </c>
      <c r="C910" s="63" t="str">
        <f>A910&amp;B910</f>
        <v>Tamai2C1-057-0010</v>
      </c>
      <c r="D910" s="63">
        <f>VLOOKUP(C910,'RAW DATA 2023'!E:BP,63,0)</f>
        <v>6</v>
      </c>
      <c r="E910" s="63" t="str">
        <f>A910&amp;D910</f>
        <v>Tamai26</v>
      </c>
      <c r="F910" s="389">
        <f>VLOOKUP(C910,'RAW DATA 2023'!E:BO,57,0)</f>
        <v>452.33265591654936</v>
      </c>
      <c r="G910" s="63">
        <f>VLOOKUP(C910,'RAW DATA 2023'!E:BO,58,0)</f>
        <v>150</v>
      </c>
      <c r="H910" s="390">
        <f>IFERROR((G910-F910)/G910,0)</f>
        <v>-2.0155510394436624</v>
      </c>
      <c r="I910" s="398">
        <f>IF(H910&lt;0,((0.25-(H910*(-1)))*$L$7),IF(H910&gt;0,(H910*$N$7)+$L$6,0))</f>
        <v>-94.162722103662006</v>
      </c>
      <c r="J910" s="73">
        <f>VLOOKUP(C910,'RAW DATA 2023'!E:AC,21,0)</f>
        <v>4.5171599999999996</v>
      </c>
      <c r="K910" s="398">
        <f>I910*J910</f>
        <v>-425.34808177777785</v>
      </c>
    </row>
    <row r="911" spans="1:11">
      <c r="A911" s="63" t="str">
        <f>'RAW DATA 2023'!B664</f>
        <v>Tamai2</v>
      </c>
      <c r="B911" s="63" t="str">
        <f>'RAW DATA 2023'!D664</f>
        <v>D1-068-0004</v>
      </c>
      <c r="C911" s="63" t="str">
        <f>A911&amp;B911</f>
        <v>Tamai2D1-068-0004</v>
      </c>
      <c r="D911" s="63">
        <f>VLOOKUP(C911,'RAW DATA 2023'!E:BP,63,0)</f>
        <v>7</v>
      </c>
      <c r="E911" s="63" t="str">
        <f>A911&amp;D911</f>
        <v>Tamai27</v>
      </c>
      <c r="F911" s="389">
        <f>VLOOKUP(C911,'RAW DATA 2023'!E:BO,57,0)</f>
        <v>181.83541133804161</v>
      </c>
      <c r="G911" s="63">
        <f>VLOOKUP(C911,'RAW DATA 2023'!E:BO,58,0)</f>
        <v>183</v>
      </c>
      <c r="H911" s="390">
        <f>IFERROR((G911-F911)/G911,0)</f>
        <v>6.3638724697179811E-3</v>
      </c>
      <c r="I911" s="398">
        <f>IF(H911&lt;0,((0.25-(H911*(-1)))*$L$7),IF(H911&gt;0,(H911*$N$7)+$L$6,0))</f>
        <v>13.672739865051627</v>
      </c>
      <c r="J911" s="73">
        <f>VLOOKUP(C911,'RAW DATA 2023'!E:AC,21,0)</f>
        <v>24.885249999999999</v>
      </c>
      <c r="K911" s="398">
        <f>I911*J911</f>
        <v>340.24954972677597</v>
      </c>
    </row>
    <row r="912" spans="1:11">
      <c r="A912" s="63" t="str">
        <f>'RAW DATA 2023'!B678</f>
        <v>Tamai2</v>
      </c>
      <c r="B912" s="63" t="str">
        <f>'RAW DATA 2023'!D678</f>
        <v>E1-032-0037</v>
      </c>
      <c r="C912" s="63" t="str">
        <f>A912&amp;B912</f>
        <v>Tamai2E1-032-0037</v>
      </c>
      <c r="D912" s="63">
        <f>VLOOKUP(C912,'RAW DATA 2023'!E:BP,63,0)</f>
        <v>7</v>
      </c>
      <c r="E912" s="63" t="str">
        <f>A912&amp;D912</f>
        <v>Tamai27</v>
      </c>
      <c r="F912" s="389">
        <f>VLOOKUP(C912,'RAW DATA 2023'!E:BO,57,0)</f>
        <v>235.9833339487096</v>
      </c>
      <c r="G912" s="63">
        <f>VLOOKUP(C912,'RAW DATA 2023'!E:BO,58,0)</f>
        <v>150</v>
      </c>
      <c r="H912" s="390">
        <f>IFERROR((G912-F912)/G912,0)</f>
        <v>-0.57322222632473063</v>
      </c>
      <c r="I912" s="398">
        <f>IF(H912&lt;0,((0.25-(H912*(-1)))*$L$7),IF(H912&gt;0,(H912*$N$7)+$L$6,0))</f>
        <v>-17.238518737318969</v>
      </c>
      <c r="J912" s="73">
        <f>VLOOKUP(C912,'RAW DATA 2023'!E:AC,21,0)</f>
        <v>30.062909999999999</v>
      </c>
      <c r="K912" s="398">
        <f>I912*J912</f>
        <v>-518.24003733333382</v>
      </c>
    </row>
    <row r="913" spans="1:11">
      <c r="A913" s="63" t="str">
        <f>'RAW DATA 2023'!B682</f>
        <v>Tamai2</v>
      </c>
      <c r="B913" s="63" t="str">
        <f>'RAW DATA 2023'!D682</f>
        <v>A1-006-0027</v>
      </c>
      <c r="C913" s="63" t="str">
        <f>A913&amp;B913</f>
        <v>Tamai2A1-006-0027</v>
      </c>
      <c r="D913" s="63">
        <f>VLOOKUP(C913,'RAW DATA 2023'!E:BP,63,0)</f>
        <v>7</v>
      </c>
      <c r="E913" s="63" t="str">
        <f>A913&amp;D913</f>
        <v>Tamai27</v>
      </c>
      <c r="F913" s="389">
        <f>VLOOKUP(C913,'RAW DATA 2023'!E:BO,57,0)</f>
        <v>0</v>
      </c>
      <c r="G913" s="63">
        <f>VLOOKUP(C913,'RAW DATA 2023'!E:BO,58,0)</f>
        <v>0</v>
      </c>
      <c r="H913" s="390">
        <f>IFERROR((G913-F913)/G913,0)</f>
        <v>0</v>
      </c>
      <c r="I913" s="398">
        <f>IF(H913&lt;0,((0.25-(H913*(-1)))*$L$7),IF(H913&gt;0,(H913*$N$7)+$L$6,0))</f>
        <v>0</v>
      </c>
      <c r="J913" s="73">
        <f>VLOOKUP(C913,'RAW DATA 2023'!E:AC,21,0)</f>
        <v>0</v>
      </c>
      <c r="K913" s="398">
        <f>I913*J913</f>
        <v>0</v>
      </c>
    </row>
    <row r="914" spans="1:11">
      <c r="A914" s="63" t="str">
        <f>'RAW DATA 2023'!B668</f>
        <v>Tamai2</v>
      </c>
      <c r="B914" s="63" t="str">
        <f>'RAW DATA 2023'!D668</f>
        <v>C1-058-0011</v>
      </c>
      <c r="C914" s="63" t="str">
        <f>A914&amp;B914</f>
        <v>Tamai2C1-058-0011</v>
      </c>
      <c r="D914" s="63">
        <f>VLOOKUP(C914,'RAW DATA 2023'!E:BP,63,0)</f>
        <v>8</v>
      </c>
      <c r="E914" s="63" t="str">
        <f>A914&amp;D914</f>
        <v>Tamai28</v>
      </c>
      <c r="F914" s="389">
        <f>VLOOKUP(C914,'RAW DATA 2023'!E:BO,57,0)</f>
        <v>390.57605018264047</v>
      </c>
      <c r="G914" s="63">
        <f>VLOOKUP(C914,'RAW DATA 2023'!E:BO,58,0)</f>
        <v>150</v>
      </c>
      <c r="H914" s="390">
        <f>IFERROR((G914-F914)/G914,0)</f>
        <v>-1.6038403345509364</v>
      </c>
      <c r="I914" s="398">
        <f>IF(H914&lt;0,((0.25-(H914*(-1)))*$L$7),IF(H914&gt;0,(H914*$N$7)+$L$6,0))</f>
        <v>-72.204817842716608</v>
      </c>
      <c r="J914" s="73">
        <f>VLOOKUP(C914,'RAW DATA 2023'!E:AC,21,0)</f>
        <v>4.5991999999999997</v>
      </c>
      <c r="K914" s="398">
        <f>I914*J914</f>
        <v>-332.08439822222221</v>
      </c>
    </row>
    <row r="915" spans="1:11">
      <c r="A915" s="63" t="str">
        <f>'RAW DATA 2023'!B670</f>
        <v>Tamai2</v>
      </c>
      <c r="B915" s="63" t="str">
        <f>'RAW DATA 2023'!D670</f>
        <v>D1-073-0010</v>
      </c>
      <c r="C915" s="63" t="str">
        <f>A915&amp;B915</f>
        <v>Tamai2D1-073-0010</v>
      </c>
      <c r="D915" s="63">
        <f>VLOOKUP(C915,'RAW DATA 2023'!E:BP,63,0)</f>
        <v>8</v>
      </c>
      <c r="E915" s="63" t="str">
        <f>A915&amp;D915</f>
        <v>Tamai28</v>
      </c>
      <c r="F915" s="389">
        <f>VLOOKUP(C915,'RAW DATA 2023'!E:BO,57,0)</f>
        <v>517.9904330802068</v>
      </c>
      <c r="G915" s="63">
        <f>VLOOKUP(C915,'RAW DATA 2023'!E:BO,58,0)</f>
        <v>150</v>
      </c>
      <c r="H915" s="390">
        <f>IFERROR((G915-F915)/G915,0)</f>
        <v>-2.4532695538680453</v>
      </c>
      <c r="I915" s="398">
        <f>IF(H915&lt;0,((0.25-(H915*(-1)))*$L$7),IF(H915&gt;0,(H915*$N$7)+$L$6,0))</f>
        <v>-117.50770953962909</v>
      </c>
      <c r="J915" s="73">
        <f>VLOOKUP(C915,'RAW DATA 2023'!E:AC,21,0)</f>
        <v>5.8587299999999995</v>
      </c>
      <c r="K915" s="398">
        <f>I915*J915</f>
        <v>-688.44594311111109</v>
      </c>
    </row>
    <row r="916" spans="1:11">
      <c r="A916" s="63" t="str">
        <f>'RAW DATA 2023'!B676</f>
        <v>Tamai2</v>
      </c>
      <c r="B916" s="63" t="str">
        <f>'RAW DATA 2023'!D676</f>
        <v>C1-057-0011</v>
      </c>
      <c r="C916" s="63" t="str">
        <f>A916&amp;B916</f>
        <v>Tamai2C1-057-0011</v>
      </c>
      <c r="D916" s="63">
        <f>VLOOKUP(C916,'RAW DATA 2023'!E:BP,63,0)</f>
        <v>8</v>
      </c>
      <c r="E916" s="63" t="str">
        <f>A916&amp;D916</f>
        <v>Tamai28</v>
      </c>
      <c r="F916" s="389">
        <f>VLOOKUP(C916,'RAW DATA 2023'!E:BO,57,0)</f>
        <v>476.07933404555916</v>
      </c>
      <c r="G916" s="63">
        <f>VLOOKUP(C916,'RAW DATA 2023'!E:BO,58,0)</f>
        <v>150</v>
      </c>
      <c r="H916" s="390">
        <f>IFERROR((G916-F916)/G916,0)</f>
        <v>-2.1738622269703942</v>
      </c>
      <c r="I916" s="398">
        <f>IF(H916&lt;0,((0.25-(H916*(-1)))*$L$7),IF(H916&gt;0,(H916*$N$7)+$L$6,0))</f>
        <v>-102.60598543842103</v>
      </c>
      <c r="J916" s="73">
        <f>VLOOKUP(C916,'RAW DATA 2023'!E:AC,21,0)</f>
        <v>4.2963900000000006</v>
      </c>
      <c r="K916" s="398">
        <f>I916*J916</f>
        <v>-440.83532977777782</v>
      </c>
    </row>
    <row r="917" spans="1:11">
      <c r="A917" s="63">
        <f>'RAW DATA 2023'!B910</f>
        <v>0</v>
      </c>
      <c r="B917" s="63">
        <f>'RAW DATA 2023'!D910</f>
        <v>0</v>
      </c>
      <c r="C917" s="63" t="str">
        <f>A917&amp;B917</f>
        <v>00</v>
      </c>
      <c r="D917" s="63" t="e">
        <f>VLOOKUP(C917,'RAW DATA 2023'!E:BP,63,0)</f>
        <v>#N/A</v>
      </c>
      <c r="E917" s="63" t="e">
        <f>A917&amp;D917</f>
        <v>#N/A</v>
      </c>
      <c r="F917" s="389" t="e">
        <f>VLOOKUP(C917,'RAW DATA 2023'!E:BO,57,0)</f>
        <v>#N/A</v>
      </c>
      <c r="G917" s="63" t="e">
        <f>VLOOKUP(C917,'RAW DATA 2023'!E:BO,58,0)</f>
        <v>#N/A</v>
      </c>
      <c r="H917" s="390">
        <f>IFERROR((G917-F917)/G917,0)</f>
        <v>0</v>
      </c>
      <c r="I917" s="398">
        <f>IF(H917&lt;0,((0.25-(H917*(-1)))*$L$7),IF(H917&gt;0,(H917*$N$7)+$L$6,0))</f>
        <v>0</v>
      </c>
      <c r="J917" s="73" t="e">
        <f>VLOOKUP(C917,'RAW DATA 2023'!E:AC,21,0)</f>
        <v>#N/A</v>
      </c>
      <c r="K917" s="398" t="e">
        <f>I917*J917</f>
        <v>#N/A</v>
      </c>
    </row>
    <row r="918" spans="1:11">
      <c r="A918" s="63">
        <f>'RAW DATA 2023'!B911</f>
        <v>0</v>
      </c>
      <c r="B918" s="63">
        <f>'RAW DATA 2023'!D911</f>
        <v>0</v>
      </c>
      <c r="C918" s="63" t="str">
        <f>A918&amp;B918</f>
        <v>00</v>
      </c>
      <c r="D918" s="63" t="e">
        <f>VLOOKUP(C918,'RAW DATA 2023'!E:BP,63,0)</f>
        <v>#N/A</v>
      </c>
      <c r="E918" s="63" t="e">
        <f>A918&amp;D918</f>
        <v>#N/A</v>
      </c>
      <c r="F918" s="389" t="e">
        <f>VLOOKUP(C918,'RAW DATA 2023'!E:BO,57,0)</f>
        <v>#N/A</v>
      </c>
      <c r="G918" s="63" t="e">
        <f>VLOOKUP(C918,'RAW DATA 2023'!E:BO,58,0)</f>
        <v>#N/A</v>
      </c>
      <c r="H918" s="390">
        <f>IFERROR((G918-F918)/G918,0)</f>
        <v>0</v>
      </c>
      <c r="I918" s="398">
        <f>IF(H918&lt;0,((0.25-(H918*(-1)))*$L$7),IF(H918&gt;0,(H918*$N$7)+$L$6,0))</f>
        <v>0</v>
      </c>
      <c r="J918" s="73" t="e">
        <f>VLOOKUP(C918,'RAW DATA 2023'!E:AC,21,0)</f>
        <v>#N/A</v>
      </c>
      <c r="K918" s="398" t="e">
        <f>I918*J918</f>
        <v>#N/A</v>
      </c>
    </row>
    <row r="919" spans="1:11">
      <c r="A919" s="63">
        <f>'RAW DATA 2023'!B912</f>
        <v>0</v>
      </c>
      <c r="B919" s="63">
        <f>'RAW DATA 2023'!D912</f>
        <v>0</v>
      </c>
      <c r="C919" s="63" t="str">
        <f>A919&amp;B919</f>
        <v>00</v>
      </c>
      <c r="D919" s="63" t="e">
        <f>VLOOKUP(C919,'RAW DATA 2023'!E:BP,63,0)</f>
        <v>#N/A</v>
      </c>
      <c r="E919" s="63" t="e">
        <f>A919&amp;D919</f>
        <v>#N/A</v>
      </c>
      <c r="F919" s="389" t="e">
        <f>VLOOKUP(C919,'RAW DATA 2023'!E:BO,57,0)</f>
        <v>#N/A</v>
      </c>
      <c r="G919" s="63" t="e">
        <f>VLOOKUP(C919,'RAW DATA 2023'!E:BO,58,0)</f>
        <v>#N/A</v>
      </c>
      <c r="H919" s="390">
        <f>IFERROR((G919-F919)/G919,0)</f>
        <v>0</v>
      </c>
      <c r="I919" s="398">
        <f>IF(H919&lt;0,((0.25-(H919*(-1)))*$L$7),IF(H919&gt;0,(H919*$N$7)+$L$6,0))</f>
        <v>0</v>
      </c>
      <c r="J919" s="73" t="e">
        <f>VLOOKUP(C919,'RAW DATA 2023'!E:AC,21,0)</f>
        <v>#N/A</v>
      </c>
      <c r="K919" s="398" t="e">
        <f>I919*J919</f>
        <v>#N/A</v>
      </c>
    </row>
    <row r="920" spans="1:11">
      <c r="A920" s="63">
        <f>'RAW DATA 2023'!B913</f>
        <v>0</v>
      </c>
      <c r="B920" s="63">
        <f>'RAW DATA 2023'!D913</f>
        <v>0</v>
      </c>
      <c r="C920" s="63" t="str">
        <f>A920&amp;B920</f>
        <v>00</v>
      </c>
      <c r="D920" s="63" t="e">
        <f>VLOOKUP(C920,'RAW DATA 2023'!E:BP,63,0)</f>
        <v>#N/A</v>
      </c>
      <c r="E920" s="63" t="e">
        <f>A920&amp;D920</f>
        <v>#N/A</v>
      </c>
      <c r="F920" s="389" t="e">
        <f>VLOOKUP(C920,'RAW DATA 2023'!E:BO,57,0)</f>
        <v>#N/A</v>
      </c>
      <c r="G920" s="63" t="e">
        <f>VLOOKUP(C920,'RAW DATA 2023'!E:BO,58,0)</f>
        <v>#N/A</v>
      </c>
      <c r="H920" s="390">
        <f>IFERROR((G920-F920)/G920,0)</f>
        <v>0</v>
      </c>
      <c r="I920" s="398">
        <f>IF(H920&lt;0,((0.25-(H920*(-1)))*$L$7),IF(H920&gt;0,(H920*$N$7)+$L$6,0))</f>
        <v>0</v>
      </c>
      <c r="J920" s="73" t="e">
        <f>VLOOKUP(C920,'RAW DATA 2023'!E:AC,21,0)</f>
        <v>#N/A</v>
      </c>
      <c r="K920" s="398" t="e">
        <f>I920*J920</f>
        <v>#N/A</v>
      </c>
    </row>
    <row r="921" spans="1:11">
      <c r="A921" s="63">
        <f>'RAW DATA 2023'!B914</f>
        <v>0</v>
      </c>
      <c r="B921" s="63">
        <f>'RAW DATA 2023'!D914</f>
        <v>0</v>
      </c>
      <c r="C921" s="63" t="str">
        <f>A921&amp;B921</f>
        <v>00</v>
      </c>
      <c r="D921" s="63" t="e">
        <f>VLOOKUP(C921,'RAW DATA 2023'!E:BP,63,0)</f>
        <v>#N/A</v>
      </c>
      <c r="E921" s="63" t="e">
        <f>A921&amp;D921</f>
        <v>#N/A</v>
      </c>
      <c r="F921" s="389" t="e">
        <f>VLOOKUP(C921,'RAW DATA 2023'!E:BO,57,0)</f>
        <v>#N/A</v>
      </c>
      <c r="G921" s="63" t="e">
        <f>VLOOKUP(C921,'RAW DATA 2023'!E:BO,58,0)</f>
        <v>#N/A</v>
      </c>
      <c r="H921" s="390">
        <f>IFERROR((G921-F921)/G921,0)</f>
        <v>0</v>
      </c>
      <c r="I921" s="398">
        <f>IF(H921&lt;0,((0.25-(H921*(-1)))*$L$7),IF(H921&gt;0,(H921*$N$7)+$L$6,0))</f>
        <v>0</v>
      </c>
      <c r="J921" s="73" t="e">
        <f>VLOOKUP(C921,'RAW DATA 2023'!E:AC,21,0)</f>
        <v>#N/A</v>
      </c>
      <c r="K921" s="398" t="e">
        <f>I921*J921</f>
        <v>#N/A</v>
      </c>
    </row>
    <row r="922" spans="1:11">
      <c r="A922" s="63">
        <f>'RAW DATA 2023'!B915</f>
        <v>0</v>
      </c>
      <c r="B922" s="63">
        <f>'RAW DATA 2023'!D915</f>
        <v>0</v>
      </c>
      <c r="C922" s="63" t="str">
        <f>A922&amp;B922</f>
        <v>00</v>
      </c>
      <c r="D922" s="63" t="e">
        <f>VLOOKUP(C922,'RAW DATA 2023'!E:BP,63,0)</f>
        <v>#N/A</v>
      </c>
      <c r="E922" s="63" t="e">
        <f>A922&amp;D922</f>
        <v>#N/A</v>
      </c>
      <c r="F922" s="389" t="e">
        <f>VLOOKUP(C922,'RAW DATA 2023'!E:BO,57,0)</f>
        <v>#N/A</v>
      </c>
      <c r="G922" s="63" t="e">
        <f>VLOOKUP(C922,'RAW DATA 2023'!E:BO,58,0)</f>
        <v>#N/A</v>
      </c>
      <c r="H922" s="390">
        <f>IFERROR((G922-F922)/G922,0)</f>
        <v>0</v>
      </c>
      <c r="I922" s="398">
        <f>IF(H922&lt;0,((0.25-(H922*(-1)))*$L$7),IF(H922&gt;0,(H922*$N$7)+$L$6,0))</f>
        <v>0</v>
      </c>
      <c r="J922" s="73" t="e">
        <f>VLOOKUP(C922,'RAW DATA 2023'!E:AC,21,0)</f>
        <v>#N/A</v>
      </c>
      <c r="K922" s="398" t="e">
        <f>I922*J922</f>
        <v>#N/A</v>
      </c>
    </row>
    <row r="923" spans="1:11">
      <c r="A923" s="63">
        <f>'RAW DATA 2023'!B916</f>
        <v>0</v>
      </c>
      <c r="B923" s="63">
        <f>'RAW DATA 2023'!D916</f>
        <v>0</v>
      </c>
      <c r="C923" s="63" t="str">
        <f>A923&amp;B923</f>
        <v>00</v>
      </c>
      <c r="D923" s="63" t="e">
        <f>VLOOKUP(C923,'RAW DATA 2023'!E:BP,63,0)</f>
        <v>#N/A</v>
      </c>
      <c r="E923" s="63" t="e">
        <f>A923&amp;D923</f>
        <v>#N/A</v>
      </c>
      <c r="F923" s="389" t="e">
        <f>VLOOKUP(C923,'RAW DATA 2023'!E:BO,57,0)</f>
        <v>#N/A</v>
      </c>
      <c r="G923" s="63" t="e">
        <f>VLOOKUP(C923,'RAW DATA 2023'!E:BO,58,0)</f>
        <v>#N/A</v>
      </c>
      <c r="H923" s="390">
        <f>IFERROR((G923-F923)/G923,0)</f>
        <v>0</v>
      </c>
      <c r="I923" s="398">
        <f>IF(H923&lt;0,((0.25-(H923*(-1)))*$L$7),IF(H923&gt;0,(H923*$N$7)+$L$6,0))</f>
        <v>0</v>
      </c>
      <c r="J923" s="73" t="e">
        <f>VLOOKUP(C923,'RAW DATA 2023'!E:AC,21,0)</f>
        <v>#N/A</v>
      </c>
      <c r="K923" s="398" t="e">
        <f>I923*J923</f>
        <v>#N/A</v>
      </c>
    </row>
    <row r="924" spans="1:11">
      <c r="A924" s="63">
        <f>'RAW DATA 2023'!B917</f>
        <v>0</v>
      </c>
      <c r="B924" s="63">
        <f>'RAW DATA 2023'!D917</f>
        <v>0</v>
      </c>
      <c r="C924" s="63" t="str">
        <f>A924&amp;B924</f>
        <v>00</v>
      </c>
      <c r="D924" s="63" t="e">
        <f>VLOOKUP(C924,'RAW DATA 2023'!E:BP,63,0)</f>
        <v>#N/A</v>
      </c>
      <c r="E924" s="63" t="e">
        <f>A924&amp;D924</f>
        <v>#N/A</v>
      </c>
      <c r="F924" s="389" t="e">
        <f>VLOOKUP(C924,'RAW DATA 2023'!E:BO,57,0)</f>
        <v>#N/A</v>
      </c>
      <c r="G924" s="63" t="e">
        <f>VLOOKUP(C924,'RAW DATA 2023'!E:BO,58,0)</f>
        <v>#N/A</v>
      </c>
      <c r="H924" s="390">
        <f>IFERROR((G924-F924)/G924,0)</f>
        <v>0</v>
      </c>
      <c r="I924" s="398">
        <f>IF(H924&lt;0,((0.25-(H924*(-1)))*$L$7),IF(H924&gt;0,(H924*$N$7)+$L$6,0))</f>
        <v>0</v>
      </c>
      <c r="J924" s="73" t="e">
        <f>VLOOKUP(C924,'RAW DATA 2023'!E:AC,21,0)</f>
        <v>#N/A</v>
      </c>
      <c r="K924" s="398" t="e">
        <f>I924*J924</f>
        <v>#N/A</v>
      </c>
    </row>
    <row r="925" spans="1:11">
      <c r="A925" s="63">
        <f>'RAW DATA 2023'!B918</f>
        <v>0</v>
      </c>
      <c r="B925" s="63">
        <f>'RAW DATA 2023'!D918</f>
        <v>0</v>
      </c>
      <c r="C925" s="63" t="str">
        <f>A925&amp;B925</f>
        <v>00</v>
      </c>
      <c r="D925" s="63" t="e">
        <f>VLOOKUP(C925,'RAW DATA 2023'!E:BP,63,0)</f>
        <v>#N/A</v>
      </c>
      <c r="E925" s="63" t="e">
        <f>A925&amp;D925</f>
        <v>#N/A</v>
      </c>
      <c r="F925" s="389" t="e">
        <f>VLOOKUP(C925,'RAW DATA 2023'!E:BO,57,0)</f>
        <v>#N/A</v>
      </c>
      <c r="G925" s="63" t="e">
        <f>VLOOKUP(C925,'RAW DATA 2023'!E:BO,58,0)</f>
        <v>#N/A</v>
      </c>
      <c r="H925" s="390">
        <f>IFERROR((G925-F925)/G925,0)</f>
        <v>0</v>
      </c>
      <c r="I925" s="398">
        <f>IF(H925&lt;0,((0.25-(H925*(-1)))*$L$7),IF(H925&gt;0,(H925*$N$7)+$L$6,0))</f>
        <v>0</v>
      </c>
      <c r="J925" s="73" t="e">
        <f>VLOOKUP(C925,'RAW DATA 2023'!E:AC,21,0)</f>
        <v>#N/A</v>
      </c>
      <c r="K925" s="398" t="e">
        <f>I925*J925</f>
        <v>#N/A</v>
      </c>
    </row>
    <row r="926" spans="1:11">
      <c r="A926" s="63">
        <f>'RAW DATA 2023'!B919</f>
        <v>0</v>
      </c>
      <c r="B926" s="63">
        <f>'RAW DATA 2023'!D919</f>
        <v>0</v>
      </c>
      <c r="C926" s="63" t="str">
        <f>A926&amp;B926</f>
        <v>00</v>
      </c>
      <c r="D926" s="63" t="e">
        <f>VLOOKUP(C926,'RAW DATA 2023'!E:BP,63,0)</f>
        <v>#N/A</v>
      </c>
      <c r="E926" s="63" t="e">
        <f>A926&amp;D926</f>
        <v>#N/A</v>
      </c>
      <c r="F926" s="389" t="e">
        <f>VLOOKUP(C926,'RAW DATA 2023'!E:BO,57,0)</f>
        <v>#N/A</v>
      </c>
      <c r="G926" s="63" t="e">
        <f>VLOOKUP(C926,'RAW DATA 2023'!E:BO,58,0)</f>
        <v>#N/A</v>
      </c>
      <c r="H926" s="390">
        <f>IFERROR((G926-F926)/G926,0)</f>
        <v>0</v>
      </c>
      <c r="I926" s="398">
        <f>IF(H926&lt;0,((0.25-(H926*(-1)))*$L$7),IF(H926&gt;0,(H926*$N$7)+$L$6,0))</f>
        <v>0</v>
      </c>
      <c r="J926" s="73" t="e">
        <f>VLOOKUP(C926,'RAW DATA 2023'!E:AC,21,0)</f>
        <v>#N/A</v>
      </c>
      <c r="K926" s="398" t="e">
        <f>I926*J926</f>
        <v>#N/A</v>
      </c>
    </row>
    <row r="927" spans="1:11">
      <c r="A927" s="63">
        <f>'RAW DATA 2023'!B920</f>
        <v>0</v>
      </c>
      <c r="B927" s="63">
        <f>'RAW DATA 2023'!D920</f>
        <v>0</v>
      </c>
      <c r="C927" s="63" t="str">
        <f>A927&amp;B927</f>
        <v>00</v>
      </c>
      <c r="D927" s="63" t="e">
        <f>VLOOKUP(C927,'RAW DATA 2023'!E:BP,63,0)</f>
        <v>#N/A</v>
      </c>
      <c r="E927" s="63" t="e">
        <f>A927&amp;D927</f>
        <v>#N/A</v>
      </c>
      <c r="F927" s="389" t="e">
        <f>VLOOKUP(C927,'RAW DATA 2023'!E:BO,57,0)</f>
        <v>#N/A</v>
      </c>
      <c r="G927" s="63" t="e">
        <f>VLOOKUP(C927,'RAW DATA 2023'!E:BO,58,0)</f>
        <v>#N/A</v>
      </c>
      <c r="H927" s="390">
        <f>IFERROR((G927-F927)/G927,0)</f>
        <v>0</v>
      </c>
      <c r="I927" s="398">
        <f>IF(H927&lt;0,((0.25-(H927*(-1)))*$L$7),IF(H927&gt;0,(H927*$N$7)+$L$6,0))</f>
        <v>0</v>
      </c>
      <c r="J927" s="73" t="e">
        <f>VLOOKUP(C927,'RAW DATA 2023'!E:AC,21,0)</f>
        <v>#N/A</v>
      </c>
      <c r="K927" s="398" t="e">
        <f>I927*J927</f>
        <v>#N/A</v>
      </c>
    </row>
    <row r="928" spans="1:11">
      <c r="A928" s="63">
        <f>'RAW DATA 2023'!B921</f>
        <v>0</v>
      </c>
      <c r="B928" s="63">
        <f>'RAW DATA 2023'!D921</f>
        <v>0</v>
      </c>
      <c r="C928" s="63" t="str">
        <f>A928&amp;B928</f>
        <v>00</v>
      </c>
      <c r="D928" s="63" t="e">
        <f>VLOOKUP(C928,'RAW DATA 2023'!E:BP,63,0)</f>
        <v>#N/A</v>
      </c>
      <c r="E928" s="63" t="e">
        <f>A928&amp;D928</f>
        <v>#N/A</v>
      </c>
      <c r="F928" s="389" t="e">
        <f>VLOOKUP(C928,'RAW DATA 2023'!E:BO,57,0)</f>
        <v>#N/A</v>
      </c>
      <c r="G928" s="63" t="e">
        <f>VLOOKUP(C928,'RAW DATA 2023'!E:BO,58,0)</f>
        <v>#N/A</v>
      </c>
      <c r="H928" s="390">
        <f>IFERROR((G928-F928)/G928,0)</f>
        <v>0</v>
      </c>
      <c r="I928" s="398">
        <f>IF(H928&lt;0,((0.25-(H928*(-1)))*$L$7),IF(H928&gt;0,(H928*$N$7)+$L$6,0))</f>
        <v>0</v>
      </c>
      <c r="J928" s="73" t="e">
        <f>VLOOKUP(C928,'RAW DATA 2023'!E:AC,21,0)</f>
        <v>#N/A</v>
      </c>
      <c r="K928" s="398" t="e">
        <f>I928*J928</f>
        <v>#N/A</v>
      </c>
    </row>
    <row r="929" spans="1:11">
      <c r="A929" s="63">
        <f>'RAW DATA 2023'!B922</f>
        <v>0</v>
      </c>
      <c r="B929" s="63">
        <f>'RAW DATA 2023'!D922</f>
        <v>0</v>
      </c>
      <c r="C929" s="63" t="str">
        <f>A929&amp;B929</f>
        <v>00</v>
      </c>
      <c r="D929" s="63" t="e">
        <f>VLOOKUP(C929,'RAW DATA 2023'!E:BP,63,0)</f>
        <v>#N/A</v>
      </c>
      <c r="E929" s="63" t="e">
        <f>A929&amp;D929</f>
        <v>#N/A</v>
      </c>
      <c r="F929" s="389" t="e">
        <f>VLOOKUP(C929,'RAW DATA 2023'!E:BO,57,0)</f>
        <v>#N/A</v>
      </c>
      <c r="G929" s="63" t="e">
        <f>VLOOKUP(C929,'RAW DATA 2023'!E:BO,58,0)</f>
        <v>#N/A</v>
      </c>
      <c r="H929" s="390">
        <f>IFERROR((G929-F929)/G929,0)</f>
        <v>0</v>
      </c>
      <c r="I929" s="398">
        <f>IF(H929&lt;0,((0.25-(H929*(-1)))*$L$7),IF(H929&gt;0,(H929*$N$7)+$L$6,0))</f>
        <v>0</v>
      </c>
      <c r="J929" s="73" t="e">
        <f>VLOOKUP(C929,'RAW DATA 2023'!E:AC,21,0)</f>
        <v>#N/A</v>
      </c>
      <c r="K929" s="398" t="e">
        <f>I929*J929</f>
        <v>#N/A</v>
      </c>
    </row>
    <row r="930" spans="1:11">
      <c r="A930" s="63">
        <f>'RAW DATA 2023'!B923</f>
        <v>0</v>
      </c>
      <c r="B930" s="63">
        <f>'RAW DATA 2023'!D923</f>
        <v>0</v>
      </c>
      <c r="C930" s="63" t="str">
        <f>A930&amp;B930</f>
        <v>00</v>
      </c>
      <c r="D930" s="63" t="e">
        <f>VLOOKUP(C930,'RAW DATA 2023'!E:BP,63,0)</f>
        <v>#N/A</v>
      </c>
      <c r="E930" s="63" t="e">
        <f>A930&amp;D930</f>
        <v>#N/A</v>
      </c>
      <c r="F930" s="389" t="e">
        <f>VLOOKUP(C930,'RAW DATA 2023'!E:BO,57,0)</f>
        <v>#N/A</v>
      </c>
      <c r="G930" s="63" t="e">
        <f>VLOOKUP(C930,'RAW DATA 2023'!E:BO,58,0)</f>
        <v>#N/A</v>
      </c>
      <c r="H930" s="390">
        <f>IFERROR((G930-F930)/G930,0)</f>
        <v>0</v>
      </c>
      <c r="I930" s="398">
        <f>IF(H930&lt;0,((0.25-(H930*(-1)))*$L$7),IF(H930&gt;0,(H930*$N$7)+$L$6,0))</f>
        <v>0</v>
      </c>
      <c r="J930" s="73" t="e">
        <f>VLOOKUP(C930,'RAW DATA 2023'!E:AC,21,0)</f>
        <v>#N/A</v>
      </c>
      <c r="K930" s="398" t="e">
        <f>I930*J930</f>
        <v>#N/A</v>
      </c>
    </row>
    <row r="931" spans="1:11">
      <c r="A931" s="63">
        <f>'RAW DATA 2023'!B924</f>
        <v>0</v>
      </c>
      <c r="B931" s="63">
        <f>'RAW DATA 2023'!D924</f>
        <v>0</v>
      </c>
      <c r="C931" s="63" t="str">
        <f>A931&amp;B931</f>
        <v>00</v>
      </c>
      <c r="D931" s="63" t="e">
        <f>VLOOKUP(C931,'RAW DATA 2023'!E:BP,63,0)</f>
        <v>#N/A</v>
      </c>
      <c r="E931" s="63" t="e">
        <f>A931&amp;D931</f>
        <v>#N/A</v>
      </c>
      <c r="F931" s="389" t="e">
        <f>VLOOKUP(C931,'RAW DATA 2023'!E:BO,57,0)</f>
        <v>#N/A</v>
      </c>
      <c r="G931" s="63" t="e">
        <f>VLOOKUP(C931,'RAW DATA 2023'!E:BO,58,0)</f>
        <v>#N/A</v>
      </c>
      <c r="H931" s="390">
        <f>IFERROR((G931-F931)/G931,0)</f>
        <v>0</v>
      </c>
      <c r="I931" s="398">
        <f>IF(H931&lt;0,((0.25-(H931*(-1)))*$L$7),IF(H931&gt;0,(H931*$N$7)+$L$6,0))</f>
        <v>0</v>
      </c>
      <c r="J931" s="73" t="e">
        <f>VLOOKUP(C931,'RAW DATA 2023'!E:AC,21,0)</f>
        <v>#N/A</v>
      </c>
      <c r="K931" s="398" t="e">
        <f>I931*J931</f>
        <v>#N/A</v>
      </c>
    </row>
    <row r="932" spans="1:11">
      <c r="A932" s="63">
        <f>'RAW DATA 2023'!B925</f>
        <v>0</v>
      </c>
      <c r="B932" s="63">
        <f>'RAW DATA 2023'!D925</f>
        <v>0</v>
      </c>
      <c r="C932" s="63" t="str">
        <f>A932&amp;B932</f>
        <v>00</v>
      </c>
      <c r="D932" s="63" t="e">
        <f>VLOOKUP(C932,'RAW DATA 2023'!E:BP,63,0)</f>
        <v>#N/A</v>
      </c>
      <c r="E932" s="63" t="e">
        <f>A932&amp;D932</f>
        <v>#N/A</v>
      </c>
      <c r="F932" s="389" t="e">
        <f>VLOOKUP(C932,'RAW DATA 2023'!E:BO,57,0)</f>
        <v>#N/A</v>
      </c>
      <c r="G932" s="63" t="e">
        <f>VLOOKUP(C932,'RAW DATA 2023'!E:BO,58,0)</f>
        <v>#N/A</v>
      </c>
      <c r="H932" s="390">
        <f>IFERROR((G932-F932)/G932,0)</f>
        <v>0</v>
      </c>
      <c r="I932" s="398">
        <f>IF(H932&lt;0,((0.25-(H932*(-1)))*$L$7),IF(H932&gt;0,(H932*$N$7)+$L$6,0))</f>
        <v>0</v>
      </c>
      <c r="J932" s="73" t="e">
        <f>VLOOKUP(C932,'RAW DATA 2023'!E:AC,21,0)</f>
        <v>#N/A</v>
      </c>
      <c r="K932" s="398" t="e">
        <f>I932*J932</f>
        <v>#N/A</v>
      </c>
    </row>
    <row r="933" spans="1:11">
      <c r="A933" s="63">
        <f>'RAW DATA 2023'!B926</f>
        <v>0</v>
      </c>
      <c r="B933" s="63">
        <f>'RAW DATA 2023'!D926</f>
        <v>0</v>
      </c>
      <c r="C933" s="63" t="str">
        <f>A933&amp;B933</f>
        <v>00</v>
      </c>
      <c r="D933" s="63" t="e">
        <f>VLOOKUP(C933,'RAW DATA 2023'!E:BP,63,0)</f>
        <v>#N/A</v>
      </c>
      <c r="E933" s="63" t="e">
        <f>A933&amp;D933</f>
        <v>#N/A</v>
      </c>
      <c r="F933" s="389" t="e">
        <f>VLOOKUP(C933,'RAW DATA 2023'!E:BO,57,0)</f>
        <v>#N/A</v>
      </c>
      <c r="G933" s="63" t="e">
        <f>VLOOKUP(C933,'RAW DATA 2023'!E:BO,58,0)</f>
        <v>#N/A</v>
      </c>
      <c r="H933" s="390">
        <f>IFERROR((G933-F933)/G933,0)</f>
        <v>0</v>
      </c>
      <c r="I933" s="398">
        <f>IF(H933&lt;0,((0.25-(H933*(-1)))*$L$7),IF(H933&gt;0,(H933*$N$7)+$L$6,0))</f>
        <v>0</v>
      </c>
      <c r="J933" s="73" t="e">
        <f>VLOOKUP(C933,'RAW DATA 2023'!E:AC,21,0)</f>
        <v>#N/A</v>
      </c>
      <c r="K933" s="398" t="e">
        <f>I933*J933</f>
        <v>#N/A</v>
      </c>
    </row>
    <row r="934" spans="1:11">
      <c r="A934" s="63">
        <f>'RAW DATA 2023'!B927</f>
        <v>0</v>
      </c>
      <c r="B934" s="63">
        <f>'RAW DATA 2023'!D927</f>
        <v>0</v>
      </c>
      <c r="C934" s="63" t="str">
        <f>A934&amp;B934</f>
        <v>00</v>
      </c>
      <c r="D934" s="63" t="e">
        <f>VLOOKUP(C934,'RAW DATA 2023'!E:BP,63,0)</f>
        <v>#N/A</v>
      </c>
      <c r="E934" s="63" t="e">
        <f>A934&amp;D934</f>
        <v>#N/A</v>
      </c>
      <c r="F934" s="389" t="e">
        <f>VLOOKUP(C934,'RAW DATA 2023'!E:BO,57,0)</f>
        <v>#N/A</v>
      </c>
      <c r="G934" s="63" t="e">
        <f>VLOOKUP(C934,'RAW DATA 2023'!E:BO,58,0)</f>
        <v>#N/A</v>
      </c>
      <c r="H934" s="390">
        <f>IFERROR((G934-F934)/G934,0)</f>
        <v>0</v>
      </c>
      <c r="I934" s="398">
        <f>IF(H934&lt;0,((0.25-(H934*(-1)))*$L$7),IF(H934&gt;0,(H934*$N$7)+$L$6,0))</f>
        <v>0</v>
      </c>
      <c r="J934" s="73" t="e">
        <f>VLOOKUP(C934,'RAW DATA 2023'!E:AC,21,0)</f>
        <v>#N/A</v>
      </c>
      <c r="K934" s="398" t="e">
        <f>I934*J934</f>
        <v>#N/A</v>
      </c>
    </row>
    <row r="935" spans="1:11">
      <c r="A935" s="63">
        <f>'RAW DATA 2023'!B928</f>
        <v>0</v>
      </c>
      <c r="B935" s="63">
        <f>'RAW DATA 2023'!D928</f>
        <v>0</v>
      </c>
      <c r="C935" s="63" t="str">
        <f>A935&amp;B935</f>
        <v>00</v>
      </c>
      <c r="D935" s="63" t="e">
        <f>VLOOKUP(C935,'RAW DATA 2023'!E:BP,63,0)</f>
        <v>#N/A</v>
      </c>
      <c r="E935" s="63" t="e">
        <f>A935&amp;D935</f>
        <v>#N/A</v>
      </c>
      <c r="F935" s="389" t="e">
        <f>VLOOKUP(C935,'RAW DATA 2023'!E:BO,57,0)</f>
        <v>#N/A</v>
      </c>
      <c r="G935" s="63" t="e">
        <f>VLOOKUP(C935,'RAW DATA 2023'!E:BO,58,0)</f>
        <v>#N/A</v>
      </c>
      <c r="H935" s="390">
        <f>IFERROR((G935-F935)/G935,0)</f>
        <v>0</v>
      </c>
      <c r="I935" s="398">
        <f>IF(H935&lt;0,((0.25-(H935*(-1)))*$L$7),IF(H935&gt;0,(H935*$N$7)+$L$6,0))</f>
        <v>0</v>
      </c>
      <c r="J935" s="73" t="e">
        <f>VLOOKUP(C935,'RAW DATA 2023'!E:AC,21,0)</f>
        <v>#N/A</v>
      </c>
      <c r="K935" s="398" t="e">
        <f>I935*J935</f>
        <v>#N/A</v>
      </c>
    </row>
    <row r="936" spans="1:11">
      <c r="A936" s="63">
        <f>'RAW DATA 2023'!B929</f>
        <v>0</v>
      </c>
      <c r="B936" s="63">
        <f>'RAW DATA 2023'!D929</f>
        <v>0</v>
      </c>
      <c r="C936" s="63" t="str">
        <f>A936&amp;B936</f>
        <v>00</v>
      </c>
      <c r="D936" s="63" t="e">
        <f>VLOOKUP(C936,'RAW DATA 2023'!E:BP,63,0)</f>
        <v>#N/A</v>
      </c>
      <c r="E936" s="63" t="e">
        <f>A936&amp;D936</f>
        <v>#N/A</v>
      </c>
      <c r="F936" s="389" t="e">
        <f>VLOOKUP(C936,'RAW DATA 2023'!E:BO,57,0)</f>
        <v>#N/A</v>
      </c>
      <c r="G936" s="63" t="e">
        <f>VLOOKUP(C936,'RAW DATA 2023'!E:BO,58,0)</f>
        <v>#N/A</v>
      </c>
      <c r="H936" s="390">
        <f>IFERROR((G936-F936)/G936,0)</f>
        <v>0</v>
      </c>
      <c r="I936" s="398">
        <f>IF(H936&lt;0,((0.25-(H936*(-1)))*$L$7),IF(H936&gt;0,(H936*$N$7)+$L$6,0))</f>
        <v>0</v>
      </c>
      <c r="J936" s="73" t="e">
        <f>VLOOKUP(C936,'RAW DATA 2023'!E:AC,21,0)</f>
        <v>#N/A</v>
      </c>
      <c r="K936" s="398" t="e">
        <f>I936*J936</f>
        <v>#N/A</v>
      </c>
    </row>
    <row r="937" spans="1:11">
      <c r="A937" s="63">
        <f>'RAW DATA 2023'!B930</f>
        <v>0</v>
      </c>
      <c r="B937" s="63">
        <f>'RAW DATA 2023'!D930</f>
        <v>0</v>
      </c>
      <c r="C937" s="63" t="str">
        <f>A937&amp;B937</f>
        <v>00</v>
      </c>
      <c r="D937" s="63" t="e">
        <f>VLOOKUP(C937,'RAW DATA 2023'!E:BP,63,0)</f>
        <v>#N/A</v>
      </c>
      <c r="E937" s="63" t="e">
        <f>A937&amp;D937</f>
        <v>#N/A</v>
      </c>
      <c r="F937" s="389" t="e">
        <f>VLOOKUP(C937,'RAW DATA 2023'!E:BO,57,0)</f>
        <v>#N/A</v>
      </c>
      <c r="G937" s="63" t="e">
        <f>VLOOKUP(C937,'RAW DATA 2023'!E:BO,58,0)</f>
        <v>#N/A</v>
      </c>
      <c r="H937" s="390">
        <f>IFERROR((G937-F937)/G937,0)</f>
        <v>0</v>
      </c>
      <c r="I937" s="398">
        <f>IF(H937&lt;0,((0.25-(H937*(-1)))*$L$7),IF(H937&gt;0,(H937*$N$7)+$L$6,0))</f>
        <v>0</v>
      </c>
      <c r="J937" s="73" t="e">
        <f>VLOOKUP(C937,'RAW DATA 2023'!E:AC,21,0)</f>
        <v>#N/A</v>
      </c>
      <c r="K937" s="398" t="e">
        <f>I937*J937</f>
        <v>#N/A</v>
      </c>
    </row>
    <row r="938" spans="1:11">
      <c r="A938" s="63">
        <f>'RAW DATA 2023'!B931</f>
        <v>0</v>
      </c>
      <c r="B938" s="63">
        <f>'RAW DATA 2023'!D931</f>
        <v>0</v>
      </c>
      <c r="C938" s="63" t="str">
        <f>A938&amp;B938</f>
        <v>00</v>
      </c>
      <c r="D938" s="63" t="e">
        <f>VLOOKUP(C938,'RAW DATA 2023'!E:BP,63,0)</f>
        <v>#N/A</v>
      </c>
      <c r="E938" s="63" t="e">
        <f>A938&amp;D938</f>
        <v>#N/A</v>
      </c>
      <c r="F938" s="389" t="e">
        <f>VLOOKUP(C938,'RAW DATA 2023'!E:BO,57,0)</f>
        <v>#N/A</v>
      </c>
      <c r="G938" s="63" t="e">
        <f>VLOOKUP(C938,'RAW DATA 2023'!E:BO,58,0)</f>
        <v>#N/A</v>
      </c>
      <c r="H938" s="390">
        <f>IFERROR((G938-F938)/G938,0)</f>
        <v>0</v>
      </c>
      <c r="I938" s="398">
        <f>IF(H938&lt;0,((0.25-(H938*(-1)))*$L$7),IF(H938&gt;0,(H938*$N$7)+$L$6,0))</f>
        <v>0</v>
      </c>
      <c r="J938" s="73" t="e">
        <f>VLOOKUP(C938,'RAW DATA 2023'!E:AC,21,0)</f>
        <v>#N/A</v>
      </c>
      <c r="K938" s="398" t="e">
        <f>I938*J938</f>
        <v>#N/A</v>
      </c>
    </row>
    <row r="939" spans="1:11">
      <c r="A939" s="63">
        <f>'RAW DATA 2023'!B932</f>
        <v>0</v>
      </c>
      <c r="B939" s="63">
        <f>'RAW DATA 2023'!D932</f>
        <v>0</v>
      </c>
      <c r="C939" s="63" t="str">
        <f>A939&amp;B939</f>
        <v>00</v>
      </c>
      <c r="D939" s="63" t="e">
        <f>VLOOKUP(C939,'RAW DATA 2023'!E:BP,63,0)</f>
        <v>#N/A</v>
      </c>
      <c r="E939" s="63" t="e">
        <f>A939&amp;D939</f>
        <v>#N/A</v>
      </c>
      <c r="F939" s="389" t="e">
        <f>VLOOKUP(C939,'RAW DATA 2023'!E:BO,57,0)</f>
        <v>#N/A</v>
      </c>
      <c r="G939" s="63" t="e">
        <f>VLOOKUP(C939,'RAW DATA 2023'!E:BO,58,0)</f>
        <v>#N/A</v>
      </c>
      <c r="H939" s="390">
        <f>IFERROR((G939-F939)/G939,0)</f>
        <v>0</v>
      </c>
      <c r="I939" s="398">
        <f>IF(H939&lt;0,((0.25-(H939*(-1)))*$L$7),IF(H939&gt;0,(H939*$N$7)+$L$6,0))</f>
        <v>0</v>
      </c>
      <c r="J939" s="73" t="e">
        <f>VLOOKUP(C939,'RAW DATA 2023'!E:AC,21,0)</f>
        <v>#N/A</v>
      </c>
      <c r="K939" s="398" t="e">
        <f>I939*J939</f>
        <v>#N/A</v>
      </c>
    </row>
    <row r="940" spans="1:11">
      <c r="A940" s="63">
        <f>'RAW DATA 2023'!B933</f>
        <v>0</v>
      </c>
      <c r="B940" s="63">
        <f>'RAW DATA 2023'!D933</f>
        <v>0</v>
      </c>
      <c r="C940" s="63" t="str">
        <f>A940&amp;B940</f>
        <v>00</v>
      </c>
      <c r="D940" s="63" t="e">
        <f>VLOOKUP(C940,'RAW DATA 2023'!E:BP,63,0)</f>
        <v>#N/A</v>
      </c>
      <c r="E940" s="63" t="e">
        <f>A940&amp;D940</f>
        <v>#N/A</v>
      </c>
      <c r="F940" s="389" t="e">
        <f>VLOOKUP(C940,'RAW DATA 2023'!E:BO,57,0)</f>
        <v>#N/A</v>
      </c>
      <c r="G940" s="63" t="e">
        <f>VLOOKUP(C940,'RAW DATA 2023'!E:BO,58,0)</f>
        <v>#N/A</v>
      </c>
      <c r="H940" s="390">
        <f>IFERROR((G940-F940)/G940,0)</f>
        <v>0</v>
      </c>
      <c r="I940" s="398">
        <f>IF(H940&lt;0,((0.25-(H940*(-1)))*$L$7),IF(H940&gt;0,(H940*$N$7)+$L$6,0))</f>
        <v>0</v>
      </c>
      <c r="J940" s="73" t="e">
        <f>VLOOKUP(C940,'RAW DATA 2023'!E:AC,21,0)</f>
        <v>#N/A</v>
      </c>
      <c r="K940" s="398" t="e">
        <f>I940*J940</f>
        <v>#N/A</v>
      </c>
    </row>
    <row r="941" spans="1:11">
      <c r="A941" s="63">
        <f>'RAW DATA 2023'!B934</f>
        <v>0</v>
      </c>
      <c r="B941" s="63">
        <f>'RAW DATA 2023'!D934</f>
        <v>0</v>
      </c>
      <c r="C941" s="63" t="str">
        <f>A941&amp;B941</f>
        <v>00</v>
      </c>
      <c r="D941" s="63" t="e">
        <f>VLOOKUP(C941,'RAW DATA 2023'!E:BP,63,0)</f>
        <v>#N/A</v>
      </c>
      <c r="E941" s="63" t="e">
        <f>A941&amp;D941</f>
        <v>#N/A</v>
      </c>
      <c r="F941" s="389" t="e">
        <f>VLOOKUP(C941,'RAW DATA 2023'!E:BO,57,0)</f>
        <v>#N/A</v>
      </c>
      <c r="G941" s="63" t="e">
        <f>VLOOKUP(C941,'RAW DATA 2023'!E:BO,58,0)</f>
        <v>#N/A</v>
      </c>
      <c r="H941" s="390">
        <f>IFERROR((G941-F941)/G941,0)</f>
        <v>0</v>
      </c>
      <c r="I941" s="398">
        <f>IF(H941&lt;0,((0.25-(H941*(-1)))*$L$7),IF(H941&gt;0,(H941*$N$7)+$L$6,0))</f>
        <v>0</v>
      </c>
      <c r="J941" s="73" t="e">
        <f>VLOOKUP(C941,'RAW DATA 2023'!E:AC,21,0)</f>
        <v>#N/A</v>
      </c>
      <c r="K941" s="398" t="e">
        <f>I941*J941</f>
        <v>#N/A</v>
      </c>
    </row>
    <row r="942" spans="1:11">
      <c r="A942" s="63">
        <f>'RAW DATA 2023'!B935</f>
        <v>0</v>
      </c>
      <c r="B942" s="63">
        <f>'RAW DATA 2023'!D935</f>
        <v>0</v>
      </c>
      <c r="C942" s="63" t="str">
        <f>A942&amp;B942</f>
        <v>00</v>
      </c>
      <c r="D942" s="63" t="e">
        <f>VLOOKUP(C942,'RAW DATA 2023'!E:BP,63,0)</f>
        <v>#N/A</v>
      </c>
      <c r="E942" s="63" t="e">
        <f>A942&amp;D942</f>
        <v>#N/A</v>
      </c>
      <c r="F942" s="389" t="e">
        <f>VLOOKUP(C942,'RAW DATA 2023'!E:BO,57,0)</f>
        <v>#N/A</v>
      </c>
      <c r="G942" s="63" t="e">
        <f>VLOOKUP(C942,'RAW DATA 2023'!E:BO,58,0)</f>
        <v>#N/A</v>
      </c>
      <c r="H942" s="390">
        <f>IFERROR((G942-F942)/G942,0)</f>
        <v>0</v>
      </c>
      <c r="I942" s="398">
        <f>IF(H942&lt;0,((0.25-(H942*(-1)))*$L$7),IF(H942&gt;0,(H942*$N$7)+$L$6,0))</f>
        <v>0</v>
      </c>
      <c r="J942" s="73" t="e">
        <f>VLOOKUP(C942,'RAW DATA 2023'!E:AC,21,0)</f>
        <v>#N/A</v>
      </c>
      <c r="K942" s="398" t="e">
        <f>I942*J942</f>
        <v>#N/A</v>
      </c>
    </row>
    <row r="943" spans="1:11">
      <c r="A943" s="63">
        <f>'RAW DATA 2023'!B936</f>
        <v>0</v>
      </c>
      <c r="B943" s="63">
        <f>'RAW DATA 2023'!D936</f>
        <v>0</v>
      </c>
      <c r="C943" s="63" t="str">
        <f>A943&amp;B943</f>
        <v>00</v>
      </c>
      <c r="D943" s="63" t="e">
        <f>VLOOKUP(C943,'RAW DATA 2023'!E:BP,63,0)</f>
        <v>#N/A</v>
      </c>
      <c r="E943" s="63" t="e">
        <f>A943&amp;D943</f>
        <v>#N/A</v>
      </c>
      <c r="F943" s="389" t="e">
        <f>VLOOKUP(C943,'RAW DATA 2023'!E:BO,57,0)</f>
        <v>#N/A</v>
      </c>
      <c r="G943" s="63" t="e">
        <f>VLOOKUP(C943,'RAW DATA 2023'!E:BO,58,0)</f>
        <v>#N/A</v>
      </c>
      <c r="H943" s="390">
        <f>IFERROR((G943-F943)/G943,0)</f>
        <v>0</v>
      </c>
      <c r="I943" s="398">
        <f>IF(H943&lt;0,((0.25-(H943*(-1)))*$L$7),IF(H943&gt;0,(H943*$N$7)+$L$6,0))</f>
        <v>0</v>
      </c>
      <c r="J943" s="73" t="e">
        <f>VLOOKUP(C943,'RAW DATA 2023'!E:AC,21,0)</f>
        <v>#N/A</v>
      </c>
      <c r="K943" s="398" t="e">
        <f>I943*J943</f>
        <v>#N/A</v>
      </c>
    </row>
    <row r="944" spans="1:11">
      <c r="A944" s="63">
        <f>'RAW DATA 2023'!B937</f>
        <v>0</v>
      </c>
      <c r="B944" s="63">
        <f>'RAW DATA 2023'!D937</f>
        <v>0</v>
      </c>
      <c r="C944" s="63" t="str">
        <f>A944&amp;B944</f>
        <v>00</v>
      </c>
      <c r="D944" s="63" t="e">
        <f>VLOOKUP(C944,'RAW DATA 2023'!E:BP,63,0)</f>
        <v>#N/A</v>
      </c>
      <c r="E944" s="63" t="e">
        <f>A944&amp;D944</f>
        <v>#N/A</v>
      </c>
      <c r="F944" s="389" t="e">
        <f>VLOOKUP(C944,'RAW DATA 2023'!E:BO,57,0)</f>
        <v>#N/A</v>
      </c>
      <c r="G944" s="63" t="e">
        <f>VLOOKUP(C944,'RAW DATA 2023'!E:BO,58,0)</f>
        <v>#N/A</v>
      </c>
      <c r="H944" s="390">
        <f>IFERROR((G944-F944)/G944,0)</f>
        <v>0</v>
      </c>
      <c r="I944" s="398">
        <f>IF(H944&lt;0,((0.25-(H944*(-1)))*$L$7),IF(H944&gt;0,(H944*$N$7)+$L$6,0))</f>
        <v>0</v>
      </c>
      <c r="J944" s="73" t="e">
        <f>VLOOKUP(C944,'RAW DATA 2023'!E:AC,21,0)</f>
        <v>#N/A</v>
      </c>
      <c r="K944" s="398" t="e">
        <f>I944*J944</f>
        <v>#N/A</v>
      </c>
    </row>
    <row r="945" spans="1:11">
      <c r="A945" s="63">
        <f>'RAW DATA 2023'!B938</f>
        <v>0</v>
      </c>
      <c r="B945" s="63">
        <f>'RAW DATA 2023'!D938</f>
        <v>0</v>
      </c>
      <c r="C945" s="63" t="str">
        <f>A945&amp;B945</f>
        <v>00</v>
      </c>
      <c r="D945" s="63" t="e">
        <f>VLOOKUP(C945,'RAW DATA 2023'!E:BP,63,0)</f>
        <v>#N/A</v>
      </c>
      <c r="E945" s="63" t="e">
        <f>A945&amp;D945</f>
        <v>#N/A</v>
      </c>
      <c r="F945" s="389" t="e">
        <f>VLOOKUP(C945,'RAW DATA 2023'!E:BO,57,0)</f>
        <v>#N/A</v>
      </c>
      <c r="G945" s="63" t="e">
        <f>VLOOKUP(C945,'RAW DATA 2023'!E:BO,58,0)</f>
        <v>#N/A</v>
      </c>
      <c r="H945" s="390">
        <f>IFERROR((G945-F945)/G945,0)</f>
        <v>0</v>
      </c>
      <c r="I945" s="398">
        <f>IF(H945&lt;0,((0.25-(H945*(-1)))*$L$7),IF(H945&gt;0,(H945*$N$7)+$L$6,0))</f>
        <v>0</v>
      </c>
      <c r="J945" s="73" t="e">
        <f>VLOOKUP(C945,'RAW DATA 2023'!E:AC,21,0)</f>
        <v>#N/A</v>
      </c>
      <c r="K945" s="398" t="e">
        <f>I945*J945</f>
        <v>#N/A</v>
      </c>
    </row>
    <row r="946" spans="1:11">
      <c r="A946" s="63">
        <f>'RAW DATA 2023'!B939</f>
        <v>0</v>
      </c>
      <c r="B946" s="63">
        <f>'RAW DATA 2023'!D939</f>
        <v>0</v>
      </c>
      <c r="C946" s="63" t="str">
        <f>A946&amp;B946</f>
        <v>00</v>
      </c>
      <c r="D946" s="63" t="e">
        <f>VLOOKUP(C946,'RAW DATA 2023'!E:BP,63,0)</f>
        <v>#N/A</v>
      </c>
      <c r="E946" s="63" t="e">
        <f>A946&amp;D946</f>
        <v>#N/A</v>
      </c>
      <c r="F946" s="389" t="e">
        <f>VLOOKUP(C946,'RAW DATA 2023'!E:BO,57,0)</f>
        <v>#N/A</v>
      </c>
      <c r="G946" s="63" t="e">
        <f>VLOOKUP(C946,'RAW DATA 2023'!E:BO,58,0)</f>
        <v>#N/A</v>
      </c>
      <c r="H946" s="390">
        <f>IFERROR((G946-F946)/G946,0)</f>
        <v>0</v>
      </c>
      <c r="I946" s="398">
        <f>IF(H946&lt;0,((0.25-(H946*(-1)))*$L$7),IF(H946&gt;0,(H946*$N$7)+$L$6,0))</f>
        <v>0</v>
      </c>
      <c r="J946" s="73" t="e">
        <f>VLOOKUP(C946,'RAW DATA 2023'!E:AC,21,0)</f>
        <v>#N/A</v>
      </c>
      <c r="K946" s="398" t="e">
        <f>I946*J946</f>
        <v>#N/A</v>
      </c>
    </row>
    <row r="947" spans="1:11">
      <c r="A947" s="63">
        <f>'RAW DATA 2023'!B940</f>
        <v>0</v>
      </c>
      <c r="B947" s="63">
        <f>'RAW DATA 2023'!D940</f>
        <v>0</v>
      </c>
      <c r="C947" s="63" t="str">
        <f>A947&amp;B947</f>
        <v>00</v>
      </c>
      <c r="D947" s="63" t="e">
        <f>VLOOKUP(C947,'RAW DATA 2023'!E:BP,63,0)</f>
        <v>#N/A</v>
      </c>
      <c r="E947" s="63" t="e">
        <f>A947&amp;D947</f>
        <v>#N/A</v>
      </c>
      <c r="F947" s="389" t="e">
        <f>VLOOKUP(C947,'RAW DATA 2023'!E:BO,57,0)</f>
        <v>#N/A</v>
      </c>
      <c r="G947" s="63" t="e">
        <f>VLOOKUP(C947,'RAW DATA 2023'!E:BO,58,0)</f>
        <v>#N/A</v>
      </c>
      <c r="H947" s="390">
        <f>IFERROR((G947-F947)/G947,0)</f>
        <v>0</v>
      </c>
      <c r="I947" s="398">
        <f>IF(H947&lt;0,((0.25-(H947*(-1)))*$L$7),IF(H947&gt;0,(H947*$N$7)+$L$6,0))</f>
        <v>0</v>
      </c>
      <c r="J947" s="73" t="e">
        <f>VLOOKUP(C947,'RAW DATA 2023'!E:AC,21,0)</f>
        <v>#N/A</v>
      </c>
      <c r="K947" s="398" t="e">
        <f>I947*J947</f>
        <v>#N/A</v>
      </c>
    </row>
    <row r="948" spans="1:11">
      <c r="A948" s="63">
        <f>'RAW DATA 2023'!B941</f>
        <v>0</v>
      </c>
      <c r="B948" s="63">
        <f>'RAW DATA 2023'!D941</f>
        <v>0</v>
      </c>
      <c r="C948" s="63" t="str">
        <f>A948&amp;B948</f>
        <v>00</v>
      </c>
      <c r="D948" s="63" t="e">
        <f>VLOOKUP(C948,'RAW DATA 2023'!E:BP,63,0)</f>
        <v>#N/A</v>
      </c>
      <c r="E948" s="63" t="e">
        <f>A948&amp;D948</f>
        <v>#N/A</v>
      </c>
      <c r="F948" s="389" t="e">
        <f>VLOOKUP(C948,'RAW DATA 2023'!E:BO,57,0)</f>
        <v>#N/A</v>
      </c>
      <c r="G948" s="63" t="e">
        <f>VLOOKUP(C948,'RAW DATA 2023'!E:BO,58,0)</f>
        <v>#N/A</v>
      </c>
      <c r="H948" s="390">
        <f>IFERROR((G948-F948)/G948,0)</f>
        <v>0</v>
      </c>
      <c r="I948" s="398">
        <f>IF(H948&lt;0,((0.25-(H948*(-1)))*$L$7),IF(H948&gt;0,(H948*$N$7)+$L$6,0))</f>
        <v>0</v>
      </c>
      <c r="J948" s="73" t="e">
        <f>VLOOKUP(C948,'RAW DATA 2023'!E:AC,21,0)</f>
        <v>#N/A</v>
      </c>
      <c r="K948" s="398" t="e">
        <f>I948*J948</f>
        <v>#N/A</v>
      </c>
    </row>
    <row r="949" spans="1:11">
      <c r="A949" s="63">
        <f>'RAW DATA 2023'!B942</f>
        <v>0</v>
      </c>
      <c r="B949" s="63">
        <f>'RAW DATA 2023'!D942</f>
        <v>0</v>
      </c>
      <c r="C949" s="63" t="str">
        <f>A949&amp;B949</f>
        <v>00</v>
      </c>
      <c r="D949" s="63" t="e">
        <f>VLOOKUP(C949,'RAW DATA 2023'!E:BP,63,0)</f>
        <v>#N/A</v>
      </c>
      <c r="E949" s="63" t="e">
        <f>A949&amp;D949</f>
        <v>#N/A</v>
      </c>
      <c r="F949" s="389" t="e">
        <f>VLOOKUP(C949,'RAW DATA 2023'!E:BO,57,0)</f>
        <v>#N/A</v>
      </c>
      <c r="G949" s="63" t="e">
        <f>VLOOKUP(C949,'RAW DATA 2023'!E:BO,58,0)</f>
        <v>#N/A</v>
      </c>
      <c r="H949" s="390">
        <f>IFERROR((G949-F949)/G949,0)</f>
        <v>0</v>
      </c>
      <c r="I949" s="398">
        <f>IF(H949&lt;0,((0.25-(H949*(-1)))*$L$7),IF(H949&gt;0,(H949*$N$7)+$L$6,0))</f>
        <v>0</v>
      </c>
      <c r="J949" s="73" t="e">
        <f>VLOOKUP(C949,'RAW DATA 2023'!E:AC,21,0)</f>
        <v>#N/A</v>
      </c>
      <c r="K949" s="398" t="e">
        <f>I949*J949</f>
        <v>#N/A</v>
      </c>
    </row>
    <row r="950" spans="1:11">
      <c r="A950" s="63">
        <f>'RAW DATA 2023'!B943</f>
        <v>0</v>
      </c>
      <c r="B950" s="63">
        <f>'RAW DATA 2023'!D943</f>
        <v>0</v>
      </c>
      <c r="C950" s="63" t="str">
        <f>A950&amp;B950</f>
        <v>00</v>
      </c>
      <c r="D950" s="63" t="e">
        <f>VLOOKUP(C950,'RAW DATA 2023'!E:BP,63,0)</f>
        <v>#N/A</v>
      </c>
      <c r="E950" s="63" t="e">
        <f>A950&amp;D950</f>
        <v>#N/A</v>
      </c>
      <c r="F950" s="389" t="e">
        <f>VLOOKUP(C950,'RAW DATA 2023'!E:BO,57,0)</f>
        <v>#N/A</v>
      </c>
      <c r="G950" s="63" t="e">
        <f>VLOOKUP(C950,'RAW DATA 2023'!E:BO,58,0)</f>
        <v>#N/A</v>
      </c>
      <c r="H950" s="390">
        <f>IFERROR((G950-F950)/G950,0)</f>
        <v>0</v>
      </c>
      <c r="I950" s="398">
        <f>IF(H950&lt;0,((0.25-(H950*(-1)))*$L$7),IF(H950&gt;0,(H950*$N$7)+$L$6,0))</f>
        <v>0</v>
      </c>
      <c r="J950" s="73" t="e">
        <f>VLOOKUP(C950,'RAW DATA 2023'!E:AC,21,0)</f>
        <v>#N/A</v>
      </c>
      <c r="K950" s="398" t="e">
        <f>I950*J950</f>
        <v>#N/A</v>
      </c>
    </row>
    <row r="951" spans="1:11">
      <c r="A951" s="63">
        <f>'RAW DATA 2023'!B944</f>
        <v>0</v>
      </c>
      <c r="B951" s="63">
        <f>'RAW DATA 2023'!D944</f>
        <v>0</v>
      </c>
      <c r="C951" s="63" t="str">
        <f>A951&amp;B951</f>
        <v>00</v>
      </c>
      <c r="D951" s="63" t="e">
        <f>VLOOKUP(C951,'RAW DATA 2023'!E:BP,63,0)</f>
        <v>#N/A</v>
      </c>
      <c r="E951" s="63" t="e">
        <f>A951&amp;D951</f>
        <v>#N/A</v>
      </c>
      <c r="F951" s="389" t="e">
        <f>VLOOKUP(C951,'RAW DATA 2023'!E:BO,57,0)</f>
        <v>#N/A</v>
      </c>
      <c r="G951" s="63" t="e">
        <f>VLOOKUP(C951,'RAW DATA 2023'!E:BO,58,0)</f>
        <v>#N/A</v>
      </c>
      <c r="H951" s="390">
        <f>IFERROR((G951-F951)/G951,0)</f>
        <v>0</v>
      </c>
      <c r="I951" s="398">
        <f>IF(H951&lt;0,((0.25-(H951*(-1)))*$L$7),IF(H951&gt;0,(H951*$N$7)+$L$6,0))</f>
        <v>0</v>
      </c>
      <c r="J951" s="73" t="e">
        <f>VLOOKUP(C951,'RAW DATA 2023'!E:AC,21,0)</f>
        <v>#N/A</v>
      </c>
      <c r="K951" s="398" t="e">
        <f>I951*J951</f>
        <v>#N/A</v>
      </c>
    </row>
    <row r="952" spans="1:11">
      <c r="A952" s="63">
        <f>'RAW DATA 2023'!B945</f>
        <v>0</v>
      </c>
      <c r="B952" s="63">
        <f>'RAW DATA 2023'!D945</f>
        <v>0</v>
      </c>
      <c r="C952" s="63" t="str">
        <f>A952&amp;B952</f>
        <v>00</v>
      </c>
      <c r="D952" s="63" t="e">
        <f>VLOOKUP(C952,'RAW DATA 2023'!E:BP,63,0)</f>
        <v>#N/A</v>
      </c>
      <c r="E952" s="63" t="e">
        <f>A952&amp;D952</f>
        <v>#N/A</v>
      </c>
      <c r="F952" s="389" t="e">
        <f>VLOOKUP(C952,'RAW DATA 2023'!E:BO,57,0)</f>
        <v>#N/A</v>
      </c>
      <c r="G952" s="63" t="e">
        <f>VLOOKUP(C952,'RAW DATA 2023'!E:BO,58,0)</f>
        <v>#N/A</v>
      </c>
      <c r="H952" s="390">
        <f>IFERROR((G952-F952)/G952,0)</f>
        <v>0</v>
      </c>
      <c r="I952" s="398">
        <f>IF(H952&lt;0,((0.25-(H952*(-1)))*$L$7),IF(H952&gt;0,(H952*$N$7)+$L$6,0))</f>
        <v>0</v>
      </c>
      <c r="J952" s="73" t="e">
        <f>VLOOKUP(C952,'RAW DATA 2023'!E:AC,21,0)</f>
        <v>#N/A</v>
      </c>
      <c r="K952" s="398" t="e">
        <f>I952*J952</f>
        <v>#N/A</v>
      </c>
    </row>
    <row r="953" spans="1:11">
      <c r="A953" s="63">
        <f>'RAW DATA 2023'!B946</f>
        <v>0</v>
      </c>
      <c r="B953" s="63">
        <f>'RAW DATA 2023'!D946</f>
        <v>0</v>
      </c>
      <c r="C953" s="63" t="str">
        <f>A953&amp;B953</f>
        <v>00</v>
      </c>
      <c r="D953" s="63" t="e">
        <f>VLOOKUP(C953,'RAW DATA 2023'!E:BP,63,0)</f>
        <v>#N/A</v>
      </c>
      <c r="E953" s="63" t="e">
        <f>A953&amp;D953</f>
        <v>#N/A</v>
      </c>
      <c r="F953" s="389" t="e">
        <f>VLOOKUP(C953,'RAW DATA 2023'!E:BO,57,0)</f>
        <v>#N/A</v>
      </c>
      <c r="G953" s="63" t="e">
        <f>VLOOKUP(C953,'RAW DATA 2023'!E:BO,58,0)</f>
        <v>#N/A</v>
      </c>
      <c r="H953" s="390">
        <f>IFERROR((G953-F953)/G953,0)</f>
        <v>0</v>
      </c>
      <c r="I953" s="398">
        <f>IF(H953&lt;0,((0.25-(H953*(-1)))*$L$7),IF(H953&gt;0,(H953*$N$7)+$L$6,0))</f>
        <v>0</v>
      </c>
      <c r="J953" s="73" t="e">
        <f>VLOOKUP(C953,'RAW DATA 2023'!E:AC,21,0)</f>
        <v>#N/A</v>
      </c>
      <c r="K953" s="398" t="e">
        <f>I953*J953</f>
        <v>#N/A</v>
      </c>
    </row>
    <row r="954" spans="1:11">
      <c r="A954" s="63">
        <f>'RAW DATA 2023'!B947</f>
        <v>0</v>
      </c>
      <c r="B954" s="63">
        <f>'RAW DATA 2023'!D947</f>
        <v>0</v>
      </c>
      <c r="C954" s="63" t="str">
        <f>A954&amp;B954</f>
        <v>00</v>
      </c>
      <c r="D954" s="63" t="e">
        <f>VLOOKUP(C954,'RAW DATA 2023'!E:BP,63,0)</f>
        <v>#N/A</v>
      </c>
      <c r="E954" s="63" t="e">
        <f>A954&amp;D954</f>
        <v>#N/A</v>
      </c>
      <c r="F954" s="389" t="e">
        <f>VLOOKUP(C954,'RAW DATA 2023'!E:BO,57,0)</f>
        <v>#N/A</v>
      </c>
      <c r="G954" s="63" t="e">
        <f>VLOOKUP(C954,'RAW DATA 2023'!E:BO,58,0)</f>
        <v>#N/A</v>
      </c>
      <c r="H954" s="390">
        <f>IFERROR((G954-F954)/G954,0)</f>
        <v>0</v>
      </c>
      <c r="I954" s="398">
        <f>IF(H954&lt;0,((0.25-(H954*(-1)))*$L$7),IF(H954&gt;0,(H954*$N$7)+$L$6,0))</f>
        <v>0</v>
      </c>
      <c r="J954" s="73" t="e">
        <f>VLOOKUP(C954,'RAW DATA 2023'!E:AC,21,0)</f>
        <v>#N/A</v>
      </c>
      <c r="K954" s="398" t="e">
        <f>I954*J954</f>
        <v>#N/A</v>
      </c>
    </row>
    <row r="955" spans="1:11">
      <c r="A955" s="63">
        <f>'RAW DATA 2023'!B948</f>
        <v>0</v>
      </c>
      <c r="B955" s="63">
        <f>'RAW DATA 2023'!D948</f>
        <v>0</v>
      </c>
      <c r="C955" s="63" t="str">
        <f>A955&amp;B955</f>
        <v>00</v>
      </c>
      <c r="D955" s="63" t="e">
        <f>VLOOKUP(C955,'RAW DATA 2023'!E:BP,63,0)</f>
        <v>#N/A</v>
      </c>
      <c r="E955" s="63" t="e">
        <f>A955&amp;D955</f>
        <v>#N/A</v>
      </c>
      <c r="F955" s="389" t="e">
        <f>VLOOKUP(C955,'RAW DATA 2023'!E:BO,57,0)</f>
        <v>#N/A</v>
      </c>
      <c r="G955" s="63" t="e">
        <f>VLOOKUP(C955,'RAW DATA 2023'!E:BO,58,0)</f>
        <v>#N/A</v>
      </c>
      <c r="H955" s="390">
        <f>IFERROR((G955-F955)/G955,0)</f>
        <v>0</v>
      </c>
      <c r="I955" s="398">
        <f>IF(H955&lt;0,((0.25-(H955*(-1)))*$L$7),IF(H955&gt;0,(H955*$N$7)+$L$6,0))</f>
        <v>0</v>
      </c>
      <c r="J955" s="73" t="e">
        <f>VLOOKUP(C955,'RAW DATA 2023'!E:AC,21,0)</f>
        <v>#N/A</v>
      </c>
      <c r="K955" s="398" t="e">
        <f>I955*J955</f>
        <v>#N/A</v>
      </c>
    </row>
    <row r="956" spans="1:11">
      <c r="A956" s="63">
        <f>'RAW DATA 2023'!B949</f>
        <v>0</v>
      </c>
      <c r="B956" s="63">
        <f>'RAW DATA 2023'!D949</f>
        <v>0</v>
      </c>
      <c r="C956" s="63" t="str">
        <f>A956&amp;B956</f>
        <v>00</v>
      </c>
      <c r="D956" s="63" t="e">
        <f>VLOOKUP(C956,'RAW DATA 2023'!E:BP,63,0)</f>
        <v>#N/A</v>
      </c>
      <c r="E956" s="63" t="e">
        <f>A956&amp;D956</f>
        <v>#N/A</v>
      </c>
      <c r="F956" s="389" t="e">
        <f>VLOOKUP(C956,'RAW DATA 2023'!E:BO,57,0)</f>
        <v>#N/A</v>
      </c>
      <c r="G956" s="63" t="e">
        <f>VLOOKUP(C956,'RAW DATA 2023'!E:BO,58,0)</f>
        <v>#N/A</v>
      </c>
      <c r="H956" s="390">
        <f>IFERROR((G956-F956)/G956,0)</f>
        <v>0</v>
      </c>
      <c r="I956" s="398">
        <f>IF(H956&lt;0,((0.25-(H956*(-1)))*$L$7),IF(H956&gt;0,(H956*$N$7)+$L$6,0))</f>
        <v>0</v>
      </c>
      <c r="J956" s="73" t="e">
        <f>VLOOKUP(C956,'RAW DATA 2023'!E:AC,21,0)</f>
        <v>#N/A</v>
      </c>
      <c r="K956" s="398" t="e">
        <f>I956*J956</f>
        <v>#N/A</v>
      </c>
    </row>
    <row r="957" spans="1:11">
      <c r="A957" s="63">
        <f>'RAW DATA 2023'!B950</f>
        <v>0</v>
      </c>
      <c r="B957" s="63">
        <f>'RAW DATA 2023'!D950</f>
        <v>0</v>
      </c>
      <c r="C957" s="63" t="str">
        <f>A957&amp;B957</f>
        <v>00</v>
      </c>
      <c r="D957" s="63" t="e">
        <f>VLOOKUP(C957,'RAW DATA 2023'!E:BP,63,0)</f>
        <v>#N/A</v>
      </c>
      <c r="E957" s="63" t="e">
        <f>A957&amp;D957</f>
        <v>#N/A</v>
      </c>
      <c r="F957" s="389" t="e">
        <f>VLOOKUP(C957,'RAW DATA 2023'!E:BO,57,0)</f>
        <v>#N/A</v>
      </c>
      <c r="G957" s="63" t="e">
        <f>VLOOKUP(C957,'RAW DATA 2023'!E:BO,58,0)</f>
        <v>#N/A</v>
      </c>
      <c r="H957" s="390">
        <f>IFERROR((G957-F957)/G957,0)</f>
        <v>0</v>
      </c>
      <c r="I957" s="398">
        <f>IF(H957&lt;0,((0.25-(H957*(-1)))*$L$7),IF(H957&gt;0,(H957*$N$7)+$L$6,0))</f>
        <v>0</v>
      </c>
      <c r="J957" s="73" t="e">
        <f>VLOOKUP(C957,'RAW DATA 2023'!E:AC,21,0)</f>
        <v>#N/A</v>
      </c>
      <c r="K957" s="398" t="e">
        <f>I957*J957</f>
        <v>#N/A</v>
      </c>
    </row>
    <row r="958" spans="1:11">
      <c r="A958" s="63">
        <f>'RAW DATA 2023'!B951</f>
        <v>0</v>
      </c>
      <c r="B958" s="63">
        <f>'RAW DATA 2023'!D951</f>
        <v>0</v>
      </c>
      <c r="C958" s="63" t="str">
        <f>A958&amp;B958</f>
        <v>00</v>
      </c>
      <c r="D958" s="63" t="e">
        <f>VLOOKUP(C958,'RAW DATA 2023'!E:BP,63,0)</f>
        <v>#N/A</v>
      </c>
      <c r="E958" s="63" t="e">
        <f>A958&amp;D958</f>
        <v>#N/A</v>
      </c>
      <c r="F958" s="389" t="e">
        <f>VLOOKUP(C958,'RAW DATA 2023'!E:BO,57,0)</f>
        <v>#N/A</v>
      </c>
      <c r="G958" s="63" t="e">
        <f>VLOOKUP(C958,'RAW DATA 2023'!E:BO,58,0)</f>
        <v>#N/A</v>
      </c>
      <c r="H958" s="390">
        <f>IFERROR((G958-F958)/G958,0)</f>
        <v>0</v>
      </c>
      <c r="I958" s="398">
        <f>IF(H958&lt;0,((0.25-(H958*(-1)))*$L$7),IF(H958&gt;0,(H958*$N$7)+$L$6,0))</f>
        <v>0</v>
      </c>
      <c r="J958" s="73" t="e">
        <f>VLOOKUP(C958,'RAW DATA 2023'!E:AC,21,0)</f>
        <v>#N/A</v>
      </c>
      <c r="K958" s="398" t="e">
        <f>I958*J958</f>
        <v>#N/A</v>
      </c>
    </row>
    <row r="959" spans="1:11">
      <c r="A959" s="63">
        <f>'RAW DATA 2023'!B952</f>
        <v>0</v>
      </c>
      <c r="B959" s="63">
        <f>'RAW DATA 2023'!D952</f>
        <v>0</v>
      </c>
      <c r="C959" s="63" t="str">
        <f>A959&amp;B959</f>
        <v>00</v>
      </c>
      <c r="D959" s="63" t="e">
        <f>VLOOKUP(C959,'RAW DATA 2023'!E:BP,63,0)</f>
        <v>#N/A</v>
      </c>
      <c r="E959" s="63" t="e">
        <f>A959&amp;D959</f>
        <v>#N/A</v>
      </c>
      <c r="F959" s="389" t="e">
        <f>VLOOKUP(C959,'RAW DATA 2023'!E:BO,57,0)</f>
        <v>#N/A</v>
      </c>
      <c r="G959" s="63" t="e">
        <f>VLOOKUP(C959,'RAW DATA 2023'!E:BO,58,0)</f>
        <v>#N/A</v>
      </c>
      <c r="H959" s="390">
        <f>IFERROR((G959-F959)/G959,0)</f>
        <v>0</v>
      </c>
      <c r="I959" s="398">
        <f>IF(H959&lt;0,((0.25-(H959*(-1)))*$L$7),IF(H959&gt;0,(H959*$N$7)+$L$6,0))</f>
        <v>0</v>
      </c>
      <c r="J959" s="73" t="e">
        <f>VLOOKUP(C959,'RAW DATA 2023'!E:AC,21,0)</f>
        <v>#N/A</v>
      </c>
      <c r="K959" s="398" t="e">
        <f>I959*J959</f>
        <v>#N/A</v>
      </c>
    </row>
    <row r="960" spans="1:11">
      <c r="A960" s="63">
        <f>'RAW DATA 2023'!B953</f>
        <v>0</v>
      </c>
      <c r="B960" s="63">
        <f>'RAW DATA 2023'!D953</f>
        <v>0</v>
      </c>
      <c r="C960" s="63" t="str">
        <f>A960&amp;B960</f>
        <v>00</v>
      </c>
      <c r="D960" s="63" t="e">
        <f>VLOOKUP(C960,'RAW DATA 2023'!E:BP,63,0)</f>
        <v>#N/A</v>
      </c>
      <c r="E960" s="63" t="e">
        <f>A960&amp;D960</f>
        <v>#N/A</v>
      </c>
      <c r="F960" s="389" t="e">
        <f>VLOOKUP(C960,'RAW DATA 2023'!E:BO,57,0)</f>
        <v>#N/A</v>
      </c>
      <c r="G960" s="63" t="e">
        <f>VLOOKUP(C960,'RAW DATA 2023'!E:BO,58,0)</f>
        <v>#N/A</v>
      </c>
      <c r="H960" s="390">
        <f>IFERROR((G960-F960)/G960,0)</f>
        <v>0</v>
      </c>
      <c r="I960" s="398">
        <f>IF(H960&lt;0,((0.25-(H960*(-1)))*$L$7),IF(H960&gt;0,(H960*$N$7)+$L$6,0))</f>
        <v>0</v>
      </c>
      <c r="J960" s="73" t="e">
        <f>VLOOKUP(C960,'RAW DATA 2023'!E:AC,21,0)</f>
        <v>#N/A</v>
      </c>
      <c r="K960" s="398" t="e">
        <f>I960*J960</f>
        <v>#N/A</v>
      </c>
    </row>
    <row r="961" spans="1:11">
      <c r="A961" s="63">
        <f>'RAW DATA 2023'!B954</f>
        <v>0</v>
      </c>
      <c r="B961" s="63">
        <f>'RAW DATA 2023'!D954</f>
        <v>0</v>
      </c>
      <c r="C961" s="63" t="str">
        <f>A961&amp;B961</f>
        <v>00</v>
      </c>
      <c r="D961" s="63" t="e">
        <f>VLOOKUP(C961,'RAW DATA 2023'!E:BP,63,0)</f>
        <v>#N/A</v>
      </c>
      <c r="E961" s="63" t="e">
        <f>A961&amp;D961</f>
        <v>#N/A</v>
      </c>
      <c r="F961" s="389" t="e">
        <f>VLOOKUP(C961,'RAW DATA 2023'!E:BO,57,0)</f>
        <v>#N/A</v>
      </c>
      <c r="G961" s="63" t="e">
        <f>VLOOKUP(C961,'RAW DATA 2023'!E:BO,58,0)</f>
        <v>#N/A</v>
      </c>
      <c r="H961" s="390">
        <f>IFERROR((G961-F961)/G961,0)</f>
        <v>0</v>
      </c>
      <c r="I961" s="398">
        <f>IF(H961&lt;0,((0.25-(H961*(-1)))*$L$7),IF(H961&gt;0,(H961*$N$7)+$L$6,0))</f>
        <v>0</v>
      </c>
      <c r="J961" s="73" t="e">
        <f>VLOOKUP(C961,'RAW DATA 2023'!E:AC,21,0)</f>
        <v>#N/A</v>
      </c>
      <c r="K961" s="398" t="e">
        <f>I961*J961</f>
        <v>#N/A</v>
      </c>
    </row>
    <row r="962" spans="1:11">
      <c r="A962" s="63">
        <f>'RAW DATA 2023'!B955</f>
        <v>0</v>
      </c>
      <c r="B962" s="63">
        <f>'RAW DATA 2023'!D955</f>
        <v>0</v>
      </c>
      <c r="C962" s="63" t="str">
        <f>A962&amp;B962</f>
        <v>00</v>
      </c>
      <c r="D962" s="63" t="e">
        <f>VLOOKUP(C962,'RAW DATA 2023'!E:BP,63,0)</f>
        <v>#N/A</v>
      </c>
      <c r="E962" s="63" t="e">
        <f>A962&amp;D962</f>
        <v>#N/A</v>
      </c>
      <c r="F962" s="389" t="e">
        <f>VLOOKUP(C962,'RAW DATA 2023'!E:BO,57,0)</f>
        <v>#N/A</v>
      </c>
      <c r="G962" s="63" t="e">
        <f>VLOOKUP(C962,'RAW DATA 2023'!E:BO,58,0)</f>
        <v>#N/A</v>
      </c>
      <c r="H962" s="390">
        <f>IFERROR((G962-F962)/G962,0)</f>
        <v>0</v>
      </c>
      <c r="I962" s="398">
        <f>IF(H962&lt;0,((0.25-(H962*(-1)))*$L$7),IF(H962&gt;0,(H962*$N$7)+$L$6,0))</f>
        <v>0</v>
      </c>
      <c r="J962" s="73" t="e">
        <f>VLOOKUP(C962,'RAW DATA 2023'!E:AC,21,0)</f>
        <v>#N/A</v>
      </c>
      <c r="K962" s="398" t="e">
        <f>I962*J962</f>
        <v>#N/A</v>
      </c>
    </row>
    <row r="963" spans="1:11">
      <c r="A963" s="63">
        <f>'RAW DATA 2023'!B956</f>
        <v>0</v>
      </c>
      <c r="B963" s="63">
        <f>'RAW DATA 2023'!D956</f>
        <v>0</v>
      </c>
      <c r="C963" s="63" t="str">
        <f>A963&amp;B963</f>
        <v>00</v>
      </c>
      <c r="D963" s="63" t="e">
        <f>VLOOKUP(C963,'RAW DATA 2023'!E:BP,63,0)</f>
        <v>#N/A</v>
      </c>
      <c r="E963" s="63" t="e">
        <f>A963&amp;D963</f>
        <v>#N/A</v>
      </c>
      <c r="F963" s="389" t="e">
        <f>VLOOKUP(C963,'RAW DATA 2023'!E:BO,57,0)</f>
        <v>#N/A</v>
      </c>
      <c r="G963" s="63" t="e">
        <f>VLOOKUP(C963,'RAW DATA 2023'!E:BO,58,0)</f>
        <v>#N/A</v>
      </c>
      <c r="H963" s="390">
        <f>IFERROR((G963-F963)/G963,0)</f>
        <v>0</v>
      </c>
      <c r="I963" s="398">
        <f>IF(H963&lt;0,((0.25-(H963*(-1)))*$L$7),IF(H963&gt;0,(H963*$N$7)+$L$6,0))</f>
        <v>0</v>
      </c>
      <c r="J963" s="73" t="e">
        <f>VLOOKUP(C963,'RAW DATA 2023'!E:AC,21,0)</f>
        <v>#N/A</v>
      </c>
      <c r="K963" s="398" t="e">
        <f>I963*J963</f>
        <v>#N/A</v>
      </c>
    </row>
    <row r="964" spans="1:11">
      <c r="A964" s="63">
        <f>'RAW DATA 2023'!B957</f>
        <v>0</v>
      </c>
      <c r="B964" s="63">
        <f>'RAW DATA 2023'!D957</f>
        <v>0</v>
      </c>
      <c r="C964" s="63" t="str">
        <f>A964&amp;B964</f>
        <v>00</v>
      </c>
      <c r="D964" s="63" t="e">
        <f>VLOOKUP(C964,'RAW DATA 2023'!E:BP,63,0)</f>
        <v>#N/A</v>
      </c>
      <c r="E964" s="63" t="e">
        <f>A964&amp;D964</f>
        <v>#N/A</v>
      </c>
      <c r="F964" s="389" t="e">
        <f>VLOOKUP(C964,'RAW DATA 2023'!E:BO,57,0)</f>
        <v>#N/A</v>
      </c>
      <c r="G964" s="63" t="e">
        <f>VLOOKUP(C964,'RAW DATA 2023'!E:BO,58,0)</f>
        <v>#N/A</v>
      </c>
      <c r="H964" s="390">
        <f>IFERROR((G964-F964)/G964,0)</f>
        <v>0</v>
      </c>
      <c r="I964" s="398">
        <f>IF(H964&lt;0,((0.25-(H964*(-1)))*$L$7),IF(H964&gt;0,(H964*$N$7)+$L$6,0))</f>
        <v>0</v>
      </c>
      <c r="J964" s="73" t="e">
        <f>VLOOKUP(C964,'RAW DATA 2023'!E:AC,21,0)</f>
        <v>#N/A</v>
      </c>
      <c r="K964" s="398" t="e">
        <f>I964*J964</f>
        <v>#N/A</v>
      </c>
    </row>
    <row r="965" spans="1:11">
      <c r="A965" s="63">
        <f>'RAW DATA 2023'!B958</f>
        <v>0</v>
      </c>
      <c r="B965" s="63">
        <f>'RAW DATA 2023'!D958</f>
        <v>0</v>
      </c>
      <c r="C965" s="63" t="str">
        <f>A965&amp;B965</f>
        <v>00</v>
      </c>
      <c r="D965" s="63" t="e">
        <f>VLOOKUP(C965,'RAW DATA 2023'!E:BP,63,0)</f>
        <v>#N/A</v>
      </c>
      <c r="E965" s="63" t="e">
        <f>A965&amp;D965</f>
        <v>#N/A</v>
      </c>
      <c r="F965" s="389" t="e">
        <f>VLOOKUP(C965,'RAW DATA 2023'!E:BO,57,0)</f>
        <v>#N/A</v>
      </c>
      <c r="G965" s="63" t="e">
        <f>VLOOKUP(C965,'RAW DATA 2023'!E:BO,58,0)</f>
        <v>#N/A</v>
      </c>
      <c r="H965" s="390">
        <f>IFERROR((G965-F965)/G965,0)</f>
        <v>0</v>
      </c>
      <c r="I965" s="398">
        <f>IF(H965&lt;0,((0.25-(H965*(-1)))*$L$7),IF(H965&gt;0,(H965*$N$7)+$L$6,0))</f>
        <v>0</v>
      </c>
      <c r="J965" s="73" t="e">
        <f>VLOOKUP(C965,'RAW DATA 2023'!E:AC,21,0)</f>
        <v>#N/A</v>
      </c>
      <c r="K965" s="398" t="e">
        <f>I965*J965</f>
        <v>#N/A</v>
      </c>
    </row>
    <row r="966" spans="1:11">
      <c r="A966" s="63">
        <f>'RAW DATA 2023'!B959</f>
        <v>0</v>
      </c>
      <c r="B966" s="63">
        <f>'RAW DATA 2023'!D959</f>
        <v>0</v>
      </c>
      <c r="C966" s="63" t="str">
        <f>A966&amp;B966</f>
        <v>00</v>
      </c>
      <c r="D966" s="63" t="e">
        <f>VLOOKUP(C966,'RAW DATA 2023'!E:BP,63,0)</f>
        <v>#N/A</v>
      </c>
      <c r="E966" s="63" t="e">
        <f>A966&amp;D966</f>
        <v>#N/A</v>
      </c>
      <c r="F966" s="389" t="e">
        <f>VLOOKUP(C966,'RAW DATA 2023'!E:BO,57,0)</f>
        <v>#N/A</v>
      </c>
      <c r="G966" s="63" t="e">
        <f>VLOOKUP(C966,'RAW DATA 2023'!E:BO,58,0)</f>
        <v>#N/A</v>
      </c>
      <c r="H966" s="390">
        <f>IFERROR((G966-F966)/G966,0)</f>
        <v>0</v>
      </c>
      <c r="I966" s="398">
        <f>IF(H966&lt;0,((0.25-(H966*(-1)))*$L$7),IF(H966&gt;0,(H966*$N$7)+$L$6,0))</f>
        <v>0</v>
      </c>
      <c r="J966" s="73" t="e">
        <f>VLOOKUP(C966,'RAW DATA 2023'!E:AC,21,0)</f>
        <v>#N/A</v>
      </c>
      <c r="K966" s="398" t="e">
        <f>I966*J966</f>
        <v>#N/A</v>
      </c>
    </row>
    <row r="967" spans="1:11">
      <c r="A967" s="63">
        <f>'RAW DATA 2023'!B960</f>
        <v>0</v>
      </c>
      <c r="B967" s="63">
        <f>'RAW DATA 2023'!D960</f>
        <v>0</v>
      </c>
      <c r="C967" s="63" t="str">
        <f>A967&amp;B967</f>
        <v>00</v>
      </c>
      <c r="D967" s="63" t="e">
        <f>VLOOKUP(C967,'RAW DATA 2023'!E:BP,63,0)</f>
        <v>#N/A</v>
      </c>
      <c r="E967" s="63" t="e">
        <f>A967&amp;D967</f>
        <v>#N/A</v>
      </c>
      <c r="F967" s="389" t="e">
        <f>VLOOKUP(C967,'RAW DATA 2023'!E:BO,57,0)</f>
        <v>#N/A</v>
      </c>
      <c r="G967" s="63" t="e">
        <f>VLOOKUP(C967,'RAW DATA 2023'!E:BO,58,0)</f>
        <v>#N/A</v>
      </c>
      <c r="H967" s="390">
        <f>IFERROR((G967-F967)/G967,0)</f>
        <v>0</v>
      </c>
      <c r="I967" s="398">
        <f>IF(H967&lt;0,((0.25-(H967*(-1)))*$L$7),IF(H967&gt;0,(H967*$N$7)+$L$6,0))</f>
        <v>0</v>
      </c>
      <c r="J967" s="73" t="e">
        <f>VLOOKUP(C967,'RAW DATA 2023'!E:AC,21,0)</f>
        <v>#N/A</v>
      </c>
      <c r="K967" s="398" t="e">
        <f>I967*J967</f>
        <v>#N/A</v>
      </c>
    </row>
    <row r="968" spans="1:11">
      <c r="A968" s="63">
        <f>'RAW DATA 2023'!B961</f>
        <v>0</v>
      </c>
      <c r="B968" s="63">
        <f>'RAW DATA 2023'!D961</f>
        <v>0</v>
      </c>
      <c r="C968" s="63" t="str">
        <f>A968&amp;B968</f>
        <v>00</v>
      </c>
      <c r="D968" s="63" t="e">
        <f>VLOOKUP(C968,'RAW DATA 2023'!E:BP,63,0)</f>
        <v>#N/A</v>
      </c>
      <c r="E968" s="63" t="e">
        <f>A968&amp;D968</f>
        <v>#N/A</v>
      </c>
      <c r="F968" s="389" t="e">
        <f>VLOOKUP(C968,'RAW DATA 2023'!E:BO,57,0)</f>
        <v>#N/A</v>
      </c>
      <c r="G968" s="63" t="e">
        <f>VLOOKUP(C968,'RAW DATA 2023'!E:BO,58,0)</f>
        <v>#N/A</v>
      </c>
      <c r="H968" s="390">
        <f>IFERROR((G968-F968)/G968,0)</f>
        <v>0</v>
      </c>
      <c r="I968" s="398">
        <f>IF(H968&lt;0,((0.25-(H968*(-1)))*$L$7),IF(H968&gt;0,(H968*$N$7)+$L$6,0))</f>
        <v>0</v>
      </c>
      <c r="J968" s="73" t="e">
        <f>VLOOKUP(C968,'RAW DATA 2023'!E:AC,21,0)</f>
        <v>#N/A</v>
      </c>
      <c r="K968" s="398" t="e">
        <f>I968*J968</f>
        <v>#N/A</v>
      </c>
    </row>
    <row r="969" spans="1:11">
      <c r="A969" s="63">
        <f>'RAW DATA 2023'!B962</f>
        <v>0</v>
      </c>
      <c r="B969" s="63">
        <f>'RAW DATA 2023'!D962</f>
        <v>0</v>
      </c>
      <c r="C969" s="63" t="str">
        <f>A969&amp;B969</f>
        <v>00</v>
      </c>
      <c r="D969" s="63" t="e">
        <f>VLOOKUP(C969,'RAW DATA 2023'!E:BP,63,0)</f>
        <v>#N/A</v>
      </c>
      <c r="E969" s="63" t="e">
        <f>A969&amp;D969</f>
        <v>#N/A</v>
      </c>
      <c r="F969" s="389" t="e">
        <f>VLOOKUP(C969,'RAW DATA 2023'!E:BO,57,0)</f>
        <v>#N/A</v>
      </c>
      <c r="G969" s="63" t="e">
        <f>VLOOKUP(C969,'RAW DATA 2023'!E:BO,58,0)</f>
        <v>#N/A</v>
      </c>
      <c r="H969" s="390">
        <f>IFERROR((G969-F969)/G969,0)</f>
        <v>0</v>
      </c>
      <c r="I969" s="398">
        <f>IF(H969&lt;0,((0.25-(H969*(-1)))*$L$7),IF(H969&gt;0,(H969*$N$7)+$L$6,0))</f>
        <v>0</v>
      </c>
      <c r="J969" s="73" t="e">
        <f>VLOOKUP(C969,'RAW DATA 2023'!E:AC,21,0)</f>
        <v>#N/A</v>
      </c>
      <c r="K969" s="398" t="e">
        <f>I969*J969</f>
        <v>#N/A</v>
      </c>
    </row>
    <row r="970" spans="1:11">
      <c r="A970" s="63">
        <f>'RAW DATA 2023'!B963</f>
        <v>0</v>
      </c>
      <c r="B970" s="63">
        <f>'RAW DATA 2023'!D963</f>
        <v>0</v>
      </c>
      <c r="C970" s="63" t="str">
        <f>A970&amp;B970</f>
        <v>00</v>
      </c>
      <c r="D970" s="63" t="e">
        <f>VLOOKUP(C970,'RAW DATA 2023'!E:BP,63,0)</f>
        <v>#N/A</v>
      </c>
      <c r="E970" s="63" t="e">
        <f>A970&amp;D970</f>
        <v>#N/A</v>
      </c>
      <c r="F970" s="389" t="e">
        <f>VLOOKUP(C970,'RAW DATA 2023'!E:BO,57,0)</f>
        <v>#N/A</v>
      </c>
      <c r="G970" s="63" t="e">
        <f>VLOOKUP(C970,'RAW DATA 2023'!E:BO,58,0)</f>
        <v>#N/A</v>
      </c>
      <c r="H970" s="390">
        <f>IFERROR((G970-F970)/G970,0)</f>
        <v>0</v>
      </c>
      <c r="I970" s="398">
        <f>IF(H970&lt;0,((0.25-(H970*(-1)))*$L$7),IF(H970&gt;0,(H970*$N$7)+$L$6,0))</f>
        <v>0</v>
      </c>
      <c r="J970" s="73" t="e">
        <f>VLOOKUP(C970,'RAW DATA 2023'!E:AC,21,0)</f>
        <v>#N/A</v>
      </c>
      <c r="K970" s="398" t="e">
        <f>I970*J970</f>
        <v>#N/A</v>
      </c>
    </row>
    <row r="971" spans="1:11">
      <c r="A971" s="63">
        <f>'RAW DATA 2023'!B964</f>
        <v>0</v>
      </c>
      <c r="B971" s="63">
        <f>'RAW DATA 2023'!D964</f>
        <v>0</v>
      </c>
      <c r="C971" s="63" t="str">
        <f>A971&amp;B971</f>
        <v>00</v>
      </c>
      <c r="D971" s="63" t="e">
        <f>VLOOKUP(C971,'RAW DATA 2023'!E:BP,63,0)</f>
        <v>#N/A</v>
      </c>
      <c r="E971" s="63" t="e">
        <f>A971&amp;D971</f>
        <v>#N/A</v>
      </c>
      <c r="F971" s="389" t="e">
        <f>VLOOKUP(C971,'RAW DATA 2023'!E:BO,57,0)</f>
        <v>#N/A</v>
      </c>
      <c r="G971" s="63" t="e">
        <f>VLOOKUP(C971,'RAW DATA 2023'!E:BO,58,0)</f>
        <v>#N/A</v>
      </c>
      <c r="H971" s="390">
        <f>IFERROR((G971-F971)/G971,0)</f>
        <v>0</v>
      </c>
      <c r="I971" s="398">
        <f>IF(H971&lt;0,((0.25-(H971*(-1)))*$L$7),IF(H971&gt;0,(H971*$N$7)+$L$6,0))</f>
        <v>0</v>
      </c>
      <c r="J971" s="73" t="e">
        <f>VLOOKUP(C971,'RAW DATA 2023'!E:AC,21,0)</f>
        <v>#N/A</v>
      </c>
      <c r="K971" s="398" t="e">
        <f>I971*J971</f>
        <v>#N/A</v>
      </c>
    </row>
    <row r="972" spans="1:11">
      <c r="A972" s="63">
        <f>'RAW DATA 2023'!B965</f>
        <v>0</v>
      </c>
      <c r="B972" s="63">
        <f>'RAW DATA 2023'!D965</f>
        <v>0</v>
      </c>
      <c r="C972" s="63" t="str">
        <f>A972&amp;B972</f>
        <v>00</v>
      </c>
      <c r="D972" s="63" t="e">
        <f>VLOOKUP(C972,'RAW DATA 2023'!E:BP,63,0)</f>
        <v>#N/A</v>
      </c>
      <c r="E972" s="63" t="e">
        <f>A972&amp;D972</f>
        <v>#N/A</v>
      </c>
      <c r="F972" s="389" t="e">
        <f>VLOOKUP(C972,'RAW DATA 2023'!E:BO,57,0)</f>
        <v>#N/A</v>
      </c>
      <c r="G972" s="63" t="e">
        <f>VLOOKUP(C972,'RAW DATA 2023'!E:BO,58,0)</f>
        <v>#N/A</v>
      </c>
      <c r="H972" s="390">
        <f>IFERROR((G972-F972)/G972,0)</f>
        <v>0</v>
      </c>
      <c r="I972" s="398">
        <f>IF(H972&lt;0,((0.25-(H972*(-1)))*$L$7),IF(H972&gt;0,(H972*$N$7)+$L$6,0))</f>
        <v>0</v>
      </c>
      <c r="J972" s="73" t="e">
        <f>VLOOKUP(C972,'RAW DATA 2023'!E:AC,21,0)</f>
        <v>#N/A</v>
      </c>
      <c r="K972" s="398" t="e">
        <f>I972*J972</f>
        <v>#N/A</v>
      </c>
    </row>
    <row r="973" spans="1:11">
      <c r="A973" s="63">
        <f>'RAW DATA 2023'!B966</f>
        <v>0</v>
      </c>
      <c r="B973" s="63">
        <f>'RAW DATA 2023'!D966</f>
        <v>0</v>
      </c>
      <c r="C973" s="63" t="str">
        <f>A973&amp;B973</f>
        <v>00</v>
      </c>
      <c r="D973" s="63" t="e">
        <f>VLOOKUP(C973,'RAW DATA 2023'!E:BP,63,0)</f>
        <v>#N/A</v>
      </c>
      <c r="E973" s="63" t="e">
        <f>A973&amp;D973</f>
        <v>#N/A</v>
      </c>
      <c r="F973" s="389" t="e">
        <f>VLOOKUP(C973,'RAW DATA 2023'!E:BO,57,0)</f>
        <v>#N/A</v>
      </c>
      <c r="G973" s="63" t="e">
        <f>VLOOKUP(C973,'RAW DATA 2023'!E:BO,58,0)</f>
        <v>#N/A</v>
      </c>
      <c r="H973" s="390">
        <f>IFERROR((G973-F973)/G973,0)</f>
        <v>0</v>
      </c>
      <c r="I973" s="398">
        <f>IF(H973&lt;0,((0.25-(H973*(-1)))*$L$7),IF(H973&gt;0,(H973*$N$7)+$L$6,0))</f>
        <v>0</v>
      </c>
      <c r="J973" s="73" t="e">
        <f>VLOOKUP(C973,'RAW DATA 2023'!E:AC,21,0)</f>
        <v>#N/A</v>
      </c>
      <c r="K973" s="398" t="e">
        <f>I973*J973</f>
        <v>#N/A</v>
      </c>
    </row>
    <row r="974" spans="1:11">
      <c r="A974" s="63">
        <f>'RAW DATA 2023'!B967</f>
        <v>0</v>
      </c>
      <c r="B974" s="63">
        <f>'RAW DATA 2023'!D967</f>
        <v>0</v>
      </c>
      <c r="C974" s="63" t="str">
        <f>A974&amp;B974</f>
        <v>00</v>
      </c>
      <c r="D974" s="63" t="e">
        <f>VLOOKUP(C974,'RAW DATA 2023'!E:BP,63,0)</f>
        <v>#N/A</v>
      </c>
      <c r="E974" s="63" t="e">
        <f>A974&amp;D974</f>
        <v>#N/A</v>
      </c>
      <c r="F974" s="389" t="e">
        <f>VLOOKUP(C974,'RAW DATA 2023'!E:BO,57,0)</f>
        <v>#N/A</v>
      </c>
      <c r="G974" s="63" t="e">
        <f>VLOOKUP(C974,'RAW DATA 2023'!E:BO,58,0)</f>
        <v>#N/A</v>
      </c>
      <c r="H974" s="390">
        <f>IFERROR((G974-F974)/G974,0)</f>
        <v>0</v>
      </c>
      <c r="I974" s="398">
        <f>IF(H974&lt;0,((0.25-(H974*(-1)))*$L$7),IF(H974&gt;0,(H974*$N$7)+$L$6,0))</f>
        <v>0</v>
      </c>
      <c r="J974" s="73" t="e">
        <f>VLOOKUP(C974,'RAW DATA 2023'!E:AC,21,0)</f>
        <v>#N/A</v>
      </c>
      <c r="K974" s="398" t="e">
        <f>I974*J974</f>
        <v>#N/A</v>
      </c>
    </row>
    <row r="975" spans="1:11">
      <c r="A975" s="63">
        <f>'RAW DATA 2023'!B968</f>
        <v>0</v>
      </c>
      <c r="B975" s="63">
        <f>'RAW DATA 2023'!D968</f>
        <v>0</v>
      </c>
      <c r="C975" s="63" t="str">
        <f>A975&amp;B975</f>
        <v>00</v>
      </c>
      <c r="D975" s="63" t="e">
        <f>VLOOKUP(C975,'RAW DATA 2023'!E:BP,63,0)</f>
        <v>#N/A</v>
      </c>
      <c r="E975" s="63" t="e">
        <f>A975&amp;D975</f>
        <v>#N/A</v>
      </c>
      <c r="F975" s="389" t="e">
        <f>VLOOKUP(C975,'RAW DATA 2023'!E:BO,57,0)</f>
        <v>#N/A</v>
      </c>
      <c r="G975" s="63" t="e">
        <f>VLOOKUP(C975,'RAW DATA 2023'!E:BO,58,0)</f>
        <v>#N/A</v>
      </c>
      <c r="H975" s="390">
        <f>IFERROR((G975-F975)/G975,0)</f>
        <v>0</v>
      </c>
      <c r="I975" s="398">
        <f>IF(H975&lt;0,((0.25-(H975*(-1)))*$L$7),IF(H975&gt;0,(H975*$N$7)+$L$6,0))</f>
        <v>0</v>
      </c>
      <c r="J975" s="73" t="e">
        <f>VLOOKUP(C975,'RAW DATA 2023'!E:AC,21,0)</f>
        <v>#N/A</v>
      </c>
      <c r="K975" s="398" t="e">
        <f>I975*J975</f>
        <v>#N/A</v>
      </c>
    </row>
    <row r="976" spans="1:11">
      <c r="A976" s="63">
        <f>'RAW DATA 2023'!B969</f>
        <v>0</v>
      </c>
      <c r="B976" s="63">
        <f>'RAW DATA 2023'!D969</f>
        <v>0</v>
      </c>
      <c r="C976" s="63" t="str">
        <f>A976&amp;B976</f>
        <v>00</v>
      </c>
      <c r="D976" s="63" t="e">
        <f>VLOOKUP(C976,'RAW DATA 2023'!E:BP,63,0)</f>
        <v>#N/A</v>
      </c>
      <c r="E976" s="63" t="e">
        <f>A976&amp;D976</f>
        <v>#N/A</v>
      </c>
      <c r="F976" s="389" t="e">
        <f>VLOOKUP(C976,'RAW DATA 2023'!E:BO,57,0)</f>
        <v>#N/A</v>
      </c>
      <c r="G976" s="63" t="e">
        <f>VLOOKUP(C976,'RAW DATA 2023'!E:BO,58,0)</f>
        <v>#N/A</v>
      </c>
      <c r="H976" s="390">
        <f>IFERROR((G976-F976)/G976,0)</f>
        <v>0</v>
      </c>
      <c r="I976" s="398">
        <f>IF(H976&lt;0,((0.25-(H976*(-1)))*$L$7),IF(H976&gt;0,(H976*$N$7)+$L$6,0))</f>
        <v>0</v>
      </c>
      <c r="J976" s="73" t="e">
        <f>VLOOKUP(C976,'RAW DATA 2023'!E:AC,21,0)</f>
        <v>#N/A</v>
      </c>
      <c r="K976" s="398" t="e">
        <f>I976*J976</f>
        <v>#N/A</v>
      </c>
    </row>
    <row r="977" spans="1:11">
      <c r="A977" s="63">
        <f>'RAW DATA 2023'!B970</f>
        <v>0</v>
      </c>
      <c r="B977" s="63">
        <f>'RAW DATA 2023'!D970</f>
        <v>0</v>
      </c>
      <c r="C977" s="63" t="str">
        <f>A977&amp;B977</f>
        <v>00</v>
      </c>
      <c r="D977" s="63" t="e">
        <f>VLOOKUP(C977,'RAW DATA 2023'!E:BP,63,0)</f>
        <v>#N/A</v>
      </c>
      <c r="E977" s="63" t="e">
        <f>A977&amp;D977</f>
        <v>#N/A</v>
      </c>
      <c r="F977" s="389" t="e">
        <f>VLOOKUP(C977,'RAW DATA 2023'!E:BO,57,0)</f>
        <v>#N/A</v>
      </c>
      <c r="G977" s="63" t="e">
        <f>VLOOKUP(C977,'RAW DATA 2023'!E:BO,58,0)</f>
        <v>#N/A</v>
      </c>
      <c r="H977" s="390">
        <f>IFERROR((G977-F977)/G977,0)</f>
        <v>0</v>
      </c>
      <c r="I977" s="398">
        <f>IF(H977&lt;0,((0.25-(H977*(-1)))*$L$7),IF(H977&gt;0,(H977*$N$7)+$L$6,0))</f>
        <v>0</v>
      </c>
      <c r="J977" s="73" t="e">
        <f>VLOOKUP(C977,'RAW DATA 2023'!E:AC,21,0)</f>
        <v>#N/A</v>
      </c>
      <c r="K977" s="398" t="e">
        <f>I977*J977</f>
        <v>#N/A</v>
      </c>
    </row>
    <row r="978" spans="1:11">
      <c r="A978" s="63">
        <f>'RAW DATA 2023'!B971</f>
        <v>0</v>
      </c>
      <c r="B978" s="63">
        <f>'RAW DATA 2023'!D971</f>
        <v>0</v>
      </c>
      <c r="C978" s="63" t="str">
        <f>A978&amp;B978</f>
        <v>00</v>
      </c>
      <c r="D978" s="63" t="e">
        <f>VLOOKUP(C978,'RAW DATA 2023'!E:BP,63,0)</f>
        <v>#N/A</v>
      </c>
      <c r="E978" s="63" t="e">
        <f>A978&amp;D978</f>
        <v>#N/A</v>
      </c>
      <c r="F978" s="389" t="e">
        <f>VLOOKUP(C978,'RAW DATA 2023'!E:BO,57,0)</f>
        <v>#N/A</v>
      </c>
      <c r="G978" s="63" t="e">
        <f>VLOOKUP(C978,'RAW DATA 2023'!E:BO,58,0)</f>
        <v>#N/A</v>
      </c>
      <c r="H978" s="390">
        <f>IFERROR((G978-F978)/G978,0)</f>
        <v>0</v>
      </c>
      <c r="I978" s="398">
        <f>IF(H978&lt;0,((0.25-(H978*(-1)))*$L$7),IF(H978&gt;0,(H978*$N$7)+$L$6,0))</f>
        <v>0</v>
      </c>
      <c r="J978" s="73" t="e">
        <f>VLOOKUP(C978,'RAW DATA 2023'!E:AC,21,0)</f>
        <v>#N/A</v>
      </c>
      <c r="K978" s="398" t="e">
        <f>I978*J978</f>
        <v>#N/A</v>
      </c>
    </row>
    <row r="979" spans="1:11">
      <c r="A979" s="63">
        <f>'RAW DATA 2023'!B972</f>
        <v>0</v>
      </c>
      <c r="B979" s="63">
        <f>'RAW DATA 2023'!D972</f>
        <v>0</v>
      </c>
      <c r="C979" s="63" t="str">
        <f>A979&amp;B979</f>
        <v>00</v>
      </c>
      <c r="D979" s="63" t="e">
        <f>VLOOKUP(C979,'RAW DATA 2023'!E:BP,63,0)</f>
        <v>#N/A</v>
      </c>
      <c r="E979" s="63" t="e">
        <f>A979&amp;D979</f>
        <v>#N/A</v>
      </c>
      <c r="F979" s="389" t="e">
        <f>VLOOKUP(C979,'RAW DATA 2023'!E:BO,57,0)</f>
        <v>#N/A</v>
      </c>
      <c r="G979" s="63" t="e">
        <f>VLOOKUP(C979,'RAW DATA 2023'!E:BO,58,0)</f>
        <v>#N/A</v>
      </c>
      <c r="H979" s="390">
        <f>IFERROR((G979-F979)/G979,0)</f>
        <v>0</v>
      </c>
      <c r="I979" s="398">
        <f>IF(H979&lt;0,((0.25-(H979*(-1)))*$L$7),IF(H979&gt;0,(H979*$N$7)+$L$6,0))</f>
        <v>0</v>
      </c>
      <c r="J979" s="73" t="e">
        <f>VLOOKUP(C979,'RAW DATA 2023'!E:AC,21,0)</f>
        <v>#N/A</v>
      </c>
      <c r="K979" s="398" t="e">
        <f>I979*J979</f>
        <v>#N/A</v>
      </c>
    </row>
    <row r="980" spans="1:11">
      <c r="A980" s="63">
        <f>'RAW DATA 2023'!B973</f>
        <v>0</v>
      </c>
      <c r="B980" s="63">
        <f>'RAW DATA 2023'!D973</f>
        <v>0</v>
      </c>
      <c r="C980" s="63" t="str">
        <f>A980&amp;B980</f>
        <v>00</v>
      </c>
      <c r="D980" s="63" t="e">
        <f>VLOOKUP(C980,'RAW DATA 2023'!E:BP,63,0)</f>
        <v>#N/A</v>
      </c>
      <c r="E980" s="63" t="e">
        <f>A980&amp;D980</f>
        <v>#N/A</v>
      </c>
      <c r="F980" s="389" t="e">
        <f>VLOOKUP(C980,'RAW DATA 2023'!E:BO,57,0)</f>
        <v>#N/A</v>
      </c>
      <c r="G980" s="63" t="e">
        <f>VLOOKUP(C980,'RAW DATA 2023'!E:BO,58,0)</f>
        <v>#N/A</v>
      </c>
      <c r="H980" s="390">
        <f>IFERROR((G980-F980)/G980,0)</f>
        <v>0</v>
      </c>
      <c r="I980" s="398">
        <f>IF(H980&lt;0,((0.25-(H980*(-1)))*$L$7),IF(H980&gt;0,(H980*$N$7)+$L$6,0))</f>
        <v>0</v>
      </c>
      <c r="J980" s="73" t="e">
        <f>VLOOKUP(C980,'RAW DATA 2023'!E:AC,21,0)</f>
        <v>#N/A</v>
      </c>
      <c r="K980" s="398" t="e">
        <f>I980*J980</f>
        <v>#N/A</v>
      </c>
    </row>
    <row r="981" spans="1:11">
      <c r="A981" s="63">
        <f>'RAW DATA 2023'!B974</f>
        <v>0</v>
      </c>
      <c r="B981" s="63">
        <f>'RAW DATA 2023'!D974</f>
        <v>0</v>
      </c>
      <c r="C981" s="63" t="str">
        <f>A981&amp;B981</f>
        <v>00</v>
      </c>
      <c r="D981" s="63" t="e">
        <f>VLOOKUP(C981,'RAW DATA 2023'!E:BP,63,0)</f>
        <v>#N/A</v>
      </c>
      <c r="E981" s="63" t="e">
        <f>A981&amp;D981</f>
        <v>#N/A</v>
      </c>
      <c r="F981" s="389" t="e">
        <f>VLOOKUP(C981,'RAW DATA 2023'!E:BO,57,0)</f>
        <v>#N/A</v>
      </c>
      <c r="G981" s="63" t="e">
        <f>VLOOKUP(C981,'RAW DATA 2023'!E:BO,58,0)</f>
        <v>#N/A</v>
      </c>
      <c r="H981" s="390">
        <f>IFERROR((G981-F981)/G981,0)</f>
        <v>0</v>
      </c>
      <c r="I981" s="398">
        <f>IF(H981&lt;0,((0.25-(H981*(-1)))*$L$7),IF(H981&gt;0,(H981*$N$7)+$L$6,0))</f>
        <v>0</v>
      </c>
      <c r="J981" s="73" t="e">
        <f>VLOOKUP(C981,'RAW DATA 2023'!E:AC,21,0)</f>
        <v>#N/A</v>
      </c>
      <c r="K981" s="398" t="e">
        <f>I981*J981</f>
        <v>#N/A</v>
      </c>
    </row>
    <row r="982" spans="1:11">
      <c r="A982" s="63">
        <f>'RAW DATA 2023'!B975</f>
        <v>0</v>
      </c>
      <c r="B982" s="63">
        <f>'RAW DATA 2023'!D975</f>
        <v>0</v>
      </c>
      <c r="C982" s="63" t="str">
        <f>A982&amp;B982</f>
        <v>00</v>
      </c>
      <c r="D982" s="63" t="e">
        <f>VLOOKUP(C982,'RAW DATA 2023'!E:BP,63,0)</f>
        <v>#N/A</v>
      </c>
      <c r="E982" s="63" t="e">
        <f>A982&amp;D982</f>
        <v>#N/A</v>
      </c>
      <c r="F982" s="389" t="e">
        <f>VLOOKUP(C982,'RAW DATA 2023'!E:BO,57,0)</f>
        <v>#N/A</v>
      </c>
      <c r="G982" s="63" t="e">
        <f>VLOOKUP(C982,'RAW DATA 2023'!E:BO,58,0)</f>
        <v>#N/A</v>
      </c>
      <c r="H982" s="390">
        <f>IFERROR((G982-F982)/G982,0)</f>
        <v>0</v>
      </c>
      <c r="I982" s="398">
        <f>IF(H982&lt;0,((0.25-(H982*(-1)))*$L$7),IF(H982&gt;0,(H982*$N$7)+$L$6,0))</f>
        <v>0</v>
      </c>
      <c r="J982" s="73" t="e">
        <f>VLOOKUP(C982,'RAW DATA 2023'!E:AC,21,0)</f>
        <v>#N/A</v>
      </c>
      <c r="K982" s="398" t="e">
        <f>I982*J982</f>
        <v>#N/A</v>
      </c>
    </row>
    <row r="983" spans="1:11">
      <c r="A983" s="63">
        <f>'RAW DATA 2023'!B976</f>
        <v>0</v>
      </c>
      <c r="B983" s="63">
        <f>'RAW DATA 2023'!D976</f>
        <v>0</v>
      </c>
      <c r="C983" s="63" t="str">
        <f>A983&amp;B983</f>
        <v>00</v>
      </c>
      <c r="D983" s="63" t="e">
        <f>VLOOKUP(C983,'RAW DATA 2023'!E:BP,63,0)</f>
        <v>#N/A</v>
      </c>
      <c r="E983" s="63" t="e">
        <f>A983&amp;D983</f>
        <v>#N/A</v>
      </c>
      <c r="F983" s="389" t="e">
        <f>VLOOKUP(C983,'RAW DATA 2023'!E:BO,57,0)</f>
        <v>#N/A</v>
      </c>
      <c r="G983" s="63" t="e">
        <f>VLOOKUP(C983,'RAW DATA 2023'!E:BO,58,0)</f>
        <v>#N/A</v>
      </c>
      <c r="H983" s="390">
        <f>IFERROR((G983-F983)/G983,0)</f>
        <v>0</v>
      </c>
      <c r="I983" s="398">
        <f>IF(H983&lt;0,((0.25-(H983*(-1)))*$L$7),IF(H983&gt;0,(H983*$N$7)+$L$6,0))</f>
        <v>0</v>
      </c>
      <c r="J983" s="73" t="e">
        <f>VLOOKUP(C983,'RAW DATA 2023'!E:AC,21,0)</f>
        <v>#N/A</v>
      </c>
      <c r="K983" s="398" t="e">
        <f>I983*J983</f>
        <v>#N/A</v>
      </c>
    </row>
    <row r="984" spans="1:11">
      <c r="A984" s="63">
        <f>'RAW DATA 2023'!B977</f>
        <v>0</v>
      </c>
      <c r="B984" s="63">
        <f>'RAW DATA 2023'!D977</f>
        <v>0</v>
      </c>
      <c r="C984" s="63" t="str">
        <f>A984&amp;B984</f>
        <v>00</v>
      </c>
      <c r="D984" s="63" t="e">
        <f>VLOOKUP(C984,'RAW DATA 2023'!E:BP,63,0)</f>
        <v>#N/A</v>
      </c>
      <c r="E984" s="63" t="e">
        <f>A984&amp;D984</f>
        <v>#N/A</v>
      </c>
      <c r="F984" s="389" t="e">
        <f>VLOOKUP(C984,'RAW DATA 2023'!E:BO,57,0)</f>
        <v>#N/A</v>
      </c>
      <c r="G984" s="63" t="e">
        <f>VLOOKUP(C984,'RAW DATA 2023'!E:BO,58,0)</f>
        <v>#N/A</v>
      </c>
      <c r="H984" s="390">
        <f>IFERROR((G984-F984)/G984,0)</f>
        <v>0</v>
      </c>
      <c r="I984" s="398">
        <f>IF(H984&lt;0,((0.25-(H984*(-1)))*$L$7),IF(H984&gt;0,(H984*$N$7)+$L$6,0))</f>
        <v>0</v>
      </c>
      <c r="J984" s="73" t="e">
        <f>VLOOKUP(C984,'RAW DATA 2023'!E:AC,21,0)</f>
        <v>#N/A</v>
      </c>
      <c r="K984" s="398" t="e">
        <f>I984*J984</f>
        <v>#N/A</v>
      </c>
    </row>
    <row r="985" spans="1:11">
      <c r="A985" s="63">
        <f>'RAW DATA 2023'!B978</f>
        <v>0</v>
      </c>
      <c r="B985" s="63">
        <f>'RAW DATA 2023'!D978</f>
        <v>0</v>
      </c>
      <c r="C985" s="63" t="str">
        <f>A985&amp;B985</f>
        <v>00</v>
      </c>
      <c r="D985" s="63" t="e">
        <f>VLOOKUP(C985,'RAW DATA 2023'!E:BP,63,0)</f>
        <v>#N/A</v>
      </c>
      <c r="E985" s="63" t="e">
        <f>A985&amp;D985</f>
        <v>#N/A</v>
      </c>
      <c r="F985" s="389" t="e">
        <f>VLOOKUP(C985,'RAW DATA 2023'!E:BO,57,0)</f>
        <v>#N/A</v>
      </c>
      <c r="G985" s="63" t="e">
        <f>VLOOKUP(C985,'RAW DATA 2023'!E:BO,58,0)</f>
        <v>#N/A</v>
      </c>
      <c r="H985" s="390">
        <f>IFERROR((G985-F985)/G985,0)</f>
        <v>0</v>
      </c>
      <c r="I985" s="398">
        <f>IF(H985&lt;0,((0.25-(H985*(-1)))*$L$7),IF(H985&gt;0,(H985*$N$7)+$L$6,0))</f>
        <v>0</v>
      </c>
      <c r="J985" s="73" t="e">
        <f>VLOOKUP(C985,'RAW DATA 2023'!E:AC,21,0)</f>
        <v>#N/A</v>
      </c>
      <c r="K985" s="398" t="e">
        <f>I985*J985</f>
        <v>#N/A</v>
      </c>
    </row>
    <row r="986" spans="1:11">
      <c r="A986" s="63">
        <f>'RAW DATA 2023'!B979</f>
        <v>0</v>
      </c>
      <c r="B986" s="63">
        <f>'RAW DATA 2023'!D979</f>
        <v>0</v>
      </c>
      <c r="C986" s="63" t="str">
        <f>A986&amp;B986</f>
        <v>00</v>
      </c>
      <c r="D986" s="63" t="e">
        <f>VLOOKUP(C986,'RAW DATA 2023'!E:BP,63,0)</f>
        <v>#N/A</v>
      </c>
      <c r="E986" s="63" t="e">
        <f>A986&amp;D986</f>
        <v>#N/A</v>
      </c>
      <c r="F986" s="389" t="e">
        <f>VLOOKUP(C986,'RAW DATA 2023'!E:BO,57,0)</f>
        <v>#N/A</v>
      </c>
      <c r="G986" s="63" t="e">
        <f>VLOOKUP(C986,'RAW DATA 2023'!E:BO,58,0)</f>
        <v>#N/A</v>
      </c>
      <c r="H986" s="390">
        <f>IFERROR((G986-F986)/G986,0)</f>
        <v>0</v>
      </c>
      <c r="I986" s="398">
        <f>IF(H986&lt;0,((0.25-(H986*(-1)))*$L$7),IF(H986&gt;0,(H986*$N$7)+$L$6,0))</f>
        <v>0</v>
      </c>
      <c r="J986" s="73" t="e">
        <f>VLOOKUP(C986,'RAW DATA 2023'!E:AC,21,0)</f>
        <v>#N/A</v>
      </c>
      <c r="K986" s="398" t="e">
        <f>I986*J986</f>
        <v>#N/A</v>
      </c>
    </row>
    <row r="987" spans="1:11">
      <c r="A987" s="63">
        <f>'RAW DATA 2023'!B980</f>
        <v>0</v>
      </c>
      <c r="B987" s="63">
        <f>'RAW DATA 2023'!D980</f>
        <v>0</v>
      </c>
      <c r="C987" s="63" t="str">
        <f>A987&amp;B987</f>
        <v>00</v>
      </c>
      <c r="D987" s="63" t="e">
        <f>VLOOKUP(C987,'RAW DATA 2023'!E:BP,63,0)</f>
        <v>#N/A</v>
      </c>
      <c r="E987" s="63" t="e">
        <f>A987&amp;D987</f>
        <v>#N/A</v>
      </c>
      <c r="F987" s="389" t="e">
        <f>VLOOKUP(C987,'RAW DATA 2023'!E:BO,57,0)</f>
        <v>#N/A</v>
      </c>
      <c r="G987" s="63" t="e">
        <f>VLOOKUP(C987,'RAW DATA 2023'!E:BO,58,0)</f>
        <v>#N/A</v>
      </c>
      <c r="H987" s="390">
        <f>IFERROR((G987-F987)/G987,0)</f>
        <v>0</v>
      </c>
      <c r="I987" s="398">
        <f>IF(H987&lt;0,((0.25-(H987*(-1)))*$L$7),IF(H987&gt;0,(H987*$N$7)+$L$6,0))</f>
        <v>0</v>
      </c>
      <c r="J987" s="73" t="e">
        <f>VLOOKUP(C987,'RAW DATA 2023'!E:AC,21,0)</f>
        <v>#N/A</v>
      </c>
      <c r="K987" s="398" t="e">
        <f>I987*J987</f>
        <v>#N/A</v>
      </c>
    </row>
    <row r="988" spans="1:11">
      <c r="A988" s="63">
        <f>'RAW DATA 2023'!B981</f>
        <v>0</v>
      </c>
      <c r="B988" s="63">
        <f>'RAW DATA 2023'!D981</f>
        <v>0</v>
      </c>
      <c r="C988" s="63" t="str">
        <f>A988&amp;B988</f>
        <v>00</v>
      </c>
      <c r="D988" s="63" t="e">
        <f>VLOOKUP(C988,'RAW DATA 2023'!E:BP,63,0)</f>
        <v>#N/A</v>
      </c>
      <c r="E988" s="63" t="e">
        <f>A988&amp;D988</f>
        <v>#N/A</v>
      </c>
      <c r="F988" s="389" t="e">
        <f>VLOOKUP(C988,'RAW DATA 2023'!E:BO,57,0)</f>
        <v>#N/A</v>
      </c>
      <c r="G988" s="63" t="e">
        <f>VLOOKUP(C988,'RAW DATA 2023'!E:BO,58,0)</f>
        <v>#N/A</v>
      </c>
      <c r="H988" s="390">
        <f>IFERROR((G988-F988)/G988,0)</f>
        <v>0</v>
      </c>
      <c r="I988" s="398">
        <f>IF(H988&lt;0,((0.25-(H988*(-1)))*$L$7),IF(H988&gt;0,(H988*$N$7)+$L$6,0))</f>
        <v>0</v>
      </c>
      <c r="J988" s="73" t="e">
        <f>VLOOKUP(C988,'RAW DATA 2023'!E:AC,21,0)</f>
        <v>#N/A</v>
      </c>
      <c r="K988" s="398" t="e">
        <f>I988*J988</f>
        <v>#N/A</v>
      </c>
    </row>
    <row r="989" spans="1:11">
      <c r="A989" s="63">
        <f>'RAW DATA 2023'!B982</f>
        <v>0</v>
      </c>
      <c r="B989" s="63">
        <f>'RAW DATA 2023'!D982</f>
        <v>0</v>
      </c>
      <c r="C989" s="63" t="str">
        <f>A989&amp;B989</f>
        <v>00</v>
      </c>
      <c r="D989" s="63" t="e">
        <f>VLOOKUP(C989,'RAW DATA 2023'!E:BP,63,0)</f>
        <v>#N/A</v>
      </c>
      <c r="E989" s="63" t="e">
        <f>A989&amp;D989</f>
        <v>#N/A</v>
      </c>
      <c r="F989" s="389" t="e">
        <f>VLOOKUP(C989,'RAW DATA 2023'!E:BO,57,0)</f>
        <v>#N/A</v>
      </c>
      <c r="G989" s="63" t="e">
        <f>VLOOKUP(C989,'RAW DATA 2023'!E:BO,58,0)</f>
        <v>#N/A</v>
      </c>
      <c r="H989" s="390">
        <f>IFERROR((G989-F989)/G989,0)</f>
        <v>0</v>
      </c>
      <c r="I989" s="398">
        <f>IF(H989&lt;0,((0.25-(H989*(-1)))*$L$7),IF(H989&gt;0,(H989*$N$7)+$L$6,0))</f>
        <v>0</v>
      </c>
      <c r="J989" s="73" t="e">
        <f>VLOOKUP(C989,'RAW DATA 2023'!E:AC,21,0)</f>
        <v>#N/A</v>
      </c>
      <c r="K989" s="398" t="e">
        <f>I989*J989</f>
        <v>#N/A</v>
      </c>
    </row>
    <row r="990" spans="1:11">
      <c r="A990" s="63">
        <f>'RAW DATA 2023'!B983</f>
        <v>0</v>
      </c>
      <c r="B990" s="63">
        <f>'RAW DATA 2023'!D983</f>
        <v>0</v>
      </c>
      <c r="C990" s="63" t="str">
        <f>A990&amp;B990</f>
        <v>00</v>
      </c>
      <c r="D990" s="63" t="e">
        <f>VLOOKUP(C990,'RAW DATA 2023'!E:BP,63,0)</f>
        <v>#N/A</v>
      </c>
      <c r="E990" s="63" t="e">
        <f>A990&amp;D990</f>
        <v>#N/A</v>
      </c>
      <c r="F990" s="389" t="e">
        <f>VLOOKUP(C990,'RAW DATA 2023'!E:BO,57,0)</f>
        <v>#N/A</v>
      </c>
      <c r="G990" s="63" t="e">
        <f>VLOOKUP(C990,'RAW DATA 2023'!E:BO,58,0)</f>
        <v>#N/A</v>
      </c>
      <c r="H990" s="390">
        <f>IFERROR((G990-F990)/G990,0)</f>
        <v>0</v>
      </c>
      <c r="I990" s="398">
        <f>IF(H990&lt;0,((0.25-(H990*(-1)))*$L$7),IF(H990&gt;0,(H990*$N$7)+$L$6,0))</f>
        <v>0</v>
      </c>
      <c r="J990" s="73" t="e">
        <f>VLOOKUP(C990,'RAW DATA 2023'!E:AC,21,0)</f>
        <v>#N/A</v>
      </c>
      <c r="K990" s="398" t="e">
        <f>I990*J990</f>
        <v>#N/A</v>
      </c>
    </row>
    <row r="991" spans="1:11">
      <c r="A991" s="63">
        <f>'RAW DATA 2023'!B984</f>
        <v>0</v>
      </c>
      <c r="B991" s="63">
        <f>'RAW DATA 2023'!D984</f>
        <v>0</v>
      </c>
      <c r="C991" s="63" t="str">
        <f>A991&amp;B991</f>
        <v>00</v>
      </c>
      <c r="D991" s="63" t="e">
        <f>VLOOKUP(C991,'RAW DATA 2023'!E:BP,63,0)</f>
        <v>#N/A</v>
      </c>
      <c r="E991" s="63" t="e">
        <f>A991&amp;D991</f>
        <v>#N/A</v>
      </c>
      <c r="F991" s="389" t="e">
        <f>VLOOKUP(C991,'RAW DATA 2023'!E:BO,57,0)</f>
        <v>#N/A</v>
      </c>
      <c r="G991" s="63" t="e">
        <f>VLOOKUP(C991,'RAW DATA 2023'!E:BO,58,0)</f>
        <v>#N/A</v>
      </c>
      <c r="H991" s="390">
        <f>IFERROR((G991-F991)/G991,0)</f>
        <v>0</v>
      </c>
      <c r="I991" s="398">
        <f>IF(H991&lt;0,((0.25-(H991*(-1)))*$L$7),IF(H991&gt;0,(H991*$N$7)+$L$6,0))</f>
        <v>0</v>
      </c>
      <c r="J991" s="73" t="e">
        <f>VLOOKUP(C991,'RAW DATA 2023'!E:AC,21,0)</f>
        <v>#N/A</v>
      </c>
      <c r="K991" s="398" t="e">
        <f>I991*J991</f>
        <v>#N/A</v>
      </c>
    </row>
    <row r="992" spans="1:11">
      <c r="A992" s="63">
        <f>'RAW DATA 2023'!B985</f>
        <v>0</v>
      </c>
      <c r="B992" s="63">
        <f>'RAW DATA 2023'!D985</f>
        <v>0</v>
      </c>
      <c r="C992" s="63" t="str">
        <f>A992&amp;B992</f>
        <v>00</v>
      </c>
      <c r="D992" s="63" t="e">
        <f>VLOOKUP(C992,'RAW DATA 2023'!E:BP,63,0)</f>
        <v>#N/A</v>
      </c>
      <c r="E992" s="63" t="e">
        <f>A992&amp;D992</f>
        <v>#N/A</v>
      </c>
      <c r="F992" s="389" t="e">
        <f>VLOOKUP(C992,'RAW DATA 2023'!E:BO,57,0)</f>
        <v>#N/A</v>
      </c>
      <c r="G992" s="63" t="e">
        <f>VLOOKUP(C992,'RAW DATA 2023'!E:BO,58,0)</f>
        <v>#N/A</v>
      </c>
      <c r="H992" s="390">
        <f>IFERROR((G992-F992)/G992,0)</f>
        <v>0</v>
      </c>
      <c r="I992" s="398">
        <f>IF(H992&lt;0,((0.25-(H992*(-1)))*$L$7),IF(H992&gt;0,(H992*$N$7)+$L$6,0))</f>
        <v>0</v>
      </c>
      <c r="J992" s="73" t="e">
        <f>VLOOKUP(C992,'RAW DATA 2023'!E:AC,21,0)</f>
        <v>#N/A</v>
      </c>
      <c r="K992" s="398" t="e">
        <f>I992*J992</f>
        <v>#N/A</v>
      </c>
    </row>
    <row r="993" spans="1:11">
      <c r="A993" s="63">
        <f>'RAW DATA 2023'!B986</f>
        <v>0</v>
      </c>
      <c r="B993" s="63">
        <f>'RAW DATA 2023'!D986</f>
        <v>0</v>
      </c>
      <c r="C993" s="63" t="str">
        <f>A993&amp;B993</f>
        <v>00</v>
      </c>
      <c r="D993" s="63" t="e">
        <f>VLOOKUP(C993,'RAW DATA 2023'!E:BP,63,0)</f>
        <v>#N/A</v>
      </c>
      <c r="E993" s="63" t="e">
        <f>A993&amp;D993</f>
        <v>#N/A</v>
      </c>
      <c r="F993" s="389" t="e">
        <f>VLOOKUP(C993,'RAW DATA 2023'!E:BO,57,0)</f>
        <v>#N/A</v>
      </c>
      <c r="G993" s="63" t="e">
        <f>VLOOKUP(C993,'RAW DATA 2023'!E:BO,58,0)</f>
        <v>#N/A</v>
      </c>
      <c r="H993" s="390">
        <f>IFERROR((G993-F993)/G993,0)</f>
        <v>0</v>
      </c>
      <c r="I993" s="398">
        <f>IF(H993&lt;0,((0.25-(H993*(-1)))*$L$7),IF(H993&gt;0,(H993*$N$7)+$L$6,0))</f>
        <v>0</v>
      </c>
      <c r="J993" s="73" t="e">
        <f>VLOOKUP(C993,'RAW DATA 2023'!E:AC,21,0)</f>
        <v>#N/A</v>
      </c>
      <c r="K993" s="398" t="e">
        <f>I993*J993</f>
        <v>#N/A</v>
      </c>
    </row>
    <row r="994" spans="1:11">
      <c r="A994" s="63">
        <f>'RAW DATA 2023'!B987</f>
        <v>0</v>
      </c>
      <c r="B994" s="63">
        <f>'RAW DATA 2023'!D987</f>
        <v>0</v>
      </c>
      <c r="C994" s="63" t="str">
        <f>A994&amp;B994</f>
        <v>00</v>
      </c>
      <c r="D994" s="63" t="e">
        <f>VLOOKUP(C994,'RAW DATA 2023'!E:BP,63,0)</f>
        <v>#N/A</v>
      </c>
      <c r="E994" s="63" t="e">
        <f>A994&amp;D994</f>
        <v>#N/A</v>
      </c>
      <c r="F994" s="389" t="e">
        <f>VLOOKUP(C994,'RAW DATA 2023'!E:BO,57,0)</f>
        <v>#N/A</v>
      </c>
      <c r="G994" s="63" t="e">
        <f>VLOOKUP(C994,'RAW DATA 2023'!E:BO,58,0)</f>
        <v>#N/A</v>
      </c>
      <c r="H994" s="390">
        <f>IFERROR((G994-F994)/G994,0)</f>
        <v>0</v>
      </c>
      <c r="I994" s="398">
        <f>IF(H994&lt;0,((0.25-(H994*(-1)))*$L$7),IF(H994&gt;0,(H994*$N$7)+$L$6,0))</f>
        <v>0</v>
      </c>
      <c r="J994" s="73" t="e">
        <f>VLOOKUP(C994,'RAW DATA 2023'!E:AC,21,0)</f>
        <v>#N/A</v>
      </c>
      <c r="K994" s="398" t="e">
        <f>I994*J994</f>
        <v>#N/A</v>
      </c>
    </row>
    <row r="995" spans="1:11">
      <c r="A995" s="63">
        <f>'RAW DATA 2023'!B988</f>
        <v>0</v>
      </c>
      <c r="B995" s="63">
        <f>'RAW DATA 2023'!D988</f>
        <v>0</v>
      </c>
      <c r="C995" s="63" t="str">
        <f>A995&amp;B995</f>
        <v>00</v>
      </c>
      <c r="D995" s="63" t="e">
        <f>VLOOKUP(C995,'RAW DATA 2023'!E:BP,63,0)</f>
        <v>#N/A</v>
      </c>
      <c r="E995" s="63" t="e">
        <f>A995&amp;D995</f>
        <v>#N/A</v>
      </c>
      <c r="F995" s="389" t="e">
        <f>VLOOKUP(C995,'RAW DATA 2023'!E:BO,57,0)</f>
        <v>#N/A</v>
      </c>
      <c r="G995" s="63" t="e">
        <f>VLOOKUP(C995,'RAW DATA 2023'!E:BO,58,0)</f>
        <v>#N/A</v>
      </c>
      <c r="H995" s="390">
        <f>IFERROR((G995-F995)/G995,0)</f>
        <v>0</v>
      </c>
      <c r="I995" s="398">
        <f>IF(H995&lt;0,((0.25-(H995*(-1)))*$L$7),IF(H995&gt;0,(H995*$N$7)+$L$6,0))</f>
        <v>0</v>
      </c>
      <c r="J995" s="73" t="e">
        <f>VLOOKUP(C995,'RAW DATA 2023'!E:AC,21,0)</f>
        <v>#N/A</v>
      </c>
      <c r="K995" s="398" t="e">
        <f>I995*J995</f>
        <v>#N/A</v>
      </c>
    </row>
    <row r="996" spans="1:11">
      <c r="A996" s="63">
        <f>'RAW DATA 2023'!B989</f>
        <v>0</v>
      </c>
      <c r="B996" s="63">
        <f>'RAW DATA 2023'!D989</f>
        <v>0</v>
      </c>
      <c r="C996" s="63" t="str">
        <f>A996&amp;B996</f>
        <v>00</v>
      </c>
      <c r="D996" s="63" t="e">
        <f>VLOOKUP(C996,'RAW DATA 2023'!E:BP,63,0)</f>
        <v>#N/A</v>
      </c>
      <c r="E996" s="63" t="e">
        <f>A996&amp;D996</f>
        <v>#N/A</v>
      </c>
      <c r="F996" s="389" t="e">
        <f>VLOOKUP(C996,'RAW DATA 2023'!E:BO,57,0)</f>
        <v>#N/A</v>
      </c>
      <c r="G996" s="63" t="e">
        <f>VLOOKUP(C996,'RAW DATA 2023'!E:BO,58,0)</f>
        <v>#N/A</v>
      </c>
      <c r="H996" s="390">
        <f>IFERROR((G996-F996)/G996,0)</f>
        <v>0</v>
      </c>
      <c r="I996" s="398">
        <f>IF(H996&lt;0,((0.25-(H996*(-1)))*$L$7),IF(H996&gt;0,(H996*$N$7)+$L$6,0))</f>
        <v>0</v>
      </c>
      <c r="J996" s="73" t="e">
        <f>VLOOKUP(C996,'RAW DATA 2023'!E:AC,21,0)</f>
        <v>#N/A</v>
      </c>
      <c r="K996" s="398" t="e">
        <f>I996*J996</f>
        <v>#N/A</v>
      </c>
    </row>
    <row r="997" spans="1:11">
      <c r="A997" s="63">
        <f>'RAW DATA 2023'!B990</f>
        <v>0</v>
      </c>
      <c r="B997" s="63">
        <f>'RAW DATA 2023'!D990</f>
        <v>0</v>
      </c>
      <c r="C997" s="63" t="str">
        <f>A997&amp;B997</f>
        <v>00</v>
      </c>
      <c r="D997" s="63" t="e">
        <f>VLOOKUP(C997,'RAW DATA 2023'!E:BP,63,0)</f>
        <v>#N/A</v>
      </c>
      <c r="E997" s="63" t="e">
        <f>A997&amp;D997</f>
        <v>#N/A</v>
      </c>
      <c r="F997" s="389" t="e">
        <f>VLOOKUP(C997,'RAW DATA 2023'!E:BO,57,0)</f>
        <v>#N/A</v>
      </c>
      <c r="G997" s="63" t="e">
        <f>VLOOKUP(C997,'RAW DATA 2023'!E:BO,58,0)</f>
        <v>#N/A</v>
      </c>
      <c r="H997" s="390">
        <f>IFERROR((G997-F997)/G997,0)</f>
        <v>0</v>
      </c>
      <c r="I997" s="398">
        <f>IF(H997&lt;0,((0.25-(H997*(-1)))*$L$7),IF(H997&gt;0,(H997*$N$7)+$L$6,0))</f>
        <v>0</v>
      </c>
      <c r="J997" s="73" t="e">
        <f>VLOOKUP(C997,'RAW DATA 2023'!E:AC,21,0)</f>
        <v>#N/A</v>
      </c>
      <c r="K997" s="398" t="e">
        <f>I997*J997</f>
        <v>#N/A</v>
      </c>
    </row>
    <row r="998" spans="1:11">
      <c r="A998" s="63">
        <f>'RAW DATA 2023'!B991</f>
        <v>0</v>
      </c>
      <c r="B998" s="63">
        <f>'RAW DATA 2023'!D991</f>
        <v>0</v>
      </c>
      <c r="C998" s="63" t="str">
        <f>A998&amp;B998</f>
        <v>00</v>
      </c>
      <c r="D998" s="63" t="e">
        <f>VLOOKUP(C998,'RAW DATA 2023'!E:BP,63,0)</f>
        <v>#N/A</v>
      </c>
      <c r="E998" s="63" t="e">
        <f>A998&amp;D998</f>
        <v>#N/A</v>
      </c>
      <c r="F998" s="389" t="e">
        <f>VLOOKUP(C998,'RAW DATA 2023'!E:BO,57,0)</f>
        <v>#N/A</v>
      </c>
      <c r="G998" s="63" t="e">
        <f>VLOOKUP(C998,'RAW DATA 2023'!E:BO,58,0)</f>
        <v>#N/A</v>
      </c>
      <c r="H998" s="390">
        <f>IFERROR((G998-F998)/G998,0)</f>
        <v>0</v>
      </c>
      <c r="I998" s="398">
        <f>IF(H998&lt;0,((0.25-(H998*(-1)))*$L$7),IF(H998&gt;0,(H998*$N$7)+$L$6,0))</f>
        <v>0</v>
      </c>
      <c r="J998" s="73" t="e">
        <f>VLOOKUP(C998,'RAW DATA 2023'!E:AC,21,0)</f>
        <v>#N/A</v>
      </c>
      <c r="K998" s="398" t="e">
        <f>I998*J998</f>
        <v>#N/A</v>
      </c>
    </row>
    <row r="999" spans="1:11">
      <c r="A999" s="63">
        <f>'RAW DATA 2023'!B992</f>
        <v>0</v>
      </c>
      <c r="B999" s="63">
        <f>'RAW DATA 2023'!D992</f>
        <v>0</v>
      </c>
      <c r="C999" s="63" t="str">
        <f>A999&amp;B999</f>
        <v>00</v>
      </c>
      <c r="D999" s="63" t="e">
        <f>VLOOKUP(C999,'RAW DATA 2023'!E:BP,63,0)</f>
        <v>#N/A</v>
      </c>
      <c r="E999" s="63" t="e">
        <f>A999&amp;D999</f>
        <v>#N/A</v>
      </c>
      <c r="F999" s="389" t="e">
        <f>VLOOKUP(C999,'RAW DATA 2023'!E:BO,57,0)</f>
        <v>#N/A</v>
      </c>
      <c r="G999" s="63" t="e">
        <f>VLOOKUP(C999,'RAW DATA 2023'!E:BO,58,0)</f>
        <v>#N/A</v>
      </c>
      <c r="H999" s="390">
        <f>IFERROR((G999-F999)/G999,0)</f>
        <v>0</v>
      </c>
      <c r="I999" s="398">
        <f>IF(H999&lt;0,((0.25-(H999*(-1)))*$L$7),IF(H999&gt;0,(H999*$N$7)+$L$6,0))</f>
        <v>0</v>
      </c>
      <c r="J999" s="73" t="e">
        <f>VLOOKUP(C999,'RAW DATA 2023'!E:AC,21,0)</f>
        <v>#N/A</v>
      </c>
      <c r="K999" s="398" t="e">
        <f>I999*J999</f>
        <v>#N/A</v>
      </c>
    </row>
    <row r="1000" spans="1:11">
      <c r="A1000" s="63">
        <f>'RAW DATA 2023'!B993</f>
        <v>0</v>
      </c>
      <c r="B1000" s="63">
        <f>'RAW DATA 2023'!D993</f>
        <v>0</v>
      </c>
      <c r="C1000" s="63" t="str">
        <f>A1000&amp;B1000</f>
        <v>00</v>
      </c>
      <c r="D1000" s="63" t="e">
        <f>VLOOKUP(C1000,'RAW DATA 2023'!E:BP,63,0)</f>
        <v>#N/A</v>
      </c>
      <c r="E1000" s="63" t="e">
        <f>A1000&amp;D1000</f>
        <v>#N/A</v>
      </c>
      <c r="F1000" s="389" t="e">
        <f>VLOOKUP(C1000,'RAW DATA 2023'!E:BO,57,0)</f>
        <v>#N/A</v>
      </c>
      <c r="G1000" s="63" t="e">
        <f>VLOOKUP(C1000,'RAW DATA 2023'!E:BO,58,0)</f>
        <v>#N/A</v>
      </c>
      <c r="H1000" s="390">
        <f>IFERROR((G1000-F1000)/G1000,0)</f>
        <v>0</v>
      </c>
      <c r="I1000" s="398">
        <f>IF(H1000&lt;0,((0.25-(H1000*(-1)))*$L$7),IF(H1000&gt;0,(H1000*$N$7)+$L$6,0))</f>
        <v>0</v>
      </c>
      <c r="J1000" s="73" t="e">
        <f>VLOOKUP(C1000,'RAW DATA 2023'!E:AC,21,0)</f>
        <v>#N/A</v>
      </c>
      <c r="K1000" s="398" t="e">
        <f>I1000*J1000</f>
        <v>#N/A</v>
      </c>
    </row>
    <row r="1001" spans="1:11">
      <c r="A1001" s="63">
        <f>'RAW DATA 2023'!B994</f>
        <v>0</v>
      </c>
      <c r="B1001" s="63">
        <f>'RAW DATA 2023'!D994</f>
        <v>0</v>
      </c>
      <c r="C1001" s="63" t="str">
        <f>A1001&amp;B1001</f>
        <v>00</v>
      </c>
      <c r="D1001" s="63" t="e">
        <f>VLOOKUP(C1001,'RAW DATA 2023'!E:BP,63,0)</f>
        <v>#N/A</v>
      </c>
      <c r="E1001" s="63" t="e">
        <f>A1001&amp;D1001</f>
        <v>#N/A</v>
      </c>
      <c r="F1001" s="389" t="e">
        <f>VLOOKUP(C1001,'RAW DATA 2023'!E:BO,57,0)</f>
        <v>#N/A</v>
      </c>
      <c r="G1001" s="63" t="e">
        <f>VLOOKUP(C1001,'RAW DATA 2023'!E:BO,58,0)</f>
        <v>#N/A</v>
      </c>
      <c r="H1001" s="390">
        <f>IFERROR((G1001-F1001)/G1001,0)</f>
        <v>0</v>
      </c>
      <c r="I1001" s="398">
        <f>IF(H1001&lt;0,((0.25-(H1001*(-1)))*$L$7),IF(H1001&gt;0,(H1001*$N$7)+$L$6,0))</f>
        <v>0</v>
      </c>
      <c r="J1001" s="73" t="e">
        <f>VLOOKUP(C1001,'RAW DATA 2023'!E:AC,21,0)</f>
        <v>#N/A</v>
      </c>
      <c r="K1001" s="398" t="e">
        <f>I1001*J1001</f>
        <v>#N/A</v>
      </c>
    </row>
    <row r="1002" spans="1:11">
      <c r="A1002" s="63">
        <f>'RAW DATA 2023'!B995</f>
        <v>0</v>
      </c>
      <c r="B1002" s="63">
        <f>'RAW DATA 2023'!D995</f>
        <v>0</v>
      </c>
      <c r="C1002" s="63" t="str">
        <f>A1002&amp;B1002</f>
        <v>00</v>
      </c>
      <c r="D1002" s="63" t="e">
        <f>VLOOKUP(C1002,'RAW DATA 2023'!E:BP,63,0)</f>
        <v>#N/A</v>
      </c>
      <c r="E1002" s="63" t="e">
        <f>A1002&amp;D1002</f>
        <v>#N/A</v>
      </c>
      <c r="F1002" s="389" t="e">
        <f>VLOOKUP(C1002,'RAW DATA 2023'!E:BO,57,0)</f>
        <v>#N/A</v>
      </c>
      <c r="G1002" s="63" t="e">
        <f>VLOOKUP(C1002,'RAW DATA 2023'!E:BO,58,0)</f>
        <v>#N/A</v>
      </c>
      <c r="H1002" s="390">
        <f>IFERROR((G1002-F1002)/G1002,0)</f>
        <v>0</v>
      </c>
      <c r="I1002" s="398">
        <f>IF(H1002&lt;0,((0.25-(H1002*(-1)))*$L$7),IF(H1002&gt;0,(H1002*$N$7)+$L$6,0))</f>
        <v>0</v>
      </c>
      <c r="J1002" s="73" t="e">
        <f>VLOOKUP(C1002,'RAW DATA 2023'!E:AC,21,0)</f>
        <v>#N/A</v>
      </c>
      <c r="K1002" s="398" t="e">
        <f>I1002*J1002</f>
        <v>#N/A</v>
      </c>
    </row>
    <row r="1003" spans="1:11">
      <c r="A1003" s="63">
        <f>'RAW DATA 2023'!B996</f>
        <v>0</v>
      </c>
      <c r="B1003" s="63">
        <f>'RAW DATA 2023'!D996</f>
        <v>0</v>
      </c>
      <c r="C1003" s="63" t="str">
        <f>A1003&amp;B1003</f>
        <v>00</v>
      </c>
      <c r="D1003" s="63" t="e">
        <f>VLOOKUP(C1003,'RAW DATA 2023'!E:BP,63,0)</f>
        <v>#N/A</v>
      </c>
      <c r="E1003" s="63" t="e">
        <f>A1003&amp;D1003</f>
        <v>#N/A</v>
      </c>
      <c r="F1003" s="389" t="e">
        <f>VLOOKUP(C1003,'RAW DATA 2023'!E:BO,57,0)</f>
        <v>#N/A</v>
      </c>
      <c r="G1003" s="63" t="e">
        <f>VLOOKUP(C1003,'RAW DATA 2023'!E:BO,58,0)</f>
        <v>#N/A</v>
      </c>
      <c r="H1003" s="390">
        <f>IFERROR((G1003-F1003)/G1003,0)</f>
        <v>0</v>
      </c>
      <c r="I1003" s="398">
        <f>IF(H1003&lt;0,((0.25-(H1003*(-1)))*$L$7),IF(H1003&gt;0,(H1003*$N$7)+$L$6,0))</f>
        <v>0</v>
      </c>
      <c r="J1003" s="73" t="e">
        <f>VLOOKUP(C1003,'RAW DATA 2023'!E:AC,21,0)</f>
        <v>#N/A</v>
      </c>
      <c r="K1003" s="398" t="e">
        <f>I1003*J1003</f>
        <v>#N/A</v>
      </c>
    </row>
    <row r="1004" spans="1:11">
      <c r="A1004" s="63">
        <f>'RAW DATA 2023'!B997</f>
        <v>0</v>
      </c>
      <c r="B1004" s="63">
        <f>'RAW DATA 2023'!D997</f>
        <v>0</v>
      </c>
      <c r="C1004" s="63" t="str">
        <f>A1004&amp;B1004</f>
        <v>00</v>
      </c>
      <c r="D1004" s="63" t="e">
        <f>VLOOKUP(C1004,'RAW DATA 2023'!E:BP,63,0)</f>
        <v>#N/A</v>
      </c>
      <c r="E1004" s="63" t="e">
        <f>A1004&amp;D1004</f>
        <v>#N/A</v>
      </c>
      <c r="F1004" s="389" t="e">
        <f>VLOOKUP(C1004,'RAW DATA 2023'!E:BO,57,0)</f>
        <v>#N/A</v>
      </c>
      <c r="G1004" s="63" t="e">
        <f>VLOOKUP(C1004,'RAW DATA 2023'!E:BO,58,0)</f>
        <v>#N/A</v>
      </c>
      <c r="H1004" s="390">
        <f>IFERROR((G1004-F1004)/G1004,0)</f>
        <v>0</v>
      </c>
      <c r="I1004" s="398">
        <f>IF(H1004&lt;0,((0.25-(H1004*(-1)))*$L$7),IF(H1004&gt;0,(H1004*$N$7)+$L$6,0))</f>
        <v>0</v>
      </c>
      <c r="J1004" s="73" t="e">
        <f>VLOOKUP(C1004,'RAW DATA 2023'!E:AC,21,0)</f>
        <v>#N/A</v>
      </c>
      <c r="K1004" s="398" t="e">
        <f>I1004*J1004</f>
        <v>#N/A</v>
      </c>
    </row>
    <row r="1005" spans="1:11">
      <c r="A1005" s="63">
        <f>'RAW DATA 2023'!B998</f>
        <v>0</v>
      </c>
      <c r="B1005" s="63">
        <f>'RAW DATA 2023'!D998</f>
        <v>0</v>
      </c>
      <c r="C1005" s="63" t="str">
        <f>A1005&amp;B1005</f>
        <v>00</v>
      </c>
      <c r="D1005" s="63" t="e">
        <f>VLOOKUP(C1005,'RAW DATA 2023'!E:BP,63,0)</f>
        <v>#N/A</v>
      </c>
      <c r="E1005" s="63" t="e">
        <f>A1005&amp;D1005</f>
        <v>#N/A</v>
      </c>
      <c r="F1005" s="389" t="e">
        <f>VLOOKUP(C1005,'RAW DATA 2023'!E:BO,57,0)</f>
        <v>#N/A</v>
      </c>
      <c r="G1005" s="63" t="e">
        <f>VLOOKUP(C1005,'RAW DATA 2023'!E:BO,58,0)</f>
        <v>#N/A</v>
      </c>
      <c r="H1005" s="390">
        <f>IFERROR((G1005-F1005)/G1005,0)</f>
        <v>0</v>
      </c>
      <c r="I1005" s="398">
        <f>IF(H1005&lt;0,((0.25-(H1005*(-1)))*$L$7),IF(H1005&gt;0,(H1005*$N$7)+$L$6,0))</f>
        <v>0</v>
      </c>
      <c r="J1005" s="73" t="e">
        <f>VLOOKUP(C1005,'RAW DATA 2023'!E:AC,21,0)</f>
        <v>#N/A</v>
      </c>
      <c r="K1005" s="398" t="e">
        <f>I1005*J1005</f>
        <v>#N/A</v>
      </c>
    </row>
    <row r="1006" spans="1:11">
      <c r="A1006" s="63">
        <f>'RAW DATA 2023'!B999</f>
        <v>0</v>
      </c>
      <c r="B1006" s="63">
        <f>'RAW DATA 2023'!D999</f>
        <v>0</v>
      </c>
      <c r="C1006" s="63" t="str">
        <f>A1006&amp;B1006</f>
        <v>00</v>
      </c>
      <c r="D1006" s="63" t="e">
        <f>VLOOKUP(C1006,'RAW DATA 2023'!E:BP,63,0)</f>
        <v>#N/A</v>
      </c>
      <c r="E1006" s="63" t="e">
        <f>A1006&amp;D1006</f>
        <v>#N/A</v>
      </c>
      <c r="F1006" s="389" t="e">
        <f>VLOOKUP(C1006,'RAW DATA 2023'!E:BO,57,0)</f>
        <v>#N/A</v>
      </c>
      <c r="G1006" s="63" t="e">
        <f>VLOOKUP(C1006,'RAW DATA 2023'!E:BO,58,0)</f>
        <v>#N/A</v>
      </c>
      <c r="H1006" s="390">
        <f>IFERROR((G1006-F1006)/G1006,0)</f>
        <v>0</v>
      </c>
      <c r="I1006" s="398">
        <f>IF(H1006&lt;0,((0.25-(H1006*(-1)))*$L$7),IF(H1006&gt;0,(H1006*$N$7)+$L$6,0))</f>
        <v>0</v>
      </c>
      <c r="J1006" s="73" t="e">
        <f>VLOOKUP(C1006,'RAW DATA 2023'!E:AC,21,0)</f>
        <v>#N/A</v>
      </c>
      <c r="K1006" s="398" t="e">
        <f>I1006*J1006</f>
        <v>#N/A</v>
      </c>
    </row>
    <row r="1007" spans="1:11">
      <c r="A1007" s="63">
        <f>'RAW DATA 2023'!B1000</f>
        <v>0</v>
      </c>
      <c r="B1007" s="63">
        <f>'RAW DATA 2023'!D1000</f>
        <v>0</v>
      </c>
      <c r="C1007" s="63" t="str">
        <f>A1007&amp;B1007</f>
        <v>00</v>
      </c>
      <c r="D1007" s="63" t="e">
        <f>VLOOKUP(C1007,'RAW DATA 2023'!E:BP,63,0)</f>
        <v>#N/A</v>
      </c>
      <c r="E1007" s="63" t="e">
        <f>A1007&amp;D1007</f>
        <v>#N/A</v>
      </c>
      <c r="F1007" s="389" t="e">
        <f>VLOOKUP(C1007,'RAW DATA 2023'!E:BO,57,0)</f>
        <v>#N/A</v>
      </c>
      <c r="G1007" s="63" t="e">
        <f>VLOOKUP(C1007,'RAW DATA 2023'!E:BO,58,0)</f>
        <v>#N/A</v>
      </c>
      <c r="H1007" s="390">
        <f>IFERROR((G1007-F1007)/G1007,0)</f>
        <v>0</v>
      </c>
      <c r="I1007" s="398">
        <f>IF(H1007&lt;0,((0.25-(H1007*(-1)))*$L$7),IF(H1007&gt;0,(H1007*$N$7)+$L$6,0))</f>
        <v>0</v>
      </c>
      <c r="J1007" s="73" t="e">
        <f>VLOOKUP(C1007,'RAW DATA 2023'!E:AC,21,0)</f>
        <v>#N/A</v>
      </c>
      <c r="K1007" s="398" t="e">
        <f>I1007*J1007</f>
        <v>#N/A</v>
      </c>
    </row>
    <row r="1008" spans="1:11">
      <c r="A1008" s="63">
        <f>'RAW DATA 2023'!B1001</f>
        <v>0</v>
      </c>
      <c r="B1008" s="63">
        <f>'RAW DATA 2023'!D1001</f>
        <v>0</v>
      </c>
      <c r="C1008" s="63" t="str">
        <f>A1008&amp;B1008</f>
        <v>00</v>
      </c>
      <c r="D1008" s="63" t="e">
        <f>VLOOKUP(C1008,'RAW DATA 2023'!E:BP,63,0)</f>
        <v>#N/A</v>
      </c>
      <c r="E1008" s="63" t="e">
        <f>A1008&amp;D1008</f>
        <v>#N/A</v>
      </c>
      <c r="F1008" s="389" t="e">
        <f>VLOOKUP(C1008,'RAW DATA 2023'!E:BO,57,0)</f>
        <v>#N/A</v>
      </c>
      <c r="G1008" s="63" t="e">
        <f>VLOOKUP(C1008,'RAW DATA 2023'!E:BO,58,0)</f>
        <v>#N/A</v>
      </c>
      <c r="H1008" s="390">
        <f>IFERROR((G1008-F1008)/G1008,0)</f>
        <v>0</v>
      </c>
      <c r="I1008" s="398">
        <f>IF(H1008&lt;0,((0.25-(H1008*(-1)))*$L$7),IF(H1008&gt;0,(H1008*$N$7)+$L$6,0))</f>
        <v>0</v>
      </c>
      <c r="J1008" s="73" t="e">
        <f>VLOOKUP(C1008,'RAW DATA 2023'!E:AC,21,0)</f>
        <v>#N/A</v>
      </c>
      <c r="K1008" s="398" t="e">
        <f>I1008*J1008</f>
        <v>#N/A</v>
      </c>
    </row>
    <row r="1009" spans="1:11">
      <c r="A1009" s="63">
        <f>'RAW DATA 2023'!B1002</f>
        <v>0</v>
      </c>
      <c r="B1009" s="63">
        <f>'RAW DATA 2023'!D1002</f>
        <v>0</v>
      </c>
      <c r="C1009" s="63" t="str">
        <f>A1009&amp;B1009</f>
        <v>00</v>
      </c>
      <c r="D1009" s="63" t="e">
        <f>VLOOKUP(C1009,'RAW DATA 2023'!E:BP,63,0)</f>
        <v>#N/A</v>
      </c>
      <c r="E1009" s="63" t="e">
        <f>A1009&amp;D1009</f>
        <v>#N/A</v>
      </c>
      <c r="F1009" s="389" t="e">
        <f>VLOOKUP(C1009,'RAW DATA 2023'!E:BO,57,0)</f>
        <v>#N/A</v>
      </c>
      <c r="G1009" s="63" t="e">
        <f>VLOOKUP(C1009,'RAW DATA 2023'!E:BO,58,0)</f>
        <v>#N/A</v>
      </c>
      <c r="H1009" s="390">
        <f>IFERROR((G1009-F1009)/G1009,0)</f>
        <v>0</v>
      </c>
      <c r="I1009" s="398">
        <f>IF(H1009&lt;0,((0.25-(H1009*(-1)))*$L$7),IF(H1009&gt;0,(H1009*$N$7)+$L$6,0))</f>
        <v>0</v>
      </c>
      <c r="J1009" s="73" t="e">
        <f>VLOOKUP(C1009,'RAW DATA 2023'!E:AC,21,0)</f>
        <v>#N/A</v>
      </c>
      <c r="K1009" s="398" t="e">
        <f>I1009*J1009</f>
        <v>#N/A</v>
      </c>
    </row>
    <row r="1010" spans="1:11">
      <c r="A1010" s="63">
        <f>'RAW DATA 2023'!B1003</f>
        <v>0</v>
      </c>
      <c r="B1010" s="63">
        <f>'RAW DATA 2023'!D1003</f>
        <v>0</v>
      </c>
      <c r="C1010" s="63" t="str">
        <f>A1010&amp;B1010</f>
        <v>00</v>
      </c>
      <c r="D1010" s="63" t="e">
        <f>VLOOKUP(C1010,'RAW DATA 2023'!E:BP,63,0)</f>
        <v>#N/A</v>
      </c>
      <c r="E1010" s="63" t="e">
        <f>A1010&amp;D1010</f>
        <v>#N/A</v>
      </c>
      <c r="F1010" s="389" t="e">
        <f>VLOOKUP(C1010,'RAW DATA 2023'!E:BO,57,0)</f>
        <v>#N/A</v>
      </c>
      <c r="G1010" s="63" t="e">
        <f>VLOOKUP(C1010,'RAW DATA 2023'!E:BO,58,0)</f>
        <v>#N/A</v>
      </c>
      <c r="H1010" s="390">
        <f>IFERROR((G1010-F1010)/G1010,0)</f>
        <v>0</v>
      </c>
      <c r="I1010" s="398">
        <f>IF(H1010&lt;0,((0.25-(H1010*(-1)))*$L$7),IF(H1010&gt;0,(H1010*$N$7)+$L$6,0))</f>
        <v>0</v>
      </c>
      <c r="J1010" s="73" t="e">
        <f>VLOOKUP(C1010,'RAW DATA 2023'!E:AC,21,0)</f>
        <v>#N/A</v>
      </c>
      <c r="K1010" s="398" t="e">
        <f>I1010*J1010</f>
        <v>#N/A</v>
      </c>
    </row>
    <row r="1011" spans="1:11">
      <c r="A1011" s="63">
        <f>'RAW DATA 2023'!B1004</f>
        <v>0</v>
      </c>
      <c r="B1011" s="63">
        <f>'RAW DATA 2023'!D1004</f>
        <v>0</v>
      </c>
      <c r="C1011" s="63" t="str">
        <f>A1011&amp;B1011</f>
        <v>00</v>
      </c>
      <c r="D1011" s="63" t="e">
        <f>VLOOKUP(C1011,'RAW DATA 2023'!E:BP,63,0)</f>
        <v>#N/A</v>
      </c>
      <c r="E1011" s="63" t="e">
        <f>A1011&amp;D1011</f>
        <v>#N/A</v>
      </c>
      <c r="F1011" s="389" t="e">
        <f>VLOOKUP(C1011,'RAW DATA 2023'!E:BO,57,0)</f>
        <v>#N/A</v>
      </c>
      <c r="G1011" s="63" t="e">
        <f>VLOOKUP(C1011,'RAW DATA 2023'!E:BO,58,0)</f>
        <v>#N/A</v>
      </c>
      <c r="H1011" s="390">
        <f>IFERROR((G1011-F1011)/G1011,0)</f>
        <v>0</v>
      </c>
      <c r="I1011" s="398">
        <f>IF(H1011&lt;0,((0.25-(H1011*(-1)))*$L$7),IF(H1011&gt;0,(H1011*$N$7)+$L$6,0))</f>
        <v>0</v>
      </c>
      <c r="J1011" s="73" t="e">
        <f>VLOOKUP(C1011,'RAW DATA 2023'!E:AC,21,0)</f>
        <v>#N/A</v>
      </c>
      <c r="K1011" s="398" t="e">
        <f>I1011*J1011</f>
        <v>#N/A</v>
      </c>
    </row>
    <row r="1012" spans="1:11">
      <c r="A1012" s="63">
        <f>'RAW DATA 2023'!B1005</f>
        <v>0</v>
      </c>
      <c r="B1012" s="63">
        <f>'RAW DATA 2023'!D1005</f>
        <v>0</v>
      </c>
      <c r="C1012" s="63" t="str">
        <f>A1012&amp;B1012</f>
        <v>00</v>
      </c>
      <c r="D1012" s="63" t="e">
        <f>VLOOKUP(C1012,'RAW DATA 2023'!E:BP,63,0)</f>
        <v>#N/A</v>
      </c>
      <c r="E1012" s="63" t="e">
        <f>A1012&amp;D1012</f>
        <v>#N/A</v>
      </c>
      <c r="F1012" s="389" t="e">
        <f>VLOOKUP(C1012,'RAW DATA 2023'!E:BO,57,0)</f>
        <v>#N/A</v>
      </c>
      <c r="G1012" s="63" t="e">
        <f>VLOOKUP(C1012,'RAW DATA 2023'!E:BO,58,0)</f>
        <v>#N/A</v>
      </c>
      <c r="H1012" s="390">
        <f>IFERROR((G1012-F1012)/G1012,0)</f>
        <v>0</v>
      </c>
      <c r="I1012" s="398">
        <f>IF(H1012&lt;0,((0.25-(H1012*(-1)))*$L$7),IF(H1012&gt;0,(H1012*$N$7)+$L$6,0))</f>
        <v>0</v>
      </c>
      <c r="J1012" s="73" t="e">
        <f>VLOOKUP(C1012,'RAW DATA 2023'!E:AC,21,0)</f>
        <v>#N/A</v>
      </c>
      <c r="K1012" s="398" t="e">
        <f>I1012*J1012</f>
        <v>#N/A</v>
      </c>
    </row>
    <row r="1013" spans="1:11">
      <c r="A1013" s="63">
        <f>'RAW DATA 2023'!B1006</f>
        <v>0</v>
      </c>
      <c r="B1013" s="63">
        <f>'RAW DATA 2023'!D1006</f>
        <v>0</v>
      </c>
      <c r="C1013" s="63" t="str">
        <f>A1013&amp;B1013</f>
        <v>00</v>
      </c>
      <c r="D1013" s="63" t="e">
        <f>VLOOKUP(C1013,'RAW DATA 2023'!E:BP,63,0)</f>
        <v>#N/A</v>
      </c>
      <c r="E1013" s="63" t="e">
        <f>A1013&amp;D1013</f>
        <v>#N/A</v>
      </c>
      <c r="F1013" s="389" t="e">
        <f>VLOOKUP(C1013,'RAW DATA 2023'!E:BO,57,0)</f>
        <v>#N/A</v>
      </c>
      <c r="G1013" s="63" t="e">
        <f>VLOOKUP(C1013,'RAW DATA 2023'!E:BO,58,0)</f>
        <v>#N/A</v>
      </c>
      <c r="H1013" s="390">
        <f>IFERROR((G1013-F1013)/G1013,0)</f>
        <v>0</v>
      </c>
      <c r="I1013" s="398">
        <f>IF(H1013&lt;0,((0.25-(H1013*(-1)))*$L$7),IF(H1013&gt;0,(H1013*$N$7)+$L$6,0))</f>
        <v>0</v>
      </c>
      <c r="J1013" s="73" t="e">
        <f>VLOOKUP(C1013,'RAW DATA 2023'!E:AC,21,0)</f>
        <v>#N/A</v>
      </c>
      <c r="K1013" s="398" t="e">
        <f>I1013*J1013</f>
        <v>#N/A</v>
      </c>
    </row>
    <row r="1014" spans="1:11">
      <c r="A1014" s="63">
        <f>'RAW DATA 2023'!B1007</f>
        <v>0</v>
      </c>
      <c r="B1014" s="63">
        <f>'RAW DATA 2023'!D1007</f>
        <v>0</v>
      </c>
      <c r="C1014" s="63" t="str">
        <f>A1014&amp;B1014</f>
        <v>00</v>
      </c>
      <c r="D1014" s="63" t="e">
        <f>VLOOKUP(C1014,'RAW DATA 2023'!E:BP,63,0)</f>
        <v>#N/A</v>
      </c>
      <c r="E1014" s="63" t="e">
        <f>A1014&amp;D1014</f>
        <v>#N/A</v>
      </c>
      <c r="F1014" s="389" t="e">
        <f>VLOOKUP(C1014,'RAW DATA 2023'!E:BO,57,0)</f>
        <v>#N/A</v>
      </c>
      <c r="G1014" s="63" t="e">
        <f>VLOOKUP(C1014,'RAW DATA 2023'!E:BO,58,0)</f>
        <v>#N/A</v>
      </c>
      <c r="H1014" s="390">
        <f>IFERROR((G1014-F1014)/G1014,0)</f>
        <v>0</v>
      </c>
      <c r="I1014" s="398">
        <f>IF(H1014&lt;0,((0.25-(H1014*(-1)))*$L$7),IF(H1014&gt;0,(H1014*$N$7)+$L$6,0))</f>
        <v>0</v>
      </c>
      <c r="J1014" s="73" t="e">
        <f>VLOOKUP(C1014,'RAW DATA 2023'!E:AC,21,0)</f>
        <v>#N/A</v>
      </c>
      <c r="K1014" s="398" t="e">
        <f>I1014*J1014</f>
        <v>#N/A</v>
      </c>
    </row>
    <row r="1015" spans="1:11">
      <c r="A1015" s="63">
        <f>'RAW DATA 2023'!B1008</f>
        <v>0</v>
      </c>
      <c r="B1015" s="63">
        <f>'RAW DATA 2023'!D1008</f>
        <v>0</v>
      </c>
      <c r="C1015" s="63" t="str">
        <f>A1015&amp;B1015</f>
        <v>00</v>
      </c>
      <c r="D1015" s="63" t="e">
        <f>VLOOKUP(C1015,'RAW DATA 2023'!E:BP,63,0)</f>
        <v>#N/A</v>
      </c>
      <c r="E1015" s="63" t="e">
        <f>A1015&amp;D1015</f>
        <v>#N/A</v>
      </c>
      <c r="F1015" s="389" t="e">
        <f>VLOOKUP(C1015,'RAW DATA 2023'!E:BO,57,0)</f>
        <v>#N/A</v>
      </c>
      <c r="G1015" s="63" t="e">
        <f>VLOOKUP(C1015,'RAW DATA 2023'!E:BO,58,0)</f>
        <v>#N/A</v>
      </c>
      <c r="H1015" s="390">
        <f>IFERROR((G1015-F1015)/G1015,0)</f>
        <v>0</v>
      </c>
      <c r="I1015" s="398">
        <f>IF(H1015&lt;0,((0.25-(H1015*(-1)))*$L$7),IF(H1015&gt;0,(H1015*$N$7)+$L$6,0))</f>
        <v>0</v>
      </c>
      <c r="J1015" s="73" t="e">
        <f>VLOOKUP(C1015,'RAW DATA 2023'!E:AC,21,0)</f>
        <v>#N/A</v>
      </c>
      <c r="K1015" s="398" t="e">
        <f>I1015*J1015</f>
        <v>#N/A</v>
      </c>
    </row>
    <row r="1016" spans="1:11">
      <c r="A1016" s="63">
        <f>'RAW DATA 2023'!B1009</f>
        <v>0</v>
      </c>
      <c r="B1016" s="63">
        <f>'RAW DATA 2023'!D1009</f>
        <v>0</v>
      </c>
      <c r="C1016" s="63" t="str">
        <f>A1016&amp;B1016</f>
        <v>00</v>
      </c>
      <c r="D1016" s="63" t="e">
        <f>VLOOKUP(C1016,'RAW DATA 2023'!E:BP,63,0)</f>
        <v>#N/A</v>
      </c>
      <c r="E1016" s="63" t="e">
        <f>A1016&amp;D1016</f>
        <v>#N/A</v>
      </c>
      <c r="F1016" s="389" t="e">
        <f>VLOOKUP(C1016,'RAW DATA 2023'!E:BO,57,0)</f>
        <v>#N/A</v>
      </c>
      <c r="G1016" s="63" t="e">
        <f>VLOOKUP(C1016,'RAW DATA 2023'!E:BO,58,0)</f>
        <v>#N/A</v>
      </c>
      <c r="H1016" s="390">
        <f>IFERROR((G1016-F1016)/G1016,0)</f>
        <v>0</v>
      </c>
      <c r="I1016" s="398">
        <f>IF(H1016&lt;0,((0.25-(H1016*(-1)))*$L$7),IF(H1016&gt;0,(H1016*$N$7)+$L$6,0))</f>
        <v>0</v>
      </c>
      <c r="J1016" s="73" t="e">
        <f>VLOOKUP(C1016,'RAW DATA 2023'!E:AC,21,0)</f>
        <v>#N/A</v>
      </c>
      <c r="K1016" s="398" t="e">
        <f>I1016*J1016</f>
        <v>#N/A</v>
      </c>
    </row>
    <row r="1017" spans="1:11">
      <c r="A1017" s="63">
        <f>'RAW DATA 2023'!B1010</f>
        <v>0</v>
      </c>
      <c r="B1017" s="63">
        <f>'RAW DATA 2023'!D1010</f>
        <v>0</v>
      </c>
      <c r="C1017" s="63" t="str">
        <f>A1017&amp;B1017</f>
        <v>00</v>
      </c>
      <c r="D1017" s="63" t="e">
        <f>VLOOKUP(C1017,'RAW DATA 2023'!E:BP,63,0)</f>
        <v>#N/A</v>
      </c>
      <c r="E1017" s="63" t="e">
        <f>A1017&amp;D1017</f>
        <v>#N/A</v>
      </c>
      <c r="F1017" s="389" t="e">
        <f>VLOOKUP(C1017,'RAW DATA 2023'!E:BO,57,0)</f>
        <v>#N/A</v>
      </c>
      <c r="G1017" s="63" t="e">
        <f>VLOOKUP(C1017,'RAW DATA 2023'!E:BO,58,0)</f>
        <v>#N/A</v>
      </c>
      <c r="H1017" s="390">
        <f>IFERROR((G1017-F1017)/G1017,0)</f>
        <v>0</v>
      </c>
      <c r="I1017" s="398">
        <f>IF(H1017&lt;0,((0.25-(H1017*(-1)))*$L$7),IF(H1017&gt;0,(H1017*$N$7)+$L$6,0))</f>
        <v>0</v>
      </c>
      <c r="J1017" s="73" t="e">
        <f>VLOOKUP(C1017,'RAW DATA 2023'!E:AC,21,0)</f>
        <v>#N/A</v>
      </c>
      <c r="K1017" s="398" t="e">
        <f>I1017*J1017</f>
        <v>#N/A</v>
      </c>
    </row>
    <row r="1018" spans="1:11">
      <c r="A1018" s="63">
        <f>'RAW DATA 2023'!B1011</f>
        <v>0</v>
      </c>
      <c r="B1018" s="63">
        <f>'RAW DATA 2023'!D1011</f>
        <v>0</v>
      </c>
      <c r="C1018" s="63" t="str">
        <f>A1018&amp;B1018</f>
        <v>00</v>
      </c>
      <c r="D1018" s="63" t="e">
        <f>VLOOKUP(C1018,'RAW DATA 2023'!E:BP,63,0)</f>
        <v>#N/A</v>
      </c>
      <c r="E1018" s="63" t="e">
        <f>A1018&amp;D1018</f>
        <v>#N/A</v>
      </c>
      <c r="F1018" s="389" t="e">
        <f>VLOOKUP(C1018,'RAW DATA 2023'!E:BO,57,0)</f>
        <v>#N/A</v>
      </c>
      <c r="G1018" s="63" t="e">
        <f>VLOOKUP(C1018,'RAW DATA 2023'!E:BO,58,0)</f>
        <v>#N/A</v>
      </c>
      <c r="H1018" s="390">
        <f>IFERROR((G1018-F1018)/G1018,0)</f>
        <v>0</v>
      </c>
      <c r="I1018" s="398">
        <f>IF(H1018&lt;0,((0.25-(H1018*(-1)))*$L$7),IF(H1018&gt;0,(H1018*$N$7)+$L$6,0))</f>
        <v>0</v>
      </c>
      <c r="J1018" s="73" t="e">
        <f>VLOOKUP(C1018,'RAW DATA 2023'!E:AC,21,0)</f>
        <v>#N/A</v>
      </c>
      <c r="K1018" s="398" t="e">
        <f>I1018*J1018</f>
        <v>#N/A</v>
      </c>
    </row>
    <row r="1019" spans="1:11">
      <c r="A1019" s="63">
        <f>'RAW DATA 2023'!B1012</f>
        <v>0</v>
      </c>
      <c r="B1019" s="63">
        <f>'RAW DATA 2023'!D1012</f>
        <v>0</v>
      </c>
      <c r="C1019" s="63" t="str">
        <f>A1019&amp;B1019</f>
        <v>00</v>
      </c>
      <c r="D1019" s="63" t="e">
        <f>VLOOKUP(C1019,'RAW DATA 2023'!E:BP,63,0)</f>
        <v>#N/A</v>
      </c>
      <c r="E1019" s="63" t="e">
        <f>A1019&amp;D1019</f>
        <v>#N/A</v>
      </c>
      <c r="F1019" s="389" t="e">
        <f>VLOOKUP(C1019,'RAW DATA 2023'!E:BO,57,0)</f>
        <v>#N/A</v>
      </c>
      <c r="G1019" s="63" t="e">
        <f>VLOOKUP(C1019,'RAW DATA 2023'!E:BO,58,0)</f>
        <v>#N/A</v>
      </c>
      <c r="H1019" s="390">
        <f>IFERROR((G1019-F1019)/G1019,0)</f>
        <v>0</v>
      </c>
      <c r="I1019" s="398">
        <f>IF(H1019&lt;0,((0.25-(H1019*(-1)))*$L$7),IF(H1019&gt;0,(H1019*$N$7)+$L$6,0))</f>
        <v>0</v>
      </c>
      <c r="J1019" s="73" t="e">
        <f>VLOOKUP(C1019,'RAW DATA 2023'!E:AC,21,0)</f>
        <v>#N/A</v>
      </c>
      <c r="K1019" s="398" t="e">
        <f>I1019*J1019</f>
        <v>#N/A</v>
      </c>
    </row>
    <row r="1020" spans="1:11">
      <c r="A1020" s="63">
        <f>'RAW DATA 2023'!B1013</f>
        <v>0</v>
      </c>
      <c r="B1020" s="63">
        <f>'RAW DATA 2023'!D1013</f>
        <v>0</v>
      </c>
      <c r="C1020" s="63" t="str">
        <f>A1020&amp;B1020</f>
        <v>00</v>
      </c>
      <c r="D1020" s="63" t="e">
        <f>VLOOKUP(C1020,'RAW DATA 2023'!E:BP,63,0)</f>
        <v>#N/A</v>
      </c>
      <c r="E1020" s="63" t="e">
        <f>A1020&amp;D1020</f>
        <v>#N/A</v>
      </c>
      <c r="F1020" s="389" t="e">
        <f>VLOOKUP(C1020,'RAW DATA 2023'!E:BO,57,0)</f>
        <v>#N/A</v>
      </c>
      <c r="G1020" s="63" t="e">
        <f>VLOOKUP(C1020,'RAW DATA 2023'!E:BO,58,0)</f>
        <v>#N/A</v>
      </c>
      <c r="H1020" s="390">
        <f>IFERROR((G1020-F1020)/G1020,0)</f>
        <v>0</v>
      </c>
      <c r="I1020" s="398">
        <f>IF(H1020&lt;0,((0.25-(H1020*(-1)))*$L$7),IF(H1020&gt;0,(H1020*$N$7)+$L$6,0))</f>
        <v>0</v>
      </c>
      <c r="J1020" s="73" t="e">
        <f>VLOOKUP(C1020,'RAW DATA 2023'!E:AC,21,0)</f>
        <v>#N/A</v>
      </c>
      <c r="K1020" s="398" t="e">
        <f>I1020*J1020</f>
        <v>#N/A</v>
      </c>
    </row>
    <row r="1021" spans="1:11">
      <c r="A1021" s="63">
        <f>'RAW DATA 2023'!B1014</f>
        <v>0</v>
      </c>
      <c r="B1021" s="63">
        <f>'RAW DATA 2023'!D1014</f>
        <v>0</v>
      </c>
      <c r="C1021" s="63" t="str">
        <f>A1021&amp;B1021</f>
        <v>00</v>
      </c>
      <c r="D1021" s="63" t="e">
        <f>VLOOKUP(C1021,'RAW DATA 2023'!E:BP,63,0)</f>
        <v>#N/A</v>
      </c>
      <c r="E1021" s="63" t="e">
        <f>A1021&amp;D1021</f>
        <v>#N/A</v>
      </c>
      <c r="F1021" s="389" t="e">
        <f>VLOOKUP(C1021,'RAW DATA 2023'!E:BO,57,0)</f>
        <v>#N/A</v>
      </c>
      <c r="G1021" s="63" t="e">
        <f>VLOOKUP(C1021,'RAW DATA 2023'!E:BO,58,0)</f>
        <v>#N/A</v>
      </c>
      <c r="H1021" s="390">
        <f>IFERROR((G1021-F1021)/G1021,0)</f>
        <v>0</v>
      </c>
      <c r="I1021" s="398">
        <f>IF(H1021&lt;0,((0.25-(H1021*(-1)))*$L$7),IF(H1021&gt;0,(H1021*$N$7)+$L$6,0))</f>
        <v>0</v>
      </c>
      <c r="J1021" s="73" t="e">
        <f>VLOOKUP(C1021,'RAW DATA 2023'!E:AC,21,0)</f>
        <v>#N/A</v>
      </c>
      <c r="K1021" s="398" t="e">
        <f>I1021*J1021</f>
        <v>#N/A</v>
      </c>
    </row>
    <row r="1022" spans="1:11">
      <c r="A1022" s="63">
        <f>'RAW DATA 2023'!B1015</f>
        <v>0</v>
      </c>
      <c r="B1022" s="63">
        <f>'RAW DATA 2023'!D1015</f>
        <v>0</v>
      </c>
      <c r="C1022" s="63" t="str">
        <f>A1022&amp;B1022</f>
        <v>00</v>
      </c>
      <c r="D1022" s="63" t="e">
        <f>VLOOKUP(C1022,'RAW DATA 2023'!E:BP,63,0)</f>
        <v>#N/A</v>
      </c>
      <c r="E1022" s="63" t="e">
        <f>A1022&amp;D1022</f>
        <v>#N/A</v>
      </c>
      <c r="F1022" s="389" t="e">
        <f>VLOOKUP(C1022,'RAW DATA 2023'!E:BO,57,0)</f>
        <v>#N/A</v>
      </c>
      <c r="G1022" s="63" t="e">
        <f>VLOOKUP(C1022,'RAW DATA 2023'!E:BO,58,0)</f>
        <v>#N/A</v>
      </c>
      <c r="H1022" s="390">
        <f>IFERROR((G1022-F1022)/G1022,0)</f>
        <v>0</v>
      </c>
      <c r="I1022" s="398">
        <f>IF(H1022&lt;0,((0.25-(H1022*(-1)))*$L$7),IF(H1022&gt;0,(H1022*$N$7)+$L$6,0))</f>
        <v>0</v>
      </c>
      <c r="J1022" s="73" t="e">
        <f>VLOOKUP(C1022,'RAW DATA 2023'!E:AC,21,0)</f>
        <v>#N/A</v>
      </c>
      <c r="K1022" s="398" t="e">
        <f>I1022*J1022</f>
        <v>#N/A</v>
      </c>
    </row>
    <row r="1023" spans="1:11">
      <c r="A1023" s="63">
        <f>'RAW DATA 2023'!B1016</f>
        <v>0</v>
      </c>
      <c r="B1023" s="63">
        <f>'RAW DATA 2023'!D1016</f>
        <v>0</v>
      </c>
      <c r="C1023" s="63" t="str">
        <f>A1023&amp;B1023</f>
        <v>00</v>
      </c>
      <c r="D1023" s="63" t="e">
        <f>VLOOKUP(C1023,'RAW DATA 2023'!E:BP,63,0)</f>
        <v>#N/A</v>
      </c>
      <c r="E1023" s="63" t="e">
        <f>A1023&amp;D1023</f>
        <v>#N/A</v>
      </c>
      <c r="F1023" s="389" t="e">
        <f>VLOOKUP(C1023,'RAW DATA 2023'!E:BO,57,0)</f>
        <v>#N/A</v>
      </c>
      <c r="G1023" s="63" t="e">
        <f>VLOOKUP(C1023,'RAW DATA 2023'!E:BO,58,0)</f>
        <v>#N/A</v>
      </c>
      <c r="H1023" s="390">
        <f>IFERROR((G1023-F1023)/G1023,0)</f>
        <v>0</v>
      </c>
      <c r="I1023" s="398">
        <f>IF(H1023&lt;0,((0.25-(H1023*(-1)))*$L$7),IF(H1023&gt;0,(H1023*$N$7)+$L$6,0))</f>
        <v>0</v>
      </c>
      <c r="J1023" s="73" t="e">
        <f>VLOOKUP(C1023,'RAW DATA 2023'!E:AC,21,0)</f>
        <v>#N/A</v>
      </c>
      <c r="K1023" s="398" t="e">
        <f>I1023*J1023</f>
        <v>#N/A</v>
      </c>
    </row>
    <row r="1024" spans="1:11">
      <c r="A1024" s="63">
        <f>'RAW DATA 2023'!B1017</f>
        <v>0</v>
      </c>
      <c r="B1024" s="63">
        <f>'RAW DATA 2023'!D1017</f>
        <v>0</v>
      </c>
      <c r="C1024" s="63" t="str">
        <f>A1024&amp;B1024</f>
        <v>00</v>
      </c>
      <c r="D1024" s="63" t="e">
        <f>VLOOKUP(C1024,'RAW DATA 2023'!E:BP,63,0)</f>
        <v>#N/A</v>
      </c>
      <c r="E1024" s="63" t="e">
        <f>A1024&amp;D1024</f>
        <v>#N/A</v>
      </c>
      <c r="F1024" s="389" t="e">
        <f>VLOOKUP(C1024,'RAW DATA 2023'!E:BO,57,0)</f>
        <v>#N/A</v>
      </c>
      <c r="G1024" s="63" t="e">
        <f>VLOOKUP(C1024,'RAW DATA 2023'!E:BO,58,0)</f>
        <v>#N/A</v>
      </c>
      <c r="H1024" s="390">
        <f>IFERROR((G1024-F1024)/G1024,0)</f>
        <v>0</v>
      </c>
      <c r="I1024" s="398">
        <f>IF(H1024&lt;0,((0.25-(H1024*(-1)))*$L$7),IF(H1024&gt;0,(H1024*$N$7)+$L$6,0))</f>
        <v>0</v>
      </c>
      <c r="J1024" s="73" t="e">
        <f>VLOOKUP(C1024,'RAW DATA 2023'!E:AC,21,0)</f>
        <v>#N/A</v>
      </c>
      <c r="K1024" s="398" t="e">
        <f>I1024*J1024</f>
        <v>#N/A</v>
      </c>
    </row>
    <row r="1025" spans="1:11">
      <c r="A1025" s="63">
        <f>'RAW DATA 2023'!B1018</f>
        <v>0</v>
      </c>
      <c r="B1025" s="63">
        <f>'RAW DATA 2023'!D1018</f>
        <v>0</v>
      </c>
      <c r="C1025" s="63" t="str">
        <f>A1025&amp;B1025</f>
        <v>00</v>
      </c>
      <c r="D1025" s="63" t="e">
        <f>VLOOKUP(C1025,'RAW DATA 2023'!E:BP,63,0)</f>
        <v>#N/A</v>
      </c>
      <c r="E1025" s="63" t="e">
        <f>A1025&amp;D1025</f>
        <v>#N/A</v>
      </c>
      <c r="F1025" s="389" t="e">
        <f>VLOOKUP(C1025,'RAW DATA 2023'!E:BO,57,0)</f>
        <v>#N/A</v>
      </c>
      <c r="G1025" s="63" t="e">
        <f>VLOOKUP(C1025,'RAW DATA 2023'!E:BO,58,0)</f>
        <v>#N/A</v>
      </c>
      <c r="H1025" s="390">
        <f>IFERROR((G1025-F1025)/G1025,0)</f>
        <v>0</v>
      </c>
      <c r="I1025" s="398">
        <f>IF(H1025&lt;0,((0.25-(H1025*(-1)))*$L$7),IF(H1025&gt;0,(H1025*$N$7)+$L$6,0))</f>
        <v>0</v>
      </c>
      <c r="J1025" s="73" t="e">
        <f>VLOOKUP(C1025,'RAW DATA 2023'!E:AC,21,0)</f>
        <v>#N/A</v>
      </c>
      <c r="K1025" s="398" t="e">
        <f>I1025*J1025</f>
        <v>#N/A</v>
      </c>
    </row>
    <row r="1026" spans="1:11">
      <c r="A1026" s="63">
        <f>'RAW DATA 2023'!B1019</f>
        <v>0</v>
      </c>
      <c r="B1026" s="63">
        <f>'RAW DATA 2023'!D1019</f>
        <v>0</v>
      </c>
      <c r="C1026" s="63" t="str">
        <f>A1026&amp;B1026</f>
        <v>00</v>
      </c>
      <c r="D1026" s="63" t="e">
        <f>VLOOKUP(C1026,'RAW DATA 2023'!E:BP,63,0)</f>
        <v>#N/A</v>
      </c>
      <c r="E1026" s="63" t="e">
        <f>A1026&amp;D1026</f>
        <v>#N/A</v>
      </c>
      <c r="F1026" s="389" t="e">
        <f>VLOOKUP(C1026,'RAW DATA 2023'!E:BO,57,0)</f>
        <v>#N/A</v>
      </c>
      <c r="G1026" s="63" t="e">
        <f>VLOOKUP(C1026,'RAW DATA 2023'!E:BO,58,0)</f>
        <v>#N/A</v>
      </c>
      <c r="H1026" s="390">
        <f>IFERROR((G1026-F1026)/G1026,0)</f>
        <v>0</v>
      </c>
      <c r="I1026" s="398">
        <f>IF(H1026&lt;0,((0.25-(H1026*(-1)))*$L$7),IF(H1026&gt;0,(H1026*$N$7)+$L$6,0))</f>
        <v>0</v>
      </c>
      <c r="J1026" s="73" t="e">
        <f>VLOOKUP(C1026,'RAW DATA 2023'!E:AC,21,0)</f>
        <v>#N/A</v>
      </c>
      <c r="K1026" s="398" t="e">
        <f>I1026*J1026</f>
        <v>#N/A</v>
      </c>
    </row>
    <row r="1027" spans="1:11">
      <c r="A1027" s="63">
        <f>'RAW DATA 2023'!B1020</f>
        <v>0</v>
      </c>
      <c r="B1027" s="63">
        <f>'RAW DATA 2023'!D1020</f>
        <v>0</v>
      </c>
      <c r="C1027" s="63" t="str">
        <f>A1027&amp;B1027</f>
        <v>00</v>
      </c>
      <c r="D1027" s="63" t="e">
        <f>VLOOKUP(C1027,'RAW DATA 2023'!E:BP,63,0)</f>
        <v>#N/A</v>
      </c>
      <c r="E1027" s="63" t="e">
        <f>A1027&amp;D1027</f>
        <v>#N/A</v>
      </c>
      <c r="F1027" s="389" t="e">
        <f>VLOOKUP(C1027,'RAW DATA 2023'!E:BO,57,0)</f>
        <v>#N/A</v>
      </c>
      <c r="G1027" s="63" t="e">
        <f>VLOOKUP(C1027,'RAW DATA 2023'!E:BO,58,0)</f>
        <v>#N/A</v>
      </c>
      <c r="H1027" s="390">
        <f>IFERROR((G1027-F1027)/G1027,0)</f>
        <v>0</v>
      </c>
      <c r="I1027" s="398">
        <f>IF(H1027&lt;0,((0.25-(H1027*(-1)))*$L$7),IF(H1027&gt;0,(H1027*$N$7)+$L$6,0))</f>
        <v>0</v>
      </c>
      <c r="J1027" s="73" t="e">
        <f>VLOOKUP(C1027,'RAW DATA 2023'!E:AC,21,0)</f>
        <v>#N/A</v>
      </c>
      <c r="K1027" s="398" t="e">
        <f>I1027*J1027</f>
        <v>#N/A</v>
      </c>
    </row>
    <row r="1028" spans="1:11">
      <c r="A1028" s="63">
        <f>'RAW DATA 2023'!B1021</f>
        <v>0</v>
      </c>
      <c r="B1028" s="63">
        <f>'RAW DATA 2023'!D1021</f>
        <v>0</v>
      </c>
      <c r="C1028" s="63" t="str">
        <f>A1028&amp;B1028</f>
        <v>00</v>
      </c>
      <c r="D1028" s="63" t="e">
        <f>VLOOKUP(C1028,'RAW DATA 2023'!E:BP,63,0)</f>
        <v>#N/A</v>
      </c>
      <c r="E1028" s="63" t="e">
        <f>A1028&amp;D1028</f>
        <v>#N/A</v>
      </c>
      <c r="F1028" s="389" t="e">
        <f>VLOOKUP(C1028,'RAW DATA 2023'!E:BO,57,0)</f>
        <v>#N/A</v>
      </c>
      <c r="G1028" s="63" t="e">
        <f>VLOOKUP(C1028,'RAW DATA 2023'!E:BO,58,0)</f>
        <v>#N/A</v>
      </c>
      <c r="H1028" s="390">
        <f>IFERROR((G1028-F1028)/G1028,0)</f>
        <v>0</v>
      </c>
      <c r="I1028" s="398">
        <f>IF(H1028&lt;0,((0.25-(H1028*(-1)))*$L$7),IF(H1028&gt;0,(H1028*$N$7)+$L$6,0))</f>
        <v>0</v>
      </c>
      <c r="J1028" s="73" t="e">
        <f>VLOOKUP(C1028,'RAW DATA 2023'!E:AC,21,0)</f>
        <v>#N/A</v>
      </c>
      <c r="K1028" s="398" t="e">
        <f>I1028*J1028</f>
        <v>#N/A</v>
      </c>
    </row>
    <row r="1029" spans="1:11">
      <c r="A1029" s="63">
        <f>'RAW DATA 2023'!B1022</f>
        <v>0</v>
      </c>
      <c r="B1029" s="63">
        <f>'RAW DATA 2023'!D1022</f>
        <v>0</v>
      </c>
      <c r="C1029" s="63" t="str">
        <f>A1029&amp;B1029</f>
        <v>00</v>
      </c>
      <c r="D1029" s="63" t="e">
        <f>VLOOKUP(C1029,'RAW DATA 2023'!E:BP,63,0)</f>
        <v>#N/A</v>
      </c>
      <c r="E1029" s="63" t="e">
        <f>A1029&amp;D1029</f>
        <v>#N/A</v>
      </c>
      <c r="F1029" s="389" t="e">
        <f>VLOOKUP(C1029,'RAW DATA 2023'!E:BO,57,0)</f>
        <v>#N/A</v>
      </c>
      <c r="G1029" s="63" t="e">
        <f>VLOOKUP(C1029,'RAW DATA 2023'!E:BO,58,0)</f>
        <v>#N/A</v>
      </c>
      <c r="H1029" s="390">
        <f>IFERROR((G1029-F1029)/G1029,0)</f>
        <v>0</v>
      </c>
      <c r="I1029" s="398">
        <f>IF(H1029&lt;0,((0.25-(H1029*(-1)))*$L$7),IF(H1029&gt;0,(H1029*$N$7)+$L$6,0))</f>
        <v>0</v>
      </c>
      <c r="J1029" s="73" t="e">
        <f>VLOOKUP(C1029,'RAW DATA 2023'!E:AC,21,0)</f>
        <v>#N/A</v>
      </c>
      <c r="K1029" s="398" t="e">
        <f>I1029*J1029</f>
        <v>#N/A</v>
      </c>
    </row>
    <row r="1030" spans="1:11">
      <c r="A1030" s="63">
        <f>'RAW DATA 2023'!B1023</f>
        <v>0</v>
      </c>
      <c r="B1030" s="63">
        <f>'RAW DATA 2023'!D1023</f>
        <v>0</v>
      </c>
      <c r="C1030" s="63" t="str">
        <f>A1030&amp;B1030</f>
        <v>00</v>
      </c>
      <c r="D1030" s="63" t="e">
        <f>VLOOKUP(C1030,'RAW DATA 2023'!E:BP,63,0)</f>
        <v>#N/A</v>
      </c>
      <c r="E1030" s="63" t="e">
        <f>A1030&amp;D1030</f>
        <v>#N/A</v>
      </c>
      <c r="F1030" s="389" t="e">
        <f>VLOOKUP(C1030,'RAW DATA 2023'!E:BO,57,0)</f>
        <v>#N/A</v>
      </c>
      <c r="G1030" s="63" t="e">
        <f>VLOOKUP(C1030,'RAW DATA 2023'!E:BO,58,0)</f>
        <v>#N/A</v>
      </c>
      <c r="H1030" s="390">
        <f>IFERROR((G1030-F1030)/G1030,0)</f>
        <v>0</v>
      </c>
      <c r="I1030" s="398">
        <f>IF(H1030&lt;0,((0.25-(H1030*(-1)))*$L$7),IF(H1030&gt;0,(H1030*$N$7)+$L$6,0))</f>
        <v>0</v>
      </c>
      <c r="J1030" s="73" t="e">
        <f>VLOOKUP(C1030,'RAW DATA 2023'!E:AC,21,0)</f>
        <v>#N/A</v>
      </c>
      <c r="K1030" s="398" t="e">
        <f>I1030*J1030</f>
        <v>#N/A</v>
      </c>
    </row>
    <row r="1031" spans="1:11">
      <c r="A1031" s="63">
        <f>'RAW DATA 2023'!B1024</f>
        <v>0</v>
      </c>
      <c r="B1031" s="63">
        <f>'RAW DATA 2023'!D1024</f>
        <v>0</v>
      </c>
      <c r="C1031" s="63" t="str">
        <f>A1031&amp;B1031</f>
        <v>00</v>
      </c>
      <c r="D1031" s="63" t="e">
        <f>VLOOKUP(C1031,'RAW DATA 2023'!E:BP,63,0)</f>
        <v>#N/A</v>
      </c>
      <c r="E1031" s="63" t="e">
        <f>A1031&amp;D1031</f>
        <v>#N/A</v>
      </c>
      <c r="F1031" s="389" t="e">
        <f>VLOOKUP(C1031,'RAW DATA 2023'!E:BO,57,0)</f>
        <v>#N/A</v>
      </c>
      <c r="G1031" s="63" t="e">
        <f>VLOOKUP(C1031,'RAW DATA 2023'!E:BO,58,0)</f>
        <v>#N/A</v>
      </c>
      <c r="H1031" s="390">
        <f>IFERROR((G1031-F1031)/G1031,0)</f>
        <v>0</v>
      </c>
      <c r="I1031" s="398">
        <f>IF(H1031&lt;0,((0.25-(H1031*(-1)))*$L$7),IF(H1031&gt;0,(H1031*$N$7)+$L$6,0))</f>
        <v>0</v>
      </c>
      <c r="J1031" s="73" t="e">
        <f>VLOOKUP(C1031,'RAW DATA 2023'!E:AC,21,0)</f>
        <v>#N/A</v>
      </c>
      <c r="K1031" s="398" t="e">
        <f>I1031*J1031</f>
        <v>#N/A</v>
      </c>
    </row>
    <row r="1032" spans="1:11">
      <c r="A1032" s="63">
        <f>'RAW DATA 2023'!B1025</f>
        <v>0</v>
      </c>
      <c r="B1032" s="63">
        <f>'RAW DATA 2023'!D1025</f>
        <v>0</v>
      </c>
      <c r="C1032" s="63" t="str">
        <f>A1032&amp;B1032</f>
        <v>00</v>
      </c>
      <c r="D1032" s="63" t="e">
        <f>VLOOKUP(C1032,'RAW DATA 2023'!E:BP,63,0)</f>
        <v>#N/A</v>
      </c>
      <c r="E1032" s="63" t="e">
        <f>A1032&amp;D1032</f>
        <v>#N/A</v>
      </c>
      <c r="F1032" s="389" t="e">
        <f>VLOOKUP(C1032,'RAW DATA 2023'!E:BO,57,0)</f>
        <v>#N/A</v>
      </c>
      <c r="G1032" s="63" t="e">
        <f>VLOOKUP(C1032,'RAW DATA 2023'!E:BO,58,0)</f>
        <v>#N/A</v>
      </c>
      <c r="H1032" s="390">
        <f>IFERROR((G1032-F1032)/G1032,0)</f>
        <v>0</v>
      </c>
      <c r="I1032" s="398">
        <f>IF(H1032&lt;0,((0.25-(H1032*(-1)))*$L$7),IF(H1032&gt;0,(H1032*$N$7)+$L$6,0))</f>
        <v>0</v>
      </c>
      <c r="J1032" s="73" t="e">
        <f>VLOOKUP(C1032,'RAW DATA 2023'!E:AC,21,0)</f>
        <v>#N/A</v>
      </c>
      <c r="K1032" s="398" t="e">
        <f>I1032*J1032</f>
        <v>#N/A</v>
      </c>
    </row>
    <row r="1033" spans="1:11">
      <c r="A1033" s="63">
        <f>'RAW DATA 2023'!B1026</f>
        <v>0</v>
      </c>
      <c r="B1033" s="63">
        <f>'RAW DATA 2023'!D1026</f>
        <v>0</v>
      </c>
      <c r="C1033" s="63" t="str">
        <f>A1033&amp;B1033</f>
        <v>00</v>
      </c>
      <c r="D1033" s="63" t="e">
        <f>VLOOKUP(C1033,'RAW DATA 2023'!E:BP,63,0)</f>
        <v>#N/A</v>
      </c>
      <c r="E1033" s="63" t="e">
        <f>A1033&amp;D1033</f>
        <v>#N/A</v>
      </c>
      <c r="F1033" s="389" t="e">
        <f>VLOOKUP(C1033,'RAW DATA 2023'!E:BO,57,0)</f>
        <v>#N/A</v>
      </c>
      <c r="G1033" s="63" t="e">
        <f>VLOOKUP(C1033,'RAW DATA 2023'!E:BO,58,0)</f>
        <v>#N/A</v>
      </c>
      <c r="H1033" s="390">
        <f>IFERROR((G1033-F1033)/G1033,0)</f>
        <v>0</v>
      </c>
      <c r="I1033" s="398">
        <f>IF(H1033&lt;0,((0.25-(H1033*(-1)))*$L$7),IF(H1033&gt;0,(H1033*$N$7)+$L$6,0))</f>
        <v>0</v>
      </c>
      <c r="J1033" s="73" t="e">
        <f>VLOOKUP(C1033,'RAW DATA 2023'!E:AC,21,0)</f>
        <v>#N/A</v>
      </c>
      <c r="K1033" s="398" t="e">
        <f>I1033*J1033</f>
        <v>#N/A</v>
      </c>
    </row>
    <row r="1034" spans="1:11">
      <c r="A1034" s="63">
        <f>'RAW DATA 2023'!B1027</f>
        <v>0</v>
      </c>
      <c r="B1034" s="63">
        <f>'RAW DATA 2023'!D1027</f>
        <v>0</v>
      </c>
      <c r="C1034" s="63" t="str">
        <f>A1034&amp;B1034</f>
        <v>00</v>
      </c>
      <c r="D1034" s="63" t="e">
        <f>VLOOKUP(C1034,'RAW DATA 2023'!E:BP,63,0)</f>
        <v>#N/A</v>
      </c>
      <c r="E1034" s="63" t="e">
        <f>A1034&amp;D1034</f>
        <v>#N/A</v>
      </c>
      <c r="F1034" s="389" t="e">
        <f>VLOOKUP(C1034,'RAW DATA 2023'!E:BO,57,0)</f>
        <v>#N/A</v>
      </c>
      <c r="G1034" s="63" t="e">
        <f>VLOOKUP(C1034,'RAW DATA 2023'!E:BO,58,0)</f>
        <v>#N/A</v>
      </c>
      <c r="H1034" s="390">
        <f>IFERROR((G1034-F1034)/G1034,0)</f>
        <v>0</v>
      </c>
      <c r="I1034" s="398">
        <f>IF(H1034&lt;0,((0.25-(H1034*(-1)))*$L$7),IF(H1034&gt;0,(H1034*$N$7)+$L$6,0))</f>
        <v>0</v>
      </c>
      <c r="J1034" s="73" t="e">
        <f>VLOOKUP(C1034,'RAW DATA 2023'!E:AC,21,0)</f>
        <v>#N/A</v>
      </c>
      <c r="K1034" s="398" t="e">
        <f>I1034*J1034</f>
        <v>#N/A</v>
      </c>
    </row>
    <row r="1035" spans="1:11">
      <c r="A1035" s="63">
        <f>'RAW DATA 2023'!B1028</f>
        <v>0</v>
      </c>
      <c r="B1035" s="63">
        <f>'RAW DATA 2023'!D1028</f>
        <v>0</v>
      </c>
      <c r="C1035" s="63" t="str">
        <f>A1035&amp;B1035</f>
        <v>00</v>
      </c>
      <c r="D1035" s="63" t="e">
        <f>VLOOKUP(C1035,'RAW DATA 2023'!E:BP,63,0)</f>
        <v>#N/A</v>
      </c>
      <c r="E1035" s="63" t="e">
        <f>A1035&amp;D1035</f>
        <v>#N/A</v>
      </c>
      <c r="F1035" s="389" t="e">
        <f>VLOOKUP(C1035,'RAW DATA 2023'!E:BO,57,0)</f>
        <v>#N/A</v>
      </c>
      <c r="G1035" s="63" t="e">
        <f>VLOOKUP(C1035,'RAW DATA 2023'!E:BO,58,0)</f>
        <v>#N/A</v>
      </c>
      <c r="H1035" s="390">
        <f>IFERROR((G1035-F1035)/G1035,0)</f>
        <v>0</v>
      </c>
      <c r="I1035" s="398">
        <f>IF(H1035&lt;0,((0.25-(H1035*(-1)))*$L$7),IF(H1035&gt;0,(H1035*$N$7)+$L$6,0))</f>
        <v>0</v>
      </c>
      <c r="J1035" s="73" t="e">
        <f>VLOOKUP(C1035,'RAW DATA 2023'!E:AC,21,0)</f>
        <v>#N/A</v>
      </c>
      <c r="K1035" s="398" t="e">
        <f>I1035*J1035</f>
        <v>#N/A</v>
      </c>
    </row>
    <row r="1036" spans="1:11">
      <c r="A1036" s="63">
        <f>'RAW DATA 2023'!B1029</f>
        <v>0</v>
      </c>
      <c r="B1036" s="63">
        <f>'RAW DATA 2023'!D1029</f>
        <v>0</v>
      </c>
      <c r="C1036" s="63" t="str">
        <f>A1036&amp;B1036</f>
        <v>00</v>
      </c>
      <c r="D1036" s="63" t="e">
        <f>VLOOKUP(C1036,'RAW DATA 2023'!E:BP,63,0)</f>
        <v>#N/A</v>
      </c>
      <c r="E1036" s="63" t="e">
        <f>A1036&amp;D1036</f>
        <v>#N/A</v>
      </c>
      <c r="F1036" s="389" t="e">
        <f>VLOOKUP(C1036,'RAW DATA 2023'!E:BO,57,0)</f>
        <v>#N/A</v>
      </c>
      <c r="G1036" s="63" t="e">
        <f>VLOOKUP(C1036,'RAW DATA 2023'!E:BO,58,0)</f>
        <v>#N/A</v>
      </c>
      <c r="H1036" s="390">
        <f>IFERROR((G1036-F1036)/G1036,0)</f>
        <v>0</v>
      </c>
      <c r="I1036" s="398">
        <f>IF(H1036&lt;0,((0.25-(H1036*(-1)))*$L$7),IF(H1036&gt;0,(H1036*$N$7)+$L$6,0))</f>
        <v>0</v>
      </c>
      <c r="J1036" s="73" t="e">
        <f>VLOOKUP(C1036,'RAW DATA 2023'!E:AC,21,0)</f>
        <v>#N/A</v>
      </c>
      <c r="K1036" s="398" t="e">
        <f>I1036*J1036</f>
        <v>#N/A</v>
      </c>
    </row>
    <row r="1037" spans="1:11">
      <c r="A1037" s="63">
        <f>'RAW DATA 2023'!B1030</f>
        <v>0</v>
      </c>
      <c r="B1037" s="63">
        <f>'RAW DATA 2023'!D1030</f>
        <v>0</v>
      </c>
      <c r="C1037" s="63" t="str">
        <f>A1037&amp;B1037</f>
        <v>00</v>
      </c>
      <c r="D1037" s="63" t="e">
        <f>VLOOKUP(C1037,'RAW DATA 2023'!E:BP,63,0)</f>
        <v>#N/A</v>
      </c>
      <c r="E1037" s="63" t="e">
        <f>A1037&amp;D1037</f>
        <v>#N/A</v>
      </c>
      <c r="F1037" s="389" t="e">
        <f>VLOOKUP(C1037,'RAW DATA 2023'!E:BO,57,0)</f>
        <v>#N/A</v>
      </c>
      <c r="G1037" s="63" t="e">
        <f>VLOOKUP(C1037,'RAW DATA 2023'!E:BO,58,0)</f>
        <v>#N/A</v>
      </c>
      <c r="H1037" s="390">
        <f>IFERROR((G1037-F1037)/G1037,0)</f>
        <v>0</v>
      </c>
      <c r="I1037" s="398">
        <f>IF(H1037&lt;0,((0.25-(H1037*(-1)))*$L$7),IF(H1037&gt;0,(H1037*$N$7)+$L$6,0))</f>
        <v>0</v>
      </c>
      <c r="J1037" s="73" t="e">
        <f>VLOOKUP(C1037,'RAW DATA 2023'!E:AC,21,0)</f>
        <v>#N/A</v>
      </c>
      <c r="K1037" s="398" t="e">
        <f>I1037*J1037</f>
        <v>#N/A</v>
      </c>
    </row>
    <row r="1038" spans="1:11">
      <c r="A1038" s="63">
        <f>'RAW DATA 2023'!B1031</f>
        <v>0</v>
      </c>
      <c r="B1038" s="63">
        <f>'RAW DATA 2023'!D1031</f>
        <v>0</v>
      </c>
      <c r="C1038" s="63" t="str">
        <f>A1038&amp;B1038</f>
        <v>00</v>
      </c>
      <c r="D1038" s="63" t="e">
        <f>VLOOKUP(C1038,'RAW DATA 2023'!E:BP,63,0)</f>
        <v>#N/A</v>
      </c>
      <c r="E1038" s="63" t="e">
        <f>A1038&amp;D1038</f>
        <v>#N/A</v>
      </c>
      <c r="F1038" s="389" t="e">
        <f>VLOOKUP(C1038,'RAW DATA 2023'!E:BO,57,0)</f>
        <v>#N/A</v>
      </c>
      <c r="G1038" s="63" t="e">
        <f>VLOOKUP(C1038,'RAW DATA 2023'!E:BO,58,0)</f>
        <v>#N/A</v>
      </c>
      <c r="H1038" s="390">
        <f>IFERROR((G1038-F1038)/G1038,0)</f>
        <v>0</v>
      </c>
      <c r="I1038" s="398">
        <f>IF(H1038&lt;0,((0.25-(H1038*(-1)))*$L$7),IF(H1038&gt;0,(H1038*$N$7)+$L$6,0))</f>
        <v>0</v>
      </c>
      <c r="J1038" s="73" t="e">
        <f>VLOOKUP(C1038,'RAW DATA 2023'!E:AC,21,0)</f>
        <v>#N/A</v>
      </c>
      <c r="K1038" s="398" t="e">
        <f>I1038*J1038</f>
        <v>#N/A</v>
      </c>
    </row>
    <row r="1039" spans="1:11">
      <c r="A1039" s="63">
        <f>'RAW DATA 2023'!B1032</f>
        <v>0</v>
      </c>
      <c r="B1039" s="63">
        <f>'RAW DATA 2023'!D1032</f>
        <v>0</v>
      </c>
      <c r="C1039" s="63" t="str">
        <f>A1039&amp;B1039</f>
        <v>00</v>
      </c>
      <c r="D1039" s="63" t="e">
        <f>VLOOKUP(C1039,'RAW DATA 2023'!E:BP,63,0)</f>
        <v>#N/A</v>
      </c>
      <c r="E1039" s="63" t="e">
        <f>A1039&amp;D1039</f>
        <v>#N/A</v>
      </c>
      <c r="F1039" s="389" t="e">
        <f>VLOOKUP(C1039,'RAW DATA 2023'!E:BO,57,0)</f>
        <v>#N/A</v>
      </c>
      <c r="G1039" s="63" t="e">
        <f>VLOOKUP(C1039,'RAW DATA 2023'!E:BO,58,0)</f>
        <v>#N/A</v>
      </c>
      <c r="H1039" s="390">
        <f>IFERROR((G1039-F1039)/G1039,0)</f>
        <v>0</v>
      </c>
      <c r="I1039" s="398">
        <f>IF(H1039&lt;0,((0.25-(H1039*(-1)))*$L$7),IF(H1039&gt;0,(H1039*$N$7)+$L$6,0))</f>
        <v>0</v>
      </c>
      <c r="J1039" s="73" t="e">
        <f>VLOOKUP(C1039,'RAW DATA 2023'!E:AC,21,0)</f>
        <v>#N/A</v>
      </c>
      <c r="K1039" s="398" t="e">
        <f>I1039*J1039</f>
        <v>#N/A</v>
      </c>
    </row>
    <row r="1040" spans="1:11">
      <c r="A1040" s="63">
        <f>'RAW DATA 2023'!B1033</f>
        <v>0</v>
      </c>
      <c r="B1040" s="63">
        <f>'RAW DATA 2023'!D1033</f>
        <v>0</v>
      </c>
      <c r="C1040" s="63" t="str">
        <f>A1040&amp;B1040</f>
        <v>00</v>
      </c>
      <c r="D1040" s="63" t="e">
        <f>VLOOKUP(C1040,'RAW DATA 2023'!E:BP,63,0)</f>
        <v>#N/A</v>
      </c>
      <c r="E1040" s="63" t="e">
        <f>A1040&amp;D1040</f>
        <v>#N/A</v>
      </c>
      <c r="F1040" s="389" t="e">
        <f>VLOOKUP(C1040,'RAW DATA 2023'!E:BO,57,0)</f>
        <v>#N/A</v>
      </c>
      <c r="G1040" s="63" t="e">
        <f>VLOOKUP(C1040,'RAW DATA 2023'!E:BO,58,0)</f>
        <v>#N/A</v>
      </c>
      <c r="H1040" s="390">
        <f>IFERROR((G1040-F1040)/G1040,0)</f>
        <v>0</v>
      </c>
      <c r="I1040" s="398">
        <f>IF(H1040&lt;0,((0.25-(H1040*(-1)))*$L$7),IF(H1040&gt;0,(H1040*$N$7)+$L$6,0))</f>
        <v>0</v>
      </c>
      <c r="J1040" s="73" t="e">
        <f>VLOOKUP(C1040,'RAW DATA 2023'!E:AC,21,0)</f>
        <v>#N/A</v>
      </c>
      <c r="K1040" s="398" t="e">
        <f>I1040*J1040</f>
        <v>#N/A</v>
      </c>
    </row>
    <row r="1041" spans="1:11">
      <c r="A1041" s="63">
        <f>'RAW DATA 2023'!B1034</f>
        <v>0</v>
      </c>
      <c r="B1041" s="63">
        <f>'RAW DATA 2023'!D1034</f>
        <v>0</v>
      </c>
      <c r="C1041" s="63" t="str">
        <f>A1041&amp;B1041</f>
        <v>00</v>
      </c>
      <c r="D1041" s="63" t="e">
        <f>VLOOKUP(C1041,'RAW DATA 2023'!E:BP,63,0)</f>
        <v>#N/A</v>
      </c>
      <c r="E1041" s="63" t="e">
        <f>A1041&amp;D1041</f>
        <v>#N/A</v>
      </c>
      <c r="F1041" s="389" t="e">
        <f>VLOOKUP(C1041,'RAW DATA 2023'!E:BO,57,0)</f>
        <v>#N/A</v>
      </c>
      <c r="G1041" s="63" t="e">
        <f>VLOOKUP(C1041,'RAW DATA 2023'!E:BO,58,0)</f>
        <v>#N/A</v>
      </c>
      <c r="H1041" s="390">
        <f>IFERROR((G1041-F1041)/G1041,0)</f>
        <v>0</v>
      </c>
      <c r="I1041" s="398">
        <f>IF(H1041&lt;0,((0.25-(H1041*(-1)))*$L$7),IF(H1041&gt;0,(H1041*$N$7)+$L$6,0))</f>
        <v>0</v>
      </c>
      <c r="J1041" s="73" t="e">
        <f>VLOOKUP(C1041,'RAW DATA 2023'!E:AC,21,0)</f>
        <v>#N/A</v>
      </c>
      <c r="K1041" s="398" t="e">
        <f>I1041*J1041</f>
        <v>#N/A</v>
      </c>
    </row>
    <row r="1042" spans="1:11">
      <c r="A1042" s="63">
        <f>'RAW DATA 2023'!B1035</f>
        <v>0</v>
      </c>
      <c r="B1042" s="63">
        <f>'RAW DATA 2023'!D1035</f>
        <v>0</v>
      </c>
      <c r="C1042" s="63" t="str">
        <f>A1042&amp;B1042</f>
        <v>00</v>
      </c>
      <c r="D1042" s="63" t="e">
        <f>VLOOKUP(C1042,'RAW DATA 2023'!E:BP,63,0)</f>
        <v>#N/A</v>
      </c>
      <c r="E1042" s="63" t="e">
        <f>A1042&amp;D1042</f>
        <v>#N/A</v>
      </c>
      <c r="F1042" s="389" t="e">
        <f>VLOOKUP(C1042,'RAW DATA 2023'!E:BO,57,0)</f>
        <v>#N/A</v>
      </c>
      <c r="G1042" s="63" t="e">
        <f>VLOOKUP(C1042,'RAW DATA 2023'!E:BO,58,0)</f>
        <v>#N/A</v>
      </c>
      <c r="H1042" s="390">
        <f>IFERROR((G1042-F1042)/G1042,0)</f>
        <v>0</v>
      </c>
      <c r="I1042" s="398">
        <f>IF(H1042&lt;0,((0.25-(H1042*(-1)))*$L$7),IF(H1042&gt;0,(H1042*$N$7)+$L$6,0))</f>
        <v>0</v>
      </c>
      <c r="J1042" s="73" t="e">
        <f>VLOOKUP(C1042,'RAW DATA 2023'!E:AC,21,0)</f>
        <v>#N/A</v>
      </c>
      <c r="K1042" s="398" t="e">
        <f>I1042*J1042</f>
        <v>#N/A</v>
      </c>
    </row>
    <row r="1043" spans="1:11">
      <c r="A1043" s="63">
        <f>'RAW DATA 2023'!B1036</f>
        <v>0</v>
      </c>
      <c r="B1043" s="63">
        <f>'RAW DATA 2023'!D1036</f>
        <v>0</v>
      </c>
      <c r="C1043" s="63" t="str">
        <f>A1043&amp;B1043</f>
        <v>00</v>
      </c>
      <c r="D1043" s="63" t="e">
        <f>VLOOKUP(C1043,'RAW DATA 2023'!E:BP,63,0)</f>
        <v>#N/A</v>
      </c>
      <c r="E1043" s="63" t="e">
        <f>A1043&amp;D1043</f>
        <v>#N/A</v>
      </c>
      <c r="F1043" s="389" t="e">
        <f>VLOOKUP(C1043,'RAW DATA 2023'!E:BO,57,0)</f>
        <v>#N/A</v>
      </c>
      <c r="G1043" s="63" t="e">
        <f>VLOOKUP(C1043,'RAW DATA 2023'!E:BO,58,0)</f>
        <v>#N/A</v>
      </c>
      <c r="H1043" s="390">
        <f>IFERROR((G1043-F1043)/G1043,0)</f>
        <v>0</v>
      </c>
      <c r="I1043" s="398">
        <f>IF(H1043&lt;0,((0.25-(H1043*(-1)))*$L$7),IF(H1043&gt;0,(H1043*$N$7)+$L$6,0))</f>
        <v>0</v>
      </c>
      <c r="J1043" s="73" t="e">
        <f>VLOOKUP(C1043,'RAW DATA 2023'!E:AC,21,0)</f>
        <v>#N/A</v>
      </c>
      <c r="K1043" s="398" t="e">
        <f>I1043*J1043</f>
        <v>#N/A</v>
      </c>
    </row>
    <row r="1044" spans="1:11">
      <c r="A1044" s="63">
        <f>'RAW DATA 2023'!B1037</f>
        <v>0</v>
      </c>
      <c r="B1044" s="63">
        <f>'RAW DATA 2023'!D1037</f>
        <v>0</v>
      </c>
      <c r="C1044" s="63" t="str">
        <f>A1044&amp;B1044</f>
        <v>00</v>
      </c>
      <c r="D1044" s="63" t="e">
        <f>VLOOKUP(C1044,'RAW DATA 2023'!E:BP,63,0)</f>
        <v>#N/A</v>
      </c>
      <c r="E1044" s="63" t="e">
        <f>A1044&amp;D1044</f>
        <v>#N/A</v>
      </c>
      <c r="F1044" s="389" t="e">
        <f>VLOOKUP(C1044,'RAW DATA 2023'!E:BO,57,0)</f>
        <v>#N/A</v>
      </c>
      <c r="G1044" s="63" t="e">
        <f>VLOOKUP(C1044,'RAW DATA 2023'!E:BO,58,0)</f>
        <v>#N/A</v>
      </c>
      <c r="H1044" s="390">
        <f>IFERROR((G1044-F1044)/G1044,0)</f>
        <v>0</v>
      </c>
      <c r="I1044" s="398">
        <f>IF(H1044&lt;0,((0.25-(H1044*(-1)))*$L$7),IF(H1044&gt;0,(H1044*$N$7)+$L$6,0))</f>
        <v>0</v>
      </c>
      <c r="J1044" s="73" t="e">
        <f>VLOOKUP(C1044,'RAW DATA 2023'!E:AC,21,0)</f>
        <v>#N/A</v>
      </c>
      <c r="K1044" s="398" t="e">
        <f>I1044*J1044</f>
        <v>#N/A</v>
      </c>
    </row>
    <row r="1045" spans="1:11">
      <c r="A1045" s="63">
        <f>'RAW DATA 2023'!B1038</f>
        <v>0</v>
      </c>
      <c r="B1045" s="63">
        <f>'RAW DATA 2023'!D1038</f>
        <v>0</v>
      </c>
      <c r="C1045" s="63" t="str">
        <f>A1045&amp;B1045</f>
        <v>00</v>
      </c>
      <c r="D1045" s="63" t="e">
        <f>VLOOKUP(C1045,'RAW DATA 2023'!E:BP,63,0)</f>
        <v>#N/A</v>
      </c>
      <c r="E1045" s="63" t="e">
        <f>A1045&amp;D1045</f>
        <v>#N/A</v>
      </c>
      <c r="F1045" s="389" t="e">
        <f>VLOOKUP(C1045,'RAW DATA 2023'!E:BO,57,0)</f>
        <v>#N/A</v>
      </c>
      <c r="G1045" s="63" t="e">
        <f>VLOOKUP(C1045,'RAW DATA 2023'!E:BO,58,0)</f>
        <v>#N/A</v>
      </c>
      <c r="H1045" s="390">
        <f>IFERROR((G1045-F1045)/G1045,0)</f>
        <v>0</v>
      </c>
      <c r="I1045" s="398">
        <f>IF(H1045&lt;0,((0.25-(H1045*(-1)))*$L$7),IF(H1045&gt;0,(H1045*$N$7)+$L$6,0))</f>
        <v>0</v>
      </c>
      <c r="J1045" s="73" t="e">
        <f>VLOOKUP(C1045,'RAW DATA 2023'!E:AC,21,0)</f>
        <v>#N/A</v>
      </c>
      <c r="K1045" s="398" t="e">
        <f>I1045*J1045</f>
        <v>#N/A</v>
      </c>
    </row>
    <row r="1046" spans="1:11">
      <c r="A1046" s="63">
        <f>'RAW DATA 2023'!B1039</f>
        <v>0</v>
      </c>
      <c r="B1046" s="63">
        <f>'RAW DATA 2023'!D1039</f>
        <v>0</v>
      </c>
      <c r="C1046" s="63" t="str">
        <f>A1046&amp;B1046</f>
        <v>00</v>
      </c>
      <c r="D1046" s="63" t="e">
        <f>VLOOKUP(C1046,'RAW DATA 2023'!E:BP,63,0)</f>
        <v>#N/A</v>
      </c>
      <c r="E1046" s="63" t="e">
        <f>A1046&amp;D1046</f>
        <v>#N/A</v>
      </c>
      <c r="F1046" s="389" t="e">
        <f>VLOOKUP(C1046,'RAW DATA 2023'!E:BO,57,0)</f>
        <v>#N/A</v>
      </c>
      <c r="G1046" s="63" t="e">
        <f>VLOOKUP(C1046,'RAW DATA 2023'!E:BO,58,0)</f>
        <v>#N/A</v>
      </c>
      <c r="H1046" s="390">
        <f>IFERROR((G1046-F1046)/G1046,0)</f>
        <v>0</v>
      </c>
      <c r="I1046" s="398">
        <f>IF(H1046&lt;0,((0.25-(H1046*(-1)))*$L$7),IF(H1046&gt;0,(H1046*$N$7)+$L$6,0))</f>
        <v>0</v>
      </c>
      <c r="J1046" s="73" t="e">
        <f>VLOOKUP(C1046,'RAW DATA 2023'!E:AC,21,0)</f>
        <v>#N/A</v>
      </c>
      <c r="K1046" s="398" t="e">
        <f>I1046*J1046</f>
        <v>#N/A</v>
      </c>
    </row>
    <row r="1047" spans="1:11">
      <c r="A1047" s="63">
        <f>'RAW DATA 2023'!B1040</f>
        <v>0</v>
      </c>
      <c r="B1047" s="63">
        <f>'RAW DATA 2023'!D1040</f>
        <v>0</v>
      </c>
      <c r="C1047" s="63" t="str">
        <f>A1047&amp;B1047</f>
        <v>00</v>
      </c>
      <c r="D1047" s="63" t="e">
        <f>VLOOKUP(C1047,'RAW DATA 2023'!E:BP,63,0)</f>
        <v>#N/A</v>
      </c>
      <c r="E1047" s="63" t="e">
        <f>A1047&amp;D1047</f>
        <v>#N/A</v>
      </c>
      <c r="F1047" s="389" t="e">
        <f>VLOOKUP(C1047,'RAW DATA 2023'!E:BO,57,0)</f>
        <v>#N/A</v>
      </c>
      <c r="G1047" s="63" t="e">
        <f>VLOOKUP(C1047,'RAW DATA 2023'!E:BO,58,0)</f>
        <v>#N/A</v>
      </c>
      <c r="H1047" s="390">
        <f>IFERROR((G1047-F1047)/G1047,0)</f>
        <v>0</v>
      </c>
      <c r="I1047" s="398">
        <f>IF(H1047&lt;0,((0.25-(H1047*(-1)))*$L$7),IF(H1047&gt;0,(H1047*$N$7)+$L$6,0))</f>
        <v>0</v>
      </c>
      <c r="J1047" s="73" t="e">
        <f>VLOOKUP(C1047,'RAW DATA 2023'!E:AC,21,0)</f>
        <v>#N/A</v>
      </c>
      <c r="K1047" s="398" t="e">
        <f>I1047*J1047</f>
        <v>#N/A</v>
      </c>
    </row>
    <row r="1048" spans="1:11">
      <c r="A1048" s="63">
        <f>'RAW DATA 2023'!B1041</f>
        <v>0</v>
      </c>
      <c r="B1048" s="63">
        <f>'RAW DATA 2023'!D1041</f>
        <v>0</v>
      </c>
      <c r="C1048" s="63" t="str">
        <f>A1048&amp;B1048</f>
        <v>00</v>
      </c>
      <c r="D1048" s="63" t="e">
        <f>VLOOKUP(C1048,'RAW DATA 2023'!E:BP,63,0)</f>
        <v>#N/A</v>
      </c>
      <c r="E1048" s="63" t="e">
        <f>A1048&amp;D1048</f>
        <v>#N/A</v>
      </c>
      <c r="F1048" s="389" t="e">
        <f>VLOOKUP(C1048,'RAW DATA 2023'!E:BO,57,0)</f>
        <v>#N/A</v>
      </c>
      <c r="G1048" s="63" t="e">
        <f>VLOOKUP(C1048,'RAW DATA 2023'!E:BO,58,0)</f>
        <v>#N/A</v>
      </c>
      <c r="H1048" s="390">
        <f>IFERROR((G1048-F1048)/G1048,0)</f>
        <v>0</v>
      </c>
      <c r="I1048" s="398">
        <f>IF(H1048&lt;0,((0.25-(H1048*(-1)))*$L$7),IF(H1048&gt;0,(H1048*$N$7)+$L$6,0))</f>
        <v>0</v>
      </c>
      <c r="J1048" s="73" t="e">
        <f>VLOOKUP(C1048,'RAW DATA 2023'!E:AC,21,0)</f>
        <v>#N/A</v>
      </c>
      <c r="K1048" s="398" t="e">
        <f>I1048*J1048</f>
        <v>#N/A</v>
      </c>
    </row>
    <row r="1049" spans="1:11">
      <c r="A1049" s="63">
        <f>'RAW DATA 2023'!B1042</f>
        <v>0</v>
      </c>
      <c r="B1049" s="63">
        <f>'RAW DATA 2023'!D1042</f>
        <v>0</v>
      </c>
      <c r="C1049" s="63" t="str">
        <f>A1049&amp;B1049</f>
        <v>00</v>
      </c>
      <c r="D1049" s="63" t="e">
        <f>VLOOKUP(C1049,'RAW DATA 2023'!E:BP,63,0)</f>
        <v>#N/A</v>
      </c>
      <c r="E1049" s="63" t="e">
        <f>A1049&amp;D1049</f>
        <v>#N/A</v>
      </c>
      <c r="F1049" s="389" t="e">
        <f>VLOOKUP(C1049,'RAW DATA 2023'!E:BO,57,0)</f>
        <v>#N/A</v>
      </c>
      <c r="G1049" s="63" t="e">
        <f>VLOOKUP(C1049,'RAW DATA 2023'!E:BO,58,0)</f>
        <v>#N/A</v>
      </c>
      <c r="H1049" s="390">
        <f>IFERROR((G1049-F1049)/G1049,0)</f>
        <v>0</v>
      </c>
      <c r="I1049" s="398">
        <f>IF(H1049&lt;0,((0.25-(H1049*(-1)))*$L$7),IF(H1049&gt;0,(H1049*$N$7)+$L$6,0))</f>
        <v>0</v>
      </c>
      <c r="J1049" s="73" t="e">
        <f>VLOOKUP(C1049,'RAW DATA 2023'!E:AC,21,0)</f>
        <v>#N/A</v>
      </c>
      <c r="K1049" s="398" t="e">
        <f>I1049*J1049</f>
        <v>#N/A</v>
      </c>
    </row>
    <row r="1050" spans="1:11">
      <c r="A1050" s="63">
        <f>'RAW DATA 2023'!B1043</f>
        <v>0</v>
      </c>
      <c r="B1050" s="63">
        <f>'RAW DATA 2023'!D1043</f>
        <v>0</v>
      </c>
      <c r="C1050" s="63" t="str">
        <f>A1050&amp;B1050</f>
        <v>00</v>
      </c>
      <c r="D1050" s="63" t="e">
        <f>VLOOKUP(C1050,'RAW DATA 2023'!E:BP,63,0)</f>
        <v>#N/A</v>
      </c>
      <c r="E1050" s="63" t="e">
        <f>A1050&amp;D1050</f>
        <v>#N/A</v>
      </c>
      <c r="F1050" s="389" t="e">
        <f>VLOOKUP(C1050,'RAW DATA 2023'!E:BO,57,0)</f>
        <v>#N/A</v>
      </c>
      <c r="G1050" s="63" t="e">
        <f>VLOOKUP(C1050,'RAW DATA 2023'!E:BO,58,0)</f>
        <v>#N/A</v>
      </c>
      <c r="H1050" s="390">
        <f>IFERROR((G1050-F1050)/G1050,0)</f>
        <v>0</v>
      </c>
      <c r="I1050" s="398">
        <f>IF(H1050&lt;0,((0.25-(H1050*(-1)))*$L$7),IF(H1050&gt;0,(H1050*$N$7)+$L$6,0))</f>
        <v>0</v>
      </c>
      <c r="J1050" s="73" t="e">
        <f>VLOOKUP(C1050,'RAW DATA 2023'!E:AC,21,0)</f>
        <v>#N/A</v>
      </c>
      <c r="K1050" s="398" t="e">
        <f>I1050*J1050</f>
        <v>#N/A</v>
      </c>
    </row>
    <row r="1051" spans="1:11">
      <c r="A1051" s="63">
        <f>'RAW DATA 2023'!B1044</f>
        <v>0</v>
      </c>
      <c r="B1051" s="63">
        <f>'RAW DATA 2023'!D1044</f>
        <v>0</v>
      </c>
      <c r="C1051" s="63" t="str">
        <f>A1051&amp;B1051</f>
        <v>00</v>
      </c>
      <c r="D1051" s="63" t="e">
        <f>VLOOKUP(C1051,'RAW DATA 2023'!E:BP,63,0)</f>
        <v>#N/A</v>
      </c>
      <c r="E1051" s="63" t="e">
        <f>A1051&amp;D1051</f>
        <v>#N/A</v>
      </c>
      <c r="F1051" s="389" t="e">
        <f>VLOOKUP(C1051,'RAW DATA 2023'!E:BO,57,0)</f>
        <v>#N/A</v>
      </c>
      <c r="G1051" s="63" t="e">
        <f>VLOOKUP(C1051,'RAW DATA 2023'!E:BO,58,0)</f>
        <v>#N/A</v>
      </c>
      <c r="H1051" s="390">
        <f>IFERROR((G1051-F1051)/G1051,0)</f>
        <v>0</v>
      </c>
      <c r="I1051" s="398">
        <f>IF(H1051&lt;0,((0.25-(H1051*(-1)))*$L$7),IF(H1051&gt;0,(H1051*$N$7)+$L$6,0))</f>
        <v>0</v>
      </c>
      <c r="J1051" s="73" t="e">
        <f>VLOOKUP(C1051,'RAW DATA 2023'!E:AC,21,0)</f>
        <v>#N/A</v>
      </c>
      <c r="K1051" s="398" t="e">
        <f>I1051*J1051</f>
        <v>#N/A</v>
      </c>
    </row>
    <row r="1052" spans="1:11">
      <c r="A1052" s="63">
        <f>'RAW DATA 2023'!B1045</f>
        <v>0</v>
      </c>
      <c r="B1052" s="63">
        <f>'RAW DATA 2023'!D1045</f>
        <v>0</v>
      </c>
      <c r="C1052" s="63" t="str">
        <f>A1052&amp;B1052</f>
        <v>00</v>
      </c>
      <c r="D1052" s="63" t="e">
        <f>VLOOKUP(C1052,'RAW DATA 2023'!E:BP,63,0)</f>
        <v>#N/A</v>
      </c>
      <c r="E1052" s="63" t="e">
        <f>A1052&amp;D1052</f>
        <v>#N/A</v>
      </c>
      <c r="F1052" s="389" t="e">
        <f>VLOOKUP(C1052,'RAW DATA 2023'!E:BO,57,0)</f>
        <v>#N/A</v>
      </c>
      <c r="G1052" s="63" t="e">
        <f>VLOOKUP(C1052,'RAW DATA 2023'!E:BO,58,0)</f>
        <v>#N/A</v>
      </c>
      <c r="H1052" s="390">
        <f>IFERROR((G1052-F1052)/G1052,0)</f>
        <v>0</v>
      </c>
      <c r="I1052" s="398">
        <f>IF(H1052&lt;0,((0.25-(H1052*(-1)))*$L$7),IF(H1052&gt;0,(H1052*$N$7)+$L$6,0))</f>
        <v>0</v>
      </c>
      <c r="J1052" s="73" t="e">
        <f>VLOOKUP(C1052,'RAW DATA 2023'!E:AC,21,0)</f>
        <v>#N/A</v>
      </c>
      <c r="K1052" s="398" t="e">
        <f>I1052*J1052</f>
        <v>#N/A</v>
      </c>
    </row>
    <row r="1053" spans="1:11">
      <c r="A1053" s="63">
        <f>'RAW DATA 2023'!B1046</f>
        <v>0</v>
      </c>
      <c r="B1053" s="63">
        <f>'RAW DATA 2023'!D1046</f>
        <v>0</v>
      </c>
      <c r="C1053" s="63" t="str">
        <f>A1053&amp;B1053</f>
        <v>00</v>
      </c>
      <c r="D1053" s="63" t="e">
        <f>VLOOKUP(C1053,'RAW DATA 2023'!E:BP,63,0)</f>
        <v>#N/A</v>
      </c>
      <c r="E1053" s="63" t="e">
        <f>A1053&amp;D1053</f>
        <v>#N/A</v>
      </c>
      <c r="F1053" s="389" t="e">
        <f>VLOOKUP(C1053,'RAW DATA 2023'!E:BO,57,0)</f>
        <v>#N/A</v>
      </c>
      <c r="G1053" s="63" t="e">
        <f>VLOOKUP(C1053,'RAW DATA 2023'!E:BO,58,0)</f>
        <v>#N/A</v>
      </c>
      <c r="H1053" s="390">
        <f>IFERROR((G1053-F1053)/G1053,0)</f>
        <v>0</v>
      </c>
      <c r="I1053" s="398">
        <f>IF(H1053&lt;0,((0.25-(H1053*(-1)))*$L$7),IF(H1053&gt;0,(H1053*$N$7)+$L$6,0))</f>
        <v>0</v>
      </c>
      <c r="J1053" s="73" t="e">
        <f>VLOOKUP(C1053,'RAW DATA 2023'!E:AC,21,0)</f>
        <v>#N/A</v>
      </c>
      <c r="K1053" s="398" t="e">
        <f>I1053*J1053</f>
        <v>#N/A</v>
      </c>
    </row>
    <row r="1054" spans="1:11">
      <c r="A1054" s="63">
        <f>'RAW DATA 2023'!B1047</f>
        <v>0</v>
      </c>
      <c r="B1054" s="63">
        <f>'RAW DATA 2023'!D1047</f>
        <v>0</v>
      </c>
      <c r="C1054" s="63" t="str">
        <f>A1054&amp;B1054</f>
        <v>00</v>
      </c>
      <c r="D1054" s="63" t="e">
        <f>VLOOKUP(C1054,'RAW DATA 2023'!E:BP,63,0)</f>
        <v>#N/A</v>
      </c>
      <c r="E1054" s="63" t="e">
        <f>A1054&amp;D1054</f>
        <v>#N/A</v>
      </c>
      <c r="F1054" s="389" t="e">
        <f>VLOOKUP(C1054,'RAW DATA 2023'!E:BO,57,0)</f>
        <v>#N/A</v>
      </c>
      <c r="G1054" s="63" t="e">
        <f>VLOOKUP(C1054,'RAW DATA 2023'!E:BO,58,0)</f>
        <v>#N/A</v>
      </c>
      <c r="H1054" s="390">
        <f>IFERROR((G1054-F1054)/G1054,0)</f>
        <v>0</v>
      </c>
      <c r="I1054" s="398">
        <f>IF(H1054&lt;0,((0.25-(H1054*(-1)))*$L$7),IF(H1054&gt;0,(H1054*$N$7)+$L$6,0))</f>
        <v>0</v>
      </c>
      <c r="J1054" s="73" t="e">
        <f>VLOOKUP(C1054,'RAW DATA 2023'!E:AC,21,0)</f>
        <v>#N/A</v>
      </c>
      <c r="K1054" s="398" t="e">
        <f>I1054*J1054</f>
        <v>#N/A</v>
      </c>
    </row>
    <row r="1055" spans="1:11">
      <c r="A1055" s="63">
        <f>'RAW DATA 2023'!B1048</f>
        <v>0</v>
      </c>
      <c r="B1055" s="63">
        <f>'RAW DATA 2023'!D1048</f>
        <v>0</v>
      </c>
      <c r="C1055" s="63" t="str">
        <f>A1055&amp;B1055</f>
        <v>00</v>
      </c>
      <c r="D1055" s="63" t="e">
        <f>VLOOKUP(C1055,'RAW DATA 2023'!E:BP,63,0)</f>
        <v>#N/A</v>
      </c>
      <c r="E1055" s="63" t="e">
        <f>A1055&amp;D1055</f>
        <v>#N/A</v>
      </c>
      <c r="F1055" s="389" t="e">
        <f>VLOOKUP(C1055,'RAW DATA 2023'!E:BO,57,0)</f>
        <v>#N/A</v>
      </c>
      <c r="G1055" s="63" t="e">
        <f>VLOOKUP(C1055,'RAW DATA 2023'!E:BO,58,0)</f>
        <v>#N/A</v>
      </c>
      <c r="H1055" s="390">
        <f>IFERROR((G1055-F1055)/G1055,0)</f>
        <v>0</v>
      </c>
      <c r="I1055" s="398">
        <f>IF(H1055&lt;0,((0.25-(H1055*(-1)))*$L$7),IF(H1055&gt;0,(H1055*$N$7)+$L$6,0))</f>
        <v>0</v>
      </c>
      <c r="J1055" s="73" t="e">
        <f>VLOOKUP(C1055,'RAW DATA 2023'!E:AC,21,0)</f>
        <v>#N/A</v>
      </c>
      <c r="K1055" s="398" t="e">
        <f>I1055*J1055</f>
        <v>#N/A</v>
      </c>
    </row>
    <row r="1056" spans="1:11">
      <c r="A1056" s="63">
        <f>'RAW DATA 2023'!B1049</f>
        <v>0</v>
      </c>
      <c r="B1056" s="63">
        <f>'RAW DATA 2023'!D1049</f>
        <v>0</v>
      </c>
      <c r="C1056" s="63" t="str">
        <f>A1056&amp;B1056</f>
        <v>00</v>
      </c>
      <c r="D1056" s="63" t="e">
        <f>VLOOKUP(C1056,'RAW DATA 2023'!E:BP,63,0)</f>
        <v>#N/A</v>
      </c>
      <c r="E1056" s="63" t="e">
        <f>A1056&amp;D1056</f>
        <v>#N/A</v>
      </c>
      <c r="F1056" s="389" t="e">
        <f>VLOOKUP(C1056,'RAW DATA 2023'!E:BO,57,0)</f>
        <v>#N/A</v>
      </c>
      <c r="G1056" s="63" t="e">
        <f>VLOOKUP(C1056,'RAW DATA 2023'!E:BO,58,0)</f>
        <v>#N/A</v>
      </c>
      <c r="H1056" s="390">
        <f>IFERROR((G1056-F1056)/G1056,0)</f>
        <v>0</v>
      </c>
      <c r="I1056" s="398">
        <f>IF(H1056&lt;0,((0.25-(H1056*(-1)))*$L$7),IF(H1056&gt;0,(H1056*$N$7)+$L$6,0))</f>
        <v>0</v>
      </c>
      <c r="J1056" s="73" t="e">
        <f>VLOOKUP(C1056,'RAW DATA 2023'!E:AC,21,0)</f>
        <v>#N/A</v>
      </c>
      <c r="K1056" s="398" t="e">
        <f>I1056*J1056</f>
        <v>#N/A</v>
      </c>
    </row>
    <row r="1057" spans="1:11">
      <c r="A1057" s="63">
        <f>'RAW DATA 2023'!B1050</f>
        <v>0</v>
      </c>
      <c r="B1057" s="63">
        <f>'RAW DATA 2023'!D1050</f>
        <v>0</v>
      </c>
      <c r="C1057" s="63" t="str">
        <f>A1057&amp;B1057</f>
        <v>00</v>
      </c>
      <c r="D1057" s="63" t="e">
        <f>VLOOKUP(C1057,'RAW DATA 2023'!E:BP,63,0)</f>
        <v>#N/A</v>
      </c>
      <c r="E1057" s="63" t="e">
        <f>A1057&amp;D1057</f>
        <v>#N/A</v>
      </c>
      <c r="F1057" s="389" t="e">
        <f>VLOOKUP(C1057,'RAW DATA 2023'!E:BO,57,0)</f>
        <v>#N/A</v>
      </c>
      <c r="G1057" s="63" t="e">
        <f>VLOOKUP(C1057,'RAW DATA 2023'!E:BO,58,0)</f>
        <v>#N/A</v>
      </c>
      <c r="H1057" s="390">
        <f>IFERROR((G1057-F1057)/G1057,0)</f>
        <v>0</v>
      </c>
      <c r="I1057" s="398">
        <f>IF(H1057&lt;0,((0.25-(H1057*(-1)))*$L$7),IF(H1057&gt;0,(H1057*$N$7)+$L$6,0))</f>
        <v>0</v>
      </c>
      <c r="J1057" s="73" t="e">
        <f>VLOOKUP(C1057,'RAW DATA 2023'!E:AC,21,0)</f>
        <v>#N/A</v>
      </c>
      <c r="K1057" s="398" t="e">
        <f>I1057*J1057</f>
        <v>#N/A</v>
      </c>
    </row>
    <row r="1058" spans="1:11">
      <c r="A1058" s="63">
        <f>'RAW DATA 2023'!B1051</f>
        <v>0</v>
      </c>
      <c r="B1058" s="63">
        <f>'RAW DATA 2023'!D1051</f>
        <v>0</v>
      </c>
      <c r="C1058" s="63" t="str">
        <f>A1058&amp;B1058</f>
        <v>00</v>
      </c>
      <c r="D1058" s="63" t="e">
        <f>VLOOKUP(C1058,'RAW DATA 2023'!E:BP,63,0)</f>
        <v>#N/A</v>
      </c>
      <c r="E1058" s="63" t="e">
        <f>A1058&amp;D1058</f>
        <v>#N/A</v>
      </c>
      <c r="F1058" s="389" t="e">
        <f>VLOOKUP(C1058,'RAW DATA 2023'!E:BO,57,0)</f>
        <v>#N/A</v>
      </c>
      <c r="G1058" s="63" t="e">
        <f>VLOOKUP(C1058,'RAW DATA 2023'!E:BO,58,0)</f>
        <v>#N/A</v>
      </c>
      <c r="H1058" s="390">
        <f>IFERROR((G1058-F1058)/G1058,0)</f>
        <v>0</v>
      </c>
      <c r="I1058" s="398">
        <f>IF(H1058&lt;0,((0.25-(H1058*(-1)))*$L$7),IF(H1058&gt;0,(H1058*$N$7)+$L$6,0))</f>
        <v>0</v>
      </c>
      <c r="J1058" s="73" t="e">
        <f>VLOOKUP(C1058,'RAW DATA 2023'!E:AC,21,0)</f>
        <v>#N/A</v>
      </c>
      <c r="K1058" s="398" t="e">
        <f>I1058*J1058</f>
        <v>#N/A</v>
      </c>
    </row>
    <row r="1059" spans="1:11">
      <c r="A1059" s="63">
        <f>'RAW DATA 2023'!B1052</f>
        <v>0</v>
      </c>
      <c r="B1059" s="63">
        <f>'RAW DATA 2023'!D1052</f>
        <v>0</v>
      </c>
      <c r="C1059" s="63" t="str">
        <f>A1059&amp;B1059</f>
        <v>00</v>
      </c>
      <c r="D1059" s="63" t="e">
        <f>VLOOKUP(C1059,'RAW DATA 2023'!E:BP,63,0)</f>
        <v>#N/A</v>
      </c>
      <c r="E1059" s="63" t="e">
        <f>A1059&amp;D1059</f>
        <v>#N/A</v>
      </c>
      <c r="F1059" s="389" t="e">
        <f>VLOOKUP(C1059,'RAW DATA 2023'!E:BO,57,0)</f>
        <v>#N/A</v>
      </c>
      <c r="G1059" s="63" t="e">
        <f>VLOOKUP(C1059,'RAW DATA 2023'!E:BO,58,0)</f>
        <v>#N/A</v>
      </c>
      <c r="H1059" s="390">
        <f>IFERROR((G1059-F1059)/G1059,0)</f>
        <v>0</v>
      </c>
      <c r="I1059" s="398">
        <f>IF(H1059&lt;0,((0.25-(H1059*(-1)))*$L$7),IF(H1059&gt;0,(H1059*$N$7)+$L$6,0))</f>
        <v>0</v>
      </c>
      <c r="J1059" s="73" t="e">
        <f>VLOOKUP(C1059,'RAW DATA 2023'!E:AC,21,0)</f>
        <v>#N/A</v>
      </c>
      <c r="K1059" s="398" t="e">
        <f>I1059*J1059</f>
        <v>#N/A</v>
      </c>
    </row>
    <row r="1060" spans="1:11">
      <c r="A1060" s="63">
        <f>'RAW DATA 2023'!B1053</f>
        <v>0</v>
      </c>
      <c r="B1060" s="63">
        <f>'RAW DATA 2023'!D1053</f>
        <v>0</v>
      </c>
      <c r="C1060" s="63" t="str">
        <f>A1060&amp;B1060</f>
        <v>00</v>
      </c>
      <c r="D1060" s="63" t="e">
        <f>VLOOKUP(C1060,'RAW DATA 2023'!E:BP,63,0)</f>
        <v>#N/A</v>
      </c>
      <c r="E1060" s="63" t="e">
        <f>A1060&amp;D1060</f>
        <v>#N/A</v>
      </c>
      <c r="F1060" s="389" t="e">
        <f>VLOOKUP(C1060,'RAW DATA 2023'!E:BO,57,0)</f>
        <v>#N/A</v>
      </c>
      <c r="G1060" s="63" t="e">
        <f>VLOOKUP(C1060,'RAW DATA 2023'!E:BO,58,0)</f>
        <v>#N/A</v>
      </c>
      <c r="H1060" s="390">
        <f>IFERROR((G1060-F1060)/G1060,0)</f>
        <v>0</v>
      </c>
      <c r="I1060" s="398">
        <f>IF(H1060&lt;0,((0.25-(H1060*(-1)))*$L$7),IF(H1060&gt;0,(H1060*$N$7)+$L$6,0))</f>
        <v>0</v>
      </c>
      <c r="J1060" s="73" t="e">
        <f>VLOOKUP(C1060,'RAW DATA 2023'!E:AC,21,0)</f>
        <v>#N/A</v>
      </c>
      <c r="K1060" s="398" t="e">
        <f>I1060*J1060</f>
        <v>#N/A</v>
      </c>
    </row>
    <row r="1061" spans="1:11">
      <c r="A1061" s="63">
        <f>'RAW DATA 2023'!B1054</f>
        <v>0</v>
      </c>
      <c r="B1061" s="63">
        <f>'RAW DATA 2023'!D1054</f>
        <v>0</v>
      </c>
      <c r="C1061" s="63" t="str">
        <f>A1061&amp;B1061</f>
        <v>00</v>
      </c>
      <c r="D1061" s="63" t="e">
        <f>VLOOKUP(C1061,'RAW DATA 2023'!E:BP,63,0)</f>
        <v>#N/A</v>
      </c>
      <c r="E1061" s="63" t="e">
        <f>A1061&amp;D1061</f>
        <v>#N/A</v>
      </c>
      <c r="F1061" s="389" t="e">
        <f>VLOOKUP(C1061,'RAW DATA 2023'!E:BO,57,0)</f>
        <v>#N/A</v>
      </c>
      <c r="G1061" s="63" t="e">
        <f>VLOOKUP(C1061,'RAW DATA 2023'!E:BO,58,0)</f>
        <v>#N/A</v>
      </c>
      <c r="H1061" s="390">
        <f>IFERROR((G1061-F1061)/G1061,0)</f>
        <v>0</v>
      </c>
      <c r="I1061" s="398">
        <f>IF(H1061&lt;0,((0.25-(H1061*(-1)))*$L$7),IF(H1061&gt;0,(H1061*$N$7)+$L$6,0))</f>
        <v>0</v>
      </c>
      <c r="J1061" s="73" t="e">
        <f>VLOOKUP(C1061,'RAW DATA 2023'!E:AC,21,0)</f>
        <v>#N/A</v>
      </c>
      <c r="K1061" s="398" t="e">
        <f>I1061*J1061</f>
        <v>#N/A</v>
      </c>
    </row>
    <row r="1062" spans="1:11">
      <c r="A1062" s="63">
        <f>'RAW DATA 2023'!B1055</f>
        <v>0</v>
      </c>
      <c r="B1062" s="63">
        <f>'RAW DATA 2023'!D1055</f>
        <v>0</v>
      </c>
      <c r="C1062" s="63" t="str">
        <f>A1062&amp;B1062</f>
        <v>00</v>
      </c>
      <c r="D1062" s="63" t="e">
        <f>VLOOKUP(C1062,'RAW DATA 2023'!E:BP,63,0)</f>
        <v>#N/A</v>
      </c>
      <c r="E1062" s="63" t="e">
        <f>A1062&amp;D1062</f>
        <v>#N/A</v>
      </c>
      <c r="F1062" s="389" t="e">
        <f>VLOOKUP(C1062,'RAW DATA 2023'!E:BO,57,0)</f>
        <v>#N/A</v>
      </c>
      <c r="G1062" s="63" t="e">
        <f>VLOOKUP(C1062,'RAW DATA 2023'!E:BO,58,0)</f>
        <v>#N/A</v>
      </c>
      <c r="H1062" s="390">
        <f>IFERROR((G1062-F1062)/G1062,0)</f>
        <v>0</v>
      </c>
      <c r="I1062" s="398">
        <f>IF(H1062&lt;0,((0.25-(H1062*(-1)))*$L$7),IF(H1062&gt;0,(H1062*$N$7)+$L$6,0))</f>
        <v>0</v>
      </c>
      <c r="J1062" s="73" t="e">
        <f>VLOOKUP(C1062,'RAW DATA 2023'!E:AC,21,0)</f>
        <v>#N/A</v>
      </c>
      <c r="K1062" s="398" t="e">
        <f>I1062*J1062</f>
        <v>#N/A</v>
      </c>
    </row>
    <row r="1063" spans="1:11">
      <c r="A1063" s="63">
        <f>'RAW DATA 2023'!B1056</f>
        <v>0</v>
      </c>
      <c r="B1063" s="63">
        <f>'RAW DATA 2023'!D1056</f>
        <v>0</v>
      </c>
      <c r="C1063" s="63" t="str">
        <f>A1063&amp;B1063</f>
        <v>00</v>
      </c>
      <c r="D1063" s="63" t="e">
        <f>VLOOKUP(C1063,'RAW DATA 2023'!E:BP,63,0)</f>
        <v>#N/A</v>
      </c>
      <c r="E1063" s="63" t="e">
        <f>A1063&amp;D1063</f>
        <v>#N/A</v>
      </c>
      <c r="F1063" s="389" t="e">
        <f>VLOOKUP(C1063,'RAW DATA 2023'!E:BO,57,0)</f>
        <v>#N/A</v>
      </c>
      <c r="G1063" s="63" t="e">
        <f>VLOOKUP(C1063,'RAW DATA 2023'!E:BO,58,0)</f>
        <v>#N/A</v>
      </c>
      <c r="H1063" s="390">
        <f>IFERROR((G1063-F1063)/G1063,0)</f>
        <v>0</v>
      </c>
      <c r="I1063" s="398">
        <f>IF(H1063&lt;0,((0.25-(H1063*(-1)))*$L$7),IF(H1063&gt;0,(H1063*$N$7)+$L$6,0))</f>
        <v>0</v>
      </c>
      <c r="J1063" s="73" t="e">
        <f>VLOOKUP(C1063,'RAW DATA 2023'!E:AC,21,0)</f>
        <v>#N/A</v>
      </c>
      <c r="K1063" s="398" t="e">
        <f>I1063*J1063</f>
        <v>#N/A</v>
      </c>
    </row>
    <row r="1064" spans="1:11">
      <c r="A1064" s="63">
        <f>'RAW DATA 2023'!B1057</f>
        <v>0</v>
      </c>
      <c r="B1064" s="63">
        <f>'RAW DATA 2023'!D1057</f>
        <v>0</v>
      </c>
      <c r="C1064" s="63" t="str">
        <f>A1064&amp;B1064</f>
        <v>00</v>
      </c>
      <c r="D1064" s="63" t="e">
        <f>VLOOKUP(C1064,'RAW DATA 2023'!E:BP,63,0)</f>
        <v>#N/A</v>
      </c>
      <c r="E1064" s="63" t="e">
        <f>A1064&amp;D1064</f>
        <v>#N/A</v>
      </c>
      <c r="F1064" s="389" t="e">
        <f>VLOOKUP(C1064,'RAW DATA 2023'!E:BO,57,0)</f>
        <v>#N/A</v>
      </c>
      <c r="G1064" s="63" t="e">
        <f>VLOOKUP(C1064,'RAW DATA 2023'!E:BO,58,0)</f>
        <v>#N/A</v>
      </c>
      <c r="H1064" s="390">
        <f>IFERROR((G1064-F1064)/G1064,0)</f>
        <v>0</v>
      </c>
      <c r="I1064" s="398">
        <f>IF(H1064&lt;0,((0.25-(H1064*(-1)))*$L$7),IF(H1064&gt;0,(H1064*$N$7)+$L$6,0))</f>
        <v>0</v>
      </c>
      <c r="J1064" s="73" t="e">
        <f>VLOOKUP(C1064,'RAW DATA 2023'!E:AC,21,0)</f>
        <v>#N/A</v>
      </c>
      <c r="K1064" s="398" t="e">
        <f>I1064*J1064</f>
        <v>#N/A</v>
      </c>
    </row>
    <row r="1065" spans="1:11">
      <c r="A1065" s="63">
        <f>'RAW DATA 2023'!B1058</f>
        <v>0</v>
      </c>
      <c r="B1065" s="63">
        <f>'RAW DATA 2023'!D1058</f>
        <v>0</v>
      </c>
      <c r="C1065" s="63" t="str">
        <f>A1065&amp;B1065</f>
        <v>00</v>
      </c>
      <c r="D1065" s="63" t="e">
        <f>VLOOKUP(C1065,'RAW DATA 2023'!E:BP,63,0)</f>
        <v>#N/A</v>
      </c>
      <c r="E1065" s="63" t="e">
        <f>A1065&amp;D1065</f>
        <v>#N/A</v>
      </c>
      <c r="F1065" s="389" t="e">
        <f>VLOOKUP(C1065,'RAW DATA 2023'!E:BO,57,0)</f>
        <v>#N/A</v>
      </c>
      <c r="G1065" s="63" t="e">
        <f>VLOOKUP(C1065,'RAW DATA 2023'!E:BO,58,0)</f>
        <v>#N/A</v>
      </c>
      <c r="H1065" s="390">
        <f>IFERROR((G1065-F1065)/G1065,0)</f>
        <v>0</v>
      </c>
      <c r="I1065" s="398">
        <f>IF(H1065&lt;0,((0.25-(H1065*(-1)))*$L$7),IF(H1065&gt;0,(H1065*$N$7)+$L$6,0))</f>
        <v>0</v>
      </c>
      <c r="J1065" s="73" t="e">
        <f>VLOOKUP(C1065,'RAW DATA 2023'!E:AC,21,0)</f>
        <v>#N/A</v>
      </c>
      <c r="K1065" s="398" t="e">
        <f>I1065*J1065</f>
        <v>#N/A</v>
      </c>
    </row>
    <row r="1066" spans="1:11">
      <c r="A1066" s="63">
        <f>'RAW DATA 2023'!B1059</f>
        <v>0</v>
      </c>
      <c r="B1066" s="63">
        <f>'RAW DATA 2023'!D1059</f>
        <v>0</v>
      </c>
      <c r="C1066" s="63" t="str">
        <f>A1066&amp;B1066</f>
        <v>00</v>
      </c>
      <c r="D1066" s="63" t="e">
        <f>VLOOKUP(C1066,'RAW DATA 2023'!E:BP,63,0)</f>
        <v>#N/A</v>
      </c>
      <c r="E1066" s="63" t="e">
        <f>A1066&amp;D1066</f>
        <v>#N/A</v>
      </c>
      <c r="F1066" s="389" t="e">
        <f>VLOOKUP(C1066,'RAW DATA 2023'!E:BO,57,0)</f>
        <v>#N/A</v>
      </c>
      <c r="G1066" s="63" t="e">
        <f>VLOOKUP(C1066,'RAW DATA 2023'!E:BO,58,0)</f>
        <v>#N/A</v>
      </c>
      <c r="H1066" s="390">
        <f>IFERROR((G1066-F1066)/G1066,0)</f>
        <v>0</v>
      </c>
      <c r="I1066" s="398">
        <f>IF(H1066&lt;0,((0.25-(H1066*(-1)))*$L$7),IF(H1066&gt;0,(H1066*$N$7)+$L$6,0))</f>
        <v>0</v>
      </c>
      <c r="J1066" s="73" t="e">
        <f>VLOOKUP(C1066,'RAW DATA 2023'!E:AC,21,0)</f>
        <v>#N/A</v>
      </c>
      <c r="K1066" s="398" t="e">
        <f>I1066*J1066</f>
        <v>#N/A</v>
      </c>
    </row>
    <row r="1067" spans="1:11">
      <c r="A1067" s="63">
        <f>'RAW DATA 2023'!B1060</f>
        <v>0</v>
      </c>
      <c r="B1067" s="63">
        <f>'RAW DATA 2023'!D1060</f>
        <v>0</v>
      </c>
      <c r="C1067" s="63" t="str">
        <f>A1067&amp;B1067</f>
        <v>00</v>
      </c>
      <c r="D1067" s="63" t="e">
        <f>VLOOKUP(C1067,'RAW DATA 2023'!E:BP,63,0)</f>
        <v>#N/A</v>
      </c>
      <c r="E1067" s="63" t="e">
        <f>A1067&amp;D1067</f>
        <v>#N/A</v>
      </c>
      <c r="F1067" s="389" t="e">
        <f>VLOOKUP(C1067,'RAW DATA 2023'!E:BO,57,0)</f>
        <v>#N/A</v>
      </c>
      <c r="G1067" s="63" t="e">
        <f>VLOOKUP(C1067,'RAW DATA 2023'!E:BO,58,0)</f>
        <v>#N/A</v>
      </c>
      <c r="H1067" s="390">
        <f>IFERROR((G1067-F1067)/G1067,0)</f>
        <v>0</v>
      </c>
      <c r="I1067" s="398">
        <f>IF(H1067&lt;0,((0.25-(H1067*(-1)))*$L$7),IF(H1067&gt;0,(H1067*$N$7)+$L$6,0))</f>
        <v>0</v>
      </c>
      <c r="J1067" s="73" t="e">
        <f>VLOOKUP(C1067,'RAW DATA 2023'!E:AC,21,0)</f>
        <v>#N/A</v>
      </c>
      <c r="K1067" s="398" t="e">
        <f>I1067*J1067</f>
        <v>#N/A</v>
      </c>
    </row>
    <row r="1068" spans="1:11">
      <c r="A1068" s="63">
        <f>'RAW DATA 2023'!B1061</f>
        <v>0</v>
      </c>
      <c r="B1068" s="63">
        <f>'RAW DATA 2023'!D1061</f>
        <v>0</v>
      </c>
      <c r="C1068" s="63" t="str">
        <f>A1068&amp;B1068</f>
        <v>00</v>
      </c>
      <c r="D1068" s="63" t="e">
        <f>VLOOKUP(C1068,'RAW DATA 2023'!E:BP,63,0)</f>
        <v>#N/A</v>
      </c>
      <c r="E1068" s="63" t="e">
        <f>A1068&amp;D1068</f>
        <v>#N/A</v>
      </c>
      <c r="F1068" s="389" t="e">
        <f>VLOOKUP(C1068,'RAW DATA 2023'!E:BO,57,0)</f>
        <v>#N/A</v>
      </c>
      <c r="G1068" s="63" t="e">
        <f>VLOOKUP(C1068,'RAW DATA 2023'!E:BO,58,0)</f>
        <v>#N/A</v>
      </c>
      <c r="H1068" s="390">
        <f>IFERROR((G1068-F1068)/G1068,0)</f>
        <v>0</v>
      </c>
      <c r="I1068" s="398">
        <f>IF(H1068&lt;0,((0.25-(H1068*(-1)))*$L$7),IF(H1068&gt;0,(H1068*$N$7)+$L$6,0))</f>
        <v>0</v>
      </c>
      <c r="J1068" s="73" t="e">
        <f>VLOOKUP(C1068,'RAW DATA 2023'!E:AC,21,0)</f>
        <v>#N/A</v>
      </c>
      <c r="K1068" s="398" t="e">
        <f>I1068*J1068</f>
        <v>#N/A</v>
      </c>
    </row>
    <row r="1069" spans="1:11">
      <c r="A1069" s="63">
        <f>'RAW DATA 2023'!B1062</f>
        <v>0</v>
      </c>
      <c r="B1069" s="63">
        <f>'RAW DATA 2023'!D1062</f>
        <v>0</v>
      </c>
      <c r="C1069" s="63" t="str">
        <f>A1069&amp;B1069</f>
        <v>00</v>
      </c>
      <c r="D1069" s="63" t="e">
        <f>VLOOKUP(C1069,'RAW DATA 2023'!E:BP,63,0)</f>
        <v>#N/A</v>
      </c>
      <c r="E1069" s="63" t="e">
        <f>A1069&amp;D1069</f>
        <v>#N/A</v>
      </c>
      <c r="F1069" s="389" t="e">
        <f>VLOOKUP(C1069,'RAW DATA 2023'!E:BO,57,0)</f>
        <v>#N/A</v>
      </c>
      <c r="G1069" s="63" t="e">
        <f>VLOOKUP(C1069,'RAW DATA 2023'!E:BO,58,0)</f>
        <v>#N/A</v>
      </c>
      <c r="H1069" s="390">
        <f>IFERROR((G1069-F1069)/G1069,0)</f>
        <v>0</v>
      </c>
      <c r="I1069" s="398">
        <f>IF(H1069&lt;0,((0.25-(H1069*(-1)))*$L$7),IF(H1069&gt;0,(H1069*$N$7)+$L$6,0))</f>
        <v>0</v>
      </c>
      <c r="J1069" s="73" t="e">
        <f>VLOOKUP(C1069,'RAW DATA 2023'!E:AC,21,0)</f>
        <v>#N/A</v>
      </c>
      <c r="K1069" s="398" t="e">
        <f>I1069*J1069</f>
        <v>#N/A</v>
      </c>
    </row>
    <row r="1070" spans="1:11">
      <c r="A1070" s="63">
        <f>'RAW DATA 2023'!B1063</f>
        <v>0</v>
      </c>
      <c r="B1070" s="63">
        <f>'RAW DATA 2023'!D1063</f>
        <v>0</v>
      </c>
      <c r="C1070" s="63" t="str">
        <f>A1070&amp;B1070</f>
        <v>00</v>
      </c>
      <c r="D1070" s="63" t="e">
        <f>VLOOKUP(C1070,'RAW DATA 2023'!E:BP,63,0)</f>
        <v>#N/A</v>
      </c>
      <c r="E1070" s="63" t="e">
        <f>A1070&amp;D1070</f>
        <v>#N/A</v>
      </c>
      <c r="F1070" s="389" t="e">
        <f>VLOOKUP(C1070,'RAW DATA 2023'!E:BO,57,0)</f>
        <v>#N/A</v>
      </c>
      <c r="G1070" s="63" t="e">
        <f>VLOOKUP(C1070,'RAW DATA 2023'!E:BO,58,0)</f>
        <v>#N/A</v>
      </c>
      <c r="H1070" s="390">
        <f>IFERROR((G1070-F1070)/G1070,0)</f>
        <v>0</v>
      </c>
      <c r="I1070" s="398">
        <f>IF(H1070&lt;0,((0.25-(H1070*(-1)))*$L$7),IF(H1070&gt;0,(H1070*$N$7)+$L$6,0))</f>
        <v>0</v>
      </c>
      <c r="J1070" s="73" t="e">
        <f>VLOOKUP(C1070,'RAW DATA 2023'!E:AC,21,0)</f>
        <v>#N/A</v>
      </c>
      <c r="K1070" s="398" t="e">
        <f>I1070*J1070</f>
        <v>#N/A</v>
      </c>
    </row>
    <row r="1071" spans="1:11">
      <c r="A1071" s="63">
        <f>'RAW DATA 2023'!B1064</f>
        <v>0</v>
      </c>
      <c r="B1071" s="63">
        <f>'RAW DATA 2023'!D1064</f>
        <v>0</v>
      </c>
      <c r="C1071" s="63" t="str">
        <f>A1071&amp;B1071</f>
        <v>00</v>
      </c>
      <c r="D1071" s="63" t="e">
        <f>VLOOKUP(C1071,'RAW DATA 2023'!E:BP,63,0)</f>
        <v>#N/A</v>
      </c>
      <c r="E1071" s="63" t="e">
        <f>A1071&amp;D1071</f>
        <v>#N/A</v>
      </c>
      <c r="F1071" s="389" t="e">
        <f>VLOOKUP(C1071,'RAW DATA 2023'!E:BO,57,0)</f>
        <v>#N/A</v>
      </c>
      <c r="G1071" s="63" t="e">
        <f>VLOOKUP(C1071,'RAW DATA 2023'!E:BO,58,0)</f>
        <v>#N/A</v>
      </c>
      <c r="H1071" s="390">
        <f>IFERROR((G1071-F1071)/G1071,0)</f>
        <v>0</v>
      </c>
      <c r="I1071" s="398">
        <f>IF(H1071&lt;0,((0.25-(H1071*(-1)))*$L$7),IF(H1071&gt;0,(H1071*$N$7)+$L$6,0))</f>
        <v>0</v>
      </c>
      <c r="J1071" s="73" t="e">
        <f>VLOOKUP(C1071,'RAW DATA 2023'!E:AC,21,0)</f>
        <v>#N/A</v>
      </c>
      <c r="K1071" s="398" t="e">
        <f>I1071*J1071</f>
        <v>#N/A</v>
      </c>
    </row>
    <row r="1072" spans="1:11">
      <c r="A1072" s="63">
        <f>'RAW DATA 2023'!B1065</f>
        <v>0</v>
      </c>
      <c r="B1072" s="63">
        <f>'RAW DATA 2023'!D1065</f>
        <v>0</v>
      </c>
      <c r="C1072" s="63" t="str">
        <f>A1072&amp;B1072</f>
        <v>00</v>
      </c>
      <c r="D1072" s="63" t="e">
        <f>VLOOKUP(C1072,'RAW DATA 2023'!E:BP,63,0)</f>
        <v>#N/A</v>
      </c>
      <c r="E1072" s="63" t="e">
        <f>A1072&amp;D1072</f>
        <v>#N/A</v>
      </c>
      <c r="F1072" s="389" t="e">
        <f>VLOOKUP(C1072,'RAW DATA 2023'!E:BO,57,0)</f>
        <v>#N/A</v>
      </c>
      <c r="G1072" s="63" t="e">
        <f>VLOOKUP(C1072,'RAW DATA 2023'!E:BO,58,0)</f>
        <v>#N/A</v>
      </c>
      <c r="H1072" s="390">
        <f>IFERROR((G1072-F1072)/G1072,0)</f>
        <v>0</v>
      </c>
      <c r="I1072" s="398">
        <f>IF(H1072&lt;0,((0.25-(H1072*(-1)))*$L$7),IF(H1072&gt;0,(H1072*$N$7)+$L$6,0))</f>
        <v>0</v>
      </c>
      <c r="J1072" s="73" t="e">
        <f>VLOOKUP(C1072,'RAW DATA 2023'!E:AC,21,0)</f>
        <v>#N/A</v>
      </c>
      <c r="K1072" s="398" t="e">
        <f>I1072*J1072</f>
        <v>#N/A</v>
      </c>
    </row>
    <row r="1073" spans="1:11">
      <c r="A1073" s="63">
        <f>'RAW DATA 2023'!B1066</f>
        <v>0</v>
      </c>
      <c r="B1073" s="63">
        <f>'RAW DATA 2023'!D1066</f>
        <v>0</v>
      </c>
      <c r="C1073" s="63" t="str">
        <f>A1073&amp;B1073</f>
        <v>00</v>
      </c>
      <c r="D1073" s="63" t="e">
        <f>VLOOKUP(C1073,'RAW DATA 2023'!E:BP,63,0)</f>
        <v>#N/A</v>
      </c>
      <c r="E1073" s="63" t="e">
        <f>A1073&amp;D1073</f>
        <v>#N/A</v>
      </c>
      <c r="F1073" s="389" t="e">
        <f>VLOOKUP(C1073,'RAW DATA 2023'!E:BO,57,0)</f>
        <v>#N/A</v>
      </c>
      <c r="G1073" s="63" t="e">
        <f>VLOOKUP(C1073,'RAW DATA 2023'!E:BO,58,0)</f>
        <v>#N/A</v>
      </c>
      <c r="H1073" s="390">
        <f>IFERROR((G1073-F1073)/G1073,0)</f>
        <v>0</v>
      </c>
      <c r="I1073" s="398">
        <f>IF(H1073&lt;0,((0.25-(H1073*(-1)))*$L$7),IF(H1073&gt;0,(H1073*$N$7)+$L$6,0))</f>
        <v>0</v>
      </c>
      <c r="J1073" s="73" t="e">
        <f>VLOOKUP(C1073,'RAW DATA 2023'!E:AC,21,0)</f>
        <v>#N/A</v>
      </c>
      <c r="K1073" s="398" t="e">
        <f>I1073*J1073</f>
        <v>#N/A</v>
      </c>
    </row>
    <row r="1074" spans="1:11">
      <c r="A1074" s="63">
        <f>'RAW DATA 2023'!B1067</f>
        <v>0</v>
      </c>
      <c r="B1074" s="63">
        <f>'RAW DATA 2023'!D1067</f>
        <v>0</v>
      </c>
      <c r="C1074" s="63" t="str">
        <f>A1074&amp;B1074</f>
        <v>00</v>
      </c>
      <c r="D1074" s="63" t="e">
        <f>VLOOKUP(C1074,'RAW DATA 2023'!E:BP,63,0)</f>
        <v>#N/A</v>
      </c>
      <c r="E1074" s="63" t="e">
        <f>A1074&amp;D1074</f>
        <v>#N/A</v>
      </c>
      <c r="F1074" s="389" t="e">
        <f>VLOOKUP(C1074,'RAW DATA 2023'!E:BO,57,0)</f>
        <v>#N/A</v>
      </c>
      <c r="G1074" s="63" t="e">
        <f>VLOOKUP(C1074,'RAW DATA 2023'!E:BO,58,0)</f>
        <v>#N/A</v>
      </c>
      <c r="H1074" s="390">
        <f>IFERROR((G1074-F1074)/G1074,0)</f>
        <v>0</v>
      </c>
      <c r="I1074" s="398">
        <f>IF(H1074&lt;0,((0.25-(H1074*(-1)))*$L$7),IF(H1074&gt;0,(H1074*$N$7)+$L$6,0))</f>
        <v>0</v>
      </c>
      <c r="J1074" s="73" t="e">
        <f>VLOOKUP(C1074,'RAW DATA 2023'!E:AC,21,0)</f>
        <v>#N/A</v>
      </c>
      <c r="K1074" s="398" t="e">
        <f>I1074*J1074</f>
        <v>#N/A</v>
      </c>
    </row>
    <row r="1075" spans="1:11">
      <c r="A1075" s="63">
        <f>'RAW DATA 2023'!B1068</f>
        <v>0</v>
      </c>
      <c r="B1075" s="63">
        <f>'RAW DATA 2023'!D1068</f>
        <v>0</v>
      </c>
      <c r="C1075" s="63" t="str">
        <f>A1075&amp;B1075</f>
        <v>00</v>
      </c>
      <c r="D1075" s="63" t="e">
        <f>VLOOKUP(C1075,'RAW DATA 2023'!E:BP,63,0)</f>
        <v>#N/A</v>
      </c>
      <c r="E1075" s="63" t="e">
        <f>A1075&amp;D1075</f>
        <v>#N/A</v>
      </c>
      <c r="F1075" s="389" t="e">
        <f>VLOOKUP(C1075,'RAW DATA 2023'!E:BO,57,0)</f>
        <v>#N/A</v>
      </c>
      <c r="G1075" s="63" t="e">
        <f>VLOOKUP(C1075,'RAW DATA 2023'!E:BO,58,0)</f>
        <v>#N/A</v>
      </c>
      <c r="H1075" s="390">
        <f>IFERROR((G1075-F1075)/G1075,0)</f>
        <v>0</v>
      </c>
      <c r="I1075" s="398">
        <f>IF(H1075&lt;0,((0.25-(H1075*(-1)))*$L$7),IF(H1075&gt;0,(H1075*$N$7)+$L$6,0))</f>
        <v>0</v>
      </c>
      <c r="J1075" s="73" t="e">
        <f>VLOOKUP(C1075,'RAW DATA 2023'!E:AC,21,0)</f>
        <v>#N/A</v>
      </c>
      <c r="K1075" s="398" t="e">
        <f>I1075*J1075</f>
        <v>#N/A</v>
      </c>
    </row>
    <row r="1076" spans="1:11">
      <c r="A1076" s="63">
        <f>'RAW DATA 2023'!B1069</f>
        <v>0</v>
      </c>
      <c r="B1076" s="63">
        <f>'RAW DATA 2023'!D1069</f>
        <v>0</v>
      </c>
      <c r="C1076" s="63" t="str">
        <f>A1076&amp;B1076</f>
        <v>00</v>
      </c>
      <c r="D1076" s="63" t="e">
        <f>VLOOKUP(C1076,'RAW DATA 2023'!E:BP,63,0)</f>
        <v>#N/A</v>
      </c>
      <c r="E1076" s="63" t="e">
        <f>A1076&amp;D1076</f>
        <v>#N/A</v>
      </c>
      <c r="F1076" s="389" t="e">
        <f>VLOOKUP(C1076,'RAW DATA 2023'!E:BO,57,0)</f>
        <v>#N/A</v>
      </c>
      <c r="G1076" s="63" t="e">
        <f>VLOOKUP(C1076,'RAW DATA 2023'!E:BO,58,0)</f>
        <v>#N/A</v>
      </c>
      <c r="H1076" s="390">
        <f>IFERROR((G1076-F1076)/G1076,0)</f>
        <v>0</v>
      </c>
      <c r="I1076" s="398">
        <f>IF(H1076&lt;0,((0.25-(H1076*(-1)))*$L$7),IF(H1076&gt;0,(H1076*$N$7)+$L$6,0))</f>
        <v>0</v>
      </c>
      <c r="J1076" s="73" t="e">
        <f>VLOOKUP(C1076,'RAW DATA 2023'!E:AC,21,0)</f>
        <v>#N/A</v>
      </c>
      <c r="K1076" s="398" t="e">
        <f>I1076*J1076</f>
        <v>#N/A</v>
      </c>
    </row>
    <row r="1077" spans="1:11">
      <c r="A1077" s="63">
        <f>'RAW DATA 2023'!B1070</f>
        <v>0</v>
      </c>
      <c r="B1077" s="63">
        <f>'RAW DATA 2023'!D1070</f>
        <v>0</v>
      </c>
      <c r="C1077" s="63" t="str">
        <f>A1077&amp;B1077</f>
        <v>00</v>
      </c>
      <c r="D1077" s="63" t="e">
        <f>VLOOKUP(C1077,'RAW DATA 2023'!E:BP,63,0)</f>
        <v>#N/A</v>
      </c>
      <c r="E1077" s="63" t="e">
        <f>A1077&amp;D1077</f>
        <v>#N/A</v>
      </c>
      <c r="F1077" s="389" t="e">
        <f>VLOOKUP(C1077,'RAW DATA 2023'!E:BO,57,0)</f>
        <v>#N/A</v>
      </c>
      <c r="G1077" s="63" t="e">
        <f>VLOOKUP(C1077,'RAW DATA 2023'!E:BO,58,0)</f>
        <v>#N/A</v>
      </c>
      <c r="H1077" s="390">
        <f>IFERROR((G1077-F1077)/G1077,0)</f>
        <v>0</v>
      </c>
      <c r="I1077" s="398">
        <f>IF(H1077&lt;0,((0.25-(H1077*(-1)))*$L$7),IF(H1077&gt;0,(H1077*$N$7)+$L$6,0))</f>
        <v>0</v>
      </c>
      <c r="J1077" s="73" t="e">
        <f>VLOOKUP(C1077,'RAW DATA 2023'!E:AC,21,0)</f>
        <v>#N/A</v>
      </c>
      <c r="K1077" s="398" t="e">
        <f>I1077*J1077</f>
        <v>#N/A</v>
      </c>
    </row>
    <row r="1078" spans="1:11">
      <c r="A1078" s="63">
        <f>'RAW DATA 2023'!B1071</f>
        <v>0</v>
      </c>
      <c r="B1078" s="63">
        <f>'RAW DATA 2023'!D1071</f>
        <v>0</v>
      </c>
      <c r="C1078" s="63" t="str">
        <f>A1078&amp;B1078</f>
        <v>00</v>
      </c>
      <c r="D1078" s="63" t="e">
        <f>VLOOKUP(C1078,'RAW DATA 2023'!E:BP,63,0)</f>
        <v>#N/A</v>
      </c>
      <c r="E1078" s="63" t="e">
        <f>A1078&amp;D1078</f>
        <v>#N/A</v>
      </c>
      <c r="F1078" s="389" t="e">
        <f>VLOOKUP(C1078,'RAW DATA 2023'!E:BO,57,0)</f>
        <v>#N/A</v>
      </c>
      <c r="G1078" s="63" t="e">
        <f>VLOOKUP(C1078,'RAW DATA 2023'!E:BO,58,0)</f>
        <v>#N/A</v>
      </c>
      <c r="H1078" s="390">
        <f>IFERROR((G1078-F1078)/G1078,0)</f>
        <v>0</v>
      </c>
      <c r="I1078" s="398">
        <f>IF(H1078&lt;0,((0.25-(H1078*(-1)))*$L$7),IF(H1078&gt;0,(H1078*$N$7)+$L$6,0))</f>
        <v>0</v>
      </c>
      <c r="J1078" s="73" t="e">
        <f>VLOOKUP(C1078,'RAW DATA 2023'!E:AC,21,0)</f>
        <v>#N/A</v>
      </c>
      <c r="K1078" s="398" t="e">
        <f>I1078*J1078</f>
        <v>#N/A</v>
      </c>
    </row>
    <row r="1079" spans="1:11">
      <c r="A1079" s="63">
        <f>'RAW DATA 2023'!B1072</f>
        <v>0</v>
      </c>
      <c r="B1079" s="63">
        <f>'RAW DATA 2023'!D1072</f>
        <v>0</v>
      </c>
      <c r="C1079" s="63" t="str">
        <f>A1079&amp;B1079</f>
        <v>00</v>
      </c>
      <c r="D1079" s="63" t="e">
        <f>VLOOKUP(C1079,'RAW DATA 2023'!E:BP,63,0)</f>
        <v>#N/A</v>
      </c>
      <c r="E1079" s="63" t="e">
        <f>A1079&amp;D1079</f>
        <v>#N/A</v>
      </c>
      <c r="F1079" s="389" t="e">
        <f>VLOOKUP(C1079,'RAW DATA 2023'!E:BO,57,0)</f>
        <v>#N/A</v>
      </c>
      <c r="G1079" s="63" t="e">
        <f>VLOOKUP(C1079,'RAW DATA 2023'!E:BO,58,0)</f>
        <v>#N/A</v>
      </c>
      <c r="H1079" s="390">
        <f>IFERROR((G1079-F1079)/G1079,0)</f>
        <v>0</v>
      </c>
      <c r="I1079" s="398">
        <f>IF(H1079&lt;0,((0.25-(H1079*(-1)))*$L$7),IF(H1079&gt;0,(H1079*$N$7)+$L$6,0))</f>
        <v>0</v>
      </c>
      <c r="J1079" s="73" t="e">
        <f>VLOOKUP(C1079,'RAW DATA 2023'!E:AC,21,0)</f>
        <v>#N/A</v>
      </c>
      <c r="K1079" s="398" t="e">
        <f>I1079*J1079</f>
        <v>#N/A</v>
      </c>
    </row>
    <row r="1080" spans="1:11">
      <c r="A1080" s="63">
        <f>'RAW DATA 2023'!B1073</f>
        <v>0</v>
      </c>
      <c r="B1080" s="63">
        <f>'RAW DATA 2023'!D1073</f>
        <v>0</v>
      </c>
      <c r="C1080" s="63" t="str">
        <f>A1080&amp;B1080</f>
        <v>00</v>
      </c>
      <c r="D1080" s="63" t="e">
        <f>VLOOKUP(C1080,'RAW DATA 2023'!E:BP,63,0)</f>
        <v>#N/A</v>
      </c>
      <c r="E1080" s="63" t="e">
        <f>A1080&amp;D1080</f>
        <v>#N/A</v>
      </c>
      <c r="F1080" s="389" t="e">
        <f>VLOOKUP(C1080,'RAW DATA 2023'!E:BO,57,0)</f>
        <v>#N/A</v>
      </c>
      <c r="G1080" s="63" t="e">
        <f>VLOOKUP(C1080,'RAW DATA 2023'!E:BO,58,0)</f>
        <v>#N/A</v>
      </c>
      <c r="H1080" s="390">
        <f>IFERROR((G1080-F1080)/G1080,0)</f>
        <v>0</v>
      </c>
      <c r="I1080" s="398">
        <f>IF(H1080&lt;0,((0.25-(H1080*(-1)))*$L$7),IF(H1080&gt;0,(H1080*$N$7)+$L$6,0))</f>
        <v>0</v>
      </c>
      <c r="J1080" s="73" t="e">
        <f>VLOOKUP(C1080,'RAW DATA 2023'!E:AC,21,0)</f>
        <v>#N/A</v>
      </c>
      <c r="K1080" s="398" t="e">
        <f>I1080*J1080</f>
        <v>#N/A</v>
      </c>
    </row>
    <row r="1081" spans="1:11">
      <c r="A1081" s="63">
        <f>'RAW DATA 2023'!B1074</f>
        <v>0</v>
      </c>
      <c r="B1081" s="63">
        <f>'RAW DATA 2023'!D1074</f>
        <v>0</v>
      </c>
      <c r="C1081" s="63" t="str">
        <f>A1081&amp;B1081</f>
        <v>00</v>
      </c>
      <c r="D1081" s="63" t="e">
        <f>VLOOKUP(C1081,'RAW DATA 2023'!E:BP,63,0)</f>
        <v>#N/A</v>
      </c>
      <c r="E1081" s="63" t="e">
        <f>A1081&amp;D1081</f>
        <v>#N/A</v>
      </c>
      <c r="F1081" s="389" t="e">
        <f>VLOOKUP(C1081,'RAW DATA 2023'!E:BO,57,0)</f>
        <v>#N/A</v>
      </c>
      <c r="G1081" s="63" t="e">
        <f>VLOOKUP(C1081,'RAW DATA 2023'!E:BO,58,0)</f>
        <v>#N/A</v>
      </c>
      <c r="H1081" s="390">
        <f>IFERROR((G1081-F1081)/G1081,0)</f>
        <v>0</v>
      </c>
      <c r="I1081" s="398">
        <f>IF(H1081&lt;0,((0.25-(H1081*(-1)))*$L$7),IF(H1081&gt;0,(H1081*$N$7)+$L$6,0))</f>
        <v>0</v>
      </c>
      <c r="J1081" s="73" t="e">
        <f>VLOOKUP(C1081,'RAW DATA 2023'!E:AC,21,0)</f>
        <v>#N/A</v>
      </c>
      <c r="K1081" s="398" t="e">
        <f>I1081*J1081</f>
        <v>#N/A</v>
      </c>
    </row>
    <row r="1082" spans="1:11">
      <c r="A1082" s="63">
        <f>'RAW DATA 2023'!B1075</f>
        <v>0</v>
      </c>
      <c r="B1082" s="63">
        <f>'RAW DATA 2023'!D1075</f>
        <v>0</v>
      </c>
      <c r="C1082" s="63" t="str">
        <f>A1082&amp;B1082</f>
        <v>00</v>
      </c>
      <c r="D1082" s="63" t="e">
        <f>VLOOKUP(C1082,'RAW DATA 2023'!E:BP,63,0)</f>
        <v>#N/A</v>
      </c>
      <c r="E1082" s="63" t="e">
        <f>A1082&amp;D1082</f>
        <v>#N/A</v>
      </c>
      <c r="F1082" s="389" t="e">
        <f>VLOOKUP(C1082,'RAW DATA 2023'!E:BO,57,0)</f>
        <v>#N/A</v>
      </c>
      <c r="G1082" s="63" t="e">
        <f>VLOOKUP(C1082,'RAW DATA 2023'!E:BO,58,0)</f>
        <v>#N/A</v>
      </c>
      <c r="H1082" s="390">
        <f>IFERROR((G1082-F1082)/G1082,0)</f>
        <v>0</v>
      </c>
      <c r="I1082" s="398">
        <f>IF(H1082&lt;0,((0.25-(H1082*(-1)))*$L$7),IF(H1082&gt;0,(H1082*$N$7)+$L$6,0))</f>
        <v>0</v>
      </c>
      <c r="J1082" s="73" t="e">
        <f>VLOOKUP(C1082,'RAW DATA 2023'!E:AC,21,0)</f>
        <v>#N/A</v>
      </c>
      <c r="K1082" s="398" t="e">
        <f>I1082*J1082</f>
        <v>#N/A</v>
      </c>
    </row>
    <row r="1083" spans="1:11">
      <c r="A1083" s="63">
        <f>'RAW DATA 2023'!B1076</f>
        <v>0</v>
      </c>
      <c r="B1083" s="63">
        <f>'RAW DATA 2023'!D1076</f>
        <v>0</v>
      </c>
      <c r="C1083" s="63" t="str">
        <f>A1083&amp;B1083</f>
        <v>00</v>
      </c>
      <c r="D1083" s="63" t="e">
        <f>VLOOKUP(C1083,'RAW DATA 2023'!E:BP,63,0)</f>
        <v>#N/A</v>
      </c>
      <c r="E1083" s="63" t="e">
        <f>A1083&amp;D1083</f>
        <v>#N/A</v>
      </c>
      <c r="F1083" s="389" t="e">
        <f>VLOOKUP(C1083,'RAW DATA 2023'!E:BO,57,0)</f>
        <v>#N/A</v>
      </c>
      <c r="G1083" s="63" t="e">
        <f>VLOOKUP(C1083,'RAW DATA 2023'!E:BO,58,0)</f>
        <v>#N/A</v>
      </c>
      <c r="H1083" s="390">
        <f>IFERROR((G1083-F1083)/G1083,0)</f>
        <v>0</v>
      </c>
      <c r="I1083" s="398">
        <f>IF(H1083&lt;0,((0.25-(H1083*(-1)))*$L$7),IF(H1083&gt;0,(H1083*$N$7)+$L$6,0))</f>
        <v>0</v>
      </c>
      <c r="J1083" s="73" t="e">
        <f>VLOOKUP(C1083,'RAW DATA 2023'!E:AC,21,0)</f>
        <v>#N/A</v>
      </c>
      <c r="K1083" s="398" t="e">
        <f>I1083*J1083</f>
        <v>#N/A</v>
      </c>
    </row>
    <row r="1084" spans="1:11">
      <c r="A1084" s="63">
        <f>'RAW DATA 2023'!B1077</f>
        <v>0</v>
      </c>
      <c r="B1084" s="63">
        <f>'RAW DATA 2023'!D1077</f>
        <v>0</v>
      </c>
      <c r="C1084" s="63" t="str">
        <f>A1084&amp;B1084</f>
        <v>00</v>
      </c>
      <c r="D1084" s="63" t="e">
        <f>VLOOKUP(C1084,'RAW DATA 2023'!E:BP,63,0)</f>
        <v>#N/A</v>
      </c>
      <c r="E1084" s="63" t="e">
        <f>A1084&amp;D1084</f>
        <v>#N/A</v>
      </c>
      <c r="F1084" s="389" t="e">
        <f>VLOOKUP(C1084,'RAW DATA 2023'!E:BO,57,0)</f>
        <v>#N/A</v>
      </c>
      <c r="G1084" s="63" t="e">
        <f>VLOOKUP(C1084,'RAW DATA 2023'!E:BO,58,0)</f>
        <v>#N/A</v>
      </c>
      <c r="H1084" s="390">
        <f>IFERROR((G1084-F1084)/G1084,0)</f>
        <v>0</v>
      </c>
      <c r="I1084" s="398">
        <f>IF(H1084&lt;0,((0.25-(H1084*(-1)))*$L$7),IF(H1084&gt;0,(H1084*$N$7)+$L$6,0))</f>
        <v>0</v>
      </c>
      <c r="J1084" s="73" t="e">
        <f>VLOOKUP(C1084,'RAW DATA 2023'!E:AC,21,0)</f>
        <v>#N/A</v>
      </c>
      <c r="K1084" s="398" t="e">
        <f>I1084*J1084</f>
        <v>#N/A</v>
      </c>
    </row>
    <row r="1085" spans="1:11">
      <c r="A1085" s="63">
        <f>'RAW DATA 2023'!B1078</f>
        <v>0</v>
      </c>
      <c r="B1085" s="63">
        <f>'RAW DATA 2023'!D1078</f>
        <v>0</v>
      </c>
      <c r="C1085" s="63" t="str">
        <f>A1085&amp;B1085</f>
        <v>00</v>
      </c>
      <c r="D1085" s="63" t="e">
        <f>VLOOKUP(C1085,'RAW DATA 2023'!E:BP,63,0)</f>
        <v>#N/A</v>
      </c>
      <c r="E1085" s="63" t="e">
        <f>A1085&amp;D1085</f>
        <v>#N/A</v>
      </c>
      <c r="F1085" s="389" t="e">
        <f>VLOOKUP(C1085,'RAW DATA 2023'!E:BO,57,0)</f>
        <v>#N/A</v>
      </c>
      <c r="G1085" s="63" t="e">
        <f>VLOOKUP(C1085,'RAW DATA 2023'!E:BO,58,0)</f>
        <v>#N/A</v>
      </c>
      <c r="H1085" s="390">
        <f>IFERROR((G1085-F1085)/G1085,0)</f>
        <v>0</v>
      </c>
      <c r="I1085" s="398">
        <f>IF(H1085&lt;0,((0.25-(H1085*(-1)))*$L$7),IF(H1085&gt;0,(H1085*$N$7)+$L$6,0))</f>
        <v>0</v>
      </c>
      <c r="J1085" s="73" t="e">
        <f>VLOOKUP(C1085,'RAW DATA 2023'!E:AC,21,0)</f>
        <v>#N/A</v>
      </c>
      <c r="K1085" s="398" t="e">
        <f>I1085*J1085</f>
        <v>#N/A</v>
      </c>
    </row>
    <row r="1086" spans="1:11">
      <c r="A1086" s="63">
        <f>'RAW DATA 2023'!B1079</f>
        <v>0</v>
      </c>
      <c r="B1086" s="63">
        <f>'RAW DATA 2023'!D1079</f>
        <v>0</v>
      </c>
      <c r="C1086" s="63" t="str">
        <f>A1086&amp;B1086</f>
        <v>00</v>
      </c>
      <c r="D1086" s="63" t="e">
        <f>VLOOKUP(C1086,'RAW DATA 2023'!E:BP,63,0)</f>
        <v>#N/A</v>
      </c>
      <c r="E1086" s="63" t="e">
        <f>A1086&amp;D1086</f>
        <v>#N/A</v>
      </c>
      <c r="F1086" s="389" t="e">
        <f>VLOOKUP(C1086,'RAW DATA 2023'!E:BO,57,0)</f>
        <v>#N/A</v>
      </c>
      <c r="G1086" s="63" t="e">
        <f>VLOOKUP(C1086,'RAW DATA 2023'!E:BO,58,0)</f>
        <v>#N/A</v>
      </c>
      <c r="H1086" s="390">
        <f>IFERROR((G1086-F1086)/G1086,0)</f>
        <v>0</v>
      </c>
      <c r="I1086" s="398">
        <f>IF(H1086&lt;0,((0.25-(H1086*(-1)))*$L$7),IF(H1086&gt;0,(H1086*$N$7)+$L$6,0))</f>
        <v>0</v>
      </c>
      <c r="J1086" s="73" t="e">
        <f>VLOOKUP(C1086,'RAW DATA 2023'!E:AC,21,0)</f>
        <v>#N/A</v>
      </c>
      <c r="K1086" s="398" t="e">
        <f>I1086*J1086</f>
        <v>#N/A</v>
      </c>
    </row>
    <row r="1087" spans="1:11">
      <c r="A1087" s="63">
        <f>'RAW DATA 2023'!B1080</f>
        <v>0</v>
      </c>
      <c r="B1087" s="63">
        <f>'RAW DATA 2023'!D1080</f>
        <v>0</v>
      </c>
      <c r="C1087" s="63" t="str">
        <f>A1087&amp;B1087</f>
        <v>00</v>
      </c>
      <c r="D1087" s="63" t="e">
        <f>VLOOKUP(C1087,'RAW DATA 2023'!E:BP,63,0)</f>
        <v>#N/A</v>
      </c>
      <c r="E1087" s="63" t="e">
        <f>A1087&amp;D1087</f>
        <v>#N/A</v>
      </c>
      <c r="F1087" s="389" t="e">
        <f>VLOOKUP(C1087,'RAW DATA 2023'!E:BO,57,0)</f>
        <v>#N/A</v>
      </c>
      <c r="G1087" s="63" t="e">
        <f>VLOOKUP(C1087,'RAW DATA 2023'!E:BO,58,0)</f>
        <v>#N/A</v>
      </c>
      <c r="H1087" s="390">
        <f>IFERROR((G1087-F1087)/G1087,0)</f>
        <v>0</v>
      </c>
      <c r="I1087" s="398">
        <f>IF(H1087&lt;0,((0.25-(H1087*(-1)))*$L$7),IF(H1087&gt;0,(H1087*$N$7)+$L$6,0))</f>
        <v>0</v>
      </c>
      <c r="J1087" s="73" t="e">
        <f>VLOOKUP(C1087,'RAW DATA 2023'!E:AC,21,0)</f>
        <v>#N/A</v>
      </c>
      <c r="K1087" s="398" t="e">
        <f>I1087*J1087</f>
        <v>#N/A</v>
      </c>
    </row>
    <row r="1088" spans="1:11">
      <c r="A1088" s="63">
        <f>'RAW DATA 2023'!B1081</f>
        <v>0</v>
      </c>
      <c r="B1088" s="63">
        <f>'RAW DATA 2023'!D1081</f>
        <v>0</v>
      </c>
      <c r="C1088" s="63" t="str">
        <f>A1088&amp;B1088</f>
        <v>00</v>
      </c>
      <c r="D1088" s="63" t="e">
        <f>VLOOKUP(C1088,'RAW DATA 2023'!E:BP,63,0)</f>
        <v>#N/A</v>
      </c>
      <c r="E1088" s="63" t="e">
        <f>A1088&amp;D1088</f>
        <v>#N/A</v>
      </c>
      <c r="F1088" s="389" t="e">
        <f>VLOOKUP(C1088,'RAW DATA 2023'!E:BO,57,0)</f>
        <v>#N/A</v>
      </c>
      <c r="G1088" s="63" t="e">
        <f>VLOOKUP(C1088,'RAW DATA 2023'!E:BO,58,0)</f>
        <v>#N/A</v>
      </c>
      <c r="H1088" s="390">
        <f>IFERROR((G1088-F1088)/G1088,0)</f>
        <v>0</v>
      </c>
      <c r="I1088" s="398">
        <f>IF(H1088&lt;0,((0.25-(H1088*(-1)))*$L$7),IF(H1088&gt;0,(H1088*$N$7)+$L$6,0))</f>
        <v>0</v>
      </c>
      <c r="J1088" s="73" t="e">
        <f>VLOOKUP(C1088,'RAW DATA 2023'!E:AC,21,0)</f>
        <v>#N/A</v>
      </c>
      <c r="K1088" s="398" t="e">
        <f>I1088*J1088</f>
        <v>#N/A</v>
      </c>
    </row>
    <row r="1089" spans="1:11">
      <c r="A1089" s="63">
        <f>'RAW DATA 2023'!B1082</f>
        <v>0</v>
      </c>
      <c r="B1089" s="63">
        <f>'RAW DATA 2023'!D1082</f>
        <v>0</v>
      </c>
      <c r="C1089" s="63" t="str">
        <f>A1089&amp;B1089</f>
        <v>00</v>
      </c>
      <c r="D1089" s="63" t="e">
        <f>VLOOKUP(C1089,'RAW DATA 2023'!E:BP,63,0)</f>
        <v>#N/A</v>
      </c>
      <c r="E1089" s="63" t="e">
        <f>A1089&amp;D1089</f>
        <v>#N/A</v>
      </c>
      <c r="F1089" s="389" t="e">
        <f>VLOOKUP(C1089,'RAW DATA 2023'!E:BO,57,0)</f>
        <v>#N/A</v>
      </c>
      <c r="G1089" s="63" t="e">
        <f>VLOOKUP(C1089,'RAW DATA 2023'!E:BO,58,0)</f>
        <v>#N/A</v>
      </c>
      <c r="H1089" s="390">
        <f>IFERROR((G1089-F1089)/G1089,0)</f>
        <v>0</v>
      </c>
      <c r="I1089" s="398">
        <f>IF(H1089&lt;0,((0.25-(H1089*(-1)))*$L$7),IF(H1089&gt;0,(H1089*$N$7)+$L$6,0))</f>
        <v>0</v>
      </c>
      <c r="J1089" s="73" t="e">
        <f>VLOOKUP(C1089,'RAW DATA 2023'!E:AC,21,0)</f>
        <v>#N/A</v>
      </c>
      <c r="K1089" s="398" t="e">
        <f>I1089*J1089</f>
        <v>#N/A</v>
      </c>
    </row>
    <row r="1090" spans="1:11">
      <c r="A1090" s="63">
        <f>'RAW DATA 2023'!B1083</f>
        <v>0</v>
      </c>
      <c r="B1090" s="63">
        <f>'RAW DATA 2023'!D1083</f>
        <v>0</v>
      </c>
      <c r="C1090" s="63" t="str">
        <f>A1090&amp;B1090</f>
        <v>00</v>
      </c>
      <c r="D1090" s="63" t="e">
        <f>VLOOKUP(C1090,'RAW DATA 2023'!E:BP,63,0)</f>
        <v>#N/A</v>
      </c>
      <c r="E1090" s="63" t="e">
        <f>A1090&amp;D1090</f>
        <v>#N/A</v>
      </c>
      <c r="F1090" s="389" t="e">
        <f>VLOOKUP(C1090,'RAW DATA 2023'!E:BO,57,0)</f>
        <v>#N/A</v>
      </c>
      <c r="G1090" s="63" t="e">
        <f>VLOOKUP(C1090,'RAW DATA 2023'!E:BO,58,0)</f>
        <v>#N/A</v>
      </c>
      <c r="H1090" s="390">
        <f>IFERROR((G1090-F1090)/G1090,0)</f>
        <v>0</v>
      </c>
      <c r="I1090" s="398">
        <f>IF(H1090&lt;0,((0.25-(H1090*(-1)))*$L$7),IF(H1090&gt;0,(H1090*$N$7)+$L$6,0))</f>
        <v>0</v>
      </c>
      <c r="J1090" s="73" t="e">
        <f>VLOOKUP(C1090,'RAW DATA 2023'!E:AC,21,0)</f>
        <v>#N/A</v>
      </c>
      <c r="K1090" s="398" t="e">
        <f>I1090*J1090</f>
        <v>#N/A</v>
      </c>
    </row>
    <row r="1091" spans="1:11">
      <c r="A1091" s="63">
        <f>'RAW DATA 2023'!B1084</f>
        <v>0</v>
      </c>
      <c r="B1091" s="63">
        <f>'RAW DATA 2023'!D1084</f>
        <v>0</v>
      </c>
      <c r="C1091" s="63" t="str">
        <f>A1091&amp;B1091</f>
        <v>00</v>
      </c>
      <c r="D1091" s="63" t="e">
        <f>VLOOKUP(C1091,'RAW DATA 2023'!E:BP,63,0)</f>
        <v>#N/A</v>
      </c>
      <c r="E1091" s="63" t="e">
        <f>A1091&amp;D1091</f>
        <v>#N/A</v>
      </c>
      <c r="F1091" s="389" t="e">
        <f>VLOOKUP(C1091,'RAW DATA 2023'!E:BO,57,0)</f>
        <v>#N/A</v>
      </c>
      <c r="G1091" s="63" t="e">
        <f>VLOOKUP(C1091,'RAW DATA 2023'!E:BO,58,0)</f>
        <v>#N/A</v>
      </c>
      <c r="H1091" s="390">
        <f>IFERROR((G1091-F1091)/G1091,0)</f>
        <v>0</v>
      </c>
      <c r="I1091" s="398">
        <f>IF(H1091&lt;0,((0.25-(H1091*(-1)))*$L$7),IF(H1091&gt;0,(H1091*$N$7)+$L$6,0))</f>
        <v>0</v>
      </c>
      <c r="J1091" s="73" t="e">
        <f>VLOOKUP(C1091,'RAW DATA 2023'!E:AC,21,0)</f>
        <v>#N/A</v>
      </c>
      <c r="K1091" s="398" t="e">
        <f>I1091*J1091</f>
        <v>#N/A</v>
      </c>
    </row>
    <row r="1092" spans="1:11">
      <c r="A1092" s="63">
        <f>'RAW DATA 2023'!B1085</f>
        <v>0</v>
      </c>
      <c r="B1092" s="63">
        <f>'RAW DATA 2023'!D1085</f>
        <v>0</v>
      </c>
      <c r="C1092" s="63" t="str">
        <f>A1092&amp;B1092</f>
        <v>00</v>
      </c>
      <c r="D1092" s="63" t="e">
        <f>VLOOKUP(C1092,'RAW DATA 2023'!E:BP,63,0)</f>
        <v>#N/A</v>
      </c>
      <c r="E1092" s="63" t="e">
        <f>A1092&amp;D1092</f>
        <v>#N/A</v>
      </c>
      <c r="F1092" s="389" t="e">
        <f>VLOOKUP(C1092,'RAW DATA 2023'!E:BO,57,0)</f>
        <v>#N/A</v>
      </c>
      <c r="G1092" s="63" t="e">
        <f>VLOOKUP(C1092,'RAW DATA 2023'!E:BO,58,0)</f>
        <v>#N/A</v>
      </c>
      <c r="H1092" s="390">
        <f>IFERROR((G1092-F1092)/G1092,0)</f>
        <v>0</v>
      </c>
      <c r="I1092" s="398">
        <f>IF(H1092&lt;0,((0.25-(H1092*(-1)))*$L$7),IF(H1092&gt;0,(H1092*$N$7)+$L$6,0))</f>
        <v>0</v>
      </c>
      <c r="J1092" s="73" t="e">
        <f>VLOOKUP(C1092,'RAW DATA 2023'!E:AC,21,0)</f>
        <v>#N/A</v>
      </c>
      <c r="K1092" s="398" t="e">
        <f>I1092*J1092</f>
        <v>#N/A</v>
      </c>
    </row>
    <row r="1093" spans="1:11">
      <c r="A1093" s="63">
        <f>'RAW DATA 2023'!B1086</f>
        <v>0</v>
      </c>
      <c r="B1093" s="63">
        <f>'RAW DATA 2023'!D1086</f>
        <v>0</v>
      </c>
      <c r="C1093" s="63" t="str">
        <f>A1093&amp;B1093</f>
        <v>00</v>
      </c>
      <c r="D1093" s="63" t="e">
        <f>VLOOKUP(C1093,'RAW DATA 2023'!E:BP,63,0)</f>
        <v>#N/A</v>
      </c>
      <c r="E1093" s="63" t="e">
        <f>A1093&amp;D1093</f>
        <v>#N/A</v>
      </c>
      <c r="F1093" s="389" t="e">
        <f>VLOOKUP(C1093,'RAW DATA 2023'!E:BO,57,0)</f>
        <v>#N/A</v>
      </c>
      <c r="G1093" s="63" t="e">
        <f>VLOOKUP(C1093,'RAW DATA 2023'!E:BO,58,0)</f>
        <v>#N/A</v>
      </c>
      <c r="H1093" s="390">
        <f>IFERROR((G1093-F1093)/G1093,0)</f>
        <v>0</v>
      </c>
      <c r="I1093" s="398">
        <f>IF(H1093&lt;0,((0.25-(H1093*(-1)))*$L$7),IF(H1093&gt;0,(H1093*$N$7)+$L$6,0))</f>
        <v>0</v>
      </c>
      <c r="J1093" s="73" t="e">
        <f>VLOOKUP(C1093,'RAW DATA 2023'!E:AC,21,0)</f>
        <v>#N/A</v>
      </c>
      <c r="K1093" s="398" t="e">
        <f>I1093*J1093</f>
        <v>#N/A</v>
      </c>
    </row>
    <row r="1094" spans="1:11">
      <c r="A1094" s="63">
        <f>'RAW DATA 2023'!B1087</f>
        <v>0</v>
      </c>
      <c r="B1094" s="63">
        <f>'RAW DATA 2023'!D1087</f>
        <v>0</v>
      </c>
      <c r="C1094" s="63" t="str">
        <f>A1094&amp;B1094</f>
        <v>00</v>
      </c>
      <c r="D1094" s="63" t="e">
        <f>VLOOKUP(C1094,'RAW DATA 2023'!E:BP,63,0)</f>
        <v>#N/A</v>
      </c>
      <c r="E1094" s="63" t="e">
        <f>A1094&amp;D1094</f>
        <v>#N/A</v>
      </c>
      <c r="F1094" s="389" t="e">
        <f>VLOOKUP(C1094,'RAW DATA 2023'!E:BO,57,0)</f>
        <v>#N/A</v>
      </c>
      <c r="G1094" s="63" t="e">
        <f>VLOOKUP(C1094,'RAW DATA 2023'!E:BO,58,0)</f>
        <v>#N/A</v>
      </c>
      <c r="H1094" s="390">
        <f>IFERROR((G1094-F1094)/G1094,0)</f>
        <v>0</v>
      </c>
      <c r="I1094" s="398">
        <f>IF(H1094&lt;0,((0.25-(H1094*(-1)))*$L$7),IF(H1094&gt;0,(H1094*$N$7)+$L$6,0))</f>
        <v>0</v>
      </c>
      <c r="J1094" s="73" t="e">
        <f>VLOOKUP(C1094,'RAW DATA 2023'!E:AC,21,0)</f>
        <v>#N/A</v>
      </c>
      <c r="K1094" s="398" t="e">
        <f>I1094*J1094</f>
        <v>#N/A</v>
      </c>
    </row>
    <row r="1095" spans="1:11">
      <c r="A1095" s="63">
        <f>'RAW DATA 2023'!B1088</f>
        <v>0</v>
      </c>
      <c r="B1095" s="63">
        <f>'RAW DATA 2023'!D1088</f>
        <v>0</v>
      </c>
      <c r="C1095" s="63" t="str">
        <f>A1095&amp;B1095</f>
        <v>00</v>
      </c>
      <c r="D1095" s="63" t="e">
        <f>VLOOKUP(C1095,'RAW DATA 2023'!E:BP,63,0)</f>
        <v>#N/A</v>
      </c>
      <c r="E1095" s="63" t="e">
        <f>A1095&amp;D1095</f>
        <v>#N/A</v>
      </c>
      <c r="F1095" s="389" t="e">
        <f>VLOOKUP(C1095,'RAW DATA 2023'!E:BO,57,0)</f>
        <v>#N/A</v>
      </c>
      <c r="G1095" s="63" t="e">
        <f>VLOOKUP(C1095,'RAW DATA 2023'!E:BO,58,0)</f>
        <v>#N/A</v>
      </c>
      <c r="H1095" s="390">
        <f>IFERROR((G1095-F1095)/G1095,0)</f>
        <v>0</v>
      </c>
      <c r="I1095" s="398">
        <f>IF(H1095&lt;0,((0.25-(H1095*(-1)))*$L$7),IF(H1095&gt;0,(H1095*$N$7)+$L$6,0))</f>
        <v>0</v>
      </c>
      <c r="J1095" s="73" t="e">
        <f>VLOOKUP(C1095,'RAW DATA 2023'!E:AC,21,0)</f>
        <v>#N/A</v>
      </c>
      <c r="K1095" s="398" t="e">
        <f>I1095*J1095</f>
        <v>#N/A</v>
      </c>
    </row>
    <row r="1096" spans="1:11">
      <c r="A1096" s="63">
        <f>'RAW DATA 2023'!B1089</f>
        <v>0</v>
      </c>
      <c r="B1096" s="63">
        <f>'RAW DATA 2023'!D1089</f>
        <v>0</v>
      </c>
      <c r="C1096" s="63" t="str">
        <f>A1096&amp;B1096</f>
        <v>00</v>
      </c>
      <c r="D1096" s="63" t="e">
        <f>VLOOKUP(C1096,'RAW DATA 2023'!E:BP,63,0)</f>
        <v>#N/A</v>
      </c>
      <c r="E1096" s="63" t="e">
        <f>A1096&amp;D1096</f>
        <v>#N/A</v>
      </c>
      <c r="F1096" s="389" t="e">
        <f>VLOOKUP(C1096,'RAW DATA 2023'!E:BO,57,0)</f>
        <v>#N/A</v>
      </c>
      <c r="G1096" s="63" t="e">
        <f>VLOOKUP(C1096,'RAW DATA 2023'!E:BO,58,0)</f>
        <v>#N/A</v>
      </c>
      <c r="H1096" s="390">
        <f>IFERROR((G1096-F1096)/G1096,0)</f>
        <v>0</v>
      </c>
      <c r="I1096" s="398">
        <f>IF(H1096&lt;0,((0.25-(H1096*(-1)))*$L$7),IF(H1096&gt;0,(H1096*$N$7)+$L$6,0))</f>
        <v>0</v>
      </c>
      <c r="J1096" s="73" t="e">
        <f>VLOOKUP(C1096,'RAW DATA 2023'!E:AC,21,0)</f>
        <v>#N/A</v>
      </c>
      <c r="K1096" s="398" t="e">
        <f>I1096*J1096</f>
        <v>#N/A</v>
      </c>
    </row>
    <row r="1097" spans="1:11">
      <c r="A1097" s="63">
        <f>'RAW DATA 2023'!B1090</f>
        <v>0</v>
      </c>
      <c r="B1097" s="63">
        <f>'RAW DATA 2023'!D1090</f>
        <v>0</v>
      </c>
      <c r="C1097" s="63" t="str">
        <f>A1097&amp;B1097</f>
        <v>00</v>
      </c>
      <c r="D1097" s="63" t="e">
        <f>VLOOKUP(C1097,'RAW DATA 2023'!E:BP,63,0)</f>
        <v>#N/A</v>
      </c>
      <c r="E1097" s="63" t="e">
        <f>A1097&amp;D1097</f>
        <v>#N/A</v>
      </c>
      <c r="F1097" s="389" t="e">
        <f>VLOOKUP(C1097,'RAW DATA 2023'!E:BO,57,0)</f>
        <v>#N/A</v>
      </c>
      <c r="G1097" s="63" t="e">
        <f>VLOOKUP(C1097,'RAW DATA 2023'!E:BO,58,0)</f>
        <v>#N/A</v>
      </c>
      <c r="H1097" s="390">
        <f>IFERROR((G1097-F1097)/G1097,0)</f>
        <v>0</v>
      </c>
      <c r="I1097" s="398">
        <f>IF(H1097&lt;0,((0.25-(H1097*(-1)))*$L$7),IF(H1097&gt;0,(H1097*$N$7)+$L$6,0))</f>
        <v>0</v>
      </c>
      <c r="J1097" s="73" t="e">
        <f>VLOOKUP(C1097,'RAW DATA 2023'!E:AC,21,0)</f>
        <v>#N/A</v>
      </c>
      <c r="K1097" s="398" t="e">
        <f>I1097*J1097</f>
        <v>#N/A</v>
      </c>
    </row>
    <row r="1098" spans="1:11">
      <c r="A1098" s="63">
        <f>'RAW DATA 2023'!B1091</f>
        <v>0</v>
      </c>
      <c r="B1098" s="63">
        <f>'RAW DATA 2023'!D1091</f>
        <v>0</v>
      </c>
      <c r="C1098" s="63" t="str">
        <f>A1098&amp;B1098</f>
        <v>00</v>
      </c>
      <c r="D1098" s="63" t="e">
        <f>VLOOKUP(C1098,'RAW DATA 2023'!E:BP,63,0)</f>
        <v>#N/A</v>
      </c>
      <c r="E1098" s="63" t="e">
        <f>A1098&amp;D1098</f>
        <v>#N/A</v>
      </c>
      <c r="F1098" s="389" t="e">
        <f>VLOOKUP(C1098,'RAW DATA 2023'!E:BO,57,0)</f>
        <v>#N/A</v>
      </c>
      <c r="G1098" s="63" t="e">
        <f>VLOOKUP(C1098,'RAW DATA 2023'!E:BO,58,0)</f>
        <v>#N/A</v>
      </c>
      <c r="H1098" s="390">
        <f>IFERROR((G1098-F1098)/G1098,0)</f>
        <v>0</v>
      </c>
      <c r="I1098" s="398">
        <f>IF(H1098&lt;0,((0.25-(H1098*(-1)))*$L$7),IF(H1098&gt;0,(H1098*$N$7)+$L$6,0))</f>
        <v>0</v>
      </c>
      <c r="J1098" s="73" t="e">
        <f>VLOOKUP(C1098,'RAW DATA 2023'!E:AC,21,0)</f>
        <v>#N/A</v>
      </c>
      <c r="K1098" s="398" t="e">
        <f>I1098*J1098</f>
        <v>#N/A</v>
      </c>
    </row>
    <row r="1099" spans="1:11">
      <c r="A1099" s="63">
        <f>'RAW DATA 2023'!B1092</f>
        <v>0</v>
      </c>
      <c r="B1099" s="63">
        <f>'RAW DATA 2023'!D1092</f>
        <v>0</v>
      </c>
      <c r="C1099" s="63" t="str">
        <f>A1099&amp;B1099</f>
        <v>00</v>
      </c>
      <c r="D1099" s="63" t="e">
        <f>VLOOKUP(C1099,'RAW DATA 2023'!E:BP,63,0)</f>
        <v>#N/A</v>
      </c>
      <c r="E1099" s="63" t="e">
        <f>A1099&amp;D1099</f>
        <v>#N/A</v>
      </c>
      <c r="F1099" s="389" t="e">
        <f>VLOOKUP(C1099,'RAW DATA 2023'!E:BO,57,0)</f>
        <v>#N/A</v>
      </c>
      <c r="G1099" s="63" t="e">
        <f>VLOOKUP(C1099,'RAW DATA 2023'!E:BO,58,0)</f>
        <v>#N/A</v>
      </c>
      <c r="H1099" s="390">
        <f>IFERROR((G1099-F1099)/G1099,0)</f>
        <v>0</v>
      </c>
      <c r="I1099" s="398">
        <f>IF(H1099&lt;0,((0.25-(H1099*(-1)))*$L$7),IF(H1099&gt;0,(H1099*$N$7)+$L$6,0))</f>
        <v>0</v>
      </c>
      <c r="J1099" s="73" t="e">
        <f>VLOOKUP(C1099,'RAW DATA 2023'!E:AC,21,0)</f>
        <v>#N/A</v>
      </c>
      <c r="K1099" s="398" t="e">
        <f>I1099*J1099</f>
        <v>#N/A</v>
      </c>
    </row>
    <row r="1100" spans="1:11">
      <c r="A1100" s="63">
        <f>'RAW DATA 2023'!B1093</f>
        <v>0</v>
      </c>
      <c r="B1100" s="63">
        <f>'RAW DATA 2023'!D1093</f>
        <v>0</v>
      </c>
      <c r="C1100" s="63" t="str">
        <f>A1100&amp;B1100</f>
        <v>00</v>
      </c>
      <c r="D1100" s="63" t="e">
        <f>VLOOKUP(C1100,'RAW DATA 2023'!E:BP,63,0)</f>
        <v>#N/A</v>
      </c>
      <c r="E1100" s="63" t="e">
        <f>A1100&amp;D1100</f>
        <v>#N/A</v>
      </c>
      <c r="F1100" s="389" t="e">
        <f>VLOOKUP(C1100,'RAW DATA 2023'!E:BO,57,0)</f>
        <v>#N/A</v>
      </c>
      <c r="G1100" s="63" t="e">
        <f>VLOOKUP(C1100,'RAW DATA 2023'!E:BO,58,0)</f>
        <v>#N/A</v>
      </c>
      <c r="H1100" s="390">
        <f>IFERROR((G1100-F1100)/G1100,0)</f>
        <v>0</v>
      </c>
      <c r="I1100" s="398">
        <f>IF(H1100&lt;0,((0.25-(H1100*(-1)))*$L$7),IF(H1100&gt;0,(H1100*$N$7)+$L$6,0))</f>
        <v>0</v>
      </c>
      <c r="J1100" s="73" t="e">
        <f>VLOOKUP(C1100,'RAW DATA 2023'!E:AC,21,0)</f>
        <v>#N/A</v>
      </c>
      <c r="K1100" s="398" t="e">
        <f>I1100*J1100</f>
        <v>#N/A</v>
      </c>
    </row>
    <row r="1101" spans="1:11">
      <c r="A1101" s="63">
        <f>'RAW DATA 2023'!B1094</f>
        <v>0</v>
      </c>
      <c r="B1101" s="63">
        <f>'RAW DATA 2023'!D1094</f>
        <v>0</v>
      </c>
      <c r="C1101" s="63" t="str">
        <f>A1101&amp;B1101</f>
        <v>00</v>
      </c>
      <c r="D1101" s="63" t="e">
        <f>VLOOKUP(C1101,'RAW DATA 2023'!E:BP,63,0)</f>
        <v>#N/A</v>
      </c>
      <c r="E1101" s="63" t="e">
        <f>A1101&amp;D1101</f>
        <v>#N/A</v>
      </c>
      <c r="F1101" s="389" t="e">
        <f>VLOOKUP(C1101,'RAW DATA 2023'!E:BO,57,0)</f>
        <v>#N/A</v>
      </c>
      <c r="G1101" s="63" t="e">
        <f>VLOOKUP(C1101,'RAW DATA 2023'!E:BO,58,0)</f>
        <v>#N/A</v>
      </c>
      <c r="H1101" s="390">
        <f>IFERROR((G1101-F1101)/G1101,0)</f>
        <v>0</v>
      </c>
      <c r="I1101" s="398">
        <f>IF(H1101&lt;0,((0.25-(H1101*(-1)))*$L$7),IF(H1101&gt;0,(H1101*$N$7)+$L$6,0))</f>
        <v>0</v>
      </c>
      <c r="J1101" s="73" t="e">
        <f>VLOOKUP(C1101,'RAW DATA 2023'!E:AC,21,0)</f>
        <v>#N/A</v>
      </c>
      <c r="K1101" s="398" t="e">
        <f>I1101*J1101</f>
        <v>#N/A</v>
      </c>
    </row>
    <row r="1102" spans="1:11">
      <c r="A1102" s="63">
        <f>'RAW DATA 2023'!B1095</f>
        <v>0</v>
      </c>
      <c r="B1102" s="63">
        <f>'RAW DATA 2023'!D1095</f>
        <v>0</v>
      </c>
      <c r="C1102" s="63" t="str">
        <f>A1102&amp;B1102</f>
        <v>00</v>
      </c>
      <c r="D1102" s="63" t="e">
        <f>VLOOKUP(C1102,'RAW DATA 2023'!E:BP,63,0)</f>
        <v>#N/A</v>
      </c>
      <c r="E1102" s="63" t="e">
        <f>A1102&amp;D1102</f>
        <v>#N/A</v>
      </c>
      <c r="F1102" s="389" t="e">
        <f>VLOOKUP(C1102,'RAW DATA 2023'!E:BO,57,0)</f>
        <v>#N/A</v>
      </c>
      <c r="G1102" s="63" t="e">
        <f>VLOOKUP(C1102,'RAW DATA 2023'!E:BO,58,0)</f>
        <v>#N/A</v>
      </c>
      <c r="H1102" s="390">
        <f>IFERROR((G1102-F1102)/G1102,0)</f>
        <v>0</v>
      </c>
      <c r="I1102" s="398">
        <f>IF(H1102&lt;0,((0.25-(H1102*(-1)))*$L$7),IF(H1102&gt;0,(H1102*$N$7)+$L$6,0))</f>
        <v>0</v>
      </c>
      <c r="J1102" s="73" t="e">
        <f>VLOOKUP(C1102,'RAW DATA 2023'!E:AC,21,0)</f>
        <v>#N/A</v>
      </c>
      <c r="K1102" s="398" t="e">
        <f>I1102*J1102</f>
        <v>#N/A</v>
      </c>
    </row>
    <row r="1103" spans="1:11">
      <c r="A1103" s="63">
        <f>'RAW DATA 2023'!B1096</f>
        <v>0</v>
      </c>
      <c r="B1103" s="63">
        <f>'RAW DATA 2023'!D1096</f>
        <v>0</v>
      </c>
      <c r="C1103" s="63" t="str">
        <f>A1103&amp;B1103</f>
        <v>00</v>
      </c>
      <c r="D1103" s="63" t="e">
        <f>VLOOKUP(C1103,'RAW DATA 2023'!E:BP,63,0)</f>
        <v>#N/A</v>
      </c>
      <c r="E1103" s="63" t="e">
        <f>A1103&amp;D1103</f>
        <v>#N/A</v>
      </c>
      <c r="F1103" s="389" t="e">
        <f>VLOOKUP(C1103,'RAW DATA 2023'!E:BO,57,0)</f>
        <v>#N/A</v>
      </c>
      <c r="G1103" s="63" t="e">
        <f>VLOOKUP(C1103,'RAW DATA 2023'!E:BO,58,0)</f>
        <v>#N/A</v>
      </c>
      <c r="H1103" s="390">
        <f>IFERROR((G1103-F1103)/G1103,0)</f>
        <v>0</v>
      </c>
      <c r="I1103" s="398">
        <f>IF(H1103&lt;0,((0.25-(H1103*(-1)))*$L$7),IF(H1103&gt;0,(H1103*$N$7)+$L$6,0))</f>
        <v>0</v>
      </c>
      <c r="J1103" s="73" t="e">
        <f>VLOOKUP(C1103,'RAW DATA 2023'!E:AC,21,0)</f>
        <v>#N/A</v>
      </c>
      <c r="K1103" s="398" t="e">
        <f>I1103*J1103</f>
        <v>#N/A</v>
      </c>
    </row>
    <row r="1104" spans="1:11">
      <c r="A1104" s="63">
        <f>'RAW DATA 2023'!B1097</f>
        <v>0</v>
      </c>
      <c r="B1104" s="63">
        <f>'RAW DATA 2023'!D1097</f>
        <v>0</v>
      </c>
      <c r="C1104" s="63" t="str">
        <f>A1104&amp;B1104</f>
        <v>00</v>
      </c>
      <c r="D1104" s="63" t="e">
        <f>VLOOKUP(C1104,'RAW DATA 2023'!E:BP,63,0)</f>
        <v>#N/A</v>
      </c>
      <c r="E1104" s="63" t="e">
        <f>A1104&amp;D1104</f>
        <v>#N/A</v>
      </c>
      <c r="F1104" s="389" t="e">
        <f>VLOOKUP(C1104,'RAW DATA 2023'!E:BO,57,0)</f>
        <v>#N/A</v>
      </c>
      <c r="G1104" s="63" t="e">
        <f>VLOOKUP(C1104,'RAW DATA 2023'!E:BO,58,0)</f>
        <v>#N/A</v>
      </c>
      <c r="H1104" s="390">
        <f>IFERROR((G1104-F1104)/G1104,0)</f>
        <v>0</v>
      </c>
      <c r="I1104" s="398">
        <f>IF(H1104&lt;0,((0.25-(H1104*(-1)))*$L$7),IF(H1104&gt;0,(H1104*$N$7)+$L$6,0))</f>
        <v>0</v>
      </c>
      <c r="J1104" s="73" t="e">
        <f>VLOOKUP(C1104,'RAW DATA 2023'!E:AC,21,0)</f>
        <v>#N/A</v>
      </c>
      <c r="K1104" s="398" t="e">
        <f>I1104*J1104</f>
        <v>#N/A</v>
      </c>
    </row>
    <row r="1105" spans="1:11">
      <c r="A1105" s="63">
        <f>'RAW DATA 2023'!B1098</f>
        <v>0</v>
      </c>
      <c r="B1105" s="63">
        <f>'RAW DATA 2023'!D1098</f>
        <v>0</v>
      </c>
      <c r="C1105" s="63" t="str">
        <f>A1105&amp;B1105</f>
        <v>00</v>
      </c>
      <c r="D1105" s="63" t="e">
        <f>VLOOKUP(C1105,'RAW DATA 2023'!E:BP,63,0)</f>
        <v>#N/A</v>
      </c>
      <c r="E1105" s="63" t="e">
        <f>A1105&amp;D1105</f>
        <v>#N/A</v>
      </c>
      <c r="F1105" s="389" t="e">
        <f>VLOOKUP(C1105,'RAW DATA 2023'!E:BO,57,0)</f>
        <v>#N/A</v>
      </c>
      <c r="G1105" s="63" t="e">
        <f>VLOOKUP(C1105,'RAW DATA 2023'!E:BO,58,0)</f>
        <v>#N/A</v>
      </c>
      <c r="H1105" s="390">
        <f>IFERROR((G1105-F1105)/G1105,0)</f>
        <v>0</v>
      </c>
      <c r="I1105" s="398">
        <f>IF(H1105&lt;0,((0.25-(H1105*(-1)))*$L$7),IF(H1105&gt;0,(H1105*$N$7)+$L$6,0))</f>
        <v>0</v>
      </c>
      <c r="J1105" s="73" t="e">
        <f>VLOOKUP(C1105,'RAW DATA 2023'!E:AC,21,0)</f>
        <v>#N/A</v>
      </c>
      <c r="K1105" s="398" t="e">
        <f>I1105*J1105</f>
        <v>#N/A</v>
      </c>
    </row>
    <row r="1106" spans="1:11">
      <c r="A1106" s="63">
        <f>'RAW DATA 2023'!B1099</f>
        <v>0</v>
      </c>
      <c r="B1106" s="63">
        <f>'RAW DATA 2023'!D1099</f>
        <v>0</v>
      </c>
      <c r="C1106" s="63" t="str">
        <f>A1106&amp;B1106</f>
        <v>00</v>
      </c>
      <c r="D1106" s="63" t="e">
        <f>VLOOKUP(C1106,'RAW DATA 2023'!E:BP,63,0)</f>
        <v>#N/A</v>
      </c>
      <c r="E1106" s="63" t="e">
        <f>A1106&amp;D1106</f>
        <v>#N/A</v>
      </c>
      <c r="F1106" s="389" t="e">
        <f>VLOOKUP(C1106,'RAW DATA 2023'!E:BO,57,0)</f>
        <v>#N/A</v>
      </c>
      <c r="G1106" s="63" t="e">
        <f>VLOOKUP(C1106,'RAW DATA 2023'!E:BO,58,0)</f>
        <v>#N/A</v>
      </c>
      <c r="H1106" s="390">
        <f>IFERROR((G1106-F1106)/G1106,0)</f>
        <v>0</v>
      </c>
      <c r="I1106" s="398">
        <f>IF(H1106&lt;0,((0.25-(H1106*(-1)))*$L$7),IF(H1106&gt;0,(H1106*$N$7)+$L$6,0))</f>
        <v>0</v>
      </c>
      <c r="J1106" s="73" t="e">
        <f>VLOOKUP(C1106,'RAW DATA 2023'!E:AC,21,0)</f>
        <v>#N/A</v>
      </c>
      <c r="K1106" s="398" t="e">
        <f>I1106*J1106</f>
        <v>#N/A</v>
      </c>
    </row>
    <row r="1107" spans="1:11">
      <c r="A1107" s="63">
        <f>'RAW DATA 2023'!B1100</f>
        <v>0</v>
      </c>
      <c r="B1107" s="63">
        <f>'RAW DATA 2023'!D1100</f>
        <v>0</v>
      </c>
      <c r="C1107" s="63" t="str">
        <f>A1107&amp;B1107</f>
        <v>00</v>
      </c>
      <c r="D1107" s="63" t="e">
        <f>VLOOKUP(C1107,'RAW DATA 2023'!E:BP,63,0)</f>
        <v>#N/A</v>
      </c>
      <c r="E1107" s="63" t="e">
        <f>A1107&amp;D1107</f>
        <v>#N/A</v>
      </c>
      <c r="F1107" s="389" t="e">
        <f>VLOOKUP(C1107,'RAW DATA 2023'!E:BO,57,0)</f>
        <v>#N/A</v>
      </c>
      <c r="G1107" s="63" t="e">
        <f>VLOOKUP(C1107,'RAW DATA 2023'!E:BO,58,0)</f>
        <v>#N/A</v>
      </c>
      <c r="H1107" s="390">
        <f>IFERROR((G1107-F1107)/G1107,0)</f>
        <v>0</v>
      </c>
      <c r="I1107" s="398">
        <f>IF(H1107&lt;0,((0.25-(H1107*(-1)))*$L$7),IF(H1107&gt;0,(H1107*$N$7)+$L$6,0))</f>
        <v>0</v>
      </c>
      <c r="J1107" s="73" t="e">
        <f>VLOOKUP(C1107,'RAW DATA 2023'!E:AC,21,0)</f>
        <v>#N/A</v>
      </c>
      <c r="K1107" s="398" t="e">
        <f>I1107*J1107</f>
        <v>#N/A</v>
      </c>
    </row>
    <row r="1108" spans="1:11">
      <c r="A1108" s="63">
        <f>'RAW DATA 2023'!B1101</f>
        <v>0</v>
      </c>
      <c r="B1108" s="63">
        <f>'RAW DATA 2023'!D1101</f>
        <v>0</v>
      </c>
      <c r="C1108" s="63" t="str">
        <f>A1108&amp;B1108</f>
        <v>00</v>
      </c>
      <c r="D1108" s="63" t="e">
        <f>VLOOKUP(C1108,'RAW DATA 2023'!E:BP,63,0)</f>
        <v>#N/A</v>
      </c>
      <c r="E1108" s="63" t="e">
        <f>A1108&amp;D1108</f>
        <v>#N/A</v>
      </c>
      <c r="F1108" s="389" t="e">
        <f>VLOOKUP(C1108,'RAW DATA 2023'!E:BO,57,0)</f>
        <v>#N/A</v>
      </c>
      <c r="G1108" s="63" t="e">
        <f>VLOOKUP(C1108,'RAW DATA 2023'!E:BO,58,0)</f>
        <v>#N/A</v>
      </c>
      <c r="H1108" s="390">
        <f>IFERROR((G1108-F1108)/G1108,0)</f>
        <v>0</v>
      </c>
      <c r="I1108" s="398">
        <f>IF(H1108&lt;0,((0.25-(H1108*(-1)))*$L$7),IF(H1108&gt;0,(H1108*$N$7)+$L$6,0))</f>
        <v>0</v>
      </c>
      <c r="J1108" s="73" t="e">
        <f>VLOOKUP(C1108,'RAW DATA 2023'!E:AC,21,0)</f>
        <v>#N/A</v>
      </c>
      <c r="K1108" s="398" t="e">
        <f>I1108*J1108</f>
        <v>#N/A</v>
      </c>
    </row>
    <row r="1109" spans="1:11">
      <c r="A1109" s="63">
        <f>'RAW DATA 2023'!B1102</f>
        <v>0</v>
      </c>
      <c r="B1109" s="63">
        <f>'RAW DATA 2023'!D1102</f>
        <v>0</v>
      </c>
      <c r="C1109" s="63" t="str">
        <f>A1109&amp;B1109</f>
        <v>00</v>
      </c>
      <c r="D1109" s="63" t="e">
        <f>VLOOKUP(C1109,'RAW DATA 2023'!E:BP,63,0)</f>
        <v>#N/A</v>
      </c>
      <c r="E1109" s="63" t="e">
        <f>A1109&amp;D1109</f>
        <v>#N/A</v>
      </c>
      <c r="F1109" s="389" t="e">
        <f>VLOOKUP(C1109,'RAW DATA 2023'!E:BO,57,0)</f>
        <v>#N/A</v>
      </c>
      <c r="G1109" s="63" t="e">
        <f>VLOOKUP(C1109,'RAW DATA 2023'!E:BO,58,0)</f>
        <v>#N/A</v>
      </c>
      <c r="H1109" s="390">
        <f>IFERROR((G1109-F1109)/G1109,0)</f>
        <v>0</v>
      </c>
      <c r="I1109" s="398">
        <f>IF(H1109&lt;0,((0.25-(H1109*(-1)))*$L$7),IF(H1109&gt;0,(H1109*$N$7)+$L$6,0))</f>
        <v>0</v>
      </c>
      <c r="J1109" s="73" t="e">
        <f>VLOOKUP(C1109,'RAW DATA 2023'!E:AC,21,0)</f>
        <v>#N/A</v>
      </c>
      <c r="K1109" s="398" t="e">
        <f>I1109*J1109</f>
        <v>#N/A</v>
      </c>
    </row>
    <row r="1110" spans="1:11">
      <c r="A1110" s="63">
        <f>'RAW DATA 2023'!B1103</f>
        <v>0</v>
      </c>
      <c r="B1110" s="63">
        <f>'RAW DATA 2023'!D1103</f>
        <v>0</v>
      </c>
      <c r="C1110" s="63" t="str">
        <f>A1110&amp;B1110</f>
        <v>00</v>
      </c>
      <c r="D1110" s="63" t="e">
        <f>VLOOKUP(C1110,'RAW DATA 2023'!E:BP,63,0)</f>
        <v>#N/A</v>
      </c>
      <c r="E1110" s="63" t="e">
        <f>A1110&amp;D1110</f>
        <v>#N/A</v>
      </c>
      <c r="F1110" s="389" t="e">
        <f>VLOOKUP(C1110,'RAW DATA 2023'!E:BO,57,0)</f>
        <v>#N/A</v>
      </c>
      <c r="G1110" s="63" t="e">
        <f>VLOOKUP(C1110,'RAW DATA 2023'!E:BO,58,0)</f>
        <v>#N/A</v>
      </c>
      <c r="H1110" s="390">
        <f>IFERROR((G1110-F1110)/G1110,0)</f>
        <v>0</v>
      </c>
      <c r="I1110" s="398">
        <f>IF(H1110&lt;0,((0.25-(H1110*(-1)))*$L$7),IF(H1110&gt;0,(H1110*$N$7)+$L$6,0))</f>
        <v>0</v>
      </c>
      <c r="J1110" s="73" t="e">
        <f>VLOOKUP(C1110,'RAW DATA 2023'!E:AC,21,0)</f>
        <v>#N/A</v>
      </c>
      <c r="K1110" s="398" t="e">
        <f>I1110*J1110</f>
        <v>#N/A</v>
      </c>
    </row>
    <row r="1111" spans="1:11">
      <c r="A1111" s="63">
        <f>'RAW DATA 2023'!B1104</f>
        <v>0</v>
      </c>
      <c r="B1111" s="63">
        <f>'RAW DATA 2023'!D1104</f>
        <v>0</v>
      </c>
      <c r="C1111" s="63" t="str">
        <f>A1111&amp;B1111</f>
        <v>00</v>
      </c>
      <c r="D1111" s="63" t="e">
        <f>VLOOKUP(C1111,'RAW DATA 2023'!E:BP,63,0)</f>
        <v>#N/A</v>
      </c>
      <c r="E1111" s="63" t="e">
        <f>A1111&amp;D1111</f>
        <v>#N/A</v>
      </c>
      <c r="F1111" s="389" t="e">
        <f>VLOOKUP(C1111,'RAW DATA 2023'!E:BO,57,0)</f>
        <v>#N/A</v>
      </c>
      <c r="G1111" s="63" t="e">
        <f>VLOOKUP(C1111,'RAW DATA 2023'!E:BO,58,0)</f>
        <v>#N/A</v>
      </c>
      <c r="H1111" s="390">
        <f>IFERROR((G1111-F1111)/G1111,0)</f>
        <v>0</v>
      </c>
      <c r="I1111" s="398">
        <f>IF(H1111&lt;0,((0.25-(H1111*(-1)))*$L$7),IF(H1111&gt;0,(H1111*$N$7)+$L$6,0))</f>
        <v>0</v>
      </c>
      <c r="J1111" s="73" t="e">
        <f>VLOOKUP(C1111,'RAW DATA 2023'!E:AC,21,0)</f>
        <v>#N/A</v>
      </c>
      <c r="K1111" s="398" t="e">
        <f>I1111*J1111</f>
        <v>#N/A</v>
      </c>
    </row>
    <row r="1112" spans="1:11">
      <c r="A1112" s="63">
        <f>'RAW DATA 2023'!B1105</f>
        <v>0</v>
      </c>
      <c r="B1112" s="63">
        <f>'RAW DATA 2023'!D1105</f>
        <v>0</v>
      </c>
      <c r="C1112" s="63" t="str">
        <f>A1112&amp;B1112</f>
        <v>00</v>
      </c>
      <c r="D1112" s="63" t="e">
        <f>VLOOKUP(C1112,'RAW DATA 2023'!E:BP,63,0)</f>
        <v>#N/A</v>
      </c>
      <c r="E1112" s="63" t="e">
        <f>A1112&amp;D1112</f>
        <v>#N/A</v>
      </c>
      <c r="F1112" s="389" t="e">
        <f>VLOOKUP(C1112,'RAW DATA 2023'!E:BO,57,0)</f>
        <v>#N/A</v>
      </c>
      <c r="G1112" s="63" t="e">
        <f>VLOOKUP(C1112,'RAW DATA 2023'!E:BO,58,0)</f>
        <v>#N/A</v>
      </c>
      <c r="H1112" s="390">
        <f>IFERROR((G1112-F1112)/G1112,0)</f>
        <v>0</v>
      </c>
      <c r="I1112" s="398">
        <f>IF(H1112&lt;0,((0.25-(H1112*(-1)))*$L$7),IF(H1112&gt;0,(H1112*$N$7)+$L$6,0))</f>
        <v>0</v>
      </c>
      <c r="J1112" s="73" t="e">
        <f>VLOOKUP(C1112,'RAW DATA 2023'!E:AC,21,0)</f>
        <v>#N/A</v>
      </c>
      <c r="K1112" s="398" t="e">
        <f>I1112*J1112</f>
        <v>#N/A</v>
      </c>
    </row>
    <row r="1113" spans="1:11">
      <c r="A1113" s="63">
        <f>'RAW DATA 2023'!B1106</f>
        <v>0</v>
      </c>
      <c r="B1113" s="63">
        <f>'RAW DATA 2023'!D1106</f>
        <v>0</v>
      </c>
      <c r="C1113" s="63" t="str">
        <f>A1113&amp;B1113</f>
        <v>00</v>
      </c>
      <c r="D1113" s="63" t="e">
        <f>VLOOKUP(C1113,'RAW DATA 2023'!E:BP,63,0)</f>
        <v>#N/A</v>
      </c>
      <c r="E1113" s="63" t="e">
        <f>A1113&amp;D1113</f>
        <v>#N/A</v>
      </c>
      <c r="F1113" s="389" t="e">
        <f>VLOOKUP(C1113,'RAW DATA 2023'!E:BO,57,0)</f>
        <v>#N/A</v>
      </c>
      <c r="G1113" s="63" t="e">
        <f>VLOOKUP(C1113,'RAW DATA 2023'!E:BO,58,0)</f>
        <v>#N/A</v>
      </c>
      <c r="H1113" s="390">
        <f>IFERROR((G1113-F1113)/G1113,0)</f>
        <v>0</v>
      </c>
      <c r="I1113" s="398">
        <f>IF(H1113&lt;0,((0.25-(H1113*(-1)))*$L$7),IF(H1113&gt;0,(H1113*$N$7)+$L$6,0))</f>
        <v>0</v>
      </c>
      <c r="J1113" s="73" t="e">
        <f>VLOOKUP(C1113,'RAW DATA 2023'!E:AC,21,0)</f>
        <v>#N/A</v>
      </c>
      <c r="K1113" s="398" t="e">
        <f>I1113*J1113</f>
        <v>#N/A</v>
      </c>
    </row>
    <row r="1114" spans="1:11">
      <c r="A1114" s="63">
        <f>'RAW DATA 2023'!B1107</f>
        <v>0</v>
      </c>
      <c r="B1114" s="63">
        <f>'RAW DATA 2023'!D1107</f>
        <v>0</v>
      </c>
      <c r="C1114" s="63" t="str">
        <f>A1114&amp;B1114</f>
        <v>00</v>
      </c>
      <c r="D1114" s="63" t="e">
        <f>VLOOKUP(C1114,'RAW DATA 2023'!E:BP,63,0)</f>
        <v>#N/A</v>
      </c>
      <c r="E1114" s="63" t="e">
        <f>A1114&amp;D1114</f>
        <v>#N/A</v>
      </c>
      <c r="F1114" s="389" t="e">
        <f>VLOOKUP(C1114,'RAW DATA 2023'!E:BO,57,0)</f>
        <v>#N/A</v>
      </c>
      <c r="G1114" s="63" t="e">
        <f>VLOOKUP(C1114,'RAW DATA 2023'!E:BO,58,0)</f>
        <v>#N/A</v>
      </c>
      <c r="H1114" s="390">
        <f>IFERROR((G1114-F1114)/G1114,0)</f>
        <v>0</v>
      </c>
      <c r="I1114" s="398">
        <f>IF(H1114&lt;0,((0.25-(H1114*(-1)))*$L$7),IF(H1114&gt;0,(H1114*$N$7)+$L$6,0))</f>
        <v>0</v>
      </c>
      <c r="J1114" s="73" t="e">
        <f>VLOOKUP(C1114,'RAW DATA 2023'!E:AC,21,0)</f>
        <v>#N/A</v>
      </c>
      <c r="K1114" s="398" t="e">
        <f>I1114*J1114</f>
        <v>#N/A</v>
      </c>
    </row>
    <row r="1115" spans="1:11">
      <c r="A1115" s="63">
        <f>'RAW DATA 2023'!B1108</f>
        <v>0</v>
      </c>
      <c r="B1115" s="63">
        <f>'RAW DATA 2023'!D1108</f>
        <v>0</v>
      </c>
      <c r="C1115" s="63" t="str">
        <f>A1115&amp;B1115</f>
        <v>00</v>
      </c>
      <c r="D1115" s="63" t="e">
        <f>VLOOKUP(C1115,'RAW DATA 2023'!E:BP,63,0)</f>
        <v>#N/A</v>
      </c>
      <c r="E1115" s="63" t="e">
        <f>A1115&amp;D1115</f>
        <v>#N/A</v>
      </c>
      <c r="F1115" s="389" t="e">
        <f>VLOOKUP(C1115,'RAW DATA 2023'!E:BO,57,0)</f>
        <v>#N/A</v>
      </c>
      <c r="G1115" s="63" t="e">
        <f>VLOOKUP(C1115,'RAW DATA 2023'!E:BO,58,0)</f>
        <v>#N/A</v>
      </c>
      <c r="H1115" s="390">
        <f>IFERROR((G1115-F1115)/G1115,0)</f>
        <v>0</v>
      </c>
      <c r="I1115" s="398">
        <f>IF(H1115&lt;0,((0.25-(H1115*(-1)))*$L$7),IF(H1115&gt;0,(H1115*$N$7)+$L$6,0))</f>
        <v>0</v>
      </c>
      <c r="J1115" s="73" t="e">
        <f>VLOOKUP(C1115,'RAW DATA 2023'!E:AC,21,0)</f>
        <v>#N/A</v>
      </c>
      <c r="K1115" s="398" t="e">
        <f>I1115*J1115</f>
        <v>#N/A</v>
      </c>
    </row>
    <row r="1116" spans="1:11">
      <c r="A1116" s="63">
        <f>'RAW DATA 2023'!B1109</f>
        <v>0</v>
      </c>
      <c r="B1116" s="63">
        <f>'RAW DATA 2023'!D1109</f>
        <v>0</v>
      </c>
      <c r="C1116" s="63" t="str">
        <f>A1116&amp;B1116</f>
        <v>00</v>
      </c>
      <c r="D1116" s="63" t="e">
        <f>VLOOKUP(C1116,'RAW DATA 2023'!E:BP,63,0)</f>
        <v>#N/A</v>
      </c>
      <c r="E1116" s="63" t="e">
        <f>A1116&amp;D1116</f>
        <v>#N/A</v>
      </c>
      <c r="F1116" s="389" t="e">
        <f>VLOOKUP(C1116,'RAW DATA 2023'!E:BO,57,0)</f>
        <v>#N/A</v>
      </c>
      <c r="G1116" s="63" t="e">
        <f>VLOOKUP(C1116,'RAW DATA 2023'!E:BO,58,0)</f>
        <v>#N/A</v>
      </c>
      <c r="H1116" s="390">
        <f>IFERROR((G1116-F1116)/G1116,0)</f>
        <v>0</v>
      </c>
      <c r="I1116" s="398">
        <f>IF(H1116&lt;0,((0.25-(H1116*(-1)))*$L$7),IF(H1116&gt;0,(H1116*$N$7)+$L$6,0))</f>
        <v>0</v>
      </c>
      <c r="J1116" s="73" t="e">
        <f>VLOOKUP(C1116,'RAW DATA 2023'!E:AC,21,0)</f>
        <v>#N/A</v>
      </c>
      <c r="K1116" s="398" t="e">
        <f>I1116*J1116</f>
        <v>#N/A</v>
      </c>
    </row>
    <row r="1117" spans="1:11">
      <c r="A1117" s="63">
        <f>'RAW DATA 2023'!B1110</f>
        <v>0</v>
      </c>
      <c r="B1117" s="63">
        <f>'RAW DATA 2023'!D1110</f>
        <v>0</v>
      </c>
      <c r="C1117" s="63" t="str">
        <f>A1117&amp;B1117</f>
        <v>00</v>
      </c>
      <c r="D1117" s="63" t="e">
        <f>VLOOKUP(C1117,'RAW DATA 2023'!E:BP,63,0)</f>
        <v>#N/A</v>
      </c>
      <c r="E1117" s="63" t="e">
        <f>A1117&amp;D1117</f>
        <v>#N/A</v>
      </c>
      <c r="F1117" s="389" t="e">
        <f>VLOOKUP(C1117,'RAW DATA 2023'!E:BO,57,0)</f>
        <v>#N/A</v>
      </c>
      <c r="G1117" s="63" t="e">
        <f>VLOOKUP(C1117,'RAW DATA 2023'!E:BO,58,0)</f>
        <v>#N/A</v>
      </c>
      <c r="H1117" s="390">
        <f>IFERROR((G1117-F1117)/G1117,0)</f>
        <v>0</v>
      </c>
      <c r="I1117" s="398">
        <f>IF(H1117&lt;0,((0.25-(H1117*(-1)))*$L$7),IF(H1117&gt;0,(H1117*$N$7)+$L$6,0))</f>
        <v>0</v>
      </c>
      <c r="J1117" s="73" t="e">
        <f>VLOOKUP(C1117,'RAW DATA 2023'!E:AC,21,0)</f>
        <v>#N/A</v>
      </c>
      <c r="K1117" s="398" t="e">
        <f>I1117*J1117</f>
        <v>#N/A</v>
      </c>
    </row>
    <row r="1118" spans="1:11">
      <c r="A1118" s="63">
        <f>'RAW DATA 2023'!B1111</f>
        <v>0</v>
      </c>
      <c r="B1118" s="63">
        <f>'RAW DATA 2023'!D1111</f>
        <v>0</v>
      </c>
      <c r="C1118" s="63" t="str">
        <f>A1118&amp;B1118</f>
        <v>00</v>
      </c>
      <c r="D1118" s="63" t="e">
        <f>VLOOKUP(C1118,'RAW DATA 2023'!E:BP,63,0)</f>
        <v>#N/A</v>
      </c>
      <c r="E1118" s="63" t="e">
        <f>A1118&amp;D1118</f>
        <v>#N/A</v>
      </c>
      <c r="F1118" s="389" t="e">
        <f>VLOOKUP(C1118,'RAW DATA 2023'!E:BO,57,0)</f>
        <v>#N/A</v>
      </c>
      <c r="G1118" s="63" t="e">
        <f>VLOOKUP(C1118,'RAW DATA 2023'!E:BO,58,0)</f>
        <v>#N/A</v>
      </c>
      <c r="H1118" s="390">
        <f>IFERROR((G1118-F1118)/G1118,0)</f>
        <v>0</v>
      </c>
      <c r="I1118" s="398">
        <f>IF(H1118&lt;0,((0.25-(H1118*(-1)))*$L$7),IF(H1118&gt;0,(H1118*$N$7)+$L$6,0))</f>
        <v>0</v>
      </c>
      <c r="J1118" s="73" t="e">
        <f>VLOOKUP(C1118,'RAW DATA 2023'!E:AC,21,0)</f>
        <v>#N/A</v>
      </c>
      <c r="K1118" s="398" t="e">
        <f>I1118*J1118</f>
        <v>#N/A</v>
      </c>
    </row>
    <row r="1119" spans="1:11">
      <c r="A1119" s="63">
        <f>'RAW DATA 2023'!B1112</f>
        <v>0</v>
      </c>
      <c r="B1119" s="63">
        <f>'RAW DATA 2023'!D1112</f>
        <v>0</v>
      </c>
      <c r="C1119" s="63" t="str">
        <f>A1119&amp;B1119</f>
        <v>00</v>
      </c>
      <c r="D1119" s="63" t="e">
        <f>VLOOKUP(C1119,'RAW DATA 2023'!E:BP,63,0)</f>
        <v>#N/A</v>
      </c>
      <c r="E1119" s="63" t="e">
        <f>A1119&amp;D1119</f>
        <v>#N/A</v>
      </c>
      <c r="F1119" s="389" t="e">
        <f>VLOOKUP(C1119,'RAW DATA 2023'!E:BO,57,0)</f>
        <v>#N/A</v>
      </c>
      <c r="G1119" s="63" t="e">
        <f>VLOOKUP(C1119,'RAW DATA 2023'!E:BO,58,0)</f>
        <v>#N/A</v>
      </c>
      <c r="H1119" s="390">
        <f>IFERROR((G1119-F1119)/G1119,0)</f>
        <v>0</v>
      </c>
      <c r="I1119" s="398">
        <f>IF(H1119&lt;0,((0.25-(H1119*(-1)))*$L$7),IF(H1119&gt;0,(H1119*$N$7)+$L$6,0))</f>
        <v>0</v>
      </c>
      <c r="J1119" s="73" t="e">
        <f>VLOOKUP(C1119,'RAW DATA 2023'!E:AC,21,0)</f>
        <v>#N/A</v>
      </c>
      <c r="K1119" s="398" t="e">
        <f>I1119*J1119</f>
        <v>#N/A</v>
      </c>
    </row>
    <row r="1120" spans="1:11">
      <c r="A1120" s="63">
        <f>'RAW DATA 2023'!B1113</f>
        <v>0</v>
      </c>
      <c r="B1120" s="63">
        <f>'RAW DATA 2023'!D1113</f>
        <v>0</v>
      </c>
      <c r="C1120" s="63" t="str">
        <f>A1120&amp;B1120</f>
        <v>00</v>
      </c>
      <c r="D1120" s="63" t="e">
        <f>VLOOKUP(C1120,'RAW DATA 2023'!E:BP,63,0)</f>
        <v>#N/A</v>
      </c>
      <c r="E1120" s="63" t="e">
        <f>A1120&amp;D1120</f>
        <v>#N/A</v>
      </c>
      <c r="F1120" s="389" t="e">
        <f>VLOOKUP(C1120,'RAW DATA 2023'!E:BO,57,0)</f>
        <v>#N/A</v>
      </c>
      <c r="G1120" s="63" t="e">
        <f>VLOOKUP(C1120,'RAW DATA 2023'!E:BO,58,0)</f>
        <v>#N/A</v>
      </c>
      <c r="H1120" s="390">
        <f>IFERROR((G1120-F1120)/G1120,0)</f>
        <v>0</v>
      </c>
      <c r="I1120" s="398">
        <f>IF(H1120&lt;0,((0.25-(H1120*(-1)))*$L$7),IF(H1120&gt;0,(H1120*$N$7)+$L$6,0))</f>
        <v>0</v>
      </c>
      <c r="J1120" s="73" t="e">
        <f>VLOOKUP(C1120,'RAW DATA 2023'!E:AC,21,0)</f>
        <v>#N/A</v>
      </c>
      <c r="K1120" s="398" t="e">
        <f>I1120*J1120</f>
        <v>#N/A</v>
      </c>
    </row>
    <row r="1121" spans="1:11">
      <c r="A1121" s="63">
        <f>'RAW DATA 2023'!B1114</f>
        <v>0</v>
      </c>
      <c r="B1121" s="63">
        <f>'RAW DATA 2023'!D1114</f>
        <v>0</v>
      </c>
      <c r="C1121" s="63" t="str">
        <f>A1121&amp;B1121</f>
        <v>00</v>
      </c>
      <c r="D1121" s="63" t="e">
        <f>VLOOKUP(C1121,'RAW DATA 2023'!E:BP,63,0)</f>
        <v>#N/A</v>
      </c>
      <c r="E1121" s="63" t="e">
        <f>A1121&amp;D1121</f>
        <v>#N/A</v>
      </c>
      <c r="F1121" s="389" t="e">
        <f>VLOOKUP(C1121,'RAW DATA 2023'!E:BO,57,0)</f>
        <v>#N/A</v>
      </c>
      <c r="G1121" s="63" t="e">
        <f>VLOOKUP(C1121,'RAW DATA 2023'!E:BO,58,0)</f>
        <v>#N/A</v>
      </c>
      <c r="H1121" s="390">
        <f>IFERROR((G1121-F1121)/G1121,0)</f>
        <v>0</v>
      </c>
      <c r="I1121" s="398">
        <f>IF(H1121&lt;0,((0.25-(H1121*(-1)))*$L$7),IF(H1121&gt;0,(H1121*$N$7)+$L$6,0))</f>
        <v>0</v>
      </c>
      <c r="J1121" s="73" t="e">
        <f>VLOOKUP(C1121,'RAW DATA 2023'!E:AC,21,0)</f>
        <v>#N/A</v>
      </c>
      <c r="K1121" s="398" t="e">
        <f>I1121*J1121</f>
        <v>#N/A</v>
      </c>
    </row>
    <row r="1122" spans="1:11">
      <c r="A1122" s="63">
        <f>'RAW DATA 2023'!B1115</f>
        <v>0</v>
      </c>
      <c r="B1122" s="63">
        <f>'RAW DATA 2023'!D1115</f>
        <v>0</v>
      </c>
      <c r="C1122" s="63" t="str">
        <f>A1122&amp;B1122</f>
        <v>00</v>
      </c>
      <c r="D1122" s="63" t="e">
        <f>VLOOKUP(C1122,'RAW DATA 2023'!E:BP,63,0)</f>
        <v>#N/A</v>
      </c>
      <c r="E1122" s="63" t="e">
        <f>A1122&amp;D1122</f>
        <v>#N/A</v>
      </c>
      <c r="F1122" s="389" t="e">
        <f>VLOOKUP(C1122,'RAW DATA 2023'!E:BO,57,0)</f>
        <v>#N/A</v>
      </c>
      <c r="G1122" s="63" t="e">
        <f>VLOOKUP(C1122,'RAW DATA 2023'!E:BO,58,0)</f>
        <v>#N/A</v>
      </c>
      <c r="H1122" s="390">
        <f>IFERROR((G1122-F1122)/G1122,0)</f>
        <v>0</v>
      </c>
      <c r="I1122" s="398">
        <f>IF(H1122&lt;0,((0.25-(H1122*(-1)))*$L$7),IF(H1122&gt;0,(H1122*$N$7)+$L$6,0))</f>
        <v>0</v>
      </c>
      <c r="J1122" s="73" t="e">
        <f>VLOOKUP(C1122,'RAW DATA 2023'!E:AC,21,0)</f>
        <v>#N/A</v>
      </c>
      <c r="K1122" s="398" t="e">
        <f>I1122*J1122</f>
        <v>#N/A</v>
      </c>
    </row>
    <row r="1123" spans="1:11">
      <c r="A1123" s="63">
        <f>'RAW DATA 2023'!B1116</f>
        <v>0</v>
      </c>
      <c r="B1123" s="63">
        <f>'RAW DATA 2023'!D1116</f>
        <v>0</v>
      </c>
      <c r="C1123" s="63" t="str">
        <f>A1123&amp;B1123</f>
        <v>00</v>
      </c>
      <c r="D1123" s="63" t="e">
        <f>VLOOKUP(C1123,'RAW DATA 2023'!E:BP,63,0)</f>
        <v>#N/A</v>
      </c>
      <c r="E1123" s="63" t="e">
        <f>A1123&amp;D1123</f>
        <v>#N/A</v>
      </c>
      <c r="F1123" s="389" t="e">
        <f>VLOOKUP(C1123,'RAW DATA 2023'!E:BO,57,0)</f>
        <v>#N/A</v>
      </c>
      <c r="G1123" s="63" t="e">
        <f>VLOOKUP(C1123,'RAW DATA 2023'!E:BO,58,0)</f>
        <v>#N/A</v>
      </c>
      <c r="H1123" s="390">
        <f>IFERROR((G1123-F1123)/G1123,0)</f>
        <v>0</v>
      </c>
      <c r="I1123" s="398">
        <f>IF(H1123&lt;0,((0.25-(H1123*(-1)))*$L$7),IF(H1123&gt;0,(H1123*$N$7)+$L$6,0))</f>
        <v>0</v>
      </c>
      <c r="J1123" s="73" t="e">
        <f>VLOOKUP(C1123,'RAW DATA 2023'!E:AC,21,0)</f>
        <v>#N/A</v>
      </c>
      <c r="K1123" s="398" t="e">
        <f>I1123*J1123</f>
        <v>#N/A</v>
      </c>
    </row>
    <row r="1124" spans="1:11">
      <c r="A1124" s="63">
        <f>'RAW DATA 2023'!B1117</f>
        <v>0</v>
      </c>
      <c r="B1124" s="63">
        <f>'RAW DATA 2023'!D1117</f>
        <v>0</v>
      </c>
      <c r="C1124" s="63" t="str">
        <f>A1124&amp;B1124</f>
        <v>00</v>
      </c>
      <c r="D1124" s="63" t="e">
        <f>VLOOKUP(C1124,'RAW DATA 2023'!E:BP,63,0)</f>
        <v>#N/A</v>
      </c>
      <c r="E1124" s="63" t="e">
        <f>A1124&amp;D1124</f>
        <v>#N/A</v>
      </c>
      <c r="F1124" s="389" t="e">
        <f>VLOOKUP(C1124,'RAW DATA 2023'!E:BO,57,0)</f>
        <v>#N/A</v>
      </c>
      <c r="G1124" s="63" t="e">
        <f>VLOOKUP(C1124,'RAW DATA 2023'!E:BO,58,0)</f>
        <v>#N/A</v>
      </c>
      <c r="H1124" s="390">
        <f>IFERROR((G1124-F1124)/G1124,0)</f>
        <v>0</v>
      </c>
      <c r="I1124" s="398">
        <f>IF(H1124&lt;0,((0.25-(H1124*(-1)))*$L$7),IF(H1124&gt;0,(H1124*$N$7)+$L$6,0))</f>
        <v>0</v>
      </c>
      <c r="J1124" s="73" t="e">
        <f>VLOOKUP(C1124,'RAW DATA 2023'!E:AC,21,0)</f>
        <v>#N/A</v>
      </c>
      <c r="K1124" s="398" t="e">
        <f>I1124*J1124</f>
        <v>#N/A</v>
      </c>
    </row>
    <row r="1125" spans="1:11">
      <c r="A1125" s="63">
        <f>'RAW DATA 2023'!B1118</f>
        <v>0</v>
      </c>
      <c r="B1125" s="63">
        <f>'RAW DATA 2023'!D1118</f>
        <v>0</v>
      </c>
      <c r="C1125" s="63" t="str">
        <f>A1125&amp;B1125</f>
        <v>00</v>
      </c>
      <c r="D1125" s="63" t="e">
        <f>VLOOKUP(C1125,'RAW DATA 2023'!E:BP,63,0)</f>
        <v>#N/A</v>
      </c>
      <c r="E1125" s="63" t="e">
        <f>A1125&amp;D1125</f>
        <v>#N/A</v>
      </c>
      <c r="F1125" s="389" t="e">
        <f>VLOOKUP(C1125,'RAW DATA 2023'!E:BO,57,0)</f>
        <v>#N/A</v>
      </c>
      <c r="G1125" s="63" t="e">
        <f>VLOOKUP(C1125,'RAW DATA 2023'!E:BO,58,0)</f>
        <v>#N/A</v>
      </c>
      <c r="H1125" s="390">
        <f>IFERROR((G1125-F1125)/G1125,0)</f>
        <v>0</v>
      </c>
      <c r="I1125" s="398">
        <f>IF(H1125&lt;0,((0.25-(H1125*(-1)))*$L$7),IF(H1125&gt;0,(H1125*$N$7)+$L$6,0))</f>
        <v>0</v>
      </c>
      <c r="J1125" s="73" t="e">
        <f>VLOOKUP(C1125,'RAW DATA 2023'!E:AC,21,0)</f>
        <v>#N/A</v>
      </c>
      <c r="K1125" s="398" t="e">
        <f>I1125*J1125</f>
        <v>#N/A</v>
      </c>
    </row>
    <row r="1126" spans="1:11">
      <c r="A1126" s="63">
        <f>'RAW DATA 2023'!B1119</f>
        <v>0</v>
      </c>
      <c r="B1126" s="63">
        <f>'RAW DATA 2023'!D1119</f>
        <v>0</v>
      </c>
      <c r="C1126" s="63" t="str">
        <f>A1126&amp;B1126</f>
        <v>00</v>
      </c>
      <c r="D1126" s="63" t="e">
        <f>VLOOKUP(C1126,'RAW DATA 2023'!E:BP,63,0)</f>
        <v>#N/A</v>
      </c>
      <c r="E1126" s="63" t="e">
        <f>A1126&amp;D1126</f>
        <v>#N/A</v>
      </c>
      <c r="F1126" s="389" t="e">
        <f>VLOOKUP(C1126,'RAW DATA 2023'!E:BO,57,0)</f>
        <v>#N/A</v>
      </c>
      <c r="G1126" s="63" t="e">
        <f>VLOOKUP(C1126,'RAW DATA 2023'!E:BO,58,0)</f>
        <v>#N/A</v>
      </c>
      <c r="H1126" s="390">
        <f>IFERROR((G1126-F1126)/G1126,0)</f>
        <v>0</v>
      </c>
      <c r="I1126" s="398">
        <f>IF(H1126&lt;0,((0.25-(H1126*(-1)))*$L$7),IF(H1126&gt;0,(H1126*$N$7)+$L$6,0))</f>
        <v>0</v>
      </c>
      <c r="J1126" s="73" t="e">
        <f>VLOOKUP(C1126,'RAW DATA 2023'!E:AC,21,0)</f>
        <v>#N/A</v>
      </c>
      <c r="K1126" s="398" t="e">
        <f>I1126*J1126</f>
        <v>#N/A</v>
      </c>
    </row>
    <row r="1127" spans="1:11">
      <c r="A1127" s="63">
        <f>'RAW DATA 2023'!B1120</f>
        <v>0</v>
      </c>
      <c r="B1127" s="63">
        <f>'RAW DATA 2023'!D1120</f>
        <v>0</v>
      </c>
      <c r="C1127" s="63" t="str">
        <f>A1127&amp;B1127</f>
        <v>00</v>
      </c>
      <c r="D1127" s="63" t="e">
        <f>VLOOKUP(C1127,'RAW DATA 2023'!E:BP,63,0)</f>
        <v>#N/A</v>
      </c>
      <c r="E1127" s="63" t="e">
        <f>A1127&amp;D1127</f>
        <v>#N/A</v>
      </c>
      <c r="F1127" s="389" t="e">
        <f>VLOOKUP(C1127,'RAW DATA 2023'!E:BO,57,0)</f>
        <v>#N/A</v>
      </c>
      <c r="G1127" s="63" t="e">
        <f>VLOOKUP(C1127,'RAW DATA 2023'!E:BO,58,0)</f>
        <v>#N/A</v>
      </c>
      <c r="H1127" s="390">
        <f>IFERROR((G1127-F1127)/G1127,0)</f>
        <v>0</v>
      </c>
      <c r="I1127" s="398">
        <f>IF(H1127&lt;0,((0.25-(H1127*(-1)))*$L$7),IF(H1127&gt;0,(H1127*$N$7)+$L$6,0))</f>
        <v>0</v>
      </c>
      <c r="J1127" s="73" t="e">
        <f>VLOOKUP(C1127,'RAW DATA 2023'!E:AC,21,0)</f>
        <v>#N/A</v>
      </c>
      <c r="K1127" s="398" t="e">
        <f>I1127*J1127</f>
        <v>#N/A</v>
      </c>
    </row>
    <row r="1128" spans="1:11">
      <c r="A1128" s="63">
        <f>'RAW DATA 2023'!B1121</f>
        <v>0</v>
      </c>
      <c r="B1128" s="63">
        <f>'RAW DATA 2023'!D1121</f>
        <v>0</v>
      </c>
      <c r="C1128" s="63" t="str">
        <f>A1128&amp;B1128</f>
        <v>00</v>
      </c>
      <c r="D1128" s="63" t="e">
        <f>VLOOKUP(C1128,'RAW DATA 2023'!E:BP,63,0)</f>
        <v>#N/A</v>
      </c>
      <c r="E1128" s="63" t="e">
        <f>A1128&amp;D1128</f>
        <v>#N/A</v>
      </c>
      <c r="F1128" s="389" t="e">
        <f>VLOOKUP(C1128,'RAW DATA 2023'!E:BO,57,0)</f>
        <v>#N/A</v>
      </c>
      <c r="G1128" s="63" t="e">
        <f>VLOOKUP(C1128,'RAW DATA 2023'!E:BO,58,0)</f>
        <v>#N/A</v>
      </c>
      <c r="H1128" s="390">
        <f>IFERROR((G1128-F1128)/G1128,0)</f>
        <v>0</v>
      </c>
      <c r="I1128" s="398">
        <f>IF(H1128&lt;0,((0.25-(H1128*(-1)))*$L$7),IF(H1128&gt;0,(H1128*$N$7)+$L$6,0))</f>
        <v>0</v>
      </c>
      <c r="J1128" s="73" t="e">
        <f>VLOOKUP(C1128,'RAW DATA 2023'!E:AC,21,0)</f>
        <v>#N/A</v>
      </c>
      <c r="K1128" s="398" t="e">
        <f>I1128*J1128</f>
        <v>#N/A</v>
      </c>
    </row>
    <row r="1129" spans="1:11">
      <c r="A1129" s="63">
        <f>'RAW DATA 2023'!B1122</f>
        <v>0</v>
      </c>
      <c r="B1129" s="63">
        <f>'RAW DATA 2023'!D1122</f>
        <v>0</v>
      </c>
      <c r="C1129" s="63" t="str">
        <f>A1129&amp;B1129</f>
        <v>00</v>
      </c>
      <c r="D1129" s="63" t="e">
        <f>VLOOKUP(C1129,'RAW DATA 2023'!E:BP,63,0)</f>
        <v>#N/A</v>
      </c>
      <c r="E1129" s="63" t="e">
        <f>A1129&amp;D1129</f>
        <v>#N/A</v>
      </c>
      <c r="F1129" s="389" t="e">
        <f>VLOOKUP(C1129,'RAW DATA 2023'!E:BO,57,0)</f>
        <v>#N/A</v>
      </c>
      <c r="G1129" s="63" t="e">
        <f>VLOOKUP(C1129,'RAW DATA 2023'!E:BO,58,0)</f>
        <v>#N/A</v>
      </c>
      <c r="H1129" s="390">
        <f>IFERROR((G1129-F1129)/G1129,0)</f>
        <v>0</v>
      </c>
      <c r="I1129" s="398">
        <f>IF(H1129&lt;0,((0.25-(H1129*(-1)))*$L$7),IF(H1129&gt;0,(H1129*$N$7)+$L$6,0))</f>
        <v>0</v>
      </c>
      <c r="J1129" s="73" t="e">
        <f>VLOOKUP(C1129,'RAW DATA 2023'!E:AC,21,0)</f>
        <v>#N/A</v>
      </c>
      <c r="K1129" s="398" t="e">
        <f>I1129*J1129</f>
        <v>#N/A</v>
      </c>
    </row>
    <row r="1130" spans="1:11">
      <c r="A1130" s="63">
        <f>'RAW DATA 2023'!B1123</f>
        <v>0</v>
      </c>
      <c r="B1130" s="63">
        <f>'RAW DATA 2023'!D1123</f>
        <v>0</v>
      </c>
      <c r="C1130" s="63" t="str">
        <f>A1130&amp;B1130</f>
        <v>00</v>
      </c>
      <c r="D1130" s="63" t="e">
        <f>VLOOKUP(C1130,'RAW DATA 2023'!E:BP,63,0)</f>
        <v>#N/A</v>
      </c>
      <c r="E1130" s="63" t="e">
        <f>A1130&amp;D1130</f>
        <v>#N/A</v>
      </c>
      <c r="F1130" s="389" t="e">
        <f>VLOOKUP(C1130,'RAW DATA 2023'!E:BO,57,0)</f>
        <v>#N/A</v>
      </c>
      <c r="G1130" s="63" t="e">
        <f>VLOOKUP(C1130,'RAW DATA 2023'!E:BO,58,0)</f>
        <v>#N/A</v>
      </c>
      <c r="H1130" s="390">
        <f>IFERROR((G1130-F1130)/G1130,0)</f>
        <v>0</v>
      </c>
      <c r="I1130" s="398">
        <f>IF(H1130&lt;0,((0.25-(H1130*(-1)))*$L$7),IF(H1130&gt;0,(H1130*$N$7)+$L$6,0))</f>
        <v>0</v>
      </c>
      <c r="J1130" s="73" t="e">
        <f>VLOOKUP(C1130,'RAW DATA 2023'!E:AC,21,0)</f>
        <v>#N/A</v>
      </c>
      <c r="K1130" s="398" t="e">
        <f>I1130*J1130</f>
        <v>#N/A</v>
      </c>
    </row>
    <row r="1131" spans="1:11">
      <c r="A1131" s="63">
        <f>'RAW DATA 2023'!B1124</f>
        <v>0</v>
      </c>
      <c r="B1131" s="63">
        <f>'RAW DATA 2023'!D1124</f>
        <v>0</v>
      </c>
      <c r="C1131" s="63" t="str">
        <f>A1131&amp;B1131</f>
        <v>00</v>
      </c>
      <c r="D1131" s="63" t="e">
        <f>VLOOKUP(C1131,'RAW DATA 2023'!E:BP,63,0)</f>
        <v>#N/A</v>
      </c>
      <c r="E1131" s="63" t="e">
        <f>A1131&amp;D1131</f>
        <v>#N/A</v>
      </c>
      <c r="F1131" s="389" t="e">
        <f>VLOOKUP(C1131,'RAW DATA 2023'!E:BO,57,0)</f>
        <v>#N/A</v>
      </c>
      <c r="G1131" s="63" t="e">
        <f>VLOOKUP(C1131,'RAW DATA 2023'!E:BO,58,0)</f>
        <v>#N/A</v>
      </c>
      <c r="H1131" s="390">
        <f>IFERROR((G1131-F1131)/G1131,0)</f>
        <v>0</v>
      </c>
      <c r="I1131" s="398">
        <f>IF(H1131&lt;0,((0.25-(H1131*(-1)))*$L$7),IF(H1131&gt;0,(H1131*$N$7)+$L$6,0))</f>
        <v>0</v>
      </c>
      <c r="J1131" s="73" t="e">
        <f>VLOOKUP(C1131,'RAW DATA 2023'!E:AC,21,0)</f>
        <v>#N/A</v>
      </c>
      <c r="K1131" s="398" t="e">
        <f>I1131*J1131</f>
        <v>#N/A</v>
      </c>
    </row>
    <row r="1132" spans="1:11">
      <c r="A1132" s="63">
        <f>'RAW DATA 2023'!B1125</f>
        <v>0</v>
      </c>
      <c r="B1132" s="63">
        <f>'RAW DATA 2023'!D1125</f>
        <v>0</v>
      </c>
      <c r="C1132" s="63" t="str">
        <f>A1132&amp;B1132</f>
        <v>00</v>
      </c>
      <c r="D1132" s="63" t="e">
        <f>VLOOKUP(C1132,'RAW DATA 2023'!E:BP,63,0)</f>
        <v>#N/A</v>
      </c>
      <c r="E1132" s="63" t="e">
        <f>A1132&amp;D1132</f>
        <v>#N/A</v>
      </c>
      <c r="F1132" s="389" t="e">
        <f>VLOOKUP(C1132,'RAW DATA 2023'!E:BO,57,0)</f>
        <v>#N/A</v>
      </c>
      <c r="G1132" s="63" t="e">
        <f>VLOOKUP(C1132,'RAW DATA 2023'!E:BO,58,0)</f>
        <v>#N/A</v>
      </c>
      <c r="H1132" s="390">
        <f>IFERROR((G1132-F1132)/G1132,0)</f>
        <v>0</v>
      </c>
      <c r="I1132" s="398">
        <f>IF(H1132&lt;0,((0.25-(H1132*(-1)))*$L$7),IF(H1132&gt;0,(H1132*$N$7)+$L$6,0))</f>
        <v>0</v>
      </c>
      <c r="J1132" s="73" t="e">
        <f>VLOOKUP(C1132,'RAW DATA 2023'!E:AC,21,0)</f>
        <v>#N/A</v>
      </c>
      <c r="K1132" s="398" t="e">
        <f>I1132*J1132</f>
        <v>#N/A</v>
      </c>
    </row>
    <row r="1133" spans="1:11">
      <c r="A1133" s="63">
        <f>'RAW DATA 2023'!B1126</f>
        <v>0</v>
      </c>
      <c r="B1133" s="63">
        <f>'RAW DATA 2023'!D1126</f>
        <v>0</v>
      </c>
      <c r="C1133" s="63" t="str">
        <f>A1133&amp;B1133</f>
        <v>00</v>
      </c>
      <c r="D1133" s="63" t="e">
        <f>VLOOKUP(C1133,'RAW DATA 2023'!E:BP,63,0)</f>
        <v>#N/A</v>
      </c>
      <c r="E1133" s="63" t="e">
        <f>A1133&amp;D1133</f>
        <v>#N/A</v>
      </c>
      <c r="F1133" s="389" t="e">
        <f>VLOOKUP(C1133,'RAW DATA 2023'!E:BO,57,0)</f>
        <v>#N/A</v>
      </c>
      <c r="G1133" s="63" t="e">
        <f>VLOOKUP(C1133,'RAW DATA 2023'!E:BO,58,0)</f>
        <v>#N/A</v>
      </c>
      <c r="H1133" s="390">
        <f>IFERROR((G1133-F1133)/G1133,0)</f>
        <v>0</v>
      </c>
      <c r="I1133" s="398">
        <f>IF(H1133&lt;0,((0.25-(H1133*(-1)))*$L$7),IF(H1133&gt;0,(H1133*$N$7)+$L$6,0))</f>
        <v>0</v>
      </c>
      <c r="J1133" s="73" t="e">
        <f>VLOOKUP(C1133,'RAW DATA 2023'!E:AC,21,0)</f>
        <v>#N/A</v>
      </c>
      <c r="K1133" s="398" t="e">
        <f>I1133*J1133</f>
        <v>#N/A</v>
      </c>
    </row>
    <row r="1134" spans="1:11">
      <c r="A1134" s="63">
        <f>'RAW DATA 2023'!B1127</f>
        <v>0</v>
      </c>
      <c r="B1134" s="63">
        <f>'RAW DATA 2023'!D1127</f>
        <v>0</v>
      </c>
      <c r="C1134" s="63" t="str">
        <f>A1134&amp;B1134</f>
        <v>00</v>
      </c>
      <c r="D1134" s="63" t="e">
        <f>VLOOKUP(C1134,'RAW DATA 2023'!E:BP,63,0)</f>
        <v>#N/A</v>
      </c>
      <c r="E1134" s="63" t="e">
        <f>A1134&amp;D1134</f>
        <v>#N/A</v>
      </c>
      <c r="F1134" s="389" t="e">
        <f>VLOOKUP(C1134,'RAW DATA 2023'!E:BO,57,0)</f>
        <v>#N/A</v>
      </c>
      <c r="G1134" s="63" t="e">
        <f>VLOOKUP(C1134,'RAW DATA 2023'!E:BO,58,0)</f>
        <v>#N/A</v>
      </c>
      <c r="H1134" s="390">
        <f>IFERROR((G1134-F1134)/G1134,0)</f>
        <v>0</v>
      </c>
      <c r="I1134" s="398">
        <f>IF(H1134&lt;0,((0.25-(H1134*(-1)))*$L$7),IF(H1134&gt;0,(H1134*$N$7)+$L$6,0))</f>
        <v>0</v>
      </c>
      <c r="J1134" s="73" t="e">
        <f>VLOOKUP(C1134,'RAW DATA 2023'!E:AC,21,0)</f>
        <v>#N/A</v>
      </c>
      <c r="K1134" s="398" t="e">
        <f>I1134*J1134</f>
        <v>#N/A</v>
      </c>
    </row>
    <row r="1135" spans="1:11">
      <c r="A1135" s="63">
        <f>'RAW DATA 2023'!B1128</f>
        <v>0</v>
      </c>
      <c r="B1135" s="63">
        <f>'RAW DATA 2023'!D1128</f>
        <v>0</v>
      </c>
      <c r="C1135" s="63" t="str">
        <f>A1135&amp;B1135</f>
        <v>00</v>
      </c>
      <c r="D1135" s="63" t="e">
        <f>VLOOKUP(C1135,'RAW DATA 2023'!E:BP,63,0)</f>
        <v>#N/A</v>
      </c>
      <c r="E1135" s="63" t="e">
        <f>A1135&amp;D1135</f>
        <v>#N/A</v>
      </c>
      <c r="F1135" s="389" t="e">
        <f>VLOOKUP(C1135,'RAW DATA 2023'!E:BO,57,0)</f>
        <v>#N/A</v>
      </c>
      <c r="G1135" s="63" t="e">
        <f>VLOOKUP(C1135,'RAW DATA 2023'!E:BO,58,0)</f>
        <v>#N/A</v>
      </c>
      <c r="H1135" s="390">
        <f>IFERROR((G1135-F1135)/G1135,0)</f>
        <v>0</v>
      </c>
      <c r="I1135" s="398">
        <f>IF(H1135&lt;0,((0.25-(H1135*(-1)))*$L$7),IF(H1135&gt;0,(H1135*$N$7)+$L$6,0))</f>
        <v>0</v>
      </c>
      <c r="J1135" s="73" t="e">
        <f>VLOOKUP(C1135,'RAW DATA 2023'!E:AC,21,0)</f>
        <v>#N/A</v>
      </c>
      <c r="K1135" s="398" t="e">
        <f>I1135*J1135</f>
        <v>#N/A</v>
      </c>
    </row>
    <row r="1136" spans="1:11">
      <c r="A1136" s="63">
        <f>'RAW DATA 2023'!B1129</f>
        <v>0</v>
      </c>
      <c r="B1136" s="63">
        <f>'RAW DATA 2023'!D1129</f>
        <v>0</v>
      </c>
      <c r="C1136" s="63" t="str">
        <f>A1136&amp;B1136</f>
        <v>00</v>
      </c>
      <c r="D1136" s="63" t="e">
        <f>VLOOKUP(C1136,'RAW DATA 2023'!E:BP,63,0)</f>
        <v>#N/A</v>
      </c>
      <c r="E1136" s="63" t="e">
        <f>A1136&amp;D1136</f>
        <v>#N/A</v>
      </c>
      <c r="F1136" s="389" t="e">
        <f>VLOOKUP(C1136,'RAW DATA 2023'!E:BO,57,0)</f>
        <v>#N/A</v>
      </c>
      <c r="G1136" s="63" t="e">
        <f>VLOOKUP(C1136,'RAW DATA 2023'!E:BO,58,0)</f>
        <v>#N/A</v>
      </c>
      <c r="H1136" s="390">
        <f>IFERROR((G1136-F1136)/G1136,0)</f>
        <v>0</v>
      </c>
      <c r="I1136" s="398">
        <f>IF(H1136&lt;0,((0.25-(H1136*(-1)))*$L$7),IF(H1136&gt;0,(H1136*$N$7)+$L$6,0))</f>
        <v>0</v>
      </c>
      <c r="J1136" s="73" t="e">
        <f>VLOOKUP(C1136,'RAW DATA 2023'!E:AC,21,0)</f>
        <v>#N/A</v>
      </c>
      <c r="K1136" s="398" t="e">
        <f>I1136*J1136</f>
        <v>#N/A</v>
      </c>
    </row>
    <row r="1137" spans="1:11">
      <c r="A1137" s="63">
        <f>'RAW DATA 2023'!B1130</f>
        <v>0</v>
      </c>
      <c r="B1137" s="63">
        <f>'RAW DATA 2023'!D1130</f>
        <v>0</v>
      </c>
      <c r="C1137" s="63" t="str">
        <f>A1137&amp;B1137</f>
        <v>00</v>
      </c>
      <c r="D1137" s="63" t="e">
        <f>VLOOKUP(C1137,'RAW DATA 2023'!E:BP,63,0)</f>
        <v>#N/A</v>
      </c>
      <c r="E1137" s="63" t="e">
        <f>A1137&amp;D1137</f>
        <v>#N/A</v>
      </c>
      <c r="F1137" s="389" t="e">
        <f>VLOOKUP(C1137,'RAW DATA 2023'!E:BO,57,0)</f>
        <v>#N/A</v>
      </c>
      <c r="G1137" s="63" t="e">
        <f>VLOOKUP(C1137,'RAW DATA 2023'!E:BO,58,0)</f>
        <v>#N/A</v>
      </c>
      <c r="H1137" s="390">
        <f>IFERROR((G1137-F1137)/G1137,0)</f>
        <v>0</v>
      </c>
      <c r="I1137" s="398">
        <f>IF(H1137&lt;0,((0.25-(H1137*(-1)))*$L$7),IF(H1137&gt;0,(H1137*$N$7)+$L$6,0))</f>
        <v>0</v>
      </c>
      <c r="J1137" s="73" t="e">
        <f>VLOOKUP(C1137,'RAW DATA 2023'!E:AC,21,0)</f>
        <v>#N/A</v>
      </c>
      <c r="K1137" s="398" t="e">
        <f>I1137*J1137</f>
        <v>#N/A</v>
      </c>
    </row>
    <row r="1138" spans="1:11">
      <c r="A1138" s="63">
        <f>'RAW DATA 2023'!B1131</f>
        <v>0</v>
      </c>
      <c r="B1138" s="63">
        <f>'RAW DATA 2023'!D1131</f>
        <v>0</v>
      </c>
      <c r="C1138" s="63" t="str">
        <f>A1138&amp;B1138</f>
        <v>00</v>
      </c>
      <c r="D1138" s="63" t="e">
        <f>VLOOKUP(C1138,'RAW DATA 2023'!E:BP,63,0)</f>
        <v>#N/A</v>
      </c>
      <c r="E1138" s="63" t="e">
        <f>A1138&amp;D1138</f>
        <v>#N/A</v>
      </c>
      <c r="F1138" s="389" t="e">
        <f>VLOOKUP(C1138,'RAW DATA 2023'!E:BO,57,0)</f>
        <v>#N/A</v>
      </c>
      <c r="G1138" s="63" t="e">
        <f>VLOOKUP(C1138,'RAW DATA 2023'!E:BO,58,0)</f>
        <v>#N/A</v>
      </c>
      <c r="H1138" s="390">
        <f>IFERROR((G1138-F1138)/G1138,0)</f>
        <v>0</v>
      </c>
      <c r="I1138" s="398">
        <f>IF(H1138&lt;0,((0.25-(H1138*(-1)))*$L$7),IF(H1138&gt;0,(H1138*$N$7)+$L$6,0))</f>
        <v>0</v>
      </c>
      <c r="J1138" s="73" t="e">
        <f>VLOOKUP(C1138,'RAW DATA 2023'!E:AC,21,0)</f>
        <v>#N/A</v>
      </c>
      <c r="K1138" s="398" t="e">
        <f>I1138*J1138</f>
        <v>#N/A</v>
      </c>
    </row>
    <row r="1139" spans="1:11">
      <c r="A1139" s="63">
        <f>'RAW DATA 2023'!B1132</f>
        <v>0</v>
      </c>
      <c r="B1139" s="63">
        <f>'RAW DATA 2023'!D1132</f>
        <v>0</v>
      </c>
      <c r="C1139" s="63" t="str">
        <f>A1139&amp;B1139</f>
        <v>00</v>
      </c>
      <c r="D1139" s="63" t="e">
        <f>VLOOKUP(C1139,'RAW DATA 2023'!E:BP,63,0)</f>
        <v>#N/A</v>
      </c>
      <c r="E1139" s="63" t="e">
        <f>A1139&amp;D1139</f>
        <v>#N/A</v>
      </c>
      <c r="F1139" s="389" t="e">
        <f>VLOOKUP(C1139,'RAW DATA 2023'!E:BO,57,0)</f>
        <v>#N/A</v>
      </c>
      <c r="G1139" s="63" t="e">
        <f>VLOOKUP(C1139,'RAW DATA 2023'!E:BO,58,0)</f>
        <v>#N/A</v>
      </c>
      <c r="H1139" s="390">
        <f>IFERROR((G1139-F1139)/G1139,0)</f>
        <v>0</v>
      </c>
      <c r="I1139" s="398">
        <f>IF(H1139&lt;0,((0.25-(H1139*(-1)))*$L$7),IF(H1139&gt;0,(H1139*$N$7)+$L$6,0))</f>
        <v>0</v>
      </c>
      <c r="J1139" s="73" t="e">
        <f>VLOOKUP(C1139,'RAW DATA 2023'!E:AC,21,0)</f>
        <v>#N/A</v>
      </c>
      <c r="K1139" s="398" t="e">
        <f>I1139*J1139</f>
        <v>#N/A</v>
      </c>
    </row>
    <row r="1140" spans="1:11">
      <c r="A1140" s="63">
        <f>'RAW DATA 2023'!B1133</f>
        <v>0</v>
      </c>
      <c r="B1140" s="63">
        <f>'RAW DATA 2023'!D1133</f>
        <v>0</v>
      </c>
      <c r="C1140" s="63" t="str">
        <f>A1140&amp;B1140</f>
        <v>00</v>
      </c>
      <c r="D1140" s="63" t="e">
        <f>VLOOKUP(C1140,'RAW DATA 2023'!E:BP,63,0)</f>
        <v>#N/A</v>
      </c>
      <c r="E1140" s="63" t="e">
        <f>A1140&amp;D1140</f>
        <v>#N/A</v>
      </c>
      <c r="F1140" s="389" t="e">
        <f>VLOOKUP(C1140,'RAW DATA 2023'!E:BO,57,0)</f>
        <v>#N/A</v>
      </c>
      <c r="G1140" s="63" t="e">
        <f>VLOOKUP(C1140,'RAW DATA 2023'!E:BO,58,0)</f>
        <v>#N/A</v>
      </c>
      <c r="H1140" s="390">
        <f>IFERROR((G1140-F1140)/G1140,0)</f>
        <v>0</v>
      </c>
      <c r="I1140" s="398">
        <f>IF(H1140&lt;0,((0.25-(H1140*(-1)))*$L$7),IF(H1140&gt;0,(H1140*$N$7)+$L$6,0))</f>
        <v>0</v>
      </c>
      <c r="J1140" s="73" t="e">
        <f>VLOOKUP(C1140,'RAW DATA 2023'!E:AC,21,0)</f>
        <v>#N/A</v>
      </c>
      <c r="K1140" s="398" t="e">
        <f>I1140*J1140</f>
        <v>#N/A</v>
      </c>
    </row>
    <row r="1141" spans="1:11">
      <c r="A1141" s="63">
        <f>'RAW DATA 2023'!B1134</f>
        <v>0</v>
      </c>
      <c r="B1141" s="63">
        <f>'RAW DATA 2023'!D1134</f>
        <v>0</v>
      </c>
      <c r="C1141" s="63" t="str">
        <f>A1141&amp;B1141</f>
        <v>00</v>
      </c>
      <c r="D1141" s="63" t="e">
        <f>VLOOKUP(C1141,'RAW DATA 2023'!E:BP,63,0)</f>
        <v>#N/A</v>
      </c>
      <c r="E1141" s="63" t="e">
        <f>A1141&amp;D1141</f>
        <v>#N/A</v>
      </c>
      <c r="F1141" s="389" t="e">
        <f>VLOOKUP(C1141,'RAW DATA 2023'!E:BO,57,0)</f>
        <v>#N/A</v>
      </c>
      <c r="G1141" s="63" t="e">
        <f>VLOOKUP(C1141,'RAW DATA 2023'!E:BO,58,0)</f>
        <v>#N/A</v>
      </c>
      <c r="H1141" s="390">
        <f>IFERROR((G1141-F1141)/G1141,0)</f>
        <v>0</v>
      </c>
      <c r="I1141" s="398">
        <f>IF(H1141&lt;0,((0.25-(H1141*(-1)))*$L$7),IF(H1141&gt;0,(H1141*$N$7)+$L$6,0))</f>
        <v>0</v>
      </c>
      <c r="J1141" s="73" t="e">
        <f>VLOOKUP(C1141,'RAW DATA 2023'!E:AC,21,0)</f>
        <v>#N/A</v>
      </c>
      <c r="K1141" s="398" t="e">
        <f>I1141*J1141</f>
        <v>#N/A</v>
      </c>
    </row>
    <row r="1142" spans="1:11">
      <c r="A1142" s="63">
        <f>'RAW DATA 2023'!B1135</f>
        <v>0</v>
      </c>
      <c r="B1142" s="63">
        <f>'RAW DATA 2023'!D1135</f>
        <v>0</v>
      </c>
      <c r="C1142" s="63" t="str">
        <f>A1142&amp;B1142</f>
        <v>00</v>
      </c>
      <c r="D1142" s="63" t="e">
        <f>VLOOKUP(C1142,'RAW DATA 2023'!E:BP,63,0)</f>
        <v>#N/A</v>
      </c>
      <c r="E1142" s="63" t="e">
        <f>A1142&amp;D1142</f>
        <v>#N/A</v>
      </c>
      <c r="F1142" s="389" t="e">
        <f>VLOOKUP(C1142,'RAW DATA 2023'!E:BO,57,0)</f>
        <v>#N/A</v>
      </c>
      <c r="G1142" s="63" t="e">
        <f>VLOOKUP(C1142,'RAW DATA 2023'!E:BO,58,0)</f>
        <v>#N/A</v>
      </c>
      <c r="H1142" s="390">
        <f>IFERROR((G1142-F1142)/G1142,0)</f>
        <v>0</v>
      </c>
      <c r="I1142" s="398">
        <f>IF(H1142&lt;0,((0.25-(H1142*(-1)))*$L$7),IF(H1142&gt;0,(H1142*$N$7)+$L$6,0))</f>
        <v>0</v>
      </c>
      <c r="J1142" s="73" t="e">
        <f>VLOOKUP(C1142,'RAW DATA 2023'!E:AC,21,0)</f>
        <v>#N/A</v>
      </c>
      <c r="K1142" s="398" t="e">
        <f>I1142*J1142</f>
        <v>#N/A</v>
      </c>
    </row>
    <row r="1143" spans="1:11">
      <c r="A1143" s="63">
        <f>'RAW DATA 2023'!B1136</f>
        <v>0</v>
      </c>
      <c r="B1143" s="63">
        <f>'RAW DATA 2023'!D1136</f>
        <v>0</v>
      </c>
      <c r="C1143" s="63" t="str">
        <f>A1143&amp;B1143</f>
        <v>00</v>
      </c>
      <c r="D1143" s="63" t="e">
        <f>VLOOKUP(C1143,'RAW DATA 2023'!E:BP,63,0)</f>
        <v>#N/A</v>
      </c>
      <c r="E1143" s="63" t="e">
        <f>A1143&amp;D1143</f>
        <v>#N/A</v>
      </c>
      <c r="F1143" s="389" t="e">
        <f>VLOOKUP(C1143,'RAW DATA 2023'!E:BO,57,0)</f>
        <v>#N/A</v>
      </c>
      <c r="G1143" s="63" t="e">
        <f>VLOOKUP(C1143,'RAW DATA 2023'!E:BO,58,0)</f>
        <v>#N/A</v>
      </c>
      <c r="H1143" s="390">
        <f>IFERROR((G1143-F1143)/G1143,0)</f>
        <v>0</v>
      </c>
      <c r="I1143" s="398">
        <f>IF(H1143&lt;0,((0.25-(H1143*(-1)))*$L$7),IF(H1143&gt;0,(H1143*$N$7)+$L$6,0))</f>
        <v>0</v>
      </c>
      <c r="J1143" s="73" t="e">
        <f>VLOOKUP(C1143,'RAW DATA 2023'!E:AC,21,0)</f>
        <v>#N/A</v>
      </c>
      <c r="K1143" s="398" t="e">
        <f>I1143*J1143</f>
        <v>#N/A</v>
      </c>
    </row>
    <row r="1144" spans="1:11">
      <c r="A1144" s="63">
        <f>'RAW DATA 2023'!B1137</f>
        <v>0</v>
      </c>
      <c r="B1144" s="63">
        <f>'RAW DATA 2023'!D1137</f>
        <v>0</v>
      </c>
      <c r="C1144" s="63" t="str">
        <f>A1144&amp;B1144</f>
        <v>00</v>
      </c>
      <c r="D1144" s="63" t="e">
        <f>VLOOKUP(C1144,'RAW DATA 2023'!E:BP,63,0)</f>
        <v>#N/A</v>
      </c>
      <c r="E1144" s="63" t="e">
        <f>A1144&amp;D1144</f>
        <v>#N/A</v>
      </c>
      <c r="F1144" s="389" t="e">
        <f>VLOOKUP(C1144,'RAW DATA 2023'!E:BO,57,0)</f>
        <v>#N/A</v>
      </c>
      <c r="G1144" s="63" t="e">
        <f>VLOOKUP(C1144,'RAW DATA 2023'!E:BO,58,0)</f>
        <v>#N/A</v>
      </c>
      <c r="H1144" s="390">
        <f>IFERROR((G1144-F1144)/G1144,0)</f>
        <v>0</v>
      </c>
      <c r="I1144" s="398">
        <f>IF(H1144&lt;0,((0.25-(H1144*(-1)))*$L$7),IF(H1144&gt;0,(H1144*$N$7)+$L$6,0))</f>
        <v>0</v>
      </c>
      <c r="J1144" s="73" t="e">
        <f>VLOOKUP(C1144,'RAW DATA 2023'!E:AC,21,0)</f>
        <v>#N/A</v>
      </c>
      <c r="K1144" s="398" t="e">
        <f>I1144*J1144</f>
        <v>#N/A</v>
      </c>
    </row>
    <row r="1145" spans="1:11">
      <c r="A1145" s="63">
        <f>'RAW DATA 2023'!B1138</f>
        <v>0</v>
      </c>
      <c r="B1145" s="63">
        <f>'RAW DATA 2023'!D1138</f>
        <v>0</v>
      </c>
      <c r="C1145" s="63" t="str">
        <f>A1145&amp;B1145</f>
        <v>00</v>
      </c>
      <c r="D1145" s="63" t="e">
        <f>VLOOKUP(C1145,'RAW DATA 2023'!E:BP,63,0)</f>
        <v>#N/A</v>
      </c>
      <c r="E1145" s="63" t="e">
        <f>A1145&amp;D1145</f>
        <v>#N/A</v>
      </c>
      <c r="F1145" s="389" t="e">
        <f>VLOOKUP(C1145,'RAW DATA 2023'!E:BO,57,0)</f>
        <v>#N/A</v>
      </c>
      <c r="G1145" s="63" t="e">
        <f>VLOOKUP(C1145,'RAW DATA 2023'!E:BO,58,0)</f>
        <v>#N/A</v>
      </c>
      <c r="H1145" s="390">
        <f>IFERROR((G1145-F1145)/G1145,0)</f>
        <v>0</v>
      </c>
      <c r="I1145" s="398">
        <f>IF(H1145&lt;0,((0.25-(H1145*(-1)))*$L$7),IF(H1145&gt;0,(H1145*$N$7)+$L$6,0))</f>
        <v>0</v>
      </c>
      <c r="J1145" s="73" t="e">
        <f>VLOOKUP(C1145,'RAW DATA 2023'!E:AC,21,0)</f>
        <v>#N/A</v>
      </c>
      <c r="K1145" s="398" t="e">
        <f>I1145*J1145</f>
        <v>#N/A</v>
      </c>
    </row>
    <row r="1146" spans="1:11">
      <c r="A1146" s="63">
        <f>'RAW DATA 2023'!B1139</f>
        <v>0</v>
      </c>
      <c r="B1146" s="63">
        <f>'RAW DATA 2023'!D1139</f>
        <v>0</v>
      </c>
      <c r="C1146" s="63" t="str">
        <f>A1146&amp;B1146</f>
        <v>00</v>
      </c>
      <c r="D1146" s="63" t="e">
        <f>VLOOKUP(C1146,'RAW DATA 2023'!E:BP,63,0)</f>
        <v>#N/A</v>
      </c>
      <c r="E1146" s="63" t="e">
        <f>A1146&amp;D1146</f>
        <v>#N/A</v>
      </c>
      <c r="F1146" s="389" t="e">
        <f>VLOOKUP(C1146,'RAW DATA 2023'!E:BO,57,0)</f>
        <v>#N/A</v>
      </c>
      <c r="G1146" s="63" t="e">
        <f>VLOOKUP(C1146,'RAW DATA 2023'!E:BO,58,0)</f>
        <v>#N/A</v>
      </c>
      <c r="H1146" s="390">
        <f>IFERROR((G1146-F1146)/G1146,0)</f>
        <v>0</v>
      </c>
      <c r="I1146" s="398">
        <f>IF(H1146&lt;0,((0.25-(H1146*(-1)))*$L$7),IF(H1146&gt;0,(H1146*$N$7)+$L$6,0))</f>
        <v>0</v>
      </c>
      <c r="J1146" s="73" t="e">
        <f>VLOOKUP(C1146,'RAW DATA 2023'!E:AC,21,0)</f>
        <v>#N/A</v>
      </c>
      <c r="K1146" s="398" t="e">
        <f>I1146*J1146</f>
        <v>#N/A</v>
      </c>
    </row>
    <row r="1147" spans="1:11">
      <c r="A1147" s="63">
        <f>'RAW DATA 2023'!B1140</f>
        <v>0</v>
      </c>
      <c r="B1147" s="63">
        <f>'RAW DATA 2023'!D1140</f>
        <v>0</v>
      </c>
      <c r="C1147" s="63" t="str">
        <f>A1147&amp;B1147</f>
        <v>00</v>
      </c>
      <c r="D1147" s="63" t="e">
        <f>VLOOKUP(C1147,'RAW DATA 2023'!E:BP,63,0)</f>
        <v>#N/A</v>
      </c>
      <c r="E1147" s="63" t="e">
        <f>A1147&amp;D1147</f>
        <v>#N/A</v>
      </c>
      <c r="F1147" s="389" t="e">
        <f>VLOOKUP(C1147,'RAW DATA 2023'!E:BO,57,0)</f>
        <v>#N/A</v>
      </c>
      <c r="G1147" s="63" t="e">
        <f>VLOOKUP(C1147,'RAW DATA 2023'!E:BO,58,0)</f>
        <v>#N/A</v>
      </c>
      <c r="H1147" s="390">
        <f>IFERROR((G1147-F1147)/G1147,0)</f>
        <v>0</v>
      </c>
      <c r="I1147" s="398">
        <f>IF(H1147&lt;0,((0.25-(H1147*(-1)))*$L$7),IF(H1147&gt;0,(H1147*$N$7)+$L$6,0))</f>
        <v>0</v>
      </c>
      <c r="J1147" s="73" t="e">
        <f>VLOOKUP(C1147,'RAW DATA 2023'!E:AC,21,0)</f>
        <v>#N/A</v>
      </c>
      <c r="K1147" s="398" t="e">
        <f>I1147*J1147</f>
        <v>#N/A</v>
      </c>
    </row>
    <row r="1148" spans="1:11">
      <c r="A1148" s="63">
        <f>'RAW DATA 2023'!B1141</f>
        <v>0</v>
      </c>
      <c r="B1148" s="63">
        <f>'RAW DATA 2023'!D1141</f>
        <v>0</v>
      </c>
      <c r="C1148" s="63" t="str">
        <f>A1148&amp;B1148</f>
        <v>00</v>
      </c>
      <c r="D1148" s="63" t="e">
        <f>VLOOKUP(C1148,'RAW DATA 2023'!E:BP,63,0)</f>
        <v>#N/A</v>
      </c>
      <c r="E1148" s="63" t="e">
        <f>A1148&amp;D1148</f>
        <v>#N/A</v>
      </c>
      <c r="F1148" s="389" t="e">
        <f>VLOOKUP(C1148,'RAW DATA 2023'!E:BO,57,0)</f>
        <v>#N/A</v>
      </c>
      <c r="G1148" s="63" t="e">
        <f>VLOOKUP(C1148,'RAW DATA 2023'!E:BO,58,0)</f>
        <v>#N/A</v>
      </c>
      <c r="H1148" s="390">
        <f>IFERROR((G1148-F1148)/G1148,0)</f>
        <v>0</v>
      </c>
      <c r="I1148" s="398">
        <f>IF(H1148&lt;0,((0.25-(H1148*(-1)))*$L$7),IF(H1148&gt;0,(H1148*$N$7)+$L$6,0))</f>
        <v>0</v>
      </c>
      <c r="J1148" s="73" t="e">
        <f>VLOOKUP(C1148,'RAW DATA 2023'!E:AC,21,0)</f>
        <v>#N/A</v>
      </c>
      <c r="K1148" s="398" t="e">
        <f>I1148*J1148</f>
        <v>#N/A</v>
      </c>
    </row>
    <row r="1149" spans="1:11">
      <c r="A1149" s="63">
        <f>'RAW DATA 2023'!B1142</f>
        <v>0</v>
      </c>
      <c r="B1149" s="63">
        <f>'RAW DATA 2023'!D1142</f>
        <v>0</v>
      </c>
      <c r="C1149" s="63" t="str">
        <f>A1149&amp;B1149</f>
        <v>00</v>
      </c>
      <c r="D1149" s="63" t="e">
        <f>VLOOKUP(C1149,'RAW DATA 2023'!E:BP,63,0)</f>
        <v>#N/A</v>
      </c>
      <c r="E1149" s="63" t="e">
        <f>A1149&amp;D1149</f>
        <v>#N/A</v>
      </c>
      <c r="F1149" s="389" t="e">
        <f>VLOOKUP(C1149,'RAW DATA 2023'!E:BO,57,0)</f>
        <v>#N/A</v>
      </c>
      <c r="G1149" s="63" t="e">
        <f>VLOOKUP(C1149,'RAW DATA 2023'!E:BO,58,0)</f>
        <v>#N/A</v>
      </c>
      <c r="H1149" s="390">
        <f>IFERROR((G1149-F1149)/G1149,0)</f>
        <v>0</v>
      </c>
      <c r="I1149" s="398">
        <f>IF(H1149&lt;0,((0.25-(H1149*(-1)))*$L$7),IF(H1149&gt;0,(H1149*$N$7)+$L$6,0))</f>
        <v>0</v>
      </c>
      <c r="J1149" s="73" t="e">
        <f>VLOOKUP(C1149,'RAW DATA 2023'!E:AC,21,0)</f>
        <v>#N/A</v>
      </c>
      <c r="K1149" s="398" t="e">
        <f>I1149*J1149</f>
        <v>#N/A</v>
      </c>
    </row>
    <row r="1150" spans="1:11">
      <c r="A1150" s="63">
        <f>'RAW DATA 2023'!B1143</f>
        <v>0</v>
      </c>
      <c r="B1150" s="63">
        <f>'RAW DATA 2023'!D1143</f>
        <v>0</v>
      </c>
      <c r="C1150" s="63" t="str">
        <f>A1150&amp;B1150</f>
        <v>00</v>
      </c>
      <c r="D1150" s="63" t="e">
        <f>VLOOKUP(C1150,'RAW DATA 2023'!E:BP,63,0)</f>
        <v>#N/A</v>
      </c>
      <c r="E1150" s="63" t="e">
        <f>A1150&amp;D1150</f>
        <v>#N/A</v>
      </c>
      <c r="F1150" s="389" t="e">
        <f>VLOOKUP(C1150,'RAW DATA 2023'!E:BO,57,0)</f>
        <v>#N/A</v>
      </c>
      <c r="G1150" s="63" t="e">
        <f>VLOOKUP(C1150,'RAW DATA 2023'!E:BO,58,0)</f>
        <v>#N/A</v>
      </c>
      <c r="H1150" s="390">
        <f>IFERROR((G1150-F1150)/G1150,0)</f>
        <v>0</v>
      </c>
      <c r="I1150" s="398">
        <f>IF(H1150&lt;0,((0.25-(H1150*(-1)))*$L$7),IF(H1150&gt;0,(H1150*$N$7)+$L$6,0))</f>
        <v>0</v>
      </c>
      <c r="J1150" s="73" t="e">
        <f>VLOOKUP(C1150,'RAW DATA 2023'!E:AC,21,0)</f>
        <v>#N/A</v>
      </c>
      <c r="K1150" s="398" t="e">
        <f>I1150*J1150</f>
        <v>#N/A</v>
      </c>
    </row>
    <row r="1151" spans="1:11">
      <c r="A1151" s="63">
        <f>'RAW DATA 2023'!B1144</f>
        <v>0</v>
      </c>
      <c r="B1151" s="63">
        <f>'RAW DATA 2023'!D1144</f>
        <v>0</v>
      </c>
      <c r="C1151" s="63" t="str">
        <f>A1151&amp;B1151</f>
        <v>00</v>
      </c>
      <c r="D1151" s="63" t="e">
        <f>VLOOKUP(C1151,'RAW DATA 2023'!E:BP,63,0)</f>
        <v>#N/A</v>
      </c>
      <c r="E1151" s="63" t="e">
        <f>A1151&amp;D1151</f>
        <v>#N/A</v>
      </c>
      <c r="F1151" s="389" t="e">
        <f>VLOOKUP(C1151,'RAW DATA 2023'!E:BO,57,0)</f>
        <v>#N/A</v>
      </c>
      <c r="G1151" s="63" t="e">
        <f>VLOOKUP(C1151,'RAW DATA 2023'!E:BO,58,0)</f>
        <v>#N/A</v>
      </c>
      <c r="H1151" s="390">
        <f>IFERROR((G1151-F1151)/G1151,0)</f>
        <v>0</v>
      </c>
      <c r="I1151" s="398">
        <f>IF(H1151&lt;0,((0.25-(H1151*(-1)))*$L$7),IF(H1151&gt;0,(H1151*$N$7)+$L$6,0))</f>
        <v>0</v>
      </c>
      <c r="J1151" s="73" t="e">
        <f>VLOOKUP(C1151,'RAW DATA 2023'!E:AC,21,0)</f>
        <v>#N/A</v>
      </c>
      <c r="K1151" s="398" t="e">
        <f>I1151*J1151</f>
        <v>#N/A</v>
      </c>
    </row>
    <row r="1152" spans="1:11">
      <c r="A1152" s="63">
        <f>'RAW DATA 2023'!B1145</f>
        <v>0</v>
      </c>
      <c r="B1152" s="63">
        <f>'RAW DATA 2023'!D1145</f>
        <v>0</v>
      </c>
      <c r="C1152" s="63" t="str">
        <f>A1152&amp;B1152</f>
        <v>00</v>
      </c>
      <c r="D1152" s="63" t="e">
        <f>VLOOKUP(C1152,'RAW DATA 2023'!E:BP,63,0)</f>
        <v>#N/A</v>
      </c>
      <c r="E1152" s="63" t="e">
        <f>A1152&amp;D1152</f>
        <v>#N/A</v>
      </c>
      <c r="F1152" s="389" t="e">
        <f>VLOOKUP(C1152,'RAW DATA 2023'!E:BO,57,0)</f>
        <v>#N/A</v>
      </c>
      <c r="G1152" s="63" t="e">
        <f>VLOOKUP(C1152,'RAW DATA 2023'!E:BO,58,0)</f>
        <v>#N/A</v>
      </c>
      <c r="H1152" s="390">
        <f>IFERROR((G1152-F1152)/G1152,0)</f>
        <v>0</v>
      </c>
      <c r="I1152" s="398">
        <f>IF(H1152&lt;0,((0.25-(H1152*(-1)))*$L$7),IF(H1152&gt;0,(H1152*$N$7)+$L$6,0))</f>
        <v>0</v>
      </c>
      <c r="J1152" s="73" t="e">
        <f>VLOOKUP(C1152,'RAW DATA 2023'!E:AC,21,0)</f>
        <v>#N/A</v>
      </c>
      <c r="K1152" s="398" t="e">
        <f>I1152*J1152</f>
        <v>#N/A</v>
      </c>
    </row>
    <row r="1153" spans="1:11">
      <c r="A1153" s="63">
        <f>'RAW DATA 2023'!B1146</f>
        <v>0</v>
      </c>
      <c r="B1153" s="63">
        <f>'RAW DATA 2023'!D1146</f>
        <v>0</v>
      </c>
      <c r="C1153" s="63" t="str">
        <f>A1153&amp;B1153</f>
        <v>00</v>
      </c>
      <c r="D1153" s="63" t="e">
        <f>VLOOKUP(C1153,'RAW DATA 2023'!E:BP,63,0)</f>
        <v>#N/A</v>
      </c>
      <c r="E1153" s="63" t="e">
        <f>A1153&amp;D1153</f>
        <v>#N/A</v>
      </c>
      <c r="F1153" s="389" t="e">
        <f>VLOOKUP(C1153,'RAW DATA 2023'!E:BO,57,0)</f>
        <v>#N/A</v>
      </c>
      <c r="G1153" s="63" t="e">
        <f>VLOOKUP(C1153,'RAW DATA 2023'!E:BO,58,0)</f>
        <v>#N/A</v>
      </c>
      <c r="H1153" s="390">
        <f>IFERROR((G1153-F1153)/G1153,0)</f>
        <v>0</v>
      </c>
      <c r="I1153" s="398">
        <f>IF(H1153&lt;0,((0.25-(H1153*(-1)))*$L$7),IF(H1153&gt;0,(H1153*$N$7)+$L$6,0))</f>
        <v>0</v>
      </c>
      <c r="J1153" s="73" t="e">
        <f>VLOOKUP(C1153,'RAW DATA 2023'!E:AC,21,0)</f>
        <v>#N/A</v>
      </c>
      <c r="K1153" s="398" t="e">
        <f>I1153*J1153</f>
        <v>#N/A</v>
      </c>
    </row>
    <row r="1154" spans="1:11">
      <c r="A1154" s="63">
        <f>'RAW DATA 2023'!B1147</f>
        <v>0</v>
      </c>
      <c r="B1154" s="63">
        <f>'RAW DATA 2023'!D1147</f>
        <v>0</v>
      </c>
      <c r="C1154" s="63" t="str">
        <f>A1154&amp;B1154</f>
        <v>00</v>
      </c>
      <c r="D1154" s="63" t="e">
        <f>VLOOKUP(C1154,'RAW DATA 2023'!E:BP,63,0)</f>
        <v>#N/A</v>
      </c>
      <c r="E1154" s="63" t="e">
        <f>A1154&amp;D1154</f>
        <v>#N/A</v>
      </c>
      <c r="F1154" s="389" t="e">
        <f>VLOOKUP(C1154,'RAW DATA 2023'!E:BO,57,0)</f>
        <v>#N/A</v>
      </c>
      <c r="G1154" s="63" t="e">
        <f>VLOOKUP(C1154,'RAW DATA 2023'!E:BO,58,0)</f>
        <v>#N/A</v>
      </c>
      <c r="H1154" s="390">
        <f>IFERROR((G1154-F1154)/G1154,0)</f>
        <v>0</v>
      </c>
      <c r="I1154" s="398">
        <f>IF(H1154&lt;0,((0.25-(H1154*(-1)))*$L$7),IF(H1154&gt;0,(H1154*$N$7)+$L$6,0))</f>
        <v>0</v>
      </c>
      <c r="J1154" s="73" t="e">
        <f>VLOOKUP(C1154,'RAW DATA 2023'!E:AC,21,0)</f>
        <v>#N/A</v>
      </c>
      <c r="K1154" s="398" t="e">
        <f>I1154*J1154</f>
        <v>#N/A</v>
      </c>
    </row>
    <row r="1155" spans="1:11">
      <c r="A1155" s="63">
        <f>'RAW DATA 2023'!B1148</f>
        <v>0</v>
      </c>
      <c r="B1155" s="63">
        <f>'RAW DATA 2023'!D1148</f>
        <v>0</v>
      </c>
      <c r="C1155" s="63" t="str">
        <f>A1155&amp;B1155</f>
        <v>00</v>
      </c>
      <c r="D1155" s="63" t="e">
        <f>VLOOKUP(C1155,'RAW DATA 2023'!E:BP,63,0)</f>
        <v>#N/A</v>
      </c>
      <c r="E1155" s="63" t="e">
        <f>A1155&amp;D1155</f>
        <v>#N/A</v>
      </c>
      <c r="F1155" s="389" t="e">
        <f>VLOOKUP(C1155,'RAW DATA 2023'!E:BO,57,0)</f>
        <v>#N/A</v>
      </c>
      <c r="G1155" s="63" t="e">
        <f>VLOOKUP(C1155,'RAW DATA 2023'!E:BO,58,0)</f>
        <v>#N/A</v>
      </c>
      <c r="H1155" s="390">
        <f>IFERROR((G1155-F1155)/G1155,0)</f>
        <v>0</v>
      </c>
      <c r="I1155" s="398">
        <f>IF(H1155&lt;0,((0.25-(H1155*(-1)))*$L$7),IF(H1155&gt;0,(H1155*$N$7)+$L$6,0))</f>
        <v>0</v>
      </c>
      <c r="J1155" s="73" t="e">
        <f>VLOOKUP(C1155,'RAW DATA 2023'!E:AC,21,0)</f>
        <v>#N/A</v>
      </c>
      <c r="K1155" s="398" t="e">
        <f>I1155*J1155</f>
        <v>#N/A</v>
      </c>
    </row>
    <row r="1156" spans="1:11">
      <c r="A1156" s="63">
        <f>'RAW DATA 2023'!B1149</f>
        <v>0</v>
      </c>
      <c r="B1156" s="63">
        <f>'RAW DATA 2023'!D1149</f>
        <v>0</v>
      </c>
      <c r="C1156" s="63" t="str">
        <f>A1156&amp;B1156</f>
        <v>00</v>
      </c>
      <c r="D1156" s="63" t="e">
        <f>VLOOKUP(C1156,'RAW DATA 2023'!E:BP,63,0)</f>
        <v>#N/A</v>
      </c>
      <c r="E1156" s="63" t="e">
        <f>A1156&amp;D1156</f>
        <v>#N/A</v>
      </c>
      <c r="F1156" s="389" t="e">
        <f>VLOOKUP(C1156,'RAW DATA 2023'!E:BO,57,0)</f>
        <v>#N/A</v>
      </c>
      <c r="G1156" s="63" t="e">
        <f>VLOOKUP(C1156,'RAW DATA 2023'!E:BO,58,0)</f>
        <v>#N/A</v>
      </c>
      <c r="H1156" s="390">
        <f>IFERROR((G1156-F1156)/G1156,0)</f>
        <v>0</v>
      </c>
      <c r="I1156" s="398">
        <f>IF(H1156&lt;0,((0.25-(H1156*(-1)))*$L$7),IF(H1156&gt;0,(H1156*$N$7)+$L$6,0))</f>
        <v>0</v>
      </c>
      <c r="J1156" s="73" t="e">
        <f>VLOOKUP(C1156,'RAW DATA 2023'!E:AC,21,0)</f>
        <v>#N/A</v>
      </c>
      <c r="K1156" s="398" t="e">
        <f>I1156*J1156</f>
        <v>#N/A</v>
      </c>
    </row>
    <row r="1157" spans="1:11">
      <c r="A1157" s="63">
        <f>'RAW DATA 2023'!B1150</f>
        <v>0</v>
      </c>
      <c r="B1157" s="63">
        <f>'RAW DATA 2023'!D1150</f>
        <v>0</v>
      </c>
      <c r="C1157" s="63" t="str">
        <f>A1157&amp;B1157</f>
        <v>00</v>
      </c>
      <c r="D1157" s="63" t="e">
        <f>VLOOKUP(C1157,'RAW DATA 2023'!E:BP,63,0)</f>
        <v>#N/A</v>
      </c>
      <c r="E1157" s="63" t="e">
        <f>A1157&amp;D1157</f>
        <v>#N/A</v>
      </c>
      <c r="F1157" s="389" t="e">
        <f>VLOOKUP(C1157,'RAW DATA 2023'!E:BO,57,0)</f>
        <v>#N/A</v>
      </c>
      <c r="G1157" s="63" t="e">
        <f>VLOOKUP(C1157,'RAW DATA 2023'!E:BO,58,0)</f>
        <v>#N/A</v>
      </c>
      <c r="H1157" s="390">
        <f>IFERROR((G1157-F1157)/G1157,0)</f>
        <v>0</v>
      </c>
      <c r="I1157" s="398">
        <f>IF(H1157&lt;0,((0.25-(H1157*(-1)))*$L$7),IF(H1157&gt;0,(H1157*$N$7)+$L$6,0))</f>
        <v>0</v>
      </c>
      <c r="J1157" s="73" t="e">
        <f>VLOOKUP(C1157,'RAW DATA 2023'!E:AC,21,0)</f>
        <v>#N/A</v>
      </c>
      <c r="K1157" s="398" t="e">
        <f>I1157*J1157</f>
        <v>#N/A</v>
      </c>
    </row>
    <row r="1158" spans="1:11">
      <c r="A1158" s="63">
        <f>'RAW DATA 2023'!B1151</f>
        <v>0</v>
      </c>
      <c r="B1158" s="63">
        <f>'RAW DATA 2023'!D1151</f>
        <v>0</v>
      </c>
      <c r="C1158" s="63" t="str">
        <f>A1158&amp;B1158</f>
        <v>00</v>
      </c>
      <c r="D1158" s="63" t="e">
        <f>VLOOKUP(C1158,'RAW DATA 2023'!E:BP,63,0)</f>
        <v>#N/A</v>
      </c>
      <c r="E1158" s="63" t="e">
        <f>A1158&amp;D1158</f>
        <v>#N/A</v>
      </c>
      <c r="F1158" s="389" t="e">
        <f>VLOOKUP(C1158,'RAW DATA 2023'!E:BO,57,0)</f>
        <v>#N/A</v>
      </c>
      <c r="G1158" s="63" t="e">
        <f>VLOOKUP(C1158,'RAW DATA 2023'!E:BO,58,0)</f>
        <v>#N/A</v>
      </c>
      <c r="H1158" s="390">
        <f>IFERROR((G1158-F1158)/G1158,0)</f>
        <v>0</v>
      </c>
      <c r="I1158" s="398">
        <f>IF(H1158&lt;0,((0.25-(H1158*(-1)))*$L$7),IF(H1158&gt;0,(H1158*$N$7)+$L$6,0))</f>
        <v>0</v>
      </c>
      <c r="J1158" s="73" t="e">
        <f>VLOOKUP(C1158,'RAW DATA 2023'!E:AC,21,0)</f>
        <v>#N/A</v>
      </c>
      <c r="K1158" s="398" t="e">
        <f>I1158*J1158</f>
        <v>#N/A</v>
      </c>
    </row>
    <row r="1159" spans="1:11">
      <c r="A1159" s="63">
        <f>'RAW DATA 2023'!B1152</f>
        <v>0</v>
      </c>
      <c r="B1159" s="63">
        <f>'RAW DATA 2023'!D1152</f>
        <v>0</v>
      </c>
      <c r="C1159" s="63" t="str">
        <f>A1159&amp;B1159</f>
        <v>00</v>
      </c>
      <c r="D1159" s="63" t="e">
        <f>VLOOKUP(C1159,'RAW DATA 2023'!E:BP,63,0)</f>
        <v>#N/A</v>
      </c>
      <c r="E1159" s="63" t="e">
        <f>A1159&amp;D1159</f>
        <v>#N/A</v>
      </c>
      <c r="F1159" s="389" t="e">
        <f>VLOOKUP(C1159,'RAW DATA 2023'!E:BO,57,0)</f>
        <v>#N/A</v>
      </c>
      <c r="G1159" s="63" t="e">
        <f>VLOOKUP(C1159,'RAW DATA 2023'!E:BO,58,0)</f>
        <v>#N/A</v>
      </c>
      <c r="H1159" s="390">
        <f>IFERROR((G1159-F1159)/G1159,0)</f>
        <v>0</v>
      </c>
      <c r="I1159" s="398">
        <f>IF(H1159&lt;0,((0.25-(H1159*(-1)))*$L$7),IF(H1159&gt;0,(H1159*$N$7)+$L$6,0))</f>
        <v>0</v>
      </c>
      <c r="J1159" s="73" t="e">
        <f>VLOOKUP(C1159,'RAW DATA 2023'!E:AC,21,0)</f>
        <v>#N/A</v>
      </c>
      <c r="K1159" s="398" t="e">
        <f>I1159*J1159</f>
        <v>#N/A</v>
      </c>
    </row>
    <row r="1160" spans="1:11">
      <c r="A1160" s="63">
        <f>'RAW DATA 2023'!B1153</f>
        <v>0</v>
      </c>
      <c r="B1160" s="63">
        <f>'RAW DATA 2023'!D1153</f>
        <v>0</v>
      </c>
      <c r="C1160" s="63" t="str">
        <f>A1160&amp;B1160</f>
        <v>00</v>
      </c>
      <c r="D1160" s="63" t="e">
        <f>VLOOKUP(C1160,'RAW DATA 2023'!E:BP,63,0)</f>
        <v>#N/A</v>
      </c>
      <c r="E1160" s="63" t="e">
        <f>A1160&amp;D1160</f>
        <v>#N/A</v>
      </c>
      <c r="F1160" s="389" t="e">
        <f>VLOOKUP(C1160,'RAW DATA 2023'!E:BO,57,0)</f>
        <v>#N/A</v>
      </c>
      <c r="G1160" s="63" t="e">
        <f>VLOOKUP(C1160,'RAW DATA 2023'!E:BO,58,0)</f>
        <v>#N/A</v>
      </c>
      <c r="H1160" s="390">
        <f>IFERROR((G1160-F1160)/G1160,0)</f>
        <v>0</v>
      </c>
      <c r="I1160" s="398">
        <f>IF(H1160&lt;0,((0.25-(H1160*(-1)))*$L$7),IF(H1160&gt;0,(H1160*$N$7)+$L$6,0))</f>
        <v>0</v>
      </c>
      <c r="J1160" s="73" t="e">
        <f>VLOOKUP(C1160,'RAW DATA 2023'!E:AC,21,0)</f>
        <v>#N/A</v>
      </c>
      <c r="K1160" s="398" t="e">
        <f>I1160*J1160</f>
        <v>#N/A</v>
      </c>
    </row>
    <row r="1161" spans="1:11">
      <c r="A1161" s="63">
        <f>'RAW DATA 2023'!B1154</f>
        <v>0</v>
      </c>
      <c r="B1161" s="63">
        <f>'RAW DATA 2023'!D1154</f>
        <v>0</v>
      </c>
      <c r="C1161" s="63" t="str">
        <f>A1161&amp;B1161</f>
        <v>00</v>
      </c>
      <c r="D1161" s="63" t="e">
        <f>VLOOKUP(C1161,'RAW DATA 2023'!E:BP,63,0)</f>
        <v>#N/A</v>
      </c>
      <c r="E1161" s="63" t="e">
        <f>A1161&amp;D1161</f>
        <v>#N/A</v>
      </c>
      <c r="F1161" s="389" t="e">
        <f>VLOOKUP(C1161,'RAW DATA 2023'!E:BO,57,0)</f>
        <v>#N/A</v>
      </c>
      <c r="G1161" s="63" t="e">
        <f>VLOOKUP(C1161,'RAW DATA 2023'!E:BO,58,0)</f>
        <v>#N/A</v>
      </c>
      <c r="H1161" s="390">
        <f>IFERROR((G1161-F1161)/G1161,0)</f>
        <v>0</v>
      </c>
      <c r="I1161" s="398">
        <f>IF(H1161&lt;0,((0.25-(H1161*(-1)))*$L$7),IF(H1161&gt;0,(H1161*$N$7)+$L$6,0))</f>
        <v>0</v>
      </c>
      <c r="J1161" s="73" t="e">
        <f>VLOOKUP(C1161,'RAW DATA 2023'!E:AC,21,0)</f>
        <v>#N/A</v>
      </c>
      <c r="K1161" s="398" t="e">
        <f>I1161*J1161</f>
        <v>#N/A</v>
      </c>
    </row>
    <row r="1162" spans="1:11">
      <c r="A1162" s="63">
        <f>'RAW DATA 2023'!B1155</f>
        <v>0</v>
      </c>
      <c r="B1162" s="63">
        <f>'RAW DATA 2023'!D1155</f>
        <v>0</v>
      </c>
      <c r="C1162" s="63" t="str">
        <f>A1162&amp;B1162</f>
        <v>00</v>
      </c>
      <c r="D1162" s="63" t="e">
        <f>VLOOKUP(C1162,'RAW DATA 2023'!E:BP,63,0)</f>
        <v>#N/A</v>
      </c>
      <c r="E1162" s="63" t="e">
        <f>A1162&amp;D1162</f>
        <v>#N/A</v>
      </c>
      <c r="F1162" s="389" t="e">
        <f>VLOOKUP(C1162,'RAW DATA 2023'!E:BO,57,0)</f>
        <v>#N/A</v>
      </c>
      <c r="G1162" s="63" t="e">
        <f>VLOOKUP(C1162,'RAW DATA 2023'!E:BO,58,0)</f>
        <v>#N/A</v>
      </c>
      <c r="H1162" s="390">
        <f>IFERROR((G1162-F1162)/G1162,0)</f>
        <v>0</v>
      </c>
      <c r="I1162" s="398">
        <f>IF(H1162&lt;0,((0.25-(H1162*(-1)))*$L$7),IF(H1162&gt;0,(H1162*$N$7)+$L$6,0))</f>
        <v>0</v>
      </c>
      <c r="J1162" s="73" t="e">
        <f>VLOOKUP(C1162,'RAW DATA 2023'!E:AC,21,0)</f>
        <v>#N/A</v>
      </c>
      <c r="K1162" s="398" t="e">
        <f>I1162*J1162</f>
        <v>#N/A</v>
      </c>
    </row>
    <row r="1163" spans="1:11">
      <c r="A1163" s="63">
        <f>'RAW DATA 2023'!B1156</f>
        <v>0</v>
      </c>
      <c r="B1163" s="63">
        <f>'RAW DATA 2023'!D1156</f>
        <v>0</v>
      </c>
      <c r="C1163" s="63" t="str">
        <f>A1163&amp;B1163</f>
        <v>00</v>
      </c>
      <c r="D1163" s="63" t="e">
        <f>VLOOKUP(C1163,'RAW DATA 2023'!E:BP,63,0)</f>
        <v>#N/A</v>
      </c>
      <c r="E1163" s="63" t="e">
        <f>A1163&amp;D1163</f>
        <v>#N/A</v>
      </c>
      <c r="F1163" s="389" t="e">
        <f>VLOOKUP(C1163,'RAW DATA 2023'!E:BO,57,0)</f>
        <v>#N/A</v>
      </c>
      <c r="G1163" s="63" t="e">
        <f>VLOOKUP(C1163,'RAW DATA 2023'!E:BO,58,0)</f>
        <v>#N/A</v>
      </c>
      <c r="H1163" s="390">
        <f>IFERROR((G1163-F1163)/G1163,0)</f>
        <v>0</v>
      </c>
      <c r="I1163" s="398">
        <f>IF(H1163&lt;0,((0.25-(H1163*(-1)))*$L$7),IF(H1163&gt;0,(H1163*$N$7)+$L$6,0))</f>
        <v>0</v>
      </c>
      <c r="J1163" s="73" t="e">
        <f>VLOOKUP(C1163,'RAW DATA 2023'!E:AC,21,0)</f>
        <v>#N/A</v>
      </c>
      <c r="K1163" s="398" t="e">
        <f>I1163*J1163</f>
        <v>#N/A</v>
      </c>
    </row>
    <row r="1164" spans="1:11">
      <c r="A1164" s="63">
        <f>'RAW DATA 2023'!B1157</f>
        <v>0</v>
      </c>
      <c r="B1164" s="63">
        <f>'RAW DATA 2023'!D1157</f>
        <v>0</v>
      </c>
      <c r="C1164" s="63" t="str">
        <f>A1164&amp;B1164</f>
        <v>00</v>
      </c>
      <c r="D1164" s="63" t="e">
        <f>VLOOKUP(C1164,'RAW DATA 2023'!E:BP,63,0)</f>
        <v>#N/A</v>
      </c>
      <c r="E1164" s="63" t="e">
        <f>A1164&amp;D1164</f>
        <v>#N/A</v>
      </c>
      <c r="F1164" s="389" t="e">
        <f>VLOOKUP(C1164,'RAW DATA 2023'!E:BO,57,0)</f>
        <v>#N/A</v>
      </c>
      <c r="G1164" s="63" t="e">
        <f>VLOOKUP(C1164,'RAW DATA 2023'!E:BO,58,0)</f>
        <v>#N/A</v>
      </c>
      <c r="H1164" s="390">
        <f>IFERROR((G1164-F1164)/G1164,0)</f>
        <v>0</v>
      </c>
      <c r="I1164" s="398">
        <f>IF(H1164&lt;0,((0.25-(H1164*(-1)))*$L$7),IF(H1164&gt;0,(H1164*$N$7)+$L$6,0))</f>
        <v>0</v>
      </c>
      <c r="J1164" s="73" t="e">
        <f>VLOOKUP(C1164,'RAW DATA 2023'!E:AC,21,0)</f>
        <v>#N/A</v>
      </c>
      <c r="K1164" s="398" t="e">
        <f>I1164*J1164</f>
        <v>#N/A</v>
      </c>
    </row>
    <row r="1165" spans="1:11">
      <c r="A1165" s="63">
        <f>'RAW DATA 2023'!B1158</f>
        <v>0</v>
      </c>
      <c r="B1165" s="63">
        <f>'RAW DATA 2023'!D1158</f>
        <v>0</v>
      </c>
      <c r="C1165" s="63" t="str">
        <f>A1165&amp;B1165</f>
        <v>00</v>
      </c>
      <c r="D1165" s="63" t="e">
        <f>VLOOKUP(C1165,'RAW DATA 2023'!E:BP,63,0)</f>
        <v>#N/A</v>
      </c>
      <c r="E1165" s="63" t="e">
        <f>A1165&amp;D1165</f>
        <v>#N/A</v>
      </c>
      <c r="F1165" s="389" t="e">
        <f>VLOOKUP(C1165,'RAW DATA 2023'!E:BO,57,0)</f>
        <v>#N/A</v>
      </c>
      <c r="G1165" s="63" t="e">
        <f>VLOOKUP(C1165,'RAW DATA 2023'!E:BO,58,0)</f>
        <v>#N/A</v>
      </c>
      <c r="H1165" s="390">
        <f>IFERROR((G1165-F1165)/G1165,0)</f>
        <v>0</v>
      </c>
      <c r="I1165" s="398">
        <f>IF(H1165&lt;0,((0.25-(H1165*(-1)))*$L$7),IF(H1165&gt;0,(H1165*$N$7)+$L$6,0))</f>
        <v>0</v>
      </c>
      <c r="J1165" s="73" t="e">
        <f>VLOOKUP(C1165,'RAW DATA 2023'!E:AC,21,0)</f>
        <v>#N/A</v>
      </c>
      <c r="K1165" s="398" t="e">
        <f>I1165*J1165</f>
        <v>#N/A</v>
      </c>
    </row>
    <row r="1166" spans="1:11">
      <c r="A1166" s="63">
        <f>'RAW DATA 2023'!B1159</f>
        <v>0</v>
      </c>
      <c r="B1166" s="63">
        <f>'RAW DATA 2023'!D1159</f>
        <v>0</v>
      </c>
      <c r="C1166" s="63" t="str">
        <f>A1166&amp;B1166</f>
        <v>00</v>
      </c>
      <c r="D1166" s="63" t="e">
        <f>VLOOKUP(C1166,'RAW DATA 2023'!E:BP,63,0)</f>
        <v>#N/A</v>
      </c>
      <c r="E1166" s="63" t="e">
        <f>A1166&amp;D1166</f>
        <v>#N/A</v>
      </c>
      <c r="F1166" s="389" t="e">
        <f>VLOOKUP(C1166,'RAW DATA 2023'!E:BO,57,0)</f>
        <v>#N/A</v>
      </c>
      <c r="G1166" s="63" t="e">
        <f>VLOOKUP(C1166,'RAW DATA 2023'!E:BO,58,0)</f>
        <v>#N/A</v>
      </c>
      <c r="H1166" s="390">
        <f>IFERROR((G1166-F1166)/G1166,0)</f>
        <v>0</v>
      </c>
      <c r="I1166" s="398">
        <f>IF(H1166&lt;0,((0.25-(H1166*(-1)))*$L$7),IF(H1166&gt;0,(H1166*$N$7)+$L$6,0))</f>
        <v>0</v>
      </c>
      <c r="J1166" s="73" t="e">
        <f>VLOOKUP(C1166,'RAW DATA 2023'!E:AC,21,0)</f>
        <v>#N/A</v>
      </c>
      <c r="K1166" s="398" t="e">
        <f>I1166*J1166</f>
        <v>#N/A</v>
      </c>
    </row>
    <row r="1167" spans="1:11">
      <c r="A1167" s="63">
        <f>'RAW DATA 2023'!B1160</f>
        <v>0</v>
      </c>
      <c r="B1167" s="63">
        <f>'RAW DATA 2023'!D1160</f>
        <v>0</v>
      </c>
      <c r="C1167" s="63" t="str">
        <f>A1167&amp;B1167</f>
        <v>00</v>
      </c>
      <c r="D1167" s="63" t="e">
        <f>VLOOKUP(C1167,'RAW DATA 2023'!E:BP,63,0)</f>
        <v>#N/A</v>
      </c>
      <c r="E1167" s="63" t="e">
        <f>A1167&amp;D1167</f>
        <v>#N/A</v>
      </c>
      <c r="F1167" s="389" t="e">
        <f>VLOOKUP(C1167,'RAW DATA 2023'!E:BO,57,0)</f>
        <v>#N/A</v>
      </c>
      <c r="G1167" s="63" t="e">
        <f>VLOOKUP(C1167,'RAW DATA 2023'!E:BO,58,0)</f>
        <v>#N/A</v>
      </c>
      <c r="H1167" s="390">
        <f>IFERROR((G1167-F1167)/G1167,0)</f>
        <v>0</v>
      </c>
      <c r="I1167" s="398">
        <f>IF(H1167&lt;0,((0.25-(H1167*(-1)))*$L$7),IF(H1167&gt;0,(H1167*$N$7)+$L$6,0))</f>
        <v>0</v>
      </c>
      <c r="J1167" s="73" t="e">
        <f>VLOOKUP(C1167,'RAW DATA 2023'!E:AC,21,0)</f>
        <v>#N/A</v>
      </c>
      <c r="K1167" s="398" t="e">
        <f>I1167*J1167</f>
        <v>#N/A</v>
      </c>
    </row>
    <row r="1168" spans="1:11">
      <c r="A1168" s="63">
        <f>'RAW DATA 2023'!B1161</f>
        <v>0</v>
      </c>
      <c r="B1168" s="63">
        <f>'RAW DATA 2023'!D1161</f>
        <v>0</v>
      </c>
      <c r="C1168" s="63" t="str">
        <f>A1168&amp;B1168</f>
        <v>00</v>
      </c>
      <c r="D1168" s="63" t="e">
        <f>VLOOKUP(C1168,'RAW DATA 2023'!E:BP,63,0)</f>
        <v>#N/A</v>
      </c>
      <c r="E1168" s="63" t="e">
        <f>A1168&amp;D1168</f>
        <v>#N/A</v>
      </c>
      <c r="F1168" s="389" t="e">
        <f>VLOOKUP(C1168,'RAW DATA 2023'!E:BO,57,0)</f>
        <v>#N/A</v>
      </c>
      <c r="G1168" s="63" t="e">
        <f>VLOOKUP(C1168,'RAW DATA 2023'!E:BO,58,0)</f>
        <v>#N/A</v>
      </c>
      <c r="H1168" s="390">
        <f>IFERROR((G1168-F1168)/G1168,0)</f>
        <v>0</v>
      </c>
      <c r="I1168" s="398">
        <f>IF(H1168&lt;0,((0.25-(H1168*(-1)))*$L$7),IF(H1168&gt;0,(H1168*$N$7)+$L$6,0))</f>
        <v>0</v>
      </c>
      <c r="J1168" s="73" t="e">
        <f>VLOOKUP(C1168,'RAW DATA 2023'!E:AC,21,0)</f>
        <v>#N/A</v>
      </c>
      <c r="K1168" s="398" t="e">
        <f>I1168*J1168</f>
        <v>#N/A</v>
      </c>
    </row>
    <row r="1169" spans="1:11">
      <c r="A1169" s="63">
        <f>'RAW DATA 2023'!B1162</f>
        <v>0</v>
      </c>
      <c r="B1169" s="63">
        <f>'RAW DATA 2023'!D1162</f>
        <v>0</v>
      </c>
      <c r="C1169" s="63" t="str">
        <f>A1169&amp;B1169</f>
        <v>00</v>
      </c>
      <c r="D1169" s="63" t="e">
        <f>VLOOKUP(C1169,'RAW DATA 2023'!E:BP,63,0)</f>
        <v>#N/A</v>
      </c>
      <c r="E1169" s="63" t="e">
        <f>A1169&amp;D1169</f>
        <v>#N/A</v>
      </c>
      <c r="F1169" s="389" t="e">
        <f>VLOOKUP(C1169,'RAW DATA 2023'!E:BO,57,0)</f>
        <v>#N/A</v>
      </c>
      <c r="G1169" s="63" t="e">
        <f>VLOOKUP(C1169,'RAW DATA 2023'!E:BO,58,0)</f>
        <v>#N/A</v>
      </c>
      <c r="H1169" s="390">
        <f>IFERROR((G1169-F1169)/G1169,0)</f>
        <v>0</v>
      </c>
      <c r="I1169" s="398">
        <f>IF(H1169&lt;0,((0.25-(H1169*(-1)))*$L$7),IF(H1169&gt;0,(H1169*$N$7)+$L$6,0))</f>
        <v>0</v>
      </c>
      <c r="J1169" s="73" t="e">
        <f>VLOOKUP(C1169,'RAW DATA 2023'!E:AC,21,0)</f>
        <v>#N/A</v>
      </c>
      <c r="K1169" s="398" t="e">
        <f>I1169*J1169</f>
        <v>#N/A</v>
      </c>
    </row>
    <row r="1170" spans="1:11">
      <c r="A1170" s="63">
        <f>'RAW DATA 2023'!B1163</f>
        <v>0</v>
      </c>
      <c r="B1170" s="63">
        <f>'RAW DATA 2023'!D1163</f>
        <v>0</v>
      </c>
      <c r="C1170" s="63" t="str">
        <f>A1170&amp;B1170</f>
        <v>00</v>
      </c>
      <c r="D1170" s="63" t="e">
        <f>VLOOKUP(C1170,'RAW DATA 2023'!E:BP,63,0)</f>
        <v>#N/A</v>
      </c>
      <c r="E1170" s="63" t="e">
        <f>A1170&amp;D1170</f>
        <v>#N/A</v>
      </c>
      <c r="F1170" s="389" t="e">
        <f>VLOOKUP(C1170,'RAW DATA 2023'!E:BO,57,0)</f>
        <v>#N/A</v>
      </c>
      <c r="G1170" s="63" t="e">
        <f>VLOOKUP(C1170,'RAW DATA 2023'!E:BO,58,0)</f>
        <v>#N/A</v>
      </c>
      <c r="H1170" s="390">
        <f>IFERROR((G1170-F1170)/G1170,0)</f>
        <v>0</v>
      </c>
      <c r="I1170" s="398">
        <f>IF(H1170&lt;0,((0.25-(H1170*(-1)))*$L$7),IF(H1170&gt;0,(H1170*$N$7)+$L$6,0))</f>
        <v>0</v>
      </c>
      <c r="J1170" s="73" t="e">
        <f>VLOOKUP(C1170,'RAW DATA 2023'!E:AC,21,0)</f>
        <v>#N/A</v>
      </c>
      <c r="K1170" s="398" t="e">
        <f>I1170*J1170</f>
        <v>#N/A</v>
      </c>
    </row>
    <row r="1171" spans="1:11">
      <c r="A1171" s="63">
        <f>'RAW DATA 2023'!B1164</f>
        <v>0</v>
      </c>
      <c r="B1171" s="63">
        <f>'RAW DATA 2023'!D1164</f>
        <v>0</v>
      </c>
      <c r="C1171" s="63" t="str">
        <f>A1171&amp;B1171</f>
        <v>00</v>
      </c>
      <c r="D1171" s="63" t="e">
        <f>VLOOKUP(C1171,'RAW DATA 2023'!E:BP,63,0)</f>
        <v>#N/A</v>
      </c>
      <c r="E1171" s="63" t="e">
        <f>A1171&amp;D1171</f>
        <v>#N/A</v>
      </c>
      <c r="F1171" s="389" t="e">
        <f>VLOOKUP(C1171,'RAW DATA 2023'!E:BO,57,0)</f>
        <v>#N/A</v>
      </c>
      <c r="G1171" s="63" t="e">
        <f>VLOOKUP(C1171,'RAW DATA 2023'!E:BO,58,0)</f>
        <v>#N/A</v>
      </c>
      <c r="H1171" s="390">
        <f>IFERROR((G1171-F1171)/G1171,0)</f>
        <v>0</v>
      </c>
      <c r="I1171" s="398">
        <f>IF(H1171&lt;0,((0.25-(H1171*(-1)))*$L$7),IF(H1171&gt;0,(H1171*$N$7)+$L$6,0))</f>
        <v>0</v>
      </c>
      <c r="J1171" s="73" t="e">
        <f>VLOOKUP(C1171,'RAW DATA 2023'!E:AC,21,0)</f>
        <v>#N/A</v>
      </c>
      <c r="K1171" s="398" t="e">
        <f>I1171*J1171</f>
        <v>#N/A</v>
      </c>
    </row>
    <row r="1172" spans="1:11">
      <c r="A1172" s="63">
        <f>'RAW DATA 2023'!B1165</f>
        <v>0</v>
      </c>
      <c r="B1172" s="63">
        <f>'RAW DATA 2023'!D1165</f>
        <v>0</v>
      </c>
      <c r="C1172" s="63" t="str">
        <f>A1172&amp;B1172</f>
        <v>00</v>
      </c>
      <c r="D1172" s="63" t="e">
        <f>VLOOKUP(C1172,'RAW DATA 2023'!E:BP,63,0)</f>
        <v>#N/A</v>
      </c>
      <c r="E1172" s="63" t="e">
        <f>A1172&amp;D1172</f>
        <v>#N/A</v>
      </c>
      <c r="F1172" s="389" t="e">
        <f>VLOOKUP(C1172,'RAW DATA 2023'!E:BO,57,0)</f>
        <v>#N/A</v>
      </c>
      <c r="G1172" s="63" t="e">
        <f>VLOOKUP(C1172,'RAW DATA 2023'!E:BO,58,0)</f>
        <v>#N/A</v>
      </c>
      <c r="H1172" s="390">
        <f>IFERROR((G1172-F1172)/G1172,0)</f>
        <v>0</v>
      </c>
      <c r="I1172" s="398">
        <f>IF(H1172&lt;0,((0.25-(H1172*(-1)))*$L$7),IF(H1172&gt;0,(H1172*$N$7)+$L$6,0))</f>
        <v>0</v>
      </c>
      <c r="J1172" s="73" t="e">
        <f>VLOOKUP(C1172,'RAW DATA 2023'!E:AC,21,0)</f>
        <v>#N/A</v>
      </c>
      <c r="K1172" s="398" t="e">
        <f>I1172*J1172</f>
        <v>#N/A</v>
      </c>
    </row>
    <row r="1173" spans="1:11">
      <c r="A1173" s="63">
        <f>'RAW DATA 2023'!B1166</f>
        <v>0</v>
      </c>
      <c r="B1173" s="63">
        <f>'RAW DATA 2023'!D1166</f>
        <v>0</v>
      </c>
      <c r="C1173" s="63" t="str">
        <f>A1173&amp;B1173</f>
        <v>00</v>
      </c>
      <c r="D1173" s="63" t="e">
        <f>VLOOKUP(C1173,'RAW DATA 2023'!E:BP,63,0)</f>
        <v>#N/A</v>
      </c>
      <c r="E1173" s="63" t="e">
        <f>A1173&amp;D1173</f>
        <v>#N/A</v>
      </c>
      <c r="F1173" s="389" t="e">
        <f>VLOOKUP(C1173,'RAW DATA 2023'!E:BO,57,0)</f>
        <v>#N/A</v>
      </c>
      <c r="G1173" s="63" t="e">
        <f>VLOOKUP(C1173,'RAW DATA 2023'!E:BO,58,0)</f>
        <v>#N/A</v>
      </c>
      <c r="H1173" s="390">
        <f>IFERROR((G1173-F1173)/G1173,0)</f>
        <v>0</v>
      </c>
      <c r="I1173" s="398">
        <f>IF(H1173&lt;0,((0.25-(H1173*(-1)))*$L$7),IF(H1173&gt;0,(H1173*$N$7)+$L$6,0))</f>
        <v>0</v>
      </c>
      <c r="J1173" s="73" t="e">
        <f>VLOOKUP(C1173,'RAW DATA 2023'!E:AC,21,0)</f>
        <v>#N/A</v>
      </c>
      <c r="K1173" s="398" t="e">
        <f>I1173*J1173</f>
        <v>#N/A</v>
      </c>
    </row>
    <row r="1174" spans="1:11">
      <c r="A1174" s="63">
        <f>'RAW DATA 2023'!B1167</f>
        <v>0</v>
      </c>
      <c r="B1174" s="63">
        <f>'RAW DATA 2023'!D1167</f>
        <v>0</v>
      </c>
      <c r="C1174" s="63" t="str">
        <f>A1174&amp;B1174</f>
        <v>00</v>
      </c>
      <c r="D1174" s="63" t="e">
        <f>VLOOKUP(C1174,'RAW DATA 2023'!E:BP,63,0)</f>
        <v>#N/A</v>
      </c>
      <c r="E1174" s="63" t="e">
        <f>A1174&amp;D1174</f>
        <v>#N/A</v>
      </c>
      <c r="F1174" s="389" t="e">
        <f>VLOOKUP(C1174,'RAW DATA 2023'!E:BO,57,0)</f>
        <v>#N/A</v>
      </c>
      <c r="G1174" s="63" t="e">
        <f>VLOOKUP(C1174,'RAW DATA 2023'!E:BO,58,0)</f>
        <v>#N/A</v>
      </c>
      <c r="H1174" s="390">
        <f>IFERROR((G1174-F1174)/G1174,0)</f>
        <v>0</v>
      </c>
      <c r="I1174" s="398">
        <f>IF(H1174&lt;0,((0.25-(H1174*(-1)))*$L$7),IF(H1174&gt;0,(H1174*$N$7)+$L$6,0))</f>
        <v>0</v>
      </c>
      <c r="J1174" s="73" t="e">
        <f>VLOOKUP(C1174,'RAW DATA 2023'!E:AC,21,0)</f>
        <v>#N/A</v>
      </c>
      <c r="K1174" s="398" t="e">
        <f>I1174*J1174</f>
        <v>#N/A</v>
      </c>
    </row>
    <row r="1175" spans="1:11">
      <c r="A1175" s="63">
        <f>'RAW DATA 2023'!B1168</f>
        <v>0</v>
      </c>
      <c r="B1175" s="63">
        <f>'RAW DATA 2023'!D1168</f>
        <v>0</v>
      </c>
      <c r="C1175" s="63" t="str">
        <f>A1175&amp;B1175</f>
        <v>00</v>
      </c>
      <c r="D1175" s="63" t="e">
        <f>VLOOKUP(C1175,'RAW DATA 2023'!E:BP,63,0)</f>
        <v>#N/A</v>
      </c>
      <c r="E1175" s="63" t="e">
        <f>A1175&amp;D1175</f>
        <v>#N/A</v>
      </c>
      <c r="F1175" s="389" t="e">
        <f>VLOOKUP(C1175,'RAW DATA 2023'!E:BO,57,0)</f>
        <v>#N/A</v>
      </c>
      <c r="G1175" s="63" t="e">
        <f>VLOOKUP(C1175,'RAW DATA 2023'!E:BO,58,0)</f>
        <v>#N/A</v>
      </c>
      <c r="H1175" s="390">
        <f>IFERROR((G1175-F1175)/G1175,0)</f>
        <v>0</v>
      </c>
      <c r="I1175" s="398">
        <f>IF(H1175&lt;0,((0.25-(H1175*(-1)))*$L$7),IF(H1175&gt;0,(H1175*$N$7)+$L$6,0))</f>
        <v>0</v>
      </c>
      <c r="J1175" s="73" t="e">
        <f>VLOOKUP(C1175,'RAW DATA 2023'!E:AC,21,0)</f>
        <v>#N/A</v>
      </c>
      <c r="K1175" s="398" t="e">
        <f>I1175*J1175</f>
        <v>#N/A</v>
      </c>
    </row>
    <row r="1176" spans="1:11">
      <c r="A1176" s="63">
        <f>'RAW DATA 2023'!B1169</f>
        <v>0</v>
      </c>
      <c r="B1176" s="63">
        <f>'RAW DATA 2023'!D1169</f>
        <v>0</v>
      </c>
      <c r="C1176" s="63" t="str">
        <f>A1176&amp;B1176</f>
        <v>00</v>
      </c>
      <c r="D1176" s="63" t="e">
        <f>VLOOKUP(C1176,'RAW DATA 2023'!E:BP,63,0)</f>
        <v>#N/A</v>
      </c>
      <c r="E1176" s="63" t="e">
        <f>A1176&amp;D1176</f>
        <v>#N/A</v>
      </c>
      <c r="F1176" s="389" t="e">
        <f>VLOOKUP(C1176,'RAW DATA 2023'!E:BO,57,0)</f>
        <v>#N/A</v>
      </c>
      <c r="G1176" s="63" t="e">
        <f>VLOOKUP(C1176,'RAW DATA 2023'!E:BO,58,0)</f>
        <v>#N/A</v>
      </c>
      <c r="H1176" s="390">
        <f>IFERROR((G1176-F1176)/G1176,0)</f>
        <v>0</v>
      </c>
      <c r="I1176" s="398">
        <f>IF(H1176&lt;0,((0.25-(H1176*(-1)))*$L$7),IF(H1176&gt;0,(H1176*$N$7)+$L$6,0))</f>
        <v>0</v>
      </c>
      <c r="J1176" s="73" t="e">
        <f>VLOOKUP(C1176,'RAW DATA 2023'!E:AC,21,0)</f>
        <v>#N/A</v>
      </c>
      <c r="K1176" s="398" t="e">
        <f>I1176*J1176</f>
        <v>#N/A</v>
      </c>
    </row>
    <row r="1177" spans="1:11">
      <c r="A1177" s="63">
        <f>'RAW DATA 2023'!B1170</f>
        <v>0</v>
      </c>
      <c r="B1177" s="63">
        <f>'RAW DATA 2023'!D1170</f>
        <v>0</v>
      </c>
      <c r="C1177" s="63" t="str">
        <f>A1177&amp;B1177</f>
        <v>00</v>
      </c>
      <c r="D1177" s="63" t="e">
        <f>VLOOKUP(C1177,'RAW DATA 2023'!E:BP,63,0)</f>
        <v>#N/A</v>
      </c>
      <c r="E1177" s="63" t="e">
        <f>A1177&amp;D1177</f>
        <v>#N/A</v>
      </c>
      <c r="F1177" s="389" t="e">
        <f>VLOOKUP(C1177,'RAW DATA 2023'!E:BO,57,0)</f>
        <v>#N/A</v>
      </c>
      <c r="G1177" s="63" t="e">
        <f>VLOOKUP(C1177,'RAW DATA 2023'!E:BO,58,0)</f>
        <v>#N/A</v>
      </c>
      <c r="H1177" s="390">
        <f>IFERROR((G1177-F1177)/G1177,0)</f>
        <v>0</v>
      </c>
      <c r="I1177" s="398">
        <f>IF(H1177&lt;0,((0.25-(H1177*(-1)))*$L$7),IF(H1177&gt;0,(H1177*$N$7)+$L$6,0))</f>
        <v>0</v>
      </c>
      <c r="J1177" s="73" t="e">
        <f>VLOOKUP(C1177,'RAW DATA 2023'!E:AC,21,0)</f>
        <v>#N/A</v>
      </c>
      <c r="K1177" s="398" t="e">
        <f>I1177*J1177</f>
        <v>#N/A</v>
      </c>
    </row>
    <row r="1178" spans="1:11">
      <c r="A1178" s="63">
        <f>'RAW DATA 2023'!B1171</f>
        <v>0</v>
      </c>
      <c r="B1178" s="63">
        <f>'RAW DATA 2023'!D1171</f>
        <v>0</v>
      </c>
      <c r="C1178" s="63" t="str">
        <f>A1178&amp;B1178</f>
        <v>00</v>
      </c>
      <c r="D1178" s="63" t="e">
        <f>VLOOKUP(C1178,'RAW DATA 2023'!E:BP,63,0)</f>
        <v>#N/A</v>
      </c>
      <c r="E1178" s="63" t="e">
        <f>A1178&amp;D1178</f>
        <v>#N/A</v>
      </c>
      <c r="F1178" s="389" t="e">
        <f>VLOOKUP(C1178,'RAW DATA 2023'!E:BO,57,0)</f>
        <v>#N/A</v>
      </c>
      <c r="G1178" s="63" t="e">
        <f>VLOOKUP(C1178,'RAW DATA 2023'!E:BO,58,0)</f>
        <v>#N/A</v>
      </c>
      <c r="H1178" s="390">
        <f>IFERROR((G1178-F1178)/G1178,0)</f>
        <v>0</v>
      </c>
      <c r="I1178" s="398">
        <f>IF(H1178&lt;0,((0.25-(H1178*(-1)))*$L$7),IF(H1178&gt;0,(H1178*$N$7)+$L$6,0))</f>
        <v>0</v>
      </c>
      <c r="J1178" s="73" t="e">
        <f>VLOOKUP(C1178,'RAW DATA 2023'!E:AC,21,0)</f>
        <v>#N/A</v>
      </c>
      <c r="K1178" s="398" t="e">
        <f>I1178*J1178</f>
        <v>#N/A</v>
      </c>
    </row>
    <row r="1179" spans="1:11">
      <c r="A1179" s="63">
        <f>'RAW DATA 2023'!B1172</f>
        <v>0</v>
      </c>
      <c r="B1179" s="63">
        <f>'RAW DATA 2023'!D1172</f>
        <v>0</v>
      </c>
      <c r="C1179" s="63" t="str">
        <f>A1179&amp;B1179</f>
        <v>00</v>
      </c>
      <c r="D1179" s="63" t="e">
        <f>VLOOKUP(C1179,'RAW DATA 2023'!E:BP,63,0)</f>
        <v>#N/A</v>
      </c>
      <c r="E1179" s="63" t="e">
        <f>A1179&amp;D1179</f>
        <v>#N/A</v>
      </c>
      <c r="F1179" s="389" t="e">
        <f>VLOOKUP(C1179,'RAW DATA 2023'!E:BO,57,0)</f>
        <v>#N/A</v>
      </c>
      <c r="G1179" s="63" t="e">
        <f>VLOOKUP(C1179,'RAW DATA 2023'!E:BO,58,0)</f>
        <v>#N/A</v>
      </c>
      <c r="H1179" s="390">
        <f>IFERROR((G1179-F1179)/G1179,0)</f>
        <v>0</v>
      </c>
      <c r="I1179" s="398">
        <f>IF(H1179&lt;0,((0.25-(H1179*(-1)))*$L$7),IF(H1179&gt;0,(H1179*$N$7)+$L$6,0))</f>
        <v>0</v>
      </c>
      <c r="J1179" s="73" t="e">
        <f>VLOOKUP(C1179,'RAW DATA 2023'!E:AC,21,0)</f>
        <v>#N/A</v>
      </c>
      <c r="K1179" s="398" t="e">
        <f>I1179*J1179</f>
        <v>#N/A</v>
      </c>
    </row>
    <row r="1180" spans="1:11">
      <c r="A1180" s="63">
        <f>'RAW DATA 2023'!B1173</f>
        <v>0</v>
      </c>
      <c r="B1180" s="63">
        <f>'RAW DATA 2023'!D1173</f>
        <v>0</v>
      </c>
      <c r="C1180" s="63" t="str">
        <f>A1180&amp;B1180</f>
        <v>00</v>
      </c>
      <c r="D1180" s="63" t="e">
        <f>VLOOKUP(C1180,'RAW DATA 2023'!E:BP,63,0)</f>
        <v>#N/A</v>
      </c>
      <c r="E1180" s="63" t="e">
        <f>A1180&amp;D1180</f>
        <v>#N/A</v>
      </c>
      <c r="F1180" s="389" t="e">
        <f>VLOOKUP(C1180,'RAW DATA 2023'!E:BO,57,0)</f>
        <v>#N/A</v>
      </c>
      <c r="G1180" s="63" t="e">
        <f>VLOOKUP(C1180,'RAW DATA 2023'!E:BO,58,0)</f>
        <v>#N/A</v>
      </c>
      <c r="H1180" s="390">
        <f>IFERROR((G1180-F1180)/G1180,0)</f>
        <v>0</v>
      </c>
      <c r="I1180" s="398">
        <f>IF(H1180&lt;0,((0.25-(H1180*(-1)))*$L$7),IF(H1180&gt;0,(H1180*$N$7)+$L$6,0))</f>
        <v>0</v>
      </c>
      <c r="J1180" s="73" t="e">
        <f>VLOOKUP(C1180,'RAW DATA 2023'!E:AC,21,0)</f>
        <v>#N/A</v>
      </c>
      <c r="K1180" s="398" t="e">
        <f>I1180*J1180</f>
        <v>#N/A</v>
      </c>
    </row>
    <row r="1181" spans="1:11">
      <c r="A1181" s="63">
        <f>'RAW DATA 2023'!B1174</f>
        <v>0</v>
      </c>
      <c r="B1181" s="63">
        <f>'RAW DATA 2023'!D1174</f>
        <v>0</v>
      </c>
      <c r="C1181" s="63" t="str">
        <f>A1181&amp;B1181</f>
        <v>00</v>
      </c>
      <c r="D1181" s="63" t="e">
        <f>VLOOKUP(C1181,'RAW DATA 2023'!E:BP,63,0)</f>
        <v>#N/A</v>
      </c>
      <c r="E1181" s="63" t="e">
        <f>A1181&amp;D1181</f>
        <v>#N/A</v>
      </c>
      <c r="F1181" s="389" t="e">
        <f>VLOOKUP(C1181,'RAW DATA 2023'!E:BO,57,0)</f>
        <v>#N/A</v>
      </c>
      <c r="G1181" s="63" t="e">
        <f>VLOOKUP(C1181,'RAW DATA 2023'!E:BO,58,0)</f>
        <v>#N/A</v>
      </c>
      <c r="H1181" s="390">
        <f>IFERROR((G1181-F1181)/G1181,0)</f>
        <v>0</v>
      </c>
      <c r="I1181" s="398">
        <f>IF(H1181&lt;0,((0.25-(H1181*(-1)))*$L$7),IF(H1181&gt;0,(H1181*$N$7)+$L$6,0))</f>
        <v>0</v>
      </c>
      <c r="J1181" s="73" t="e">
        <f>VLOOKUP(C1181,'RAW DATA 2023'!E:AC,21,0)</f>
        <v>#N/A</v>
      </c>
      <c r="K1181" s="398" t="e">
        <f>I1181*J1181</f>
        <v>#N/A</v>
      </c>
    </row>
    <row r="1182" spans="1:11">
      <c r="A1182" s="63">
        <f>'RAW DATA 2023'!B1175</f>
        <v>0</v>
      </c>
      <c r="B1182" s="63">
        <f>'RAW DATA 2023'!D1175</f>
        <v>0</v>
      </c>
      <c r="C1182" s="63" t="str">
        <f>A1182&amp;B1182</f>
        <v>00</v>
      </c>
      <c r="D1182" s="63" t="e">
        <f>VLOOKUP(C1182,'RAW DATA 2023'!E:BP,63,0)</f>
        <v>#N/A</v>
      </c>
      <c r="E1182" s="63" t="e">
        <f>A1182&amp;D1182</f>
        <v>#N/A</v>
      </c>
      <c r="F1182" s="389" t="e">
        <f>VLOOKUP(C1182,'RAW DATA 2023'!E:BO,57,0)</f>
        <v>#N/A</v>
      </c>
      <c r="G1182" s="63" t="e">
        <f>VLOOKUP(C1182,'RAW DATA 2023'!E:BO,58,0)</f>
        <v>#N/A</v>
      </c>
      <c r="H1182" s="390">
        <f>IFERROR((G1182-F1182)/G1182,0)</f>
        <v>0</v>
      </c>
      <c r="I1182" s="398">
        <f>IF(H1182&lt;0,((0.25-(H1182*(-1)))*$L$7),IF(H1182&gt;0,(H1182*$N$7)+$L$6,0))</f>
        <v>0</v>
      </c>
      <c r="J1182" s="73" t="e">
        <f>VLOOKUP(C1182,'RAW DATA 2023'!E:AC,21,0)</f>
        <v>#N/A</v>
      </c>
      <c r="K1182" s="398" t="e">
        <f>I1182*J1182</f>
        <v>#N/A</v>
      </c>
    </row>
    <row r="1183" spans="1:11">
      <c r="A1183" s="63">
        <f>'RAW DATA 2023'!B1176</f>
        <v>0</v>
      </c>
      <c r="B1183" s="63">
        <f>'RAW DATA 2023'!D1176</f>
        <v>0</v>
      </c>
      <c r="C1183" s="63" t="str">
        <f>A1183&amp;B1183</f>
        <v>00</v>
      </c>
      <c r="D1183" s="63" t="e">
        <f>VLOOKUP(C1183,'RAW DATA 2023'!E:BP,63,0)</f>
        <v>#N/A</v>
      </c>
      <c r="E1183" s="63" t="e">
        <f>A1183&amp;D1183</f>
        <v>#N/A</v>
      </c>
      <c r="F1183" s="389" t="e">
        <f>VLOOKUP(C1183,'RAW DATA 2023'!E:BO,57,0)</f>
        <v>#N/A</v>
      </c>
      <c r="G1183" s="63" t="e">
        <f>VLOOKUP(C1183,'RAW DATA 2023'!E:BO,58,0)</f>
        <v>#N/A</v>
      </c>
      <c r="H1183" s="390">
        <f>IFERROR((G1183-F1183)/G1183,0)</f>
        <v>0</v>
      </c>
      <c r="I1183" s="398">
        <f>IF(H1183&lt;0,((0.25-(H1183*(-1)))*$L$7),IF(H1183&gt;0,(H1183*$N$7)+$L$6,0))</f>
        <v>0</v>
      </c>
      <c r="J1183" s="73" t="e">
        <f>VLOOKUP(C1183,'RAW DATA 2023'!E:AC,21,0)</f>
        <v>#N/A</v>
      </c>
      <c r="K1183" s="398" t="e">
        <f>I1183*J1183</f>
        <v>#N/A</v>
      </c>
    </row>
    <row r="1184" spans="1:11">
      <c r="A1184" s="63">
        <f>'RAW DATA 2023'!B1177</f>
        <v>0</v>
      </c>
      <c r="B1184" s="63">
        <f>'RAW DATA 2023'!D1177</f>
        <v>0</v>
      </c>
      <c r="C1184" s="63" t="str">
        <f>A1184&amp;B1184</f>
        <v>00</v>
      </c>
      <c r="D1184" s="63" t="e">
        <f>VLOOKUP(C1184,'RAW DATA 2023'!E:BP,63,0)</f>
        <v>#N/A</v>
      </c>
      <c r="E1184" s="63" t="e">
        <f>A1184&amp;D1184</f>
        <v>#N/A</v>
      </c>
      <c r="F1184" s="389" t="e">
        <f>VLOOKUP(C1184,'RAW DATA 2023'!E:BO,57,0)</f>
        <v>#N/A</v>
      </c>
      <c r="G1184" s="63" t="e">
        <f>VLOOKUP(C1184,'RAW DATA 2023'!E:BO,58,0)</f>
        <v>#N/A</v>
      </c>
      <c r="H1184" s="390">
        <f>IFERROR((G1184-F1184)/G1184,0)</f>
        <v>0</v>
      </c>
      <c r="I1184" s="398">
        <f>IF(H1184&lt;0,((0.25-(H1184*(-1)))*$L$7),IF(H1184&gt;0,(H1184*$N$7)+$L$6,0))</f>
        <v>0</v>
      </c>
      <c r="J1184" s="73" t="e">
        <f>VLOOKUP(C1184,'RAW DATA 2023'!E:AC,21,0)</f>
        <v>#N/A</v>
      </c>
      <c r="K1184" s="398" t="e">
        <f>I1184*J1184</f>
        <v>#N/A</v>
      </c>
    </row>
    <row r="1185" spans="1:11">
      <c r="A1185" s="63">
        <f>'RAW DATA 2023'!B1178</f>
        <v>0</v>
      </c>
      <c r="B1185" s="63">
        <f>'RAW DATA 2023'!D1178</f>
        <v>0</v>
      </c>
      <c r="C1185" s="63" t="str">
        <f>A1185&amp;B1185</f>
        <v>00</v>
      </c>
      <c r="D1185" s="63" t="e">
        <f>VLOOKUP(C1185,'RAW DATA 2023'!E:BP,63,0)</f>
        <v>#N/A</v>
      </c>
      <c r="E1185" s="63" t="e">
        <f>A1185&amp;D1185</f>
        <v>#N/A</v>
      </c>
      <c r="F1185" s="389" t="e">
        <f>VLOOKUP(C1185,'RAW DATA 2023'!E:BO,57,0)</f>
        <v>#N/A</v>
      </c>
      <c r="G1185" s="63" t="e">
        <f>VLOOKUP(C1185,'RAW DATA 2023'!E:BO,58,0)</f>
        <v>#N/A</v>
      </c>
      <c r="H1185" s="390">
        <f>IFERROR((G1185-F1185)/G1185,0)</f>
        <v>0</v>
      </c>
      <c r="I1185" s="398">
        <f>IF(H1185&lt;0,((0.25-(H1185*(-1)))*$L$7),IF(H1185&gt;0,(H1185*$N$7)+$L$6,0))</f>
        <v>0</v>
      </c>
      <c r="J1185" s="73" t="e">
        <f>VLOOKUP(C1185,'RAW DATA 2023'!E:AC,21,0)</f>
        <v>#N/A</v>
      </c>
      <c r="K1185" s="398" t="e">
        <f>I1185*J1185</f>
        <v>#N/A</v>
      </c>
    </row>
    <row r="1186" spans="1:11">
      <c r="A1186" s="63">
        <f>'RAW DATA 2023'!B1179</f>
        <v>0</v>
      </c>
      <c r="B1186" s="63">
        <f>'RAW DATA 2023'!D1179</f>
        <v>0</v>
      </c>
      <c r="C1186" s="63" t="str">
        <f>A1186&amp;B1186</f>
        <v>00</v>
      </c>
      <c r="D1186" s="63" t="e">
        <f>VLOOKUP(C1186,'RAW DATA 2023'!E:BP,63,0)</f>
        <v>#N/A</v>
      </c>
      <c r="E1186" s="63" t="e">
        <f>A1186&amp;D1186</f>
        <v>#N/A</v>
      </c>
      <c r="F1186" s="389" t="e">
        <f>VLOOKUP(C1186,'RAW DATA 2023'!E:BO,57,0)</f>
        <v>#N/A</v>
      </c>
      <c r="G1186" s="63" t="e">
        <f>VLOOKUP(C1186,'RAW DATA 2023'!E:BO,58,0)</f>
        <v>#N/A</v>
      </c>
      <c r="H1186" s="390">
        <f>IFERROR((G1186-F1186)/G1186,0)</f>
        <v>0</v>
      </c>
      <c r="I1186" s="398">
        <f>IF(H1186&lt;0,((0.25-(H1186*(-1)))*$L$7),IF(H1186&gt;0,(H1186*$N$7)+$L$6,0))</f>
        <v>0</v>
      </c>
      <c r="J1186" s="73" t="e">
        <f>VLOOKUP(C1186,'RAW DATA 2023'!E:AC,21,0)</f>
        <v>#N/A</v>
      </c>
      <c r="K1186" s="398" t="e">
        <f>I1186*J1186</f>
        <v>#N/A</v>
      </c>
    </row>
    <row r="1187" spans="1:11">
      <c r="A1187" s="63">
        <f>'RAW DATA 2023'!B1180</f>
        <v>0</v>
      </c>
      <c r="B1187" s="63">
        <f>'RAW DATA 2023'!D1180</f>
        <v>0</v>
      </c>
      <c r="C1187" s="63" t="str">
        <f>A1187&amp;B1187</f>
        <v>00</v>
      </c>
      <c r="D1187" s="63" t="e">
        <f>VLOOKUP(C1187,'RAW DATA 2023'!E:BP,63,0)</f>
        <v>#N/A</v>
      </c>
      <c r="E1187" s="63" t="e">
        <f>A1187&amp;D1187</f>
        <v>#N/A</v>
      </c>
      <c r="F1187" s="389" t="e">
        <f>VLOOKUP(C1187,'RAW DATA 2023'!E:BO,57,0)</f>
        <v>#N/A</v>
      </c>
      <c r="G1187" s="63" t="e">
        <f>VLOOKUP(C1187,'RAW DATA 2023'!E:BO,58,0)</f>
        <v>#N/A</v>
      </c>
      <c r="H1187" s="390">
        <f>IFERROR((G1187-F1187)/G1187,0)</f>
        <v>0</v>
      </c>
      <c r="I1187" s="398">
        <f>IF(H1187&lt;0,((0.25-(H1187*(-1)))*$L$7),IF(H1187&gt;0,(H1187*$N$7)+$L$6,0))</f>
        <v>0</v>
      </c>
      <c r="J1187" s="73" t="e">
        <f>VLOOKUP(C1187,'RAW DATA 2023'!E:AC,21,0)</f>
        <v>#N/A</v>
      </c>
      <c r="K1187" s="398" t="e">
        <f>I1187*J1187</f>
        <v>#N/A</v>
      </c>
    </row>
    <row r="1188" spans="1:11">
      <c r="A1188" s="63">
        <f>'RAW DATA 2023'!B1181</f>
        <v>0</v>
      </c>
      <c r="B1188" s="63">
        <f>'RAW DATA 2023'!D1181</f>
        <v>0</v>
      </c>
      <c r="C1188" s="63" t="str">
        <f>A1188&amp;B1188</f>
        <v>00</v>
      </c>
      <c r="D1188" s="63" t="e">
        <f>VLOOKUP(C1188,'RAW DATA 2023'!E:BP,63,0)</f>
        <v>#N/A</v>
      </c>
      <c r="E1188" s="63" t="e">
        <f>A1188&amp;D1188</f>
        <v>#N/A</v>
      </c>
      <c r="F1188" s="389" t="e">
        <f>VLOOKUP(C1188,'RAW DATA 2023'!E:BO,57,0)</f>
        <v>#N/A</v>
      </c>
      <c r="G1188" s="63" t="e">
        <f>VLOOKUP(C1188,'RAW DATA 2023'!E:BO,58,0)</f>
        <v>#N/A</v>
      </c>
      <c r="H1188" s="390">
        <f>IFERROR((G1188-F1188)/G1188,0)</f>
        <v>0</v>
      </c>
      <c r="I1188" s="398">
        <f>IF(H1188&lt;0,((0.25-(H1188*(-1)))*$L$7),IF(H1188&gt;0,(H1188*$N$7)+$L$6,0))</f>
        <v>0</v>
      </c>
      <c r="J1188" s="73" t="e">
        <f>VLOOKUP(C1188,'RAW DATA 2023'!E:AC,21,0)</f>
        <v>#N/A</v>
      </c>
      <c r="K1188" s="398" t="e">
        <f>I1188*J1188</f>
        <v>#N/A</v>
      </c>
    </row>
    <row r="1189" spans="1:11">
      <c r="A1189" s="63">
        <f>'RAW DATA 2023'!B1182</f>
        <v>0</v>
      </c>
      <c r="B1189" s="63">
        <f>'RAW DATA 2023'!D1182</f>
        <v>0</v>
      </c>
      <c r="C1189" s="63" t="str">
        <f>A1189&amp;B1189</f>
        <v>00</v>
      </c>
      <c r="D1189" s="63" t="e">
        <f>VLOOKUP(C1189,'RAW DATA 2023'!E:BP,63,0)</f>
        <v>#N/A</v>
      </c>
      <c r="E1189" s="63" t="e">
        <f>A1189&amp;D1189</f>
        <v>#N/A</v>
      </c>
      <c r="F1189" s="389" t="e">
        <f>VLOOKUP(C1189,'RAW DATA 2023'!E:BO,57,0)</f>
        <v>#N/A</v>
      </c>
      <c r="G1189" s="63" t="e">
        <f>VLOOKUP(C1189,'RAW DATA 2023'!E:BO,58,0)</f>
        <v>#N/A</v>
      </c>
      <c r="H1189" s="390">
        <f>IFERROR((G1189-F1189)/G1189,0)</f>
        <v>0</v>
      </c>
      <c r="I1189" s="398">
        <f>IF(H1189&lt;0,((0.25-(H1189*(-1)))*$L$7),IF(H1189&gt;0,(H1189*$N$7)+$L$6,0))</f>
        <v>0</v>
      </c>
      <c r="J1189" s="73" t="e">
        <f>VLOOKUP(C1189,'RAW DATA 2023'!E:AC,21,0)</f>
        <v>#N/A</v>
      </c>
      <c r="K1189" s="398" t="e">
        <f>I1189*J1189</f>
        <v>#N/A</v>
      </c>
    </row>
    <row r="1190" spans="1:11">
      <c r="A1190" s="63">
        <f>'RAW DATA 2023'!B1183</f>
        <v>0</v>
      </c>
      <c r="B1190" s="63">
        <f>'RAW DATA 2023'!D1183</f>
        <v>0</v>
      </c>
      <c r="C1190" s="63" t="str">
        <f>A1190&amp;B1190</f>
        <v>00</v>
      </c>
      <c r="D1190" s="63" t="e">
        <f>VLOOKUP(C1190,'RAW DATA 2023'!E:BP,63,0)</f>
        <v>#N/A</v>
      </c>
      <c r="E1190" s="63" t="e">
        <f>A1190&amp;D1190</f>
        <v>#N/A</v>
      </c>
      <c r="F1190" s="389" t="e">
        <f>VLOOKUP(C1190,'RAW DATA 2023'!E:BO,57,0)</f>
        <v>#N/A</v>
      </c>
      <c r="G1190" s="63" t="e">
        <f>VLOOKUP(C1190,'RAW DATA 2023'!E:BO,58,0)</f>
        <v>#N/A</v>
      </c>
      <c r="H1190" s="390">
        <f>IFERROR((G1190-F1190)/G1190,0)</f>
        <v>0</v>
      </c>
      <c r="I1190" s="398">
        <f>IF(H1190&lt;0,((0.25-(H1190*(-1)))*$L$7),IF(H1190&gt;0,(H1190*$N$7)+$L$6,0))</f>
        <v>0</v>
      </c>
      <c r="J1190" s="73" t="e">
        <f>VLOOKUP(C1190,'RAW DATA 2023'!E:AC,21,0)</f>
        <v>#N/A</v>
      </c>
      <c r="K1190" s="398" t="e">
        <f>I1190*J1190</f>
        <v>#N/A</v>
      </c>
    </row>
    <row r="1191" spans="1:11">
      <c r="A1191" s="63">
        <f>'RAW DATA 2023'!B1184</f>
        <v>0</v>
      </c>
      <c r="B1191" s="63">
        <f>'RAW DATA 2023'!D1184</f>
        <v>0</v>
      </c>
      <c r="C1191" s="63" t="str">
        <f>A1191&amp;B1191</f>
        <v>00</v>
      </c>
      <c r="D1191" s="63" t="e">
        <f>VLOOKUP(C1191,'RAW DATA 2023'!E:BP,63,0)</f>
        <v>#N/A</v>
      </c>
      <c r="E1191" s="63" t="e">
        <f>A1191&amp;D1191</f>
        <v>#N/A</v>
      </c>
      <c r="F1191" s="389" t="e">
        <f>VLOOKUP(C1191,'RAW DATA 2023'!E:BO,57,0)</f>
        <v>#N/A</v>
      </c>
      <c r="G1191" s="63" t="e">
        <f>VLOOKUP(C1191,'RAW DATA 2023'!E:BO,58,0)</f>
        <v>#N/A</v>
      </c>
      <c r="H1191" s="390">
        <f>IFERROR((G1191-F1191)/G1191,0)</f>
        <v>0</v>
      </c>
      <c r="I1191" s="398">
        <f>IF(H1191&lt;0,((0.25-(H1191*(-1)))*$L$7),IF(H1191&gt;0,(H1191*$N$7)+$L$6,0))</f>
        <v>0</v>
      </c>
      <c r="J1191" s="73" t="e">
        <f>VLOOKUP(C1191,'RAW DATA 2023'!E:AC,21,0)</f>
        <v>#N/A</v>
      </c>
      <c r="K1191" s="398" t="e">
        <f>I1191*J1191</f>
        <v>#N/A</v>
      </c>
    </row>
    <row r="1192" spans="1:11">
      <c r="A1192" s="63">
        <f>'RAW DATA 2023'!B1185</f>
        <v>0</v>
      </c>
      <c r="B1192" s="63">
        <f>'RAW DATA 2023'!D1185</f>
        <v>0</v>
      </c>
      <c r="C1192" s="63" t="str">
        <f>A1192&amp;B1192</f>
        <v>00</v>
      </c>
      <c r="D1192" s="63" t="e">
        <f>VLOOKUP(C1192,'RAW DATA 2023'!E:BP,63,0)</f>
        <v>#N/A</v>
      </c>
      <c r="E1192" s="63" t="e">
        <f>A1192&amp;D1192</f>
        <v>#N/A</v>
      </c>
      <c r="F1192" s="389" t="e">
        <f>VLOOKUP(C1192,'RAW DATA 2023'!E:BO,57,0)</f>
        <v>#N/A</v>
      </c>
      <c r="G1192" s="63" t="e">
        <f>VLOOKUP(C1192,'RAW DATA 2023'!E:BO,58,0)</f>
        <v>#N/A</v>
      </c>
      <c r="H1192" s="390">
        <f>IFERROR((G1192-F1192)/G1192,0)</f>
        <v>0</v>
      </c>
      <c r="I1192" s="398">
        <f>IF(H1192&lt;0,((0.25-(H1192*(-1)))*$L$7),IF(H1192&gt;0,(H1192*$N$7)+$L$6,0))</f>
        <v>0</v>
      </c>
      <c r="J1192" s="73" t="e">
        <f>VLOOKUP(C1192,'RAW DATA 2023'!E:AC,21,0)</f>
        <v>#N/A</v>
      </c>
      <c r="K1192" s="398" t="e">
        <f>I1192*J1192</f>
        <v>#N/A</v>
      </c>
    </row>
    <row r="1193" spans="1:11">
      <c r="A1193" s="63">
        <f>'RAW DATA 2023'!B1186</f>
        <v>0</v>
      </c>
      <c r="B1193" s="63">
        <f>'RAW DATA 2023'!D1186</f>
        <v>0</v>
      </c>
      <c r="C1193" s="63" t="str">
        <f>A1193&amp;B1193</f>
        <v>00</v>
      </c>
      <c r="D1193" s="63" t="e">
        <f>VLOOKUP(C1193,'RAW DATA 2023'!E:BP,63,0)</f>
        <v>#N/A</v>
      </c>
      <c r="E1193" s="63" t="e">
        <f>A1193&amp;D1193</f>
        <v>#N/A</v>
      </c>
      <c r="F1193" s="389" t="e">
        <f>VLOOKUP(C1193,'RAW DATA 2023'!E:BO,57,0)</f>
        <v>#N/A</v>
      </c>
      <c r="G1193" s="63" t="e">
        <f>VLOOKUP(C1193,'RAW DATA 2023'!E:BO,58,0)</f>
        <v>#N/A</v>
      </c>
      <c r="H1193" s="390">
        <f>IFERROR((G1193-F1193)/G1193,0)</f>
        <v>0</v>
      </c>
      <c r="I1193" s="398">
        <f>IF(H1193&lt;0,((0.25-(H1193*(-1)))*$L$7),IF(H1193&gt;0,(H1193*$N$7)+$L$6,0))</f>
        <v>0</v>
      </c>
      <c r="J1193" s="73" t="e">
        <f>VLOOKUP(C1193,'RAW DATA 2023'!E:AC,21,0)</f>
        <v>#N/A</v>
      </c>
      <c r="K1193" s="398" t="e">
        <f>I1193*J1193</f>
        <v>#N/A</v>
      </c>
    </row>
    <row r="1194" spans="1:11">
      <c r="A1194" s="63">
        <f>'RAW DATA 2023'!B1187</f>
        <v>0</v>
      </c>
      <c r="B1194" s="63">
        <f>'RAW DATA 2023'!D1187</f>
        <v>0</v>
      </c>
      <c r="C1194" s="63" t="str">
        <f>A1194&amp;B1194</f>
        <v>00</v>
      </c>
      <c r="D1194" s="63" t="e">
        <f>VLOOKUP(C1194,'RAW DATA 2023'!E:BP,63,0)</f>
        <v>#N/A</v>
      </c>
      <c r="E1194" s="63" t="e">
        <f>A1194&amp;D1194</f>
        <v>#N/A</v>
      </c>
      <c r="F1194" s="389" t="e">
        <f>VLOOKUP(C1194,'RAW DATA 2023'!E:BO,57,0)</f>
        <v>#N/A</v>
      </c>
      <c r="G1194" s="63" t="e">
        <f>VLOOKUP(C1194,'RAW DATA 2023'!E:BO,58,0)</f>
        <v>#N/A</v>
      </c>
      <c r="H1194" s="390">
        <f>IFERROR((G1194-F1194)/G1194,0)</f>
        <v>0</v>
      </c>
      <c r="I1194" s="398">
        <f>IF(H1194&lt;0,((0.25-(H1194*(-1)))*$L$7),IF(H1194&gt;0,(H1194*$N$7)+$L$6,0))</f>
        <v>0</v>
      </c>
      <c r="J1194" s="73" t="e">
        <f>VLOOKUP(C1194,'RAW DATA 2023'!E:AC,21,0)</f>
        <v>#N/A</v>
      </c>
      <c r="K1194" s="398" t="e">
        <f>I1194*J1194</f>
        <v>#N/A</v>
      </c>
    </row>
    <row r="1195" spans="1:11">
      <c r="A1195" s="63">
        <f>'RAW DATA 2023'!B1188</f>
        <v>0</v>
      </c>
      <c r="B1195" s="63">
        <f>'RAW DATA 2023'!D1188</f>
        <v>0</v>
      </c>
      <c r="C1195" s="63" t="str">
        <f>A1195&amp;B1195</f>
        <v>00</v>
      </c>
      <c r="D1195" s="63" t="e">
        <f>VLOOKUP(C1195,'RAW DATA 2023'!E:BP,63,0)</f>
        <v>#N/A</v>
      </c>
      <c r="E1195" s="63" t="e">
        <f>A1195&amp;D1195</f>
        <v>#N/A</v>
      </c>
      <c r="F1195" s="389" t="e">
        <f>VLOOKUP(C1195,'RAW DATA 2023'!E:BO,57,0)</f>
        <v>#N/A</v>
      </c>
      <c r="G1195" s="63" t="e">
        <f>VLOOKUP(C1195,'RAW DATA 2023'!E:BO,58,0)</f>
        <v>#N/A</v>
      </c>
      <c r="H1195" s="390">
        <f>IFERROR((G1195-F1195)/G1195,0)</f>
        <v>0</v>
      </c>
      <c r="I1195" s="398">
        <f>IF(H1195&lt;0,((0.25-(H1195*(-1)))*$L$7),IF(H1195&gt;0,(H1195*$N$7)+$L$6,0))</f>
        <v>0</v>
      </c>
      <c r="J1195" s="73" t="e">
        <f>VLOOKUP(C1195,'RAW DATA 2023'!E:AC,21,0)</f>
        <v>#N/A</v>
      </c>
      <c r="K1195" s="398" t="e">
        <f>I1195*J1195</f>
        <v>#N/A</v>
      </c>
    </row>
    <row r="1196" spans="1:11">
      <c r="A1196" s="63">
        <f>'RAW DATA 2023'!B1189</f>
        <v>0</v>
      </c>
      <c r="B1196" s="63">
        <f>'RAW DATA 2023'!D1189</f>
        <v>0</v>
      </c>
      <c r="C1196" s="63" t="str">
        <f>A1196&amp;B1196</f>
        <v>00</v>
      </c>
      <c r="D1196" s="63" t="e">
        <f>VLOOKUP(C1196,'RAW DATA 2023'!E:BP,63,0)</f>
        <v>#N/A</v>
      </c>
      <c r="E1196" s="63" t="e">
        <f>A1196&amp;D1196</f>
        <v>#N/A</v>
      </c>
      <c r="F1196" s="389" t="e">
        <f>VLOOKUP(C1196,'RAW DATA 2023'!E:BO,57,0)</f>
        <v>#N/A</v>
      </c>
      <c r="G1196" s="63" t="e">
        <f>VLOOKUP(C1196,'RAW DATA 2023'!E:BO,58,0)</f>
        <v>#N/A</v>
      </c>
      <c r="H1196" s="390">
        <f>IFERROR((G1196-F1196)/G1196,0)</f>
        <v>0</v>
      </c>
      <c r="I1196" s="398">
        <f>IF(H1196&lt;0,((0.25-(H1196*(-1)))*$L$7),IF(H1196&gt;0,(H1196*$N$7)+$L$6,0))</f>
        <v>0</v>
      </c>
      <c r="J1196" s="73" t="e">
        <f>VLOOKUP(C1196,'RAW DATA 2023'!E:AC,21,0)</f>
        <v>#N/A</v>
      </c>
      <c r="K1196" s="398" t="e">
        <f>I1196*J1196</f>
        <v>#N/A</v>
      </c>
    </row>
    <row r="1197" spans="1:11">
      <c r="A1197" s="63">
        <f>'RAW DATA 2023'!B1190</f>
        <v>0</v>
      </c>
      <c r="B1197" s="63">
        <f>'RAW DATA 2023'!D1190</f>
        <v>0</v>
      </c>
      <c r="C1197" s="63" t="str">
        <f>A1197&amp;B1197</f>
        <v>00</v>
      </c>
      <c r="D1197" s="63" t="e">
        <f>VLOOKUP(C1197,'RAW DATA 2023'!E:BP,63,0)</f>
        <v>#N/A</v>
      </c>
      <c r="E1197" s="63" t="e">
        <f>A1197&amp;D1197</f>
        <v>#N/A</v>
      </c>
      <c r="F1197" s="389" t="e">
        <f>VLOOKUP(C1197,'RAW DATA 2023'!E:BO,57,0)</f>
        <v>#N/A</v>
      </c>
      <c r="G1197" s="63" t="e">
        <f>VLOOKUP(C1197,'RAW DATA 2023'!E:BO,58,0)</f>
        <v>#N/A</v>
      </c>
      <c r="H1197" s="390">
        <f>IFERROR((G1197-F1197)/G1197,0)</f>
        <v>0</v>
      </c>
      <c r="I1197" s="398">
        <f>IF(H1197&lt;0,((0.25-(H1197*(-1)))*$L$7),IF(H1197&gt;0,(H1197*$N$7)+$L$6,0))</f>
        <v>0</v>
      </c>
      <c r="J1197" s="73" t="e">
        <f>VLOOKUP(C1197,'RAW DATA 2023'!E:AC,21,0)</f>
        <v>#N/A</v>
      </c>
      <c r="K1197" s="398" t="e">
        <f>I1197*J1197</f>
        <v>#N/A</v>
      </c>
    </row>
    <row r="1198" spans="1:11">
      <c r="A1198" s="63">
        <f>'RAW DATA 2023'!B1191</f>
        <v>0</v>
      </c>
      <c r="B1198" s="63">
        <f>'RAW DATA 2023'!D1191</f>
        <v>0</v>
      </c>
      <c r="C1198" s="63" t="str">
        <f>A1198&amp;B1198</f>
        <v>00</v>
      </c>
      <c r="D1198" s="63" t="e">
        <f>VLOOKUP(C1198,'RAW DATA 2023'!E:BP,63,0)</f>
        <v>#N/A</v>
      </c>
      <c r="E1198" s="63" t="e">
        <f>A1198&amp;D1198</f>
        <v>#N/A</v>
      </c>
      <c r="F1198" s="389" t="e">
        <f>VLOOKUP(C1198,'RAW DATA 2023'!E:BO,57,0)</f>
        <v>#N/A</v>
      </c>
      <c r="G1198" s="63" t="e">
        <f>VLOOKUP(C1198,'RAW DATA 2023'!E:BO,58,0)</f>
        <v>#N/A</v>
      </c>
      <c r="H1198" s="390">
        <f>IFERROR((G1198-F1198)/G1198,0)</f>
        <v>0</v>
      </c>
      <c r="I1198" s="398">
        <f>IF(H1198&lt;0,((0.25-(H1198*(-1)))*$L$7),IF(H1198&gt;0,(H1198*$N$7)+$L$6,0))</f>
        <v>0</v>
      </c>
      <c r="J1198" s="73" t="e">
        <f>VLOOKUP(C1198,'RAW DATA 2023'!E:AC,21,0)</f>
        <v>#N/A</v>
      </c>
      <c r="K1198" s="398" t="e">
        <f>I1198*J1198</f>
        <v>#N/A</v>
      </c>
    </row>
    <row r="1199" spans="1:11">
      <c r="A1199" s="63">
        <f>'RAW DATA 2023'!B1192</f>
        <v>0</v>
      </c>
      <c r="B1199" s="63">
        <f>'RAW DATA 2023'!D1192</f>
        <v>0</v>
      </c>
      <c r="C1199" s="63" t="str">
        <f>A1199&amp;B1199</f>
        <v>00</v>
      </c>
      <c r="D1199" s="63" t="e">
        <f>VLOOKUP(C1199,'RAW DATA 2023'!E:BP,63,0)</f>
        <v>#N/A</v>
      </c>
      <c r="E1199" s="63" t="e">
        <f>A1199&amp;D1199</f>
        <v>#N/A</v>
      </c>
      <c r="F1199" s="389" t="e">
        <f>VLOOKUP(C1199,'RAW DATA 2023'!E:BO,57,0)</f>
        <v>#N/A</v>
      </c>
      <c r="G1199" s="63" t="e">
        <f>VLOOKUP(C1199,'RAW DATA 2023'!E:BO,58,0)</f>
        <v>#N/A</v>
      </c>
      <c r="H1199" s="390">
        <f>IFERROR((G1199-F1199)/G1199,0)</f>
        <v>0</v>
      </c>
      <c r="I1199" s="398">
        <f>IF(H1199&lt;0,((0.25-(H1199*(-1)))*$L$7),IF(H1199&gt;0,(H1199*$N$7)+$L$6,0))</f>
        <v>0</v>
      </c>
      <c r="J1199" s="73" t="e">
        <f>VLOOKUP(C1199,'RAW DATA 2023'!E:AC,21,0)</f>
        <v>#N/A</v>
      </c>
      <c r="K1199" s="398" t="e">
        <f>I1199*J1199</f>
        <v>#N/A</v>
      </c>
    </row>
    <row r="1200" spans="1:11">
      <c r="A1200" s="63">
        <f>'RAW DATA 2023'!B1193</f>
        <v>0</v>
      </c>
      <c r="B1200" s="63">
        <f>'RAW DATA 2023'!D1193</f>
        <v>0</v>
      </c>
      <c r="C1200" s="63" t="str">
        <f>A1200&amp;B1200</f>
        <v>00</v>
      </c>
      <c r="D1200" s="63" t="e">
        <f>VLOOKUP(C1200,'RAW DATA 2023'!E:BP,63,0)</f>
        <v>#N/A</v>
      </c>
      <c r="E1200" s="63" t="e">
        <f>A1200&amp;D1200</f>
        <v>#N/A</v>
      </c>
      <c r="F1200" s="389" t="e">
        <f>VLOOKUP(C1200,'RAW DATA 2023'!E:BO,57,0)</f>
        <v>#N/A</v>
      </c>
      <c r="G1200" s="63" t="e">
        <f>VLOOKUP(C1200,'RAW DATA 2023'!E:BO,58,0)</f>
        <v>#N/A</v>
      </c>
      <c r="H1200" s="390">
        <f>IFERROR((G1200-F1200)/G1200,0)</f>
        <v>0</v>
      </c>
      <c r="I1200" s="398">
        <f>IF(H1200&lt;0,((0.25-(H1200*(-1)))*$L$7),IF(H1200&gt;0,(H1200*$N$7)+$L$6,0))</f>
        <v>0</v>
      </c>
      <c r="J1200" s="73" t="e">
        <f>VLOOKUP(C1200,'RAW DATA 2023'!E:AC,21,0)</f>
        <v>#N/A</v>
      </c>
      <c r="K1200" s="398" t="e">
        <f>I1200*J1200</f>
        <v>#N/A</v>
      </c>
    </row>
    <row r="1201" spans="1:11">
      <c r="A1201" s="63">
        <f>'RAW DATA 2023'!B1194</f>
        <v>0</v>
      </c>
      <c r="B1201" s="63">
        <f>'RAW DATA 2023'!D1194</f>
        <v>0</v>
      </c>
      <c r="C1201" s="63" t="str">
        <f>A1201&amp;B1201</f>
        <v>00</v>
      </c>
      <c r="D1201" s="63" t="e">
        <f>VLOOKUP(C1201,'RAW DATA 2023'!E:BP,63,0)</f>
        <v>#N/A</v>
      </c>
      <c r="E1201" s="63" t="e">
        <f>A1201&amp;D1201</f>
        <v>#N/A</v>
      </c>
      <c r="F1201" s="389" t="e">
        <f>VLOOKUP(C1201,'RAW DATA 2023'!E:BO,57,0)</f>
        <v>#N/A</v>
      </c>
      <c r="G1201" s="63" t="e">
        <f>VLOOKUP(C1201,'RAW DATA 2023'!E:BO,58,0)</f>
        <v>#N/A</v>
      </c>
      <c r="H1201" s="390">
        <f>IFERROR((G1201-F1201)/G1201,0)</f>
        <v>0</v>
      </c>
      <c r="I1201" s="398">
        <f>IF(H1201&lt;0,((0.25-(H1201*(-1)))*$L$7),IF(H1201&gt;0,(H1201*$N$7)+$L$6,0))</f>
        <v>0</v>
      </c>
      <c r="J1201" s="73" t="e">
        <f>VLOOKUP(C1201,'RAW DATA 2023'!E:AC,21,0)</f>
        <v>#N/A</v>
      </c>
      <c r="K1201" s="398" t="e">
        <f>I1201*J1201</f>
        <v>#N/A</v>
      </c>
    </row>
    <row r="1202" spans="1:11">
      <c r="A1202" s="63">
        <f>'RAW DATA 2023'!B1195</f>
        <v>0</v>
      </c>
      <c r="B1202" s="63">
        <f>'RAW DATA 2023'!D1195</f>
        <v>0</v>
      </c>
      <c r="C1202" s="63" t="str">
        <f>A1202&amp;B1202</f>
        <v>00</v>
      </c>
      <c r="D1202" s="63" t="e">
        <f>VLOOKUP(C1202,'RAW DATA 2023'!E:BP,63,0)</f>
        <v>#N/A</v>
      </c>
      <c r="E1202" s="63" t="e">
        <f>A1202&amp;D1202</f>
        <v>#N/A</v>
      </c>
      <c r="F1202" s="389" t="e">
        <f>VLOOKUP(C1202,'RAW DATA 2023'!E:BO,57,0)</f>
        <v>#N/A</v>
      </c>
      <c r="G1202" s="63" t="e">
        <f>VLOOKUP(C1202,'RAW DATA 2023'!E:BO,58,0)</f>
        <v>#N/A</v>
      </c>
      <c r="H1202" s="390">
        <f>IFERROR((G1202-F1202)/G1202,0)</f>
        <v>0</v>
      </c>
      <c r="I1202" s="398">
        <f>IF(H1202&lt;0,((0.25-(H1202*(-1)))*$L$7),IF(H1202&gt;0,(H1202*$N$7)+$L$6,0))</f>
        <v>0</v>
      </c>
      <c r="J1202" s="73" t="e">
        <f>VLOOKUP(C1202,'RAW DATA 2023'!E:AC,21,0)</f>
        <v>#N/A</v>
      </c>
      <c r="K1202" s="398" t="e">
        <f>I1202*J1202</f>
        <v>#N/A</v>
      </c>
    </row>
    <row r="1203" spans="1:11">
      <c r="A1203" s="63">
        <f>'RAW DATA 2023'!B1196</f>
        <v>0</v>
      </c>
      <c r="B1203" s="63">
        <f>'RAW DATA 2023'!D1196</f>
        <v>0</v>
      </c>
      <c r="C1203" s="63" t="str">
        <f>A1203&amp;B1203</f>
        <v>00</v>
      </c>
      <c r="D1203" s="63" t="e">
        <f>VLOOKUP(C1203,'RAW DATA 2023'!E:BP,63,0)</f>
        <v>#N/A</v>
      </c>
      <c r="E1203" s="63" t="e">
        <f>A1203&amp;D1203</f>
        <v>#N/A</v>
      </c>
      <c r="F1203" s="389" t="e">
        <f>VLOOKUP(C1203,'RAW DATA 2023'!E:BO,57,0)</f>
        <v>#N/A</v>
      </c>
      <c r="G1203" s="63" t="e">
        <f>VLOOKUP(C1203,'RAW DATA 2023'!E:BO,58,0)</f>
        <v>#N/A</v>
      </c>
      <c r="H1203" s="390">
        <f>IFERROR((G1203-F1203)/G1203,0)</f>
        <v>0</v>
      </c>
      <c r="I1203" s="398">
        <f>IF(H1203&lt;0,((0.25-(H1203*(-1)))*$L$7),IF(H1203&gt;0,(H1203*$N$7)+$L$6,0))</f>
        <v>0</v>
      </c>
      <c r="J1203" s="73" t="e">
        <f>VLOOKUP(C1203,'RAW DATA 2023'!E:AC,21,0)</f>
        <v>#N/A</v>
      </c>
      <c r="K1203" s="398" t="e">
        <f>I1203*J1203</f>
        <v>#N/A</v>
      </c>
    </row>
    <row r="1204" spans="1:11">
      <c r="A1204" s="63">
        <f>'RAW DATA 2023'!B1197</f>
        <v>0</v>
      </c>
      <c r="B1204" s="63">
        <f>'RAW DATA 2023'!D1197</f>
        <v>0</v>
      </c>
      <c r="C1204" s="63" t="str">
        <f>A1204&amp;B1204</f>
        <v>00</v>
      </c>
      <c r="D1204" s="63" t="e">
        <f>VLOOKUP(C1204,'RAW DATA 2023'!E:BP,63,0)</f>
        <v>#N/A</v>
      </c>
      <c r="E1204" s="63" t="e">
        <f>A1204&amp;D1204</f>
        <v>#N/A</v>
      </c>
      <c r="F1204" s="389" t="e">
        <f>VLOOKUP(C1204,'RAW DATA 2023'!E:BO,57,0)</f>
        <v>#N/A</v>
      </c>
      <c r="G1204" s="63" t="e">
        <f>VLOOKUP(C1204,'RAW DATA 2023'!E:BO,58,0)</f>
        <v>#N/A</v>
      </c>
      <c r="H1204" s="390">
        <f>IFERROR((G1204-F1204)/G1204,0)</f>
        <v>0</v>
      </c>
      <c r="I1204" s="398">
        <f>IF(H1204&lt;0,((0.25-(H1204*(-1)))*$L$7),IF(H1204&gt;0,(H1204*$N$7)+$L$6,0))</f>
        <v>0</v>
      </c>
      <c r="J1204" s="73" t="e">
        <f>VLOOKUP(C1204,'RAW DATA 2023'!E:AC,21,0)</f>
        <v>#N/A</v>
      </c>
      <c r="K1204" s="398" t="e">
        <f>I1204*J1204</f>
        <v>#N/A</v>
      </c>
    </row>
    <row r="1205" spans="1:11">
      <c r="A1205" s="63">
        <f>'RAW DATA 2023'!B1198</f>
        <v>0</v>
      </c>
      <c r="B1205" s="63">
        <f>'RAW DATA 2023'!D1198</f>
        <v>0</v>
      </c>
      <c r="C1205" s="63" t="str">
        <f>A1205&amp;B1205</f>
        <v>00</v>
      </c>
      <c r="D1205" s="63" t="e">
        <f>VLOOKUP(C1205,'RAW DATA 2023'!E:BP,63,0)</f>
        <v>#N/A</v>
      </c>
      <c r="E1205" s="63" t="e">
        <f>A1205&amp;D1205</f>
        <v>#N/A</v>
      </c>
      <c r="F1205" s="389" t="e">
        <f>VLOOKUP(C1205,'RAW DATA 2023'!E:BO,57,0)</f>
        <v>#N/A</v>
      </c>
      <c r="G1205" s="63" t="e">
        <f>VLOOKUP(C1205,'RAW DATA 2023'!E:BO,58,0)</f>
        <v>#N/A</v>
      </c>
      <c r="H1205" s="390">
        <f>IFERROR((G1205-F1205)/G1205,0)</f>
        <v>0</v>
      </c>
      <c r="I1205" s="398">
        <f>IF(H1205&lt;0,((0.25-(H1205*(-1)))*$L$7),IF(H1205&gt;0,(H1205*$N$7)+$L$6,0))</f>
        <v>0</v>
      </c>
      <c r="J1205" s="73" t="e">
        <f>VLOOKUP(C1205,'RAW DATA 2023'!E:AC,21,0)</f>
        <v>#N/A</v>
      </c>
      <c r="K1205" s="398" t="e">
        <f>I1205*J1205</f>
        <v>#N/A</v>
      </c>
    </row>
    <row r="1206" spans="1:11">
      <c r="A1206" s="63">
        <f>'RAW DATA 2023'!B1199</f>
        <v>0</v>
      </c>
      <c r="B1206" s="63">
        <f>'RAW DATA 2023'!D1199</f>
        <v>0</v>
      </c>
      <c r="C1206" s="63" t="str">
        <f>A1206&amp;B1206</f>
        <v>00</v>
      </c>
      <c r="D1206" s="63" t="e">
        <f>VLOOKUP(C1206,'RAW DATA 2023'!E:BP,63,0)</f>
        <v>#N/A</v>
      </c>
      <c r="E1206" s="63" t="e">
        <f>A1206&amp;D1206</f>
        <v>#N/A</v>
      </c>
      <c r="F1206" s="389" t="e">
        <f>VLOOKUP(C1206,'RAW DATA 2023'!E:BO,57,0)</f>
        <v>#N/A</v>
      </c>
      <c r="G1206" s="63" t="e">
        <f>VLOOKUP(C1206,'RAW DATA 2023'!E:BO,58,0)</f>
        <v>#N/A</v>
      </c>
      <c r="H1206" s="390">
        <f>IFERROR((G1206-F1206)/G1206,0)</f>
        <v>0</v>
      </c>
      <c r="I1206" s="398">
        <f>IF(H1206&lt;0,((0.25-(H1206*(-1)))*$L$7),IF(H1206&gt;0,(H1206*$N$7)+$L$6,0))</f>
        <v>0</v>
      </c>
      <c r="J1206" s="73" t="e">
        <f>VLOOKUP(C1206,'RAW DATA 2023'!E:AC,21,0)</f>
        <v>#N/A</v>
      </c>
      <c r="K1206" s="398" t="e">
        <f>I1206*J1206</f>
        <v>#N/A</v>
      </c>
    </row>
    <row r="1207" spans="1:11">
      <c r="A1207" s="63">
        <f>'RAW DATA 2023'!B1200</f>
        <v>0</v>
      </c>
      <c r="B1207" s="63">
        <f>'RAW DATA 2023'!D1200</f>
        <v>0</v>
      </c>
      <c r="C1207" s="63" t="str">
        <f>A1207&amp;B1207</f>
        <v>00</v>
      </c>
      <c r="D1207" s="63" t="e">
        <f>VLOOKUP(C1207,'RAW DATA 2023'!E:BP,63,0)</f>
        <v>#N/A</v>
      </c>
      <c r="E1207" s="63" t="e">
        <f>A1207&amp;D1207</f>
        <v>#N/A</v>
      </c>
      <c r="F1207" s="389" t="e">
        <f>VLOOKUP(C1207,'RAW DATA 2023'!E:BO,57,0)</f>
        <v>#N/A</v>
      </c>
      <c r="G1207" s="63" t="e">
        <f>VLOOKUP(C1207,'RAW DATA 2023'!E:BO,58,0)</f>
        <v>#N/A</v>
      </c>
      <c r="H1207" s="390">
        <f>IFERROR((G1207-F1207)/G1207,0)</f>
        <v>0</v>
      </c>
      <c r="I1207" s="398">
        <f>IF(H1207&lt;0,((0.25-(H1207*(-1)))*$L$7),IF(H1207&gt;0,(H1207*$N$7)+$L$6,0))</f>
        <v>0</v>
      </c>
      <c r="J1207" s="73" t="e">
        <f>VLOOKUP(C1207,'RAW DATA 2023'!E:AC,21,0)</f>
        <v>#N/A</v>
      </c>
      <c r="K1207" s="398" t="e">
        <f>I1207*J1207</f>
        <v>#N/A</v>
      </c>
    </row>
    <row r="1208" spans="1:11">
      <c r="A1208" s="63">
        <f>'RAW DATA 2023'!B1201</f>
        <v>0</v>
      </c>
      <c r="B1208" s="63">
        <f>'RAW DATA 2023'!D1201</f>
        <v>0</v>
      </c>
      <c r="C1208" s="63" t="str">
        <f>A1208&amp;B1208</f>
        <v>00</v>
      </c>
      <c r="D1208" s="63" t="e">
        <f>VLOOKUP(C1208,'RAW DATA 2023'!E:BP,63,0)</f>
        <v>#N/A</v>
      </c>
      <c r="E1208" s="63" t="e">
        <f>A1208&amp;D1208</f>
        <v>#N/A</v>
      </c>
      <c r="F1208" s="389" t="e">
        <f>VLOOKUP(C1208,'RAW DATA 2023'!E:BO,57,0)</f>
        <v>#N/A</v>
      </c>
      <c r="G1208" s="63" t="e">
        <f>VLOOKUP(C1208,'RAW DATA 2023'!E:BO,58,0)</f>
        <v>#N/A</v>
      </c>
      <c r="H1208" s="390">
        <f>IFERROR((G1208-F1208)/G1208,0)</f>
        <v>0</v>
      </c>
      <c r="I1208" s="398">
        <f>IF(H1208&lt;0,((0.25-(H1208*(-1)))*$L$7),IF(H1208&gt;0,(H1208*$N$7)+$L$6,0))</f>
        <v>0</v>
      </c>
      <c r="J1208" s="73" t="e">
        <f>VLOOKUP(C1208,'RAW DATA 2023'!E:AC,21,0)</f>
        <v>#N/A</v>
      </c>
      <c r="K1208" s="398" t="e">
        <f>I1208*J1208</f>
        <v>#N/A</v>
      </c>
    </row>
    <row r="1209" spans="1:11">
      <c r="A1209" s="63">
        <f>'RAW DATA 2023'!B1202</f>
        <v>0</v>
      </c>
      <c r="B1209" s="63">
        <f>'RAW DATA 2023'!D1202</f>
        <v>0</v>
      </c>
      <c r="C1209" s="63" t="str">
        <f>A1209&amp;B1209</f>
        <v>00</v>
      </c>
      <c r="D1209" s="63" t="e">
        <f>VLOOKUP(C1209,'RAW DATA 2023'!E:BP,63,0)</f>
        <v>#N/A</v>
      </c>
      <c r="E1209" s="63" t="e">
        <f>A1209&amp;D1209</f>
        <v>#N/A</v>
      </c>
      <c r="F1209" s="389" t="e">
        <f>VLOOKUP(C1209,'RAW DATA 2023'!E:BO,57,0)</f>
        <v>#N/A</v>
      </c>
      <c r="G1209" s="63" t="e">
        <f>VLOOKUP(C1209,'RAW DATA 2023'!E:BO,58,0)</f>
        <v>#N/A</v>
      </c>
      <c r="H1209" s="390">
        <f>IFERROR((G1209-F1209)/G1209,0)</f>
        <v>0</v>
      </c>
      <c r="I1209" s="398">
        <f>IF(H1209&lt;0,((0.25-(H1209*(-1)))*$L$7),IF(H1209&gt;0,(H1209*$N$7)+$L$6,0))</f>
        <v>0</v>
      </c>
      <c r="J1209" s="73" t="e">
        <f>VLOOKUP(C1209,'RAW DATA 2023'!E:AC,21,0)</f>
        <v>#N/A</v>
      </c>
      <c r="K1209" s="398" t="e">
        <f>I1209*J1209</f>
        <v>#N/A</v>
      </c>
    </row>
    <row r="1210" spans="1:11">
      <c r="A1210" s="63">
        <f>'RAW DATA 2023'!B1203</f>
        <v>0</v>
      </c>
      <c r="B1210" s="63">
        <f>'RAW DATA 2023'!D1203</f>
        <v>0</v>
      </c>
      <c r="C1210" s="63" t="str">
        <f>A1210&amp;B1210</f>
        <v>00</v>
      </c>
      <c r="D1210" s="63" t="e">
        <f>VLOOKUP(C1210,'RAW DATA 2023'!E:BP,63,0)</f>
        <v>#N/A</v>
      </c>
      <c r="E1210" s="63" t="e">
        <f>A1210&amp;D1210</f>
        <v>#N/A</v>
      </c>
      <c r="F1210" s="389" t="e">
        <f>VLOOKUP(C1210,'RAW DATA 2023'!E:BO,57,0)</f>
        <v>#N/A</v>
      </c>
      <c r="G1210" s="63" t="e">
        <f>VLOOKUP(C1210,'RAW DATA 2023'!E:BO,58,0)</f>
        <v>#N/A</v>
      </c>
      <c r="H1210" s="390">
        <f>IFERROR((G1210-F1210)/G1210,0)</f>
        <v>0</v>
      </c>
      <c r="I1210" s="398">
        <f>IF(H1210&lt;0,((0.25-(H1210*(-1)))*$L$7),IF(H1210&gt;0,(H1210*$N$7)+$L$6,0))</f>
        <v>0</v>
      </c>
      <c r="J1210" s="73" t="e">
        <f>VLOOKUP(C1210,'RAW DATA 2023'!E:AC,21,0)</f>
        <v>#N/A</v>
      </c>
      <c r="K1210" s="398" t="e">
        <f>I1210*J1210</f>
        <v>#N/A</v>
      </c>
    </row>
    <row r="1211" spans="1:11">
      <c r="A1211" s="63">
        <f>'RAW DATA 2023'!B1204</f>
        <v>0</v>
      </c>
      <c r="B1211" s="63">
        <f>'RAW DATA 2023'!D1204</f>
        <v>0</v>
      </c>
      <c r="C1211" s="63" t="str">
        <f>A1211&amp;B1211</f>
        <v>00</v>
      </c>
      <c r="D1211" s="63" t="e">
        <f>VLOOKUP(C1211,'RAW DATA 2023'!E:BP,63,0)</f>
        <v>#N/A</v>
      </c>
      <c r="E1211" s="63" t="e">
        <f>A1211&amp;D1211</f>
        <v>#N/A</v>
      </c>
      <c r="F1211" s="389" t="e">
        <f>VLOOKUP(C1211,'RAW DATA 2023'!E:BO,57,0)</f>
        <v>#N/A</v>
      </c>
      <c r="G1211" s="63" t="e">
        <f>VLOOKUP(C1211,'RAW DATA 2023'!E:BO,58,0)</f>
        <v>#N/A</v>
      </c>
      <c r="H1211" s="390">
        <f>IFERROR((G1211-F1211)/G1211,0)</f>
        <v>0</v>
      </c>
      <c r="I1211" s="398">
        <f>IF(H1211&lt;0,((0.25-(H1211*(-1)))*$L$7),IF(H1211&gt;0,(H1211*$N$7)+$L$6,0))</f>
        <v>0</v>
      </c>
      <c r="J1211" s="73" t="e">
        <f>VLOOKUP(C1211,'RAW DATA 2023'!E:AC,21,0)</f>
        <v>#N/A</v>
      </c>
      <c r="K1211" s="398" t="e">
        <f>I1211*J1211</f>
        <v>#N/A</v>
      </c>
    </row>
    <row r="1212" spans="1:11">
      <c r="A1212" s="63">
        <f>'RAW DATA 2023'!B1205</f>
        <v>0</v>
      </c>
      <c r="B1212" s="63">
        <f>'RAW DATA 2023'!D1205</f>
        <v>0</v>
      </c>
      <c r="C1212" s="63" t="str">
        <f>A1212&amp;B1212</f>
        <v>00</v>
      </c>
      <c r="D1212" s="63" t="e">
        <f>VLOOKUP(C1212,'RAW DATA 2023'!E:BP,63,0)</f>
        <v>#N/A</v>
      </c>
      <c r="E1212" s="63" t="e">
        <f>A1212&amp;D1212</f>
        <v>#N/A</v>
      </c>
      <c r="F1212" s="389" t="e">
        <f>VLOOKUP(C1212,'RAW DATA 2023'!E:BO,57,0)</f>
        <v>#N/A</v>
      </c>
      <c r="G1212" s="63" t="e">
        <f>VLOOKUP(C1212,'RAW DATA 2023'!E:BO,58,0)</f>
        <v>#N/A</v>
      </c>
      <c r="H1212" s="390">
        <f>IFERROR((G1212-F1212)/G1212,0)</f>
        <v>0</v>
      </c>
      <c r="I1212" s="398">
        <f>IF(H1212&lt;0,((0.25-(H1212*(-1)))*$L$7),IF(H1212&gt;0,(H1212*$N$7)+$L$6,0))</f>
        <v>0</v>
      </c>
      <c r="J1212" s="73" t="e">
        <f>VLOOKUP(C1212,'RAW DATA 2023'!E:AC,21,0)</f>
        <v>#N/A</v>
      </c>
      <c r="K1212" s="398" t="e">
        <f>I1212*J1212</f>
        <v>#N/A</v>
      </c>
    </row>
    <row r="1213" spans="1:11">
      <c r="A1213" s="63">
        <f>'RAW DATA 2023'!B1206</f>
        <v>0</v>
      </c>
      <c r="B1213" s="63">
        <f>'RAW DATA 2023'!D1206</f>
        <v>0</v>
      </c>
      <c r="C1213" s="63" t="str">
        <f>A1213&amp;B1213</f>
        <v>00</v>
      </c>
      <c r="D1213" s="63" t="e">
        <f>VLOOKUP(C1213,'RAW DATA 2023'!E:BP,63,0)</f>
        <v>#N/A</v>
      </c>
      <c r="E1213" s="63" t="e">
        <f>A1213&amp;D1213</f>
        <v>#N/A</v>
      </c>
      <c r="F1213" s="389" t="e">
        <f>VLOOKUP(C1213,'RAW DATA 2023'!E:BO,57,0)</f>
        <v>#N/A</v>
      </c>
      <c r="G1213" s="63" t="e">
        <f>VLOOKUP(C1213,'RAW DATA 2023'!E:BO,58,0)</f>
        <v>#N/A</v>
      </c>
      <c r="H1213" s="390">
        <f>IFERROR((G1213-F1213)/G1213,0)</f>
        <v>0</v>
      </c>
      <c r="I1213" s="398">
        <f>IF(H1213&lt;0,((0.25-(H1213*(-1)))*$L$7),IF(H1213&gt;0,(H1213*$N$7)+$L$6,0))</f>
        <v>0</v>
      </c>
      <c r="J1213" s="73" t="e">
        <f>VLOOKUP(C1213,'RAW DATA 2023'!E:AC,21,0)</f>
        <v>#N/A</v>
      </c>
      <c r="K1213" s="398" t="e">
        <f>I1213*J1213</f>
        <v>#N/A</v>
      </c>
    </row>
    <row r="1214" spans="1:11">
      <c r="A1214" s="63">
        <f>'RAW DATA 2023'!B1207</f>
        <v>0</v>
      </c>
      <c r="B1214" s="63">
        <f>'RAW DATA 2023'!D1207</f>
        <v>0</v>
      </c>
      <c r="C1214" s="63" t="str">
        <f>A1214&amp;B1214</f>
        <v>00</v>
      </c>
      <c r="D1214" s="63" t="e">
        <f>VLOOKUP(C1214,'RAW DATA 2023'!E:BP,63,0)</f>
        <v>#N/A</v>
      </c>
      <c r="E1214" s="63" t="e">
        <f>A1214&amp;D1214</f>
        <v>#N/A</v>
      </c>
      <c r="F1214" s="389" t="e">
        <f>VLOOKUP(C1214,'RAW DATA 2023'!E:BO,57,0)</f>
        <v>#N/A</v>
      </c>
      <c r="G1214" s="63" t="e">
        <f>VLOOKUP(C1214,'RAW DATA 2023'!E:BO,58,0)</f>
        <v>#N/A</v>
      </c>
      <c r="H1214" s="390">
        <f>IFERROR((G1214-F1214)/G1214,0)</f>
        <v>0</v>
      </c>
      <c r="I1214" s="398">
        <f>IF(H1214&lt;0,((0.25-(H1214*(-1)))*$L$7),IF(H1214&gt;0,(H1214*$N$7)+$L$6,0))</f>
        <v>0</v>
      </c>
      <c r="J1214" s="73" t="e">
        <f>VLOOKUP(C1214,'RAW DATA 2023'!E:AC,21,0)</f>
        <v>#N/A</v>
      </c>
      <c r="K1214" s="398" t="e">
        <f>I1214*J1214</f>
        <v>#N/A</v>
      </c>
    </row>
    <row r="1215" spans="1:11">
      <c r="A1215" s="63">
        <f>'RAW DATA 2023'!B1208</f>
        <v>0</v>
      </c>
      <c r="B1215" s="63">
        <f>'RAW DATA 2023'!D1208</f>
        <v>0</v>
      </c>
      <c r="C1215" s="63" t="str">
        <f>A1215&amp;B1215</f>
        <v>00</v>
      </c>
      <c r="D1215" s="63" t="e">
        <f>VLOOKUP(C1215,'RAW DATA 2023'!E:BP,63,0)</f>
        <v>#N/A</v>
      </c>
      <c r="E1215" s="63" t="e">
        <f>A1215&amp;D1215</f>
        <v>#N/A</v>
      </c>
      <c r="F1215" s="389" t="e">
        <f>VLOOKUP(C1215,'RAW DATA 2023'!E:BO,57,0)</f>
        <v>#N/A</v>
      </c>
      <c r="G1215" s="63" t="e">
        <f>VLOOKUP(C1215,'RAW DATA 2023'!E:BO,58,0)</f>
        <v>#N/A</v>
      </c>
      <c r="H1215" s="390">
        <f>IFERROR((G1215-F1215)/G1215,0)</f>
        <v>0</v>
      </c>
      <c r="I1215" s="398">
        <f>IF(H1215&lt;0,((0.25-(H1215*(-1)))*$L$7),IF(H1215&gt;0,(H1215*$N$7)+$L$6,0))</f>
        <v>0</v>
      </c>
      <c r="J1215" s="73" t="e">
        <f>VLOOKUP(C1215,'RAW DATA 2023'!E:AC,21,0)</f>
        <v>#N/A</v>
      </c>
      <c r="K1215" s="398" t="e">
        <f>I1215*J1215</f>
        <v>#N/A</v>
      </c>
    </row>
    <row r="1216" spans="1:11">
      <c r="A1216" s="63">
        <f>'RAW DATA 2023'!B1209</f>
        <v>0</v>
      </c>
      <c r="B1216" s="63">
        <f>'RAW DATA 2023'!D1209</f>
        <v>0</v>
      </c>
      <c r="C1216" s="63" t="str">
        <f>A1216&amp;B1216</f>
        <v>00</v>
      </c>
      <c r="D1216" s="63" t="e">
        <f>VLOOKUP(C1216,'RAW DATA 2023'!E:BP,63,0)</f>
        <v>#N/A</v>
      </c>
      <c r="E1216" s="63" t="e">
        <f>A1216&amp;D1216</f>
        <v>#N/A</v>
      </c>
      <c r="F1216" s="389" t="e">
        <f>VLOOKUP(C1216,'RAW DATA 2023'!E:BO,57,0)</f>
        <v>#N/A</v>
      </c>
      <c r="G1216" s="63" t="e">
        <f>VLOOKUP(C1216,'RAW DATA 2023'!E:BO,58,0)</f>
        <v>#N/A</v>
      </c>
      <c r="H1216" s="390">
        <f>IFERROR((G1216-F1216)/G1216,0)</f>
        <v>0</v>
      </c>
      <c r="I1216" s="398">
        <f>IF(H1216&lt;0,((0.25-(H1216*(-1)))*$L$7),IF(H1216&gt;0,(H1216*$N$7)+$L$6,0))</f>
        <v>0</v>
      </c>
      <c r="J1216" s="73" t="e">
        <f>VLOOKUP(C1216,'RAW DATA 2023'!E:AC,21,0)</f>
        <v>#N/A</v>
      </c>
      <c r="K1216" s="398" t="e">
        <f>I1216*J1216</f>
        <v>#N/A</v>
      </c>
    </row>
    <row r="1217" spans="1:11">
      <c r="A1217" s="63">
        <f>'RAW DATA 2023'!B1210</f>
        <v>0</v>
      </c>
      <c r="B1217" s="63">
        <f>'RAW DATA 2023'!D1210</f>
        <v>0</v>
      </c>
      <c r="C1217" s="63" t="str">
        <f>A1217&amp;B1217</f>
        <v>00</v>
      </c>
      <c r="D1217" s="63" t="e">
        <f>VLOOKUP(C1217,'RAW DATA 2023'!E:BP,63,0)</f>
        <v>#N/A</v>
      </c>
      <c r="E1217" s="63" t="e">
        <f>A1217&amp;D1217</f>
        <v>#N/A</v>
      </c>
      <c r="F1217" s="389" t="e">
        <f>VLOOKUP(C1217,'RAW DATA 2023'!E:BO,57,0)</f>
        <v>#N/A</v>
      </c>
      <c r="G1217" s="63" t="e">
        <f>VLOOKUP(C1217,'RAW DATA 2023'!E:BO,58,0)</f>
        <v>#N/A</v>
      </c>
      <c r="H1217" s="390">
        <f>IFERROR((G1217-F1217)/G1217,0)</f>
        <v>0</v>
      </c>
      <c r="I1217" s="398">
        <f>IF(H1217&lt;0,((0.25-(H1217*(-1)))*$L$7),IF(H1217&gt;0,(H1217*$N$7)+$L$6,0))</f>
        <v>0</v>
      </c>
      <c r="J1217" s="73" t="e">
        <f>VLOOKUP(C1217,'RAW DATA 2023'!E:AC,21,0)</f>
        <v>#N/A</v>
      </c>
      <c r="K1217" s="398" t="e">
        <f>I1217*J1217</f>
        <v>#N/A</v>
      </c>
    </row>
    <row r="1218" spans="1:11">
      <c r="A1218" s="63">
        <f>'RAW DATA 2023'!B1211</f>
        <v>0</v>
      </c>
      <c r="B1218" s="63">
        <f>'RAW DATA 2023'!D1211</f>
        <v>0</v>
      </c>
      <c r="C1218" s="63" t="str">
        <f>A1218&amp;B1218</f>
        <v>00</v>
      </c>
      <c r="D1218" s="63" t="e">
        <f>VLOOKUP(C1218,'RAW DATA 2023'!E:BP,63,0)</f>
        <v>#N/A</v>
      </c>
      <c r="E1218" s="63" t="e">
        <f>A1218&amp;D1218</f>
        <v>#N/A</v>
      </c>
      <c r="F1218" s="389" t="e">
        <f>VLOOKUP(C1218,'RAW DATA 2023'!E:BO,57,0)</f>
        <v>#N/A</v>
      </c>
      <c r="G1218" s="63" t="e">
        <f>VLOOKUP(C1218,'RAW DATA 2023'!E:BO,58,0)</f>
        <v>#N/A</v>
      </c>
      <c r="H1218" s="390">
        <f>IFERROR((G1218-F1218)/G1218,0)</f>
        <v>0</v>
      </c>
      <c r="I1218" s="398">
        <f>IF(H1218&lt;0,((0.25-(H1218*(-1)))*$L$7),IF(H1218&gt;0,(H1218*$N$7)+$L$6,0))</f>
        <v>0</v>
      </c>
      <c r="J1218" s="73" t="e">
        <f>VLOOKUP(C1218,'RAW DATA 2023'!E:AC,21,0)</f>
        <v>#N/A</v>
      </c>
      <c r="K1218" s="398" t="e">
        <f>I1218*J1218</f>
        <v>#N/A</v>
      </c>
    </row>
    <row r="1219" spans="1:11">
      <c r="A1219" s="63">
        <f>'RAW DATA 2023'!B1212</f>
        <v>0</v>
      </c>
      <c r="B1219" s="63">
        <f>'RAW DATA 2023'!D1212</f>
        <v>0</v>
      </c>
      <c r="C1219" s="63" t="str">
        <f>A1219&amp;B1219</f>
        <v>00</v>
      </c>
      <c r="D1219" s="63" t="e">
        <f>VLOOKUP(C1219,'RAW DATA 2023'!E:BP,63,0)</f>
        <v>#N/A</v>
      </c>
      <c r="E1219" s="63" t="e">
        <f>A1219&amp;D1219</f>
        <v>#N/A</v>
      </c>
      <c r="F1219" s="389" t="e">
        <f>VLOOKUP(C1219,'RAW DATA 2023'!E:BO,57,0)</f>
        <v>#N/A</v>
      </c>
      <c r="G1219" s="63" t="e">
        <f>VLOOKUP(C1219,'RAW DATA 2023'!E:BO,58,0)</f>
        <v>#N/A</v>
      </c>
      <c r="H1219" s="390">
        <f>IFERROR((G1219-F1219)/G1219,0)</f>
        <v>0</v>
      </c>
      <c r="I1219" s="398">
        <f>IF(H1219&lt;0,((0.25-(H1219*(-1)))*$L$7),IF(H1219&gt;0,(H1219*$N$7)+$L$6,0))</f>
        <v>0</v>
      </c>
      <c r="J1219" s="73" t="e">
        <f>VLOOKUP(C1219,'RAW DATA 2023'!E:AC,21,0)</f>
        <v>#N/A</v>
      </c>
      <c r="K1219" s="398" t="e">
        <f>I1219*J1219</f>
        <v>#N/A</v>
      </c>
    </row>
    <row r="1220" spans="1:11">
      <c r="A1220" s="63">
        <f>'RAW DATA 2023'!B1213</f>
        <v>0</v>
      </c>
      <c r="B1220" s="63">
        <f>'RAW DATA 2023'!D1213</f>
        <v>0</v>
      </c>
      <c r="C1220" s="63" t="str">
        <f>A1220&amp;B1220</f>
        <v>00</v>
      </c>
      <c r="D1220" s="63" t="e">
        <f>VLOOKUP(C1220,'RAW DATA 2023'!E:BP,63,0)</f>
        <v>#N/A</v>
      </c>
      <c r="E1220" s="63" t="e">
        <f>A1220&amp;D1220</f>
        <v>#N/A</v>
      </c>
      <c r="F1220" s="389" t="e">
        <f>VLOOKUP(C1220,'RAW DATA 2023'!E:BO,57,0)</f>
        <v>#N/A</v>
      </c>
      <c r="G1220" s="63" t="e">
        <f>VLOOKUP(C1220,'RAW DATA 2023'!E:BO,58,0)</f>
        <v>#N/A</v>
      </c>
      <c r="H1220" s="390">
        <f>IFERROR((G1220-F1220)/G1220,0)</f>
        <v>0</v>
      </c>
      <c r="I1220" s="398">
        <f>IF(H1220&lt;0,((0.25-(H1220*(-1)))*$L$7),IF(H1220&gt;0,(H1220*$N$7)+$L$6,0))</f>
        <v>0</v>
      </c>
      <c r="J1220" s="73" t="e">
        <f>VLOOKUP(C1220,'RAW DATA 2023'!E:AC,21,0)</f>
        <v>#N/A</v>
      </c>
      <c r="K1220" s="398" t="e">
        <f>I1220*J1220</f>
        <v>#N/A</v>
      </c>
    </row>
    <row r="1221" spans="1:11">
      <c r="A1221" s="63">
        <f>'RAW DATA 2023'!B1214</f>
        <v>0</v>
      </c>
      <c r="B1221" s="63">
        <f>'RAW DATA 2023'!D1214</f>
        <v>0</v>
      </c>
      <c r="C1221" s="63" t="str">
        <f>A1221&amp;B1221</f>
        <v>00</v>
      </c>
      <c r="D1221" s="63" t="e">
        <f>VLOOKUP(C1221,'RAW DATA 2023'!E:BP,63,0)</f>
        <v>#N/A</v>
      </c>
      <c r="E1221" s="63" t="e">
        <f>A1221&amp;D1221</f>
        <v>#N/A</v>
      </c>
      <c r="F1221" s="389" t="e">
        <f>VLOOKUP(C1221,'RAW DATA 2023'!E:BO,57,0)</f>
        <v>#N/A</v>
      </c>
      <c r="G1221" s="63" t="e">
        <f>VLOOKUP(C1221,'RAW DATA 2023'!E:BO,58,0)</f>
        <v>#N/A</v>
      </c>
      <c r="H1221" s="390">
        <f>IFERROR((G1221-F1221)/G1221,0)</f>
        <v>0</v>
      </c>
      <c r="I1221" s="398">
        <f>IF(H1221&lt;0,((0.25-(H1221*(-1)))*$L$7),IF(H1221&gt;0,(H1221*$N$7)+$L$6,0))</f>
        <v>0</v>
      </c>
      <c r="J1221" s="73" t="e">
        <f>VLOOKUP(C1221,'RAW DATA 2023'!E:AC,21,0)</f>
        <v>#N/A</v>
      </c>
      <c r="K1221" s="398" t="e">
        <f>I1221*J1221</f>
        <v>#N/A</v>
      </c>
    </row>
    <row r="1222" spans="1:11">
      <c r="A1222" s="63">
        <f>'RAW DATA 2023'!B1215</f>
        <v>0</v>
      </c>
      <c r="B1222" s="63">
        <f>'RAW DATA 2023'!D1215</f>
        <v>0</v>
      </c>
      <c r="C1222" s="63" t="str">
        <f>A1222&amp;B1222</f>
        <v>00</v>
      </c>
      <c r="D1222" s="63" t="e">
        <f>VLOOKUP(C1222,'RAW DATA 2023'!E:BP,63,0)</f>
        <v>#N/A</v>
      </c>
      <c r="E1222" s="63" t="e">
        <f>A1222&amp;D1222</f>
        <v>#N/A</v>
      </c>
      <c r="F1222" s="389" t="e">
        <f>VLOOKUP(C1222,'RAW DATA 2023'!E:BO,57,0)</f>
        <v>#N/A</v>
      </c>
      <c r="G1222" s="63" t="e">
        <f>VLOOKUP(C1222,'RAW DATA 2023'!E:BO,58,0)</f>
        <v>#N/A</v>
      </c>
      <c r="H1222" s="390">
        <f>IFERROR((G1222-F1222)/G1222,0)</f>
        <v>0</v>
      </c>
      <c r="I1222" s="398">
        <f>IF(H1222&lt;0,((0.25-(H1222*(-1)))*$L$7),IF(H1222&gt;0,(H1222*$N$7)+$L$6,0))</f>
        <v>0</v>
      </c>
      <c r="J1222" s="73" t="e">
        <f>VLOOKUP(C1222,'RAW DATA 2023'!E:AC,21,0)</f>
        <v>#N/A</v>
      </c>
      <c r="K1222" s="398" t="e">
        <f>I1222*J1222</f>
        <v>#N/A</v>
      </c>
    </row>
    <row r="1223" spans="1:11">
      <c r="A1223" s="63">
        <f>'RAW DATA 2023'!B1216</f>
        <v>0</v>
      </c>
      <c r="B1223" s="63">
        <f>'RAW DATA 2023'!D1216</f>
        <v>0</v>
      </c>
      <c r="C1223" s="63" t="str">
        <f>A1223&amp;B1223</f>
        <v>00</v>
      </c>
      <c r="D1223" s="63" t="e">
        <f>VLOOKUP(C1223,'RAW DATA 2023'!E:BP,63,0)</f>
        <v>#N/A</v>
      </c>
      <c r="E1223" s="63" t="e">
        <f>A1223&amp;D1223</f>
        <v>#N/A</v>
      </c>
      <c r="F1223" s="389" t="e">
        <f>VLOOKUP(C1223,'RAW DATA 2023'!E:BO,57,0)</f>
        <v>#N/A</v>
      </c>
      <c r="G1223" s="63" t="e">
        <f>VLOOKUP(C1223,'RAW DATA 2023'!E:BO,58,0)</f>
        <v>#N/A</v>
      </c>
      <c r="H1223" s="390">
        <f>IFERROR((G1223-F1223)/G1223,0)</f>
        <v>0</v>
      </c>
      <c r="I1223" s="398">
        <f>IF(H1223&lt;0,((0.25-(H1223*(-1)))*$L$7),IF(H1223&gt;0,(H1223*$N$7)+$L$6,0))</f>
        <v>0</v>
      </c>
      <c r="J1223" s="73" t="e">
        <f>VLOOKUP(C1223,'RAW DATA 2023'!E:AC,21,0)</f>
        <v>#N/A</v>
      </c>
      <c r="K1223" s="398" t="e">
        <f>I1223*J1223</f>
        <v>#N/A</v>
      </c>
    </row>
    <row r="1224" spans="1:11">
      <c r="A1224" s="63">
        <f>'RAW DATA 2023'!B1217</f>
        <v>0</v>
      </c>
      <c r="B1224" s="63">
        <f>'RAW DATA 2023'!D1217</f>
        <v>0</v>
      </c>
      <c r="C1224" s="63" t="str">
        <f>A1224&amp;B1224</f>
        <v>00</v>
      </c>
      <c r="D1224" s="63" t="e">
        <f>VLOOKUP(C1224,'RAW DATA 2023'!E:BP,63,0)</f>
        <v>#N/A</v>
      </c>
      <c r="E1224" s="63" t="e">
        <f>A1224&amp;D1224</f>
        <v>#N/A</v>
      </c>
      <c r="F1224" s="389" t="e">
        <f>VLOOKUP(C1224,'RAW DATA 2023'!E:BO,57,0)</f>
        <v>#N/A</v>
      </c>
      <c r="G1224" s="63" t="e">
        <f>VLOOKUP(C1224,'RAW DATA 2023'!E:BO,58,0)</f>
        <v>#N/A</v>
      </c>
      <c r="H1224" s="390">
        <f>IFERROR((G1224-F1224)/G1224,0)</f>
        <v>0</v>
      </c>
      <c r="I1224" s="398">
        <f>IF(H1224&lt;0,((0.25-(H1224*(-1)))*$L$7),IF(H1224&gt;0,(H1224*$N$7)+$L$6,0))</f>
        <v>0</v>
      </c>
      <c r="J1224" s="73" t="e">
        <f>VLOOKUP(C1224,'RAW DATA 2023'!E:AC,21,0)</f>
        <v>#N/A</v>
      </c>
      <c r="K1224" s="398" t="e">
        <f>I1224*J1224</f>
        <v>#N/A</v>
      </c>
    </row>
    <row r="1225" spans="1:11">
      <c r="A1225" s="63">
        <f>'RAW DATA 2023'!B1218</f>
        <v>0</v>
      </c>
      <c r="B1225" s="63">
        <f>'RAW DATA 2023'!D1218</f>
        <v>0</v>
      </c>
      <c r="C1225" s="63" t="str">
        <f>A1225&amp;B1225</f>
        <v>00</v>
      </c>
      <c r="D1225" s="63" t="e">
        <f>VLOOKUP(C1225,'RAW DATA 2023'!E:BP,63,0)</f>
        <v>#N/A</v>
      </c>
      <c r="E1225" s="63" t="e">
        <f>A1225&amp;D1225</f>
        <v>#N/A</v>
      </c>
      <c r="F1225" s="389" t="e">
        <f>VLOOKUP(C1225,'RAW DATA 2023'!E:BO,57,0)</f>
        <v>#N/A</v>
      </c>
      <c r="G1225" s="63" t="e">
        <f>VLOOKUP(C1225,'RAW DATA 2023'!E:BO,58,0)</f>
        <v>#N/A</v>
      </c>
      <c r="H1225" s="390">
        <f>IFERROR((G1225-F1225)/G1225,0)</f>
        <v>0</v>
      </c>
      <c r="I1225" s="398">
        <f>IF(H1225&lt;0,((0.25-(H1225*(-1)))*$L$7),IF(H1225&gt;0,(H1225*$N$7)+$L$6,0))</f>
        <v>0</v>
      </c>
      <c r="J1225" s="73" t="e">
        <f>VLOOKUP(C1225,'RAW DATA 2023'!E:AC,21,0)</f>
        <v>#N/A</v>
      </c>
      <c r="K1225" s="398" t="e">
        <f>I1225*J1225</f>
        <v>#N/A</v>
      </c>
    </row>
    <row r="1226" spans="1:11">
      <c r="A1226" s="63">
        <f>'RAW DATA 2023'!B1219</f>
        <v>0</v>
      </c>
      <c r="B1226" s="63">
        <f>'RAW DATA 2023'!D1219</f>
        <v>0</v>
      </c>
      <c r="C1226" s="63" t="str">
        <f>A1226&amp;B1226</f>
        <v>00</v>
      </c>
      <c r="D1226" s="63" t="e">
        <f>VLOOKUP(C1226,'RAW DATA 2023'!E:BP,63,0)</f>
        <v>#N/A</v>
      </c>
      <c r="E1226" s="63" t="e">
        <f>A1226&amp;D1226</f>
        <v>#N/A</v>
      </c>
      <c r="F1226" s="389" t="e">
        <f>VLOOKUP(C1226,'RAW DATA 2023'!E:BO,57,0)</f>
        <v>#N/A</v>
      </c>
      <c r="G1226" s="63" t="e">
        <f>VLOOKUP(C1226,'RAW DATA 2023'!E:BO,58,0)</f>
        <v>#N/A</v>
      </c>
      <c r="H1226" s="390">
        <f>IFERROR((G1226-F1226)/G1226,0)</f>
        <v>0</v>
      </c>
      <c r="I1226" s="398">
        <f>IF(H1226&lt;0,((0.25-(H1226*(-1)))*$L$7),IF(H1226&gt;0,(H1226*$N$7)+$L$6,0))</f>
        <v>0</v>
      </c>
      <c r="J1226" s="73" t="e">
        <f>VLOOKUP(C1226,'RAW DATA 2023'!E:AC,21,0)</f>
        <v>#N/A</v>
      </c>
      <c r="K1226" s="398" t="e">
        <f>I1226*J1226</f>
        <v>#N/A</v>
      </c>
    </row>
    <row r="1227" spans="1:11">
      <c r="A1227" s="63">
        <f>'RAW DATA 2023'!B1220</f>
        <v>0</v>
      </c>
      <c r="B1227" s="63">
        <f>'RAW DATA 2023'!D1220</f>
        <v>0</v>
      </c>
      <c r="C1227" s="63" t="str">
        <f>A1227&amp;B1227</f>
        <v>00</v>
      </c>
      <c r="D1227" s="63" t="e">
        <f>VLOOKUP(C1227,'RAW DATA 2023'!E:BP,63,0)</f>
        <v>#N/A</v>
      </c>
      <c r="E1227" s="63" t="e">
        <f>A1227&amp;D1227</f>
        <v>#N/A</v>
      </c>
      <c r="F1227" s="389" t="e">
        <f>VLOOKUP(C1227,'RAW DATA 2023'!E:BO,57,0)</f>
        <v>#N/A</v>
      </c>
      <c r="G1227" s="63" t="e">
        <f>VLOOKUP(C1227,'RAW DATA 2023'!E:BO,58,0)</f>
        <v>#N/A</v>
      </c>
      <c r="H1227" s="390">
        <f>IFERROR((G1227-F1227)/G1227,0)</f>
        <v>0</v>
      </c>
      <c r="I1227" s="398">
        <f>IF(H1227&lt;0,((0.25-(H1227*(-1)))*$L$7),IF(H1227&gt;0,(H1227*$N$7)+$L$6,0))</f>
        <v>0</v>
      </c>
      <c r="J1227" s="73" t="e">
        <f>VLOOKUP(C1227,'RAW DATA 2023'!E:AC,21,0)</f>
        <v>#N/A</v>
      </c>
      <c r="K1227" s="398" t="e">
        <f>I1227*J1227</f>
        <v>#N/A</v>
      </c>
    </row>
    <row r="1228" spans="1:11">
      <c r="A1228" s="63">
        <f>'RAW DATA 2023'!B1221</f>
        <v>0</v>
      </c>
      <c r="B1228" s="63">
        <f>'RAW DATA 2023'!D1221</f>
        <v>0</v>
      </c>
      <c r="C1228" s="63" t="str">
        <f>A1228&amp;B1228</f>
        <v>00</v>
      </c>
      <c r="D1228" s="63" t="e">
        <f>VLOOKUP(C1228,'RAW DATA 2023'!E:BP,63,0)</f>
        <v>#N/A</v>
      </c>
      <c r="E1228" s="63" t="e">
        <f>A1228&amp;D1228</f>
        <v>#N/A</v>
      </c>
      <c r="F1228" s="389" t="e">
        <f>VLOOKUP(C1228,'RAW DATA 2023'!E:BO,57,0)</f>
        <v>#N/A</v>
      </c>
      <c r="G1228" s="63" t="e">
        <f>VLOOKUP(C1228,'RAW DATA 2023'!E:BO,58,0)</f>
        <v>#N/A</v>
      </c>
      <c r="H1228" s="390">
        <f>IFERROR((G1228-F1228)/G1228,0)</f>
        <v>0</v>
      </c>
      <c r="I1228" s="398">
        <f>IF(H1228&lt;0,((0.25-(H1228*(-1)))*$L$7),IF(H1228&gt;0,(H1228*$N$7)+$L$6,0))</f>
        <v>0</v>
      </c>
      <c r="J1228" s="73" t="e">
        <f>VLOOKUP(C1228,'RAW DATA 2023'!E:AC,21,0)</f>
        <v>#N/A</v>
      </c>
      <c r="K1228" s="398" t="e">
        <f>I1228*J1228</f>
        <v>#N/A</v>
      </c>
    </row>
    <row r="1229" spans="1:11">
      <c r="A1229" s="63">
        <f>'RAW DATA 2023'!B1222</f>
        <v>0</v>
      </c>
      <c r="B1229" s="63">
        <f>'RAW DATA 2023'!D1222</f>
        <v>0</v>
      </c>
      <c r="C1229" s="63" t="str">
        <f>A1229&amp;B1229</f>
        <v>00</v>
      </c>
      <c r="D1229" s="63" t="e">
        <f>VLOOKUP(C1229,'RAW DATA 2023'!E:BP,63,0)</f>
        <v>#N/A</v>
      </c>
      <c r="E1229" s="63" t="e">
        <f>A1229&amp;D1229</f>
        <v>#N/A</v>
      </c>
      <c r="F1229" s="389" t="e">
        <f>VLOOKUP(C1229,'RAW DATA 2023'!E:BO,57,0)</f>
        <v>#N/A</v>
      </c>
      <c r="G1229" s="63" t="e">
        <f>VLOOKUP(C1229,'RAW DATA 2023'!E:BO,58,0)</f>
        <v>#N/A</v>
      </c>
      <c r="H1229" s="390">
        <f>IFERROR((G1229-F1229)/G1229,0)</f>
        <v>0</v>
      </c>
      <c r="I1229" s="398">
        <f>IF(H1229&lt;0,((0.25-(H1229*(-1)))*$L$7),IF(H1229&gt;0,(H1229*$N$7)+$L$6,0))</f>
        <v>0</v>
      </c>
      <c r="J1229" s="73" t="e">
        <f>VLOOKUP(C1229,'RAW DATA 2023'!E:AC,21,0)</f>
        <v>#N/A</v>
      </c>
      <c r="K1229" s="398" t="e">
        <f>I1229*J1229</f>
        <v>#N/A</v>
      </c>
    </row>
    <row r="1230" spans="1:11">
      <c r="A1230" s="63">
        <f>'RAW DATA 2023'!B1223</f>
        <v>0</v>
      </c>
      <c r="B1230" s="63">
        <f>'RAW DATA 2023'!D1223</f>
        <v>0</v>
      </c>
      <c r="C1230" s="63" t="str">
        <f>A1230&amp;B1230</f>
        <v>00</v>
      </c>
      <c r="D1230" s="63" t="e">
        <f>VLOOKUP(C1230,'RAW DATA 2023'!E:BP,63,0)</f>
        <v>#N/A</v>
      </c>
      <c r="E1230" s="63" t="e">
        <f>A1230&amp;D1230</f>
        <v>#N/A</v>
      </c>
      <c r="F1230" s="389" t="e">
        <f>VLOOKUP(C1230,'RAW DATA 2023'!E:BO,57,0)</f>
        <v>#N/A</v>
      </c>
      <c r="G1230" s="63" t="e">
        <f>VLOOKUP(C1230,'RAW DATA 2023'!E:BO,58,0)</f>
        <v>#N/A</v>
      </c>
      <c r="H1230" s="390">
        <f>IFERROR((G1230-F1230)/G1230,0)</f>
        <v>0</v>
      </c>
      <c r="I1230" s="398">
        <f>IF(H1230&lt;0,((0.25-(H1230*(-1)))*$L$7),IF(H1230&gt;0,(H1230*$N$7)+$L$6,0))</f>
        <v>0</v>
      </c>
      <c r="J1230" s="73" t="e">
        <f>VLOOKUP(C1230,'RAW DATA 2023'!E:AC,21,0)</f>
        <v>#N/A</v>
      </c>
      <c r="K1230" s="398" t="e">
        <f>I1230*J1230</f>
        <v>#N/A</v>
      </c>
    </row>
    <row r="1231" spans="1:11">
      <c r="A1231" s="63">
        <f>'RAW DATA 2023'!B1224</f>
        <v>0</v>
      </c>
      <c r="B1231" s="63">
        <f>'RAW DATA 2023'!D1224</f>
        <v>0</v>
      </c>
      <c r="C1231" s="63" t="str">
        <f>A1231&amp;B1231</f>
        <v>00</v>
      </c>
      <c r="D1231" s="63" t="e">
        <f>VLOOKUP(C1231,'RAW DATA 2023'!E:BP,63,0)</f>
        <v>#N/A</v>
      </c>
      <c r="E1231" s="63" t="e">
        <f>A1231&amp;D1231</f>
        <v>#N/A</v>
      </c>
      <c r="F1231" s="389" t="e">
        <f>VLOOKUP(C1231,'RAW DATA 2023'!E:BO,57,0)</f>
        <v>#N/A</v>
      </c>
      <c r="G1231" s="63" t="e">
        <f>VLOOKUP(C1231,'RAW DATA 2023'!E:BO,58,0)</f>
        <v>#N/A</v>
      </c>
      <c r="H1231" s="390">
        <f>IFERROR((G1231-F1231)/G1231,0)</f>
        <v>0</v>
      </c>
      <c r="I1231" s="398">
        <f>IF(H1231&lt;0,((0.25-(H1231*(-1)))*$L$7),IF(H1231&gt;0,(H1231*$N$7)+$L$6,0))</f>
        <v>0</v>
      </c>
      <c r="J1231" s="73" t="e">
        <f>VLOOKUP(C1231,'RAW DATA 2023'!E:AC,21,0)</f>
        <v>#N/A</v>
      </c>
      <c r="K1231" s="398" t="e">
        <f>I1231*J1231</f>
        <v>#N/A</v>
      </c>
    </row>
    <row r="1232" spans="1:11">
      <c r="A1232" s="63">
        <f>'RAW DATA 2023'!B1225</f>
        <v>0</v>
      </c>
      <c r="B1232" s="63">
        <f>'RAW DATA 2023'!D1225</f>
        <v>0</v>
      </c>
      <c r="C1232" s="63" t="str">
        <f>A1232&amp;B1232</f>
        <v>00</v>
      </c>
      <c r="D1232" s="63" t="e">
        <f>VLOOKUP(C1232,'RAW DATA 2023'!E:BP,63,0)</f>
        <v>#N/A</v>
      </c>
      <c r="E1232" s="63" t="e">
        <f>A1232&amp;D1232</f>
        <v>#N/A</v>
      </c>
      <c r="F1232" s="389" t="e">
        <f>VLOOKUP(C1232,'RAW DATA 2023'!E:BO,57,0)</f>
        <v>#N/A</v>
      </c>
      <c r="G1232" s="63" t="e">
        <f>VLOOKUP(C1232,'RAW DATA 2023'!E:BO,58,0)</f>
        <v>#N/A</v>
      </c>
      <c r="H1232" s="390">
        <f>IFERROR((G1232-F1232)/G1232,0)</f>
        <v>0</v>
      </c>
      <c r="I1232" s="398">
        <f>IF(H1232&lt;0,((0.25-(H1232*(-1)))*$L$7),IF(H1232&gt;0,(H1232*$N$7)+$L$6,0))</f>
        <v>0</v>
      </c>
      <c r="J1232" s="73" t="e">
        <f>VLOOKUP(C1232,'RAW DATA 2023'!E:AC,21,0)</f>
        <v>#N/A</v>
      </c>
      <c r="K1232" s="398" t="e">
        <f>I1232*J1232</f>
        <v>#N/A</v>
      </c>
    </row>
    <row r="1233" spans="1:11">
      <c r="A1233" s="63">
        <f>'RAW DATA 2023'!B1226</f>
        <v>0</v>
      </c>
      <c r="B1233" s="63">
        <f>'RAW DATA 2023'!D1226</f>
        <v>0</v>
      </c>
      <c r="C1233" s="63" t="str">
        <f>A1233&amp;B1233</f>
        <v>00</v>
      </c>
      <c r="D1233" s="63" t="e">
        <f>VLOOKUP(C1233,'RAW DATA 2023'!E:BP,63,0)</f>
        <v>#N/A</v>
      </c>
      <c r="E1233" s="63" t="e">
        <f>A1233&amp;D1233</f>
        <v>#N/A</v>
      </c>
      <c r="F1233" s="389" t="e">
        <f>VLOOKUP(C1233,'RAW DATA 2023'!E:BO,57,0)</f>
        <v>#N/A</v>
      </c>
      <c r="G1233" s="63" t="e">
        <f>VLOOKUP(C1233,'RAW DATA 2023'!E:BO,58,0)</f>
        <v>#N/A</v>
      </c>
      <c r="H1233" s="390">
        <f>IFERROR((G1233-F1233)/G1233,0)</f>
        <v>0</v>
      </c>
      <c r="I1233" s="398">
        <f>IF(H1233&lt;0,((0.25-(H1233*(-1)))*$L$7),IF(H1233&gt;0,(H1233*$N$7)+$L$6,0))</f>
        <v>0</v>
      </c>
      <c r="J1233" s="73" t="e">
        <f>VLOOKUP(C1233,'RAW DATA 2023'!E:AC,21,0)</f>
        <v>#N/A</v>
      </c>
      <c r="K1233" s="398" t="e">
        <f>I1233*J1233</f>
        <v>#N/A</v>
      </c>
    </row>
    <row r="1234" spans="1:11">
      <c r="A1234" s="63">
        <f>'RAW DATA 2023'!B1227</f>
        <v>0</v>
      </c>
      <c r="B1234" s="63">
        <f>'RAW DATA 2023'!D1227</f>
        <v>0</v>
      </c>
      <c r="C1234" s="63" t="str">
        <f>A1234&amp;B1234</f>
        <v>00</v>
      </c>
      <c r="D1234" s="63" t="e">
        <f>VLOOKUP(C1234,'RAW DATA 2023'!E:BP,63,0)</f>
        <v>#N/A</v>
      </c>
      <c r="E1234" s="63" t="e">
        <f>A1234&amp;D1234</f>
        <v>#N/A</v>
      </c>
      <c r="F1234" s="389" t="e">
        <f>VLOOKUP(C1234,'RAW DATA 2023'!E:BO,57,0)</f>
        <v>#N/A</v>
      </c>
      <c r="G1234" s="63" t="e">
        <f>VLOOKUP(C1234,'RAW DATA 2023'!E:BO,58,0)</f>
        <v>#N/A</v>
      </c>
      <c r="H1234" s="390">
        <f>IFERROR((G1234-F1234)/G1234,0)</f>
        <v>0</v>
      </c>
      <c r="I1234" s="398">
        <f>IF(H1234&lt;0,((0.25-(H1234*(-1)))*$L$7),IF(H1234&gt;0,(H1234*$N$7)+$L$6,0))</f>
        <v>0</v>
      </c>
      <c r="J1234" s="73" t="e">
        <f>VLOOKUP(C1234,'RAW DATA 2023'!E:AC,21,0)</f>
        <v>#N/A</v>
      </c>
      <c r="K1234" s="398" t="e">
        <f>I1234*J1234</f>
        <v>#N/A</v>
      </c>
    </row>
    <row r="1235" spans="1:11">
      <c r="A1235" s="63">
        <f>'RAW DATA 2023'!B1228</f>
        <v>0</v>
      </c>
      <c r="B1235" s="63">
        <f>'RAW DATA 2023'!D1228</f>
        <v>0</v>
      </c>
      <c r="C1235" s="63" t="str">
        <f>A1235&amp;B1235</f>
        <v>00</v>
      </c>
      <c r="D1235" s="63" t="e">
        <f>VLOOKUP(C1235,'RAW DATA 2023'!E:BP,63,0)</f>
        <v>#N/A</v>
      </c>
      <c r="E1235" s="63" t="e">
        <f>A1235&amp;D1235</f>
        <v>#N/A</v>
      </c>
      <c r="F1235" s="389" t="e">
        <f>VLOOKUP(C1235,'RAW DATA 2023'!E:BO,57,0)</f>
        <v>#N/A</v>
      </c>
      <c r="G1235" s="63" t="e">
        <f>VLOOKUP(C1235,'RAW DATA 2023'!E:BO,58,0)</f>
        <v>#N/A</v>
      </c>
      <c r="H1235" s="390">
        <f>IFERROR((G1235-F1235)/G1235,0)</f>
        <v>0</v>
      </c>
      <c r="I1235" s="398">
        <f>IF(H1235&lt;0,((0.25-(H1235*(-1)))*$L$7),IF(H1235&gt;0,(H1235*$N$7)+$L$6,0))</f>
        <v>0</v>
      </c>
      <c r="J1235" s="73" t="e">
        <f>VLOOKUP(C1235,'RAW DATA 2023'!E:AC,21,0)</f>
        <v>#N/A</v>
      </c>
      <c r="K1235" s="398" t="e">
        <f>I1235*J1235</f>
        <v>#N/A</v>
      </c>
    </row>
    <row r="1236" spans="1:11">
      <c r="A1236" s="63">
        <f>'RAW DATA 2023'!B1229</f>
        <v>0</v>
      </c>
      <c r="B1236" s="63">
        <f>'RAW DATA 2023'!D1229</f>
        <v>0</v>
      </c>
      <c r="C1236" s="63" t="str">
        <f>A1236&amp;B1236</f>
        <v>00</v>
      </c>
      <c r="D1236" s="63" t="e">
        <f>VLOOKUP(C1236,'RAW DATA 2023'!E:BP,63,0)</f>
        <v>#N/A</v>
      </c>
      <c r="E1236" s="63" t="e">
        <f>A1236&amp;D1236</f>
        <v>#N/A</v>
      </c>
      <c r="F1236" s="389" t="e">
        <f>VLOOKUP(C1236,'RAW DATA 2023'!E:BO,57,0)</f>
        <v>#N/A</v>
      </c>
      <c r="G1236" s="63" t="e">
        <f>VLOOKUP(C1236,'RAW DATA 2023'!E:BO,58,0)</f>
        <v>#N/A</v>
      </c>
      <c r="H1236" s="390">
        <f>IFERROR((G1236-F1236)/G1236,0)</f>
        <v>0</v>
      </c>
      <c r="I1236" s="398">
        <f>IF(H1236&lt;0,((0.25-(H1236*(-1)))*$L$7),IF(H1236&gt;0,(H1236*$N$7)+$L$6,0))</f>
        <v>0</v>
      </c>
      <c r="J1236" s="73" t="e">
        <f>VLOOKUP(C1236,'RAW DATA 2023'!E:AC,21,0)</f>
        <v>#N/A</v>
      </c>
      <c r="K1236" s="398" t="e">
        <f>I1236*J1236</f>
        <v>#N/A</v>
      </c>
    </row>
    <row r="1237" spans="1:11">
      <c r="A1237" s="63">
        <f>'RAW DATA 2023'!B1230</f>
        <v>0</v>
      </c>
      <c r="B1237" s="63">
        <f>'RAW DATA 2023'!D1230</f>
        <v>0</v>
      </c>
      <c r="C1237" s="63" t="str">
        <f>A1237&amp;B1237</f>
        <v>00</v>
      </c>
      <c r="D1237" s="63" t="e">
        <f>VLOOKUP(C1237,'RAW DATA 2023'!E:BP,63,0)</f>
        <v>#N/A</v>
      </c>
      <c r="E1237" s="63" t="e">
        <f>A1237&amp;D1237</f>
        <v>#N/A</v>
      </c>
      <c r="F1237" s="389" t="e">
        <f>VLOOKUP(C1237,'RAW DATA 2023'!E:BO,57,0)</f>
        <v>#N/A</v>
      </c>
      <c r="G1237" s="63" t="e">
        <f>VLOOKUP(C1237,'RAW DATA 2023'!E:BO,58,0)</f>
        <v>#N/A</v>
      </c>
      <c r="H1237" s="390">
        <f>IFERROR((G1237-F1237)/G1237,0)</f>
        <v>0</v>
      </c>
      <c r="I1237" s="398">
        <f>IF(H1237&lt;0,((0.25-(H1237*(-1)))*$L$7),IF(H1237&gt;0,(H1237*$N$7)+$L$6,0))</f>
        <v>0</v>
      </c>
      <c r="J1237" s="73" t="e">
        <f>VLOOKUP(C1237,'RAW DATA 2023'!E:AC,21,0)</f>
        <v>#N/A</v>
      </c>
      <c r="K1237" s="398" t="e">
        <f>I1237*J1237</f>
        <v>#N/A</v>
      </c>
    </row>
    <row r="1238" spans="1:11">
      <c r="A1238" s="63">
        <f>'RAW DATA 2023'!B1231</f>
        <v>0</v>
      </c>
      <c r="B1238" s="63">
        <f>'RAW DATA 2023'!D1231</f>
        <v>0</v>
      </c>
      <c r="C1238" s="63" t="str">
        <f>A1238&amp;B1238</f>
        <v>00</v>
      </c>
      <c r="D1238" s="63" t="e">
        <f>VLOOKUP(C1238,'RAW DATA 2023'!E:BP,63,0)</f>
        <v>#N/A</v>
      </c>
      <c r="E1238" s="63" t="e">
        <f>A1238&amp;D1238</f>
        <v>#N/A</v>
      </c>
      <c r="F1238" s="389" t="e">
        <f>VLOOKUP(C1238,'RAW DATA 2023'!E:BO,57,0)</f>
        <v>#N/A</v>
      </c>
      <c r="G1238" s="63" t="e">
        <f>VLOOKUP(C1238,'RAW DATA 2023'!E:BO,58,0)</f>
        <v>#N/A</v>
      </c>
      <c r="H1238" s="390">
        <f>IFERROR((G1238-F1238)/G1238,0)</f>
        <v>0</v>
      </c>
      <c r="I1238" s="398">
        <f>IF(H1238&lt;0,((0.25-(H1238*(-1)))*$L$7),IF(H1238&gt;0,(H1238*$N$7)+$L$6,0))</f>
        <v>0</v>
      </c>
      <c r="J1238" s="73" t="e">
        <f>VLOOKUP(C1238,'RAW DATA 2023'!E:AC,21,0)</f>
        <v>#N/A</v>
      </c>
      <c r="K1238" s="398" t="e">
        <f>I1238*J1238</f>
        <v>#N/A</v>
      </c>
    </row>
    <row r="1239" spans="1:11">
      <c r="A1239" s="63">
        <f>'RAW DATA 2023'!B1232</f>
        <v>0</v>
      </c>
      <c r="B1239" s="63">
        <f>'RAW DATA 2023'!D1232</f>
        <v>0</v>
      </c>
      <c r="C1239" s="63" t="str">
        <f>A1239&amp;B1239</f>
        <v>00</v>
      </c>
      <c r="D1239" s="63" t="e">
        <f>VLOOKUP(C1239,'RAW DATA 2023'!E:BP,63,0)</f>
        <v>#N/A</v>
      </c>
      <c r="E1239" s="63" t="e">
        <f>A1239&amp;D1239</f>
        <v>#N/A</v>
      </c>
      <c r="F1239" s="389" t="e">
        <f>VLOOKUP(C1239,'RAW DATA 2023'!E:BO,57,0)</f>
        <v>#N/A</v>
      </c>
      <c r="G1239" s="63" t="e">
        <f>VLOOKUP(C1239,'RAW DATA 2023'!E:BO,58,0)</f>
        <v>#N/A</v>
      </c>
      <c r="H1239" s="390">
        <f>IFERROR((G1239-F1239)/G1239,0)</f>
        <v>0</v>
      </c>
      <c r="I1239" s="398">
        <f>IF(H1239&lt;0,((0.25-(H1239*(-1)))*$L$7),IF(H1239&gt;0,(H1239*$N$7)+$L$6,0))</f>
        <v>0</v>
      </c>
      <c r="J1239" s="73" t="e">
        <f>VLOOKUP(C1239,'RAW DATA 2023'!E:AC,21,0)</f>
        <v>#N/A</v>
      </c>
      <c r="K1239" s="398" t="e">
        <f>I1239*J1239</f>
        <v>#N/A</v>
      </c>
    </row>
    <row r="1240" spans="1:11">
      <c r="A1240" s="63">
        <f>'RAW DATA 2023'!B1233</f>
        <v>0</v>
      </c>
      <c r="B1240" s="63">
        <f>'RAW DATA 2023'!D1233</f>
        <v>0</v>
      </c>
      <c r="C1240" s="63" t="str">
        <f>A1240&amp;B1240</f>
        <v>00</v>
      </c>
      <c r="D1240" s="63" t="e">
        <f>VLOOKUP(C1240,'RAW DATA 2023'!E:BP,63,0)</f>
        <v>#N/A</v>
      </c>
      <c r="E1240" s="63" t="e">
        <f>A1240&amp;D1240</f>
        <v>#N/A</v>
      </c>
      <c r="F1240" s="389" t="e">
        <f>VLOOKUP(C1240,'RAW DATA 2023'!E:BO,57,0)</f>
        <v>#N/A</v>
      </c>
      <c r="G1240" s="63" t="e">
        <f>VLOOKUP(C1240,'RAW DATA 2023'!E:BO,58,0)</f>
        <v>#N/A</v>
      </c>
      <c r="H1240" s="390">
        <f>IFERROR((G1240-F1240)/G1240,0)</f>
        <v>0</v>
      </c>
      <c r="I1240" s="398">
        <f>IF(H1240&lt;0,((0.25-(H1240*(-1)))*$L$7),IF(H1240&gt;0,(H1240*$N$7)+$L$6,0))</f>
        <v>0</v>
      </c>
      <c r="J1240" s="73" t="e">
        <f>VLOOKUP(C1240,'RAW DATA 2023'!E:AC,21,0)</f>
        <v>#N/A</v>
      </c>
      <c r="K1240" s="398" t="e">
        <f>I1240*J1240</f>
        <v>#N/A</v>
      </c>
    </row>
    <row r="1241" spans="1:11">
      <c r="A1241" s="63">
        <f>'RAW DATA 2023'!B1234</f>
        <v>0</v>
      </c>
      <c r="B1241" s="63">
        <f>'RAW DATA 2023'!D1234</f>
        <v>0</v>
      </c>
      <c r="C1241" s="63" t="str">
        <f>A1241&amp;B1241</f>
        <v>00</v>
      </c>
      <c r="D1241" s="63" t="e">
        <f>VLOOKUP(C1241,'RAW DATA 2023'!E:BP,63,0)</f>
        <v>#N/A</v>
      </c>
      <c r="E1241" s="63" t="e">
        <f>A1241&amp;D1241</f>
        <v>#N/A</v>
      </c>
      <c r="F1241" s="389" t="e">
        <f>VLOOKUP(C1241,'RAW DATA 2023'!E:BO,57,0)</f>
        <v>#N/A</v>
      </c>
      <c r="G1241" s="63" t="e">
        <f>VLOOKUP(C1241,'RAW DATA 2023'!E:BO,58,0)</f>
        <v>#N/A</v>
      </c>
      <c r="H1241" s="390">
        <f>IFERROR((G1241-F1241)/G1241,0)</f>
        <v>0</v>
      </c>
      <c r="I1241" s="398">
        <f>IF(H1241&lt;0,((0.25-(H1241*(-1)))*$L$7),IF(H1241&gt;0,(H1241*$N$7)+$L$6,0))</f>
        <v>0</v>
      </c>
      <c r="J1241" s="73" t="e">
        <f>VLOOKUP(C1241,'RAW DATA 2023'!E:AC,21,0)</f>
        <v>#N/A</v>
      </c>
      <c r="K1241" s="398" t="e">
        <f>I1241*J1241</f>
        <v>#N/A</v>
      </c>
    </row>
    <row r="1242" spans="1:11">
      <c r="B1242" s="63">
        <f>'RAW DATA 2023'!D1235</f>
        <v>0</v>
      </c>
      <c r="C1242" s="63" t="str">
        <f>A1242&amp;B1242</f>
        <v>0</v>
      </c>
      <c r="D1242" s="63" t="e">
        <f>VLOOKUP(C1242,'RAW DATA 2023'!E:BP,63,0)</f>
        <v>#N/A</v>
      </c>
      <c r="E1242" s="63" t="e">
        <f>A1242&amp;D1242</f>
        <v>#N/A</v>
      </c>
      <c r="F1242" s="389" t="e">
        <f>VLOOKUP(C1242,'RAW DATA 2023'!E:BO,57,0)</f>
        <v>#N/A</v>
      </c>
      <c r="G1242" s="63" t="e">
        <f>VLOOKUP(C1242,'RAW DATA 2023'!E:BO,58,0)</f>
        <v>#N/A</v>
      </c>
      <c r="H1242" s="390">
        <f>IFERROR((G1242-F1242)/G1242,0)</f>
        <v>0</v>
      </c>
      <c r="I1242" s="398">
        <f>IF(H1242&lt;0,((0.25-(H1242*(-1)))*$L$7),IF(H1242&gt;0,(H1242*$N$7)+$L$6,0))</f>
        <v>0</v>
      </c>
      <c r="J1242" s="73" t="e">
        <f>VLOOKUP(C1242,'RAW DATA 2023'!E:AC,21,0)</f>
        <v>#N/A</v>
      </c>
      <c r="K1242" s="398" t="e">
        <f>I1242*J1242</f>
        <v>#N/A</v>
      </c>
    </row>
    <row r="1243" spans="1:11">
      <c r="B1243" s="63">
        <f>'RAW DATA 2023'!D1236</f>
        <v>0</v>
      </c>
      <c r="C1243" s="63" t="str">
        <f>A1243&amp;B1243</f>
        <v>0</v>
      </c>
      <c r="D1243" s="63" t="e">
        <f>VLOOKUP(C1243,'RAW DATA 2023'!E:BP,63,0)</f>
        <v>#N/A</v>
      </c>
      <c r="E1243" s="63" t="e">
        <f>A1243&amp;D1243</f>
        <v>#N/A</v>
      </c>
      <c r="F1243" s="389" t="e">
        <f>VLOOKUP(C1243,'RAW DATA 2023'!E:BO,57,0)</f>
        <v>#N/A</v>
      </c>
      <c r="G1243" s="63" t="e">
        <f>VLOOKUP(C1243,'RAW DATA 2023'!E:BO,58,0)</f>
        <v>#N/A</v>
      </c>
      <c r="H1243" s="390">
        <f>IFERROR((G1243-F1243)/G1243,0)</f>
        <v>0</v>
      </c>
      <c r="I1243" s="398">
        <f>IF(H1243&lt;0,((0.25-(H1243*(-1)))*$L$7),IF(H1243&gt;0,(H1243*$N$7)+$L$6,0))</f>
        <v>0</v>
      </c>
      <c r="J1243" s="73" t="e">
        <f>VLOOKUP(C1243,'RAW DATA 2023'!E:AC,21,0)</f>
        <v>#N/A</v>
      </c>
      <c r="K1243" s="398" t="e">
        <f>I1243*J1243</f>
        <v>#N/A</v>
      </c>
    </row>
    <row r="1244" spans="1:11">
      <c r="B1244" s="63">
        <f>'RAW DATA 2023'!D1237</f>
        <v>0</v>
      </c>
      <c r="C1244" s="63" t="str">
        <f>A1244&amp;B1244</f>
        <v>0</v>
      </c>
      <c r="D1244" s="63" t="e">
        <f>VLOOKUP(C1244,'RAW DATA 2023'!E:BP,63,0)</f>
        <v>#N/A</v>
      </c>
      <c r="E1244" s="63" t="e">
        <f>A1244&amp;D1244</f>
        <v>#N/A</v>
      </c>
      <c r="F1244" s="389" t="e">
        <f>VLOOKUP(C1244,'RAW DATA 2023'!E:BO,57,0)</f>
        <v>#N/A</v>
      </c>
      <c r="G1244" s="63" t="e">
        <f>VLOOKUP(C1244,'RAW DATA 2023'!E:BO,58,0)</f>
        <v>#N/A</v>
      </c>
      <c r="H1244" s="390">
        <f>IFERROR((G1244-F1244)/G1244,0)</f>
        <v>0</v>
      </c>
      <c r="I1244" s="398">
        <f>IF(H1244&lt;0,((0.25-(H1244*(-1)))*$L$7),IF(H1244&gt;0,(H1244*$N$7)+$L$6,0))</f>
        <v>0</v>
      </c>
      <c r="J1244" s="73" t="e">
        <f>VLOOKUP(C1244,'RAW DATA 2023'!E:AC,21,0)</f>
        <v>#N/A</v>
      </c>
      <c r="K1244" s="398" t="e">
        <f>I1244*J1244</f>
        <v>#N/A</v>
      </c>
    </row>
    <row r="1245" spans="1:11">
      <c r="B1245" s="63">
        <f>'RAW DATA 2023'!D1238</f>
        <v>0</v>
      </c>
      <c r="C1245" s="63" t="str">
        <f>A1245&amp;B1245</f>
        <v>0</v>
      </c>
      <c r="D1245" s="63" t="e">
        <f>VLOOKUP(C1245,'RAW DATA 2023'!E:BP,63,0)</f>
        <v>#N/A</v>
      </c>
      <c r="E1245" s="63" t="e">
        <f>A1245&amp;D1245</f>
        <v>#N/A</v>
      </c>
      <c r="F1245" s="389" t="e">
        <f>VLOOKUP(C1245,'RAW DATA 2023'!E:BO,57,0)</f>
        <v>#N/A</v>
      </c>
      <c r="G1245" s="63" t="e">
        <f>VLOOKUP(C1245,'RAW DATA 2023'!E:BO,58,0)</f>
        <v>#N/A</v>
      </c>
      <c r="H1245" s="390">
        <f>IFERROR((G1245-F1245)/G1245,0)</f>
        <v>0</v>
      </c>
      <c r="I1245" s="398">
        <f>IF(H1245&lt;0,((0.25-(H1245*(-1)))*$L$7),IF(H1245&gt;0,(H1245*$N$7)+$L$6,0))</f>
        <v>0</v>
      </c>
      <c r="J1245" s="73" t="e">
        <f>VLOOKUP(C1245,'RAW DATA 2023'!E:AC,21,0)</f>
        <v>#N/A</v>
      </c>
      <c r="K1245" s="398" t="e">
        <f>I1245*J1245</f>
        <v>#N/A</v>
      </c>
    </row>
    <row r="1246" spans="1:11">
      <c r="B1246" s="63">
        <f>'RAW DATA 2023'!D1239</f>
        <v>0</v>
      </c>
      <c r="C1246" s="63" t="str">
        <f>A1246&amp;B1246</f>
        <v>0</v>
      </c>
      <c r="D1246" s="63" t="e">
        <f>VLOOKUP(C1246,'RAW DATA 2023'!E:BP,63,0)</f>
        <v>#N/A</v>
      </c>
      <c r="E1246" s="63" t="e">
        <f>A1246&amp;D1246</f>
        <v>#N/A</v>
      </c>
      <c r="F1246" s="389" t="e">
        <f>VLOOKUP(C1246,'RAW DATA 2023'!E:BO,57,0)</f>
        <v>#N/A</v>
      </c>
      <c r="G1246" s="63" t="e">
        <f>VLOOKUP(C1246,'RAW DATA 2023'!E:BO,58,0)</f>
        <v>#N/A</v>
      </c>
      <c r="H1246" s="390">
        <f>IFERROR((G1246-F1246)/G1246,0)</f>
        <v>0</v>
      </c>
      <c r="I1246" s="398">
        <f>IF(H1246&lt;0,((0.25-(H1246*(-1)))*$L$7),IF(H1246&gt;0,(H1246*$N$7)+$L$6,0))</f>
        <v>0</v>
      </c>
      <c r="J1246" s="73" t="e">
        <f>VLOOKUP(C1246,'RAW DATA 2023'!E:AC,21,0)</f>
        <v>#N/A</v>
      </c>
      <c r="K1246" s="398" t="e">
        <f>I1246*J1246</f>
        <v>#N/A</v>
      </c>
    </row>
    <row r="1247" spans="1:11">
      <c r="B1247" s="63">
        <f>'RAW DATA 2023'!D1240</f>
        <v>0</v>
      </c>
      <c r="C1247" s="63" t="str">
        <f>A1247&amp;B1247</f>
        <v>0</v>
      </c>
      <c r="D1247" s="63" t="e">
        <f>VLOOKUP(C1247,'RAW DATA 2023'!E:BP,63,0)</f>
        <v>#N/A</v>
      </c>
      <c r="E1247" s="63" t="e">
        <f>A1247&amp;D1247</f>
        <v>#N/A</v>
      </c>
      <c r="F1247" s="389" t="e">
        <f>VLOOKUP(C1247,'RAW DATA 2023'!E:BO,57,0)</f>
        <v>#N/A</v>
      </c>
      <c r="G1247" s="63" t="e">
        <f>VLOOKUP(C1247,'RAW DATA 2023'!E:BO,58,0)</f>
        <v>#N/A</v>
      </c>
      <c r="H1247" s="390">
        <f>IFERROR((G1247-F1247)/G1247,0)</f>
        <v>0</v>
      </c>
      <c r="I1247" s="398">
        <f>IF(H1247&lt;0,((0.25-(H1247*(-1)))*$L$7),IF(H1247&gt;0,(H1247*$N$7)+$L$6,0))</f>
        <v>0</v>
      </c>
      <c r="J1247" s="73" t="e">
        <f>VLOOKUP(C1247,'RAW DATA 2023'!E:AC,21,0)</f>
        <v>#N/A</v>
      </c>
      <c r="K1247" s="398" t="e">
        <f>I1247*J1247</f>
        <v>#N/A</v>
      </c>
    </row>
    <row r="1248" spans="1:11">
      <c r="B1248" s="63">
        <f>'RAW DATA 2023'!D1241</f>
        <v>0</v>
      </c>
      <c r="C1248" s="63" t="str">
        <f>A1248&amp;B1248</f>
        <v>0</v>
      </c>
      <c r="D1248" s="63" t="e">
        <f>VLOOKUP(C1248,'RAW DATA 2023'!E:BP,63,0)</f>
        <v>#N/A</v>
      </c>
      <c r="E1248" s="63" t="e">
        <f>A1248&amp;D1248</f>
        <v>#N/A</v>
      </c>
      <c r="F1248" s="389" t="e">
        <f>VLOOKUP(C1248,'RAW DATA 2023'!E:BO,57,0)</f>
        <v>#N/A</v>
      </c>
      <c r="G1248" s="63" t="e">
        <f>VLOOKUP(C1248,'RAW DATA 2023'!E:BO,58,0)</f>
        <v>#N/A</v>
      </c>
      <c r="H1248" s="390">
        <f>IFERROR((G1248-F1248)/G1248,0)</f>
        <v>0</v>
      </c>
      <c r="I1248" s="398">
        <f>IF(H1248&lt;0,((0.25-(H1248*(-1)))*$L$7),IF(H1248&gt;0,(H1248*$N$7)+$L$6,0))</f>
        <v>0</v>
      </c>
      <c r="J1248" s="73" t="e">
        <f>VLOOKUP(C1248,'RAW DATA 2023'!E:AC,21,0)</f>
        <v>#N/A</v>
      </c>
      <c r="K1248" s="398" t="e">
        <f>I1248*J1248</f>
        <v>#N/A</v>
      </c>
    </row>
    <row r="1249" spans="2:11">
      <c r="B1249" s="63">
        <f>'RAW DATA 2023'!D1242</f>
        <v>0</v>
      </c>
      <c r="C1249" s="63" t="str">
        <f>A1249&amp;B1249</f>
        <v>0</v>
      </c>
      <c r="D1249" s="63" t="e">
        <f>VLOOKUP(C1249,'RAW DATA 2023'!E:BP,63,0)</f>
        <v>#N/A</v>
      </c>
      <c r="E1249" s="63" t="e">
        <f>A1249&amp;D1249</f>
        <v>#N/A</v>
      </c>
      <c r="F1249" s="389" t="e">
        <f>VLOOKUP(C1249,'RAW DATA 2023'!E:BO,57,0)</f>
        <v>#N/A</v>
      </c>
      <c r="G1249" s="63" t="e">
        <f>VLOOKUP(C1249,'RAW DATA 2023'!E:BO,58,0)</f>
        <v>#N/A</v>
      </c>
      <c r="H1249" s="390">
        <f>IFERROR((G1249-F1249)/G1249,0)</f>
        <v>0</v>
      </c>
      <c r="I1249" s="398">
        <f>IF(H1249&lt;0,((0.25-(H1249*(-1)))*$L$7),IF(H1249&gt;0,(H1249*$N$7)+$L$6,0))</f>
        <v>0</v>
      </c>
      <c r="J1249" s="73" t="e">
        <f>VLOOKUP(C1249,'RAW DATA 2023'!E:AC,21,0)</f>
        <v>#N/A</v>
      </c>
      <c r="K1249" s="398" t="e">
        <f>I1249*J1249</f>
        <v>#N/A</v>
      </c>
    </row>
    <row r="1250" spans="2:11">
      <c r="B1250" s="63">
        <f>'RAW DATA 2023'!D1243</f>
        <v>0</v>
      </c>
      <c r="C1250" s="63" t="str">
        <f>A1250&amp;B1250</f>
        <v>0</v>
      </c>
      <c r="D1250" s="63" t="e">
        <f>VLOOKUP(C1250,'RAW DATA 2023'!E:BP,63,0)</f>
        <v>#N/A</v>
      </c>
      <c r="E1250" s="63" t="e">
        <f>A1250&amp;D1250</f>
        <v>#N/A</v>
      </c>
      <c r="F1250" s="389" t="e">
        <f>VLOOKUP(C1250,'RAW DATA 2023'!E:BO,57,0)</f>
        <v>#N/A</v>
      </c>
      <c r="G1250" s="63" t="e">
        <f>VLOOKUP(C1250,'RAW DATA 2023'!E:BO,58,0)</f>
        <v>#N/A</v>
      </c>
      <c r="H1250" s="390">
        <f>IFERROR((G1250-F1250)/G1250,0)</f>
        <v>0</v>
      </c>
      <c r="I1250" s="398">
        <f>IF(H1250&lt;0,((0.25-(H1250*(-1)))*$L$7),IF(H1250&gt;0,(H1250*$N$7)+$L$6,0))</f>
        <v>0</v>
      </c>
      <c r="J1250" s="73" t="e">
        <f>VLOOKUP(C1250,'RAW DATA 2023'!E:AC,21,0)</f>
        <v>#N/A</v>
      </c>
      <c r="K1250" s="398" t="e">
        <f>I1250*J1250</f>
        <v>#N/A</v>
      </c>
    </row>
    <row r="1251" spans="2:11">
      <c r="B1251" s="63">
        <f>'RAW DATA 2023'!D1244</f>
        <v>0</v>
      </c>
      <c r="C1251" s="63" t="str">
        <f>A1251&amp;B1251</f>
        <v>0</v>
      </c>
      <c r="D1251" s="63" t="e">
        <f>VLOOKUP(C1251,'RAW DATA 2023'!E:BP,63,0)</f>
        <v>#N/A</v>
      </c>
      <c r="E1251" s="63" t="e">
        <f>A1251&amp;D1251</f>
        <v>#N/A</v>
      </c>
      <c r="F1251" s="389" t="e">
        <f>VLOOKUP(C1251,'RAW DATA 2023'!E:BO,57,0)</f>
        <v>#N/A</v>
      </c>
      <c r="G1251" s="63" t="e">
        <f>VLOOKUP(C1251,'RAW DATA 2023'!E:BO,58,0)</f>
        <v>#N/A</v>
      </c>
      <c r="H1251" s="390">
        <f>IFERROR((G1251-F1251)/G1251,0)</f>
        <v>0</v>
      </c>
      <c r="I1251" s="398">
        <f>IF(H1251&lt;0,((0.25-(H1251*(-1)))*$L$7),IF(H1251&gt;0,(H1251*$N$7)+$L$6,0))</f>
        <v>0</v>
      </c>
      <c r="J1251" s="73" t="e">
        <f>VLOOKUP(C1251,'RAW DATA 2023'!E:AC,21,0)</f>
        <v>#N/A</v>
      </c>
      <c r="K1251" s="398" t="e">
        <f>I1251*J1251</f>
        <v>#N/A</v>
      </c>
    </row>
    <row r="1252" spans="2:11">
      <c r="B1252" s="63">
        <f>'RAW DATA 2023'!D1245</f>
        <v>0</v>
      </c>
      <c r="C1252" s="63" t="str">
        <f>A1252&amp;B1252</f>
        <v>0</v>
      </c>
      <c r="D1252" s="63" t="e">
        <f>VLOOKUP(C1252,'RAW DATA 2023'!E:BP,63,0)</f>
        <v>#N/A</v>
      </c>
      <c r="E1252" s="63" t="e">
        <f>A1252&amp;D1252</f>
        <v>#N/A</v>
      </c>
      <c r="F1252" s="389" t="e">
        <f>VLOOKUP(C1252,'RAW DATA 2023'!E:BO,57,0)</f>
        <v>#N/A</v>
      </c>
      <c r="G1252" s="63" t="e">
        <f>VLOOKUP(C1252,'RAW DATA 2023'!E:BO,58,0)</f>
        <v>#N/A</v>
      </c>
      <c r="H1252" s="390">
        <f>IFERROR((G1252-F1252)/G1252,0)</f>
        <v>0</v>
      </c>
      <c r="I1252" s="398">
        <f>IF(H1252&lt;0,((0.25-(H1252*(-1)))*$L$7),IF(H1252&gt;0,(H1252*$N$7)+$L$6,0))</f>
        <v>0</v>
      </c>
      <c r="J1252" s="73" t="e">
        <f>VLOOKUP(C1252,'RAW DATA 2023'!E:AC,21,0)</f>
        <v>#N/A</v>
      </c>
      <c r="K1252" s="398" t="e">
        <f>I1252*J1252</f>
        <v>#N/A</v>
      </c>
    </row>
    <row r="1253" spans="2:11">
      <c r="B1253" s="63">
        <f>'RAW DATA 2023'!D1246</f>
        <v>0</v>
      </c>
      <c r="C1253" s="63" t="str">
        <f>A1253&amp;B1253</f>
        <v>0</v>
      </c>
      <c r="D1253" s="63" t="e">
        <f>VLOOKUP(C1253,'RAW DATA 2023'!E:BP,63,0)</f>
        <v>#N/A</v>
      </c>
      <c r="E1253" s="63" t="e">
        <f>A1253&amp;D1253</f>
        <v>#N/A</v>
      </c>
      <c r="F1253" s="389" t="e">
        <f>VLOOKUP(C1253,'RAW DATA 2023'!E:BO,57,0)</f>
        <v>#N/A</v>
      </c>
      <c r="G1253" s="63" t="e">
        <f>VLOOKUP(C1253,'RAW DATA 2023'!E:BO,58,0)</f>
        <v>#N/A</v>
      </c>
      <c r="H1253" s="390">
        <f>IFERROR((G1253-F1253)/G1253,0)</f>
        <v>0</v>
      </c>
      <c r="I1253" s="398">
        <f>IF(H1253&lt;0,((0.25-(H1253*(-1)))*$L$7),IF(H1253&gt;0,(H1253*$N$7)+$L$6,0))</f>
        <v>0</v>
      </c>
      <c r="J1253" s="73" t="e">
        <f>VLOOKUP(C1253,'RAW DATA 2023'!E:AC,21,0)</f>
        <v>#N/A</v>
      </c>
      <c r="K1253" s="398" t="e">
        <f>I1253*J1253</f>
        <v>#N/A</v>
      </c>
    </row>
    <row r="1254" spans="2:11">
      <c r="B1254" s="63">
        <f>'RAW DATA 2023'!D1247</f>
        <v>0</v>
      </c>
      <c r="C1254" s="63" t="str">
        <f>A1254&amp;B1254</f>
        <v>0</v>
      </c>
      <c r="D1254" s="63" t="e">
        <f>VLOOKUP(C1254,'RAW DATA 2023'!E:BP,63,0)</f>
        <v>#N/A</v>
      </c>
      <c r="E1254" s="63" t="e">
        <f>A1254&amp;D1254</f>
        <v>#N/A</v>
      </c>
      <c r="F1254" s="389" t="e">
        <f>VLOOKUP(C1254,'RAW DATA 2023'!E:BO,57,0)</f>
        <v>#N/A</v>
      </c>
      <c r="G1254" s="63" t="e">
        <f>VLOOKUP(C1254,'RAW DATA 2023'!E:BO,58,0)</f>
        <v>#N/A</v>
      </c>
      <c r="H1254" s="390">
        <f>IFERROR((G1254-F1254)/G1254,0)</f>
        <v>0</v>
      </c>
      <c r="I1254" s="398">
        <f>IF(H1254&lt;0,((0.25-(H1254*(-1)))*$L$7),IF(H1254&gt;0,(H1254*$N$7)+$L$6,0))</f>
        <v>0</v>
      </c>
      <c r="J1254" s="73" t="e">
        <f>VLOOKUP(C1254,'RAW DATA 2023'!E:AC,21,0)</f>
        <v>#N/A</v>
      </c>
      <c r="K1254" s="398" t="e">
        <f>I1254*J1254</f>
        <v>#N/A</v>
      </c>
    </row>
    <row r="1255" spans="2:11">
      <c r="B1255" s="63">
        <f>'RAW DATA 2023'!D1248</f>
        <v>0</v>
      </c>
      <c r="C1255" s="63" t="str">
        <f>A1255&amp;B1255</f>
        <v>0</v>
      </c>
      <c r="D1255" s="63" t="e">
        <f>VLOOKUP(C1255,'RAW DATA 2023'!E:BP,63,0)</f>
        <v>#N/A</v>
      </c>
      <c r="E1255" s="63" t="e">
        <f>A1255&amp;D1255</f>
        <v>#N/A</v>
      </c>
      <c r="F1255" s="389" t="e">
        <f>VLOOKUP(C1255,'RAW DATA 2023'!E:BO,57,0)</f>
        <v>#N/A</v>
      </c>
      <c r="G1255" s="63" t="e">
        <f>VLOOKUP(C1255,'RAW DATA 2023'!E:BO,58,0)</f>
        <v>#N/A</v>
      </c>
      <c r="H1255" s="390">
        <f>IFERROR((G1255-F1255)/G1255,0)</f>
        <v>0</v>
      </c>
      <c r="I1255" s="398">
        <f>IF(H1255&lt;0,((0.25-(H1255*(-1)))*$L$7),IF(H1255&gt;0,(H1255*$N$7)+$L$6,0))</f>
        <v>0</v>
      </c>
      <c r="J1255" s="73" t="e">
        <f>VLOOKUP(C1255,'RAW DATA 2023'!E:AC,21,0)</f>
        <v>#N/A</v>
      </c>
      <c r="K1255" s="398" t="e">
        <f>I1255*J1255</f>
        <v>#N/A</v>
      </c>
    </row>
    <row r="1256" spans="2:11">
      <c r="B1256" s="63">
        <f>'RAW DATA 2023'!D1249</f>
        <v>0</v>
      </c>
      <c r="C1256" s="63" t="str">
        <f>A1256&amp;B1256</f>
        <v>0</v>
      </c>
      <c r="D1256" s="63" t="e">
        <f>VLOOKUP(C1256,'RAW DATA 2023'!E:BP,63,0)</f>
        <v>#N/A</v>
      </c>
      <c r="E1256" s="63" t="e">
        <f>A1256&amp;D1256</f>
        <v>#N/A</v>
      </c>
      <c r="F1256" s="389" t="e">
        <f>VLOOKUP(C1256,'RAW DATA 2023'!E:BO,57,0)</f>
        <v>#N/A</v>
      </c>
      <c r="G1256" s="63" t="e">
        <f>VLOOKUP(C1256,'RAW DATA 2023'!E:BO,58,0)</f>
        <v>#N/A</v>
      </c>
      <c r="H1256" s="390">
        <f>IFERROR((G1256-F1256)/G1256,0)</f>
        <v>0</v>
      </c>
      <c r="I1256" s="398">
        <f>IF(H1256&lt;0,((0.25-(H1256*(-1)))*$L$7),IF(H1256&gt;0,(H1256*$N$7)+$L$6,0))</f>
        <v>0</v>
      </c>
      <c r="J1256" s="73" t="e">
        <f>VLOOKUP(C1256,'RAW DATA 2023'!E:AC,21,0)</f>
        <v>#N/A</v>
      </c>
      <c r="K1256" s="398" t="e">
        <f>I1256*J1256</f>
        <v>#N/A</v>
      </c>
    </row>
    <row r="1257" spans="2:11">
      <c r="B1257" s="63">
        <f>'RAW DATA 2023'!D1250</f>
        <v>0</v>
      </c>
      <c r="C1257" s="63" t="str">
        <f>A1257&amp;B1257</f>
        <v>0</v>
      </c>
      <c r="D1257" s="63" t="e">
        <f>VLOOKUP(C1257,'RAW DATA 2023'!E:BP,63,0)</f>
        <v>#N/A</v>
      </c>
      <c r="E1257" s="63" t="e">
        <f>A1257&amp;D1257</f>
        <v>#N/A</v>
      </c>
      <c r="F1257" s="389" t="e">
        <f>VLOOKUP(C1257,'RAW DATA 2023'!E:BO,57,0)</f>
        <v>#N/A</v>
      </c>
      <c r="G1257" s="63" t="e">
        <f>VLOOKUP(C1257,'RAW DATA 2023'!E:BO,58,0)</f>
        <v>#N/A</v>
      </c>
      <c r="H1257" s="390">
        <f>IFERROR((G1257-F1257)/G1257,0)</f>
        <v>0</v>
      </c>
      <c r="I1257" s="398">
        <f>IF(H1257&lt;0,((0.25-(H1257*(-1)))*$L$7),IF(H1257&gt;0,(H1257*$N$7)+$L$6,0))</f>
        <v>0</v>
      </c>
      <c r="J1257" s="73" t="e">
        <f>VLOOKUP(C1257,'RAW DATA 2023'!E:AC,21,0)</f>
        <v>#N/A</v>
      </c>
      <c r="K1257" s="398" t="e">
        <f>I1257*J1257</f>
        <v>#N/A</v>
      </c>
    </row>
    <row r="1258" spans="2:11">
      <c r="B1258" s="63">
        <f>'RAW DATA 2023'!D1251</f>
        <v>0</v>
      </c>
      <c r="C1258" s="63" t="str">
        <f>A1258&amp;B1258</f>
        <v>0</v>
      </c>
      <c r="D1258" s="63" t="e">
        <f>VLOOKUP(C1258,'RAW DATA 2023'!E:BP,63,0)</f>
        <v>#N/A</v>
      </c>
      <c r="E1258" s="63" t="e">
        <f>A1258&amp;D1258</f>
        <v>#N/A</v>
      </c>
      <c r="F1258" s="389" t="e">
        <f>VLOOKUP(C1258,'RAW DATA 2023'!E:BO,57,0)</f>
        <v>#N/A</v>
      </c>
      <c r="G1258" s="63" t="e">
        <f>VLOOKUP(C1258,'RAW DATA 2023'!E:BO,58,0)</f>
        <v>#N/A</v>
      </c>
      <c r="H1258" s="390">
        <f>IFERROR((G1258-F1258)/G1258,0)</f>
        <v>0</v>
      </c>
      <c r="I1258" s="398">
        <f>IF(H1258&lt;0,((0.25-(H1258*(-1)))*$L$7),IF(H1258&gt;0,(H1258*$N$7)+$L$6,0))</f>
        <v>0</v>
      </c>
      <c r="J1258" s="73" t="e">
        <f>VLOOKUP(C1258,'RAW DATA 2023'!E:AC,21,0)</f>
        <v>#N/A</v>
      </c>
      <c r="K1258" s="398" t="e">
        <f>I1258*J1258</f>
        <v>#N/A</v>
      </c>
    </row>
    <row r="1259" spans="2:11">
      <c r="B1259" s="63">
        <f>'RAW DATA 2023'!D1252</f>
        <v>0</v>
      </c>
      <c r="C1259" s="63" t="str">
        <f>A1259&amp;B1259</f>
        <v>0</v>
      </c>
      <c r="D1259" s="63" t="e">
        <f>VLOOKUP(C1259,'RAW DATA 2023'!E:BP,63,0)</f>
        <v>#N/A</v>
      </c>
      <c r="E1259" s="63" t="e">
        <f>A1259&amp;D1259</f>
        <v>#N/A</v>
      </c>
      <c r="F1259" s="389" t="e">
        <f>VLOOKUP(C1259,'RAW DATA 2023'!E:BO,57,0)</f>
        <v>#N/A</v>
      </c>
      <c r="G1259" s="63" t="e">
        <f>VLOOKUP(C1259,'RAW DATA 2023'!E:BO,58,0)</f>
        <v>#N/A</v>
      </c>
      <c r="H1259" s="390">
        <f>IFERROR((G1259-F1259)/G1259,0)</f>
        <v>0</v>
      </c>
      <c r="I1259" s="398">
        <f>IF(H1259&lt;0,((0.25-(H1259*(-1)))*$L$7),IF(H1259&gt;0,(H1259*$N$7)+$L$6,0))</f>
        <v>0</v>
      </c>
      <c r="J1259" s="73" t="e">
        <f>VLOOKUP(C1259,'RAW DATA 2023'!E:AC,21,0)</f>
        <v>#N/A</v>
      </c>
      <c r="K1259" s="398" t="e">
        <f>I1259*J1259</f>
        <v>#N/A</v>
      </c>
    </row>
    <row r="1260" spans="2:11">
      <c r="B1260" s="63">
        <f>'RAW DATA 2023'!D1253</f>
        <v>0</v>
      </c>
      <c r="C1260" s="63" t="str">
        <f>A1260&amp;B1260</f>
        <v>0</v>
      </c>
      <c r="D1260" s="63" t="e">
        <f>VLOOKUP(C1260,'RAW DATA 2023'!E:BP,63,0)</f>
        <v>#N/A</v>
      </c>
      <c r="E1260" s="63" t="e">
        <f>A1260&amp;D1260</f>
        <v>#N/A</v>
      </c>
      <c r="F1260" s="389" t="e">
        <f>VLOOKUP(C1260,'RAW DATA 2023'!E:BO,57,0)</f>
        <v>#N/A</v>
      </c>
      <c r="G1260" s="63" t="e">
        <f>VLOOKUP(C1260,'RAW DATA 2023'!E:BO,58,0)</f>
        <v>#N/A</v>
      </c>
      <c r="H1260" s="390">
        <f>IFERROR((G1260-F1260)/G1260,0)</f>
        <v>0</v>
      </c>
      <c r="I1260" s="398">
        <f>IF(H1260&lt;0,((0.25-(H1260*(-1)))*$L$7),IF(H1260&gt;0,(H1260*$N$7)+$L$6,0))</f>
        <v>0</v>
      </c>
      <c r="J1260" s="73" t="e">
        <f>VLOOKUP(C1260,'RAW DATA 2023'!E:AC,21,0)</f>
        <v>#N/A</v>
      </c>
      <c r="K1260" s="398" t="e">
        <f>I1260*J1260</f>
        <v>#N/A</v>
      </c>
    </row>
    <row r="1261" spans="2:11">
      <c r="B1261" s="63">
        <f>'RAW DATA 2023'!D1254</f>
        <v>0</v>
      </c>
      <c r="C1261" s="63" t="str">
        <f>A1261&amp;B1261</f>
        <v>0</v>
      </c>
      <c r="D1261" s="63" t="e">
        <f>VLOOKUP(C1261,'RAW DATA 2023'!E:BP,63,0)</f>
        <v>#N/A</v>
      </c>
      <c r="E1261" s="63" t="e">
        <f>A1261&amp;D1261</f>
        <v>#N/A</v>
      </c>
      <c r="F1261" s="389" t="e">
        <f>VLOOKUP(C1261,'RAW DATA 2023'!E:BO,57,0)</f>
        <v>#N/A</v>
      </c>
      <c r="G1261" s="63" t="e">
        <f>VLOOKUP(C1261,'RAW DATA 2023'!E:BO,58,0)</f>
        <v>#N/A</v>
      </c>
      <c r="H1261" s="390">
        <f>IFERROR((G1261-F1261)/G1261,0)</f>
        <v>0</v>
      </c>
      <c r="I1261" s="398">
        <f>IF(H1261&lt;0,((0.25-(H1261*(-1)))*$L$7),IF(H1261&gt;0,(H1261*$N$7)+$L$6,0))</f>
        <v>0</v>
      </c>
      <c r="J1261" s="73" t="e">
        <f>VLOOKUP(C1261,'RAW DATA 2023'!E:AC,21,0)</f>
        <v>#N/A</v>
      </c>
      <c r="K1261" s="398" t="e">
        <f>I1261*J1261</f>
        <v>#N/A</v>
      </c>
    </row>
    <row r="1262" spans="2:11">
      <c r="B1262" s="63">
        <f>'RAW DATA 2023'!D1255</f>
        <v>0</v>
      </c>
      <c r="C1262" s="63" t="str">
        <f>A1262&amp;B1262</f>
        <v>0</v>
      </c>
      <c r="D1262" s="63" t="e">
        <f>VLOOKUP(C1262,'RAW DATA 2023'!E:BP,63,0)</f>
        <v>#N/A</v>
      </c>
      <c r="E1262" s="63" t="e">
        <f>A1262&amp;D1262</f>
        <v>#N/A</v>
      </c>
      <c r="F1262" s="389" t="e">
        <f>VLOOKUP(C1262,'RAW DATA 2023'!E:BO,57,0)</f>
        <v>#N/A</v>
      </c>
      <c r="G1262" s="63" t="e">
        <f>VLOOKUP(C1262,'RAW DATA 2023'!E:BO,58,0)</f>
        <v>#N/A</v>
      </c>
      <c r="H1262" s="390">
        <f>IFERROR((G1262-F1262)/G1262,0)</f>
        <v>0</v>
      </c>
      <c r="I1262" s="398">
        <f>IF(H1262&lt;0,((0.25-(H1262*(-1)))*$L$7),IF(H1262&gt;0,(H1262*$N$7)+$L$6,0))</f>
        <v>0</v>
      </c>
      <c r="J1262" s="73" t="e">
        <f>VLOOKUP(C1262,'RAW DATA 2023'!E:AC,21,0)</f>
        <v>#N/A</v>
      </c>
      <c r="K1262" s="398" t="e">
        <f>I1262*J1262</f>
        <v>#N/A</v>
      </c>
    </row>
    <row r="1263" spans="2:11">
      <c r="B1263" s="63">
        <f>'RAW DATA 2023'!D1256</f>
        <v>0</v>
      </c>
      <c r="C1263" s="63" t="str">
        <f>A1263&amp;B1263</f>
        <v>0</v>
      </c>
      <c r="D1263" s="63" t="e">
        <f>VLOOKUP(C1263,'RAW DATA 2023'!E:BP,63,0)</f>
        <v>#N/A</v>
      </c>
      <c r="E1263" s="63" t="e">
        <f>A1263&amp;D1263</f>
        <v>#N/A</v>
      </c>
      <c r="F1263" s="389" t="e">
        <f>VLOOKUP(C1263,'RAW DATA 2023'!E:BO,57,0)</f>
        <v>#N/A</v>
      </c>
      <c r="G1263" s="63" t="e">
        <f>VLOOKUP(C1263,'RAW DATA 2023'!E:BO,58,0)</f>
        <v>#N/A</v>
      </c>
      <c r="H1263" s="390">
        <f>IFERROR((G1263-F1263)/G1263,0)</f>
        <v>0</v>
      </c>
      <c r="I1263" s="398">
        <f>IF(H1263&lt;0,((0.25-(H1263*(-1)))*$L$7),IF(H1263&gt;0,(H1263*$N$7)+$L$6,0))</f>
        <v>0</v>
      </c>
      <c r="J1263" s="73" t="e">
        <f>VLOOKUP(C1263,'RAW DATA 2023'!E:AC,21,0)</f>
        <v>#N/A</v>
      </c>
      <c r="K1263" s="398" t="e">
        <f>I1263*J1263</f>
        <v>#N/A</v>
      </c>
    </row>
    <row r="1264" spans="2:11">
      <c r="B1264" s="63">
        <f>'RAW DATA 2023'!D1257</f>
        <v>0</v>
      </c>
      <c r="C1264" s="63" t="str">
        <f>A1264&amp;B1264</f>
        <v>0</v>
      </c>
      <c r="D1264" s="63" t="e">
        <f>VLOOKUP(C1264,'RAW DATA 2023'!E:BP,63,0)</f>
        <v>#N/A</v>
      </c>
      <c r="E1264" s="63" t="e">
        <f>A1264&amp;D1264</f>
        <v>#N/A</v>
      </c>
      <c r="F1264" s="389" t="e">
        <f>VLOOKUP(C1264,'RAW DATA 2023'!E:BO,57,0)</f>
        <v>#N/A</v>
      </c>
      <c r="G1264" s="63" t="e">
        <f>VLOOKUP(C1264,'RAW DATA 2023'!E:BO,58,0)</f>
        <v>#N/A</v>
      </c>
      <c r="H1264" s="390">
        <f>IFERROR((G1264-F1264)/G1264,0)</f>
        <v>0</v>
      </c>
      <c r="I1264" s="398">
        <f>IF(H1264&lt;0,((0.25-(H1264*(-1)))*$L$7),IF(H1264&gt;0,(H1264*$N$7)+$L$6,0))</f>
        <v>0</v>
      </c>
      <c r="J1264" s="73" t="e">
        <f>VLOOKUP(C1264,'RAW DATA 2023'!E:AC,21,0)</f>
        <v>#N/A</v>
      </c>
      <c r="K1264" s="398" t="e">
        <f>I1264*J1264</f>
        <v>#N/A</v>
      </c>
    </row>
    <row r="1265" spans="2:11">
      <c r="B1265" s="63">
        <f>'RAW DATA 2023'!D1258</f>
        <v>0</v>
      </c>
      <c r="C1265" s="63" t="str">
        <f>A1265&amp;B1265</f>
        <v>0</v>
      </c>
      <c r="D1265" s="63" t="e">
        <f>VLOOKUP(C1265,'RAW DATA 2023'!E:BP,63,0)</f>
        <v>#N/A</v>
      </c>
      <c r="E1265" s="63" t="e">
        <f>A1265&amp;D1265</f>
        <v>#N/A</v>
      </c>
      <c r="F1265" s="389" t="e">
        <f>VLOOKUP(C1265,'RAW DATA 2023'!E:BO,57,0)</f>
        <v>#N/A</v>
      </c>
      <c r="G1265" s="63" t="e">
        <f>VLOOKUP(C1265,'RAW DATA 2023'!E:BO,58,0)</f>
        <v>#N/A</v>
      </c>
      <c r="H1265" s="390">
        <f>IFERROR((G1265-F1265)/G1265,0)</f>
        <v>0</v>
      </c>
      <c r="I1265" s="398">
        <f>IF(H1265&lt;0,((0.25-(H1265*(-1)))*$L$7),IF(H1265&gt;0,(H1265*$N$7)+$L$6,0))</f>
        <v>0</v>
      </c>
      <c r="J1265" s="73" t="e">
        <f>VLOOKUP(C1265,'RAW DATA 2023'!E:AC,21,0)</f>
        <v>#N/A</v>
      </c>
      <c r="K1265" s="398" t="e">
        <f>I1265*J1265</f>
        <v>#N/A</v>
      </c>
    </row>
    <row r="1266" spans="2:11">
      <c r="B1266" s="63">
        <f>'RAW DATA 2023'!D1259</f>
        <v>0</v>
      </c>
      <c r="C1266" s="63" t="str">
        <f>A1266&amp;B1266</f>
        <v>0</v>
      </c>
      <c r="D1266" s="63" t="e">
        <f>VLOOKUP(C1266,'RAW DATA 2023'!E:BP,63,0)</f>
        <v>#N/A</v>
      </c>
      <c r="E1266" s="63" t="e">
        <f>A1266&amp;D1266</f>
        <v>#N/A</v>
      </c>
      <c r="F1266" s="389" t="e">
        <f>VLOOKUP(C1266,'RAW DATA 2023'!E:BO,57,0)</f>
        <v>#N/A</v>
      </c>
      <c r="G1266" s="63" t="e">
        <f>VLOOKUP(C1266,'RAW DATA 2023'!E:BO,58,0)</f>
        <v>#N/A</v>
      </c>
      <c r="H1266" s="390">
        <f>IFERROR((G1266-F1266)/G1266,0)</f>
        <v>0</v>
      </c>
      <c r="I1266" s="398">
        <f>IF(H1266&lt;0,((0.25-(H1266*(-1)))*$L$7),IF(H1266&gt;0,(H1266*$N$7)+$L$6,0))</f>
        <v>0</v>
      </c>
      <c r="J1266" s="73" t="e">
        <f>VLOOKUP(C1266,'RAW DATA 2023'!E:AC,21,0)</f>
        <v>#N/A</v>
      </c>
      <c r="K1266" s="398" t="e">
        <f>I1266*J1266</f>
        <v>#N/A</v>
      </c>
    </row>
    <row r="1267" spans="2:11">
      <c r="B1267" s="63">
        <f>'RAW DATA 2023'!D1260</f>
        <v>0</v>
      </c>
      <c r="C1267" s="63" t="str">
        <f>A1267&amp;B1267</f>
        <v>0</v>
      </c>
      <c r="D1267" s="63" t="e">
        <f>VLOOKUP(C1267,'RAW DATA 2023'!E:BP,63,0)</f>
        <v>#N/A</v>
      </c>
      <c r="E1267" s="63" t="e">
        <f>A1267&amp;D1267</f>
        <v>#N/A</v>
      </c>
      <c r="F1267" s="389" t="e">
        <f>VLOOKUP(C1267,'RAW DATA 2023'!E:BO,57,0)</f>
        <v>#N/A</v>
      </c>
      <c r="G1267" s="63" t="e">
        <f>VLOOKUP(C1267,'RAW DATA 2023'!E:BO,58,0)</f>
        <v>#N/A</v>
      </c>
      <c r="H1267" s="390">
        <f>IFERROR((G1267-F1267)/G1267,0)</f>
        <v>0</v>
      </c>
      <c r="I1267" s="398">
        <f>IF(H1267&lt;0,((0.25-(H1267*(-1)))*$L$7),IF(H1267&gt;0,(H1267*$N$7)+$L$6,0))</f>
        <v>0</v>
      </c>
      <c r="J1267" s="73" t="e">
        <f>VLOOKUP(C1267,'RAW DATA 2023'!E:AC,21,0)</f>
        <v>#N/A</v>
      </c>
      <c r="K1267" s="398" t="e">
        <f>I1267*J1267</f>
        <v>#N/A</v>
      </c>
    </row>
    <row r="1268" spans="2:11">
      <c r="B1268" s="63">
        <f>'RAW DATA 2023'!D1261</f>
        <v>0</v>
      </c>
      <c r="C1268" s="63" t="str">
        <f>A1268&amp;B1268</f>
        <v>0</v>
      </c>
      <c r="D1268" s="63" t="e">
        <f>VLOOKUP(C1268,'RAW DATA 2023'!E:BP,63,0)</f>
        <v>#N/A</v>
      </c>
      <c r="E1268" s="63" t="e">
        <f>A1268&amp;D1268</f>
        <v>#N/A</v>
      </c>
      <c r="F1268" s="389" t="e">
        <f>VLOOKUP(C1268,'RAW DATA 2023'!E:BO,57,0)</f>
        <v>#N/A</v>
      </c>
      <c r="G1268" s="63" t="e">
        <f>VLOOKUP(C1268,'RAW DATA 2023'!E:BO,58,0)</f>
        <v>#N/A</v>
      </c>
      <c r="H1268" s="390">
        <f>IFERROR((G1268-F1268)/G1268,0)</f>
        <v>0</v>
      </c>
      <c r="I1268" s="398">
        <f>IF(H1268&lt;0,((0.25-(H1268*(-1)))*$L$7),IF(H1268&gt;0,(H1268*$N$7)+$L$6,0))</f>
        <v>0</v>
      </c>
      <c r="J1268" s="73" t="e">
        <f>VLOOKUP(C1268,'RAW DATA 2023'!E:AC,21,0)</f>
        <v>#N/A</v>
      </c>
      <c r="K1268" s="398" t="e">
        <f>I1268*J1268</f>
        <v>#N/A</v>
      </c>
    </row>
    <row r="1269" spans="2:11">
      <c r="B1269" s="63">
        <f>'RAW DATA 2023'!D1262</f>
        <v>0</v>
      </c>
      <c r="C1269" s="63" t="str">
        <f>A1269&amp;B1269</f>
        <v>0</v>
      </c>
      <c r="D1269" s="63" t="e">
        <f>VLOOKUP(C1269,'RAW DATA 2023'!E:BP,63,0)</f>
        <v>#N/A</v>
      </c>
      <c r="E1269" s="63" t="e">
        <f>A1269&amp;D1269</f>
        <v>#N/A</v>
      </c>
      <c r="F1269" s="389" t="e">
        <f>VLOOKUP(C1269,'RAW DATA 2023'!E:BO,57,0)</f>
        <v>#N/A</v>
      </c>
      <c r="G1269" s="63" t="e">
        <f>VLOOKUP(C1269,'RAW DATA 2023'!E:BO,58,0)</f>
        <v>#N/A</v>
      </c>
      <c r="H1269" s="390">
        <f>IFERROR((G1269-F1269)/G1269,0)</f>
        <v>0</v>
      </c>
      <c r="I1269" s="398">
        <f>IF(H1269&lt;0,((0.25-(H1269*(-1)))*$L$7),IF(H1269&gt;0,(H1269*$N$7)+$L$6,0))</f>
        <v>0</v>
      </c>
      <c r="J1269" s="73" t="e">
        <f>VLOOKUP(C1269,'RAW DATA 2023'!E:AC,21,0)</f>
        <v>#N/A</v>
      </c>
      <c r="K1269" s="398" t="e">
        <f>I1269*J1269</f>
        <v>#N/A</v>
      </c>
    </row>
    <row r="1270" spans="2:11">
      <c r="B1270" s="63">
        <f>'RAW DATA 2023'!D1263</f>
        <v>0</v>
      </c>
      <c r="C1270" s="63" t="str">
        <f>A1270&amp;B1270</f>
        <v>0</v>
      </c>
      <c r="D1270" s="63" t="e">
        <f>VLOOKUP(C1270,'RAW DATA 2023'!E:BP,63,0)</f>
        <v>#N/A</v>
      </c>
      <c r="E1270" s="63" t="e">
        <f>A1270&amp;D1270</f>
        <v>#N/A</v>
      </c>
      <c r="F1270" s="389" t="e">
        <f>VLOOKUP(C1270,'RAW DATA 2023'!E:BO,57,0)</f>
        <v>#N/A</v>
      </c>
      <c r="G1270" s="63" t="e">
        <f>VLOOKUP(C1270,'RAW DATA 2023'!E:BO,58,0)</f>
        <v>#N/A</v>
      </c>
      <c r="H1270" s="390">
        <f>IFERROR((G1270-F1270)/G1270,0)</f>
        <v>0</v>
      </c>
      <c r="I1270" s="398">
        <f>IF(H1270&lt;0,((0.25-(H1270*(-1)))*$L$7),IF(H1270&gt;0,(H1270*$N$7)+$L$6,0))</f>
        <v>0</v>
      </c>
      <c r="J1270" s="73" t="e">
        <f>VLOOKUP(C1270,'RAW DATA 2023'!E:AC,21,0)</f>
        <v>#N/A</v>
      </c>
      <c r="K1270" s="398" t="e">
        <f>I1270*J1270</f>
        <v>#N/A</v>
      </c>
    </row>
    <row r="1271" spans="2:11">
      <c r="B1271" s="63">
        <f>'RAW DATA 2023'!D1264</f>
        <v>0</v>
      </c>
      <c r="C1271" s="63" t="str">
        <f>A1271&amp;B1271</f>
        <v>0</v>
      </c>
      <c r="D1271" s="63" t="e">
        <f>VLOOKUP(C1271,'RAW DATA 2023'!E:BP,63,0)</f>
        <v>#N/A</v>
      </c>
      <c r="E1271" s="63" t="e">
        <f>A1271&amp;D1271</f>
        <v>#N/A</v>
      </c>
      <c r="F1271" s="389" t="e">
        <f>VLOOKUP(C1271,'RAW DATA 2023'!E:BO,57,0)</f>
        <v>#N/A</v>
      </c>
      <c r="G1271" s="63" t="e">
        <f>VLOOKUP(C1271,'RAW DATA 2023'!E:BO,58,0)</f>
        <v>#N/A</v>
      </c>
      <c r="H1271" s="390">
        <f>IFERROR((G1271-F1271)/G1271,0)</f>
        <v>0</v>
      </c>
      <c r="I1271" s="398">
        <f>IF(H1271&lt;0,((0.25-(H1271*(-1)))*$L$7),IF(H1271&gt;0,(H1271*$N$7)+$L$6,0))</f>
        <v>0</v>
      </c>
      <c r="J1271" s="73" t="e">
        <f>VLOOKUP(C1271,'RAW DATA 2023'!E:AC,21,0)</f>
        <v>#N/A</v>
      </c>
      <c r="K1271" s="398" t="e">
        <f>I1271*J1271</f>
        <v>#N/A</v>
      </c>
    </row>
    <row r="1272" spans="2:11">
      <c r="B1272" s="63">
        <f>'RAW DATA 2023'!D1265</f>
        <v>0</v>
      </c>
      <c r="C1272" s="63" t="str">
        <f>A1272&amp;B1272</f>
        <v>0</v>
      </c>
      <c r="D1272" s="63" t="e">
        <f>VLOOKUP(C1272,'RAW DATA 2023'!E:BP,63,0)</f>
        <v>#N/A</v>
      </c>
      <c r="E1272" s="63" t="e">
        <f>A1272&amp;D1272</f>
        <v>#N/A</v>
      </c>
      <c r="F1272" s="389" t="e">
        <f>VLOOKUP(C1272,'RAW DATA 2023'!E:BO,57,0)</f>
        <v>#N/A</v>
      </c>
      <c r="G1272" s="63" t="e">
        <f>VLOOKUP(C1272,'RAW DATA 2023'!E:BO,58,0)</f>
        <v>#N/A</v>
      </c>
      <c r="H1272" s="390">
        <f>IFERROR((G1272-F1272)/G1272,0)</f>
        <v>0</v>
      </c>
      <c r="I1272" s="398">
        <f>IF(H1272&lt;0,((0.25-(H1272*(-1)))*$L$7),IF(H1272&gt;0,(H1272*$N$7)+$L$6,0))</f>
        <v>0</v>
      </c>
      <c r="J1272" s="73" t="e">
        <f>VLOOKUP(C1272,'RAW DATA 2023'!E:AC,21,0)</f>
        <v>#N/A</v>
      </c>
      <c r="K1272" s="398" t="e">
        <f>I1272*J1272</f>
        <v>#N/A</v>
      </c>
    </row>
    <row r="1273" spans="2:11">
      <c r="B1273" s="63">
        <f>'RAW DATA 2023'!D1266</f>
        <v>0</v>
      </c>
      <c r="C1273" s="63" t="str">
        <f>A1273&amp;B1273</f>
        <v>0</v>
      </c>
      <c r="D1273" s="63" t="e">
        <f>VLOOKUP(C1273,'RAW DATA 2023'!E:BP,63,0)</f>
        <v>#N/A</v>
      </c>
      <c r="E1273" s="63" t="e">
        <f>A1273&amp;D1273</f>
        <v>#N/A</v>
      </c>
      <c r="F1273" s="389" t="e">
        <f>VLOOKUP(C1273,'RAW DATA 2023'!E:BO,57,0)</f>
        <v>#N/A</v>
      </c>
      <c r="G1273" s="63" t="e">
        <f>VLOOKUP(C1273,'RAW DATA 2023'!E:BO,58,0)</f>
        <v>#N/A</v>
      </c>
      <c r="H1273" s="390">
        <f>IFERROR((G1273-F1273)/G1273,0)</f>
        <v>0</v>
      </c>
      <c r="I1273" s="398">
        <f>IF(H1273&lt;0,((0.25-(H1273*(-1)))*$L$7),IF(H1273&gt;0,(H1273*$N$7)+$L$6,0))</f>
        <v>0</v>
      </c>
      <c r="J1273" s="73" t="e">
        <f>VLOOKUP(C1273,'RAW DATA 2023'!E:AC,21,0)</f>
        <v>#N/A</v>
      </c>
      <c r="K1273" s="398" t="e">
        <f>I1273*J1273</f>
        <v>#N/A</v>
      </c>
    </row>
    <row r="1274" spans="2:11">
      <c r="B1274" s="63">
        <f>'RAW DATA 2023'!D1267</f>
        <v>0</v>
      </c>
      <c r="C1274" s="63" t="str">
        <f>A1274&amp;B1274</f>
        <v>0</v>
      </c>
      <c r="D1274" s="63" t="e">
        <f>VLOOKUP(C1274,'RAW DATA 2023'!E:BP,63,0)</f>
        <v>#N/A</v>
      </c>
      <c r="E1274" s="63" t="e">
        <f>A1274&amp;D1274</f>
        <v>#N/A</v>
      </c>
      <c r="F1274" s="389" t="e">
        <f>VLOOKUP(C1274,'RAW DATA 2023'!E:BO,57,0)</f>
        <v>#N/A</v>
      </c>
      <c r="G1274" s="63" t="e">
        <f>VLOOKUP(C1274,'RAW DATA 2023'!E:BO,58,0)</f>
        <v>#N/A</v>
      </c>
      <c r="H1274" s="390">
        <f>IFERROR((G1274-F1274)/G1274,0)</f>
        <v>0</v>
      </c>
      <c r="I1274" s="398">
        <f>IF(H1274&lt;0,((0.25-(H1274*(-1)))*$L$7),IF(H1274&gt;0,(H1274*$N$7)+$L$6,0))</f>
        <v>0</v>
      </c>
      <c r="J1274" s="73" t="e">
        <f>VLOOKUP(C1274,'RAW DATA 2023'!E:AC,21,0)</f>
        <v>#N/A</v>
      </c>
      <c r="K1274" s="398" t="e">
        <f>I1274*J1274</f>
        <v>#N/A</v>
      </c>
    </row>
    <row r="1275" spans="2:11">
      <c r="B1275" s="63">
        <f>'RAW DATA 2023'!D1268</f>
        <v>0</v>
      </c>
      <c r="C1275" s="63" t="str">
        <f>A1275&amp;B1275</f>
        <v>0</v>
      </c>
      <c r="D1275" s="63" t="e">
        <f>VLOOKUP(C1275,'RAW DATA 2023'!E:BP,63,0)</f>
        <v>#N/A</v>
      </c>
      <c r="E1275" s="63" t="e">
        <f>A1275&amp;D1275</f>
        <v>#N/A</v>
      </c>
      <c r="F1275" s="389" t="e">
        <f>VLOOKUP(C1275,'RAW DATA 2023'!E:BO,57,0)</f>
        <v>#N/A</v>
      </c>
      <c r="G1275" s="63" t="e">
        <f>VLOOKUP(C1275,'RAW DATA 2023'!E:BO,58,0)</f>
        <v>#N/A</v>
      </c>
      <c r="H1275" s="390">
        <f>IFERROR((G1275-F1275)/G1275,0)</f>
        <v>0</v>
      </c>
      <c r="I1275" s="398">
        <f>IF(H1275&lt;0,((0.25-(H1275*(-1)))*$L$7),IF(H1275&gt;0,(H1275*$N$7)+$L$6,0))</f>
        <v>0</v>
      </c>
      <c r="J1275" s="73" t="e">
        <f>VLOOKUP(C1275,'RAW DATA 2023'!E:AC,21,0)</f>
        <v>#N/A</v>
      </c>
      <c r="K1275" s="398" t="e">
        <f>I1275*J1275</f>
        <v>#N/A</v>
      </c>
    </row>
    <row r="1276" spans="2:11">
      <c r="B1276" s="63">
        <f>'RAW DATA 2023'!D1269</f>
        <v>0</v>
      </c>
      <c r="C1276" s="63" t="str">
        <f>A1276&amp;B1276</f>
        <v>0</v>
      </c>
      <c r="D1276" s="63" t="e">
        <f>VLOOKUP(C1276,'RAW DATA 2023'!E:BP,63,0)</f>
        <v>#N/A</v>
      </c>
      <c r="E1276" s="63" t="e">
        <f>A1276&amp;D1276</f>
        <v>#N/A</v>
      </c>
      <c r="F1276" s="389" t="e">
        <f>VLOOKUP(C1276,'RAW DATA 2023'!E:BO,57,0)</f>
        <v>#N/A</v>
      </c>
      <c r="G1276" s="63" t="e">
        <f>VLOOKUP(C1276,'RAW DATA 2023'!E:BO,58,0)</f>
        <v>#N/A</v>
      </c>
      <c r="H1276" s="390">
        <f>IFERROR((G1276-F1276)/G1276,0)</f>
        <v>0</v>
      </c>
      <c r="I1276" s="398">
        <f>IF(H1276&lt;0,((0.25-(H1276*(-1)))*$L$7),IF(H1276&gt;0,(H1276*$N$7)+$L$6,0))</f>
        <v>0</v>
      </c>
      <c r="J1276" s="73" t="e">
        <f>VLOOKUP(C1276,'RAW DATA 2023'!E:AC,21,0)</f>
        <v>#N/A</v>
      </c>
      <c r="K1276" s="398" t="e">
        <f>I1276*J1276</f>
        <v>#N/A</v>
      </c>
    </row>
    <row r="1277" spans="2:11">
      <c r="B1277" s="63">
        <f>'RAW DATA 2023'!D1270</f>
        <v>0</v>
      </c>
      <c r="C1277" s="63" t="str">
        <f>A1277&amp;B1277</f>
        <v>0</v>
      </c>
      <c r="D1277" s="63" t="e">
        <f>VLOOKUP(C1277,'RAW DATA 2023'!E:BP,63,0)</f>
        <v>#N/A</v>
      </c>
      <c r="E1277" s="63" t="e">
        <f>A1277&amp;D1277</f>
        <v>#N/A</v>
      </c>
      <c r="F1277" s="389" t="e">
        <f>VLOOKUP(C1277,'RAW DATA 2023'!E:BO,57,0)</f>
        <v>#N/A</v>
      </c>
      <c r="G1277" s="63" t="e">
        <f>VLOOKUP(C1277,'RAW DATA 2023'!E:BO,58,0)</f>
        <v>#N/A</v>
      </c>
      <c r="H1277" s="390">
        <f>IFERROR((G1277-F1277)/G1277,0)</f>
        <v>0</v>
      </c>
      <c r="I1277" s="398">
        <f>IF(H1277&lt;0,((0.25-(H1277*(-1)))*$L$7),IF(H1277&gt;0,(H1277*$N$7)+$L$6,0))</f>
        <v>0</v>
      </c>
      <c r="J1277" s="73" t="e">
        <f>VLOOKUP(C1277,'RAW DATA 2023'!E:AC,21,0)</f>
        <v>#N/A</v>
      </c>
      <c r="K1277" s="398" t="e">
        <f>I1277*J1277</f>
        <v>#N/A</v>
      </c>
    </row>
    <row r="1278" spans="2:11">
      <c r="B1278" s="63">
        <f>'RAW DATA 2023'!D1271</f>
        <v>0</v>
      </c>
      <c r="C1278" s="63" t="str">
        <f>A1278&amp;B1278</f>
        <v>0</v>
      </c>
      <c r="D1278" s="63" t="e">
        <f>VLOOKUP(C1278,'RAW DATA 2023'!E:BP,63,0)</f>
        <v>#N/A</v>
      </c>
      <c r="E1278" s="63" t="e">
        <f>A1278&amp;D1278</f>
        <v>#N/A</v>
      </c>
      <c r="F1278" s="389" t="e">
        <f>VLOOKUP(C1278,'RAW DATA 2023'!E:BO,57,0)</f>
        <v>#N/A</v>
      </c>
      <c r="G1278" s="63" t="e">
        <f>VLOOKUP(C1278,'RAW DATA 2023'!E:BO,58,0)</f>
        <v>#N/A</v>
      </c>
      <c r="H1278" s="390">
        <f>IFERROR((G1278-F1278)/G1278,0)</f>
        <v>0</v>
      </c>
      <c r="I1278" s="398">
        <f>IF(H1278&lt;0,((0.25-(H1278*(-1)))*$L$7),IF(H1278&gt;0,(H1278*$N$7)+$L$6,0))</f>
        <v>0</v>
      </c>
      <c r="J1278" s="73" t="e">
        <f>VLOOKUP(C1278,'RAW DATA 2023'!E:AC,21,0)</f>
        <v>#N/A</v>
      </c>
      <c r="K1278" s="398" t="e">
        <f>I1278*J1278</f>
        <v>#N/A</v>
      </c>
    </row>
    <row r="1279" spans="2:11">
      <c r="B1279" s="63">
        <f>'RAW DATA 2023'!D1272</f>
        <v>0</v>
      </c>
      <c r="C1279" s="63" t="str">
        <f>A1279&amp;B1279</f>
        <v>0</v>
      </c>
      <c r="D1279" s="63" t="e">
        <f>VLOOKUP(C1279,'RAW DATA 2023'!E:BP,63,0)</f>
        <v>#N/A</v>
      </c>
      <c r="E1279" s="63" t="e">
        <f>A1279&amp;D1279</f>
        <v>#N/A</v>
      </c>
      <c r="F1279" s="389" t="e">
        <f>VLOOKUP(C1279,'RAW DATA 2023'!E:BO,57,0)</f>
        <v>#N/A</v>
      </c>
      <c r="G1279" s="63" t="e">
        <f>VLOOKUP(C1279,'RAW DATA 2023'!E:BO,58,0)</f>
        <v>#N/A</v>
      </c>
      <c r="H1279" s="390">
        <f>IFERROR((G1279-F1279)/G1279,0)</f>
        <v>0</v>
      </c>
      <c r="I1279" s="398">
        <f>IF(H1279&lt;0,((0.25-(H1279*(-1)))*$L$7),IF(H1279&gt;0,(H1279*$N$7)+$L$6,0))</f>
        <v>0</v>
      </c>
      <c r="J1279" s="73" t="e">
        <f>VLOOKUP(C1279,'RAW DATA 2023'!E:AC,21,0)</f>
        <v>#N/A</v>
      </c>
      <c r="K1279" s="398" t="e">
        <f>I1279*J1279</f>
        <v>#N/A</v>
      </c>
    </row>
    <row r="1280" spans="2:11">
      <c r="B1280" s="63">
        <f>'RAW DATA 2023'!D1273</f>
        <v>0</v>
      </c>
      <c r="C1280" s="63" t="str">
        <f>A1280&amp;B1280</f>
        <v>0</v>
      </c>
      <c r="D1280" s="63" t="e">
        <f>VLOOKUP(C1280,'RAW DATA 2023'!E:BP,63,0)</f>
        <v>#N/A</v>
      </c>
      <c r="E1280" s="63" t="e">
        <f>A1280&amp;D1280</f>
        <v>#N/A</v>
      </c>
      <c r="F1280" s="389" t="e">
        <f>VLOOKUP(C1280,'RAW DATA 2023'!E:BO,57,0)</f>
        <v>#N/A</v>
      </c>
      <c r="G1280" s="63" t="e">
        <f>VLOOKUP(C1280,'RAW DATA 2023'!E:BO,58,0)</f>
        <v>#N/A</v>
      </c>
      <c r="H1280" s="390">
        <f>IFERROR((G1280-F1280)/G1280,0)</f>
        <v>0</v>
      </c>
      <c r="I1280" s="398">
        <f>IF(H1280&lt;0,((0.25-(H1280*(-1)))*$L$7),IF(H1280&gt;0,(H1280*$N$7)+$L$6,0))</f>
        <v>0</v>
      </c>
      <c r="J1280" s="73" t="e">
        <f>VLOOKUP(C1280,'RAW DATA 2023'!E:AC,21,0)</f>
        <v>#N/A</v>
      </c>
      <c r="K1280" s="398" t="e">
        <f>I1280*J1280</f>
        <v>#N/A</v>
      </c>
    </row>
    <row r="1281" spans="2:11">
      <c r="B1281" s="63">
        <f>'RAW DATA 2023'!D1274</f>
        <v>0</v>
      </c>
      <c r="C1281" s="63" t="str">
        <f>A1281&amp;B1281</f>
        <v>0</v>
      </c>
      <c r="D1281" s="63" t="e">
        <f>VLOOKUP(C1281,'RAW DATA 2023'!E:BP,63,0)</f>
        <v>#N/A</v>
      </c>
      <c r="E1281" s="63" t="e">
        <f>A1281&amp;D1281</f>
        <v>#N/A</v>
      </c>
      <c r="F1281" s="389" t="e">
        <f>VLOOKUP(C1281,'RAW DATA 2023'!E:BO,57,0)</f>
        <v>#N/A</v>
      </c>
      <c r="G1281" s="63" t="e">
        <f>VLOOKUP(C1281,'RAW DATA 2023'!E:BO,58,0)</f>
        <v>#N/A</v>
      </c>
      <c r="H1281" s="390">
        <f>IFERROR((G1281-F1281)/G1281,0)</f>
        <v>0</v>
      </c>
      <c r="I1281" s="398">
        <f>IF(H1281&lt;0,((0.25-(H1281*(-1)))*$L$7),IF(H1281&gt;0,(H1281*$N$7)+$L$6,0))</f>
        <v>0</v>
      </c>
      <c r="J1281" s="73" t="e">
        <f>VLOOKUP(C1281,'RAW DATA 2023'!E:AC,21,0)</f>
        <v>#N/A</v>
      </c>
      <c r="K1281" s="398" t="e">
        <f>I1281*J1281</f>
        <v>#N/A</v>
      </c>
    </row>
    <row r="1282" spans="2:11">
      <c r="B1282" s="63">
        <f>'RAW DATA 2023'!D1275</f>
        <v>0</v>
      </c>
      <c r="C1282" s="63" t="str">
        <f>A1282&amp;B1282</f>
        <v>0</v>
      </c>
      <c r="D1282" s="63" t="e">
        <f>VLOOKUP(C1282,'RAW DATA 2023'!E:BP,63,0)</f>
        <v>#N/A</v>
      </c>
      <c r="E1282" s="63" t="e">
        <f>A1282&amp;D1282</f>
        <v>#N/A</v>
      </c>
      <c r="F1282" s="389" t="e">
        <f>VLOOKUP(C1282,'RAW DATA 2023'!E:BO,57,0)</f>
        <v>#N/A</v>
      </c>
      <c r="G1282" s="63" t="e">
        <f>VLOOKUP(C1282,'RAW DATA 2023'!E:BO,58,0)</f>
        <v>#N/A</v>
      </c>
      <c r="H1282" s="390">
        <f>IFERROR((G1282-F1282)/G1282,0)</f>
        <v>0</v>
      </c>
      <c r="I1282" s="398">
        <f>IF(H1282&lt;0,((0.25-(H1282*(-1)))*$L$7),IF(H1282&gt;0,(H1282*$N$7)+$L$6,0))</f>
        <v>0</v>
      </c>
      <c r="J1282" s="73" t="e">
        <f>VLOOKUP(C1282,'RAW DATA 2023'!E:AC,21,0)</f>
        <v>#N/A</v>
      </c>
      <c r="K1282" s="398" t="e">
        <f>I1282*J1282</f>
        <v>#N/A</v>
      </c>
    </row>
    <row r="1283" spans="2:11">
      <c r="B1283" s="63">
        <f>'RAW DATA 2023'!D1276</f>
        <v>0</v>
      </c>
      <c r="C1283" s="63" t="str">
        <f>A1283&amp;B1283</f>
        <v>0</v>
      </c>
      <c r="D1283" s="63" t="e">
        <f>VLOOKUP(C1283,'RAW DATA 2023'!E:BP,63,0)</f>
        <v>#N/A</v>
      </c>
      <c r="E1283" s="63" t="e">
        <f>A1283&amp;D1283</f>
        <v>#N/A</v>
      </c>
      <c r="F1283" s="389" t="e">
        <f>VLOOKUP(C1283,'RAW DATA 2023'!E:BO,57,0)</f>
        <v>#N/A</v>
      </c>
      <c r="G1283" s="63" t="e">
        <f>VLOOKUP(C1283,'RAW DATA 2023'!E:BO,58,0)</f>
        <v>#N/A</v>
      </c>
      <c r="H1283" s="390">
        <f>IFERROR((G1283-F1283)/G1283,0)</f>
        <v>0</v>
      </c>
      <c r="I1283" s="398">
        <f>IF(H1283&lt;0,((0.25-(H1283*(-1)))*$L$7),IF(H1283&gt;0,(H1283*$N$7)+$L$6,0))</f>
        <v>0</v>
      </c>
      <c r="J1283" s="73" t="e">
        <f>VLOOKUP(C1283,'RAW DATA 2023'!E:AC,21,0)</f>
        <v>#N/A</v>
      </c>
      <c r="K1283" s="398" t="e">
        <f>I1283*J1283</f>
        <v>#N/A</v>
      </c>
    </row>
    <row r="1284" spans="2:11">
      <c r="B1284" s="63">
        <f>'RAW DATA 2023'!D1277</f>
        <v>0</v>
      </c>
      <c r="C1284" s="63" t="str">
        <f>A1284&amp;B1284</f>
        <v>0</v>
      </c>
      <c r="D1284" s="63" t="e">
        <f>VLOOKUP(C1284,'RAW DATA 2023'!E:BP,63,0)</f>
        <v>#N/A</v>
      </c>
      <c r="E1284" s="63" t="e">
        <f>A1284&amp;D1284</f>
        <v>#N/A</v>
      </c>
      <c r="F1284" s="389" t="e">
        <f>VLOOKUP(C1284,'RAW DATA 2023'!E:BO,57,0)</f>
        <v>#N/A</v>
      </c>
      <c r="G1284" s="63" t="e">
        <f>VLOOKUP(C1284,'RAW DATA 2023'!E:BO,58,0)</f>
        <v>#N/A</v>
      </c>
      <c r="H1284" s="390">
        <f>IFERROR((G1284-F1284)/G1284,0)</f>
        <v>0</v>
      </c>
      <c r="I1284" s="398">
        <f>IF(H1284&lt;0,((0.25-(H1284*(-1)))*$L$7),IF(H1284&gt;0,(H1284*$N$7)+$L$6,0))</f>
        <v>0</v>
      </c>
      <c r="J1284" s="73" t="e">
        <f>VLOOKUP(C1284,'RAW DATA 2023'!E:AC,21,0)</f>
        <v>#N/A</v>
      </c>
      <c r="K1284" s="398" t="e">
        <f>I1284*J1284</f>
        <v>#N/A</v>
      </c>
    </row>
    <row r="1285" spans="2:11">
      <c r="B1285" s="63">
        <f>'RAW DATA 2023'!D1278</f>
        <v>0</v>
      </c>
      <c r="C1285" s="63" t="str">
        <f>A1285&amp;B1285</f>
        <v>0</v>
      </c>
      <c r="D1285" s="63" t="e">
        <f>VLOOKUP(C1285,'RAW DATA 2023'!E:BP,63,0)</f>
        <v>#N/A</v>
      </c>
      <c r="E1285" s="63" t="e">
        <f>A1285&amp;D1285</f>
        <v>#N/A</v>
      </c>
      <c r="F1285" s="389" t="e">
        <f>VLOOKUP(C1285,'RAW DATA 2023'!E:BO,57,0)</f>
        <v>#N/A</v>
      </c>
      <c r="G1285" s="63" t="e">
        <f>VLOOKUP(C1285,'RAW DATA 2023'!E:BO,58,0)</f>
        <v>#N/A</v>
      </c>
      <c r="H1285" s="390">
        <f>IFERROR((G1285-F1285)/G1285,0)</f>
        <v>0</v>
      </c>
      <c r="I1285" s="398">
        <f>IF(H1285&lt;0,((0.25-(H1285*(-1)))*$L$7),IF(H1285&gt;0,(H1285*$N$7)+$L$6,0))</f>
        <v>0</v>
      </c>
      <c r="J1285" s="73" t="e">
        <f>VLOOKUP(C1285,'RAW DATA 2023'!E:AC,21,0)</f>
        <v>#N/A</v>
      </c>
      <c r="K1285" s="398" t="e">
        <f>I1285*J1285</f>
        <v>#N/A</v>
      </c>
    </row>
    <row r="1286" spans="2:11">
      <c r="B1286" s="63">
        <f>'RAW DATA 2023'!D1279</f>
        <v>0</v>
      </c>
      <c r="C1286" s="63" t="str">
        <f>A1286&amp;B1286</f>
        <v>0</v>
      </c>
      <c r="D1286" s="63" t="e">
        <f>VLOOKUP(C1286,'RAW DATA 2023'!E:BP,63,0)</f>
        <v>#N/A</v>
      </c>
      <c r="E1286" s="63" t="e">
        <f>A1286&amp;D1286</f>
        <v>#N/A</v>
      </c>
      <c r="F1286" s="389" t="e">
        <f>VLOOKUP(C1286,'RAW DATA 2023'!E:BO,57,0)</f>
        <v>#N/A</v>
      </c>
      <c r="G1286" s="63" t="e">
        <f>VLOOKUP(C1286,'RAW DATA 2023'!E:BO,58,0)</f>
        <v>#N/A</v>
      </c>
      <c r="H1286" s="390">
        <f>IFERROR((G1286-F1286)/G1286,0)</f>
        <v>0</v>
      </c>
      <c r="I1286" s="398">
        <f>IF(H1286&lt;0,((0.25-(H1286*(-1)))*$L$7),IF(H1286&gt;0,(H1286*$N$7)+$L$6,0))</f>
        <v>0</v>
      </c>
      <c r="J1286" s="73" t="e">
        <f>VLOOKUP(C1286,'RAW DATA 2023'!E:AC,21,0)</f>
        <v>#N/A</v>
      </c>
      <c r="K1286" s="398" t="e">
        <f>I1286*J1286</f>
        <v>#N/A</v>
      </c>
    </row>
    <row r="1287" spans="2:11">
      <c r="B1287" s="63">
        <f>'RAW DATA 2023'!D1280</f>
        <v>0</v>
      </c>
      <c r="C1287" s="63" t="str">
        <f>A1287&amp;B1287</f>
        <v>0</v>
      </c>
      <c r="D1287" s="63" t="e">
        <f>VLOOKUP(C1287,'RAW DATA 2023'!E:BP,63,0)</f>
        <v>#N/A</v>
      </c>
      <c r="E1287" s="63" t="e">
        <f>A1287&amp;D1287</f>
        <v>#N/A</v>
      </c>
      <c r="F1287" s="389" t="e">
        <f>VLOOKUP(C1287,'RAW DATA 2023'!E:BO,57,0)</f>
        <v>#N/A</v>
      </c>
      <c r="G1287" s="63" t="e">
        <f>VLOOKUP(C1287,'RAW DATA 2023'!E:BO,58,0)</f>
        <v>#N/A</v>
      </c>
      <c r="H1287" s="390">
        <f>IFERROR((G1287-F1287)/G1287,0)</f>
        <v>0</v>
      </c>
      <c r="I1287" s="398">
        <f>IF(H1287&lt;0,((0.25-(H1287*(-1)))*$L$7),IF(H1287&gt;0,(H1287*$N$7)+$L$6,0))</f>
        <v>0</v>
      </c>
      <c r="J1287" s="73" t="e">
        <f>VLOOKUP(C1287,'RAW DATA 2023'!E:AC,21,0)</f>
        <v>#N/A</v>
      </c>
      <c r="K1287" s="398" t="e">
        <f>I1287*J1287</f>
        <v>#N/A</v>
      </c>
    </row>
    <row r="1288" spans="2:11">
      <c r="B1288" s="63">
        <f>'RAW DATA 2023'!D1281</f>
        <v>0</v>
      </c>
      <c r="C1288" s="63" t="str">
        <f>A1288&amp;B1288</f>
        <v>0</v>
      </c>
      <c r="D1288" s="63" t="e">
        <f>VLOOKUP(C1288,'RAW DATA 2023'!E:BP,63,0)</f>
        <v>#N/A</v>
      </c>
      <c r="E1288" s="63" t="e">
        <f>A1288&amp;D1288</f>
        <v>#N/A</v>
      </c>
      <c r="F1288" s="389" t="e">
        <f>VLOOKUP(C1288,'RAW DATA 2023'!E:BO,57,0)</f>
        <v>#N/A</v>
      </c>
      <c r="G1288" s="63" t="e">
        <f>VLOOKUP(C1288,'RAW DATA 2023'!E:BO,58,0)</f>
        <v>#N/A</v>
      </c>
      <c r="H1288" s="390">
        <f>IFERROR((G1288-F1288)/G1288,0)</f>
        <v>0</v>
      </c>
      <c r="I1288" s="398">
        <f>IF(H1288&lt;0,((0.25-(H1288*(-1)))*$L$7),IF(H1288&gt;0,(H1288*$N$7)+$L$6,0))</f>
        <v>0</v>
      </c>
      <c r="J1288" s="73" t="e">
        <f>VLOOKUP(C1288,'RAW DATA 2023'!E:AC,21,0)</f>
        <v>#N/A</v>
      </c>
      <c r="K1288" s="398" t="e">
        <f>I1288*J1288</f>
        <v>#N/A</v>
      </c>
    </row>
    <row r="1289" spans="2:11">
      <c r="B1289" s="63">
        <f>'RAW DATA 2023'!D1282</f>
        <v>0</v>
      </c>
      <c r="C1289" s="63" t="str">
        <f>A1289&amp;B1289</f>
        <v>0</v>
      </c>
      <c r="D1289" s="63" t="e">
        <f>VLOOKUP(C1289,'RAW DATA 2023'!E:BP,63,0)</f>
        <v>#N/A</v>
      </c>
      <c r="E1289" s="63" t="e">
        <f>A1289&amp;D1289</f>
        <v>#N/A</v>
      </c>
      <c r="F1289" s="389" t="e">
        <f>VLOOKUP(C1289,'RAW DATA 2023'!E:BO,57,0)</f>
        <v>#N/A</v>
      </c>
      <c r="G1289" s="63" t="e">
        <f>VLOOKUP(C1289,'RAW DATA 2023'!E:BO,58,0)</f>
        <v>#N/A</v>
      </c>
      <c r="H1289" s="390">
        <f>IFERROR((G1289-F1289)/G1289,0)</f>
        <v>0</v>
      </c>
      <c r="I1289" s="398">
        <f>IF(H1289&lt;0,((0.25-(H1289*(-1)))*$L$7),IF(H1289&gt;0,(H1289*$N$7)+$L$6,0))</f>
        <v>0</v>
      </c>
      <c r="J1289" s="73" t="e">
        <f>VLOOKUP(C1289,'RAW DATA 2023'!E:AC,21,0)</f>
        <v>#N/A</v>
      </c>
      <c r="K1289" s="398" t="e">
        <f>I1289*J1289</f>
        <v>#N/A</v>
      </c>
    </row>
    <row r="1290" spans="2:11">
      <c r="B1290" s="63">
        <f>'RAW DATA 2023'!D1283</f>
        <v>0</v>
      </c>
      <c r="C1290" s="63" t="str">
        <f>A1290&amp;B1290</f>
        <v>0</v>
      </c>
      <c r="D1290" s="63" t="e">
        <f>VLOOKUP(C1290,'RAW DATA 2023'!E:BP,63,0)</f>
        <v>#N/A</v>
      </c>
      <c r="E1290" s="63" t="e">
        <f>A1290&amp;D1290</f>
        <v>#N/A</v>
      </c>
      <c r="F1290" s="389" t="e">
        <f>VLOOKUP(C1290,'RAW DATA 2023'!E:BO,57,0)</f>
        <v>#N/A</v>
      </c>
      <c r="G1290" s="63" t="e">
        <f>VLOOKUP(C1290,'RAW DATA 2023'!E:BO,58,0)</f>
        <v>#N/A</v>
      </c>
      <c r="H1290" s="390">
        <f>IFERROR((G1290-F1290)/G1290,0)</f>
        <v>0</v>
      </c>
      <c r="I1290" s="398">
        <f>IF(H1290&lt;0,((0.25-(H1290*(-1)))*$L$7),IF(H1290&gt;0,(H1290*$N$7)+$L$6,0))</f>
        <v>0</v>
      </c>
      <c r="J1290" s="73" t="e">
        <f>VLOOKUP(C1290,'RAW DATA 2023'!E:AC,21,0)</f>
        <v>#N/A</v>
      </c>
      <c r="K1290" s="398" t="e">
        <f>I1290*J1290</f>
        <v>#N/A</v>
      </c>
    </row>
    <row r="1291" spans="2:11">
      <c r="B1291" s="63">
        <f>'RAW DATA 2023'!D1284</f>
        <v>0</v>
      </c>
      <c r="C1291" s="63" t="str">
        <f>A1291&amp;B1291</f>
        <v>0</v>
      </c>
      <c r="D1291" s="63" t="e">
        <f>VLOOKUP(C1291,'RAW DATA 2023'!E:BP,63,0)</f>
        <v>#N/A</v>
      </c>
      <c r="E1291" s="63" t="e">
        <f>A1291&amp;D1291</f>
        <v>#N/A</v>
      </c>
      <c r="F1291" s="389" t="e">
        <f>VLOOKUP(C1291,'RAW DATA 2023'!E:BO,57,0)</f>
        <v>#N/A</v>
      </c>
      <c r="G1291" s="63" t="e">
        <f>VLOOKUP(C1291,'RAW DATA 2023'!E:BO,58,0)</f>
        <v>#N/A</v>
      </c>
      <c r="H1291" s="390">
        <f>IFERROR((G1291-F1291)/G1291,0)</f>
        <v>0</v>
      </c>
      <c r="I1291" s="398">
        <f>IF(H1291&lt;0,((0.25-(H1291*(-1)))*$L$7),IF(H1291&gt;0,(H1291*$N$7)+$L$6,0))</f>
        <v>0</v>
      </c>
      <c r="J1291" s="73" t="e">
        <f>VLOOKUP(C1291,'RAW DATA 2023'!E:AC,21,0)</f>
        <v>#N/A</v>
      </c>
      <c r="K1291" s="398" t="e">
        <f>I1291*J1291</f>
        <v>#N/A</v>
      </c>
    </row>
    <row r="1292" spans="2:11">
      <c r="B1292" s="63">
        <f>'RAW DATA 2023'!D1285</f>
        <v>0</v>
      </c>
      <c r="C1292" s="63" t="str">
        <f>A1292&amp;B1292</f>
        <v>0</v>
      </c>
      <c r="D1292" s="63" t="e">
        <f>VLOOKUP(C1292,'RAW DATA 2023'!E:BP,63,0)</f>
        <v>#N/A</v>
      </c>
      <c r="E1292" s="63" t="e">
        <f>A1292&amp;D1292</f>
        <v>#N/A</v>
      </c>
      <c r="F1292" s="389" t="e">
        <f>VLOOKUP(C1292,'RAW DATA 2023'!E:BO,57,0)</f>
        <v>#N/A</v>
      </c>
      <c r="G1292" s="63" t="e">
        <f>VLOOKUP(C1292,'RAW DATA 2023'!E:BO,58,0)</f>
        <v>#N/A</v>
      </c>
      <c r="H1292" s="390">
        <f>IFERROR((G1292-F1292)/G1292,0)</f>
        <v>0</v>
      </c>
      <c r="I1292" s="398">
        <f>IF(H1292&lt;0,((0.25-(H1292*(-1)))*$L$7),IF(H1292&gt;0,(H1292*$N$7)+$L$6,0))</f>
        <v>0</v>
      </c>
      <c r="J1292" s="73" t="e">
        <f>VLOOKUP(C1292,'RAW DATA 2023'!E:AC,21,0)</f>
        <v>#N/A</v>
      </c>
      <c r="K1292" s="398" t="e">
        <f>I1292*J1292</f>
        <v>#N/A</v>
      </c>
    </row>
    <row r="1293" spans="2:11">
      <c r="B1293" s="63">
        <f>'RAW DATA 2023'!D1286</f>
        <v>0</v>
      </c>
      <c r="C1293" s="63" t="str">
        <f>A1293&amp;B1293</f>
        <v>0</v>
      </c>
      <c r="D1293" s="63" t="e">
        <f>VLOOKUP(C1293,'RAW DATA 2023'!E:BP,63,0)</f>
        <v>#N/A</v>
      </c>
      <c r="E1293" s="63" t="e">
        <f>A1293&amp;D1293</f>
        <v>#N/A</v>
      </c>
      <c r="F1293" s="389" t="e">
        <f>VLOOKUP(C1293,'RAW DATA 2023'!E:BO,57,0)</f>
        <v>#N/A</v>
      </c>
      <c r="G1293" s="63" t="e">
        <f>VLOOKUP(C1293,'RAW DATA 2023'!E:BO,58,0)</f>
        <v>#N/A</v>
      </c>
      <c r="H1293" s="390">
        <f>IFERROR((G1293-F1293)/G1293,0)</f>
        <v>0</v>
      </c>
      <c r="I1293" s="398">
        <f>IF(H1293&lt;0,((0.25-(H1293*(-1)))*$L$7),IF(H1293&gt;0,(H1293*$N$7)+$L$6,0))</f>
        <v>0</v>
      </c>
      <c r="J1293" s="73" t="e">
        <f>VLOOKUP(C1293,'RAW DATA 2023'!E:AC,21,0)</f>
        <v>#N/A</v>
      </c>
      <c r="K1293" s="398" t="e">
        <f>I1293*J1293</f>
        <v>#N/A</v>
      </c>
    </row>
    <row r="1294" spans="2:11">
      <c r="B1294" s="63">
        <f>'RAW DATA 2023'!D1287</f>
        <v>0</v>
      </c>
      <c r="C1294" s="63" t="str">
        <f>A1294&amp;B1294</f>
        <v>0</v>
      </c>
      <c r="D1294" s="63" t="e">
        <f>VLOOKUP(C1294,'RAW DATA 2023'!E:BP,63,0)</f>
        <v>#N/A</v>
      </c>
      <c r="E1294" s="63" t="e">
        <f>A1294&amp;D1294</f>
        <v>#N/A</v>
      </c>
      <c r="F1294" s="389" t="e">
        <f>VLOOKUP(C1294,'RAW DATA 2023'!E:BO,57,0)</f>
        <v>#N/A</v>
      </c>
      <c r="G1294" s="63" t="e">
        <f>VLOOKUP(C1294,'RAW DATA 2023'!E:BO,58,0)</f>
        <v>#N/A</v>
      </c>
      <c r="H1294" s="390">
        <f>IFERROR((G1294-F1294)/G1294,0)</f>
        <v>0</v>
      </c>
      <c r="I1294" s="398">
        <f>IF(H1294&lt;0,((0.25-(H1294*(-1)))*$L$7),IF(H1294&gt;0,(H1294*$N$7)+$L$6,0))</f>
        <v>0</v>
      </c>
      <c r="J1294" s="73" t="e">
        <f>VLOOKUP(C1294,'RAW DATA 2023'!E:AC,21,0)</f>
        <v>#N/A</v>
      </c>
      <c r="K1294" s="398" t="e">
        <f>I1294*J1294</f>
        <v>#N/A</v>
      </c>
    </row>
    <row r="1295" spans="2:11">
      <c r="B1295" s="63">
        <f>'RAW DATA 2023'!D1288</f>
        <v>0</v>
      </c>
      <c r="C1295" s="63" t="str">
        <f>A1295&amp;B1295</f>
        <v>0</v>
      </c>
      <c r="D1295" s="63" t="e">
        <f>VLOOKUP(C1295,'RAW DATA 2023'!E:BP,63,0)</f>
        <v>#N/A</v>
      </c>
      <c r="E1295" s="63" t="e">
        <f>A1295&amp;D1295</f>
        <v>#N/A</v>
      </c>
      <c r="F1295" s="389" t="e">
        <f>VLOOKUP(C1295,'RAW DATA 2023'!E:BO,57,0)</f>
        <v>#N/A</v>
      </c>
      <c r="G1295" s="63" t="e">
        <f>VLOOKUP(C1295,'RAW DATA 2023'!E:BO,58,0)</f>
        <v>#N/A</v>
      </c>
      <c r="H1295" s="390">
        <f>IFERROR((G1295-F1295)/G1295,0)</f>
        <v>0</v>
      </c>
      <c r="I1295" s="398">
        <f>IF(H1295&lt;0,((0.25-(H1295*(-1)))*$L$7),IF(H1295&gt;0,(H1295*$N$7)+$L$6,0))</f>
        <v>0</v>
      </c>
      <c r="J1295" s="73" t="e">
        <f>VLOOKUP(C1295,'RAW DATA 2023'!E:AC,21,0)</f>
        <v>#N/A</v>
      </c>
      <c r="K1295" s="398" t="e">
        <f>I1295*J1295</f>
        <v>#N/A</v>
      </c>
    </row>
    <row r="1296" spans="2:11">
      <c r="B1296" s="63">
        <f>'RAW DATA 2023'!D1289</f>
        <v>0</v>
      </c>
      <c r="C1296" s="63" t="str">
        <f>A1296&amp;B1296</f>
        <v>0</v>
      </c>
      <c r="D1296" s="63" t="e">
        <f>VLOOKUP(C1296,'RAW DATA 2023'!E:BP,63,0)</f>
        <v>#N/A</v>
      </c>
      <c r="E1296" s="63" t="e">
        <f>A1296&amp;D1296</f>
        <v>#N/A</v>
      </c>
      <c r="F1296" s="389" t="e">
        <f>VLOOKUP(C1296,'RAW DATA 2023'!E:BO,57,0)</f>
        <v>#N/A</v>
      </c>
      <c r="G1296" s="63" t="e">
        <f>VLOOKUP(C1296,'RAW DATA 2023'!E:BO,58,0)</f>
        <v>#N/A</v>
      </c>
      <c r="H1296" s="390">
        <f>IFERROR((G1296-F1296)/G1296,0)</f>
        <v>0</v>
      </c>
      <c r="I1296" s="398">
        <f>IF(H1296&lt;0,((0.25-(H1296*(-1)))*$L$7),IF(H1296&gt;0,(H1296*$N$7)+$L$6,0))</f>
        <v>0</v>
      </c>
      <c r="J1296" s="73" t="e">
        <f>VLOOKUP(C1296,'RAW DATA 2023'!E:AC,21,0)</f>
        <v>#N/A</v>
      </c>
      <c r="K1296" s="398" t="e">
        <f>I1296*J1296</f>
        <v>#N/A</v>
      </c>
    </row>
    <row r="1297" spans="2:11">
      <c r="B1297" s="63">
        <f>'RAW DATA 2023'!D1290</f>
        <v>0</v>
      </c>
      <c r="C1297" s="63" t="str">
        <f>A1297&amp;B1297</f>
        <v>0</v>
      </c>
      <c r="D1297" s="63" t="e">
        <f>VLOOKUP(C1297,'RAW DATA 2023'!E:BP,63,0)</f>
        <v>#N/A</v>
      </c>
      <c r="E1297" s="63" t="e">
        <f>A1297&amp;D1297</f>
        <v>#N/A</v>
      </c>
      <c r="F1297" s="389" t="e">
        <f>VLOOKUP(C1297,'RAW DATA 2023'!E:BO,57,0)</f>
        <v>#N/A</v>
      </c>
      <c r="G1297" s="63" t="e">
        <f>VLOOKUP(C1297,'RAW DATA 2023'!E:BO,58,0)</f>
        <v>#N/A</v>
      </c>
      <c r="H1297" s="390">
        <f>IFERROR((G1297-F1297)/G1297,0)</f>
        <v>0</v>
      </c>
      <c r="I1297" s="398">
        <f>IF(H1297&lt;0,((0.25-(H1297*(-1)))*$L$7),IF(H1297&gt;0,(H1297*$N$7)+$L$6,0))</f>
        <v>0</v>
      </c>
      <c r="J1297" s="73" t="e">
        <f>VLOOKUP(C1297,'RAW DATA 2023'!E:AC,21,0)</f>
        <v>#N/A</v>
      </c>
      <c r="K1297" s="398" t="e">
        <f>I1297*J1297</f>
        <v>#N/A</v>
      </c>
    </row>
  </sheetData>
  <autoFilter ref="A9:K1297" xr:uid="{04AAC427-181D-4D43-996B-006C7627B2E9}">
    <sortState xmlns:xlrd2="http://schemas.microsoft.com/office/spreadsheetml/2017/richdata2" ref="A10:K1297">
      <sortCondition ref="E9:E1297"/>
    </sortState>
  </autoFilter>
  <pageMargins left="0.7" right="0.7" top="0.75" bottom="0.75" header="0.3" footer="0.3"/>
  <pageSetup paperSize="9"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7C631-7AB3-A945-9CFF-9A406ACD04FF}">
  <dimension ref="A1:I5"/>
  <sheetViews>
    <sheetView workbookViewId="0">
      <selection sqref="A1:I5"/>
    </sheetView>
  </sheetViews>
  <sheetFormatPr baseColWidth="10" defaultRowHeight="16"/>
  <cols>
    <col min="2" max="2" width="13.83203125" customWidth="1"/>
    <col min="3" max="3" width="6.83203125" customWidth="1"/>
    <col min="4" max="5" width="10.83203125" style="10"/>
  </cols>
  <sheetData>
    <row r="1" spans="1:9" s="71" customFormat="1" ht="33" customHeight="1">
      <c r="A1" s="204" t="s">
        <v>1</v>
      </c>
      <c r="B1" s="204" t="s">
        <v>3</v>
      </c>
      <c r="C1" s="34" t="s">
        <v>1873</v>
      </c>
      <c r="D1" s="203" t="s">
        <v>59</v>
      </c>
      <c r="E1" s="204" t="s">
        <v>60</v>
      </c>
      <c r="F1" s="205" t="s">
        <v>1836</v>
      </c>
      <c r="G1" s="225" t="s">
        <v>1829</v>
      </c>
      <c r="H1" s="204" t="s">
        <v>23</v>
      </c>
      <c r="I1" s="204" t="s">
        <v>1978</v>
      </c>
    </row>
    <row r="2" spans="1:9" s="63" customFormat="1">
      <c r="A2" s="68" t="s">
        <v>1747</v>
      </c>
      <c r="B2" s="68" t="s">
        <v>1767</v>
      </c>
      <c r="C2" s="68">
        <v>10</v>
      </c>
      <c r="D2" s="271">
        <v>133.25910376960957</v>
      </c>
      <c r="E2" s="68">
        <v>214</v>
      </c>
      <c r="F2" s="272">
        <v>0.3772939076186469</v>
      </c>
      <c r="G2" s="273">
        <v>33.455675072994502</v>
      </c>
      <c r="H2" s="274">
        <v>24.9177</v>
      </c>
      <c r="I2" s="68">
        <v>26</v>
      </c>
    </row>
    <row r="3" spans="1:9" s="63" customFormat="1">
      <c r="A3" s="68" t="s">
        <v>138</v>
      </c>
      <c r="B3" s="68" t="s">
        <v>155</v>
      </c>
      <c r="C3" s="68">
        <v>3</v>
      </c>
      <c r="D3" s="271">
        <v>108.78548480308957</v>
      </c>
      <c r="E3" s="68">
        <v>166</v>
      </c>
      <c r="F3" s="275">
        <v>0.34466575419825557</v>
      </c>
      <c r="G3" s="273">
        <v>31.715506890573629</v>
      </c>
      <c r="H3" s="274">
        <v>24.69219</v>
      </c>
      <c r="I3" s="68">
        <v>52</v>
      </c>
    </row>
    <row r="4" spans="1:9" s="63" customFormat="1">
      <c r="A4" s="68" t="s">
        <v>1600</v>
      </c>
      <c r="B4" s="68" t="s">
        <v>1619</v>
      </c>
      <c r="C4" s="68">
        <v>9</v>
      </c>
      <c r="D4" s="271">
        <v>126.26622759602928</v>
      </c>
      <c r="E4" s="68">
        <v>189</v>
      </c>
      <c r="F4" s="276">
        <v>0.33192472171413079</v>
      </c>
      <c r="G4" s="273">
        <v>31.03598515808698</v>
      </c>
      <c r="H4" s="274">
        <v>18.648479999999999</v>
      </c>
      <c r="I4" s="68">
        <v>35</v>
      </c>
    </row>
    <row r="5" spans="1:9" s="63" customFormat="1">
      <c r="A5" s="68" t="s">
        <v>1660</v>
      </c>
      <c r="B5" s="68" t="s">
        <v>1701</v>
      </c>
      <c r="C5" s="68">
        <v>6</v>
      </c>
      <c r="D5" s="271">
        <v>127.52837604979031</v>
      </c>
      <c r="E5" s="68">
        <v>186</v>
      </c>
      <c r="F5" s="276">
        <v>0.31436356962478329</v>
      </c>
      <c r="G5" s="273">
        <v>30.099390379988442</v>
      </c>
      <c r="H5" s="274">
        <v>27.31617</v>
      </c>
      <c r="I5" s="68">
        <v>37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ABBD9-54C8-B24F-AB3A-02F187DA398F}">
  <dimension ref="E7:H9"/>
  <sheetViews>
    <sheetView workbookViewId="0">
      <selection activeCell="E7" sqref="E7:H9"/>
    </sheetView>
  </sheetViews>
  <sheetFormatPr baseColWidth="10" defaultRowHeight="16"/>
  <cols>
    <col min="5" max="6" width="16.33203125" style="10" customWidth="1"/>
    <col min="7" max="7" width="16.33203125" style="209" customWidth="1"/>
    <col min="8" max="8" width="16.33203125" style="212" customWidth="1"/>
  </cols>
  <sheetData>
    <row r="7" spans="5:8" ht="23" customHeight="1">
      <c r="E7" s="213" t="s">
        <v>1963</v>
      </c>
      <c r="F7" s="213" t="s">
        <v>60</v>
      </c>
      <c r="G7" s="210" t="s">
        <v>1836</v>
      </c>
      <c r="H7" s="214" t="s">
        <v>1829</v>
      </c>
    </row>
    <row r="8" spans="5:8">
      <c r="E8" s="215">
        <v>199.15772123313201</v>
      </c>
      <c r="F8" s="216">
        <v>165</v>
      </c>
      <c r="G8" s="211">
        <v>-0.20701649232201028</v>
      </c>
      <c r="H8" s="217">
        <v>2.2924537428261189</v>
      </c>
    </row>
    <row r="9" spans="5:8">
      <c r="E9" s="215">
        <v>300.97351595040237</v>
      </c>
      <c r="F9" s="216">
        <v>186</v>
      </c>
      <c r="G9" s="211">
        <v>-0.61813718252904504</v>
      </c>
      <c r="H9" s="217">
        <v>-19.633983068215738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92E0-DA82-9346-8986-ADED974424B7}">
  <dimension ref="A1:U1368"/>
  <sheetViews>
    <sheetView topLeftCell="C1" zoomScale="148" zoomScaleNormal="150" workbookViewId="0">
      <selection activeCell="H7" sqref="H7"/>
    </sheetView>
  </sheetViews>
  <sheetFormatPr baseColWidth="10" defaultRowHeight="16"/>
  <cols>
    <col min="1" max="1" width="20.33203125" customWidth="1"/>
    <col min="2" max="2" width="15.33203125" customWidth="1"/>
    <col min="3" max="3" width="20.83203125" customWidth="1"/>
    <col min="4" max="5" width="11.1640625" customWidth="1"/>
    <col min="6" max="6" width="10.6640625" customWidth="1"/>
    <col min="7" max="9" width="15.33203125" style="14" customWidth="1"/>
    <col min="10" max="10" width="18.83203125" style="25" customWidth="1"/>
    <col min="11" max="11" width="15.33203125" customWidth="1"/>
    <col min="12" max="12" width="15.33203125" style="7" customWidth="1"/>
    <col min="13" max="13" width="15.33203125" style="19" customWidth="1"/>
  </cols>
  <sheetData>
    <row r="1" spans="1:21">
      <c r="H1" s="76"/>
    </row>
    <row r="2" spans="1:21" s="48" customFormat="1">
      <c r="D2" s="81" t="s">
        <v>1831</v>
      </c>
      <c r="E2" s="82" t="s">
        <v>1846</v>
      </c>
      <c r="G2" s="48" t="s">
        <v>1847</v>
      </c>
      <c r="J2" s="50" t="s">
        <v>1839</v>
      </c>
      <c r="K2" s="51" t="s">
        <v>1844</v>
      </c>
      <c r="L2" s="51" t="s">
        <v>1845</v>
      </c>
      <c r="P2" s="48" t="s">
        <v>1848</v>
      </c>
    </row>
    <row r="3" spans="1:21" s="48" customFormat="1">
      <c r="C3" s="52"/>
      <c r="D3" s="83" t="s">
        <v>1826</v>
      </c>
      <c r="E3" s="116">
        <v>1</v>
      </c>
      <c r="G3" s="48" t="s">
        <v>1826</v>
      </c>
      <c r="H3" s="53">
        <f>MAX(G10:G846)</f>
        <v>139.11433333333335</v>
      </c>
      <c r="J3" s="48" t="s">
        <v>1840</v>
      </c>
      <c r="K3" s="48">
        <f>COUNTIF(J10:J1297,"&gt;20")</f>
        <v>63</v>
      </c>
      <c r="L3" s="54">
        <f>K3/$K$6</f>
        <v>6.0869565217391307E-2</v>
      </c>
      <c r="P3" s="113" t="s">
        <v>1826</v>
      </c>
      <c r="Q3" s="114">
        <v>0.3</v>
      </c>
    </row>
    <row r="4" spans="1:21" s="48" customFormat="1">
      <c r="C4" s="52"/>
      <c r="D4" s="83" t="s">
        <v>1827</v>
      </c>
      <c r="E4" s="116">
        <v>0.5</v>
      </c>
      <c r="G4" s="48" t="s">
        <v>1827</v>
      </c>
      <c r="H4" s="55">
        <f>MIN(G10:G846)</f>
        <v>0</v>
      </c>
      <c r="J4" s="48" t="s">
        <v>1841</v>
      </c>
      <c r="K4" s="48">
        <f>COUNTIF(J10:J1297,"0")</f>
        <v>0</v>
      </c>
      <c r="L4" s="54">
        <f>K4/$K$6</f>
        <v>0</v>
      </c>
      <c r="P4" s="113" t="s">
        <v>1827</v>
      </c>
      <c r="Q4" s="114">
        <v>0</v>
      </c>
    </row>
    <row r="5" spans="1:21" s="48" customFormat="1">
      <c r="C5" s="52"/>
      <c r="D5" s="83" t="s">
        <v>1833</v>
      </c>
      <c r="E5" s="116">
        <f>E3-E4</f>
        <v>0.5</v>
      </c>
      <c r="G5" s="48" t="s">
        <v>1837</v>
      </c>
      <c r="H5" s="53">
        <f>AVERAGE(G10:G846)</f>
        <v>66.004022675632399</v>
      </c>
      <c r="J5" s="48" t="s">
        <v>1842</v>
      </c>
      <c r="K5" s="48">
        <f>K6-K4-K3</f>
        <v>972</v>
      </c>
      <c r="L5" s="54">
        <f>K5/$K$6</f>
        <v>0.93913043478260871</v>
      </c>
      <c r="P5" s="113" t="s">
        <v>1833</v>
      </c>
      <c r="Q5" s="114">
        <f>Q3-Q4</f>
        <v>0.3</v>
      </c>
    </row>
    <row r="6" spans="1:21" s="48" customFormat="1">
      <c r="C6" s="52"/>
      <c r="D6" s="83" t="s">
        <v>1832</v>
      </c>
      <c r="E6" s="84">
        <v>15</v>
      </c>
      <c r="G6" s="48" t="s">
        <v>1838</v>
      </c>
      <c r="H6" s="53">
        <f>MEDIAN(G10:G846)</f>
        <v>67.299700000000001</v>
      </c>
      <c r="J6" s="48" t="s">
        <v>1843</v>
      </c>
      <c r="K6" s="48">
        <v>1035</v>
      </c>
      <c r="L6" s="54">
        <f>K6/$K$6</f>
        <v>1</v>
      </c>
      <c r="P6" s="113" t="s">
        <v>1832</v>
      </c>
      <c r="Q6" s="114">
        <v>10</v>
      </c>
    </row>
    <row r="7" spans="1:21" s="48" customFormat="1">
      <c r="C7" s="56"/>
      <c r="D7" s="83" t="s">
        <v>1835</v>
      </c>
      <c r="E7" s="117">
        <f>E6/E5</f>
        <v>30</v>
      </c>
      <c r="I7" s="49"/>
      <c r="J7" s="118"/>
      <c r="L7" s="57"/>
      <c r="M7" s="58"/>
      <c r="P7" s="113" t="s">
        <v>1835</v>
      </c>
      <c r="Q7" s="115">
        <f>Q6/Q5</f>
        <v>33.333333333333336</v>
      </c>
    </row>
    <row r="8" spans="1:21" s="48" customFormat="1">
      <c r="G8" s="49"/>
      <c r="H8" s="49"/>
      <c r="I8" s="49"/>
      <c r="J8" s="118"/>
      <c r="L8" s="57"/>
      <c r="M8" s="58"/>
    </row>
    <row r="9" spans="1:21" s="48" customFormat="1" ht="34">
      <c r="A9" s="64" t="str">
        <f>'RAW DATA 2023'!B2</f>
        <v>Farm</v>
      </c>
      <c r="B9" s="64" t="str">
        <f>'RAW DATA 2023'!D2</f>
        <v>Pond</v>
      </c>
      <c r="C9" s="71" t="s">
        <v>1903</v>
      </c>
      <c r="D9" s="76" t="s">
        <v>1873</v>
      </c>
      <c r="E9" s="125" t="s">
        <v>2622</v>
      </c>
      <c r="F9" s="71" t="s">
        <v>1908</v>
      </c>
      <c r="G9" s="77" t="str">
        <f>'RAW DATA 2023'!AB2</f>
        <v>%SR</v>
      </c>
      <c r="H9" s="77" t="s">
        <v>1909</v>
      </c>
      <c r="I9" s="77" t="s">
        <v>1910</v>
      </c>
      <c r="J9" s="119" t="s">
        <v>1829</v>
      </c>
      <c r="K9" s="1" t="s">
        <v>14</v>
      </c>
      <c r="L9" s="51" t="s">
        <v>2623</v>
      </c>
      <c r="Q9" s="48" t="s">
        <v>1867</v>
      </c>
    </row>
    <row r="10" spans="1:21">
      <c r="A10" s="64" t="str">
        <f>'RAW DATA 2023'!B3</f>
        <v>Lamae</v>
      </c>
      <c r="B10" s="64" t="str">
        <f>'RAW DATA 2023'!D3</f>
        <v>A1-013-0016</v>
      </c>
      <c r="C10" s="63" t="str">
        <f t="shared" ref="C10:C73" si="0">A10&amp;B10</f>
        <v>LamaeA1-013-0016</v>
      </c>
      <c r="D10" s="63">
        <f>VLOOKUP(C10,'RAW DATA 2023'!E:BP,63,0)</f>
        <v>9</v>
      </c>
      <c r="E10" s="63" t="str">
        <f t="shared" ref="E10:E73" si="1">A10&amp;D10</f>
        <v>Lamae9</v>
      </c>
      <c r="F10" s="79">
        <f>ROUND(VLOOKUP(C10,'RAW DATA 2023'!E:BO,23,0),0)</f>
        <v>33</v>
      </c>
      <c r="G10" s="79">
        <f>VLOOKUP(C10,'RAW DATA 2023'!E:BO,24,0)</f>
        <v>52.578153846153839</v>
      </c>
      <c r="H10" s="79">
        <f>IFERROR(VLOOKUP(F10,STD!B:G,2,FALSE),"")</f>
        <v>79</v>
      </c>
      <c r="I10" s="100">
        <f>IFERROR(G10/H10,0)</f>
        <v>0.66554625121713717</v>
      </c>
      <c r="J10" s="74">
        <f>(I10-$E$4)*$E$7</f>
        <v>4.966387536514115</v>
      </c>
      <c r="K10">
        <f>VLOOKUP(C10,'RAW DATA 2023'!E:BO,12,0)</f>
        <v>1.3</v>
      </c>
      <c r="L10" s="268">
        <f>J10*K10</f>
        <v>6.4563037974683501</v>
      </c>
      <c r="M10"/>
      <c r="Q10" s="17" t="s">
        <v>1868</v>
      </c>
    </row>
    <row r="11" spans="1:21">
      <c r="A11" s="64" t="str">
        <f>'RAW DATA 2023'!B4</f>
        <v>Lamae</v>
      </c>
      <c r="B11" s="64" t="str">
        <f>'RAW DATA 2023'!D4</f>
        <v>A1-012-0013</v>
      </c>
      <c r="C11" s="63" t="str">
        <f t="shared" si="0"/>
        <v>LamaeA1-012-0013</v>
      </c>
      <c r="D11" s="63">
        <f>VLOOKUP(C11,'RAW DATA 2023'!E:BP,63,0)</f>
        <v>6</v>
      </c>
      <c r="E11" s="63" t="str">
        <f t="shared" si="1"/>
        <v>Lamae6</v>
      </c>
      <c r="F11" s="79">
        <f>ROUND(VLOOKUP(C11,'RAW DATA 2023'!E:BO,23,0),0)</f>
        <v>36</v>
      </c>
      <c r="G11" s="79">
        <f>VLOOKUP(C11,'RAW DATA 2023'!E:BO,24,0)</f>
        <v>87.766666666666666</v>
      </c>
      <c r="H11" s="79">
        <f>IFERROR(VLOOKUP(F11,STD!B:G,2,FALSE),"")</f>
        <v>81</v>
      </c>
      <c r="I11" s="100">
        <f t="shared" ref="I11:I74" si="2">IFERROR(G11/H11,0)</f>
        <v>1.0835390946502057</v>
      </c>
      <c r="J11" s="74">
        <f t="shared" ref="J11:J74" si="3">(I11-$E$4)*$E$7</f>
        <v>17.506172839506171</v>
      </c>
      <c r="K11">
        <f>VLOOKUP(C11,'RAW DATA 2023'!E:BO,12,0)</f>
        <v>1.5</v>
      </c>
      <c r="L11" s="268">
        <f t="shared" ref="L11:L74" si="4">J11*K11</f>
        <v>26.259259259259256</v>
      </c>
      <c r="M11"/>
      <c r="P11" s="10"/>
      <c r="Q11" s="17" t="s">
        <v>1869</v>
      </c>
      <c r="R11" s="10"/>
      <c r="S11" s="10"/>
      <c r="T11" s="10"/>
      <c r="U11" s="10"/>
    </row>
    <row r="12" spans="1:21">
      <c r="A12" s="64" t="str">
        <f>'RAW DATA 2023'!B5</f>
        <v>Lamae</v>
      </c>
      <c r="B12" s="64" t="str">
        <f>'RAW DATA 2023'!D5</f>
        <v>A1-011-0023</v>
      </c>
      <c r="C12" s="63" t="str">
        <f t="shared" si="0"/>
        <v>LamaeA1-011-0023</v>
      </c>
      <c r="D12" s="63">
        <f>VLOOKUP(C12,'RAW DATA 2023'!E:BP,63,0)</f>
        <v>9</v>
      </c>
      <c r="E12" s="63" t="str">
        <f t="shared" si="1"/>
        <v>Lamae9</v>
      </c>
      <c r="F12" s="79">
        <f>ROUND(VLOOKUP(C12,'RAW DATA 2023'!E:BO,23,0),0)</f>
        <v>35</v>
      </c>
      <c r="G12" s="79">
        <f>VLOOKUP(C12,'RAW DATA 2023'!E:BO,24,0)</f>
        <v>56.451384615384612</v>
      </c>
      <c r="H12" s="79">
        <f>IFERROR(VLOOKUP(F12,STD!B:G,2,FALSE),"")</f>
        <v>80</v>
      </c>
      <c r="I12" s="100">
        <f t="shared" si="2"/>
        <v>0.70564230769230762</v>
      </c>
      <c r="J12" s="74">
        <f t="shared" si="3"/>
        <v>6.1692692307692285</v>
      </c>
      <c r="K12">
        <f>VLOOKUP(C12,'RAW DATA 2023'!E:BO,12,0)</f>
        <v>1.3</v>
      </c>
      <c r="L12" s="268">
        <f t="shared" si="4"/>
        <v>8.0200499999999977</v>
      </c>
      <c r="M12"/>
      <c r="R12" s="10"/>
      <c r="S12" s="10"/>
      <c r="T12" s="10"/>
      <c r="U12" s="10"/>
    </row>
    <row r="13" spans="1:21">
      <c r="A13" s="64" t="str">
        <f>'RAW DATA 2023'!B6</f>
        <v>Lamae</v>
      </c>
      <c r="B13" s="64" t="str">
        <f>'RAW DATA 2023'!D6</f>
        <v>A1-012-0014</v>
      </c>
      <c r="C13" s="63" t="str">
        <f t="shared" si="0"/>
        <v>LamaeA1-012-0014</v>
      </c>
      <c r="D13" s="63">
        <f>VLOOKUP(C13,'RAW DATA 2023'!E:BP,63,0)</f>
        <v>9</v>
      </c>
      <c r="E13" s="63" t="str">
        <f t="shared" si="1"/>
        <v>Lamae9</v>
      </c>
      <c r="F13" s="79">
        <f>ROUND(VLOOKUP(C13,'RAW DATA 2023'!E:BO,23,0),0)</f>
        <v>38</v>
      </c>
      <c r="G13" s="79">
        <f>VLOOKUP(C13,'RAW DATA 2023'!E:BO,24,0)</f>
        <v>91.581461538461539</v>
      </c>
      <c r="H13" s="79">
        <f>IFERROR(VLOOKUP(F13,STD!B:G,2,FALSE),"")</f>
        <v>81</v>
      </c>
      <c r="I13" s="100">
        <f t="shared" si="2"/>
        <v>1.1306353276353276</v>
      </c>
      <c r="J13" s="74">
        <f t="shared" si="3"/>
        <v>18.919059829059826</v>
      </c>
      <c r="K13">
        <f>VLOOKUP(C13,'RAW DATA 2023'!E:BO,12,0)</f>
        <v>1.3</v>
      </c>
      <c r="L13" s="268">
        <f t="shared" si="4"/>
        <v>24.594777777777775</v>
      </c>
      <c r="M13"/>
      <c r="R13" s="10"/>
      <c r="S13" s="10"/>
      <c r="T13" s="10"/>
      <c r="U13" s="10"/>
    </row>
    <row r="14" spans="1:21">
      <c r="A14" s="64" t="str">
        <f>'RAW DATA 2023'!B7</f>
        <v>Lamae</v>
      </c>
      <c r="B14" s="64" t="str">
        <f>'RAW DATA 2023'!D7</f>
        <v>B1-018-0013</v>
      </c>
      <c r="C14" s="63" t="str">
        <f t="shared" si="0"/>
        <v>LamaeB1-018-0013</v>
      </c>
      <c r="D14" s="63">
        <f>VLOOKUP(C14,'RAW DATA 2023'!E:BP,63,0)</f>
        <v>7</v>
      </c>
      <c r="E14" s="63" t="str">
        <f t="shared" si="1"/>
        <v>Lamae7</v>
      </c>
      <c r="F14" s="79">
        <f>ROUND(VLOOKUP(C14,'RAW DATA 2023'!E:BO,23,0),0)</f>
        <v>42</v>
      </c>
      <c r="G14" s="79">
        <f>VLOOKUP(C14,'RAW DATA 2023'!E:BO,24,0)</f>
        <v>71.850400000000008</v>
      </c>
      <c r="H14" s="79">
        <f>IFERROR(VLOOKUP(F14,STD!B:G,2,FALSE),"")</f>
        <v>82</v>
      </c>
      <c r="I14" s="100">
        <f t="shared" si="2"/>
        <v>0.87622439024390253</v>
      </c>
      <c r="J14" s="74">
        <f t="shared" si="3"/>
        <v>11.286731707317076</v>
      </c>
      <c r="K14">
        <f>VLOOKUP(C14,'RAW DATA 2023'!E:BO,12,0)</f>
        <v>1.5</v>
      </c>
      <c r="L14" s="268">
        <f t="shared" si="4"/>
        <v>16.930097560975614</v>
      </c>
      <c r="M14"/>
    </row>
    <row r="15" spans="1:21">
      <c r="A15" s="64" t="str">
        <f>'RAW DATA 2023'!B8</f>
        <v>Lamae</v>
      </c>
      <c r="B15" s="64" t="str">
        <f>'RAW DATA 2023'!D8</f>
        <v>A1-007-0045</v>
      </c>
      <c r="C15" s="63" t="str">
        <f t="shared" si="0"/>
        <v>LamaeA1-007-0045</v>
      </c>
      <c r="D15" s="63">
        <f>VLOOKUP(C15,'RAW DATA 2023'!E:BP,63,0)</f>
        <v>7</v>
      </c>
      <c r="E15" s="63" t="str">
        <f t="shared" si="1"/>
        <v>Lamae7</v>
      </c>
      <c r="F15" s="79">
        <f>ROUND(VLOOKUP(C15,'RAW DATA 2023'!E:BO,23,0),0)</f>
        <v>26</v>
      </c>
      <c r="G15" s="79">
        <f>VLOOKUP(C15,'RAW DATA 2023'!E:BO,24,0)</f>
        <v>32.507111111111108</v>
      </c>
      <c r="H15" s="79">
        <f>IFERROR(VLOOKUP(F15,STD!B:G,2,FALSE),"")</f>
        <v>75</v>
      </c>
      <c r="I15" s="100">
        <f t="shared" si="2"/>
        <v>0.43342814814814812</v>
      </c>
      <c r="J15" s="74">
        <f t="shared" si="3"/>
        <v>-1.9971555555555565</v>
      </c>
      <c r="K15">
        <f>VLOOKUP(C15,'RAW DATA 2023'!E:BO,12,0)</f>
        <v>1.8</v>
      </c>
      <c r="L15" s="268">
        <f t="shared" si="4"/>
        <v>-3.5948800000000016</v>
      </c>
      <c r="M15"/>
    </row>
    <row r="16" spans="1:21">
      <c r="A16" s="64" t="str">
        <f>'RAW DATA 2023'!B9</f>
        <v>Lamae</v>
      </c>
      <c r="B16" s="64" t="str">
        <f>'RAW DATA 2023'!D9</f>
        <v>B1-021-0012</v>
      </c>
      <c r="C16" s="63" t="str">
        <f t="shared" si="0"/>
        <v>LamaeB1-021-0012</v>
      </c>
      <c r="D16" s="63">
        <f>VLOOKUP(C16,'RAW DATA 2023'!E:BP,63,0)</f>
        <v>2</v>
      </c>
      <c r="E16" s="63" t="str">
        <f t="shared" si="1"/>
        <v>Lamae2</v>
      </c>
      <c r="F16" s="79">
        <f>ROUND(VLOOKUP(C16,'RAW DATA 2023'!E:BO,23,0),0)</f>
        <v>26</v>
      </c>
      <c r="G16" s="79">
        <f>VLOOKUP(C16,'RAW DATA 2023'!E:BO,24,0)</f>
        <v>20.359966666666669</v>
      </c>
      <c r="H16" s="79">
        <f>IFERROR(VLOOKUP(F16,STD!B:G,2,FALSE),"")</f>
        <v>75</v>
      </c>
      <c r="I16" s="100">
        <f t="shared" si="2"/>
        <v>0.27146622222222222</v>
      </c>
      <c r="J16" s="74">
        <f t="shared" si="3"/>
        <v>-6.8560133333333333</v>
      </c>
      <c r="K16">
        <f>VLOOKUP(C16,'RAW DATA 2023'!E:BO,12,0)</f>
        <v>3</v>
      </c>
      <c r="L16" s="268">
        <f t="shared" si="4"/>
        <v>-20.56804</v>
      </c>
      <c r="M16"/>
    </row>
    <row r="17" spans="1:13">
      <c r="A17" s="64" t="str">
        <f>'RAW DATA 2023'!B10</f>
        <v>Lamae</v>
      </c>
      <c r="B17" s="64" t="str">
        <f>'RAW DATA 2023'!D10</f>
        <v>A1-007-0046</v>
      </c>
      <c r="C17" s="63" t="str">
        <f t="shared" si="0"/>
        <v>LamaeA1-007-0046</v>
      </c>
      <c r="D17" s="63">
        <f>VLOOKUP(C17,'RAW DATA 2023'!E:BP,63,0)</f>
        <v>11</v>
      </c>
      <c r="E17" s="63" t="str">
        <f t="shared" si="1"/>
        <v>Lamae11</v>
      </c>
      <c r="F17" s="79">
        <f>ROUND(VLOOKUP(C17,'RAW DATA 2023'!E:BO,23,0),0)</f>
        <v>43</v>
      </c>
      <c r="G17" s="79">
        <f>VLOOKUP(C17,'RAW DATA 2023'!E:BO,24,0)</f>
        <v>76.580559999999991</v>
      </c>
      <c r="H17" s="79">
        <f>IFERROR(VLOOKUP(F17,STD!B:G,2,FALSE),"")</f>
        <v>83</v>
      </c>
      <c r="I17" s="100">
        <f t="shared" si="2"/>
        <v>0.92265734939759025</v>
      </c>
      <c r="J17" s="74">
        <f t="shared" si="3"/>
        <v>12.679720481927708</v>
      </c>
      <c r="K17">
        <f>VLOOKUP(C17,'RAW DATA 2023'!E:BO,12,0)</f>
        <v>2.5</v>
      </c>
      <c r="L17" s="268">
        <f t="shared" si="4"/>
        <v>31.699301204819271</v>
      </c>
      <c r="M17"/>
    </row>
    <row r="18" spans="1:13">
      <c r="A18" s="64" t="str">
        <f>'RAW DATA 2023'!B11</f>
        <v>Lamae</v>
      </c>
      <c r="B18" s="64" t="str">
        <f>'RAW DATA 2023'!D11</f>
        <v>B1-022-0011</v>
      </c>
      <c r="C18" s="63" t="str">
        <f t="shared" si="0"/>
        <v>LamaeB1-022-0011</v>
      </c>
      <c r="D18" s="63">
        <f>VLOOKUP(C18,'RAW DATA 2023'!E:BP,63,0)</f>
        <v>2</v>
      </c>
      <c r="E18" s="63" t="str">
        <f t="shared" si="1"/>
        <v>Lamae2</v>
      </c>
      <c r="F18" s="79">
        <f>ROUND(VLOOKUP(C18,'RAW DATA 2023'!E:BO,23,0),0)</f>
        <v>27</v>
      </c>
      <c r="G18" s="79">
        <f>VLOOKUP(C18,'RAW DATA 2023'!E:BO,24,0)</f>
        <v>21.764566666666667</v>
      </c>
      <c r="H18" s="79">
        <f>IFERROR(VLOOKUP(F18,STD!B:G,2,FALSE),"")</f>
        <v>75</v>
      </c>
      <c r="I18" s="100">
        <f t="shared" si="2"/>
        <v>0.29019422222222224</v>
      </c>
      <c r="J18" s="74">
        <f t="shared" si="3"/>
        <v>-6.2941733333333332</v>
      </c>
      <c r="K18">
        <f>VLOOKUP(C18,'RAW DATA 2023'!E:BO,12,0)</f>
        <v>3</v>
      </c>
      <c r="L18" s="268">
        <f t="shared" si="4"/>
        <v>-18.88252</v>
      </c>
      <c r="M18"/>
    </row>
    <row r="19" spans="1:13">
      <c r="A19" s="64" t="str">
        <f>'RAW DATA 2023'!B12</f>
        <v>Lamae</v>
      </c>
      <c r="B19" s="64" t="str">
        <f>'RAW DATA 2023'!D12</f>
        <v>B1-021-0014</v>
      </c>
      <c r="C19" s="63" t="str">
        <f t="shared" si="0"/>
        <v>LamaeB1-021-0014</v>
      </c>
      <c r="D19" s="63">
        <f>VLOOKUP(C19,'RAW DATA 2023'!E:BP,63,0)</f>
        <v>12</v>
      </c>
      <c r="E19" s="63" t="str">
        <f t="shared" si="1"/>
        <v>Lamae12</v>
      </c>
      <c r="F19" s="79">
        <f>ROUND(VLOOKUP(C19,'RAW DATA 2023'!E:BO,23,0),0)</f>
        <v>46</v>
      </c>
      <c r="G19" s="79">
        <f>VLOOKUP(C19,'RAW DATA 2023'!E:BO,24,0)</f>
        <v>84.989948717948721</v>
      </c>
      <c r="H19" s="79">
        <f>IFERROR(VLOOKUP(F19,STD!B:G,2,FALSE),"")</f>
        <v>84</v>
      </c>
      <c r="I19" s="100">
        <f t="shared" si="2"/>
        <v>1.0117851037851038</v>
      </c>
      <c r="J19" s="74">
        <f t="shared" si="3"/>
        <v>15.353553113553113</v>
      </c>
      <c r="K19">
        <f>VLOOKUP(C19,'RAW DATA 2023'!E:BO,12,0)</f>
        <v>1.95</v>
      </c>
      <c r="L19" s="268">
        <f t="shared" si="4"/>
        <v>29.939428571428572</v>
      </c>
      <c r="M19"/>
    </row>
    <row r="20" spans="1:13">
      <c r="A20" s="64" t="str">
        <f>'RAW DATA 2023'!B13</f>
        <v>Lamae</v>
      </c>
      <c r="B20" s="64" t="str">
        <f>'RAW DATA 2023'!D13</f>
        <v>B1-021-0013</v>
      </c>
      <c r="C20" s="63" t="str">
        <f t="shared" si="0"/>
        <v>LamaeB1-021-0013</v>
      </c>
      <c r="D20" s="63">
        <f>VLOOKUP(C20,'RAW DATA 2023'!E:BP,63,0)</f>
        <v>8</v>
      </c>
      <c r="E20" s="63" t="str">
        <f t="shared" si="1"/>
        <v>Lamae8</v>
      </c>
      <c r="F20" s="79">
        <f>ROUND(VLOOKUP(C20,'RAW DATA 2023'!E:BO,23,0),0)</f>
        <v>30</v>
      </c>
      <c r="G20" s="79">
        <f>VLOOKUP(C20,'RAW DATA 2023'!E:BO,24,0)</f>
        <v>71.624769230769232</v>
      </c>
      <c r="H20" s="79">
        <f>IFERROR(VLOOKUP(F20,STD!B:G,2,FALSE),"")</f>
        <v>76</v>
      </c>
      <c r="I20" s="100">
        <f t="shared" si="2"/>
        <v>0.94243117408906885</v>
      </c>
      <c r="J20" s="74">
        <f t="shared" si="3"/>
        <v>13.272935222672066</v>
      </c>
      <c r="K20">
        <f>VLOOKUP(C20,'RAW DATA 2023'!E:BO,12,0)</f>
        <v>1.95</v>
      </c>
      <c r="L20" s="268">
        <f t="shared" si="4"/>
        <v>25.88222368421053</v>
      </c>
      <c r="M20"/>
    </row>
    <row r="21" spans="1:13">
      <c r="A21" s="64" t="str">
        <f>'RAW DATA 2023'!B14</f>
        <v>Lamae</v>
      </c>
      <c r="B21" s="64" t="str">
        <f>'RAW DATA 2023'!D14</f>
        <v>B1-018-0014</v>
      </c>
      <c r="C21" s="63" t="str">
        <f t="shared" si="0"/>
        <v>LamaeB1-018-0014</v>
      </c>
      <c r="D21" s="63">
        <f>VLOOKUP(C21,'RAW DATA 2023'!E:BP,63,0)</f>
        <v>12</v>
      </c>
      <c r="E21" s="63" t="str">
        <f t="shared" si="1"/>
        <v>Lamae12</v>
      </c>
      <c r="F21" s="79">
        <f>ROUND(VLOOKUP(C21,'RAW DATA 2023'!E:BO,23,0),0)</f>
        <v>42</v>
      </c>
      <c r="G21" s="79">
        <f>VLOOKUP(C21,'RAW DATA 2023'!E:BO,24,0)</f>
        <v>76.370276923076915</v>
      </c>
      <c r="H21" s="79">
        <f>IFERROR(VLOOKUP(F21,STD!B:G,2,FALSE),"")</f>
        <v>82</v>
      </c>
      <c r="I21" s="100">
        <f t="shared" si="2"/>
        <v>0.93134484052532818</v>
      </c>
      <c r="J21" s="74">
        <f t="shared" si="3"/>
        <v>12.940345215759844</v>
      </c>
      <c r="K21">
        <f>VLOOKUP(C21,'RAW DATA 2023'!E:BO,12,0)</f>
        <v>1.625</v>
      </c>
      <c r="L21" s="268">
        <f t="shared" si="4"/>
        <v>21.028060975609748</v>
      </c>
      <c r="M21"/>
    </row>
    <row r="22" spans="1:13">
      <c r="A22" s="64" t="str">
        <f>'RAW DATA 2023'!B15</f>
        <v>Lamae</v>
      </c>
      <c r="B22" s="64" t="str">
        <f>'RAW DATA 2023'!D15</f>
        <v>B1-022-0013</v>
      </c>
      <c r="C22" s="63" t="str">
        <f t="shared" si="0"/>
        <v>LamaeB1-022-0013</v>
      </c>
      <c r="D22" s="63">
        <f>VLOOKUP(C22,'RAW DATA 2023'!E:BP,63,0)</f>
        <v>12</v>
      </c>
      <c r="E22" s="63" t="str">
        <f t="shared" si="1"/>
        <v>Lamae12</v>
      </c>
      <c r="F22" s="79">
        <f>ROUND(VLOOKUP(C22,'RAW DATA 2023'!E:BO,23,0),0)</f>
        <v>50</v>
      </c>
      <c r="G22" s="79">
        <f>VLOOKUP(C22,'RAW DATA 2023'!E:BO,24,0)</f>
        <v>65.431794871794864</v>
      </c>
      <c r="H22" s="79">
        <f>IFERROR(VLOOKUP(F22,STD!B:G,2,FALSE),"")</f>
        <v>85</v>
      </c>
      <c r="I22" s="100">
        <f t="shared" si="2"/>
        <v>0.76978582202111601</v>
      </c>
      <c r="J22" s="74">
        <f t="shared" si="3"/>
        <v>8.0935746606334806</v>
      </c>
      <c r="K22">
        <f>VLOOKUP(C22,'RAW DATA 2023'!E:BO,12,0)</f>
        <v>1.95</v>
      </c>
      <c r="L22" s="268">
        <f t="shared" si="4"/>
        <v>15.782470588235286</v>
      </c>
      <c r="M22"/>
    </row>
    <row r="23" spans="1:13">
      <c r="A23" s="64" t="str">
        <f>'RAW DATA 2023'!B16</f>
        <v>Lamae</v>
      </c>
      <c r="B23" s="64" t="str">
        <f>'RAW DATA 2023'!D16</f>
        <v>B1-018-0012</v>
      </c>
      <c r="C23" s="63" t="str">
        <f t="shared" si="0"/>
        <v>LamaeB1-018-0012</v>
      </c>
      <c r="D23" s="63">
        <f>VLOOKUP(C23,'RAW DATA 2023'!E:BP,63,0)</f>
        <v>3</v>
      </c>
      <c r="E23" s="63" t="str">
        <f t="shared" si="1"/>
        <v>Lamae3</v>
      </c>
      <c r="F23" s="79">
        <f>ROUND(VLOOKUP(C23,'RAW DATA 2023'!E:BO,23,0),0)</f>
        <v>33</v>
      </c>
      <c r="G23" s="79">
        <f>VLOOKUP(C23,'RAW DATA 2023'!E:BO,24,0)</f>
        <v>35.95153296497994</v>
      </c>
      <c r="H23" s="79">
        <f>IFERROR(VLOOKUP(F23,STD!B:G,2,FALSE),"")</f>
        <v>79</v>
      </c>
      <c r="I23" s="100">
        <f t="shared" si="2"/>
        <v>0.45508269575923976</v>
      </c>
      <c r="J23" s="74">
        <f t="shared" si="3"/>
        <v>-1.3475191272228071</v>
      </c>
      <c r="K23">
        <f>VLOOKUP(C23,'RAW DATA 2023'!E:BO,12,0)</f>
        <v>3.1205539999999998</v>
      </c>
      <c r="L23" s="268">
        <f t="shared" si="4"/>
        <v>-4.2050062025316395</v>
      </c>
      <c r="M23"/>
    </row>
    <row r="24" spans="1:13">
      <c r="A24" s="64" t="str">
        <f>'RAW DATA 2023'!B17</f>
        <v>Lamae</v>
      </c>
      <c r="B24" s="64" t="str">
        <f>'RAW DATA 2023'!D17</f>
        <v>A1-013-0015</v>
      </c>
      <c r="C24" s="63" t="str">
        <f t="shared" si="0"/>
        <v>LamaeA1-013-0015</v>
      </c>
      <c r="D24" s="63">
        <f>VLOOKUP(C24,'RAW DATA 2023'!E:BP,63,0)</f>
        <v>5</v>
      </c>
      <c r="E24" s="63" t="str">
        <f t="shared" si="1"/>
        <v>Lamae5</v>
      </c>
      <c r="F24" s="79">
        <f>ROUND(VLOOKUP(C24,'RAW DATA 2023'!E:BO,23,0),0)</f>
        <v>39</v>
      </c>
      <c r="G24" s="79">
        <f>VLOOKUP(C24,'RAW DATA 2023'!E:BO,24,0)</f>
        <v>69.780050000000003</v>
      </c>
      <c r="H24" s="79">
        <f>IFERROR(VLOOKUP(F24,STD!B:G,2,FALSE),"")</f>
        <v>82</v>
      </c>
      <c r="I24" s="100">
        <f t="shared" si="2"/>
        <v>0.85097621951219515</v>
      </c>
      <c r="J24" s="74">
        <f t="shared" si="3"/>
        <v>10.529286585365854</v>
      </c>
      <c r="K24">
        <f>VLOOKUP(C24,'RAW DATA 2023'!E:BO,12,0)</f>
        <v>2</v>
      </c>
      <c r="L24" s="268">
        <f t="shared" si="4"/>
        <v>21.058573170731709</v>
      </c>
      <c r="M24"/>
    </row>
    <row r="25" spans="1:13">
      <c r="A25" s="64" t="str">
        <f>'RAW DATA 2023'!B18</f>
        <v>Lamae</v>
      </c>
      <c r="B25" s="64" t="str">
        <f>'RAW DATA 2023'!D18</f>
        <v>A1-009-0021</v>
      </c>
      <c r="C25" s="63" t="str">
        <f t="shared" si="0"/>
        <v>LamaeA1-009-0021</v>
      </c>
      <c r="D25" s="63">
        <f>VLOOKUP(C25,'RAW DATA 2023'!E:BP,63,0)</f>
        <v>12</v>
      </c>
      <c r="E25" s="63" t="str">
        <f t="shared" si="1"/>
        <v>Lamae12</v>
      </c>
      <c r="F25" s="79">
        <f>ROUND(VLOOKUP(C25,'RAW DATA 2023'!E:BO,23,0),0)</f>
        <v>43</v>
      </c>
      <c r="G25" s="79">
        <f>VLOOKUP(C25,'RAW DATA 2023'!E:BO,24,0)</f>
        <v>82.010811895953424</v>
      </c>
      <c r="H25" s="79">
        <f>IFERROR(VLOOKUP(F25,STD!B:G,2,FALSE),"")</f>
        <v>83</v>
      </c>
      <c r="I25" s="100">
        <f t="shared" si="2"/>
        <v>0.98808207103558343</v>
      </c>
      <c r="J25" s="74">
        <f t="shared" si="3"/>
        <v>14.642462131067504</v>
      </c>
      <c r="K25">
        <f>VLOOKUP(C25,'RAW DATA 2023'!E:BO,12,0)</f>
        <v>1.39476</v>
      </c>
      <c r="L25" s="268">
        <f t="shared" si="4"/>
        <v>20.422720481927712</v>
      </c>
      <c r="M25"/>
    </row>
    <row r="26" spans="1:13">
      <c r="A26" s="64" t="str">
        <f>'RAW DATA 2023'!B19</f>
        <v>Lamae</v>
      </c>
      <c r="B26" s="64" t="str">
        <f>'RAW DATA 2023'!D19</f>
        <v>B1-022-0012</v>
      </c>
      <c r="C26" s="63" t="str">
        <f t="shared" si="0"/>
        <v>LamaeB1-022-0012</v>
      </c>
      <c r="D26" s="63">
        <f>VLOOKUP(C26,'RAW DATA 2023'!E:BP,63,0)</f>
        <v>9</v>
      </c>
      <c r="E26" s="63" t="str">
        <f t="shared" si="1"/>
        <v>Lamae9</v>
      </c>
      <c r="F26" s="79">
        <f>ROUND(VLOOKUP(C26,'RAW DATA 2023'!E:BO,23,0),0)</f>
        <v>36</v>
      </c>
      <c r="G26" s="79">
        <f>VLOOKUP(C26,'RAW DATA 2023'!E:BO,24,0)</f>
        <v>80.74682051282052</v>
      </c>
      <c r="H26" s="79">
        <f>IFERROR(VLOOKUP(F26,STD!B:G,2,FALSE),"")</f>
        <v>81</v>
      </c>
      <c r="I26" s="100">
        <f t="shared" si="2"/>
        <v>0.9968743273187719</v>
      </c>
      <c r="J26" s="74">
        <f t="shared" si="3"/>
        <v>14.906229819563157</v>
      </c>
      <c r="K26">
        <f>VLOOKUP(C26,'RAW DATA 2023'!E:BO,12,0)</f>
        <v>1.95</v>
      </c>
      <c r="L26" s="268">
        <f t="shared" si="4"/>
        <v>29.067148148148156</v>
      </c>
      <c r="M26"/>
    </row>
    <row r="27" spans="1:13">
      <c r="A27" s="64" t="str">
        <f>'RAW DATA 2023'!B20</f>
        <v>Lamae</v>
      </c>
      <c r="B27" s="64" t="str">
        <f>'RAW DATA 2023'!D20</f>
        <v>A1-011-0022</v>
      </c>
      <c r="C27" s="63" t="str">
        <f t="shared" si="0"/>
        <v>LamaeA1-011-0022</v>
      </c>
      <c r="D27" s="63">
        <f>VLOOKUP(C27,'RAW DATA 2023'!E:BP,63,0)</f>
        <v>6</v>
      </c>
      <c r="E27" s="63" t="str">
        <f t="shared" si="1"/>
        <v>Lamae6</v>
      </c>
      <c r="F27" s="79">
        <f>ROUND(VLOOKUP(C27,'RAW DATA 2023'!E:BO,23,0),0)</f>
        <v>32</v>
      </c>
      <c r="G27" s="79">
        <f>VLOOKUP(C27,'RAW DATA 2023'!E:BO,24,0)</f>
        <v>36.724400000000003</v>
      </c>
      <c r="H27" s="79">
        <f>IFERROR(VLOOKUP(F27,STD!B:G,2,FALSE),"")</f>
        <v>77</v>
      </c>
      <c r="I27" s="100">
        <f t="shared" si="2"/>
        <v>0.47694025974025978</v>
      </c>
      <c r="J27" s="74">
        <f t="shared" si="3"/>
        <v>-0.69179220779220674</v>
      </c>
      <c r="K27">
        <f>VLOOKUP(C27,'RAW DATA 2023'!E:BO,12,0)</f>
        <v>2.5</v>
      </c>
      <c r="L27" s="268">
        <f t="shared" si="4"/>
        <v>-1.729480519480517</v>
      </c>
      <c r="M27"/>
    </row>
    <row r="28" spans="1:13">
      <c r="A28" s="64" t="str">
        <f>'RAW DATA 2023'!B21</f>
        <v>Lamae</v>
      </c>
      <c r="B28" s="64" t="str">
        <f>'RAW DATA 2023'!D21</f>
        <v>A1-010-0023</v>
      </c>
      <c r="C28" s="63" t="str">
        <f t="shared" si="0"/>
        <v>LamaeA1-010-0023</v>
      </c>
      <c r="D28" s="63">
        <f>VLOOKUP(C28,'RAW DATA 2023'!E:BP,63,0)</f>
        <v>12</v>
      </c>
      <c r="E28" s="63" t="str">
        <f t="shared" si="1"/>
        <v>Lamae12</v>
      </c>
      <c r="F28" s="79">
        <f>ROUND(VLOOKUP(C28,'RAW DATA 2023'!E:BO,23,0),0)</f>
        <v>45</v>
      </c>
      <c r="G28" s="79">
        <f>VLOOKUP(C28,'RAW DATA 2023'!E:BO,24,0)</f>
        <v>80.673723076923082</v>
      </c>
      <c r="H28" s="79">
        <f>IFERROR(VLOOKUP(F28,STD!B:G,2,FALSE),"")</f>
        <v>83</v>
      </c>
      <c r="I28" s="100">
        <f t="shared" si="2"/>
        <v>0.97197256719184433</v>
      </c>
      <c r="J28" s="74">
        <f t="shared" si="3"/>
        <v>14.159177015755329</v>
      </c>
      <c r="K28">
        <f>VLOOKUP(C28,'RAW DATA 2023'!E:BO,12,0)</f>
        <v>1.625</v>
      </c>
      <c r="L28" s="268">
        <f t="shared" si="4"/>
        <v>23.00866265060241</v>
      </c>
      <c r="M28"/>
    </row>
    <row r="29" spans="1:13">
      <c r="A29" s="64" t="str">
        <f>'RAW DATA 2023'!B22</f>
        <v>Lamae</v>
      </c>
      <c r="B29" s="64" t="str">
        <f>'RAW DATA 2023'!D22</f>
        <v>A1-012-0012</v>
      </c>
      <c r="C29" s="63" t="str">
        <f t="shared" si="0"/>
        <v>LamaeA1-012-0012</v>
      </c>
      <c r="D29" s="63">
        <f>VLOOKUP(C29,'RAW DATA 2023'!E:BP,63,0)</f>
        <v>2</v>
      </c>
      <c r="E29" s="63" t="str">
        <f t="shared" si="1"/>
        <v>Lamae2</v>
      </c>
      <c r="F29" s="79">
        <f>ROUND(VLOOKUP(C29,'RAW DATA 2023'!E:BO,23,0),0)</f>
        <v>26</v>
      </c>
      <c r="G29" s="79">
        <f>VLOOKUP(C29,'RAW DATA 2023'!E:BO,24,0)</f>
        <v>15.222247875877354</v>
      </c>
      <c r="H29" s="79">
        <f>IFERROR(VLOOKUP(F29,STD!B:G,2,FALSE),"")</f>
        <v>75</v>
      </c>
      <c r="I29" s="100">
        <f t="shared" si="2"/>
        <v>0.20296330501169804</v>
      </c>
      <c r="J29" s="74">
        <f t="shared" si="3"/>
        <v>-8.9111008496490598</v>
      </c>
      <c r="K29">
        <f>VLOOKUP(C29,'RAW DATA 2023'!E:BO,12,0)</f>
        <v>2.1656</v>
      </c>
      <c r="L29" s="268">
        <f t="shared" si="4"/>
        <v>-19.297880000000003</v>
      </c>
      <c r="M29"/>
    </row>
    <row r="30" spans="1:13">
      <c r="A30" s="64" t="str">
        <f>'RAW DATA 2023'!B23</f>
        <v>Lamae</v>
      </c>
      <c r="B30" s="64" t="str">
        <f>'RAW DATA 2023'!D23</f>
        <v>A1-010-0022</v>
      </c>
      <c r="C30" s="63" t="str">
        <f t="shared" si="0"/>
        <v>LamaeA1-010-0022</v>
      </c>
      <c r="D30" s="63">
        <f>VLOOKUP(C30,'RAW DATA 2023'!E:BP,63,0)</f>
        <v>8</v>
      </c>
      <c r="E30" s="63" t="str">
        <f t="shared" si="1"/>
        <v>Lamae8</v>
      </c>
      <c r="F30" s="79">
        <f>ROUND(VLOOKUP(C30,'RAW DATA 2023'!E:BO,23,0),0)</f>
        <v>35</v>
      </c>
      <c r="G30" s="79">
        <f>VLOOKUP(C30,'RAW DATA 2023'!E:BO,24,0)</f>
        <v>75.547399999999996</v>
      </c>
      <c r="H30" s="79">
        <f>IFERROR(VLOOKUP(F30,STD!B:G,2,FALSE),"")</f>
        <v>80</v>
      </c>
      <c r="I30" s="100">
        <f t="shared" si="2"/>
        <v>0.94434249999999997</v>
      </c>
      <c r="J30" s="74">
        <f t="shared" si="3"/>
        <v>13.330274999999999</v>
      </c>
      <c r="K30">
        <f>VLOOKUP(C30,'RAW DATA 2023'!E:BO,12,0)</f>
        <v>1.5</v>
      </c>
      <c r="L30" s="268">
        <f t="shared" si="4"/>
        <v>19.995412499999997</v>
      </c>
      <c r="M30"/>
    </row>
    <row r="31" spans="1:13">
      <c r="A31" s="64" t="str">
        <f>'RAW DATA 2023'!B24</f>
        <v>Lamae</v>
      </c>
      <c r="B31" s="64" t="str">
        <f>'RAW DATA 2023'!D24</f>
        <v>A1-009-0020</v>
      </c>
      <c r="C31" s="63" t="str">
        <f t="shared" si="0"/>
        <v>LamaeA1-009-0020</v>
      </c>
      <c r="D31" s="63">
        <f>VLOOKUP(C31,'RAW DATA 2023'!E:BP,63,0)</f>
        <v>8</v>
      </c>
      <c r="E31" s="63" t="str">
        <f t="shared" si="1"/>
        <v>Lamae8</v>
      </c>
      <c r="F31" s="79">
        <f>ROUND(VLOOKUP(C31,'RAW DATA 2023'!E:BO,23,0),0)</f>
        <v>35</v>
      </c>
      <c r="G31" s="79">
        <f>VLOOKUP(C31,'RAW DATA 2023'!E:BO,24,0)</f>
        <v>47.879519999999999</v>
      </c>
      <c r="H31" s="79">
        <f>IFERROR(VLOOKUP(F31,STD!B:G,2,FALSE),"")</f>
        <v>80</v>
      </c>
      <c r="I31" s="100">
        <f t="shared" si="2"/>
        <v>0.59849399999999997</v>
      </c>
      <c r="J31" s="74">
        <f t="shared" si="3"/>
        <v>2.9548199999999989</v>
      </c>
      <c r="K31">
        <f>VLOOKUP(C31,'RAW DATA 2023'!E:BO,12,0)</f>
        <v>2.5</v>
      </c>
      <c r="L31" s="268">
        <f t="shared" si="4"/>
        <v>7.3870499999999968</v>
      </c>
      <c r="M31"/>
    </row>
    <row r="32" spans="1:13">
      <c r="A32" s="64" t="str">
        <f>'RAW DATA 2023'!B25</f>
        <v>Lamae</v>
      </c>
      <c r="B32" s="64" t="str">
        <f>'RAW DATA 2023'!D25</f>
        <v>A1-007-0044</v>
      </c>
      <c r="C32" s="63" t="str">
        <f t="shared" si="0"/>
        <v>LamaeA1-007-0044</v>
      </c>
      <c r="D32" s="63">
        <f>VLOOKUP(C32,'RAW DATA 2023'!E:BP,63,0)</f>
        <v>2</v>
      </c>
      <c r="E32" s="63" t="str">
        <f t="shared" si="1"/>
        <v>Lamae2</v>
      </c>
      <c r="F32" s="79">
        <f>ROUND(VLOOKUP(C32,'RAW DATA 2023'!E:BO,23,0),0)</f>
        <v>35</v>
      </c>
      <c r="G32" s="79">
        <f>VLOOKUP(C32,'RAW DATA 2023'!E:BO,24,0)</f>
        <v>10.682760761835612</v>
      </c>
      <c r="H32" s="79">
        <f>IFERROR(VLOOKUP(F32,STD!B:G,2,FALSE),"")</f>
        <v>80</v>
      </c>
      <c r="I32" s="100">
        <f t="shared" si="2"/>
        <v>0.13353450952294516</v>
      </c>
      <c r="J32" s="74">
        <f t="shared" si="3"/>
        <v>-10.993964714311645</v>
      </c>
      <c r="K32">
        <f>VLOOKUP(C32,'RAW DATA 2023'!E:BO,12,0)</f>
        <v>2.6057589999999999</v>
      </c>
      <c r="L32" s="268">
        <f t="shared" si="4"/>
        <v>-28.647622499999997</v>
      </c>
      <c r="M32"/>
    </row>
    <row r="33" spans="1:13">
      <c r="A33" s="64" t="str">
        <f>'RAW DATA 2023'!B26</f>
        <v>Lamae</v>
      </c>
      <c r="B33" s="64" t="str">
        <f>'RAW DATA 2023'!D26</f>
        <v>A1-007-0047</v>
      </c>
      <c r="C33" s="63" t="str">
        <f t="shared" si="0"/>
        <v>LamaeA1-007-0047</v>
      </c>
      <c r="D33" s="63">
        <f>VLOOKUP(C33,'RAW DATA 2023'!E:BP,63,0)</f>
        <v>12</v>
      </c>
      <c r="E33" s="63" t="str">
        <f t="shared" si="1"/>
        <v>Lamae12</v>
      </c>
      <c r="F33" s="79">
        <f>ROUND(VLOOKUP(C33,'RAW DATA 2023'!E:BO,23,0),0)</f>
        <v>0</v>
      </c>
      <c r="G33" s="79">
        <f>VLOOKUP(C33,'RAW DATA 2023'!E:BO,24,0)</f>
        <v>0</v>
      </c>
      <c r="H33" s="79" t="str">
        <f>IFERROR(VLOOKUP(F33,STD!B:G,2,FALSE),"")</f>
        <v/>
      </c>
      <c r="I33" s="100">
        <f t="shared" si="2"/>
        <v>0</v>
      </c>
      <c r="J33" s="74">
        <f t="shared" si="3"/>
        <v>-15</v>
      </c>
      <c r="K33">
        <f>VLOOKUP(C33,'RAW DATA 2023'!E:BO,12,0)</f>
        <v>1.95</v>
      </c>
      <c r="L33" s="268">
        <f t="shared" si="4"/>
        <v>-29.25</v>
      </c>
      <c r="M33"/>
    </row>
    <row r="34" spans="1:13">
      <c r="A34" s="64" t="str">
        <f>'RAW DATA 2023'!B27</f>
        <v>Lamae</v>
      </c>
      <c r="B34" s="64" t="str">
        <f>'RAW DATA 2023'!D27</f>
        <v>A1-011-0024</v>
      </c>
      <c r="C34" s="63" t="str">
        <f t="shared" si="0"/>
        <v>LamaeA1-011-0024</v>
      </c>
      <c r="D34" s="63">
        <f>VLOOKUP(C34,'RAW DATA 2023'!E:BP,63,0)</f>
        <v>12</v>
      </c>
      <c r="E34" s="63" t="str">
        <f t="shared" si="1"/>
        <v>Lamae12</v>
      </c>
      <c r="F34" s="79">
        <f>ROUND(VLOOKUP(C34,'RAW DATA 2023'!E:BO,23,0),0)</f>
        <v>0</v>
      </c>
      <c r="G34" s="79">
        <f>VLOOKUP(C34,'RAW DATA 2023'!E:BO,24,0)</f>
        <v>0</v>
      </c>
      <c r="H34" s="79" t="str">
        <f>IFERROR(VLOOKUP(F34,STD!B:G,2,FALSE),"")</f>
        <v/>
      </c>
      <c r="I34" s="100">
        <f t="shared" si="2"/>
        <v>0</v>
      </c>
      <c r="J34" s="74">
        <f t="shared" si="3"/>
        <v>-15</v>
      </c>
      <c r="K34">
        <f>VLOOKUP(C34,'RAW DATA 2023'!E:BO,12,0)</f>
        <v>1.3</v>
      </c>
      <c r="L34" s="268">
        <f t="shared" si="4"/>
        <v>-19.5</v>
      </c>
      <c r="M34"/>
    </row>
    <row r="35" spans="1:13">
      <c r="A35" s="64" t="str">
        <f>'RAW DATA 2023'!B28</f>
        <v>Lamae</v>
      </c>
      <c r="B35" s="64" t="str">
        <f>'RAW DATA 2023'!D28</f>
        <v>A1-012-0015</v>
      </c>
      <c r="C35" s="63" t="str">
        <f t="shared" si="0"/>
        <v>LamaeA1-012-0015</v>
      </c>
      <c r="D35" s="63">
        <f>VLOOKUP(C35,'RAW DATA 2023'!E:BP,63,0)</f>
        <v>12</v>
      </c>
      <c r="E35" s="63" t="str">
        <f t="shared" si="1"/>
        <v>Lamae12</v>
      </c>
      <c r="F35" s="79">
        <f>ROUND(VLOOKUP(C35,'RAW DATA 2023'!E:BO,23,0),0)</f>
        <v>0</v>
      </c>
      <c r="G35" s="79">
        <f>VLOOKUP(C35,'RAW DATA 2023'!E:BO,24,0)</f>
        <v>0</v>
      </c>
      <c r="H35" s="79" t="str">
        <f>IFERROR(VLOOKUP(F35,STD!B:G,2,FALSE),"")</f>
        <v/>
      </c>
      <c r="I35" s="100">
        <f t="shared" si="2"/>
        <v>0</v>
      </c>
      <c r="J35" s="74">
        <f t="shared" si="3"/>
        <v>-15</v>
      </c>
      <c r="K35">
        <f>VLOOKUP(C35,'RAW DATA 2023'!E:BO,12,0)</f>
        <v>1.06</v>
      </c>
      <c r="L35" s="268">
        <f t="shared" si="4"/>
        <v>-15.9</v>
      </c>
      <c r="M35"/>
    </row>
    <row r="36" spans="1:13">
      <c r="A36" s="64" t="str">
        <f>'RAW DATA 2023'!B29</f>
        <v>Lamae</v>
      </c>
      <c r="B36" s="64" t="str">
        <f>'RAW DATA 2023'!D29</f>
        <v>A1-013-0017</v>
      </c>
      <c r="C36" s="63" t="str">
        <f t="shared" si="0"/>
        <v>LamaeA1-013-0017</v>
      </c>
      <c r="D36" s="63">
        <f>VLOOKUP(C36,'RAW DATA 2023'!E:BP,63,0)</f>
        <v>12</v>
      </c>
      <c r="E36" s="63" t="str">
        <f t="shared" si="1"/>
        <v>Lamae12</v>
      </c>
      <c r="F36" s="79">
        <f>ROUND(VLOOKUP(C36,'RAW DATA 2023'!E:BO,23,0),0)</f>
        <v>0</v>
      </c>
      <c r="G36" s="79">
        <f>VLOOKUP(C36,'RAW DATA 2023'!E:BO,24,0)</f>
        <v>0</v>
      </c>
      <c r="H36" s="79" t="str">
        <f>IFERROR(VLOOKUP(F36,STD!B:G,2,FALSE),"")</f>
        <v/>
      </c>
      <c r="I36" s="100">
        <f t="shared" si="2"/>
        <v>0</v>
      </c>
      <c r="J36" s="74">
        <f t="shared" si="3"/>
        <v>-15</v>
      </c>
      <c r="K36">
        <f>VLOOKUP(C36,'RAW DATA 2023'!E:BO,12,0)</f>
        <v>1.3</v>
      </c>
      <c r="L36" s="268">
        <f t="shared" si="4"/>
        <v>-19.5</v>
      </c>
      <c r="M36"/>
    </row>
    <row r="37" spans="1:13">
      <c r="A37" s="64" t="str">
        <f>'RAW DATA 2023'!B30</f>
        <v>Bansang</v>
      </c>
      <c r="B37" s="64" t="str">
        <f>'RAW DATA 2023'!D30</f>
        <v>A1-008-0015</v>
      </c>
      <c r="C37" s="63" t="str">
        <f t="shared" si="0"/>
        <v>BansangA1-008-0015</v>
      </c>
      <c r="D37" s="63">
        <f>VLOOKUP(C37,'RAW DATA 2023'!E:BP,63,0)</f>
        <v>9</v>
      </c>
      <c r="E37" s="63" t="str">
        <f t="shared" si="1"/>
        <v>Bansang9</v>
      </c>
      <c r="F37" s="79">
        <f>ROUND(VLOOKUP(C37,'RAW DATA 2023'!E:BO,23,0),0)</f>
        <v>27</v>
      </c>
      <c r="G37" s="79">
        <f>VLOOKUP(C37,'RAW DATA 2023'!E:BO,24,0)</f>
        <v>70.175399999999996</v>
      </c>
      <c r="H37" s="79">
        <f>IFERROR(VLOOKUP(F37,STD!B:G,2,FALSE),"")</f>
        <v>75</v>
      </c>
      <c r="I37" s="100">
        <f t="shared" si="2"/>
        <v>0.93567199999999995</v>
      </c>
      <c r="J37" s="74">
        <f t="shared" si="3"/>
        <v>13.070159999999998</v>
      </c>
      <c r="K37">
        <f>VLOOKUP(C37,'RAW DATA 2023'!E:BO,12,0)</f>
        <v>1</v>
      </c>
      <c r="L37" s="268">
        <f t="shared" si="4"/>
        <v>13.070159999999998</v>
      </c>
      <c r="M37"/>
    </row>
    <row r="38" spans="1:13">
      <c r="A38" s="64" t="str">
        <f>'RAW DATA 2023'!B31</f>
        <v>Bansang</v>
      </c>
      <c r="B38" s="64" t="str">
        <f>'RAW DATA 2023'!D31</f>
        <v>A1-006-0015</v>
      </c>
      <c r="C38" s="63" t="str">
        <f t="shared" si="0"/>
        <v>BansangA1-006-0015</v>
      </c>
      <c r="D38" s="63">
        <f>VLOOKUP(C38,'RAW DATA 2023'!E:BP,63,0)</f>
        <v>10</v>
      </c>
      <c r="E38" s="63" t="str">
        <f t="shared" si="1"/>
        <v>Bansang10</v>
      </c>
      <c r="F38" s="79">
        <f>ROUND(VLOOKUP(C38,'RAW DATA 2023'!E:BO,23,0),0)</f>
        <v>26</v>
      </c>
      <c r="G38" s="79">
        <f>VLOOKUP(C38,'RAW DATA 2023'!E:BO,24,0)</f>
        <v>79.699750000000009</v>
      </c>
      <c r="H38" s="79">
        <f>IFERROR(VLOOKUP(F38,STD!B:G,2,FALSE),"")</f>
        <v>75</v>
      </c>
      <c r="I38" s="100">
        <f t="shared" si="2"/>
        <v>1.0626633333333335</v>
      </c>
      <c r="J38" s="74">
        <f t="shared" si="3"/>
        <v>16.879900000000006</v>
      </c>
      <c r="K38">
        <f>VLOOKUP(C38,'RAW DATA 2023'!E:BO,12,0)</f>
        <v>0.8</v>
      </c>
      <c r="L38" s="268">
        <f t="shared" si="4"/>
        <v>13.503920000000006</v>
      </c>
      <c r="M38"/>
    </row>
    <row r="39" spans="1:13">
      <c r="A39" s="64" t="str">
        <f>'RAW DATA 2023'!B32</f>
        <v>Bansang</v>
      </c>
      <c r="B39" s="64" t="str">
        <f>'RAW DATA 2023'!D32</f>
        <v>A1-005-0016</v>
      </c>
      <c r="C39" s="63" t="str">
        <f t="shared" si="0"/>
        <v>BansangA1-005-0016</v>
      </c>
      <c r="D39" s="63">
        <f>VLOOKUP(C39,'RAW DATA 2023'!E:BP,63,0)</f>
        <v>9</v>
      </c>
      <c r="E39" s="63" t="str">
        <f t="shared" si="1"/>
        <v>Bansang9</v>
      </c>
      <c r="F39" s="79">
        <f>ROUND(VLOOKUP(C39,'RAW DATA 2023'!E:BO,23,0),0)</f>
        <v>46</v>
      </c>
      <c r="G39" s="79">
        <f>VLOOKUP(C39,'RAW DATA 2023'!E:BO,24,0)</f>
        <v>66.966714285714289</v>
      </c>
      <c r="H39" s="79">
        <f>IFERROR(VLOOKUP(F39,STD!B:G,2,FALSE),"")</f>
        <v>84</v>
      </c>
      <c r="I39" s="100">
        <f t="shared" si="2"/>
        <v>0.79722278911564626</v>
      </c>
      <c r="J39" s="74">
        <f t="shared" si="3"/>
        <v>8.9166836734693877</v>
      </c>
      <c r="K39">
        <f>VLOOKUP(C39,'RAW DATA 2023'!E:BO,12,0)</f>
        <v>0.7</v>
      </c>
      <c r="L39" s="268">
        <f t="shared" si="4"/>
        <v>6.2416785714285714</v>
      </c>
      <c r="M39"/>
    </row>
    <row r="40" spans="1:13">
      <c r="A40" s="64" t="str">
        <f>'RAW DATA 2023'!B33</f>
        <v>Bansang</v>
      </c>
      <c r="B40" s="64" t="str">
        <f>'RAW DATA 2023'!D33</f>
        <v>A1-006-0013</v>
      </c>
      <c r="C40" s="63" t="str">
        <f t="shared" si="0"/>
        <v>BansangA1-006-0013</v>
      </c>
      <c r="D40" s="63">
        <f>VLOOKUP(C40,'RAW DATA 2023'!E:BP,63,0)</f>
        <v>1</v>
      </c>
      <c r="E40" s="63" t="str">
        <f t="shared" si="1"/>
        <v>Bansang1</v>
      </c>
      <c r="F40" s="79">
        <f>ROUND(VLOOKUP(C40,'RAW DATA 2023'!E:BO,23,0),0)</f>
        <v>24</v>
      </c>
      <c r="G40" s="79">
        <f>VLOOKUP(C40,'RAW DATA 2023'!E:BO,24,0)</f>
        <v>48.346125000000001</v>
      </c>
      <c r="H40" s="79">
        <f>IFERROR(VLOOKUP(F40,STD!B:G,2,FALSE),"")</f>
        <v>72</v>
      </c>
      <c r="I40" s="100">
        <f t="shared" si="2"/>
        <v>0.67147395833333334</v>
      </c>
      <c r="J40" s="74">
        <f t="shared" si="3"/>
        <v>5.1442187500000003</v>
      </c>
      <c r="K40">
        <f>VLOOKUP(C40,'RAW DATA 2023'!E:BO,12,0)</f>
        <v>0.8</v>
      </c>
      <c r="L40" s="268">
        <f t="shared" si="4"/>
        <v>4.1153750000000002</v>
      </c>
      <c r="M40"/>
    </row>
    <row r="41" spans="1:13">
      <c r="A41" s="64" t="str">
        <f>'RAW DATA 2023'!B34</f>
        <v>Bansang</v>
      </c>
      <c r="B41" s="64" t="str">
        <f>'RAW DATA 2023'!D34</f>
        <v>A1-005-0014</v>
      </c>
      <c r="C41" s="63" t="str">
        <f t="shared" si="0"/>
        <v>BansangA1-005-0014</v>
      </c>
      <c r="D41" s="63">
        <f>VLOOKUP(C41,'RAW DATA 2023'!E:BP,63,0)</f>
        <v>1</v>
      </c>
      <c r="E41" s="63" t="str">
        <f t="shared" si="1"/>
        <v>Bansang1</v>
      </c>
      <c r="F41" s="79">
        <f>ROUND(VLOOKUP(C41,'RAW DATA 2023'!E:BO,23,0),0)</f>
        <v>28</v>
      </c>
      <c r="G41" s="79">
        <f>VLOOKUP(C41,'RAW DATA 2023'!E:BO,24,0)</f>
        <v>59.159125000000003</v>
      </c>
      <c r="H41" s="79">
        <f>IFERROR(VLOOKUP(F41,STD!B:G,2,FALSE),"")</f>
        <v>75</v>
      </c>
      <c r="I41" s="100">
        <f t="shared" si="2"/>
        <v>0.78878833333333342</v>
      </c>
      <c r="J41" s="74">
        <f t="shared" si="3"/>
        <v>8.6636500000000023</v>
      </c>
      <c r="K41">
        <f>VLOOKUP(C41,'RAW DATA 2023'!E:BO,12,0)</f>
        <v>0.8</v>
      </c>
      <c r="L41" s="268">
        <f t="shared" si="4"/>
        <v>6.9309200000000022</v>
      </c>
      <c r="M41"/>
    </row>
    <row r="42" spans="1:13">
      <c r="A42" s="64" t="str">
        <f>'RAW DATA 2023'!B35</f>
        <v>Bansang</v>
      </c>
      <c r="B42" s="64" t="str">
        <f>'RAW DATA 2023'!D35</f>
        <v>A1-007-0017</v>
      </c>
      <c r="C42" s="63" t="str">
        <f t="shared" si="0"/>
        <v>BansangA1-007-0017</v>
      </c>
      <c r="D42" s="63">
        <f>VLOOKUP(C42,'RAW DATA 2023'!E:BP,63,0)</f>
        <v>8</v>
      </c>
      <c r="E42" s="63" t="str">
        <f t="shared" si="1"/>
        <v>Bansang8</v>
      </c>
      <c r="F42" s="79">
        <f>ROUND(VLOOKUP(C42,'RAW DATA 2023'!E:BO,23,0),0)</f>
        <v>29</v>
      </c>
      <c r="G42" s="79">
        <f>VLOOKUP(C42,'RAW DATA 2023'!E:BO,24,0)</f>
        <v>79.361400000000003</v>
      </c>
      <c r="H42" s="79">
        <f>IFERROR(VLOOKUP(F42,STD!B:G,2,FALSE),"")</f>
        <v>76</v>
      </c>
      <c r="I42" s="100">
        <f t="shared" si="2"/>
        <v>1.0442289473684212</v>
      </c>
      <c r="J42" s="74">
        <f t="shared" si="3"/>
        <v>16.326868421052637</v>
      </c>
      <c r="K42">
        <f>VLOOKUP(C42,'RAW DATA 2023'!E:BO,12,0)</f>
        <v>1</v>
      </c>
      <c r="L42" s="268">
        <f t="shared" si="4"/>
        <v>16.326868421052637</v>
      </c>
      <c r="M42"/>
    </row>
    <row r="43" spans="1:13">
      <c r="A43" s="64" t="str">
        <f>'RAW DATA 2023'!B36</f>
        <v>Bansang</v>
      </c>
      <c r="B43" s="64" t="str">
        <f>'RAW DATA 2023'!D36</f>
        <v>A1-005-0015</v>
      </c>
      <c r="C43" s="63" t="str">
        <f t="shared" si="0"/>
        <v>BansangA1-005-0015</v>
      </c>
      <c r="D43" s="63">
        <f>VLOOKUP(C43,'RAW DATA 2023'!E:BP,63,0)</f>
        <v>6</v>
      </c>
      <c r="E43" s="63" t="str">
        <f t="shared" si="1"/>
        <v>Bansang6</v>
      </c>
      <c r="F43" s="79">
        <f>ROUND(VLOOKUP(C43,'RAW DATA 2023'!E:BO,23,0),0)</f>
        <v>29</v>
      </c>
      <c r="G43" s="79">
        <f>VLOOKUP(C43,'RAW DATA 2023'!E:BO,24,0)</f>
        <v>69.222200000000001</v>
      </c>
      <c r="H43" s="79">
        <f>IFERROR(VLOOKUP(F43,STD!B:G,2,FALSE),"")</f>
        <v>76</v>
      </c>
      <c r="I43" s="100">
        <f t="shared" si="2"/>
        <v>0.91081842105263155</v>
      </c>
      <c r="J43" s="74">
        <f t="shared" si="3"/>
        <v>12.324552631578946</v>
      </c>
      <c r="K43">
        <f>VLOOKUP(C43,'RAW DATA 2023'!E:BO,12,0)</f>
        <v>1</v>
      </c>
      <c r="L43" s="268">
        <f t="shared" si="4"/>
        <v>12.324552631578946</v>
      </c>
      <c r="M43"/>
    </row>
    <row r="44" spans="1:13">
      <c r="A44" s="64" t="str">
        <f>'RAW DATA 2023'!B37</f>
        <v>Bansang</v>
      </c>
      <c r="B44" s="64" t="str">
        <f>'RAW DATA 2023'!D37</f>
        <v>A1-006-0014</v>
      </c>
      <c r="C44" s="63" t="str">
        <f t="shared" si="0"/>
        <v>BansangA1-006-0014</v>
      </c>
      <c r="D44" s="63">
        <f>VLOOKUP(C44,'RAW DATA 2023'!E:BP,63,0)</f>
        <v>6</v>
      </c>
      <c r="E44" s="63" t="str">
        <f t="shared" si="1"/>
        <v>Bansang6</v>
      </c>
      <c r="F44" s="79">
        <f>ROUND(VLOOKUP(C44,'RAW DATA 2023'!E:BO,23,0),0)</f>
        <v>30</v>
      </c>
      <c r="G44" s="79">
        <f>VLOOKUP(C44,'RAW DATA 2023'!E:BO,24,0)</f>
        <v>71.085999999999999</v>
      </c>
      <c r="H44" s="79">
        <f>IFERROR(VLOOKUP(F44,STD!B:G,2,FALSE),"")</f>
        <v>76</v>
      </c>
      <c r="I44" s="100">
        <f t="shared" si="2"/>
        <v>0.93534210526315786</v>
      </c>
      <c r="J44" s="74">
        <f t="shared" si="3"/>
        <v>13.060263157894736</v>
      </c>
      <c r="K44">
        <f>VLOOKUP(C44,'RAW DATA 2023'!E:BO,12,0)</f>
        <v>1</v>
      </c>
      <c r="L44" s="268">
        <f t="shared" si="4"/>
        <v>13.060263157894736</v>
      </c>
      <c r="M44"/>
    </row>
    <row r="45" spans="1:13">
      <c r="A45" s="64" t="str">
        <f>'RAW DATA 2023'!B38</f>
        <v>Bansang</v>
      </c>
      <c r="B45" s="64" t="str">
        <f>'RAW DATA 2023'!D38</f>
        <v>A1-008-0014</v>
      </c>
      <c r="C45" s="63" t="str">
        <f t="shared" si="0"/>
        <v>BansangA1-008-0014</v>
      </c>
      <c r="D45" s="63">
        <f>VLOOKUP(C45,'RAW DATA 2023'!E:BP,63,0)</f>
        <v>5</v>
      </c>
      <c r="E45" s="63" t="str">
        <f t="shared" si="1"/>
        <v>Bansang5</v>
      </c>
      <c r="F45" s="79">
        <f>ROUND(VLOOKUP(C45,'RAW DATA 2023'!E:BO,23,0),0)</f>
        <v>33</v>
      </c>
      <c r="G45" s="79">
        <f>VLOOKUP(C45,'RAW DATA 2023'!E:BO,24,0)</f>
        <v>75.844800000000006</v>
      </c>
      <c r="H45" s="79">
        <f>IFERROR(VLOOKUP(F45,STD!B:G,2,FALSE),"")</f>
        <v>79</v>
      </c>
      <c r="I45" s="100">
        <f t="shared" si="2"/>
        <v>0.96006075949367098</v>
      </c>
      <c r="J45" s="74">
        <f t="shared" si="3"/>
        <v>13.801822784810129</v>
      </c>
      <c r="K45">
        <f>VLOOKUP(C45,'RAW DATA 2023'!E:BO,12,0)</f>
        <v>1</v>
      </c>
      <c r="L45" s="268">
        <f t="shared" si="4"/>
        <v>13.801822784810129</v>
      </c>
      <c r="M45"/>
    </row>
    <row r="46" spans="1:13">
      <c r="A46" s="64" t="str">
        <f>'RAW DATA 2023'!B39</f>
        <v>Bansang</v>
      </c>
      <c r="B46" s="64" t="str">
        <f>'RAW DATA 2023'!D39</f>
        <v>A1-007-0016</v>
      </c>
      <c r="C46" s="63" t="str">
        <f t="shared" si="0"/>
        <v>BansangA1-007-0016</v>
      </c>
      <c r="D46" s="63">
        <f>VLOOKUP(C46,'RAW DATA 2023'!E:BP,63,0)</f>
        <v>3</v>
      </c>
      <c r="E46" s="63" t="str">
        <f t="shared" si="1"/>
        <v>Bansang3</v>
      </c>
      <c r="F46" s="79">
        <f>ROUND(VLOOKUP(C46,'RAW DATA 2023'!E:BO,23,0),0)</f>
        <v>31</v>
      </c>
      <c r="G46" s="79">
        <f>VLOOKUP(C46,'RAW DATA 2023'!E:BO,24,0)</f>
        <v>62.920699999999997</v>
      </c>
      <c r="H46" s="79">
        <f>IFERROR(VLOOKUP(F46,STD!B:G,2,FALSE),"")</f>
        <v>76</v>
      </c>
      <c r="I46" s="100">
        <f t="shared" si="2"/>
        <v>0.82790394736842099</v>
      </c>
      <c r="J46" s="74">
        <f t="shared" si="3"/>
        <v>9.8371184210526295</v>
      </c>
      <c r="K46">
        <f>VLOOKUP(C46,'RAW DATA 2023'!E:BO,12,0)</f>
        <v>1</v>
      </c>
      <c r="L46" s="268">
        <f t="shared" si="4"/>
        <v>9.8371184210526295</v>
      </c>
      <c r="M46"/>
    </row>
    <row r="47" spans="1:13">
      <c r="A47" s="64" t="str">
        <f>'RAW DATA 2023'!B40</f>
        <v>Bansang</v>
      </c>
      <c r="B47" s="64" t="str">
        <f>'RAW DATA 2023'!D40</f>
        <v>A1-007-0018</v>
      </c>
      <c r="C47" s="63" t="str">
        <f t="shared" si="0"/>
        <v>BansangA1-007-0018</v>
      </c>
      <c r="D47" s="63">
        <f>VLOOKUP(C47,'RAW DATA 2023'!E:BP,63,0)</f>
        <v>10</v>
      </c>
      <c r="E47" s="63" t="str">
        <f t="shared" si="1"/>
        <v>Bansang10</v>
      </c>
      <c r="F47" s="79">
        <f>ROUND(VLOOKUP(C47,'RAW DATA 2023'!E:BO,23,0),0)</f>
        <v>129</v>
      </c>
      <c r="G47" s="79">
        <f>VLOOKUP(C47,'RAW DATA 2023'!E:BO,24,0)</f>
        <v>83.992874999999998</v>
      </c>
      <c r="H47" s="79">
        <f>IFERROR(VLOOKUP(F47,STD!B:G,2,FALSE),"")</f>
        <v>93</v>
      </c>
      <c r="I47" s="100">
        <f t="shared" si="2"/>
        <v>0.90314919354838707</v>
      </c>
      <c r="J47" s="74">
        <f t="shared" si="3"/>
        <v>12.094475806451612</v>
      </c>
      <c r="K47">
        <f>VLOOKUP(C47,'RAW DATA 2023'!E:BO,12,0)</f>
        <v>0.8</v>
      </c>
      <c r="L47" s="268">
        <f t="shared" si="4"/>
        <v>9.6755806451612898</v>
      </c>
      <c r="M47"/>
    </row>
    <row r="48" spans="1:13">
      <c r="A48" s="64" t="str">
        <f>'RAW DATA 2023'!B41</f>
        <v>Petchburi5</v>
      </c>
      <c r="B48" s="64" t="str">
        <f>'RAW DATA 2023'!D41</f>
        <v>B1-127-0009</v>
      </c>
      <c r="C48" s="63" t="str">
        <f t="shared" si="0"/>
        <v>Petchburi5B1-127-0009</v>
      </c>
      <c r="D48" s="63">
        <f>VLOOKUP(C48,'RAW DATA 2023'!E:BP,63,0)</f>
        <v>10</v>
      </c>
      <c r="E48" s="63" t="str">
        <f t="shared" si="1"/>
        <v>Petchburi510</v>
      </c>
      <c r="F48" s="79">
        <f>ROUND(VLOOKUP(C48,'RAW DATA 2023'!E:BO,23,0),0)</f>
        <v>33</v>
      </c>
      <c r="G48" s="79">
        <f>VLOOKUP(C48,'RAW DATA 2023'!E:BO,24,0)</f>
        <v>88.06049999999999</v>
      </c>
      <c r="H48" s="79">
        <f>IFERROR(VLOOKUP(F48,STD!B:G,2,FALSE),"")</f>
        <v>79</v>
      </c>
      <c r="I48" s="100">
        <f t="shared" si="2"/>
        <v>1.1146898734177213</v>
      </c>
      <c r="J48" s="74">
        <f t="shared" si="3"/>
        <v>18.44069620253164</v>
      </c>
      <c r="K48">
        <f>VLOOKUP(C48,'RAW DATA 2023'!E:BO,12,0)</f>
        <v>1</v>
      </c>
      <c r="L48" s="268">
        <f t="shared" si="4"/>
        <v>18.44069620253164</v>
      </c>
      <c r="M48"/>
    </row>
    <row r="49" spans="1:13">
      <c r="A49" s="64" t="str">
        <f>'RAW DATA 2023'!B42</f>
        <v>Petchburi5</v>
      </c>
      <c r="B49" s="64" t="str">
        <f>'RAW DATA 2023'!D42</f>
        <v>B1-124-0008</v>
      </c>
      <c r="C49" s="63" t="str">
        <f t="shared" si="0"/>
        <v>Petchburi5B1-124-0008</v>
      </c>
      <c r="D49" s="63">
        <f>VLOOKUP(C49,'RAW DATA 2023'!E:BP,63,0)</f>
        <v>7</v>
      </c>
      <c r="E49" s="63" t="str">
        <f t="shared" si="1"/>
        <v>Petchburi57</v>
      </c>
      <c r="F49" s="79">
        <f>ROUND(VLOOKUP(C49,'RAW DATA 2023'!E:BO,23,0),0)</f>
        <v>33</v>
      </c>
      <c r="G49" s="79">
        <f>VLOOKUP(C49,'RAW DATA 2023'!E:BO,24,0)</f>
        <v>71.578874999999996</v>
      </c>
      <c r="H49" s="79">
        <f>IFERROR(VLOOKUP(F49,STD!B:G,2,FALSE),"")</f>
        <v>79</v>
      </c>
      <c r="I49" s="100">
        <f t="shared" si="2"/>
        <v>0.90606170886075943</v>
      </c>
      <c r="J49" s="74">
        <f t="shared" si="3"/>
        <v>12.181851265822782</v>
      </c>
      <c r="K49">
        <f>VLOOKUP(C49,'RAW DATA 2023'!E:BO,12,0)</f>
        <v>0.8</v>
      </c>
      <c r="L49" s="268">
        <f t="shared" si="4"/>
        <v>9.7454810126582263</v>
      </c>
      <c r="M49"/>
    </row>
    <row r="50" spans="1:13">
      <c r="A50" s="64" t="str">
        <f>'RAW DATA 2023'!B43</f>
        <v>Petchburi5</v>
      </c>
      <c r="B50" s="64" t="str">
        <f>'RAW DATA 2023'!D43</f>
        <v>B1-124-0009</v>
      </c>
      <c r="C50" s="63" t="str">
        <f t="shared" si="0"/>
        <v>Petchburi5B1-124-0009</v>
      </c>
      <c r="D50" s="63">
        <f>VLOOKUP(C50,'RAW DATA 2023'!E:BP,63,0)</f>
        <v>11</v>
      </c>
      <c r="E50" s="63" t="str">
        <f t="shared" si="1"/>
        <v>Petchburi511</v>
      </c>
      <c r="F50" s="79">
        <f>ROUND(VLOOKUP(C50,'RAW DATA 2023'!E:BO,23,0),0)</f>
        <v>33</v>
      </c>
      <c r="G50" s="79">
        <f>VLOOKUP(C50,'RAW DATA 2023'!E:BO,24,0)</f>
        <v>78.796875</v>
      </c>
      <c r="H50" s="79">
        <f>IFERROR(VLOOKUP(F50,STD!B:G,2,FALSE),"")</f>
        <v>79</v>
      </c>
      <c r="I50" s="100">
        <f t="shared" si="2"/>
        <v>0.99742879746835444</v>
      </c>
      <c r="J50" s="74">
        <f t="shared" si="3"/>
        <v>14.922863924050633</v>
      </c>
      <c r="K50">
        <f>VLOOKUP(C50,'RAW DATA 2023'!E:BO,12,0)</f>
        <v>0.8</v>
      </c>
      <c r="L50" s="268">
        <f t="shared" si="4"/>
        <v>11.938291139240507</v>
      </c>
      <c r="M50"/>
    </row>
    <row r="51" spans="1:13">
      <c r="A51" s="64" t="str">
        <f>'RAW DATA 2023'!B44</f>
        <v>Petchburi5</v>
      </c>
      <c r="B51" s="64" t="str">
        <f>'RAW DATA 2023'!D44</f>
        <v>B1-126-0009</v>
      </c>
      <c r="C51" s="63" t="str">
        <f t="shared" si="0"/>
        <v>Petchburi5B1-126-0009</v>
      </c>
      <c r="D51" s="63">
        <f>VLOOKUP(C51,'RAW DATA 2023'!E:BP,63,0)</f>
        <v>11</v>
      </c>
      <c r="E51" s="63" t="str">
        <f t="shared" si="1"/>
        <v>Petchburi511</v>
      </c>
      <c r="F51" s="79">
        <f>ROUND(VLOOKUP(C51,'RAW DATA 2023'!E:BO,23,0),0)</f>
        <v>39</v>
      </c>
      <c r="G51" s="79">
        <f>VLOOKUP(C51,'RAW DATA 2023'!E:BO,24,0)</f>
        <v>79.517933333333332</v>
      </c>
      <c r="H51" s="79">
        <f>IFERROR(VLOOKUP(F51,STD!B:G,2,FALSE),"")</f>
        <v>82</v>
      </c>
      <c r="I51" s="100">
        <f t="shared" si="2"/>
        <v>0.9697308943089431</v>
      </c>
      <c r="J51" s="74">
        <f t="shared" si="3"/>
        <v>14.091926829268292</v>
      </c>
      <c r="K51">
        <f>VLOOKUP(C51,'RAW DATA 2023'!E:BO,12,0)</f>
        <v>1.5</v>
      </c>
      <c r="L51" s="268">
        <f t="shared" si="4"/>
        <v>21.13789024390244</v>
      </c>
      <c r="M51"/>
    </row>
    <row r="52" spans="1:13">
      <c r="A52" s="64" t="str">
        <f>'RAW DATA 2023'!B45</f>
        <v>Petchburi5</v>
      </c>
      <c r="B52" s="64" t="str">
        <f>'RAW DATA 2023'!D45</f>
        <v>B1-125-0009</v>
      </c>
      <c r="C52" s="63" t="str">
        <f t="shared" si="0"/>
        <v>Petchburi5B1-125-0009</v>
      </c>
      <c r="D52" s="63">
        <f>VLOOKUP(C52,'RAW DATA 2023'!E:BP,63,0)</f>
        <v>11</v>
      </c>
      <c r="E52" s="63" t="str">
        <f t="shared" si="1"/>
        <v>Petchburi511</v>
      </c>
      <c r="F52" s="79">
        <f>ROUND(VLOOKUP(C52,'RAW DATA 2023'!E:BO,23,0),0)</f>
        <v>32</v>
      </c>
      <c r="G52" s="79">
        <f>VLOOKUP(C52,'RAW DATA 2023'!E:BO,24,0)</f>
        <v>76.495500000000007</v>
      </c>
      <c r="H52" s="79">
        <f>IFERROR(VLOOKUP(F52,STD!B:G,2,FALSE),"")</f>
        <v>77</v>
      </c>
      <c r="I52" s="100">
        <f t="shared" si="2"/>
        <v>0.99344805194805208</v>
      </c>
      <c r="J52" s="74">
        <f t="shared" si="3"/>
        <v>14.803441558441563</v>
      </c>
      <c r="K52">
        <f>VLOOKUP(C52,'RAW DATA 2023'!E:BO,12,0)</f>
        <v>1</v>
      </c>
      <c r="L52" s="268">
        <f t="shared" si="4"/>
        <v>14.803441558441563</v>
      </c>
      <c r="M52"/>
    </row>
    <row r="53" spans="1:13">
      <c r="A53" s="64" t="str">
        <f>'RAW DATA 2023'!B46</f>
        <v>Petchburi5</v>
      </c>
      <c r="B53" s="64" t="str">
        <f>'RAW DATA 2023'!D46</f>
        <v>B1-116-0007</v>
      </c>
      <c r="C53" s="63" t="str">
        <f t="shared" si="0"/>
        <v>Petchburi5B1-116-0007</v>
      </c>
      <c r="D53" s="63">
        <f>VLOOKUP(C53,'RAW DATA 2023'!E:BP,63,0)</f>
        <v>9</v>
      </c>
      <c r="E53" s="63" t="str">
        <f t="shared" si="1"/>
        <v>Petchburi59</v>
      </c>
      <c r="F53" s="79">
        <f>ROUND(VLOOKUP(C53,'RAW DATA 2023'!E:BO,23,0),0)</f>
        <v>30</v>
      </c>
      <c r="G53" s="79">
        <f>VLOOKUP(C53,'RAW DATA 2023'!E:BO,24,0)</f>
        <v>101.38799999999999</v>
      </c>
      <c r="H53" s="79">
        <f>IFERROR(VLOOKUP(F53,STD!B:G,2,FALSE),"")</f>
        <v>76</v>
      </c>
      <c r="I53" s="100">
        <f t="shared" si="2"/>
        <v>1.3340526315789472</v>
      </c>
      <c r="J53" s="74">
        <f t="shared" si="3"/>
        <v>25.021578947368415</v>
      </c>
      <c r="K53">
        <f>VLOOKUP(C53,'RAW DATA 2023'!E:BO,12,0)</f>
        <v>1</v>
      </c>
      <c r="L53" s="268">
        <f t="shared" si="4"/>
        <v>25.021578947368415</v>
      </c>
      <c r="M53"/>
    </row>
    <row r="54" spans="1:13">
      <c r="A54" s="64" t="str">
        <f>'RAW DATA 2023'!B47</f>
        <v>Petchburi5</v>
      </c>
      <c r="B54" s="64" t="str">
        <f>'RAW DATA 2023'!D47</f>
        <v>B1-125-0008</v>
      </c>
      <c r="C54" s="63" t="str">
        <f t="shared" si="0"/>
        <v>Petchburi5B1-125-0008</v>
      </c>
      <c r="D54" s="63">
        <f>VLOOKUP(C54,'RAW DATA 2023'!E:BP,63,0)</f>
        <v>6</v>
      </c>
      <c r="E54" s="63" t="str">
        <f t="shared" si="1"/>
        <v>Petchburi56</v>
      </c>
      <c r="F54" s="79">
        <f>ROUND(VLOOKUP(C54,'RAW DATA 2023'!E:BO,23,0),0)</f>
        <v>31</v>
      </c>
      <c r="G54" s="79">
        <f>VLOOKUP(C54,'RAW DATA 2023'!E:BO,24,0)</f>
        <v>82.171199999999999</v>
      </c>
      <c r="H54" s="79">
        <f>IFERROR(VLOOKUP(F54,STD!B:G,2,FALSE),"")</f>
        <v>76</v>
      </c>
      <c r="I54" s="100">
        <f t="shared" si="2"/>
        <v>1.0811999999999999</v>
      </c>
      <c r="J54" s="74">
        <f t="shared" si="3"/>
        <v>17.436</v>
      </c>
      <c r="K54">
        <f>VLOOKUP(C54,'RAW DATA 2023'!E:BO,12,0)</f>
        <v>0.75</v>
      </c>
      <c r="L54" s="268">
        <f t="shared" si="4"/>
        <v>13.077</v>
      </c>
      <c r="M54"/>
    </row>
    <row r="55" spans="1:13">
      <c r="A55" s="64" t="str">
        <f>'RAW DATA 2023'!B48</f>
        <v>Petchburi5</v>
      </c>
      <c r="B55" s="64" t="str">
        <f>'RAW DATA 2023'!D48</f>
        <v>B1-126-0008</v>
      </c>
      <c r="C55" s="63" t="str">
        <f t="shared" si="0"/>
        <v>Petchburi5B1-126-0008</v>
      </c>
      <c r="D55" s="63">
        <f>VLOOKUP(C55,'RAW DATA 2023'!E:BP,63,0)</f>
        <v>6</v>
      </c>
      <c r="E55" s="63" t="str">
        <f t="shared" si="1"/>
        <v>Petchburi56</v>
      </c>
      <c r="F55" s="79">
        <f>ROUND(VLOOKUP(C55,'RAW DATA 2023'!E:BO,23,0),0)</f>
        <v>37</v>
      </c>
      <c r="G55" s="79">
        <f>VLOOKUP(C55,'RAW DATA 2023'!E:BO,24,0)</f>
        <v>100.018</v>
      </c>
      <c r="H55" s="79">
        <f>IFERROR(VLOOKUP(F55,STD!B:G,2,FALSE),"")</f>
        <v>81</v>
      </c>
      <c r="I55" s="100">
        <f t="shared" si="2"/>
        <v>1.2347901234567902</v>
      </c>
      <c r="J55" s="74">
        <f t="shared" si="3"/>
        <v>22.043703703703706</v>
      </c>
      <c r="K55">
        <f>VLOOKUP(C55,'RAW DATA 2023'!E:BO,12,0)</f>
        <v>1</v>
      </c>
      <c r="L55" s="268">
        <f t="shared" si="4"/>
        <v>22.043703703703706</v>
      </c>
      <c r="M55"/>
    </row>
    <row r="56" spans="1:13">
      <c r="A56" s="64" t="str">
        <f>'RAW DATA 2023'!B49</f>
        <v>Petchburi5</v>
      </c>
      <c r="B56" s="64" t="str">
        <f>'RAW DATA 2023'!D49</f>
        <v>B1-115-0008</v>
      </c>
      <c r="C56" s="63" t="str">
        <f t="shared" si="0"/>
        <v>Petchburi5B1-115-0008</v>
      </c>
      <c r="D56" s="63">
        <f>VLOOKUP(C56,'RAW DATA 2023'!E:BP,63,0)</f>
        <v>9</v>
      </c>
      <c r="E56" s="63" t="str">
        <f t="shared" si="1"/>
        <v>Petchburi59</v>
      </c>
      <c r="F56" s="79">
        <f>ROUND(VLOOKUP(C56,'RAW DATA 2023'!E:BO,23,0),0)</f>
        <v>33</v>
      </c>
      <c r="G56" s="79">
        <f>VLOOKUP(C56,'RAW DATA 2023'!E:BO,24,0)</f>
        <v>84.571333333333328</v>
      </c>
      <c r="H56" s="79">
        <f>IFERROR(VLOOKUP(F56,STD!B:G,2,FALSE),"")</f>
        <v>79</v>
      </c>
      <c r="I56" s="100">
        <f t="shared" si="2"/>
        <v>1.0705232067510548</v>
      </c>
      <c r="J56" s="74">
        <f t="shared" si="3"/>
        <v>17.115696202531645</v>
      </c>
      <c r="K56">
        <f>VLOOKUP(C56,'RAW DATA 2023'!E:BO,12,0)</f>
        <v>1.5</v>
      </c>
      <c r="L56" s="268">
        <f t="shared" si="4"/>
        <v>25.673544303797467</v>
      </c>
      <c r="M56"/>
    </row>
    <row r="57" spans="1:13">
      <c r="A57" s="64" t="str">
        <f>'RAW DATA 2023'!B50</f>
        <v>Petchburi5</v>
      </c>
      <c r="B57" s="64" t="str">
        <f>'RAW DATA 2023'!D50</f>
        <v>B1-125-0007</v>
      </c>
      <c r="C57" s="63" t="str">
        <f t="shared" si="0"/>
        <v>Petchburi5B1-125-0007</v>
      </c>
      <c r="D57" s="63">
        <f>VLOOKUP(C57,'RAW DATA 2023'!E:BP,63,0)</f>
        <v>2</v>
      </c>
      <c r="E57" s="63" t="str">
        <f t="shared" si="1"/>
        <v>Petchburi52</v>
      </c>
      <c r="F57" s="79">
        <f>ROUND(VLOOKUP(C57,'RAW DATA 2023'!E:BO,23,0),0)</f>
        <v>29</v>
      </c>
      <c r="G57" s="79">
        <f>VLOOKUP(C57,'RAW DATA 2023'!E:BO,24,0)</f>
        <v>63.790277777777781</v>
      </c>
      <c r="H57" s="79">
        <f>IFERROR(VLOOKUP(F57,STD!B:G,2,FALSE),"")</f>
        <v>76</v>
      </c>
      <c r="I57" s="100">
        <f t="shared" si="2"/>
        <v>0.83934576023391816</v>
      </c>
      <c r="J57" s="74">
        <f t="shared" si="3"/>
        <v>10.180372807017545</v>
      </c>
      <c r="K57">
        <f>VLOOKUP(C57,'RAW DATA 2023'!E:BO,12,0)</f>
        <v>0.72</v>
      </c>
      <c r="L57" s="268">
        <f t="shared" si="4"/>
        <v>7.3298684210526321</v>
      </c>
      <c r="M57"/>
    </row>
    <row r="58" spans="1:13">
      <c r="A58" s="64" t="str">
        <f>'RAW DATA 2023'!B51</f>
        <v>Petchburi5</v>
      </c>
      <c r="B58" s="64" t="str">
        <f>'RAW DATA 2023'!D51</f>
        <v>B1-127-0007</v>
      </c>
      <c r="C58" s="63" t="str">
        <f t="shared" si="0"/>
        <v>Petchburi5B1-127-0007</v>
      </c>
      <c r="D58" s="63">
        <f>VLOOKUP(C58,'RAW DATA 2023'!E:BP,63,0)</f>
        <v>1</v>
      </c>
      <c r="E58" s="63" t="str">
        <f t="shared" si="1"/>
        <v>Petchburi51</v>
      </c>
      <c r="F58" s="79">
        <f>ROUND(VLOOKUP(C58,'RAW DATA 2023'!E:BO,23,0),0)</f>
        <v>29</v>
      </c>
      <c r="G58" s="79">
        <f>VLOOKUP(C58,'RAW DATA 2023'!E:BO,24,0)</f>
        <v>82.399777777777786</v>
      </c>
      <c r="H58" s="79">
        <f>IFERROR(VLOOKUP(F58,STD!B:G,2,FALSE),"")</f>
        <v>76</v>
      </c>
      <c r="I58" s="100">
        <f t="shared" si="2"/>
        <v>1.0842076023391813</v>
      </c>
      <c r="J58" s="74">
        <f t="shared" si="3"/>
        <v>17.526228070175442</v>
      </c>
      <c r="K58">
        <f>VLOOKUP(C58,'RAW DATA 2023'!E:BO,12,0)</f>
        <v>0.45</v>
      </c>
      <c r="L58" s="268">
        <f t="shared" si="4"/>
        <v>7.8868026315789495</v>
      </c>
      <c r="M58"/>
    </row>
    <row r="59" spans="1:13">
      <c r="A59" s="64" t="str">
        <f>'RAW DATA 2023'!B52</f>
        <v>Petchburi5</v>
      </c>
      <c r="B59" s="64" t="str">
        <f>'RAW DATA 2023'!D52</f>
        <v>B1-127-0008</v>
      </c>
      <c r="C59" s="63" t="str">
        <f t="shared" si="0"/>
        <v>Petchburi5B1-127-0008</v>
      </c>
      <c r="D59" s="63">
        <f>VLOOKUP(C59,'RAW DATA 2023'!E:BP,63,0)</f>
        <v>5</v>
      </c>
      <c r="E59" s="63" t="str">
        <f t="shared" si="1"/>
        <v>Petchburi55</v>
      </c>
      <c r="F59" s="79">
        <f>ROUND(VLOOKUP(C59,'RAW DATA 2023'!E:BO,23,0),0)</f>
        <v>34</v>
      </c>
      <c r="G59" s="79">
        <f>VLOOKUP(C59,'RAW DATA 2023'!E:BO,24,0)</f>
        <v>101.98030769230768</v>
      </c>
      <c r="H59" s="79">
        <f>IFERROR(VLOOKUP(F59,STD!B:G,2,FALSE),"")</f>
        <v>80</v>
      </c>
      <c r="I59" s="100">
        <f t="shared" si="2"/>
        <v>1.2747538461538459</v>
      </c>
      <c r="J59" s="74">
        <f t="shared" si="3"/>
        <v>23.242615384615377</v>
      </c>
      <c r="K59">
        <f>VLOOKUP(C59,'RAW DATA 2023'!E:BO,12,0)</f>
        <v>0.65</v>
      </c>
      <c r="L59" s="268">
        <f t="shared" si="4"/>
        <v>15.107699999999996</v>
      </c>
      <c r="M59"/>
    </row>
    <row r="60" spans="1:13">
      <c r="A60" s="64" t="str">
        <f>'RAW DATA 2023'!B53</f>
        <v>Petchburi5</v>
      </c>
      <c r="B60" s="64" t="str">
        <f>'RAW DATA 2023'!D53</f>
        <v>B1-116-0006</v>
      </c>
      <c r="C60" s="63" t="str">
        <f t="shared" si="0"/>
        <v>Petchburi5B1-116-0006</v>
      </c>
      <c r="D60" s="63">
        <f>VLOOKUP(C60,'RAW DATA 2023'!E:BP,63,0)</f>
        <v>4</v>
      </c>
      <c r="E60" s="63" t="str">
        <f t="shared" si="1"/>
        <v>Petchburi54</v>
      </c>
      <c r="F60" s="79">
        <f>ROUND(VLOOKUP(C60,'RAW DATA 2023'!E:BO,23,0),0)</f>
        <v>29</v>
      </c>
      <c r="G60" s="79">
        <f>VLOOKUP(C60,'RAW DATA 2023'!E:BO,24,0)</f>
        <v>91.355099999999993</v>
      </c>
      <c r="H60" s="79">
        <f>IFERROR(VLOOKUP(F60,STD!B:G,2,FALSE),"")</f>
        <v>76</v>
      </c>
      <c r="I60" s="100">
        <f t="shared" si="2"/>
        <v>1.2020407894736842</v>
      </c>
      <c r="J60" s="74">
        <f t="shared" si="3"/>
        <v>21.061223684210525</v>
      </c>
      <c r="K60">
        <f>VLOOKUP(C60,'RAW DATA 2023'!E:BO,12,0)</f>
        <v>1</v>
      </c>
      <c r="L60" s="268">
        <f t="shared" si="4"/>
        <v>21.061223684210525</v>
      </c>
      <c r="M60"/>
    </row>
    <row r="61" spans="1:13">
      <c r="A61" s="64" t="str">
        <f>'RAW DATA 2023'!B54</f>
        <v>Petchburi5</v>
      </c>
      <c r="B61" s="64" t="str">
        <f>'RAW DATA 2023'!D54</f>
        <v>B1-115-0007</v>
      </c>
      <c r="C61" s="63" t="str">
        <f t="shared" si="0"/>
        <v>Petchburi5B1-115-0007</v>
      </c>
      <c r="D61" s="63">
        <f>VLOOKUP(C61,'RAW DATA 2023'!E:BP,63,0)</f>
        <v>4</v>
      </c>
      <c r="E61" s="63" t="str">
        <f t="shared" si="1"/>
        <v>Petchburi54</v>
      </c>
      <c r="F61" s="79">
        <f>ROUND(VLOOKUP(C61,'RAW DATA 2023'!E:BO,23,0),0)</f>
        <v>28</v>
      </c>
      <c r="G61" s="79">
        <f>VLOOKUP(C61,'RAW DATA 2023'!E:BO,24,0)</f>
        <v>84.440333333333328</v>
      </c>
      <c r="H61" s="79">
        <f>IFERROR(VLOOKUP(F61,STD!B:G,2,FALSE),"")</f>
        <v>75</v>
      </c>
      <c r="I61" s="100">
        <f t="shared" si="2"/>
        <v>1.125871111111111</v>
      </c>
      <c r="J61" s="74">
        <f t="shared" si="3"/>
        <v>18.77613333333333</v>
      </c>
      <c r="K61">
        <f>VLOOKUP(C61,'RAW DATA 2023'!E:BO,12,0)</f>
        <v>0.9</v>
      </c>
      <c r="L61" s="268">
        <f t="shared" si="4"/>
        <v>16.898519999999998</v>
      </c>
      <c r="M61"/>
    </row>
    <row r="62" spans="1:13">
      <c r="A62" s="64" t="str">
        <f>'RAW DATA 2023'!B55</f>
        <v>Petchburi5</v>
      </c>
      <c r="B62" s="64" t="str">
        <f>'RAW DATA 2023'!D55</f>
        <v>B1-124-0007</v>
      </c>
      <c r="C62" s="63" t="str">
        <f t="shared" si="0"/>
        <v>Petchburi5B1-124-0007</v>
      </c>
      <c r="D62" s="63">
        <f>VLOOKUP(C62,'RAW DATA 2023'!E:BP,63,0)</f>
        <v>3</v>
      </c>
      <c r="E62" s="63" t="str">
        <f t="shared" si="1"/>
        <v>Petchburi53</v>
      </c>
      <c r="F62" s="79">
        <f>ROUND(VLOOKUP(C62,'RAW DATA 2023'!E:BO,23,0),0)</f>
        <v>29</v>
      </c>
      <c r="G62" s="79">
        <f>VLOOKUP(C62,'RAW DATA 2023'!E:BO,24,0)</f>
        <v>77.552222222222227</v>
      </c>
      <c r="H62" s="79">
        <f>IFERROR(VLOOKUP(F62,STD!B:G,2,FALSE),"")</f>
        <v>76</v>
      </c>
      <c r="I62" s="100">
        <f t="shared" si="2"/>
        <v>1.0204239766081873</v>
      </c>
      <c r="J62" s="74">
        <f t="shared" si="3"/>
        <v>15.612719298245619</v>
      </c>
      <c r="K62">
        <f>VLOOKUP(C62,'RAW DATA 2023'!E:BO,12,0)</f>
        <v>0.54</v>
      </c>
      <c r="L62" s="268">
        <f t="shared" si="4"/>
        <v>8.4308684210526348</v>
      </c>
      <c r="M62"/>
    </row>
    <row r="63" spans="1:13">
      <c r="A63" s="64" t="str">
        <f>'RAW DATA 2023'!B56</f>
        <v>Petchburi5</v>
      </c>
      <c r="B63" s="64" t="str">
        <f>'RAW DATA 2023'!D56</f>
        <v>B1-126-0007</v>
      </c>
      <c r="C63" s="63" t="str">
        <f t="shared" si="0"/>
        <v>Petchburi5B1-126-0007</v>
      </c>
      <c r="D63" s="63">
        <f>VLOOKUP(C63,'RAW DATA 2023'!E:BP,63,0)</f>
        <v>3</v>
      </c>
      <c r="E63" s="63" t="str">
        <f t="shared" si="1"/>
        <v>Petchburi53</v>
      </c>
      <c r="F63" s="79">
        <f>ROUND(VLOOKUP(C63,'RAW DATA 2023'!E:BO,23,0),0)</f>
        <v>36</v>
      </c>
      <c r="G63" s="79">
        <f>VLOOKUP(C63,'RAW DATA 2023'!E:BO,24,0)</f>
        <v>80.946266666666673</v>
      </c>
      <c r="H63" s="79">
        <f>IFERROR(VLOOKUP(F63,STD!B:G,2,FALSE),"")</f>
        <v>81</v>
      </c>
      <c r="I63" s="100">
        <f t="shared" si="2"/>
        <v>0.99933662551440339</v>
      </c>
      <c r="J63" s="74">
        <f t="shared" si="3"/>
        <v>14.980098765432102</v>
      </c>
      <c r="K63">
        <f>VLOOKUP(C63,'RAW DATA 2023'!E:BO,12,0)</f>
        <v>0.75</v>
      </c>
      <c r="L63" s="268">
        <f t="shared" si="4"/>
        <v>11.235074074074076</v>
      </c>
      <c r="M63"/>
    </row>
    <row r="64" spans="1:13">
      <c r="A64" s="64" t="str">
        <f>'RAW DATA 2023'!B57</f>
        <v>Petchburi5</v>
      </c>
      <c r="B64" s="64" t="str">
        <f>'RAW DATA 2023'!D57</f>
        <v>B1-115-0009</v>
      </c>
      <c r="C64" s="63" t="str">
        <f t="shared" si="0"/>
        <v>Petchburi5B1-115-0009</v>
      </c>
      <c r="D64" s="63">
        <f>VLOOKUP(C64,'RAW DATA 2023'!E:BP,63,0)</f>
        <v>12</v>
      </c>
      <c r="E64" s="63" t="str">
        <f t="shared" si="1"/>
        <v>Petchburi512</v>
      </c>
      <c r="F64" s="79">
        <f>ROUND(VLOOKUP(C64,'RAW DATA 2023'!E:BO,23,0),0)</f>
        <v>34</v>
      </c>
      <c r="G64" s="79">
        <f>VLOOKUP(C64,'RAW DATA 2023'!E:BO,24,0)</f>
        <v>82.440299999999993</v>
      </c>
      <c r="H64" s="79">
        <f>IFERROR(VLOOKUP(F64,STD!B:G,2,FALSE),"")</f>
        <v>80</v>
      </c>
      <c r="I64" s="100">
        <f t="shared" si="2"/>
        <v>1.0305037499999998</v>
      </c>
      <c r="J64" s="74">
        <f t="shared" si="3"/>
        <v>15.915112499999996</v>
      </c>
      <c r="K64">
        <f>VLOOKUP(C64,'RAW DATA 2023'!E:BO,12,0)</f>
        <v>1</v>
      </c>
      <c r="L64" s="268">
        <f t="shared" si="4"/>
        <v>15.915112499999996</v>
      </c>
      <c r="M64"/>
    </row>
    <row r="65" spans="1:13">
      <c r="A65" s="64" t="str">
        <f>'RAW DATA 2023'!B58</f>
        <v>Petchburi5</v>
      </c>
      <c r="B65" s="64" t="str">
        <f>'RAW DATA 2023'!D58</f>
        <v>B1-116-0008</v>
      </c>
      <c r="C65" s="63" t="str">
        <f t="shared" si="0"/>
        <v>Petchburi5B1-116-0008</v>
      </c>
      <c r="D65" s="63">
        <f>VLOOKUP(C65,'RAW DATA 2023'!E:BP,63,0)</f>
        <v>12</v>
      </c>
      <c r="E65" s="63" t="str">
        <f t="shared" si="1"/>
        <v>Petchburi512</v>
      </c>
      <c r="F65" s="79">
        <f>ROUND(VLOOKUP(C65,'RAW DATA 2023'!E:BO,23,0),0)</f>
        <v>49</v>
      </c>
      <c r="G65" s="79">
        <f>VLOOKUP(C65,'RAW DATA 2023'!E:BO,24,0)</f>
        <v>84.6203</v>
      </c>
      <c r="H65" s="79">
        <f>IFERROR(VLOOKUP(F65,STD!B:G,2,FALSE),"")</f>
        <v>84</v>
      </c>
      <c r="I65" s="100">
        <f t="shared" si="2"/>
        <v>1.0073845238095238</v>
      </c>
      <c r="J65" s="74">
        <f t="shared" si="3"/>
        <v>15.221535714285714</v>
      </c>
      <c r="K65">
        <f>VLOOKUP(C65,'RAW DATA 2023'!E:BO,12,0)</f>
        <v>1</v>
      </c>
      <c r="L65" s="268">
        <f t="shared" si="4"/>
        <v>15.221535714285714</v>
      </c>
      <c r="M65"/>
    </row>
    <row r="66" spans="1:13">
      <c r="A66" s="64" t="str">
        <f>'RAW DATA 2023'!B59</f>
        <v>Petchburi5</v>
      </c>
      <c r="B66" s="64" t="str">
        <f>'RAW DATA 2023'!D59</f>
        <v>AG-002-0013</v>
      </c>
      <c r="C66" s="63" t="str">
        <f t="shared" si="0"/>
        <v>Petchburi5AG-002-0013</v>
      </c>
      <c r="D66" s="63">
        <f>VLOOKUP(C66,'RAW DATA 2023'!E:BP,63,0)</f>
        <v>8</v>
      </c>
      <c r="E66" s="63" t="str">
        <f t="shared" si="1"/>
        <v>Petchburi58</v>
      </c>
      <c r="F66" s="79">
        <f>ROUND(VLOOKUP(C66,'RAW DATA 2023'!E:BO,23,0),0)</f>
        <v>29</v>
      </c>
      <c r="G66" s="79">
        <f>VLOOKUP(C66,'RAW DATA 2023'!E:BO,24,0)</f>
        <v>56.454124999999998</v>
      </c>
      <c r="H66" s="79">
        <f>IFERROR(VLOOKUP(F66,STD!B:G,2,FALSE),"")</f>
        <v>76</v>
      </c>
      <c r="I66" s="100">
        <f t="shared" si="2"/>
        <v>0.74281743421052626</v>
      </c>
      <c r="J66" s="74">
        <f t="shared" si="3"/>
        <v>7.2845230263157879</v>
      </c>
      <c r="K66">
        <f>VLOOKUP(C66,'RAW DATA 2023'!E:BO,12,0)</f>
        <v>0.8</v>
      </c>
      <c r="L66" s="268">
        <f t="shared" si="4"/>
        <v>5.8276184210526303</v>
      </c>
      <c r="M66"/>
    </row>
    <row r="67" spans="1:13">
      <c r="A67" s="64" t="str">
        <f>'RAW DATA 2023'!B60</f>
        <v>Petchburi5</v>
      </c>
      <c r="B67" s="64" t="str">
        <f>'RAW DATA 2023'!D60</f>
        <v>AG-003-0011</v>
      </c>
      <c r="C67" s="63" t="str">
        <f t="shared" si="0"/>
        <v>Petchburi5AG-003-0011</v>
      </c>
      <c r="D67" s="63">
        <f>VLOOKUP(C67,'RAW DATA 2023'!E:BP,63,0)</f>
        <v>1</v>
      </c>
      <c r="E67" s="63" t="str">
        <f t="shared" si="1"/>
        <v>Petchburi51</v>
      </c>
      <c r="F67" s="79">
        <f>ROUND(VLOOKUP(C67,'RAW DATA 2023'!E:BO,23,0),0)</f>
        <v>27</v>
      </c>
      <c r="G67" s="79">
        <f>VLOOKUP(C67,'RAW DATA 2023'!E:BO,24,0)</f>
        <v>67.221666666666664</v>
      </c>
      <c r="H67" s="79">
        <f>IFERROR(VLOOKUP(F67,STD!B:G,2,FALSE),"")</f>
        <v>75</v>
      </c>
      <c r="I67" s="100">
        <f t="shared" si="2"/>
        <v>0.8962888888888888</v>
      </c>
      <c r="J67" s="74">
        <f t="shared" si="3"/>
        <v>11.888666666666664</v>
      </c>
      <c r="K67">
        <f>VLOOKUP(C67,'RAW DATA 2023'!E:BO,12,0)</f>
        <v>0.72</v>
      </c>
      <c r="L67" s="268">
        <f t="shared" si="4"/>
        <v>8.5598399999999977</v>
      </c>
      <c r="M67"/>
    </row>
    <row r="68" spans="1:13">
      <c r="A68" s="64" t="str">
        <f>'RAW DATA 2023'!B61</f>
        <v>Petchburi5</v>
      </c>
      <c r="B68" s="64" t="str">
        <f>'RAW DATA 2023'!D61</f>
        <v>AG-006-0010</v>
      </c>
      <c r="C68" s="63" t="str">
        <f t="shared" si="0"/>
        <v>Petchburi5AG-006-0010</v>
      </c>
      <c r="D68" s="63">
        <f>VLOOKUP(C68,'RAW DATA 2023'!E:BP,63,0)</f>
        <v>1</v>
      </c>
      <c r="E68" s="63" t="str">
        <f t="shared" si="1"/>
        <v>Petchburi51</v>
      </c>
      <c r="F68" s="79">
        <f>ROUND(VLOOKUP(C68,'RAW DATA 2023'!E:BO,23,0),0)</f>
        <v>29</v>
      </c>
      <c r="G68" s="79">
        <f>VLOOKUP(C68,'RAW DATA 2023'!E:BO,24,0)</f>
        <v>98.364861111111111</v>
      </c>
      <c r="H68" s="79">
        <f>IFERROR(VLOOKUP(F68,STD!B:G,2,FALSE),"")</f>
        <v>76</v>
      </c>
      <c r="I68" s="100">
        <f t="shared" si="2"/>
        <v>1.2942744883040935</v>
      </c>
      <c r="J68" s="74">
        <f t="shared" si="3"/>
        <v>23.828234649122805</v>
      </c>
      <c r="K68">
        <f>VLOOKUP(C68,'RAW DATA 2023'!E:BO,12,0)</f>
        <v>0.72</v>
      </c>
      <c r="L68" s="268">
        <f t="shared" si="4"/>
        <v>17.156328947368419</v>
      </c>
      <c r="M68"/>
    </row>
    <row r="69" spans="1:13">
      <c r="A69" s="64" t="str">
        <f>'RAW DATA 2023'!B62</f>
        <v>Petchburi5</v>
      </c>
      <c r="B69" s="64" t="str">
        <f>'RAW DATA 2023'!D62</f>
        <v>AG-006-0012</v>
      </c>
      <c r="C69" s="63" t="str">
        <f t="shared" si="0"/>
        <v>Petchburi5AG-006-0012</v>
      </c>
      <c r="D69" s="63">
        <f>VLOOKUP(C69,'RAW DATA 2023'!E:BP,63,0)</f>
        <v>10</v>
      </c>
      <c r="E69" s="63" t="str">
        <f t="shared" si="1"/>
        <v>Petchburi510</v>
      </c>
      <c r="F69" s="79">
        <f>ROUND(VLOOKUP(C69,'RAW DATA 2023'!E:BO,23,0),0)</f>
        <v>35</v>
      </c>
      <c r="G69" s="79">
        <f>VLOOKUP(C69,'RAW DATA 2023'!E:BO,24,0)</f>
        <v>68.137499999999989</v>
      </c>
      <c r="H69" s="79">
        <f>IFERROR(VLOOKUP(F69,STD!B:G,2,FALSE),"")</f>
        <v>80</v>
      </c>
      <c r="I69" s="100">
        <f t="shared" si="2"/>
        <v>0.85171874999999986</v>
      </c>
      <c r="J69" s="74">
        <f t="shared" si="3"/>
        <v>10.551562499999996</v>
      </c>
      <c r="K69">
        <f>VLOOKUP(C69,'RAW DATA 2023'!E:BO,12,0)</f>
        <v>1</v>
      </c>
      <c r="L69" s="268">
        <f t="shared" si="4"/>
        <v>10.551562499999996</v>
      </c>
      <c r="M69"/>
    </row>
    <row r="70" spans="1:13">
      <c r="A70" s="64" t="str">
        <f>'RAW DATA 2023'!B63</f>
        <v>Petchburi5</v>
      </c>
      <c r="B70" s="64" t="str">
        <f>'RAW DATA 2023'!D63</f>
        <v>AG-001-0013</v>
      </c>
      <c r="C70" s="63" t="str">
        <f t="shared" si="0"/>
        <v>Petchburi5AG-001-0013</v>
      </c>
      <c r="D70" s="63">
        <f>VLOOKUP(C70,'RAW DATA 2023'!E:BP,63,0)</f>
        <v>6</v>
      </c>
      <c r="E70" s="63" t="str">
        <f t="shared" si="1"/>
        <v>Petchburi56</v>
      </c>
      <c r="F70" s="79">
        <f>ROUND(VLOOKUP(C70,'RAW DATA 2023'!E:BO,23,0),0)</f>
        <v>44</v>
      </c>
      <c r="G70" s="79">
        <f>VLOOKUP(C70,'RAW DATA 2023'!E:BO,24,0)</f>
        <v>54.468375000000002</v>
      </c>
      <c r="H70" s="79">
        <f>IFERROR(VLOOKUP(F70,STD!B:G,2,FALSE),"")</f>
        <v>83</v>
      </c>
      <c r="I70" s="100">
        <f t="shared" si="2"/>
        <v>0.65624548192771082</v>
      </c>
      <c r="J70" s="74">
        <f t="shared" si="3"/>
        <v>4.6873644578313245</v>
      </c>
      <c r="K70">
        <f>VLOOKUP(C70,'RAW DATA 2023'!E:BO,12,0)</f>
        <v>0.8</v>
      </c>
      <c r="L70" s="268">
        <f t="shared" si="4"/>
        <v>3.7498915662650596</v>
      </c>
      <c r="M70"/>
    </row>
    <row r="71" spans="1:13">
      <c r="A71" s="64" t="str">
        <f>'RAW DATA 2023'!B64</f>
        <v>Petchburi5</v>
      </c>
      <c r="B71" s="64" t="str">
        <f>'RAW DATA 2023'!D64</f>
        <v>AG-001-0014</v>
      </c>
      <c r="C71" s="63" t="str">
        <f t="shared" si="0"/>
        <v>Petchburi5AG-001-0014</v>
      </c>
      <c r="D71" s="63">
        <f>VLOOKUP(C71,'RAW DATA 2023'!E:BP,63,0)</f>
        <v>11</v>
      </c>
      <c r="E71" s="63" t="str">
        <f t="shared" si="1"/>
        <v>Petchburi511</v>
      </c>
      <c r="F71" s="79">
        <f>ROUND(VLOOKUP(C71,'RAW DATA 2023'!E:BO,23,0),0)</f>
        <v>33</v>
      </c>
      <c r="G71" s="79">
        <f>VLOOKUP(C71,'RAW DATA 2023'!E:BO,24,0)</f>
        <v>87.16225</v>
      </c>
      <c r="H71" s="79">
        <f>IFERROR(VLOOKUP(F71,STD!B:G,2,FALSE),"")</f>
        <v>79</v>
      </c>
      <c r="I71" s="100">
        <f t="shared" si="2"/>
        <v>1.1033196202531645</v>
      </c>
      <c r="J71" s="74">
        <f t="shared" si="3"/>
        <v>18.099588607594935</v>
      </c>
      <c r="K71">
        <f>VLOOKUP(C71,'RAW DATA 2023'!E:BO,12,0)</f>
        <v>0.8</v>
      </c>
      <c r="L71" s="268">
        <f t="shared" si="4"/>
        <v>14.479670886075949</v>
      </c>
      <c r="M71"/>
    </row>
    <row r="72" spans="1:13">
      <c r="A72" s="64" t="str">
        <f>'RAW DATA 2023'!B65</f>
        <v>Petchburi5</v>
      </c>
      <c r="B72" s="64" t="str">
        <f>'RAW DATA 2023'!D65</f>
        <v>AG-004-0012</v>
      </c>
      <c r="C72" s="63" t="str">
        <f t="shared" si="0"/>
        <v>Petchburi5AG-004-0012</v>
      </c>
      <c r="D72" s="63">
        <f>VLOOKUP(C72,'RAW DATA 2023'!E:BP,63,0)</f>
        <v>10</v>
      </c>
      <c r="E72" s="63" t="str">
        <f t="shared" si="1"/>
        <v>Petchburi510</v>
      </c>
      <c r="F72" s="79">
        <f>ROUND(VLOOKUP(C72,'RAW DATA 2023'!E:BO,23,0),0)</f>
        <v>39</v>
      </c>
      <c r="G72" s="79">
        <f>VLOOKUP(C72,'RAW DATA 2023'!E:BO,24,0)</f>
        <v>71.670900000000003</v>
      </c>
      <c r="H72" s="79">
        <f>IFERROR(VLOOKUP(F72,STD!B:G,2,FALSE),"")</f>
        <v>82</v>
      </c>
      <c r="I72" s="100">
        <f t="shared" si="2"/>
        <v>0.8740353658536586</v>
      </c>
      <c r="J72" s="74">
        <f t="shared" si="3"/>
        <v>11.221060975609758</v>
      </c>
      <c r="K72">
        <f>VLOOKUP(C72,'RAW DATA 2023'!E:BO,12,0)</f>
        <v>1</v>
      </c>
      <c r="L72" s="268">
        <f t="shared" si="4"/>
        <v>11.221060975609758</v>
      </c>
      <c r="M72"/>
    </row>
    <row r="73" spans="1:13">
      <c r="A73" s="64" t="str">
        <f>'RAW DATA 2023'!B66</f>
        <v>Petchburi5</v>
      </c>
      <c r="B73" s="64" t="str">
        <f>'RAW DATA 2023'!D66</f>
        <v>AG-001-0012</v>
      </c>
      <c r="C73" s="63" t="str">
        <f t="shared" si="0"/>
        <v>Petchburi5AG-001-0012</v>
      </c>
      <c r="D73" s="63">
        <f>VLOOKUP(C73,'RAW DATA 2023'!E:BP,63,0)</f>
        <v>3</v>
      </c>
      <c r="E73" s="63" t="str">
        <f t="shared" si="1"/>
        <v>Petchburi53</v>
      </c>
      <c r="F73" s="79">
        <f>ROUND(VLOOKUP(C73,'RAW DATA 2023'!E:BO,23,0),0)</f>
        <v>30</v>
      </c>
      <c r="G73" s="79">
        <f>VLOOKUP(C73,'RAW DATA 2023'!E:BO,24,0)</f>
        <v>78.375833333333333</v>
      </c>
      <c r="H73" s="79">
        <f>IFERROR(VLOOKUP(F73,STD!B:G,2,FALSE),"")</f>
        <v>76</v>
      </c>
      <c r="I73" s="100">
        <f t="shared" si="2"/>
        <v>1.0312609649122806</v>
      </c>
      <c r="J73" s="74">
        <f t="shared" si="3"/>
        <v>15.937828947368418</v>
      </c>
      <c r="K73">
        <f>VLOOKUP(C73,'RAW DATA 2023'!E:BO,12,0)</f>
        <v>0.72</v>
      </c>
      <c r="L73" s="268">
        <f t="shared" si="4"/>
        <v>11.475236842105261</v>
      </c>
      <c r="M73"/>
    </row>
    <row r="74" spans="1:13">
      <c r="A74" s="64" t="str">
        <f>'RAW DATA 2023'!B67</f>
        <v>Petchburi5</v>
      </c>
      <c r="B74" s="64" t="str">
        <f>'RAW DATA 2023'!D67</f>
        <v>AG-003-0012</v>
      </c>
      <c r="C74" s="63" t="str">
        <f t="shared" ref="C74:C137" si="5">A74&amp;B74</f>
        <v>Petchburi5AG-003-0012</v>
      </c>
      <c r="D74" s="63">
        <f>VLOOKUP(C74,'RAW DATA 2023'!E:BP,63,0)</f>
        <v>6</v>
      </c>
      <c r="E74" s="63" t="str">
        <f t="shared" ref="E74:E137" si="6">A74&amp;D74</f>
        <v>Petchburi56</v>
      </c>
      <c r="F74" s="79">
        <f>ROUND(VLOOKUP(C74,'RAW DATA 2023'!E:BO,23,0),0)</f>
        <v>30</v>
      </c>
      <c r="G74" s="79">
        <f>VLOOKUP(C74,'RAW DATA 2023'!E:BO,24,0)</f>
        <v>88.225416666666661</v>
      </c>
      <c r="H74" s="79">
        <f>IFERROR(VLOOKUP(F74,STD!B:G,2,FALSE),"")</f>
        <v>76</v>
      </c>
      <c r="I74" s="100">
        <f t="shared" si="2"/>
        <v>1.160860745614035</v>
      </c>
      <c r="J74" s="74">
        <f t="shared" si="3"/>
        <v>19.825822368421051</v>
      </c>
      <c r="K74">
        <f>VLOOKUP(C74,'RAW DATA 2023'!E:BO,12,0)</f>
        <v>0.72</v>
      </c>
      <c r="L74" s="268">
        <f t="shared" si="4"/>
        <v>14.274592105263157</v>
      </c>
      <c r="M74"/>
    </row>
    <row r="75" spans="1:13">
      <c r="A75" s="64" t="str">
        <f>'RAW DATA 2023'!B68</f>
        <v>Petchburi5</v>
      </c>
      <c r="B75" s="64" t="str">
        <f>'RAW DATA 2023'!D68</f>
        <v>AG-005-0012</v>
      </c>
      <c r="C75" s="63" t="str">
        <f t="shared" si="5"/>
        <v>Petchburi5AG-005-0012</v>
      </c>
      <c r="D75" s="63">
        <f>VLOOKUP(C75,'RAW DATA 2023'!E:BP,63,0)</f>
        <v>10</v>
      </c>
      <c r="E75" s="63" t="str">
        <f t="shared" si="6"/>
        <v>Petchburi510</v>
      </c>
      <c r="F75" s="79">
        <f>ROUND(VLOOKUP(C75,'RAW DATA 2023'!E:BO,23,0),0)</f>
        <v>32</v>
      </c>
      <c r="G75" s="79">
        <f>VLOOKUP(C75,'RAW DATA 2023'!E:BO,24,0)</f>
        <v>69.174300000000002</v>
      </c>
      <c r="H75" s="79">
        <f>IFERROR(VLOOKUP(F75,STD!B:G,2,FALSE),"")</f>
        <v>77</v>
      </c>
      <c r="I75" s="100">
        <f t="shared" ref="I75:I138" si="7">IFERROR(G75/H75,0)</f>
        <v>0.89836753246753254</v>
      </c>
      <c r="J75" s="74">
        <f t="shared" ref="J75:J138" si="8">(I75-$E$4)*$E$7</f>
        <v>11.951025974025976</v>
      </c>
      <c r="K75">
        <f>VLOOKUP(C75,'RAW DATA 2023'!E:BO,12,0)</f>
        <v>1</v>
      </c>
      <c r="L75" s="268">
        <f t="shared" ref="L75:L138" si="9">J75*K75</f>
        <v>11.951025974025976</v>
      </c>
      <c r="M75"/>
    </row>
    <row r="76" spans="1:13">
      <c r="A76" s="64" t="str">
        <f>'RAW DATA 2023'!B69</f>
        <v>Petchburi5</v>
      </c>
      <c r="B76" s="64" t="str">
        <f>'RAW DATA 2023'!D69</f>
        <v>AG-003-0013</v>
      </c>
      <c r="C76" s="63" t="str">
        <f t="shared" si="5"/>
        <v>Petchburi5AG-003-0013</v>
      </c>
      <c r="D76" s="63">
        <f>VLOOKUP(C76,'RAW DATA 2023'!E:BP,63,0)</f>
        <v>10</v>
      </c>
      <c r="E76" s="63" t="str">
        <f t="shared" si="6"/>
        <v>Petchburi510</v>
      </c>
      <c r="F76" s="79">
        <f>ROUND(VLOOKUP(C76,'RAW DATA 2023'!E:BO,23,0),0)</f>
        <v>35</v>
      </c>
      <c r="G76" s="79">
        <f>VLOOKUP(C76,'RAW DATA 2023'!E:BO,24,0)</f>
        <v>40.552300000000002</v>
      </c>
      <c r="H76" s="79">
        <f>IFERROR(VLOOKUP(F76,STD!B:G,2,FALSE),"")</f>
        <v>80</v>
      </c>
      <c r="I76" s="100">
        <f t="shared" si="7"/>
        <v>0.50690374999999999</v>
      </c>
      <c r="J76" s="74">
        <f t="shared" si="8"/>
        <v>0.20711249999999959</v>
      </c>
      <c r="K76">
        <f>VLOOKUP(C76,'RAW DATA 2023'!E:BO,12,0)</f>
        <v>1</v>
      </c>
      <c r="L76" s="268">
        <f t="shared" si="9"/>
        <v>0.20711249999999959</v>
      </c>
      <c r="M76"/>
    </row>
    <row r="77" spans="1:13">
      <c r="A77" s="64" t="str">
        <f>'RAW DATA 2023'!B70</f>
        <v>Petchburi5</v>
      </c>
      <c r="B77" s="64" t="str">
        <f>'RAW DATA 2023'!D70</f>
        <v>AG-002-0012</v>
      </c>
      <c r="C77" s="63" t="str">
        <f t="shared" si="5"/>
        <v>Petchburi5AG-002-0012</v>
      </c>
      <c r="D77" s="63">
        <f>VLOOKUP(C77,'RAW DATA 2023'!E:BP,63,0)</f>
        <v>4</v>
      </c>
      <c r="E77" s="63" t="str">
        <f t="shared" si="6"/>
        <v>Petchburi54</v>
      </c>
      <c r="F77" s="79">
        <f>ROUND(VLOOKUP(C77,'RAW DATA 2023'!E:BO,23,0),0)</f>
        <v>31</v>
      </c>
      <c r="G77" s="79">
        <f>VLOOKUP(C77,'RAW DATA 2023'!E:BO,24,0)</f>
        <v>80.419166666666669</v>
      </c>
      <c r="H77" s="79">
        <f>IFERROR(VLOOKUP(F77,STD!B:G,2,FALSE),"")</f>
        <v>76</v>
      </c>
      <c r="I77" s="100">
        <f t="shared" si="7"/>
        <v>1.0581469298245614</v>
      </c>
      <c r="J77" s="74">
        <f t="shared" si="8"/>
        <v>16.744407894736842</v>
      </c>
      <c r="K77">
        <f>VLOOKUP(C77,'RAW DATA 2023'!E:BO,12,0)</f>
        <v>0.72</v>
      </c>
      <c r="L77" s="268">
        <f t="shared" si="9"/>
        <v>12.055973684210526</v>
      </c>
      <c r="M77"/>
    </row>
    <row r="78" spans="1:13">
      <c r="A78" s="64" t="str">
        <f>'RAW DATA 2023'!B71</f>
        <v>Petchburi5</v>
      </c>
      <c r="B78" s="64" t="str">
        <f>'RAW DATA 2023'!D71</f>
        <v>AG-006-0011</v>
      </c>
      <c r="C78" s="63" t="str">
        <f t="shared" si="5"/>
        <v>Petchburi5AG-006-0011</v>
      </c>
      <c r="D78" s="63">
        <f>VLOOKUP(C78,'RAW DATA 2023'!E:BP,63,0)</f>
        <v>5</v>
      </c>
      <c r="E78" s="63" t="str">
        <f t="shared" si="6"/>
        <v>Petchburi55</v>
      </c>
      <c r="F78" s="79">
        <f>ROUND(VLOOKUP(C78,'RAW DATA 2023'!E:BO,23,0),0)</f>
        <v>32</v>
      </c>
      <c r="G78" s="79">
        <f>VLOOKUP(C78,'RAW DATA 2023'!E:BO,24,0)</f>
        <v>90.489166666666662</v>
      </c>
      <c r="H78" s="79">
        <f>IFERROR(VLOOKUP(F78,STD!B:G,2,FALSE),"")</f>
        <v>77</v>
      </c>
      <c r="I78" s="100">
        <f t="shared" si="7"/>
        <v>1.1751839826839827</v>
      </c>
      <c r="J78" s="74">
        <f t="shared" si="8"/>
        <v>20.255519480519482</v>
      </c>
      <c r="K78">
        <f>VLOOKUP(C78,'RAW DATA 2023'!E:BO,12,0)</f>
        <v>0.72</v>
      </c>
      <c r="L78" s="268">
        <f t="shared" si="9"/>
        <v>14.583974025974026</v>
      </c>
      <c r="M78"/>
    </row>
    <row r="79" spans="1:13">
      <c r="A79" s="64" t="str">
        <f>'RAW DATA 2023'!B72</f>
        <v>Petchburi5</v>
      </c>
      <c r="B79" s="64" t="str">
        <f>'RAW DATA 2023'!D72</f>
        <v>AG-004-0011</v>
      </c>
      <c r="C79" s="63" t="str">
        <f t="shared" si="5"/>
        <v>Petchburi5AG-004-0011</v>
      </c>
      <c r="D79" s="63">
        <f>VLOOKUP(C79,'RAW DATA 2023'!E:BP,63,0)</f>
        <v>5</v>
      </c>
      <c r="E79" s="63" t="str">
        <f t="shared" si="6"/>
        <v>Petchburi55</v>
      </c>
      <c r="F79" s="79">
        <f>ROUND(VLOOKUP(C79,'RAW DATA 2023'!E:BO,23,0),0)</f>
        <v>32</v>
      </c>
      <c r="G79" s="79">
        <f>VLOOKUP(C79,'RAW DATA 2023'!E:BO,24,0)</f>
        <v>78.125277777777782</v>
      </c>
      <c r="H79" s="79">
        <f>IFERROR(VLOOKUP(F79,STD!B:G,2,FALSE),"")</f>
        <v>77</v>
      </c>
      <c r="I79" s="100">
        <f t="shared" si="7"/>
        <v>1.0146139971139971</v>
      </c>
      <c r="J79" s="74">
        <f t="shared" si="8"/>
        <v>15.438419913419914</v>
      </c>
      <c r="K79">
        <f>VLOOKUP(C79,'RAW DATA 2023'!E:BO,12,0)</f>
        <v>0.72</v>
      </c>
      <c r="L79" s="268">
        <f t="shared" si="9"/>
        <v>11.115662337662338</v>
      </c>
      <c r="M79"/>
    </row>
    <row r="80" spans="1:13">
      <c r="A80" s="64" t="str">
        <f>'RAW DATA 2023'!B73</f>
        <v>Petchburi5</v>
      </c>
      <c r="B80" s="64" t="str">
        <f>'RAW DATA 2023'!D73</f>
        <v>AG-005-0011</v>
      </c>
      <c r="C80" s="63" t="str">
        <f t="shared" si="5"/>
        <v>Petchburi5AG-005-0011</v>
      </c>
      <c r="D80" s="63">
        <f>VLOOKUP(C80,'RAW DATA 2023'!E:BP,63,0)</f>
        <v>5</v>
      </c>
      <c r="E80" s="63" t="str">
        <f t="shared" si="6"/>
        <v>Petchburi55</v>
      </c>
      <c r="F80" s="79">
        <f>ROUND(VLOOKUP(C80,'RAW DATA 2023'!E:BO,23,0),0)</f>
        <v>33</v>
      </c>
      <c r="G80" s="79">
        <f>VLOOKUP(C80,'RAW DATA 2023'!E:BO,24,0)</f>
        <v>89.007222222222225</v>
      </c>
      <c r="H80" s="79">
        <f>IFERROR(VLOOKUP(F80,STD!B:G,2,FALSE),"")</f>
        <v>79</v>
      </c>
      <c r="I80" s="100">
        <f t="shared" si="7"/>
        <v>1.1266736990154711</v>
      </c>
      <c r="J80" s="74">
        <f t="shared" si="8"/>
        <v>18.800210970464132</v>
      </c>
      <c r="K80">
        <f>VLOOKUP(C80,'RAW DATA 2023'!E:BO,12,0)</f>
        <v>0.72</v>
      </c>
      <c r="L80" s="268">
        <f t="shared" si="9"/>
        <v>13.536151898734175</v>
      </c>
      <c r="M80"/>
    </row>
    <row r="81" spans="1:13">
      <c r="A81" s="64" t="str">
        <f>'RAW DATA 2023'!B74</f>
        <v>Petchburi5</v>
      </c>
      <c r="B81" s="64" t="str">
        <f>'RAW DATA 2023'!D74</f>
        <v>A1-021-0020</v>
      </c>
      <c r="C81" s="63" t="str">
        <f t="shared" si="5"/>
        <v>Petchburi5A1-021-0020</v>
      </c>
      <c r="D81" s="63">
        <f>VLOOKUP(C81,'RAW DATA 2023'!E:BP,63,0)</f>
        <v>9</v>
      </c>
      <c r="E81" s="63" t="str">
        <f t="shared" si="6"/>
        <v>Petchburi59</v>
      </c>
      <c r="F81" s="79">
        <f>ROUND(VLOOKUP(C81,'RAW DATA 2023'!E:BO,23,0),0)</f>
        <v>28</v>
      </c>
      <c r="G81" s="79">
        <f>VLOOKUP(C81,'RAW DATA 2023'!E:BO,24,0)</f>
        <v>61.598125000000003</v>
      </c>
      <c r="H81" s="79">
        <f>IFERROR(VLOOKUP(F81,STD!B:G,2,FALSE),"")</f>
        <v>75</v>
      </c>
      <c r="I81" s="100">
        <f t="shared" si="7"/>
        <v>0.82130833333333342</v>
      </c>
      <c r="J81" s="74">
        <f t="shared" si="8"/>
        <v>9.6392500000000023</v>
      </c>
      <c r="K81">
        <f>VLOOKUP(C81,'RAW DATA 2023'!E:BO,12,0)</f>
        <v>0.8</v>
      </c>
      <c r="L81" s="268">
        <f t="shared" si="9"/>
        <v>7.711400000000002</v>
      </c>
      <c r="M81"/>
    </row>
    <row r="82" spans="1:13">
      <c r="A82" s="64" t="str">
        <f>'RAW DATA 2023'!B75</f>
        <v>Petchburi5</v>
      </c>
      <c r="B82" s="64" t="str">
        <f>'RAW DATA 2023'!D75</f>
        <v>A1-034-0008</v>
      </c>
      <c r="C82" s="63" t="str">
        <f t="shared" si="5"/>
        <v>Petchburi5A1-034-0008</v>
      </c>
      <c r="D82" s="63">
        <f>VLOOKUP(C82,'RAW DATA 2023'!E:BP,63,0)</f>
        <v>5</v>
      </c>
      <c r="E82" s="63" t="str">
        <f t="shared" si="6"/>
        <v>Petchburi55</v>
      </c>
      <c r="F82" s="79">
        <f>ROUND(VLOOKUP(C82,'RAW DATA 2023'!E:BO,23,0),0)</f>
        <v>31</v>
      </c>
      <c r="G82" s="79">
        <f>VLOOKUP(C82,'RAW DATA 2023'!E:BO,24,0)</f>
        <v>68.01945454545455</v>
      </c>
      <c r="H82" s="79">
        <f>IFERROR(VLOOKUP(F82,STD!B:G,2,FALSE),"")</f>
        <v>76</v>
      </c>
      <c r="I82" s="100">
        <f t="shared" si="7"/>
        <v>0.89499282296650728</v>
      </c>
      <c r="J82" s="74">
        <f t="shared" si="8"/>
        <v>11.849784688995218</v>
      </c>
      <c r="K82">
        <f>VLOOKUP(C82,'RAW DATA 2023'!E:BO,12,0)</f>
        <v>1.1000000000000001</v>
      </c>
      <c r="L82" s="268">
        <f t="shared" si="9"/>
        <v>13.034763157894741</v>
      </c>
      <c r="M82"/>
    </row>
    <row r="83" spans="1:13">
      <c r="A83" s="64" t="str">
        <f>'RAW DATA 2023'!B76</f>
        <v>Petchburi5</v>
      </c>
      <c r="B83" s="64" t="str">
        <f>'RAW DATA 2023'!D76</f>
        <v>A1-035-0007</v>
      </c>
      <c r="C83" s="63" t="str">
        <f t="shared" si="5"/>
        <v>Petchburi5A1-035-0007</v>
      </c>
      <c r="D83" s="63">
        <f>VLOOKUP(C83,'RAW DATA 2023'!E:BP,63,0)</f>
        <v>9</v>
      </c>
      <c r="E83" s="63" t="str">
        <f t="shared" si="6"/>
        <v>Petchburi59</v>
      </c>
      <c r="F83" s="79">
        <f>ROUND(VLOOKUP(C83,'RAW DATA 2023'!E:BO,23,0),0)</f>
        <v>35</v>
      </c>
      <c r="G83" s="79">
        <f>VLOOKUP(C83,'RAW DATA 2023'!E:BO,24,0)</f>
        <v>64.668214285714285</v>
      </c>
      <c r="H83" s="79">
        <f>IFERROR(VLOOKUP(F83,STD!B:G,2,FALSE),"")</f>
        <v>80</v>
      </c>
      <c r="I83" s="100">
        <f t="shared" si="7"/>
        <v>0.80835267857142856</v>
      </c>
      <c r="J83" s="74">
        <f t="shared" si="8"/>
        <v>9.2505803571428569</v>
      </c>
      <c r="K83">
        <f>VLOOKUP(C83,'RAW DATA 2023'!E:BO,12,0)</f>
        <v>1.4</v>
      </c>
      <c r="L83" s="268">
        <f t="shared" si="9"/>
        <v>12.9508125</v>
      </c>
      <c r="M83"/>
    </row>
    <row r="84" spans="1:13">
      <c r="A84" s="64" t="str">
        <f>'RAW DATA 2023'!B77</f>
        <v>Petchburi5</v>
      </c>
      <c r="B84" s="64" t="str">
        <f>'RAW DATA 2023'!D77</f>
        <v>A1-032-0009</v>
      </c>
      <c r="C84" s="63" t="str">
        <f t="shared" si="5"/>
        <v>Petchburi5A1-032-0009</v>
      </c>
      <c r="D84" s="63">
        <f>VLOOKUP(C84,'RAW DATA 2023'!E:BP,63,0)</f>
        <v>12</v>
      </c>
      <c r="E84" s="63" t="str">
        <f t="shared" si="6"/>
        <v>Petchburi512</v>
      </c>
      <c r="F84" s="79">
        <f>ROUND(VLOOKUP(C84,'RAW DATA 2023'!E:BO,23,0),0)</f>
        <v>36</v>
      </c>
      <c r="G84" s="79">
        <f>VLOOKUP(C84,'RAW DATA 2023'!E:BO,24,0)</f>
        <v>70.303933333333333</v>
      </c>
      <c r="H84" s="79">
        <f>IFERROR(VLOOKUP(F84,STD!B:G,2,FALSE),"")</f>
        <v>81</v>
      </c>
      <c r="I84" s="100">
        <f t="shared" si="7"/>
        <v>0.86794979423868313</v>
      </c>
      <c r="J84" s="74">
        <f t="shared" si="8"/>
        <v>11.038493827160494</v>
      </c>
      <c r="K84">
        <f>VLOOKUP(C84,'RAW DATA 2023'!E:BO,12,0)</f>
        <v>1.5</v>
      </c>
      <c r="L84" s="268">
        <f t="shared" si="9"/>
        <v>16.557740740740741</v>
      </c>
      <c r="M84"/>
    </row>
    <row r="85" spans="1:13">
      <c r="A85" s="64" t="str">
        <f>'RAW DATA 2023'!B78</f>
        <v>Petchburi5</v>
      </c>
      <c r="B85" s="64" t="str">
        <f>'RAW DATA 2023'!D78</f>
        <v>A1-020-0016</v>
      </c>
      <c r="C85" s="63" t="str">
        <f t="shared" si="5"/>
        <v>Petchburi5A1-020-0016</v>
      </c>
      <c r="D85" s="63">
        <f>VLOOKUP(C85,'RAW DATA 2023'!E:BP,63,0)</f>
        <v>9</v>
      </c>
      <c r="E85" s="63" t="str">
        <f t="shared" si="6"/>
        <v>Petchburi59</v>
      </c>
      <c r="F85" s="79">
        <f>ROUND(VLOOKUP(C85,'RAW DATA 2023'!E:BO,23,0),0)</f>
        <v>31</v>
      </c>
      <c r="G85" s="79">
        <f>VLOOKUP(C85,'RAW DATA 2023'!E:BO,24,0)</f>
        <v>83.177875</v>
      </c>
      <c r="H85" s="79">
        <f>IFERROR(VLOOKUP(F85,STD!B:G,2,FALSE),"")</f>
        <v>76</v>
      </c>
      <c r="I85" s="100">
        <f t="shared" si="7"/>
        <v>1.0944457236842104</v>
      </c>
      <c r="J85" s="74">
        <f t="shared" si="8"/>
        <v>17.833371710526315</v>
      </c>
      <c r="K85">
        <f>VLOOKUP(C85,'RAW DATA 2023'!E:BO,12,0)</f>
        <v>0.8</v>
      </c>
      <c r="L85" s="268">
        <f t="shared" si="9"/>
        <v>14.266697368421053</v>
      </c>
      <c r="M85"/>
    </row>
    <row r="86" spans="1:13">
      <c r="A86" s="64" t="str">
        <f>'RAW DATA 2023'!B79</f>
        <v>Petchburi5</v>
      </c>
      <c r="B86" s="64" t="str">
        <f>'RAW DATA 2023'!D79</f>
        <v>A1-033-0009</v>
      </c>
      <c r="C86" s="63" t="str">
        <f t="shared" si="5"/>
        <v>Petchburi5A1-033-0009</v>
      </c>
      <c r="D86" s="63">
        <f>VLOOKUP(C86,'RAW DATA 2023'!E:BP,63,0)</f>
        <v>7</v>
      </c>
      <c r="E86" s="63" t="str">
        <f t="shared" si="6"/>
        <v>Petchburi57</v>
      </c>
      <c r="F86" s="79">
        <f>ROUND(VLOOKUP(C86,'RAW DATA 2023'!E:BO,23,0),0)</f>
        <v>34</v>
      </c>
      <c r="G86" s="79">
        <f>VLOOKUP(C86,'RAW DATA 2023'!E:BO,24,0)</f>
        <v>67.84046153846154</v>
      </c>
      <c r="H86" s="79">
        <f>IFERROR(VLOOKUP(F86,STD!B:G,2,FALSE),"")</f>
        <v>80</v>
      </c>
      <c r="I86" s="100">
        <f t="shared" si="7"/>
        <v>0.8480057692307692</v>
      </c>
      <c r="J86" s="74">
        <f t="shared" si="8"/>
        <v>10.440173076923076</v>
      </c>
      <c r="K86">
        <f>VLOOKUP(C86,'RAW DATA 2023'!E:BO,12,0)</f>
        <v>1.3</v>
      </c>
      <c r="L86" s="268">
        <f t="shared" si="9"/>
        <v>13.572225</v>
      </c>
      <c r="M86"/>
    </row>
    <row r="87" spans="1:13">
      <c r="A87" s="64" t="str">
        <f>'RAW DATA 2023'!B80</f>
        <v>Petchburi5</v>
      </c>
      <c r="B87" s="64" t="str">
        <f>'RAW DATA 2023'!D80</f>
        <v>A1-033-0010</v>
      </c>
      <c r="C87" s="63" t="str">
        <f t="shared" si="5"/>
        <v>Petchburi5A1-033-0010</v>
      </c>
      <c r="D87" s="63">
        <f>VLOOKUP(C87,'RAW DATA 2023'!E:BP,63,0)</f>
        <v>11</v>
      </c>
      <c r="E87" s="63" t="str">
        <f t="shared" si="6"/>
        <v>Petchburi511</v>
      </c>
      <c r="F87" s="79">
        <f>ROUND(VLOOKUP(C87,'RAW DATA 2023'!E:BO,23,0),0)</f>
        <v>37</v>
      </c>
      <c r="G87" s="79">
        <f>VLOOKUP(C87,'RAW DATA 2023'!E:BO,24,0)</f>
        <v>59.469818181818177</v>
      </c>
      <c r="H87" s="79">
        <f>IFERROR(VLOOKUP(F87,STD!B:G,2,FALSE),"")</f>
        <v>81</v>
      </c>
      <c r="I87" s="100">
        <f t="shared" si="7"/>
        <v>0.73419528619528618</v>
      </c>
      <c r="J87" s="74">
        <f t="shared" si="8"/>
        <v>7.0258585858585851</v>
      </c>
      <c r="K87">
        <f>VLOOKUP(C87,'RAW DATA 2023'!E:BO,12,0)</f>
        <v>1.1000000000000001</v>
      </c>
      <c r="L87" s="268">
        <f t="shared" si="9"/>
        <v>7.7284444444444444</v>
      </c>
      <c r="M87"/>
    </row>
    <row r="88" spans="1:13">
      <c r="A88" s="64" t="str">
        <f>'RAW DATA 2023'!B81</f>
        <v>Petchburi5</v>
      </c>
      <c r="B88" s="64" t="str">
        <f>'RAW DATA 2023'!D81</f>
        <v>A1-020-0015</v>
      </c>
      <c r="C88" s="63" t="str">
        <f t="shared" si="5"/>
        <v>Petchburi5A1-020-0015</v>
      </c>
      <c r="D88" s="63">
        <f>VLOOKUP(C88,'RAW DATA 2023'!E:BP,63,0)</f>
        <v>4</v>
      </c>
      <c r="E88" s="63" t="str">
        <f t="shared" si="6"/>
        <v>Petchburi54</v>
      </c>
      <c r="F88" s="79">
        <f>ROUND(VLOOKUP(C88,'RAW DATA 2023'!E:BO,23,0),0)</f>
        <v>29</v>
      </c>
      <c r="G88" s="79">
        <f>VLOOKUP(C88,'RAW DATA 2023'!E:BO,24,0)</f>
        <v>76.282638888888883</v>
      </c>
      <c r="H88" s="79">
        <f>IFERROR(VLOOKUP(F88,STD!B:G,2,FALSE),"")</f>
        <v>76</v>
      </c>
      <c r="I88" s="100">
        <f t="shared" si="7"/>
        <v>1.0037189327485379</v>
      </c>
      <c r="J88" s="74">
        <f t="shared" si="8"/>
        <v>15.111567982456135</v>
      </c>
      <c r="K88">
        <f>VLOOKUP(C88,'RAW DATA 2023'!E:BO,12,0)</f>
        <v>0.72</v>
      </c>
      <c r="L88" s="268">
        <f t="shared" si="9"/>
        <v>10.880328947368417</v>
      </c>
      <c r="M88"/>
    </row>
    <row r="89" spans="1:13">
      <c r="A89" s="64" t="str">
        <f>'RAW DATA 2023'!B82</f>
        <v>Petchburi5</v>
      </c>
      <c r="B89" s="64" t="str">
        <f>'RAW DATA 2023'!D82</f>
        <v>A1-032-0008</v>
      </c>
      <c r="C89" s="63" t="str">
        <f t="shared" si="5"/>
        <v>Petchburi5A1-032-0008</v>
      </c>
      <c r="D89" s="63">
        <f>VLOOKUP(C89,'RAW DATA 2023'!E:BP,63,0)</f>
        <v>7</v>
      </c>
      <c r="E89" s="63" t="str">
        <f t="shared" si="6"/>
        <v>Petchburi57</v>
      </c>
      <c r="F89" s="79">
        <f>ROUND(VLOOKUP(C89,'RAW DATA 2023'!E:BO,23,0),0)</f>
        <v>31</v>
      </c>
      <c r="G89" s="79">
        <f>VLOOKUP(C89,'RAW DATA 2023'!E:BO,24,0)</f>
        <v>74.033769230769224</v>
      </c>
      <c r="H89" s="79">
        <f>IFERROR(VLOOKUP(F89,STD!B:G,2,FALSE),"")</f>
        <v>76</v>
      </c>
      <c r="I89" s="100">
        <f t="shared" si="7"/>
        <v>0.97412854251012138</v>
      </c>
      <c r="J89" s="74">
        <f t="shared" si="8"/>
        <v>14.223856275303641</v>
      </c>
      <c r="K89">
        <f>VLOOKUP(C89,'RAW DATA 2023'!E:BO,12,0)</f>
        <v>1.3</v>
      </c>
      <c r="L89" s="268">
        <f t="shared" si="9"/>
        <v>18.491013157894734</v>
      </c>
      <c r="M89"/>
    </row>
    <row r="90" spans="1:13">
      <c r="A90" s="64" t="str">
        <f>'RAW DATA 2023'!B83</f>
        <v>Petchburi5</v>
      </c>
      <c r="B90" s="64" t="str">
        <f>'RAW DATA 2023'!D83</f>
        <v>A1-033-0008</v>
      </c>
      <c r="C90" s="63" t="str">
        <f t="shared" si="5"/>
        <v>Petchburi5A1-033-0008</v>
      </c>
      <c r="D90" s="63">
        <f>VLOOKUP(C90,'RAW DATA 2023'!E:BP,63,0)</f>
        <v>3</v>
      </c>
      <c r="E90" s="63" t="str">
        <f t="shared" si="6"/>
        <v>Petchburi53</v>
      </c>
      <c r="F90" s="79">
        <f>ROUND(VLOOKUP(C90,'RAW DATA 2023'!E:BO,23,0),0)</f>
        <v>28</v>
      </c>
      <c r="G90" s="79">
        <f>VLOOKUP(C90,'RAW DATA 2023'!E:BO,24,0)</f>
        <v>66.425090909090912</v>
      </c>
      <c r="H90" s="79">
        <f>IFERROR(VLOOKUP(F90,STD!B:G,2,FALSE),"")</f>
        <v>75</v>
      </c>
      <c r="I90" s="100">
        <f t="shared" si="7"/>
        <v>0.88566787878787878</v>
      </c>
      <c r="J90" s="74">
        <f t="shared" si="8"/>
        <v>11.570036363636364</v>
      </c>
      <c r="K90">
        <f>VLOOKUP(C90,'RAW DATA 2023'!E:BO,12,0)</f>
        <v>1.1000000000000001</v>
      </c>
      <c r="L90" s="268">
        <f t="shared" si="9"/>
        <v>12.727040000000001</v>
      </c>
      <c r="M90"/>
    </row>
    <row r="91" spans="1:13">
      <c r="A91" s="64" t="str">
        <f>'RAW DATA 2023'!B84</f>
        <v>Petchburi5</v>
      </c>
      <c r="B91" s="64" t="str">
        <f>'RAW DATA 2023'!D84</f>
        <v>A1-034-0009</v>
      </c>
      <c r="C91" s="63" t="str">
        <f t="shared" si="5"/>
        <v>Petchburi5A1-034-0009</v>
      </c>
      <c r="D91" s="63">
        <f>VLOOKUP(C91,'RAW DATA 2023'!E:BP,63,0)</f>
        <v>11</v>
      </c>
      <c r="E91" s="63" t="str">
        <f t="shared" si="6"/>
        <v>Petchburi511</v>
      </c>
      <c r="F91" s="79">
        <f>ROUND(VLOOKUP(C91,'RAW DATA 2023'!E:BO,23,0),0)</f>
        <v>34</v>
      </c>
      <c r="G91" s="79">
        <f>VLOOKUP(C91,'RAW DATA 2023'!E:BO,24,0)</f>
        <v>62.217466666666667</v>
      </c>
      <c r="H91" s="79">
        <f>IFERROR(VLOOKUP(F91,STD!B:G,2,FALSE),"")</f>
        <v>80</v>
      </c>
      <c r="I91" s="100">
        <f t="shared" si="7"/>
        <v>0.77771833333333329</v>
      </c>
      <c r="J91" s="74">
        <f t="shared" si="8"/>
        <v>8.3315499999999982</v>
      </c>
      <c r="K91">
        <f>VLOOKUP(C91,'RAW DATA 2023'!E:BO,12,0)</f>
        <v>1.5</v>
      </c>
      <c r="L91" s="268">
        <f t="shared" si="9"/>
        <v>12.497324999999996</v>
      </c>
      <c r="M91"/>
    </row>
    <row r="92" spans="1:13">
      <c r="A92" s="64" t="str">
        <f>'RAW DATA 2023'!B85</f>
        <v>Petchburi5</v>
      </c>
      <c r="B92" s="64" t="str">
        <f>'RAW DATA 2023'!D85</f>
        <v>A1-021-0019</v>
      </c>
      <c r="C92" s="63" t="str">
        <f t="shared" si="5"/>
        <v>Petchburi5A1-021-0019</v>
      </c>
      <c r="D92" s="63">
        <f>VLOOKUP(C92,'RAW DATA 2023'!E:BP,63,0)</f>
        <v>4</v>
      </c>
      <c r="E92" s="63" t="str">
        <f t="shared" si="6"/>
        <v>Petchburi54</v>
      </c>
      <c r="F92" s="79">
        <f>ROUND(VLOOKUP(C92,'RAW DATA 2023'!E:BO,23,0),0)</f>
        <v>28</v>
      </c>
      <c r="G92" s="79">
        <f>VLOOKUP(C92,'RAW DATA 2023'!E:BO,24,0)</f>
        <v>86.24666666666667</v>
      </c>
      <c r="H92" s="79">
        <f>IFERROR(VLOOKUP(F92,STD!B:G,2,FALSE),"")</f>
        <v>75</v>
      </c>
      <c r="I92" s="100">
        <f t="shared" si="7"/>
        <v>1.1499555555555556</v>
      </c>
      <c r="J92" s="74">
        <f t="shared" si="8"/>
        <v>19.498666666666669</v>
      </c>
      <c r="K92">
        <f>VLOOKUP(C92,'RAW DATA 2023'!E:BO,12,0)</f>
        <v>0.54</v>
      </c>
      <c r="L92" s="268">
        <f t="shared" si="9"/>
        <v>10.529280000000002</v>
      </c>
      <c r="M92"/>
    </row>
    <row r="93" spans="1:13">
      <c r="A93" s="64" t="str">
        <f>'RAW DATA 2023'!B86</f>
        <v>Petchburi5</v>
      </c>
      <c r="B93" s="64" t="str">
        <f>'RAW DATA 2023'!D86</f>
        <v>A1-035-0006</v>
      </c>
      <c r="C93" s="63" t="str">
        <f t="shared" si="5"/>
        <v>Petchburi5A1-035-0006</v>
      </c>
      <c r="D93" s="63">
        <f>VLOOKUP(C93,'RAW DATA 2023'!E:BP,63,0)</f>
        <v>4</v>
      </c>
      <c r="E93" s="63" t="str">
        <f t="shared" si="6"/>
        <v>Petchburi54</v>
      </c>
      <c r="F93" s="79">
        <f>ROUND(VLOOKUP(C93,'RAW DATA 2023'!E:BO,23,0),0)</f>
        <v>21</v>
      </c>
      <c r="G93" s="79">
        <f>VLOOKUP(C93,'RAW DATA 2023'!E:BO,24,0)</f>
        <v>71.215333333333334</v>
      </c>
      <c r="H93" s="79">
        <f>IFERROR(VLOOKUP(F93,STD!B:G,2,FALSE),"")</f>
        <v>71</v>
      </c>
      <c r="I93" s="100">
        <f t="shared" si="7"/>
        <v>1.0030328638497652</v>
      </c>
      <c r="J93" s="74">
        <f t="shared" si="8"/>
        <v>15.090985915492956</v>
      </c>
      <c r="K93">
        <f>VLOOKUP(C93,'RAW DATA 2023'!E:BO,12,0)</f>
        <v>0.45</v>
      </c>
      <c r="L93" s="268">
        <f t="shared" si="9"/>
        <v>6.7909436619718306</v>
      </c>
      <c r="M93"/>
    </row>
    <row r="94" spans="1:13">
      <c r="A94" s="64" t="str">
        <f>'RAW DATA 2023'!B87</f>
        <v>Petchburi5</v>
      </c>
      <c r="B94" s="64" t="str">
        <f>'RAW DATA 2023'!D87</f>
        <v>A1-032-0007</v>
      </c>
      <c r="C94" s="63" t="str">
        <f t="shared" si="5"/>
        <v>Petchburi5A1-032-0007</v>
      </c>
      <c r="D94" s="63">
        <f>VLOOKUP(C94,'RAW DATA 2023'!E:BP,63,0)</f>
        <v>3</v>
      </c>
      <c r="E94" s="63" t="str">
        <f t="shared" si="6"/>
        <v>Petchburi53</v>
      </c>
      <c r="F94" s="79">
        <f>ROUND(VLOOKUP(C94,'RAW DATA 2023'!E:BO,23,0),0)</f>
        <v>28</v>
      </c>
      <c r="G94" s="79">
        <f>VLOOKUP(C94,'RAW DATA 2023'!E:BO,24,0)</f>
        <v>112.25377777777778</v>
      </c>
      <c r="H94" s="79">
        <f>IFERROR(VLOOKUP(F94,STD!B:G,2,FALSE),"")</f>
        <v>75</v>
      </c>
      <c r="I94" s="100">
        <f t="shared" si="7"/>
        <v>1.4967170370370371</v>
      </c>
      <c r="J94" s="74">
        <f t="shared" si="8"/>
        <v>29.901511111111112</v>
      </c>
      <c r="K94">
        <f>VLOOKUP(C94,'RAW DATA 2023'!E:BO,12,0)</f>
        <v>0.45</v>
      </c>
      <c r="L94" s="268">
        <f t="shared" si="9"/>
        <v>13.455680000000001</v>
      </c>
      <c r="M94"/>
    </row>
    <row r="95" spans="1:13">
      <c r="A95" s="64" t="str">
        <f>'RAW DATA 2023'!B88</f>
        <v>Petchburi5</v>
      </c>
      <c r="B95" s="64" t="str">
        <f>'RAW DATA 2023'!D88</f>
        <v>A1-034-0007</v>
      </c>
      <c r="C95" s="63" t="str">
        <f t="shared" si="5"/>
        <v>Petchburi5A1-034-0007</v>
      </c>
      <c r="D95" s="63">
        <f>VLOOKUP(C95,'RAW DATA 2023'!E:BP,63,0)</f>
        <v>1</v>
      </c>
      <c r="E95" s="63" t="str">
        <f t="shared" si="6"/>
        <v>Petchburi51</v>
      </c>
      <c r="F95" s="79">
        <f>ROUND(VLOOKUP(C95,'RAW DATA 2023'!E:BO,23,0),0)</f>
        <v>0</v>
      </c>
      <c r="G95" s="79">
        <f>VLOOKUP(C95,'RAW DATA 2023'!E:BO,24,0)</f>
        <v>0</v>
      </c>
      <c r="H95" s="79" t="str">
        <f>IFERROR(VLOOKUP(F95,STD!B:G,2,FALSE),"")</f>
        <v/>
      </c>
      <c r="I95" s="100">
        <f t="shared" si="7"/>
        <v>0</v>
      </c>
      <c r="J95" s="74">
        <f t="shared" si="8"/>
        <v>-15</v>
      </c>
      <c r="K95">
        <f>VLOOKUP(C95,'RAW DATA 2023'!E:BO,12,0)</f>
        <v>1.2</v>
      </c>
      <c r="L95" s="268">
        <f t="shared" si="9"/>
        <v>-18</v>
      </c>
      <c r="M95"/>
    </row>
    <row r="96" spans="1:13">
      <c r="A96" s="64" t="str">
        <f>'RAW DATA 2023'!B89</f>
        <v>Petchburi5</v>
      </c>
      <c r="B96" s="64" t="str">
        <f>'RAW DATA 2023'!D89</f>
        <v>AG-002-0014</v>
      </c>
      <c r="C96" s="63" t="str">
        <f t="shared" si="5"/>
        <v>Petchburi5AG-002-0014</v>
      </c>
      <c r="D96" s="63">
        <f>VLOOKUP(C96,'RAW DATA 2023'!E:BP,63,0)</f>
        <v>12</v>
      </c>
      <c r="E96" s="63" t="str">
        <f t="shared" si="6"/>
        <v>Petchburi512</v>
      </c>
      <c r="F96" s="79">
        <f>ROUND(VLOOKUP(C96,'RAW DATA 2023'!E:BO,23,0),0)</f>
        <v>33</v>
      </c>
      <c r="G96" s="79">
        <f>VLOOKUP(C96,'RAW DATA 2023'!E:BO,24,0)</f>
        <v>72.292428571428573</v>
      </c>
      <c r="H96" s="79">
        <f>IFERROR(VLOOKUP(F96,STD!B:G,2,FALSE),"")</f>
        <v>79</v>
      </c>
      <c r="I96" s="100">
        <f t="shared" si="7"/>
        <v>0.91509403254972876</v>
      </c>
      <c r="J96" s="74">
        <f t="shared" si="8"/>
        <v>12.452820976491862</v>
      </c>
      <c r="K96">
        <f>VLOOKUP(C96,'RAW DATA 2023'!E:BO,12,0)</f>
        <v>0.7</v>
      </c>
      <c r="L96" s="268">
        <f t="shared" si="9"/>
        <v>8.7169746835443025</v>
      </c>
      <c r="M96"/>
    </row>
    <row r="97" spans="1:13">
      <c r="A97" s="64" t="str">
        <f>'RAW DATA 2023'!B90</f>
        <v>Petchburi5</v>
      </c>
      <c r="B97" s="64" t="str">
        <f>'RAW DATA 2023'!D90</f>
        <v>G1-G01-0002</v>
      </c>
      <c r="C97" s="63" t="str">
        <f t="shared" si="5"/>
        <v>Petchburi5G1-G01-0002</v>
      </c>
      <c r="D97" s="63">
        <f>VLOOKUP(C97,'RAW DATA 2023'!E:BP,63,0)</f>
        <v>1</v>
      </c>
      <c r="E97" s="63" t="str">
        <f t="shared" si="6"/>
        <v>Petchburi51</v>
      </c>
      <c r="F97" s="79">
        <f>ROUND(VLOOKUP(C97,'RAW DATA 2023'!E:BO,23,0),0)</f>
        <v>27</v>
      </c>
      <c r="G97" s="79">
        <f>VLOOKUP(C97,'RAW DATA 2023'!E:BO,24,0)</f>
        <v>63.668478260869563</v>
      </c>
      <c r="H97" s="79">
        <f>IFERROR(VLOOKUP(F97,STD!B:G,2,FALSE),"")</f>
        <v>75</v>
      </c>
      <c r="I97" s="100">
        <f t="shared" si="7"/>
        <v>0.8489130434782608</v>
      </c>
      <c r="J97" s="74">
        <f t="shared" si="8"/>
        <v>10.467391304347824</v>
      </c>
      <c r="K97">
        <f>VLOOKUP(C97,'RAW DATA 2023'!E:BO,12,0)</f>
        <v>0.55200000000000005</v>
      </c>
      <c r="L97" s="268">
        <f t="shared" si="9"/>
        <v>5.7779999999999996</v>
      </c>
      <c r="M97"/>
    </row>
    <row r="98" spans="1:13">
      <c r="A98" s="64" t="str">
        <f>'RAW DATA 2023'!B91</f>
        <v>Petchburi5</v>
      </c>
      <c r="B98" s="64" t="str">
        <f>'RAW DATA 2023'!D91</f>
        <v>G1-G02-0002</v>
      </c>
      <c r="C98" s="63" t="str">
        <f t="shared" si="5"/>
        <v>Petchburi5G1-G02-0002</v>
      </c>
      <c r="D98" s="63">
        <f>VLOOKUP(C98,'RAW DATA 2023'!E:BP,63,0)</f>
        <v>8</v>
      </c>
      <c r="E98" s="63" t="str">
        <f t="shared" si="6"/>
        <v>Petchburi58</v>
      </c>
      <c r="F98" s="79">
        <f>ROUND(VLOOKUP(C98,'RAW DATA 2023'!E:BO,23,0),0)</f>
        <v>45</v>
      </c>
      <c r="G98" s="79">
        <f>VLOOKUP(C98,'RAW DATA 2023'!E:BO,24,0)</f>
        <v>59.856200000000001</v>
      </c>
      <c r="H98" s="79">
        <f>IFERROR(VLOOKUP(F98,STD!B:G,2,FALSE),"")</f>
        <v>83</v>
      </c>
      <c r="I98" s="100">
        <f t="shared" si="7"/>
        <v>0.72115903614457832</v>
      </c>
      <c r="J98" s="74">
        <f t="shared" si="8"/>
        <v>6.6347710843373502</v>
      </c>
      <c r="K98">
        <f>VLOOKUP(C98,'RAW DATA 2023'!E:BO,12,0)</f>
        <v>1.5</v>
      </c>
      <c r="L98" s="268">
        <f t="shared" si="9"/>
        <v>9.9521566265060244</v>
      </c>
      <c r="M98"/>
    </row>
    <row r="99" spans="1:13">
      <c r="A99" s="64" t="str">
        <f>'RAW DATA 2023'!B92</f>
        <v>Petchburi5</v>
      </c>
      <c r="B99" s="64" t="str">
        <f>'RAW DATA 2023'!D92</f>
        <v>G1-G02-0001</v>
      </c>
      <c r="C99" s="63" t="str">
        <f t="shared" si="5"/>
        <v>Petchburi5G1-G02-0001</v>
      </c>
      <c r="D99" s="63">
        <f>VLOOKUP(C99,'RAW DATA 2023'!E:BP,63,0)</f>
        <v>4</v>
      </c>
      <c r="E99" s="63" t="str">
        <f t="shared" si="6"/>
        <v>Petchburi54</v>
      </c>
      <c r="F99" s="79">
        <f>ROUND(VLOOKUP(C99,'RAW DATA 2023'!E:BO,23,0),0)</f>
        <v>29</v>
      </c>
      <c r="G99" s="79">
        <f>VLOOKUP(C99,'RAW DATA 2023'!E:BO,24,0)</f>
        <v>58.390133333333338</v>
      </c>
      <c r="H99" s="79">
        <f>IFERROR(VLOOKUP(F99,STD!B:G,2,FALSE),"")</f>
        <v>76</v>
      </c>
      <c r="I99" s="100">
        <f t="shared" si="7"/>
        <v>0.76829122807017547</v>
      </c>
      <c r="J99" s="74">
        <f t="shared" si="8"/>
        <v>8.0487368421052636</v>
      </c>
      <c r="K99">
        <f>VLOOKUP(C99,'RAW DATA 2023'!E:BO,12,0)</f>
        <v>0.75</v>
      </c>
      <c r="L99" s="268">
        <f t="shared" si="9"/>
        <v>6.0365526315789477</v>
      </c>
      <c r="M99"/>
    </row>
    <row r="100" spans="1:13">
      <c r="A100" s="64" t="str">
        <f>'RAW DATA 2023'!B93</f>
        <v>Petchburi5</v>
      </c>
      <c r="B100" s="64" t="str">
        <f>'RAW DATA 2023'!D93</f>
        <v>G1-G01-0004</v>
      </c>
      <c r="C100" s="63" t="str">
        <f t="shared" si="5"/>
        <v>Petchburi5G1-G01-0004</v>
      </c>
      <c r="D100" s="63">
        <f>VLOOKUP(C100,'RAW DATA 2023'!E:BP,63,0)</f>
        <v>11</v>
      </c>
      <c r="E100" s="63" t="str">
        <f t="shared" si="6"/>
        <v>Petchburi511</v>
      </c>
      <c r="F100" s="79">
        <f>ROUND(VLOOKUP(C100,'RAW DATA 2023'!E:BO,23,0),0)</f>
        <v>34</v>
      </c>
      <c r="G100" s="79">
        <f>VLOOKUP(C100,'RAW DATA 2023'!E:BO,24,0)</f>
        <v>69.774250000000009</v>
      </c>
      <c r="H100" s="79">
        <f>IFERROR(VLOOKUP(F100,STD!B:G,2,FALSE),"")</f>
        <v>80</v>
      </c>
      <c r="I100" s="100">
        <f t="shared" si="7"/>
        <v>0.87217812500000014</v>
      </c>
      <c r="J100" s="74">
        <f t="shared" si="8"/>
        <v>11.165343750000003</v>
      </c>
      <c r="K100">
        <f>VLOOKUP(C100,'RAW DATA 2023'!E:BO,12,0)</f>
        <v>0.8</v>
      </c>
      <c r="L100" s="268">
        <f t="shared" si="9"/>
        <v>8.9322750000000024</v>
      </c>
      <c r="M100"/>
    </row>
    <row r="101" spans="1:13">
      <c r="A101" s="64" t="str">
        <f>'RAW DATA 2023'!B94</f>
        <v>Petchburi5</v>
      </c>
      <c r="B101" s="64" t="str">
        <f>'RAW DATA 2023'!D94</f>
        <v>G1-G01-0003</v>
      </c>
      <c r="C101" s="63" t="str">
        <f t="shared" si="5"/>
        <v>Petchburi5G1-G01-0003</v>
      </c>
      <c r="D101" s="63">
        <f>VLOOKUP(C101,'RAW DATA 2023'!E:BP,63,0)</f>
        <v>6</v>
      </c>
      <c r="E101" s="63" t="str">
        <f t="shared" si="6"/>
        <v>Petchburi56</v>
      </c>
      <c r="F101" s="79">
        <f>ROUND(VLOOKUP(C101,'RAW DATA 2023'!E:BO,23,0),0)</f>
        <v>47</v>
      </c>
      <c r="G101" s="79">
        <f>VLOOKUP(C101,'RAW DATA 2023'!E:BO,24,0)</f>
        <v>70.977000000000004</v>
      </c>
      <c r="H101" s="79">
        <f>IFERROR(VLOOKUP(F101,STD!B:G,2,FALSE),"")</f>
        <v>84</v>
      </c>
      <c r="I101" s="100">
        <f t="shared" si="7"/>
        <v>0.84496428571428572</v>
      </c>
      <c r="J101" s="74">
        <f t="shared" si="8"/>
        <v>10.348928571428571</v>
      </c>
      <c r="K101">
        <f>VLOOKUP(C101,'RAW DATA 2023'!E:BO,12,0)</f>
        <v>1</v>
      </c>
      <c r="L101" s="268">
        <f t="shared" si="9"/>
        <v>10.348928571428571</v>
      </c>
      <c r="M101"/>
    </row>
    <row r="102" spans="1:13">
      <c r="A102" s="64" t="str">
        <f>'RAW DATA 2023'!B95</f>
        <v>Roiphet1</v>
      </c>
      <c r="B102" s="64" t="str">
        <f>'RAW DATA 2023'!D95</f>
        <v>A5-I09-0099</v>
      </c>
      <c r="C102" s="63" t="str">
        <f t="shared" si="5"/>
        <v>Roiphet1A5-I09-0099</v>
      </c>
      <c r="D102" s="63">
        <f>VLOOKUP(C102,'RAW DATA 2023'!E:BP,63,0)</f>
        <v>10</v>
      </c>
      <c r="E102" s="63" t="str">
        <f t="shared" si="6"/>
        <v>Roiphet110</v>
      </c>
      <c r="F102" s="79">
        <f>ROUND(VLOOKUP(C102,'RAW DATA 2023'!E:BO,23,0),0)</f>
        <v>29</v>
      </c>
      <c r="G102" s="79">
        <f>VLOOKUP(C102,'RAW DATA 2023'!E:BO,24,0)</f>
        <v>37.994</v>
      </c>
      <c r="H102" s="79">
        <f>IFERROR(VLOOKUP(F102,STD!B:G,2,FALSE),"")</f>
        <v>76</v>
      </c>
      <c r="I102" s="100">
        <f t="shared" si="7"/>
        <v>0.49992105263157893</v>
      </c>
      <c r="J102" s="74">
        <f t="shared" si="8"/>
        <v>-2.3684210526320193E-3</v>
      </c>
      <c r="K102">
        <f>VLOOKUP(C102,'RAW DATA 2023'!E:BO,12,0)</f>
        <v>0.25</v>
      </c>
      <c r="L102" s="268">
        <f t="shared" si="9"/>
        <v>-5.9210526315800482E-4</v>
      </c>
      <c r="M102"/>
    </row>
    <row r="103" spans="1:13">
      <c r="A103" s="64" t="str">
        <f>'RAW DATA 2023'!B96</f>
        <v>Roiphet1</v>
      </c>
      <c r="B103" s="64" t="str">
        <f>'RAW DATA 2023'!D96</f>
        <v>A3-G05-0077</v>
      </c>
      <c r="C103" s="63" t="str">
        <f t="shared" si="5"/>
        <v>Roiphet1A3-G05-0077</v>
      </c>
      <c r="D103" s="63">
        <f>VLOOKUP(C103,'RAW DATA 2023'!E:BP,63,0)</f>
        <v>10</v>
      </c>
      <c r="E103" s="63" t="str">
        <f t="shared" si="6"/>
        <v>Roiphet110</v>
      </c>
      <c r="F103" s="79">
        <f>ROUND(VLOOKUP(C103,'RAW DATA 2023'!E:BO,23,0),0)</f>
        <v>41</v>
      </c>
      <c r="G103" s="79">
        <f>VLOOKUP(C103,'RAW DATA 2023'!E:BO,24,0)</f>
        <v>50.74271079590229</v>
      </c>
      <c r="H103" s="79">
        <f>IFERROR(VLOOKUP(F103,STD!B:G,2,FALSE),"")</f>
        <v>82</v>
      </c>
      <c r="I103" s="100">
        <f t="shared" si="7"/>
        <v>0.61881354629149132</v>
      </c>
      <c r="J103" s="74">
        <f t="shared" si="8"/>
        <v>3.5644063887447395</v>
      </c>
      <c r="K103">
        <f>VLOOKUP(C103,'RAW DATA 2023'!E:BO,12,0)</f>
        <v>0.50760000000000005</v>
      </c>
      <c r="L103" s="268">
        <f t="shared" si="9"/>
        <v>1.8092926829268299</v>
      </c>
      <c r="M103"/>
    </row>
    <row r="104" spans="1:13">
      <c r="A104" s="64" t="str">
        <f>'RAW DATA 2023'!B97</f>
        <v>Roiphet1</v>
      </c>
      <c r="B104" s="64" t="str">
        <f>'RAW DATA 2023'!D97</f>
        <v>A5-G09-0084</v>
      </c>
      <c r="C104" s="63" t="str">
        <f t="shared" si="5"/>
        <v>Roiphet1A5-G09-0084</v>
      </c>
      <c r="D104" s="63">
        <f>VLOOKUP(C104,'RAW DATA 2023'!E:BP,63,0)</f>
        <v>10</v>
      </c>
      <c r="E104" s="63" t="str">
        <f t="shared" si="6"/>
        <v>Roiphet110</v>
      </c>
      <c r="F104" s="79">
        <f>ROUND(VLOOKUP(C104,'RAW DATA 2023'!E:BO,23,0),0)</f>
        <v>35</v>
      </c>
      <c r="G104" s="79">
        <f>VLOOKUP(C104,'RAW DATA 2023'!E:BO,24,0)</f>
        <v>48.256181818181823</v>
      </c>
      <c r="H104" s="79">
        <f>IFERROR(VLOOKUP(F104,STD!B:G,2,FALSE),"")</f>
        <v>80</v>
      </c>
      <c r="I104" s="100">
        <f t="shared" si="7"/>
        <v>0.60320227272727278</v>
      </c>
      <c r="J104" s="74">
        <f t="shared" si="8"/>
        <v>3.0960681818181834</v>
      </c>
      <c r="K104">
        <f>VLOOKUP(C104,'RAW DATA 2023'!E:BO,12,0)</f>
        <v>0.55000000000000004</v>
      </c>
      <c r="L104" s="268">
        <f t="shared" si="9"/>
        <v>1.7028375000000011</v>
      </c>
      <c r="M104"/>
    </row>
    <row r="105" spans="1:13">
      <c r="A105" s="64" t="str">
        <f>'RAW DATA 2023'!B98</f>
        <v>Roiphet1</v>
      </c>
      <c r="B105" s="64" t="str">
        <f>'RAW DATA 2023'!D98</f>
        <v>A5-I10-0095</v>
      </c>
      <c r="C105" s="63" t="str">
        <f t="shared" si="5"/>
        <v>Roiphet1A5-I10-0095</v>
      </c>
      <c r="D105" s="63">
        <f>VLOOKUP(C105,'RAW DATA 2023'!E:BP,63,0)</f>
        <v>10</v>
      </c>
      <c r="E105" s="63" t="str">
        <f t="shared" si="6"/>
        <v>Roiphet110</v>
      </c>
      <c r="F105" s="79">
        <f>ROUND(VLOOKUP(C105,'RAW DATA 2023'!E:BO,23,0),0)</f>
        <v>27</v>
      </c>
      <c r="G105" s="79">
        <f>VLOOKUP(C105,'RAW DATA 2023'!E:BO,24,0)</f>
        <v>42.652999999999999</v>
      </c>
      <c r="H105" s="79">
        <f>IFERROR(VLOOKUP(F105,STD!B:G,2,FALSE),"")</f>
        <v>75</v>
      </c>
      <c r="I105" s="100">
        <f t="shared" si="7"/>
        <v>0.56870666666666669</v>
      </c>
      <c r="J105" s="74">
        <f t="shared" si="8"/>
        <v>2.0612000000000008</v>
      </c>
      <c r="K105">
        <f>VLOOKUP(C105,'RAW DATA 2023'!E:BO,12,0)</f>
        <v>0.2</v>
      </c>
      <c r="L105" s="268">
        <f t="shared" si="9"/>
        <v>0.41224000000000016</v>
      </c>
      <c r="M105"/>
    </row>
    <row r="106" spans="1:13">
      <c r="A106" s="64" t="str">
        <f>'RAW DATA 2023'!B99</f>
        <v>Roiphet1</v>
      </c>
      <c r="B106" s="64" t="str">
        <f>'RAW DATA 2023'!D99</f>
        <v>A3-I05-0085</v>
      </c>
      <c r="C106" s="63" t="str">
        <f t="shared" si="5"/>
        <v>Roiphet1A3-I05-0085</v>
      </c>
      <c r="D106" s="63">
        <f>VLOOKUP(C106,'RAW DATA 2023'!E:BP,63,0)</f>
        <v>10</v>
      </c>
      <c r="E106" s="63" t="str">
        <f t="shared" si="6"/>
        <v>Roiphet110</v>
      </c>
      <c r="F106" s="79">
        <f>ROUND(VLOOKUP(C106,'RAW DATA 2023'!E:BO,23,0),0)</f>
        <v>42</v>
      </c>
      <c r="G106" s="79">
        <f>VLOOKUP(C106,'RAW DATA 2023'!E:BO,24,0)</f>
        <v>45.534541723666209</v>
      </c>
      <c r="H106" s="79">
        <f>IFERROR(VLOOKUP(F106,STD!B:G,2,FALSE),"")</f>
        <v>82</v>
      </c>
      <c r="I106" s="100">
        <f t="shared" si="7"/>
        <v>0.55529928931300254</v>
      </c>
      <c r="J106" s="74">
        <f t="shared" si="8"/>
        <v>1.6589786793900763</v>
      </c>
      <c r="K106">
        <f>VLOOKUP(C106,'RAW DATA 2023'!E:BO,12,0)</f>
        <v>0.29239999999999999</v>
      </c>
      <c r="L106" s="268">
        <f t="shared" si="9"/>
        <v>0.4850853658536583</v>
      </c>
      <c r="M106"/>
    </row>
    <row r="107" spans="1:13">
      <c r="A107" s="64" t="str">
        <f>'RAW DATA 2023'!B100</f>
        <v>Roiphet1</v>
      </c>
      <c r="B107" s="64" t="str">
        <f>'RAW DATA 2023'!D100</f>
        <v>A6-I11-0102</v>
      </c>
      <c r="C107" s="63" t="str">
        <f t="shared" si="5"/>
        <v>Roiphet1A6-I11-0102</v>
      </c>
      <c r="D107" s="63">
        <f>VLOOKUP(C107,'RAW DATA 2023'!E:BP,63,0)</f>
        <v>10</v>
      </c>
      <c r="E107" s="63" t="str">
        <f t="shared" si="6"/>
        <v>Roiphet110</v>
      </c>
      <c r="F107" s="79">
        <f>ROUND(VLOOKUP(C107,'RAW DATA 2023'!E:BO,23,0),0)</f>
        <v>28</v>
      </c>
      <c r="G107" s="79">
        <f>VLOOKUP(C107,'RAW DATA 2023'!E:BO,24,0)</f>
        <v>40.237499999999997</v>
      </c>
      <c r="H107" s="79">
        <f>IFERROR(VLOOKUP(F107,STD!B:G,2,FALSE),"")</f>
        <v>75</v>
      </c>
      <c r="I107" s="100">
        <f t="shared" si="7"/>
        <v>0.53649999999999998</v>
      </c>
      <c r="J107" s="74">
        <f t="shared" si="8"/>
        <v>1.0949999999999993</v>
      </c>
      <c r="K107">
        <f>VLOOKUP(C107,'RAW DATA 2023'!E:BO,12,0)</f>
        <v>0.2</v>
      </c>
      <c r="L107" s="268">
        <f t="shared" si="9"/>
        <v>0.21899999999999986</v>
      </c>
      <c r="M107"/>
    </row>
    <row r="108" spans="1:13">
      <c r="A108" s="64" t="str">
        <f>'RAW DATA 2023'!B101</f>
        <v>Roiphet1</v>
      </c>
      <c r="B108" s="64" t="str">
        <f>'RAW DATA 2023'!D101</f>
        <v>A5-G10-0069</v>
      </c>
      <c r="C108" s="63" t="str">
        <f t="shared" si="5"/>
        <v>Roiphet1A5-G10-0069</v>
      </c>
      <c r="D108" s="63">
        <f>VLOOKUP(C108,'RAW DATA 2023'!E:BP,63,0)</f>
        <v>10</v>
      </c>
      <c r="E108" s="63" t="str">
        <f t="shared" si="6"/>
        <v>Roiphet110</v>
      </c>
      <c r="F108" s="79">
        <f>ROUND(VLOOKUP(C108,'RAW DATA 2023'!E:BO,23,0),0)</f>
        <v>36</v>
      </c>
      <c r="G108" s="79">
        <f>VLOOKUP(C108,'RAW DATA 2023'!E:BO,24,0)</f>
        <v>41.850363636363639</v>
      </c>
      <c r="H108" s="79">
        <f>IFERROR(VLOOKUP(F108,STD!B:G,2,FALSE),"")</f>
        <v>81</v>
      </c>
      <c r="I108" s="100">
        <f t="shared" si="7"/>
        <v>0.51667115600448932</v>
      </c>
      <c r="J108" s="74">
        <f t="shared" si="8"/>
        <v>0.50013468013467954</v>
      </c>
      <c r="K108">
        <f>VLOOKUP(C108,'RAW DATA 2023'!E:BO,12,0)</f>
        <v>0.55000000000000004</v>
      </c>
      <c r="L108" s="268">
        <f t="shared" si="9"/>
        <v>0.27507407407407375</v>
      </c>
      <c r="M108"/>
    </row>
    <row r="109" spans="1:13">
      <c r="A109" s="64" t="str">
        <f>'RAW DATA 2023'!B102</f>
        <v>Roiphet1</v>
      </c>
      <c r="B109" s="64" t="str">
        <f>'RAW DATA 2023'!D102</f>
        <v>A6-G11-0092</v>
      </c>
      <c r="C109" s="63" t="str">
        <f t="shared" si="5"/>
        <v>Roiphet1A6-G11-0092</v>
      </c>
      <c r="D109" s="63">
        <f>VLOOKUP(C109,'RAW DATA 2023'!E:BP,63,0)</f>
        <v>10</v>
      </c>
      <c r="E109" s="63" t="str">
        <f t="shared" si="6"/>
        <v>Roiphet110</v>
      </c>
      <c r="F109" s="79">
        <f>ROUND(VLOOKUP(C109,'RAW DATA 2023'!E:BO,23,0),0)</f>
        <v>40</v>
      </c>
      <c r="G109" s="79">
        <f>VLOOKUP(C109,'RAW DATA 2023'!E:BO,24,0)</f>
        <v>52.734727272727277</v>
      </c>
      <c r="H109" s="79">
        <f>IFERROR(VLOOKUP(F109,STD!B:G,2,FALSE),"")</f>
        <v>82</v>
      </c>
      <c r="I109" s="100">
        <f t="shared" si="7"/>
        <v>0.64310643015521074</v>
      </c>
      <c r="J109" s="74">
        <f t="shared" si="8"/>
        <v>4.2931929046563226</v>
      </c>
      <c r="K109">
        <f>VLOOKUP(C109,'RAW DATA 2023'!E:BO,12,0)</f>
        <v>0.55000000000000004</v>
      </c>
      <c r="L109" s="268">
        <f t="shared" si="9"/>
        <v>2.3612560975609775</v>
      </c>
      <c r="M109"/>
    </row>
    <row r="110" spans="1:13">
      <c r="A110" s="64" t="str">
        <f>'RAW DATA 2023'!B103</f>
        <v>Roiphet1</v>
      </c>
      <c r="B110" s="64" t="str">
        <f>'RAW DATA 2023'!D103</f>
        <v>A4-I07-0095</v>
      </c>
      <c r="C110" s="63" t="str">
        <f t="shared" si="5"/>
        <v>Roiphet1A4-I07-0095</v>
      </c>
      <c r="D110" s="63">
        <f>VLOOKUP(C110,'RAW DATA 2023'!E:BP,63,0)</f>
        <v>10</v>
      </c>
      <c r="E110" s="63" t="str">
        <f t="shared" si="6"/>
        <v>Roiphet110</v>
      </c>
      <c r="F110" s="79">
        <f>ROUND(VLOOKUP(C110,'RAW DATA 2023'!E:BO,23,0),0)</f>
        <v>36</v>
      </c>
      <c r="G110" s="79">
        <f>VLOOKUP(C110,'RAW DATA 2023'!E:BO,24,0)</f>
        <v>56.488400000000006</v>
      </c>
      <c r="H110" s="79">
        <f>IFERROR(VLOOKUP(F110,STD!B:G,2,FALSE),"")</f>
        <v>81</v>
      </c>
      <c r="I110" s="100">
        <f t="shared" si="7"/>
        <v>0.6973876543209877</v>
      </c>
      <c r="J110" s="74">
        <f t="shared" si="8"/>
        <v>5.9216296296296314</v>
      </c>
      <c r="K110">
        <f>VLOOKUP(C110,'RAW DATA 2023'!E:BO,12,0)</f>
        <v>0.25</v>
      </c>
      <c r="L110" s="268">
        <f t="shared" si="9"/>
        <v>1.4804074074074078</v>
      </c>
      <c r="M110"/>
    </row>
    <row r="111" spans="1:13">
      <c r="A111" s="64" t="str">
        <f>'RAW DATA 2023'!B104</f>
        <v>Roiphet1</v>
      </c>
      <c r="B111" s="64" t="str">
        <f>'RAW DATA 2023'!D104</f>
        <v>A4-G07-0072</v>
      </c>
      <c r="C111" s="63" t="str">
        <f t="shared" si="5"/>
        <v>Roiphet1A4-G07-0072</v>
      </c>
      <c r="D111" s="63">
        <f>VLOOKUP(C111,'RAW DATA 2023'!E:BP,63,0)</f>
        <v>10</v>
      </c>
      <c r="E111" s="63" t="str">
        <f t="shared" si="6"/>
        <v>Roiphet110</v>
      </c>
      <c r="F111" s="79">
        <f>ROUND(VLOOKUP(C111,'RAW DATA 2023'!E:BO,23,0),0)</f>
        <v>37</v>
      </c>
      <c r="G111" s="79">
        <f>VLOOKUP(C111,'RAW DATA 2023'!E:BO,24,0)</f>
        <v>48.449272727272728</v>
      </c>
      <c r="H111" s="79">
        <f>IFERROR(VLOOKUP(F111,STD!B:G,2,FALSE),"")</f>
        <v>81</v>
      </c>
      <c r="I111" s="100">
        <f t="shared" si="7"/>
        <v>0.59813916947250279</v>
      </c>
      <c r="J111" s="74">
        <f t="shared" si="8"/>
        <v>2.9441750841750833</v>
      </c>
      <c r="K111">
        <f>VLOOKUP(C111,'RAW DATA 2023'!E:BO,12,0)</f>
        <v>0.55000000000000004</v>
      </c>
      <c r="L111" s="268">
        <f t="shared" si="9"/>
        <v>1.619296296296296</v>
      </c>
      <c r="M111"/>
    </row>
    <row r="112" spans="1:13">
      <c r="A112" s="64" t="str">
        <f>'RAW DATA 2023'!B105</f>
        <v>Roiphet1</v>
      </c>
      <c r="B112" s="64" t="str">
        <f>'RAW DATA 2023'!D105</f>
        <v>D6-I12-0085</v>
      </c>
      <c r="C112" s="63" t="str">
        <f t="shared" si="5"/>
        <v>Roiphet1D6-I12-0085</v>
      </c>
      <c r="D112" s="63">
        <f>VLOOKUP(C112,'RAW DATA 2023'!E:BP,63,0)</f>
        <v>6</v>
      </c>
      <c r="E112" s="63" t="str">
        <f t="shared" si="6"/>
        <v>Roiphet16</v>
      </c>
      <c r="F112" s="79">
        <f>ROUND(VLOOKUP(C112,'RAW DATA 2023'!E:BO,23,0),0)</f>
        <v>30</v>
      </c>
      <c r="G112" s="79">
        <f>VLOOKUP(C112,'RAW DATA 2023'!E:BO,24,0)</f>
        <v>42.029499999999999</v>
      </c>
      <c r="H112" s="79">
        <f>IFERROR(VLOOKUP(F112,STD!B:G,2,FALSE),"")</f>
        <v>76</v>
      </c>
      <c r="I112" s="100">
        <f t="shared" si="7"/>
        <v>0.55301973684210526</v>
      </c>
      <c r="J112" s="74">
        <f t="shared" si="8"/>
        <v>1.5905921052631578</v>
      </c>
      <c r="K112">
        <f>VLOOKUP(C112,'RAW DATA 2023'!E:BO,12,0)</f>
        <v>0.2</v>
      </c>
      <c r="L112" s="268">
        <f t="shared" si="9"/>
        <v>0.31811842105263155</v>
      </c>
      <c r="M112"/>
    </row>
    <row r="113" spans="1:13">
      <c r="A113" s="64" t="str">
        <f>'RAW DATA 2023'!B106</f>
        <v>Roiphet1</v>
      </c>
      <c r="B113" s="64" t="str">
        <f>'RAW DATA 2023'!D106</f>
        <v>D4-G08-0059</v>
      </c>
      <c r="C113" s="63" t="str">
        <f t="shared" si="5"/>
        <v>Roiphet1D4-G08-0059</v>
      </c>
      <c r="D113" s="63">
        <f>VLOOKUP(C113,'RAW DATA 2023'!E:BP,63,0)</f>
        <v>5</v>
      </c>
      <c r="E113" s="63" t="str">
        <f t="shared" si="6"/>
        <v>Roiphet15</v>
      </c>
      <c r="F113" s="79">
        <f>ROUND(VLOOKUP(C113,'RAW DATA 2023'!E:BO,23,0),0)</f>
        <v>35</v>
      </c>
      <c r="G113" s="79">
        <f>VLOOKUP(C113,'RAW DATA 2023'!E:BO,24,0)</f>
        <v>71.385531914893619</v>
      </c>
      <c r="H113" s="79">
        <f>IFERROR(VLOOKUP(F113,STD!B:G,2,FALSE),"")</f>
        <v>80</v>
      </c>
      <c r="I113" s="100">
        <f t="shared" si="7"/>
        <v>0.89231914893617026</v>
      </c>
      <c r="J113" s="74">
        <f t="shared" si="8"/>
        <v>11.769574468085107</v>
      </c>
      <c r="K113">
        <f>VLOOKUP(C113,'RAW DATA 2023'!E:BO,12,0)</f>
        <v>0.47</v>
      </c>
      <c r="L113" s="268">
        <f t="shared" si="9"/>
        <v>5.5316999999999998</v>
      </c>
      <c r="M113"/>
    </row>
    <row r="114" spans="1:13">
      <c r="A114" s="64" t="str">
        <f>'RAW DATA 2023'!B107</f>
        <v>Roiphet1</v>
      </c>
      <c r="B114" s="64" t="str">
        <f>'RAW DATA 2023'!D107</f>
        <v>D4-I08-0071</v>
      </c>
      <c r="C114" s="63" t="str">
        <f t="shared" si="5"/>
        <v>Roiphet1D4-I08-0071</v>
      </c>
      <c r="D114" s="63">
        <f>VLOOKUP(C114,'RAW DATA 2023'!E:BP,63,0)</f>
        <v>5</v>
      </c>
      <c r="E114" s="63" t="str">
        <f t="shared" si="6"/>
        <v>Roiphet15</v>
      </c>
      <c r="F114" s="79">
        <f>ROUND(VLOOKUP(C114,'RAW DATA 2023'!E:BO,23,0),0)</f>
        <v>34</v>
      </c>
      <c r="G114" s="79">
        <f>VLOOKUP(C114,'RAW DATA 2023'!E:BO,24,0)</f>
        <v>52.261923076923075</v>
      </c>
      <c r="H114" s="79">
        <f>IFERROR(VLOOKUP(F114,STD!B:G,2,FALSE),"")</f>
        <v>80</v>
      </c>
      <c r="I114" s="100">
        <f t="shared" si="7"/>
        <v>0.65327403846153842</v>
      </c>
      <c r="J114" s="74">
        <f t="shared" si="8"/>
        <v>4.5982211538461524</v>
      </c>
      <c r="K114">
        <f>VLOOKUP(C114,'RAW DATA 2023'!E:BO,12,0)</f>
        <v>0.26</v>
      </c>
      <c r="L114" s="268">
        <f t="shared" si="9"/>
        <v>1.1955374999999997</v>
      </c>
      <c r="M114"/>
    </row>
    <row r="115" spans="1:13">
      <c r="A115" s="64" t="str">
        <f>'RAW DATA 2023'!B108</f>
        <v>Roiphet1</v>
      </c>
      <c r="B115" s="64" t="str">
        <f>'RAW DATA 2023'!D108</f>
        <v>D6-G12-0079</v>
      </c>
      <c r="C115" s="63" t="str">
        <f t="shared" si="5"/>
        <v>Roiphet1D6-G12-0079</v>
      </c>
      <c r="D115" s="63">
        <f>VLOOKUP(C115,'RAW DATA 2023'!E:BP,63,0)</f>
        <v>6</v>
      </c>
      <c r="E115" s="63" t="str">
        <f t="shared" si="6"/>
        <v>Roiphet16</v>
      </c>
      <c r="F115" s="79">
        <f>ROUND(VLOOKUP(C115,'RAW DATA 2023'!E:BO,23,0),0)</f>
        <v>31</v>
      </c>
      <c r="G115" s="79">
        <f>VLOOKUP(C115,'RAW DATA 2023'!E:BO,24,0)</f>
        <v>50.494000000000007</v>
      </c>
      <c r="H115" s="79">
        <f>IFERROR(VLOOKUP(F115,STD!B:G,2,FALSE),"")</f>
        <v>76</v>
      </c>
      <c r="I115" s="100">
        <f t="shared" si="7"/>
        <v>0.66439473684210537</v>
      </c>
      <c r="J115" s="74">
        <f t="shared" si="8"/>
        <v>4.9318421052631614</v>
      </c>
      <c r="K115">
        <f>VLOOKUP(C115,'RAW DATA 2023'!E:BO,12,0)</f>
        <v>0.4</v>
      </c>
      <c r="L115" s="268">
        <f t="shared" si="9"/>
        <v>1.9727368421052647</v>
      </c>
      <c r="M115"/>
    </row>
    <row r="116" spans="1:13">
      <c r="A116" s="64" t="str">
        <f>'RAW DATA 2023'!B109</f>
        <v>Roiphet1</v>
      </c>
      <c r="B116" s="64" t="str">
        <f>'RAW DATA 2023'!D109</f>
        <v>D6-I11-0083</v>
      </c>
      <c r="C116" s="63" t="str">
        <f t="shared" si="5"/>
        <v>Roiphet1D6-I11-0083</v>
      </c>
      <c r="D116" s="63">
        <f>VLOOKUP(C116,'RAW DATA 2023'!E:BP,63,0)</f>
        <v>6</v>
      </c>
      <c r="E116" s="63" t="str">
        <f t="shared" si="6"/>
        <v>Roiphet16</v>
      </c>
      <c r="F116" s="79">
        <f>ROUND(VLOOKUP(C116,'RAW DATA 2023'!E:BO,23,0),0)</f>
        <v>30</v>
      </c>
      <c r="G116" s="79">
        <f>VLOOKUP(C116,'RAW DATA 2023'!E:BO,24,0)</f>
        <v>39.085999999999999</v>
      </c>
      <c r="H116" s="79">
        <f>IFERROR(VLOOKUP(F116,STD!B:G,2,FALSE),"")</f>
        <v>76</v>
      </c>
      <c r="I116" s="100">
        <f t="shared" si="7"/>
        <v>0.51428947368421052</v>
      </c>
      <c r="J116" s="74">
        <f t="shared" si="8"/>
        <v>0.42868421052631556</v>
      </c>
      <c r="K116">
        <f>VLOOKUP(C116,'RAW DATA 2023'!E:BO,12,0)</f>
        <v>0.2</v>
      </c>
      <c r="L116" s="268">
        <f t="shared" si="9"/>
        <v>8.5736842105263111E-2</v>
      </c>
      <c r="M116"/>
    </row>
    <row r="117" spans="1:13">
      <c r="A117" s="64" t="str">
        <f>'RAW DATA 2023'!B110</f>
        <v>Roiphet1</v>
      </c>
      <c r="B117" s="64" t="str">
        <f>'RAW DATA 2023'!D110</f>
        <v>D1-I02-0088</v>
      </c>
      <c r="C117" s="63" t="str">
        <f t="shared" si="5"/>
        <v>Roiphet1D1-I02-0088</v>
      </c>
      <c r="D117" s="63">
        <f>VLOOKUP(C117,'RAW DATA 2023'!E:BP,63,0)</f>
        <v>1</v>
      </c>
      <c r="E117" s="63" t="str">
        <f t="shared" si="6"/>
        <v>Roiphet11</v>
      </c>
      <c r="F117" s="79">
        <f>ROUND(VLOOKUP(C117,'RAW DATA 2023'!E:BO,23,0),0)</f>
        <v>40</v>
      </c>
      <c r="G117" s="79">
        <f>VLOOKUP(C117,'RAW DATA 2023'!E:BO,24,0)</f>
        <v>73.695555555555558</v>
      </c>
      <c r="H117" s="79">
        <f>IFERROR(VLOOKUP(F117,STD!B:G,2,FALSE),"")</f>
        <v>82</v>
      </c>
      <c r="I117" s="100">
        <f t="shared" si="7"/>
        <v>0.89872628726287263</v>
      </c>
      <c r="J117" s="74">
        <f t="shared" si="8"/>
        <v>11.961788617886178</v>
      </c>
      <c r="K117">
        <f>VLOOKUP(C117,'RAW DATA 2023'!E:BO,12,0)</f>
        <v>0.22500000000000001</v>
      </c>
      <c r="L117" s="268">
        <f t="shared" si="9"/>
        <v>2.6914024390243902</v>
      </c>
      <c r="M117"/>
    </row>
    <row r="118" spans="1:13">
      <c r="A118" s="64" t="str">
        <f>'RAW DATA 2023'!B111</f>
        <v>Roiphet1</v>
      </c>
      <c r="B118" s="64" t="str">
        <f>'RAW DATA 2023'!D111</f>
        <v>D4-G07-0062</v>
      </c>
      <c r="C118" s="63" t="str">
        <f t="shared" si="5"/>
        <v>Roiphet1D4-G07-0062</v>
      </c>
      <c r="D118" s="63">
        <f>VLOOKUP(C118,'RAW DATA 2023'!E:BP,63,0)</f>
        <v>5</v>
      </c>
      <c r="E118" s="63" t="str">
        <f t="shared" si="6"/>
        <v>Roiphet15</v>
      </c>
      <c r="F118" s="79">
        <f>ROUND(VLOOKUP(C118,'RAW DATA 2023'!E:BO,23,0),0)</f>
        <v>38</v>
      </c>
      <c r="G118" s="79">
        <f>VLOOKUP(C118,'RAW DATA 2023'!E:BO,24,0)</f>
        <v>67.860212765957456</v>
      </c>
      <c r="H118" s="79">
        <f>IFERROR(VLOOKUP(F118,STD!B:G,2,FALSE),"")</f>
        <v>81</v>
      </c>
      <c r="I118" s="100">
        <f t="shared" si="7"/>
        <v>0.83778040451799329</v>
      </c>
      <c r="J118" s="74">
        <f t="shared" si="8"/>
        <v>10.1334121355398</v>
      </c>
      <c r="K118">
        <f>VLOOKUP(C118,'RAW DATA 2023'!E:BO,12,0)</f>
        <v>0.47</v>
      </c>
      <c r="L118" s="268">
        <f t="shared" si="9"/>
        <v>4.7627037037037052</v>
      </c>
      <c r="M118"/>
    </row>
    <row r="119" spans="1:13">
      <c r="A119" s="64" t="str">
        <f>'RAW DATA 2023'!B112</f>
        <v>Roiphet1</v>
      </c>
      <c r="B119" s="64" t="str">
        <f>'RAW DATA 2023'!D112</f>
        <v>D4-I07-0076</v>
      </c>
      <c r="C119" s="63" t="str">
        <f t="shared" si="5"/>
        <v>Roiphet1D4-I07-0076</v>
      </c>
      <c r="D119" s="63">
        <f>VLOOKUP(C119,'RAW DATA 2023'!E:BP,63,0)</f>
        <v>5</v>
      </c>
      <c r="E119" s="63" t="str">
        <f t="shared" si="6"/>
        <v>Roiphet15</v>
      </c>
      <c r="F119" s="79">
        <f>ROUND(VLOOKUP(C119,'RAW DATA 2023'!E:BO,23,0),0)</f>
        <v>37</v>
      </c>
      <c r="G119" s="79">
        <f>VLOOKUP(C119,'RAW DATA 2023'!E:BO,24,0)</f>
        <v>70.7</v>
      </c>
      <c r="H119" s="79">
        <f>IFERROR(VLOOKUP(F119,STD!B:G,2,FALSE),"")</f>
        <v>81</v>
      </c>
      <c r="I119" s="100">
        <f t="shared" si="7"/>
        <v>0.87283950617283956</v>
      </c>
      <c r="J119" s="74">
        <f t="shared" si="8"/>
        <v>11.185185185185187</v>
      </c>
      <c r="K119">
        <f>VLOOKUP(C119,'RAW DATA 2023'!E:BO,12,0)</f>
        <v>0.26</v>
      </c>
      <c r="L119" s="268">
        <f t="shared" si="9"/>
        <v>2.9081481481481486</v>
      </c>
      <c r="M119"/>
    </row>
    <row r="120" spans="1:13">
      <c r="A120" s="64" t="str">
        <f>'RAW DATA 2023'!B113</f>
        <v>Roiphet1</v>
      </c>
      <c r="B120" s="64" t="str">
        <f>'RAW DATA 2023'!D113</f>
        <v>D2-G03-0080</v>
      </c>
      <c r="C120" s="63" t="str">
        <f t="shared" si="5"/>
        <v>Roiphet1D2-G03-0080</v>
      </c>
      <c r="D120" s="63">
        <f>VLOOKUP(C120,'RAW DATA 2023'!E:BP,63,0)</f>
        <v>4</v>
      </c>
      <c r="E120" s="63" t="str">
        <f t="shared" si="6"/>
        <v>Roiphet14</v>
      </c>
      <c r="F120" s="79">
        <f>ROUND(VLOOKUP(C120,'RAW DATA 2023'!E:BO,23,0),0)</f>
        <v>35</v>
      </c>
      <c r="G120" s="79">
        <f>VLOOKUP(C120,'RAW DATA 2023'!E:BO,24,0)</f>
        <v>71.931489361702134</v>
      </c>
      <c r="H120" s="79">
        <f>IFERROR(VLOOKUP(F120,STD!B:G,2,FALSE),"")</f>
        <v>80</v>
      </c>
      <c r="I120" s="100">
        <f t="shared" si="7"/>
        <v>0.89914361702127665</v>
      </c>
      <c r="J120" s="74">
        <f t="shared" si="8"/>
        <v>11.9743085106383</v>
      </c>
      <c r="K120">
        <f>VLOOKUP(C120,'RAW DATA 2023'!E:BO,12,0)</f>
        <v>0.47</v>
      </c>
      <c r="L120" s="268">
        <f t="shared" si="9"/>
        <v>5.6279250000000012</v>
      </c>
      <c r="M120"/>
    </row>
    <row r="121" spans="1:13">
      <c r="A121" s="64" t="str">
        <f>'RAW DATA 2023'!B114</f>
        <v>Roiphet1</v>
      </c>
      <c r="B121" s="64" t="str">
        <f>'RAW DATA 2023'!D114</f>
        <v>D5-I09-0082</v>
      </c>
      <c r="C121" s="63" t="str">
        <f t="shared" si="5"/>
        <v>Roiphet1D5-I09-0082</v>
      </c>
      <c r="D121" s="63">
        <f>VLOOKUP(C121,'RAW DATA 2023'!E:BP,63,0)</f>
        <v>5</v>
      </c>
      <c r="E121" s="63" t="str">
        <f t="shared" si="6"/>
        <v>Roiphet15</v>
      </c>
      <c r="F121" s="79">
        <f>ROUND(VLOOKUP(C121,'RAW DATA 2023'!E:BO,23,0),0)</f>
        <v>36</v>
      </c>
      <c r="G121" s="79">
        <f>VLOOKUP(C121,'RAW DATA 2023'!E:BO,24,0)</f>
        <v>71.03625498007969</v>
      </c>
      <c r="H121" s="79">
        <f>IFERROR(VLOOKUP(F121,STD!B:G,2,FALSE),"")</f>
        <v>81</v>
      </c>
      <c r="I121" s="100">
        <f t="shared" si="7"/>
        <v>0.87699080222320602</v>
      </c>
      <c r="J121" s="74">
        <f t="shared" si="8"/>
        <v>11.30972406669618</v>
      </c>
      <c r="K121">
        <f>VLOOKUP(C121,'RAW DATA 2023'!E:BO,12,0)</f>
        <v>0.251</v>
      </c>
      <c r="L121" s="268">
        <f t="shared" si="9"/>
        <v>2.8387407407407412</v>
      </c>
      <c r="M121"/>
    </row>
    <row r="122" spans="1:13">
      <c r="A122" s="64" t="str">
        <f>'RAW DATA 2023'!B115</f>
        <v>Roiphet1</v>
      </c>
      <c r="B122" s="64" t="str">
        <f>'RAW DATA 2023'!D115</f>
        <v>D2-I04-0091</v>
      </c>
      <c r="C122" s="63" t="str">
        <f t="shared" si="5"/>
        <v>Roiphet1D2-I04-0091</v>
      </c>
      <c r="D122" s="63">
        <f>VLOOKUP(C122,'RAW DATA 2023'!E:BP,63,0)</f>
        <v>5</v>
      </c>
      <c r="E122" s="63" t="str">
        <f t="shared" si="6"/>
        <v>Roiphet15</v>
      </c>
      <c r="F122" s="79">
        <f>ROUND(VLOOKUP(C122,'RAW DATA 2023'!E:BO,23,0),0)</f>
        <v>35</v>
      </c>
      <c r="G122" s="79">
        <f>VLOOKUP(C122,'RAW DATA 2023'!E:BO,24,0)</f>
        <v>61.355599999999995</v>
      </c>
      <c r="H122" s="79">
        <f>IFERROR(VLOOKUP(F122,STD!B:G,2,FALSE),"")</f>
        <v>80</v>
      </c>
      <c r="I122" s="100">
        <f t="shared" si="7"/>
        <v>0.76694499999999999</v>
      </c>
      <c r="J122" s="74">
        <f t="shared" si="8"/>
        <v>8.0083500000000001</v>
      </c>
      <c r="K122">
        <f>VLOOKUP(C122,'RAW DATA 2023'!E:BO,12,0)</f>
        <v>0.25</v>
      </c>
      <c r="L122" s="268">
        <f t="shared" si="9"/>
        <v>2.0020875</v>
      </c>
      <c r="M122"/>
    </row>
    <row r="123" spans="1:13">
      <c r="A123" s="64" t="str">
        <f>'RAW DATA 2023'!B116</f>
        <v>Roiphet1</v>
      </c>
      <c r="B123" s="64" t="str">
        <f>'RAW DATA 2023'!D116</f>
        <v>D6-G11-0076</v>
      </c>
      <c r="C123" s="63" t="str">
        <f t="shared" si="5"/>
        <v>Roiphet1D6-G11-0076</v>
      </c>
      <c r="D123" s="63">
        <f>VLOOKUP(C123,'RAW DATA 2023'!E:BP,63,0)</f>
        <v>6</v>
      </c>
      <c r="E123" s="63" t="str">
        <f t="shared" si="6"/>
        <v>Roiphet16</v>
      </c>
      <c r="F123" s="79">
        <f>ROUND(VLOOKUP(C123,'RAW DATA 2023'!E:BO,23,0),0)</f>
        <v>32</v>
      </c>
      <c r="G123" s="79">
        <f>VLOOKUP(C123,'RAW DATA 2023'!E:BO,24,0)</f>
        <v>51.552750000000003</v>
      </c>
      <c r="H123" s="79">
        <f>IFERROR(VLOOKUP(F123,STD!B:G,2,FALSE),"")</f>
        <v>77</v>
      </c>
      <c r="I123" s="100">
        <f t="shared" si="7"/>
        <v>0.66951623376623381</v>
      </c>
      <c r="J123" s="74">
        <f t="shared" si="8"/>
        <v>5.0854870129870147</v>
      </c>
      <c r="K123">
        <f>VLOOKUP(C123,'RAW DATA 2023'!E:BO,12,0)</f>
        <v>0.4</v>
      </c>
      <c r="L123" s="268">
        <f t="shared" si="9"/>
        <v>2.0341948051948058</v>
      </c>
      <c r="M123"/>
    </row>
    <row r="124" spans="1:13">
      <c r="A124" s="64" t="str">
        <f>'RAW DATA 2023'!B117</f>
        <v>Roiphet1</v>
      </c>
      <c r="B124" s="64" t="str">
        <f>'RAW DATA 2023'!D117</f>
        <v>D2-I03-0085</v>
      </c>
      <c r="C124" s="63" t="str">
        <f t="shared" si="5"/>
        <v>Roiphet1D2-I03-0085</v>
      </c>
      <c r="D124" s="63">
        <f>VLOOKUP(C124,'RAW DATA 2023'!E:BP,63,0)</f>
        <v>4</v>
      </c>
      <c r="E124" s="63" t="str">
        <f t="shared" si="6"/>
        <v>Roiphet14</v>
      </c>
      <c r="F124" s="79">
        <f>ROUND(VLOOKUP(C124,'RAW DATA 2023'!E:BO,23,0),0)</f>
        <v>37</v>
      </c>
      <c r="G124" s="79">
        <f>VLOOKUP(C124,'RAW DATA 2023'!E:BO,24,0)</f>
        <v>88.606111111111105</v>
      </c>
      <c r="H124" s="79">
        <f>IFERROR(VLOOKUP(F124,STD!B:G,2,FALSE),"")</f>
        <v>81</v>
      </c>
      <c r="I124" s="100">
        <f t="shared" si="7"/>
        <v>1.0939026063100137</v>
      </c>
      <c r="J124" s="74">
        <f t="shared" si="8"/>
        <v>17.81707818930041</v>
      </c>
      <c r="K124">
        <f>VLOOKUP(C124,'RAW DATA 2023'!E:BO,12,0)</f>
        <v>0.18</v>
      </c>
      <c r="L124" s="268">
        <f t="shared" si="9"/>
        <v>3.207074074074074</v>
      </c>
      <c r="M124"/>
    </row>
    <row r="125" spans="1:13">
      <c r="A125" s="64" t="str">
        <f>'RAW DATA 2023'!B118</f>
        <v>Roiphet1</v>
      </c>
      <c r="B125" s="64" t="str">
        <f>'RAW DATA 2023'!D118</f>
        <v>D5-I10-0074</v>
      </c>
      <c r="C125" s="63" t="str">
        <f t="shared" si="5"/>
        <v>Roiphet1D5-I10-0074</v>
      </c>
      <c r="D125" s="63">
        <f>VLOOKUP(C125,'RAW DATA 2023'!E:BP,63,0)</f>
        <v>5</v>
      </c>
      <c r="E125" s="63" t="str">
        <f t="shared" si="6"/>
        <v>Roiphet15</v>
      </c>
      <c r="F125" s="79">
        <f>ROUND(VLOOKUP(C125,'RAW DATA 2023'!E:BO,23,0),0)</f>
        <v>37</v>
      </c>
      <c r="G125" s="79">
        <f>VLOOKUP(C125,'RAW DATA 2023'!E:BO,24,0)</f>
        <v>93.140384615384619</v>
      </c>
      <c r="H125" s="79">
        <f>IFERROR(VLOOKUP(F125,STD!B:G,2,FALSE),"")</f>
        <v>81</v>
      </c>
      <c r="I125" s="100">
        <f t="shared" si="7"/>
        <v>1.1498812915479582</v>
      </c>
      <c r="J125" s="74">
        <f t="shared" si="8"/>
        <v>19.496438746438745</v>
      </c>
      <c r="K125">
        <f>VLOOKUP(C125,'RAW DATA 2023'!E:BO,12,0)</f>
        <v>0.26</v>
      </c>
      <c r="L125" s="268">
        <f t="shared" si="9"/>
        <v>5.0690740740740736</v>
      </c>
      <c r="M125"/>
    </row>
    <row r="126" spans="1:13">
      <c r="A126" s="64" t="str">
        <f>'RAW DATA 2023'!B119</f>
        <v>Roiphet1</v>
      </c>
      <c r="B126" s="64" t="str">
        <f>'RAW DATA 2023'!D119</f>
        <v>D5-G10-0069</v>
      </c>
      <c r="C126" s="63" t="str">
        <f t="shared" si="5"/>
        <v>Roiphet1D5-G10-0069</v>
      </c>
      <c r="D126" s="63">
        <f>VLOOKUP(C126,'RAW DATA 2023'!E:BP,63,0)</f>
        <v>5</v>
      </c>
      <c r="E126" s="63" t="str">
        <f t="shared" si="6"/>
        <v>Roiphet15</v>
      </c>
      <c r="F126" s="79">
        <f>ROUND(VLOOKUP(C126,'RAW DATA 2023'!E:BO,23,0),0)</f>
        <v>34</v>
      </c>
      <c r="G126" s="79">
        <f>VLOOKUP(C126,'RAW DATA 2023'!E:BO,24,0)</f>
        <v>79.894680851063825</v>
      </c>
      <c r="H126" s="79">
        <f>IFERROR(VLOOKUP(F126,STD!B:G,2,FALSE),"")</f>
        <v>80</v>
      </c>
      <c r="I126" s="100">
        <f t="shared" si="7"/>
        <v>0.99868351063829786</v>
      </c>
      <c r="J126" s="74">
        <f t="shared" si="8"/>
        <v>14.960505319148936</v>
      </c>
      <c r="K126">
        <f>VLOOKUP(C126,'RAW DATA 2023'!E:BO,12,0)</f>
        <v>0.47</v>
      </c>
      <c r="L126" s="268">
        <f t="shared" si="9"/>
        <v>7.0314375</v>
      </c>
      <c r="M126"/>
    </row>
    <row r="127" spans="1:13">
      <c r="A127" s="64" t="str">
        <f>'RAW DATA 2023'!B120</f>
        <v>Roiphet1</v>
      </c>
      <c r="B127" s="64" t="str">
        <f>'RAW DATA 2023'!D120</f>
        <v>D2-G04-0079</v>
      </c>
      <c r="C127" s="63" t="str">
        <f t="shared" si="5"/>
        <v>Roiphet1D2-G04-0079</v>
      </c>
      <c r="D127" s="63">
        <f>VLOOKUP(C127,'RAW DATA 2023'!E:BP,63,0)</f>
        <v>5</v>
      </c>
      <c r="E127" s="63" t="str">
        <f t="shared" si="6"/>
        <v>Roiphet15</v>
      </c>
      <c r="F127" s="79">
        <f>ROUND(VLOOKUP(C127,'RAW DATA 2023'!E:BO,23,0),0)</f>
        <v>36</v>
      </c>
      <c r="G127" s="79">
        <f>VLOOKUP(C127,'RAW DATA 2023'!E:BO,24,0)</f>
        <v>64.089755011135864</v>
      </c>
      <c r="H127" s="79">
        <f>IFERROR(VLOOKUP(F127,STD!B:G,2,FALSE),"")</f>
        <v>81</v>
      </c>
      <c r="I127" s="100">
        <f t="shared" si="7"/>
        <v>0.79123154334735635</v>
      </c>
      <c r="J127" s="74">
        <f t="shared" si="8"/>
        <v>8.7369463004206906</v>
      </c>
      <c r="K127">
        <f>VLOOKUP(C127,'RAW DATA 2023'!E:BO,12,0)</f>
        <v>0.44900000000000001</v>
      </c>
      <c r="L127" s="268">
        <f t="shared" si="9"/>
        <v>3.92288888888889</v>
      </c>
      <c r="M127"/>
    </row>
    <row r="128" spans="1:13">
      <c r="A128" s="64" t="str">
        <f>'RAW DATA 2023'!B121</f>
        <v>Roiphet1</v>
      </c>
      <c r="B128" s="64" t="str">
        <f>'RAW DATA 2023'!D121</f>
        <v>D6-I11-0082</v>
      </c>
      <c r="C128" s="63" t="str">
        <f t="shared" si="5"/>
        <v>Roiphet1D6-I11-0082</v>
      </c>
      <c r="D128" s="63">
        <f>VLOOKUP(C128,'RAW DATA 2023'!E:BP,63,0)</f>
        <v>2</v>
      </c>
      <c r="E128" s="63" t="str">
        <f t="shared" si="6"/>
        <v>Roiphet12</v>
      </c>
      <c r="F128" s="79">
        <f>ROUND(VLOOKUP(C128,'RAW DATA 2023'!E:BO,23,0),0)</f>
        <v>35</v>
      </c>
      <c r="G128" s="79">
        <f>VLOOKUP(C128,'RAW DATA 2023'!E:BO,24,0)</f>
        <v>57.551600000000001</v>
      </c>
      <c r="H128" s="79">
        <f>IFERROR(VLOOKUP(F128,STD!B:G,2,FALSE),"")</f>
        <v>80</v>
      </c>
      <c r="I128" s="100">
        <f t="shared" si="7"/>
        <v>0.71939500000000001</v>
      </c>
      <c r="J128" s="74">
        <f t="shared" si="8"/>
        <v>6.5818500000000002</v>
      </c>
      <c r="K128">
        <f>VLOOKUP(C128,'RAW DATA 2023'!E:BO,12,0)</f>
        <v>0.25</v>
      </c>
      <c r="L128" s="268">
        <f t="shared" si="9"/>
        <v>1.6454625000000001</v>
      </c>
      <c r="M128"/>
    </row>
    <row r="129" spans="1:13">
      <c r="A129" s="64" t="str">
        <f>'RAW DATA 2023'!B122</f>
        <v>Roiphet1</v>
      </c>
      <c r="B129" s="64" t="str">
        <f>'RAW DATA 2023'!D122</f>
        <v>D1-G02-0078</v>
      </c>
      <c r="C129" s="63" t="str">
        <f t="shared" si="5"/>
        <v>Roiphet1D1-G02-0078</v>
      </c>
      <c r="D129" s="63">
        <f>VLOOKUP(C129,'RAW DATA 2023'!E:BP,63,0)</f>
        <v>2</v>
      </c>
      <c r="E129" s="63" t="str">
        <f t="shared" si="6"/>
        <v>Roiphet12</v>
      </c>
      <c r="F129" s="79">
        <f>ROUND(VLOOKUP(C129,'RAW DATA 2023'!E:BO,23,0),0)</f>
        <v>36</v>
      </c>
      <c r="G129" s="79">
        <f>VLOOKUP(C129,'RAW DATA 2023'!E:BO,24,0)</f>
        <v>89.825744680851059</v>
      </c>
      <c r="H129" s="79">
        <f>IFERROR(VLOOKUP(F129,STD!B:G,2,FALSE),"")</f>
        <v>81</v>
      </c>
      <c r="I129" s="100">
        <f t="shared" si="7"/>
        <v>1.1089598108747045</v>
      </c>
      <c r="J129" s="74">
        <f t="shared" si="8"/>
        <v>18.268794326241135</v>
      </c>
      <c r="K129">
        <f>VLOOKUP(C129,'RAW DATA 2023'!E:BO,12,0)</f>
        <v>0.47</v>
      </c>
      <c r="L129" s="268">
        <f t="shared" si="9"/>
        <v>8.5863333333333323</v>
      </c>
      <c r="M129"/>
    </row>
    <row r="130" spans="1:13">
      <c r="A130" s="64" t="str">
        <f>'RAW DATA 2023'!B123</f>
        <v>Roiphet1</v>
      </c>
      <c r="B130" s="64" t="str">
        <f>'RAW DATA 2023'!D123</f>
        <v>D6-G11-0075</v>
      </c>
      <c r="C130" s="63" t="str">
        <f t="shared" si="5"/>
        <v>Roiphet1D6-G11-0075</v>
      </c>
      <c r="D130" s="63">
        <f>VLOOKUP(C130,'RAW DATA 2023'!E:BP,63,0)</f>
        <v>2</v>
      </c>
      <c r="E130" s="63" t="str">
        <f t="shared" si="6"/>
        <v>Roiphet12</v>
      </c>
      <c r="F130" s="79">
        <f>ROUND(VLOOKUP(C130,'RAW DATA 2023'!E:BO,23,0),0)</f>
        <v>36</v>
      </c>
      <c r="G130" s="79">
        <f>VLOOKUP(C130,'RAW DATA 2023'!E:BO,24,0)</f>
        <v>62.75926605504587</v>
      </c>
      <c r="H130" s="79">
        <f>IFERROR(VLOOKUP(F130,STD!B:G,2,FALSE),"")</f>
        <v>81</v>
      </c>
      <c r="I130" s="100">
        <f t="shared" si="7"/>
        <v>0.77480575376599836</v>
      </c>
      <c r="J130" s="74">
        <f t="shared" si="8"/>
        <v>8.2441726129799502</v>
      </c>
      <c r="K130">
        <f>VLOOKUP(C130,'RAW DATA 2023'!E:BO,12,0)</f>
        <v>0.54500000000000004</v>
      </c>
      <c r="L130" s="268">
        <f t="shared" si="9"/>
        <v>4.4930740740740731</v>
      </c>
      <c r="M130"/>
    </row>
    <row r="131" spans="1:13">
      <c r="A131" s="64" t="str">
        <f>'RAW DATA 2023'!B124</f>
        <v>Roiphet1</v>
      </c>
      <c r="B131" s="64" t="str">
        <f>'RAW DATA 2023'!D124</f>
        <v>D1-I01-0091</v>
      </c>
      <c r="C131" s="63" t="str">
        <f t="shared" si="5"/>
        <v>Roiphet1D1-I01-0091</v>
      </c>
      <c r="D131" s="63">
        <f>VLOOKUP(C131,'RAW DATA 2023'!E:BP,63,0)</f>
        <v>6</v>
      </c>
      <c r="E131" s="63" t="str">
        <f t="shared" si="6"/>
        <v>Roiphet16</v>
      </c>
      <c r="F131" s="79">
        <f>ROUND(VLOOKUP(C131,'RAW DATA 2023'!E:BO,23,0),0)</f>
        <v>38</v>
      </c>
      <c r="G131" s="79">
        <f>VLOOKUP(C131,'RAW DATA 2023'!E:BO,24,0)</f>
        <v>81.765500000000003</v>
      </c>
      <c r="H131" s="79">
        <f>IFERROR(VLOOKUP(F131,STD!B:G,2,FALSE),"")</f>
        <v>81</v>
      </c>
      <c r="I131" s="100">
        <f t="shared" si="7"/>
        <v>1.0094506172839506</v>
      </c>
      <c r="J131" s="74">
        <f t="shared" si="8"/>
        <v>15.283518518518518</v>
      </c>
      <c r="K131">
        <f>VLOOKUP(C131,'RAW DATA 2023'!E:BO,12,0)</f>
        <v>0.2</v>
      </c>
      <c r="L131" s="268">
        <f t="shared" si="9"/>
        <v>3.0567037037037039</v>
      </c>
      <c r="M131"/>
    </row>
    <row r="132" spans="1:13">
      <c r="A132" s="64" t="str">
        <f>'RAW DATA 2023'!B125</f>
        <v>Roiphet1</v>
      </c>
      <c r="B132" s="64" t="str">
        <f>'RAW DATA 2023'!D125</f>
        <v>D6-G12-0078</v>
      </c>
      <c r="C132" s="63" t="str">
        <f t="shared" si="5"/>
        <v>Roiphet1D6-G12-0078</v>
      </c>
      <c r="D132" s="63">
        <f>VLOOKUP(C132,'RAW DATA 2023'!E:BP,63,0)</f>
        <v>2</v>
      </c>
      <c r="E132" s="63" t="str">
        <f t="shared" si="6"/>
        <v>Roiphet12</v>
      </c>
      <c r="F132" s="79">
        <f>ROUND(VLOOKUP(C132,'RAW DATA 2023'!E:BO,23,0),0)</f>
        <v>38</v>
      </c>
      <c r="G132" s="79">
        <f>VLOOKUP(C132,'RAW DATA 2023'!E:BO,24,0)</f>
        <v>55.541651376146795</v>
      </c>
      <c r="H132" s="79">
        <f>IFERROR(VLOOKUP(F132,STD!B:G,2,FALSE),"")</f>
        <v>81</v>
      </c>
      <c r="I132" s="100">
        <f t="shared" si="7"/>
        <v>0.68569939970551597</v>
      </c>
      <c r="J132" s="74">
        <f t="shared" si="8"/>
        <v>5.5709819911654792</v>
      </c>
      <c r="K132">
        <f>VLOOKUP(C132,'RAW DATA 2023'!E:BO,12,0)</f>
        <v>0.54500000000000004</v>
      </c>
      <c r="L132" s="268">
        <f t="shared" si="9"/>
        <v>3.0361851851851864</v>
      </c>
      <c r="M132"/>
    </row>
    <row r="133" spans="1:13">
      <c r="A133" s="64" t="str">
        <f>'RAW DATA 2023'!B126</f>
        <v>Roiphet1</v>
      </c>
      <c r="B133" s="64" t="str">
        <f>'RAW DATA 2023'!D126</f>
        <v>D3-G05-0080</v>
      </c>
      <c r="C133" s="63" t="str">
        <f t="shared" si="5"/>
        <v>Roiphet1D3-G05-0080</v>
      </c>
      <c r="D133" s="63">
        <f>VLOOKUP(C133,'RAW DATA 2023'!E:BP,63,0)</f>
        <v>4</v>
      </c>
      <c r="E133" s="63" t="str">
        <f t="shared" si="6"/>
        <v>Roiphet14</v>
      </c>
      <c r="F133" s="79">
        <f>ROUND(VLOOKUP(C133,'RAW DATA 2023'!E:BO,23,0),0)</f>
        <v>34</v>
      </c>
      <c r="G133" s="79">
        <f>VLOOKUP(C133,'RAW DATA 2023'!E:BO,24,0)</f>
        <v>69.444222222222223</v>
      </c>
      <c r="H133" s="79">
        <f>IFERROR(VLOOKUP(F133,STD!B:G,2,FALSE),"")</f>
        <v>80</v>
      </c>
      <c r="I133" s="100">
        <f t="shared" si="7"/>
        <v>0.86805277777777778</v>
      </c>
      <c r="J133" s="74">
        <f t="shared" si="8"/>
        <v>11.041583333333334</v>
      </c>
      <c r="K133">
        <f>VLOOKUP(C133,'RAW DATA 2023'!E:BO,12,0)</f>
        <v>0.45</v>
      </c>
      <c r="L133" s="268">
        <f t="shared" si="9"/>
        <v>4.9687125000000005</v>
      </c>
      <c r="M133"/>
    </row>
    <row r="134" spans="1:13">
      <c r="A134" s="64" t="str">
        <f>'RAW DATA 2023'!B127</f>
        <v>Roiphet1</v>
      </c>
      <c r="B134" s="64" t="str">
        <f>'RAW DATA 2023'!D127</f>
        <v>D3-I06-0080</v>
      </c>
      <c r="C134" s="63" t="str">
        <f t="shared" si="5"/>
        <v>Roiphet1D3-I06-0080</v>
      </c>
      <c r="D134" s="63">
        <f>VLOOKUP(C134,'RAW DATA 2023'!E:BP,63,0)</f>
        <v>4</v>
      </c>
      <c r="E134" s="63" t="str">
        <f t="shared" si="6"/>
        <v>Roiphet14</v>
      </c>
      <c r="F134" s="79">
        <f>ROUND(VLOOKUP(C134,'RAW DATA 2023'!E:BO,23,0),0)</f>
        <v>38</v>
      </c>
      <c r="G134" s="79">
        <f>VLOOKUP(C134,'RAW DATA 2023'!E:BO,24,0)</f>
        <v>69.738</v>
      </c>
      <c r="H134" s="79">
        <f>IFERROR(VLOOKUP(F134,STD!B:G,2,FALSE),"")</f>
        <v>81</v>
      </c>
      <c r="I134" s="100">
        <f t="shared" si="7"/>
        <v>0.86096296296296293</v>
      </c>
      <c r="J134" s="74">
        <f t="shared" si="8"/>
        <v>10.828888888888887</v>
      </c>
      <c r="K134">
        <f>VLOOKUP(C134,'RAW DATA 2023'!E:BO,12,0)</f>
        <v>0.25</v>
      </c>
      <c r="L134" s="268">
        <f t="shared" si="9"/>
        <v>2.7072222222222218</v>
      </c>
      <c r="M134"/>
    </row>
    <row r="135" spans="1:13">
      <c r="A135" s="64" t="str">
        <f>'RAW DATA 2023'!B128</f>
        <v>Roiphet1</v>
      </c>
      <c r="B135" s="64" t="str">
        <f>'RAW DATA 2023'!D128</f>
        <v>D5-G09-0068</v>
      </c>
      <c r="C135" s="63" t="str">
        <f t="shared" si="5"/>
        <v>Roiphet1D5-G09-0068</v>
      </c>
      <c r="D135" s="63">
        <f>VLOOKUP(C135,'RAW DATA 2023'!E:BP,63,0)</f>
        <v>5</v>
      </c>
      <c r="E135" s="63" t="str">
        <f t="shared" si="6"/>
        <v>Roiphet15</v>
      </c>
      <c r="F135" s="79">
        <f>ROUND(VLOOKUP(C135,'RAW DATA 2023'!E:BO,23,0),0)</f>
        <v>35</v>
      </c>
      <c r="G135" s="79">
        <f>VLOOKUP(C135,'RAW DATA 2023'!E:BO,24,0)</f>
        <v>86.114081632653068</v>
      </c>
      <c r="H135" s="79">
        <f>IFERROR(VLOOKUP(F135,STD!B:G,2,FALSE),"")</f>
        <v>80</v>
      </c>
      <c r="I135" s="100">
        <f t="shared" si="7"/>
        <v>1.0764260204081633</v>
      </c>
      <c r="J135" s="74">
        <f t="shared" si="8"/>
        <v>17.292780612244897</v>
      </c>
      <c r="K135">
        <f>VLOOKUP(C135,'RAW DATA 2023'!E:BO,12,0)</f>
        <v>0.49</v>
      </c>
      <c r="L135" s="268">
        <f t="shared" si="9"/>
        <v>8.4734625000000001</v>
      </c>
      <c r="M135"/>
    </row>
    <row r="136" spans="1:13">
      <c r="A136" s="64" t="str">
        <f>'RAW DATA 2023'!B129</f>
        <v>Roiphet1</v>
      </c>
      <c r="B136" s="64" t="str">
        <f>'RAW DATA 2023'!D129</f>
        <v>D3-I05-0094</v>
      </c>
      <c r="C136" s="63" t="str">
        <f t="shared" si="5"/>
        <v>Roiphet1D3-I05-0094</v>
      </c>
      <c r="D136" s="63">
        <f>VLOOKUP(C136,'RAW DATA 2023'!E:BP,63,0)</f>
        <v>4</v>
      </c>
      <c r="E136" s="63" t="str">
        <f t="shared" si="6"/>
        <v>Roiphet14</v>
      </c>
      <c r="F136" s="79">
        <f>ROUND(VLOOKUP(C136,'RAW DATA 2023'!E:BO,23,0),0)</f>
        <v>35</v>
      </c>
      <c r="G136" s="79">
        <f>VLOOKUP(C136,'RAW DATA 2023'!E:BO,24,0)</f>
        <v>64.7988</v>
      </c>
      <c r="H136" s="79">
        <f>IFERROR(VLOOKUP(F136,STD!B:G,2,FALSE),"")</f>
        <v>80</v>
      </c>
      <c r="I136" s="100">
        <f t="shared" si="7"/>
        <v>0.80998499999999996</v>
      </c>
      <c r="J136" s="74">
        <f t="shared" si="8"/>
        <v>9.2995499999999982</v>
      </c>
      <c r="K136">
        <f>VLOOKUP(C136,'RAW DATA 2023'!E:BO,12,0)</f>
        <v>0.25</v>
      </c>
      <c r="L136" s="268">
        <f t="shared" si="9"/>
        <v>2.3248874999999996</v>
      </c>
      <c r="M136"/>
    </row>
    <row r="137" spans="1:13">
      <c r="A137" s="64" t="str">
        <f>'RAW DATA 2023'!B130</f>
        <v>Roiphet1</v>
      </c>
      <c r="B137" s="64" t="str">
        <f>'RAW DATA 2023'!D130</f>
        <v>D1-I01-0090</v>
      </c>
      <c r="C137" s="63" t="str">
        <f t="shared" si="5"/>
        <v>Roiphet1D1-I01-0090</v>
      </c>
      <c r="D137" s="63">
        <f>VLOOKUP(C137,'RAW DATA 2023'!E:BP,63,0)</f>
        <v>2</v>
      </c>
      <c r="E137" s="63" t="str">
        <f t="shared" si="6"/>
        <v>Roiphet12</v>
      </c>
      <c r="F137" s="79">
        <f>ROUND(VLOOKUP(C137,'RAW DATA 2023'!E:BO,23,0),0)</f>
        <v>39</v>
      </c>
      <c r="G137" s="79">
        <f>VLOOKUP(C137,'RAW DATA 2023'!E:BO,24,0)</f>
        <v>79.861777777777775</v>
      </c>
      <c r="H137" s="79">
        <f>IFERROR(VLOOKUP(F137,STD!B:G,2,FALSE),"")</f>
        <v>82</v>
      </c>
      <c r="I137" s="100">
        <f t="shared" si="7"/>
        <v>0.97392411924119238</v>
      </c>
      <c r="J137" s="74">
        <f t="shared" si="8"/>
        <v>14.217723577235772</v>
      </c>
      <c r="K137">
        <f>VLOOKUP(C137,'RAW DATA 2023'!E:BO,12,0)</f>
        <v>0.22500000000000001</v>
      </c>
      <c r="L137" s="268">
        <f t="shared" si="9"/>
        <v>3.1989878048780485</v>
      </c>
      <c r="M137"/>
    </row>
    <row r="138" spans="1:13">
      <c r="A138" s="64" t="str">
        <f>'RAW DATA 2023'!B131</f>
        <v>Roiphet1</v>
      </c>
      <c r="B138" s="64" t="str">
        <f>'RAW DATA 2023'!D131</f>
        <v>D3-G06-0083</v>
      </c>
      <c r="C138" s="63" t="str">
        <f t="shared" ref="C138:C201" si="10">A138&amp;B138</f>
        <v>Roiphet1D3-G06-0083</v>
      </c>
      <c r="D138" s="63">
        <f>VLOOKUP(C138,'RAW DATA 2023'!E:BP,63,0)</f>
        <v>4</v>
      </c>
      <c r="E138" s="63" t="str">
        <f t="shared" ref="E138:E201" si="11">A138&amp;D138</f>
        <v>Roiphet14</v>
      </c>
      <c r="F138" s="79">
        <f>ROUND(VLOOKUP(C138,'RAW DATA 2023'!E:BO,23,0),0)</f>
        <v>33</v>
      </c>
      <c r="G138" s="79">
        <f>VLOOKUP(C138,'RAW DATA 2023'!E:BO,24,0)</f>
        <v>80.671999999999997</v>
      </c>
      <c r="H138" s="79">
        <f>IFERROR(VLOOKUP(F138,STD!B:G,2,FALSE),"")</f>
        <v>79</v>
      </c>
      <c r="I138" s="100">
        <f t="shared" si="7"/>
        <v>1.0211645569620253</v>
      </c>
      <c r="J138" s="74">
        <f t="shared" si="8"/>
        <v>15.63493670886076</v>
      </c>
      <c r="K138">
        <f>VLOOKUP(C138,'RAW DATA 2023'!E:BO,12,0)</f>
        <v>0.45</v>
      </c>
      <c r="L138" s="268">
        <f t="shared" si="9"/>
        <v>7.0357215189873425</v>
      </c>
      <c r="M138"/>
    </row>
    <row r="139" spans="1:13">
      <c r="A139" s="64" t="str">
        <f>'RAW DATA 2023'!B132</f>
        <v>Roiphet1</v>
      </c>
      <c r="B139" s="64" t="str">
        <f>'RAW DATA 2023'!D132</f>
        <v>D1-I02-0089</v>
      </c>
      <c r="C139" s="63" t="str">
        <f t="shared" si="10"/>
        <v>Roiphet1D1-I02-0089</v>
      </c>
      <c r="D139" s="63">
        <f>VLOOKUP(C139,'RAW DATA 2023'!E:BP,63,0)</f>
        <v>6</v>
      </c>
      <c r="E139" s="63" t="str">
        <f t="shared" si="11"/>
        <v>Roiphet16</v>
      </c>
      <c r="F139" s="79">
        <f>ROUND(VLOOKUP(C139,'RAW DATA 2023'!E:BO,23,0),0)</f>
        <v>40</v>
      </c>
      <c r="G139" s="79">
        <f>VLOOKUP(C139,'RAW DATA 2023'!E:BO,24,0)</f>
        <v>97.250499999999988</v>
      </c>
      <c r="H139" s="79">
        <f>IFERROR(VLOOKUP(F139,STD!B:G,2,FALSE),"")</f>
        <v>82</v>
      </c>
      <c r="I139" s="100">
        <f t="shared" ref="I139:I202" si="12">IFERROR(G139/H139,0)</f>
        <v>1.1859817073170731</v>
      </c>
      <c r="J139" s="74">
        <f t="shared" ref="J139:J202" si="13">(I139-$E$4)*$E$7</f>
        <v>20.579451219512194</v>
      </c>
      <c r="K139">
        <f>VLOOKUP(C139,'RAW DATA 2023'!E:BO,12,0)</f>
        <v>0.2</v>
      </c>
      <c r="L139" s="268">
        <f t="shared" ref="L139:L202" si="14">J139*K139</f>
        <v>4.115890243902439</v>
      </c>
      <c r="M139"/>
    </row>
    <row r="140" spans="1:13">
      <c r="A140" s="64" t="str">
        <f>'RAW DATA 2023'!B133</f>
        <v>Roiphet1</v>
      </c>
      <c r="B140" s="64" t="str">
        <f>'RAW DATA 2023'!D133</f>
        <v>D1-G01-0076</v>
      </c>
      <c r="C140" s="63" t="str">
        <f t="shared" si="10"/>
        <v>Roiphet1D1-G01-0076</v>
      </c>
      <c r="D140" s="63">
        <f>VLOOKUP(C140,'RAW DATA 2023'!E:BP,63,0)</f>
        <v>2</v>
      </c>
      <c r="E140" s="63" t="str">
        <f t="shared" si="11"/>
        <v>Roiphet12</v>
      </c>
      <c r="F140" s="79">
        <f>ROUND(VLOOKUP(C140,'RAW DATA 2023'!E:BO,23,0),0)</f>
        <v>37</v>
      </c>
      <c r="G140" s="79">
        <f>VLOOKUP(C140,'RAW DATA 2023'!E:BO,24,0)</f>
        <v>83.863617021276596</v>
      </c>
      <c r="H140" s="79">
        <f>IFERROR(VLOOKUP(F140,STD!B:G,2,FALSE),"")</f>
        <v>81</v>
      </c>
      <c r="I140" s="100">
        <f t="shared" si="12"/>
        <v>1.0353532965589702</v>
      </c>
      <c r="J140" s="74">
        <f t="shared" si="13"/>
        <v>16.060598896769108</v>
      </c>
      <c r="K140">
        <f>VLOOKUP(C140,'RAW DATA 2023'!E:BO,12,0)</f>
        <v>0.47</v>
      </c>
      <c r="L140" s="268">
        <f t="shared" si="14"/>
        <v>7.5484814814814802</v>
      </c>
      <c r="M140"/>
    </row>
    <row r="141" spans="1:13">
      <c r="A141" s="64" t="str">
        <f>'RAW DATA 2023'!B134</f>
        <v>Roiphet1</v>
      </c>
      <c r="B141" s="64" t="str">
        <f>'RAW DATA 2023'!D134</f>
        <v>D4-I08-0070</v>
      </c>
      <c r="C141" s="63" t="str">
        <f t="shared" si="10"/>
        <v>Roiphet1D4-I08-0070</v>
      </c>
      <c r="D141" s="63">
        <f>VLOOKUP(C141,'RAW DATA 2023'!E:BP,63,0)</f>
        <v>1</v>
      </c>
      <c r="E141" s="63" t="str">
        <f t="shared" si="11"/>
        <v>Roiphet11</v>
      </c>
      <c r="F141" s="79">
        <f>ROUND(VLOOKUP(C141,'RAW DATA 2023'!E:BO,23,0),0)</f>
        <v>38</v>
      </c>
      <c r="G141" s="79">
        <f>VLOOKUP(C141,'RAW DATA 2023'!E:BO,24,0)</f>
        <v>86.614800000000002</v>
      </c>
      <c r="H141" s="79">
        <f>IFERROR(VLOOKUP(F141,STD!B:G,2,FALSE),"")</f>
        <v>81</v>
      </c>
      <c r="I141" s="100">
        <f t="shared" si="12"/>
        <v>1.0693185185185186</v>
      </c>
      <c r="J141" s="74">
        <f t="shared" si="13"/>
        <v>17.079555555555558</v>
      </c>
      <c r="K141">
        <f>VLOOKUP(C141,'RAW DATA 2023'!E:BO,12,0)</f>
        <v>0.25</v>
      </c>
      <c r="L141" s="268">
        <f t="shared" si="14"/>
        <v>4.2698888888888895</v>
      </c>
      <c r="M141"/>
    </row>
    <row r="142" spans="1:13">
      <c r="A142" s="64" t="str">
        <f>'RAW DATA 2023'!B135</f>
        <v>Roiphet1</v>
      </c>
      <c r="B142" s="64" t="str">
        <f>'RAW DATA 2023'!D135</f>
        <v>D4-I07-0075</v>
      </c>
      <c r="C142" s="63" t="str">
        <f t="shared" si="10"/>
        <v>Roiphet1D4-I07-0075</v>
      </c>
      <c r="D142" s="63">
        <f>VLOOKUP(C142,'RAW DATA 2023'!E:BP,63,0)</f>
        <v>1</v>
      </c>
      <c r="E142" s="63" t="str">
        <f t="shared" si="11"/>
        <v>Roiphet11</v>
      </c>
      <c r="F142" s="79">
        <f>ROUND(VLOOKUP(C142,'RAW DATA 2023'!E:BO,23,0),0)</f>
        <v>39</v>
      </c>
      <c r="G142" s="79">
        <f>VLOOKUP(C142,'RAW DATA 2023'!E:BO,24,0)</f>
        <v>59.258000000000003</v>
      </c>
      <c r="H142" s="79">
        <f>IFERROR(VLOOKUP(F142,STD!B:G,2,FALSE),"")</f>
        <v>82</v>
      </c>
      <c r="I142" s="100">
        <f t="shared" si="12"/>
        <v>0.72265853658536594</v>
      </c>
      <c r="J142" s="74">
        <f t="shared" si="13"/>
        <v>6.6797560975609782</v>
      </c>
      <c r="K142">
        <f>VLOOKUP(C142,'RAW DATA 2023'!E:BO,12,0)</f>
        <v>0.25</v>
      </c>
      <c r="L142" s="268">
        <f t="shared" si="14"/>
        <v>1.6699390243902446</v>
      </c>
      <c r="M142"/>
    </row>
    <row r="143" spans="1:13">
      <c r="A143" s="64" t="str">
        <f>'RAW DATA 2023'!B136</f>
        <v>Roiphet1</v>
      </c>
      <c r="B143" s="64" t="str">
        <f>'RAW DATA 2023'!D136</f>
        <v>D4-G08-0058</v>
      </c>
      <c r="C143" s="63" t="str">
        <f t="shared" si="10"/>
        <v>Roiphet1D4-G08-0058</v>
      </c>
      <c r="D143" s="63">
        <f>VLOOKUP(C143,'RAW DATA 2023'!E:BP,63,0)</f>
        <v>1</v>
      </c>
      <c r="E143" s="63" t="str">
        <f t="shared" si="11"/>
        <v>Roiphet11</v>
      </c>
      <c r="F143" s="79">
        <f>ROUND(VLOOKUP(C143,'RAW DATA 2023'!E:BO,23,0),0)</f>
        <v>49</v>
      </c>
      <c r="G143" s="79">
        <f>VLOOKUP(C143,'RAW DATA 2023'!E:BO,24,0)</f>
        <v>84.415999999999997</v>
      </c>
      <c r="H143" s="79">
        <f>IFERROR(VLOOKUP(F143,STD!B:G,2,FALSE),"")</f>
        <v>84</v>
      </c>
      <c r="I143" s="100">
        <f t="shared" si="12"/>
        <v>1.0049523809523808</v>
      </c>
      <c r="J143" s="74">
        <f t="shared" si="13"/>
        <v>15.148571428571424</v>
      </c>
      <c r="K143">
        <f>VLOOKUP(C143,'RAW DATA 2023'!E:BO,12,0)</f>
        <v>0.45</v>
      </c>
      <c r="L143" s="268">
        <f t="shared" si="14"/>
        <v>6.8168571428571409</v>
      </c>
      <c r="M143"/>
    </row>
    <row r="144" spans="1:13">
      <c r="A144" s="64" t="str">
        <f>'RAW DATA 2023'!B137</f>
        <v>Roiphet1</v>
      </c>
      <c r="B144" s="64" t="str">
        <f>'RAW DATA 2023'!D137</f>
        <v>D1-G02-0079</v>
      </c>
      <c r="C144" s="63" t="str">
        <f t="shared" si="10"/>
        <v>Roiphet1D1-G02-0079</v>
      </c>
      <c r="D144" s="63">
        <f>VLOOKUP(C144,'RAW DATA 2023'!E:BP,63,0)</f>
        <v>6</v>
      </c>
      <c r="E144" s="63" t="str">
        <f t="shared" si="11"/>
        <v>Roiphet16</v>
      </c>
      <c r="F144" s="79">
        <f>ROUND(VLOOKUP(C144,'RAW DATA 2023'!E:BO,23,0),0)</f>
        <v>44</v>
      </c>
      <c r="G144" s="79">
        <f>VLOOKUP(C144,'RAW DATA 2023'!E:BO,24,0)</f>
        <v>87.534749999999988</v>
      </c>
      <c r="H144" s="79">
        <f>IFERROR(VLOOKUP(F144,STD!B:G,2,FALSE),"")</f>
        <v>83</v>
      </c>
      <c r="I144" s="100">
        <f t="shared" si="12"/>
        <v>1.0546355421686746</v>
      </c>
      <c r="J144" s="74">
        <f t="shared" si="13"/>
        <v>16.639066265060237</v>
      </c>
      <c r="K144">
        <f>VLOOKUP(C144,'RAW DATA 2023'!E:BO,12,0)</f>
        <v>0.4</v>
      </c>
      <c r="L144" s="268">
        <f t="shared" si="14"/>
        <v>6.6556265060240953</v>
      </c>
      <c r="M144"/>
    </row>
    <row r="145" spans="1:13">
      <c r="A145" s="64" t="str">
        <f>'RAW DATA 2023'!B138</f>
        <v>Roiphet1</v>
      </c>
      <c r="B145" s="64" t="str">
        <f>'RAW DATA 2023'!D138</f>
        <v>D1-G01-0077</v>
      </c>
      <c r="C145" s="63" t="str">
        <f t="shared" si="10"/>
        <v>Roiphet1D1-G01-0077</v>
      </c>
      <c r="D145" s="63">
        <f>VLOOKUP(C145,'RAW DATA 2023'!E:BP,63,0)</f>
        <v>6</v>
      </c>
      <c r="E145" s="63" t="str">
        <f t="shared" si="11"/>
        <v>Roiphet16</v>
      </c>
      <c r="F145" s="79">
        <f>ROUND(VLOOKUP(C145,'RAW DATA 2023'!E:BO,23,0),0)</f>
        <v>46</v>
      </c>
      <c r="G145" s="79">
        <f>VLOOKUP(C145,'RAW DATA 2023'!E:BO,24,0)</f>
        <v>80.103500000000011</v>
      </c>
      <c r="H145" s="79">
        <f>IFERROR(VLOOKUP(F145,STD!B:G,2,FALSE),"")</f>
        <v>84</v>
      </c>
      <c r="I145" s="100">
        <f t="shared" si="12"/>
        <v>0.95361309523809534</v>
      </c>
      <c r="J145" s="74">
        <f t="shared" si="13"/>
        <v>13.60839285714286</v>
      </c>
      <c r="K145">
        <f>VLOOKUP(C145,'RAW DATA 2023'!E:BO,12,0)</f>
        <v>0.4</v>
      </c>
      <c r="L145" s="268">
        <f t="shared" si="14"/>
        <v>5.4433571428571446</v>
      </c>
      <c r="M145"/>
    </row>
    <row r="146" spans="1:13">
      <c r="A146" s="64" t="str">
        <f>'RAW DATA 2023'!B139</f>
        <v>Roiphet1</v>
      </c>
      <c r="B146" s="64" t="str">
        <f>'RAW DATA 2023'!D139</f>
        <v>A2-I04-0100</v>
      </c>
      <c r="C146" s="63" t="str">
        <f t="shared" si="10"/>
        <v>Roiphet1A2-I04-0100</v>
      </c>
      <c r="D146" s="63">
        <f>VLOOKUP(C146,'RAW DATA 2023'!E:BP,63,0)</f>
        <v>9</v>
      </c>
      <c r="E146" s="63" t="str">
        <f t="shared" si="11"/>
        <v>Roiphet19</v>
      </c>
      <c r="F146" s="79">
        <f>ROUND(VLOOKUP(C146,'RAW DATA 2023'!E:BO,23,0),0)</f>
        <v>33</v>
      </c>
      <c r="G146" s="79">
        <f>VLOOKUP(C146,'RAW DATA 2023'!E:BO,24,0)</f>
        <v>39.589600000000004</v>
      </c>
      <c r="H146" s="79">
        <f>IFERROR(VLOOKUP(F146,STD!B:G,2,FALSE),"")</f>
        <v>79</v>
      </c>
      <c r="I146" s="100">
        <f t="shared" si="12"/>
        <v>0.50113417721518994</v>
      </c>
      <c r="J146" s="74">
        <f t="shared" si="13"/>
        <v>3.4025316455698063E-2</v>
      </c>
      <c r="K146">
        <f>VLOOKUP(C146,'RAW DATA 2023'!E:BO,12,0)</f>
        <v>0.25</v>
      </c>
      <c r="L146" s="268">
        <f t="shared" si="14"/>
        <v>8.5063291139245156E-3</v>
      </c>
      <c r="M146"/>
    </row>
    <row r="147" spans="1:13">
      <c r="A147" s="64" t="str">
        <f>'RAW DATA 2023'!B140</f>
        <v>Roiphet1</v>
      </c>
      <c r="B147" s="64" t="str">
        <f>'RAW DATA 2023'!D140</f>
        <v>A2-G03-0083</v>
      </c>
      <c r="C147" s="63" t="str">
        <f t="shared" si="10"/>
        <v>Roiphet1A2-G03-0083</v>
      </c>
      <c r="D147" s="63">
        <f>VLOOKUP(C147,'RAW DATA 2023'!E:BP,63,0)</f>
        <v>9</v>
      </c>
      <c r="E147" s="63" t="str">
        <f t="shared" si="11"/>
        <v>Roiphet19</v>
      </c>
      <c r="F147" s="79">
        <f>ROUND(VLOOKUP(C147,'RAW DATA 2023'!E:BO,23,0),0)</f>
        <v>37</v>
      </c>
      <c r="G147" s="79">
        <f>VLOOKUP(C147,'RAW DATA 2023'!E:BO,24,0)</f>
        <v>36.021999999999998</v>
      </c>
      <c r="H147" s="79">
        <f>IFERROR(VLOOKUP(F147,STD!B:G,2,FALSE),"")</f>
        <v>81</v>
      </c>
      <c r="I147" s="100">
        <f t="shared" si="12"/>
        <v>0.44471604938271603</v>
      </c>
      <c r="J147" s="74">
        <f t="shared" si="13"/>
        <v>-1.6585185185185192</v>
      </c>
      <c r="K147">
        <f>VLOOKUP(C147,'RAW DATA 2023'!E:BO,12,0)</f>
        <v>0.55000000000000004</v>
      </c>
      <c r="L147" s="268">
        <f t="shared" si="14"/>
        <v>-0.91218518518518565</v>
      </c>
      <c r="M147"/>
    </row>
    <row r="148" spans="1:13">
      <c r="A148" s="64" t="str">
        <f>'RAW DATA 2023'!B141</f>
        <v>Roiphet1</v>
      </c>
      <c r="B148" s="64" t="str">
        <f>'RAW DATA 2023'!D141</f>
        <v>A2-I03-0095</v>
      </c>
      <c r="C148" s="63" t="str">
        <f t="shared" si="10"/>
        <v>Roiphet1A2-I03-0095</v>
      </c>
      <c r="D148" s="63">
        <f>VLOOKUP(C148,'RAW DATA 2023'!E:BP,63,0)</f>
        <v>9</v>
      </c>
      <c r="E148" s="63" t="str">
        <f t="shared" si="11"/>
        <v>Roiphet19</v>
      </c>
      <c r="F148" s="79">
        <f>ROUND(VLOOKUP(C148,'RAW DATA 2023'!E:BO,23,0),0)</f>
        <v>35</v>
      </c>
      <c r="G148" s="79">
        <f>VLOOKUP(C148,'RAW DATA 2023'!E:BO,24,0)</f>
        <v>49.209199999999996</v>
      </c>
      <c r="H148" s="79">
        <f>IFERROR(VLOOKUP(F148,STD!B:G,2,FALSE),"")</f>
        <v>80</v>
      </c>
      <c r="I148" s="100">
        <f t="shared" si="12"/>
        <v>0.61511499999999997</v>
      </c>
      <c r="J148" s="74">
        <f t="shared" si="13"/>
        <v>3.4534499999999992</v>
      </c>
      <c r="K148">
        <f>VLOOKUP(C148,'RAW DATA 2023'!E:BO,12,0)</f>
        <v>0.25</v>
      </c>
      <c r="L148" s="268">
        <f t="shared" si="14"/>
        <v>0.86336249999999981</v>
      </c>
      <c r="M148"/>
    </row>
    <row r="149" spans="1:13">
      <c r="A149" s="64" t="str">
        <f>'RAW DATA 2023'!B142</f>
        <v>Roiphet1</v>
      </c>
      <c r="B149" s="64" t="str">
        <f>'RAW DATA 2023'!D142</f>
        <v>A2-G04-0082</v>
      </c>
      <c r="C149" s="63" t="str">
        <f t="shared" si="10"/>
        <v>Roiphet1A2-G04-0082</v>
      </c>
      <c r="D149" s="63">
        <f>VLOOKUP(C149,'RAW DATA 2023'!E:BP,63,0)</f>
        <v>9</v>
      </c>
      <c r="E149" s="63" t="str">
        <f t="shared" si="11"/>
        <v>Roiphet19</v>
      </c>
      <c r="F149" s="79">
        <f>ROUND(VLOOKUP(C149,'RAW DATA 2023'!E:BO,23,0),0)</f>
        <v>34</v>
      </c>
      <c r="G149" s="79">
        <f>VLOOKUP(C149,'RAW DATA 2023'!E:BO,24,0)</f>
        <v>43.032600000000002</v>
      </c>
      <c r="H149" s="79">
        <f>IFERROR(VLOOKUP(F149,STD!B:G,2,FALSE),"")</f>
        <v>80</v>
      </c>
      <c r="I149" s="100">
        <f t="shared" si="12"/>
        <v>0.53790749999999998</v>
      </c>
      <c r="J149" s="74">
        <f t="shared" si="13"/>
        <v>1.1372249999999995</v>
      </c>
      <c r="K149">
        <f>VLOOKUP(C149,'RAW DATA 2023'!E:BO,12,0)</f>
        <v>0.5</v>
      </c>
      <c r="L149" s="268">
        <f t="shared" si="14"/>
        <v>0.56861249999999974</v>
      </c>
      <c r="M149"/>
    </row>
    <row r="150" spans="1:13">
      <c r="A150" s="64" t="str">
        <f>'RAW DATA 2023'!B143</f>
        <v>Roiphet1</v>
      </c>
      <c r="B150" s="64" t="str">
        <f>'RAW DATA 2023'!D143</f>
        <v>A1-I02-0095</v>
      </c>
      <c r="C150" s="63" t="str">
        <f t="shared" si="10"/>
        <v>Roiphet1A1-I02-0095</v>
      </c>
      <c r="D150" s="63">
        <f>VLOOKUP(C150,'RAW DATA 2023'!E:BP,63,0)</f>
        <v>9</v>
      </c>
      <c r="E150" s="63" t="str">
        <f t="shared" si="11"/>
        <v>Roiphet19</v>
      </c>
      <c r="F150" s="79">
        <f>ROUND(VLOOKUP(C150,'RAW DATA 2023'!E:BO,23,0),0)</f>
        <v>35</v>
      </c>
      <c r="G150" s="79">
        <f>VLOOKUP(C150,'RAW DATA 2023'!E:BO,24,0)</f>
        <v>56.132499999999993</v>
      </c>
      <c r="H150" s="79">
        <f>IFERROR(VLOOKUP(F150,STD!B:G,2,FALSE),"")</f>
        <v>80</v>
      </c>
      <c r="I150" s="100">
        <f t="shared" si="12"/>
        <v>0.70165624999999987</v>
      </c>
      <c r="J150" s="74">
        <f t="shared" si="13"/>
        <v>6.0496874999999957</v>
      </c>
      <c r="K150">
        <f>VLOOKUP(C150,'RAW DATA 2023'!E:BO,12,0)</f>
        <v>0.2</v>
      </c>
      <c r="L150" s="268">
        <f t="shared" si="14"/>
        <v>1.2099374999999992</v>
      </c>
      <c r="M150"/>
    </row>
    <row r="151" spans="1:13">
      <c r="A151" s="64" t="str">
        <f>'RAW DATA 2023'!B144</f>
        <v>Roiphet1</v>
      </c>
      <c r="B151" s="64" t="str">
        <f>'RAW DATA 2023'!D144</f>
        <v>A1-G02-0075</v>
      </c>
      <c r="C151" s="63" t="str">
        <f t="shared" si="10"/>
        <v>Roiphet1A1-G02-0075</v>
      </c>
      <c r="D151" s="63">
        <f>VLOOKUP(C151,'RAW DATA 2023'!E:BP,63,0)</f>
        <v>9</v>
      </c>
      <c r="E151" s="63" t="str">
        <f t="shared" si="11"/>
        <v>Roiphet19</v>
      </c>
      <c r="F151" s="79">
        <f>ROUND(VLOOKUP(C151,'RAW DATA 2023'!E:BO,23,0),0)</f>
        <v>45</v>
      </c>
      <c r="G151" s="79">
        <f>VLOOKUP(C151,'RAW DATA 2023'!E:BO,24,0)</f>
        <v>58.467090909090913</v>
      </c>
      <c r="H151" s="79">
        <f>IFERROR(VLOOKUP(F151,STD!B:G,2,FALSE),"")</f>
        <v>83</v>
      </c>
      <c r="I151" s="100">
        <f t="shared" si="12"/>
        <v>0.70442278203723996</v>
      </c>
      <c r="J151" s="74">
        <f t="shared" si="13"/>
        <v>6.1326834611171988</v>
      </c>
      <c r="K151">
        <f>VLOOKUP(C151,'RAW DATA 2023'!E:BO,12,0)</f>
        <v>0.55000000000000004</v>
      </c>
      <c r="L151" s="268">
        <f t="shared" si="14"/>
        <v>3.3729759036144595</v>
      </c>
      <c r="M151"/>
    </row>
    <row r="152" spans="1:13">
      <c r="A152" s="64" t="str">
        <f>'RAW DATA 2023'!B145</f>
        <v>Roiphet1</v>
      </c>
      <c r="B152" s="64" t="str">
        <f>'RAW DATA 2023'!D145</f>
        <v>A1-I01-0089</v>
      </c>
      <c r="C152" s="63" t="str">
        <f t="shared" si="10"/>
        <v>Roiphet1A1-I01-0089</v>
      </c>
      <c r="D152" s="63">
        <f>VLOOKUP(C152,'RAW DATA 2023'!E:BP,63,0)</f>
        <v>9</v>
      </c>
      <c r="E152" s="63" t="str">
        <f t="shared" si="11"/>
        <v>Roiphet19</v>
      </c>
      <c r="F152" s="79">
        <f>ROUND(VLOOKUP(C152,'RAW DATA 2023'!E:BO,23,0),0)</f>
        <v>39</v>
      </c>
      <c r="G152" s="79">
        <f>VLOOKUP(C152,'RAW DATA 2023'!E:BO,24,0)</f>
        <v>50.594399999999993</v>
      </c>
      <c r="H152" s="79">
        <f>IFERROR(VLOOKUP(F152,STD!B:G,2,FALSE),"")</f>
        <v>82</v>
      </c>
      <c r="I152" s="100">
        <f t="shared" si="12"/>
        <v>0.61700487804878046</v>
      </c>
      <c r="J152" s="74">
        <f t="shared" si="13"/>
        <v>3.5101463414634138</v>
      </c>
      <c r="K152">
        <f>VLOOKUP(C152,'RAW DATA 2023'!E:BO,12,0)</f>
        <v>0.25</v>
      </c>
      <c r="L152" s="268">
        <f t="shared" si="14"/>
        <v>0.87753658536585344</v>
      </c>
      <c r="M152"/>
    </row>
    <row r="153" spans="1:13">
      <c r="A153" s="64" t="str">
        <f>'RAW DATA 2023'!B146</f>
        <v>Roiphet1</v>
      </c>
      <c r="B153" s="64" t="str">
        <f>'RAW DATA 2023'!D146</f>
        <v>A1-G01-0063</v>
      </c>
      <c r="C153" s="63" t="str">
        <f t="shared" si="10"/>
        <v>Roiphet1A1-G01-0063</v>
      </c>
      <c r="D153" s="63">
        <f>VLOOKUP(C153,'RAW DATA 2023'!E:BP,63,0)</f>
        <v>6</v>
      </c>
      <c r="E153" s="63" t="str">
        <f t="shared" si="11"/>
        <v>Roiphet16</v>
      </c>
      <c r="F153" s="79">
        <f>ROUND(VLOOKUP(C153,'RAW DATA 2023'!E:BO,23,0),0)</f>
        <v>35</v>
      </c>
      <c r="G153" s="79">
        <f>VLOOKUP(C153,'RAW DATA 2023'!E:BO,24,0)</f>
        <v>49.637872340425531</v>
      </c>
      <c r="H153" s="79">
        <f>IFERROR(VLOOKUP(F153,STD!B:G,2,FALSE),"")</f>
        <v>80</v>
      </c>
      <c r="I153" s="100">
        <f t="shared" si="12"/>
        <v>0.62047340425531916</v>
      </c>
      <c r="J153" s="74">
        <f t="shared" si="13"/>
        <v>3.614202127659575</v>
      </c>
      <c r="K153">
        <f>VLOOKUP(C153,'RAW DATA 2023'!E:BO,12,0)</f>
        <v>0.47</v>
      </c>
      <c r="L153" s="268">
        <f t="shared" si="14"/>
        <v>1.6986750000000002</v>
      </c>
      <c r="M153"/>
    </row>
    <row r="154" spans="1:13">
      <c r="A154" s="64" t="str">
        <f>'RAW DATA 2023'!B147</f>
        <v>Roiphet1</v>
      </c>
      <c r="B154" s="64" t="str">
        <f>'RAW DATA 2023'!D147</f>
        <v>A1-I01-0087</v>
      </c>
      <c r="C154" s="63" t="str">
        <f t="shared" si="10"/>
        <v>Roiphet1A1-I01-0087</v>
      </c>
      <c r="D154" s="63">
        <f>VLOOKUP(C154,'RAW DATA 2023'!E:BP,63,0)</f>
        <v>1</v>
      </c>
      <c r="E154" s="63" t="str">
        <f t="shared" si="11"/>
        <v>Roiphet11</v>
      </c>
      <c r="F154" s="79">
        <f>ROUND(VLOOKUP(C154,'RAW DATA 2023'!E:BO,23,0),0)</f>
        <v>37</v>
      </c>
      <c r="G154" s="79">
        <f>VLOOKUP(C154,'RAW DATA 2023'!E:BO,24,0)</f>
        <v>44.713461538461544</v>
      </c>
      <c r="H154" s="79">
        <f>IFERROR(VLOOKUP(F154,STD!B:G,2,FALSE),"")</f>
        <v>81</v>
      </c>
      <c r="I154" s="100">
        <f t="shared" si="12"/>
        <v>0.55201804368471041</v>
      </c>
      <c r="J154" s="74">
        <f t="shared" si="13"/>
        <v>1.5605413105413124</v>
      </c>
      <c r="K154">
        <f>VLOOKUP(C154,'RAW DATA 2023'!E:BO,12,0)</f>
        <v>0.26</v>
      </c>
      <c r="L154" s="268">
        <f t="shared" si="14"/>
        <v>0.40574074074074123</v>
      </c>
      <c r="M154"/>
    </row>
    <row r="155" spans="1:13">
      <c r="A155" s="64" t="str">
        <f>'RAW DATA 2023'!B148</f>
        <v>Roiphet1</v>
      </c>
      <c r="B155" s="64" t="str">
        <f>'RAW DATA 2023'!D148</f>
        <v>A1-I01-0088</v>
      </c>
      <c r="C155" s="63" t="str">
        <f t="shared" si="10"/>
        <v>Roiphet1A1-I01-0088</v>
      </c>
      <c r="D155" s="63">
        <f>VLOOKUP(C155,'RAW DATA 2023'!E:BP,63,0)</f>
        <v>6</v>
      </c>
      <c r="E155" s="63" t="str">
        <f t="shared" si="11"/>
        <v>Roiphet16</v>
      </c>
      <c r="F155" s="79">
        <f>ROUND(VLOOKUP(C155,'RAW DATA 2023'!E:BO,23,0),0)</f>
        <v>33</v>
      </c>
      <c r="G155" s="79">
        <f>VLOOKUP(C155,'RAW DATA 2023'!E:BO,24,0)</f>
        <v>59.637692307692305</v>
      </c>
      <c r="H155" s="79">
        <f>IFERROR(VLOOKUP(F155,STD!B:G,2,FALSE),"")</f>
        <v>79</v>
      </c>
      <c r="I155" s="100">
        <f t="shared" si="12"/>
        <v>0.75490749756572539</v>
      </c>
      <c r="J155" s="74">
        <f t="shared" si="13"/>
        <v>7.647224926971762</v>
      </c>
      <c r="K155">
        <f>VLOOKUP(C155,'RAW DATA 2023'!E:BO,12,0)</f>
        <v>0.26</v>
      </c>
      <c r="L155" s="268">
        <f t="shared" si="14"/>
        <v>1.9882784810126581</v>
      </c>
      <c r="M155"/>
    </row>
    <row r="156" spans="1:13">
      <c r="A156" s="64" t="str">
        <f>'RAW DATA 2023'!B149</f>
        <v>Roiphet1</v>
      </c>
      <c r="B156" s="64" t="str">
        <f>'RAW DATA 2023'!D149</f>
        <v>A6-G11-0091</v>
      </c>
      <c r="C156" s="63" t="str">
        <f t="shared" si="10"/>
        <v>Roiphet1A6-G11-0091</v>
      </c>
      <c r="D156" s="63">
        <f>VLOOKUP(C156,'RAW DATA 2023'!E:BP,63,0)</f>
        <v>5</v>
      </c>
      <c r="E156" s="63" t="str">
        <f t="shared" si="11"/>
        <v>Roiphet15</v>
      </c>
      <c r="F156" s="79">
        <f>ROUND(VLOOKUP(C156,'RAW DATA 2023'!E:BO,23,0),0)</f>
        <v>30</v>
      </c>
      <c r="G156" s="79">
        <f>VLOOKUP(C156,'RAW DATA 2023'!E:BO,24,0)</f>
        <v>42.067857142857143</v>
      </c>
      <c r="H156" s="79">
        <f>IFERROR(VLOOKUP(F156,STD!B:G,2,FALSE),"")</f>
        <v>76</v>
      </c>
      <c r="I156" s="100">
        <f t="shared" si="12"/>
        <v>0.55352443609022561</v>
      </c>
      <c r="J156" s="74">
        <f t="shared" si="13"/>
        <v>1.6057330827067684</v>
      </c>
      <c r="K156">
        <f>VLOOKUP(C156,'RAW DATA 2023'!E:BO,12,0)</f>
        <v>0.42</v>
      </c>
      <c r="L156" s="268">
        <f t="shared" si="14"/>
        <v>0.67440789473684271</v>
      </c>
      <c r="M156"/>
    </row>
    <row r="157" spans="1:13">
      <c r="A157" s="64" t="str">
        <f>'RAW DATA 2023'!B150</f>
        <v>Roiphet1</v>
      </c>
      <c r="B157" s="64" t="str">
        <f>'RAW DATA 2023'!D150</f>
        <v>A6-I11-0101</v>
      </c>
      <c r="C157" s="63" t="str">
        <f t="shared" si="10"/>
        <v>Roiphet1A6-I11-0101</v>
      </c>
      <c r="D157" s="63">
        <f>VLOOKUP(C157,'RAW DATA 2023'!E:BP,63,0)</f>
        <v>5</v>
      </c>
      <c r="E157" s="63" t="str">
        <f t="shared" si="11"/>
        <v>Roiphet15</v>
      </c>
      <c r="F157" s="79">
        <f>ROUND(VLOOKUP(C157,'RAW DATA 2023'!E:BO,23,0),0)</f>
        <v>31</v>
      </c>
      <c r="G157" s="79">
        <f>VLOOKUP(C157,'RAW DATA 2023'!E:BO,24,0)</f>
        <v>46.68181818181818</v>
      </c>
      <c r="H157" s="79">
        <f>IFERROR(VLOOKUP(F157,STD!B:G,2,FALSE),"")</f>
        <v>76</v>
      </c>
      <c r="I157" s="100">
        <f t="shared" si="12"/>
        <v>0.61423444976076558</v>
      </c>
      <c r="J157" s="74">
        <f t="shared" si="13"/>
        <v>3.4270334928229671</v>
      </c>
      <c r="K157">
        <f>VLOOKUP(C157,'RAW DATA 2023'!E:BO,12,0)</f>
        <v>0.22</v>
      </c>
      <c r="L157" s="268">
        <f t="shared" si="14"/>
        <v>0.75394736842105281</v>
      </c>
      <c r="M157"/>
    </row>
    <row r="158" spans="1:13">
      <c r="A158" s="64" t="str">
        <f>'RAW DATA 2023'!B151</f>
        <v>Roiphet1</v>
      </c>
      <c r="B158" s="64" t="str">
        <f>'RAW DATA 2023'!D151</f>
        <v>A1-I02-0094</v>
      </c>
      <c r="C158" s="63" t="str">
        <f t="shared" si="10"/>
        <v>Roiphet1A1-I02-0094</v>
      </c>
      <c r="D158" s="63">
        <f>VLOOKUP(C158,'RAW DATA 2023'!E:BP,63,0)</f>
        <v>5</v>
      </c>
      <c r="E158" s="63" t="str">
        <f t="shared" si="11"/>
        <v>Roiphet15</v>
      </c>
      <c r="F158" s="79">
        <f>ROUND(VLOOKUP(C158,'RAW DATA 2023'!E:BO,23,0),0)</f>
        <v>31</v>
      </c>
      <c r="G158" s="79">
        <f>VLOOKUP(C158,'RAW DATA 2023'!E:BO,24,0)</f>
        <v>59.678076923076929</v>
      </c>
      <c r="H158" s="79">
        <f>IFERROR(VLOOKUP(F158,STD!B:G,2,FALSE),"")</f>
        <v>76</v>
      </c>
      <c r="I158" s="100">
        <f t="shared" si="12"/>
        <v>0.78523785425101222</v>
      </c>
      <c r="J158" s="74">
        <f t="shared" si="13"/>
        <v>8.5571356275303661</v>
      </c>
      <c r="K158">
        <f>VLOOKUP(C158,'RAW DATA 2023'!E:BO,12,0)</f>
        <v>0.26</v>
      </c>
      <c r="L158" s="268">
        <f t="shared" si="14"/>
        <v>2.2248552631578953</v>
      </c>
      <c r="M158"/>
    </row>
    <row r="159" spans="1:13">
      <c r="A159" s="64" t="str">
        <f>'RAW DATA 2023'!B152</f>
        <v>Roiphet1</v>
      </c>
      <c r="B159" s="64" t="str">
        <f>'RAW DATA 2023'!D152</f>
        <v>A2-I03-0094</v>
      </c>
      <c r="C159" s="63" t="str">
        <f t="shared" si="10"/>
        <v>Roiphet1A2-I03-0094</v>
      </c>
      <c r="D159" s="63">
        <f>VLOOKUP(C159,'RAW DATA 2023'!E:BP,63,0)</f>
        <v>4</v>
      </c>
      <c r="E159" s="63" t="str">
        <f t="shared" si="11"/>
        <v>Roiphet14</v>
      </c>
      <c r="F159" s="79">
        <f>ROUND(VLOOKUP(C159,'RAW DATA 2023'!E:BO,23,0),0)</f>
        <v>29</v>
      </c>
      <c r="G159" s="79">
        <f>VLOOKUP(C159,'RAW DATA 2023'!E:BO,24,0)</f>
        <v>69.689000000000007</v>
      </c>
      <c r="H159" s="79">
        <f>IFERROR(VLOOKUP(F159,STD!B:G,2,FALSE),"")</f>
        <v>76</v>
      </c>
      <c r="I159" s="100">
        <f t="shared" si="12"/>
        <v>0.91696052631578961</v>
      </c>
      <c r="J159" s="74">
        <f t="shared" si="13"/>
        <v>12.508815789473688</v>
      </c>
      <c r="K159">
        <f>VLOOKUP(C159,'RAW DATA 2023'!E:BO,12,0)</f>
        <v>0.2</v>
      </c>
      <c r="L159" s="268">
        <f t="shared" si="14"/>
        <v>2.5017631578947377</v>
      </c>
      <c r="M159"/>
    </row>
    <row r="160" spans="1:13">
      <c r="A160" s="64" t="str">
        <f>'RAW DATA 2023'!B153</f>
        <v>Roiphet1</v>
      </c>
      <c r="B160" s="64" t="str">
        <f>'RAW DATA 2023'!D153</f>
        <v>A2-G03-0082</v>
      </c>
      <c r="C160" s="63" t="str">
        <f t="shared" si="10"/>
        <v>Roiphet1A2-G03-0082</v>
      </c>
      <c r="D160" s="63">
        <f>VLOOKUP(C160,'RAW DATA 2023'!E:BP,63,0)</f>
        <v>5</v>
      </c>
      <c r="E160" s="63" t="str">
        <f t="shared" si="11"/>
        <v>Roiphet15</v>
      </c>
      <c r="F160" s="79">
        <f>ROUND(VLOOKUP(C160,'RAW DATA 2023'!E:BO,23,0),0)</f>
        <v>28</v>
      </c>
      <c r="G160" s="79">
        <f>VLOOKUP(C160,'RAW DATA 2023'!E:BO,24,0)</f>
        <v>54.479500000000002</v>
      </c>
      <c r="H160" s="79">
        <f>IFERROR(VLOOKUP(F160,STD!B:G,2,FALSE),"")</f>
        <v>75</v>
      </c>
      <c r="I160" s="100">
        <f t="shared" si="12"/>
        <v>0.72639333333333334</v>
      </c>
      <c r="J160" s="74">
        <f t="shared" si="13"/>
        <v>6.7918000000000003</v>
      </c>
      <c r="K160">
        <f>VLOOKUP(C160,'RAW DATA 2023'!E:BO,12,0)</f>
        <v>0.4</v>
      </c>
      <c r="L160" s="268">
        <f t="shared" si="14"/>
        <v>2.7167200000000005</v>
      </c>
      <c r="M160"/>
    </row>
    <row r="161" spans="1:13">
      <c r="A161" s="64" t="str">
        <f>'RAW DATA 2023'!B154</f>
        <v>Roiphet1</v>
      </c>
      <c r="B161" s="64" t="str">
        <f>'RAW DATA 2023'!D154</f>
        <v>A4-G07-0071</v>
      </c>
      <c r="C161" s="63" t="str">
        <f t="shared" si="10"/>
        <v>Roiphet1A4-G07-0071</v>
      </c>
      <c r="D161" s="63">
        <f>VLOOKUP(C161,'RAW DATA 2023'!E:BP,63,0)</f>
        <v>5</v>
      </c>
      <c r="E161" s="63" t="str">
        <f t="shared" si="11"/>
        <v>Roiphet15</v>
      </c>
      <c r="F161" s="79">
        <f>ROUND(VLOOKUP(C161,'RAW DATA 2023'!E:BO,23,0),0)</f>
        <v>31</v>
      </c>
      <c r="G161" s="79">
        <f>VLOOKUP(C161,'RAW DATA 2023'!E:BO,24,0)</f>
        <v>58.020370370370365</v>
      </c>
      <c r="H161" s="79">
        <f>IFERROR(VLOOKUP(F161,STD!B:G,2,FALSE),"")</f>
        <v>76</v>
      </c>
      <c r="I161" s="100">
        <f t="shared" si="12"/>
        <v>0.76342592592592584</v>
      </c>
      <c r="J161" s="74">
        <f t="shared" si="13"/>
        <v>7.902777777777775</v>
      </c>
      <c r="K161">
        <f>VLOOKUP(C161,'RAW DATA 2023'!E:BO,12,0)</f>
        <v>0.54</v>
      </c>
      <c r="L161" s="268">
        <f t="shared" si="14"/>
        <v>4.2674999999999992</v>
      </c>
      <c r="M161"/>
    </row>
    <row r="162" spans="1:13">
      <c r="A162" s="64" t="str">
        <f>'RAW DATA 2023'!B155</f>
        <v>Roiphet1</v>
      </c>
      <c r="B162" s="64" t="str">
        <f>'RAW DATA 2023'!D155</f>
        <v>A3-G05-0076</v>
      </c>
      <c r="C162" s="63" t="str">
        <f t="shared" si="10"/>
        <v>Roiphet1A3-G05-0076</v>
      </c>
      <c r="D162" s="63">
        <f>VLOOKUP(C162,'RAW DATA 2023'!E:BP,63,0)</f>
        <v>6</v>
      </c>
      <c r="E162" s="63" t="str">
        <f t="shared" si="11"/>
        <v>Roiphet16</v>
      </c>
      <c r="F162" s="79">
        <f>ROUND(VLOOKUP(C162,'RAW DATA 2023'!E:BO,23,0),0)</f>
        <v>32</v>
      </c>
      <c r="G162" s="79">
        <f>VLOOKUP(C162,'RAW DATA 2023'!E:BO,24,0)</f>
        <v>48.54872340425532</v>
      </c>
      <c r="H162" s="79">
        <f>IFERROR(VLOOKUP(F162,STD!B:G,2,FALSE),"")</f>
        <v>77</v>
      </c>
      <c r="I162" s="100">
        <f t="shared" si="12"/>
        <v>0.63050290135396514</v>
      </c>
      <c r="J162" s="74">
        <f t="shared" si="13"/>
        <v>3.9150870406189542</v>
      </c>
      <c r="K162">
        <f>VLOOKUP(C162,'RAW DATA 2023'!E:BO,12,0)</f>
        <v>0.47</v>
      </c>
      <c r="L162" s="268">
        <f t="shared" si="14"/>
        <v>1.8400909090909083</v>
      </c>
      <c r="M162"/>
    </row>
    <row r="163" spans="1:13">
      <c r="A163" s="64" t="str">
        <f>'RAW DATA 2023'!B156</f>
        <v>Roiphet1</v>
      </c>
      <c r="B163" s="64" t="str">
        <f>'RAW DATA 2023'!D156</f>
        <v>A2-I04-0099</v>
      </c>
      <c r="C163" s="63" t="str">
        <f t="shared" si="10"/>
        <v>Roiphet1A2-I04-0099</v>
      </c>
      <c r="D163" s="63">
        <f>VLOOKUP(C163,'RAW DATA 2023'!E:BP,63,0)</f>
        <v>5</v>
      </c>
      <c r="E163" s="63" t="str">
        <f t="shared" si="11"/>
        <v>Roiphet15</v>
      </c>
      <c r="F163" s="79">
        <f>ROUND(VLOOKUP(C163,'RAW DATA 2023'!E:BO,23,0),0)</f>
        <v>33</v>
      </c>
      <c r="G163" s="79">
        <f>VLOOKUP(C163,'RAW DATA 2023'!E:BO,24,0)</f>
        <v>56.029230769230765</v>
      </c>
      <c r="H163" s="79">
        <f>IFERROR(VLOOKUP(F163,STD!B:G,2,FALSE),"")</f>
        <v>79</v>
      </c>
      <c r="I163" s="100">
        <f t="shared" si="12"/>
        <v>0.70923076923076922</v>
      </c>
      <c r="J163" s="74">
        <f t="shared" si="13"/>
        <v>6.2769230769230768</v>
      </c>
      <c r="K163">
        <f>VLOOKUP(C163,'RAW DATA 2023'!E:BO,12,0)</f>
        <v>0.26</v>
      </c>
      <c r="L163" s="268">
        <f t="shared" si="14"/>
        <v>1.6320000000000001</v>
      </c>
      <c r="M163"/>
    </row>
    <row r="164" spans="1:13">
      <c r="A164" s="64" t="str">
        <f>'RAW DATA 2023'!B157</f>
        <v>Roiphet1</v>
      </c>
      <c r="B164" s="64" t="str">
        <f>'RAW DATA 2023'!D157</f>
        <v>A4-G08-0070</v>
      </c>
      <c r="C164" s="63" t="str">
        <f t="shared" si="10"/>
        <v>Roiphet1A4-G08-0070</v>
      </c>
      <c r="D164" s="63">
        <f>VLOOKUP(C164,'RAW DATA 2023'!E:BP,63,0)</f>
        <v>9</v>
      </c>
      <c r="E164" s="63" t="str">
        <f t="shared" si="11"/>
        <v>Roiphet19</v>
      </c>
      <c r="F164" s="79">
        <f>ROUND(VLOOKUP(C164,'RAW DATA 2023'!E:BO,23,0),0)</f>
        <v>39</v>
      </c>
      <c r="G164" s="79">
        <f>VLOOKUP(C164,'RAW DATA 2023'!E:BO,24,0)</f>
        <v>41.625454545454545</v>
      </c>
      <c r="H164" s="79">
        <f>IFERROR(VLOOKUP(F164,STD!B:G,2,FALSE),"")</f>
        <v>82</v>
      </c>
      <c r="I164" s="100">
        <f t="shared" si="12"/>
        <v>0.5076274944567627</v>
      </c>
      <c r="J164" s="74">
        <f t="shared" si="13"/>
        <v>0.22882483370288087</v>
      </c>
      <c r="K164">
        <f>VLOOKUP(C164,'RAW DATA 2023'!E:BO,12,0)</f>
        <v>0.55000000000000004</v>
      </c>
      <c r="L164" s="268">
        <f t="shared" si="14"/>
        <v>0.12585365853658448</v>
      </c>
      <c r="M164"/>
    </row>
    <row r="165" spans="1:13">
      <c r="A165" s="64" t="str">
        <f>'RAW DATA 2023'!B158</f>
        <v>Roiphet1</v>
      </c>
      <c r="B165" s="64" t="str">
        <f>'RAW DATA 2023'!D158</f>
        <v>A5-I10-0094</v>
      </c>
      <c r="C165" s="63" t="str">
        <f t="shared" si="10"/>
        <v>Roiphet1A5-I10-0094</v>
      </c>
      <c r="D165" s="63">
        <f>VLOOKUP(C165,'RAW DATA 2023'!E:BP,63,0)</f>
        <v>5</v>
      </c>
      <c r="E165" s="63" t="str">
        <f t="shared" si="11"/>
        <v>Roiphet15</v>
      </c>
      <c r="F165" s="79">
        <f>ROUND(VLOOKUP(C165,'RAW DATA 2023'!E:BO,23,0),0)</f>
        <v>30</v>
      </c>
      <c r="G165" s="79">
        <f>VLOOKUP(C165,'RAW DATA 2023'!E:BO,24,0)</f>
        <v>40.533076923076919</v>
      </c>
      <c r="H165" s="79">
        <f>IFERROR(VLOOKUP(F165,STD!B:G,2,FALSE),"")</f>
        <v>76</v>
      </c>
      <c r="I165" s="100">
        <f t="shared" si="12"/>
        <v>0.53332995951416995</v>
      </c>
      <c r="J165" s="74">
        <f t="shared" si="13"/>
        <v>0.99989878542509847</v>
      </c>
      <c r="K165">
        <f>VLOOKUP(C165,'RAW DATA 2023'!E:BO,12,0)</f>
        <v>0.26</v>
      </c>
      <c r="L165" s="268">
        <f t="shared" si="14"/>
        <v>0.25997368421052564</v>
      </c>
      <c r="M165"/>
    </row>
    <row r="166" spans="1:13">
      <c r="A166" s="64" t="str">
        <f>'RAW DATA 2023'!B159</f>
        <v>Roiphet1</v>
      </c>
      <c r="B166" s="64" t="str">
        <f>'RAW DATA 2023'!D159</f>
        <v>A2-G04-0081</v>
      </c>
      <c r="C166" s="63" t="str">
        <f t="shared" si="10"/>
        <v>Roiphet1A2-G04-0081</v>
      </c>
      <c r="D166" s="63">
        <f>VLOOKUP(C166,'RAW DATA 2023'!E:BP,63,0)</f>
        <v>5</v>
      </c>
      <c r="E166" s="63" t="str">
        <f t="shared" si="11"/>
        <v>Roiphet15</v>
      </c>
      <c r="F166" s="79">
        <f>ROUND(VLOOKUP(C166,'RAW DATA 2023'!E:BO,23,0),0)</f>
        <v>33</v>
      </c>
      <c r="G166" s="79">
        <f>VLOOKUP(C166,'RAW DATA 2023'!E:BO,24,0)</f>
        <v>59.267446808510641</v>
      </c>
      <c r="H166" s="79">
        <f>IFERROR(VLOOKUP(F166,STD!B:G,2,FALSE),"")</f>
        <v>79</v>
      </c>
      <c r="I166" s="100">
        <f t="shared" si="12"/>
        <v>0.75022084567734992</v>
      </c>
      <c r="J166" s="74">
        <f t="shared" si="13"/>
        <v>7.5066253703204975</v>
      </c>
      <c r="K166">
        <f>VLOOKUP(C166,'RAW DATA 2023'!E:BO,12,0)</f>
        <v>0.47</v>
      </c>
      <c r="L166" s="268">
        <f t="shared" si="14"/>
        <v>3.5281139240506336</v>
      </c>
      <c r="M166"/>
    </row>
    <row r="167" spans="1:13">
      <c r="A167" s="64" t="str">
        <f>'RAW DATA 2023'!B160</f>
        <v>Roiphet1</v>
      </c>
      <c r="B167" s="64" t="str">
        <f>'RAW DATA 2023'!D160</f>
        <v>A3-I05-0083</v>
      </c>
      <c r="C167" s="63" t="str">
        <f t="shared" si="10"/>
        <v>Roiphet1A3-I05-0083</v>
      </c>
      <c r="D167" s="63">
        <f>VLOOKUP(C167,'RAW DATA 2023'!E:BP,63,0)</f>
        <v>1</v>
      </c>
      <c r="E167" s="63" t="str">
        <f t="shared" si="11"/>
        <v>Roiphet11</v>
      </c>
      <c r="F167" s="79">
        <f>ROUND(VLOOKUP(C167,'RAW DATA 2023'!E:BO,23,0),0)</f>
        <v>39</v>
      </c>
      <c r="G167" s="79">
        <f>VLOOKUP(C167,'RAW DATA 2023'!E:BO,24,0)</f>
        <v>45.585384615384619</v>
      </c>
      <c r="H167" s="79">
        <f>IFERROR(VLOOKUP(F167,STD!B:G,2,FALSE),"")</f>
        <v>82</v>
      </c>
      <c r="I167" s="100">
        <f t="shared" si="12"/>
        <v>0.5559193245778612</v>
      </c>
      <c r="J167" s="74">
        <f t="shared" si="13"/>
        <v>1.6775797373358359</v>
      </c>
      <c r="K167">
        <f>VLOOKUP(C167,'RAW DATA 2023'!E:BO,12,0)</f>
        <v>0.26</v>
      </c>
      <c r="L167" s="268">
        <f t="shared" si="14"/>
        <v>0.43617073170731735</v>
      </c>
      <c r="M167"/>
    </row>
    <row r="168" spans="1:13">
      <c r="A168" s="64" t="str">
        <f>'RAW DATA 2023'!B161</f>
        <v>Roiphet1</v>
      </c>
      <c r="B168" s="64" t="str">
        <f>'RAW DATA 2023'!D161</f>
        <v>A3-I06-0089</v>
      </c>
      <c r="C168" s="63" t="str">
        <f t="shared" si="10"/>
        <v>Roiphet1A3-I06-0089</v>
      </c>
      <c r="D168" s="63">
        <f>VLOOKUP(C168,'RAW DATA 2023'!E:BP,63,0)</f>
        <v>6</v>
      </c>
      <c r="E168" s="63" t="str">
        <f t="shared" si="11"/>
        <v>Roiphet16</v>
      </c>
      <c r="F168" s="79">
        <f>ROUND(VLOOKUP(C168,'RAW DATA 2023'!E:BO,23,0),0)</f>
        <v>26</v>
      </c>
      <c r="G168" s="79">
        <f>VLOOKUP(C168,'RAW DATA 2023'!E:BO,24,0)</f>
        <v>42.37318181818182</v>
      </c>
      <c r="H168" s="79">
        <f>IFERROR(VLOOKUP(F168,STD!B:G,2,FALSE),"")</f>
        <v>75</v>
      </c>
      <c r="I168" s="100">
        <f t="shared" si="12"/>
        <v>0.56497575757575758</v>
      </c>
      <c r="J168" s="74">
        <f t="shared" si="13"/>
        <v>1.9492727272727273</v>
      </c>
      <c r="K168">
        <f>VLOOKUP(C168,'RAW DATA 2023'!E:BO,12,0)</f>
        <v>0.22</v>
      </c>
      <c r="L168" s="268">
        <f t="shared" si="14"/>
        <v>0.42884</v>
      </c>
      <c r="M168"/>
    </row>
    <row r="169" spans="1:13">
      <c r="A169" s="64" t="str">
        <f>'RAW DATA 2023'!B162</f>
        <v>Roiphet1</v>
      </c>
      <c r="B169" s="64" t="str">
        <f>'RAW DATA 2023'!D162</f>
        <v>A1-G02-0074</v>
      </c>
      <c r="C169" s="63" t="str">
        <f t="shared" si="10"/>
        <v>Roiphet1A1-G02-0074</v>
      </c>
      <c r="D169" s="63">
        <f>VLOOKUP(C169,'RAW DATA 2023'!E:BP,63,0)</f>
        <v>5</v>
      </c>
      <c r="E169" s="63" t="str">
        <f t="shared" si="11"/>
        <v>Roiphet15</v>
      </c>
      <c r="F169" s="79">
        <f>ROUND(VLOOKUP(C169,'RAW DATA 2023'!E:BO,23,0),0)</f>
        <v>31</v>
      </c>
      <c r="G169" s="79">
        <f>VLOOKUP(C169,'RAW DATA 2023'!E:BO,24,0)</f>
        <v>59.723829787234038</v>
      </c>
      <c r="H169" s="79">
        <f>IFERROR(VLOOKUP(F169,STD!B:G,2,FALSE),"")</f>
        <v>76</v>
      </c>
      <c r="I169" s="100">
        <f t="shared" si="12"/>
        <v>0.78583986562150054</v>
      </c>
      <c r="J169" s="74">
        <f t="shared" si="13"/>
        <v>8.5751959686450157</v>
      </c>
      <c r="K169">
        <f>VLOOKUP(C169,'RAW DATA 2023'!E:BO,12,0)</f>
        <v>0.47</v>
      </c>
      <c r="L169" s="268">
        <f t="shared" si="14"/>
        <v>4.0303421052631574</v>
      </c>
      <c r="M169"/>
    </row>
    <row r="170" spans="1:13">
      <c r="A170" s="64" t="str">
        <f>'RAW DATA 2023'!B163</f>
        <v>Roiphet1</v>
      </c>
      <c r="B170" s="64" t="str">
        <f>'RAW DATA 2023'!D163</f>
        <v>A5-I09-0098</v>
      </c>
      <c r="C170" s="63" t="str">
        <f t="shared" si="10"/>
        <v>Roiphet1A5-I09-0098</v>
      </c>
      <c r="D170" s="63">
        <f>VLOOKUP(C170,'RAW DATA 2023'!E:BP,63,0)</f>
        <v>6</v>
      </c>
      <c r="E170" s="63" t="str">
        <f t="shared" si="11"/>
        <v>Roiphet16</v>
      </c>
      <c r="F170" s="79">
        <f>ROUND(VLOOKUP(C170,'RAW DATA 2023'!E:BO,23,0),0)</f>
        <v>31</v>
      </c>
      <c r="G170" s="79">
        <f>VLOOKUP(C170,'RAW DATA 2023'!E:BO,24,0)</f>
        <v>46.359615384615381</v>
      </c>
      <c r="H170" s="79">
        <f>IFERROR(VLOOKUP(F170,STD!B:G,2,FALSE),"")</f>
        <v>76</v>
      </c>
      <c r="I170" s="100">
        <f t="shared" si="12"/>
        <v>0.60999493927125503</v>
      </c>
      <c r="J170" s="74">
        <f t="shared" si="13"/>
        <v>3.2998481781376512</v>
      </c>
      <c r="K170">
        <f>VLOOKUP(C170,'RAW DATA 2023'!E:BO,12,0)</f>
        <v>0.26</v>
      </c>
      <c r="L170" s="268">
        <f t="shared" si="14"/>
        <v>0.85796052631578934</v>
      </c>
      <c r="M170"/>
    </row>
    <row r="171" spans="1:13">
      <c r="A171" s="64" t="str">
        <f>'RAW DATA 2023'!B164</f>
        <v>Roiphet1</v>
      </c>
      <c r="B171" s="64" t="str">
        <f>'RAW DATA 2023'!D164</f>
        <v>A3-I05-0084</v>
      </c>
      <c r="C171" s="63" t="str">
        <f t="shared" si="10"/>
        <v>Roiphet1A3-I05-0084</v>
      </c>
      <c r="D171" s="63">
        <f>VLOOKUP(C171,'RAW DATA 2023'!E:BP,63,0)</f>
        <v>6</v>
      </c>
      <c r="E171" s="63" t="str">
        <f t="shared" si="11"/>
        <v>Roiphet16</v>
      </c>
      <c r="F171" s="79">
        <f>ROUND(VLOOKUP(C171,'RAW DATA 2023'!E:BO,23,0),0)</f>
        <v>32</v>
      </c>
      <c r="G171" s="79">
        <f>VLOOKUP(C171,'RAW DATA 2023'!E:BO,24,0)</f>
        <v>47.628846153846155</v>
      </c>
      <c r="H171" s="79">
        <f>IFERROR(VLOOKUP(F171,STD!B:G,2,FALSE),"")</f>
        <v>77</v>
      </c>
      <c r="I171" s="100">
        <f t="shared" si="12"/>
        <v>0.61855644355644357</v>
      </c>
      <c r="J171" s="74">
        <f t="shared" si="13"/>
        <v>3.5566933066933073</v>
      </c>
      <c r="K171">
        <f>VLOOKUP(C171,'RAW DATA 2023'!E:BO,12,0)</f>
        <v>0.26</v>
      </c>
      <c r="L171" s="268">
        <f t="shared" si="14"/>
        <v>0.92474025974025997</v>
      </c>
      <c r="M171"/>
    </row>
    <row r="172" spans="1:13">
      <c r="A172" s="64" t="str">
        <f>'RAW DATA 2023'!B165</f>
        <v>Roiphet1</v>
      </c>
      <c r="B172" s="64" t="str">
        <f>'RAW DATA 2023'!D165</f>
        <v>A1-G01-0064</v>
      </c>
      <c r="C172" s="63" t="str">
        <f t="shared" si="10"/>
        <v>Roiphet1A1-G01-0064</v>
      </c>
      <c r="D172" s="63">
        <f>VLOOKUP(C172,'RAW DATA 2023'!E:BP,63,0)</f>
        <v>9</v>
      </c>
      <c r="E172" s="63" t="str">
        <f t="shared" si="11"/>
        <v>Roiphet19</v>
      </c>
      <c r="F172" s="79">
        <f>ROUND(VLOOKUP(C172,'RAW DATA 2023'!E:BO,23,0),0)</f>
        <v>44</v>
      </c>
      <c r="G172" s="79">
        <f>VLOOKUP(C172,'RAW DATA 2023'!E:BO,24,0)</f>
        <v>41.690909090909088</v>
      </c>
      <c r="H172" s="79">
        <f>IFERROR(VLOOKUP(F172,STD!B:G,2,FALSE),"")</f>
        <v>83</v>
      </c>
      <c r="I172" s="100">
        <f t="shared" si="12"/>
        <v>0.50230010952902515</v>
      </c>
      <c r="J172" s="74">
        <f t="shared" si="13"/>
        <v>6.9003285870754549E-2</v>
      </c>
      <c r="K172">
        <f>VLOOKUP(C172,'RAW DATA 2023'!E:BO,12,0)</f>
        <v>0.55000000000000004</v>
      </c>
      <c r="L172" s="268">
        <f t="shared" si="14"/>
        <v>3.7951807228915002E-2</v>
      </c>
      <c r="M172"/>
    </row>
    <row r="173" spans="1:13">
      <c r="A173" s="64" t="str">
        <f>'RAW DATA 2023'!B166</f>
        <v>Roiphet1</v>
      </c>
      <c r="B173" s="64" t="str">
        <f>'RAW DATA 2023'!D166</f>
        <v>A4-I08-0100</v>
      </c>
      <c r="C173" s="63" t="str">
        <f t="shared" si="10"/>
        <v>Roiphet1A4-I08-0100</v>
      </c>
      <c r="D173" s="63">
        <f>VLOOKUP(C173,'RAW DATA 2023'!E:BP,63,0)</f>
        <v>9</v>
      </c>
      <c r="E173" s="63" t="str">
        <f t="shared" si="11"/>
        <v>Roiphet19</v>
      </c>
      <c r="F173" s="79">
        <f>ROUND(VLOOKUP(C173,'RAW DATA 2023'!E:BO,23,0),0)</f>
        <v>43</v>
      </c>
      <c r="G173" s="79">
        <f>VLOOKUP(C173,'RAW DATA 2023'!E:BO,24,0)</f>
        <v>47.716799999999999</v>
      </c>
      <c r="H173" s="79">
        <f>IFERROR(VLOOKUP(F173,STD!B:G,2,FALSE),"")</f>
        <v>83</v>
      </c>
      <c r="I173" s="100">
        <f t="shared" si="12"/>
        <v>0.57490120481927709</v>
      </c>
      <c r="J173" s="74">
        <f t="shared" si="13"/>
        <v>2.2470361445783125</v>
      </c>
      <c r="K173">
        <f>VLOOKUP(C173,'RAW DATA 2023'!E:BO,12,0)</f>
        <v>0.25</v>
      </c>
      <c r="L173" s="268">
        <f t="shared" si="14"/>
        <v>0.56175903614457812</v>
      </c>
      <c r="M173"/>
    </row>
    <row r="174" spans="1:13">
      <c r="A174" s="64" t="str">
        <f>'RAW DATA 2023'!B167</f>
        <v>Roiphet1</v>
      </c>
      <c r="B174" s="64" t="str">
        <f>'RAW DATA 2023'!D167</f>
        <v>A4-I07-0094</v>
      </c>
      <c r="C174" s="63" t="str">
        <f t="shared" si="10"/>
        <v>Roiphet1A4-I07-0094</v>
      </c>
      <c r="D174" s="63">
        <f>VLOOKUP(C174,'RAW DATA 2023'!E:BP,63,0)</f>
        <v>5</v>
      </c>
      <c r="E174" s="63" t="str">
        <f t="shared" si="11"/>
        <v>Roiphet15</v>
      </c>
      <c r="F174" s="79">
        <f>ROUND(VLOOKUP(C174,'RAW DATA 2023'!E:BO,23,0),0)</f>
        <v>32</v>
      </c>
      <c r="G174" s="79">
        <f>VLOOKUP(C174,'RAW DATA 2023'!E:BO,24,0)</f>
        <v>63.087692307692308</v>
      </c>
      <c r="H174" s="79">
        <f>IFERROR(VLOOKUP(F174,STD!B:G,2,FALSE),"")</f>
        <v>77</v>
      </c>
      <c r="I174" s="100">
        <f t="shared" si="12"/>
        <v>0.81932067932067931</v>
      </c>
      <c r="J174" s="74">
        <f t="shared" si="13"/>
        <v>9.5796203796203798</v>
      </c>
      <c r="K174">
        <f>VLOOKUP(C174,'RAW DATA 2023'!E:BO,12,0)</f>
        <v>0.26</v>
      </c>
      <c r="L174" s="268">
        <f t="shared" si="14"/>
        <v>2.4907012987012989</v>
      </c>
      <c r="M174"/>
    </row>
    <row r="175" spans="1:13">
      <c r="A175" s="64" t="str">
        <f>'RAW DATA 2023'!B168</f>
        <v>Roiphet1</v>
      </c>
      <c r="B175" s="64" t="str">
        <f>'RAW DATA 2023'!D168</f>
        <v>A1-G01-0062</v>
      </c>
      <c r="C175" s="63" t="str">
        <f t="shared" si="10"/>
        <v>Roiphet1A1-G01-0062</v>
      </c>
      <c r="D175" s="63">
        <f>VLOOKUP(C175,'RAW DATA 2023'!E:BP,63,0)</f>
        <v>1</v>
      </c>
      <c r="E175" s="63" t="str">
        <f t="shared" si="11"/>
        <v>Roiphet11</v>
      </c>
      <c r="F175" s="79">
        <f>ROUND(VLOOKUP(C175,'RAW DATA 2023'!E:BO,23,0),0)</f>
        <v>40</v>
      </c>
      <c r="G175" s="79">
        <f>VLOOKUP(C175,'RAW DATA 2023'!E:BO,24,0)</f>
        <v>46.172340425531914</v>
      </c>
      <c r="H175" s="79">
        <f>IFERROR(VLOOKUP(F175,STD!B:G,2,FALSE),"")</f>
        <v>82</v>
      </c>
      <c r="I175" s="100">
        <f t="shared" si="12"/>
        <v>0.56307732226258433</v>
      </c>
      <c r="J175" s="74">
        <f t="shared" si="13"/>
        <v>1.89231966787753</v>
      </c>
      <c r="K175">
        <f>VLOOKUP(C175,'RAW DATA 2023'!E:BO,12,0)</f>
        <v>0.47</v>
      </c>
      <c r="L175" s="268">
        <f t="shared" si="14"/>
        <v>0.88939024390243904</v>
      </c>
      <c r="M175"/>
    </row>
    <row r="176" spans="1:13">
      <c r="A176" s="64" t="str">
        <f>'RAW DATA 2023'!B169</f>
        <v>Roiphet1</v>
      </c>
      <c r="B176" s="64" t="str">
        <f>'RAW DATA 2023'!D169</f>
        <v>A5-G10-0068</v>
      </c>
      <c r="C176" s="63" t="str">
        <f t="shared" si="10"/>
        <v>Roiphet1A5-G10-0068</v>
      </c>
      <c r="D176" s="63">
        <f>VLOOKUP(C176,'RAW DATA 2023'!E:BP,63,0)</f>
        <v>5</v>
      </c>
      <c r="E176" s="63" t="str">
        <f t="shared" si="11"/>
        <v>Roiphet15</v>
      </c>
      <c r="F176" s="79">
        <f>ROUND(VLOOKUP(C176,'RAW DATA 2023'!E:BO,23,0),0)</f>
        <v>30</v>
      </c>
      <c r="G176" s="79">
        <f>VLOOKUP(C176,'RAW DATA 2023'!E:BO,24,0)</f>
        <v>43.225319148936173</v>
      </c>
      <c r="H176" s="79">
        <f>IFERROR(VLOOKUP(F176,STD!B:G,2,FALSE),"")</f>
        <v>76</v>
      </c>
      <c r="I176" s="100">
        <f t="shared" si="12"/>
        <v>0.56875419932810756</v>
      </c>
      <c r="J176" s="74">
        <f t="shared" si="13"/>
        <v>2.0626259798432267</v>
      </c>
      <c r="K176">
        <f>VLOOKUP(C176,'RAW DATA 2023'!E:BO,12,0)</f>
        <v>0.47</v>
      </c>
      <c r="L176" s="268">
        <f t="shared" si="14"/>
        <v>0.96943421052631651</v>
      </c>
      <c r="M176"/>
    </row>
    <row r="177" spans="1:13">
      <c r="A177" s="64" t="str">
        <f>'RAW DATA 2023'!B170</f>
        <v>Roiphet1</v>
      </c>
      <c r="B177" s="64" t="str">
        <f>'RAW DATA 2023'!D170</f>
        <v>A3-G05-0075</v>
      </c>
      <c r="C177" s="63" t="str">
        <f t="shared" si="10"/>
        <v>Roiphet1A3-G05-0075</v>
      </c>
      <c r="D177" s="63">
        <f>VLOOKUP(C177,'RAW DATA 2023'!E:BP,63,0)</f>
        <v>1</v>
      </c>
      <c r="E177" s="63" t="str">
        <f t="shared" si="11"/>
        <v>Roiphet11</v>
      </c>
      <c r="F177" s="79">
        <f>ROUND(VLOOKUP(C177,'RAW DATA 2023'!E:BO,23,0),0)</f>
        <v>43</v>
      </c>
      <c r="G177" s="79">
        <f>VLOOKUP(C177,'RAW DATA 2023'!E:BO,24,0)</f>
        <v>53.051063829787239</v>
      </c>
      <c r="H177" s="79">
        <f>IFERROR(VLOOKUP(F177,STD!B:G,2,FALSE),"")</f>
        <v>83</v>
      </c>
      <c r="I177" s="100">
        <f t="shared" si="12"/>
        <v>0.63916944373237639</v>
      </c>
      <c r="J177" s="74">
        <f t="shared" si="13"/>
        <v>4.1750833119712913</v>
      </c>
      <c r="K177">
        <f>VLOOKUP(C177,'RAW DATA 2023'!E:BO,12,0)</f>
        <v>0.47</v>
      </c>
      <c r="L177" s="268">
        <f t="shared" si="14"/>
        <v>1.9622891566265068</v>
      </c>
      <c r="M177"/>
    </row>
    <row r="178" spans="1:13">
      <c r="A178" s="64" t="str">
        <f>'RAW DATA 2023'!B171</f>
        <v>Roiphet1</v>
      </c>
      <c r="B178" s="64" t="str">
        <f>'RAW DATA 2023'!D171</f>
        <v>A4-G08-0069</v>
      </c>
      <c r="C178" s="63" t="str">
        <f t="shared" si="10"/>
        <v>Roiphet1A4-G08-0069</v>
      </c>
      <c r="D178" s="63">
        <f>VLOOKUP(C178,'RAW DATA 2023'!E:BP,63,0)</f>
        <v>6</v>
      </c>
      <c r="E178" s="63" t="str">
        <f t="shared" si="11"/>
        <v>Roiphet16</v>
      </c>
      <c r="F178" s="79">
        <f>ROUND(VLOOKUP(C178,'RAW DATA 2023'!E:BO,23,0),0)</f>
        <v>32</v>
      </c>
      <c r="G178" s="79">
        <f>VLOOKUP(C178,'RAW DATA 2023'!E:BO,24,0)</f>
        <v>38.427234042553195</v>
      </c>
      <c r="H178" s="79">
        <f>IFERROR(VLOOKUP(F178,STD!B:G,2,FALSE),"")</f>
        <v>77</v>
      </c>
      <c r="I178" s="100">
        <f t="shared" si="12"/>
        <v>0.49905498756562588</v>
      </c>
      <c r="J178" s="74">
        <f t="shared" si="13"/>
        <v>-2.8350373031223453E-2</v>
      </c>
      <c r="K178">
        <f>VLOOKUP(C178,'RAW DATA 2023'!E:BO,12,0)</f>
        <v>0.47</v>
      </c>
      <c r="L178" s="268">
        <f t="shared" si="14"/>
        <v>-1.3324675324675022E-2</v>
      </c>
      <c r="M178"/>
    </row>
    <row r="179" spans="1:13">
      <c r="A179" s="64" t="str">
        <f>'RAW DATA 2023'!B172</f>
        <v>Roiphet1</v>
      </c>
      <c r="B179" s="64" t="str">
        <f>'RAW DATA 2023'!D172</f>
        <v>A5-G09-0083</v>
      </c>
      <c r="C179" s="63" t="str">
        <f t="shared" si="10"/>
        <v>Roiphet1A5-G09-0083</v>
      </c>
      <c r="D179" s="63">
        <f>VLOOKUP(C179,'RAW DATA 2023'!E:BP,63,0)</f>
        <v>6</v>
      </c>
      <c r="E179" s="63" t="str">
        <f t="shared" si="11"/>
        <v>Roiphet16</v>
      </c>
      <c r="F179" s="79">
        <f>ROUND(VLOOKUP(C179,'RAW DATA 2023'!E:BO,23,0),0)</f>
        <v>30</v>
      </c>
      <c r="G179" s="79">
        <f>VLOOKUP(C179,'RAW DATA 2023'!E:BO,24,0)</f>
        <v>43.308723404255318</v>
      </c>
      <c r="H179" s="79">
        <f>IFERROR(VLOOKUP(F179,STD!B:G,2,FALSE),"")</f>
        <v>76</v>
      </c>
      <c r="I179" s="100">
        <f t="shared" si="12"/>
        <v>0.5698516237402016</v>
      </c>
      <c r="J179" s="74">
        <f t="shared" si="13"/>
        <v>2.0955487122060479</v>
      </c>
      <c r="K179">
        <f>VLOOKUP(C179,'RAW DATA 2023'!E:BO,12,0)</f>
        <v>0.47</v>
      </c>
      <c r="L179" s="268">
        <f t="shared" si="14"/>
        <v>0.98490789473684248</v>
      </c>
      <c r="M179"/>
    </row>
    <row r="180" spans="1:13">
      <c r="A180" s="64" t="str">
        <f>'RAW DATA 2023'!B173</f>
        <v>Roiphet1</v>
      </c>
      <c r="B180" s="64" t="str">
        <f>'RAW DATA 2023'!D173</f>
        <v>A4-I08-0099</v>
      </c>
      <c r="C180" s="63" t="str">
        <f t="shared" si="10"/>
        <v>Roiphet1A4-I08-0099</v>
      </c>
      <c r="D180" s="63">
        <f>VLOOKUP(C180,'RAW DATA 2023'!E:BP,63,0)</f>
        <v>6</v>
      </c>
      <c r="E180" s="63" t="str">
        <f t="shared" si="11"/>
        <v>Roiphet16</v>
      </c>
      <c r="F180" s="79">
        <f>ROUND(VLOOKUP(C180,'RAW DATA 2023'!E:BO,23,0),0)</f>
        <v>36</v>
      </c>
      <c r="G180" s="79">
        <f>VLOOKUP(C180,'RAW DATA 2023'!E:BO,24,0)</f>
        <v>47.366538461538461</v>
      </c>
      <c r="H180" s="79">
        <f>IFERROR(VLOOKUP(F180,STD!B:G,2,FALSE),"")</f>
        <v>81</v>
      </c>
      <c r="I180" s="100">
        <f t="shared" si="12"/>
        <v>0.58477207977207979</v>
      </c>
      <c r="J180" s="74">
        <f t="shared" si="13"/>
        <v>2.5431623931623939</v>
      </c>
      <c r="K180">
        <f>VLOOKUP(C180,'RAW DATA 2023'!E:BO,12,0)</f>
        <v>0.26</v>
      </c>
      <c r="L180" s="268">
        <f t="shared" si="14"/>
        <v>0.66122222222222249</v>
      </c>
      <c r="M180"/>
    </row>
    <row r="181" spans="1:13">
      <c r="A181" s="64" t="str">
        <f>'RAW DATA 2023'!B174</f>
        <v>Roiphet1</v>
      </c>
      <c r="B181" s="64" t="str">
        <f>'RAW DATA 2023'!D174</f>
        <v>A3-G06-0081</v>
      </c>
      <c r="C181" s="63" t="str">
        <f t="shared" si="10"/>
        <v>Roiphet1A3-G06-0081</v>
      </c>
      <c r="D181" s="63">
        <f>VLOOKUP(C181,'RAW DATA 2023'!E:BP,63,0)</f>
        <v>6</v>
      </c>
      <c r="E181" s="63" t="str">
        <f t="shared" si="11"/>
        <v>Roiphet16</v>
      </c>
      <c r="F181" s="79">
        <f>ROUND(VLOOKUP(C181,'RAW DATA 2023'!E:BO,23,0),0)</f>
        <v>31</v>
      </c>
      <c r="G181" s="79">
        <f>VLOOKUP(C181,'RAW DATA 2023'!E:BO,24,0)</f>
        <v>45.55952380952381</v>
      </c>
      <c r="H181" s="79">
        <f>IFERROR(VLOOKUP(F181,STD!B:G,2,FALSE),"")</f>
        <v>76</v>
      </c>
      <c r="I181" s="100">
        <f t="shared" si="12"/>
        <v>0.59946741854636587</v>
      </c>
      <c r="J181" s="74">
        <f t="shared" si="13"/>
        <v>2.9840225563909764</v>
      </c>
      <c r="K181">
        <f>VLOOKUP(C181,'RAW DATA 2023'!E:BO,12,0)</f>
        <v>0.42</v>
      </c>
      <c r="L181" s="268">
        <f t="shared" si="14"/>
        <v>1.25328947368421</v>
      </c>
      <c r="M181"/>
    </row>
    <row r="182" spans="1:13">
      <c r="A182" s="64" t="str">
        <f>'RAW DATA 2023'!B175</f>
        <v>Roiphet1</v>
      </c>
      <c r="B182" s="64" t="str">
        <f>'RAW DATA 2023'!D175</f>
        <v>D6-I12-0086</v>
      </c>
      <c r="C182" s="63" t="str">
        <f t="shared" si="10"/>
        <v>Roiphet1D6-I12-0086</v>
      </c>
      <c r="D182" s="63">
        <f>VLOOKUP(C182,'RAW DATA 2023'!E:BP,63,0)</f>
        <v>11</v>
      </c>
      <c r="E182" s="63" t="str">
        <f t="shared" si="11"/>
        <v>Roiphet111</v>
      </c>
      <c r="F182" s="79">
        <f>ROUND(VLOOKUP(C182,'RAW DATA 2023'!E:BO,23,0),0)</f>
        <v>37</v>
      </c>
      <c r="G182" s="79">
        <f>VLOOKUP(C182,'RAW DATA 2023'!E:BO,24,0)</f>
        <v>56.287600000000005</v>
      </c>
      <c r="H182" s="79">
        <f>IFERROR(VLOOKUP(F182,STD!B:G,2,FALSE),"")</f>
        <v>81</v>
      </c>
      <c r="I182" s="100">
        <f t="shared" si="12"/>
        <v>0.69490864197530866</v>
      </c>
      <c r="J182" s="74">
        <f t="shared" si="13"/>
        <v>5.8472592592592596</v>
      </c>
      <c r="K182">
        <f>VLOOKUP(C182,'RAW DATA 2023'!E:BO,12,0)</f>
        <v>0.25</v>
      </c>
      <c r="L182" s="268">
        <f t="shared" si="14"/>
        <v>1.4618148148148149</v>
      </c>
      <c r="M182"/>
    </row>
    <row r="183" spans="1:13">
      <c r="A183" s="64" t="str">
        <f>'RAW DATA 2023'!B176</f>
        <v>Roiphet1</v>
      </c>
      <c r="B183" s="64" t="str">
        <f>'RAW DATA 2023'!D176</f>
        <v>D6-I11-0084</v>
      </c>
      <c r="C183" s="63" t="str">
        <f t="shared" si="10"/>
        <v>Roiphet1D6-I11-0084</v>
      </c>
      <c r="D183" s="63">
        <f>VLOOKUP(C183,'RAW DATA 2023'!E:BP,63,0)</f>
        <v>11</v>
      </c>
      <c r="E183" s="63" t="str">
        <f t="shared" si="11"/>
        <v>Roiphet111</v>
      </c>
      <c r="F183" s="79">
        <f>ROUND(VLOOKUP(C183,'RAW DATA 2023'!E:BO,23,0),0)</f>
        <v>37</v>
      </c>
      <c r="G183" s="79">
        <f>VLOOKUP(C183,'RAW DATA 2023'!E:BO,24,0)</f>
        <v>41.910399999999996</v>
      </c>
      <c r="H183" s="79">
        <f>IFERROR(VLOOKUP(F183,STD!B:G,2,FALSE),"")</f>
        <v>81</v>
      </c>
      <c r="I183" s="100">
        <f t="shared" si="12"/>
        <v>0.51741234567901229</v>
      </c>
      <c r="J183" s="74">
        <f t="shared" si="13"/>
        <v>0.5223703703703686</v>
      </c>
      <c r="K183">
        <f>VLOOKUP(C183,'RAW DATA 2023'!E:BO,12,0)</f>
        <v>0.25</v>
      </c>
      <c r="L183" s="268">
        <f t="shared" si="14"/>
        <v>0.13059259259259215</v>
      </c>
      <c r="M183"/>
    </row>
    <row r="184" spans="1:13">
      <c r="A184" s="64" t="str">
        <f>'RAW DATA 2023'!B177</f>
        <v>Roiphet1</v>
      </c>
      <c r="B184" s="64" t="str">
        <f>'RAW DATA 2023'!D177</f>
        <v>D6-G11-0077</v>
      </c>
      <c r="C184" s="63" t="str">
        <f t="shared" si="10"/>
        <v>Roiphet1D6-G11-0077</v>
      </c>
      <c r="D184" s="63">
        <f>VLOOKUP(C184,'RAW DATA 2023'!E:BP,63,0)</f>
        <v>11</v>
      </c>
      <c r="E184" s="63" t="str">
        <f t="shared" si="11"/>
        <v>Roiphet111</v>
      </c>
      <c r="F184" s="79">
        <f>ROUND(VLOOKUP(C184,'RAW DATA 2023'!E:BO,23,0),0)</f>
        <v>42</v>
      </c>
      <c r="G184" s="79">
        <f>VLOOKUP(C184,'RAW DATA 2023'!E:BO,24,0)</f>
        <v>54.72</v>
      </c>
      <c r="H184" s="79">
        <f>IFERROR(VLOOKUP(F184,STD!B:G,2,FALSE),"")</f>
        <v>82</v>
      </c>
      <c r="I184" s="100">
        <f t="shared" si="12"/>
        <v>0.66731707317073174</v>
      </c>
      <c r="J184" s="74">
        <f t="shared" si="13"/>
        <v>5.0195121951219521</v>
      </c>
      <c r="K184">
        <f>VLOOKUP(C184,'RAW DATA 2023'!E:BO,12,0)</f>
        <v>0.55000000000000004</v>
      </c>
      <c r="L184" s="268">
        <f t="shared" si="14"/>
        <v>2.7607317073170741</v>
      </c>
      <c r="M184"/>
    </row>
    <row r="185" spans="1:13">
      <c r="A185" s="64" t="str">
        <f>'RAW DATA 2023'!B178</f>
        <v>Roiphet1</v>
      </c>
      <c r="B185" s="64" t="str">
        <f>'RAW DATA 2023'!D178</f>
        <v>D6-G12-0080</v>
      </c>
      <c r="C185" s="63" t="str">
        <f t="shared" si="10"/>
        <v>Roiphet1D6-G12-0080</v>
      </c>
      <c r="D185" s="63">
        <f>VLOOKUP(C185,'RAW DATA 2023'!E:BP,63,0)</f>
        <v>11</v>
      </c>
      <c r="E185" s="63" t="str">
        <f t="shared" si="11"/>
        <v>Roiphet111</v>
      </c>
      <c r="F185" s="79">
        <f>ROUND(VLOOKUP(C185,'RAW DATA 2023'!E:BO,23,0),0)</f>
        <v>46</v>
      </c>
      <c r="G185" s="79">
        <f>VLOOKUP(C185,'RAW DATA 2023'!E:BO,24,0)</f>
        <v>50.316909090909093</v>
      </c>
      <c r="H185" s="79">
        <f>IFERROR(VLOOKUP(F185,STD!B:G,2,FALSE),"")</f>
        <v>84</v>
      </c>
      <c r="I185" s="100">
        <f t="shared" si="12"/>
        <v>0.59901082251082249</v>
      </c>
      <c r="J185" s="74">
        <f t="shared" si="13"/>
        <v>2.970324675324675</v>
      </c>
      <c r="K185">
        <f>VLOOKUP(C185,'RAW DATA 2023'!E:BO,12,0)</f>
        <v>0.55000000000000004</v>
      </c>
      <c r="L185" s="268">
        <f t="shared" si="14"/>
        <v>1.6336785714285713</v>
      </c>
      <c r="M185"/>
    </row>
    <row r="186" spans="1:13">
      <c r="A186" s="64" t="str">
        <f>'RAW DATA 2023'!B179</f>
        <v>Roiphet1</v>
      </c>
      <c r="B186" s="64" t="str">
        <f>'RAW DATA 2023'!D179</f>
        <v>D4-G08-0060</v>
      </c>
      <c r="C186" s="63" t="str">
        <f t="shared" si="10"/>
        <v>Roiphet1D4-G08-0060</v>
      </c>
      <c r="D186" s="63">
        <f>VLOOKUP(C186,'RAW DATA 2023'!E:BP,63,0)</f>
        <v>11</v>
      </c>
      <c r="E186" s="63" t="str">
        <f t="shared" si="11"/>
        <v>Roiphet111</v>
      </c>
      <c r="F186" s="79">
        <f>ROUND(VLOOKUP(C186,'RAW DATA 2023'!E:BO,23,0),0)</f>
        <v>36</v>
      </c>
      <c r="G186" s="79">
        <f>VLOOKUP(C186,'RAW DATA 2023'!E:BO,24,0)</f>
        <v>56.929454545454547</v>
      </c>
      <c r="H186" s="79">
        <f>IFERROR(VLOOKUP(F186,STD!B:G,2,FALSE),"")</f>
        <v>81</v>
      </c>
      <c r="I186" s="100">
        <f t="shared" si="12"/>
        <v>0.70283277216610551</v>
      </c>
      <c r="J186" s="74">
        <f t="shared" si="13"/>
        <v>6.0849831649831652</v>
      </c>
      <c r="K186">
        <f>VLOOKUP(C186,'RAW DATA 2023'!E:BO,12,0)</f>
        <v>0.55000000000000004</v>
      </c>
      <c r="L186" s="268">
        <f t="shared" si="14"/>
        <v>3.3467407407407412</v>
      </c>
      <c r="M186"/>
    </row>
    <row r="187" spans="1:13">
      <c r="A187" s="64" t="str">
        <f>'RAW DATA 2023'!B180</f>
        <v>Roiphet1</v>
      </c>
      <c r="B187" s="64" t="str">
        <f>'RAW DATA 2023'!D180</f>
        <v>D1-I02-0090</v>
      </c>
      <c r="C187" s="63" t="str">
        <f t="shared" si="10"/>
        <v>Roiphet1D1-I02-0090</v>
      </c>
      <c r="D187" s="63">
        <f>VLOOKUP(C187,'RAW DATA 2023'!E:BP,63,0)</f>
        <v>12</v>
      </c>
      <c r="E187" s="63" t="str">
        <f t="shared" si="11"/>
        <v>Roiphet112</v>
      </c>
      <c r="F187" s="79">
        <f>ROUND(VLOOKUP(C187,'RAW DATA 2023'!E:BO,23,0),0)</f>
        <v>51</v>
      </c>
      <c r="G187" s="79">
        <f>VLOOKUP(C187,'RAW DATA 2023'!E:BO,24,0)</f>
        <v>51.351199999999999</v>
      </c>
      <c r="H187" s="79">
        <f>IFERROR(VLOOKUP(F187,STD!B:G,2,FALSE),"")</f>
        <v>85</v>
      </c>
      <c r="I187" s="100">
        <f t="shared" si="12"/>
        <v>0.60413176470588237</v>
      </c>
      <c r="J187" s="74">
        <f t="shared" si="13"/>
        <v>3.123952941176471</v>
      </c>
      <c r="K187">
        <f>VLOOKUP(C187,'RAW DATA 2023'!E:BO,12,0)</f>
        <v>0.25</v>
      </c>
      <c r="L187" s="268">
        <f t="shared" si="14"/>
        <v>0.78098823529411776</v>
      </c>
      <c r="M187"/>
    </row>
    <row r="188" spans="1:13">
      <c r="A188" s="64" t="str">
        <f>'RAW DATA 2023'!B181</f>
        <v>Roiphet1</v>
      </c>
      <c r="B188" s="64" t="str">
        <f>'RAW DATA 2023'!D181</f>
        <v>D1-I01-0092</v>
      </c>
      <c r="C188" s="63" t="str">
        <f t="shared" si="10"/>
        <v>Roiphet1D1-I01-0092</v>
      </c>
      <c r="D188" s="63">
        <f>VLOOKUP(C188,'RAW DATA 2023'!E:BP,63,0)</f>
        <v>12</v>
      </c>
      <c r="E188" s="63" t="str">
        <f t="shared" si="11"/>
        <v>Roiphet112</v>
      </c>
      <c r="F188" s="79">
        <f>ROUND(VLOOKUP(C188,'RAW DATA 2023'!E:BO,23,0),0)</f>
        <v>52</v>
      </c>
      <c r="G188" s="79">
        <f>VLOOKUP(C188,'RAW DATA 2023'!E:BO,24,0)</f>
        <v>71.769090909090906</v>
      </c>
      <c r="H188" s="79">
        <f>IFERROR(VLOOKUP(F188,STD!B:G,2,FALSE),"")</f>
        <v>85</v>
      </c>
      <c r="I188" s="100">
        <f t="shared" si="12"/>
        <v>0.84434224598930474</v>
      </c>
      <c r="J188" s="74">
        <f t="shared" si="13"/>
        <v>10.330267379679142</v>
      </c>
      <c r="K188">
        <f>VLOOKUP(C188,'RAW DATA 2023'!E:BO,12,0)</f>
        <v>0.22</v>
      </c>
      <c r="L188" s="268">
        <f t="shared" si="14"/>
        <v>2.2726588235294112</v>
      </c>
      <c r="M188"/>
    </row>
    <row r="189" spans="1:13">
      <c r="A189" s="64" t="str">
        <f>'RAW DATA 2023'!B182</f>
        <v>Roiphet1</v>
      </c>
      <c r="B189" s="64" t="str">
        <f>'RAW DATA 2023'!D182</f>
        <v>D1-G02-0080</v>
      </c>
      <c r="C189" s="63" t="str">
        <f t="shared" si="10"/>
        <v>Roiphet1D1-G02-0080</v>
      </c>
      <c r="D189" s="63">
        <f>VLOOKUP(C189,'RAW DATA 2023'!E:BP,63,0)</f>
        <v>12</v>
      </c>
      <c r="E189" s="63" t="str">
        <f t="shared" si="11"/>
        <v>Roiphet112</v>
      </c>
      <c r="F189" s="79">
        <f>ROUND(VLOOKUP(C189,'RAW DATA 2023'!E:BO,23,0),0)</f>
        <v>51</v>
      </c>
      <c r="G189" s="79">
        <f>VLOOKUP(C189,'RAW DATA 2023'!E:BO,24,0)</f>
        <v>58.00127272727272</v>
      </c>
      <c r="H189" s="79">
        <f>IFERROR(VLOOKUP(F189,STD!B:G,2,FALSE),"")</f>
        <v>85</v>
      </c>
      <c r="I189" s="100">
        <f t="shared" si="12"/>
        <v>0.68236791443850264</v>
      </c>
      <c r="J189" s="74">
        <f t="shared" si="13"/>
        <v>5.4710374331550788</v>
      </c>
      <c r="K189">
        <f>VLOOKUP(C189,'RAW DATA 2023'!E:BO,12,0)</f>
        <v>0.55000000000000004</v>
      </c>
      <c r="L189" s="268">
        <f t="shared" si="14"/>
        <v>3.0090705882352937</v>
      </c>
      <c r="M189"/>
    </row>
    <row r="190" spans="1:13">
      <c r="A190" s="64" t="str">
        <f>'RAW DATA 2023'!B183</f>
        <v>Roiphet1</v>
      </c>
      <c r="B190" s="64" t="str">
        <f>'RAW DATA 2023'!D183</f>
        <v>D1-G01-0078</v>
      </c>
      <c r="C190" s="63" t="str">
        <f t="shared" si="10"/>
        <v>Roiphet1D1-G01-0078</v>
      </c>
      <c r="D190" s="63">
        <f>VLOOKUP(C190,'RAW DATA 2023'!E:BP,63,0)</f>
        <v>12</v>
      </c>
      <c r="E190" s="63" t="str">
        <f t="shared" si="11"/>
        <v>Roiphet112</v>
      </c>
      <c r="F190" s="79">
        <f>ROUND(VLOOKUP(C190,'RAW DATA 2023'!E:BO,23,0),0)</f>
        <v>52</v>
      </c>
      <c r="G190" s="79">
        <f>VLOOKUP(C190,'RAW DATA 2023'!E:BO,24,0)</f>
        <v>64.354909090909089</v>
      </c>
      <c r="H190" s="79">
        <f>IFERROR(VLOOKUP(F190,STD!B:G,2,FALSE),"")</f>
        <v>85</v>
      </c>
      <c r="I190" s="100">
        <f t="shared" si="12"/>
        <v>0.75711657754010697</v>
      </c>
      <c r="J190" s="74">
        <f t="shared" si="13"/>
        <v>7.7134973262032087</v>
      </c>
      <c r="K190">
        <f>VLOOKUP(C190,'RAW DATA 2023'!E:BO,12,0)</f>
        <v>0.55000000000000004</v>
      </c>
      <c r="L190" s="268">
        <f t="shared" si="14"/>
        <v>4.2424235294117647</v>
      </c>
      <c r="M190"/>
    </row>
    <row r="191" spans="1:13">
      <c r="A191" s="64" t="str">
        <f>'RAW DATA 2023'!B184</f>
        <v>Roiphet1</v>
      </c>
      <c r="B191" s="64" t="str">
        <f>'RAW DATA 2023'!D184</f>
        <v>D4-G07-0063</v>
      </c>
      <c r="C191" s="63" t="str">
        <f t="shared" si="10"/>
        <v>Roiphet1D4-G07-0063</v>
      </c>
      <c r="D191" s="63">
        <f>VLOOKUP(C191,'RAW DATA 2023'!E:BP,63,0)</f>
        <v>11</v>
      </c>
      <c r="E191" s="63" t="str">
        <f t="shared" si="11"/>
        <v>Roiphet111</v>
      </c>
      <c r="F191" s="79">
        <f>ROUND(VLOOKUP(C191,'RAW DATA 2023'!E:BO,23,0),0)</f>
        <v>43</v>
      </c>
      <c r="G191" s="79">
        <f>VLOOKUP(C191,'RAW DATA 2023'!E:BO,24,0)</f>
        <v>72.069272727272732</v>
      </c>
      <c r="H191" s="79">
        <f>IFERROR(VLOOKUP(F191,STD!B:G,2,FALSE),"")</f>
        <v>83</v>
      </c>
      <c r="I191" s="100">
        <f t="shared" si="12"/>
        <v>0.8683044906900329</v>
      </c>
      <c r="J191" s="74">
        <f t="shared" si="13"/>
        <v>11.049134720700987</v>
      </c>
      <c r="K191">
        <f>VLOOKUP(C191,'RAW DATA 2023'!E:BO,12,0)</f>
        <v>0.55000000000000004</v>
      </c>
      <c r="L191" s="268">
        <f t="shared" si="14"/>
        <v>6.0770240963855437</v>
      </c>
      <c r="M191"/>
    </row>
    <row r="192" spans="1:13">
      <c r="A192" s="64" t="str">
        <f>'RAW DATA 2023'!B185</f>
        <v>Roiphet1</v>
      </c>
      <c r="B192" s="64" t="str">
        <f>'RAW DATA 2023'!D185</f>
        <v>B4-G08-0079</v>
      </c>
      <c r="C192" s="63" t="str">
        <f t="shared" si="10"/>
        <v>Roiphet1B4-G08-0079</v>
      </c>
      <c r="D192" s="63">
        <f>VLOOKUP(C192,'RAW DATA 2023'!E:BP,63,0)</f>
        <v>2</v>
      </c>
      <c r="E192" s="63" t="str">
        <f t="shared" si="11"/>
        <v>Roiphet12</v>
      </c>
      <c r="F192" s="79">
        <f>ROUND(VLOOKUP(C192,'RAW DATA 2023'!E:BO,23,0),0)</f>
        <v>37</v>
      </c>
      <c r="G192" s="79">
        <f>VLOOKUP(C192,'RAW DATA 2023'!E:BO,24,0)</f>
        <v>58.982978723404258</v>
      </c>
      <c r="H192" s="79">
        <f>IFERROR(VLOOKUP(F192,STD!B:G,2,FALSE),"")</f>
        <v>81</v>
      </c>
      <c r="I192" s="100">
        <f t="shared" si="12"/>
        <v>0.72818492251116373</v>
      </c>
      <c r="J192" s="74">
        <f t="shared" si="13"/>
        <v>6.8455476753349123</v>
      </c>
      <c r="K192">
        <f>VLOOKUP(C192,'RAW DATA 2023'!E:BO,12,0)</f>
        <v>0.47</v>
      </c>
      <c r="L192" s="268">
        <f t="shared" si="14"/>
        <v>3.2174074074074084</v>
      </c>
      <c r="M192"/>
    </row>
    <row r="193" spans="1:13">
      <c r="A193" s="64" t="str">
        <f>'RAW DATA 2023'!B186</f>
        <v>Roiphet1</v>
      </c>
      <c r="B193" s="64" t="str">
        <f>'RAW DATA 2023'!D186</f>
        <v>B2-I04-0097</v>
      </c>
      <c r="C193" s="63" t="str">
        <f t="shared" si="10"/>
        <v>Roiphet1B2-I04-0097</v>
      </c>
      <c r="D193" s="63">
        <f>VLOOKUP(C193,'RAW DATA 2023'!E:BP,63,0)</f>
        <v>2</v>
      </c>
      <c r="E193" s="63" t="str">
        <f t="shared" si="11"/>
        <v>Roiphet12</v>
      </c>
      <c r="F193" s="79">
        <f>ROUND(VLOOKUP(C193,'RAW DATA 2023'!E:BO,23,0),0)</f>
        <v>29</v>
      </c>
      <c r="G193" s="79">
        <f>VLOOKUP(C193,'RAW DATA 2023'!E:BO,24,0)</f>
        <v>37.975769230769231</v>
      </c>
      <c r="H193" s="79">
        <f>IFERROR(VLOOKUP(F193,STD!B:G,2,FALSE),"")</f>
        <v>76</v>
      </c>
      <c r="I193" s="100">
        <f t="shared" si="12"/>
        <v>0.49968117408906881</v>
      </c>
      <c r="J193" s="74">
        <f t="shared" si="13"/>
        <v>-9.5647773279355919E-3</v>
      </c>
      <c r="K193">
        <f>VLOOKUP(C193,'RAW DATA 2023'!E:BO,12,0)</f>
        <v>0.26</v>
      </c>
      <c r="L193" s="268">
        <f t="shared" si="14"/>
        <v>-2.4868421052632538E-3</v>
      </c>
      <c r="M193"/>
    </row>
    <row r="194" spans="1:13">
      <c r="A194" s="64" t="str">
        <f>'RAW DATA 2023'!B187</f>
        <v>Roiphet1</v>
      </c>
      <c r="B194" s="64" t="str">
        <f>'RAW DATA 2023'!D187</f>
        <v>B6-G12-0086</v>
      </c>
      <c r="C194" s="63" t="str">
        <f t="shared" si="10"/>
        <v>Roiphet1B6-G12-0086</v>
      </c>
      <c r="D194" s="63">
        <f>VLOOKUP(C194,'RAW DATA 2023'!E:BP,63,0)</f>
        <v>1</v>
      </c>
      <c r="E194" s="63" t="str">
        <f t="shared" si="11"/>
        <v>Roiphet11</v>
      </c>
      <c r="F194" s="79">
        <f>ROUND(VLOOKUP(C194,'RAW DATA 2023'!E:BO,23,0),0)</f>
        <v>36</v>
      </c>
      <c r="G194" s="79">
        <f>VLOOKUP(C194,'RAW DATA 2023'!E:BO,24,0)</f>
        <v>70.556511056511056</v>
      </c>
      <c r="H194" s="79">
        <f>IFERROR(VLOOKUP(F194,STD!B:G,2,FALSE),"")</f>
        <v>81</v>
      </c>
      <c r="I194" s="100">
        <f t="shared" si="12"/>
        <v>0.87106803773470443</v>
      </c>
      <c r="J194" s="74">
        <f t="shared" si="13"/>
        <v>11.132041132041133</v>
      </c>
      <c r="K194">
        <f>VLOOKUP(C194,'RAW DATA 2023'!E:BO,12,0)</f>
        <v>0.40699999999999997</v>
      </c>
      <c r="L194" s="268">
        <f t="shared" si="14"/>
        <v>4.5307407407407405</v>
      </c>
      <c r="M194"/>
    </row>
    <row r="195" spans="1:13">
      <c r="A195" s="64" t="str">
        <f>'RAW DATA 2023'!B188</f>
        <v>Roiphet1</v>
      </c>
      <c r="B195" s="64" t="str">
        <f>'RAW DATA 2023'!D188</f>
        <v>B2-G03-0079</v>
      </c>
      <c r="C195" s="63" t="str">
        <f t="shared" si="10"/>
        <v>Roiphet1B2-G03-0079</v>
      </c>
      <c r="D195" s="63">
        <f>VLOOKUP(C195,'RAW DATA 2023'!E:BP,63,0)</f>
        <v>2</v>
      </c>
      <c r="E195" s="63" t="str">
        <f t="shared" si="11"/>
        <v>Roiphet12</v>
      </c>
      <c r="F195" s="79">
        <f>ROUND(VLOOKUP(C195,'RAW DATA 2023'!E:BO,23,0),0)</f>
        <v>33</v>
      </c>
      <c r="G195" s="79">
        <f>VLOOKUP(C195,'RAW DATA 2023'!E:BO,24,0)</f>
        <v>38.464680851063832</v>
      </c>
      <c r="H195" s="79">
        <f>IFERROR(VLOOKUP(F195,STD!B:G,2,FALSE),"")</f>
        <v>79</v>
      </c>
      <c r="I195" s="100">
        <f t="shared" si="12"/>
        <v>0.48689469431726368</v>
      </c>
      <c r="J195" s="74">
        <f t="shared" si="13"/>
        <v>-0.3931591704820897</v>
      </c>
      <c r="K195">
        <f>VLOOKUP(C195,'RAW DATA 2023'!E:BO,12,0)</f>
        <v>0.47</v>
      </c>
      <c r="L195" s="268">
        <f t="shared" si="14"/>
        <v>-0.18478481012658216</v>
      </c>
      <c r="M195"/>
    </row>
    <row r="196" spans="1:13">
      <c r="A196" s="64" t="str">
        <f>'RAW DATA 2023'!B189</f>
        <v>Roiphet1</v>
      </c>
      <c r="B196" s="64" t="str">
        <f>'RAW DATA 2023'!D189</f>
        <v>B2-I03-0094</v>
      </c>
      <c r="C196" s="63" t="str">
        <f t="shared" si="10"/>
        <v>Roiphet1B2-I03-0094</v>
      </c>
      <c r="D196" s="63">
        <f>VLOOKUP(C196,'RAW DATA 2023'!E:BP,63,0)</f>
        <v>2</v>
      </c>
      <c r="E196" s="63" t="str">
        <f t="shared" si="11"/>
        <v>Roiphet12</v>
      </c>
      <c r="F196" s="79">
        <f>ROUND(VLOOKUP(C196,'RAW DATA 2023'!E:BO,23,0),0)</f>
        <v>33</v>
      </c>
      <c r="G196" s="79">
        <f>VLOOKUP(C196,'RAW DATA 2023'!E:BO,24,0)</f>
        <v>35.837692307692308</v>
      </c>
      <c r="H196" s="79">
        <f>IFERROR(VLOOKUP(F196,STD!B:G,2,FALSE),"")</f>
        <v>79</v>
      </c>
      <c r="I196" s="100">
        <f t="shared" si="12"/>
        <v>0.45364167478091527</v>
      </c>
      <c r="J196" s="74">
        <f t="shared" si="13"/>
        <v>-1.390749756572542</v>
      </c>
      <c r="K196">
        <f>VLOOKUP(C196,'RAW DATA 2023'!E:BO,12,0)</f>
        <v>0.26</v>
      </c>
      <c r="L196" s="268">
        <f t="shared" si="14"/>
        <v>-0.36159493670886095</v>
      </c>
      <c r="M196"/>
    </row>
    <row r="197" spans="1:13">
      <c r="A197" s="64" t="str">
        <f>'RAW DATA 2023'!B190</f>
        <v>Roiphet1</v>
      </c>
      <c r="B197" s="64" t="str">
        <f>'RAW DATA 2023'!D190</f>
        <v>B2-G04-0091</v>
      </c>
      <c r="C197" s="63" t="str">
        <f t="shared" si="10"/>
        <v>Roiphet1B2-G04-0091</v>
      </c>
      <c r="D197" s="63">
        <f>VLOOKUP(C197,'RAW DATA 2023'!E:BP,63,0)</f>
        <v>2</v>
      </c>
      <c r="E197" s="63" t="str">
        <f t="shared" si="11"/>
        <v>Roiphet12</v>
      </c>
      <c r="F197" s="79">
        <f>ROUND(VLOOKUP(C197,'RAW DATA 2023'!E:BO,23,0),0)</f>
        <v>34</v>
      </c>
      <c r="G197" s="79">
        <f>VLOOKUP(C197,'RAW DATA 2023'!E:BO,24,0)</f>
        <v>50.443404255319145</v>
      </c>
      <c r="H197" s="79">
        <f>IFERROR(VLOOKUP(F197,STD!B:G,2,FALSE),"")</f>
        <v>80</v>
      </c>
      <c r="I197" s="100">
        <f t="shared" si="12"/>
        <v>0.63054255319148933</v>
      </c>
      <c r="J197" s="74">
        <f t="shared" si="13"/>
        <v>3.9162765957446801</v>
      </c>
      <c r="K197">
        <f>VLOOKUP(C197,'RAW DATA 2023'!E:BO,12,0)</f>
        <v>0.47</v>
      </c>
      <c r="L197" s="268">
        <f t="shared" si="14"/>
        <v>1.8406499999999995</v>
      </c>
      <c r="M197"/>
    </row>
    <row r="198" spans="1:13">
      <c r="A198" s="64" t="str">
        <f>'RAW DATA 2023'!B191</f>
        <v>Roiphet1</v>
      </c>
      <c r="B198" s="64" t="str">
        <f>'RAW DATA 2023'!D191</f>
        <v>B1-G02-0087</v>
      </c>
      <c r="C198" s="63" t="str">
        <f t="shared" si="10"/>
        <v>Roiphet1B1-G02-0087</v>
      </c>
      <c r="D198" s="63">
        <f>VLOOKUP(C198,'RAW DATA 2023'!E:BP,63,0)</f>
        <v>2</v>
      </c>
      <c r="E198" s="63" t="str">
        <f t="shared" si="11"/>
        <v>Roiphet12</v>
      </c>
      <c r="F198" s="79">
        <f>ROUND(VLOOKUP(C198,'RAW DATA 2023'!E:BO,23,0),0)</f>
        <v>41</v>
      </c>
      <c r="G198" s="79">
        <f>VLOOKUP(C198,'RAW DATA 2023'!E:BO,24,0)</f>
        <v>71.2036170212766</v>
      </c>
      <c r="H198" s="79">
        <f>IFERROR(VLOOKUP(F198,STD!B:G,2,FALSE),"")</f>
        <v>82</v>
      </c>
      <c r="I198" s="100">
        <f t="shared" si="12"/>
        <v>0.86833679294239752</v>
      </c>
      <c r="J198" s="74">
        <f t="shared" si="13"/>
        <v>11.050103788271926</v>
      </c>
      <c r="K198">
        <f>VLOOKUP(C198,'RAW DATA 2023'!E:BO,12,0)</f>
        <v>0.47</v>
      </c>
      <c r="L198" s="268">
        <f t="shared" si="14"/>
        <v>5.1935487804878049</v>
      </c>
      <c r="M198"/>
    </row>
    <row r="199" spans="1:13">
      <c r="A199" s="64" t="str">
        <f>'RAW DATA 2023'!B192</f>
        <v>Roiphet1</v>
      </c>
      <c r="B199" s="64" t="str">
        <f>'RAW DATA 2023'!D192</f>
        <v>B1-I02-0094</v>
      </c>
      <c r="C199" s="63" t="str">
        <f t="shared" si="10"/>
        <v>Roiphet1B1-I02-0094</v>
      </c>
      <c r="D199" s="63">
        <f>VLOOKUP(C199,'RAW DATA 2023'!E:BP,63,0)</f>
        <v>2</v>
      </c>
      <c r="E199" s="63" t="str">
        <f t="shared" si="11"/>
        <v>Roiphet12</v>
      </c>
      <c r="F199" s="79">
        <f>ROUND(VLOOKUP(C199,'RAW DATA 2023'!E:BO,23,0),0)</f>
        <v>37</v>
      </c>
      <c r="G199" s="79">
        <f>VLOOKUP(C199,'RAW DATA 2023'!E:BO,24,0)</f>
        <v>70.323461538461544</v>
      </c>
      <c r="H199" s="79">
        <f>IFERROR(VLOOKUP(F199,STD!B:G,2,FALSE),"")</f>
        <v>81</v>
      </c>
      <c r="I199" s="100">
        <f t="shared" si="12"/>
        <v>0.86819088319088322</v>
      </c>
      <c r="J199" s="74">
        <f t="shared" si="13"/>
        <v>11.045726495726496</v>
      </c>
      <c r="K199">
        <f>VLOOKUP(C199,'RAW DATA 2023'!E:BO,12,0)</f>
        <v>0.26</v>
      </c>
      <c r="L199" s="268">
        <f t="shared" si="14"/>
        <v>2.8718888888888894</v>
      </c>
      <c r="M199"/>
    </row>
    <row r="200" spans="1:13">
      <c r="A200" s="64" t="str">
        <f>'RAW DATA 2023'!B193</f>
        <v>Roiphet1</v>
      </c>
      <c r="B200" s="64" t="str">
        <f>'RAW DATA 2023'!D193</f>
        <v>B1-G01-0083</v>
      </c>
      <c r="C200" s="63" t="str">
        <f t="shared" si="10"/>
        <v>Roiphet1B1-G01-0083</v>
      </c>
      <c r="D200" s="63">
        <f>VLOOKUP(C200,'RAW DATA 2023'!E:BP,63,0)</f>
        <v>2</v>
      </c>
      <c r="E200" s="63" t="str">
        <f t="shared" si="11"/>
        <v>Roiphet12</v>
      </c>
      <c r="F200" s="79">
        <f>ROUND(VLOOKUP(C200,'RAW DATA 2023'!E:BO,23,0),0)</f>
        <v>47</v>
      </c>
      <c r="G200" s="79">
        <f>VLOOKUP(C200,'RAW DATA 2023'!E:BO,24,0)</f>
        <v>62.67</v>
      </c>
      <c r="H200" s="79">
        <f>IFERROR(VLOOKUP(F200,STD!B:G,2,FALSE),"")</f>
        <v>84</v>
      </c>
      <c r="I200" s="100">
        <f t="shared" si="12"/>
        <v>0.74607142857142861</v>
      </c>
      <c r="J200" s="74">
        <f t="shared" si="13"/>
        <v>7.382142857142858</v>
      </c>
      <c r="K200">
        <f>VLOOKUP(C200,'RAW DATA 2023'!E:BO,12,0)</f>
        <v>0.47</v>
      </c>
      <c r="L200" s="268">
        <f t="shared" si="14"/>
        <v>3.4696071428571429</v>
      </c>
      <c r="M200"/>
    </row>
    <row r="201" spans="1:13">
      <c r="A201" s="64" t="str">
        <f>'RAW DATA 2023'!B194</f>
        <v>Roiphet1</v>
      </c>
      <c r="B201" s="64" t="str">
        <f>'RAW DATA 2023'!D194</f>
        <v>B1-I01-0094</v>
      </c>
      <c r="C201" s="63" t="str">
        <f t="shared" si="10"/>
        <v>Roiphet1B1-I01-0094</v>
      </c>
      <c r="D201" s="63">
        <f>VLOOKUP(C201,'RAW DATA 2023'!E:BP,63,0)</f>
        <v>2</v>
      </c>
      <c r="E201" s="63" t="str">
        <f t="shared" si="11"/>
        <v>Roiphet12</v>
      </c>
      <c r="F201" s="79">
        <f>ROUND(VLOOKUP(C201,'RAW DATA 2023'!E:BO,23,0),0)</f>
        <v>45</v>
      </c>
      <c r="G201" s="79">
        <f>VLOOKUP(C201,'RAW DATA 2023'!E:BO,24,0)</f>
        <v>61.423076923076927</v>
      </c>
      <c r="H201" s="79">
        <f>IFERROR(VLOOKUP(F201,STD!B:G,2,FALSE),"")</f>
        <v>83</v>
      </c>
      <c r="I201" s="100">
        <f t="shared" si="12"/>
        <v>0.74003707136237262</v>
      </c>
      <c r="J201" s="74">
        <f t="shared" si="13"/>
        <v>7.2011121408711789</v>
      </c>
      <c r="K201">
        <f>VLOOKUP(C201,'RAW DATA 2023'!E:BO,12,0)</f>
        <v>0.26</v>
      </c>
      <c r="L201" s="268">
        <f t="shared" si="14"/>
        <v>1.8722891566265065</v>
      </c>
      <c r="M201"/>
    </row>
    <row r="202" spans="1:13">
      <c r="A202" s="64" t="str">
        <f>'RAW DATA 2023'!B195</f>
        <v>Roiphet1</v>
      </c>
      <c r="B202" s="64" t="str">
        <f>'RAW DATA 2023'!D195</f>
        <v>B6-G11-0081</v>
      </c>
      <c r="C202" s="63" t="str">
        <f t="shared" ref="C202:C265" si="15">A202&amp;B202</f>
        <v>Roiphet1B6-G11-0081</v>
      </c>
      <c r="D202" s="63">
        <f>VLOOKUP(C202,'RAW DATA 2023'!E:BP,63,0)</f>
        <v>1</v>
      </c>
      <c r="E202" s="63" t="str">
        <f t="shared" ref="E202:E265" si="16">A202&amp;D202</f>
        <v>Roiphet11</v>
      </c>
      <c r="F202" s="79">
        <f>ROUND(VLOOKUP(C202,'RAW DATA 2023'!E:BO,23,0),0)</f>
        <v>42</v>
      </c>
      <c r="G202" s="79">
        <f>VLOOKUP(C202,'RAW DATA 2023'!E:BO,24,0)</f>
        <v>57.960243407707914</v>
      </c>
      <c r="H202" s="79">
        <f>IFERROR(VLOOKUP(F202,STD!B:G,2,FALSE),"")</f>
        <v>82</v>
      </c>
      <c r="I202" s="100">
        <f t="shared" si="12"/>
        <v>0.70683223667936479</v>
      </c>
      <c r="J202" s="74">
        <f t="shared" si="13"/>
        <v>6.2049671003809435</v>
      </c>
      <c r="K202">
        <f>VLOOKUP(C202,'RAW DATA 2023'!E:BO,12,0)</f>
        <v>0.49299999999999999</v>
      </c>
      <c r="L202" s="268">
        <f t="shared" si="14"/>
        <v>3.0590487804878053</v>
      </c>
      <c r="M202"/>
    </row>
    <row r="203" spans="1:13">
      <c r="A203" s="64" t="str">
        <f>'RAW DATA 2023'!B196</f>
        <v>Roiphet1</v>
      </c>
      <c r="B203" s="64" t="str">
        <f>'RAW DATA 2023'!D196</f>
        <v>B6-I12-0085</v>
      </c>
      <c r="C203" s="63" t="str">
        <f t="shared" si="15"/>
        <v>Roiphet1B6-I12-0085</v>
      </c>
      <c r="D203" s="63">
        <f>VLOOKUP(C203,'RAW DATA 2023'!E:BP,63,0)</f>
        <v>1</v>
      </c>
      <c r="E203" s="63" t="str">
        <f t="shared" si="16"/>
        <v>Roiphet11</v>
      </c>
      <c r="F203" s="79">
        <f>ROUND(VLOOKUP(C203,'RAW DATA 2023'!E:BO,23,0),0)</f>
        <v>40</v>
      </c>
      <c r="G203" s="79">
        <f>VLOOKUP(C203,'RAW DATA 2023'!E:BO,24,0)</f>
        <v>70.723500000000001</v>
      </c>
      <c r="H203" s="79">
        <f>IFERROR(VLOOKUP(F203,STD!B:G,2,FALSE),"")</f>
        <v>82</v>
      </c>
      <c r="I203" s="100">
        <f t="shared" ref="I203:I266" si="17">IFERROR(G203/H203,0)</f>
        <v>0.86248170731707319</v>
      </c>
      <c r="J203" s="74">
        <f t="shared" ref="J203:J266" si="18">(I203-$E$4)*$E$7</f>
        <v>10.874451219512196</v>
      </c>
      <c r="K203">
        <f>VLOOKUP(C203,'RAW DATA 2023'!E:BO,12,0)</f>
        <v>0.2</v>
      </c>
      <c r="L203" s="268">
        <f t="shared" ref="L203:L266" si="19">J203*K203</f>
        <v>2.1748902439024391</v>
      </c>
      <c r="M203"/>
    </row>
    <row r="204" spans="1:13">
      <c r="A204" s="64" t="str">
        <f>'RAW DATA 2023'!B197</f>
        <v>Roiphet1</v>
      </c>
      <c r="B204" s="64" t="str">
        <f>'RAW DATA 2023'!D197</f>
        <v>B6-I11-0082</v>
      </c>
      <c r="C204" s="63" t="str">
        <f t="shared" si="15"/>
        <v>Roiphet1B6-I11-0082</v>
      </c>
      <c r="D204" s="63">
        <f>VLOOKUP(C204,'RAW DATA 2023'!E:BP,63,0)</f>
        <v>1</v>
      </c>
      <c r="E204" s="63" t="str">
        <f t="shared" si="16"/>
        <v>Roiphet11</v>
      </c>
      <c r="F204" s="79">
        <f>ROUND(VLOOKUP(C204,'RAW DATA 2023'!E:BO,23,0),0)</f>
        <v>45</v>
      </c>
      <c r="G204" s="79">
        <f>VLOOKUP(C204,'RAW DATA 2023'!E:BO,24,0)</f>
        <v>76.691000000000003</v>
      </c>
      <c r="H204" s="79">
        <f>IFERROR(VLOOKUP(F204,STD!B:G,2,FALSE),"")</f>
        <v>83</v>
      </c>
      <c r="I204" s="100">
        <f t="shared" si="17"/>
        <v>0.92398795180722892</v>
      </c>
      <c r="J204" s="74">
        <f t="shared" si="18"/>
        <v>12.719638554216868</v>
      </c>
      <c r="K204">
        <f>VLOOKUP(C204,'RAW DATA 2023'!E:BO,12,0)</f>
        <v>0.2</v>
      </c>
      <c r="L204" s="268">
        <f t="shared" si="19"/>
        <v>2.5439277108433735</v>
      </c>
      <c r="M204"/>
    </row>
    <row r="205" spans="1:13">
      <c r="A205" s="64" t="str">
        <f>'RAW DATA 2023'!B198</f>
        <v>Roiphet1</v>
      </c>
      <c r="B205" s="64" t="str">
        <f>'RAW DATA 2023'!D198</f>
        <v>C2-I03-0060</v>
      </c>
      <c r="C205" s="63" t="str">
        <f t="shared" si="15"/>
        <v>Roiphet1C2-I03-0060</v>
      </c>
      <c r="D205" s="63">
        <f>VLOOKUP(C205,'RAW DATA 2023'!E:BP,63,0)</f>
        <v>10</v>
      </c>
      <c r="E205" s="63" t="str">
        <f t="shared" si="16"/>
        <v>Roiphet110</v>
      </c>
      <c r="F205" s="79">
        <f>ROUND(VLOOKUP(C205,'RAW DATA 2023'!E:BO,23,0),0)</f>
        <v>42</v>
      </c>
      <c r="G205" s="79">
        <f>VLOOKUP(C205,'RAW DATA 2023'!E:BO,24,0)</f>
        <v>42.298000000000002</v>
      </c>
      <c r="H205" s="79">
        <f>IFERROR(VLOOKUP(F205,STD!B:G,2,FALSE),"")</f>
        <v>82</v>
      </c>
      <c r="I205" s="100">
        <f t="shared" si="17"/>
        <v>0.51582926829268294</v>
      </c>
      <c r="J205" s="74">
        <f t="shared" si="18"/>
        <v>0.47487804878048823</v>
      </c>
      <c r="K205">
        <f>VLOOKUP(C205,'RAW DATA 2023'!E:BO,12,0)</f>
        <v>0.35</v>
      </c>
      <c r="L205" s="268">
        <f t="shared" si="19"/>
        <v>0.16620731707317088</v>
      </c>
      <c r="M205"/>
    </row>
    <row r="206" spans="1:13">
      <c r="A206" s="64" t="str">
        <f>'RAW DATA 2023'!B199</f>
        <v>Roiphet1</v>
      </c>
      <c r="B206" s="64" t="str">
        <f>'RAW DATA 2023'!D199</f>
        <v>C6-I12-0062</v>
      </c>
      <c r="C206" s="63" t="str">
        <f t="shared" si="15"/>
        <v>Roiphet1C6-I12-0062</v>
      </c>
      <c r="D206" s="63">
        <f>VLOOKUP(C206,'RAW DATA 2023'!E:BP,63,0)</f>
        <v>7</v>
      </c>
      <c r="E206" s="63" t="str">
        <f t="shared" si="16"/>
        <v>Roiphet17</v>
      </c>
      <c r="F206" s="79">
        <f>ROUND(VLOOKUP(C206,'RAW DATA 2023'!E:BO,23,0),0)</f>
        <v>27</v>
      </c>
      <c r="G206" s="79">
        <f>VLOOKUP(C206,'RAW DATA 2023'!E:BO,24,0)</f>
        <v>54.942500000000003</v>
      </c>
      <c r="H206" s="79">
        <f>IFERROR(VLOOKUP(F206,STD!B:G,2,FALSE),"")</f>
        <v>75</v>
      </c>
      <c r="I206" s="100">
        <f t="shared" si="17"/>
        <v>0.7325666666666667</v>
      </c>
      <c r="J206" s="74">
        <f t="shared" si="18"/>
        <v>6.9770000000000012</v>
      </c>
      <c r="K206">
        <f>VLOOKUP(C206,'RAW DATA 2023'!E:BO,12,0)</f>
        <v>0.2</v>
      </c>
      <c r="L206" s="268">
        <f t="shared" si="19"/>
        <v>1.3954000000000004</v>
      </c>
      <c r="M206"/>
    </row>
    <row r="207" spans="1:13">
      <c r="A207" s="64" t="str">
        <f>'RAW DATA 2023'!B200</f>
        <v>Roiphet1</v>
      </c>
      <c r="B207" s="64" t="str">
        <f>'RAW DATA 2023'!D200</f>
        <v>C6-G11-0059</v>
      </c>
      <c r="C207" s="63" t="str">
        <f t="shared" si="15"/>
        <v>Roiphet1C6-G11-0059</v>
      </c>
      <c r="D207" s="63">
        <f>VLOOKUP(C207,'RAW DATA 2023'!E:BP,63,0)</f>
        <v>7</v>
      </c>
      <c r="E207" s="63" t="str">
        <f t="shared" si="16"/>
        <v>Roiphet17</v>
      </c>
      <c r="F207" s="79">
        <f>ROUND(VLOOKUP(C207,'RAW DATA 2023'!E:BO,23,0),0)</f>
        <v>30</v>
      </c>
      <c r="G207" s="79">
        <f>VLOOKUP(C207,'RAW DATA 2023'!E:BO,24,0)</f>
        <v>66.907499999999999</v>
      </c>
      <c r="H207" s="79">
        <f>IFERROR(VLOOKUP(F207,STD!B:G,2,FALSE),"")</f>
        <v>76</v>
      </c>
      <c r="I207" s="100">
        <f t="shared" si="17"/>
        <v>0.88036184210526314</v>
      </c>
      <c r="J207" s="74">
        <f t="shared" si="18"/>
        <v>11.410855263157893</v>
      </c>
      <c r="K207">
        <f>VLOOKUP(C207,'RAW DATA 2023'!E:BO,12,0)</f>
        <v>0.4</v>
      </c>
      <c r="L207" s="268">
        <f t="shared" si="19"/>
        <v>4.5643421052631572</v>
      </c>
      <c r="M207"/>
    </row>
    <row r="208" spans="1:13">
      <c r="A208" s="64" t="str">
        <f>'RAW DATA 2023'!B201</f>
        <v>Roiphet1</v>
      </c>
      <c r="B208" s="64" t="str">
        <f>'RAW DATA 2023'!D201</f>
        <v>C6-I11-0065</v>
      </c>
      <c r="C208" s="63" t="str">
        <f t="shared" si="15"/>
        <v>Roiphet1C6-I11-0065</v>
      </c>
      <c r="D208" s="63">
        <f>VLOOKUP(C208,'RAW DATA 2023'!E:BP,63,0)</f>
        <v>7</v>
      </c>
      <c r="E208" s="63" t="str">
        <f t="shared" si="16"/>
        <v>Roiphet17</v>
      </c>
      <c r="F208" s="79">
        <f>ROUND(VLOOKUP(C208,'RAW DATA 2023'!E:BO,23,0),0)</f>
        <v>30</v>
      </c>
      <c r="G208" s="79">
        <f>VLOOKUP(C208,'RAW DATA 2023'!E:BO,24,0)</f>
        <v>65.296500000000009</v>
      </c>
      <c r="H208" s="79">
        <f>IFERROR(VLOOKUP(F208,STD!B:G,2,FALSE),"")</f>
        <v>76</v>
      </c>
      <c r="I208" s="100">
        <f t="shared" si="17"/>
        <v>0.85916447368421067</v>
      </c>
      <c r="J208" s="74">
        <f t="shared" si="18"/>
        <v>10.77493421052632</v>
      </c>
      <c r="K208">
        <f>VLOOKUP(C208,'RAW DATA 2023'!E:BO,12,0)</f>
        <v>0.2</v>
      </c>
      <c r="L208" s="268">
        <f t="shared" si="19"/>
        <v>2.1549868421052643</v>
      </c>
      <c r="M208"/>
    </row>
    <row r="209" spans="1:13">
      <c r="A209" s="64" t="str">
        <f>'RAW DATA 2023'!B202</f>
        <v>Roiphet1</v>
      </c>
      <c r="B209" s="64" t="str">
        <f>'RAW DATA 2023'!D202</f>
        <v>C4-G08-0061</v>
      </c>
      <c r="C209" s="63" t="str">
        <f t="shared" si="15"/>
        <v>Roiphet1C4-G08-0061</v>
      </c>
      <c r="D209" s="63">
        <f>VLOOKUP(C209,'RAW DATA 2023'!E:BP,63,0)</f>
        <v>6</v>
      </c>
      <c r="E209" s="63" t="str">
        <f t="shared" si="16"/>
        <v>Roiphet16</v>
      </c>
      <c r="F209" s="79">
        <f>ROUND(VLOOKUP(C209,'RAW DATA 2023'!E:BO,23,0),0)</f>
        <v>25</v>
      </c>
      <c r="G209" s="79">
        <f>VLOOKUP(C209,'RAW DATA 2023'!E:BO,24,0)</f>
        <v>38.96</v>
      </c>
      <c r="H209" s="79">
        <f>IFERROR(VLOOKUP(F209,STD!B:G,2,FALSE),"")</f>
        <v>72</v>
      </c>
      <c r="I209" s="100">
        <f t="shared" si="17"/>
        <v>0.5411111111111111</v>
      </c>
      <c r="J209" s="74">
        <f t="shared" si="18"/>
        <v>1.2333333333333329</v>
      </c>
      <c r="K209">
        <f>VLOOKUP(C209,'RAW DATA 2023'!E:BO,12,0)</f>
        <v>0.42</v>
      </c>
      <c r="L209" s="268">
        <f t="shared" si="19"/>
        <v>0.51799999999999979</v>
      </c>
      <c r="M209"/>
    </row>
    <row r="210" spans="1:13">
      <c r="A210" s="64" t="str">
        <f>'RAW DATA 2023'!B203</f>
        <v>Roiphet1</v>
      </c>
      <c r="B210" s="64" t="str">
        <f>'RAW DATA 2023'!D203</f>
        <v>C4-I08-0064</v>
      </c>
      <c r="C210" s="63" t="str">
        <f t="shared" si="15"/>
        <v>Roiphet1C4-I08-0064</v>
      </c>
      <c r="D210" s="63">
        <f>VLOOKUP(C210,'RAW DATA 2023'!E:BP,63,0)</f>
        <v>6</v>
      </c>
      <c r="E210" s="63" t="str">
        <f t="shared" si="16"/>
        <v>Roiphet16</v>
      </c>
      <c r="F210" s="79">
        <f>ROUND(VLOOKUP(C210,'RAW DATA 2023'!E:BO,23,0),0)</f>
        <v>24</v>
      </c>
      <c r="G210" s="79">
        <f>VLOOKUP(C210,'RAW DATA 2023'!E:BO,24,0)</f>
        <v>37.259</v>
      </c>
      <c r="H210" s="79">
        <f>IFERROR(VLOOKUP(F210,STD!B:G,2,FALSE),"")</f>
        <v>72</v>
      </c>
      <c r="I210" s="100">
        <f t="shared" si="17"/>
        <v>0.51748611111111109</v>
      </c>
      <c r="J210" s="74">
        <f t="shared" si="18"/>
        <v>0.52458333333333274</v>
      </c>
      <c r="K210">
        <f>VLOOKUP(C210,'RAW DATA 2023'!E:BO,12,0)</f>
        <v>0.2</v>
      </c>
      <c r="L210" s="268">
        <f t="shared" si="19"/>
        <v>0.10491666666666655</v>
      </c>
      <c r="M210"/>
    </row>
    <row r="211" spans="1:13">
      <c r="A211" s="64" t="str">
        <f>'RAW DATA 2023'!B204</f>
        <v>Roiphet1</v>
      </c>
      <c r="B211" s="64" t="str">
        <f>'RAW DATA 2023'!D204</f>
        <v>C4-I07-0060</v>
      </c>
      <c r="C211" s="63" t="str">
        <f t="shared" si="15"/>
        <v>Roiphet1C4-I07-0060</v>
      </c>
      <c r="D211" s="63">
        <f>VLOOKUP(C211,'RAW DATA 2023'!E:BP,63,0)</f>
        <v>6</v>
      </c>
      <c r="E211" s="63" t="str">
        <f t="shared" si="16"/>
        <v>Roiphet16</v>
      </c>
      <c r="F211" s="79">
        <f>ROUND(VLOOKUP(C211,'RAW DATA 2023'!E:BO,23,0),0)</f>
        <v>25</v>
      </c>
      <c r="G211" s="79">
        <f>VLOOKUP(C211,'RAW DATA 2023'!E:BO,24,0)</f>
        <v>35.159545454545452</v>
      </c>
      <c r="H211" s="79">
        <f>IFERROR(VLOOKUP(F211,STD!B:G,2,FALSE),"")</f>
        <v>72</v>
      </c>
      <c r="I211" s="100">
        <f t="shared" si="17"/>
        <v>0.48832702020202018</v>
      </c>
      <c r="J211" s="74">
        <f t="shared" si="18"/>
        <v>-0.35018939393939463</v>
      </c>
      <c r="K211">
        <f>VLOOKUP(C211,'RAW DATA 2023'!E:BO,12,0)</f>
        <v>0.22</v>
      </c>
      <c r="L211" s="268">
        <f t="shared" si="19"/>
        <v>-7.7041666666666814E-2</v>
      </c>
      <c r="M211"/>
    </row>
    <row r="212" spans="1:13">
      <c r="A212" s="64" t="str">
        <f>'RAW DATA 2023'!B205</f>
        <v>Roiphet1</v>
      </c>
      <c r="B212" s="64" t="str">
        <f>'RAW DATA 2023'!D205</f>
        <v>C4-G07-0057</v>
      </c>
      <c r="C212" s="63" t="str">
        <f t="shared" si="15"/>
        <v>Roiphet1C4-G07-0057</v>
      </c>
      <c r="D212" s="63">
        <f>VLOOKUP(C212,'RAW DATA 2023'!E:BP,63,0)</f>
        <v>6</v>
      </c>
      <c r="E212" s="63" t="str">
        <f t="shared" si="16"/>
        <v>Roiphet16</v>
      </c>
      <c r="F212" s="79">
        <f>ROUND(VLOOKUP(C212,'RAW DATA 2023'!E:BO,23,0),0)</f>
        <v>26</v>
      </c>
      <c r="G212" s="79">
        <f>VLOOKUP(C212,'RAW DATA 2023'!E:BO,24,0)</f>
        <v>38.088333333333338</v>
      </c>
      <c r="H212" s="79">
        <f>IFERROR(VLOOKUP(F212,STD!B:G,2,FALSE),"")</f>
        <v>75</v>
      </c>
      <c r="I212" s="100">
        <f t="shared" si="17"/>
        <v>0.50784444444444454</v>
      </c>
      <c r="J212" s="74">
        <f t="shared" si="18"/>
        <v>0.23533333333333628</v>
      </c>
      <c r="K212">
        <f>VLOOKUP(C212,'RAW DATA 2023'!E:BO,12,0)</f>
        <v>0.42</v>
      </c>
      <c r="L212" s="268">
        <f t="shared" si="19"/>
        <v>9.8840000000001232E-2</v>
      </c>
      <c r="M212"/>
    </row>
    <row r="213" spans="1:13">
      <c r="A213" s="64" t="str">
        <f>'RAW DATA 2023'!B206</f>
        <v>Roiphet1</v>
      </c>
      <c r="B213" s="64" t="str">
        <f>'RAW DATA 2023'!D206</f>
        <v>D5-G09-0069</v>
      </c>
      <c r="C213" s="63" t="str">
        <f t="shared" si="15"/>
        <v>Roiphet1D5-G09-0069</v>
      </c>
      <c r="D213" s="63">
        <f>VLOOKUP(C213,'RAW DATA 2023'!E:BP,63,0)</f>
        <v>10</v>
      </c>
      <c r="E213" s="63" t="str">
        <f t="shared" si="16"/>
        <v>Roiphet110</v>
      </c>
      <c r="F213" s="79">
        <f>ROUND(VLOOKUP(C213,'RAW DATA 2023'!E:BO,23,0),0)</f>
        <v>34</v>
      </c>
      <c r="G213" s="79">
        <f>VLOOKUP(C213,'RAW DATA 2023'!E:BO,24,0)</f>
        <v>92.879000000000005</v>
      </c>
      <c r="H213" s="79">
        <f>IFERROR(VLOOKUP(F213,STD!B:G,2,FALSE),"")</f>
        <v>80</v>
      </c>
      <c r="I213" s="100">
        <f t="shared" si="17"/>
        <v>1.1609875000000001</v>
      </c>
      <c r="J213" s="74">
        <f t="shared" si="18"/>
        <v>19.829625</v>
      </c>
      <c r="K213">
        <f>VLOOKUP(C213,'RAW DATA 2023'!E:BO,12,0)</f>
        <v>0.5</v>
      </c>
      <c r="L213" s="268">
        <f t="shared" si="19"/>
        <v>9.9148125</v>
      </c>
      <c r="M213"/>
    </row>
    <row r="214" spans="1:13">
      <c r="A214" s="64" t="str">
        <f>'RAW DATA 2023'!B207</f>
        <v>Roiphet1</v>
      </c>
      <c r="B214" s="64" t="str">
        <f>'RAW DATA 2023'!D207</f>
        <v>C2-G03-0067</v>
      </c>
      <c r="C214" s="63" t="str">
        <f t="shared" si="15"/>
        <v>Roiphet1C2-G03-0067</v>
      </c>
      <c r="D214" s="63">
        <f>VLOOKUP(C214,'RAW DATA 2023'!E:BP,63,0)</f>
        <v>10</v>
      </c>
      <c r="E214" s="63" t="str">
        <f t="shared" si="16"/>
        <v>Roiphet110</v>
      </c>
      <c r="F214" s="79">
        <f>ROUND(VLOOKUP(C214,'RAW DATA 2023'!E:BO,23,0),0)</f>
        <v>52</v>
      </c>
      <c r="G214" s="79">
        <f>VLOOKUP(C214,'RAW DATA 2023'!E:BO,24,0)</f>
        <v>46.20461538461538</v>
      </c>
      <c r="H214" s="79">
        <f>IFERROR(VLOOKUP(F214,STD!B:G,2,FALSE),"")</f>
        <v>85</v>
      </c>
      <c r="I214" s="100">
        <f t="shared" si="17"/>
        <v>0.54358371040723974</v>
      </c>
      <c r="J214" s="74">
        <f t="shared" si="18"/>
        <v>1.3075113122171922</v>
      </c>
      <c r="K214">
        <f>VLOOKUP(C214,'RAW DATA 2023'!E:BO,12,0)</f>
        <v>0.65</v>
      </c>
      <c r="L214" s="268">
        <f t="shared" si="19"/>
        <v>0.84988235294117498</v>
      </c>
      <c r="M214"/>
    </row>
    <row r="215" spans="1:13">
      <c r="A215" s="64" t="str">
        <f>'RAW DATA 2023'!B208</f>
        <v>Roiphet1</v>
      </c>
      <c r="B215" s="64" t="str">
        <f>'RAW DATA 2023'!D208</f>
        <v>C2-G04-0065</v>
      </c>
      <c r="C215" s="63" t="str">
        <f t="shared" si="15"/>
        <v>Roiphet1C2-G04-0065</v>
      </c>
      <c r="D215" s="63">
        <f>VLOOKUP(C215,'RAW DATA 2023'!E:BP,63,0)</f>
        <v>10</v>
      </c>
      <c r="E215" s="63" t="str">
        <f t="shared" si="16"/>
        <v>Roiphet110</v>
      </c>
      <c r="F215" s="79">
        <f>ROUND(VLOOKUP(C215,'RAW DATA 2023'!E:BO,23,0),0)</f>
        <v>55</v>
      </c>
      <c r="G215" s="79">
        <f>VLOOKUP(C215,'RAW DATA 2023'!E:BO,24,0)</f>
        <v>43.145076923076928</v>
      </c>
      <c r="H215" s="79">
        <f>IFERROR(VLOOKUP(F215,STD!B:G,2,FALSE),"")</f>
        <v>86</v>
      </c>
      <c r="I215" s="100">
        <f t="shared" si="17"/>
        <v>0.50168694096601074</v>
      </c>
      <c r="J215" s="74">
        <f t="shared" si="18"/>
        <v>5.0608228980322245E-2</v>
      </c>
      <c r="K215">
        <f>VLOOKUP(C215,'RAW DATA 2023'!E:BO,12,0)</f>
        <v>0.65</v>
      </c>
      <c r="L215" s="268">
        <f t="shared" si="19"/>
        <v>3.2895348837209459E-2</v>
      </c>
      <c r="M215"/>
    </row>
    <row r="216" spans="1:13">
      <c r="A216" s="64" t="str">
        <f>'RAW DATA 2023'!B209</f>
        <v>Roiphet1</v>
      </c>
      <c r="B216" s="64" t="str">
        <f>'RAW DATA 2023'!D209</f>
        <v>C2-I04-0068</v>
      </c>
      <c r="C216" s="63" t="str">
        <f t="shared" si="15"/>
        <v>Roiphet1C2-I04-0068</v>
      </c>
      <c r="D216" s="63">
        <f>VLOOKUP(C216,'RAW DATA 2023'!E:BP,63,0)</f>
        <v>10</v>
      </c>
      <c r="E216" s="63" t="str">
        <f t="shared" si="16"/>
        <v>Roiphet110</v>
      </c>
      <c r="F216" s="79">
        <f>ROUND(VLOOKUP(C216,'RAW DATA 2023'!E:BO,23,0),0)</f>
        <v>50</v>
      </c>
      <c r="G216" s="79">
        <f>VLOOKUP(C216,'RAW DATA 2023'!E:BO,24,0)</f>
        <v>43.663428571428568</v>
      </c>
      <c r="H216" s="79">
        <f>IFERROR(VLOOKUP(F216,STD!B:G,2,FALSE),"")</f>
        <v>85</v>
      </c>
      <c r="I216" s="100">
        <f t="shared" si="17"/>
        <v>0.5136873949579831</v>
      </c>
      <c r="J216" s="74">
        <f t="shared" si="18"/>
        <v>0.41062184873949303</v>
      </c>
      <c r="K216">
        <f>VLOOKUP(C216,'RAW DATA 2023'!E:BO,12,0)</f>
        <v>0.35</v>
      </c>
      <c r="L216" s="268">
        <f t="shared" si="19"/>
        <v>0.14371764705882256</v>
      </c>
      <c r="M216"/>
    </row>
    <row r="217" spans="1:13">
      <c r="A217" s="64" t="str">
        <f>'RAW DATA 2023'!B210</f>
        <v>Roiphet1</v>
      </c>
      <c r="B217" s="64" t="str">
        <f>'RAW DATA 2023'!D210</f>
        <v>D2-I03-0086</v>
      </c>
      <c r="C217" s="63" t="str">
        <f t="shared" si="15"/>
        <v>Roiphet1D2-I03-0086</v>
      </c>
      <c r="D217" s="63">
        <f>VLOOKUP(C217,'RAW DATA 2023'!E:BP,63,0)</f>
        <v>9</v>
      </c>
      <c r="E217" s="63" t="str">
        <f t="shared" si="16"/>
        <v>Roiphet19</v>
      </c>
      <c r="F217" s="79">
        <f>ROUND(VLOOKUP(C217,'RAW DATA 2023'!E:BO,23,0),0)</f>
        <v>35</v>
      </c>
      <c r="G217" s="79">
        <f>VLOOKUP(C217,'RAW DATA 2023'!E:BO,24,0)</f>
        <v>83.3172</v>
      </c>
      <c r="H217" s="79">
        <f>IFERROR(VLOOKUP(F217,STD!B:G,2,FALSE),"")</f>
        <v>80</v>
      </c>
      <c r="I217" s="100">
        <f t="shared" si="17"/>
        <v>1.0414650000000001</v>
      </c>
      <c r="J217" s="74">
        <f t="shared" si="18"/>
        <v>16.243950000000002</v>
      </c>
      <c r="K217">
        <f>VLOOKUP(C217,'RAW DATA 2023'!E:BO,12,0)</f>
        <v>0.25</v>
      </c>
      <c r="L217" s="268">
        <f t="shared" si="19"/>
        <v>4.0609875000000004</v>
      </c>
      <c r="M217"/>
    </row>
    <row r="218" spans="1:13">
      <c r="A218" s="64" t="str">
        <f>'RAW DATA 2023'!B211</f>
        <v>Roiphet1</v>
      </c>
      <c r="B218" s="64" t="str">
        <f>'RAW DATA 2023'!D211</f>
        <v>D2-G03-0081</v>
      </c>
      <c r="C218" s="63" t="str">
        <f t="shared" si="15"/>
        <v>Roiphet1D2-G03-0081</v>
      </c>
      <c r="D218" s="63">
        <f>VLOOKUP(C218,'RAW DATA 2023'!E:BP,63,0)</f>
        <v>9</v>
      </c>
      <c r="E218" s="63" t="str">
        <f t="shared" si="16"/>
        <v>Roiphet19</v>
      </c>
      <c r="F218" s="79">
        <f>ROUND(VLOOKUP(C218,'RAW DATA 2023'!E:BO,23,0),0)</f>
        <v>34</v>
      </c>
      <c r="G218" s="79">
        <f>VLOOKUP(C218,'RAW DATA 2023'!E:BO,24,0)</f>
        <v>83.930599999999998</v>
      </c>
      <c r="H218" s="79">
        <f>IFERROR(VLOOKUP(F218,STD!B:G,2,FALSE),"")</f>
        <v>80</v>
      </c>
      <c r="I218" s="100">
        <f t="shared" si="17"/>
        <v>1.0491325</v>
      </c>
      <c r="J218" s="74">
        <f t="shared" si="18"/>
        <v>16.473974999999999</v>
      </c>
      <c r="K218">
        <f>VLOOKUP(C218,'RAW DATA 2023'!E:BO,12,0)</f>
        <v>0.5</v>
      </c>
      <c r="L218" s="268">
        <f t="shared" si="19"/>
        <v>8.2369874999999997</v>
      </c>
      <c r="M218"/>
    </row>
    <row r="219" spans="1:13">
      <c r="A219" s="64" t="str">
        <f>'RAW DATA 2023'!B212</f>
        <v>Roiphet1</v>
      </c>
      <c r="B219" s="64" t="str">
        <f>'RAW DATA 2023'!D212</f>
        <v>C5-I09-0065</v>
      </c>
      <c r="C219" s="63" t="str">
        <f t="shared" si="15"/>
        <v>Roiphet1C5-I09-0065</v>
      </c>
      <c r="D219" s="63">
        <f>VLOOKUP(C219,'RAW DATA 2023'!E:BP,63,0)</f>
        <v>10</v>
      </c>
      <c r="E219" s="63" t="str">
        <f t="shared" si="16"/>
        <v>Roiphet110</v>
      </c>
      <c r="F219" s="79">
        <f>ROUND(VLOOKUP(C219,'RAW DATA 2023'!E:BO,23,0),0)</f>
        <v>34</v>
      </c>
      <c r="G219" s="79">
        <f>VLOOKUP(C219,'RAW DATA 2023'!E:BO,24,0)</f>
        <v>45.615600000000001</v>
      </c>
      <c r="H219" s="79">
        <f>IFERROR(VLOOKUP(F219,STD!B:G,2,FALSE),"")</f>
        <v>80</v>
      </c>
      <c r="I219" s="100">
        <f t="shared" si="17"/>
        <v>0.57019500000000001</v>
      </c>
      <c r="J219" s="74">
        <f t="shared" si="18"/>
        <v>2.1058500000000002</v>
      </c>
      <c r="K219">
        <f>VLOOKUP(C219,'RAW DATA 2023'!E:BO,12,0)</f>
        <v>0.25</v>
      </c>
      <c r="L219" s="268">
        <f t="shared" si="19"/>
        <v>0.52646250000000006</v>
      </c>
      <c r="M219"/>
    </row>
    <row r="220" spans="1:13">
      <c r="A220" s="64" t="str">
        <f>'RAW DATA 2023'!B213</f>
        <v>Roiphet1</v>
      </c>
      <c r="B220" s="64" t="str">
        <f>'RAW DATA 2023'!D213</f>
        <v>C6-G12-0060</v>
      </c>
      <c r="C220" s="63" t="str">
        <f t="shared" si="15"/>
        <v>Roiphet1C6-G12-0060</v>
      </c>
      <c r="D220" s="63">
        <f>VLOOKUP(C220,'RAW DATA 2023'!E:BP,63,0)</f>
        <v>6</v>
      </c>
      <c r="E220" s="63" t="str">
        <f t="shared" si="16"/>
        <v>Roiphet16</v>
      </c>
      <c r="F220" s="79">
        <f>ROUND(VLOOKUP(C220,'RAW DATA 2023'!E:BO,23,0),0)</f>
        <v>35</v>
      </c>
      <c r="G220" s="79">
        <f>VLOOKUP(C220,'RAW DATA 2023'!E:BO,24,0)</f>
        <v>56.509600000000006</v>
      </c>
      <c r="H220" s="79">
        <f>IFERROR(VLOOKUP(F220,STD!B:G,2,FALSE),"")</f>
        <v>80</v>
      </c>
      <c r="I220" s="100">
        <f t="shared" si="17"/>
        <v>0.70637000000000005</v>
      </c>
      <c r="J220" s="74">
        <f t="shared" si="18"/>
        <v>6.1911000000000014</v>
      </c>
      <c r="K220">
        <f>VLOOKUP(C220,'RAW DATA 2023'!E:BO,12,0)</f>
        <v>0.5</v>
      </c>
      <c r="L220" s="268">
        <f t="shared" si="19"/>
        <v>3.0955500000000007</v>
      </c>
      <c r="M220"/>
    </row>
    <row r="221" spans="1:13">
      <c r="A221" s="64" t="str">
        <f>'RAW DATA 2023'!B214</f>
        <v>Roiphet1</v>
      </c>
      <c r="B221" s="64" t="str">
        <f>'RAW DATA 2023'!D214</f>
        <v>D5-G10-0070</v>
      </c>
      <c r="C221" s="63" t="str">
        <f t="shared" si="15"/>
        <v>Roiphet1D5-G10-0070</v>
      </c>
      <c r="D221" s="63">
        <f>VLOOKUP(C221,'RAW DATA 2023'!E:BP,63,0)</f>
        <v>10</v>
      </c>
      <c r="E221" s="63" t="str">
        <f t="shared" si="16"/>
        <v>Roiphet110</v>
      </c>
      <c r="F221" s="79">
        <f>ROUND(VLOOKUP(C221,'RAW DATA 2023'!E:BO,23,0),0)</f>
        <v>36</v>
      </c>
      <c r="G221" s="79">
        <f>VLOOKUP(C221,'RAW DATA 2023'!E:BO,24,0)</f>
        <v>75.18780000000001</v>
      </c>
      <c r="H221" s="79">
        <f>IFERROR(VLOOKUP(F221,STD!B:G,2,FALSE),"")</f>
        <v>81</v>
      </c>
      <c r="I221" s="100">
        <f t="shared" si="17"/>
        <v>0.92824444444444454</v>
      </c>
      <c r="J221" s="74">
        <f t="shared" si="18"/>
        <v>12.847333333333337</v>
      </c>
      <c r="K221">
        <f>VLOOKUP(C221,'RAW DATA 2023'!E:BO,12,0)</f>
        <v>0.5</v>
      </c>
      <c r="L221" s="268">
        <f t="shared" si="19"/>
        <v>6.4236666666666684</v>
      </c>
      <c r="M221"/>
    </row>
    <row r="222" spans="1:13">
      <c r="A222" s="64" t="str">
        <f>'RAW DATA 2023'!B215</f>
        <v>Roiphet1</v>
      </c>
      <c r="B222" s="64" t="str">
        <f>'RAW DATA 2023'!D215</f>
        <v>C2-I04-0066</v>
      </c>
      <c r="C222" s="63" t="str">
        <f t="shared" si="15"/>
        <v>Roiphet1C2-I04-0066</v>
      </c>
      <c r="D222" s="63">
        <f>VLOOKUP(C222,'RAW DATA 2023'!E:BP,63,0)</f>
        <v>3</v>
      </c>
      <c r="E222" s="63" t="str">
        <f t="shared" si="16"/>
        <v>Roiphet13</v>
      </c>
      <c r="F222" s="79">
        <f>ROUND(VLOOKUP(C222,'RAW DATA 2023'!E:BO,23,0),0)</f>
        <v>33</v>
      </c>
      <c r="G222" s="79">
        <f>VLOOKUP(C222,'RAW DATA 2023'!E:BO,24,0)</f>
        <v>70.462275449101796</v>
      </c>
      <c r="H222" s="79">
        <f>IFERROR(VLOOKUP(F222,STD!B:G,2,FALSE),"")</f>
        <v>79</v>
      </c>
      <c r="I222" s="100">
        <f t="shared" si="17"/>
        <v>0.89192753733040253</v>
      </c>
      <c r="J222" s="74">
        <f t="shared" si="18"/>
        <v>11.757826119912076</v>
      </c>
      <c r="K222">
        <f>VLOOKUP(C222,'RAW DATA 2023'!E:BO,12,0)</f>
        <v>0.33400000000000002</v>
      </c>
      <c r="L222" s="268">
        <f t="shared" si="19"/>
        <v>3.9271139240506336</v>
      </c>
      <c r="M222"/>
    </row>
    <row r="223" spans="1:13">
      <c r="A223" s="64" t="str">
        <f>'RAW DATA 2023'!B216</f>
        <v>Roiphet1</v>
      </c>
      <c r="B223" s="64" t="str">
        <f>'RAW DATA 2023'!D216</f>
        <v>C5-G10-0065</v>
      </c>
      <c r="C223" s="63" t="str">
        <f t="shared" si="15"/>
        <v>Roiphet1C5-G10-0065</v>
      </c>
      <c r="D223" s="63">
        <f>VLOOKUP(C223,'RAW DATA 2023'!E:BP,63,0)</f>
        <v>10</v>
      </c>
      <c r="E223" s="63" t="str">
        <f t="shared" si="16"/>
        <v>Roiphet110</v>
      </c>
      <c r="F223" s="79">
        <f>ROUND(VLOOKUP(C223,'RAW DATA 2023'!E:BO,23,0),0)</f>
        <v>43</v>
      </c>
      <c r="G223" s="79">
        <f>VLOOKUP(C223,'RAW DATA 2023'!E:BO,24,0)</f>
        <v>56.010181818181813</v>
      </c>
      <c r="H223" s="79">
        <f>IFERROR(VLOOKUP(F223,STD!B:G,2,FALSE),"")</f>
        <v>83</v>
      </c>
      <c r="I223" s="100">
        <f t="shared" si="17"/>
        <v>0.67482146768893747</v>
      </c>
      <c r="J223" s="74">
        <f t="shared" si="18"/>
        <v>5.2446440306681241</v>
      </c>
      <c r="K223">
        <f>VLOOKUP(C223,'RAW DATA 2023'!E:BO,12,0)</f>
        <v>0.55000000000000004</v>
      </c>
      <c r="L223" s="268">
        <f t="shared" si="19"/>
        <v>2.8845542168674685</v>
      </c>
      <c r="M223"/>
    </row>
    <row r="224" spans="1:13">
      <c r="A224" s="64" t="str">
        <f>'RAW DATA 2023'!B217</f>
        <v>Roiphet1</v>
      </c>
      <c r="B224" s="64" t="str">
        <f>'RAW DATA 2023'!D217</f>
        <v>C5-G09-0058</v>
      </c>
      <c r="C224" s="63" t="str">
        <f t="shared" si="15"/>
        <v>Roiphet1C5-G09-0058</v>
      </c>
      <c r="D224" s="63">
        <f>VLOOKUP(C224,'RAW DATA 2023'!E:BP,63,0)</f>
        <v>10</v>
      </c>
      <c r="E224" s="63" t="str">
        <f t="shared" si="16"/>
        <v>Roiphet110</v>
      </c>
      <c r="F224" s="79">
        <f>ROUND(VLOOKUP(C224,'RAW DATA 2023'!E:BO,23,0),0)</f>
        <v>35</v>
      </c>
      <c r="G224" s="79">
        <f>VLOOKUP(C224,'RAW DATA 2023'!E:BO,24,0)</f>
        <v>53.264181818181825</v>
      </c>
      <c r="H224" s="79">
        <f>IFERROR(VLOOKUP(F224,STD!B:G,2,FALSE),"")</f>
        <v>80</v>
      </c>
      <c r="I224" s="100">
        <f t="shared" si="17"/>
        <v>0.66580227272727277</v>
      </c>
      <c r="J224" s="74">
        <f t="shared" si="18"/>
        <v>4.9740681818181827</v>
      </c>
      <c r="K224">
        <f>VLOOKUP(C224,'RAW DATA 2023'!E:BO,12,0)</f>
        <v>0.55000000000000004</v>
      </c>
      <c r="L224" s="268">
        <f t="shared" si="19"/>
        <v>2.7357375000000008</v>
      </c>
      <c r="M224"/>
    </row>
    <row r="225" spans="1:13">
      <c r="A225" s="64" t="str">
        <f>'RAW DATA 2023'!B218</f>
        <v>Roiphet1</v>
      </c>
      <c r="B225" s="64" t="str">
        <f>'RAW DATA 2023'!D218</f>
        <v>C5-I10-0066</v>
      </c>
      <c r="C225" s="63" t="str">
        <f t="shared" si="15"/>
        <v>Roiphet1C5-I10-0066</v>
      </c>
      <c r="D225" s="63">
        <f>VLOOKUP(C225,'RAW DATA 2023'!E:BP,63,0)</f>
        <v>10</v>
      </c>
      <c r="E225" s="63" t="str">
        <f t="shared" si="16"/>
        <v>Roiphet110</v>
      </c>
      <c r="F225" s="79">
        <f>ROUND(VLOOKUP(C225,'RAW DATA 2023'!E:BO,23,0),0)</f>
        <v>33</v>
      </c>
      <c r="G225" s="79">
        <f>VLOOKUP(C225,'RAW DATA 2023'!E:BO,24,0)</f>
        <v>58.2592</v>
      </c>
      <c r="H225" s="79">
        <f>IFERROR(VLOOKUP(F225,STD!B:G,2,FALSE),"")</f>
        <v>79</v>
      </c>
      <c r="I225" s="100">
        <f t="shared" si="17"/>
        <v>0.73745822784810122</v>
      </c>
      <c r="J225" s="74">
        <f t="shared" si="18"/>
        <v>7.1237468354430362</v>
      </c>
      <c r="K225">
        <f>VLOOKUP(C225,'RAW DATA 2023'!E:BO,12,0)</f>
        <v>0.25</v>
      </c>
      <c r="L225" s="268">
        <f t="shared" si="19"/>
        <v>1.7809367088607591</v>
      </c>
      <c r="M225"/>
    </row>
    <row r="226" spans="1:13">
      <c r="A226" s="64" t="str">
        <f>'RAW DATA 2023'!B219</f>
        <v>Roiphet1</v>
      </c>
      <c r="B226" s="64" t="str">
        <f>'RAW DATA 2023'!D219</f>
        <v>D2-G04-0080</v>
      </c>
      <c r="C226" s="63" t="str">
        <f t="shared" si="15"/>
        <v>Roiphet1D2-G04-0080</v>
      </c>
      <c r="D226" s="63">
        <f>VLOOKUP(C226,'RAW DATA 2023'!E:BP,63,0)</f>
        <v>9</v>
      </c>
      <c r="E226" s="63" t="str">
        <f t="shared" si="16"/>
        <v>Roiphet19</v>
      </c>
      <c r="F226" s="79">
        <f>ROUND(VLOOKUP(C226,'RAW DATA 2023'!E:BO,23,0),0)</f>
        <v>35</v>
      </c>
      <c r="G226" s="79">
        <f>VLOOKUP(C226,'RAW DATA 2023'!E:BO,24,0)</f>
        <v>88.653800000000004</v>
      </c>
      <c r="H226" s="79">
        <f>IFERROR(VLOOKUP(F226,STD!B:G,2,FALSE),"")</f>
        <v>80</v>
      </c>
      <c r="I226" s="100">
        <f t="shared" si="17"/>
        <v>1.1081725</v>
      </c>
      <c r="J226" s="74">
        <f t="shared" si="18"/>
        <v>18.245175</v>
      </c>
      <c r="K226">
        <f>VLOOKUP(C226,'RAW DATA 2023'!E:BO,12,0)</f>
        <v>0.5</v>
      </c>
      <c r="L226" s="268">
        <f t="shared" si="19"/>
        <v>9.1225874999999998</v>
      </c>
      <c r="M226"/>
    </row>
    <row r="227" spans="1:13">
      <c r="A227" s="64" t="str">
        <f>'RAW DATA 2023'!B220</f>
        <v>Roiphet1</v>
      </c>
      <c r="B227" s="64" t="str">
        <f>'RAW DATA 2023'!D220</f>
        <v>C4-G08-0060</v>
      </c>
      <c r="C227" s="63" t="str">
        <f t="shared" si="15"/>
        <v>Roiphet1C4-G08-0060</v>
      </c>
      <c r="D227" s="63">
        <f>VLOOKUP(C227,'RAW DATA 2023'!E:BP,63,0)</f>
        <v>1</v>
      </c>
      <c r="E227" s="63" t="str">
        <f t="shared" si="16"/>
        <v>Roiphet11</v>
      </c>
      <c r="F227" s="79">
        <f>ROUND(VLOOKUP(C227,'RAW DATA 2023'!E:BO,23,0),0)</f>
        <v>38</v>
      </c>
      <c r="G227" s="79">
        <f>VLOOKUP(C227,'RAW DATA 2023'!E:BO,24,0)</f>
        <v>68.447333333333333</v>
      </c>
      <c r="H227" s="79">
        <f>IFERROR(VLOOKUP(F227,STD!B:G,2,FALSE),"")</f>
        <v>81</v>
      </c>
      <c r="I227" s="100">
        <f t="shared" si="17"/>
        <v>0.84502880658436208</v>
      </c>
      <c r="J227" s="74">
        <f t="shared" si="18"/>
        <v>10.350864197530862</v>
      </c>
      <c r="K227">
        <f>VLOOKUP(C227,'RAW DATA 2023'!E:BO,12,0)</f>
        <v>0.45</v>
      </c>
      <c r="L227" s="268">
        <f t="shared" si="19"/>
        <v>4.6578888888888885</v>
      </c>
      <c r="M227"/>
    </row>
    <row r="228" spans="1:13">
      <c r="A228" s="64" t="str">
        <f>'RAW DATA 2023'!B221</f>
        <v>Roiphet1</v>
      </c>
      <c r="B228" s="64" t="str">
        <f>'RAW DATA 2023'!D221</f>
        <v>D5-I10-0075</v>
      </c>
      <c r="C228" s="63" t="str">
        <f t="shared" si="15"/>
        <v>Roiphet1D5-I10-0075</v>
      </c>
      <c r="D228" s="63">
        <f>VLOOKUP(C228,'RAW DATA 2023'!E:BP,63,0)</f>
        <v>10</v>
      </c>
      <c r="E228" s="63" t="str">
        <f t="shared" si="16"/>
        <v>Roiphet110</v>
      </c>
      <c r="F228" s="79">
        <f>ROUND(VLOOKUP(C228,'RAW DATA 2023'!E:BO,23,0),0)</f>
        <v>36</v>
      </c>
      <c r="G228" s="79">
        <f>VLOOKUP(C228,'RAW DATA 2023'!E:BO,24,0)</f>
        <v>72.438000000000002</v>
      </c>
      <c r="H228" s="79">
        <f>IFERROR(VLOOKUP(F228,STD!B:G,2,FALSE),"")</f>
        <v>81</v>
      </c>
      <c r="I228" s="100">
        <f t="shared" si="17"/>
        <v>0.89429629629629637</v>
      </c>
      <c r="J228" s="74">
        <f t="shared" si="18"/>
        <v>11.828888888888891</v>
      </c>
      <c r="K228">
        <f>VLOOKUP(C228,'RAW DATA 2023'!E:BO,12,0)</f>
        <v>0.25</v>
      </c>
      <c r="L228" s="268">
        <f t="shared" si="19"/>
        <v>2.9572222222222226</v>
      </c>
      <c r="M228"/>
    </row>
    <row r="229" spans="1:13">
      <c r="A229" s="64" t="str">
        <f>'RAW DATA 2023'!B222</f>
        <v>Roiphet1</v>
      </c>
      <c r="B229" s="64" t="str">
        <f>'RAW DATA 2023'!D222</f>
        <v>C2-I03-0058</v>
      </c>
      <c r="C229" s="63" t="str">
        <f t="shared" si="15"/>
        <v>Roiphet1C2-I03-0058</v>
      </c>
      <c r="D229" s="63">
        <f>VLOOKUP(C229,'RAW DATA 2023'!E:BP,63,0)</f>
        <v>3</v>
      </c>
      <c r="E229" s="63" t="str">
        <f t="shared" si="16"/>
        <v>Roiphet13</v>
      </c>
      <c r="F229" s="79">
        <f>ROUND(VLOOKUP(C229,'RAW DATA 2023'!E:BO,23,0),0)</f>
        <v>34</v>
      </c>
      <c r="G229" s="79">
        <f>VLOOKUP(C229,'RAW DATA 2023'!E:BO,24,0)</f>
        <v>67.999401197604797</v>
      </c>
      <c r="H229" s="79">
        <f>IFERROR(VLOOKUP(F229,STD!B:G,2,FALSE),"")</f>
        <v>80</v>
      </c>
      <c r="I229" s="100">
        <f t="shared" si="17"/>
        <v>0.84999251497006001</v>
      </c>
      <c r="J229" s="74">
        <f t="shared" si="18"/>
        <v>10.499775449101801</v>
      </c>
      <c r="K229">
        <f>VLOOKUP(C229,'RAW DATA 2023'!E:BO,12,0)</f>
        <v>0.33400000000000002</v>
      </c>
      <c r="L229" s="268">
        <f t="shared" si="19"/>
        <v>3.5069250000000016</v>
      </c>
      <c r="M229"/>
    </row>
    <row r="230" spans="1:13">
      <c r="A230" s="64" t="str">
        <f>'RAW DATA 2023'!B223</f>
        <v>Roiphet1</v>
      </c>
      <c r="B230" s="64" t="str">
        <f>'RAW DATA 2023'!D223</f>
        <v>D5-I09-0083</v>
      </c>
      <c r="C230" s="63" t="str">
        <f t="shared" si="15"/>
        <v>Roiphet1D5-I09-0083</v>
      </c>
      <c r="D230" s="63">
        <f>VLOOKUP(C230,'RAW DATA 2023'!E:BP,63,0)</f>
        <v>10</v>
      </c>
      <c r="E230" s="63" t="str">
        <f t="shared" si="16"/>
        <v>Roiphet110</v>
      </c>
      <c r="F230" s="79">
        <f>ROUND(VLOOKUP(C230,'RAW DATA 2023'!E:BO,23,0),0)</f>
        <v>38</v>
      </c>
      <c r="G230" s="79">
        <f>VLOOKUP(C230,'RAW DATA 2023'!E:BO,24,0)</f>
        <v>79.435199999999995</v>
      </c>
      <c r="H230" s="79">
        <f>IFERROR(VLOOKUP(F230,STD!B:G,2,FALSE),"")</f>
        <v>81</v>
      </c>
      <c r="I230" s="100">
        <f t="shared" si="17"/>
        <v>0.98068148148148138</v>
      </c>
      <c r="J230" s="74">
        <f t="shared" si="18"/>
        <v>14.420444444444442</v>
      </c>
      <c r="K230">
        <f>VLOOKUP(C230,'RAW DATA 2023'!E:BO,12,0)</f>
        <v>0.25</v>
      </c>
      <c r="L230" s="268">
        <f t="shared" si="19"/>
        <v>3.6051111111111105</v>
      </c>
      <c r="M230"/>
    </row>
    <row r="231" spans="1:13">
      <c r="A231" s="64" t="str">
        <f>'RAW DATA 2023'!B224</f>
        <v>Roiphet1</v>
      </c>
      <c r="B231" s="64" t="str">
        <f>'RAW DATA 2023'!D224</f>
        <v>C1-G02-0073</v>
      </c>
      <c r="C231" s="63" t="str">
        <f t="shared" si="15"/>
        <v>Roiphet1C1-G02-0073</v>
      </c>
      <c r="D231" s="63">
        <f>VLOOKUP(C231,'RAW DATA 2023'!E:BP,63,0)</f>
        <v>5</v>
      </c>
      <c r="E231" s="63" t="str">
        <f t="shared" si="16"/>
        <v>Roiphet15</v>
      </c>
      <c r="F231" s="79">
        <f>ROUND(VLOOKUP(C231,'RAW DATA 2023'!E:BO,23,0),0)</f>
        <v>33</v>
      </c>
      <c r="G231" s="79">
        <f>VLOOKUP(C231,'RAW DATA 2023'!E:BO,24,0)</f>
        <v>63.547857142857147</v>
      </c>
      <c r="H231" s="79">
        <f>IFERROR(VLOOKUP(F231,STD!B:G,2,FALSE),"")</f>
        <v>79</v>
      </c>
      <c r="I231" s="100">
        <f t="shared" si="17"/>
        <v>0.80440325497287524</v>
      </c>
      <c r="J231" s="74">
        <f t="shared" si="18"/>
        <v>9.1320976491862567</v>
      </c>
      <c r="K231">
        <f>VLOOKUP(C231,'RAW DATA 2023'!E:BO,12,0)</f>
        <v>0.42</v>
      </c>
      <c r="L231" s="268">
        <f t="shared" si="19"/>
        <v>3.8354810126582275</v>
      </c>
      <c r="M231"/>
    </row>
    <row r="232" spans="1:13">
      <c r="A232" s="64" t="str">
        <f>'RAW DATA 2023'!B225</f>
        <v>Roiphet1</v>
      </c>
      <c r="B232" s="64" t="str">
        <f>'RAW DATA 2023'!D225</f>
        <v>D2-I04-0092</v>
      </c>
      <c r="C232" s="63" t="str">
        <f t="shared" si="15"/>
        <v>Roiphet1D2-I04-0092</v>
      </c>
      <c r="D232" s="63">
        <f>VLOOKUP(C232,'RAW DATA 2023'!E:BP,63,0)</f>
        <v>9</v>
      </c>
      <c r="E232" s="63" t="str">
        <f t="shared" si="16"/>
        <v>Roiphet19</v>
      </c>
      <c r="F232" s="79">
        <f>ROUND(VLOOKUP(C232,'RAW DATA 2023'!E:BO,23,0),0)</f>
        <v>30</v>
      </c>
      <c r="G232" s="79">
        <f>VLOOKUP(C232,'RAW DATA 2023'!E:BO,24,0)</f>
        <v>91.845333333333329</v>
      </c>
      <c r="H232" s="79">
        <f>IFERROR(VLOOKUP(F232,STD!B:G,2,FALSE),"")</f>
        <v>76</v>
      </c>
      <c r="I232" s="100">
        <f t="shared" si="17"/>
        <v>1.2084912280701754</v>
      </c>
      <c r="J232" s="74">
        <f t="shared" si="18"/>
        <v>21.254736842105263</v>
      </c>
      <c r="K232">
        <f>VLOOKUP(C232,'RAW DATA 2023'!E:BO,12,0)</f>
        <v>0.15</v>
      </c>
      <c r="L232" s="268">
        <f t="shared" si="19"/>
        <v>3.1882105263157894</v>
      </c>
      <c r="M232"/>
    </row>
    <row r="233" spans="1:13">
      <c r="A233" s="64" t="str">
        <f>'RAW DATA 2023'!B226</f>
        <v>Roiphet1</v>
      </c>
      <c r="B233" s="64" t="str">
        <f>'RAW DATA 2023'!D226</f>
        <v>C4-G07-0056</v>
      </c>
      <c r="C233" s="63" t="str">
        <f t="shared" si="15"/>
        <v>Roiphet1C4-G07-0056</v>
      </c>
      <c r="D233" s="63">
        <f>VLOOKUP(C233,'RAW DATA 2023'!E:BP,63,0)</f>
        <v>1</v>
      </c>
      <c r="E233" s="63" t="str">
        <f t="shared" si="16"/>
        <v>Roiphet11</v>
      </c>
      <c r="F233" s="79">
        <f>ROUND(VLOOKUP(C233,'RAW DATA 2023'!E:BO,23,0),0)</f>
        <v>39</v>
      </c>
      <c r="G233" s="79">
        <f>VLOOKUP(C233,'RAW DATA 2023'!E:BO,24,0)</f>
        <v>65.412222222222226</v>
      </c>
      <c r="H233" s="79">
        <f>IFERROR(VLOOKUP(F233,STD!B:G,2,FALSE),"")</f>
        <v>82</v>
      </c>
      <c r="I233" s="100">
        <f t="shared" si="17"/>
        <v>0.79771002710027106</v>
      </c>
      <c r="J233" s="74">
        <f t="shared" si="18"/>
        <v>8.9313008130081322</v>
      </c>
      <c r="K233">
        <f>VLOOKUP(C233,'RAW DATA 2023'!E:BO,12,0)</f>
        <v>0.45</v>
      </c>
      <c r="L233" s="268">
        <f t="shared" si="19"/>
        <v>4.0190853658536598</v>
      </c>
      <c r="M233"/>
    </row>
    <row r="234" spans="1:13">
      <c r="A234" s="64" t="str">
        <f>'RAW DATA 2023'!B227</f>
        <v>Roiphet1</v>
      </c>
      <c r="B234" s="64" t="str">
        <f>'RAW DATA 2023'!D227</f>
        <v>D3-G05-0081</v>
      </c>
      <c r="C234" s="63" t="str">
        <f t="shared" si="15"/>
        <v>Roiphet1D3-G05-0081</v>
      </c>
      <c r="D234" s="63">
        <f>VLOOKUP(C234,'RAW DATA 2023'!E:BP,63,0)</f>
        <v>10</v>
      </c>
      <c r="E234" s="63" t="str">
        <f t="shared" si="16"/>
        <v>Roiphet110</v>
      </c>
      <c r="F234" s="79">
        <f>ROUND(VLOOKUP(C234,'RAW DATA 2023'!E:BO,23,0),0)</f>
        <v>39</v>
      </c>
      <c r="G234" s="79">
        <f>VLOOKUP(C234,'RAW DATA 2023'!E:BO,24,0)</f>
        <v>62.261818181818185</v>
      </c>
      <c r="H234" s="79">
        <f>IFERROR(VLOOKUP(F234,STD!B:G,2,FALSE),"")</f>
        <v>82</v>
      </c>
      <c r="I234" s="100">
        <f t="shared" si="17"/>
        <v>0.75929046563192903</v>
      </c>
      <c r="J234" s="74">
        <f t="shared" si="18"/>
        <v>7.778713968957871</v>
      </c>
      <c r="K234">
        <f>VLOOKUP(C234,'RAW DATA 2023'!E:BO,12,0)</f>
        <v>0.55000000000000004</v>
      </c>
      <c r="L234" s="268">
        <f t="shared" si="19"/>
        <v>4.2782926829268293</v>
      </c>
      <c r="M234"/>
    </row>
    <row r="235" spans="1:13">
      <c r="A235" s="64" t="str">
        <f>'RAW DATA 2023'!B228</f>
        <v>Roiphet1</v>
      </c>
      <c r="B235" s="64" t="str">
        <f>'RAW DATA 2023'!D228</f>
        <v>C2-G03-0065</v>
      </c>
      <c r="C235" s="63" t="str">
        <f t="shared" si="15"/>
        <v>Roiphet1C2-G03-0065</v>
      </c>
      <c r="D235" s="63">
        <f>VLOOKUP(C235,'RAW DATA 2023'!E:BP,63,0)</f>
        <v>4</v>
      </c>
      <c r="E235" s="63" t="str">
        <f t="shared" si="16"/>
        <v>Roiphet14</v>
      </c>
      <c r="F235" s="79">
        <f>ROUND(VLOOKUP(C235,'RAW DATA 2023'!E:BO,23,0),0)</f>
        <v>37</v>
      </c>
      <c r="G235" s="79">
        <f>VLOOKUP(C235,'RAW DATA 2023'!E:BO,24,0)</f>
        <v>62.35269461077845</v>
      </c>
      <c r="H235" s="79">
        <f>IFERROR(VLOOKUP(F235,STD!B:G,2,FALSE),"")</f>
        <v>81</v>
      </c>
      <c r="I235" s="100">
        <f t="shared" si="17"/>
        <v>0.76978635321948707</v>
      </c>
      <c r="J235" s="74">
        <f t="shared" si="18"/>
        <v>8.0935905965846118</v>
      </c>
      <c r="K235">
        <f>VLOOKUP(C235,'RAW DATA 2023'!E:BO,12,0)</f>
        <v>0.66800000000000004</v>
      </c>
      <c r="L235" s="268">
        <f t="shared" si="19"/>
        <v>5.4065185185185207</v>
      </c>
      <c r="M235"/>
    </row>
    <row r="236" spans="1:13">
      <c r="A236" s="64" t="str">
        <f>'RAW DATA 2023'!B229</f>
        <v>Roiphet1</v>
      </c>
      <c r="B236" s="64" t="str">
        <f>'RAW DATA 2023'!D229</f>
        <v>C1-I01-0079</v>
      </c>
      <c r="C236" s="63" t="str">
        <f t="shared" si="15"/>
        <v>Roiphet1C1-I01-0079</v>
      </c>
      <c r="D236" s="63">
        <f>VLOOKUP(C236,'RAW DATA 2023'!E:BP,63,0)</f>
        <v>5</v>
      </c>
      <c r="E236" s="63" t="str">
        <f t="shared" si="16"/>
        <v>Roiphet15</v>
      </c>
      <c r="F236" s="79">
        <f>ROUND(VLOOKUP(C236,'RAW DATA 2023'!E:BO,23,0),0)</f>
        <v>31</v>
      </c>
      <c r="G236" s="79">
        <f>VLOOKUP(C236,'RAW DATA 2023'!E:BO,24,0)</f>
        <v>65.295999999999992</v>
      </c>
      <c r="H236" s="79">
        <f>IFERROR(VLOOKUP(F236,STD!B:G,2,FALSE),"")</f>
        <v>76</v>
      </c>
      <c r="I236" s="100">
        <f t="shared" si="17"/>
        <v>0.85915789473684201</v>
      </c>
      <c r="J236" s="74">
        <f t="shared" si="18"/>
        <v>10.774736842105261</v>
      </c>
      <c r="K236">
        <f>VLOOKUP(C236,'RAW DATA 2023'!E:BO,12,0)</f>
        <v>0.22500000000000001</v>
      </c>
      <c r="L236" s="268">
        <f t="shared" si="19"/>
        <v>2.4243157894736838</v>
      </c>
      <c r="M236"/>
    </row>
    <row r="237" spans="1:13">
      <c r="A237" s="64" t="str">
        <f>'RAW DATA 2023'!B230</f>
        <v>Roiphet1</v>
      </c>
      <c r="B237" s="64" t="str">
        <f>'RAW DATA 2023'!D230</f>
        <v>C1-I01-0080</v>
      </c>
      <c r="C237" s="63" t="str">
        <f t="shared" si="15"/>
        <v>Roiphet1C1-I01-0080</v>
      </c>
      <c r="D237" s="63">
        <f>VLOOKUP(C237,'RAW DATA 2023'!E:BP,63,0)</f>
        <v>9</v>
      </c>
      <c r="E237" s="63" t="str">
        <f t="shared" si="16"/>
        <v>Roiphet19</v>
      </c>
      <c r="F237" s="79">
        <f>ROUND(VLOOKUP(C237,'RAW DATA 2023'!E:BO,23,0),0)</f>
        <v>32</v>
      </c>
      <c r="G237" s="79">
        <f>VLOOKUP(C237,'RAW DATA 2023'!E:BO,24,0)</f>
        <v>43.232535885167465</v>
      </c>
      <c r="H237" s="79">
        <f>IFERROR(VLOOKUP(F237,STD!B:G,2,FALSE),"")</f>
        <v>77</v>
      </c>
      <c r="I237" s="100">
        <f t="shared" si="17"/>
        <v>0.56146150500217484</v>
      </c>
      <c r="J237" s="74">
        <f t="shared" si="18"/>
        <v>1.8438451500652453</v>
      </c>
      <c r="K237">
        <f>VLOOKUP(C237,'RAW DATA 2023'!E:BO,12,0)</f>
        <v>0.26124999999999998</v>
      </c>
      <c r="L237" s="268">
        <f t="shared" si="19"/>
        <v>0.48170454545454527</v>
      </c>
      <c r="M237"/>
    </row>
    <row r="238" spans="1:13">
      <c r="A238" s="64" t="str">
        <f>'RAW DATA 2023'!B231</f>
        <v>Roiphet1</v>
      </c>
      <c r="B238" s="64" t="str">
        <f>'RAW DATA 2023'!D231</f>
        <v>C1-G01-0073</v>
      </c>
      <c r="C238" s="63" t="str">
        <f t="shared" si="15"/>
        <v>Roiphet1C1-G01-0073</v>
      </c>
      <c r="D238" s="63">
        <f>VLOOKUP(C238,'RAW DATA 2023'!E:BP,63,0)</f>
        <v>9</v>
      </c>
      <c r="E238" s="63" t="str">
        <f t="shared" si="16"/>
        <v>Roiphet19</v>
      </c>
      <c r="F238" s="79">
        <f>ROUND(VLOOKUP(C238,'RAW DATA 2023'!E:BO,23,0),0)</f>
        <v>35</v>
      </c>
      <c r="G238" s="79">
        <f>VLOOKUP(C238,'RAW DATA 2023'!E:BO,24,0)</f>
        <v>42.90829787234042</v>
      </c>
      <c r="H238" s="79">
        <f>IFERROR(VLOOKUP(F238,STD!B:G,2,FALSE),"")</f>
        <v>80</v>
      </c>
      <c r="I238" s="100">
        <f t="shared" si="17"/>
        <v>0.53635372340425524</v>
      </c>
      <c r="J238" s="74">
        <f t="shared" si="18"/>
        <v>1.0906117021276573</v>
      </c>
      <c r="K238">
        <f>VLOOKUP(C238,'RAW DATA 2023'!E:BO,12,0)</f>
        <v>0.47</v>
      </c>
      <c r="L238" s="268">
        <f t="shared" si="19"/>
        <v>0.51258749999999897</v>
      </c>
      <c r="M238"/>
    </row>
    <row r="239" spans="1:13">
      <c r="A239" s="64" t="str">
        <f>'RAW DATA 2023'!B232</f>
        <v>Roiphet1</v>
      </c>
      <c r="B239" s="64" t="str">
        <f>'RAW DATA 2023'!D232</f>
        <v>C1-G01-0072</v>
      </c>
      <c r="C239" s="63" t="str">
        <f t="shared" si="15"/>
        <v>Roiphet1C1-G01-0072</v>
      </c>
      <c r="D239" s="63">
        <f>VLOOKUP(C239,'RAW DATA 2023'!E:BP,63,0)</f>
        <v>5</v>
      </c>
      <c r="E239" s="63" t="str">
        <f t="shared" si="16"/>
        <v>Roiphet15</v>
      </c>
      <c r="F239" s="79">
        <f>ROUND(VLOOKUP(C239,'RAW DATA 2023'!E:BO,23,0),0)</f>
        <v>30</v>
      </c>
      <c r="G239" s="79">
        <f>VLOOKUP(C239,'RAW DATA 2023'!E:BO,24,0)</f>
        <v>51.422380952380955</v>
      </c>
      <c r="H239" s="79">
        <f>IFERROR(VLOOKUP(F239,STD!B:G,2,FALSE),"")</f>
        <v>76</v>
      </c>
      <c r="I239" s="100">
        <f t="shared" si="17"/>
        <v>0.67661027568922305</v>
      </c>
      <c r="J239" s="74">
        <f t="shared" si="18"/>
        <v>5.2983082706766913</v>
      </c>
      <c r="K239">
        <f>VLOOKUP(C239,'RAW DATA 2023'!E:BO,12,0)</f>
        <v>0.42</v>
      </c>
      <c r="L239" s="268">
        <f t="shared" si="19"/>
        <v>2.2252894736842102</v>
      </c>
      <c r="M239"/>
    </row>
    <row r="240" spans="1:13">
      <c r="A240" s="64" t="str">
        <f>'RAW DATA 2023'!B233</f>
        <v>Roiphet1</v>
      </c>
      <c r="B240" s="64" t="str">
        <f>'RAW DATA 2023'!D233</f>
        <v>C6-G12-0059</v>
      </c>
      <c r="C240" s="63" t="str">
        <f t="shared" si="15"/>
        <v>Roiphet1C6-G12-0059</v>
      </c>
      <c r="D240" s="63">
        <f>VLOOKUP(C240,'RAW DATA 2023'!E:BP,63,0)</f>
        <v>3</v>
      </c>
      <c r="E240" s="63" t="str">
        <f t="shared" si="16"/>
        <v>Roiphet13</v>
      </c>
      <c r="F240" s="79">
        <f>ROUND(VLOOKUP(C240,'RAW DATA 2023'!E:BO,23,0),0)</f>
        <v>31</v>
      </c>
      <c r="G240" s="79">
        <f>VLOOKUP(C240,'RAW DATA 2023'!E:BO,24,0)</f>
        <v>78.442444444444448</v>
      </c>
      <c r="H240" s="79">
        <f>IFERROR(VLOOKUP(F240,STD!B:G,2,FALSE),"")</f>
        <v>76</v>
      </c>
      <c r="I240" s="100">
        <f t="shared" si="17"/>
        <v>1.0321374269005847</v>
      </c>
      <c r="J240" s="74">
        <f t="shared" si="18"/>
        <v>15.964122807017542</v>
      </c>
      <c r="K240">
        <f>VLOOKUP(C240,'RAW DATA 2023'!E:BO,12,0)</f>
        <v>0.45</v>
      </c>
      <c r="L240" s="268">
        <f t="shared" si="19"/>
        <v>7.183855263157894</v>
      </c>
      <c r="M240"/>
    </row>
    <row r="241" spans="1:13">
      <c r="A241" s="64" t="str">
        <f>'RAW DATA 2023'!B234</f>
        <v>Roiphet1</v>
      </c>
      <c r="B241" s="64" t="str">
        <f>'RAW DATA 2023'!D234</f>
        <v>C1-I02-0071</v>
      </c>
      <c r="C241" s="63" t="str">
        <f t="shared" si="15"/>
        <v>Roiphet1C1-I02-0071</v>
      </c>
      <c r="D241" s="63">
        <f>VLOOKUP(C241,'RAW DATA 2023'!E:BP,63,0)</f>
        <v>5</v>
      </c>
      <c r="E241" s="63" t="str">
        <f t="shared" si="16"/>
        <v>Roiphet15</v>
      </c>
      <c r="F241" s="79">
        <f>ROUND(VLOOKUP(C241,'RAW DATA 2023'!E:BO,23,0),0)</f>
        <v>32</v>
      </c>
      <c r="G241" s="79">
        <f>VLOOKUP(C241,'RAW DATA 2023'!E:BO,24,0)</f>
        <v>66.133333333333326</v>
      </c>
      <c r="H241" s="79">
        <f>IFERROR(VLOOKUP(F241,STD!B:G,2,FALSE),"")</f>
        <v>77</v>
      </c>
      <c r="I241" s="100">
        <f t="shared" si="17"/>
        <v>0.85887445887445879</v>
      </c>
      <c r="J241" s="74">
        <f t="shared" si="18"/>
        <v>10.766233766233764</v>
      </c>
      <c r="K241">
        <f>VLOOKUP(C241,'RAW DATA 2023'!E:BO,12,0)</f>
        <v>0.22500000000000001</v>
      </c>
      <c r="L241" s="268">
        <f t="shared" si="19"/>
        <v>2.4224025974025971</v>
      </c>
      <c r="M241"/>
    </row>
    <row r="242" spans="1:13">
      <c r="A242" s="64" t="str">
        <f>'RAW DATA 2023'!B235</f>
        <v>Roiphet1</v>
      </c>
      <c r="B242" s="64" t="str">
        <f>'RAW DATA 2023'!D235</f>
        <v>D3-G06-0084</v>
      </c>
      <c r="C242" s="63" t="str">
        <f t="shared" si="15"/>
        <v>Roiphet1D3-G06-0084</v>
      </c>
      <c r="D242" s="63">
        <f>VLOOKUP(C242,'RAW DATA 2023'!E:BP,63,0)</f>
        <v>10</v>
      </c>
      <c r="E242" s="63" t="str">
        <f t="shared" si="16"/>
        <v>Roiphet110</v>
      </c>
      <c r="F242" s="79">
        <f>ROUND(VLOOKUP(C242,'RAW DATA 2023'!E:BO,23,0),0)</f>
        <v>38</v>
      </c>
      <c r="G242" s="79">
        <f>VLOOKUP(C242,'RAW DATA 2023'!E:BO,24,0)</f>
        <v>62.944727272727278</v>
      </c>
      <c r="H242" s="79">
        <f>IFERROR(VLOOKUP(F242,STD!B:G,2,FALSE),"")</f>
        <v>81</v>
      </c>
      <c r="I242" s="100">
        <f t="shared" si="17"/>
        <v>0.77709539842873188</v>
      </c>
      <c r="J242" s="74">
        <f t="shared" si="18"/>
        <v>8.3128619528619563</v>
      </c>
      <c r="K242">
        <f>VLOOKUP(C242,'RAW DATA 2023'!E:BO,12,0)</f>
        <v>0.55000000000000004</v>
      </c>
      <c r="L242" s="268">
        <f t="shared" si="19"/>
        <v>4.5720740740740764</v>
      </c>
      <c r="M242"/>
    </row>
    <row r="243" spans="1:13">
      <c r="A243" s="64" t="str">
        <f>'RAW DATA 2023'!B236</f>
        <v>Roiphet1</v>
      </c>
      <c r="B243" s="64" t="str">
        <f>'RAW DATA 2023'!D236</f>
        <v>C6-G11-0058</v>
      </c>
      <c r="C243" s="63" t="str">
        <f t="shared" si="15"/>
        <v>Roiphet1C6-G11-0058</v>
      </c>
      <c r="D243" s="63">
        <f>VLOOKUP(C243,'RAW DATA 2023'!E:BP,63,0)</f>
        <v>2</v>
      </c>
      <c r="E243" s="63" t="str">
        <f t="shared" si="16"/>
        <v>Roiphet12</v>
      </c>
      <c r="F243" s="79">
        <f>ROUND(VLOOKUP(C243,'RAW DATA 2023'!E:BO,23,0),0)</f>
        <v>34</v>
      </c>
      <c r="G243" s="79">
        <f>VLOOKUP(C243,'RAW DATA 2023'!E:BO,24,0)</f>
        <v>52.827333333333335</v>
      </c>
      <c r="H243" s="79">
        <f>IFERROR(VLOOKUP(F243,STD!B:G,2,FALSE),"")</f>
        <v>80</v>
      </c>
      <c r="I243" s="100">
        <f t="shared" si="17"/>
        <v>0.66034166666666672</v>
      </c>
      <c r="J243" s="74">
        <f t="shared" si="18"/>
        <v>4.8102500000000017</v>
      </c>
      <c r="K243">
        <f>VLOOKUP(C243,'RAW DATA 2023'!E:BO,12,0)</f>
        <v>0.45</v>
      </c>
      <c r="L243" s="268">
        <f t="shared" si="19"/>
        <v>2.1646125000000009</v>
      </c>
      <c r="M243"/>
    </row>
    <row r="244" spans="1:13">
      <c r="A244" s="64" t="str">
        <f>'RAW DATA 2023'!B237</f>
        <v>Roiphet1</v>
      </c>
      <c r="B244" s="64" t="str">
        <f>'RAW DATA 2023'!D237</f>
        <v>C2-G04-0063</v>
      </c>
      <c r="C244" s="63" t="str">
        <f t="shared" si="15"/>
        <v>Roiphet1C2-G04-0063</v>
      </c>
      <c r="D244" s="63">
        <f>VLOOKUP(C244,'RAW DATA 2023'!E:BP,63,0)</f>
        <v>4</v>
      </c>
      <c r="E244" s="63" t="str">
        <f t="shared" si="16"/>
        <v>Roiphet14</v>
      </c>
      <c r="F244" s="79">
        <f>ROUND(VLOOKUP(C244,'RAW DATA 2023'!E:BO,23,0),0)</f>
        <v>39</v>
      </c>
      <c r="G244" s="79">
        <f>VLOOKUP(C244,'RAW DATA 2023'!E:BO,24,0)</f>
        <v>68.562425149700601</v>
      </c>
      <c r="H244" s="79">
        <f>IFERROR(VLOOKUP(F244,STD!B:G,2,FALSE),"")</f>
        <v>82</v>
      </c>
      <c r="I244" s="100">
        <f t="shared" si="17"/>
        <v>0.83612713597195853</v>
      </c>
      <c r="J244" s="74">
        <f t="shared" si="18"/>
        <v>10.083814079158756</v>
      </c>
      <c r="K244">
        <f>VLOOKUP(C244,'RAW DATA 2023'!E:BO,12,0)</f>
        <v>0.66800000000000004</v>
      </c>
      <c r="L244" s="268">
        <f t="shared" si="19"/>
        <v>6.7359878048780493</v>
      </c>
      <c r="M244"/>
    </row>
    <row r="245" spans="1:13">
      <c r="A245" s="64" t="str">
        <f>'RAW DATA 2023'!B238</f>
        <v>Roiphet1</v>
      </c>
      <c r="B245" s="64" t="str">
        <f>'RAW DATA 2023'!D238</f>
        <v>C4-I07-0059</v>
      </c>
      <c r="C245" s="63" t="str">
        <f t="shared" si="15"/>
        <v>Roiphet1C4-I07-0059</v>
      </c>
      <c r="D245" s="63">
        <f>VLOOKUP(C245,'RAW DATA 2023'!E:BP,63,0)</f>
        <v>2</v>
      </c>
      <c r="E245" s="63" t="str">
        <f t="shared" si="16"/>
        <v>Roiphet12</v>
      </c>
      <c r="F245" s="79">
        <f>ROUND(VLOOKUP(C245,'RAW DATA 2023'!E:BO,23,0),0)</f>
        <v>36</v>
      </c>
      <c r="G245" s="79">
        <f>VLOOKUP(C245,'RAW DATA 2023'!E:BO,24,0)</f>
        <v>59.477199999999996</v>
      </c>
      <c r="H245" s="79">
        <f>IFERROR(VLOOKUP(F245,STD!B:G,2,FALSE),"")</f>
        <v>81</v>
      </c>
      <c r="I245" s="100">
        <f t="shared" si="17"/>
        <v>0.73428641975308639</v>
      </c>
      <c r="J245" s="74">
        <f t="shared" si="18"/>
        <v>7.0285925925925916</v>
      </c>
      <c r="K245">
        <f>VLOOKUP(C245,'RAW DATA 2023'!E:BO,12,0)</f>
        <v>0.25</v>
      </c>
      <c r="L245" s="268">
        <f t="shared" si="19"/>
        <v>1.7571481481481479</v>
      </c>
      <c r="M245"/>
    </row>
    <row r="246" spans="1:13">
      <c r="A246" s="64" t="str">
        <f>'RAW DATA 2023'!B239</f>
        <v>Roiphet1</v>
      </c>
      <c r="B246" s="64" t="str">
        <f>'RAW DATA 2023'!D239</f>
        <v>C3-G05-0073</v>
      </c>
      <c r="C246" s="63" t="str">
        <f t="shared" si="15"/>
        <v>Roiphet1C3-G05-0073</v>
      </c>
      <c r="D246" s="63">
        <f>VLOOKUP(C246,'RAW DATA 2023'!E:BP,63,0)</f>
        <v>3</v>
      </c>
      <c r="E246" s="63" t="str">
        <f t="shared" si="16"/>
        <v>Roiphet13</v>
      </c>
      <c r="F246" s="79">
        <f>ROUND(VLOOKUP(C246,'RAW DATA 2023'!E:BO,23,0),0)</f>
        <v>49</v>
      </c>
      <c r="G246" s="79">
        <f>VLOOKUP(C246,'RAW DATA 2023'!E:BO,24,0)</f>
        <v>77.767857142857139</v>
      </c>
      <c r="H246" s="79">
        <f>IFERROR(VLOOKUP(F246,STD!B:G,2,FALSE),"")</f>
        <v>84</v>
      </c>
      <c r="I246" s="100">
        <f t="shared" si="17"/>
        <v>0.92580782312925169</v>
      </c>
      <c r="J246" s="74">
        <f t="shared" si="18"/>
        <v>12.774234693877551</v>
      </c>
      <c r="K246">
        <f>VLOOKUP(C246,'RAW DATA 2023'!E:BO,12,0)</f>
        <v>0.42</v>
      </c>
      <c r="L246" s="268">
        <f t="shared" si="19"/>
        <v>5.3651785714285714</v>
      </c>
      <c r="M246"/>
    </row>
    <row r="247" spans="1:13">
      <c r="A247" s="64" t="str">
        <f>'RAW DATA 2023'!B240</f>
        <v>Roiphet1</v>
      </c>
      <c r="B247" s="64" t="str">
        <f>'RAW DATA 2023'!D240</f>
        <v>C3-I06-0062</v>
      </c>
      <c r="C247" s="63" t="str">
        <f t="shared" si="15"/>
        <v>Roiphet1C3-I06-0062</v>
      </c>
      <c r="D247" s="63">
        <f>VLOOKUP(C247,'RAW DATA 2023'!E:BP,63,0)</f>
        <v>4</v>
      </c>
      <c r="E247" s="63" t="str">
        <f t="shared" si="16"/>
        <v>Roiphet14</v>
      </c>
      <c r="F247" s="79">
        <f>ROUND(VLOOKUP(C247,'RAW DATA 2023'!E:BO,23,0),0)</f>
        <v>43</v>
      </c>
      <c r="G247" s="79">
        <f>VLOOKUP(C247,'RAW DATA 2023'!E:BO,24,0)</f>
        <v>80.268000000000001</v>
      </c>
      <c r="H247" s="79">
        <f>IFERROR(VLOOKUP(F247,STD!B:G,2,FALSE),"")</f>
        <v>83</v>
      </c>
      <c r="I247" s="100">
        <f t="shared" si="17"/>
        <v>0.96708433734939758</v>
      </c>
      <c r="J247" s="74">
        <f t="shared" si="18"/>
        <v>14.012530120481927</v>
      </c>
      <c r="K247">
        <f>VLOOKUP(C247,'RAW DATA 2023'!E:BO,12,0)</f>
        <v>0.22500000000000001</v>
      </c>
      <c r="L247" s="268">
        <f t="shared" si="19"/>
        <v>3.1528192771084336</v>
      </c>
      <c r="M247"/>
    </row>
    <row r="248" spans="1:13">
      <c r="A248" s="64" t="str">
        <f>'RAW DATA 2023'!B241</f>
        <v>Roiphet1</v>
      </c>
      <c r="B248" s="64" t="str">
        <f>'RAW DATA 2023'!D241</f>
        <v>C6-I12-0061</v>
      </c>
      <c r="C248" s="63" t="str">
        <f t="shared" si="15"/>
        <v>Roiphet1C6-I12-0061</v>
      </c>
      <c r="D248" s="63">
        <f>VLOOKUP(C248,'RAW DATA 2023'!E:BP,63,0)</f>
        <v>3</v>
      </c>
      <c r="E248" s="63" t="str">
        <f t="shared" si="16"/>
        <v>Roiphet13</v>
      </c>
      <c r="F248" s="79">
        <f>ROUND(VLOOKUP(C248,'RAW DATA 2023'!E:BO,23,0),0)</f>
        <v>33</v>
      </c>
      <c r="G248" s="79">
        <f>VLOOKUP(C248,'RAW DATA 2023'!E:BO,24,0)</f>
        <v>62.503600000000006</v>
      </c>
      <c r="H248" s="79">
        <f>IFERROR(VLOOKUP(F248,STD!B:G,2,FALSE),"")</f>
        <v>79</v>
      </c>
      <c r="I248" s="100">
        <f t="shared" si="17"/>
        <v>0.79118481012658237</v>
      </c>
      <c r="J248" s="74">
        <f t="shared" si="18"/>
        <v>8.7355443037974716</v>
      </c>
      <c r="K248">
        <f>VLOOKUP(C248,'RAW DATA 2023'!E:BO,12,0)</f>
        <v>0.25</v>
      </c>
      <c r="L248" s="268">
        <f t="shared" si="19"/>
        <v>2.1838860759493679</v>
      </c>
      <c r="M248"/>
    </row>
    <row r="249" spans="1:13">
      <c r="A249" s="64" t="str">
        <f>'RAW DATA 2023'!B242</f>
        <v>Roiphet1</v>
      </c>
      <c r="B249" s="64" t="str">
        <f>'RAW DATA 2023'!D242</f>
        <v>C5-G09-0057</v>
      </c>
      <c r="C249" s="63" t="str">
        <f t="shared" si="15"/>
        <v>Roiphet1C5-G09-0057</v>
      </c>
      <c r="D249" s="63">
        <f>VLOOKUP(C249,'RAW DATA 2023'!E:BP,63,0)</f>
        <v>5</v>
      </c>
      <c r="E249" s="63" t="str">
        <f t="shared" si="16"/>
        <v>Roiphet15</v>
      </c>
      <c r="F249" s="79">
        <f>ROUND(VLOOKUP(C249,'RAW DATA 2023'!E:BO,23,0),0)</f>
        <v>33</v>
      </c>
      <c r="G249" s="79">
        <f>VLOOKUP(C249,'RAW DATA 2023'!E:BO,24,0)</f>
        <v>73.286666666666662</v>
      </c>
      <c r="H249" s="79">
        <f>IFERROR(VLOOKUP(F249,STD!B:G,2,FALSE),"")</f>
        <v>79</v>
      </c>
      <c r="I249" s="100">
        <f t="shared" si="17"/>
        <v>0.92767932489451466</v>
      </c>
      <c r="J249" s="74">
        <f t="shared" si="18"/>
        <v>12.83037974683544</v>
      </c>
      <c r="K249">
        <f>VLOOKUP(C249,'RAW DATA 2023'!E:BO,12,0)</f>
        <v>0.42</v>
      </c>
      <c r="L249" s="268">
        <f t="shared" si="19"/>
        <v>5.3887594936708849</v>
      </c>
      <c r="M249"/>
    </row>
    <row r="250" spans="1:13">
      <c r="A250" s="64" t="str">
        <f>'RAW DATA 2023'!B243</f>
        <v>Roiphet1</v>
      </c>
      <c r="B250" s="64" t="str">
        <f>'RAW DATA 2023'!D243</f>
        <v>C5-I09-0064</v>
      </c>
      <c r="C250" s="63" t="str">
        <f t="shared" si="15"/>
        <v>Roiphet1C5-I09-0064</v>
      </c>
      <c r="D250" s="63">
        <f>VLOOKUP(C250,'RAW DATA 2023'!E:BP,63,0)</f>
        <v>5</v>
      </c>
      <c r="E250" s="63" t="str">
        <f t="shared" si="16"/>
        <v>Roiphet15</v>
      </c>
      <c r="F250" s="79">
        <f>ROUND(VLOOKUP(C250,'RAW DATA 2023'!E:BO,23,0),0)</f>
        <v>34</v>
      </c>
      <c r="G250" s="79">
        <f>VLOOKUP(C250,'RAW DATA 2023'!E:BO,24,0)</f>
        <v>73.026666666666657</v>
      </c>
      <c r="H250" s="79">
        <f>IFERROR(VLOOKUP(F250,STD!B:G,2,FALSE),"")</f>
        <v>80</v>
      </c>
      <c r="I250" s="100">
        <f t="shared" si="17"/>
        <v>0.91283333333333316</v>
      </c>
      <c r="J250" s="74">
        <f t="shared" si="18"/>
        <v>12.384999999999994</v>
      </c>
      <c r="K250">
        <f>VLOOKUP(C250,'RAW DATA 2023'!E:BO,12,0)</f>
        <v>0.22500000000000001</v>
      </c>
      <c r="L250" s="268">
        <f t="shared" si="19"/>
        <v>2.786624999999999</v>
      </c>
      <c r="M250"/>
    </row>
    <row r="251" spans="1:13">
      <c r="A251" s="64" t="str">
        <f>'RAW DATA 2023'!B244</f>
        <v>Roiphet1</v>
      </c>
      <c r="B251" s="64" t="str">
        <f>'RAW DATA 2023'!D244</f>
        <v>C1-I02-0072</v>
      </c>
      <c r="C251" s="63" t="str">
        <f t="shared" si="15"/>
        <v>Roiphet1C1-I02-0072</v>
      </c>
      <c r="D251" s="63">
        <f>VLOOKUP(C251,'RAW DATA 2023'!E:BP,63,0)</f>
        <v>9</v>
      </c>
      <c r="E251" s="63" t="str">
        <f t="shared" si="16"/>
        <v>Roiphet19</v>
      </c>
      <c r="F251" s="79">
        <f>ROUND(VLOOKUP(C251,'RAW DATA 2023'!E:BO,23,0),0)</f>
        <v>36</v>
      </c>
      <c r="G251" s="79">
        <f>VLOOKUP(C251,'RAW DATA 2023'!E:BO,24,0)</f>
        <v>60.422035928143714</v>
      </c>
      <c r="H251" s="79">
        <f>IFERROR(VLOOKUP(F251,STD!B:G,2,FALSE),"")</f>
        <v>81</v>
      </c>
      <c r="I251" s="100">
        <f t="shared" si="17"/>
        <v>0.74595106084128038</v>
      </c>
      <c r="J251" s="74">
        <f t="shared" si="18"/>
        <v>7.3785318252384116</v>
      </c>
      <c r="K251">
        <f>VLOOKUP(C251,'RAW DATA 2023'!E:BO,12,0)</f>
        <v>0.20874999999999999</v>
      </c>
      <c r="L251" s="268">
        <f t="shared" si="19"/>
        <v>1.5402685185185183</v>
      </c>
      <c r="M251"/>
    </row>
    <row r="252" spans="1:13">
      <c r="A252" s="64" t="str">
        <f>'RAW DATA 2023'!B245</f>
        <v>Roiphet1</v>
      </c>
      <c r="B252" s="64" t="str">
        <f>'RAW DATA 2023'!D245</f>
        <v>C5-G10-0064</v>
      </c>
      <c r="C252" s="63" t="str">
        <f t="shared" si="15"/>
        <v>Roiphet1C5-G10-0064</v>
      </c>
      <c r="D252" s="63">
        <f>VLOOKUP(C252,'RAW DATA 2023'!E:BP,63,0)</f>
        <v>5</v>
      </c>
      <c r="E252" s="63" t="str">
        <f t="shared" si="16"/>
        <v>Roiphet15</v>
      </c>
      <c r="F252" s="79">
        <f>ROUND(VLOOKUP(C252,'RAW DATA 2023'!E:BO,23,0),0)</f>
        <v>33</v>
      </c>
      <c r="G252" s="79">
        <f>VLOOKUP(C252,'RAW DATA 2023'!E:BO,24,0)</f>
        <v>65.59</v>
      </c>
      <c r="H252" s="79">
        <f>IFERROR(VLOOKUP(F252,STD!B:G,2,FALSE),"")</f>
        <v>79</v>
      </c>
      <c r="I252" s="100">
        <f t="shared" si="17"/>
        <v>0.83025316455696208</v>
      </c>
      <c r="J252" s="74">
        <f t="shared" si="18"/>
        <v>9.9075949367088629</v>
      </c>
      <c r="K252">
        <f>VLOOKUP(C252,'RAW DATA 2023'!E:BO,12,0)</f>
        <v>0.42</v>
      </c>
      <c r="L252" s="268">
        <f t="shared" si="19"/>
        <v>4.1611898734177224</v>
      </c>
      <c r="M252"/>
    </row>
    <row r="253" spans="1:13">
      <c r="A253" s="64" t="str">
        <f>'RAW DATA 2023'!B246</f>
        <v>Roiphet1</v>
      </c>
      <c r="B253" s="64" t="str">
        <f>'RAW DATA 2023'!D246</f>
        <v>C3-G05-0075</v>
      </c>
      <c r="C253" s="63" t="str">
        <f t="shared" si="15"/>
        <v>Roiphet1C3-G05-0075</v>
      </c>
      <c r="D253" s="63">
        <f>VLOOKUP(C253,'RAW DATA 2023'!E:BP,63,0)</f>
        <v>9</v>
      </c>
      <c r="E253" s="63" t="str">
        <f t="shared" si="16"/>
        <v>Roiphet19</v>
      </c>
      <c r="F253" s="79">
        <f>ROUND(VLOOKUP(C253,'RAW DATA 2023'!E:BO,23,0),0)</f>
        <v>75</v>
      </c>
      <c r="G253" s="79">
        <f>VLOOKUP(C253,'RAW DATA 2023'!E:BO,24,0)</f>
        <v>61.277454545454546</v>
      </c>
      <c r="H253" s="79">
        <f>IFERROR(VLOOKUP(F253,STD!B:G,2,FALSE),"")</f>
        <v>89</v>
      </c>
      <c r="I253" s="100">
        <f t="shared" si="17"/>
        <v>0.68851072522982637</v>
      </c>
      <c r="J253" s="74">
        <f t="shared" si="18"/>
        <v>5.6553217568947911</v>
      </c>
      <c r="K253">
        <f>VLOOKUP(C253,'RAW DATA 2023'!E:BO,12,0)</f>
        <v>0.55000000000000004</v>
      </c>
      <c r="L253" s="268">
        <f t="shared" si="19"/>
        <v>3.1104269662921356</v>
      </c>
      <c r="M253"/>
    </row>
    <row r="254" spans="1:13">
      <c r="A254" s="64" t="str">
        <f>'RAW DATA 2023'!B247</f>
        <v>Roiphet1</v>
      </c>
      <c r="B254" s="64" t="str">
        <f>'RAW DATA 2023'!D247</f>
        <v>C6-I11-0064</v>
      </c>
      <c r="C254" s="63" t="str">
        <f t="shared" si="15"/>
        <v>Roiphet1C6-I11-0064</v>
      </c>
      <c r="D254" s="63">
        <f>VLOOKUP(C254,'RAW DATA 2023'!E:BP,63,0)</f>
        <v>2</v>
      </c>
      <c r="E254" s="63" t="str">
        <f t="shared" si="16"/>
        <v>Roiphet12</v>
      </c>
      <c r="F254" s="79">
        <f>ROUND(VLOOKUP(C254,'RAW DATA 2023'!E:BO,23,0),0)</f>
        <v>36</v>
      </c>
      <c r="G254" s="79">
        <f>VLOOKUP(C254,'RAW DATA 2023'!E:BO,24,0)</f>
        <v>64.7316</v>
      </c>
      <c r="H254" s="79">
        <f>IFERROR(VLOOKUP(F254,STD!B:G,2,FALSE),"")</f>
        <v>81</v>
      </c>
      <c r="I254" s="100">
        <f t="shared" si="17"/>
        <v>0.79915555555555551</v>
      </c>
      <c r="J254" s="74">
        <f t="shared" si="18"/>
        <v>8.9746666666666659</v>
      </c>
      <c r="K254">
        <f>VLOOKUP(C254,'RAW DATA 2023'!E:BO,12,0)</f>
        <v>0.25</v>
      </c>
      <c r="L254" s="268">
        <f t="shared" si="19"/>
        <v>2.2436666666666665</v>
      </c>
      <c r="M254"/>
    </row>
    <row r="255" spans="1:13">
      <c r="A255" s="64" t="str">
        <f>'RAW DATA 2023'!B248</f>
        <v>Roiphet1</v>
      </c>
      <c r="B255" s="64" t="str">
        <f>'RAW DATA 2023'!D248</f>
        <v>C3-I05-0065</v>
      </c>
      <c r="C255" s="63" t="str">
        <f t="shared" si="15"/>
        <v>Roiphet1C3-I05-0065</v>
      </c>
      <c r="D255" s="63">
        <f>VLOOKUP(C255,'RAW DATA 2023'!E:BP,63,0)</f>
        <v>4</v>
      </c>
      <c r="E255" s="63" t="str">
        <f t="shared" si="16"/>
        <v>Roiphet14</v>
      </c>
      <c r="F255" s="79">
        <f>ROUND(VLOOKUP(C255,'RAW DATA 2023'!E:BO,23,0),0)</f>
        <v>43</v>
      </c>
      <c r="G255" s="79">
        <f>VLOOKUP(C255,'RAW DATA 2023'!E:BO,24,0)</f>
        <v>72.027111111111111</v>
      </c>
      <c r="H255" s="79">
        <f>IFERROR(VLOOKUP(F255,STD!B:G,2,FALSE),"")</f>
        <v>83</v>
      </c>
      <c r="I255" s="100">
        <f t="shared" si="17"/>
        <v>0.86779651941097724</v>
      </c>
      <c r="J255" s="74">
        <f t="shared" si="18"/>
        <v>11.033895582329317</v>
      </c>
      <c r="K255">
        <f>VLOOKUP(C255,'RAW DATA 2023'!E:BO,12,0)</f>
        <v>0.22500000000000001</v>
      </c>
      <c r="L255" s="268">
        <f t="shared" si="19"/>
        <v>2.4826265060240962</v>
      </c>
      <c r="M255"/>
    </row>
    <row r="256" spans="1:13">
      <c r="A256" s="64" t="str">
        <f>'RAW DATA 2023'!B249</f>
        <v>Roiphet1</v>
      </c>
      <c r="B256" s="64" t="str">
        <f>'RAW DATA 2023'!D249</f>
        <v>C3-G06-0079</v>
      </c>
      <c r="C256" s="63" t="str">
        <f t="shared" si="15"/>
        <v>Roiphet1C3-G06-0079</v>
      </c>
      <c r="D256" s="63">
        <f>VLOOKUP(C256,'RAW DATA 2023'!E:BP,63,0)</f>
        <v>9</v>
      </c>
      <c r="E256" s="63" t="str">
        <f t="shared" si="16"/>
        <v>Roiphet19</v>
      </c>
      <c r="F256" s="79">
        <f>ROUND(VLOOKUP(C256,'RAW DATA 2023'!E:BO,23,0),0)</f>
        <v>77</v>
      </c>
      <c r="G256" s="79">
        <f>VLOOKUP(C256,'RAW DATA 2023'!E:BO,24,0)</f>
        <v>57.431272727272727</v>
      </c>
      <c r="H256" s="79">
        <f>IFERROR(VLOOKUP(F256,STD!B:G,2,FALSE),"")</f>
        <v>89</v>
      </c>
      <c r="I256" s="100">
        <f t="shared" si="17"/>
        <v>0.64529519918283962</v>
      </c>
      <c r="J256" s="74">
        <f t="shared" si="18"/>
        <v>4.3588559754851888</v>
      </c>
      <c r="K256">
        <f>VLOOKUP(C256,'RAW DATA 2023'!E:BO,12,0)</f>
        <v>0.55000000000000004</v>
      </c>
      <c r="L256" s="268">
        <f t="shared" si="19"/>
        <v>2.3973707865168539</v>
      </c>
      <c r="M256"/>
    </row>
    <row r="257" spans="1:13">
      <c r="A257" s="64" t="str">
        <f>'RAW DATA 2023'!B250</f>
        <v>Roiphet1</v>
      </c>
      <c r="B257" s="64" t="str">
        <f>'RAW DATA 2023'!D250</f>
        <v>C4-G08-0062</v>
      </c>
      <c r="C257" s="63" t="str">
        <f t="shared" si="15"/>
        <v>Roiphet1C4-G08-0062</v>
      </c>
      <c r="D257" s="63">
        <f>VLOOKUP(C257,'RAW DATA 2023'!E:BP,63,0)</f>
        <v>12</v>
      </c>
      <c r="E257" s="63" t="str">
        <f t="shared" si="16"/>
        <v>Roiphet112</v>
      </c>
      <c r="F257" s="79">
        <f>ROUND(VLOOKUP(C257,'RAW DATA 2023'!E:BO,23,0),0)</f>
        <v>49</v>
      </c>
      <c r="G257" s="79">
        <f>VLOOKUP(C257,'RAW DATA 2023'!E:BO,24,0)</f>
        <v>73.246545454545455</v>
      </c>
      <c r="H257" s="79">
        <f>IFERROR(VLOOKUP(F257,STD!B:G,2,FALSE),"")</f>
        <v>84</v>
      </c>
      <c r="I257" s="100">
        <f t="shared" si="17"/>
        <v>0.87198268398268397</v>
      </c>
      <c r="J257" s="74">
        <f t="shared" si="18"/>
        <v>11.159480519480519</v>
      </c>
      <c r="K257">
        <f>VLOOKUP(C257,'RAW DATA 2023'!E:BO,12,0)</f>
        <v>0.55000000000000004</v>
      </c>
      <c r="L257" s="268">
        <f t="shared" si="19"/>
        <v>6.1377142857142859</v>
      </c>
      <c r="M257"/>
    </row>
    <row r="258" spans="1:13">
      <c r="A258" s="64" t="str">
        <f>'RAW DATA 2023'!B251</f>
        <v>Roiphet1</v>
      </c>
      <c r="B258" s="64" t="str">
        <f>'RAW DATA 2023'!D251</f>
        <v>C4-I07-0061</v>
      </c>
      <c r="C258" s="63" t="str">
        <f t="shared" si="15"/>
        <v>Roiphet1C4-I07-0061</v>
      </c>
      <c r="D258" s="63">
        <f>VLOOKUP(C258,'RAW DATA 2023'!E:BP,63,0)</f>
        <v>12</v>
      </c>
      <c r="E258" s="63" t="str">
        <f t="shared" si="16"/>
        <v>Roiphet112</v>
      </c>
      <c r="F258" s="79">
        <f>ROUND(VLOOKUP(C258,'RAW DATA 2023'!E:BO,23,0),0)</f>
        <v>46</v>
      </c>
      <c r="G258" s="79">
        <f>VLOOKUP(C258,'RAW DATA 2023'!E:BO,24,0)</f>
        <v>84.343999999999994</v>
      </c>
      <c r="H258" s="79">
        <f>IFERROR(VLOOKUP(F258,STD!B:G,2,FALSE),"")</f>
        <v>84</v>
      </c>
      <c r="I258" s="100">
        <f t="shared" si="17"/>
        <v>1.0040952380952379</v>
      </c>
      <c r="J258" s="74">
        <f t="shared" si="18"/>
        <v>15.122857142857137</v>
      </c>
      <c r="K258">
        <f>VLOOKUP(C258,'RAW DATA 2023'!E:BO,12,0)</f>
        <v>0.25</v>
      </c>
      <c r="L258" s="268">
        <f t="shared" si="19"/>
        <v>3.7807142857142844</v>
      </c>
      <c r="M258"/>
    </row>
    <row r="259" spans="1:13">
      <c r="A259" s="64" t="str">
        <f>'RAW DATA 2023'!B252</f>
        <v>Roiphet1</v>
      </c>
      <c r="B259" s="64" t="str">
        <f>'RAW DATA 2023'!D252</f>
        <v>C3-G06-0077</v>
      </c>
      <c r="C259" s="63" t="str">
        <f t="shared" si="15"/>
        <v>Roiphet1C3-G06-0077</v>
      </c>
      <c r="D259" s="63">
        <f>VLOOKUP(C259,'RAW DATA 2023'!E:BP,63,0)</f>
        <v>3</v>
      </c>
      <c r="E259" s="63" t="str">
        <f t="shared" si="16"/>
        <v>Roiphet13</v>
      </c>
      <c r="F259" s="79">
        <f>ROUND(VLOOKUP(C259,'RAW DATA 2023'!E:BO,23,0),0)</f>
        <v>48</v>
      </c>
      <c r="G259" s="79">
        <f>VLOOKUP(C259,'RAW DATA 2023'!E:BO,24,0)</f>
        <v>90.474523809523816</v>
      </c>
      <c r="H259" s="79">
        <f>IFERROR(VLOOKUP(F259,STD!B:G,2,FALSE),"")</f>
        <v>84</v>
      </c>
      <c r="I259" s="100">
        <f t="shared" si="17"/>
        <v>1.0770776643990931</v>
      </c>
      <c r="J259" s="74">
        <f t="shared" si="18"/>
        <v>17.312329931972794</v>
      </c>
      <c r="K259">
        <f>VLOOKUP(C259,'RAW DATA 2023'!E:BO,12,0)</f>
        <v>0.42</v>
      </c>
      <c r="L259" s="268">
        <f t="shared" si="19"/>
        <v>7.2711785714285728</v>
      </c>
      <c r="M259"/>
    </row>
    <row r="260" spans="1:13">
      <c r="A260" s="64" t="str">
        <f>'RAW DATA 2023'!B253</f>
        <v>Roiphet1</v>
      </c>
      <c r="B260" s="64" t="str">
        <f>'RAW DATA 2023'!D253</f>
        <v>C1-G02-0074</v>
      </c>
      <c r="C260" s="63" t="str">
        <f t="shared" si="15"/>
        <v>Roiphet1C1-G02-0074</v>
      </c>
      <c r="D260" s="63">
        <f>VLOOKUP(C260,'RAW DATA 2023'!E:BP,63,0)</f>
        <v>9</v>
      </c>
      <c r="E260" s="63" t="str">
        <f t="shared" si="16"/>
        <v>Roiphet19</v>
      </c>
      <c r="F260" s="79">
        <f>ROUND(VLOOKUP(C260,'RAW DATA 2023'!E:BO,23,0),0)</f>
        <v>42</v>
      </c>
      <c r="G260" s="79">
        <f>VLOOKUP(C260,'RAW DATA 2023'!E:BO,24,0)</f>
        <v>58.665416666666673</v>
      </c>
      <c r="H260" s="79">
        <f>IFERROR(VLOOKUP(F260,STD!B:G,2,FALSE),"")</f>
        <v>82</v>
      </c>
      <c r="I260" s="100">
        <f t="shared" si="17"/>
        <v>0.71543191056910571</v>
      </c>
      <c r="J260" s="74">
        <f t="shared" si="18"/>
        <v>6.4629573170731716</v>
      </c>
      <c r="K260">
        <f>VLOOKUP(C260,'RAW DATA 2023'!E:BO,12,0)</f>
        <v>0.48</v>
      </c>
      <c r="L260" s="268">
        <f t="shared" si="19"/>
        <v>3.1022195121951222</v>
      </c>
      <c r="M260"/>
    </row>
    <row r="261" spans="1:13">
      <c r="A261" s="64" t="str">
        <f>'RAW DATA 2023'!B254</f>
        <v>Roiphet1</v>
      </c>
      <c r="B261" s="64" t="str">
        <f>'RAW DATA 2023'!D254</f>
        <v>C5-I10-0065</v>
      </c>
      <c r="C261" s="63" t="str">
        <f t="shared" si="15"/>
        <v>Roiphet1C5-I10-0065</v>
      </c>
      <c r="D261" s="63">
        <f>VLOOKUP(C261,'RAW DATA 2023'!E:BP,63,0)</f>
        <v>5</v>
      </c>
      <c r="E261" s="63" t="str">
        <f t="shared" si="16"/>
        <v>Roiphet15</v>
      </c>
      <c r="F261" s="79">
        <f>ROUND(VLOOKUP(C261,'RAW DATA 2023'!E:BO,23,0),0)</f>
        <v>36</v>
      </c>
      <c r="G261" s="79">
        <f>VLOOKUP(C261,'RAW DATA 2023'!E:BO,24,0)</f>
        <v>72.350222222222229</v>
      </c>
      <c r="H261" s="79">
        <f>IFERROR(VLOOKUP(F261,STD!B:G,2,FALSE),"")</f>
        <v>81</v>
      </c>
      <c r="I261" s="100">
        <f t="shared" si="17"/>
        <v>0.89321262002743496</v>
      </c>
      <c r="J261" s="74">
        <f t="shared" si="18"/>
        <v>11.796378600823049</v>
      </c>
      <c r="K261">
        <f>VLOOKUP(C261,'RAW DATA 2023'!E:BO,12,0)</f>
        <v>0.22500000000000001</v>
      </c>
      <c r="L261" s="268">
        <f t="shared" si="19"/>
        <v>2.6541851851851859</v>
      </c>
      <c r="M261"/>
    </row>
    <row r="262" spans="1:13">
      <c r="A262" s="64" t="str">
        <f>'RAW DATA 2023'!B255</f>
        <v>Roiphet1</v>
      </c>
      <c r="B262" s="64" t="str">
        <f>'RAW DATA 2023'!D255</f>
        <v>C4-I08-0063</v>
      </c>
      <c r="C262" s="63" t="str">
        <f t="shared" si="15"/>
        <v>Roiphet1C4-I08-0063</v>
      </c>
      <c r="D262" s="63">
        <f>VLOOKUP(C262,'RAW DATA 2023'!E:BP,63,0)</f>
        <v>2</v>
      </c>
      <c r="E262" s="63" t="str">
        <f t="shared" si="16"/>
        <v>Roiphet12</v>
      </c>
      <c r="F262" s="79">
        <f>ROUND(VLOOKUP(C262,'RAW DATA 2023'!E:BO,23,0),0)</f>
        <v>41</v>
      </c>
      <c r="G262" s="79">
        <f>VLOOKUP(C262,'RAW DATA 2023'!E:BO,24,0)</f>
        <v>77.866399999999999</v>
      </c>
      <c r="H262" s="79">
        <f>IFERROR(VLOOKUP(F262,STD!B:G,2,FALSE),"")</f>
        <v>82</v>
      </c>
      <c r="I262" s="100">
        <f t="shared" si="17"/>
        <v>0.94959024390243896</v>
      </c>
      <c r="J262" s="74">
        <f t="shared" si="18"/>
        <v>13.487707317073168</v>
      </c>
      <c r="K262">
        <f>VLOOKUP(C262,'RAW DATA 2023'!E:BO,12,0)</f>
        <v>0.25</v>
      </c>
      <c r="L262" s="268">
        <f t="shared" si="19"/>
        <v>3.371926829268292</v>
      </c>
      <c r="M262"/>
    </row>
    <row r="263" spans="1:13">
      <c r="A263" s="64" t="str">
        <f>'RAW DATA 2023'!B256</f>
        <v>Roiphet1</v>
      </c>
      <c r="B263" s="64" t="str">
        <f>'RAW DATA 2023'!D256</f>
        <v>C4-G07-0058</v>
      </c>
      <c r="C263" s="63" t="str">
        <f t="shared" si="15"/>
        <v>Roiphet1C4-G07-0058</v>
      </c>
      <c r="D263" s="63">
        <f>VLOOKUP(C263,'RAW DATA 2023'!E:BP,63,0)</f>
        <v>11</v>
      </c>
      <c r="E263" s="63" t="str">
        <f t="shared" si="16"/>
        <v>Roiphet111</v>
      </c>
      <c r="F263" s="79">
        <f>ROUND(VLOOKUP(C263,'RAW DATA 2023'!E:BO,23,0),0)</f>
        <v>55</v>
      </c>
      <c r="G263" s="79">
        <f>VLOOKUP(C263,'RAW DATA 2023'!E:BO,24,0)</f>
        <v>82.334181818181818</v>
      </c>
      <c r="H263" s="79">
        <f>IFERROR(VLOOKUP(F263,STD!B:G,2,FALSE),"")</f>
        <v>86</v>
      </c>
      <c r="I263" s="100">
        <f t="shared" si="17"/>
        <v>0.95737420718816069</v>
      </c>
      <c r="J263" s="74">
        <f t="shared" si="18"/>
        <v>13.721226215644821</v>
      </c>
      <c r="K263">
        <f>VLOOKUP(C263,'RAW DATA 2023'!E:BO,12,0)</f>
        <v>0.55000000000000004</v>
      </c>
      <c r="L263" s="268">
        <f t="shared" si="19"/>
        <v>7.5466744186046517</v>
      </c>
      <c r="M263"/>
    </row>
    <row r="264" spans="1:13">
      <c r="A264" s="64" t="str">
        <f>'RAW DATA 2023'!B257</f>
        <v>Roiphet1</v>
      </c>
      <c r="B264" s="64" t="str">
        <f>'RAW DATA 2023'!D257</f>
        <v>C4-I08-0065</v>
      </c>
      <c r="C264" s="63" t="str">
        <f t="shared" si="15"/>
        <v>Roiphet1C4-I08-0065</v>
      </c>
      <c r="D264" s="63">
        <f>VLOOKUP(C264,'RAW DATA 2023'!E:BP,63,0)</f>
        <v>12</v>
      </c>
      <c r="E264" s="63" t="str">
        <f t="shared" si="16"/>
        <v>Roiphet112</v>
      </c>
      <c r="F264" s="79">
        <f>ROUND(VLOOKUP(C264,'RAW DATA 2023'!E:BO,23,0),0)</f>
        <v>46</v>
      </c>
      <c r="G264" s="79">
        <f>VLOOKUP(C264,'RAW DATA 2023'!E:BO,24,0)</f>
        <v>87.297600000000003</v>
      </c>
      <c r="H264" s="79">
        <f>IFERROR(VLOOKUP(F264,STD!B:G,2,FALSE),"")</f>
        <v>84</v>
      </c>
      <c r="I264" s="100">
        <f t="shared" si="17"/>
        <v>1.0392571428571429</v>
      </c>
      <c r="J264" s="74">
        <f t="shared" si="18"/>
        <v>16.177714285714288</v>
      </c>
      <c r="K264">
        <f>VLOOKUP(C264,'RAW DATA 2023'!E:BO,12,0)</f>
        <v>0.25</v>
      </c>
      <c r="L264" s="268">
        <f t="shared" si="19"/>
        <v>4.0444285714285719</v>
      </c>
      <c r="M264"/>
    </row>
    <row r="265" spans="1:13">
      <c r="A265" s="64" t="str">
        <f>'RAW DATA 2023'!B258</f>
        <v>Roiphet1</v>
      </c>
      <c r="B265" s="64" t="str">
        <f>'RAW DATA 2023'!D258</f>
        <v>C3-I05-0066</v>
      </c>
      <c r="C265" s="63" t="str">
        <f t="shared" si="15"/>
        <v>Roiphet1C3-I05-0066</v>
      </c>
      <c r="D265" s="63">
        <f>VLOOKUP(C265,'RAW DATA 2023'!E:BP,63,0)</f>
        <v>5</v>
      </c>
      <c r="E265" s="63" t="str">
        <f t="shared" si="16"/>
        <v>Roiphet15</v>
      </c>
      <c r="F265" s="79">
        <f>ROUND(VLOOKUP(C265,'RAW DATA 2023'!E:BO,23,0),0)</f>
        <v>124</v>
      </c>
      <c r="G265" s="79">
        <f>VLOOKUP(C265,'RAW DATA 2023'!E:BO,24,0)</f>
        <v>85.157600000000002</v>
      </c>
      <c r="H265" s="79">
        <f>IFERROR(VLOOKUP(F265,STD!B:G,2,FALSE),"")</f>
        <v>92</v>
      </c>
      <c r="I265" s="100">
        <f t="shared" si="17"/>
        <v>0.92562608695652171</v>
      </c>
      <c r="J265" s="74">
        <f t="shared" si="18"/>
        <v>12.768782608695652</v>
      </c>
      <c r="K265">
        <f>VLOOKUP(C265,'RAW DATA 2023'!E:BO,12,0)</f>
        <v>0.25</v>
      </c>
      <c r="L265" s="268">
        <f t="shared" si="19"/>
        <v>3.192195652173913</v>
      </c>
      <c r="M265"/>
    </row>
    <row r="266" spans="1:13">
      <c r="A266" s="64" t="str">
        <f>'RAW DATA 2023'!B259</f>
        <v>Roiphet1</v>
      </c>
      <c r="B266" s="64" t="str">
        <f>'RAW DATA 2023'!D259</f>
        <v>C3-I06-0063</v>
      </c>
      <c r="C266" s="63" t="str">
        <f t="shared" ref="C266:C329" si="20">A266&amp;B266</f>
        <v>Roiphet1C3-I06-0063</v>
      </c>
      <c r="D266" s="63">
        <f>VLOOKUP(C266,'RAW DATA 2023'!E:BP,63,0)</f>
        <v>5</v>
      </c>
      <c r="E266" s="63" t="str">
        <f t="shared" ref="E266:E329" si="21">A266&amp;D266</f>
        <v>Roiphet15</v>
      </c>
      <c r="F266" s="79">
        <f>ROUND(VLOOKUP(C266,'RAW DATA 2023'!E:BO,23,0),0)</f>
        <v>131</v>
      </c>
      <c r="G266" s="79">
        <f>VLOOKUP(C266,'RAW DATA 2023'!E:BO,24,0)</f>
        <v>79.667200000000008</v>
      </c>
      <c r="H266" s="79">
        <f>IFERROR(VLOOKUP(F266,STD!B:G,2,FALSE),"")</f>
        <v>93</v>
      </c>
      <c r="I266" s="100">
        <f t="shared" si="17"/>
        <v>0.85663655913978498</v>
      </c>
      <c r="J266" s="74">
        <f t="shared" si="18"/>
        <v>10.699096774193549</v>
      </c>
      <c r="K266">
        <f>VLOOKUP(C266,'RAW DATA 2023'!E:BO,12,0)</f>
        <v>0.25</v>
      </c>
      <c r="L266" s="268">
        <f t="shared" si="19"/>
        <v>2.6747741935483873</v>
      </c>
      <c r="M266"/>
    </row>
    <row r="267" spans="1:13">
      <c r="A267" s="64" t="str">
        <f>'RAW DATA 2023'!B260</f>
        <v>Roiphet1</v>
      </c>
      <c r="B267" s="64" t="str">
        <f>'RAW DATA 2023'!D260</f>
        <v>C2-I04-0067</v>
      </c>
      <c r="C267" s="63" t="str">
        <f t="shared" si="20"/>
        <v>Roiphet1C2-I04-0067</v>
      </c>
      <c r="D267" s="63">
        <f>VLOOKUP(C267,'RAW DATA 2023'!E:BP,63,0)</f>
        <v>6</v>
      </c>
      <c r="E267" s="63" t="str">
        <f t="shared" si="21"/>
        <v>Roiphet16</v>
      </c>
      <c r="F267" s="79">
        <f>ROUND(VLOOKUP(C267,'RAW DATA 2023'!E:BO,23,0),0)</f>
        <v>92</v>
      </c>
      <c r="G267" s="79">
        <f>VLOOKUP(C267,'RAW DATA 2023'!E:BO,24,0)</f>
        <v>86.26</v>
      </c>
      <c r="H267" s="79">
        <f>IFERROR(VLOOKUP(F267,STD!B:G,2,FALSE),"")</f>
        <v>90</v>
      </c>
      <c r="I267" s="100">
        <f t="shared" ref="I267:I330" si="22">IFERROR(G267/H267,0)</f>
        <v>0.95844444444444454</v>
      </c>
      <c r="J267" s="74">
        <f t="shared" ref="J267:J330" si="23">(I267-$E$4)*$E$7</f>
        <v>13.753333333333336</v>
      </c>
      <c r="K267">
        <f>VLOOKUP(C267,'RAW DATA 2023'!E:BO,12,0)</f>
        <v>0.28499999999999998</v>
      </c>
      <c r="L267" s="268">
        <f t="shared" ref="L267:L330" si="24">J267*K267</f>
        <v>3.9197000000000002</v>
      </c>
      <c r="M267"/>
    </row>
    <row r="268" spans="1:13">
      <c r="A268" s="64" t="str">
        <f>'RAW DATA 2023'!B261</f>
        <v>Roiphet1</v>
      </c>
      <c r="B268" s="64" t="str">
        <f>'RAW DATA 2023'!D261</f>
        <v>C3-G05-0074</v>
      </c>
      <c r="C268" s="63" t="str">
        <f t="shared" si="20"/>
        <v>Roiphet1C3-G05-0074</v>
      </c>
      <c r="D268" s="63">
        <f>VLOOKUP(C268,'RAW DATA 2023'!E:BP,63,0)</f>
        <v>5</v>
      </c>
      <c r="E268" s="63" t="str">
        <f t="shared" si="21"/>
        <v>Roiphet15</v>
      </c>
      <c r="F268" s="79">
        <f>ROUND(VLOOKUP(C268,'RAW DATA 2023'!E:BO,23,0),0)</f>
        <v>129</v>
      </c>
      <c r="G268" s="79">
        <f>VLOOKUP(C268,'RAW DATA 2023'!E:BO,24,0)</f>
        <v>99.893333333333331</v>
      </c>
      <c r="H268" s="79">
        <f>IFERROR(VLOOKUP(F268,STD!B:G,2,FALSE),"")</f>
        <v>93</v>
      </c>
      <c r="I268" s="100">
        <f t="shared" si="22"/>
        <v>1.0741218637992831</v>
      </c>
      <c r="J268" s="74">
        <f t="shared" si="23"/>
        <v>17.223655913978494</v>
      </c>
      <c r="K268">
        <f>VLOOKUP(C268,'RAW DATA 2023'!E:BO,12,0)</f>
        <v>0.45</v>
      </c>
      <c r="L268" s="268">
        <f t="shared" si="24"/>
        <v>7.750645161290322</v>
      </c>
      <c r="M268"/>
    </row>
    <row r="269" spans="1:13">
      <c r="A269" s="64" t="str">
        <f>'RAW DATA 2023'!B262</f>
        <v>Roiphet1</v>
      </c>
      <c r="B269" s="64" t="str">
        <f>'RAW DATA 2023'!D262</f>
        <v>C2-I03-0059</v>
      </c>
      <c r="C269" s="63" t="str">
        <f t="shared" si="20"/>
        <v>Roiphet1C2-I03-0059</v>
      </c>
      <c r="D269" s="63">
        <f>VLOOKUP(C269,'RAW DATA 2023'!E:BP,63,0)</f>
        <v>6</v>
      </c>
      <c r="E269" s="63" t="str">
        <f t="shared" si="21"/>
        <v>Roiphet16</v>
      </c>
      <c r="F269" s="79">
        <f>ROUND(VLOOKUP(C269,'RAW DATA 2023'!E:BO,23,0),0)</f>
        <v>92</v>
      </c>
      <c r="G269" s="79">
        <f>VLOOKUP(C269,'RAW DATA 2023'!E:BO,24,0)</f>
        <v>70.00866666666667</v>
      </c>
      <c r="H269" s="79">
        <f>IFERROR(VLOOKUP(F269,STD!B:G,2,FALSE),"")</f>
        <v>90</v>
      </c>
      <c r="I269" s="100">
        <f t="shared" si="22"/>
        <v>0.77787407407407416</v>
      </c>
      <c r="J269" s="74">
        <f t="shared" si="23"/>
        <v>8.3362222222222258</v>
      </c>
      <c r="K269">
        <f>VLOOKUP(C269,'RAW DATA 2023'!E:BO,12,0)</f>
        <v>0.3</v>
      </c>
      <c r="L269" s="268">
        <f t="shared" si="24"/>
        <v>2.5008666666666675</v>
      </c>
      <c r="M269"/>
    </row>
    <row r="270" spans="1:13">
      <c r="A270" s="64" t="str">
        <f>'RAW DATA 2023'!B263</f>
        <v>Roiphet1</v>
      </c>
      <c r="B270" s="64" t="str">
        <f>'RAW DATA 2023'!D263</f>
        <v>C3-G06-0078</v>
      </c>
      <c r="C270" s="63" t="str">
        <f t="shared" si="20"/>
        <v>Roiphet1C3-G06-0078</v>
      </c>
      <c r="D270" s="63">
        <f>VLOOKUP(C270,'RAW DATA 2023'!E:BP,63,0)</f>
        <v>5</v>
      </c>
      <c r="E270" s="63" t="str">
        <f t="shared" si="21"/>
        <v>Roiphet15</v>
      </c>
      <c r="F270" s="79">
        <f>ROUND(VLOOKUP(C270,'RAW DATA 2023'!E:BO,23,0),0)</f>
        <v>149</v>
      </c>
      <c r="G270" s="79">
        <f>VLOOKUP(C270,'RAW DATA 2023'!E:BO,24,0)</f>
        <v>107.89466666666667</v>
      </c>
      <c r="H270" s="79">
        <f>IFERROR(VLOOKUP(F270,STD!B:G,2,FALSE),"")</f>
        <v>93</v>
      </c>
      <c r="I270" s="100">
        <f t="shared" si="22"/>
        <v>1.16015770609319</v>
      </c>
      <c r="J270" s="74">
        <f t="shared" si="23"/>
        <v>19.804731182795699</v>
      </c>
      <c r="K270">
        <f>VLOOKUP(C270,'RAW DATA 2023'!E:BO,12,0)</f>
        <v>0.45</v>
      </c>
      <c r="L270" s="268">
        <f t="shared" si="24"/>
        <v>8.9121290322580649</v>
      </c>
      <c r="M270"/>
    </row>
    <row r="271" spans="1:13">
      <c r="A271" s="64" t="str">
        <f>'RAW DATA 2023'!B264</f>
        <v>Roiphet1</v>
      </c>
      <c r="B271" s="64" t="str">
        <f>'RAW DATA 2023'!D264</f>
        <v>C2-G03-0066</v>
      </c>
      <c r="C271" s="63" t="str">
        <f t="shared" si="20"/>
        <v>Roiphet1C2-G03-0066</v>
      </c>
      <c r="D271" s="63">
        <f>VLOOKUP(C271,'RAW DATA 2023'!E:BP,63,0)</f>
        <v>6</v>
      </c>
      <c r="E271" s="63" t="str">
        <f t="shared" si="21"/>
        <v>Roiphet16</v>
      </c>
      <c r="F271" s="79">
        <f>ROUND(VLOOKUP(C271,'RAW DATA 2023'!E:BO,23,0),0)</f>
        <v>136</v>
      </c>
      <c r="G271" s="79">
        <f>VLOOKUP(C271,'RAW DATA 2023'!E:BO,24,0)</f>
        <v>84.4405</v>
      </c>
      <c r="H271" s="79">
        <f>IFERROR(VLOOKUP(F271,STD!B:G,2,FALSE),"")</f>
        <v>93</v>
      </c>
      <c r="I271" s="100">
        <f t="shared" si="22"/>
        <v>0.90796236559139787</v>
      </c>
      <c r="J271" s="74">
        <f t="shared" si="23"/>
        <v>12.238870967741937</v>
      </c>
      <c r="K271">
        <f>VLOOKUP(C271,'RAW DATA 2023'!E:BO,12,0)</f>
        <v>0.6</v>
      </c>
      <c r="L271" s="268">
        <f t="shared" si="24"/>
        <v>7.3433225806451619</v>
      </c>
      <c r="M271"/>
    </row>
    <row r="272" spans="1:13">
      <c r="A272" s="64" t="str">
        <f>'RAW DATA 2023'!B265</f>
        <v>Roiphet1</v>
      </c>
      <c r="B272" s="64" t="str">
        <f>'RAW DATA 2023'!D265</f>
        <v>C2-G04-0064</v>
      </c>
      <c r="C272" s="63" t="str">
        <f t="shared" si="20"/>
        <v>Roiphet1C2-G04-0064</v>
      </c>
      <c r="D272" s="63">
        <f>VLOOKUP(C272,'RAW DATA 2023'!E:BP,63,0)</f>
        <v>6</v>
      </c>
      <c r="E272" s="63" t="str">
        <f t="shared" si="21"/>
        <v>Roiphet16</v>
      </c>
      <c r="F272" s="79">
        <f>ROUND(VLOOKUP(C272,'RAW DATA 2023'!E:BO,23,0),0)</f>
        <v>148</v>
      </c>
      <c r="G272" s="79">
        <f>VLOOKUP(C272,'RAW DATA 2023'!E:BO,24,0)</f>
        <v>106.2022</v>
      </c>
      <c r="H272" s="79">
        <f>IFERROR(VLOOKUP(F272,STD!B:G,2,FALSE),"")</f>
        <v>93</v>
      </c>
      <c r="I272" s="100">
        <f t="shared" si="22"/>
        <v>1.1419591397849462</v>
      </c>
      <c r="J272" s="74">
        <f t="shared" si="23"/>
        <v>19.258774193548387</v>
      </c>
      <c r="K272">
        <f>VLOOKUP(C272,'RAW DATA 2023'!E:BO,12,0)</f>
        <v>0.5</v>
      </c>
      <c r="L272" s="268">
        <f t="shared" si="24"/>
        <v>9.6293870967741935</v>
      </c>
      <c r="M272"/>
    </row>
    <row r="273" spans="1:13">
      <c r="A273" s="64" t="str">
        <f>'RAW DATA 2023'!B266</f>
        <v>Roiphet1</v>
      </c>
      <c r="B273" s="64" t="str">
        <f>'RAW DATA 2023'!D266</f>
        <v>B3-I06-0095</v>
      </c>
      <c r="C273" s="63" t="str">
        <f t="shared" si="20"/>
        <v>Roiphet1B3-I06-0095</v>
      </c>
      <c r="D273" s="63">
        <f>VLOOKUP(C273,'RAW DATA 2023'!E:BP,63,0)</f>
        <v>8</v>
      </c>
      <c r="E273" s="63" t="str">
        <f t="shared" si="21"/>
        <v>Roiphet18</v>
      </c>
      <c r="F273" s="79">
        <f>ROUND(VLOOKUP(C273,'RAW DATA 2023'!E:BO,23,0),0)</f>
        <v>45</v>
      </c>
      <c r="G273" s="79">
        <f>VLOOKUP(C273,'RAW DATA 2023'!E:BO,24,0)</f>
        <v>35.919200000000004</v>
      </c>
      <c r="H273" s="79">
        <f>IFERROR(VLOOKUP(F273,STD!B:G,2,FALSE),"")</f>
        <v>83</v>
      </c>
      <c r="I273" s="100">
        <f t="shared" si="22"/>
        <v>0.43276144578313258</v>
      </c>
      <c r="J273" s="74">
        <f t="shared" si="23"/>
        <v>-2.0171566265060226</v>
      </c>
      <c r="K273">
        <f>VLOOKUP(C273,'RAW DATA 2023'!E:BO,12,0)</f>
        <v>0.25</v>
      </c>
      <c r="L273" s="268">
        <f t="shared" si="24"/>
        <v>-0.50428915662650564</v>
      </c>
      <c r="M273"/>
    </row>
    <row r="274" spans="1:13">
      <c r="A274" s="64" t="str">
        <f>'RAW DATA 2023'!B267</f>
        <v>Roiphet1</v>
      </c>
      <c r="B274" s="64" t="str">
        <f>'RAW DATA 2023'!D267</f>
        <v>B6-G12-0087</v>
      </c>
      <c r="C274" s="63" t="str">
        <f t="shared" si="20"/>
        <v>Roiphet1B6-G12-0087</v>
      </c>
      <c r="D274" s="63">
        <f>VLOOKUP(C274,'RAW DATA 2023'!E:BP,63,0)</f>
        <v>6</v>
      </c>
      <c r="E274" s="63" t="str">
        <f t="shared" si="21"/>
        <v>Roiphet16</v>
      </c>
      <c r="F274" s="79">
        <f>ROUND(VLOOKUP(C274,'RAW DATA 2023'!E:BO,23,0),0)</f>
        <v>32</v>
      </c>
      <c r="G274" s="79">
        <f>VLOOKUP(C274,'RAW DATA 2023'!E:BO,24,0)</f>
        <v>68.431750000000008</v>
      </c>
      <c r="H274" s="79">
        <f>IFERROR(VLOOKUP(F274,STD!B:G,2,FALSE),"")</f>
        <v>77</v>
      </c>
      <c r="I274" s="100">
        <f t="shared" si="22"/>
        <v>0.88872402597402611</v>
      </c>
      <c r="J274" s="74">
        <f t="shared" si="23"/>
        <v>11.661720779220783</v>
      </c>
      <c r="K274">
        <f>VLOOKUP(C274,'RAW DATA 2023'!E:BO,12,0)</f>
        <v>0.4</v>
      </c>
      <c r="L274" s="268">
        <f t="shared" si="24"/>
        <v>4.6646883116883133</v>
      </c>
      <c r="M274"/>
    </row>
    <row r="275" spans="1:13">
      <c r="A275" s="64" t="str">
        <f>'RAW DATA 2023'!B268</f>
        <v>Roiphet1</v>
      </c>
      <c r="B275" s="64" t="str">
        <f>'RAW DATA 2023'!D268</f>
        <v>B6-G11-0082</v>
      </c>
      <c r="C275" s="63" t="str">
        <f t="shared" si="20"/>
        <v>Roiphet1B6-G11-0082</v>
      </c>
      <c r="D275" s="63">
        <f>VLOOKUP(C275,'RAW DATA 2023'!E:BP,63,0)</f>
        <v>6</v>
      </c>
      <c r="E275" s="63" t="str">
        <f t="shared" si="21"/>
        <v>Roiphet16</v>
      </c>
      <c r="F275" s="79">
        <f>ROUND(VLOOKUP(C275,'RAW DATA 2023'!E:BO,23,0),0)</f>
        <v>31</v>
      </c>
      <c r="G275" s="79">
        <f>VLOOKUP(C275,'RAW DATA 2023'!E:BO,24,0)</f>
        <v>55.676904761904765</v>
      </c>
      <c r="H275" s="79">
        <f>IFERROR(VLOOKUP(F275,STD!B:G,2,FALSE),"")</f>
        <v>76</v>
      </c>
      <c r="I275" s="100">
        <f t="shared" si="22"/>
        <v>0.73259085213032582</v>
      </c>
      <c r="J275" s="74">
        <f t="shared" si="23"/>
        <v>6.9777255639097744</v>
      </c>
      <c r="K275">
        <f>VLOOKUP(C275,'RAW DATA 2023'!E:BO,12,0)</f>
        <v>0.42</v>
      </c>
      <c r="L275" s="268">
        <f t="shared" si="24"/>
        <v>2.9306447368421051</v>
      </c>
      <c r="M275"/>
    </row>
    <row r="276" spans="1:13">
      <c r="A276" s="64" t="str">
        <f>'RAW DATA 2023'!B269</f>
        <v>Roiphet1</v>
      </c>
      <c r="B276" s="64" t="str">
        <f>'RAW DATA 2023'!D269</f>
        <v>B1-I02-0096</v>
      </c>
      <c r="C276" s="63" t="str">
        <f t="shared" si="20"/>
        <v>Roiphet1B1-I02-0096</v>
      </c>
      <c r="D276" s="63">
        <f>VLOOKUP(C276,'RAW DATA 2023'!E:BP,63,0)</f>
        <v>12</v>
      </c>
      <c r="E276" s="63" t="str">
        <f t="shared" si="21"/>
        <v>Roiphet112</v>
      </c>
      <c r="F276" s="79">
        <f>ROUND(VLOOKUP(C276,'RAW DATA 2023'!E:BO,23,0),0)</f>
        <v>41</v>
      </c>
      <c r="G276" s="79">
        <f>VLOOKUP(C276,'RAW DATA 2023'!E:BO,24,0)</f>
        <v>74.983999999999995</v>
      </c>
      <c r="H276" s="79">
        <f>IFERROR(VLOOKUP(F276,STD!B:G,2,FALSE),"")</f>
        <v>82</v>
      </c>
      <c r="I276" s="100">
        <f t="shared" si="22"/>
        <v>0.91443902439024383</v>
      </c>
      <c r="J276" s="74">
        <f t="shared" si="23"/>
        <v>12.433170731707314</v>
      </c>
      <c r="K276">
        <f>VLOOKUP(C276,'RAW DATA 2023'!E:BO,12,0)</f>
        <v>0.25</v>
      </c>
      <c r="L276" s="268">
        <f t="shared" si="24"/>
        <v>3.1082926829268285</v>
      </c>
      <c r="M276"/>
    </row>
    <row r="277" spans="1:13">
      <c r="A277" s="64" t="str">
        <f>'RAW DATA 2023'!B270</f>
        <v>Roiphet1</v>
      </c>
      <c r="B277" s="64" t="str">
        <f>'RAW DATA 2023'!D270</f>
        <v>B5-I10-0091</v>
      </c>
      <c r="C277" s="63" t="str">
        <f t="shared" si="20"/>
        <v>Roiphet1B5-I10-0091</v>
      </c>
      <c r="D277" s="63">
        <f>VLOOKUP(C277,'RAW DATA 2023'!E:BP,63,0)</f>
        <v>7</v>
      </c>
      <c r="E277" s="63" t="str">
        <f t="shared" si="21"/>
        <v>Roiphet17</v>
      </c>
      <c r="F277" s="79">
        <f>ROUND(VLOOKUP(C277,'RAW DATA 2023'!E:BO,23,0),0)</f>
        <v>48</v>
      </c>
      <c r="G277" s="79">
        <f>VLOOKUP(C277,'RAW DATA 2023'!E:BO,24,0)</f>
        <v>61.217999999999996</v>
      </c>
      <c r="H277" s="79">
        <f>IFERROR(VLOOKUP(F277,STD!B:G,2,FALSE),"")</f>
        <v>84</v>
      </c>
      <c r="I277" s="100">
        <f t="shared" si="22"/>
        <v>0.72878571428571426</v>
      </c>
      <c r="J277" s="74">
        <f t="shared" si="23"/>
        <v>6.8635714285714275</v>
      </c>
      <c r="K277">
        <f>VLOOKUP(C277,'RAW DATA 2023'!E:BO,12,0)</f>
        <v>0.2</v>
      </c>
      <c r="L277" s="268">
        <f t="shared" si="24"/>
        <v>1.3727142857142856</v>
      </c>
      <c r="M277"/>
    </row>
    <row r="278" spans="1:13">
      <c r="A278" s="64" t="str">
        <f>'RAW DATA 2023'!B271</f>
        <v>Roiphet1</v>
      </c>
      <c r="B278" s="64" t="str">
        <f>'RAW DATA 2023'!D271</f>
        <v>B5-G10-0083</v>
      </c>
      <c r="C278" s="63" t="str">
        <f t="shared" si="20"/>
        <v>Roiphet1B5-G10-0083</v>
      </c>
      <c r="D278" s="63">
        <f>VLOOKUP(C278,'RAW DATA 2023'!E:BP,63,0)</f>
        <v>5</v>
      </c>
      <c r="E278" s="63" t="str">
        <f t="shared" si="21"/>
        <v>Roiphet15</v>
      </c>
      <c r="F278" s="79">
        <f>ROUND(VLOOKUP(C278,'RAW DATA 2023'!E:BO,23,0),0)</f>
        <v>32</v>
      </c>
      <c r="G278" s="79">
        <f>VLOOKUP(C278,'RAW DATA 2023'!E:BO,24,0)</f>
        <v>66.942142857142855</v>
      </c>
      <c r="H278" s="79">
        <f>IFERROR(VLOOKUP(F278,STD!B:G,2,FALSE),"")</f>
        <v>77</v>
      </c>
      <c r="I278" s="100">
        <f t="shared" si="22"/>
        <v>0.86937847866419293</v>
      </c>
      <c r="J278" s="74">
        <f t="shared" si="23"/>
        <v>11.081354359925788</v>
      </c>
      <c r="K278">
        <f>VLOOKUP(C278,'RAW DATA 2023'!E:BO,12,0)</f>
        <v>0.42</v>
      </c>
      <c r="L278" s="268">
        <f t="shared" si="24"/>
        <v>4.654168831168831</v>
      </c>
      <c r="M278"/>
    </row>
    <row r="279" spans="1:13">
      <c r="A279" s="64" t="str">
        <f>'RAW DATA 2023'!B272</f>
        <v>Roiphet1</v>
      </c>
      <c r="B279" s="64" t="str">
        <f>'RAW DATA 2023'!D272</f>
        <v>B1-I01-0095</v>
      </c>
      <c r="C279" s="63" t="str">
        <f t="shared" si="20"/>
        <v>Roiphet1B1-I01-0095</v>
      </c>
      <c r="D279" s="63">
        <f>VLOOKUP(C279,'RAW DATA 2023'!E:BP,63,0)</f>
        <v>6</v>
      </c>
      <c r="E279" s="63" t="str">
        <f t="shared" si="21"/>
        <v>Roiphet16</v>
      </c>
      <c r="F279" s="79">
        <f>ROUND(VLOOKUP(C279,'RAW DATA 2023'!E:BO,23,0),0)</f>
        <v>34</v>
      </c>
      <c r="G279" s="79">
        <f>VLOOKUP(C279,'RAW DATA 2023'!E:BO,24,0)</f>
        <v>82.0595</v>
      </c>
      <c r="H279" s="79">
        <f>IFERROR(VLOOKUP(F279,STD!B:G,2,FALSE),"")</f>
        <v>80</v>
      </c>
      <c r="I279" s="100">
        <f t="shared" si="22"/>
        <v>1.02574375</v>
      </c>
      <c r="J279" s="74">
        <f t="shared" si="23"/>
        <v>15.772312499999998</v>
      </c>
      <c r="K279">
        <f>VLOOKUP(C279,'RAW DATA 2023'!E:BO,12,0)</f>
        <v>0.2</v>
      </c>
      <c r="L279" s="268">
        <f t="shared" si="24"/>
        <v>3.1544624999999997</v>
      </c>
      <c r="M279"/>
    </row>
    <row r="280" spans="1:13">
      <c r="A280" s="64" t="str">
        <f>'RAW DATA 2023'!B273</f>
        <v>Roiphet1</v>
      </c>
      <c r="B280" s="64" t="str">
        <f>'RAW DATA 2023'!D273</f>
        <v>B6-I12-0086</v>
      </c>
      <c r="C280" s="63" t="str">
        <f t="shared" si="20"/>
        <v>Roiphet1B6-I12-0086</v>
      </c>
      <c r="D280" s="63">
        <f>VLOOKUP(C280,'RAW DATA 2023'!E:BP,63,0)</f>
        <v>6</v>
      </c>
      <c r="E280" s="63" t="str">
        <f t="shared" si="21"/>
        <v>Roiphet16</v>
      </c>
      <c r="F280" s="79">
        <f>ROUND(VLOOKUP(C280,'RAW DATA 2023'!E:BO,23,0),0)</f>
        <v>37</v>
      </c>
      <c r="G280" s="79">
        <f>VLOOKUP(C280,'RAW DATA 2023'!E:BO,24,0)</f>
        <v>75.48681818181818</v>
      </c>
      <c r="H280" s="79">
        <f>IFERROR(VLOOKUP(F280,STD!B:G,2,FALSE),"")</f>
        <v>81</v>
      </c>
      <c r="I280" s="100">
        <f t="shared" si="22"/>
        <v>0.93193602693602695</v>
      </c>
      <c r="J280" s="74">
        <f t="shared" si="23"/>
        <v>12.958080808080808</v>
      </c>
      <c r="K280">
        <f>VLOOKUP(C280,'RAW DATA 2023'!E:BO,12,0)</f>
        <v>0.22</v>
      </c>
      <c r="L280" s="268">
        <f t="shared" si="24"/>
        <v>2.8507777777777776</v>
      </c>
      <c r="M280"/>
    </row>
    <row r="281" spans="1:13">
      <c r="A281" s="64" t="str">
        <f>'RAW DATA 2023'!B274</f>
        <v>Roiphet1</v>
      </c>
      <c r="B281" s="64" t="str">
        <f>'RAW DATA 2023'!D274</f>
        <v>B2-G04-0092</v>
      </c>
      <c r="C281" s="63" t="str">
        <f t="shared" si="20"/>
        <v>Roiphet1B2-G04-0092</v>
      </c>
      <c r="D281" s="63">
        <f>VLOOKUP(C281,'RAW DATA 2023'!E:BP,63,0)</f>
        <v>6</v>
      </c>
      <c r="E281" s="63" t="str">
        <f t="shared" si="21"/>
        <v>Roiphet16</v>
      </c>
      <c r="F281" s="79">
        <f>ROUND(VLOOKUP(C281,'RAW DATA 2023'!E:BO,23,0),0)</f>
        <v>40</v>
      </c>
      <c r="G281" s="79">
        <f>VLOOKUP(C281,'RAW DATA 2023'!E:BO,24,0)</f>
        <v>58.975250000000003</v>
      </c>
      <c r="H281" s="79">
        <f>IFERROR(VLOOKUP(F281,STD!B:G,2,FALSE),"")</f>
        <v>82</v>
      </c>
      <c r="I281" s="100">
        <f t="shared" si="22"/>
        <v>0.71921036585365861</v>
      </c>
      <c r="J281" s="74">
        <f t="shared" si="23"/>
        <v>6.5763109756097577</v>
      </c>
      <c r="K281">
        <f>VLOOKUP(C281,'RAW DATA 2023'!E:BO,12,0)</f>
        <v>0.4</v>
      </c>
      <c r="L281" s="268">
        <f t="shared" si="24"/>
        <v>2.6305243902439033</v>
      </c>
      <c r="M281"/>
    </row>
    <row r="282" spans="1:13">
      <c r="A282" s="64" t="str">
        <f>'RAW DATA 2023'!B275</f>
        <v>Roiphet1</v>
      </c>
      <c r="B282" s="64" t="str">
        <f>'RAW DATA 2023'!D275</f>
        <v>B5-I10-0090</v>
      </c>
      <c r="C282" s="63" t="str">
        <f t="shared" si="20"/>
        <v>Roiphet1B5-I10-0090</v>
      </c>
      <c r="D282" s="63">
        <f>VLOOKUP(C282,'RAW DATA 2023'!E:BP,63,0)</f>
        <v>5</v>
      </c>
      <c r="E282" s="63" t="str">
        <f t="shared" si="21"/>
        <v>Roiphet15</v>
      </c>
      <c r="F282" s="79">
        <f>ROUND(VLOOKUP(C282,'RAW DATA 2023'!E:BO,23,0),0)</f>
        <v>30</v>
      </c>
      <c r="G282" s="79">
        <f>VLOOKUP(C282,'RAW DATA 2023'!E:BO,24,0)</f>
        <v>66.11272727272727</v>
      </c>
      <c r="H282" s="79">
        <f>IFERROR(VLOOKUP(F282,STD!B:G,2,FALSE),"")</f>
        <v>76</v>
      </c>
      <c r="I282" s="100">
        <f t="shared" si="22"/>
        <v>0.86990430622009562</v>
      </c>
      <c r="J282" s="74">
        <f t="shared" si="23"/>
        <v>11.097129186602869</v>
      </c>
      <c r="K282">
        <f>VLOOKUP(C282,'RAW DATA 2023'!E:BO,12,0)</f>
        <v>0.22</v>
      </c>
      <c r="L282" s="268">
        <f t="shared" si="24"/>
        <v>2.4413684210526312</v>
      </c>
      <c r="M282"/>
    </row>
    <row r="283" spans="1:13">
      <c r="A283" s="64" t="str">
        <f>'RAW DATA 2023'!B276</f>
        <v>Roiphet1</v>
      </c>
      <c r="B283" s="64" t="str">
        <f>'RAW DATA 2023'!D276</f>
        <v>B5-I09-0093</v>
      </c>
      <c r="C283" s="63" t="str">
        <f t="shared" si="20"/>
        <v>Roiphet1B5-I09-0093</v>
      </c>
      <c r="D283" s="63">
        <f>VLOOKUP(C283,'RAW DATA 2023'!E:BP,63,0)</f>
        <v>5</v>
      </c>
      <c r="E283" s="63" t="str">
        <f t="shared" si="21"/>
        <v>Roiphet15</v>
      </c>
      <c r="F283" s="79">
        <f>ROUND(VLOOKUP(C283,'RAW DATA 2023'!E:BO,23,0),0)</f>
        <v>32</v>
      </c>
      <c r="G283" s="79">
        <f>VLOOKUP(C283,'RAW DATA 2023'!E:BO,24,0)</f>
        <v>72.800909090909087</v>
      </c>
      <c r="H283" s="79">
        <f>IFERROR(VLOOKUP(F283,STD!B:G,2,FALSE),"")</f>
        <v>77</v>
      </c>
      <c r="I283" s="100">
        <f t="shared" si="22"/>
        <v>0.94546635182998817</v>
      </c>
      <c r="J283" s="74">
        <f t="shared" si="23"/>
        <v>13.363990554899646</v>
      </c>
      <c r="K283">
        <f>VLOOKUP(C283,'RAW DATA 2023'!E:BO,12,0)</f>
        <v>0.22</v>
      </c>
      <c r="L283" s="268">
        <f t="shared" si="24"/>
        <v>2.9400779220779221</v>
      </c>
      <c r="M283"/>
    </row>
    <row r="284" spans="1:13">
      <c r="A284" s="64" t="str">
        <f>'RAW DATA 2023'!B277</f>
        <v>Roiphet1</v>
      </c>
      <c r="B284" s="64" t="str">
        <f>'RAW DATA 2023'!D277</f>
        <v>B4-G07-0076</v>
      </c>
      <c r="C284" s="63" t="str">
        <f t="shared" si="20"/>
        <v>Roiphet1B4-G07-0076</v>
      </c>
      <c r="D284" s="63">
        <f>VLOOKUP(C284,'RAW DATA 2023'!E:BP,63,0)</f>
        <v>3</v>
      </c>
      <c r="E284" s="63" t="str">
        <f t="shared" si="21"/>
        <v>Roiphet13</v>
      </c>
      <c r="F284" s="79">
        <f>ROUND(VLOOKUP(C284,'RAW DATA 2023'!E:BO,23,0),0)</f>
        <v>39</v>
      </c>
      <c r="G284" s="79">
        <f>VLOOKUP(C284,'RAW DATA 2023'!E:BO,24,0)</f>
        <v>64.245957446808504</v>
      </c>
      <c r="H284" s="79">
        <f>IFERROR(VLOOKUP(F284,STD!B:G,2,FALSE),"")</f>
        <v>82</v>
      </c>
      <c r="I284" s="100">
        <f t="shared" si="22"/>
        <v>0.78348728593668904</v>
      </c>
      <c r="J284" s="74">
        <f t="shared" si="23"/>
        <v>8.504618578100672</v>
      </c>
      <c r="K284">
        <f>VLOOKUP(C284,'RAW DATA 2023'!E:BO,12,0)</f>
        <v>0.47</v>
      </c>
      <c r="L284" s="268">
        <f t="shared" si="24"/>
        <v>3.9971707317073157</v>
      </c>
      <c r="M284"/>
    </row>
    <row r="285" spans="1:13">
      <c r="A285" s="64" t="str">
        <f>'RAW DATA 2023'!B278</f>
        <v>Roiphet1</v>
      </c>
      <c r="B285" s="64" t="str">
        <f>'RAW DATA 2023'!D278</f>
        <v>B1-G02-0089</v>
      </c>
      <c r="C285" s="63" t="str">
        <f t="shared" si="20"/>
        <v>Roiphet1B1-G02-0089</v>
      </c>
      <c r="D285" s="63">
        <f>VLOOKUP(C285,'RAW DATA 2023'!E:BP,63,0)</f>
        <v>12</v>
      </c>
      <c r="E285" s="63" t="str">
        <f t="shared" si="21"/>
        <v>Roiphet112</v>
      </c>
      <c r="F285" s="79">
        <f>ROUND(VLOOKUP(C285,'RAW DATA 2023'!E:BO,23,0),0)</f>
        <v>38</v>
      </c>
      <c r="G285" s="79">
        <f>VLOOKUP(C285,'RAW DATA 2023'!E:BO,24,0)</f>
        <v>80.846199999999996</v>
      </c>
      <c r="H285" s="79">
        <f>IFERROR(VLOOKUP(F285,STD!B:G,2,FALSE),"")</f>
        <v>81</v>
      </c>
      <c r="I285" s="100">
        <f t="shared" si="22"/>
        <v>0.99810123456790123</v>
      </c>
      <c r="J285" s="74">
        <f t="shared" si="23"/>
        <v>14.943037037037037</v>
      </c>
      <c r="K285">
        <f>VLOOKUP(C285,'RAW DATA 2023'!E:BO,12,0)</f>
        <v>0.5</v>
      </c>
      <c r="L285" s="268">
        <f t="shared" si="24"/>
        <v>7.4715185185185184</v>
      </c>
      <c r="M285"/>
    </row>
    <row r="286" spans="1:13">
      <c r="A286" s="64" t="str">
        <f>'RAW DATA 2023'!B279</f>
        <v>Roiphet1</v>
      </c>
      <c r="B286" s="64" t="str">
        <f>'RAW DATA 2023'!D279</f>
        <v>B4-I08-0089</v>
      </c>
      <c r="C286" s="63" t="str">
        <f t="shared" si="20"/>
        <v>Roiphet1B4-I08-0089</v>
      </c>
      <c r="D286" s="63">
        <f>VLOOKUP(C286,'RAW DATA 2023'!E:BP,63,0)</f>
        <v>7</v>
      </c>
      <c r="E286" s="63" t="str">
        <f t="shared" si="21"/>
        <v>Roiphet17</v>
      </c>
      <c r="F286" s="79">
        <f>ROUND(VLOOKUP(C286,'RAW DATA 2023'!E:BO,23,0),0)</f>
        <v>37</v>
      </c>
      <c r="G286" s="79">
        <f>VLOOKUP(C286,'RAW DATA 2023'!E:BO,24,0)</f>
        <v>65.237499999999997</v>
      </c>
      <c r="H286" s="79">
        <f>IFERROR(VLOOKUP(F286,STD!B:G,2,FALSE),"")</f>
        <v>81</v>
      </c>
      <c r="I286" s="100">
        <f t="shared" si="22"/>
        <v>0.80540123456790125</v>
      </c>
      <c r="J286" s="74">
        <f t="shared" si="23"/>
        <v>9.1620370370370381</v>
      </c>
      <c r="K286">
        <f>VLOOKUP(C286,'RAW DATA 2023'!E:BO,12,0)</f>
        <v>0.2</v>
      </c>
      <c r="L286" s="268">
        <f t="shared" si="24"/>
        <v>1.8324074074074077</v>
      </c>
      <c r="M286"/>
    </row>
    <row r="287" spans="1:13">
      <c r="A287" s="64" t="str">
        <f>'RAW DATA 2023'!B280</f>
        <v>Roiphet1</v>
      </c>
      <c r="B287" s="64" t="str">
        <f>'RAW DATA 2023'!D280</f>
        <v>B2-I04-0098</v>
      </c>
      <c r="C287" s="63" t="str">
        <f t="shared" si="20"/>
        <v>Roiphet1B2-I04-0098</v>
      </c>
      <c r="D287" s="63">
        <f>VLOOKUP(C287,'RAW DATA 2023'!E:BP,63,0)</f>
        <v>6</v>
      </c>
      <c r="E287" s="63" t="str">
        <f t="shared" si="21"/>
        <v>Roiphet16</v>
      </c>
      <c r="F287" s="79">
        <f>ROUND(VLOOKUP(C287,'RAW DATA 2023'!E:BO,23,0),0)</f>
        <v>41</v>
      </c>
      <c r="G287" s="79">
        <f>VLOOKUP(C287,'RAW DATA 2023'!E:BO,24,0)</f>
        <v>71.012</v>
      </c>
      <c r="H287" s="79">
        <f>IFERROR(VLOOKUP(F287,STD!B:G,2,FALSE),"")</f>
        <v>82</v>
      </c>
      <c r="I287" s="100">
        <f t="shared" si="22"/>
        <v>0.86599999999999999</v>
      </c>
      <c r="J287" s="74">
        <f t="shared" si="23"/>
        <v>10.98</v>
      </c>
      <c r="K287">
        <f>VLOOKUP(C287,'RAW DATA 2023'!E:BO,12,0)</f>
        <v>0.2</v>
      </c>
      <c r="L287" s="268">
        <f t="shared" si="24"/>
        <v>2.1960000000000002</v>
      </c>
      <c r="M287"/>
    </row>
    <row r="288" spans="1:13">
      <c r="A288" s="64" t="str">
        <f>'RAW DATA 2023'!B281</f>
        <v>Roiphet1</v>
      </c>
      <c r="B288" s="64" t="str">
        <f>'RAW DATA 2023'!D281</f>
        <v>B4-I08-0088</v>
      </c>
      <c r="C288" s="63" t="str">
        <f t="shared" si="20"/>
        <v>Roiphet1B4-I08-0088</v>
      </c>
      <c r="D288" s="63">
        <f>VLOOKUP(C288,'RAW DATA 2023'!E:BP,63,0)</f>
        <v>3</v>
      </c>
      <c r="E288" s="63" t="str">
        <f t="shared" si="21"/>
        <v>Roiphet13</v>
      </c>
      <c r="F288" s="79">
        <f>ROUND(VLOOKUP(C288,'RAW DATA 2023'!E:BO,23,0),0)</f>
        <v>37</v>
      </c>
      <c r="G288" s="79">
        <f>VLOOKUP(C288,'RAW DATA 2023'!E:BO,24,0)</f>
        <v>59.268076923076919</v>
      </c>
      <c r="H288" s="79">
        <f>IFERROR(VLOOKUP(F288,STD!B:G,2,FALSE),"")</f>
        <v>81</v>
      </c>
      <c r="I288" s="100">
        <f t="shared" si="22"/>
        <v>0.73170465337131996</v>
      </c>
      <c r="J288" s="74">
        <f t="shared" si="23"/>
        <v>6.9511396011395989</v>
      </c>
      <c r="K288">
        <f>VLOOKUP(C288,'RAW DATA 2023'!E:BO,12,0)</f>
        <v>0.26</v>
      </c>
      <c r="L288" s="268">
        <f t="shared" si="24"/>
        <v>1.8072962962962957</v>
      </c>
      <c r="M288"/>
    </row>
    <row r="289" spans="1:13">
      <c r="A289" s="64" t="str">
        <f>'RAW DATA 2023'!B282</f>
        <v>Roiphet1</v>
      </c>
      <c r="B289" s="64" t="str">
        <f>'RAW DATA 2023'!D282</f>
        <v>B1-I01-0096</v>
      </c>
      <c r="C289" s="63" t="str">
        <f t="shared" si="20"/>
        <v>Roiphet1B1-I01-0096</v>
      </c>
      <c r="D289" s="63">
        <f>VLOOKUP(C289,'RAW DATA 2023'!E:BP,63,0)</f>
        <v>12</v>
      </c>
      <c r="E289" s="63" t="str">
        <f t="shared" si="21"/>
        <v>Roiphet112</v>
      </c>
      <c r="F289" s="79">
        <f>ROUND(VLOOKUP(C289,'RAW DATA 2023'!E:BO,23,0),0)</f>
        <v>40</v>
      </c>
      <c r="G289" s="79">
        <f>VLOOKUP(C289,'RAW DATA 2023'!E:BO,24,0)</f>
        <v>80.911599999999993</v>
      </c>
      <c r="H289" s="79">
        <f>IFERROR(VLOOKUP(F289,STD!B:G,2,FALSE),"")</f>
        <v>82</v>
      </c>
      <c r="I289" s="100">
        <f t="shared" si="22"/>
        <v>0.98672682926829258</v>
      </c>
      <c r="J289" s="74">
        <f t="shared" si="23"/>
        <v>14.601804878048778</v>
      </c>
      <c r="K289">
        <f>VLOOKUP(C289,'RAW DATA 2023'!E:BO,12,0)</f>
        <v>0.25</v>
      </c>
      <c r="L289" s="268">
        <f t="shared" si="24"/>
        <v>3.6504512195121945</v>
      </c>
      <c r="M289"/>
    </row>
    <row r="290" spans="1:13">
      <c r="A290" s="64" t="str">
        <f>'RAW DATA 2023'!B283</f>
        <v>Roiphet1</v>
      </c>
      <c r="B290" s="64" t="str">
        <f>'RAW DATA 2023'!D283</f>
        <v>B4-I07-0088</v>
      </c>
      <c r="C290" s="63" t="str">
        <f t="shared" si="20"/>
        <v>Roiphet1B4-I07-0088</v>
      </c>
      <c r="D290" s="63">
        <f>VLOOKUP(C290,'RAW DATA 2023'!E:BP,63,0)</f>
        <v>3</v>
      </c>
      <c r="E290" s="63" t="str">
        <f t="shared" si="21"/>
        <v>Roiphet13</v>
      </c>
      <c r="F290" s="79">
        <f>ROUND(VLOOKUP(C290,'RAW DATA 2023'!E:BO,23,0),0)</f>
        <v>36</v>
      </c>
      <c r="G290" s="79">
        <f>VLOOKUP(C290,'RAW DATA 2023'!E:BO,24,0)</f>
        <v>65.478846153846149</v>
      </c>
      <c r="H290" s="79">
        <f>IFERROR(VLOOKUP(F290,STD!B:G,2,FALSE),"")</f>
        <v>81</v>
      </c>
      <c r="I290" s="100">
        <f t="shared" si="22"/>
        <v>0.80838081671414996</v>
      </c>
      <c r="J290" s="74">
        <f t="shared" si="23"/>
        <v>9.2514245014244985</v>
      </c>
      <c r="K290">
        <f>VLOOKUP(C290,'RAW DATA 2023'!E:BO,12,0)</f>
        <v>0.26</v>
      </c>
      <c r="L290" s="268">
        <f t="shared" si="24"/>
        <v>2.4053703703703695</v>
      </c>
      <c r="M290"/>
    </row>
    <row r="291" spans="1:13">
      <c r="A291" s="64" t="str">
        <f>'RAW DATA 2023'!B284</f>
        <v>Roiphet1</v>
      </c>
      <c r="B291" s="64" t="str">
        <f>'RAW DATA 2023'!D284</f>
        <v>B5-G09-0084</v>
      </c>
      <c r="C291" s="63" t="str">
        <f t="shared" si="20"/>
        <v>Roiphet1B5-G09-0084</v>
      </c>
      <c r="D291" s="63">
        <f>VLOOKUP(C291,'RAW DATA 2023'!E:BP,63,0)</f>
        <v>5</v>
      </c>
      <c r="E291" s="63" t="str">
        <f t="shared" si="21"/>
        <v>Roiphet15</v>
      </c>
      <c r="F291" s="79">
        <f>ROUND(VLOOKUP(C291,'RAW DATA 2023'!E:BO,23,0),0)</f>
        <v>35</v>
      </c>
      <c r="G291" s="79">
        <f>VLOOKUP(C291,'RAW DATA 2023'!E:BO,24,0)</f>
        <v>65.881913043478264</v>
      </c>
      <c r="H291" s="79">
        <f>IFERROR(VLOOKUP(F291,STD!B:G,2,FALSE),"")</f>
        <v>80</v>
      </c>
      <c r="I291" s="100">
        <f t="shared" si="22"/>
        <v>0.82352391304347827</v>
      </c>
      <c r="J291" s="74">
        <f t="shared" si="23"/>
        <v>9.7057173913043489</v>
      </c>
      <c r="K291">
        <f>VLOOKUP(C291,'RAW DATA 2023'!E:BO,12,0)</f>
        <v>0.57499999999999996</v>
      </c>
      <c r="L291" s="268">
        <f t="shared" si="24"/>
        <v>5.5807875000000005</v>
      </c>
      <c r="M291"/>
    </row>
    <row r="292" spans="1:13">
      <c r="A292" s="64" t="str">
        <f>'RAW DATA 2023'!B285</f>
        <v>Roiphet1</v>
      </c>
      <c r="B292" s="64" t="str">
        <f>'RAW DATA 2023'!D285</f>
        <v>B1-G01-0085</v>
      </c>
      <c r="C292" s="63" t="str">
        <f t="shared" si="20"/>
        <v>Roiphet1B1-G01-0085</v>
      </c>
      <c r="D292" s="63">
        <f>VLOOKUP(C292,'RAW DATA 2023'!E:BP,63,0)</f>
        <v>12</v>
      </c>
      <c r="E292" s="63" t="str">
        <f t="shared" si="21"/>
        <v>Roiphet112</v>
      </c>
      <c r="F292" s="79">
        <f>ROUND(VLOOKUP(C292,'RAW DATA 2023'!E:BO,23,0),0)</f>
        <v>38</v>
      </c>
      <c r="G292" s="79">
        <f>VLOOKUP(C292,'RAW DATA 2023'!E:BO,24,0)</f>
        <v>84.978999999999999</v>
      </c>
      <c r="H292" s="79">
        <f>IFERROR(VLOOKUP(F292,STD!B:G,2,FALSE),"")</f>
        <v>81</v>
      </c>
      <c r="I292" s="100">
        <f t="shared" si="22"/>
        <v>1.0491234567901235</v>
      </c>
      <c r="J292" s="74">
        <f t="shared" si="23"/>
        <v>16.473703703703706</v>
      </c>
      <c r="K292">
        <f>VLOOKUP(C292,'RAW DATA 2023'!E:BO,12,0)</f>
        <v>0.5</v>
      </c>
      <c r="L292" s="268">
        <f t="shared" si="24"/>
        <v>8.2368518518518528</v>
      </c>
      <c r="M292"/>
    </row>
    <row r="293" spans="1:13">
      <c r="A293" s="64" t="str">
        <f>'RAW DATA 2023'!B286</f>
        <v>Roiphet1</v>
      </c>
      <c r="B293" s="64" t="str">
        <f>'RAW DATA 2023'!D286</f>
        <v>B6-I11-0083</v>
      </c>
      <c r="C293" s="63" t="str">
        <f t="shared" si="20"/>
        <v>Roiphet1B6-I11-0083</v>
      </c>
      <c r="D293" s="63">
        <f>VLOOKUP(C293,'RAW DATA 2023'!E:BP,63,0)</f>
        <v>6</v>
      </c>
      <c r="E293" s="63" t="str">
        <f t="shared" si="21"/>
        <v>Roiphet16</v>
      </c>
      <c r="F293" s="79">
        <f>ROUND(VLOOKUP(C293,'RAW DATA 2023'!E:BO,23,0),0)</f>
        <v>38</v>
      </c>
      <c r="G293" s="79">
        <f>VLOOKUP(C293,'RAW DATA 2023'!E:BO,24,0)</f>
        <v>76.429545454545462</v>
      </c>
      <c r="H293" s="79">
        <f>IFERROR(VLOOKUP(F293,STD!B:G,2,FALSE),"")</f>
        <v>81</v>
      </c>
      <c r="I293" s="100">
        <f t="shared" si="22"/>
        <v>0.94357463524130203</v>
      </c>
      <c r="J293" s="74">
        <f t="shared" si="23"/>
        <v>13.307239057239061</v>
      </c>
      <c r="K293">
        <f>VLOOKUP(C293,'RAW DATA 2023'!E:BO,12,0)</f>
        <v>0.22</v>
      </c>
      <c r="L293" s="268">
        <f t="shared" si="24"/>
        <v>2.9275925925925934</v>
      </c>
      <c r="M293"/>
    </row>
    <row r="294" spans="1:13">
      <c r="A294" s="64" t="str">
        <f>'RAW DATA 2023'!B287</f>
        <v>Roiphet1</v>
      </c>
      <c r="B294" s="64" t="str">
        <f>'RAW DATA 2023'!D287</f>
        <v>B5-I09-0094</v>
      </c>
      <c r="C294" s="63" t="str">
        <f t="shared" si="20"/>
        <v>Roiphet1B5-I09-0094</v>
      </c>
      <c r="D294" s="63">
        <f>VLOOKUP(C294,'RAW DATA 2023'!E:BP,63,0)</f>
        <v>7</v>
      </c>
      <c r="E294" s="63" t="str">
        <f t="shared" si="21"/>
        <v>Roiphet17</v>
      </c>
      <c r="F294" s="79">
        <f>ROUND(VLOOKUP(C294,'RAW DATA 2023'!E:BO,23,0),0)</f>
        <v>57</v>
      </c>
      <c r="G294" s="79">
        <f>VLOOKUP(C294,'RAW DATA 2023'!E:BO,24,0)</f>
        <v>63.913200000000003</v>
      </c>
      <c r="H294" s="79">
        <f>IFERROR(VLOOKUP(F294,STD!B:G,2,FALSE),"")</f>
        <v>86</v>
      </c>
      <c r="I294" s="100">
        <f t="shared" si="22"/>
        <v>0.74317674418604651</v>
      </c>
      <c r="J294" s="74">
        <f t="shared" si="23"/>
        <v>7.2953023255813951</v>
      </c>
      <c r="K294">
        <f>VLOOKUP(C294,'RAW DATA 2023'!E:BO,12,0)</f>
        <v>0.25</v>
      </c>
      <c r="L294" s="268">
        <f t="shared" si="24"/>
        <v>1.8238255813953488</v>
      </c>
      <c r="M294"/>
    </row>
    <row r="295" spans="1:13">
      <c r="A295" s="64" t="str">
        <f>'RAW DATA 2023'!B288</f>
        <v>Roiphet1</v>
      </c>
      <c r="B295" s="64" t="str">
        <f>'RAW DATA 2023'!D288</f>
        <v>B5-G09-0085</v>
      </c>
      <c r="C295" s="63" t="str">
        <f t="shared" si="20"/>
        <v>Roiphet1B5-G09-0085</v>
      </c>
      <c r="D295" s="63">
        <f>VLOOKUP(C295,'RAW DATA 2023'!E:BP,63,0)</f>
        <v>7</v>
      </c>
      <c r="E295" s="63" t="str">
        <f t="shared" si="21"/>
        <v>Roiphet17</v>
      </c>
      <c r="F295" s="79">
        <f>ROUND(VLOOKUP(C295,'RAW DATA 2023'!E:BO,23,0),0)</f>
        <v>55</v>
      </c>
      <c r="G295" s="79">
        <f>VLOOKUP(C295,'RAW DATA 2023'!E:BO,24,0)</f>
        <v>65.143000000000001</v>
      </c>
      <c r="H295" s="79">
        <f>IFERROR(VLOOKUP(F295,STD!B:G,2,FALSE),"")</f>
        <v>86</v>
      </c>
      <c r="I295" s="100">
        <f t="shared" si="22"/>
        <v>0.75747674418604649</v>
      </c>
      <c r="J295" s="74">
        <f t="shared" si="23"/>
        <v>7.7243023255813945</v>
      </c>
      <c r="K295">
        <f>VLOOKUP(C295,'RAW DATA 2023'!E:BO,12,0)</f>
        <v>0.5</v>
      </c>
      <c r="L295" s="268">
        <f t="shared" si="24"/>
        <v>3.8621511627906973</v>
      </c>
      <c r="M295"/>
    </row>
    <row r="296" spans="1:13">
      <c r="A296" s="64" t="str">
        <f>'RAW DATA 2023'!B289</f>
        <v>Roiphet1</v>
      </c>
      <c r="B296" s="64" t="str">
        <f>'RAW DATA 2023'!D289</f>
        <v>B2-I03-0095</v>
      </c>
      <c r="C296" s="63" t="str">
        <f t="shared" si="20"/>
        <v>Roiphet1B2-I03-0095</v>
      </c>
      <c r="D296" s="63">
        <f>VLOOKUP(C296,'RAW DATA 2023'!E:BP,63,0)</f>
        <v>6</v>
      </c>
      <c r="E296" s="63" t="str">
        <f t="shared" si="21"/>
        <v>Roiphet16</v>
      </c>
      <c r="F296" s="79">
        <f>ROUND(VLOOKUP(C296,'RAW DATA 2023'!E:BO,23,0),0)</f>
        <v>42</v>
      </c>
      <c r="G296" s="79">
        <f>VLOOKUP(C296,'RAW DATA 2023'!E:BO,24,0)</f>
        <v>68.591000000000008</v>
      </c>
      <c r="H296" s="79">
        <f>IFERROR(VLOOKUP(F296,STD!B:G,2,FALSE),"")</f>
        <v>82</v>
      </c>
      <c r="I296" s="100">
        <f t="shared" si="22"/>
        <v>0.83647560975609769</v>
      </c>
      <c r="J296" s="74">
        <f t="shared" si="23"/>
        <v>10.09426829268293</v>
      </c>
      <c r="K296">
        <f>VLOOKUP(C296,'RAW DATA 2023'!E:BO,12,0)</f>
        <v>0.2</v>
      </c>
      <c r="L296" s="268">
        <f t="shared" si="24"/>
        <v>2.0188536585365862</v>
      </c>
      <c r="M296"/>
    </row>
    <row r="297" spans="1:13">
      <c r="A297" s="64" t="str">
        <f>'RAW DATA 2023'!B290</f>
        <v>Roiphet1</v>
      </c>
      <c r="B297" s="64" t="str">
        <f>'RAW DATA 2023'!D290</f>
        <v>B3-G05-0092</v>
      </c>
      <c r="C297" s="63" t="str">
        <f t="shared" si="20"/>
        <v>Roiphet1B3-G05-0092</v>
      </c>
      <c r="D297" s="63">
        <f>VLOOKUP(C297,'RAW DATA 2023'!E:BP,63,0)</f>
        <v>5</v>
      </c>
      <c r="E297" s="63" t="str">
        <f t="shared" si="21"/>
        <v>Roiphet15</v>
      </c>
      <c r="F297" s="79">
        <f>ROUND(VLOOKUP(C297,'RAW DATA 2023'!E:BO,23,0),0)</f>
        <v>32</v>
      </c>
      <c r="G297" s="79">
        <f>VLOOKUP(C297,'RAW DATA 2023'!E:BO,24,0)</f>
        <v>72.972987012987005</v>
      </c>
      <c r="H297" s="79">
        <f>IFERROR(VLOOKUP(F297,STD!B:G,2,FALSE),"")</f>
        <v>77</v>
      </c>
      <c r="I297" s="100">
        <f t="shared" si="22"/>
        <v>0.94770113003879231</v>
      </c>
      <c r="J297" s="74">
        <f t="shared" si="23"/>
        <v>13.431033901163769</v>
      </c>
      <c r="K297">
        <f>VLOOKUP(C297,'RAW DATA 2023'!E:BO,12,0)</f>
        <v>0.38500000000000001</v>
      </c>
      <c r="L297" s="268">
        <f t="shared" si="24"/>
        <v>5.1709480519480513</v>
      </c>
      <c r="M297"/>
    </row>
    <row r="298" spans="1:13">
      <c r="A298" s="64" t="str">
        <f>'RAW DATA 2023'!B291</f>
        <v>Roiphet1</v>
      </c>
      <c r="B298" s="64" t="str">
        <f>'RAW DATA 2023'!D291</f>
        <v>B3-G06-0081</v>
      </c>
      <c r="C298" s="63" t="str">
        <f t="shared" si="20"/>
        <v>Roiphet1B3-G06-0081</v>
      </c>
      <c r="D298" s="63">
        <f>VLOOKUP(C298,'RAW DATA 2023'!E:BP,63,0)</f>
        <v>6</v>
      </c>
      <c r="E298" s="63" t="str">
        <f t="shared" si="21"/>
        <v>Roiphet16</v>
      </c>
      <c r="F298" s="79">
        <f>ROUND(VLOOKUP(C298,'RAW DATA 2023'!E:BO,23,0),0)</f>
        <v>37</v>
      </c>
      <c r="G298" s="79">
        <f>VLOOKUP(C298,'RAW DATA 2023'!E:BO,24,0)</f>
        <v>88.613571428571419</v>
      </c>
      <c r="H298" s="79">
        <f>IFERROR(VLOOKUP(F298,STD!B:G,2,FALSE),"")</f>
        <v>81</v>
      </c>
      <c r="I298" s="100">
        <f t="shared" si="22"/>
        <v>1.0939947089947089</v>
      </c>
      <c r="J298" s="74">
        <f t="shared" si="23"/>
        <v>17.819841269841266</v>
      </c>
      <c r="K298">
        <f>VLOOKUP(C298,'RAW DATA 2023'!E:BO,12,0)</f>
        <v>0.42</v>
      </c>
      <c r="L298" s="268">
        <f t="shared" si="24"/>
        <v>7.4843333333333311</v>
      </c>
      <c r="M298"/>
    </row>
    <row r="299" spans="1:13">
      <c r="A299" s="64" t="str">
        <f>'RAW DATA 2023'!B292</f>
        <v>Roiphet1</v>
      </c>
      <c r="B299" s="64" t="str">
        <f>'RAW DATA 2023'!D292</f>
        <v>B4-G08-0080</v>
      </c>
      <c r="C299" s="63" t="str">
        <f t="shared" si="20"/>
        <v>Roiphet1B4-G08-0080</v>
      </c>
      <c r="D299" s="63">
        <f>VLOOKUP(C299,'RAW DATA 2023'!E:BP,63,0)</f>
        <v>7</v>
      </c>
      <c r="E299" s="63" t="str">
        <f t="shared" si="21"/>
        <v>Roiphet17</v>
      </c>
      <c r="F299" s="79">
        <f>ROUND(VLOOKUP(C299,'RAW DATA 2023'!E:BO,23,0),0)</f>
        <v>40</v>
      </c>
      <c r="G299" s="79">
        <f>VLOOKUP(C299,'RAW DATA 2023'!E:BO,24,0)</f>
        <v>76.336250000000007</v>
      </c>
      <c r="H299" s="79">
        <f>IFERROR(VLOOKUP(F299,STD!B:G,2,FALSE),"")</f>
        <v>82</v>
      </c>
      <c r="I299" s="100">
        <f t="shared" si="22"/>
        <v>0.93092987804878058</v>
      </c>
      <c r="J299" s="74">
        <f t="shared" si="23"/>
        <v>12.927896341463418</v>
      </c>
      <c r="K299">
        <f>VLOOKUP(C299,'RAW DATA 2023'!E:BO,12,0)</f>
        <v>0.4</v>
      </c>
      <c r="L299" s="268">
        <f t="shared" si="24"/>
        <v>5.1711585365853674</v>
      </c>
      <c r="M299"/>
    </row>
    <row r="300" spans="1:13">
      <c r="A300" s="64" t="str">
        <f>'RAW DATA 2023'!B293</f>
        <v>Roiphet1</v>
      </c>
      <c r="B300" s="64" t="str">
        <f>'RAW DATA 2023'!D293</f>
        <v>B4-I07-0089</v>
      </c>
      <c r="C300" s="63" t="str">
        <f t="shared" si="20"/>
        <v>Roiphet1B4-I07-0089</v>
      </c>
      <c r="D300" s="63">
        <f>VLOOKUP(C300,'RAW DATA 2023'!E:BP,63,0)</f>
        <v>7</v>
      </c>
      <c r="E300" s="63" t="str">
        <f t="shared" si="21"/>
        <v>Roiphet17</v>
      </c>
      <c r="F300" s="79">
        <f>ROUND(VLOOKUP(C300,'RAW DATA 2023'!E:BO,23,0),0)</f>
        <v>38</v>
      </c>
      <c r="G300" s="79">
        <f>VLOOKUP(C300,'RAW DATA 2023'!E:BO,24,0)</f>
        <v>68.884</v>
      </c>
      <c r="H300" s="79">
        <f>IFERROR(VLOOKUP(F300,STD!B:G,2,FALSE),"")</f>
        <v>81</v>
      </c>
      <c r="I300" s="100">
        <f t="shared" si="22"/>
        <v>0.85041975308641971</v>
      </c>
      <c r="J300" s="74">
        <f t="shared" si="23"/>
        <v>10.512592592592592</v>
      </c>
      <c r="K300">
        <f>VLOOKUP(C300,'RAW DATA 2023'!E:BO,12,0)</f>
        <v>0.2</v>
      </c>
      <c r="L300" s="268">
        <f t="shared" si="24"/>
        <v>2.1025185185185182</v>
      </c>
      <c r="M300"/>
    </row>
    <row r="301" spans="1:13">
      <c r="A301" s="64" t="str">
        <f>'RAW DATA 2023'!B294</f>
        <v>Roiphet1</v>
      </c>
      <c r="B301" s="64" t="str">
        <f>'RAW DATA 2023'!D294</f>
        <v>B3-I05-0092</v>
      </c>
      <c r="C301" s="63" t="str">
        <f t="shared" si="20"/>
        <v>Roiphet1B3-I05-0092</v>
      </c>
      <c r="D301" s="63">
        <f>VLOOKUP(C301,'RAW DATA 2023'!E:BP,63,0)</f>
        <v>5</v>
      </c>
      <c r="E301" s="63" t="str">
        <f t="shared" si="21"/>
        <v>Roiphet15</v>
      </c>
      <c r="F301" s="79">
        <f>ROUND(VLOOKUP(C301,'RAW DATA 2023'!E:BO,23,0),0)</f>
        <v>32</v>
      </c>
      <c r="G301" s="79">
        <f>VLOOKUP(C301,'RAW DATA 2023'!E:BO,24,0)</f>
        <v>65.385909090909095</v>
      </c>
      <c r="H301" s="79">
        <f>IFERROR(VLOOKUP(F301,STD!B:G,2,FALSE),"")</f>
        <v>77</v>
      </c>
      <c r="I301" s="100">
        <f t="shared" si="22"/>
        <v>0.84916765053128695</v>
      </c>
      <c r="J301" s="74">
        <f t="shared" si="23"/>
        <v>10.475029515938608</v>
      </c>
      <c r="K301">
        <f>VLOOKUP(C301,'RAW DATA 2023'!E:BO,12,0)</f>
        <v>0.22</v>
      </c>
      <c r="L301" s="268">
        <f t="shared" si="24"/>
        <v>2.3045064935064938</v>
      </c>
      <c r="M301"/>
    </row>
    <row r="302" spans="1:13">
      <c r="A302" s="64" t="str">
        <f>'RAW DATA 2023'!B295</f>
        <v>Roiphet1</v>
      </c>
      <c r="B302" s="64" t="str">
        <f>'RAW DATA 2023'!D295</f>
        <v>B4-G07-0077</v>
      </c>
      <c r="C302" s="63" t="str">
        <f t="shared" si="20"/>
        <v>Roiphet1B4-G07-0077</v>
      </c>
      <c r="D302" s="63">
        <f>VLOOKUP(C302,'RAW DATA 2023'!E:BP,63,0)</f>
        <v>7</v>
      </c>
      <c r="E302" s="63" t="str">
        <f t="shared" si="21"/>
        <v>Roiphet17</v>
      </c>
      <c r="F302" s="79">
        <f>ROUND(VLOOKUP(C302,'RAW DATA 2023'!E:BO,23,0),0)</f>
        <v>46</v>
      </c>
      <c r="G302" s="79">
        <f>VLOOKUP(C302,'RAW DATA 2023'!E:BO,24,0)</f>
        <v>73.661249999999995</v>
      </c>
      <c r="H302" s="79">
        <f>IFERROR(VLOOKUP(F302,STD!B:G,2,FALSE),"")</f>
        <v>84</v>
      </c>
      <c r="I302" s="100">
        <f t="shared" si="22"/>
        <v>0.87691964285714286</v>
      </c>
      <c r="J302" s="74">
        <f t="shared" si="23"/>
        <v>11.307589285714286</v>
      </c>
      <c r="K302">
        <f>VLOOKUP(C302,'RAW DATA 2023'!E:BO,12,0)</f>
        <v>0.4</v>
      </c>
      <c r="L302" s="268">
        <f t="shared" si="24"/>
        <v>4.5230357142857143</v>
      </c>
      <c r="M302"/>
    </row>
    <row r="303" spans="1:13">
      <c r="A303" s="64" t="str">
        <f>'RAW DATA 2023'!B296</f>
        <v>Roiphet1</v>
      </c>
      <c r="B303" s="64" t="str">
        <f>'RAW DATA 2023'!D296</f>
        <v>B6-I12-0087</v>
      </c>
      <c r="C303" s="63" t="str">
        <f t="shared" si="20"/>
        <v>Roiphet1B6-I12-0087</v>
      </c>
      <c r="D303" s="63">
        <f>VLOOKUP(C303,'RAW DATA 2023'!E:BP,63,0)</f>
        <v>8</v>
      </c>
      <c r="E303" s="63" t="str">
        <f t="shared" si="21"/>
        <v>Roiphet18</v>
      </c>
      <c r="F303" s="79">
        <f>ROUND(VLOOKUP(C303,'RAW DATA 2023'!E:BO,23,0),0)</f>
        <v>75</v>
      </c>
      <c r="G303" s="79">
        <f>VLOOKUP(C303,'RAW DATA 2023'!E:BO,24,0)</f>
        <v>71.510800000000003</v>
      </c>
      <c r="H303" s="79">
        <f>IFERROR(VLOOKUP(F303,STD!B:G,2,FALSE),"")</f>
        <v>89</v>
      </c>
      <c r="I303" s="100">
        <f t="shared" si="22"/>
        <v>0.80349213483146076</v>
      </c>
      <c r="J303" s="74">
        <f t="shared" si="23"/>
        <v>9.1047640449438223</v>
      </c>
      <c r="K303">
        <f>VLOOKUP(C303,'RAW DATA 2023'!E:BO,12,0)</f>
        <v>0.25</v>
      </c>
      <c r="L303" s="268">
        <f t="shared" si="24"/>
        <v>2.2761910112359556</v>
      </c>
      <c r="M303"/>
    </row>
    <row r="304" spans="1:13">
      <c r="A304" s="64" t="str">
        <f>'RAW DATA 2023'!B297</f>
        <v>Roiphet1</v>
      </c>
      <c r="B304" s="64" t="str">
        <f>'RAW DATA 2023'!D297</f>
        <v>B1-I02-0095</v>
      </c>
      <c r="C304" s="63" t="str">
        <f t="shared" si="20"/>
        <v>Roiphet1B1-I02-0095</v>
      </c>
      <c r="D304" s="63">
        <f>VLOOKUP(C304,'RAW DATA 2023'!E:BP,63,0)</f>
        <v>6</v>
      </c>
      <c r="E304" s="63" t="str">
        <f t="shared" si="21"/>
        <v>Roiphet16</v>
      </c>
      <c r="F304" s="79">
        <f>ROUND(VLOOKUP(C304,'RAW DATA 2023'!E:BO,23,0),0)</f>
        <v>39</v>
      </c>
      <c r="G304" s="79">
        <f>VLOOKUP(C304,'RAW DATA 2023'!E:BO,24,0)</f>
        <v>110.995</v>
      </c>
      <c r="H304" s="79">
        <f>IFERROR(VLOOKUP(F304,STD!B:G,2,FALSE),"")</f>
        <v>82</v>
      </c>
      <c r="I304" s="100">
        <f t="shared" si="22"/>
        <v>1.3535975609756099</v>
      </c>
      <c r="J304" s="74">
        <f t="shared" si="23"/>
        <v>25.607926829268298</v>
      </c>
      <c r="K304">
        <f>VLOOKUP(C304,'RAW DATA 2023'!E:BO,12,0)</f>
        <v>0.2</v>
      </c>
      <c r="L304" s="268">
        <f t="shared" si="24"/>
        <v>5.1215853658536599</v>
      </c>
      <c r="M304"/>
    </row>
    <row r="305" spans="1:13">
      <c r="A305" s="64" t="str">
        <f>'RAW DATA 2023'!B298</f>
        <v>Roiphet1</v>
      </c>
      <c r="B305" s="64" t="str">
        <f>'RAW DATA 2023'!D298</f>
        <v>B1-G01-0084</v>
      </c>
      <c r="C305" s="63" t="str">
        <f t="shared" si="20"/>
        <v>Roiphet1B1-G01-0084</v>
      </c>
      <c r="D305" s="63">
        <f>VLOOKUP(C305,'RAW DATA 2023'!E:BP,63,0)</f>
        <v>6</v>
      </c>
      <c r="E305" s="63" t="str">
        <f t="shared" si="21"/>
        <v>Roiphet16</v>
      </c>
      <c r="F305" s="79">
        <f>ROUND(VLOOKUP(C305,'RAW DATA 2023'!E:BO,23,0),0)</f>
        <v>44</v>
      </c>
      <c r="G305" s="79">
        <f>VLOOKUP(C305,'RAW DATA 2023'!E:BO,24,0)</f>
        <v>86.420500000000004</v>
      </c>
      <c r="H305" s="79">
        <f>IFERROR(VLOOKUP(F305,STD!B:G,2,FALSE),"")</f>
        <v>83</v>
      </c>
      <c r="I305" s="100">
        <f t="shared" si="22"/>
        <v>1.0412108433734941</v>
      </c>
      <c r="J305" s="74">
        <f t="shared" si="23"/>
        <v>16.236325301204822</v>
      </c>
      <c r="K305">
        <f>VLOOKUP(C305,'RAW DATA 2023'!E:BO,12,0)</f>
        <v>0.4</v>
      </c>
      <c r="L305" s="268">
        <f t="shared" si="24"/>
        <v>6.4945301204819295</v>
      </c>
      <c r="M305"/>
    </row>
    <row r="306" spans="1:13">
      <c r="A306" s="64" t="str">
        <f>'RAW DATA 2023'!B299</f>
        <v>Roiphet1</v>
      </c>
      <c r="B306" s="64" t="str">
        <f>'RAW DATA 2023'!D299</f>
        <v>B3-I05-0093</v>
      </c>
      <c r="C306" s="63" t="str">
        <f t="shared" si="20"/>
        <v>Roiphet1B3-I05-0093</v>
      </c>
      <c r="D306" s="63">
        <f>VLOOKUP(C306,'RAW DATA 2023'!E:BP,63,0)</f>
        <v>8</v>
      </c>
      <c r="E306" s="63" t="str">
        <f t="shared" si="21"/>
        <v>Roiphet18</v>
      </c>
      <c r="F306" s="79">
        <f>ROUND(VLOOKUP(C306,'RAW DATA 2023'!E:BO,23,0),0)</f>
        <v>71</v>
      </c>
      <c r="G306" s="79">
        <f>VLOOKUP(C306,'RAW DATA 2023'!E:BO,24,0)</f>
        <v>59.869599999999998</v>
      </c>
      <c r="H306" s="79">
        <f>IFERROR(VLOOKUP(F306,STD!B:G,2,FALSE),"")</f>
        <v>88</v>
      </c>
      <c r="I306" s="100">
        <f t="shared" si="22"/>
        <v>0.68033636363636363</v>
      </c>
      <c r="J306" s="74">
        <f t="shared" si="23"/>
        <v>5.4100909090909086</v>
      </c>
      <c r="K306">
        <f>VLOOKUP(C306,'RAW DATA 2023'!E:BO,12,0)</f>
        <v>0.25</v>
      </c>
      <c r="L306" s="268">
        <f t="shared" si="24"/>
        <v>1.3525227272727272</v>
      </c>
      <c r="M306"/>
    </row>
    <row r="307" spans="1:13">
      <c r="A307" s="64" t="str">
        <f>'RAW DATA 2023'!B300</f>
        <v>Roiphet1</v>
      </c>
      <c r="B307" s="64" t="str">
        <f>'RAW DATA 2023'!D300</f>
        <v>B5-G10-0084</v>
      </c>
      <c r="C307" s="63" t="str">
        <f t="shared" si="20"/>
        <v>Roiphet1B5-G10-0084</v>
      </c>
      <c r="D307" s="63">
        <f>VLOOKUP(C307,'RAW DATA 2023'!E:BP,63,0)</f>
        <v>7</v>
      </c>
      <c r="E307" s="63" t="str">
        <f t="shared" si="21"/>
        <v>Roiphet17</v>
      </c>
      <c r="F307" s="79">
        <f>ROUND(VLOOKUP(C307,'RAW DATA 2023'!E:BO,23,0),0)</f>
        <v>61</v>
      </c>
      <c r="G307" s="79">
        <f>VLOOKUP(C307,'RAW DATA 2023'!E:BO,24,0)</f>
        <v>38.11866666666667</v>
      </c>
      <c r="H307" s="79">
        <f>IFERROR(VLOOKUP(F307,STD!B:G,2,FALSE),"")</f>
        <v>87</v>
      </c>
      <c r="I307" s="100">
        <f t="shared" si="22"/>
        <v>0.43814559386973184</v>
      </c>
      <c r="J307" s="74">
        <f t="shared" si="23"/>
        <v>-1.8556321839080447</v>
      </c>
      <c r="K307">
        <f>VLOOKUP(C307,'RAW DATA 2023'!E:BO,12,0)</f>
        <v>0.45</v>
      </c>
      <c r="L307" s="268">
        <f t="shared" si="24"/>
        <v>-0.83503448275862013</v>
      </c>
      <c r="M307"/>
    </row>
    <row r="308" spans="1:13">
      <c r="A308" s="64" t="str">
        <f>'RAW DATA 2023'!B301</f>
        <v>Roiphet1</v>
      </c>
      <c r="B308" s="64" t="str">
        <f>'RAW DATA 2023'!D301</f>
        <v>B6-I11-0084</v>
      </c>
      <c r="C308" s="63" t="str">
        <f t="shared" si="20"/>
        <v>Roiphet1B6-I11-0084</v>
      </c>
      <c r="D308" s="63">
        <f>VLOOKUP(C308,'RAW DATA 2023'!E:BP,63,0)</f>
        <v>8</v>
      </c>
      <c r="E308" s="63" t="str">
        <f t="shared" si="21"/>
        <v>Roiphet18</v>
      </c>
      <c r="F308" s="79">
        <f>ROUND(VLOOKUP(C308,'RAW DATA 2023'!E:BO,23,0),0)</f>
        <v>78</v>
      </c>
      <c r="G308" s="79">
        <f>VLOOKUP(C308,'RAW DATA 2023'!E:BO,24,0)</f>
        <v>60.073600000000006</v>
      </c>
      <c r="H308" s="79">
        <f>IFERROR(VLOOKUP(F308,STD!B:G,2,FALSE),"")</f>
        <v>89</v>
      </c>
      <c r="I308" s="100">
        <f t="shared" si="22"/>
        <v>0.67498426966292147</v>
      </c>
      <c r="J308" s="74">
        <f t="shared" si="23"/>
        <v>5.2495280898876437</v>
      </c>
      <c r="K308">
        <f>VLOOKUP(C308,'RAW DATA 2023'!E:BO,12,0)</f>
        <v>0.25</v>
      </c>
      <c r="L308" s="268">
        <f t="shared" si="24"/>
        <v>1.3123820224719109</v>
      </c>
      <c r="M308"/>
    </row>
    <row r="309" spans="1:13">
      <c r="A309" s="64" t="str">
        <f>'RAW DATA 2023'!B302</f>
        <v>Roiphet1</v>
      </c>
      <c r="B309" s="64" t="str">
        <f>'RAW DATA 2023'!D302</f>
        <v>B3-G06-0082</v>
      </c>
      <c r="C309" s="63" t="str">
        <f t="shared" si="20"/>
        <v>Roiphet1B3-G06-0082</v>
      </c>
      <c r="D309" s="63">
        <f>VLOOKUP(C309,'RAW DATA 2023'!E:BP,63,0)</f>
        <v>8</v>
      </c>
      <c r="E309" s="63" t="str">
        <f t="shared" si="21"/>
        <v>Roiphet18</v>
      </c>
      <c r="F309" s="79">
        <f>ROUND(VLOOKUP(C309,'RAW DATA 2023'!E:BO,23,0),0)</f>
        <v>72</v>
      </c>
      <c r="G309" s="79">
        <f>VLOOKUP(C309,'RAW DATA 2023'!E:BO,24,0)</f>
        <v>60.363454545454545</v>
      </c>
      <c r="H309" s="79">
        <f>IFERROR(VLOOKUP(F309,STD!B:G,2,FALSE),"")</f>
        <v>89</v>
      </c>
      <c r="I309" s="100">
        <f t="shared" si="22"/>
        <v>0.67824106230847803</v>
      </c>
      <c r="J309" s="74">
        <f t="shared" si="23"/>
        <v>5.3472318692543404</v>
      </c>
      <c r="K309">
        <f>VLOOKUP(C309,'RAW DATA 2023'!E:BO,12,0)</f>
        <v>0.55000000000000004</v>
      </c>
      <c r="L309" s="268">
        <f t="shared" si="24"/>
        <v>2.9409775280898875</v>
      </c>
      <c r="M309"/>
    </row>
    <row r="310" spans="1:13">
      <c r="A310" s="64" t="str">
        <f>'RAW DATA 2023'!B303</f>
        <v>Roiphet1</v>
      </c>
      <c r="B310" s="64" t="str">
        <f>'RAW DATA 2023'!D303</f>
        <v>B2-G03-0080</v>
      </c>
      <c r="C310" s="63" t="str">
        <f t="shared" si="20"/>
        <v>Roiphet1B2-G03-0080</v>
      </c>
      <c r="D310" s="63">
        <f>VLOOKUP(C310,'RAW DATA 2023'!E:BP,63,0)</f>
        <v>6</v>
      </c>
      <c r="E310" s="63" t="str">
        <f t="shared" si="21"/>
        <v>Roiphet16</v>
      </c>
      <c r="F310" s="79">
        <f>ROUND(VLOOKUP(C310,'RAW DATA 2023'!E:BO,23,0),0)</f>
        <v>50</v>
      </c>
      <c r="G310" s="79">
        <f>VLOOKUP(C310,'RAW DATA 2023'!E:BO,24,0)</f>
        <v>73.116250000000008</v>
      </c>
      <c r="H310" s="79">
        <f>IFERROR(VLOOKUP(F310,STD!B:G,2,FALSE),"")</f>
        <v>85</v>
      </c>
      <c r="I310" s="100">
        <f t="shared" si="22"/>
        <v>0.86019117647058829</v>
      </c>
      <c r="J310" s="74">
        <f t="shared" si="23"/>
        <v>10.80573529411765</v>
      </c>
      <c r="K310">
        <f>VLOOKUP(C310,'RAW DATA 2023'!E:BO,12,0)</f>
        <v>0.4</v>
      </c>
      <c r="L310" s="268">
        <f t="shared" si="24"/>
        <v>4.3222941176470604</v>
      </c>
      <c r="M310"/>
    </row>
    <row r="311" spans="1:13">
      <c r="A311" s="64" t="str">
        <f>'RAW DATA 2023'!B304</f>
        <v>Roiphet1</v>
      </c>
      <c r="B311" s="64" t="str">
        <f>'RAW DATA 2023'!D304</f>
        <v>B3-I06-0094</v>
      </c>
      <c r="C311" s="63" t="str">
        <f t="shared" si="20"/>
        <v>Roiphet1B3-I06-0094</v>
      </c>
      <c r="D311" s="63">
        <f>VLOOKUP(C311,'RAW DATA 2023'!E:BP,63,0)</f>
        <v>6</v>
      </c>
      <c r="E311" s="63" t="str">
        <f t="shared" si="21"/>
        <v>Roiphet16</v>
      </c>
      <c r="F311" s="79">
        <f>ROUND(VLOOKUP(C311,'RAW DATA 2023'!E:BO,23,0),0)</f>
        <v>36</v>
      </c>
      <c r="G311" s="79">
        <f>VLOOKUP(C311,'RAW DATA 2023'!E:BO,24,0)</f>
        <v>83.132272727272721</v>
      </c>
      <c r="H311" s="79">
        <f>IFERROR(VLOOKUP(F311,STD!B:G,2,FALSE),"")</f>
        <v>81</v>
      </c>
      <c r="I311" s="100">
        <f t="shared" si="22"/>
        <v>1.0263243546576879</v>
      </c>
      <c r="J311" s="74">
        <f t="shared" si="23"/>
        <v>15.789730639730637</v>
      </c>
      <c r="K311">
        <f>VLOOKUP(C311,'RAW DATA 2023'!E:BO,12,0)</f>
        <v>0.22</v>
      </c>
      <c r="L311" s="268">
        <f t="shared" si="24"/>
        <v>3.4737407407407401</v>
      </c>
      <c r="M311"/>
    </row>
    <row r="312" spans="1:13">
      <c r="A312" s="64" t="str">
        <f>'RAW DATA 2023'!B305</f>
        <v>Roiphet1</v>
      </c>
      <c r="B312" s="64" t="str">
        <f>'RAW DATA 2023'!D305</f>
        <v>B5-I09-0095</v>
      </c>
      <c r="C312" s="63" t="str">
        <f t="shared" si="20"/>
        <v>Roiphet1B5-I09-0095</v>
      </c>
      <c r="D312" s="63">
        <f>VLOOKUP(C312,'RAW DATA 2023'!E:BP,63,0)</f>
        <v>11</v>
      </c>
      <c r="E312" s="63" t="str">
        <f t="shared" si="21"/>
        <v>Roiphet111</v>
      </c>
      <c r="F312" s="79">
        <f>ROUND(VLOOKUP(C312,'RAW DATA 2023'!E:BO,23,0),0)</f>
        <v>71</v>
      </c>
      <c r="G312" s="79">
        <f>VLOOKUP(C312,'RAW DATA 2023'!E:BO,24,0)</f>
        <v>76.497600000000006</v>
      </c>
      <c r="H312" s="79">
        <f>IFERROR(VLOOKUP(F312,STD!B:G,2,FALSE),"")</f>
        <v>88</v>
      </c>
      <c r="I312" s="100">
        <f t="shared" si="22"/>
        <v>0.86929090909090911</v>
      </c>
      <c r="J312" s="74">
        <f t="shared" si="23"/>
        <v>11.078727272727274</v>
      </c>
      <c r="K312">
        <f>VLOOKUP(C312,'RAW DATA 2023'!E:BO,12,0)</f>
        <v>0.25</v>
      </c>
      <c r="L312" s="268">
        <f t="shared" si="24"/>
        <v>2.7696818181818186</v>
      </c>
      <c r="M312"/>
    </row>
    <row r="313" spans="1:13">
      <c r="A313" s="64" t="str">
        <f>'RAW DATA 2023'!B306</f>
        <v>Roiphet1</v>
      </c>
      <c r="B313" s="64" t="str">
        <f>'RAW DATA 2023'!D306</f>
        <v>B1-G02-0088</v>
      </c>
      <c r="C313" s="63" t="str">
        <f t="shared" si="20"/>
        <v>Roiphet1B1-G02-0088</v>
      </c>
      <c r="D313" s="63">
        <f>VLOOKUP(C313,'RAW DATA 2023'!E:BP,63,0)</f>
        <v>6</v>
      </c>
      <c r="E313" s="63" t="str">
        <f t="shared" si="21"/>
        <v>Roiphet16</v>
      </c>
      <c r="F313" s="79">
        <f>ROUND(VLOOKUP(C313,'RAW DATA 2023'!E:BO,23,0),0)</f>
        <v>47</v>
      </c>
      <c r="G313" s="79">
        <f>VLOOKUP(C313,'RAW DATA 2023'!E:BO,24,0)</f>
        <v>105.86199999999999</v>
      </c>
      <c r="H313" s="79">
        <f>IFERROR(VLOOKUP(F313,STD!B:G,2,FALSE),"")</f>
        <v>84</v>
      </c>
      <c r="I313" s="100">
        <f t="shared" si="22"/>
        <v>1.2602619047619048</v>
      </c>
      <c r="J313" s="74">
        <f t="shared" si="23"/>
        <v>22.807857142857145</v>
      </c>
      <c r="K313">
        <f>VLOOKUP(C313,'RAW DATA 2023'!E:BO,12,0)</f>
        <v>0.4</v>
      </c>
      <c r="L313" s="268">
        <f t="shared" si="24"/>
        <v>9.1231428571428577</v>
      </c>
      <c r="M313"/>
    </row>
    <row r="314" spans="1:13">
      <c r="A314" s="64" t="str">
        <f>'RAW DATA 2023'!B307</f>
        <v>Roiphet1</v>
      </c>
      <c r="B314" s="64" t="str">
        <f>'RAW DATA 2023'!D307</f>
        <v>B6-G12-0088</v>
      </c>
      <c r="C314" s="63" t="str">
        <f t="shared" si="20"/>
        <v>Roiphet1B6-G12-0088</v>
      </c>
      <c r="D314" s="63">
        <f>VLOOKUP(C314,'RAW DATA 2023'!E:BP,63,0)</f>
        <v>8</v>
      </c>
      <c r="E314" s="63" t="str">
        <f t="shared" si="21"/>
        <v>Roiphet18</v>
      </c>
      <c r="F314" s="79">
        <f>ROUND(VLOOKUP(C314,'RAW DATA 2023'!E:BO,23,0),0)</f>
        <v>102</v>
      </c>
      <c r="G314" s="79">
        <f>VLOOKUP(C314,'RAW DATA 2023'!E:BO,24,0)</f>
        <v>63.066000000000003</v>
      </c>
      <c r="H314" s="79">
        <f>IFERROR(VLOOKUP(F314,STD!B:G,2,FALSE),"")</f>
        <v>91</v>
      </c>
      <c r="I314" s="100">
        <f t="shared" si="22"/>
        <v>0.69303296703296702</v>
      </c>
      <c r="J314" s="74">
        <f t="shared" si="23"/>
        <v>5.7909890109890103</v>
      </c>
      <c r="K314">
        <f>VLOOKUP(C314,'RAW DATA 2023'!E:BO,12,0)</f>
        <v>0.55000000000000004</v>
      </c>
      <c r="L314" s="268">
        <f t="shared" si="24"/>
        <v>3.1850439560439558</v>
      </c>
      <c r="M314"/>
    </row>
    <row r="315" spans="1:13">
      <c r="A315" s="64" t="str">
        <f>'RAW DATA 2023'!B308</f>
        <v>Roiphet1</v>
      </c>
      <c r="B315" s="64" t="str">
        <f>'RAW DATA 2023'!D308</f>
        <v>B6-G11-0083</v>
      </c>
      <c r="C315" s="63" t="str">
        <f t="shared" si="20"/>
        <v>Roiphet1B6-G11-0083</v>
      </c>
      <c r="D315" s="63">
        <f>VLOOKUP(C315,'RAW DATA 2023'!E:BP,63,0)</f>
        <v>8</v>
      </c>
      <c r="E315" s="63" t="str">
        <f t="shared" si="21"/>
        <v>Roiphet18</v>
      </c>
      <c r="F315" s="79">
        <f>ROUND(VLOOKUP(C315,'RAW DATA 2023'!E:BO,23,0),0)</f>
        <v>92</v>
      </c>
      <c r="G315" s="79">
        <f>VLOOKUP(C315,'RAW DATA 2023'!E:BO,24,0)</f>
        <v>65.187818181818187</v>
      </c>
      <c r="H315" s="79">
        <f>IFERROR(VLOOKUP(F315,STD!B:G,2,FALSE),"")</f>
        <v>90</v>
      </c>
      <c r="I315" s="100">
        <f t="shared" si="22"/>
        <v>0.72430909090909101</v>
      </c>
      <c r="J315" s="74">
        <f t="shared" si="23"/>
        <v>6.7292727272727308</v>
      </c>
      <c r="K315">
        <f>VLOOKUP(C315,'RAW DATA 2023'!E:BO,12,0)</f>
        <v>0.55000000000000004</v>
      </c>
      <c r="L315" s="268">
        <f t="shared" si="24"/>
        <v>3.7011000000000021</v>
      </c>
      <c r="M315"/>
    </row>
    <row r="316" spans="1:13">
      <c r="A316" s="64" t="str">
        <f>'RAW DATA 2023'!B309</f>
        <v>Roiphet1</v>
      </c>
      <c r="B316" s="64" t="str">
        <f>'RAW DATA 2023'!D309</f>
        <v>B5-G09-0086</v>
      </c>
      <c r="C316" s="63" t="str">
        <f t="shared" si="20"/>
        <v>Roiphet1B5-G09-0086</v>
      </c>
      <c r="D316" s="63">
        <f>VLOOKUP(C316,'RAW DATA 2023'!E:BP,63,0)</f>
        <v>11</v>
      </c>
      <c r="E316" s="63" t="str">
        <f t="shared" si="21"/>
        <v>Roiphet111</v>
      </c>
      <c r="F316" s="79">
        <f>ROUND(VLOOKUP(C316,'RAW DATA 2023'!E:BO,23,0),0)</f>
        <v>79</v>
      </c>
      <c r="G316" s="79">
        <f>VLOOKUP(C316,'RAW DATA 2023'!E:BO,24,0)</f>
        <v>78.242363636363635</v>
      </c>
      <c r="H316" s="79">
        <f>IFERROR(VLOOKUP(F316,STD!B:G,2,FALSE),"")</f>
        <v>89</v>
      </c>
      <c r="I316" s="100">
        <f t="shared" si="22"/>
        <v>0.87912768130745655</v>
      </c>
      <c r="J316" s="74">
        <f t="shared" si="23"/>
        <v>11.373830439223697</v>
      </c>
      <c r="K316">
        <f>VLOOKUP(C316,'RAW DATA 2023'!E:BO,12,0)</f>
        <v>0.55000000000000004</v>
      </c>
      <c r="L316" s="268">
        <f t="shared" si="24"/>
        <v>6.2556067415730343</v>
      </c>
      <c r="M316"/>
    </row>
    <row r="317" spans="1:13">
      <c r="A317" s="64" t="str">
        <f>'RAW DATA 2023'!B310</f>
        <v>Roiphet1</v>
      </c>
      <c r="B317" s="64" t="str">
        <f>'RAW DATA 2023'!D310</f>
        <v>B5-G10-0085</v>
      </c>
      <c r="C317" s="63" t="str">
        <f t="shared" si="20"/>
        <v>Roiphet1B5-G10-0085</v>
      </c>
      <c r="D317" s="63">
        <f>VLOOKUP(C317,'RAW DATA 2023'!E:BP,63,0)</f>
        <v>11</v>
      </c>
      <c r="E317" s="63" t="str">
        <f t="shared" si="21"/>
        <v>Roiphet111</v>
      </c>
      <c r="F317" s="79">
        <f>ROUND(VLOOKUP(C317,'RAW DATA 2023'!E:BO,23,0),0)</f>
        <v>86</v>
      </c>
      <c r="G317" s="79">
        <f>VLOOKUP(C317,'RAW DATA 2023'!E:BO,24,0)</f>
        <v>79.23599999999999</v>
      </c>
      <c r="H317" s="79">
        <f>IFERROR(VLOOKUP(F317,STD!B:G,2,FALSE),"")</f>
        <v>90</v>
      </c>
      <c r="I317" s="100">
        <f t="shared" si="22"/>
        <v>0.88039999999999985</v>
      </c>
      <c r="J317" s="74">
        <f t="shared" si="23"/>
        <v>11.411999999999995</v>
      </c>
      <c r="K317">
        <f>VLOOKUP(C317,'RAW DATA 2023'!E:BO,12,0)</f>
        <v>0.55000000000000004</v>
      </c>
      <c r="L317" s="268">
        <f t="shared" si="24"/>
        <v>6.2765999999999984</v>
      </c>
      <c r="M317"/>
    </row>
    <row r="318" spans="1:13">
      <c r="A318" s="64" t="str">
        <f>'RAW DATA 2023'!B311</f>
        <v>Roiphet1</v>
      </c>
      <c r="B318" s="64" t="str">
        <f>'RAW DATA 2023'!D311</f>
        <v>B3-G05-0093</v>
      </c>
      <c r="C318" s="63" t="str">
        <f t="shared" si="20"/>
        <v>Roiphet1B3-G05-0093</v>
      </c>
      <c r="D318" s="63">
        <f>VLOOKUP(C318,'RAW DATA 2023'!E:BP,63,0)</f>
        <v>8</v>
      </c>
      <c r="E318" s="63" t="str">
        <f t="shared" si="21"/>
        <v>Roiphet18</v>
      </c>
      <c r="F318" s="79">
        <f>ROUND(VLOOKUP(C318,'RAW DATA 2023'!E:BO,23,0),0)</f>
        <v>116</v>
      </c>
      <c r="G318" s="79">
        <f>VLOOKUP(C318,'RAW DATA 2023'!E:BO,24,0)</f>
        <v>52.676363636363632</v>
      </c>
      <c r="H318" s="79">
        <f>IFERROR(VLOOKUP(F318,STD!B:G,2,FALSE),"")</f>
        <v>92</v>
      </c>
      <c r="I318" s="100">
        <f t="shared" si="22"/>
        <v>0.57256916996047424</v>
      </c>
      <c r="J318" s="74">
        <f t="shared" si="23"/>
        <v>2.1770750988142273</v>
      </c>
      <c r="K318">
        <f>VLOOKUP(C318,'RAW DATA 2023'!E:BO,12,0)</f>
        <v>0.55000000000000004</v>
      </c>
      <c r="L318" s="268">
        <f t="shared" si="24"/>
        <v>1.197391304347825</v>
      </c>
      <c r="M318"/>
    </row>
    <row r="319" spans="1:13">
      <c r="A319" s="64" t="str">
        <f>'RAW DATA 2023'!B312</f>
        <v>Roiphet1</v>
      </c>
      <c r="B319" s="64" t="str">
        <f>'RAW DATA 2023'!D312</f>
        <v>B5-I10-0092</v>
      </c>
      <c r="C319" s="63" t="str">
        <f t="shared" si="20"/>
        <v>Roiphet1B5-I10-0092</v>
      </c>
      <c r="D319" s="63">
        <f>VLOOKUP(C319,'RAW DATA 2023'!E:BP,63,0)</f>
        <v>11</v>
      </c>
      <c r="E319" s="63" t="str">
        <f t="shared" si="21"/>
        <v>Roiphet111</v>
      </c>
      <c r="F319" s="79">
        <f>ROUND(VLOOKUP(C319,'RAW DATA 2023'!E:BO,23,0),0)</f>
        <v>136</v>
      </c>
      <c r="G319" s="79">
        <f>VLOOKUP(C319,'RAW DATA 2023'!E:BO,24,0)</f>
        <v>67.300000000000011</v>
      </c>
      <c r="H319" s="79">
        <f>IFERROR(VLOOKUP(F319,STD!B:G,2,FALSE),"")</f>
        <v>93</v>
      </c>
      <c r="I319" s="100">
        <f t="shared" si="22"/>
        <v>0.72365591397849471</v>
      </c>
      <c r="J319" s="74">
        <f t="shared" si="23"/>
        <v>6.7096774193548416</v>
      </c>
      <c r="K319">
        <f>VLOOKUP(C319,'RAW DATA 2023'!E:BO,12,0)</f>
        <v>0.25</v>
      </c>
      <c r="L319" s="268">
        <f t="shared" si="24"/>
        <v>1.6774193548387104</v>
      </c>
      <c r="M319"/>
    </row>
    <row r="320" spans="1:13">
      <c r="A320" s="64" t="str">
        <f>'RAW DATA 2023'!B313</f>
        <v>Choknavy</v>
      </c>
      <c r="B320" s="64" t="str">
        <f>'RAW DATA 2023'!D313</f>
        <v>A1-003-0037</v>
      </c>
      <c r="C320" s="63" t="str">
        <f t="shared" si="20"/>
        <v>ChoknavyA1-003-0037</v>
      </c>
      <c r="D320" s="63">
        <f>VLOOKUP(C320,'RAW DATA 2023'!E:BP,63,0)</f>
        <v>11</v>
      </c>
      <c r="E320" s="63" t="str">
        <f t="shared" si="21"/>
        <v>Choknavy11</v>
      </c>
      <c r="F320" s="79">
        <f>ROUND(VLOOKUP(C320,'RAW DATA 2023'!E:BO,23,0),0)</f>
        <v>29</v>
      </c>
      <c r="G320" s="79">
        <f>VLOOKUP(C320,'RAW DATA 2023'!E:BO,24,0)</f>
        <v>90.902796610169489</v>
      </c>
      <c r="H320" s="79">
        <f>IFERROR(VLOOKUP(F320,STD!B:G,2,FALSE),"")</f>
        <v>76</v>
      </c>
      <c r="I320" s="100">
        <f t="shared" si="22"/>
        <v>1.1960894290811774</v>
      </c>
      <c r="J320" s="74">
        <f t="shared" si="23"/>
        <v>20.882682872435325</v>
      </c>
      <c r="K320">
        <f>VLOOKUP(C320,'RAW DATA 2023'!E:BO,12,0)</f>
        <v>1.18</v>
      </c>
      <c r="L320" s="268">
        <f t="shared" si="24"/>
        <v>24.641565789473681</v>
      </c>
      <c r="M320"/>
    </row>
    <row r="321" spans="1:13">
      <c r="A321" s="64" t="str">
        <f>'RAW DATA 2023'!B314</f>
        <v>Choknavy</v>
      </c>
      <c r="B321" s="64" t="str">
        <f>'RAW DATA 2023'!D314</f>
        <v>A1-006-0032</v>
      </c>
      <c r="C321" s="63" t="str">
        <f t="shared" si="20"/>
        <v>ChoknavyA1-006-0032</v>
      </c>
      <c r="D321" s="63">
        <f>VLOOKUP(C321,'RAW DATA 2023'!E:BP,63,0)</f>
        <v>7</v>
      </c>
      <c r="E321" s="63" t="str">
        <f t="shared" si="21"/>
        <v>Choknavy7</v>
      </c>
      <c r="F321" s="79">
        <f>ROUND(VLOOKUP(C321,'RAW DATA 2023'!E:BO,23,0),0)</f>
        <v>33</v>
      </c>
      <c r="G321" s="79">
        <f>VLOOKUP(C321,'RAW DATA 2023'!E:BO,24,0)</f>
        <v>57.141299999999994</v>
      </c>
      <c r="H321" s="79">
        <f>IFERROR(VLOOKUP(F321,STD!B:G,2,FALSE),"")</f>
        <v>79</v>
      </c>
      <c r="I321" s="100">
        <f t="shared" si="22"/>
        <v>0.72330759493670882</v>
      </c>
      <c r="J321" s="74">
        <f t="shared" si="23"/>
        <v>6.6992278481012644</v>
      </c>
      <c r="K321">
        <f>VLOOKUP(C321,'RAW DATA 2023'!E:BO,12,0)</f>
        <v>2</v>
      </c>
      <c r="L321" s="268">
        <f t="shared" si="24"/>
        <v>13.398455696202529</v>
      </c>
      <c r="M321"/>
    </row>
    <row r="322" spans="1:13">
      <c r="A322" s="64" t="str">
        <f>'RAW DATA 2023'!B315</f>
        <v>Choknavy</v>
      </c>
      <c r="B322" s="64" t="str">
        <f>'RAW DATA 2023'!D315</f>
        <v>A1-003-0036</v>
      </c>
      <c r="C322" s="63" t="str">
        <f t="shared" si="20"/>
        <v>ChoknavyA1-003-0036</v>
      </c>
      <c r="D322" s="63">
        <f>VLOOKUP(C322,'RAW DATA 2023'!E:BP,63,0)</f>
        <v>7</v>
      </c>
      <c r="E322" s="63" t="str">
        <f t="shared" si="21"/>
        <v>Choknavy7</v>
      </c>
      <c r="F322" s="79">
        <f>ROUND(VLOOKUP(C322,'RAW DATA 2023'!E:BO,23,0),0)</f>
        <v>28</v>
      </c>
      <c r="G322" s="79">
        <f>VLOOKUP(C322,'RAW DATA 2023'!E:BO,24,0)</f>
        <v>51.51776470588235</v>
      </c>
      <c r="H322" s="79">
        <f>IFERROR(VLOOKUP(F322,STD!B:G,2,FALSE),"")</f>
        <v>75</v>
      </c>
      <c r="I322" s="100">
        <f t="shared" si="22"/>
        <v>0.68690352941176469</v>
      </c>
      <c r="J322" s="74">
        <f t="shared" si="23"/>
        <v>5.6071058823529407</v>
      </c>
      <c r="K322">
        <f>VLOOKUP(C322,'RAW DATA 2023'!E:BO,12,0)</f>
        <v>1.7</v>
      </c>
      <c r="L322" s="268">
        <f t="shared" si="24"/>
        <v>9.5320799999999988</v>
      </c>
      <c r="M322"/>
    </row>
    <row r="323" spans="1:13">
      <c r="A323" s="64" t="str">
        <f>'RAW DATA 2023'!B316</f>
        <v>Choknavy</v>
      </c>
      <c r="B323" s="64" t="str">
        <f>'RAW DATA 2023'!D316</f>
        <v>A1-005-0006</v>
      </c>
      <c r="C323" s="63" t="str">
        <f t="shared" si="20"/>
        <v>ChoknavyA1-005-0006</v>
      </c>
      <c r="D323" s="63">
        <f>VLOOKUP(C323,'RAW DATA 2023'!E:BP,63,0)</f>
        <v>8</v>
      </c>
      <c r="E323" s="63" t="str">
        <f t="shared" si="21"/>
        <v>Choknavy8</v>
      </c>
      <c r="F323" s="79">
        <f>ROUND(VLOOKUP(C323,'RAW DATA 2023'!E:BO,23,0),0)</f>
        <v>30</v>
      </c>
      <c r="G323" s="79">
        <f>VLOOKUP(C323,'RAW DATA 2023'!E:BO,24,0)</f>
        <v>69.793374999999997</v>
      </c>
      <c r="H323" s="79">
        <f>IFERROR(VLOOKUP(F323,STD!B:G,2,FALSE),"")</f>
        <v>76</v>
      </c>
      <c r="I323" s="100">
        <f t="shared" si="22"/>
        <v>0.91833388157894735</v>
      </c>
      <c r="J323" s="74">
        <f t="shared" si="23"/>
        <v>12.550016447368421</v>
      </c>
      <c r="K323">
        <f>VLOOKUP(C323,'RAW DATA 2023'!E:BO,12,0)</f>
        <v>1.6</v>
      </c>
      <c r="L323" s="268">
        <f t="shared" si="24"/>
        <v>20.080026315789475</v>
      </c>
      <c r="M323"/>
    </row>
    <row r="324" spans="1:13">
      <c r="A324" s="64" t="str">
        <f>'RAW DATA 2023'!B317</f>
        <v>Choknavy</v>
      </c>
      <c r="B324" s="64" t="str">
        <f>'RAW DATA 2023'!D317</f>
        <v>A1-001-0041</v>
      </c>
      <c r="C324" s="63" t="str">
        <f t="shared" si="20"/>
        <v>ChoknavyA1-001-0041</v>
      </c>
      <c r="D324" s="63">
        <f>VLOOKUP(C324,'RAW DATA 2023'!E:BP,63,0)</f>
        <v>9</v>
      </c>
      <c r="E324" s="63" t="str">
        <f t="shared" si="21"/>
        <v>Choknavy9</v>
      </c>
      <c r="F324" s="79">
        <f>ROUND(VLOOKUP(C324,'RAW DATA 2023'!E:BO,23,0),0)</f>
        <v>30</v>
      </c>
      <c r="G324" s="79">
        <f>VLOOKUP(C324,'RAW DATA 2023'!E:BO,24,0)</f>
        <v>99.745083333333326</v>
      </c>
      <c r="H324" s="79">
        <f>IFERROR(VLOOKUP(F324,STD!B:G,2,FALSE),"")</f>
        <v>76</v>
      </c>
      <c r="I324" s="100">
        <f t="shared" si="22"/>
        <v>1.3124353070175439</v>
      </c>
      <c r="J324" s="74">
        <f t="shared" si="23"/>
        <v>24.373059210526314</v>
      </c>
      <c r="K324">
        <f>VLOOKUP(C324,'RAW DATA 2023'!E:BO,12,0)</f>
        <v>1.2</v>
      </c>
      <c r="L324" s="268">
        <f t="shared" si="24"/>
        <v>29.247671052631574</v>
      </c>
      <c r="M324"/>
    </row>
    <row r="325" spans="1:13">
      <c r="A325" s="64" t="str">
        <f>'RAW DATA 2023'!B318</f>
        <v>Choknavy</v>
      </c>
      <c r="B325" s="64" t="str">
        <f>'RAW DATA 2023'!D318</f>
        <v>A1-002-0037</v>
      </c>
      <c r="C325" s="63" t="str">
        <f t="shared" si="20"/>
        <v>ChoknavyA1-002-0037</v>
      </c>
      <c r="D325" s="63">
        <f>VLOOKUP(C325,'RAW DATA 2023'!E:BP,63,0)</f>
        <v>10</v>
      </c>
      <c r="E325" s="63" t="str">
        <f t="shared" si="21"/>
        <v>Choknavy10</v>
      </c>
      <c r="F325" s="79">
        <f>ROUND(VLOOKUP(C325,'RAW DATA 2023'!E:BO,23,0),0)</f>
        <v>30</v>
      </c>
      <c r="G325" s="79">
        <f>VLOOKUP(C325,'RAW DATA 2023'!E:BO,24,0)</f>
        <v>69.11365714285715</v>
      </c>
      <c r="H325" s="79">
        <f>IFERROR(VLOOKUP(F325,STD!B:G,2,FALSE),"")</f>
        <v>76</v>
      </c>
      <c r="I325" s="100">
        <f t="shared" si="22"/>
        <v>0.90939022556390992</v>
      </c>
      <c r="J325" s="74">
        <f t="shared" si="23"/>
        <v>12.281706766917297</v>
      </c>
      <c r="K325">
        <f>VLOOKUP(C325,'RAW DATA 2023'!E:BO,12,0)</f>
        <v>1.75</v>
      </c>
      <c r="L325" s="268">
        <f t="shared" si="24"/>
        <v>21.492986842105271</v>
      </c>
      <c r="M325"/>
    </row>
    <row r="326" spans="1:13">
      <c r="A326" s="64" t="str">
        <f>'RAW DATA 2023'!B319</f>
        <v>Choknavy</v>
      </c>
      <c r="B326" s="64" t="str">
        <f>'RAW DATA 2023'!D319</f>
        <v>G1-G01-0001</v>
      </c>
      <c r="C326" s="63" t="str">
        <f t="shared" si="20"/>
        <v>ChoknavyG1-G01-0001</v>
      </c>
      <c r="D326" s="63">
        <f>VLOOKUP(C326,'RAW DATA 2023'!E:BP,63,0)</f>
        <v>5</v>
      </c>
      <c r="E326" s="63" t="str">
        <f t="shared" si="21"/>
        <v>Choknavy5</v>
      </c>
      <c r="F326" s="79">
        <f>ROUND(VLOOKUP(C326,'RAW DATA 2023'!E:BO,23,0),0)</f>
        <v>35</v>
      </c>
      <c r="G326" s="79">
        <f>VLOOKUP(C326,'RAW DATA 2023'!E:BO,24,0)</f>
        <v>47.727000000000004</v>
      </c>
      <c r="H326" s="79">
        <f>IFERROR(VLOOKUP(F326,STD!B:G,2,FALSE),"")</f>
        <v>80</v>
      </c>
      <c r="I326" s="100">
        <f t="shared" si="22"/>
        <v>0.59658750000000005</v>
      </c>
      <c r="J326" s="74">
        <f t="shared" si="23"/>
        <v>2.8976250000000014</v>
      </c>
      <c r="K326">
        <f>VLOOKUP(C326,'RAW DATA 2023'!E:BO,12,0)</f>
        <v>0.4</v>
      </c>
      <c r="L326" s="268">
        <f t="shared" si="24"/>
        <v>1.1590500000000006</v>
      </c>
      <c r="M326"/>
    </row>
    <row r="327" spans="1:13">
      <c r="A327" s="64" t="str">
        <f>'RAW DATA 2023'!B320</f>
        <v>Choknavy</v>
      </c>
      <c r="B327" s="64" t="str">
        <f>'RAW DATA 2023'!D320</f>
        <v>A1-002-0036</v>
      </c>
      <c r="C327" s="63" t="str">
        <f t="shared" si="20"/>
        <v>ChoknavyA1-002-0036</v>
      </c>
      <c r="D327" s="63">
        <f>VLOOKUP(C327,'RAW DATA 2023'!E:BP,63,0)</f>
        <v>4</v>
      </c>
      <c r="E327" s="63" t="str">
        <f t="shared" si="21"/>
        <v>Choknavy4</v>
      </c>
      <c r="F327" s="79">
        <f>ROUND(VLOOKUP(C327,'RAW DATA 2023'!E:BO,23,0),0)</f>
        <v>25</v>
      </c>
      <c r="G327" s="79">
        <f>VLOOKUP(C327,'RAW DATA 2023'!E:BO,24,0)</f>
        <v>34.896866666666668</v>
      </c>
      <c r="H327" s="79">
        <f>IFERROR(VLOOKUP(F327,STD!B:G,2,FALSE),"")</f>
        <v>72</v>
      </c>
      <c r="I327" s="100">
        <f t="shared" si="22"/>
        <v>0.48467870370370369</v>
      </c>
      <c r="J327" s="74">
        <f t="shared" si="23"/>
        <v>-0.45963888888888915</v>
      </c>
      <c r="K327">
        <f>VLOOKUP(C327,'RAW DATA 2023'!E:BO,12,0)</f>
        <v>1.5</v>
      </c>
      <c r="L327" s="268">
        <f t="shared" si="24"/>
        <v>-0.68945833333333373</v>
      </c>
      <c r="M327"/>
    </row>
    <row r="328" spans="1:13">
      <c r="A328" s="64" t="str">
        <f>'RAW DATA 2023'!B321</f>
        <v>Choknavy</v>
      </c>
      <c r="B328" s="64" t="str">
        <f>'RAW DATA 2023'!D321</f>
        <v>A1-001-0040</v>
      </c>
      <c r="C328" s="63" t="str">
        <f t="shared" si="20"/>
        <v>ChoknavyA1-001-0040</v>
      </c>
      <c r="D328" s="63">
        <f>VLOOKUP(C328,'RAW DATA 2023'!E:BP,63,0)</f>
        <v>4</v>
      </c>
      <c r="E328" s="63" t="str">
        <f t="shared" si="21"/>
        <v>Choknavy4</v>
      </c>
      <c r="F328" s="79">
        <f>ROUND(VLOOKUP(C328,'RAW DATA 2023'!E:BO,23,0),0)</f>
        <v>27</v>
      </c>
      <c r="G328" s="79">
        <f>VLOOKUP(C328,'RAW DATA 2023'!E:BO,24,0)</f>
        <v>49.133500000000005</v>
      </c>
      <c r="H328" s="79">
        <f>IFERROR(VLOOKUP(F328,STD!B:G,2,FALSE),"")</f>
        <v>75</v>
      </c>
      <c r="I328" s="100">
        <f t="shared" si="22"/>
        <v>0.65511333333333344</v>
      </c>
      <c r="J328" s="74">
        <f t="shared" si="23"/>
        <v>4.6534000000000031</v>
      </c>
      <c r="K328">
        <f>VLOOKUP(C328,'RAW DATA 2023'!E:BO,12,0)</f>
        <v>1.2</v>
      </c>
      <c r="L328" s="268">
        <f t="shared" si="24"/>
        <v>5.5840800000000037</v>
      </c>
      <c r="M328"/>
    </row>
    <row r="329" spans="1:13">
      <c r="A329" s="64" t="str">
        <f>'RAW DATA 2023'!B322</f>
        <v>Choknavy</v>
      </c>
      <c r="B329" s="64" t="str">
        <f>'RAW DATA 2023'!D322</f>
        <v>A1-006-0031</v>
      </c>
      <c r="C329" s="63" t="str">
        <f t="shared" si="20"/>
        <v>ChoknavyA1-006-0031</v>
      </c>
      <c r="D329" s="63">
        <f>VLOOKUP(C329,'RAW DATA 2023'!E:BP,63,0)</f>
        <v>3</v>
      </c>
      <c r="E329" s="63" t="str">
        <f t="shared" si="21"/>
        <v>Choknavy3</v>
      </c>
      <c r="F329" s="79">
        <f>ROUND(VLOOKUP(C329,'RAW DATA 2023'!E:BO,23,0),0)</f>
        <v>27</v>
      </c>
      <c r="G329" s="79">
        <f>VLOOKUP(C329,'RAW DATA 2023'!E:BO,24,0)</f>
        <v>64.213692307692298</v>
      </c>
      <c r="H329" s="79">
        <f>IFERROR(VLOOKUP(F329,STD!B:G,2,FALSE),"")</f>
        <v>75</v>
      </c>
      <c r="I329" s="100">
        <f t="shared" si="22"/>
        <v>0.85618256410256399</v>
      </c>
      <c r="J329" s="74">
        <f t="shared" si="23"/>
        <v>10.685476923076919</v>
      </c>
      <c r="K329">
        <f>VLOOKUP(C329,'RAW DATA 2023'!E:BO,12,0)</f>
        <v>1.3</v>
      </c>
      <c r="L329" s="268">
        <f t="shared" si="24"/>
        <v>13.891119999999995</v>
      </c>
      <c r="M329"/>
    </row>
    <row r="330" spans="1:13">
      <c r="A330" s="64" t="str">
        <f>'RAW DATA 2023'!B323</f>
        <v>Choknavy</v>
      </c>
      <c r="B330" s="64" t="str">
        <f>'RAW DATA 2023'!D323</f>
        <v>A1-003-0035</v>
      </c>
      <c r="C330" s="63" t="str">
        <f t="shared" ref="C330:C393" si="25">A330&amp;B330</f>
        <v>ChoknavyA1-003-0035</v>
      </c>
      <c r="D330" s="63">
        <f>VLOOKUP(C330,'RAW DATA 2023'!E:BP,63,0)</f>
        <v>1</v>
      </c>
      <c r="E330" s="63" t="str">
        <f t="shared" ref="E330:E393" si="26">A330&amp;D330</f>
        <v>Choknavy1</v>
      </c>
      <c r="F330" s="79">
        <f>ROUND(VLOOKUP(C330,'RAW DATA 2023'!E:BO,23,0),0)</f>
        <v>0</v>
      </c>
      <c r="G330" s="79">
        <f>VLOOKUP(C330,'RAW DATA 2023'!E:BO,24,0)</f>
        <v>0</v>
      </c>
      <c r="H330" s="79" t="str">
        <f>IFERROR(VLOOKUP(F330,STD!B:G,2,FALSE),"")</f>
        <v/>
      </c>
      <c r="I330" s="100">
        <f t="shared" si="22"/>
        <v>0</v>
      </c>
      <c r="J330" s="74">
        <f t="shared" si="23"/>
        <v>-15</v>
      </c>
      <c r="K330">
        <f>VLOOKUP(C330,'RAW DATA 2023'!E:BO,12,0)</f>
        <v>1.4</v>
      </c>
      <c r="L330" s="268">
        <f t="shared" si="24"/>
        <v>-21</v>
      </c>
      <c r="M330"/>
    </row>
    <row r="331" spans="1:13">
      <c r="A331" s="64" t="str">
        <f>'RAW DATA 2023'!B324</f>
        <v>Maeklong1</v>
      </c>
      <c r="B331" s="64" t="str">
        <f>'RAW DATA 2023'!D324</f>
        <v>A1-017-0031</v>
      </c>
      <c r="C331" s="63" t="str">
        <f t="shared" si="25"/>
        <v>Maeklong1A1-017-0031</v>
      </c>
      <c r="D331" s="63">
        <f>VLOOKUP(C331,'RAW DATA 2023'!E:BP,63,0)</f>
        <v>8</v>
      </c>
      <c r="E331" s="63" t="str">
        <f t="shared" si="26"/>
        <v>Maeklong18</v>
      </c>
      <c r="F331" s="79">
        <f>ROUND(VLOOKUP(C331,'RAW DATA 2023'!E:BO,23,0),0)</f>
        <v>35</v>
      </c>
      <c r="G331" s="79">
        <f>VLOOKUP(C331,'RAW DATA 2023'!E:BO,24,0)</f>
        <v>89.614000000000004</v>
      </c>
      <c r="H331" s="79">
        <f>IFERROR(VLOOKUP(F331,STD!B:G,2,FALSE),"")</f>
        <v>80</v>
      </c>
      <c r="I331" s="100">
        <f t="shared" ref="I331:I394" si="27">IFERROR(G331/H331,0)</f>
        <v>1.1201750000000001</v>
      </c>
      <c r="J331" s="74">
        <f t="shared" ref="J331:J394" si="28">(I331-$E$4)*$E$7</f>
        <v>18.605250000000005</v>
      </c>
      <c r="K331">
        <f>VLOOKUP(C331,'RAW DATA 2023'!E:BO,12,0)</f>
        <v>1.4</v>
      </c>
      <c r="L331" s="268">
        <f t="shared" ref="L331:L394" si="29">J331*K331</f>
        <v>26.047350000000005</v>
      </c>
      <c r="M331"/>
    </row>
    <row r="332" spans="1:13">
      <c r="A332" s="64" t="str">
        <f>'RAW DATA 2023'!B325</f>
        <v>Maeklong1</v>
      </c>
      <c r="B332" s="64" t="str">
        <f>'RAW DATA 2023'!D325</f>
        <v>A1-015-0036</v>
      </c>
      <c r="C332" s="63" t="str">
        <f t="shared" si="25"/>
        <v>Maeklong1A1-015-0036</v>
      </c>
      <c r="D332" s="63">
        <f>VLOOKUP(C332,'RAW DATA 2023'!E:BP,63,0)</f>
        <v>6</v>
      </c>
      <c r="E332" s="63" t="str">
        <f t="shared" si="26"/>
        <v>Maeklong16</v>
      </c>
      <c r="F332" s="79">
        <f>ROUND(VLOOKUP(C332,'RAW DATA 2023'!E:BO,23,0),0)</f>
        <v>34</v>
      </c>
      <c r="G332" s="79">
        <f>VLOOKUP(C332,'RAW DATA 2023'!E:BO,24,0)</f>
        <v>78.117750000000001</v>
      </c>
      <c r="H332" s="79">
        <f>IFERROR(VLOOKUP(F332,STD!B:G,2,FALSE),"")</f>
        <v>80</v>
      </c>
      <c r="I332" s="100">
        <f t="shared" si="27"/>
        <v>0.97647187499999999</v>
      </c>
      <c r="J332" s="74">
        <f t="shared" si="28"/>
        <v>14.29415625</v>
      </c>
      <c r="K332">
        <f>VLOOKUP(C332,'RAW DATA 2023'!E:BO,12,0)</f>
        <v>1.2</v>
      </c>
      <c r="L332" s="268">
        <f t="shared" si="29"/>
        <v>17.152987499999998</v>
      </c>
      <c r="M332"/>
    </row>
    <row r="333" spans="1:13">
      <c r="A333" s="64" t="str">
        <f>'RAW DATA 2023'!B326</f>
        <v>Maeklong1</v>
      </c>
      <c r="B333" s="64" t="str">
        <f>'RAW DATA 2023'!D326</f>
        <v>A1-021-0025</v>
      </c>
      <c r="C333" s="63" t="str">
        <f t="shared" si="25"/>
        <v>Maeklong1A1-021-0025</v>
      </c>
      <c r="D333" s="63">
        <f>VLOOKUP(C333,'RAW DATA 2023'!E:BP,63,0)</f>
        <v>8</v>
      </c>
      <c r="E333" s="63" t="str">
        <f t="shared" si="26"/>
        <v>Maeklong18</v>
      </c>
      <c r="F333" s="79">
        <f>ROUND(VLOOKUP(C333,'RAW DATA 2023'!E:BO,23,0),0)</f>
        <v>31</v>
      </c>
      <c r="G333" s="79">
        <f>VLOOKUP(C333,'RAW DATA 2023'!E:BO,24,0)</f>
        <v>83.053987341772157</v>
      </c>
      <c r="H333" s="79">
        <f>IFERROR(VLOOKUP(F333,STD!B:G,2,FALSE),"")</f>
        <v>76</v>
      </c>
      <c r="I333" s="100">
        <f t="shared" si="27"/>
        <v>1.0928156229180548</v>
      </c>
      <c r="J333" s="74">
        <f t="shared" si="28"/>
        <v>17.784468687541644</v>
      </c>
      <c r="K333">
        <f>VLOOKUP(C333,'RAW DATA 2023'!E:BO,12,0)</f>
        <v>1.58</v>
      </c>
      <c r="L333" s="268">
        <f t="shared" si="29"/>
        <v>28.099460526315799</v>
      </c>
      <c r="M333"/>
    </row>
    <row r="334" spans="1:13">
      <c r="A334" s="64" t="str">
        <f>'RAW DATA 2023'!B327</f>
        <v>Maeklong1</v>
      </c>
      <c r="B334" s="64" t="str">
        <f>'RAW DATA 2023'!D327</f>
        <v>A1-024-0012</v>
      </c>
      <c r="C334" s="63" t="str">
        <f t="shared" si="25"/>
        <v>Maeklong1A1-024-0012</v>
      </c>
      <c r="D334" s="63">
        <f>VLOOKUP(C334,'RAW DATA 2023'!E:BP,63,0)</f>
        <v>10</v>
      </c>
      <c r="E334" s="63" t="str">
        <f t="shared" si="26"/>
        <v>Maeklong110</v>
      </c>
      <c r="F334" s="79">
        <f>ROUND(VLOOKUP(C334,'RAW DATA 2023'!E:BO,23,0),0)</f>
        <v>33</v>
      </c>
      <c r="G334" s="79">
        <f>VLOOKUP(C334,'RAW DATA 2023'!E:BO,24,0)</f>
        <v>93.01133333333334</v>
      </c>
      <c r="H334" s="79">
        <f>IFERROR(VLOOKUP(F334,STD!B:G,2,FALSE),"")</f>
        <v>79</v>
      </c>
      <c r="I334" s="100">
        <f t="shared" si="27"/>
        <v>1.1773586497890296</v>
      </c>
      <c r="J334" s="74">
        <f t="shared" si="28"/>
        <v>20.320759493670888</v>
      </c>
      <c r="K334">
        <f>VLOOKUP(C334,'RAW DATA 2023'!E:BO,12,0)</f>
        <v>1.5</v>
      </c>
      <c r="L334" s="268">
        <f t="shared" si="29"/>
        <v>30.48113924050633</v>
      </c>
      <c r="M334"/>
    </row>
    <row r="335" spans="1:13">
      <c r="A335" s="64" t="str">
        <f>'RAW DATA 2023'!B328</f>
        <v>Maeklong1</v>
      </c>
      <c r="B335" s="64" t="str">
        <f>'RAW DATA 2023'!D328</f>
        <v>A1-019-0024</v>
      </c>
      <c r="C335" s="63" t="str">
        <f t="shared" si="25"/>
        <v>Maeklong1A1-019-0024</v>
      </c>
      <c r="D335" s="63">
        <f>VLOOKUP(C335,'RAW DATA 2023'!E:BP,63,0)</f>
        <v>10</v>
      </c>
      <c r="E335" s="63" t="str">
        <f t="shared" si="26"/>
        <v>Maeklong110</v>
      </c>
      <c r="F335" s="79">
        <f>ROUND(VLOOKUP(C335,'RAW DATA 2023'!E:BO,23,0),0)</f>
        <v>32</v>
      </c>
      <c r="G335" s="79">
        <f>VLOOKUP(C335,'RAW DATA 2023'!E:BO,24,0)</f>
        <v>93.233900000000006</v>
      </c>
      <c r="H335" s="79">
        <f>IFERROR(VLOOKUP(F335,STD!B:G,2,FALSE),"")</f>
        <v>77</v>
      </c>
      <c r="I335" s="100">
        <f t="shared" si="27"/>
        <v>1.2108298701298703</v>
      </c>
      <c r="J335" s="74">
        <f t="shared" si="28"/>
        <v>21.324896103896108</v>
      </c>
      <c r="K335">
        <f>VLOOKUP(C335,'RAW DATA 2023'!E:BO,12,0)</f>
        <v>2</v>
      </c>
      <c r="L335" s="268">
        <f t="shared" si="29"/>
        <v>42.649792207792217</v>
      </c>
      <c r="M335"/>
    </row>
    <row r="336" spans="1:13">
      <c r="A336" s="64" t="str">
        <f>'RAW DATA 2023'!B329</f>
        <v>Maeklong1</v>
      </c>
      <c r="B336" s="64" t="str">
        <f>'RAW DATA 2023'!D329</f>
        <v>A1-015-0037</v>
      </c>
      <c r="C336" s="63" t="str">
        <f t="shared" si="25"/>
        <v>Maeklong1A1-015-0037</v>
      </c>
      <c r="D336" s="63">
        <f>VLOOKUP(C336,'RAW DATA 2023'!E:BP,63,0)</f>
        <v>10</v>
      </c>
      <c r="E336" s="63" t="str">
        <f t="shared" si="26"/>
        <v>Maeklong110</v>
      </c>
      <c r="F336" s="79">
        <f>ROUND(VLOOKUP(C336,'RAW DATA 2023'!E:BO,23,0),0)</f>
        <v>41</v>
      </c>
      <c r="G336" s="79">
        <f>VLOOKUP(C336,'RAW DATA 2023'!E:BO,24,0)</f>
        <v>69.361625000000004</v>
      </c>
      <c r="H336" s="79">
        <f>IFERROR(VLOOKUP(F336,STD!B:G,2,FALSE),"")</f>
        <v>82</v>
      </c>
      <c r="I336" s="100">
        <f t="shared" si="27"/>
        <v>0.84587347560975612</v>
      </c>
      <c r="J336" s="74">
        <f t="shared" si="28"/>
        <v>10.376204268292684</v>
      </c>
      <c r="K336">
        <f>VLOOKUP(C336,'RAW DATA 2023'!E:BO,12,0)</f>
        <v>1.6</v>
      </c>
      <c r="L336" s="268">
        <f t="shared" si="29"/>
        <v>16.601926829268294</v>
      </c>
      <c r="M336"/>
    </row>
    <row r="337" spans="1:13">
      <c r="A337" s="64" t="str">
        <f>'RAW DATA 2023'!B330</f>
        <v>Maeklong1</v>
      </c>
      <c r="B337" s="64" t="str">
        <f>'RAW DATA 2023'!D330</f>
        <v>A1-023-0016</v>
      </c>
      <c r="C337" s="63" t="str">
        <f t="shared" si="25"/>
        <v>Maeklong1A1-023-0016</v>
      </c>
      <c r="D337" s="63">
        <f>VLOOKUP(C337,'RAW DATA 2023'!E:BP,63,0)</f>
        <v>3</v>
      </c>
      <c r="E337" s="63" t="str">
        <f t="shared" si="26"/>
        <v>Maeklong13</v>
      </c>
      <c r="F337" s="79">
        <f>ROUND(VLOOKUP(C337,'RAW DATA 2023'!E:BO,23,0),0)</f>
        <v>27</v>
      </c>
      <c r="G337" s="79">
        <f>VLOOKUP(C337,'RAW DATA 2023'!E:BO,24,0)</f>
        <v>53.032500000000006</v>
      </c>
      <c r="H337" s="79">
        <f>IFERROR(VLOOKUP(F337,STD!B:G,2,FALSE),"")</f>
        <v>75</v>
      </c>
      <c r="I337" s="100">
        <f t="shared" si="27"/>
        <v>0.70710000000000006</v>
      </c>
      <c r="J337" s="74">
        <f t="shared" si="28"/>
        <v>6.2130000000000019</v>
      </c>
      <c r="K337">
        <f>VLOOKUP(C337,'RAW DATA 2023'!E:BO,12,0)</f>
        <v>1.2</v>
      </c>
      <c r="L337" s="268">
        <f t="shared" si="29"/>
        <v>7.4556000000000022</v>
      </c>
      <c r="M337"/>
    </row>
    <row r="338" spans="1:13">
      <c r="A338" s="64" t="str">
        <f>'RAW DATA 2023'!B331</f>
        <v>Maeklong1</v>
      </c>
      <c r="B338" s="64" t="str">
        <f>'RAW DATA 2023'!D331</f>
        <v>A1-021-0026</v>
      </c>
      <c r="C338" s="63" t="str">
        <f t="shared" si="25"/>
        <v>Maeklong1A1-021-0026</v>
      </c>
      <c r="D338" s="63">
        <f>VLOOKUP(C338,'RAW DATA 2023'!E:BP,63,0)</f>
        <v>12</v>
      </c>
      <c r="E338" s="63" t="str">
        <f t="shared" si="26"/>
        <v>Maeklong112</v>
      </c>
      <c r="F338" s="79">
        <f>ROUND(VLOOKUP(C338,'RAW DATA 2023'!E:BO,23,0),0)</f>
        <v>33</v>
      </c>
      <c r="G338" s="79">
        <f>VLOOKUP(C338,'RAW DATA 2023'!E:BO,24,0)</f>
        <v>61.257437500000002</v>
      </c>
      <c r="H338" s="79">
        <f>IFERROR(VLOOKUP(F338,STD!B:G,2,FALSE),"")</f>
        <v>79</v>
      </c>
      <c r="I338" s="100">
        <f t="shared" si="27"/>
        <v>0.77541060126582284</v>
      </c>
      <c r="J338" s="74">
        <f t="shared" si="28"/>
        <v>8.2623180379746852</v>
      </c>
      <c r="K338">
        <f>VLOOKUP(C338,'RAW DATA 2023'!E:BO,12,0)</f>
        <v>1.6</v>
      </c>
      <c r="L338" s="268">
        <f t="shared" si="29"/>
        <v>13.219708860759496</v>
      </c>
      <c r="M338"/>
    </row>
    <row r="339" spans="1:13">
      <c r="A339" s="64" t="str">
        <f>'RAW DATA 2023'!B332</f>
        <v>Maeklong1</v>
      </c>
      <c r="B339" s="64" t="str">
        <f>'RAW DATA 2023'!D332</f>
        <v>A1-023-0017</v>
      </c>
      <c r="C339" s="63" t="str">
        <f t="shared" si="25"/>
        <v>Maeklong1A1-023-0017</v>
      </c>
      <c r="D339" s="63">
        <f>VLOOKUP(C339,'RAW DATA 2023'!E:BP,63,0)</f>
        <v>8</v>
      </c>
      <c r="E339" s="63" t="str">
        <f t="shared" si="26"/>
        <v>Maeklong18</v>
      </c>
      <c r="F339" s="79">
        <f>ROUND(VLOOKUP(C339,'RAW DATA 2023'!E:BO,23,0),0)</f>
        <v>32</v>
      </c>
      <c r="G339" s="79">
        <f>VLOOKUP(C339,'RAW DATA 2023'!E:BO,24,0)</f>
        <v>91.414749999999998</v>
      </c>
      <c r="H339" s="79">
        <f>IFERROR(VLOOKUP(F339,STD!B:G,2,FALSE),"")</f>
        <v>77</v>
      </c>
      <c r="I339" s="100">
        <f t="shared" si="27"/>
        <v>1.1872045454545455</v>
      </c>
      <c r="J339" s="74">
        <f t="shared" si="28"/>
        <v>20.616136363636365</v>
      </c>
      <c r="K339">
        <f>VLOOKUP(C339,'RAW DATA 2023'!E:BO,12,0)</f>
        <v>1.2</v>
      </c>
      <c r="L339" s="268">
        <f t="shared" si="29"/>
        <v>24.739363636363638</v>
      </c>
      <c r="M339"/>
    </row>
    <row r="340" spans="1:13">
      <c r="A340" s="64" t="str">
        <f>'RAW DATA 2023'!B333</f>
        <v>Maeklong1</v>
      </c>
      <c r="B340" s="64" t="str">
        <f>'RAW DATA 2023'!D333</f>
        <v>A1-024-0011</v>
      </c>
      <c r="C340" s="63" t="str">
        <f t="shared" si="25"/>
        <v>Maeklong1A1-024-0011</v>
      </c>
      <c r="D340" s="63">
        <f>VLOOKUP(C340,'RAW DATA 2023'!E:BP,63,0)</f>
        <v>5</v>
      </c>
      <c r="E340" s="63" t="str">
        <f t="shared" si="26"/>
        <v>Maeklong15</v>
      </c>
      <c r="F340" s="79">
        <f>ROUND(VLOOKUP(C340,'RAW DATA 2023'!E:BO,23,0),0)</f>
        <v>31</v>
      </c>
      <c r="G340" s="79">
        <f>VLOOKUP(C340,'RAW DATA 2023'!E:BO,24,0)</f>
        <v>56.643687499999999</v>
      </c>
      <c r="H340" s="79">
        <f>IFERROR(VLOOKUP(F340,STD!B:G,2,FALSE),"")</f>
        <v>76</v>
      </c>
      <c r="I340" s="100">
        <f t="shared" si="27"/>
        <v>0.74531167763157891</v>
      </c>
      <c r="J340" s="74">
        <f t="shared" si="28"/>
        <v>7.3593503289473672</v>
      </c>
      <c r="K340">
        <f>VLOOKUP(C340,'RAW DATA 2023'!E:BO,12,0)</f>
        <v>1.6</v>
      </c>
      <c r="L340" s="268">
        <f t="shared" si="29"/>
        <v>11.774960526315787</v>
      </c>
      <c r="M340"/>
    </row>
    <row r="341" spans="1:13">
      <c r="A341" s="64" t="str">
        <f>'RAW DATA 2023'!B334</f>
        <v>Maeklong1</v>
      </c>
      <c r="B341" s="64" t="str">
        <f>'RAW DATA 2023'!D334</f>
        <v>A1-021-0024</v>
      </c>
      <c r="C341" s="63" t="str">
        <f t="shared" si="25"/>
        <v>Maeklong1A1-021-0024</v>
      </c>
      <c r="D341" s="63">
        <f>VLOOKUP(C341,'RAW DATA 2023'!E:BP,63,0)</f>
        <v>3</v>
      </c>
      <c r="E341" s="63" t="str">
        <f t="shared" si="26"/>
        <v>Maeklong13</v>
      </c>
      <c r="F341" s="79">
        <f>ROUND(VLOOKUP(C341,'RAW DATA 2023'!E:BO,23,0),0)</f>
        <v>35</v>
      </c>
      <c r="G341" s="79">
        <f>VLOOKUP(C341,'RAW DATA 2023'!E:BO,24,0)</f>
        <v>85.458148148148155</v>
      </c>
      <c r="H341" s="79">
        <f>IFERROR(VLOOKUP(F341,STD!B:G,2,FALSE),"")</f>
        <v>80</v>
      </c>
      <c r="I341" s="100">
        <f t="shared" si="27"/>
        <v>1.0682268518518518</v>
      </c>
      <c r="J341" s="74">
        <f t="shared" si="28"/>
        <v>17.046805555555554</v>
      </c>
      <c r="K341">
        <f>VLOOKUP(C341,'RAW DATA 2023'!E:BO,12,0)</f>
        <v>1.35</v>
      </c>
      <c r="L341" s="268">
        <f t="shared" si="29"/>
        <v>23.013187500000001</v>
      </c>
      <c r="M341"/>
    </row>
    <row r="342" spans="1:13">
      <c r="A342" s="64" t="str">
        <f>'RAW DATA 2023'!B335</f>
        <v>Maeklong1</v>
      </c>
      <c r="B342" s="64" t="str">
        <f>'RAW DATA 2023'!D335</f>
        <v>A1-023-0018</v>
      </c>
      <c r="C342" s="63" t="str">
        <f t="shared" si="25"/>
        <v>Maeklong1A1-023-0018</v>
      </c>
      <c r="D342" s="63">
        <f>VLOOKUP(C342,'RAW DATA 2023'!E:BP,63,0)</f>
        <v>10</v>
      </c>
      <c r="E342" s="63" t="str">
        <f t="shared" si="26"/>
        <v>Maeklong110</v>
      </c>
      <c r="F342" s="79">
        <f>ROUND(VLOOKUP(C342,'RAW DATA 2023'!E:BO,23,0),0)</f>
        <v>71</v>
      </c>
      <c r="G342" s="79">
        <f>VLOOKUP(C342,'RAW DATA 2023'!E:BO,24,0)</f>
        <v>51.361374999999995</v>
      </c>
      <c r="H342" s="79">
        <f>IFERROR(VLOOKUP(F342,STD!B:G,2,FALSE),"")</f>
        <v>88</v>
      </c>
      <c r="I342" s="100">
        <f t="shared" si="27"/>
        <v>0.58365198863636358</v>
      </c>
      <c r="J342" s="74">
        <f t="shared" si="28"/>
        <v>2.5095596590909075</v>
      </c>
      <c r="K342">
        <f>VLOOKUP(C342,'RAW DATA 2023'!E:BO,12,0)</f>
        <v>1.6</v>
      </c>
      <c r="L342" s="268">
        <f t="shared" si="29"/>
        <v>4.015295454545452</v>
      </c>
      <c r="M342"/>
    </row>
    <row r="343" spans="1:13">
      <c r="A343" s="64" t="str">
        <f>'RAW DATA 2023'!B336</f>
        <v>Maeklong1</v>
      </c>
      <c r="B343" s="64" t="str">
        <f>'RAW DATA 2023'!D336</f>
        <v>A1-019-0023</v>
      </c>
      <c r="C343" s="63" t="str">
        <f t="shared" si="25"/>
        <v>Maeklong1A1-019-0023</v>
      </c>
      <c r="D343" s="63">
        <f>VLOOKUP(C343,'RAW DATA 2023'!E:BP,63,0)</f>
        <v>5</v>
      </c>
      <c r="E343" s="63" t="str">
        <f t="shared" si="26"/>
        <v>Maeklong15</v>
      </c>
      <c r="F343" s="79">
        <f>ROUND(VLOOKUP(C343,'RAW DATA 2023'!E:BO,23,0),0)</f>
        <v>34</v>
      </c>
      <c r="G343" s="79">
        <f>VLOOKUP(C343,'RAW DATA 2023'!E:BO,24,0)</f>
        <v>86.975700000000003</v>
      </c>
      <c r="H343" s="79">
        <f>IFERROR(VLOOKUP(F343,STD!B:G,2,FALSE),"")</f>
        <v>80</v>
      </c>
      <c r="I343" s="100">
        <f t="shared" si="27"/>
        <v>1.0871962500000001</v>
      </c>
      <c r="J343" s="74">
        <f t="shared" si="28"/>
        <v>17.615887500000003</v>
      </c>
      <c r="K343">
        <f>VLOOKUP(C343,'RAW DATA 2023'!E:BO,12,0)</f>
        <v>2</v>
      </c>
      <c r="L343" s="268">
        <f t="shared" si="29"/>
        <v>35.231775000000006</v>
      </c>
      <c r="M343"/>
    </row>
    <row r="344" spans="1:13">
      <c r="A344" s="64" t="str">
        <f>'RAW DATA 2023'!B337</f>
        <v>Maeklong1</v>
      </c>
      <c r="B344" s="64" t="str">
        <f>'RAW DATA 2023'!D337</f>
        <v>A1-015-0035</v>
      </c>
      <c r="C344" s="63" t="str">
        <f t="shared" si="25"/>
        <v>Maeklong1A1-015-0035</v>
      </c>
      <c r="D344" s="63">
        <f>VLOOKUP(C344,'RAW DATA 2023'!E:BP,63,0)</f>
        <v>3</v>
      </c>
      <c r="E344" s="63" t="str">
        <f t="shared" si="26"/>
        <v>Maeklong13</v>
      </c>
      <c r="F344" s="79">
        <f>ROUND(VLOOKUP(C344,'RAW DATA 2023'!E:BO,23,0),0)</f>
        <v>38</v>
      </c>
      <c r="G344" s="79">
        <f>VLOOKUP(C344,'RAW DATA 2023'!E:BO,24,0)</f>
        <v>89.936000000000007</v>
      </c>
      <c r="H344" s="79">
        <f>IFERROR(VLOOKUP(F344,STD!B:G,2,FALSE),"")</f>
        <v>81</v>
      </c>
      <c r="I344" s="100">
        <f t="shared" si="27"/>
        <v>1.110320987654321</v>
      </c>
      <c r="J344" s="74">
        <f t="shared" si="28"/>
        <v>18.309629629629629</v>
      </c>
      <c r="K344">
        <f>VLOOKUP(C344,'RAW DATA 2023'!E:BO,12,0)</f>
        <v>1.2</v>
      </c>
      <c r="L344" s="268">
        <f t="shared" si="29"/>
        <v>21.971555555555554</v>
      </c>
      <c r="M344"/>
    </row>
    <row r="345" spans="1:13">
      <c r="A345" s="64" t="str">
        <f>'RAW DATA 2023'!B338</f>
        <v>Maeklong1</v>
      </c>
      <c r="B345" s="64" t="str">
        <f>'RAW DATA 2023'!D338</f>
        <v>A1-017-0029</v>
      </c>
      <c r="C345" s="63" t="str">
        <f t="shared" si="25"/>
        <v>Maeklong1A1-017-0029</v>
      </c>
      <c r="D345" s="63">
        <f>VLOOKUP(C345,'RAW DATA 2023'!E:BP,63,0)</f>
        <v>2</v>
      </c>
      <c r="E345" s="63" t="str">
        <f t="shared" si="26"/>
        <v>Maeklong12</v>
      </c>
      <c r="F345" s="79">
        <f>ROUND(VLOOKUP(C345,'RAW DATA 2023'!E:BO,23,0),0)</f>
        <v>51</v>
      </c>
      <c r="G345" s="79">
        <f>VLOOKUP(C345,'RAW DATA 2023'!E:BO,24,0)</f>
        <v>75.728666666666669</v>
      </c>
      <c r="H345" s="79">
        <f>IFERROR(VLOOKUP(F345,STD!B:G,2,FALSE),"")</f>
        <v>85</v>
      </c>
      <c r="I345" s="100">
        <f t="shared" si="27"/>
        <v>0.89092549019607847</v>
      </c>
      <c r="J345" s="74">
        <f t="shared" si="28"/>
        <v>11.727764705882354</v>
      </c>
      <c r="K345">
        <f>VLOOKUP(C345,'RAW DATA 2023'!E:BO,12,0)</f>
        <v>1.2</v>
      </c>
      <c r="L345" s="268">
        <f t="shared" si="29"/>
        <v>14.073317647058824</v>
      </c>
      <c r="M345"/>
    </row>
    <row r="346" spans="1:13">
      <c r="A346" s="64" t="str">
        <f>'RAW DATA 2023'!B339</f>
        <v>Maeklong1</v>
      </c>
      <c r="B346" s="64" t="str">
        <f>'RAW DATA 2023'!D339</f>
        <v>A1-017-0030</v>
      </c>
      <c r="C346" s="63" t="str">
        <f t="shared" si="25"/>
        <v>Maeklong1A1-017-0030</v>
      </c>
      <c r="D346" s="63">
        <f>VLOOKUP(C346,'RAW DATA 2023'!E:BP,63,0)</f>
        <v>3</v>
      </c>
      <c r="E346" s="63" t="str">
        <f t="shared" si="26"/>
        <v>Maeklong13</v>
      </c>
      <c r="F346" s="79">
        <f>ROUND(VLOOKUP(C346,'RAW DATA 2023'!E:BO,23,0),0)</f>
        <v>0</v>
      </c>
      <c r="G346" s="79">
        <f>VLOOKUP(C346,'RAW DATA 2023'!E:BO,24,0)</f>
        <v>0</v>
      </c>
      <c r="H346" s="79" t="str">
        <f>IFERROR(VLOOKUP(F346,STD!B:G,2,FALSE),"")</f>
        <v/>
      </c>
      <c r="I346" s="100">
        <f t="shared" si="27"/>
        <v>0</v>
      </c>
      <c r="J346" s="74">
        <f t="shared" si="28"/>
        <v>-15</v>
      </c>
      <c r="K346">
        <f>VLOOKUP(C346,'RAW DATA 2023'!E:BO,12,0)</f>
        <v>2</v>
      </c>
      <c r="L346" s="268">
        <f t="shared" si="29"/>
        <v>-30</v>
      </c>
      <c r="M346"/>
    </row>
    <row r="347" spans="1:13">
      <c r="A347" s="64" t="str">
        <f>'RAW DATA 2023'!B340</f>
        <v>Maeklong1</v>
      </c>
      <c r="B347" s="64" t="str">
        <f>'RAW DATA 2023'!D340</f>
        <v>A1-017-0032</v>
      </c>
      <c r="C347" s="63" t="str">
        <f t="shared" si="25"/>
        <v>Maeklong1A1-017-0032</v>
      </c>
      <c r="D347" s="63">
        <f>VLOOKUP(C347,'RAW DATA 2023'!E:BP,63,0)</f>
        <v>10</v>
      </c>
      <c r="E347" s="63" t="str">
        <f t="shared" si="26"/>
        <v>Maeklong110</v>
      </c>
      <c r="F347" s="79">
        <f>ROUND(VLOOKUP(C347,'RAW DATA 2023'!E:BO,23,0),0)</f>
        <v>0</v>
      </c>
      <c r="G347" s="79">
        <f>VLOOKUP(C347,'RAW DATA 2023'!E:BO,24,0)</f>
        <v>0</v>
      </c>
      <c r="H347" s="79" t="str">
        <f>IFERROR(VLOOKUP(F347,STD!B:G,2,FALSE),"")</f>
        <v/>
      </c>
      <c r="I347" s="100">
        <f t="shared" si="27"/>
        <v>0</v>
      </c>
      <c r="J347" s="74">
        <f t="shared" si="28"/>
        <v>-15</v>
      </c>
      <c r="K347">
        <f>VLOOKUP(C347,'RAW DATA 2023'!E:BO,12,0)</f>
        <v>1.2</v>
      </c>
      <c r="L347" s="268">
        <f t="shared" si="29"/>
        <v>-18</v>
      </c>
      <c r="M347"/>
    </row>
    <row r="348" spans="1:13">
      <c r="A348" s="64" t="str">
        <f>'RAW DATA 2023'!B341</f>
        <v>Maeklong1</v>
      </c>
      <c r="B348" s="64" t="str">
        <f>'RAW DATA 2023'!D341</f>
        <v>A1-029-0014</v>
      </c>
      <c r="C348" s="63" t="str">
        <f t="shared" si="25"/>
        <v>Maeklong1A1-029-0014</v>
      </c>
      <c r="D348" s="63">
        <f>VLOOKUP(C348,'RAW DATA 2023'!E:BP,63,0)</f>
        <v>9</v>
      </c>
      <c r="E348" s="63" t="str">
        <f t="shared" si="26"/>
        <v>Maeklong19</v>
      </c>
      <c r="F348" s="79">
        <f>ROUND(VLOOKUP(C348,'RAW DATA 2023'!E:BO,23,0),0)</f>
        <v>35</v>
      </c>
      <c r="G348" s="79">
        <f>VLOOKUP(C348,'RAW DATA 2023'!E:BO,24,0)</f>
        <v>80.946874999999991</v>
      </c>
      <c r="H348" s="79">
        <f>IFERROR(VLOOKUP(F348,STD!B:G,2,FALSE),"")</f>
        <v>80</v>
      </c>
      <c r="I348" s="100">
        <f t="shared" si="27"/>
        <v>1.0118359374999999</v>
      </c>
      <c r="J348" s="74">
        <f t="shared" si="28"/>
        <v>15.355078124999997</v>
      </c>
      <c r="K348">
        <f>VLOOKUP(C348,'RAW DATA 2023'!E:BO,12,0)</f>
        <v>0.8</v>
      </c>
      <c r="L348" s="268">
        <f t="shared" si="29"/>
        <v>12.284062499999997</v>
      </c>
      <c r="M348"/>
    </row>
    <row r="349" spans="1:13">
      <c r="A349" s="64" t="str">
        <f>'RAW DATA 2023'!B342</f>
        <v>Maeklong1</v>
      </c>
      <c r="B349" s="64" t="str">
        <f>'RAW DATA 2023'!D342</f>
        <v>A1-002-0034</v>
      </c>
      <c r="C349" s="63" t="str">
        <f t="shared" si="25"/>
        <v>Maeklong1A1-002-0034</v>
      </c>
      <c r="D349" s="63">
        <f>VLOOKUP(C349,'RAW DATA 2023'!E:BP,63,0)</f>
        <v>7</v>
      </c>
      <c r="E349" s="63" t="str">
        <f t="shared" si="26"/>
        <v>Maeklong17</v>
      </c>
      <c r="F349" s="79">
        <f>ROUND(VLOOKUP(C349,'RAW DATA 2023'!E:BO,23,0),0)</f>
        <v>27</v>
      </c>
      <c r="G349" s="79">
        <f>VLOOKUP(C349,'RAW DATA 2023'!E:BO,24,0)</f>
        <v>65.079687500000006</v>
      </c>
      <c r="H349" s="79">
        <f>IFERROR(VLOOKUP(F349,STD!B:G,2,FALSE),"")</f>
        <v>75</v>
      </c>
      <c r="I349" s="100">
        <f t="shared" si="27"/>
        <v>0.86772916666666677</v>
      </c>
      <c r="J349" s="74">
        <f t="shared" si="28"/>
        <v>11.031875000000003</v>
      </c>
      <c r="K349">
        <f>VLOOKUP(C349,'RAW DATA 2023'!E:BO,12,0)</f>
        <v>1.6</v>
      </c>
      <c r="L349" s="268">
        <f t="shared" si="29"/>
        <v>17.651000000000007</v>
      </c>
      <c r="M349"/>
    </row>
    <row r="350" spans="1:13">
      <c r="A350" s="64" t="str">
        <f>'RAW DATA 2023'!B343</f>
        <v>Maeklong1</v>
      </c>
      <c r="B350" s="64" t="str">
        <f>'RAW DATA 2023'!D343</f>
        <v>A1-005-0044</v>
      </c>
      <c r="C350" s="63" t="str">
        <f t="shared" si="25"/>
        <v>Maeklong1A1-005-0044</v>
      </c>
      <c r="D350" s="63">
        <f>VLOOKUP(C350,'RAW DATA 2023'!E:BP,63,0)</f>
        <v>9</v>
      </c>
      <c r="E350" s="63" t="str">
        <f t="shared" si="26"/>
        <v>Maeklong19</v>
      </c>
      <c r="F350" s="79">
        <f>ROUND(VLOOKUP(C350,'RAW DATA 2023'!E:BO,23,0),0)</f>
        <v>26</v>
      </c>
      <c r="G350" s="79">
        <f>VLOOKUP(C350,'RAW DATA 2023'!E:BO,24,0)</f>
        <v>74.145875000000004</v>
      </c>
      <c r="H350" s="79">
        <f>IFERROR(VLOOKUP(F350,STD!B:G,2,FALSE),"")</f>
        <v>75</v>
      </c>
      <c r="I350" s="100">
        <f t="shared" si="27"/>
        <v>0.98861166666666667</v>
      </c>
      <c r="J350" s="74">
        <f t="shared" si="28"/>
        <v>14.65835</v>
      </c>
      <c r="K350">
        <f>VLOOKUP(C350,'RAW DATA 2023'!E:BO,12,0)</f>
        <v>1.6</v>
      </c>
      <c r="L350" s="268">
        <f t="shared" si="29"/>
        <v>23.453360000000004</v>
      </c>
      <c r="M350"/>
    </row>
    <row r="351" spans="1:13">
      <c r="A351" s="64" t="str">
        <f>'RAW DATA 2023'!B344</f>
        <v>Maeklong1</v>
      </c>
      <c r="B351" s="64" t="str">
        <f>'RAW DATA 2023'!D344</f>
        <v>A1-006-0042</v>
      </c>
      <c r="C351" s="63" t="str">
        <f t="shared" si="25"/>
        <v>Maeklong1A1-006-0042</v>
      </c>
      <c r="D351" s="63">
        <f>VLOOKUP(C351,'RAW DATA 2023'!E:BP,63,0)</f>
        <v>9</v>
      </c>
      <c r="E351" s="63" t="str">
        <f t="shared" si="26"/>
        <v>Maeklong19</v>
      </c>
      <c r="F351" s="79">
        <f>ROUND(VLOOKUP(C351,'RAW DATA 2023'!E:BO,23,0),0)</f>
        <v>27</v>
      </c>
      <c r="G351" s="79">
        <f>VLOOKUP(C351,'RAW DATA 2023'!E:BO,24,0)</f>
        <v>62.994937500000006</v>
      </c>
      <c r="H351" s="79">
        <f>IFERROR(VLOOKUP(F351,STD!B:G,2,FALSE),"")</f>
        <v>75</v>
      </c>
      <c r="I351" s="100">
        <f t="shared" si="27"/>
        <v>0.83993250000000008</v>
      </c>
      <c r="J351" s="74">
        <f t="shared" si="28"/>
        <v>10.197975000000003</v>
      </c>
      <c r="K351">
        <f>VLOOKUP(C351,'RAW DATA 2023'!E:BO,12,0)</f>
        <v>1.6</v>
      </c>
      <c r="L351" s="268">
        <f t="shared" si="29"/>
        <v>16.316760000000006</v>
      </c>
      <c r="M351"/>
    </row>
    <row r="352" spans="1:13">
      <c r="A352" s="64" t="str">
        <f>'RAW DATA 2023'!B345</f>
        <v>Maeklong1</v>
      </c>
      <c r="B352" s="64" t="str">
        <f>'RAW DATA 2023'!D345</f>
        <v>A1-030-0007</v>
      </c>
      <c r="C352" s="63" t="str">
        <f t="shared" si="25"/>
        <v>Maeklong1A1-030-0007</v>
      </c>
      <c r="D352" s="63">
        <f>VLOOKUP(C352,'RAW DATA 2023'!E:BP,63,0)</f>
        <v>8</v>
      </c>
      <c r="E352" s="63" t="str">
        <f t="shared" si="26"/>
        <v>Maeklong18</v>
      </c>
      <c r="F352" s="79">
        <f>ROUND(VLOOKUP(C352,'RAW DATA 2023'!E:BO,23,0),0)</f>
        <v>32</v>
      </c>
      <c r="G352" s="79">
        <f>VLOOKUP(C352,'RAW DATA 2023'!E:BO,24,0)</f>
        <v>62.500266666666668</v>
      </c>
      <c r="H352" s="79">
        <f>IFERROR(VLOOKUP(F352,STD!B:G,2,FALSE),"")</f>
        <v>77</v>
      </c>
      <c r="I352" s="100">
        <f t="shared" si="27"/>
        <v>0.81169177489177491</v>
      </c>
      <c r="J352" s="74">
        <f t="shared" si="28"/>
        <v>9.3507532467532464</v>
      </c>
      <c r="K352">
        <f>VLOOKUP(C352,'RAW DATA 2023'!E:BO,12,0)</f>
        <v>0.75</v>
      </c>
      <c r="L352" s="268">
        <f t="shared" si="29"/>
        <v>7.0130649350649348</v>
      </c>
      <c r="M352"/>
    </row>
    <row r="353" spans="1:13">
      <c r="A353" s="64" t="str">
        <f>'RAW DATA 2023'!B346</f>
        <v>Maeklong1</v>
      </c>
      <c r="B353" s="64" t="str">
        <f>'RAW DATA 2023'!D346</f>
        <v>A1-009-0043</v>
      </c>
      <c r="C353" s="63" t="str">
        <f t="shared" si="25"/>
        <v>Maeklong1A1-009-0043</v>
      </c>
      <c r="D353" s="63">
        <f>VLOOKUP(C353,'RAW DATA 2023'!E:BP,63,0)</f>
        <v>10</v>
      </c>
      <c r="E353" s="63" t="str">
        <f t="shared" si="26"/>
        <v>Maeklong110</v>
      </c>
      <c r="F353" s="79">
        <f>ROUND(VLOOKUP(C353,'RAW DATA 2023'!E:BO,23,0),0)</f>
        <v>32</v>
      </c>
      <c r="G353" s="79">
        <f>VLOOKUP(C353,'RAW DATA 2023'!E:BO,24,0)</f>
        <v>75.417400000000001</v>
      </c>
      <c r="H353" s="79">
        <f>IFERROR(VLOOKUP(F353,STD!B:G,2,FALSE),"")</f>
        <v>77</v>
      </c>
      <c r="I353" s="100">
        <f t="shared" si="27"/>
        <v>0.97944675324675323</v>
      </c>
      <c r="J353" s="74">
        <f t="shared" si="28"/>
        <v>14.383402597402597</v>
      </c>
      <c r="K353">
        <f>VLOOKUP(C353,'RAW DATA 2023'!E:BO,12,0)</f>
        <v>1.5</v>
      </c>
      <c r="L353" s="268">
        <f t="shared" si="29"/>
        <v>21.575103896103897</v>
      </c>
      <c r="M353"/>
    </row>
    <row r="354" spans="1:13">
      <c r="A354" s="64" t="str">
        <f>'RAW DATA 2023'!B347</f>
        <v>Maeklong1</v>
      </c>
      <c r="B354" s="64" t="str">
        <f>'RAW DATA 2023'!D347</f>
        <v>A1-029-0013</v>
      </c>
      <c r="C354" s="63" t="str">
        <f t="shared" si="25"/>
        <v>Maeklong1A1-029-0013</v>
      </c>
      <c r="D354" s="63">
        <f>VLOOKUP(C354,'RAW DATA 2023'!E:BP,63,0)</f>
        <v>5</v>
      </c>
      <c r="E354" s="63" t="str">
        <f t="shared" si="26"/>
        <v>Maeklong15</v>
      </c>
      <c r="F354" s="79">
        <f>ROUND(VLOOKUP(C354,'RAW DATA 2023'!E:BO,23,0),0)</f>
        <v>36</v>
      </c>
      <c r="G354" s="79">
        <f>VLOOKUP(C354,'RAW DATA 2023'!E:BO,24,0)</f>
        <v>67.009749999999997</v>
      </c>
      <c r="H354" s="79">
        <f>IFERROR(VLOOKUP(F354,STD!B:G,2,FALSE),"")</f>
        <v>81</v>
      </c>
      <c r="I354" s="100">
        <f t="shared" si="27"/>
        <v>0.82728086419753077</v>
      </c>
      <c r="J354" s="74">
        <f t="shared" si="28"/>
        <v>9.8184259259259239</v>
      </c>
      <c r="K354">
        <f>VLOOKUP(C354,'RAW DATA 2023'!E:BO,12,0)</f>
        <v>0.8</v>
      </c>
      <c r="L354" s="268">
        <f t="shared" si="29"/>
        <v>7.8547407407407395</v>
      </c>
      <c r="M354"/>
    </row>
    <row r="355" spans="1:13">
      <c r="A355" s="64" t="str">
        <f>'RAW DATA 2023'!B348</f>
        <v>Maeklong1</v>
      </c>
      <c r="B355" s="64" t="str">
        <f>'RAW DATA 2023'!D348</f>
        <v>A1-030-0008</v>
      </c>
      <c r="C355" s="63" t="str">
        <f t="shared" si="25"/>
        <v>Maeklong1A1-030-0008</v>
      </c>
      <c r="D355" s="63">
        <f>VLOOKUP(C355,'RAW DATA 2023'!E:BP,63,0)</f>
        <v>12</v>
      </c>
      <c r="E355" s="63" t="str">
        <f t="shared" si="26"/>
        <v>Maeklong112</v>
      </c>
      <c r="F355" s="79">
        <f>ROUND(VLOOKUP(C355,'RAW DATA 2023'!E:BO,23,0),0)</f>
        <v>41</v>
      </c>
      <c r="G355" s="79">
        <f>VLOOKUP(C355,'RAW DATA 2023'!E:BO,24,0)</f>
        <v>78.795749999999998</v>
      </c>
      <c r="H355" s="79">
        <f>IFERROR(VLOOKUP(F355,STD!B:G,2,FALSE),"")</f>
        <v>82</v>
      </c>
      <c r="I355" s="100">
        <f t="shared" si="27"/>
        <v>0.9609237804878048</v>
      </c>
      <c r="J355" s="74">
        <f t="shared" si="28"/>
        <v>13.827713414634143</v>
      </c>
      <c r="K355">
        <f>VLOOKUP(C355,'RAW DATA 2023'!E:BO,12,0)</f>
        <v>0.8</v>
      </c>
      <c r="L355" s="268">
        <f t="shared" si="29"/>
        <v>11.062170731707315</v>
      </c>
      <c r="M355"/>
    </row>
    <row r="356" spans="1:13">
      <c r="A356" s="64" t="str">
        <f>'RAW DATA 2023'!B349</f>
        <v>Maeklong1</v>
      </c>
      <c r="B356" s="64" t="str">
        <f>'RAW DATA 2023'!D349</f>
        <v>A1-002-0035</v>
      </c>
      <c r="C356" s="63" t="str">
        <f t="shared" si="25"/>
        <v>Maeklong1A1-002-0035</v>
      </c>
      <c r="D356" s="63">
        <f>VLOOKUP(C356,'RAW DATA 2023'!E:BP,63,0)</f>
        <v>10</v>
      </c>
      <c r="E356" s="63" t="str">
        <f t="shared" si="26"/>
        <v>Maeklong110</v>
      </c>
      <c r="F356" s="79">
        <f>ROUND(VLOOKUP(C356,'RAW DATA 2023'!E:BO,23,0),0)</f>
        <v>45</v>
      </c>
      <c r="G356" s="79">
        <f>VLOOKUP(C356,'RAW DATA 2023'!E:BO,24,0)</f>
        <v>14.659687499999999</v>
      </c>
      <c r="H356" s="79">
        <f>IFERROR(VLOOKUP(F356,STD!B:G,2,FALSE),"")</f>
        <v>83</v>
      </c>
      <c r="I356" s="100">
        <f t="shared" si="27"/>
        <v>0.17662274096385541</v>
      </c>
      <c r="J356" s="74">
        <f t="shared" si="28"/>
        <v>-9.7013177710843372</v>
      </c>
      <c r="K356">
        <f>VLOOKUP(C356,'RAW DATA 2023'!E:BO,12,0)</f>
        <v>1.6</v>
      </c>
      <c r="L356" s="268">
        <f t="shared" si="29"/>
        <v>-15.522108433734941</v>
      </c>
      <c r="M356"/>
    </row>
    <row r="357" spans="1:13">
      <c r="A357" s="64" t="str">
        <f>'RAW DATA 2023'!B350</f>
        <v>Maeklong1</v>
      </c>
      <c r="B357" s="64" t="str">
        <f>'RAW DATA 2023'!D350</f>
        <v>A1-029-0012</v>
      </c>
      <c r="C357" s="63" t="str">
        <f t="shared" si="25"/>
        <v>Maeklong1A1-029-0012</v>
      </c>
      <c r="D357" s="63">
        <f>VLOOKUP(C357,'RAW DATA 2023'!E:BP,63,0)</f>
        <v>1</v>
      </c>
      <c r="E357" s="63" t="str">
        <f t="shared" si="26"/>
        <v>Maeklong11</v>
      </c>
      <c r="F357" s="79">
        <f>ROUND(VLOOKUP(C357,'RAW DATA 2023'!E:BO,23,0),0)</f>
        <v>44</v>
      </c>
      <c r="G357" s="79">
        <f>VLOOKUP(C357,'RAW DATA 2023'!E:BO,24,0)</f>
        <v>105.72999999999999</v>
      </c>
      <c r="H357" s="79">
        <f>IFERROR(VLOOKUP(F357,STD!B:G,2,FALSE),"")</f>
        <v>83</v>
      </c>
      <c r="I357" s="100">
        <f t="shared" si="27"/>
        <v>1.2738554216867468</v>
      </c>
      <c r="J357" s="74">
        <f t="shared" si="28"/>
        <v>23.215662650602404</v>
      </c>
      <c r="K357">
        <f>VLOOKUP(C357,'RAW DATA 2023'!E:BO,12,0)</f>
        <v>0.75</v>
      </c>
      <c r="L357" s="268">
        <f t="shared" si="29"/>
        <v>17.411746987951801</v>
      </c>
      <c r="M357"/>
    </row>
    <row r="358" spans="1:13">
      <c r="A358" s="64" t="str">
        <f>'RAW DATA 2023'!B351</f>
        <v>Maeklong1</v>
      </c>
      <c r="B358" s="64" t="str">
        <f>'RAW DATA 2023'!D351</f>
        <v>A1-029-0015</v>
      </c>
      <c r="C358" s="63" t="str">
        <f t="shared" si="25"/>
        <v>Maeklong1A1-029-0015</v>
      </c>
      <c r="D358" s="63">
        <f>VLOOKUP(C358,'RAW DATA 2023'!E:BP,63,0)</f>
        <v>12</v>
      </c>
      <c r="E358" s="63" t="str">
        <f t="shared" si="26"/>
        <v>Maeklong112</v>
      </c>
      <c r="F358" s="79">
        <f>ROUND(VLOOKUP(C358,'RAW DATA 2023'!E:BO,23,0),0)</f>
        <v>64</v>
      </c>
      <c r="G358" s="79">
        <f>VLOOKUP(C358,'RAW DATA 2023'!E:BO,24,0)</f>
        <v>77.960222222222214</v>
      </c>
      <c r="H358" s="79">
        <f>IFERROR(VLOOKUP(F358,STD!B:G,2,FALSE),"")</f>
        <v>88</v>
      </c>
      <c r="I358" s="100">
        <f t="shared" si="27"/>
        <v>0.88591161616161607</v>
      </c>
      <c r="J358" s="74">
        <f t="shared" si="28"/>
        <v>11.577348484848482</v>
      </c>
      <c r="K358">
        <f>VLOOKUP(C358,'RAW DATA 2023'!E:BO,12,0)</f>
        <v>0.9</v>
      </c>
      <c r="L358" s="268">
        <f t="shared" si="29"/>
        <v>10.419613636363634</v>
      </c>
      <c r="M358"/>
    </row>
    <row r="359" spans="1:13">
      <c r="A359" s="64" t="str">
        <f>'RAW DATA 2023'!B352</f>
        <v>Maeklong1</v>
      </c>
      <c r="B359" s="64" t="str">
        <f>'RAW DATA 2023'!D352</f>
        <v>A1-006-0043</v>
      </c>
      <c r="C359" s="63" t="str">
        <f t="shared" si="25"/>
        <v>Maeklong1A1-006-0043</v>
      </c>
      <c r="D359" s="63">
        <f>VLOOKUP(C359,'RAW DATA 2023'!E:BP,63,0)</f>
        <v>12</v>
      </c>
      <c r="E359" s="63" t="str">
        <f t="shared" si="26"/>
        <v>Maeklong112</v>
      </c>
      <c r="F359" s="79">
        <f>ROUND(VLOOKUP(C359,'RAW DATA 2023'!E:BO,23,0),0)</f>
        <v>52</v>
      </c>
      <c r="G359" s="79">
        <f>VLOOKUP(C359,'RAW DATA 2023'!E:BO,24,0)</f>
        <v>55.115499999999997</v>
      </c>
      <c r="H359" s="79">
        <f>IFERROR(VLOOKUP(F359,STD!B:G,2,FALSE),"")</f>
        <v>85</v>
      </c>
      <c r="I359" s="100">
        <f t="shared" si="27"/>
        <v>0.64841764705882354</v>
      </c>
      <c r="J359" s="74">
        <f t="shared" si="28"/>
        <v>4.4525294117647061</v>
      </c>
      <c r="K359">
        <f>VLOOKUP(C359,'RAW DATA 2023'!E:BO,12,0)</f>
        <v>1.8</v>
      </c>
      <c r="L359" s="268">
        <f t="shared" si="29"/>
        <v>8.014552941176472</v>
      </c>
      <c r="M359"/>
    </row>
    <row r="360" spans="1:13">
      <c r="A360" s="64" t="str">
        <f>'RAW DATA 2023'!B353</f>
        <v>Maeklong1</v>
      </c>
      <c r="B360" s="64" t="str">
        <f>'RAW DATA 2023'!D353</f>
        <v>A1-009-0044</v>
      </c>
      <c r="C360" s="63" t="str">
        <f t="shared" si="25"/>
        <v>Maeklong1A1-009-0044</v>
      </c>
      <c r="D360" s="63">
        <f>VLOOKUP(C360,'RAW DATA 2023'!E:BP,63,0)</f>
        <v>12</v>
      </c>
      <c r="E360" s="63" t="str">
        <f t="shared" si="26"/>
        <v>Maeklong112</v>
      </c>
      <c r="F360" s="79">
        <f>ROUND(VLOOKUP(C360,'RAW DATA 2023'!E:BO,23,0),0)</f>
        <v>84</v>
      </c>
      <c r="G360" s="79">
        <f>VLOOKUP(C360,'RAW DATA 2023'!E:BO,24,0)</f>
        <v>16.544454545454546</v>
      </c>
      <c r="H360" s="79">
        <f>IFERROR(VLOOKUP(F360,STD!B:G,2,FALSE),"")</f>
        <v>90</v>
      </c>
      <c r="I360" s="100">
        <f t="shared" si="27"/>
        <v>0.18382727272727273</v>
      </c>
      <c r="J360" s="74">
        <f t="shared" si="28"/>
        <v>-9.4851818181818182</v>
      </c>
      <c r="K360">
        <f>VLOOKUP(C360,'RAW DATA 2023'!E:BO,12,0)</f>
        <v>1.1000000000000001</v>
      </c>
      <c r="L360" s="268">
        <f t="shared" si="29"/>
        <v>-10.4337</v>
      </c>
      <c r="M360"/>
    </row>
    <row r="361" spans="1:13">
      <c r="A361" s="64" t="str">
        <f>'RAW DATA 2023'!B354</f>
        <v>Maeklong1</v>
      </c>
      <c r="B361" s="64" t="str">
        <f>'RAW DATA 2023'!D354</f>
        <v>A1-006-0041</v>
      </c>
      <c r="C361" s="63" t="str">
        <f t="shared" si="25"/>
        <v>Maeklong1A1-006-0041</v>
      </c>
      <c r="D361" s="63">
        <f>VLOOKUP(C361,'RAW DATA 2023'!E:BP,63,0)</f>
        <v>3</v>
      </c>
      <c r="E361" s="63" t="str">
        <f t="shared" si="26"/>
        <v>Maeklong13</v>
      </c>
      <c r="F361" s="79">
        <f>ROUND(VLOOKUP(C361,'RAW DATA 2023'!E:BO,23,0),0)</f>
        <v>42</v>
      </c>
      <c r="G361" s="79">
        <f>VLOOKUP(C361,'RAW DATA 2023'!E:BO,24,0)</f>
        <v>80.350916666666677</v>
      </c>
      <c r="H361" s="79">
        <f>IFERROR(VLOOKUP(F361,STD!B:G,2,FALSE),"")</f>
        <v>82</v>
      </c>
      <c r="I361" s="100">
        <f t="shared" si="27"/>
        <v>0.97988922764227659</v>
      </c>
      <c r="J361" s="74">
        <f t="shared" si="28"/>
        <v>14.396676829268298</v>
      </c>
      <c r="K361">
        <f>VLOOKUP(C361,'RAW DATA 2023'!E:BO,12,0)</f>
        <v>1.2</v>
      </c>
      <c r="L361" s="268">
        <f t="shared" si="29"/>
        <v>17.276012195121957</v>
      </c>
      <c r="M361"/>
    </row>
    <row r="362" spans="1:13">
      <c r="A362" s="64" t="str">
        <f>'RAW DATA 2023'!B355</f>
        <v>Maeklong1</v>
      </c>
      <c r="B362" s="64" t="str">
        <f>'RAW DATA 2023'!D355</f>
        <v>A1-030-0006</v>
      </c>
      <c r="C362" s="63" t="str">
        <f t="shared" si="25"/>
        <v>Maeklong1A1-030-0006</v>
      </c>
      <c r="D362" s="63">
        <f>VLOOKUP(C362,'RAW DATA 2023'!E:BP,63,0)</f>
        <v>3</v>
      </c>
      <c r="E362" s="63" t="str">
        <f t="shared" si="26"/>
        <v>Maeklong13</v>
      </c>
      <c r="F362" s="79">
        <f>ROUND(VLOOKUP(C362,'RAW DATA 2023'!E:BO,23,0),0)</f>
        <v>40</v>
      </c>
      <c r="G362" s="79">
        <f>VLOOKUP(C362,'RAW DATA 2023'!E:BO,24,0)</f>
        <v>66.519111111111101</v>
      </c>
      <c r="H362" s="79">
        <f>IFERROR(VLOOKUP(F362,STD!B:G,2,FALSE),"")</f>
        <v>82</v>
      </c>
      <c r="I362" s="100">
        <f t="shared" si="27"/>
        <v>0.81120867208672076</v>
      </c>
      <c r="J362" s="74">
        <f t="shared" si="28"/>
        <v>9.3362601626016222</v>
      </c>
      <c r="K362">
        <f>VLOOKUP(C362,'RAW DATA 2023'!E:BO,12,0)</f>
        <v>0.9</v>
      </c>
      <c r="L362" s="268">
        <f t="shared" si="29"/>
        <v>8.4026341463414607</v>
      </c>
      <c r="M362"/>
    </row>
    <row r="363" spans="1:13">
      <c r="A363" s="64" t="str">
        <f>'RAW DATA 2023'!B356</f>
        <v>Maeklong1</v>
      </c>
      <c r="B363" s="64" t="str">
        <f>'RAW DATA 2023'!D356</f>
        <v>A1-005-0042</v>
      </c>
      <c r="C363" s="63" t="str">
        <f t="shared" si="25"/>
        <v>Maeklong1A1-005-0042</v>
      </c>
      <c r="D363" s="63">
        <f>VLOOKUP(C363,'RAW DATA 2023'!E:BP,63,0)</f>
        <v>1</v>
      </c>
      <c r="E363" s="63" t="str">
        <f t="shared" si="26"/>
        <v>Maeklong11</v>
      </c>
      <c r="F363" s="79">
        <f>ROUND(VLOOKUP(C363,'RAW DATA 2023'!E:BO,23,0),0)</f>
        <v>78</v>
      </c>
      <c r="G363" s="79">
        <f>VLOOKUP(C363,'RAW DATA 2023'!E:BO,24,0)</f>
        <v>106.07036363636364</v>
      </c>
      <c r="H363" s="79">
        <f>IFERROR(VLOOKUP(F363,STD!B:G,2,FALSE),"")</f>
        <v>89</v>
      </c>
      <c r="I363" s="100">
        <f t="shared" si="27"/>
        <v>1.1918018386108273</v>
      </c>
      <c r="J363" s="74">
        <f t="shared" si="28"/>
        <v>20.754055158324821</v>
      </c>
      <c r="K363">
        <f>VLOOKUP(C363,'RAW DATA 2023'!E:BO,12,0)</f>
        <v>1.1000000000000001</v>
      </c>
      <c r="L363" s="268">
        <f t="shared" si="29"/>
        <v>22.829460674157303</v>
      </c>
      <c r="M363"/>
    </row>
    <row r="364" spans="1:13">
      <c r="A364" s="64" t="str">
        <f>'RAW DATA 2023'!B357</f>
        <v>Maeklong1</v>
      </c>
      <c r="B364" s="64" t="str">
        <f>'RAW DATA 2023'!D357</f>
        <v>A1-009-0042</v>
      </c>
      <c r="C364" s="63" t="str">
        <f t="shared" si="25"/>
        <v>Maeklong1A1-009-0042</v>
      </c>
      <c r="D364" s="63">
        <f>VLOOKUP(C364,'RAW DATA 2023'!E:BP,63,0)</f>
        <v>4</v>
      </c>
      <c r="E364" s="63" t="str">
        <f t="shared" si="26"/>
        <v>Maeklong14</v>
      </c>
      <c r="F364" s="79">
        <f>ROUND(VLOOKUP(C364,'RAW DATA 2023'!E:BO,23,0),0)</f>
        <v>67</v>
      </c>
      <c r="G364" s="79">
        <f>VLOOKUP(C364,'RAW DATA 2023'!E:BO,24,0)</f>
        <v>81.593923076923076</v>
      </c>
      <c r="H364" s="79">
        <f>IFERROR(VLOOKUP(F364,STD!B:G,2,FALSE),"")</f>
        <v>88</v>
      </c>
      <c r="I364" s="100">
        <f t="shared" si="27"/>
        <v>0.92720367132867132</v>
      </c>
      <c r="J364" s="74">
        <f t="shared" si="28"/>
        <v>12.81611013986014</v>
      </c>
      <c r="K364">
        <f>VLOOKUP(C364,'RAW DATA 2023'!E:BO,12,0)</f>
        <v>1.3</v>
      </c>
      <c r="L364" s="268">
        <f t="shared" si="29"/>
        <v>16.660943181818183</v>
      </c>
      <c r="M364"/>
    </row>
    <row r="365" spans="1:13">
      <c r="A365" s="64" t="str">
        <f>'RAW DATA 2023'!B358</f>
        <v>Maeklong1</v>
      </c>
      <c r="B365" s="64" t="str">
        <f>'RAW DATA 2023'!D358</f>
        <v>A1-002-0033</v>
      </c>
      <c r="C365" s="63" t="str">
        <f t="shared" si="25"/>
        <v>Maeklong1A1-002-0033</v>
      </c>
      <c r="D365" s="63">
        <f>VLOOKUP(C365,'RAW DATA 2023'!E:BP,63,0)</f>
        <v>2</v>
      </c>
      <c r="E365" s="63" t="str">
        <f t="shared" si="26"/>
        <v>Maeklong12</v>
      </c>
      <c r="F365" s="79">
        <f>ROUND(VLOOKUP(C365,'RAW DATA 2023'!E:BO,23,0),0)</f>
        <v>74</v>
      </c>
      <c r="G365" s="79">
        <f>VLOOKUP(C365,'RAW DATA 2023'!E:BO,24,0)</f>
        <v>80.534959999999998</v>
      </c>
      <c r="H365" s="79">
        <f>IFERROR(VLOOKUP(F365,STD!B:G,2,FALSE),"")</f>
        <v>89</v>
      </c>
      <c r="I365" s="100">
        <f t="shared" si="27"/>
        <v>0.90488719101123594</v>
      </c>
      <c r="J365" s="74">
        <f t="shared" si="28"/>
        <v>12.146615730337079</v>
      </c>
      <c r="K365">
        <f>VLOOKUP(C365,'RAW DATA 2023'!E:BO,12,0)</f>
        <v>1.25</v>
      </c>
      <c r="L365" s="268">
        <f t="shared" si="29"/>
        <v>15.183269662921347</v>
      </c>
      <c r="M365"/>
    </row>
    <row r="366" spans="1:13">
      <c r="A366" s="64" t="str">
        <f>'RAW DATA 2023'!B359</f>
        <v>Maeklong1</v>
      </c>
      <c r="B366" s="64" t="str">
        <f>'RAW DATA 2023'!D359</f>
        <v>A1-005-0043</v>
      </c>
      <c r="C366" s="63" t="str">
        <f t="shared" si="25"/>
        <v>Maeklong1A1-005-0043</v>
      </c>
      <c r="D366" s="63">
        <f>VLOOKUP(C366,'RAW DATA 2023'!E:BP,63,0)</f>
        <v>3</v>
      </c>
      <c r="E366" s="63" t="str">
        <f t="shared" si="26"/>
        <v>Maeklong13</v>
      </c>
      <c r="F366" s="79">
        <f>ROUND(VLOOKUP(C366,'RAW DATA 2023'!E:BO,23,0),0)</f>
        <v>0</v>
      </c>
      <c r="G366" s="79">
        <f>VLOOKUP(C366,'RAW DATA 2023'!E:BO,24,0)</f>
        <v>0</v>
      </c>
      <c r="H366" s="79" t="str">
        <f>IFERROR(VLOOKUP(F366,STD!B:G,2,FALSE),"")</f>
        <v/>
      </c>
      <c r="I366" s="100">
        <f t="shared" si="27"/>
        <v>0</v>
      </c>
      <c r="J366" s="74">
        <f t="shared" si="28"/>
        <v>-15</v>
      </c>
      <c r="K366">
        <f>VLOOKUP(C366,'RAW DATA 2023'!E:BO,12,0)</f>
        <v>1.5</v>
      </c>
      <c r="L366" s="268">
        <f t="shared" si="29"/>
        <v>-22.5</v>
      </c>
      <c r="M366"/>
    </row>
    <row r="367" spans="1:13">
      <c r="A367" s="64" t="str">
        <f>'RAW DATA 2023'!B360</f>
        <v>PB5</v>
      </c>
      <c r="B367" s="64" t="str">
        <f>'RAW DATA 2023'!D360</f>
        <v>A1-009-0048</v>
      </c>
      <c r="C367" s="63" t="str">
        <f t="shared" si="25"/>
        <v>PB5A1-009-0048</v>
      </c>
      <c r="D367" s="63">
        <f>VLOOKUP(C367,'RAW DATA 2023'!E:BP,63,0)</f>
        <v>8</v>
      </c>
      <c r="E367" s="63" t="str">
        <f t="shared" si="26"/>
        <v>PB58</v>
      </c>
      <c r="F367" s="79">
        <f>ROUND(VLOOKUP(C367,'RAW DATA 2023'!E:BO,23,0),0)</f>
        <v>29</v>
      </c>
      <c r="G367" s="79">
        <f>VLOOKUP(C367,'RAW DATA 2023'!E:BO,24,0)</f>
        <v>64.15257142857142</v>
      </c>
      <c r="H367" s="79">
        <f>IFERROR(VLOOKUP(F367,STD!B:G,2,FALSE),"")</f>
        <v>76</v>
      </c>
      <c r="I367" s="100">
        <f t="shared" si="27"/>
        <v>0.84411278195488715</v>
      </c>
      <c r="J367" s="74">
        <f t="shared" si="28"/>
        <v>10.323383458646614</v>
      </c>
      <c r="K367">
        <f>VLOOKUP(C367,'RAW DATA 2023'!E:BO,12,0)</f>
        <v>1.4</v>
      </c>
      <c r="L367" s="268">
        <f t="shared" si="29"/>
        <v>14.452736842105258</v>
      </c>
      <c r="M367"/>
    </row>
    <row r="368" spans="1:13">
      <c r="A368" s="64" t="str">
        <f>'RAW DATA 2023'!B361</f>
        <v>PB5</v>
      </c>
      <c r="B368" s="64" t="str">
        <f>'RAW DATA 2023'!D361</f>
        <v>A1-011-0047</v>
      </c>
      <c r="C368" s="63" t="str">
        <f t="shared" si="25"/>
        <v>PB5A1-011-0047</v>
      </c>
      <c r="D368" s="63">
        <f>VLOOKUP(C368,'RAW DATA 2023'!E:BP,63,0)</f>
        <v>8</v>
      </c>
      <c r="E368" s="63" t="str">
        <f t="shared" si="26"/>
        <v>PB58</v>
      </c>
      <c r="F368" s="79">
        <f>ROUND(VLOOKUP(C368,'RAW DATA 2023'!E:BO,23,0),0)</f>
        <v>32</v>
      </c>
      <c r="G368" s="79">
        <f>VLOOKUP(C368,'RAW DATA 2023'!E:BO,24,0)</f>
        <v>52.303900000000006</v>
      </c>
      <c r="H368" s="79">
        <f>IFERROR(VLOOKUP(F368,STD!B:G,2,FALSE),"")</f>
        <v>77</v>
      </c>
      <c r="I368" s="100">
        <f t="shared" si="27"/>
        <v>0.67927142857142864</v>
      </c>
      <c r="J368" s="74">
        <f t="shared" si="28"/>
        <v>5.3781428571428593</v>
      </c>
      <c r="K368">
        <f>VLOOKUP(C368,'RAW DATA 2023'!E:BO,12,0)</f>
        <v>1</v>
      </c>
      <c r="L368" s="268">
        <f t="shared" si="29"/>
        <v>5.3781428571428593</v>
      </c>
      <c r="M368"/>
    </row>
    <row r="369" spans="1:13">
      <c r="A369" s="64" t="str">
        <f>'RAW DATA 2023'!B362</f>
        <v>PB5</v>
      </c>
      <c r="B369" s="64" t="str">
        <f>'RAW DATA 2023'!D362</f>
        <v>B1-021-0048</v>
      </c>
      <c r="C369" s="63" t="str">
        <f t="shared" si="25"/>
        <v>PB5B1-021-0048</v>
      </c>
      <c r="D369" s="63">
        <f>VLOOKUP(C369,'RAW DATA 2023'!E:BP,63,0)</f>
        <v>11</v>
      </c>
      <c r="E369" s="63" t="str">
        <f t="shared" si="26"/>
        <v>PB511</v>
      </c>
      <c r="F369" s="79">
        <f>ROUND(VLOOKUP(C369,'RAW DATA 2023'!E:BO,23,0),0)</f>
        <v>36</v>
      </c>
      <c r="G369" s="79">
        <f>VLOOKUP(C369,'RAW DATA 2023'!E:BO,24,0)</f>
        <v>79.877875000000003</v>
      </c>
      <c r="H369" s="79">
        <f>IFERROR(VLOOKUP(F369,STD!B:G,2,FALSE),"")</f>
        <v>81</v>
      </c>
      <c r="I369" s="100">
        <f t="shared" si="27"/>
        <v>0.98614660493827166</v>
      </c>
      <c r="J369" s="74">
        <f t="shared" si="28"/>
        <v>14.58439814814815</v>
      </c>
      <c r="K369">
        <f>VLOOKUP(C369,'RAW DATA 2023'!E:BO,12,0)</f>
        <v>0.8</v>
      </c>
      <c r="L369" s="268">
        <f t="shared" si="29"/>
        <v>11.66751851851852</v>
      </c>
      <c r="M369"/>
    </row>
    <row r="370" spans="1:13">
      <c r="A370" s="64" t="str">
        <f>'RAW DATA 2023'!B363</f>
        <v>PB5</v>
      </c>
      <c r="B370" s="64" t="str">
        <f>'RAW DATA 2023'!D363</f>
        <v>B1-023-0050</v>
      </c>
      <c r="C370" s="63" t="str">
        <f t="shared" si="25"/>
        <v>PB5B1-023-0050</v>
      </c>
      <c r="D370" s="63">
        <f>VLOOKUP(C370,'RAW DATA 2023'!E:BP,63,0)</f>
        <v>11</v>
      </c>
      <c r="E370" s="63" t="str">
        <f t="shared" si="26"/>
        <v>PB511</v>
      </c>
      <c r="F370" s="79">
        <f>ROUND(VLOOKUP(C370,'RAW DATA 2023'!E:BO,23,0),0)</f>
        <v>36</v>
      </c>
      <c r="G370" s="79">
        <f>VLOOKUP(C370,'RAW DATA 2023'!E:BO,24,0)</f>
        <v>85.730999999999995</v>
      </c>
      <c r="H370" s="79">
        <f>IFERROR(VLOOKUP(F370,STD!B:G,2,FALSE),"")</f>
        <v>81</v>
      </c>
      <c r="I370" s="100">
        <f t="shared" si="27"/>
        <v>1.0584074074074072</v>
      </c>
      <c r="J370" s="74">
        <f t="shared" si="28"/>
        <v>16.752222222222215</v>
      </c>
      <c r="K370">
        <f>VLOOKUP(C370,'RAW DATA 2023'!E:BO,12,0)</f>
        <v>1</v>
      </c>
      <c r="L370" s="268">
        <f t="shared" si="29"/>
        <v>16.752222222222215</v>
      </c>
      <c r="M370"/>
    </row>
    <row r="371" spans="1:13">
      <c r="A371" s="64" t="str">
        <f>'RAW DATA 2023'!B364</f>
        <v>PB5</v>
      </c>
      <c r="B371" s="64" t="str">
        <f>'RAW DATA 2023'!D364</f>
        <v>B1-021-0047</v>
      </c>
      <c r="C371" s="63" t="str">
        <f t="shared" si="25"/>
        <v>PB5B1-021-0047</v>
      </c>
      <c r="D371" s="63">
        <f>VLOOKUP(C371,'RAW DATA 2023'!E:BP,63,0)</f>
        <v>7</v>
      </c>
      <c r="E371" s="63" t="str">
        <f t="shared" si="26"/>
        <v>PB57</v>
      </c>
      <c r="F371" s="79">
        <f>ROUND(VLOOKUP(C371,'RAW DATA 2023'!E:BO,23,0),0)</f>
        <v>29</v>
      </c>
      <c r="G371" s="79">
        <f>VLOOKUP(C371,'RAW DATA 2023'!E:BO,24,0)</f>
        <v>54.935866666666669</v>
      </c>
      <c r="H371" s="79">
        <f>IFERROR(VLOOKUP(F371,STD!B:G,2,FALSE),"")</f>
        <v>76</v>
      </c>
      <c r="I371" s="100">
        <f t="shared" si="27"/>
        <v>0.72284035087719301</v>
      </c>
      <c r="J371" s="74">
        <f t="shared" si="28"/>
        <v>6.6852105263157906</v>
      </c>
      <c r="K371">
        <f>VLOOKUP(C371,'RAW DATA 2023'!E:BO,12,0)</f>
        <v>1.5</v>
      </c>
      <c r="L371" s="268">
        <f t="shared" si="29"/>
        <v>10.027815789473685</v>
      </c>
      <c r="M371"/>
    </row>
    <row r="372" spans="1:13">
      <c r="A372" s="64" t="str">
        <f>'RAW DATA 2023'!B365</f>
        <v>PB5</v>
      </c>
      <c r="B372" s="64" t="str">
        <f>'RAW DATA 2023'!D365</f>
        <v>B1-022-0051</v>
      </c>
      <c r="C372" s="63" t="str">
        <f t="shared" si="25"/>
        <v>PB5B1-022-0051</v>
      </c>
      <c r="D372" s="63">
        <f>VLOOKUP(C372,'RAW DATA 2023'!E:BP,63,0)</f>
        <v>11</v>
      </c>
      <c r="E372" s="63" t="str">
        <f t="shared" si="26"/>
        <v>PB511</v>
      </c>
      <c r="F372" s="79">
        <f>ROUND(VLOOKUP(C372,'RAW DATA 2023'!E:BO,23,0),0)</f>
        <v>35</v>
      </c>
      <c r="G372" s="79">
        <f>VLOOKUP(C372,'RAW DATA 2023'!E:BO,24,0)</f>
        <v>78.307999999999993</v>
      </c>
      <c r="H372" s="79">
        <f>IFERROR(VLOOKUP(F372,STD!B:G,2,FALSE),"")</f>
        <v>80</v>
      </c>
      <c r="I372" s="100">
        <f t="shared" si="27"/>
        <v>0.97884999999999989</v>
      </c>
      <c r="J372" s="74">
        <f t="shared" si="28"/>
        <v>14.365499999999997</v>
      </c>
      <c r="K372">
        <f>VLOOKUP(C372,'RAW DATA 2023'!E:BO,12,0)</f>
        <v>1</v>
      </c>
      <c r="L372" s="268">
        <f t="shared" si="29"/>
        <v>14.365499999999997</v>
      </c>
      <c r="M372"/>
    </row>
    <row r="373" spans="1:13">
      <c r="A373" s="64" t="str">
        <f>'RAW DATA 2023'!B366</f>
        <v>PB5</v>
      </c>
      <c r="B373" s="64" t="str">
        <f>'RAW DATA 2023'!D366</f>
        <v>B1-022-0050</v>
      </c>
      <c r="C373" s="63" t="str">
        <f t="shared" si="25"/>
        <v>PB5B1-022-0050</v>
      </c>
      <c r="D373" s="63">
        <f>VLOOKUP(C373,'RAW DATA 2023'!E:BP,63,0)</f>
        <v>6</v>
      </c>
      <c r="E373" s="63" t="str">
        <f t="shared" si="26"/>
        <v>PB56</v>
      </c>
      <c r="F373" s="79">
        <f>ROUND(VLOOKUP(C373,'RAW DATA 2023'!E:BO,23,0),0)</f>
        <v>43</v>
      </c>
      <c r="G373" s="79">
        <f>VLOOKUP(C373,'RAW DATA 2023'!E:BO,24,0)</f>
        <v>90.338999999999999</v>
      </c>
      <c r="H373" s="79">
        <f>IFERROR(VLOOKUP(F373,STD!B:G,2,FALSE),"")</f>
        <v>83</v>
      </c>
      <c r="I373" s="100">
        <f t="shared" si="27"/>
        <v>1.088421686746988</v>
      </c>
      <c r="J373" s="74">
        <f t="shared" si="28"/>
        <v>17.65265060240964</v>
      </c>
      <c r="K373">
        <f>VLOOKUP(C373,'RAW DATA 2023'!E:BO,12,0)</f>
        <v>1.2</v>
      </c>
      <c r="L373" s="268">
        <f t="shared" si="29"/>
        <v>21.183180722891567</v>
      </c>
      <c r="M373"/>
    </row>
    <row r="374" spans="1:13">
      <c r="A374" s="64" t="str">
        <f>'RAW DATA 2023'!B367</f>
        <v>PB5</v>
      </c>
      <c r="B374" s="64" t="str">
        <f>'RAW DATA 2023'!D367</f>
        <v>B1-021-0046</v>
      </c>
      <c r="C374" s="63" t="str">
        <f t="shared" si="25"/>
        <v>PB5B1-021-0046</v>
      </c>
      <c r="D374" s="63">
        <f>VLOOKUP(C374,'RAW DATA 2023'!E:BP,63,0)</f>
        <v>2</v>
      </c>
      <c r="E374" s="63" t="str">
        <f t="shared" si="26"/>
        <v>PB52</v>
      </c>
      <c r="F374" s="79">
        <f>ROUND(VLOOKUP(C374,'RAW DATA 2023'!E:BO,23,0),0)</f>
        <v>31</v>
      </c>
      <c r="G374" s="79">
        <f>VLOOKUP(C374,'RAW DATA 2023'!E:BO,24,0)</f>
        <v>31.565733333333334</v>
      </c>
      <c r="H374" s="79">
        <f>IFERROR(VLOOKUP(F374,STD!B:G,2,FALSE),"")</f>
        <v>76</v>
      </c>
      <c r="I374" s="100">
        <f t="shared" si="27"/>
        <v>0.41533859649122806</v>
      </c>
      <c r="J374" s="74">
        <f t="shared" si="28"/>
        <v>-2.5398421052631583</v>
      </c>
      <c r="K374">
        <f>VLOOKUP(C374,'RAW DATA 2023'!E:BO,12,0)</f>
        <v>1.5</v>
      </c>
      <c r="L374" s="268">
        <f t="shared" si="29"/>
        <v>-3.8097631578947375</v>
      </c>
      <c r="M374"/>
    </row>
    <row r="375" spans="1:13">
      <c r="A375" s="64" t="str">
        <f>'RAW DATA 2023'!B368</f>
        <v>PB5</v>
      </c>
      <c r="B375" s="64" t="str">
        <f>'RAW DATA 2023'!D368</f>
        <v>A1-009-0049</v>
      </c>
      <c r="C375" s="63" t="str">
        <f t="shared" si="25"/>
        <v>PB5A1-009-0049</v>
      </c>
      <c r="D375" s="63">
        <f>VLOOKUP(C375,'RAW DATA 2023'!E:BP,63,0)</f>
        <v>11</v>
      </c>
      <c r="E375" s="63" t="str">
        <f t="shared" si="26"/>
        <v>PB511</v>
      </c>
      <c r="F375" s="79">
        <f>ROUND(VLOOKUP(C375,'RAW DATA 2023'!E:BO,23,0),0)</f>
        <v>60</v>
      </c>
      <c r="G375" s="79">
        <f>VLOOKUP(C375,'RAW DATA 2023'!E:BO,24,0)</f>
        <v>58.683099999999996</v>
      </c>
      <c r="H375" s="79">
        <f>IFERROR(VLOOKUP(F375,STD!B:G,2,FALSE),"")</f>
        <v>87</v>
      </c>
      <c r="I375" s="100">
        <f t="shared" si="27"/>
        <v>0.67451839080459763</v>
      </c>
      <c r="J375" s="74">
        <f t="shared" si="28"/>
        <v>5.2355517241379292</v>
      </c>
      <c r="K375">
        <f>VLOOKUP(C375,'RAW DATA 2023'!E:BO,12,0)</f>
        <v>1</v>
      </c>
      <c r="L375" s="268">
        <f t="shared" si="29"/>
        <v>5.2355517241379292</v>
      </c>
      <c r="M375"/>
    </row>
    <row r="376" spans="1:13">
      <c r="A376" s="64" t="str">
        <f>'RAW DATA 2023'!B369</f>
        <v>PB5</v>
      </c>
      <c r="B376" s="64" t="str">
        <f>'RAW DATA 2023'!D369</f>
        <v>A1-011-0046</v>
      </c>
      <c r="C376" s="63" t="str">
        <f t="shared" si="25"/>
        <v>PB5A1-011-0046</v>
      </c>
      <c r="D376" s="63">
        <f>VLOOKUP(C376,'RAW DATA 2023'!E:BP,63,0)</f>
        <v>4</v>
      </c>
      <c r="E376" s="63" t="str">
        <f t="shared" si="26"/>
        <v>PB54</v>
      </c>
      <c r="F376" s="79">
        <f>ROUND(VLOOKUP(C376,'RAW DATA 2023'!E:BO,23,0),0)</f>
        <v>34</v>
      </c>
      <c r="G376" s="79">
        <f>VLOOKUP(C376,'RAW DATA 2023'!E:BO,24,0)</f>
        <v>64.649000000000001</v>
      </c>
      <c r="H376" s="79">
        <f>IFERROR(VLOOKUP(F376,STD!B:G,2,FALSE),"")</f>
        <v>80</v>
      </c>
      <c r="I376" s="100">
        <f t="shared" si="27"/>
        <v>0.80811250000000001</v>
      </c>
      <c r="J376" s="74">
        <f t="shared" si="28"/>
        <v>9.2433750000000003</v>
      </c>
      <c r="K376">
        <f>VLOOKUP(C376,'RAW DATA 2023'!E:BO,12,0)</f>
        <v>1</v>
      </c>
      <c r="L376" s="268">
        <f t="shared" si="29"/>
        <v>9.2433750000000003</v>
      </c>
      <c r="M376"/>
    </row>
    <row r="377" spans="1:13">
      <c r="A377" s="64" t="str">
        <f>'RAW DATA 2023'!B370</f>
        <v>PB5</v>
      </c>
      <c r="B377" s="64" t="str">
        <f>'RAW DATA 2023'!D370</f>
        <v>A1-005-0053</v>
      </c>
      <c r="C377" s="63" t="str">
        <f t="shared" si="25"/>
        <v>PB5A1-005-0053</v>
      </c>
      <c r="D377" s="63">
        <f>VLOOKUP(C377,'RAW DATA 2023'!E:BP,63,0)</f>
        <v>11</v>
      </c>
      <c r="E377" s="63" t="str">
        <f t="shared" si="26"/>
        <v>PB511</v>
      </c>
      <c r="F377" s="79">
        <f>ROUND(VLOOKUP(C377,'RAW DATA 2023'!E:BO,23,0),0)</f>
        <v>41</v>
      </c>
      <c r="G377" s="79">
        <f>VLOOKUP(C377,'RAW DATA 2023'!E:BO,24,0)</f>
        <v>88.09675</v>
      </c>
      <c r="H377" s="79">
        <f>IFERROR(VLOOKUP(F377,STD!B:G,2,FALSE),"")</f>
        <v>82</v>
      </c>
      <c r="I377" s="100">
        <f t="shared" si="27"/>
        <v>1.0743506097560975</v>
      </c>
      <c r="J377" s="74">
        <f t="shared" si="28"/>
        <v>17.230518292682927</v>
      </c>
      <c r="K377">
        <f>VLOOKUP(C377,'RAW DATA 2023'!E:BO,12,0)</f>
        <v>0.8</v>
      </c>
      <c r="L377" s="268">
        <f t="shared" si="29"/>
        <v>13.784414634146342</v>
      </c>
      <c r="M377"/>
    </row>
    <row r="378" spans="1:13">
      <c r="A378" s="64" t="str">
        <f>'RAW DATA 2023'!B371</f>
        <v>PB5</v>
      </c>
      <c r="B378" s="64" t="str">
        <f>'RAW DATA 2023'!D371</f>
        <v>A1-007-0050</v>
      </c>
      <c r="C378" s="63" t="str">
        <f t="shared" si="25"/>
        <v>PB5A1-007-0050</v>
      </c>
      <c r="D378" s="63">
        <f>VLOOKUP(C378,'RAW DATA 2023'!E:BP,63,0)</f>
        <v>3</v>
      </c>
      <c r="E378" s="63" t="str">
        <f t="shared" si="26"/>
        <v>PB53</v>
      </c>
      <c r="F378" s="79">
        <f>ROUND(VLOOKUP(C378,'RAW DATA 2023'!E:BO,23,0),0)</f>
        <v>26</v>
      </c>
      <c r="G378" s="79">
        <f>VLOOKUP(C378,'RAW DATA 2023'!E:BO,24,0)</f>
        <v>16.957181818181819</v>
      </c>
      <c r="H378" s="79">
        <f>IFERROR(VLOOKUP(F378,STD!B:G,2,FALSE),"")</f>
        <v>75</v>
      </c>
      <c r="I378" s="100">
        <f t="shared" si="27"/>
        <v>0.22609575757575759</v>
      </c>
      <c r="J378" s="74">
        <f t="shared" si="28"/>
        <v>-8.2171272727272715</v>
      </c>
      <c r="K378">
        <f>VLOOKUP(C378,'RAW DATA 2023'!E:BO,12,0)</f>
        <v>1.1000000000000001</v>
      </c>
      <c r="L378" s="268">
        <f t="shared" si="29"/>
        <v>-9.0388399999999987</v>
      </c>
      <c r="M378"/>
    </row>
    <row r="379" spans="1:13">
      <c r="A379" s="64" t="str">
        <f>'RAW DATA 2023'!B372</f>
        <v>PB5</v>
      </c>
      <c r="B379" s="64" t="str">
        <f>'RAW DATA 2023'!D372</f>
        <v>A1-005-0052</v>
      </c>
      <c r="C379" s="63" t="str">
        <f t="shared" si="25"/>
        <v>PB5A1-005-0052</v>
      </c>
      <c r="D379" s="63">
        <f>VLOOKUP(C379,'RAW DATA 2023'!E:BP,63,0)</f>
        <v>7</v>
      </c>
      <c r="E379" s="63" t="str">
        <f t="shared" si="26"/>
        <v>PB57</v>
      </c>
      <c r="F379" s="79">
        <f>ROUND(VLOOKUP(C379,'RAW DATA 2023'!E:BO,23,0),0)</f>
        <v>35</v>
      </c>
      <c r="G379" s="79">
        <f>VLOOKUP(C379,'RAW DATA 2023'!E:BO,24,0)</f>
        <v>32.510083333333334</v>
      </c>
      <c r="H379" s="79">
        <f>IFERROR(VLOOKUP(F379,STD!B:G,2,FALSE),"")</f>
        <v>80</v>
      </c>
      <c r="I379" s="100">
        <f t="shared" si="27"/>
        <v>0.40637604166666669</v>
      </c>
      <c r="J379" s="74">
        <f t="shared" si="28"/>
        <v>-2.8087187499999993</v>
      </c>
      <c r="K379">
        <f>VLOOKUP(C379,'RAW DATA 2023'!E:BO,12,0)</f>
        <v>1.2</v>
      </c>
      <c r="L379" s="268">
        <f t="shared" si="29"/>
        <v>-3.370462499999999</v>
      </c>
      <c r="M379"/>
    </row>
    <row r="380" spans="1:13">
      <c r="A380" s="64" t="str">
        <f>'RAW DATA 2023'!B373</f>
        <v>PB5</v>
      </c>
      <c r="B380" s="64" t="str">
        <f>'RAW DATA 2023'!D373</f>
        <v>B1-023-0048</v>
      </c>
      <c r="C380" s="63" t="str">
        <f t="shared" si="25"/>
        <v>PB5B1-023-0048</v>
      </c>
      <c r="D380" s="63">
        <f>VLOOKUP(C380,'RAW DATA 2023'!E:BP,63,0)</f>
        <v>4</v>
      </c>
      <c r="E380" s="63" t="str">
        <f t="shared" si="26"/>
        <v>PB54</v>
      </c>
      <c r="F380" s="79">
        <f>ROUND(VLOOKUP(C380,'RAW DATA 2023'!E:BO,23,0),0)</f>
        <v>29</v>
      </c>
      <c r="G380" s="79">
        <f>VLOOKUP(C380,'RAW DATA 2023'!E:BO,24,0)</f>
        <v>36.463133333333332</v>
      </c>
      <c r="H380" s="79">
        <f>IFERROR(VLOOKUP(F380,STD!B:G,2,FALSE),"")</f>
        <v>76</v>
      </c>
      <c r="I380" s="100">
        <f t="shared" si="27"/>
        <v>0.47977807017543855</v>
      </c>
      <c r="J380" s="74">
        <f t="shared" si="28"/>
        <v>-0.60665789473684339</v>
      </c>
      <c r="K380">
        <f>VLOOKUP(C380,'RAW DATA 2023'!E:BO,12,0)</f>
        <v>1.5</v>
      </c>
      <c r="L380" s="268">
        <f t="shared" si="29"/>
        <v>-0.90998684210526504</v>
      </c>
      <c r="M380"/>
    </row>
    <row r="381" spans="1:13">
      <c r="A381" s="64" t="str">
        <f>'RAW DATA 2023'!B374</f>
        <v>PB5</v>
      </c>
      <c r="B381" s="64" t="str">
        <f>'RAW DATA 2023'!D374</f>
        <v>A1-009-0047</v>
      </c>
      <c r="C381" s="63" t="str">
        <f t="shared" si="25"/>
        <v>PB5A1-009-0047</v>
      </c>
      <c r="D381" s="63">
        <f>VLOOKUP(C381,'RAW DATA 2023'!E:BP,63,0)</f>
        <v>3</v>
      </c>
      <c r="E381" s="63" t="str">
        <f t="shared" si="26"/>
        <v>PB53</v>
      </c>
      <c r="F381" s="79">
        <f>ROUND(VLOOKUP(C381,'RAW DATA 2023'!E:BO,23,0),0)</f>
        <v>28</v>
      </c>
      <c r="G381" s="79">
        <f>VLOOKUP(C381,'RAW DATA 2023'!E:BO,24,0)</f>
        <v>27.246333333333332</v>
      </c>
      <c r="H381" s="79">
        <f>IFERROR(VLOOKUP(F381,STD!B:G,2,FALSE),"")</f>
        <v>75</v>
      </c>
      <c r="I381" s="100">
        <f t="shared" si="27"/>
        <v>0.36328444444444441</v>
      </c>
      <c r="J381" s="74">
        <f t="shared" si="28"/>
        <v>-4.1014666666666679</v>
      </c>
      <c r="K381">
        <f>VLOOKUP(C381,'RAW DATA 2023'!E:BO,12,0)</f>
        <v>1.5</v>
      </c>
      <c r="L381" s="268">
        <f t="shared" si="29"/>
        <v>-6.1522000000000023</v>
      </c>
      <c r="M381"/>
    </row>
    <row r="382" spans="1:13">
      <c r="A382" s="64" t="str">
        <f>'RAW DATA 2023'!B375</f>
        <v>PB5</v>
      </c>
      <c r="B382" s="64" t="str">
        <f>'RAW DATA 2023'!D375</f>
        <v>A1-005-0051</v>
      </c>
      <c r="C382" s="63" t="str">
        <f t="shared" si="25"/>
        <v>PB5A1-005-0051</v>
      </c>
      <c r="D382" s="63">
        <f>VLOOKUP(C382,'RAW DATA 2023'!E:BP,63,0)</f>
        <v>2</v>
      </c>
      <c r="E382" s="63" t="str">
        <f t="shared" si="26"/>
        <v>PB52</v>
      </c>
      <c r="F382" s="79">
        <f>ROUND(VLOOKUP(C382,'RAW DATA 2023'!E:BO,23,0),0)</f>
        <v>27</v>
      </c>
      <c r="G382" s="79">
        <f>VLOOKUP(C382,'RAW DATA 2023'!E:BO,24,0)</f>
        <v>28.376000000000001</v>
      </c>
      <c r="H382" s="79">
        <f>IFERROR(VLOOKUP(F382,STD!B:G,2,FALSE),"")</f>
        <v>75</v>
      </c>
      <c r="I382" s="100">
        <f t="shared" si="27"/>
        <v>0.37834666666666666</v>
      </c>
      <c r="J382" s="74">
        <f t="shared" si="28"/>
        <v>-3.6496</v>
      </c>
      <c r="K382">
        <f>VLOOKUP(C382,'RAW DATA 2023'!E:BO,12,0)</f>
        <v>1.1000000000000001</v>
      </c>
      <c r="L382" s="268">
        <f t="shared" si="29"/>
        <v>-4.0145600000000004</v>
      </c>
      <c r="M382"/>
    </row>
    <row r="383" spans="1:13">
      <c r="A383" s="64" t="str">
        <f>'RAW DATA 2023'!B376</f>
        <v>PB5</v>
      </c>
      <c r="B383" s="64" t="str">
        <f>'RAW DATA 2023'!D376</f>
        <v>A1-007-0051</v>
      </c>
      <c r="C383" s="63" t="str">
        <f t="shared" si="25"/>
        <v>PB5A1-007-0051</v>
      </c>
      <c r="D383" s="63">
        <f>VLOOKUP(C383,'RAW DATA 2023'!E:BP,63,0)</f>
        <v>6</v>
      </c>
      <c r="E383" s="63" t="str">
        <f t="shared" si="26"/>
        <v>PB56</v>
      </c>
      <c r="F383" s="79">
        <f>ROUND(VLOOKUP(C383,'RAW DATA 2023'!E:BO,23,0),0)</f>
        <v>60</v>
      </c>
      <c r="G383" s="79">
        <f>VLOOKUP(C383,'RAW DATA 2023'!E:BO,24,0)</f>
        <v>67.494100000000003</v>
      </c>
      <c r="H383" s="79">
        <f>IFERROR(VLOOKUP(F383,STD!B:G,2,FALSE),"")</f>
        <v>87</v>
      </c>
      <c r="I383" s="100">
        <f t="shared" si="27"/>
        <v>0.77579425287356329</v>
      </c>
      <c r="J383" s="74">
        <f t="shared" si="28"/>
        <v>8.2738275862068988</v>
      </c>
      <c r="K383">
        <f>VLOOKUP(C383,'RAW DATA 2023'!E:BO,12,0)</f>
        <v>1</v>
      </c>
      <c r="L383" s="268">
        <f t="shared" si="29"/>
        <v>8.2738275862068988</v>
      </c>
      <c r="M383"/>
    </row>
    <row r="384" spans="1:13">
      <c r="A384" s="64" t="str">
        <f>'RAW DATA 2023'!B377</f>
        <v>PB5</v>
      </c>
      <c r="B384" s="64" t="str">
        <f>'RAW DATA 2023'!D377</f>
        <v>B1-022-0049</v>
      </c>
      <c r="C384" s="63" t="str">
        <f t="shared" si="25"/>
        <v>PB5B1-022-0049</v>
      </c>
      <c r="D384" s="63">
        <f>VLOOKUP(C384,'RAW DATA 2023'!E:BP,63,0)</f>
        <v>3</v>
      </c>
      <c r="E384" s="63" t="str">
        <f t="shared" si="26"/>
        <v>PB53</v>
      </c>
      <c r="F384" s="79">
        <f>ROUND(VLOOKUP(C384,'RAW DATA 2023'!E:BO,23,0),0)</f>
        <v>28</v>
      </c>
      <c r="G384" s="79">
        <f>VLOOKUP(C384,'RAW DATA 2023'!E:BO,24,0)</f>
        <v>41.044110441104408</v>
      </c>
      <c r="H384" s="79">
        <f>IFERROR(VLOOKUP(F384,STD!B:G,2,FALSE),"")</f>
        <v>75</v>
      </c>
      <c r="I384" s="100">
        <f t="shared" si="27"/>
        <v>0.54725480588139208</v>
      </c>
      <c r="J384" s="74">
        <f t="shared" si="28"/>
        <v>1.4176441764417624</v>
      </c>
      <c r="K384">
        <f>VLOOKUP(C384,'RAW DATA 2023'!E:BO,12,0)</f>
        <v>0.99999000000000005</v>
      </c>
      <c r="L384" s="268">
        <f t="shared" si="29"/>
        <v>1.4176299999999982</v>
      </c>
      <c r="M384"/>
    </row>
    <row r="385" spans="1:13">
      <c r="A385" s="64" t="str">
        <f>'RAW DATA 2023'!B378</f>
        <v>PB5</v>
      </c>
      <c r="B385" s="64" t="str">
        <f>'RAW DATA 2023'!D378</f>
        <v>B1-023-0049</v>
      </c>
      <c r="C385" s="63" t="str">
        <f t="shared" si="25"/>
        <v>PB5B1-023-0049</v>
      </c>
      <c r="D385" s="63">
        <f>VLOOKUP(C385,'RAW DATA 2023'!E:BP,63,0)</f>
        <v>6</v>
      </c>
      <c r="E385" s="63" t="str">
        <f t="shared" si="26"/>
        <v>PB56</v>
      </c>
      <c r="F385" s="79">
        <f>ROUND(VLOOKUP(C385,'RAW DATA 2023'!E:BO,23,0),0)</f>
        <v>171</v>
      </c>
      <c r="G385" s="79">
        <f>VLOOKUP(C385,'RAW DATA 2023'!E:BO,24,0)</f>
        <v>89.787533333333329</v>
      </c>
      <c r="H385" s="79">
        <f>IFERROR(VLOOKUP(F385,STD!B:G,2,FALSE),"")</f>
        <v>94</v>
      </c>
      <c r="I385" s="100">
        <f t="shared" si="27"/>
        <v>0.95518652482269495</v>
      </c>
      <c r="J385" s="74">
        <f t="shared" si="28"/>
        <v>13.655595744680848</v>
      </c>
      <c r="K385">
        <f>VLOOKUP(C385,'RAW DATA 2023'!E:BO,12,0)</f>
        <v>1.5</v>
      </c>
      <c r="L385" s="268">
        <f t="shared" si="29"/>
        <v>20.483393617021271</v>
      </c>
      <c r="M385"/>
    </row>
    <row r="386" spans="1:13">
      <c r="A386" s="64" t="str">
        <f>'RAW DATA 2023'!B379</f>
        <v>PB5</v>
      </c>
      <c r="B386" s="64" t="str">
        <f>'RAW DATA 2023'!D379</f>
        <v>A1-011-0048</v>
      </c>
      <c r="C386" s="63" t="str">
        <f t="shared" si="25"/>
        <v>PB5A1-011-0048</v>
      </c>
      <c r="D386" s="63">
        <f>VLOOKUP(C386,'RAW DATA 2023'!E:BP,63,0)</f>
        <v>10</v>
      </c>
      <c r="E386" s="63" t="str">
        <f t="shared" si="26"/>
        <v>PB510</v>
      </c>
      <c r="F386" s="79">
        <f>ROUND(VLOOKUP(C386,'RAW DATA 2023'!E:BO,23,0),0)</f>
        <v>0</v>
      </c>
      <c r="G386" s="79">
        <f>VLOOKUP(C386,'RAW DATA 2023'!E:BO,24,0)</f>
        <v>0</v>
      </c>
      <c r="H386" s="79" t="str">
        <f>IFERROR(VLOOKUP(F386,STD!B:G,2,FALSE),"")</f>
        <v/>
      </c>
      <c r="I386" s="100">
        <f t="shared" si="27"/>
        <v>0</v>
      </c>
      <c r="J386" s="74">
        <f t="shared" si="28"/>
        <v>-15</v>
      </c>
      <c r="K386">
        <f>VLOOKUP(C386,'RAW DATA 2023'!E:BO,12,0)</f>
        <v>1</v>
      </c>
      <c r="L386" s="268">
        <f t="shared" si="29"/>
        <v>-15</v>
      </c>
      <c r="M386"/>
    </row>
    <row r="387" spans="1:13">
      <c r="A387" s="64" t="str">
        <f>'RAW DATA 2023'!B380</f>
        <v>Roiphet2</v>
      </c>
      <c r="B387" s="64" t="str">
        <f>'RAW DATA 2023'!D380</f>
        <v>A1-007-0050</v>
      </c>
      <c r="C387" s="63" t="str">
        <f t="shared" si="25"/>
        <v>Roiphet2A1-007-0050</v>
      </c>
      <c r="D387" s="63">
        <f>VLOOKUP(C387,'RAW DATA 2023'!E:BP,63,0)</f>
        <v>4</v>
      </c>
      <c r="E387" s="63" t="str">
        <f t="shared" si="26"/>
        <v>Roiphet24</v>
      </c>
      <c r="F387" s="79">
        <f>ROUND(VLOOKUP(C387,'RAW DATA 2023'!E:BO,23,0),0)</f>
        <v>39</v>
      </c>
      <c r="G387" s="79">
        <f>VLOOKUP(C387,'RAW DATA 2023'!E:BO,24,0)</f>
        <v>67.876076923076923</v>
      </c>
      <c r="H387" s="79">
        <f>IFERROR(VLOOKUP(F387,STD!B:G,2,FALSE),"")</f>
        <v>82</v>
      </c>
      <c r="I387" s="100">
        <f t="shared" si="27"/>
        <v>0.82775703564727954</v>
      </c>
      <c r="J387" s="74">
        <f t="shared" si="28"/>
        <v>9.8327110694183855</v>
      </c>
      <c r="K387">
        <f>VLOOKUP(C387,'RAW DATA 2023'!E:BO,12,0)</f>
        <v>1.3</v>
      </c>
      <c r="L387" s="268">
        <f t="shared" si="29"/>
        <v>12.782524390243902</v>
      </c>
      <c r="M387"/>
    </row>
    <row r="388" spans="1:13">
      <c r="A388" s="64" t="str">
        <f>'RAW DATA 2023'!B381</f>
        <v>Roiphet2</v>
      </c>
      <c r="B388" s="64" t="str">
        <f>'RAW DATA 2023'!D381</f>
        <v>A1-006-0045</v>
      </c>
      <c r="C388" s="63" t="str">
        <f t="shared" si="25"/>
        <v>Roiphet2A1-006-0045</v>
      </c>
      <c r="D388" s="63">
        <f>VLOOKUP(C388,'RAW DATA 2023'!E:BP,63,0)</f>
        <v>5</v>
      </c>
      <c r="E388" s="63" t="str">
        <f t="shared" si="26"/>
        <v>Roiphet25</v>
      </c>
      <c r="F388" s="79">
        <f>ROUND(VLOOKUP(C388,'RAW DATA 2023'!E:BO,23,0),0)</f>
        <v>32</v>
      </c>
      <c r="G388" s="79">
        <f>VLOOKUP(C388,'RAW DATA 2023'!E:BO,24,0)</f>
        <v>65.2864</v>
      </c>
      <c r="H388" s="79">
        <f>IFERROR(VLOOKUP(F388,STD!B:G,2,FALSE),"")</f>
        <v>77</v>
      </c>
      <c r="I388" s="100">
        <f t="shared" si="27"/>
        <v>0.84787532467532467</v>
      </c>
      <c r="J388" s="74">
        <f t="shared" si="28"/>
        <v>10.436259740259739</v>
      </c>
      <c r="K388">
        <f>VLOOKUP(C388,'RAW DATA 2023'!E:BO,12,0)</f>
        <v>1.5</v>
      </c>
      <c r="L388" s="268">
        <f t="shared" si="29"/>
        <v>15.654389610389609</v>
      </c>
      <c r="M388"/>
    </row>
    <row r="389" spans="1:13">
      <c r="A389" s="64" t="str">
        <f>'RAW DATA 2023'!B382</f>
        <v>Roiphet2</v>
      </c>
      <c r="B389" s="64" t="str">
        <f>'RAW DATA 2023'!D382</f>
        <v>A1-002-0048</v>
      </c>
      <c r="C389" s="63" t="str">
        <f t="shared" si="25"/>
        <v>Roiphet2A1-002-0048</v>
      </c>
      <c r="D389" s="63">
        <f>VLOOKUP(C389,'RAW DATA 2023'!E:BP,63,0)</f>
        <v>5</v>
      </c>
      <c r="E389" s="63" t="str">
        <f t="shared" si="26"/>
        <v>Roiphet25</v>
      </c>
      <c r="F389" s="79">
        <f>ROUND(VLOOKUP(C389,'RAW DATA 2023'!E:BO,23,0),0)</f>
        <v>34</v>
      </c>
      <c r="G389" s="79">
        <f>VLOOKUP(C389,'RAW DATA 2023'!E:BO,24,0)</f>
        <v>43.389733333333339</v>
      </c>
      <c r="H389" s="79">
        <f>IFERROR(VLOOKUP(F389,STD!B:G,2,FALSE),"")</f>
        <v>80</v>
      </c>
      <c r="I389" s="100">
        <f t="shared" si="27"/>
        <v>0.5423716666666667</v>
      </c>
      <c r="J389" s="74">
        <f t="shared" si="28"/>
        <v>1.2711500000000009</v>
      </c>
      <c r="K389">
        <f>VLOOKUP(C389,'RAW DATA 2023'!E:BO,12,0)</f>
        <v>1.5</v>
      </c>
      <c r="L389" s="268">
        <f t="shared" si="29"/>
        <v>1.9067250000000013</v>
      </c>
      <c r="M389"/>
    </row>
    <row r="390" spans="1:13">
      <c r="A390" s="64" t="str">
        <f>'RAW DATA 2023'!B383</f>
        <v>Roiphet2</v>
      </c>
      <c r="B390" s="64" t="str">
        <f>'RAW DATA 2023'!D383</f>
        <v>B1-013-0036</v>
      </c>
      <c r="C390" s="63" t="str">
        <f t="shared" si="25"/>
        <v>Roiphet2B1-013-0036</v>
      </c>
      <c r="D390" s="63">
        <f>VLOOKUP(C390,'RAW DATA 2023'!E:BP,63,0)</f>
        <v>5</v>
      </c>
      <c r="E390" s="63" t="str">
        <f t="shared" si="26"/>
        <v>Roiphet25</v>
      </c>
      <c r="F390" s="79">
        <f>ROUND(VLOOKUP(C390,'RAW DATA 2023'!E:BO,23,0),0)</f>
        <v>86</v>
      </c>
      <c r="G390" s="79">
        <f>VLOOKUP(C390,'RAW DATA 2023'!E:BO,24,0)</f>
        <v>59.646000000000001</v>
      </c>
      <c r="H390" s="79">
        <f>IFERROR(VLOOKUP(F390,STD!B:G,2,FALSE),"")</f>
        <v>90</v>
      </c>
      <c r="I390" s="100">
        <f t="shared" si="27"/>
        <v>0.6627333333333334</v>
      </c>
      <c r="J390" s="74">
        <f t="shared" si="28"/>
        <v>4.8820000000000014</v>
      </c>
      <c r="K390">
        <f>VLOOKUP(C390,'RAW DATA 2023'!E:BO,12,0)</f>
        <v>3.5</v>
      </c>
      <c r="L390" s="268">
        <f t="shared" si="29"/>
        <v>17.087000000000003</v>
      </c>
      <c r="M390"/>
    </row>
    <row r="391" spans="1:13">
      <c r="A391" s="64" t="str">
        <f>'RAW DATA 2023'!B384</f>
        <v>Roiphet2</v>
      </c>
      <c r="B391" s="64" t="str">
        <f>'RAW DATA 2023'!D384</f>
        <v>A1-001-0031</v>
      </c>
      <c r="C391" s="63" t="str">
        <f t="shared" si="25"/>
        <v>Roiphet2A1-001-0031</v>
      </c>
      <c r="D391" s="63">
        <f>VLOOKUP(C391,'RAW DATA 2023'!E:BP,63,0)</f>
        <v>5</v>
      </c>
      <c r="E391" s="63" t="str">
        <f t="shared" si="26"/>
        <v>Roiphet25</v>
      </c>
      <c r="F391" s="79">
        <f>ROUND(VLOOKUP(C391,'RAW DATA 2023'!E:BO,23,0),0)</f>
        <v>28</v>
      </c>
      <c r="G391" s="79">
        <f>VLOOKUP(C391,'RAW DATA 2023'!E:BO,24,0)</f>
        <v>21.67270588235294</v>
      </c>
      <c r="H391" s="79">
        <f>IFERROR(VLOOKUP(F391,STD!B:G,2,FALSE),"")</f>
        <v>75</v>
      </c>
      <c r="I391" s="100">
        <f t="shared" si="27"/>
        <v>0.28896941176470586</v>
      </c>
      <c r="J391" s="74">
        <f t="shared" si="28"/>
        <v>-6.3309176470588238</v>
      </c>
      <c r="K391">
        <f>VLOOKUP(C391,'RAW DATA 2023'!E:BO,12,0)</f>
        <v>1.7</v>
      </c>
      <c r="L391" s="268">
        <f t="shared" si="29"/>
        <v>-10.762560000000001</v>
      </c>
      <c r="M391"/>
    </row>
    <row r="392" spans="1:13">
      <c r="A392" s="64" t="str">
        <f>'RAW DATA 2023'!B385</f>
        <v>Roiphet2</v>
      </c>
      <c r="B392" s="64" t="str">
        <f>'RAW DATA 2023'!D385</f>
        <v>B1-009-0042</v>
      </c>
      <c r="C392" s="63" t="str">
        <f t="shared" si="25"/>
        <v>Roiphet2B1-009-0042</v>
      </c>
      <c r="D392" s="63">
        <f>VLOOKUP(C392,'RAW DATA 2023'!E:BP,63,0)</f>
        <v>3</v>
      </c>
      <c r="E392" s="63" t="str">
        <f t="shared" si="26"/>
        <v>Roiphet23</v>
      </c>
      <c r="F392" s="79">
        <f>ROUND(VLOOKUP(C392,'RAW DATA 2023'!E:BO,23,0),0)</f>
        <v>31</v>
      </c>
      <c r="G392" s="79">
        <f>VLOOKUP(C392,'RAW DATA 2023'!E:BO,24,0)</f>
        <v>36.870533333333334</v>
      </c>
      <c r="H392" s="79">
        <f>IFERROR(VLOOKUP(F392,STD!B:G,2,FALSE),"")</f>
        <v>76</v>
      </c>
      <c r="I392" s="100">
        <f t="shared" si="27"/>
        <v>0.48513859649122809</v>
      </c>
      <c r="J392" s="74">
        <f t="shared" si="28"/>
        <v>-0.44584210526315726</v>
      </c>
      <c r="K392">
        <f>VLOOKUP(C392,'RAW DATA 2023'!E:BO,12,0)</f>
        <v>1.5</v>
      </c>
      <c r="L392" s="268">
        <f t="shared" si="29"/>
        <v>-0.66876315789473595</v>
      </c>
      <c r="M392"/>
    </row>
    <row r="393" spans="1:13">
      <c r="A393" s="64" t="str">
        <f>'RAW DATA 2023'!B386</f>
        <v>Roiphet2</v>
      </c>
      <c r="B393" s="64" t="str">
        <f>'RAW DATA 2023'!D386</f>
        <v>B1-014-0044</v>
      </c>
      <c r="C393" s="63" t="str">
        <f t="shared" si="25"/>
        <v>Roiphet2B1-014-0044</v>
      </c>
      <c r="D393" s="63">
        <f>VLOOKUP(C393,'RAW DATA 2023'!E:BP,63,0)</f>
        <v>5</v>
      </c>
      <c r="E393" s="63" t="str">
        <f t="shared" si="26"/>
        <v>Roiphet25</v>
      </c>
      <c r="F393" s="79">
        <f>ROUND(VLOOKUP(C393,'RAW DATA 2023'!E:BO,23,0),0)</f>
        <v>39</v>
      </c>
      <c r="G393" s="79">
        <f>VLOOKUP(C393,'RAW DATA 2023'!E:BO,24,0)</f>
        <v>52.346818181818179</v>
      </c>
      <c r="H393" s="79">
        <f>IFERROR(VLOOKUP(F393,STD!B:G,2,FALSE),"")</f>
        <v>82</v>
      </c>
      <c r="I393" s="100">
        <f t="shared" si="27"/>
        <v>0.63837583148558752</v>
      </c>
      <c r="J393" s="74">
        <f t="shared" si="28"/>
        <v>4.1512749445676258</v>
      </c>
      <c r="K393">
        <f>VLOOKUP(C393,'RAW DATA 2023'!E:BO,12,0)</f>
        <v>1.1000000000000001</v>
      </c>
      <c r="L393" s="268">
        <f t="shared" si="29"/>
        <v>4.5664024390243885</v>
      </c>
      <c r="M393"/>
    </row>
    <row r="394" spans="1:13">
      <c r="A394" s="64" t="str">
        <f>'RAW DATA 2023'!B387</f>
        <v>Roiphet2</v>
      </c>
      <c r="B394" s="64" t="str">
        <f>'RAW DATA 2023'!D387</f>
        <v>A1-008-0034</v>
      </c>
      <c r="C394" s="63" t="str">
        <f t="shared" ref="C394:C457" si="30">A394&amp;B394</f>
        <v>Roiphet2A1-008-0034</v>
      </c>
      <c r="D394" s="63">
        <f>VLOOKUP(C394,'RAW DATA 2023'!E:BP,63,0)</f>
        <v>5</v>
      </c>
      <c r="E394" s="63" t="str">
        <f t="shared" ref="E394:E457" si="31">A394&amp;D394</f>
        <v>Roiphet25</v>
      </c>
      <c r="F394" s="79">
        <f>ROUND(VLOOKUP(C394,'RAW DATA 2023'!E:BO,23,0),0)</f>
        <v>39</v>
      </c>
      <c r="G394" s="79">
        <f>VLOOKUP(C394,'RAW DATA 2023'!E:BO,24,0)</f>
        <v>54.512400000000007</v>
      </c>
      <c r="H394" s="79">
        <f>IFERROR(VLOOKUP(F394,STD!B:G,2,FALSE),"")</f>
        <v>82</v>
      </c>
      <c r="I394" s="100">
        <f t="shared" si="27"/>
        <v>0.66478536585365866</v>
      </c>
      <c r="J394" s="74">
        <f t="shared" si="28"/>
        <v>4.9435609756097598</v>
      </c>
      <c r="K394">
        <f>VLOOKUP(C394,'RAW DATA 2023'!E:BO,12,0)</f>
        <v>1.5</v>
      </c>
      <c r="L394" s="268">
        <f t="shared" si="29"/>
        <v>7.4153414634146397</v>
      </c>
      <c r="M394"/>
    </row>
    <row r="395" spans="1:13">
      <c r="A395" s="64" t="str">
        <f>'RAW DATA 2023'!B388</f>
        <v>Roiphet2</v>
      </c>
      <c r="B395" s="64" t="str">
        <f>'RAW DATA 2023'!D388</f>
        <v>B1-013-0035</v>
      </c>
      <c r="C395" s="63" t="str">
        <f t="shared" si="30"/>
        <v>Roiphet2B1-013-0035</v>
      </c>
      <c r="D395" s="63">
        <f>VLOOKUP(C395,'RAW DATA 2023'!E:BP,63,0)</f>
        <v>3</v>
      </c>
      <c r="E395" s="63" t="str">
        <f t="shared" si="31"/>
        <v>Roiphet23</v>
      </c>
      <c r="F395" s="79">
        <f>ROUND(VLOOKUP(C395,'RAW DATA 2023'!E:BO,23,0),0)</f>
        <v>50</v>
      </c>
      <c r="G395" s="79">
        <f>VLOOKUP(C395,'RAW DATA 2023'!E:BO,24,0)</f>
        <v>43.099800000000002</v>
      </c>
      <c r="H395" s="79">
        <f>IFERROR(VLOOKUP(F395,STD!B:G,2,FALSE),"")</f>
        <v>85</v>
      </c>
      <c r="I395" s="100">
        <f t="shared" ref="I395:I458" si="32">IFERROR(G395/H395,0)</f>
        <v>0.50705647058823533</v>
      </c>
      <c r="J395" s="74">
        <f t="shared" ref="J395:J458" si="33">(I395-$E$4)*$E$7</f>
        <v>0.21169411764705992</v>
      </c>
      <c r="K395">
        <f>VLOOKUP(C395,'RAW DATA 2023'!E:BO,12,0)</f>
        <v>1.5</v>
      </c>
      <c r="L395" s="268">
        <f t="shared" ref="L395:L458" si="34">J395*K395</f>
        <v>0.31754117647058988</v>
      </c>
      <c r="M395"/>
    </row>
    <row r="396" spans="1:13">
      <c r="A396" s="64" t="str">
        <f>'RAW DATA 2023'!B389</f>
        <v>Roiphet2</v>
      </c>
      <c r="B396" s="64" t="str">
        <f>'RAW DATA 2023'!D389</f>
        <v>B1-009-0044</v>
      </c>
      <c r="C396" s="63" t="str">
        <f t="shared" si="30"/>
        <v>Roiphet2B1-009-0044</v>
      </c>
      <c r="D396" s="63">
        <f>VLOOKUP(C396,'RAW DATA 2023'!E:BP,63,0)</f>
        <v>9</v>
      </c>
      <c r="E396" s="63" t="str">
        <f t="shared" si="31"/>
        <v>Roiphet29</v>
      </c>
      <c r="F396" s="79">
        <f>ROUND(VLOOKUP(C396,'RAW DATA 2023'!E:BO,23,0),0)</f>
        <v>61</v>
      </c>
      <c r="G396" s="79">
        <f>VLOOKUP(C396,'RAW DATA 2023'!E:BO,24,0)</f>
        <v>77.5338947368421</v>
      </c>
      <c r="H396" s="79">
        <f>IFERROR(VLOOKUP(F396,STD!B:G,2,FALSE),"")</f>
        <v>87</v>
      </c>
      <c r="I396" s="100">
        <f t="shared" si="32"/>
        <v>0.89119419237749542</v>
      </c>
      <c r="J396" s="74">
        <f t="shared" si="33"/>
        <v>11.735825771324862</v>
      </c>
      <c r="K396">
        <f>VLOOKUP(C396,'RAW DATA 2023'!E:BO,12,0)</f>
        <v>1.9</v>
      </c>
      <c r="L396" s="268">
        <f t="shared" si="34"/>
        <v>22.298068965517238</v>
      </c>
      <c r="M396"/>
    </row>
    <row r="397" spans="1:13">
      <c r="A397" s="64" t="str">
        <f>'RAW DATA 2023'!B390</f>
        <v>Roiphet2</v>
      </c>
      <c r="B397" s="64" t="str">
        <f>'RAW DATA 2023'!D390</f>
        <v>B1-014-0046</v>
      </c>
      <c r="C397" s="63" t="str">
        <f t="shared" si="30"/>
        <v>Roiphet2B1-014-0046</v>
      </c>
      <c r="D397" s="63">
        <f>VLOOKUP(C397,'RAW DATA 2023'!E:BP,63,0)</f>
        <v>10</v>
      </c>
      <c r="E397" s="63" t="str">
        <f t="shared" si="31"/>
        <v>Roiphet210</v>
      </c>
      <c r="F397" s="79">
        <f>ROUND(VLOOKUP(C397,'RAW DATA 2023'!E:BO,23,0),0)</f>
        <v>64</v>
      </c>
      <c r="G397" s="79">
        <f>VLOOKUP(C397,'RAW DATA 2023'!E:BO,24,0)</f>
        <v>92.411600000000007</v>
      </c>
      <c r="H397" s="79">
        <f>IFERROR(VLOOKUP(F397,STD!B:G,2,FALSE),"")</f>
        <v>88</v>
      </c>
      <c r="I397" s="100">
        <f t="shared" si="32"/>
        <v>1.0501318181818182</v>
      </c>
      <c r="J397" s="74">
        <f t="shared" si="33"/>
        <v>16.503954545454548</v>
      </c>
      <c r="K397">
        <f>VLOOKUP(C397,'RAW DATA 2023'!E:BO,12,0)</f>
        <v>1.25</v>
      </c>
      <c r="L397" s="268">
        <f t="shared" si="34"/>
        <v>20.629943181818184</v>
      </c>
      <c r="M397"/>
    </row>
    <row r="398" spans="1:13">
      <c r="A398" s="64" t="str">
        <f>'RAW DATA 2023'!B391</f>
        <v>Lamlaung</v>
      </c>
      <c r="B398" s="64" t="str">
        <f>'RAW DATA 2023'!D391</f>
        <v>A1-003-0044</v>
      </c>
      <c r="C398" s="63" t="str">
        <f t="shared" si="30"/>
        <v>LamlaungA1-003-0044</v>
      </c>
      <c r="D398" s="63">
        <f>VLOOKUP(C398,'RAW DATA 2023'!E:BP,63,0)</f>
        <v>8</v>
      </c>
      <c r="E398" s="63" t="str">
        <f t="shared" si="31"/>
        <v>Lamlaung8</v>
      </c>
      <c r="F398" s="79">
        <f>ROUND(VLOOKUP(C398,'RAW DATA 2023'!E:BO,23,0),0)</f>
        <v>32</v>
      </c>
      <c r="G398" s="79">
        <f>VLOOKUP(C398,'RAW DATA 2023'!E:BO,24,0)</f>
        <v>66.594331797235014</v>
      </c>
      <c r="H398" s="79">
        <f>IFERROR(VLOOKUP(F398,STD!B:G,2,FALSE),"")</f>
        <v>77</v>
      </c>
      <c r="I398" s="100">
        <f t="shared" si="32"/>
        <v>0.86486145191214303</v>
      </c>
      <c r="J398" s="74">
        <f t="shared" si="33"/>
        <v>10.945843557364292</v>
      </c>
      <c r="K398">
        <f>VLOOKUP(C398,'RAW DATA 2023'!E:BO,12,0)</f>
        <v>2.17</v>
      </c>
      <c r="L398" s="268">
        <f t="shared" si="34"/>
        <v>23.75248051948051</v>
      </c>
      <c r="M398"/>
    </row>
    <row r="399" spans="1:13">
      <c r="A399" s="64" t="str">
        <f>'RAW DATA 2023'!B392</f>
        <v>Lamlaung</v>
      </c>
      <c r="B399" s="64" t="str">
        <f>'RAW DATA 2023'!D392</f>
        <v>A1-004-0046</v>
      </c>
      <c r="C399" s="63" t="str">
        <f t="shared" si="30"/>
        <v>LamlaungA1-004-0046</v>
      </c>
      <c r="D399" s="63">
        <f>VLOOKUP(C399,'RAW DATA 2023'!E:BP,63,0)</f>
        <v>9</v>
      </c>
      <c r="E399" s="63" t="str">
        <f t="shared" si="31"/>
        <v>Lamlaung9</v>
      </c>
      <c r="F399" s="79">
        <f>ROUND(VLOOKUP(C399,'RAW DATA 2023'!E:BO,23,0),0)</f>
        <v>25</v>
      </c>
      <c r="G399" s="79">
        <f>VLOOKUP(C399,'RAW DATA 2023'!E:BO,24,0)</f>
        <v>86.057363636363633</v>
      </c>
      <c r="H399" s="79">
        <f>IFERROR(VLOOKUP(F399,STD!B:G,2,FALSE),"")</f>
        <v>72</v>
      </c>
      <c r="I399" s="100">
        <f t="shared" si="32"/>
        <v>1.1952411616161616</v>
      </c>
      <c r="J399" s="74">
        <f t="shared" si="33"/>
        <v>20.857234848484847</v>
      </c>
      <c r="K399">
        <f>VLOOKUP(C399,'RAW DATA 2023'!E:BO,12,0)</f>
        <v>1.1000000000000001</v>
      </c>
      <c r="L399" s="268">
        <f t="shared" si="34"/>
        <v>22.942958333333333</v>
      </c>
      <c r="M399"/>
    </row>
    <row r="400" spans="1:13">
      <c r="A400" s="64" t="str">
        <f>'RAW DATA 2023'!B393</f>
        <v>Lamlaung</v>
      </c>
      <c r="B400" s="64" t="str">
        <f>'RAW DATA 2023'!D393</f>
        <v>B1-111-0008</v>
      </c>
      <c r="C400" s="63" t="str">
        <f t="shared" si="30"/>
        <v>LamlaungB1-111-0008</v>
      </c>
      <c r="D400" s="63">
        <f>VLOOKUP(C400,'RAW DATA 2023'!E:BP,63,0)</f>
        <v>9</v>
      </c>
      <c r="E400" s="63" t="str">
        <f t="shared" si="31"/>
        <v>Lamlaung9</v>
      </c>
      <c r="F400" s="79">
        <f>ROUND(VLOOKUP(C400,'RAW DATA 2023'!E:BO,23,0),0)</f>
        <v>26</v>
      </c>
      <c r="G400" s="79">
        <f>VLOOKUP(C400,'RAW DATA 2023'!E:BO,24,0)</f>
        <v>117.17200000000001</v>
      </c>
      <c r="H400" s="79">
        <f>IFERROR(VLOOKUP(F400,STD!B:G,2,FALSE),"")</f>
        <v>75</v>
      </c>
      <c r="I400" s="100">
        <f t="shared" si="32"/>
        <v>1.5622933333333335</v>
      </c>
      <c r="J400" s="74">
        <f t="shared" si="33"/>
        <v>31.868800000000007</v>
      </c>
      <c r="K400">
        <f>VLOOKUP(C400,'RAW DATA 2023'!E:BO,12,0)</f>
        <v>1.3</v>
      </c>
      <c r="L400" s="268">
        <f t="shared" si="34"/>
        <v>41.429440000000014</v>
      </c>
      <c r="M400"/>
    </row>
    <row r="401" spans="1:13">
      <c r="A401" s="64" t="str">
        <f>'RAW DATA 2023'!B394</f>
        <v>Lamlaung</v>
      </c>
      <c r="B401" s="64" t="str">
        <f>'RAW DATA 2023'!D394</f>
        <v>A1-002-0046</v>
      </c>
      <c r="C401" s="63" t="str">
        <f t="shared" si="30"/>
        <v>LamlaungA1-002-0046</v>
      </c>
      <c r="D401" s="63">
        <f>VLOOKUP(C401,'RAW DATA 2023'!E:BP,63,0)</f>
        <v>10</v>
      </c>
      <c r="E401" s="63" t="str">
        <f t="shared" si="31"/>
        <v>Lamlaung10</v>
      </c>
      <c r="F401" s="79">
        <f>ROUND(VLOOKUP(C401,'RAW DATA 2023'!E:BO,23,0),0)</f>
        <v>29</v>
      </c>
      <c r="G401" s="79">
        <f>VLOOKUP(C401,'RAW DATA 2023'!E:BO,24,0)</f>
        <v>81.799764705882353</v>
      </c>
      <c r="H401" s="79">
        <f>IFERROR(VLOOKUP(F401,STD!B:G,2,FALSE),"")</f>
        <v>76</v>
      </c>
      <c r="I401" s="100">
        <f t="shared" si="32"/>
        <v>1.0763126934984519</v>
      </c>
      <c r="J401" s="74">
        <f t="shared" si="33"/>
        <v>17.289380804953559</v>
      </c>
      <c r="K401">
        <f>VLOOKUP(C401,'RAW DATA 2023'!E:BO,12,0)</f>
        <v>1.7</v>
      </c>
      <c r="L401" s="268">
        <f t="shared" si="34"/>
        <v>29.39194736842105</v>
      </c>
      <c r="M401"/>
    </row>
    <row r="402" spans="1:13">
      <c r="A402" s="64" t="str">
        <f>'RAW DATA 2023'!B395</f>
        <v>Lamlaung</v>
      </c>
      <c r="B402" s="64" t="str">
        <f>'RAW DATA 2023'!D395</f>
        <v>B1-112-0006</v>
      </c>
      <c r="C402" s="63" t="str">
        <f t="shared" si="30"/>
        <v>LamlaungB1-112-0006</v>
      </c>
      <c r="D402" s="63">
        <f>VLOOKUP(C402,'RAW DATA 2023'!E:BP,63,0)</f>
        <v>7</v>
      </c>
      <c r="E402" s="63" t="str">
        <f t="shared" si="31"/>
        <v>Lamlaung7</v>
      </c>
      <c r="F402" s="79">
        <f>ROUND(VLOOKUP(C402,'RAW DATA 2023'!E:BO,23,0),0)</f>
        <v>32</v>
      </c>
      <c r="G402" s="79">
        <f>VLOOKUP(C402,'RAW DATA 2023'!E:BO,24,0)</f>
        <v>57.823812500000003</v>
      </c>
      <c r="H402" s="79">
        <f>IFERROR(VLOOKUP(F402,STD!B:G,2,FALSE),"")</f>
        <v>77</v>
      </c>
      <c r="I402" s="100">
        <f t="shared" si="32"/>
        <v>0.75095860389610392</v>
      </c>
      <c r="J402" s="74">
        <f t="shared" si="33"/>
        <v>7.5287581168831172</v>
      </c>
      <c r="K402">
        <f>VLOOKUP(C402,'RAW DATA 2023'!E:BO,12,0)</f>
        <v>3.2</v>
      </c>
      <c r="L402" s="268">
        <f t="shared" si="34"/>
        <v>24.092025974025976</v>
      </c>
      <c r="M402"/>
    </row>
    <row r="403" spans="1:13">
      <c r="A403" s="64" t="str">
        <f>'RAW DATA 2023'!B396</f>
        <v>Lamlaung</v>
      </c>
      <c r="B403" s="64" t="str">
        <f>'RAW DATA 2023'!D396</f>
        <v>A1-005-0008</v>
      </c>
      <c r="C403" s="63" t="str">
        <f t="shared" si="30"/>
        <v>LamlaungA1-005-0008</v>
      </c>
      <c r="D403" s="63">
        <f>VLOOKUP(C403,'RAW DATA 2023'!E:BP,63,0)</f>
        <v>9</v>
      </c>
      <c r="E403" s="63" t="str">
        <f t="shared" si="31"/>
        <v>Lamlaung9</v>
      </c>
      <c r="F403" s="79">
        <f>ROUND(VLOOKUP(C403,'RAW DATA 2023'!E:BO,23,0),0)</f>
        <v>31</v>
      </c>
      <c r="G403" s="79">
        <f>VLOOKUP(C403,'RAW DATA 2023'!E:BO,24,0)</f>
        <v>102.17677248677248</v>
      </c>
      <c r="H403" s="79">
        <f>IFERROR(VLOOKUP(F403,STD!B:G,2,FALSE),"")</f>
        <v>76</v>
      </c>
      <c r="I403" s="100">
        <f t="shared" si="32"/>
        <v>1.3444312169312169</v>
      </c>
      <c r="J403" s="74">
        <f t="shared" si="33"/>
        <v>25.332936507936509</v>
      </c>
      <c r="K403">
        <f>VLOOKUP(C403,'RAW DATA 2023'!E:BO,12,0)</f>
        <v>1.89</v>
      </c>
      <c r="L403" s="268">
        <f t="shared" si="34"/>
        <v>47.879249999999999</v>
      </c>
      <c r="M403"/>
    </row>
    <row r="404" spans="1:13">
      <c r="A404" s="64" t="str">
        <f>'RAW DATA 2023'!B397</f>
        <v>Lamlaung</v>
      </c>
      <c r="B404" s="64" t="str">
        <f>'RAW DATA 2023'!D397</f>
        <v>B1-111-0007</v>
      </c>
      <c r="C404" s="63" t="str">
        <f t="shared" si="30"/>
        <v>LamlaungB1-111-0007</v>
      </c>
      <c r="D404" s="63">
        <f>VLOOKUP(C404,'RAW DATA 2023'!E:BP,63,0)</f>
        <v>4</v>
      </c>
      <c r="E404" s="63" t="str">
        <f t="shared" si="31"/>
        <v>Lamlaung4</v>
      </c>
      <c r="F404" s="79">
        <f>ROUND(VLOOKUP(C404,'RAW DATA 2023'!E:BO,23,0),0)</f>
        <v>35</v>
      </c>
      <c r="G404" s="79">
        <f>VLOOKUP(C404,'RAW DATA 2023'!E:BO,24,0)</f>
        <v>73.952200000000005</v>
      </c>
      <c r="H404" s="79">
        <f>IFERROR(VLOOKUP(F404,STD!B:G,2,FALSE),"")</f>
        <v>80</v>
      </c>
      <c r="I404" s="100">
        <f t="shared" si="32"/>
        <v>0.92440250000000002</v>
      </c>
      <c r="J404" s="74">
        <f t="shared" si="33"/>
        <v>12.732075</v>
      </c>
      <c r="K404">
        <f>VLOOKUP(C404,'RAW DATA 2023'!E:BO,12,0)</f>
        <v>1.5</v>
      </c>
      <c r="L404" s="268">
        <f t="shared" si="34"/>
        <v>19.098112499999999</v>
      </c>
      <c r="M404"/>
    </row>
    <row r="405" spans="1:13">
      <c r="A405" s="64" t="str">
        <f>'RAW DATA 2023'!B398</f>
        <v>Lamlaung</v>
      </c>
      <c r="B405" s="64" t="str">
        <f>'RAW DATA 2023'!D398</f>
        <v>A1-003-0045</v>
      </c>
      <c r="C405" s="63" t="str">
        <f t="shared" si="30"/>
        <v>LamlaungA1-003-0045</v>
      </c>
      <c r="D405" s="63">
        <f>VLOOKUP(C405,'RAW DATA 2023'!E:BP,63,0)</f>
        <v>10</v>
      </c>
      <c r="E405" s="63" t="str">
        <f t="shared" si="31"/>
        <v>Lamlaung10</v>
      </c>
      <c r="F405" s="79">
        <f>ROUND(VLOOKUP(C405,'RAW DATA 2023'!E:BO,23,0),0)</f>
        <v>68</v>
      </c>
      <c r="G405" s="79">
        <f>VLOOKUP(C405,'RAW DATA 2023'!E:BO,24,0)</f>
        <v>89.959649999999996</v>
      </c>
      <c r="H405" s="79">
        <f>IFERROR(VLOOKUP(F405,STD!B:G,2,FALSE),"")</f>
        <v>88</v>
      </c>
      <c r="I405" s="100">
        <f t="shared" si="32"/>
        <v>1.0222687500000001</v>
      </c>
      <c r="J405" s="74">
        <f t="shared" si="33"/>
        <v>15.668062500000001</v>
      </c>
      <c r="K405">
        <f>VLOOKUP(C405,'RAW DATA 2023'!E:BO,12,0)</f>
        <v>2</v>
      </c>
      <c r="L405" s="268">
        <f t="shared" si="34"/>
        <v>31.336125000000003</v>
      </c>
      <c r="M405"/>
    </row>
    <row r="406" spans="1:13">
      <c r="A406" s="64" t="str">
        <f>'RAW DATA 2023'!B399</f>
        <v>Lamlaung</v>
      </c>
      <c r="B406" s="64" t="str">
        <f>'RAW DATA 2023'!D399</f>
        <v>B1-112-0007</v>
      </c>
      <c r="C406" s="63" t="str">
        <f t="shared" si="30"/>
        <v>LamlaungB1-112-0007</v>
      </c>
      <c r="D406" s="63">
        <f>VLOOKUP(C406,'RAW DATA 2023'!E:BP,63,0)</f>
        <v>9</v>
      </c>
      <c r="E406" s="63" t="str">
        <f t="shared" si="31"/>
        <v>Lamlaung9</v>
      </c>
      <c r="F406" s="79">
        <f>ROUND(VLOOKUP(C406,'RAW DATA 2023'!E:BO,23,0),0)</f>
        <v>79</v>
      </c>
      <c r="G406" s="79">
        <f>VLOOKUP(C406,'RAW DATA 2023'!E:BO,24,0)</f>
        <v>78.12436000000001</v>
      </c>
      <c r="H406" s="79">
        <f>IFERROR(VLOOKUP(F406,STD!B:G,2,FALSE),"")</f>
        <v>89</v>
      </c>
      <c r="I406" s="100">
        <f t="shared" si="32"/>
        <v>0.87780179775280909</v>
      </c>
      <c r="J406" s="74">
        <f t="shared" si="33"/>
        <v>11.334053932584272</v>
      </c>
      <c r="K406">
        <f>VLOOKUP(C406,'RAW DATA 2023'!E:BO,12,0)</f>
        <v>2.5</v>
      </c>
      <c r="L406" s="268">
        <f t="shared" si="34"/>
        <v>28.335134831460678</v>
      </c>
      <c r="M406"/>
    </row>
    <row r="407" spans="1:13">
      <c r="A407" s="64" t="str">
        <f>'RAW DATA 2023'!B400</f>
        <v>Lamlaung</v>
      </c>
      <c r="B407" s="64" t="str">
        <f>'RAW DATA 2023'!D400</f>
        <v>A1-002-0045</v>
      </c>
      <c r="C407" s="63" t="str">
        <f t="shared" si="30"/>
        <v>LamlaungA1-002-0045</v>
      </c>
      <c r="D407" s="63">
        <f>VLOOKUP(C407,'RAW DATA 2023'!E:BP,63,0)</f>
        <v>4</v>
      </c>
      <c r="E407" s="63" t="str">
        <f t="shared" si="31"/>
        <v>Lamlaung4</v>
      </c>
      <c r="F407" s="79">
        <f>ROUND(VLOOKUP(C407,'RAW DATA 2023'!E:BO,23,0),0)</f>
        <v>58</v>
      </c>
      <c r="G407" s="79">
        <f>VLOOKUP(C407,'RAW DATA 2023'!E:BO,24,0)</f>
        <v>85.73470833333333</v>
      </c>
      <c r="H407" s="79">
        <f>IFERROR(VLOOKUP(F407,STD!B:G,2,FALSE),"")</f>
        <v>87</v>
      </c>
      <c r="I407" s="100">
        <f t="shared" si="32"/>
        <v>0.98545641762452107</v>
      </c>
      <c r="J407" s="74">
        <f t="shared" si="33"/>
        <v>14.563692528735633</v>
      </c>
      <c r="K407">
        <f>VLOOKUP(C407,'RAW DATA 2023'!E:BO,12,0)</f>
        <v>2.4</v>
      </c>
      <c r="L407" s="268">
        <f t="shared" si="34"/>
        <v>34.952862068965516</v>
      </c>
      <c r="M407"/>
    </row>
    <row r="408" spans="1:13">
      <c r="A408" s="64" t="str">
        <f>'RAW DATA 2023'!B401</f>
        <v>Lamlaung</v>
      </c>
      <c r="B408" s="64" t="str">
        <f>'RAW DATA 2023'!D401</f>
        <v>B1-110-0005</v>
      </c>
      <c r="C408" s="63" t="str">
        <f t="shared" si="30"/>
        <v>LamlaungB1-110-0005</v>
      </c>
      <c r="D408" s="63">
        <f>VLOOKUP(C408,'RAW DATA 2023'!E:BP,63,0)</f>
        <v>1</v>
      </c>
      <c r="E408" s="63" t="str">
        <f t="shared" si="31"/>
        <v>Lamlaung1</v>
      </c>
      <c r="F408" s="79">
        <f>ROUND(VLOOKUP(C408,'RAW DATA 2023'!E:BO,23,0),0)</f>
        <v>86</v>
      </c>
      <c r="G408" s="79">
        <f>VLOOKUP(C408,'RAW DATA 2023'!E:BO,24,0)</f>
        <v>35.137583333333332</v>
      </c>
      <c r="H408" s="79">
        <f>IFERROR(VLOOKUP(F408,STD!B:G,2,FALSE),"")</f>
        <v>90</v>
      </c>
      <c r="I408" s="100">
        <f t="shared" si="32"/>
        <v>0.39041759259259257</v>
      </c>
      <c r="J408" s="74">
        <f t="shared" si="33"/>
        <v>-3.287472222222223</v>
      </c>
      <c r="K408">
        <f>VLOOKUP(C408,'RAW DATA 2023'!E:BO,12,0)</f>
        <v>2.4</v>
      </c>
      <c r="L408" s="268">
        <f t="shared" si="34"/>
        <v>-7.8899333333333352</v>
      </c>
      <c r="M408"/>
    </row>
    <row r="409" spans="1:13">
      <c r="A409" s="64" t="str">
        <f>'RAW DATA 2023'!B402</f>
        <v>Lamlaung</v>
      </c>
      <c r="B409" s="64" t="str">
        <f>'RAW DATA 2023'!D402</f>
        <v>A1-004-0045</v>
      </c>
      <c r="C409" s="63" t="str">
        <f t="shared" si="30"/>
        <v>LamlaungA1-004-0045</v>
      </c>
      <c r="D409" s="63">
        <f>VLOOKUP(C409,'RAW DATA 2023'!E:BP,63,0)</f>
        <v>4</v>
      </c>
      <c r="E409" s="63" t="str">
        <f t="shared" si="31"/>
        <v>Lamlaung4</v>
      </c>
      <c r="F409" s="79">
        <f>ROUND(VLOOKUP(C409,'RAW DATA 2023'!E:BO,23,0),0)</f>
        <v>57</v>
      </c>
      <c r="G409" s="79">
        <f>VLOOKUP(C409,'RAW DATA 2023'!E:BO,24,0)</f>
        <v>50.765084745762714</v>
      </c>
      <c r="H409" s="79">
        <f>IFERROR(VLOOKUP(F409,STD!B:G,2,FALSE),"")</f>
        <v>86</v>
      </c>
      <c r="I409" s="100">
        <f t="shared" si="32"/>
        <v>0.59029168309026414</v>
      </c>
      <c r="J409" s="74">
        <f t="shared" si="33"/>
        <v>2.7087504927079245</v>
      </c>
      <c r="K409">
        <f>VLOOKUP(C409,'RAW DATA 2023'!E:BO,12,0)</f>
        <v>2.95</v>
      </c>
      <c r="L409" s="268">
        <f t="shared" si="34"/>
        <v>7.9908139534883773</v>
      </c>
      <c r="M409"/>
    </row>
    <row r="410" spans="1:13">
      <c r="A410" s="64" t="str">
        <f>'RAW DATA 2023'!B403</f>
        <v>Lamlaung</v>
      </c>
      <c r="B410" s="64" t="str">
        <f>'RAW DATA 2023'!D403</f>
        <v>A1-001-0019</v>
      </c>
      <c r="C410" s="63" t="str">
        <f t="shared" si="30"/>
        <v>LamlaungA1-001-0019</v>
      </c>
      <c r="D410" s="63">
        <f>VLOOKUP(C410,'RAW DATA 2023'!E:BP,63,0)</f>
        <v>3</v>
      </c>
      <c r="E410" s="63" t="str">
        <f t="shared" si="31"/>
        <v>Lamlaung3</v>
      </c>
      <c r="F410" s="79">
        <f>ROUND(VLOOKUP(C410,'RAW DATA 2023'!E:BO,23,0),0)</f>
        <v>148</v>
      </c>
      <c r="G410" s="79">
        <f>VLOOKUP(C410,'RAW DATA 2023'!E:BO,24,0)</f>
        <v>61.299786585365858</v>
      </c>
      <c r="H410" s="79">
        <f>IFERROR(VLOOKUP(F410,STD!B:G,2,FALSE),"")</f>
        <v>93</v>
      </c>
      <c r="I410" s="100">
        <f t="shared" si="32"/>
        <v>0.65913749016522427</v>
      </c>
      <c r="J410" s="74">
        <f t="shared" si="33"/>
        <v>4.7741247049567281</v>
      </c>
      <c r="K410">
        <f>VLOOKUP(C410,'RAW DATA 2023'!E:BO,12,0)</f>
        <v>3.28</v>
      </c>
      <c r="L410" s="268">
        <f t="shared" si="34"/>
        <v>15.659129032258067</v>
      </c>
      <c r="M410"/>
    </row>
    <row r="411" spans="1:13">
      <c r="A411" s="64" t="str">
        <f>'RAW DATA 2023'!B404</f>
        <v>CS4</v>
      </c>
      <c r="B411" s="64" t="str">
        <f>'RAW DATA 2023'!D404</f>
        <v>A1-011-0046</v>
      </c>
      <c r="C411" s="63" t="str">
        <f t="shared" si="30"/>
        <v>CS4A1-011-0046</v>
      </c>
      <c r="D411" s="63">
        <f>VLOOKUP(C411,'RAW DATA 2023'!E:BP,63,0)</f>
        <v>9</v>
      </c>
      <c r="E411" s="63" t="str">
        <f t="shared" si="31"/>
        <v>CS49</v>
      </c>
      <c r="F411" s="79">
        <f>ROUND(VLOOKUP(C411,'RAW DATA 2023'!E:BO,23,0),0)</f>
        <v>46</v>
      </c>
      <c r="G411" s="79">
        <f>VLOOKUP(C411,'RAW DATA 2023'!E:BO,24,0)</f>
        <v>86.848555555555549</v>
      </c>
      <c r="H411" s="79">
        <f>IFERROR(VLOOKUP(F411,STD!B:G,2,FALSE),"")</f>
        <v>84</v>
      </c>
      <c r="I411" s="100">
        <f t="shared" si="32"/>
        <v>1.0339113756613756</v>
      </c>
      <c r="J411" s="74">
        <f t="shared" si="33"/>
        <v>16.017341269841268</v>
      </c>
      <c r="K411">
        <f>VLOOKUP(C411,'RAW DATA 2023'!E:BO,12,0)</f>
        <v>0.9</v>
      </c>
      <c r="L411" s="268">
        <f t="shared" si="34"/>
        <v>14.415607142857141</v>
      </c>
      <c r="M411"/>
    </row>
    <row r="412" spans="1:13">
      <c r="A412" s="64" t="str">
        <f>'RAW DATA 2023'!B405</f>
        <v>CS4</v>
      </c>
      <c r="B412" s="64" t="str">
        <f>'RAW DATA 2023'!D405</f>
        <v>A1-011-0045</v>
      </c>
      <c r="C412" s="63" t="str">
        <f t="shared" si="30"/>
        <v>CS4A1-011-0045</v>
      </c>
      <c r="D412" s="63">
        <f>VLOOKUP(C412,'RAW DATA 2023'!E:BP,63,0)</f>
        <v>5</v>
      </c>
      <c r="E412" s="63" t="str">
        <f t="shared" si="31"/>
        <v>CS45</v>
      </c>
      <c r="F412" s="79">
        <f>ROUND(VLOOKUP(C412,'RAW DATA 2023'!E:BO,23,0),0)</f>
        <v>40</v>
      </c>
      <c r="G412" s="79">
        <f>VLOOKUP(C412,'RAW DATA 2023'!E:BO,24,0)</f>
        <v>57.552624999999999</v>
      </c>
      <c r="H412" s="79">
        <f>IFERROR(VLOOKUP(F412,STD!B:G,2,FALSE),"")</f>
        <v>82</v>
      </c>
      <c r="I412" s="100">
        <f t="shared" si="32"/>
        <v>0.70186128048780483</v>
      </c>
      <c r="J412" s="74">
        <f t="shared" si="33"/>
        <v>6.0558384146341453</v>
      </c>
      <c r="K412">
        <f>VLOOKUP(C412,'RAW DATA 2023'!E:BO,12,0)</f>
        <v>0.8</v>
      </c>
      <c r="L412" s="268">
        <f t="shared" si="34"/>
        <v>4.8446707317073168</v>
      </c>
      <c r="M412"/>
    </row>
    <row r="413" spans="1:13">
      <c r="A413" s="64" t="str">
        <f>'RAW DATA 2023'!B406</f>
        <v>CS4</v>
      </c>
      <c r="B413" s="64" t="str">
        <f>'RAW DATA 2023'!D406</f>
        <v>A1-025-0017</v>
      </c>
      <c r="C413" s="63" t="str">
        <f t="shared" si="30"/>
        <v>CS4A1-025-0017</v>
      </c>
      <c r="D413" s="63">
        <f>VLOOKUP(C413,'RAW DATA 2023'!E:BP,63,0)</f>
        <v>5</v>
      </c>
      <c r="E413" s="63" t="str">
        <f t="shared" si="31"/>
        <v>CS45</v>
      </c>
      <c r="F413" s="79">
        <f>ROUND(VLOOKUP(C413,'RAW DATA 2023'!E:BO,23,0),0)</f>
        <v>30</v>
      </c>
      <c r="G413" s="79">
        <f>VLOOKUP(C413,'RAW DATA 2023'!E:BO,24,0)</f>
        <v>60.576250000000002</v>
      </c>
      <c r="H413" s="79">
        <f>IFERROR(VLOOKUP(F413,STD!B:G,2,FALSE),"")</f>
        <v>76</v>
      </c>
      <c r="I413" s="100">
        <f t="shared" si="32"/>
        <v>0.79705592105263157</v>
      </c>
      <c r="J413" s="74">
        <f t="shared" si="33"/>
        <v>8.9116776315789465</v>
      </c>
      <c r="K413">
        <f>VLOOKUP(C413,'RAW DATA 2023'!E:BO,12,0)</f>
        <v>0.8</v>
      </c>
      <c r="L413" s="268">
        <f t="shared" si="34"/>
        <v>7.1293421052631576</v>
      </c>
      <c r="M413"/>
    </row>
    <row r="414" spans="1:13">
      <c r="A414" s="64" t="str">
        <f>'RAW DATA 2023'!B407</f>
        <v>CS4</v>
      </c>
      <c r="B414" s="64" t="str">
        <f>'RAW DATA 2023'!D407</f>
        <v>A1-026-0015</v>
      </c>
      <c r="C414" s="63" t="str">
        <f t="shared" si="30"/>
        <v>CS4A1-026-0015</v>
      </c>
      <c r="D414" s="63">
        <f>VLOOKUP(C414,'RAW DATA 2023'!E:BP,63,0)</f>
        <v>6</v>
      </c>
      <c r="E414" s="63" t="str">
        <f t="shared" si="31"/>
        <v>CS46</v>
      </c>
      <c r="F414" s="79">
        <f>ROUND(VLOOKUP(C414,'RAW DATA 2023'!E:BO,23,0),0)</f>
        <v>126</v>
      </c>
      <c r="G414" s="79">
        <f>VLOOKUP(C414,'RAW DATA 2023'!E:BO,24,0)</f>
        <v>98.366285714285723</v>
      </c>
      <c r="H414" s="79">
        <f>IFERROR(VLOOKUP(F414,STD!B:G,2,FALSE),"")</f>
        <v>92</v>
      </c>
      <c r="I414" s="100">
        <f t="shared" si="32"/>
        <v>1.0691987577639752</v>
      </c>
      <c r="J414" s="74">
        <f t="shared" si="33"/>
        <v>17.075962732919258</v>
      </c>
      <c r="K414">
        <f>VLOOKUP(C414,'RAW DATA 2023'!E:BO,12,0)</f>
        <v>0.7</v>
      </c>
      <c r="L414" s="268">
        <f t="shared" si="34"/>
        <v>11.95317391304348</v>
      </c>
      <c r="M414"/>
    </row>
    <row r="415" spans="1:13">
      <c r="A415" s="64" t="str">
        <f>'RAW DATA 2023'!B408</f>
        <v>CS4</v>
      </c>
      <c r="B415" s="64" t="str">
        <f>'RAW DATA 2023'!D408</f>
        <v>A1-023-0009</v>
      </c>
      <c r="C415" s="63" t="str">
        <f t="shared" si="30"/>
        <v>CS4A1-023-0009</v>
      </c>
      <c r="D415" s="63">
        <f>VLOOKUP(C415,'RAW DATA 2023'!E:BP,63,0)</f>
        <v>5</v>
      </c>
      <c r="E415" s="63" t="str">
        <f t="shared" si="31"/>
        <v>CS45</v>
      </c>
      <c r="F415" s="79">
        <f>ROUND(VLOOKUP(C415,'RAW DATA 2023'!E:BO,23,0),0)</f>
        <v>110</v>
      </c>
      <c r="G415" s="79">
        <f>VLOOKUP(C415,'RAW DATA 2023'!E:BO,24,0)</f>
        <v>97.552857142857135</v>
      </c>
      <c r="H415" s="79">
        <f>IFERROR(VLOOKUP(F415,STD!B:G,2,FALSE),"")</f>
        <v>91</v>
      </c>
      <c r="I415" s="100">
        <f t="shared" si="32"/>
        <v>1.0720094191522762</v>
      </c>
      <c r="J415" s="74">
        <f t="shared" si="33"/>
        <v>17.160282574568285</v>
      </c>
      <c r="K415">
        <f>VLOOKUP(C415,'RAW DATA 2023'!E:BO,12,0)</f>
        <v>0.7</v>
      </c>
      <c r="L415" s="268">
        <f t="shared" si="34"/>
        <v>12.012197802197798</v>
      </c>
      <c r="M415"/>
    </row>
    <row r="416" spans="1:13">
      <c r="A416" s="64" t="str">
        <f>'RAW DATA 2023'!B409</f>
        <v>CS4</v>
      </c>
      <c r="B416" s="64" t="str">
        <f>'RAW DATA 2023'!D409</f>
        <v>A1-003-0037</v>
      </c>
      <c r="C416" s="63" t="str">
        <f t="shared" si="30"/>
        <v>CS4A1-003-0037</v>
      </c>
      <c r="D416" s="63">
        <f>VLOOKUP(C416,'RAW DATA 2023'!E:BP,63,0)</f>
        <v>4</v>
      </c>
      <c r="E416" s="63" t="str">
        <f t="shared" si="31"/>
        <v>CS44</v>
      </c>
      <c r="F416" s="79">
        <f>ROUND(VLOOKUP(C416,'RAW DATA 2023'!E:BO,23,0),0)</f>
        <v>34</v>
      </c>
      <c r="G416" s="79">
        <f>VLOOKUP(C416,'RAW DATA 2023'!E:BO,24,0)</f>
        <v>48.616599999999998</v>
      </c>
      <c r="H416" s="79">
        <f>IFERROR(VLOOKUP(F416,STD!B:G,2,FALSE),"")</f>
        <v>80</v>
      </c>
      <c r="I416" s="100">
        <f t="shared" si="32"/>
        <v>0.60770749999999996</v>
      </c>
      <c r="J416" s="74">
        <f t="shared" si="33"/>
        <v>3.2312249999999985</v>
      </c>
      <c r="K416">
        <f>VLOOKUP(C416,'RAW DATA 2023'!E:BO,12,0)</f>
        <v>1</v>
      </c>
      <c r="L416" s="268">
        <f t="shared" si="34"/>
        <v>3.2312249999999985</v>
      </c>
      <c r="M416"/>
    </row>
    <row r="417" spans="1:13">
      <c r="A417" s="64" t="str">
        <f>'RAW DATA 2023'!B410</f>
        <v>CS4</v>
      </c>
      <c r="B417" s="64" t="str">
        <f>'RAW DATA 2023'!D410</f>
        <v>A1-002-0047</v>
      </c>
      <c r="C417" s="63" t="str">
        <f t="shared" si="30"/>
        <v>CS4A1-002-0047</v>
      </c>
      <c r="D417" s="63">
        <f>VLOOKUP(C417,'RAW DATA 2023'!E:BP,63,0)</f>
        <v>5</v>
      </c>
      <c r="E417" s="63" t="str">
        <f t="shared" si="31"/>
        <v>CS45</v>
      </c>
      <c r="F417" s="79">
        <f>ROUND(VLOOKUP(C417,'RAW DATA 2023'!E:BO,23,0),0)</f>
        <v>183</v>
      </c>
      <c r="G417" s="79">
        <f>VLOOKUP(C417,'RAW DATA 2023'!E:BO,24,0)</f>
        <v>79.998899999999992</v>
      </c>
      <c r="H417" s="79">
        <f>IFERROR(VLOOKUP(F417,STD!B:G,2,FALSE),"")</f>
        <v>95</v>
      </c>
      <c r="I417" s="100">
        <f t="shared" si="32"/>
        <v>0.84209368421052622</v>
      </c>
      <c r="J417" s="74">
        <f t="shared" si="33"/>
        <v>10.262810526315786</v>
      </c>
      <c r="K417">
        <f>VLOOKUP(C417,'RAW DATA 2023'!E:BO,12,0)</f>
        <v>1</v>
      </c>
      <c r="L417" s="268">
        <f t="shared" si="34"/>
        <v>10.262810526315786</v>
      </c>
      <c r="M417"/>
    </row>
    <row r="418" spans="1:13">
      <c r="A418" s="64" t="str">
        <f>'RAW DATA 2023'!B411</f>
        <v>CS4</v>
      </c>
      <c r="B418" s="64" t="str">
        <f>'RAW DATA 2023'!D411</f>
        <v>A1-002-0048</v>
      </c>
      <c r="C418" s="63" t="str">
        <f t="shared" si="30"/>
        <v>CS4A1-002-0048</v>
      </c>
      <c r="D418" s="63">
        <f>VLOOKUP(C418,'RAW DATA 2023'!E:BP,63,0)</f>
        <v>9</v>
      </c>
      <c r="E418" s="63" t="str">
        <f t="shared" si="31"/>
        <v>CS49</v>
      </c>
      <c r="F418" s="79">
        <f>ROUND(VLOOKUP(C418,'RAW DATA 2023'!E:BO,23,0),0)</f>
        <v>0</v>
      </c>
      <c r="G418" s="79">
        <f>VLOOKUP(C418,'RAW DATA 2023'!E:BO,24,0)</f>
        <v>0</v>
      </c>
      <c r="H418" s="79" t="str">
        <f>IFERROR(VLOOKUP(F418,STD!B:G,2,FALSE),"")</f>
        <v/>
      </c>
      <c r="I418" s="100">
        <f t="shared" si="32"/>
        <v>0</v>
      </c>
      <c r="J418" s="74">
        <f t="shared" si="33"/>
        <v>-15</v>
      </c>
      <c r="K418">
        <f>VLOOKUP(C418,'RAW DATA 2023'!E:BO,12,0)</f>
        <v>1</v>
      </c>
      <c r="L418" s="268">
        <f t="shared" si="34"/>
        <v>-15</v>
      </c>
      <c r="M418"/>
    </row>
    <row r="419" spans="1:13">
      <c r="A419" s="64" t="str">
        <f>'RAW DATA 2023'!B412</f>
        <v>CS4</v>
      </c>
      <c r="B419" s="64" t="str">
        <f>'RAW DATA 2023'!D412</f>
        <v>A1-002-0046</v>
      </c>
      <c r="C419" s="63" t="str">
        <f t="shared" si="30"/>
        <v>CS4A1-002-0046</v>
      </c>
      <c r="D419" s="63">
        <f>VLOOKUP(C419,'RAW DATA 2023'!E:BP,63,0)</f>
        <v>2</v>
      </c>
      <c r="E419" s="63" t="str">
        <f t="shared" si="31"/>
        <v>CS42</v>
      </c>
      <c r="F419" s="79">
        <f>ROUND(VLOOKUP(C419,'RAW DATA 2023'!E:BO,23,0),0)</f>
        <v>53</v>
      </c>
      <c r="G419" s="79">
        <f>VLOOKUP(C419,'RAW DATA 2023'!E:BO,24,0)</f>
        <v>67.299700000000001</v>
      </c>
      <c r="H419" s="79">
        <f>IFERROR(VLOOKUP(F419,STD!B:G,2,FALSE),"")</f>
        <v>86</v>
      </c>
      <c r="I419" s="100">
        <f t="shared" si="32"/>
        <v>0.78255465116279066</v>
      </c>
      <c r="J419" s="74">
        <f t="shared" si="33"/>
        <v>8.47663953488372</v>
      </c>
      <c r="K419">
        <f>VLOOKUP(C419,'RAW DATA 2023'!E:BO,12,0)</f>
        <v>1</v>
      </c>
      <c r="L419" s="268">
        <f t="shared" si="34"/>
        <v>8.47663953488372</v>
      </c>
      <c r="M419"/>
    </row>
    <row r="420" spans="1:13">
      <c r="A420" s="64" t="str">
        <f>'RAW DATA 2023'!B413</f>
        <v>CS4</v>
      </c>
      <c r="B420" s="64" t="str">
        <f>'RAW DATA 2023'!D413</f>
        <v>A1-023-0008</v>
      </c>
      <c r="C420" s="63" t="str">
        <f t="shared" si="30"/>
        <v>CS4A1-023-0008</v>
      </c>
      <c r="D420" s="63">
        <f>VLOOKUP(C420,'RAW DATA 2023'!E:BP,63,0)</f>
        <v>3</v>
      </c>
      <c r="E420" s="63" t="str">
        <f t="shared" si="31"/>
        <v>CS43</v>
      </c>
      <c r="F420" s="79">
        <f>ROUND(VLOOKUP(C420,'RAW DATA 2023'!E:BO,23,0),0)</f>
        <v>87</v>
      </c>
      <c r="G420" s="79">
        <f>VLOOKUP(C420,'RAW DATA 2023'!E:BO,24,0)</f>
        <v>59.067</v>
      </c>
      <c r="H420" s="79">
        <f>IFERROR(VLOOKUP(F420,STD!B:G,2,FALSE),"")</f>
        <v>90</v>
      </c>
      <c r="I420" s="100">
        <f t="shared" si="32"/>
        <v>0.65629999999999999</v>
      </c>
      <c r="J420" s="74">
        <f t="shared" si="33"/>
        <v>4.6890000000000001</v>
      </c>
      <c r="K420">
        <f>VLOOKUP(C420,'RAW DATA 2023'!E:BO,12,0)</f>
        <v>0.5</v>
      </c>
      <c r="L420" s="268">
        <f t="shared" si="34"/>
        <v>2.3445</v>
      </c>
      <c r="M420"/>
    </row>
    <row r="421" spans="1:13">
      <c r="A421" s="64" t="str">
        <f>'RAW DATA 2023'!B414</f>
        <v>CS4</v>
      </c>
      <c r="B421" s="64" t="str">
        <f>'RAW DATA 2023'!D414</f>
        <v>A1-026-0014</v>
      </c>
      <c r="C421" s="63" t="str">
        <f t="shared" si="30"/>
        <v>CS4A1-026-0014</v>
      </c>
      <c r="D421" s="63">
        <f>VLOOKUP(C421,'RAW DATA 2023'!E:BP,63,0)</f>
        <v>4</v>
      </c>
      <c r="E421" s="63" t="str">
        <f t="shared" si="31"/>
        <v>CS44</v>
      </c>
      <c r="F421" s="79">
        <f>ROUND(VLOOKUP(C421,'RAW DATA 2023'!E:BO,23,0),0)</f>
        <v>99</v>
      </c>
      <c r="G421" s="79">
        <f>VLOOKUP(C421,'RAW DATA 2023'!E:BO,24,0)</f>
        <v>79.093000000000004</v>
      </c>
      <c r="H421" s="79">
        <f>IFERROR(VLOOKUP(F421,STD!B:G,2,FALSE),"")</f>
        <v>91</v>
      </c>
      <c r="I421" s="100">
        <f t="shared" si="32"/>
        <v>0.86915384615384617</v>
      </c>
      <c r="J421" s="74">
        <f t="shared" si="33"/>
        <v>11.074615384615385</v>
      </c>
      <c r="K421">
        <f>VLOOKUP(C421,'RAW DATA 2023'!E:BO,12,0)</f>
        <v>0.6</v>
      </c>
      <c r="L421" s="268">
        <f t="shared" si="34"/>
        <v>6.6447692307692305</v>
      </c>
      <c r="M421"/>
    </row>
    <row r="422" spans="1:13">
      <c r="A422" s="64" t="str">
        <f>'RAW DATA 2023'!B415</f>
        <v>CS1</v>
      </c>
      <c r="B422" s="64" t="str">
        <f>'RAW DATA 2023'!D415</f>
        <v>A1-007-0050</v>
      </c>
      <c r="C422" s="63" t="str">
        <f t="shared" si="30"/>
        <v>CS1A1-007-0050</v>
      </c>
      <c r="D422" s="63">
        <f>VLOOKUP(C422,'RAW DATA 2023'!E:BP,63,0)</f>
        <v>10</v>
      </c>
      <c r="E422" s="63" t="str">
        <f t="shared" si="31"/>
        <v>CS110</v>
      </c>
      <c r="F422" s="79">
        <f>ROUND(VLOOKUP(C422,'RAW DATA 2023'!E:BO,23,0),0)</f>
        <v>26</v>
      </c>
      <c r="G422" s="79">
        <f>VLOOKUP(C422,'RAW DATA 2023'!E:BO,24,0)</f>
        <v>32.049157894736844</v>
      </c>
      <c r="H422" s="79">
        <f>IFERROR(VLOOKUP(F422,STD!B:G,2,FALSE),"")</f>
        <v>75</v>
      </c>
      <c r="I422" s="100">
        <f t="shared" si="32"/>
        <v>0.42732210526315789</v>
      </c>
      <c r="J422" s="74">
        <f t="shared" si="33"/>
        <v>-2.1803368421052634</v>
      </c>
      <c r="K422">
        <f>VLOOKUP(C422,'RAW DATA 2023'!E:BO,12,0)</f>
        <v>1.9</v>
      </c>
      <c r="L422" s="268">
        <f t="shared" si="34"/>
        <v>-4.1426400000000001</v>
      </c>
      <c r="M422"/>
    </row>
    <row r="423" spans="1:13">
      <c r="A423" s="64" t="str">
        <f>'RAW DATA 2023'!B416</f>
        <v>CS1</v>
      </c>
      <c r="B423" s="64" t="str">
        <f>'RAW DATA 2023'!D416</f>
        <v>A1-010-0051</v>
      </c>
      <c r="C423" s="63" t="str">
        <f t="shared" si="30"/>
        <v>CS1A1-010-0051</v>
      </c>
      <c r="D423" s="63">
        <f>VLOOKUP(C423,'RAW DATA 2023'!E:BP,63,0)</f>
        <v>10</v>
      </c>
      <c r="E423" s="63" t="str">
        <f t="shared" si="31"/>
        <v>CS110</v>
      </c>
      <c r="F423" s="79">
        <f>ROUND(VLOOKUP(C423,'RAW DATA 2023'!E:BO,23,0),0)</f>
        <v>32</v>
      </c>
      <c r="G423" s="79">
        <f>VLOOKUP(C423,'RAW DATA 2023'!E:BO,24,0)</f>
        <v>58.231200000000008</v>
      </c>
      <c r="H423" s="79">
        <f>IFERROR(VLOOKUP(F423,STD!B:G,2,FALSE),"")</f>
        <v>77</v>
      </c>
      <c r="I423" s="100">
        <f t="shared" si="32"/>
        <v>0.75624935064935073</v>
      </c>
      <c r="J423" s="74">
        <f t="shared" si="33"/>
        <v>7.6874805194805216</v>
      </c>
      <c r="K423">
        <f>VLOOKUP(C423,'RAW DATA 2023'!E:BO,12,0)</f>
        <v>2</v>
      </c>
      <c r="L423" s="268">
        <f t="shared" si="34"/>
        <v>15.374961038961043</v>
      </c>
      <c r="M423"/>
    </row>
    <row r="424" spans="1:13">
      <c r="A424" s="64" t="str">
        <f>'RAW DATA 2023'!B417</f>
        <v>CS1</v>
      </c>
      <c r="B424" s="64" t="str">
        <f>'RAW DATA 2023'!D417</f>
        <v>A1-004-0040</v>
      </c>
      <c r="C424" s="63" t="str">
        <f t="shared" si="30"/>
        <v>CS1A1-004-0040</v>
      </c>
      <c r="D424" s="63">
        <f>VLOOKUP(C424,'RAW DATA 2023'!E:BP,63,0)</f>
        <v>2</v>
      </c>
      <c r="E424" s="63" t="str">
        <f t="shared" si="31"/>
        <v>CS12</v>
      </c>
      <c r="F424" s="79">
        <f>ROUND(VLOOKUP(C424,'RAW DATA 2023'!E:BO,23,0),0)</f>
        <v>24</v>
      </c>
      <c r="G424" s="79">
        <f>VLOOKUP(C424,'RAW DATA 2023'!E:BO,24,0)</f>
        <v>18.906133333333333</v>
      </c>
      <c r="H424" s="79">
        <f>IFERROR(VLOOKUP(F424,STD!B:G,2,FALSE),"")</f>
        <v>72</v>
      </c>
      <c r="I424" s="100">
        <f t="shared" si="32"/>
        <v>0.2625851851851852</v>
      </c>
      <c r="J424" s="74">
        <f t="shared" si="33"/>
        <v>-7.1224444444444437</v>
      </c>
      <c r="K424">
        <f>VLOOKUP(C424,'RAW DATA 2023'!E:BO,12,0)</f>
        <v>1.5</v>
      </c>
      <c r="L424" s="268">
        <f t="shared" si="34"/>
        <v>-10.683666666666666</v>
      </c>
      <c r="M424"/>
    </row>
    <row r="425" spans="1:13">
      <c r="A425" s="64" t="str">
        <f>'RAW DATA 2023'!B418</f>
        <v>CS1</v>
      </c>
      <c r="B425" s="64" t="str">
        <f>'RAW DATA 2023'!D418</f>
        <v>A1-096-0028</v>
      </c>
      <c r="C425" s="63" t="str">
        <f t="shared" si="30"/>
        <v>CS1A1-096-0028</v>
      </c>
      <c r="D425" s="63">
        <f>VLOOKUP(C425,'RAW DATA 2023'!E:BP,63,0)</f>
        <v>5</v>
      </c>
      <c r="E425" s="63" t="str">
        <f t="shared" si="31"/>
        <v>CS15</v>
      </c>
      <c r="F425" s="79">
        <f>ROUND(VLOOKUP(C425,'RAW DATA 2023'!E:BO,23,0),0)</f>
        <v>45</v>
      </c>
      <c r="G425" s="79">
        <f>VLOOKUP(C425,'RAW DATA 2023'!E:BO,24,0)</f>
        <v>37.558999999999997</v>
      </c>
      <c r="H425" s="79">
        <f>IFERROR(VLOOKUP(F425,STD!B:G,2,FALSE),"")</f>
        <v>83</v>
      </c>
      <c r="I425" s="100">
        <f t="shared" si="32"/>
        <v>0.45251807228915658</v>
      </c>
      <c r="J425" s="74">
        <f t="shared" si="33"/>
        <v>-1.4244578313253027</v>
      </c>
      <c r="K425">
        <f>VLOOKUP(C425,'RAW DATA 2023'!E:BO,12,0)</f>
        <v>1.2</v>
      </c>
      <c r="L425" s="268">
        <f t="shared" si="34"/>
        <v>-1.7093493975903631</v>
      </c>
      <c r="M425"/>
    </row>
    <row r="426" spans="1:13">
      <c r="A426" s="64" t="str">
        <f>'RAW DATA 2023'!B419</f>
        <v>CS1</v>
      </c>
      <c r="B426" s="64" t="str">
        <f>'RAW DATA 2023'!D419</f>
        <v>A1-014-0045</v>
      </c>
      <c r="C426" s="63" t="str">
        <f t="shared" si="30"/>
        <v>CS1A1-014-0045</v>
      </c>
      <c r="D426" s="63">
        <f>VLOOKUP(C426,'RAW DATA 2023'!E:BP,63,0)</f>
        <v>3</v>
      </c>
      <c r="E426" s="63" t="str">
        <f t="shared" si="31"/>
        <v>CS13</v>
      </c>
      <c r="F426" s="79">
        <f>ROUND(VLOOKUP(C426,'RAW DATA 2023'!E:BO,23,0),0)</f>
        <v>42</v>
      </c>
      <c r="G426" s="79">
        <f>VLOOKUP(C426,'RAW DATA 2023'!E:BO,24,0)</f>
        <v>80.873999999999995</v>
      </c>
      <c r="H426" s="79">
        <f>IFERROR(VLOOKUP(F426,STD!B:G,2,FALSE),"")</f>
        <v>82</v>
      </c>
      <c r="I426" s="100">
        <f t="shared" si="32"/>
        <v>0.98626829268292682</v>
      </c>
      <c r="J426" s="74">
        <f t="shared" si="33"/>
        <v>14.588048780487805</v>
      </c>
      <c r="K426">
        <f>VLOOKUP(C426,'RAW DATA 2023'!E:BO,12,0)</f>
        <v>1</v>
      </c>
      <c r="L426" s="268">
        <f t="shared" si="34"/>
        <v>14.588048780487805</v>
      </c>
      <c r="M426"/>
    </row>
    <row r="427" spans="1:13">
      <c r="A427" s="64" t="str">
        <f>'RAW DATA 2023'!B420</f>
        <v>CS1</v>
      </c>
      <c r="B427" s="64" t="str">
        <f>'RAW DATA 2023'!D420</f>
        <v>A1-096-0027</v>
      </c>
      <c r="C427" s="63" t="str">
        <f t="shared" si="30"/>
        <v>CS1A1-096-0027</v>
      </c>
      <c r="D427" s="63">
        <f>VLOOKUP(C427,'RAW DATA 2023'!E:BP,63,0)</f>
        <v>2</v>
      </c>
      <c r="E427" s="63" t="str">
        <f t="shared" si="31"/>
        <v>CS12</v>
      </c>
      <c r="F427" s="79">
        <f>ROUND(VLOOKUP(C427,'RAW DATA 2023'!E:BO,23,0),0)</f>
        <v>26</v>
      </c>
      <c r="G427" s="79">
        <f>VLOOKUP(C427,'RAW DATA 2023'!E:BO,24,0)</f>
        <v>42.7485</v>
      </c>
      <c r="H427" s="79">
        <f>IFERROR(VLOOKUP(F427,STD!B:G,2,FALSE),"")</f>
        <v>75</v>
      </c>
      <c r="I427" s="100">
        <f t="shared" si="32"/>
        <v>0.56998000000000004</v>
      </c>
      <c r="J427" s="74">
        <f t="shared" si="33"/>
        <v>2.099400000000001</v>
      </c>
      <c r="K427">
        <f>VLOOKUP(C427,'RAW DATA 2023'!E:BO,12,0)</f>
        <v>0.8</v>
      </c>
      <c r="L427" s="268">
        <f t="shared" si="34"/>
        <v>1.679520000000001</v>
      </c>
      <c r="M427"/>
    </row>
    <row r="428" spans="1:13">
      <c r="A428" s="64" t="str">
        <f>'RAW DATA 2023'!B421</f>
        <v>CS1</v>
      </c>
      <c r="B428" s="64" t="str">
        <f>'RAW DATA 2023'!D421</f>
        <v>A1-010-0049</v>
      </c>
      <c r="C428" s="63" t="str">
        <f t="shared" si="30"/>
        <v>CS1A1-010-0049</v>
      </c>
      <c r="D428" s="63">
        <f>VLOOKUP(C428,'RAW DATA 2023'!E:BP,63,0)</f>
        <v>2</v>
      </c>
      <c r="E428" s="63" t="str">
        <f t="shared" si="31"/>
        <v>CS12</v>
      </c>
      <c r="F428" s="79">
        <f>ROUND(VLOOKUP(C428,'RAW DATA 2023'!E:BO,23,0),0)</f>
        <v>26</v>
      </c>
      <c r="G428" s="79">
        <f>VLOOKUP(C428,'RAW DATA 2023'!E:BO,24,0)</f>
        <v>56.177624999999999</v>
      </c>
      <c r="H428" s="79">
        <f>IFERROR(VLOOKUP(F428,STD!B:G,2,FALSE),"")</f>
        <v>75</v>
      </c>
      <c r="I428" s="100">
        <f t="shared" si="32"/>
        <v>0.74903500000000001</v>
      </c>
      <c r="J428" s="74">
        <f t="shared" si="33"/>
        <v>7.47105</v>
      </c>
      <c r="K428">
        <f>VLOOKUP(C428,'RAW DATA 2023'!E:BO,12,0)</f>
        <v>0.8</v>
      </c>
      <c r="L428" s="268">
        <f t="shared" si="34"/>
        <v>5.9768400000000002</v>
      </c>
      <c r="M428"/>
    </row>
    <row r="429" spans="1:13">
      <c r="A429" s="64" t="str">
        <f>'RAW DATA 2023'!B422</f>
        <v>CS1</v>
      </c>
      <c r="B429" s="64" t="str">
        <f>'RAW DATA 2023'!D422</f>
        <v>A1-007-0048</v>
      </c>
      <c r="C429" s="63" t="str">
        <f t="shared" si="30"/>
        <v>CS1A1-007-0048</v>
      </c>
      <c r="D429" s="63">
        <f>VLOOKUP(C429,'RAW DATA 2023'!E:BP,63,0)</f>
        <v>2</v>
      </c>
      <c r="E429" s="63" t="str">
        <f t="shared" si="31"/>
        <v>CS12</v>
      </c>
      <c r="F429" s="79">
        <f>ROUND(VLOOKUP(C429,'RAW DATA 2023'!E:BO,23,0),0)</f>
        <v>29</v>
      </c>
      <c r="G429" s="79">
        <f>VLOOKUP(C429,'RAW DATA 2023'!E:BO,24,0)</f>
        <v>57.43055555555555</v>
      </c>
      <c r="H429" s="79">
        <f>IFERROR(VLOOKUP(F429,STD!B:G,2,FALSE),"")</f>
        <v>76</v>
      </c>
      <c r="I429" s="100">
        <f t="shared" si="32"/>
        <v>0.75566520467836251</v>
      </c>
      <c r="J429" s="74">
        <f t="shared" si="33"/>
        <v>7.6699561403508749</v>
      </c>
      <c r="K429">
        <f>VLOOKUP(C429,'RAW DATA 2023'!E:BO,12,0)</f>
        <v>0.9</v>
      </c>
      <c r="L429" s="268">
        <f t="shared" si="34"/>
        <v>6.9029605263157876</v>
      </c>
      <c r="M429"/>
    </row>
    <row r="430" spans="1:13">
      <c r="A430" s="64" t="str">
        <f>'RAW DATA 2023'!B423</f>
        <v>CS1</v>
      </c>
      <c r="B430" s="64" t="str">
        <f>'RAW DATA 2023'!D423</f>
        <v>A1-008-0030</v>
      </c>
      <c r="C430" s="63" t="str">
        <f t="shared" si="30"/>
        <v>CS1A1-008-0030</v>
      </c>
      <c r="D430" s="63">
        <f>VLOOKUP(C430,'RAW DATA 2023'!E:BP,63,0)</f>
        <v>3</v>
      </c>
      <c r="E430" s="63" t="str">
        <f t="shared" si="31"/>
        <v>CS13</v>
      </c>
      <c r="F430" s="79">
        <f>ROUND(VLOOKUP(C430,'RAW DATA 2023'!E:BO,23,0),0)</f>
        <v>29</v>
      </c>
      <c r="G430" s="79">
        <f>VLOOKUP(C430,'RAW DATA 2023'!E:BO,24,0)</f>
        <v>55.817666666666668</v>
      </c>
      <c r="H430" s="79">
        <f>IFERROR(VLOOKUP(F430,STD!B:G,2,FALSE),"")</f>
        <v>76</v>
      </c>
      <c r="I430" s="100">
        <f t="shared" si="32"/>
        <v>0.73444298245614037</v>
      </c>
      <c r="J430" s="74">
        <f t="shared" si="33"/>
        <v>7.0332894736842109</v>
      </c>
      <c r="K430">
        <f>VLOOKUP(C430,'RAW DATA 2023'!E:BO,12,0)</f>
        <v>0.9</v>
      </c>
      <c r="L430" s="268">
        <f t="shared" si="34"/>
        <v>6.3299605263157899</v>
      </c>
      <c r="M430"/>
    </row>
    <row r="431" spans="1:13">
      <c r="A431" s="64" t="str">
        <f>'RAW DATA 2023'!B424</f>
        <v>CS1</v>
      </c>
      <c r="B431" s="64" t="str">
        <f>'RAW DATA 2023'!D424</f>
        <v>A1-007-0049</v>
      </c>
      <c r="C431" s="63" t="str">
        <f t="shared" si="30"/>
        <v>CS1A1-007-0049</v>
      </c>
      <c r="D431" s="63">
        <f>VLOOKUP(C431,'RAW DATA 2023'!E:BP,63,0)</f>
        <v>4</v>
      </c>
      <c r="E431" s="63" t="str">
        <f t="shared" si="31"/>
        <v>CS14</v>
      </c>
      <c r="F431" s="79">
        <f>ROUND(VLOOKUP(C431,'RAW DATA 2023'!E:BO,23,0),0)</f>
        <v>105</v>
      </c>
      <c r="G431" s="79">
        <f>VLOOKUP(C431,'RAW DATA 2023'!E:BO,24,0)</f>
        <v>78.746833333333328</v>
      </c>
      <c r="H431" s="79">
        <f>IFERROR(VLOOKUP(F431,STD!B:G,2,FALSE),"")</f>
        <v>91</v>
      </c>
      <c r="I431" s="100">
        <f t="shared" si="32"/>
        <v>0.86534981684981682</v>
      </c>
      <c r="J431" s="74">
        <f t="shared" si="33"/>
        <v>10.960494505494506</v>
      </c>
      <c r="K431">
        <f>VLOOKUP(C431,'RAW DATA 2023'!E:BO,12,0)</f>
        <v>1.2</v>
      </c>
      <c r="L431" s="268">
        <f t="shared" si="34"/>
        <v>13.152593406593406</v>
      </c>
      <c r="M431"/>
    </row>
    <row r="432" spans="1:13">
      <c r="A432" s="64" t="str">
        <f>'RAW DATA 2023'!B425</f>
        <v>CS1</v>
      </c>
      <c r="B432" s="64" t="str">
        <f>'RAW DATA 2023'!D425</f>
        <v>A1-008-0031</v>
      </c>
      <c r="C432" s="63" t="str">
        <f t="shared" si="30"/>
        <v>CS1A1-008-0031</v>
      </c>
      <c r="D432" s="63">
        <f>VLOOKUP(C432,'RAW DATA 2023'!E:BP,63,0)</f>
        <v>5</v>
      </c>
      <c r="E432" s="63" t="str">
        <f t="shared" si="31"/>
        <v>CS15</v>
      </c>
      <c r="F432" s="79">
        <f>ROUND(VLOOKUP(C432,'RAW DATA 2023'!E:BO,23,0),0)</f>
        <v>80</v>
      </c>
      <c r="G432" s="79">
        <f>VLOOKUP(C432,'RAW DATA 2023'!E:BO,24,0)</f>
        <v>21.155874999999998</v>
      </c>
      <c r="H432" s="79">
        <f>IFERROR(VLOOKUP(F432,STD!B:G,2,FALSE),"")</f>
        <v>89</v>
      </c>
      <c r="I432" s="100">
        <f t="shared" si="32"/>
        <v>0.23770646067415729</v>
      </c>
      <c r="J432" s="74">
        <f t="shared" si="33"/>
        <v>-7.8688061797752811</v>
      </c>
      <c r="K432">
        <f>VLOOKUP(C432,'RAW DATA 2023'!E:BO,12,0)</f>
        <v>1.6</v>
      </c>
      <c r="L432" s="268">
        <f t="shared" si="34"/>
        <v>-12.590089887640451</v>
      </c>
      <c r="M432"/>
    </row>
    <row r="433" spans="1:13">
      <c r="A433" s="64" t="str">
        <f>'RAW DATA 2023'!B426</f>
        <v>CS1</v>
      </c>
      <c r="B433" s="64" t="str">
        <f>'RAW DATA 2023'!D426</f>
        <v>A1-010-0050</v>
      </c>
      <c r="C433" s="63" t="str">
        <f t="shared" si="30"/>
        <v>CS1A1-010-0050</v>
      </c>
      <c r="D433" s="63">
        <f>VLOOKUP(C433,'RAW DATA 2023'!E:BP,63,0)</f>
        <v>4</v>
      </c>
      <c r="E433" s="63" t="str">
        <f t="shared" si="31"/>
        <v>CS14</v>
      </c>
      <c r="F433" s="79">
        <f>ROUND(VLOOKUP(C433,'RAW DATA 2023'!E:BO,23,0),0)</f>
        <v>141</v>
      </c>
      <c r="G433" s="79">
        <f>VLOOKUP(C433,'RAW DATA 2023'!E:BO,24,0)</f>
        <v>55.9512</v>
      </c>
      <c r="H433" s="79">
        <f>IFERROR(VLOOKUP(F433,STD!B:G,2,FALSE),"")</f>
        <v>93</v>
      </c>
      <c r="I433" s="100">
        <f t="shared" si="32"/>
        <v>0.6016258064516129</v>
      </c>
      <c r="J433" s="74">
        <f t="shared" si="33"/>
        <v>3.048774193548387</v>
      </c>
      <c r="K433">
        <f>VLOOKUP(C433,'RAW DATA 2023'!E:BO,12,0)</f>
        <v>2</v>
      </c>
      <c r="L433" s="268">
        <f t="shared" si="34"/>
        <v>6.0975483870967739</v>
      </c>
      <c r="M433"/>
    </row>
    <row r="434" spans="1:13">
      <c r="A434" s="64" t="str">
        <f>'RAW DATA 2023'!B427</f>
        <v>CS1</v>
      </c>
      <c r="B434" s="64" t="str">
        <f>'RAW DATA 2023'!D427</f>
        <v>C1-080-0017</v>
      </c>
      <c r="C434" s="63" t="str">
        <f t="shared" si="30"/>
        <v>CS1C1-080-0017</v>
      </c>
      <c r="D434" s="63">
        <f>VLOOKUP(C434,'RAW DATA 2023'!E:BP,63,0)</f>
        <v>2</v>
      </c>
      <c r="E434" s="63" t="str">
        <f t="shared" si="31"/>
        <v>CS12</v>
      </c>
      <c r="F434" s="79">
        <f>ROUND(VLOOKUP(C434,'RAW DATA 2023'!E:BO,23,0),0)</f>
        <v>23</v>
      </c>
      <c r="G434" s="79">
        <f>VLOOKUP(C434,'RAW DATA 2023'!E:BO,24,0)</f>
        <v>65.747407407407408</v>
      </c>
      <c r="H434" s="79">
        <f>IFERROR(VLOOKUP(F434,STD!B:G,2,FALSE),"")</f>
        <v>71</v>
      </c>
      <c r="I434" s="100">
        <f t="shared" si="32"/>
        <v>0.92601982263954097</v>
      </c>
      <c r="J434" s="74">
        <f t="shared" si="33"/>
        <v>12.78059467918623</v>
      </c>
      <c r="K434">
        <f>VLOOKUP(C434,'RAW DATA 2023'!E:BO,12,0)</f>
        <v>0.54</v>
      </c>
      <c r="L434" s="268">
        <f t="shared" si="34"/>
        <v>6.9015211267605645</v>
      </c>
      <c r="M434"/>
    </row>
    <row r="435" spans="1:13">
      <c r="A435" s="64" t="str">
        <f>'RAW DATA 2023'!B428</f>
        <v>CS1</v>
      </c>
      <c r="B435" s="64" t="str">
        <f>'RAW DATA 2023'!D428</f>
        <v>C1-084-0018</v>
      </c>
      <c r="C435" s="63" t="str">
        <f t="shared" si="30"/>
        <v>CS1C1-084-0018</v>
      </c>
      <c r="D435" s="63">
        <f>VLOOKUP(C435,'RAW DATA 2023'!E:BP,63,0)</f>
        <v>2</v>
      </c>
      <c r="E435" s="63" t="str">
        <f t="shared" si="31"/>
        <v>CS12</v>
      </c>
      <c r="F435" s="79">
        <f>ROUND(VLOOKUP(C435,'RAW DATA 2023'!E:BO,23,0),0)</f>
        <v>24</v>
      </c>
      <c r="G435" s="79">
        <f>VLOOKUP(C435,'RAW DATA 2023'!E:BO,24,0)</f>
        <v>51.126666666666665</v>
      </c>
      <c r="H435" s="79">
        <f>IFERROR(VLOOKUP(F435,STD!B:G,2,FALSE),"")</f>
        <v>72</v>
      </c>
      <c r="I435" s="100">
        <f t="shared" si="32"/>
        <v>0.71009259259259261</v>
      </c>
      <c r="J435" s="74">
        <f t="shared" si="33"/>
        <v>6.302777777777778</v>
      </c>
      <c r="K435">
        <f>VLOOKUP(C435,'RAW DATA 2023'!E:BO,12,0)</f>
        <v>0.54</v>
      </c>
      <c r="L435" s="268">
        <f t="shared" si="34"/>
        <v>3.4035000000000002</v>
      </c>
      <c r="M435"/>
    </row>
    <row r="436" spans="1:13">
      <c r="A436" s="64" t="str">
        <f>'RAW DATA 2023'!B429</f>
        <v>CS1</v>
      </c>
      <c r="B436" s="64" t="str">
        <f>'RAW DATA 2023'!D429</f>
        <v>C1-085-0019</v>
      </c>
      <c r="C436" s="63" t="str">
        <f t="shared" si="30"/>
        <v>CS1C1-085-0019</v>
      </c>
      <c r="D436" s="63">
        <f>VLOOKUP(C436,'RAW DATA 2023'!E:BP,63,0)</f>
        <v>3</v>
      </c>
      <c r="E436" s="63" t="str">
        <f t="shared" si="31"/>
        <v>CS13</v>
      </c>
      <c r="F436" s="79">
        <f>ROUND(VLOOKUP(C436,'RAW DATA 2023'!E:BO,23,0),0)</f>
        <v>27</v>
      </c>
      <c r="G436" s="79">
        <f>VLOOKUP(C436,'RAW DATA 2023'!E:BO,24,0)</f>
        <v>44.339700000000001</v>
      </c>
      <c r="H436" s="79">
        <f>IFERROR(VLOOKUP(F436,STD!B:G,2,FALSE),"")</f>
        <v>75</v>
      </c>
      <c r="I436" s="100">
        <f t="shared" si="32"/>
        <v>0.59119600000000005</v>
      </c>
      <c r="J436" s="74">
        <f t="shared" si="33"/>
        <v>2.7358800000000016</v>
      </c>
      <c r="K436">
        <f>VLOOKUP(C436,'RAW DATA 2023'!E:BO,12,0)</f>
        <v>1</v>
      </c>
      <c r="L436" s="268">
        <f t="shared" si="34"/>
        <v>2.7358800000000016</v>
      </c>
      <c r="M436"/>
    </row>
    <row r="437" spans="1:13">
      <c r="A437" s="64" t="str">
        <f>'RAW DATA 2023'!B430</f>
        <v>CS1</v>
      </c>
      <c r="B437" s="64" t="str">
        <f>'RAW DATA 2023'!D430</f>
        <v>C1-083-0019</v>
      </c>
      <c r="C437" s="63" t="str">
        <f t="shared" si="30"/>
        <v>CS1C1-083-0019</v>
      </c>
      <c r="D437" s="63">
        <f>VLOOKUP(C437,'RAW DATA 2023'!E:BP,63,0)</f>
        <v>2</v>
      </c>
      <c r="E437" s="63" t="str">
        <f t="shared" si="31"/>
        <v>CS12</v>
      </c>
      <c r="F437" s="79">
        <f>ROUND(VLOOKUP(C437,'RAW DATA 2023'!E:BO,23,0),0)</f>
        <v>24</v>
      </c>
      <c r="G437" s="79">
        <f>VLOOKUP(C437,'RAW DATA 2023'!E:BO,24,0)</f>
        <v>52.323846153846155</v>
      </c>
      <c r="H437" s="79">
        <f>IFERROR(VLOOKUP(F437,STD!B:G,2,FALSE),"")</f>
        <v>72</v>
      </c>
      <c r="I437" s="100">
        <f t="shared" si="32"/>
        <v>0.72672008547008549</v>
      </c>
      <c r="J437" s="74">
        <f t="shared" si="33"/>
        <v>6.8016025641025646</v>
      </c>
      <c r="K437">
        <f>VLOOKUP(C437,'RAW DATA 2023'!E:BO,12,0)</f>
        <v>0.65</v>
      </c>
      <c r="L437" s="268">
        <f t="shared" si="34"/>
        <v>4.4210416666666674</v>
      </c>
      <c r="M437"/>
    </row>
    <row r="438" spans="1:13">
      <c r="A438" s="64" t="str">
        <f>'RAW DATA 2023'!B431</f>
        <v>CS1</v>
      </c>
      <c r="B438" s="64" t="str">
        <f>'RAW DATA 2023'!D431</f>
        <v>C1-080-0018</v>
      </c>
      <c r="C438" s="63" t="str">
        <f t="shared" si="30"/>
        <v>CS1C1-080-0018</v>
      </c>
      <c r="D438" s="63">
        <f>VLOOKUP(C438,'RAW DATA 2023'!E:BP,63,0)</f>
        <v>5</v>
      </c>
      <c r="E438" s="63" t="str">
        <f t="shared" si="31"/>
        <v>CS15</v>
      </c>
      <c r="F438" s="79">
        <f>ROUND(VLOOKUP(C438,'RAW DATA 2023'!E:BO,23,0),0)</f>
        <v>61</v>
      </c>
      <c r="G438" s="79">
        <f>VLOOKUP(C438,'RAW DATA 2023'!E:BO,24,0)</f>
        <v>63.186624999999999</v>
      </c>
      <c r="H438" s="79">
        <f>IFERROR(VLOOKUP(F438,STD!B:G,2,FALSE),"")</f>
        <v>87</v>
      </c>
      <c r="I438" s="100">
        <f t="shared" si="32"/>
        <v>0.72628304597701143</v>
      </c>
      <c r="J438" s="74">
        <f t="shared" si="33"/>
        <v>6.7884913793103427</v>
      </c>
      <c r="K438">
        <f>VLOOKUP(C438,'RAW DATA 2023'!E:BO,12,0)</f>
        <v>0.8</v>
      </c>
      <c r="L438" s="268">
        <f t="shared" si="34"/>
        <v>5.4307931034482744</v>
      </c>
      <c r="M438"/>
    </row>
    <row r="439" spans="1:13">
      <c r="A439" s="64" t="str">
        <f>'RAW DATA 2023'!B432</f>
        <v>CS1</v>
      </c>
      <c r="B439" s="64" t="str">
        <f>'RAW DATA 2023'!D432</f>
        <v>C1-062-0020</v>
      </c>
      <c r="C439" s="63" t="str">
        <f t="shared" si="30"/>
        <v>CS1C1-062-0020</v>
      </c>
      <c r="D439" s="63">
        <f>VLOOKUP(C439,'RAW DATA 2023'!E:BP,63,0)</f>
        <v>5</v>
      </c>
      <c r="E439" s="63" t="str">
        <f t="shared" si="31"/>
        <v>CS15</v>
      </c>
      <c r="F439" s="79">
        <f>ROUND(VLOOKUP(C439,'RAW DATA 2023'!E:BO,23,0),0)</f>
        <v>70</v>
      </c>
      <c r="G439" s="79">
        <f>VLOOKUP(C439,'RAW DATA 2023'!E:BO,24,0)</f>
        <v>74.116181818181815</v>
      </c>
      <c r="H439" s="79">
        <f>IFERROR(VLOOKUP(F439,STD!B:G,2,FALSE),"")</f>
        <v>88</v>
      </c>
      <c r="I439" s="100">
        <f t="shared" si="32"/>
        <v>0.84222933884297513</v>
      </c>
      <c r="J439" s="74">
        <f t="shared" si="33"/>
        <v>10.266880165289255</v>
      </c>
      <c r="K439">
        <f>VLOOKUP(C439,'RAW DATA 2023'!E:BO,12,0)</f>
        <v>1.1000000000000001</v>
      </c>
      <c r="L439" s="268">
        <f t="shared" si="34"/>
        <v>11.293568181818181</v>
      </c>
      <c r="M439"/>
    </row>
    <row r="440" spans="1:13">
      <c r="A440" s="64" t="str">
        <f>'RAW DATA 2023'!B433</f>
        <v>CS1</v>
      </c>
      <c r="B440" s="64" t="str">
        <f>'RAW DATA 2023'!D433</f>
        <v>C1-084-0019</v>
      </c>
      <c r="C440" s="63" t="str">
        <f t="shared" si="30"/>
        <v>CS1C1-084-0019</v>
      </c>
      <c r="D440" s="63">
        <f>VLOOKUP(C440,'RAW DATA 2023'!E:BP,63,0)</f>
        <v>5</v>
      </c>
      <c r="E440" s="63" t="str">
        <f t="shared" si="31"/>
        <v>CS15</v>
      </c>
      <c r="F440" s="79">
        <f>ROUND(VLOOKUP(C440,'RAW DATA 2023'!E:BO,23,0),0)</f>
        <v>67</v>
      </c>
      <c r="G440" s="79">
        <f>VLOOKUP(C440,'RAW DATA 2023'!E:BO,24,0)</f>
        <v>75.816299999999998</v>
      </c>
      <c r="H440" s="79">
        <f>IFERROR(VLOOKUP(F440,STD!B:G,2,FALSE),"")</f>
        <v>88</v>
      </c>
      <c r="I440" s="100">
        <f t="shared" si="32"/>
        <v>0.86154886363636363</v>
      </c>
      <c r="J440" s="74">
        <f t="shared" si="33"/>
        <v>10.846465909090909</v>
      </c>
      <c r="K440">
        <f>VLOOKUP(C440,'RAW DATA 2023'!E:BO,12,0)</f>
        <v>1</v>
      </c>
      <c r="L440" s="268">
        <f t="shared" si="34"/>
        <v>10.846465909090909</v>
      </c>
      <c r="M440"/>
    </row>
    <row r="441" spans="1:13">
      <c r="A441" s="64" t="str">
        <f>'RAW DATA 2023'!B434</f>
        <v>CS1</v>
      </c>
      <c r="B441" s="64" t="str">
        <f>'RAW DATA 2023'!D434</f>
        <v>C1-062-0019</v>
      </c>
      <c r="C441" s="63" t="str">
        <f t="shared" si="30"/>
        <v>CS1C1-062-0019</v>
      </c>
      <c r="D441" s="63">
        <f>VLOOKUP(C441,'RAW DATA 2023'!E:BP,63,0)</f>
        <v>2</v>
      </c>
      <c r="E441" s="63" t="str">
        <f t="shared" si="31"/>
        <v>CS12</v>
      </c>
      <c r="F441" s="79">
        <f>ROUND(VLOOKUP(C441,'RAW DATA 2023'!E:BO,23,0),0)</f>
        <v>55</v>
      </c>
      <c r="G441" s="79">
        <f>VLOOKUP(C441,'RAW DATA 2023'!E:BO,24,0)</f>
        <v>52.16</v>
      </c>
      <c r="H441" s="79">
        <f>IFERROR(VLOOKUP(F441,STD!B:G,2,FALSE),"")</f>
        <v>86</v>
      </c>
      <c r="I441" s="100">
        <f t="shared" si="32"/>
        <v>0.60651162790697666</v>
      </c>
      <c r="J441" s="74">
        <f t="shared" si="33"/>
        <v>3.1953488372092997</v>
      </c>
      <c r="K441">
        <f>VLOOKUP(C441,'RAW DATA 2023'!E:BO,12,0)</f>
        <v>1</v>
      </c>
      <c r="L441" s="268">
        <f t="shared" si="34"/>
        <v>3.1953488372092997</v>
      </c>
      <c r="M441"/>
    </row>
    <row r="442" spans="1:13">
      <c r="A442" s="64" t="str">
        <f>'RAW DATA 2023'!B435</f>
        <v>CS1</v>
      </c>
      <c r="B442" s="64" t="str">
        <f>'RAW DATA 2023'!D435</f>
        <v>C1-0B4-0017</v>
      </c>
      <c r="C442" s="63" t="str">
        <f t="shared" si="30"/>
        <v>CS1C1-0B4-0017</v>
      </c>
      <c r="D442" s="63">
        <f>VLOOKUP(C442,'RAW DATA 2023'!E:BP,63,0)</f>
        <v>3</v>
      </c>
      <c r="E442" s="63" t="str">
        <f t="shared" si="31"/>
        <v>CS13</v>
      </c>
      <c r="F442" s="79">
        <f>ROUND(VLOOKUP(C442,'RAW DATA 2023'!E:BO,23,0),0)</f>
        <v>112</v>
      </c>
      <c r="G442" s="79">
        <f>VLOOKUP(C442,'RAW DATA 2023'!E:BO,24,0)</f>
        <v>57.465299999999999</v>
      </c>
      <c r="H442" s="79">
        <f>IFERROR(VLOOKUP(F442,STD!B:G,2,FALSE),"")</f>
        <v>92</v>
      </c>
      <c r="I442" s="100">
        <f t="shared" si="32"/>
        <v>0.62462282608695652</v>
      </c>
      <c r="J442" s="74">
        <f t="shared" si="33"/>
        <v>3.7386847826086953</v>
      </c>
      <c r="K442">
        <f>VLOOKUP(C442,'RAW DATA 2023'!E:BO,12,0)</f>
        <v>1</v>
      </c>
      <c r="L442" s="268">
        <f t="shared" si="34"/>
        <v>3.7386847826086953</v>
      </c>
      <c r="M442"/>
    </row>
    <row r="443" spans="1:13">
      <c r="A443" s="64" t="str">
        <f>'RAW DATA 2023'!B436</f>
        <v>CS1</v>
      </c>
      <c r="B443" s="64" t="str">
        <f>'RAW DATA 2023'!D436</f>
        <v>C1-083-0020</v>
      </c>
      <c r="C443" s="63" t="str">
        <f t="shared" si="30"/>
        <v>CS1C1-083-0020</v>
      </c>
      <c r="D443" s="63">
        <f>VLOOKUP(C443,'RAW DATA 2023'!E:BP,63,0)</f>
        <v>5</v>
      </c>
      <c r="E443" s="63" t="str">
        <f t="shared" si="31"/>
        <v>CS15</v>
      </c>
      <c r="F443" s="79">
        <f>ROUND(VLOOKUP(C443,'RAW DATA 2023'!E:BO,23,0),0)</f>
        <v>146</v>
      </c>
      <c r="G443" s="79">
        <f>VLOOKUP(C443,'RAW DATA 2023'!E:BO,24,0)</f>
        <v>85.582777777777778</v>
      </c>
      <c r="H443" s="79">
        <f>IFERROR(VLOOKUP(F443,STD!B:G,2,FALSE),"")</f>
        <v>93</v>
      </c>
      <c r="I443" s="100">
        <f t="shared" si="32"/>
        <v>0.92024492234169653</v>
      </c>
      <c r="J443" s="74">
        <f t="shared" si="33"/>
        <v>12.607347670250896</v>
      </c>
      <c r="K443">
        <f>VLOOKUP(C443,'RAW DATA 2023'!E:BO,12,0)</f>
        <v>0.9</v>
      </c>
      <c r="L443" s="268">
        <f t="shared" si="34"/>
        <v>11.346612903225806</v>
      </c>
      <c r="M443"/>
    </row>
    <row r="444" spans="1:13">
      <c r="A444" s="64" t="str">
        <f>'RAW DATA 2023'!B437</f>
        <v>CS1</v>
      </c>
      <c r="B444" s="64" t="str">
        <f>'RAW DATA 2023'!D437</f>
        <v>C1-063-0019</v>
      </c>
      <c r="C444" s="63" t="str">
        <f t="shared" si="30"/>
        <v>CS1C1-063-0019</v>
      </c>
      <c r="D444" s="63">
        <f>VLOOKUP(C444,'RAW DATA 2023'!E:BP,63,0)</f>
        <v>2</v>
      </c>
      <c r="E444" s="63" t="str">
        <f t="shared" si="31"/>
        <v>CS12</v>
      </c>
      <c r="F444" s="79">
        <f>ROUND(VLOOKUP(C444,'RAW DATA 2023'!E:BO,23,0),0)</f>
        <v>79</v>
      </c>
      <c r="G444" s="79">
        <f>VLOOKUP(C444,'RAW DATA 2023'!E:BO,24,0)</f>
        <v>75.233800000000002</v>
      </c>
      <c r="H444" s="79">
        <f>IFERROR(VLOOKUP(F444,STD!B:G,2,FALSE),"")</f>
        <v>89</v>
      </c>
      <c r="I444" s="100">
        <f t="shared" si="32"/>
        <v>0.84532359550561798</v>
      </c>
      <c r="J444" s="74">
        <f t="shared" si="33"/>
        <v>10.35970786516854</v>
      </c>
      <c r="K444">
        <f>VLOOKUP(C444,'RAW DATA 2023'!E:BO,12,0)</f>
        <v>1</v>
      </c>
      <c r="L444" s="268">
        <f t="shared" si="34"/>
        <v>10.35970786516854</v>
      </c>
      <c r="M444"/>
    </row>
    <row r="445" spans="1:13">
      <c r="A445" s="64" t="str">
        <f>'RAW DATA 2023'!B438</f>
        <v>CS1</v>
      </c>
      <c r="B445" s="64" t="str">
        <f>'RAW DATA 2023'!D438</f>
        <v>C1-056-0019</v>
      </c>
      <c r="C445" s="63" t="str">
        <f t="shared" si="30"/>
        <v>CS1C1-056-0019</v>
      </c>
      <c r="D445" s="63">
        <f>VLOOKUP(C445,'RAW DATA 2023'!E:BP,63,0)</f>
        <v>5</v>
      </c>
      <c r="E445" s="63" t="str">
        <f t="shared" si="31"/>
        <v>CS15</v>
      </c>
      <c r="F445" s="79">
        <f>ROUND(VLOOKUP(C445,'RAW DATA 2023'!E:BO,23,0),0)</f>
        <v>167</v>
      </c>
      <c r="G445" s="79">
        <f>VLOOKUP(C445,'RAW DATA 2023'!E:BO,24,0)</f>
        <v>84.701700000000002</v>
      </c>
      <c r="H445" s="79">
        <f>IFERROR(VLOOKUP(F445,STD!B:G,2,FALSE),"")</f>
        <v>94</v>
      </c>
      <c r="I445" s="100">
        <f t="shared" si="32"/>
        <v>0.901081914893617</v>
      </c>
      <c r="J445" s="74">
        <f t="shared" si="33"/>
        <v>12.032457446808509</v>
      </c>
      <c r="K445">
        <f>VLOOKUP(C445,'RAW DATA 2023'!E:BO,12,0)</f>
        <v>1</v>
      </c>
      <c r="L445" s="268">
        <f t="shared" si="34"/>
        <v>12.032457446808509</v>
      </c>
      <c r="M445"/>
    </row>
    <row r="446" spans="1:13">
      <c r="A446" s="64" t="str">
        <f>'RAW DATA 2023'!B439</f>
        <v>CS1</v>
      </c>
      <c r="B446" s="64" t="str">
        <f>'RAW DATA 2023'!D439</f>
        <v>C1-063-0020</v>
      </c>
      <c r="C446" s="63" t="str">
        <f t="shared" si="30"/>
        <v>CS1C1-063-0020</v>
      </c>
      <c r="D446" s="63">
        <f>VLOOKUP(C446,'RAW DATA 2023'!E:BP,63,0)</f>
        <v>5</v>
      </c>
      <c r="E446" s="63" t="str">
        <f t="shared" si="31"/>
        <v>CS15</v>
      </c>
      <c r="F446" s="79">
        <f>ROUND(VLOOKUP(C446,'RAW DATA 2023'!E:BO,23,0),0)</f>
        <v>208</v>
      </c>
      <c r="G446" s="79">
        <f>VLOOKUP(C446,'RAW DATA 2023'!E:BO,24,0)</f>
        <v>50.213454545454553</v>
      </c>
      <c r="H446" s="79">
        <f>IFERROR(VLOOKUP(F446,STD!B:G,2,FALSE),"")</f>
        <v>95</v>
      </c>
      <c r="I446" s="100">
        <f t="shared" si="32"/>
        <v>0.52856267942583746</v>
      </c>
      <c r="J446" s="74">
        <f t="shared" si="33"/>
        <v>0.85688038277512368</v>
      </c>
      <c r="K446">
        <f>VLOOKUP(C446,'RAW DATA 2023'!E:BO,12,0)</f>
        <v>1.1000000000000001</v>
      </c>
      <c r="L446" s="268">
        <f t="shared" si="34"/>
        <v>0.94256842105263616</v>
      </c>
      <c r="M446"/>
    </row>
    <row r="447" spans="1:13">
      <c r="A447" s="64" t="str">
        <f>'RAW DATA 2023'!B440</f>
        <v>CS1</v>
      </c>
      <c r="B447" s="64" t="str">
        <f>'RAW DATA 2023'!D440</f>
        <v>C1-085-0020</v>
      </c>
      <c r="C447" s="63" t="str">
        <f t="shared" si="30"/>
        <v>CS1C1-085-0020</v>
      </c>
      <c r="D447" s="63">
        <f>VLOOKUP(C447,'RAW DATA 2023'!E:BP,63,0)</f>
        <v>9</v>
      </c>
      <c r="E447" s="63" t="str">
        <f t="shared" si="31"/>
        <v>CS19</v>
      </c>
      <c r="F447" s="79">
        <f>ROUND(VLOOKUP(C447,'RAW DATA 2023'!E:BO,23,0),0)</f>
        <v>73</v>
      </c>
      <c r="G447" s="79">
        <f>VLOOKUP(C447,'RAW DATA 2023'!E:BO,24,0)</f>
        <v>45.536533333333331</v>
      </c>
      <c r="H447" s="79">
        <f>IFERROR(VLOOKUP(F447,STD!B:G,2,FALSE),"")</f>
        <v>89</v>
      </c>
      <c r="I447" s="100">
        <f t="shared" si="32"/>
        <v>0.51164644194756548</v>
      </c>
      <c r="J447" s="74">
        <f t="shared" si="33"/>
        <v>0.34939325842696434</v>
      </c>
      <c r="K447">
        <f>VLOOKUP(C447,'RAW DATA 2023'!E:BO,12,0)</f>
        <v>1.5</v>
      </c>
      <c r="L447" s="268">
        <f t="shared" si="34"/>
        <v>0.52408988764044651</v>
      </c>
      <c r="M447"/>
    </row>
    <row r="448" spans="1:13">
      <c r="A448" s="64" t="str">
        <f>'RAW DATA 2023'!B441</f>
        <v>CS1</v>
      </c>
      <c r="B448" s="64" t="str">
        <f>'RAW DATA 2023'!D441</f>
        <v>C1-084-0020</v>
      </c>
      <c r="C448" s="63" t="str">
        <f t="shared" si="30"/>
        <v>CS1C1-084-0020</v>
      </c>
      <c r="D448" s="63">
        <f>VLOOKUP(C448,'RAW DATA 2023'!E:BP,63,0)</f>
        <v>8</v>
      </c>
      <c r="E448" s="63" t="str">
        <f t="shared" si="31"/>
        <v>CS18</v>
      </c>
      <c r="F448" s="79">
        <f>ROUND(VLOOKUP(C448,'RAW DATA 2023'!E:BO,23,0),0)</f>
        <v>168</v>
      </c>
      <c r="G448" s="79">
        <f>VLOOKUP(C448,'RAW DATA 2023'!E:BO,24,0)</f>
        <v>65.813200000000009</v>
      </c>
      <c r="H448" s="79">
        <f>IFERROR(VLOOKUP(F448,STD!B:G,2,FALSE),"")</f>
        <v>94</v>
      </c>
      <c r="I448" s="100">
        <f t="shared" si="32"/>
        <v>0.70014042553191502</v>
      </c>
      <c r="J448" s="74">
        <f t="shared" si="33"/>
        <v>6.0042127659574511</v>
      </c>
      <c r="K448">
        <f>VLOOKUP(C448,'RAW DATA 2023'!E:BO,12,0)</f>
        <v>1.5</v>
      </c>
      <c r="L448" s="268">
        <f t="shared" si="34"/>
        <v>9.0063191489361767</v>
      </c>
      <c r="M448"/>
    </row>
    <row r="449" spans="1:13">
      <c r="A449" s="64" t="str">
        <f>'RAW DATA 2023'!B442</f>
        <v>Roiphet3</v>
      </c>
      <c r="B449" s="64" t="str">
        <f>'RAW DATA 2023'!D442</f>
        <v>A1-008-0023</v>
      </c>
      <c r="C449" s="63" t="str">
        <f t="shared" si="30"/>
        <v>Roiphet3A1-008-0023</v>
      </c>
      <c r="D449" s="63">
        <f>VLOOKUP(C449,'RAW DATA 2023'!E:BP,63,0)</f>
        <v>9</v>
      </c>
      <c r="E449" s="63" t="str">
        <f t="shared" si="31"/>
        <v>Roiphet39</v>
      </c>
      <c r="F449" s="79">
        <f>ROUND(VLOOKUP(C449,'RAW DATA 2023'!E:BO,23,0),0)</f>
        <v>34</v>
      </c>
      <c r="G449" s="79">
        <f>VLOOKUP(C449,'RAW DATA 2023'!E:BO,24,0)</f>
        <v>69.591499999999996</v>
      </c>
      <c r="H449" s="79">
        <f>IFERROR(VLOOKUP(F449,STD!B:G,2,FALSE),"")</f>
        <v>80</v>
      </c>
      <c r="I449" s="100">
        <f t="shared" si="32"/>
        <v>0.86989374999999991</v>
      </c>
      <c r="J449" s="74">
        <f t="shared" si="33"/>
        <v>11.096812499999997</v>
      </c>
      <c r="K449">
        <f>VLOOKUP(C449,'RAW DATA 2023'!E:BO,12,0)</f>
        <v>1</v>
      </c>
      <c r="L449" s="268">
        <f t="shared" si="34"/>
        <v>11.096812499999997</v>
      </c>
      <c r="M449"/>
    </row>
    <row r="450" spans="1:13">
      <c r="A450" s="64" t="str">
        <f>'RAW DATA 2023'!B443</f>
        <v>Roiphet3</v>
      </c>
      <c r="B450" s="64" t="str">
        <f>'RAW DATA 2023'!D443</f>
        <v>A1-016-0031</v>
      </c>
      <c r="C450" s="63" t="str">
        <f t="shared" si="30"/>
        <v>Roiphet3A1-016-0031</v>
      </c>
      <c r="D450" s="63">
        <f>VLOOKUP(C450,'RAW DATA 2023'!E:BP,63,0)</f>
        <v>10</v>
      </c>
      <c r="E450" s="63" t="str">
        <f t="shared" si="31"/>
        <v>Roiphet310</v>
      </c>
      <c r="F450" s="79">
        <f>ROUND(VLOOKUP(C450,'RAW DATA 2023'!E:BO,23,0),0)</f>
        <v>96</v>
      </c>
      <c r="G450" s="79">
        <f>VLOOKUP(C450,'RAW DATA 2023'!E:BO,24,0)</f>
        <v>80.713666666666654</v>
      </c>
      <c r="H450" s="79">
        <f>IFERROR(VLOOKUP(F450,STD!B:G,2,FALSE),"")</f>
        <v>90</v>
      </c>
      <c r="I450" s="100">
        <f t="shared" si="32"/>
        <v>0.89681851851851835</v>
      </c>
      <c r="J450" s="74">
        <f t="shared" si="33"/>
        <v>11.90455555555555</v>
      </c>
      <c r="K450">
        <f>VLOOKUP(C450,'RAW DATA 2023'!E:BO,12,0)</f>
        <v>1.5</v>
      </c>
      <c r="L450" s="268">
        <f t="shared" si="34"/>
        <v>17.856833333333327</v>
      </c>
      <c r="M450"/>
    </row>
    <row r="451" spans="1:13">
      <c r="A451" s="64" t="str">
        <f>'RAW DATA 2023'!B444</f>
        <v>Roiphet3</v>
      </c>
      <c r="B451" s="64" t="str">
        <f>'RAW DATA 2023'!D444</f>
        <v>A1-016-0029</v>
      </c>
      <c r="C451" s="63" t="str">
        <f t="shared" si="30"/>
        <v>Roiphet3A1-016-0029</v>
      </c>
      <c r="D451" s="63">
        <f>VLOOKUP(C451,'RAW DATA 2023'!E:BP,63,0)</f>
        <v>3</v>
      </c>
      <c r="E451" s="63" t="str">
        <f t="shared" si="31"/>
        <v>Roiphet33</v>
      </c>
      <c r="F451" s="79">
        <f>ROUND(VLOOKUP(C451,'RAW DATA 2023'!E:BO,23,0),0)</f>
        <v>29</v>
      </c>
      <c r="G451" s="79">
        <f>VLOOKUP(C451,'RAW DATA 2023'!E:BO,24,0)</f>
        <v>57.661999999999999</v>
      </c>
      <c r="H451" s="79">
        <f>IFERROR(VLOOKUP(F451,STD!B:G,2,FALSE),"")</f>
        <v>76</v>
      </c>
      <c r="I451" s="100">
        <f t="shared" si="32"/>
        <v>0.7587105263157895</v>
      </c>
      <c r="J451" s="74">
        <f t="shared" si="33"/>
        <v>7.7613157894736853</v>
      </c>
      <c r="K451">
        <f>VLOOKUP(C451,'RAW DATA 2023'!E:BO,12,0)</f>
        <v>1.4</v>
      </c>
      <c r="L451" s="268">
        <f t="shared" si="34"/>
        <v>10.865842105263159</v>
      </c>
      <c r="M451"/>
    </row>
    <row r="452" spans="1:13">
      <c r="A452" s="64" t="str">
        <f>'RAW DATA 2023'!B445</f>
        <v>Roiphet3</v>
      </c>
      <c r="B452" s="64" t="str">
        <f>'RAW DATA 2023'!D445</f>
        <v>A1-008-0022</v>
      </c>
      <c r="C452" s="63" t="str">
        <f t="shared" si="30"/>
        <v>Roiphet3A1-008-0022</v>
      </c>
      <c r="D452" s="63">
        <f>VLOOKUP(C452,'RAW DATA 2023'!E:BP,63,0)</f>
        <v>3</v>
      </c>
      <c r="E452" s="63" t="str">
        <f t="shared" si="31"/>
        <v>Roiphet33</v>
      </c>
      <c r="F452" s="79">
        <f>ROUND(VLOOKUP(C452,'RAW DATA 2023'!E:BO,23,0),0)</f>
        <v>28</v>
      </c>
      <c r="G452" s="79">
        <f>VLOOKUP(C452,'RAW DATA 2023'!E:BO,24,0)</f>
        <v>59.180142857142862</v>
      </c>
      <c r="H452" s="79">
        <f>IFERROR(VLOOKUP(F452,STD!B:G,2,FALSE),"")</f>
        <v>75</v>
      </c>
      <c r="I452" s="100">
        <f t="shared" si="32"/>
        <v>0.78906857142857145</v>
      </c>
      <c r="J452" s="74">
        <f t="shared" si="33"/>
        <v>8.6720571428571436</v>
      </c>
      <c r="K452">
        <f>VLOOKUP(C452,'RAW DATA 2023'!E:BO,12,0)</f>
        <v>1.4</v>
      </c>
      <c r="L452" s="268">
        <f t="shared" si="34"/>
        <v>12.140880000000001</v>
      </c>
      <c r="M452"/>
    </row>
    <row r="453" spans="1:13">
      <c r="A453" s="64" t="str">
        <f>'RAW DATA 2023'!B446</f>
        <v>Roiphet3</v>
      </c>
      <c r="B453" s="64" t="str">
        <f>'RAW DATA 2023'!D446</f>
        <v>A1-006-0011</v>
      </c>
      <c r="C453" s="63" t="str">
        <f t="shared" si="30"/>
        <v>Roiphet3A1-006-0011</v>
      </c>
      <c r="D453" s="63">
        <f>VLOOKUP(C453,'RAW DATA 2023'!E:BP,63,0)</f>
        <v>3</v>
      </c>
      <c r="E453" s="63" t="str">
        <f t="shared" si="31"/>
        <v>Roiphet33</v>
      </c>
      <c r="F453" s="79">
        <f>ROUND(VLOOKUP(C453,'RAW DATA 2023'!E:BO,23,0),0)</f>
        <v>39</v>
      </c>
      <c r="G453" s="79">
        <f>VLOOKUP(C453,'RAW DATA 2023'!E:BO,24,0)</f>
        <v>55.889681818181813</v>
      </c>
      <c r="H453" s="79">
        <f>IFERROR(VLOOKUP(F453,STD!B:G,2,FALSE),"")</f>
        <v>82</v>
      </c>
      <c r="I453" s="100">
        <f t="shared" si="32"/>
        <v>0.68158148558758314</v>
      </c>
      <c r="J453" s="74">
        <f t="shared" si="33"/>
        <v>5.4474445676274943</v>
      </c>
      <c r="K453">
        <f>VLOOKUP(C453,'RAW DATA 2023'!E:BO,12,0)</f>
        <v>2.2000000000000002</v>
      </c>
      <c r="L453" s="268">
        <f t="shared" si="34"/>
        <v>11.984378048780489</v>
      </c>
      <c r="M453"/>
    </row>
    <row r="454" spans="1:13">
      <c r="A454" s="64" t="str">
        <f>'RAW DATA 2023'!B447</f>
        <v>Roiphet3</v>
      </c>
      <c r="B454" s="64" t="str">
        <f>'RAW DATA 2023'!D447</f>
        <v>A1-027-0027</v>
      </c>
      <c r="C454" s="63" t="str">
        <f t="shared" si="30"/>
        <v>Roiphet3A1-027-0027</v>
      </c>
      <c r="D454" s="63">
        <f>VLOOKUP(C454,'RAW DATA 2023'!E:BP,63,0)</f>
        <v>5</v>
      </c>
      <c r="E454" s="63" t="str">
        <f t="shared" si="31"/>
        <v>Roiphet35</v>
      </c>
      <c r="F454" s="79">
        <f>ROUND(VLOOKUP(C454,'RAW DATA 2023'!E:BO,23,0),0)</f>
        <v>65</v>
      </c>
      <c r="G454" s="79">
        <f>VLOOKUP(C454,'RAW DATA 2023'!E:BO,24,0)</f>
        <v>74.314653846153846</v>
      </c>
      <c r="H454" s="79">
        <f>IFERROR(VLOOKUP(F454,STD!B:G,2,FALSE),"")</f>
        <v>88</v>
      </c>
      <c r="I454" s="100">
        <f t="shared" si="32"/>
        <v>0.84448470279720278</v>
      </c>
      <c r="J454" s="74">
        <f t="shared" si="33"/>
        <v>10.334541083916083</v>
      </c>
      <c r="K454">
        <f>VLOOKUP(C454,'RAW DATA 2023'!E:BO,12,0)</f>
        <v>2.6</v>
      </c>
      <c r="L454" s="268">
        <f t="shared" si="34"/>
        <v>26.869806818181814</v>
      </c>
      <c r="M454"/>
    </row>
    <row r="455" spans="1:13">
      <c r="A455" s="64" t="str">
        <f>'RAW DATA 2023'!B448</f>
        <v>Roiphet3</v>
      </c>
      <c r="B455" s="64" t="str">
        <f>'RAW DATA 2023'!D448</f>
        <v>A1-006-0012</v>
      </c>
      <c r="C455" s="63" t="str">
        <f t="shared" si="30"/>
        <v>Roiphet3A1-006-0012</v>
      </c>
      <c r="D455" s="63">
        <f>VLOOKUP(C455,'RAW DATA 2023'!E:BP,63,0)</f>
        <v>8</v>
      </c>
      <c r="E455" s="63" t="str">
        <f t="shared" si="31"/>
        <v>Roiphet38</v>
      </c>
      <c r="F455" s="79">
        <f>ROUND(VLOOKUP(C455,'RAW DATA 2023'!E:BO,23,0),0)</f>
        <v>93</v>
      </c>
      <c r="G455" s="79">
        <f>VLOOKUP(C455,'RAW DATA 2023'!E:BO,24,0)</f>
        <v>82.831266666666664</v>
      </c>
      <c r="H455" s="79">
        <f>IFERROR(VLOOKUP(F455,STD!B:G,2,FALSE),"")</f>
        <v>90</v>
      </c>
      <c r="I455" s="100">
        <f t="shared" si="32"/>
        <v>0.92034740740740739</v>
      </c>
      <c r="J455" s="74">
        <f t="shared" si="33"/>
        <v>12.610422222222223</v>
      </c>
      <c r="K455">
        <f>VLOOKUP(C455,'RAW DATA 2023'!E:BO,12,0)</f>
        <v>1.5</v>
      </c>
      <c r="L455" s="268">
        <f t="shared" si="34"/>
        <v>18.915633333333332</v>
      </c>
      <c r="M455"/>
    </row>
    <row r="456" spans="1:13">
      <c r="A456" s="64" t="str">
        <f>'RAW DATA 2023'!B449</f>
        <v>Roiphet3</v>
      </c>
      <c r="B456" s="64" t="str">
        <f>'RAW DATA 2023'!D449</f>
        <v>A1-026-0022</v>
      </c>
      <c r="C456" s="63" t="str">
        <f t="shared" si="30"/>
        <v>Roiphet3A1-026-0022</v>
      </c>
      <c r="D456" s="63">
        <f>VLOOKUP(C456,'RAW DATA 2023'!E:BP,63,0)</f>
        <v>5</v>
      </c>
      <c r="E456" s="63" t="str">
        <f t="shared" si="31"/>
        <v>Roiphet35</v>
      </c>
      <c r="F456" s="79">
        <f>ROUND(VLOOKUP(C456,'RAW DATA 2023'!E:BO,23,0),0)</f>
        <v>100</v>
      </c>
      <c r="G456" s="79">
        <f>VLOOKUP(C456,'RAW DATA 2023'!E:BO,24,0)</f>
        <v>68.033924999999996</v>
      </c>
      <c r="H456" s="79">
        <f>IFERROR(VLOOKUP(F456,STD!B:G,2,FALSE),"")</f>
        <v>91</v>
      </c>
      <c r="I456" s="100">
        <f t="shared" si="32"/>
        <v>0.74762554945054938</v>
      </c>
      <c r="J456" s="74">
        <f t="shared" si="33"/>
        <v>7.4287664835164815</v>
      </c>
      <c r="K456">
        <f>VLOOKUP(C456,'RAW DATA 2023'!E:BO,12,0)</f>
        <v>4</v>
      </c>
      <c r="L456" s="268">
        <f t="shared" si="34"/>
        <v>29.715065934065926</v>
      </c>
      <c r="M456"/>
    </row>
    <row r="457" spans="1:13">
      <c r="A457" s="64" t="str">
        <f>'RAW DATA 2023'!B450</f>
        <v>Roiphet3</v>
      </c>
      <c r="B457" s="64" t="str">
        <f>'RAW DATA 2023'!D450</f>
        <v>A1-024-0032</v>
      </c>
      <c r="C457" s="63" t="str">
        <f t="shared" si="30"/>
        <v>Roiphet3A1-024-0032</v>
      </c>
      <c r="D457" s="63">
        <f>VLOOKUP(C457,'RAW DATA 2023'!E:BP,63,0)</f>
        <v>5</v>
      </c>
      <c r="E457" s="63" t="str">
        <f t="shared" si="31"/>
        <v>Roiphet35</v>
      </c>
      <c r="F457" s="79">
        <f>ROUND(VLOOKUP(C457,'RAW DATA 2023'!E:BO,23,0),0)</f>
        <v>86</v>
      </c>
      <c r="G457" s="79">
        <f>VLOOKUP(C457,'RAW DATA 2023'!E:BO,24,0)</f>
        <v>60.637450000000001</v>
      </c>
      <c r="H457" s="79">
        <f>IFERROR(VLOOKUP(F457,STD!B:G,2,FALSE),"")</f>
        <v>90</v>
      </c>
      <c r="I457" s="100">
        <f t="shared" si="32"/>
        <v>0.67374944444444451</v>
      </c>
      <c r="J457" s="74">
        <f t="shared" si="33"/>
        <v>5.2124833333333349</v>
      </c>
      <c r="K457">
        <f>VLOOKUP(C457,'RAW DATA 2023'!E:BO,12,0)</f>
        <v>2</v>
      </c>
      <c r="L457" s="268">
        <f t="shared" si="34"/>
        <v>10.42496666666667</v>
      </c>
      <c r="M457"/>
    </row>
    <row r="458" spans="1:13">
      <c r="A458" s="64" t="str">
        <f>'RAW DATA 2023'!B451</f>
        <v>Roiphet3</v>
      </c>
      <c r="B458" s="64" t="str">
        <f>'RAW DATA 2023'!D451</f>
        <v>A1-007-0012</v>
      </c>
      <c r="C458" s="63" t="str">
        <f t="shared" ref="C458:C521" si="35">A458&amp;B458</f>
        <v>Roiphet3A1-007-0012</v>
      </c>
      <c r="D458" s="63">
        <f>VLOOKUP(C458,'RAW DATA 2023'!E:BP,63,0)</f>
        <v>2</v>
      </c>
      <c r="E458" s="63" t="str">
        <f t="shared" ref="E458:E521" si="36">A458&amp;D458</f>
        <v>Roiphet32</v>
      </c>
      <c r="F458" s="79">
        <f>ROUND(VLOOKUP(C458,'RAW DATA 2023'!E:BO,23,0),0)</f>
        <v>75</v>
      </c>
      <c r="G458" s="79">
        <f>VLOOKUP(C458,'RAW DATA 2023'!E:BO,24,0)</f>
        <v>103.62521428571429</v>
      </c>
      <c r="H458" s="79">
        <f>IFERROR(VLOOKUP(F458,STD!B:G,2,FALSE),"")</f>
        <v>89</v>
      </c>
      <c r="I458" s="100">
        <f t="shared" si="32"/>
        <v>1.1643282504012842</v>
      </c>
      <c r="J458" s="74">
        <f t="shared" si="33"/>
        <v>19.929847512038524</v>
      </c>
      <c r="K458">
        <f>VLOOKUP(C458,'RAW DATA 2023'!E:BO,12,0)</f>
        <v>1.4</v>
      </c>
      <c r="L458" s="268">
        <f t="shared" si="34"/>
        <v>27.901786516853932</v>
      </c>
      <c r="M458"/>
    </row>
    <row r="459" spans="1:13">
      <c r="A459" s="64" t="str">
        <f>'RAW DATA 2023'!B452</f>
        <v>Roiphet3</v>
      </c>
      <c r="B459" s="64" t="str">
        <f>'RAW DATA 2023'!D452</f>
        <v>A1-023-0016</v>
      </c>
      <c r="C459" s="63" t="str">
        <f t="shared" si="35"/>
        <v>Roiphet3A1-023-0016</v>
      </c>
      <c r="D459" s="63">
        <f>VLOOKUP(C459,'RAW DATA 2023'!E:BP,63,0)</f>
        <v>4</v>
      </c>
      <c r="E459" s="63" t="str">
        <f t="shared" si="36"/>
        <v>Roiphet34</v>
      </c>
      <c r="F459" s="79">
        <f>ROUND(VLOOKUP(C459,'RAW DATA 2023'!E:BO,23,0),0)</f>
        <v>90</v>
      </c>
      <c r="G459" s="79">
        <f>VLOOKUP(C459,'RAW DATA 2023'!E:BO,24,0)</f>
        <v>66.832695652173911</v>
      </c>
      <c r="H459" s="79">
        <f>IFERROR(VLOOKUP(F459,STD!B:G,2,FALSE),"")</f>
        <v>90</v>
      </c>
      <c r="I459" s="100">
        <f t="shared" ref="I459:I522" si="37">IFERROR(G459/H459,0)</f>
        <v>0.74258550724637673</v>
      </c>
      <c r="J459" s="74">
        <f t="shared" ref="J459:J522" si="38">(I459-$E$4)*$E$7</f>
        <v>7.2775652173913024</v>
      </c>
      <c r="K459">
        <f>VLOOKUP(C459,'RAW DATA 2023'!E:BO,12,0)</f>
        <v>2.2999999999999998</v>
      </c>
      <c r="L459" s="268">
        <f t="shared" ref="L459:L522" si="39">J459*K459</f>
        <v>16.738399999999995</v>
      </c>
      <c r="M459"/>
    </row>
    <row r="460" spans="1:13">
      <c r="A460" s="64" t="str">
        <f>'RAW DATA 2023'!B453</f>
        <v>Roiphet3</v>
      </c>
      <c r="B460" s="64" t="str">
        <f>'RAW DATA 2023'!D453</f>
        <v>C1-046-0004</v>
      </c>
      <c r="C460" s="63" t="str">
        <f t="shared" si="35"/>
        <v>Roiphet3C1-046-0004</v>
      </c>
      <c r="D460" s="63">
        <f>VLOOKUP(C460,'RAW DATA 2023'!E:BP,63,0)</f>
        <v>4</v>
      </c>
      <c r="E460" s="63" t="str">
        <f t="shared" si="36"/>
        <v>Roiphet34</v>
      </c>
      <c r="F460" s="79">
        <f>ROUND(VLOOKUP(C460,'RAW DATA 2023'!E:BO,23,0),0)</f>
        <v>32</v>
      </c>
      <c r="G460" s="79">
        <f>VLOOKUP(C460,'RAW DATA 2023'!E:BO,24,0)</f>
        <v>59.03658333333334</v>
      </c>
      <c r="H460" s="79">
        <f>IFERROR(VLOOKUP(F460,STD!B:G,2,FALSE),"")</f>
        <v>77</v>
      </c>
      <c r="I460" s="100">
        <f t="shared" si="37"/>
        <v>0.76670887445887459</v>
      </c>
      <c r="J460" s="74">
        <f t="shared" si="38"/>
        <v>8.0012662337662377</v>
      </c>
      <c r="K460">
        <f>VLOOKUP(C460,'RAW DATA 2023'!E:BO,12,0)</f>
        <v>1.2</v>
      </c>
      <c r="L460" s="268">
        <f t="shared" si="39"/>
        <v>9.6015194805194852</v>
      </c>
      <c r="M460"/>
    </row>
    <row r="461" spans="1:13">
      <c r="A461" s="64" t="str">
        <f>'RAW DATA 2023'!B454</f>
        <v>Roiphet3</v>
      </c>
      <c r="B461" s="64" t="str">
        <f>'RAW DATA 2023'!D454</f>
        <v>C1-054-0007</v>
      </c>
      <c r="C461" s="63" t="str">
        <f t="shared" si="35"/>
        <v>Roiphet3C1-054-0007</v>
      </c>
      <c r="D461" s="63">
        <f>VLOOKUP(C461,'RAW DATA 2023'!E:BP,63,0)</f>
        <v>4</v>
      </c>
      <c r="E461" s="63" t="str">
        <f t="shared" si="36"/>
        <v>Roiphet34</v>
      </c>
      <c r="F461" s="79">
        <f>ROUND(VLOOKUP(C461,'RAW DATA 2023'!E:BO,23,0),0)</f>
        <v>38</v>
      </c>
      <c r="G461" s="79">
        <f>VLOOKUP(C461,'RAW DATA 2023'!E:BO,24,0)</f>
        <v>81.90625</v>
      </c>
      <c r="H461" s="79">
        <f>IFERROR(VLOOKUP(F461,STD!B:G,2,FALSE),"")</f>
        <v>81</v>
      </c>
      <c r="I461" s="100">
        <f t="shared" si="37"/>
        <v>1.0111882716049383</v>
      </c>
      <c r="J461" s="74">
        <f t="shared" si="38"/>
        <v>15.335648148148149</v>
      </c>
      <c r="K461">
        <f>VLOOKUP(C461,'RAW DATA 2023'!E:BO,12,0)</f>
        <v>1.2</v>
      </c>
      <c r="L461" s="268">
        <f t="shared" si="39"/>
        <v>18.402777777777779</v>
      </c>
      <c r="M461"/>
    </row>
    <row r="462" spans="1:13">
      <c r="A462" s="64" t="str">
        <f>'RAW DATA 2023'!B455</f>
        <v>Roiphet3</v>
      </c>
      <c r="B462" s="64" t="str">
        <f>'RAW DATA 2023'!D455</f>
        <v>C1-047-0011</v>
      </c>
      <c r="C462" s="63" t="str">
        <f t="shared" si="35"/>
        <v>Roiphet3C1-047-0011</v>
      </c>
      <c r="D462" s="63">
        <f>VLOOKUP(C462,'RAW DATA 2023'!E:BP,63,0)</f>
        <v>4</v>
      </c>
      <c r="E462" s="63" t="str">
        <f t="shared" si="36"/>
        <v>Roiphet34</v>
      </c>
      <c r="F462" s="79">
        <f>ROUND(VLOOKUP(C462,'RAW DATA 2023'!E:BO,23,0),0)</f>
        <v>35</v>
      </c>
      <c r="G462" s="79">
        <f>VLOOKUP(C462,'RAW DATA 2023'!E:BO,24,0)</f>
        <v>46.658000000000001</v>
      </c>
      <c r="H462" s="79">
        <f>IFERROR(VLOOKUP(F462,STD!B:G,2,FALSE),"")</f>
        <v>80</v>
      </c>
      <c r="I462" s="100">
        <f t="shared" si="37"/>
        <v>0.58322499999999999</v>
      </c>
      <c r="J462" s="74">
        <f t="shared" si="38"/>
        <v>2.4967499999999996</v>
      </c>
      <c r="K462">
        <f>VLOOKUP(C462,'RAW DATA 2023'!E:BO,12,0)</f>
        <v>1.4</v>
      </c>
      <c r="L462" s="268">
        <f t="shared" si="39"/>
        <v>3.4954499999999991</v>
      </c>
      <c r="M462"/>
    </row>
    <row r="463" spans="1:13">
      <c r="A463" s="64" t="str">
        <f>'RAW DATA 2023'!B456</f>
        <v>Roiphet3</v>
      </c>
      <c r="B463" s="64" t="str">
        <f>'RAW DATA 2023'!D456</f>
        <v>C1-048-0021</v>
      </c>
      <c r="C463" s="63" t="str">
        <f t="shared" si="35"/>
        <v>Roiphet3C1-048-0021</v>
      </c>
      <c r="D463" s="63">
        <f>VLOOKUP(C463,'RAW DATA 2023'!E:BP,63,0)</f>
        <v>4</v>
      </c>
      <c r="E463" s="63" t="str">
        <f t="shared" si="36"/>
        <v>Roiphet34</v>
      </c>
      <c r="F463" s="79">
        <f>ROUND(VLOOKUP(C463,'RAW DATA 2023'!E:BO,23,0),0)</f>
        <v>45</v>
      </c>
      <c r="G463" s="79">
        <f>VLOOKUP(C463,'RAW DATA 2023'!E:BO,24,0)</f>
        <v>74.136117647058825</v>
      </c>
      <c r="H463" s="79">
        <f>IFERROR(VLOOKUP(F463,STD!B:G,2,FALSE),"")</f>
        <v>83</v>
      </c>
      <c r="I463" s="100">
        <f t="shared" si="37"/>
        <v>0.89320623671155208</v>
      </c>
      <c r="J463" s="74">
        <f t="shared" si="38"/>
        <v>11.796187101346563</v>
      </c>
      <c r="K463">
        <f>VLOOKUP(C463,'RAW DATA 2023'!E:BO,12,0)</f>
        <v>1.7</v>
      </c>
      <c r="L463" s="268">
        <f t="shared" si="39"/>
        <v>20.053518072289158</v>
      </c>
      <c r="M463"/>
    </row>
    <row r="464" spans="1:13">
      <c r="A464" s="64" t="str">
        <f>'RAW DATA 2023'!B457</f>
        <v>Roiphet3</v>
      </c>
      <c r="B464" s="64" t="str">
        <f>'RAW DATA 2023'!D457</f>
        <v>C1-057-0017</v>
      </c>
      <c r="C464" s="63" t="str">
        <f t="shared" si="35"/>
        <v>Roiphet3C1-057-0017</v>
      </c>
      <c r="D464" s="63">
        <f>VLOOKUP(C464,'RAW DATA 2023'!E:BP,63,0)</f>
        <v>4</v>
      </c>
      <c r="E464" s="63" t="str">
        <f t="shared" si="36"/>
        <v>Roiphet34</v>
      </c>
      <c r="F464" s="79">
        <f>ROUND(VLOOKUP(C464,'RAW DATA 2023'!E:BO,23,0),0)</f>
        <v>41</v>
      </c>
      <c r="G464" s="79">
        <f>VLOOKUP(C464,'RAW DATA 2023'!E:BO,24,0)</f>
        <v>70.650166666666664</v>
      </c>
      <c r="H464" s="79">
        <f>IFERROR(VLOOKUP(F464,STD!B:G,2,FALSE),"")</f>
        <v>82</v>
      </c>
      <c r="I464" s="100">
        <f t="shared" si="37"/>
        <v>0.86158739837398368</v>
      </c>
      <c r="J464" s="74">
        <f t="shared" si="38"/>
        <v>10.84762195121951</v>
      </c>
      <c r="K464">
        <f>VLOOKUP(C464,'RAW DATA 2023'!E:BO,12,0)</f>
        <v>1.2</v>
      </c>
      <c r="L464" s="268">
        <f t="shared" si="39"/>
        <v>13.017146341463413</v>
      </c>
      <c r="M464"/>
    </row>
    <row r="465" spans="1:13">
      <c r="A465" s="64" t="str">
        <f>'RAW DATA 2023'!B458</f>
        <v>Roiphet3</v>
      </c>
      <c r="B465" s="64" t="str">
        <f>'RAW DATA 2023'!D458</f>
        <v>C1-045-0025</v>
      </c>
      <c r="C465" s="63" t="str">
        <f t="shared" si="35"/>
        <v>Roiphet3C1-045-0025</v>
      </c>
      <c r="D465" s="63">
        <f>VLOOKUP(C465,'RAW DATA 2023'!E:BP,63,0)</f>
        <v>4</v>
      </c>
      <c r="E465" s="63" t="str">
        <f t="shared" si="36"/>
        <v>Roiphet34</v>
      </c>
      <c r="F465" s="79">
        <f>ROUND(VLOOKUP(C465,'RAW DATA 2023'!E:BO,23,0),0)</f>
        <v>35</v>
      </c>
      <c r="G465" s="79">
        <f>VLOOKUP(C465,'RAW DATA 2023'!E:BO,24,0)</f>
        <v>45.610833333333332</v>
      </c>
      <c r="H465" s="79">
        <f>IFERROR(VLOOKUP(F465,STD!B:G,2,FALSE),"")</f>
        <v>80</v>
      </c>
      <c r="I465" s="100">
        <f t="shared" si="37"/>
        <v>0.57013541666666667</v>
      </c>
      <c r="J465" s="74">
        <f t="shared" si="38"/>
        <v>2.1040625000000004</v>
      </c>
      <c r="K465">
        <f>VLOOKUP(C465,'RAW DATA 2023'!E:BO,12,0)</f>
        <v>1.2</v>
      </c>
      <c r="L465" s="268">
        <f t="shared" si="39"/>
        <v>2.5248750000000002</v>
      </c>
      <c r="M465"/>
    </row>
    <row r="466" spans="1:13">
      <c r="A466" s="64" t="str">
        <f>'RAW DATA 2023'!B459</f>
        <v>Roiphet3</v>
      </c>
      <c r="B466" s="64" t="str">
        <f>'RAW DATA 2023'!D459</f>
        <v>C1-051-0025</v>
      </c>
      <c r="C466" s="63" t="str">
        <f t="shared" si="35"/>
        <v>Roiphet3C1-051-0025</v>
      </c>
      <c r="D466" s="63">
        <f>VLOOKUP(C466,'RAW DATA 2023'!E:BP,63,0)</f>
        <v>4</v>
      </c>
      <c r="E466" s="63" t="str">
        <f t="shared" si="36"/>
        <v>Roiphet34</v>
      </c>
      <c r="F466" s="79">
        <f>ROUND(VLOOKUP(C466,'RAW DATA 2023'!E:BO,23,0),0)</f>
        <v>40</v>
      </c>
      <c r="G466" s="79">
        <f>VLOOKUP(C466,'RAW DATA 2023'!E:BO,24,0)</f>
        <v>98.024714285714282</v>
      </c>
      <c r="H466" s="79">
        <f>IFERROR(VLOOKUP(F466,STD!B:G,2,FALSE),"")</f>
        <v>82</v>
      </c>
      <c r="I466" s="100">
        <f t="shared" si="37"/>
        <v>1.1954233449477352</v>
      </c>
      <c r="J466" s="74">
        <f t="shared" si="38"/>
        <v>20.862700348432057</v>
      </c>
      <c r="K466">
        <f>VLOOKUP(C466,'RAW DATA 2023'!E:BO,12,0)</f>
        <v>1.4</v>
      </c>
      <c r="L466" s="268">
        <f t="shared" si="39"/>
        <v>29.207780487804879</v>
      </c>
      <c r="M466"/>
    </row>
    <row r="467" spans="1:13">
      <c r="A467" s="64" t="str">
        <f>'RAW DATA 2023'!B460</f>
        <v>Roiphet3</v>
      </c>
      <c r="B467" s="64" t="str">
        <f>'RAW DATA 2023'!D460</f>
        <v>C1-043-0025</v>
      </c>
      <c r="C467" s="63" t="str">
        <f t="shared" si="35"/>
        <v>Roiphet3C1-043-0025</v>
      </c>
      <c r="D467" s="63">
        <f>VLOOKUP(C467,'RAW DATA 2023'!E:BP,63,0)</f>
        <v>4</v>
      </c>
      <c r="E467" s="63" t="str">
        <f t="shared" si="36"/>
        <v>Roiphet34</v>
      </c>
      <c r="F467" s="79">
        <f>ROUND(VLOOKUP(C467,'RAW DATA 2023'!E:BO,23,0),0)</f>
        <v>34</v>
      </c>
      <c r="G467" s="79">
        <f>VLOOKUP(C467,'RAW DATA 2023'!E:BO,24,0)</f>
        <v>48.305749999999996</v>
      </c>
      <c r="H467" s="79">
        <f>IFERROR(VLOOKUP(F467,STD!B:G,2,FALSE),"")</f>
        <v>80</v>
      </c>
      <c r="I467" s="100">
        <f t="shared" si="37"/>
        <v>0.60382187499999995</v>
      </c>
      <c r="J467" s="74">
        <f t="shared" si="38"/>
        <v>3.1146562499999986</v>
      </c>
      <c r="K467">
        <f>VLOOKUP(C467,'RAW DATA 2023'!E:BO,12,0)</f>
        <v>1.2</v>
      </c>
      <c r="L467" s="268">
        <f t="shared" si="39"/>
        <v>3.7375874999999983</v>
      </c>
      <c r="M467"/>
    </row>
    <row r="468" spans="1:13">
      <c r="A468" s="64" t="str">
        <f>'RAW DATA 2023'!B461</f>
        <v>Roiphet3</v>
      </c>
      <c r="B468" s="64" t="str">
        <f>'RAW DATA 2023'!D461</f>
        <v>C1-044-0017</v>
      </c>
      <c r="C468" s="63" t="str">
        <f t="shared" si="35"/>
        <v>Roiphet3C1-044-0017</v>
      </c>
      <c r="D468" s="63">
        <f>VLOOKUP(C468,'RAW DATA 2023'!E:BP,63,0)</f>
        <v>3</v>
      </c>
      <c r="E468" s="63" t="str">
        <f t="shared" si="36"/>
        <v>Roiphet33</v>
      </c>
      <c r="F468" s="79">
        <f>ROUND(VLOOKUP(C468,'RAW DATA 2023'!E:BO,23,0),0)</f>
        <v>33</v>
      </c>
      <c r="G468" s="79">
        <f>VLOOKUP(C468,'RAW DATA 2023'!E:BO,24,0)</f>
        <v>44.213833333333334</v>
      </c>
      <c r="H468" s="79">
        <f>IFERROR(VLOOKUP(F468,STD!B:G,2,FALSE),"")</f>
        <v>79</v>
      </c>
      <c r="I468" s="100">
        <f t="shared" si="37"/>
        <v>0.55966877637130807</v>
      </c>
      <c r="J468" s="74">
        <f t="shared" si="38"/>
        <v>1.7900632911392422</v>
      </c>
      <c r="K468">
        <f>VLOOKUP(C468,'RAW DATA 2023'!E:BO,12,0)</f>
        <v>1.2</v>
      </c>
      <c r="L468" s="268">
        <f t="shared" si="39"/>
        <v>2.1480759493670907</v>
      </c>
      <c r="M468"/>
    </row>
    <row r="469" spans="1:13">
      <c r="A469" s="64" t="str">
        <f>'RAW DATA 2023'!B462</f>
        <v>Roiphet3</v>
      </c>
      <c r="B469" s="64" t="str">
        <f>'RAW DATA 2023'!D462</f>
        <v>C1-042-0015</v>
      </c>
      <c r="C469" s="63" t="str">
        <f t="shared" si="35"/>
        <v>Roiphet3C1-042-0015</v>
      </c>
      <c r="D469" s="63">
        <f>VLOOKUP(C469,'RAW DATA 2023'!E:BP,63,0)</f>
        <v>4</v>
      </c>
      <c r="E469" s="63" t="str">
        <f t="shared" si="36"/>
        <v>Roiphet34</v>
      </c>
      <c r="F469" s="79">
        <f>ROUND(VLOOKUP(C469,'RAW DATA 2023'!E:BO,23,0),0)</f>
        <v>35</v>
      </c>
      <c r="G469" s="79">
        <f>VLOOKUP(C469,'RAW DATA 2023'!E:BO,24,0)</f>
        <v>36.656666666666666</v>
      </c>
      <c r="H469" s="79">
        <f>IFERROR(VLOOKUP(F469,STD!B:G,2,FALSE),"")</f>
        <v>80</v>
      </c>
      <c r="I469" s="100">
        <f t="shared" si="37"/>
        <v>0.45820833333333333</v>
      </c>
      <c r="J469" s="74">
        <f t="shared" si="38"/>
        <v>-1.2537500000000001</v>
      </c>
      <c r="K469">
        <f>VLOOKUP(C469,'RAW DATA 2023'!E:BO,12,0)</f>
        <v>1.35</v>
      </c>
      <c r="L469" s="268">
        <f t="shared" si="39"/>
        <v>-1.6925625000000004</v>
      </c>
      <c r="M469"/>
    </row>
    <row r="470" spans="1:13">
      <c r="A470" s="64" t="str">
        <f>'RAW DATA 2023'!B463</f>
        <v>Roiphet3</v>
      </c>
      <c r="B470" s="64" t="str">
        <f>'RAW DATA 2023'!D463</f>
        <v>C1-041-0005</v>
      </c>
      <c r="C470" s="63" t="str">
        <f t="shared" si="35"/>
        <v>Roiphet3C1-041-0005</v>
      </c>
      <c r="D470" s="63">
        <f>VLOOKUP(C470,'RAW DATA 2023'!E:BP,63,0)</f>
        <v>3</v>
      </c>
      <c r="E470" s="63" t="str">
        <f t="shared" si="36"/>
        <v>Roiphet33</v>
      </c>
      <c r="F470" s="79">
        <f>ROUND(VLOOKUP(C470,'RAW DATA 2023'!E:BO,23,0),0)</f>
        <v>35</v>
      </c>
      <c r="G470" s="79">
        <f>VLOOKUP(C470,'RAW DATA 2023'!E:BO,24,0)</f>
        <v>70.493533333333332</v>
      </c>
      <c r="H470" s="79">
        <f>IFERROR(VLOOKUP(F470,STD!B:G,2,FALSE),"")</f>
        <v>80</v>
      </c>
      <c r="I470" s="100">
        <f t="shared" si="37"/>
        <v>0.88116916666666667</v>
      </c>
      <c r="J470" s="74">
        <f t="shared" si="38"/>
        <v>11.435074999999999</v>
      </c>
      <c r="K470">
        <f>VLOOKUP(C470,'RAW DATA 2023'!E:BO,12,0)</f>
        <v>1.5</v>
      </c>
      <c r="L470" s="268">
        <f t="shared" si="39"/>
        <v>17.1526125</v>
      </c>
      <c r="M470"/>
    </row>
    <row r="471" spans="1:13">
      <c r="A471" s="64" t="str">
        <f>'RAW DATA 2023'!B464</f>
        <v>Roiphet3</v>
      </c>
      <c r="B471" s="64" t="str">
        <f>'RAW DATA 2023'!D464</f>
        <v>C1-044-0018</v>
      </c>
      <c r="C471" s="63" t="str">
        <f t="shared" si="35"/>
        <v>Roiphet3C1-044-0018</v>
      </c>
      <c r="D471" s="63">
        <f>VLOOKUP(C471,'RAW DATA 2023'!E:BP,63,0)</f>
        <v>7</v>
      </c>
      <c r="E471" s="63" t="str">
        <f t="shared" si="36"/>
        <v>Roiphet37</v>
      </c>
      <c r="F471" s="79">
        <f>ROUND(VLOOKUP(C471,'RAW DATA 2023'!E:BO,23,0),0)</f>
        <v>105</v>
      </c>
      <c r="G471" s="79">
        <f>VLOOKUP(C471,'RAW DATA 2023'!E:BO,24,0)</f>
        <v>73.509399999999999</v>
      </c>
      <c r="H471" s="79">
        <f>IFERROR(VLOOKUP(F471,STD!B:G,2,FALSE),"")</f>
        <v>91</v>
      </c>
      <c r="I471" s="100">
        <f t="shared" si="37"/>
        <v>0.80779560439560438</v>
      </c>
      <c r="J471" s="74">
        <f t="shared" si="38"/>
        <v>9.2338681318681317</v>
      </c>
      <c r="K471">
        <f>VLOOKUP(C471,'RAW DATA 2023'!E:BO,12,0)</f>
        <v>1.5</v>
      </c>
      <c r="L471" s="268">
        <f t="shared" si="39"/>
        <v>13.850802197802198</v>
      </c>
      <c r="M471"/>
    </row>
    <row r="472" spans="1:13">
      <c r="A472" s="64" t="str">
        <f>'RAW DATA 2023'!B465</f>
        <v>Roiphet3</v>
      </c>
      <c r="B472" s="64" t="str">
        <f>'RAW DATA 2023'!D465</f>
        <v>C1-043-0028</v>
      </c>
      <c r="C472" s="63" t="str">
        <f t="shared" si="35"/>
        <v>Roiphet3C1-043-0028</v>
      </c>
      <c r="D472" s="63">
        <f>VLOOKUP(C472,'RAW DATA 2023'!E:BP,63,0)</f>
        <v>12</v>
      </c>
      <c r="E472" s="63" t="str">
        <f t="shared" si="36"/>
        <v>Roiphet312</v>
      </c>
      <c r="F472" s="79">
        <f>ROUND(VLOOKUP(C472,'RAW DATA 2023'!E:BO,23,0),0)</f>
        <v>93</v>
      </c>
      <c r="G472" s="79">
        <f>VLOOKUP(C472,'RAW DATA 2023'!E:BO,24,0)</f>
        <v>76.568399999999997</v>
      </c>
      <c r="H472" s="79">
        <f>IFERROR(VLOOKUP(F472,STD!B:G,2,FALSE),"")</f>
        <v>90</v>
      </c>
      <c r="I472" s="100">
        <f t="shared" si="37"/>
        <v>0.85075999999999996</v>
      </c>
      <c r="J472" s="74">
        <f t="shared" si="38"/>
        <v>10.522799999999998</v>
      </c>
      <c r="K472">
        <f>VLOOKUP(C472,'RAW DATA 2023'!E:BO,12,0)</f>
        <v>1.5</v>
      </c>
      <c r="L472" s="268">
        <f t="shared" si="39"/>
        <v>15.784199999999998</v>
      </c>
      <c r="M472"/>
    </row>
    <row r="473" spans="1:13">
      <c r="A473" s="64" t="str">
        <f>'RAW DATA 2023'!B466</f>
        <v>Roiphet3</v>
      </c>
      <c r="B473" s="64" t="str">
        <f>'RAW DATA 2023'!D466</f>
        <v>C1-043-0026</v>
      </c>
      <c r="C473" s="63" t="str">
        <f t="shared" si="35"/>
        <v>Roiphet3C1-043-0026</v>
      </c>
      <c r="D473" s="63">
        <f>VLOOKUP(C473,'RAW DATA 2023'!E:BP,63,0)</f>
        <v>7</v>
      </c>
      <c r="E473" s="63" t="str">
        <f t="shared" si="36"/>
        <v>Roiphet37</v>
      </c>
      <c r="F473" s="79">
        <f>ROUND(VLOOKUP(C473,'RAW DATA 2023'!E:BO,23,0),0)</f>
        <v>92</v>
      </c>
      <c r="G473" s="79">
        <f>VLOOKUP(C473,'RAW DATA 2023'!E:BO,24,0)</f>
        <v>44.843800000000002</v>
      </c>
      <c r="H473" s="79">
        <f>IFERROR(VLOOKUP(F473,STD!B:G,2,FALSE),"")</f>
        <v>90</v>
      </c>
      <c r="I473" s="100">
        <f t="shared" si="37"/>
        <v>0.49826444444444445</v>
      </c>
      <c r="J473" s="74">
        <f t="shared" si="38"/>
        <v>-5.2066666666666372E-2</v>
      </c>
      <c r="K473">
        <f>VLOOKUP(C473,'RAW DATA 2023'!E:BO,12,0)</f>
        <v>1.5</v>
      </c>
      <c r="L473" s="268">
        <f t="shared" si="39"/>
        <v>-7.8099999999999559E-2</v>
      </c>
      <c r="M473"/>
    </row>
    <row r="474" spans="1:13">
      <c r="A474" s="64" t="str">
        <f>'RAW DATA 2023'!B467</f>
        <v>Roiphet3</v>
      </c>
      <c r="B474" s="64" t="str">
        <f>'RAW DATA 2023'!D467</f>
        <v>C1-051-0026</v>
      </c>
      <c r="C474" s="63" t="str">
        <f t="shared" si="35"/>
        <v>Roiphet3C1-051-0026</v>
      </c>
      <c r="D474" s="63">
        <f>VLOOKUP(C474,'RAW DATA 2023'!E:BP,63,0)</f>
        <v>7</v>
      </c>
      <c r="E474" s="63" t="str">
        <f t="shared" si="36"/>
        <v>Roiphet37</v>
      </c>
      <c r="F474" s="79">
        <f>ROUND(VLOOKUP(C474,'RAW DATA 2023'!E:BO,23,0),0)</f>
        <v>88</v>
      </c>
      <c r="G474" s="79">
        <f>VLOOKUP(C474,'RAW DATA 2023'!E:BO,24,0)</f>
        <v>62.751359999999998</v>
      </c>
      <c r="H474" s="79">
        <f>IFERROR(VLOOKUP(F474,STD!B:G,2,FALSE),"")</f>
        <v>90</v>
      </c>
      <c r="I474" s="100">
        <f t="shared" si="37"/>
        <v>0.69723733333333326</v>
      </c>
      <c r="J474" s="74">
        <f t="shared" si="38"/>
        <v>5.9171199999999979</v>
      </c>
      <c r="K474">
        <f>VLOOKUP(C474,'RAW DATA 2023'!E:BO,12,0)</f>
        <v>2.5</v>
      </c>
      <c r="L474" s="268">
        <f t="shared" si="39"/>
        <v>14.792799999999994</v>
      </c>
      <c r="M474"/>
    </row>
    <row r="475" spans="1:13">
      <c r="A475" s="64" t="str">
        <f>'RAW DATA 2023'!B468</f>
        <v>Roiphet3</v>
      </c>
      <c r="B475" s="64" t="str">
        <f>'RAW DATA 2023'!D468</f>
        <v>C1-046-0005</v>
      </c>
      <c r="C475" s="63" t="str">
        <f t="shared" si="35"/>
        <v>Roiphet3C1-046-0005</v>
      </c>
      <c r="D475" s="63">
        <f>VLOOKUP(C475,'RAW DATA 2023'!E:BP,63,0)</f>
        <v>7</v>
      </c>
      <c r="E475" s="63" t="str">
        <f t="shared" si="36"/>
        <v>Roiphet37</v>
      </c>
      <c r="F475" s="79">
        <f>ROUND(VLOOKUP(C475,'RAW DATA 2023'!E:BO,23,0),0)</f>
        <v>87</v>
      </c>
      <c r="G475" s="79">
        <f>VLOOKUP(C475,'RAW DATA 2023'!E:BO,24,0)</f>
        <v>60.161733333333331</v>
      </c>
      <c r="H475" s="79">
        <f>IFERROR(VLOOKUP(F475,STD!B:G,2,FALSE),"")</f>
        <v>90</v>
      </c>
      <c r="I475" s="100">
        <f t="shared" si="37"/>
        <v>0.66846370370370367</v>
      </c>
      <c r="J475" s="74">
        <f t="shared" si="38"/>
        <v>5.0539111111111099</v>
      </c>
      <c r="K475">
        <f>VLOOKUP(C475,'RAW DATA 2023'!E:BO,12,0)</f>
        <v>1.5</v>
      </c>
      <c r="L475" s="268">
        <f t="shared" si="39"/>
        <v>7.5808666666666653</v>
      </c>
      <c r="M475"/>
    </row>
    <row r="476" spans="1:13">
      <c r="A476" s="64" t="str">
        <f>'RAW DATA 2023'!B469</f>
        <v>Roiphet3</v>
      </c>
      <c r="B476" s="64" t="str">
        <f>'RAW DATA 2023'!D469</f>
        <v>C1-057-0018</v>
      </c>
      <c r="C476" s="63" t="str">
        <f t="shared" si="35"/>
        <v>Roiphet3C1-057-0018</v>
      </c>
      <c r="D476" s="63">
        <f>VLOOKUP(C476,'RAW DATA 2023'!E:BP,63,0)</f>
        <v>7</v>
      </c>
      <c r="E476" s="63" t="str">
        <f t="shared" si="36"/>
        <v>Roiphet37</v>
      </c>
      <c r="F476" s="79">
        <f>ROUND(VLOOKUP(C476,'RAW DATA 2023'!E:BO,23,0),0)</f>
        <v>84</v>
      </c>
      <c r="G476" s="79">
        <f>VLOOKUP(C476,'RAW DATA 2023'!E:BO,24,0)</f>
        <v>44.802250000000001</v>
      </c>
      <c r="H476" s="79">
        <f>IFERROR(VLOOKUP(F476,STD!B:G,2,FALSE),"")</f>
        <v>90</v>
      </c>
      <c r="I476" s="100">
        <f t="shared" si="37"/>
        <v>0.49780277777777776</v>
      </c>
      <c r="J476" s="74">
        <f t="shared" si="38"/>
        <v>-6.5916666666667179E-2</v>
      </c>
      <c r="K476">
        <f>VLOOKUP(C476,'RAW DATA 2023'!E:BO,12,0)</f>
        <v>2</v>
      </c>
      <c r="L476" s="268">
        <f t="shared" si="39"/>
        <v>-0.13183333333333436</v>
      </c>
      <c r="M476"/>
    </row>
    <row r="477" spans="1:13">
      <c r="A477" s="64" t="str">
        <f>'RAW DATA 2023'!B470</f>
        <v>Roiphet3</v>
      </c>
      <c r="B477" s="64" t="str">
        <f>'RAW DATA 2023'!D470</f>
        <v>C1-054-0008</v>
      </c>
      <c r="C477" s="63" t="str">
        <f t="shared" si="35"/>
        <v>Roiphet3C1-054-0008</v>
      </c>
      <c r="D477" s="63">
        <f>VLOOKUP(C477,'RAW DATA 2023'!E:BP,63,0)</f>
        <v>7</v>
      </c>
      <c r="E477" s="63" t="str">
        <f t="shared" si="36"/>
        <v>Roiphet37</v>
      </c>
      <c r="F477" s="79">
        <f>ROUND(VLOOKUP(C477,'RAW DATA 2023'!E:BO,23,0),0)</f>
        <v>97</v>
      </c>
      <c r="G477" s="79">
        <f>VLOOKUP(C477,'RAW DATA 2023'!E:BO,24,0)</f>
        <v>39.633400000000002</v>
      </c>
      <c r="H477" s="79">
        <f>IFERROR(VLOOKUP(F477,STD!B:G,2,FALSE),"")</f>
        <v>91</v>
      </c>
      <c r="I477" s="100">
        <f t="shared" si="37"/>
        <v>0.43553186813186817</v>
      </c>
      <c r="J477" s="74">
        <f t="shared" si="38"/>
        <v>-1.9340439560439548</v>
      </c>
      <c r="K477">
        <f>VLOOKUP(C477,'RAW DATA 2023'!E:BO,12,0)</f>
        <v>2</v>
      </c>
      <c r="L477" s="268">
        <f t="shared" si="39"/>
        <v>-3.8680879120879097</v>
      </c>
      <c r="M477"/>
    </row>
    <row r="478" spans="1:13">
      <c r="A478" s="64" t="str">
        <f>'RAW DATA 2023'!B471</f>
        <v>Roiphet3</v>
      </c>
      <c r="B478" s="64" t="str">
        <f>'RAW DATA 2023'!D471</f>
        <v>C1-042-0016</v>
      </c>
      <c r="C478" s="63" t="str">
        <f t="shared" si="35"/>
        <v>Roiphet3C1-042-0016</v>
      </c>
      <c r="D478" s="63">
        <f>VLOOKUP(C478,'RAW DATA 2023'!E:BP,63,0)</f>
        <v>7</v>
      </c>
      <c r="E478" s="63" t="str">
        <f t="shared" si="36"/>
        <v>Roiphet37</v>
      </c>
      <c r="F478" s="79">
        <f>ROUND(VLOOKUP(C478,'RAW DATA 2023'!E:BO,23,0),0)</f>
        <v>100</v>
      </c>
      <c r="G478" s="79">
        <f>VLOOKUP(C478,'RAW DATA 2023'!E:BO,24,0)</f>
        <v>34.882133333333329</v>
      </c>
      <c r="H478" s="79">
        <f>IFERROR(VLOOKUP(F478,STD!B:G,2,FALSE),"")</f>
        <v>91</v>
      </c>
      <c r="I478" s="100">
        <f t="shared" si="37"/>
        <v>0.38332014652014645</v>
      </c>
      <c r="J478" s="74">
        <f t="shared" si="38"/>
        <v>-3.5003956043956066</v>
      </c>
      <c r="K478">
        <f>VLOOKUP(C478,'RAW DATA 2023'!E:BO,12,0)</f>
        <v>1.5</v>
      </c>
      <c r="L478" s="268">
        <f t="shared" si="39"/>
        <v>-5.2505934065934099</v>
      </c>
      <c r="M478"/>
    </row>
    <row r="479" spans="1:13">
      <c r="A479" s="64" t="str">
        <f>'RAW DATA 2023'!B472</f>
        <v>Roiphet3</v>
      </c>
      <c r="B479" s="64" t="str">
        <f>'RAW DATA 2023'!D472</f>
        <v>C1-045-0026</v>
      </c>
      <c r="C479" s="63" t="str">
        <f t="shared" si="35"/>
        <v>Roiphet3C1-045-0026</v>
      </c>
      <c r="D479" s="63">
        <f>VLOOKUP(C479,'RAW DATA 2023'!E:BP,63,0)</f>
        <v>7</v>
      </c>
      <c r="E479" s="63" t="str">
        <f t="shared" si="36"/>
        <v>Roiphet37</v>
      </c>
      <c r="F479" s="79">
        <f>ROUND(VLOOKUP(C479,'RAW DATA 2023'!E:BO,23,0),0)</f>
        <v>114</v>
      </c>
      <c r="G479" s="79">
        <f>VLOOKUP(C479,'RAW DATA 2023'!E:BO,24,0)</f>
        <v>40.447749999999999</v>
      </c>
      <c r="H479" s="79">
        <f>IFERROR(VLOOKUP(F479,STD!B:G,2,FALSE),"")</f>
        <v>92</v>
      </c>
      <c r="I479" s="100">
        <f t="shared" si="37"/>
        <v>0.43964945652173915</v>
      </c>
      <c r="J479" s="74">
        <f t="shared" si="38"/>
        <v>-1.8105163043478256</v>
      </c>
      <c r="K479">
        <f>VLOOKUP(C479,'RAW DATA 2023'!E:BO,12,0)</f>
        <v>2</v>
      </c>
      <c r="L479" s="268">
        <f t="shared" si="39"/>
        <v>-3.6210326086956512</v>
      </c>
      <c r="M479"/>
    </row>
    <row r="480" spans="1:13">
      <c r="A480" s="64" t="str">
        <f>'RAW DATA 2023'!B473</f>
        <v>Roiphet3</v>
      </c>
      <c r="B480" s="64" t="str">
        <f>'RAW DATA 2023'!D473</f>
        <v>C1-041-0006</v>
      </c>
      <c r="C480" s="63" t="str">
        <f t="shared" si="35"/>
        <v>Roiphet3C1-041-0006</v>
      </c>
      <c r="D480" s="63">
        <f>VLOOKUP(C480,'RAW DATA 2023'!E:BP,63,0)</f>
        <v>6</v>
      </c>
      <c r="E480" s="63" t="str">
        <f t="shared" si="36"/>
        <v>Roiphet36</v>
      </c>
      <c r="F480" s="79">
        <f>ROUND(VLOOKUP(C480,'RAW DATA 2023'!E:BO,23,0),0)</f>
        <v>146</v>
      </c>
      <c r="G480" s="79">
        <f>VLOOKUP(C480,'RAW DATA 2023'!E:BO,24,0)</f>
        <v>82.191047619047623</v>
      </c>
      <c r="H480" s="79">
        <f>IFERROR(VLOOKUP(F480,STD!B:G,2,FALSE),"")</f>
        <v>93</v>
      </c>
      <c r="I480" s="100">
        <f t="shared" si="37"/>
        <v>0.88377470558115723</v>
      </c>
      <c r="J480" s="74">
        <f t="shared" si="38"/>
        <v>11.513241167434717</v>
      </c>
      <c r="K480">
        <f>VLOOKUP(C480,'RAW DATA 2023'!E:BO,12,0)</f>
        <v>2.1</v>
      </c>
      <c r="L480" s="268">
        <f t="shared" si="39"/>
        <v>24.177806451612909</v>
      </c>
    </row>
    <row r="481" spans="1:12">
      <c r="A481" s="64" t="str">
        <f>'RAW DATA 2023'!B474</f>
        <v>Roiphet3</v>
      </c>
      <c r="B481" s="64" t="str">
        <f>'RAW DATA 2023'!D474</f>
        <v>C1-044-0020</v>
      </c>
      <c r="C481" s="63" t="str">
        <f t="shared" si="35"/>
        <v>Roiphet3C1-044-0020</v>
      </c>
      <c r="D481" s="63">
        <f>VLOOKUP(C481,'RAW DATA 2023'!E:BP,63,0)</f>
        <v>12</v>
      </c>
      <c r="E481" s="63" t="str">
        <f t="shared" si="36"/>
        <v>Roiphet312</v>
      </c>
      <c r="F481" s="79">
        <f>ROUND(VLOOKUP(C481,'RAW DATA 2023'!E:BO,23,0),0)</f>
        <v>215</v>
      </c>
      <c r="G481" s="79">
        <f>VLOOKUP(C481,'RAW DATA 2023'!E:BO,24,0)</f>
        <v>107.56883333333333</v>
      </c>
      <c r="H481" s="79">
        <f>IFERROR(VLOOKUP(F481,STD!B:G,2,FALSE),"")</f>
        <v>95</v>
      </c>
      <c r="I481" s="100">
        <f t="shared" si="37"/>
        <v>1.1323035087719298</v>
      </c>
      <c r="J481" s="74">
        <f t="shared" si="38"/>
        <v>18.969105263157893</v>
      </c>
      <c r="K481">
        <f>VLOOKUP(C481,'RAW DATA 2023'!E:BO,12,0)</f>
        <v>1.2</v>
      </c>
      <c r="L481" s="268">
        <f t="shared" si="39"/>
        <v>22.762926315789471</v>
      </c>
    </row>
    <row r="482" spans="1:12">
      <c r="A482" s="64" t="str">
        <f>'RAW DATA 2023'!B475</f>
        <v>Bangkachai1</v>
      </c>
      <c r="B482" s="64" t="str">
        <f>'RAW DATA 2023'!D475</f>
        <v>BG-045-0013</v>
      </c>
      <c r="C482" s="63" t="str">
        <f t="shared" si="35"/>
        <v>Bangkachai1BG-045-0013</v>
      </c>
      <c r="D482" s="63">
        <f>VLOOKUP(C482,'RAW DATA 2023'!E:BP,63,0)</f>
        <v>10</v>
      </c>
      <c r="E482" s="63" t="str">
        <f t="shared" si="36"/>
        <v>Bangkachai110</v>
      </c>
      <c r="F482" s="79">
        <f>ROUND(VLOOKUP(C482,'RAW DATA 2023'!E:BO,23,0),0)</f>
        <v>35</v>
      </c>
      <c r="G482" s="79">
        <f>VLOOKUP(C482,'RAW DATA 2023'!E:BO,24,0)</f>
        <v>66.538499999999999</v>
      </c>
      <c r="H482" s="79">
        <f>IFERROR(VLOOKUP(F482,STD!B:G,2,FALSE),"")</f>
        <v>80</v>
      </c>
      <c r="I482" s="100">
        <f t="shared" si="37"/>
        <v>0.83173125000000003</v>
      </c>
      <c r="J482" s="74">
        <f t="shared" si="38"/>
        <v>9.9519375000000014</v>
      </c>
      <c r="K482">
        <f>VLOOKUP(C482,'RAW DATA 2023'!E:BO,12,0)</f>
        <v>0.8</v>
      </c>
      <c r="L482" s="268">
        <f t="shared" si="39"/>
        <v>7.9615500000000017</v>
      </c>
    </row>
    <row r="483" spans="1:12">
      <c r="A483" s="64" t="str">
        <f>'RAW DATA 2023'!B476</f>
        <v>Bangkachai1</v>
      </c>
      <c r="B483" s="64" t="str">
        <f>'RAW DATA 2023'!D476</f>
        <v>BG-044-0010</v>
      </c>
      <c r="C483" s="63" t="str">
        <f t="shared" si="35"/>
        <v>Bangkachai1BG-044-0010</v>
      </c>
      <c r="D483" s="63">
        <f>VLOOKUP(C483,'RAW DATA 2023'!E:BP,63,0)</f>
        <v>8</v>
      </c>
      <c r="E483" s="63" t="str">
        <f t="shared" si="36"/>
        <v>Bangkachai18</v>
      </c>
      <c r="F483" s="79">
        <f>ROUND(VLOOKUP(C483,'RAW DATA 2023'!E:BO,23,0),0)</f>
        <v>39</v>
      </c>
      <c r="G483" s="79">
        <f>VLOOKUP(C483,'RAW DATA 2023'!E:BO,24,0)</f>
        <v>71.512</v>
      </c>
      <c r="H483" s="79">
        <f>IFERROR(VLOOKUP(F483,STD!B:G,2,FALSE),"")</f>
        <v>82</v>
      </c>
      <c r="I483" s="100">
        <f t="shared" si="37"/>
        <v>0.87209756097560975</v>
      </c>
      <c r="J483" s="74">
        <f t="shared" si="38"/>
        <v>11.162926829268292</v>
      </c>
      <c r="K483">
        <f>VLOOKUP(C483,'RAW DATA 2023'!E:BO,12,0)</f>
        <v>1</v>
      </c>
      <c r="L483" s="268">
        <f t="shared" si="39"/>
        <v>11.162926829268292</v>
      </c>
    </row>
    <row r="484" spans="1:12">
      <c r="A484" s="64" t="str">
        <f>'RAW DATA 2023'!B477</f>
        <v>Bangkachai1</v>
      </c>
      <c r="B484" s="64" t="str">
        <f>'RAW DATA 2023'!D477</f>
        <v>BG-045-0012</v>
      </c>
      <c r="C484" s="63" t="str">
        <f t="shared" si="35"/>
        <v>Bangkachai1BG-045-0012</v>
      </c>
      <c r="D484" s="63">
        <f>VLOOKUP(C484,'RAW DATA 2023'!E:BP,63,0)</f>
        <v>5</v>
      </c>
      <c r="E484" s="63" t="str">
        <f t="shared" si="36"/>
        <v>Bangkachai15</v>
      </c>
      <c r="F484" s="79">
        <f>ROUND(VLOOKUP(C484,'RAW DATA 2023'!E:BO,23,0),0)</f>
        <v>32</v>
      </c>
      <c r="G484" s="79">
        <f>VLOOKUP(C484,'RAW DATA 2023'!E:BO,24,0)</f>
        <v>56.451416666666667</v>
      </c>
      <c r="H484" s="79">
        <f>IFERROR(VLOOKUP(F484,STD!B:G,2,FALSE),"")</f>
        <v>77</v>
      </c>
      <c r="I484" s="100">
        <f t="shared" si="37"/>
        <v>0.73313528138528139</v>
      </c>
      <c r="J484" s="74">
        <f t="shared" si="38"/>
        <v>6.9940584415584421</v>
      </c>
      <c r="K484">
        <f>VLOOKUP(C484,'RAW DATA 2023'!E:BO,12,0)</f>
        <v>1.2</v>
      </c>
      <c r="L484" s="268">
        <f t="shared" si="39"/>
        <v>8.3928701298701309</v>
      </c>
    </row>
    <row r="485" spans="1:12">
      <c r="A485" s="64" t="str">
        <f>'RAW DATA 2023'!B478</f>
        <v>Bangkachai1</v>
      </c>
      <c r="B485" s="64" t="str">
        <f>'RAW DATA 2023'!D478</f>
        <v>A1-047-0010</v>
      </c>
      <c r="C485" s="63" t="str">
        <f t="shared" si="35"/>
        <v>Bangkachai1A1-047-0010</v>
      </c>
      <c r="D485" s="63">
        <f>VLOOKUP(C485,'RAW DATA 2023'!E:BP,63,0)</f>
        <v>8</v>
      </c>
      <c r="E485" s="63" t="str">
        <f t="shared" si="36"/>
        <v>Bangkachai18</v>
      </c>
      <c r="F485" s="79">
        <f>ROUND(VLOOKUP(C485,'RAW DATA 2023'!E:BO,23,0),0)</f>
        <v>39</v>
      </c>
      <c r="G485" s="79">
        <f>VLOOKUP(C485,'RAW DATA 2023'!E:BO,24,0)</f>
        <v>80.625833333333333</v>
      </c>
      <c r="H485" s="79">
        <f>IFERROR(VLOOKUP(F485,STD!B:G,2,FALSE),"")</f>
        <v>82</v>
      </c>
      <c r="I485" s="100">
        <f t="shared" si="37"/>
        <v>0.98324186991869922</v>
      </c>
      <c r="J485" s="74">
        <f t="shared" si="38"/>
        <v>14.497256097560976</v>
      </c>
      <c r="K485">
        <f>VLOOKUP(C485,'RAW DATA 2023'!E:BO,12,0)</f>
        <v>1.2</v>
      </c>
      <c r="L485" s="268">
        <f t="shared" si="39"/>
        <v>17.396707317073172</v>
      </c>
    </row>
    <row r="486" spans="1:12">
      <c r="A486" s="64" t="str">
        <f>'RAW DATA 2023'!B479</f>
        <v>Bangkachai1</v>
      </c>
      <c r="B486" s="64" t="str">
        <f>'RAW DATA 2023'!D479</f>
        <v>A1-061-0007</v>
      </c>
      <c r="C486" s="63" t="str">
        <f t="shared" si="35"/>
        <v>Bangkachai1A1-061-0007</v>
      </c>
      <c r="D486" s="63">
        <f>VLOOKUP(C486,'RAW DATA 2023'!E:BP,63,0)</f>
        <v>10</v>
      </c>
      <c r="E486" s="63" t="str">
        <f t="shared" si="36"/>
        <v>Bangkachai110</v>
      </c>
      <c r="F486" s="79">
        <f>ROUND(VLOOKUP(C486,'RAW DATA 2023'!E:BO,23,0),0)</f>
        <v>28</v>
      </c>
      <c r="G486" s="79">
        <f>VLOOKUP(C486,'RAW DATA 2023'!E:BO,24,0)</f>
        <v>86.992333333333335</v>
      </c>
      <c r="H486" s="79">
        <f>IFERROR(VLOOKUP(F486,STD!B:G,2,FALSE),"")</f>
        <v>75</v>
      </c>
      <c r="I486" s="100">
        <f t="shared" si="37"/>
        <v>1.1598977777777777</v>
      </c>
      <c r="J486" s="74">
        <f t="shared" si="38"/>
        <v>19.796933333333332</v>
      </c>
      <c r="K486">
        <f>VLOOKUP(C486,'RAW DATA 2023'!E:BO,12,0)</f>
        <v>0.6</v>
      </c>
      <c r="L486" s="268">
        <f t="shared" si="39"/>
        <v>11.878159999999999</v>
      </c>
    </row>
    <row r="487" spans="1:12">
      <c r="A487" s="64" t="str">
        <f>'RAW DATA 2023'!B480</f>
        <v>Bangkachai1</v>
      </c>
      <c r="B487" s="64" t="str">
        <f>'RAW DATA 2023'!D480</f>
        <v>A1-060-0006</v>
      </c>
      <c r="C487" s="63" t="str">
        <f t="shared" si="35"/>
        <v>Bangkachai1A1-060-0006</v>
      </c>
      <c r="D487" s="63">
        <f>VLOOKUP(C487,'RAW DATA 2023'!E:BP,63,0)</f>
        <v>10</v>
      </c>
      <c r="E487" s="63" t="str">
        <f t="shared" si="36"/>
        <v>Bangkachai110</v>
      </c>
      <c r="F487" s="79">
        <f>ROUND(VLOOKUP(C487,'RAW DATA 2023'!E:BO,23,0),0)</f>
        <v>29</v>
      </c>
      <c r="G487" s="79">
        <f>VLOOKUP(C487,'RAW DATA 2023'!E:BO,24,0)</f>
        <v>79.456833333333336</v>
      </c>
      <c r="H487" s="79">
        <f>IFERROR(VLOOKUP(F487,STD!B:G,2,FALSE),"")</f>
        <v>76</v>
      </c>
      <c r="I487" s="100">
        <f t="shared" si="37"/>
        <v>1.0454846491228071</v>
      </c>
      <c r="J487" s="74">
        <f t="shared" si="38"/>
        <v>16.364539473684214</v>
      </c>
      <c r="K487">
        <f>VLOOKUP(C487,'RAW DATA 2023'!E:BO,12,0)</f>
        <v>0.6</v>
      </c>
      <c r="L487" s="268">
        <f t="shared" si="39"/>
        <v>9.8187236842105285</v>
      </c>
    </row>
    <row r="488" spans="1:12">
      <c r="A488" s="64" t="str">
        <f>'RAW DATA 2023'!B481</f>
        <v>Bangkachai1</v>
      </c>
      <c r="B488" s="64" t="str">
        <f>'RAW DATA 2023'!D481</f>
        <v>BG-044-0009</v>
      </c>
      <c r="C488" s="63" t="str">
        <f t="shared" si="35"/>
        <v>Bangkachai1BG-044-0009</v>
      </c>
      <c r="D488" s="63">
        <f>VLOOKUP(C488,'RAW DATA 2023'!E:BP,63,0)</f>
        <v>3</v>
      </c>
      <c r="E488" s="63" t="str">
        <f t="shared" si="36"/>
        <v>Bangkachai13</v>
      </c>
      <c r="F488" s="79">
        <f>ROUND(VLOOKUP(C488,'RAW DATA 2023'!E:BO,23,0),0)</f>
        <v>35</v>
      </c>
      <c r="G488" s="79">
        <f>VLOOKUP(C488,'RAW DATA 2023'!E:BO,24,0)</f>
        <v>57.912166666666664</v>
      </c>
      <c r="H488" s="79">
        <f>IFERROR(VLOOKUP(F488,STD!B:G,2,FALSE),"")</f>
        <v>80</v>
      </c>
      <c r="I488" s="100">
        <f t="shared" si="37"/>
        <v>0.72390208333333328</v>
      </c>
      <c r="J488" s="74">
        <f t="shared" si="38"/>
        <v>6.7170624999999982</v>
      </c>
      <c r="K488">
        <f>VLOOKUP(C488,'RAW DATA 2023'!E:BO,12,0)</f>
        <v>1.2</v>
      </c>
      <c r="L488" s="268">
        <f t="shared" si="39"/>
        <v>8.0604749999999967</v>
      </c>
    </row>
    <row r="489" spans="1:12">
      <c r="A489" s="64" t="str">
        <f>'RAW DATA 2023'!B482</f>
        <v>Bangkachai1</v>
      </c>
      <c r="B489" s="64" t="str">
        <f>'RAW DATA 2023'!D482</f>
        <v>A1-061-0006</v>
      </c>
      <c r="C489" s="63" t="str">
        <f t="shared" si="35"/>
        <v>Bangkachai1A1-061-0006</v>
      </c>
      <c r="D489" s="63">
        <f>VLOOKUP(C489,'RAW DATA 2023'!E:BP,63,0)</f>
        <v>5</v>
      </c>
      <c r="E489" s="63" t="str">
        <f t="shared" si="36"/>
        <v>Bangkachai15</v>
      </c>
      <c r="F489" s="79">
        <f>ROUND(VLOOKUP(C489,'RAW DATA 2023'!E:BO,23,0),0)</f>
        <v>37</v>
      </c>
      <c r="G489" s="79">
        <f>VLOOKUP(C489,'RAW DATA 2023'!E:BO,24,0)</f>
        <v>44.648249999999997</v>
      </c>
      <c r="H489" s="79">
        <f>IFERROR(VLOOKUP(F489,STD!B:G,2,FALSE),"")</f>
        <v>81</v>
      </c>
      <c r="I489" s="100">
        <f t="shared" si="37"/>
        <v>0.55121296296296296</v>
      </c>
      <c r="J489" s="74">
        <f t="shared" si="38"/>
        <v>1.5363888888888888</v>
      </c>
      <c r="K489">
        <f>VLOOKUP(C489,'RAW DATA 2023'!E:BO,12,0)</f>
        <v>1.2</v>
      </c>
      <c r="L489" s="268">
        <f t="shared" si="39"/>
        <v>1.8436666666666666</v>
      </c>
    </row>
    <row r="490" spans="1:12">
      <c r="A490" s="64" t="str">
        <f>'RAW DATA 2023'!B483</f>
        <v>Bangkachai1</v>
      </c>
      <c r="B490" s="64" t="str">
        <f>'RAW DATA 2023'!D483</f>
        <v>A1-060-0005</v>
      </c>
      <c r="C490" s="63" t="str">
        <f t="shared" si="35"/>
        <v>Bangkachai1A1-060-0005</v>
      </c>
      <c r="D490" s="63">
        <f>VLOOKUP(C490,'RAW DATA 2023'!E:BP,63,0)</f>
        <v>5</v>
      </c>
      <c r="E490" s="63" t="str">
        <f t="shared" si="36"/>
        <v>Bangkachai15</v>
      </c>
      <c r="F490" s="79">
        <f>ROUND(VLOOKUP(C490,'RAW DATA 2023'!E:BO,23,0),0)</f>
        <v>42</v>
      </c>
      <c r="G490" s="79">
        <f>VLOOKUP(C490,'RAW DATA 2023'!E:BO,24,0)</f>
        <v>66.266000000000005</v>
      </c>
      <c r="H490" s="79">
        <f>IFERROR(VLOOKUP(F490,STD!B:G,2,FALSE),"")</f>
        <v>82</v>
      </c>
      <c r="I490" s="100">
        <f t="shared" si="37"/>
        <v>0.80812195121951225</v>
      </c>
      <c r="J490" s="74">
        <f t="shared" si="38"/>
        <v>9.2436585365853681</v>
      </c>
      <c r="K490">
        <f>VLOOKUP(C490,'RAW DATA 2023'!E:BO,12,0)</f>
        <v>1.2</v>
      </c>
      <c r="L490" s="268">
        <f t="shared" si="39"/>
        <v>11.092390243902441</v>
      </c>
    </row>
    <row r="491" spans="1:12">
      <c r="A491" s="64" t="str">
        <f>'RAW DATA 2023'!B484</f>
        <v>Bangkachai1</v>
      </c>
      <c r="B491" s="64" t="str">
        <f>'RAW DATA 2023'!D484</f>
        <v>A1-047-0009</v>
      </c>
      <c r="C491" s="63" t="str">
        <f t="shared" si="35"/>
        <v>Bangkachai1A1-047-0009</v>
      </c>
      <c r="D491" s="63">
        <f>VLOOKUP(C491,'RAW DATA 2023'!E:BP,63,0)</f>
        <v>3</v>
      </c>
      <c r="E491" s="63" t="str">
        <f t="shared" si="36"/>
        <v>Bangkachai13</v>
      </c>
      <c r="F491" s="79">
        <f>ROUND(VLOOKUP(C491,'RAW DATA 2023'!E:BO,23,0),0)</f>
        <v>34</v>
      </c>
      <c r="G491" s="79">
        <f>VLOOKUP(C491,'RAW DATA 2023'!E:BO,24,0)</f>
        <v>70.040599999999998</v>
      </c>
      <c r="H491" s="79">
        <f>IFERROR(VLOOKUP(F491,STD!B:G,2,FALSE),"")</f>
        <v>80</v>
      </c>
      <c r="I491" s="100">
        <f t="shared" si="37"/>
        <v>0.87550749999999999</v>
      </c>
      <c r="J491" s="74">
        <f t="shared" si="38"/>
        <v>11.265224999999999</v>
      </c>
      <c r="K491">
        <f>VLOOKUP(C491,'RAW DATA 2023'!E:BO,12,0)</f>
        <v>1</v>
      </c>
      <c r="L491" s="268">
        <f t="shared" si="39"/>
        <v>11.265224999999999</v>
      </c>
    </row>
    <row r="492" spans="1:12">
      <c r="A492" s="64" t="str">
        <f>'RAW DATA 2023'!B485</f>
        <v>Bo Thong</v>
      </c>
      <c r="B492" s="64" t="str">
        <f>'RAW DATA 2023'!D485</f>
        <v>BG-002-0014</v>
      </c>
      <c r="C492" s="63" t="str">
        <f t="shared" si="35"/>
        <v>Bo ThongBG-002-0014</v>
      </c>
      <c r="D492" s="63">
        <f>VLOOKUP(C492,'RAW DATA 2023'!E:BP,63,0)</f>
        <v>6</v>
      </c>
      <c r="E492" s="63" t="str">
        <f t="shared" si="36"/>
        <v>Bo Thong6</v>
      </c>
      <c r="F492" s="79">
        <f>ROUND(VLOOKUP(C492,'RAW DATA 2023'!E:BO,23,0),0)</f>
        <v>45</v>
      </c>
      <c r="G492" s="79">
        <f>VLOOKUP(C492,'RAW DATA 2023'!E:BO,24,0)</f>
        <v>61.528000000000006</v>
      </c>
      <c r="H492" s="79">
        <f>IFERROR(VLOOKUP(F492,STD!B:G,2,FALSE),"")</f>
        <v>83</v>
      </c>
      <c r="I492" s="100">
        <f t="shared" si="37"/>
        <v>0.74130120481927719</v>
      </c>
      <c r="J492" s="74">
        <f t="shared" si="38"/>
        <v>7.239036144578316</v>
      </c>
      <c r="K492">
        <f>VLOOKUP(C492,'RAW DATA 2023'!E:BO,12,0)</f>
        <v>1.2</v>
      </c>
      <c r="L492" s="268">
        <f t="shared" si="39"/>
        <v>8.6868433734939785</v>
      </c>
    </row>
    <row r="493" spans="1:12">
      <c r="A493" s="64" t="str">
        <f>'RAW DATA 2023'!B486</f>
        <v>Bo Thong</v>
      </c>
      <c r="B493" s="64" t="str">
        <f>'RAW DATA 2023'!D486</f>
        <v>BG-002-0013</v>
      </c>
      <c r="C493" s="63" t="str">
        <f t="shared" si="35"/>
        <v>Bo ThongBG-002-0013</v>
      </c>
      <c r="D493" s="63">
        <f>VLOOKUP(C493,'RAW DATA 2023'!E:BP,63,0)</f>
        <v>2</v>
      </c>
      <c r="E493" s="63" t="str">
        <f t="shared" si="36"/>
        <v>Bo Thong2</v>
      </c>
      <c r="F493" s="79">
        <f>ROUND(VLOOKUP(C493,'RAW DATA 2023'!E:BO,23,0),0)</f>
        <v>34</v>
      </c>
      <c r="G493" s="79">
        <f>VLOOKUP(C493,'RAW DATA 2023'!E:BO,24,0)</f>
        <v>49.478416666666668</v>
      </c>
      <c r="H493" s="79">
        <f>IFERROR(VLOOKUP(F493,STD!B:G,2,FALSE),"")</f>
        <v>80</v>
      </c>
      <c r="I493" s="100">
        <f t="shared" si="37"/>
        <v>0.61848020833333339</v>
      </c>
      <c r="J493" s="74">
        <f t="shared" si="38"/>
        <v>3.5544062500000018</v>
      </c>
      <c r="K493">
        <f>VLOOKUP(C493,'RAW DATA 2023'!E:BO,12,0)</f>
        <v>1.2</v>
      </c>
      <c r="L493" s="268">
        <f t="shared" si="39"/>
        <v>4.2652875000000021</v>
      </c>
    </row>
    <row r="494" spans="1:12">
      <c r="A494" s="64" t="str">
        <f>'RAW DATA 2023'!B487</f>
        <v>Bo Thong</v>
      </c>
      <c r="B494" s="64" t="str">
        <f>'RAW DATA 2023'!D487</f>
        <v>BG-002-0015</v>
      </c>
      <c r="C494" s="63" t="str">
        <f t="shared" si="35"/>
        <v>Bo ThongBG-002-0015</v>
      </c>
      <c r="D494" s="63">
        <f>VLOOKUP(C494,'RAW DATA 2023'!E:BP,63,0)</f>
        <v>7</v>
      </c>
      <c r="E494" s="63" t="str">
        <f t="shared" si="36"/>
        <v>Bo Thong7</v>
      </c>
      <c r="F494" s="79">
        <f>ROUND(VLOOKUP(C494,'RAW DATA 2023'!E:BO,23,0),0)</f>
        <v>0</v>
      </c>
      <c r="G494" s="79">
        <f>VLOOKUP(C494,'RAW DATA 2023'!E:BO,24,0)</f>
        <v>0</v>
      </c>
      <c r="H494" s="79" t="str">
        <f>IFERROR(VLOOKUP(F494,STD!B:G,2,FALSE),"")</f>
        <v/>
      </c>
      <c r="I494" s="100">
        <f t="shared" si="37"/>
        <v>0</v>
      </c>
      <c r="J494" s="74">
        <f t="shared" si="38"/>
        <v>-15</v>
      </c>
      <c r="K494">
        <f>VLOOKUP(C494,'RAW DATA 2023'!E:BO,12,0)</f>
        <v>0.8</v>
      </c>
      <c r="L494" s="268">
        <f t="shared" si="39"/>
        <v>-12</v>
      </c>
    </row>
    <row r="495" spans="1:12">
      <c r="A495" s="64" t="str">
        <f>'RAW DATA 2023'!B488</f>
        <v>Bo Thong</v>
      </c>
      <c r="B495" s="64" t="str">
        <f>'RAW DATA 2023'!D488</f>
        <v>BG-002-0016</v>
      </c>
      <c r="C495" s="63" t="str">
        <f t="shared" si="35"/>
        <v>Bo ThongBG-002-0016</v>
      </c>
      <c r="D495" s="63">
        <f>VLOOKUP(C495,'RAW DATA 2023'!E:BP,63,0)</f>
        <v>12</v>
      </c>
      <c r="E495" s="63" t="str">
        <f t="shared" si="36"/>
        <v>Bo Thong12</v>
      </c>
      <c r="F495" s="79">
        <f>ROUND(VLOOKUP(C495,'RAW DATA 2023'!E:BO,23,0),0)</f>
        <v>39</v>
      </c>
      <c r="G495" s="79">
        <f>VLOOKUP(C495,'RAW DATA 2023'!E:BO,24,0)</f>
        <v>70.079444444444448</v>
      </c>
      <c r="H495" s="79">
        <f>IFERROR(VLOOKUP(F495,STD!B:G,2,FALSE),"")</f>
        <v>82</v>
      </c>
      <c r="I495" s="100">
        <f t="shared" si="37"/>
        <v>0.8546273712737128</v>
      </c>
      <c r="J495" s="74">
        <f t="shared" si="38"/>
        <v>10.638821138211384</v>
      </c>
      <c r="K495">
        <f>VLOOKUP(C495,'RAW DATA 2023'!E:BO,12,0)</f>
        <v>0.9</v>
      </c>
      <c r="L495" s="268">
        <f t="shared" si="39"/>
        <v>9.574939024390245</v>
      </c>
    </row>
    <row r="496" spans="1:12">
      <c r="A496" s="64" t="str">
        <f>'RAW DATA 2023'!B489</f>
        <v>Bo Thong</v>
      </c>
      <c r="B496" s="64" t="str">
        <f>'RAW DATA 2023'!D489</f>
        <v>B1-014-0013</v>
      </c>
      <c r="C496" s="63" t="str">
        <f t="shared" si="35"/>
        <v>Bo ThongB1-014-0013</v>
      </c>
      <c r="D496" s="63">
        <f>VLOOKUP(C496,'RAW DATA 2023'!E:BP,63,0)</f>
        <v>11</v>
      </c>
      <c r="E496" s="63" t="str">
        <f t="shared" si="36"/>
        <v>Bo Thong11</v>
      </c>
      <c r="F496" s="79">
        <f>ROUND(VLOOKUP(C496,'RAW DATA 2023'!E:BO,23,0),0)</f>
        <v>36</v>
      </c>
      <c r="G496" s="79">
        <f>VLOOKUP(C496,'RAW DATA 2023'!E:BO,24,0)</f>
        <v>75.316416666666669</v>
      </c>
      <c r="H496" s="79">
        <f>IFERROR(VLOOKUP(F496,STD!B:G,2,FALSE),"")</f>
        <v>81</v>
      </c>
      <c r="I496" s="100">
        <f t="shared" si="37"/>
        <v>0.92983230452674903</v>
      </c>
      <c r="J496" s="74">
        <f t="shared" si="38"/>
        <v>12.894969135802471</v>
      </c>
      <c r="K496">
        <f>VLOOKUP(C496,'RAW DATA 2023'!E:BO,12,0)</f>
        <v>1.2</v>
      </c>
      <c r="L496" s="268">
        <f t="shared" si="39"/>
        <v>15.473962962962965</v>
      </c>
    </row>
    <row r="497" spans="1:12">
      <c r="A497" s="64" t="str">
        <f>'RAW DATA 2023'!B490</f>
        <v>Bo Thong</v>
      </c>
      <c r="B497" s="64" t="str">
        <f>'RAW DATA 2023'!D490</f>
        <v>B1-015-0014</v>
      </c>
      <c r="C497" s="63" t="str">
        <f t="shared" si="35"/>
        <v>Bo ThongB1-015-0014</v>
      </c>
      <c r="D497" s="63">
        <f>VLOOKUP(C497,'RAW DATA 2023'!E:BP,63,0)</f>
        <v>11</v>
      </c>
      <c r="E497" s="63" t="str">
        <f t="shared" si="36"/>
        <v>Bo Thong11</v>
      </c>
      <c r="F497" s="79">
        <f>ROUND(VLOOKUP(C497,'RAW DATA 2023'!E:BO,23,0),0)</f>
        <v>72</v>
      </c>
      <c r="G497" s="79">
        <f>VLOOKUP(C497,'RAW DATA 2023'!E:BO,24,0)</f>
        <v>74.129400000000004</v>
      </c>
      <c r="H497" s="79">
        <f>IFERROR(VLOOKUP(F497,STD!B:G,2,FALSE),"")</f>
        <v>89</v>
      </c>
      <c r="I497" s="100">
        <f t="shared" si="37"/>
        <v>0.83291460674157303</v>
      </c>
      <c r="J497" s="74">
        <f t="shared" si="38"/>
        <v>9.9874382022471906</v>
      </c>
      <c r="K497">
        <f>VLOOKUP(C497,'RAW DATA 2023'!E:BO,12,0)</f>
        <v>1</v>
      </c>
      <c r="L497" s="268">
        <f t="shared" si="39"/>
        <v>9.9874382022471906</v>
      </c>
    </row>
    <row r="498" spans="1:12">
      <c r="A498" s="64" t="str">
        <f>'RAW DATA 2023'!B491</f>
        <v>Bo Thong</v>
      </c>
      <c r="B498" s="64" t="str">
        <f>'RAW DATA 2023'!D491</f>
        <v>B1-015-0013</v>
      </c>
      <c r="C498" s="63" t="str">
        <f t="shared" si="35"/>
        <v>Bo ThongB1-015-0013</v>
      </c>
      <c r="D498" s="63">
        <f>VLOOKUP(C498,'RAW DATA 2023'!E:BP,63,0)</f>
        <v>7</v>
      </c>
      <c r="E498" s="63" t="str">
        <f t="shared" si="36"/>
        <v>Bo Thong7</v>
      </c>
      <c r="F498" s="79">
        <f>ROUND(VLOOKUP(C498,'RAW DATA 2023'!E:BO,23,0),0)</f>
        <v>40</v>
      </c>
      <c r="G498" s="79">
        <f>VLOOKUP(C498,'RAW DATA 2023'!E:BO,24,0)</f>
        <v>54.951799999999992</v>
      </c>
      <c r="H498" s="79">
        <f>IFERROR(VLOOKUP(F498,STD!B:G,2,FALSE),"")</f>
        <v>82</v>
      </c>
      <c r="I498" s="100">
        <f t="shared" si="37"/>
        <v>0.67014390243902433</v>
      </c>
      <c r="J498" s="74">
        <f t="shared" si="38"/>
        <v>5.1043170731707299</v>
      </c>
      <c r="K498">
        <f>VLOOKUP(C498,'RAW DATA 2023'!E:BO,12,0)</f>
        <v>2</v>
      </c>
      <c r="L498" s="268">
        <f t="shared" si="39"/>
        <v>10.20863414634146</v>
      </c>
    </row>
    <row r="499" spans="1:12">
      <c r="A499" s="64" t="str">
        <f>'RAW DATA 2023'!B492</f>
        <v>Bo Thong</v>
      </c>
      <c r="B499" s="64" t="str">
        <f>'RAW DATA 2023'!D492</f>
        <v>B1-014-0012</v>
      </c>
      <c r="C499" s="63" t="str">
        <f t="shared" si="35"/>
        <v>Bo ThongB1-014-0012</v>
      </c>
      <c r="D499" s="63">
        <f>VLOOKUP(C499,'RAW DATA 2023'!E:BP,63,0)</f>
        <v>6</v>
      </c>
      <c r="E499" s="63" t="str">
        <f t="shared" si="36"/>
        <v>Bo Thong6</v>
      </c>
      <c r="F499" s="79">
        <f>ROUND(VLOOKUP(C499,'RAW DATA 2023'!E:BO,23,0),0)</f>
        <v>39</v>
      </c>
      <c r="G499" s="79">
        <f>VLOOKUP(C499,'RAW DATA 2023'!E:BO,24,0)</f>
        <v>65.855388888888882</v>
      </c>
      <c r="H499" s="79">
        <f>IFERROR(VLOOKUP(F499,STD!B:G,2,FALSE),"")</f>
        <v>82</v>
      </c>
      <c r="I499" s="100">
        <f t="shared" si="37"/>
        <v>0.80311449864498641</v>
      </c>
      <c r="J499" s="74">
        <f t="shared" si="38"/>
        <v>9.093434959349592</v>
      </c>
      <c r="K499">
        <f>VLOOKUP(C499,'RAW DATA 2023'!E:BO,12,0)</f>
        <v>1.8</v>
      </c>
      <c r="L499" s="268">
        <f t="shared" si="39"/>
        <v>16.368182926829267</v>
      </c>
    </row>
    <row r="500" spans="1:12">
      <c r="A500" s="64" t="str">
        <f>'RAW DATA 2023'!B493</f>
        <v>Bo Thong</v>
      </c>
      <c r="B500" s="64" t="str">
        <f>'RAW DATA 2023'!D493</f>
        <v>B1-013-0013</v>
      </c>
      <c r="C500" s="63" t="str">
        <f t="shared" si="35"/>
        <v>Bo ThongB1-013-0013</v>
      </c>
      <c r="D500" s="63">
        <f>VLOOKUP(C500,'RAW DATA 2023'!E:BP,63,0)</f>
        <v>6</v>
      </c>
      <c r="E500" s="63" t="str">
        <f t="shared" si="36"/>
        <v>Bo Thong6</v>
      </c>
      <c r="F500" s="79">
        <f>ROUND(VLOOKUP(C500,'RAW DATA 2023'!E:BO,23,0),0)</f>
        <v>45</v>
      </c>
      <c r="G500" s="79">
        <f>VLOOKUP(C500,'RAW DATA 2023'!E:BO,24,0)</f>
        <v>48.941000000000003</v>
      </c>
      <c r="H500" s="79">
        <f>IFERROR(VLOOKUP(F500,STD!B:G,2,FALSE),"")</f>
        <v>83</v>
      </c>
      <c r="I500" s="100">
        <f t="shared" si="37"/>
        <v>0.58965060240963862</v>
      </c>
      <c r="J500" s="74">
        <f t="shared" si="38"/>
        <v>2.6895180722891587</v>
      </c>
      <c r="K500">
        <f>VLOOKUP(C500,'RAW DATA 2023'!E:BO,12,0)</f>
        <v>2</v>
      </c>
      <c r="L500" s="268">
        <f t="shared" si="39"/>
        <v>5.3790361445783175</v>
      </c>
    </row>
    <row r="501" spans="1:12">
      <c r="A501" s="64" t="str">
        <f>'RAW DATA 2023'!B494</f>
        <v>Bo Thong</v>
      </c>
      <c r="B501" s="64" t="str">
        <f>'RAW DATA 2023'!D494</f>
        <v>B1-014-0011</v>
      </c>
      <c r="C501" s="63" t="str">
        <f t="shared" si="35"/>
        <v>Bo ThongB1-014-0011</v>
      </c>
      <c r="D501" s="63">
        <f>VLOOKUP(C501,'RAW DATA 2023'!E:BP,63,0)</f>
        <v>3</v>
      </c>
      <c r="E501" s="63" t="str">
        <f t="shared" si="36"/>
        <v>Bo Thong3</v>
      </c>
      <c r="F501" s="79">
        <f>ROUND(VLOOKUP(C501,'RAW DATA 2023'!E:BO,23,0),0)</f>
        <v>24</v>
      </c>
      <c r="G501" s="79">
        <f>VLOOKUP(C501,'RAW DATA 2023'!E:BO,24,0)</f>
        <v>61.906333333333329</v>
      </c>
      <c r="H501" s="79">
        <f>IFERROR(VLOOKUP(F501,STD!B:G,2,FALSE),"")</f>
        <v>72</v>
      </c>
      <c r="I501" s="100">
        <f t="shared" si="37"/>
        <v>0.85981018518518515</v>
      </c>
      <c r="J501" s="74">
        <f t="shared" si="38"/>
        <v>10.794305555555555</v>
      </c>
      <c r="K501">
        <f>VLOOKUP(C501,'RAW DATA 2023'!E:BO,12,0)</f>
        <v>0.9</v>
      </c>
      <c r="L501" s="268">
        <f t="shared" si="39"/>
        <v>9.7148749999999993</v>
      </c>
    </row>
    <row r="502" spans="1:12">
      <c r="A502" s="64" t="str">
        <f>'RAW DATA 2023'!B495</f>
        <v>Bo Thong</v>
      </c>
      <c r="B502" s="64" t="str">
        <f>'RAW DATA 2023'!D495</f>
        <v>B1-010-0010</v>
      </c>
      <c r="C502" s="63" t="str">
        <f t="shared" si="35"/>
        <v>Bo ThongB1-010-0010</v>
      </c>
      <c r="D502" s="63">
        <f>VLOOKUP(C502,'RAW DATA 2023'!E:BP,63,0)</f>
        <v>4</v>
      </c>
      <c r="E502" s="63" t="str">
        <f t="shared" si="36"/>
        <v>Bo Thong4</v>
      </c>
      <c r="F502" s="79">
        <f>ROUND(VLOOKUP(C502,'RAW DATA 2023'!E:BO,23,0),0)</f>
        <v>33</v>
      </c>
      <c r="G502" s="79">
        <f>VLOOKUP(C502,'RAW DATA 2023'!E:BO,24,0)</f>
        <v>69.092259259259265</v>
      </c>
      <c r="H502" s="79">
        <f>IFERROR(VLOOKUP(F502,STD!B:G,2,FALSE),"")</f>
        <v>79</v>
      </c>
      <c r="I502" s="100">
        <f t="shared" si="37"/>
        <v>0.8745855602437882</v>
      </c>
      <c r="J502" s="74">
        <f t="shared" si="38"/>
        <v>11.237566807313646</v>
      </c>
      <c r="K502">
        <f>VLOOKUP(C502,'RAW DATA 2023'!E:BO,12,0)</f>
        <v>2.7</v>
      </c>
      <c r="L502" s="268">
        <f t="shared" si="39"/>
        <v>30.341430379746846</v>
      </c>
    </row>
    <row r="503" spans="1:12">
      <c r="A503" s="64" t="str">
        <f>'RAW DATA 2023'!B496</f>
        <v>Bo Thong</v>
      </c>
      <c r="B503" s="64" t="str">
        <f>'RAW DATA 2023'!D496</f>
        <v>B1-015-0012</v>
      </c>
      <c r="C503" s="63" t="str">
        <f t="shared" si="35"/>
        <v>Bo ThongB1-015-0012</v>
      </c>
      <c r="D503" s="63">
        <f>VLOOKUP(C503,'RAW DATA 2023'!E:BP,63,0)</f>
        <v>3</v>
      </c>
      <c r="E503" s="63" t="str">
        <f t="shared" si="36"/>
        <v>Bo Thong3</v>
      </c>
      <c r="F503" s="79">
        <f>ROUND(VLOOKUP(C503,'RAW DATA 2023'!E:BO,23,0),0)</f>
        <v>25</v>
      </c>
      <c r="G503" s="79">
        <f>VLOOKUP(C503,'RAW DATA 2023'!E:BO,24,0)</f>
        <v>64.776555555555561</v>
      </c>
      <c r="H503" s="79">
        <f>IFERROR(VLOOKUP(F503,STD!B:G,2,FALSE),"")</f>
        <v>72</v>
      </c>
      <c r="I503" s="100">
        <f t="shared" si="37"/>
        <v>0.89967438271604949</v>
      </c>
      <c r="J503" s="74">
        <f t="shared" si="38"/>
        <v>11.990231481481485</v>
      </c>
      <c r="K503">
        <f>VLOOKUP(C503,'RAW DATA 2023'!E:BO,12,0)</f>
        <v>0.9</v>
      </c>
      <c r="L503" s="268">
        <f t="shared" si="39"/>
        <v>10.791208333333337</v>
      </c>
    </row>
    <row r="504" spans="1:12">
      <c r="A504" s="64" t="str">
        <f>'RAW DATA 2023'!B497</f>
        <v>Bo Thong</v>
      </c>
      <c r="B504" s="64" t="str">
        <f>'RAW DATA 2023'!D497</f>
        <v>B1-011-0012</v>
      </c>
      <c r="C504" s="63" t="str">
        <f t="shared" si="35"/>
        <v>Bo ThongB1-011-0012</v>
      </c>
      <c r="D504" s="63">
        <f>VLOOKUP(C504,'RAW DATA 2023'!E:BP,63,0)</f>
        <v>3</v>
      </c>
      <c r="E504" s="63" t="str">
        <f t="shared" si="36"/>
        <v>Bo Thong3</v>
      </c>
      <c r="F504" s="79">
        <f>ROUND(VLOOKUP(C504,'RAW DATA 2023'!E:BO,23,0),0)</f>
        <v>32</v>
      </c>
      <c r="G504" s="79">
        <f>VLOOKUP(C504,'RAW DATA 2023'!E:BO,24,0)</f>
        <v>71.190666666666672</v>
      </c>
      <c r="H504" s="79">
        <f>IFERROR(VLOOKUP(F504,STD!B:G,2,FALSE),"")</f>
        <v>77</v>
      </c>
      <c r="I504" s="100">
        <f t="shared" si="37"/>
        <v>0.92455411255411257</v>
      </c>
      <c r="J504" s="74">
        <f t="shared" si="38"/>
        <v>12.736623376623378</v>
      </c>
      <c r="K504">
        <f>VLOOKUP(C504,'RAW DATA 2023'!E:BO,12,0)</f>
        <v>1.2</v>
      </c>
      <c r="L504" s="268">
        <f t="shared" si="39"/>
        <v>15.283948051948052</v>
      </c>
    </row>
    <row r="505" spans="1:12">
      <c r="A505" s="64" t="str">
        <f>'RAW DATA 2023'!B498</f>
        <v>Bo Thong</v>
      </c>
      <c r="B505" s="64" t="str">
        <f>'RAW DATA 2023'!D498</f>
        <v>B1-010-0011</v>
      </c>
      <c r="C505" s="63" t="str">
        <f t="shared" si="35"/>
        <v>Bo ThongB1-010-0011</v>
      </c>
      <c r="D505" s="63">
        <f>VLOOKUP(C505,'RAW DATA 2023'!E:BP,63,0)</f>
        <v>7</v>
      </c>
      <c r="E505" s="63" t="str">
        <f t="shared" si="36"/>
        <v>Bo Thong7</v>
      </c>
      <c r="F505" s="79">
        <f>ROUND(VLOOKUP(C505,'RAW DATA 2023'!E:BO,23,0),0)</f>
        <v>57</v>
      </c>
      <c r="G505" s="79">
        <f>VLOOKUP(C505,'RAW DATA 2023'!E:BO,24,0)</f>
        <v>77.652333333333331</v>
      </c>
      <c r="H505" s="79">
        <f>IFERROR(VLOOKUP(F505,STD!B:G,2,FALSE),"")</f>
        <v>86</v>
      </c>
      <c r="I505" s="100">
        <f t="shared" si="37"/>
        <v>0.90293410852713174</v>
      </c>
      <c r="J505" s="74">
        <f t="shared" si="38"/>
        <v>12.088023255813953</v>
      </c>
      <c r="K505">
        <f>VLOOKUP(C505,'RAW DATA 2023'!E:BO,12,0)</f>
        <v>3</v>
      </c>
      <c r="L505" s="268">
        <f t="shared" si="39"/>
        <v>36.26406976744186</v>
      </c>
    </row>
    <row r="506" spans="1:12">
      <c r="A506" s="64" t="str">
        <f>'RAW DATA 2023'!B499</f>
        <v>Bo Thong</v>
      </c>
      <c r="B506" s="64" t="str">
        <f>'RAW DATA 2023'!D499</f>
        <v>B1-013-0012</v>
      </c>
      <c r="C506" s="63" t="str">
        <f t="shared" si="35"/>
        <v>Bo ThongB1-013-0012</v>
      </c>
      <c r="D506" s="63">
        <f>VLOOKUP(C506,'RAW DATA 2023'!E:BP,63,0)</f>
        <v>3</v>
      </c>
      <c r="E506" s="63" t="str">
        <f t="shared" si="36"/>
        <v>Bo Thong3</v>
      </c>
      <c r="F506" s="79">
        <f>ROUND(VLOOKUP(C506,'RAW DATA 2023'!E:BO,23,0),0)</f>
        <v>38</v>
      </c>
      <c r="G506" s="79">
        <f>VLOOKUP(C506,'RAW DATA 2023'!E:BO,24,0)</f>
        <v>78.548769230769238</v>
      </c>
      <c r="H506" s="79">
        <f>IFERROR(VLOOKUP(F506,STD!B:G,2,FALSE),"")</f>
        <v>81</v>
      </c>
      <c r="I506" s="100">
        <f t="shared" si="37"/>
        <v>0.96973789173789182</v>
      </c>
      <c r="J506" s="74">
        <f t="shared" si="38"/>
        <v>14.092136752136755</v>
      </c>
      <c r="K506">
        <f>VLOOKUP(C506,'RAW DATA 2023'!E:BO,12,0)</f>
        <v>1.3</v>
      </c>
      <c r="L506" s="268">
        <f t="shared" si="39"/>
        <v>18.31977777777778</v>
      </c>
    </row>
    <row r="507" spans="1:12">
      <c r="A507" s="64" t="str">
        <f>'RAW DATA 2023'!B500</f>
        <v>Bo Thong</v>
      </c>
      <c r="B507" s="64" t="str">
        <f>'RAW DATA 2023'!D500</f>
        <v>B1-011-0013</v>
      </c>
      <c r="C507" s="63" t="str">
        <f t="shared" si="35"/>
        <v>Bo ThongB1-011-0013</v>
      </c>
      <c r="D507" s="63">
        <f>VLOOKUP(C507,'RAW DATA 2023'!E:BP,63,0)</f>
        <v>7</v>
      </c>
      <c r="E507" s="63" t="str">
        <f t="shared" si="36"/>
        <v>Bo Thong7</v>
      </c>
      <c r="F507" s="79">
        <f>ROUND(VLOOKUP(C507,'RAW DATA 2023'!E:BO,23,0),0)</f>
        <v>52</v>
      </c>
      <c r="G507" s="79">
        <f>VLOOKUP(C507,'RAW DATA 2023'!E:BO,24,0)</f>
        <v>79.456450000000004</v>
      </c>
      <c r="H507" s="79">
        <f>IFERROR(VLOOKUP(F507,STD!B:G,2,FALSE),"")</f>
        <v>85</v>
      </c>
      <c r="I507" s="100">
        <f t="shared" si="37"/>
        <v>0.93478176470588237</v>
      </c>
      <c r="J507" s="74">
        <f t="shared" si="38"/>
        <v>13.04345294117647</v>
      </c>
      <c r="K507">
        <f>VLOOKUP(C507,'RAW DATA 2023'!E:BO,12,0)</f>
        <v>2</v>
      </c>
      <c r="L507" s="268">
        <f t="shared" si="39"/>
        <v>26.086905882352941</v>
      </c>
    </row>
    <row r="508" spans="1:12">
      <c r="A508" s="64" t="str">
        <f>'RAW DATA 2023'!B501</f>
        <v>Bo Thong</v>
      </c>
      <c r="B508" s="64" t="str">
        <f>'RAW DATA 2023'!D501</f>
        <v>BG-001-0012</v>
      </c>
      <c r="C508" s="63" t="str">
        <f t="shared" si="35"/>
        <v>Bo ThongBG-001-0012</v>
      </c>
      <c r="D508" s="63">
        <f>VLOOKUP(C508,'RAW DATA 2023'!E:BP,63,0)</f>
        <v>7</v>
      </c>
      <c r="E508" s="63" t="str">
        <f t="shared" si="36"/>
        <v>Bo Thong7</v>
      </c>
      <c r="F508" s="79">
        <f>ROUND(VLOOKUP(C508,'RAW DATA 2023'!E:BO,23,0),0)</f>
        <v>71</v>
      </c>
      <c r="G508" s="79">
        <f>VLOOKUP(C508,'RAW DATA 2023'!E:BO,24,0)</f>
        <v>56.997100000000003</v>
      </c>
      <c r="H508" s="79">
        <f>IFERROR(VLOOKUP(F508,STD!B:G,2,FALSE),"")</f>
        <v>88</v>
      </c>
      <c r="I508" s="100">
        <f t="shared" si="37"/>
        <v>0.64769431818181822</v>
      </c>
      <c r="J508" s="74">
        <f t="shared" si="38"/>
        <v>4.4308295454545465</v>
      </c>
      <c r="K508">
        <f>VLOOKUP(C508,'RAW DATA 2023'!E:BO,12,0)</f>
        <v>1</v>
      </c>
      <c r="L508" s="268">
        <f t="shared" si="39"/>
        <v>4.4308295454545465</v>
      </c>
    </row>
    <row r="509" spans="1:12">
      <c r="A509" s="64" t="str">
        <f>'RAW DATA 2023'!B502</f>
        <v>Bangsakao</v>
      </c>
      <c r="B509" s="64" t="str">
        <f>'RAW DATA 2023'!D502</f>
        <v>DG-005-0025</v>
      </c>
      <c r="C509" s="63" t="str">
        <f t="shared" si="35"/>
        <v>BangsakaoDG-005-0025</v>
      </c>
      <c r="D509" s="63">
        <f>VLOOKUP(C509,'RAW DATA 2023'!E:BP,63,0)</f>
        <v>5</v>
      </c>
      <c r="E509" s="63" t="str">
        <f t="shared" si="36"/>
        <v>Bangsakao5</v>
      </c>
      <c r="F509" s="79">
        <f>ROUND(VLOOKUP(C509,'RAW DATA 2023'!E:BO,23,0),0)</f>
        <v>27</v>
      </c>
      <c r="G509" s="79">
        <f>VLOOKUP(C509,'RAW DATA 2023'!E:BO,24,0)</f>
        <v>66.826333333333338</v>
      </c>
      <c r="H509" s="79">
        <f>IFERROR(VLOOKUP(F509,STD!B:G,2,FALSE),"")</f>
        <v>75</v>
      </c>
      <c r="I509" s="100">
        <f t="shared" si="37"/>
        <v>0.8910177777777778</v>
      </c>
      <c r="J509" s="74">
        <f t="shared" si="38"/>
        <v>11.730533333333334</v>
      </c>
      <c r="K509">
        <f>VLOOKUP(C509,'RAW DATA 2023'!E:BO,12,0)</f>
        <v>0.9</v>
      </c>
      <c r="L509" s="268">
        <f t="shared" si="39"/>
        <v>10.55748</v>
      </c>
    </row>
    <row r="510" spans="1:12">
      <c r="A510" s="64" t="str">
        <f>'RAW DATA 2023'!B503</f>
        <v>Bangsakao</v>
      </c>
      <c r="B510" s="64" t="str">
        <f>'RAW DATA 2023'!D503</f>
        <v>DG-002-0025</v>
      </c>
      <c r="C510" s="63" t="str">
        <f t="shared" si="35"/>
        <v>BangsakaoDG-002-0025</v>
      </c>
      <c r="D510" s="63">
        <f>VLOOKUP(C510,'RAW DATA 2023'!E:BP,63,0)</f>
        <v>8</v>
      </c>
      <c r="E510" s="63" t="str">
        <f t="shared" si="36"/>
        <v>Bangsakao8</v>
      </c>
      <c r="F510" s="79">
        <f>ROUND(VLOOKUP(C510,'RAW DATA 2023'!E:BO,23,0),0)</f>
        <v>30</v>
      </c>
      <c r="G510" s="79">
        <f>VLOOKUP(C510,'RAW DATA 2023'!E:BO,24,0)</f>
        <v>64.972111111111104</v>
      </c>
      <c r="H510" s="79">
        <f>IFERROR(VLOOKUP(F510,STD!B:G,2,FALSE),"")</f>
        <v>76</v>
      </c>
      <c r="I510" s="100">
        <f t="shared" si="37"/>
        <v>0.85489619883040924</v>
      </c>
      <c r="J510" s="74">
        <f t="shared" si="38"/>
        <v>10.646885964912277</v>
      </c>
      <c r="K510">
        <f>VLOOKUP(C510,'RAW DATA 2023'!E:BO,12,0)</f>
        <v>0.9</v>
      </c>
      <c r="L510" s="268">
        <f t="shared" si="39"/>
        <v>9.5821973684210491</v>
      </c>
    </row>
    <row r="511" spans="1:12">
      <c r="A511" s="64" t="str">
        <f>'RAW DATA 2023'!B504</f>
        <v>Bangsakao</v>
      </c>
      <c r="B511" s="64" t="str">
        <f>'RAW DATA 2023'!D504</f>
        <v>DG-004-0023</v>
      </c>
      <c r="C511" s="63" t="str">
        <f t="shared" si="35"/>
        <v>BangsakaoDG-004-0023</v>
      </c>
      <c r="D511" s="63">
        <f>VLOOKUP(C511,'RAW DATA 2023'!E:BP,63,0)</f>
        <v>6</v>
      </c>
      <c r="E511" s="63" t="str">
        <f t="shared" si="36"/>
        <v>Bangsakao6</v>
      </c>
      <c r="F511" s="79">
        <f>ROUND(VLOOKUP(C511,'RAW DATA 2023'!E:BO,23,0),0)</f>
        <v>31</v>
      </c>
      <c r="G511" s="79">
        <f>VLOOKUP(C511,'RAW DATA 2023'!E:BO,24,0)</f>
        <v>68.95320000000001</v>
      </c>
      <c r="H511" s="79">
        <f>IFERROR(VLOOKUP(F511,STD!B:G,2,FALSE),"")</f>
        <v>76</v>
      </c>
      <c r="I511" s="100">
        <f t="shared" si="37"/>
        <v>0.90727894736842118</v>
      </c>
      <c r="J511" s="74">
        <f t="shared" si="38"/>
        <v>12.218368421052636</v>
      </c>
      <c r="K511">
        <f>VLOOKUP(C511,'RAW DATA 2023'!E:BO,12,0)</f>
        <v>1</v>
      </c>
      <c r="L511" s="268">
        <f t="shared" si="39"/>
        <v>12.218368421052636</v>
      </c>
    </row>
    <row r="512" spans="1:12">
      <c r="A512" s="64" t="str">
        <f>'RAW DATA 2023'!B505</f>
        <v>Bangsakao</v>
      </c>
      <c r="B512" s="64" t="str">
        <f>'RAW DATA 2023'!D505</f>
        <v>DG-003-0025</v>
      </c>
      <c r="C512" s="63" t="str">
        <f t="shared" si="35"/>
        <v>BangsakaoDG-003-0025</v>
      </c>
      <c r="D512" s="63">
        <f>VLOOKUP(C512,'RAW DATA 2023'!E:BP,63,0)</f>
        <v>7</v>
      </c>
      <c r="E512" s="63" t="str">
        <f t="shared" si="36"/>
        <v>Bangsakao7</v>
      </c>
      <c r="F512" s="79">
        <f>ROUND(VLOOKUP(C512,'RAW DATA 2023'!E:BO,23,0),0)</f>
        <v>32</v>
      </c>
      <c r="G512" s="79">
        <f>VLOOKUP(C512,'RAW DATA 2023'!E:BO,24,0)</f>
        <v>69.198099999999997</v>
      </c>
      <c r="H512" s="79">
        <f>IFERROR(VLOOKUP(F512,STD!B:G,2,FALSE),"")</f>
        <v>77</v>
      </c>
      <c r="I512" s="100">
        <f t="shared" si="37"/>
        <v>0.89867662337662335</v>
      </c>
      <c r="J512" s="74">
        <f t="shared" si="38"/>
        <v>11.960298701298701</v>
      </c>
      <c r="K512">
        <f>VLOOKUP(C512,'RAW DATA 2023'!E:BO,12,0)</f>
        <v>1</v>
      </c>
      <c r="L512" s="268">
        <f t="shared" si="39"/>
        <v>11.960298701298701</v>
      </c>
    </row>
    <row r="513" spans="1:12">
      <c r="A513" s="64" t="str">
        <f>'RAW DATA 2023'!B506</f>
        <v>Bangsakao</v>
      </c>
      <c r="B513" s="64" t="str">
        <f>'RAW DATA 2023'!D506</f>
        <v>DG-005-0024</v>
      </c>
      <c r="C513" s="63" t="str">
        <f t="shared" si="35"/>
        <v>BangsakaoDG-005-0024</v>
      </c>
      <c r="D513" s="63">
        <f>VLOOKUP(C513,'RAW DATA 2023'!E:BP,63,0)</f>
        <v>1</v>
      </c>
      <c r="E513" s="63" t="str">
        <f t="shared" si="36"/>
        <v>Bangsakao1</v>
      </c>
      <c r="F513" s="79">
        <f>ROUND(VLOOKUP(C513,'RAW DATA 2023'!E:BO,23,0),0)</f>
        <v>32</v>
      </c>
      <c r="G513" s="79">
        <f>VLOOKUP(C513,'RAW DATA 2023'!E:BO,24,0)</f>
        <v>73.046000000000006</v>
      </c>
      <c r="H513" s="79">
        <f>IFERROR(VLOOKUP(F513,STD!B:G,2,FALSE),"")</f>
        <v>77</v>
      </c>
      <c r="I513" s="100">
        <f t="shared" si="37"/>
        <v>0.94864935064935074</v>
      </c>
      <c r="J513" s="74">
        <f t="shared" si="38"/>
        <v>13.459480519480522</v>
      </c>
      <c r="K513">
        <f>VLOOKUP(C513,'RAW DATA 2023'!E:BO,12,0)</f>
        <v>0.8</v>
      </c>
      <c r="L513" s="268">
        <f t="shared" si="39"/>
        <v>10.767584415584418</v>
      </c>
    </row>
    <row r="514" spans="1:12">
      <c r="A514" s="64" t="str">
        <f>'RAW DATA 2023'!B507</f>
        <v>Bangsakao</v>
      </c>
      <c r="B514" s="64" t="str">
        <f>'RAW DATA 2023'!D507</f>
        <v>DG-006-0026</v>
      </c>
      <c r="C514" s="63" t="str">
        <f t="shared" si="35"/>
        <v>BangsakaoDG-006-0026</v>
      </c>
      <c r="D514" s="63">
        <f>VLOOKUP(C514,'RAW DATA 2023'!E:BP,63,0)</f>
        <v>6</v>
      </c>
      <c r="E514" s="63" t="str">
        <f t="shared" si="36"/>
        <v>Bangsakao6</v>
      </c>
      <c r="F514" s="79">
        <f>ROUND(VLOOKUP(C514,'RAW DATA 2023'!E:BO,23,0),0)</f>
        <v>42</v>
      </c>
      <c r="G514" s="79">
        <f>VLOOKUP(C514,'RAW DATA 2023'!E:BO,24,0)</f>
        <v>56.678777777777775</v>
      </c>
      <c r="H514" s="79">
        <f>IFERROR(VLOOKUP(F514,STD!B:G,2,FALSE),"")</f>
        <v>82</v>
      </c>
      <c r="I514" s="100">
        <f t="shared" si="37"/>
        <v>0.69120460704607045</v>
      </c>
      <c r="J514" s="74">
        <f t="shared" si="38"/>
        <v>5.736138211382114</v>
      </c>
      <c r="K514">
        <f>VLOOKUP(C514,'RAW DATA 2023'!E:BO,12,0)</f>
        <v>0.9</v>
      </c>
      <c r="L514" s="268">
        <f t="shared" si="39"/>
        <v>5.1625243902439024</v>
      </c>
    </row>
    <row r="515" spans="1:12">
      <c r="A515" s="64" t="str">
        <f>'RAW DATA 2023'!B508</f>
        <v>Bangsakao</v>
      </c>
      <c r="B515" s="64" t="str">
        <f>'RAW DATA 2023'!D508</f>
        <v>DG-004-0022</v>
      </c>
      <c r="C515" s="63" t="str">
        <f t="shared" si="35"/>
        <v>BangsakaoDG-004-0022</v>
      </c>
      <c r="D515" s="63">
        <f>VLOOKUP(C515,'RAW DATA 2023'!E:BP,63,0)</f>
        <v>2</v>
      </c>
      <c r="E515" s="63" t="str">
        <f t="shared" si="36"/>
        <v>Bangsakao2</v>
      </c>
      <c r="F515" s="79">
        <f>ROUND(VLOOKUP(C515,'RAW DATA 2023'!E:BO,23,0),0)</f>
        <v>32</v>
      </c>
      <c r="G515" s="79">
        <f>VLOOKUP(C515,'RAW DATA 2023'!E:BO,24,0)</f>
        <v>79.199624999999997</v>
      </c>
      <c r="H515" s="79">
        <f>IFERROR(VLOOKUP(F515,STD!B:G,2,FALSE),"")</f>
        <v>77</v>
      </c>
      <c r="I515" s="100">
        <f t="shared" si="37"/>
        <v>1.0285665584415584</v>
      </c>
      <c r="J515" s="74">
        <f t="shared" si="38"/>
        <v>15.856996753246753</v>
      </c>
      <c r="K515">
        <f>VLOOKUP(C515,'RAW DATA 2023'!E:BO,12,0)</f>
        <v>0.8</v>
      </c>
      <c r="L515" s="268">
        <f t="shared" si="39"/>
        <v>12.685597402597402</v>
      </c>
    </row>
    <row r="516" spans="1:12">
      <c r="A516" s="64" t="str">
        <f>'RAW DATA 2023'!B509</f>
        <v>Bangsakao</v>
      </c>
      <c r="B516" s="64" t="str">
        <f>'RAW DATA 2023'!D509</f>
        <v>DG-006-0025</v>
      </c>
      <c r="C516" s="63" t="str">
        <f t="shared" si="35"/>
        <v>BangsakaoDG-006-0025</v>
      </c>
      <c r="D516" s="63">
        <f>VLOOKUP(C516,'RAW DATA 2023'!E:BP,63,0)</f>
        <v>3</v>
      </c>
      <c r="E516" s="63" t="str">
        <f t="shared" si="36"/>
        <v>Bangsakao3</v>
      </c>
      <c r="F516" s="79">
        <f>ROUND(VLOOKUP(C516,'RAW DATA 2023'!E:BO,23,0),0)</f>
        <v>32</v>
      </c>
      <c r="G516" s="79">
        <f>VLOOKUP(C516,'RAW DATA 2023'!E:BO,24,0)</f>
        <v>81.207333333333338</v>
      </c>
      <c r="H516" s="79">
        <f>IFERROR(VLOOKUP(F516,STD!B:G,2,FALSE),"")</f>
        <v>77</v>
      </c>
      <c r="I516" s="100">
        <f t="shared" si="37"/>
        <v>1.0546406926406926</v>
      </c>
      <c r="J516" s="74">
        <f t="shared" si="38"/>
        <v>16.639220779220778</v>
      </c>
      <c r="K516">
        <f>VLOOKUP(C516,'RAW DATA 2023'!E:BO,12,0)</f>
        <v>0.9</v>
      </c>
      <c r="L516" s="268">
        <f t="shared" si="39"/>
        <v>14.975298701298701</v>
      </c>
    </row>
    <row r="517" spans="1:12">
      <c r="A517" s="64" t="str">
        <f>'RAW DATA 2023'!B510</f>
        <v>Bangsakao</v>
      </c>
      <c r="B517" s="64" t="str">
        <f>'RAW DATA 2023'!D510</f>
        <v>DG-001-0026</v>
      </c>
      <c r="C517" s="63" t="str">
        <f t="shared" si="35"/>
        <v>BangsakaoDG-001-0026</v>
      </c>
      <c r="D517" s="63">
        <f>VLOOKUP(C517,'RAW DATA 2023'!E:BP,63,0)</f>
        <v>1</v>
      </c>
      <c r="E517" s="63" t="str">
        <f t="shared" si="36"/>
        <v>Bangsakao1</v>
      </c>
      <c r="F517" s="79">
        <f>ROUND(VLOOKUP(C517,'RAW DATA 2023'!E:BO,23,0),0)</f>
        <v>34</v>
      </c>
      <c r="G517" s="79">
        <f>VLOOKUP(C517,'RAW DATA 2023'!E:BO,24,0)</f>
        <v>82.471499999999992</v>
      </c>
      <c r="H517" s="79">
        <f>IFERROR(VLOOKUP(F517,STD!B:G,2,FALSE),"")</f>
        <v>80</v>
      </c>
      <c r="I517" s="100">
        <f t="shared" si="37"/>
        <v>1.0308937499999999</v>
      </c>
      <c r="J517" s="74">
        <f t="shared" si="38"/>
        <v>15.926812499999999</v>
      </c>
      <c r="K517">
        <f>VLOOKUP(C517,'RAW DATA 2023'!E:BO,12,0)</f>
        <v>0.8</v>
      </c>
      <c r="L517" s="268">
        <f t="shared" si="39"/>
        <v>12.74145</v>
      </c>
    </row>
    <row r="518" spans="1:12">
      <c r="A518" s="64" t="str">
        <f>'RAW DATA 2023'!B511</f>
        <v>Bangsakao</v>
      </c>
      <c r="B518" s="64" t="str">
        <f>'RAW DATA 2023'!D511</f>
        <v>DG-003-0024</v>
      </c>
      <c r="C518" s="63" t="str">
        <f t="shared" si="35"/>
        <v>BangsakaoDG-003-0024</v>
      </c>
      <c r="D518" s="63">
        <f>VLOOKUP(C518,'RAW DATA 2023'!E:BP,63,0)</f>
        <v>2</v>
      </c>
      <c r="E518" s="63" t="str">
        <f t="shared" si="36"/>
        <v>Bangsakao2</v>
      </c>
      <c r="F518" s="79">
        <f>ROUND(VLOOKUP(C518,'RAW DATA 2023'!E:BO,23,0),0)</f>
        <v>32</v>
      </c>
      <c r="G518" s="79">
        <f>VLOOKUP(C518,'RAW DATA 2023'!E:BO,24,0)</f>
        <v>72.498750000000001</v>
      </c>
      <c r="H518" s="79">
        <f>IFERROR(VLOOKUP(F518,STD!B:G,2,FALSE),"")</f>
        <v>77</v>
      </c>
      <c r="I518" s="100">
        <f t="shared" si="37"/>
        <v>0.94154220779220776</v>
      </c>
      <c r="J518" s="74">
        <f t="shared" si="38"/>
        <v>13.246266233766233</v>
      </c>
      <c r="K518">
        <f>VLOOKUP(C518,'RAW DATA 2023'!E:BO,12,0)</f>
        <v>0.8</v>
      </c>
      <c r="L518" s="268">
        <f t="shared" si="39"/>
        <v>10.597012987012988</v>
      </c>
    </row>
    <row r="519" spans="1:12">
      <c r="A519" s="64" t="str">
        <f>'RAW DATA 2023'!B512</f>
        <v>Bangsakao</v>
      </c>
      <c r="B519" s="64" t="str">
        <f>'RAW DATA 2023'!D512</f>
        <v>DG-002-0024</v>
      </c>
      <c r="C519" s="63" t="str">
        <f t="shared" si="35"/>
        <v>BangsakaoDG-002-0024</v>
      </c>
      <c r="D519" s="63">
        <f>VLOOKUP(C519,'RAW DATA 2023'!E:BP,63,0)</f>
        <v>3</v>
      </c>
      <c r="E519" s="63" t="str">
        <f t="shared" si="36"/>
        <v>Bangsakao3</v>
      </c>
      <c r="F519" s="79">
        <f>ROUND(VLOOKUP(C519,'RAW DATA 2023'!E:BO,23,0),0)</f>
        <v>31</v>
      </c>
      <c r="G519" s="79">
        <f>VLOOKUP(C519,'RAW DATA 2023'!E:BO,24,0)</f>
        <v>89.235777777777784</v>
      </c>
      <c r="H519" s="79">
        <f>IFERROR(VLOOKUP(F519,STD!B:G,2,FALSE),"")</f>
        <v>76</v>
      </c>
      <c r="I519" s="100">
        <f t="shared" si="37"/>
        <v>1.1741549707602339</v>
      </c>
      <c r="J519" s="74">
        <f t="shared" si="38"/>
        <v>20.224649122807016</v>
      </c>
      <c r="K519">
        <f>VLOOKUP(C519,'RAW DATA 2023'!E:BO,12,0)</f>
        <v>0.9</v>
      </c>
      <c r="L519" s="268">
        <f t="shared" si="39"/>
        <v>18.202184210526315</v>
      </c>
    </row>
    <row r="520" spans="1:12">
      <c r="A520" s="64" t="str">
        <f>'RAW DATA 2023'!B513</f>
        <v>Bangsakao</v>
      </c>
      <c r="B520" s="64" t="str">
        <f>'RAW DATA 2023'!D513</f>
        <v>DG-001-0027</v>
      </c>
      <c r="C520" s="63" t="str">
        <f t="shared" si="35"/>
        <v>BangsakaoDG-001-0027</v>
      </c>
      <c r="D520" s="63">
        <f>VLOOKUP(C520,'RAW DATA 2023'!E:BP,63,0)</f>
        <v>6</v>
      </c>
      <c r="E520" s="63" t="str">
        <f t="shared" si="36"/>
        <v>Bangsakao6</v>
      </c>
      <c r="F520" s="79">
        <f>ROUND(VLOOKUP(C520,'RAW DATA 2023'!E:BO,23,0),0)</f>
        <v>28</v>
      </c>
      <c r="G520" s="79">
        <f>VLOOKUP(C520,'RAW DATA 2023'!E:BO,24,0)</f>
        <v>76.927800000000005</v>
      </c>
      <c r="H520" s="79">
        <f>IFERROR(VLOOKUP(F520,STD!B:G,2,FALSE),"")</f>
        <v>75</v>
      </c>
      <c r="I520" s="100">
        <f t="shared" si="37"/>
        <v>1.0257040000000002</v>
      </c>
      <c r="J520" s="74">
        <f t="shared" si="38"/>
        <v>15.771120000000005</v>
      </c>
      <c r="K520">
        <f>VLOOKUP(C520,'RAW DATA 2023'!E:BO,12,0)</f>
        <v>1</v>
      </c>
      <c r="L520" s="268">
        <f t="shared" si="39"/>
        <v>15.771120000000005</v>
      </c>
    </row>
    <row r="521" spans="1:12">
      <c r="A521" s="64" t="str">
        <f>'RAW DATA 2023'!B514</f>
        <v>Bangsakao</v>
      </c>
      <c r="B521" s="64" t="str">
        <f>'RAW DATA 2023'!D514</f>
        <v>CG-009-0024</v>
      </c>
      <c r="C521" s="63" t="str">
        <f t="shared" si="35"/>
        <v>BangsakaoCG-009-0024</v>
      </c>
      <c r="D521" s="63">
        <f>VLOOKUP(C521,'RAW DATA 2023'!E:BP,63,0)</f>
        <v>1</v>
      </c>
      <c r="E521" s="63" t="str">
        <f t="shared" si="36"/>
        <v>Bangsakao1</v>
      </c>
      <c r="F521" s="79">
        <f>ROUND(VLOOKUP(C521,'RAW DATA 2023'!E:BO,23,0),0)</f>
        <v>35</v>
      </c>
      <c r="G521" s="79">
        <f>VLOOKUP(C521,'RAW DATA 2023'!E:BO,24,0)</f>
        <v>59.069249999999997</v>
      </c>
      <c r="H521" s="79">
        <f>IFERROR(VLOOKUP(F521,STD!B:G,2,FALSE),"")</f>
        <v>80</v>
      </c>
      <c r="I521" s="100">
        <f t="shared" si="37"/>
        <v>0.73836562499999991</v>
      </c>
      <c r="J521" s="74">
        <f t="shared" si="38"/>
        <v>7.150968749999997</v>
      </c>
      <c r="K521">
        <f>VLOOKUP(C521,'RAW DATA 2023'!E:BO,12,0)</f>
        <v>1.6</v>
      </c>
      <c r="L521" s="268">
        <f t="shared" si="39"/>
        <v>11.441549999999996</v>
      </c>
    </row>
    <row r="522" spans="1:12">
      <c r="A522" s="64" t="str">
        <f>'RAW DATA 2023'!B515</f>
        <v>Bangsakao</v>
      </c>
      <c r="B522" s="64" t="str">
        <f>'RAW DATA 2023'!D515</f>
        <v>CG-008-0029</v>
      </c>
      <c r="C522" s="63" t="str">
        <f t="shared" ref="C522:C585" si="40">A522&amp;B522</f>
        <v>BangsakaoCG-008-0029</v>
      </c>
      <c r="D522" s="63">
        <f>VLOOKUP(C522,'RAW DATA 2023'!E:BP,63,0)</f>
        <v>6</v>
      </c>
      <c r="E522" s="63" t="str">
        <f t="shared" ref="E522:E585" si="41">A522&amp;D522</f>
        <v>Bangsakao6</v>
      </c>
      <c r="F522" s="79">
        <f>ROUND(VLOOKUP(C522,'RAW DATA 2023'!E:BO,23,0),0)</f>
        <v>49</v>
      </c>
      <c r="G522" s="79">
        <f>VLOOKUP(C522,'RAW DATA 2023'!E:BO,24,0)</f>
        <v>60.579857142857144</v>
      </c>
      <c r="H522" s="79">
        <f>IFERROR(VLOOKUP(F522,STD!B:G,2,FALSE),"")</f>
        <v>84</v>
      </c>
      <c r="I522" s="100">
        <f t="shared" si="37"/>
        <v>0.72118877551020411</v>
      </c>
      <c r="J522" s="74">
        <f t="shared" si="38"/>
        <v>6.6356632653061229</v>
      </c>
      <c r="K522">
        <f>VLOOKUP(C522,'RAW DATA 2023'!E:BO,12,0)</f>
        <v>1.4</v>
      </c>
      <c r="L522" s="268">
        <f t="shared" si="39"/>
        <v>9.2899285714285718</v>
      </c>
    </row>
    <row r="523" spans="1:12">
      <c r="A523" s="64" t="str">
        <f>'RAW DATA 2023'!B516</f>
        <v>Bangsakao</v>
      </c>
      <c r="B523" s="64" t="str">
        <f>'RAW DATA 2023'!D516</f>
        <v>CG-004-0025</v>
      </c>
      <c r="C523" s="63" t="str">
        <f t="shared" si="40"/>
        <v>BangsakaoCG-004-0025</v>
      </c>
      <c r="D523" s="63">
        <f>VLOOKUP(C523,'RAW DATA 2023'!E:BP,63,0)</f>
        <v>4</v>
      </c>
      <c r="E523" s="63" t="str">
        <f t="shared" si="41"/>
        <v>Bangsakao4</v>
      </c>
      <c r="F523" s="79">
        <f>ROUND(VLOOKUP(C523,'RAW DATA 2023'!E:BO,23,0),0)</f>
        <v>43</v>
      </c>
      <c r="G523" s="79">
        <f>VLOOKUP(C523,'RAW DATA 2023'!E:BO,24,0)</f>
        <v>89.869888888888894</v>
      </c>
      <c r="H523" s="79">
        <f>IFERROR(VLOOKUP(F523,STD!B:G,2,FALSE),"")</f>
        <v>83</v>
      </c>
      <c r="I523" s="100">
        <f t="shared" ref="I523:I586" si="42">IFERROR(G523/H523,0)</f>
        <v>1.0827697456492638</v>
      </c>
      <c r="J523" s="74">
        <f t="shared" ref="J523:J586" si="43">(I523-$E$4)*$E$7</f>
        <v>17.483092369477912</v>
      </c>
      <c r="K523">
        <f>VLOOKUP(C523,'RAW DATA 2023'!E:BO,12,0)</f>
        <v>1.8</v>
      </c>
      <c r="L523" s="268">
        <f t="shared" ref="L523:L586" si="44">J523*K523</f>
        <v>31.469566265060244</v>
      </c>
    </row>
    <row r="524" spans="1:12">
      <c r="A524" s="64" t="str">
        <f>'RAW DATA 2023'!B517</f>
        <v>Bangsakao</v>
      </c>
      <c r="B524" s="64" t="str">
        <f>'RAW DATA 2023'!D517</f>
        <v>CG-009-0025</v>
      </c>
      <c r="C524" s="63" t="str">
        <f t="shared" si="40"/>
        <v>BangsakaoCG-009-0025</v>
      </c>
      <c r="D524" s="63">
        <f>VLOOKUP(C524,'RAW DATA 2023'!E:BP,63,0)</f>
        <v>6</v>
      </c>
      <c r="E524" s="63" t="str">
        <f t="shared" si="41"/>
        <v>Bangsakao6</v>
      </c>
      <c r="F524" s="79">
        <f>ROUND(VLOOKUP(C524,'RAW DATA 2023'!E:BO,23,0),0)</f>
        <v>34</v>
      </c>
      <c r="G524" s="79">
        <f>VLOOKUP(C524,'RAW DATA 2023'!E:BO,24,0)</f>
        <v>88.713714285714289</v>
      </c>
      <c r="H524" s="79">
        <f>IFERROR(VLOOKUP(F524,STD!B:G,2,FALSE),"")</f>
        <v>80</v>
      </c>
      <c r="I524" s="100">
        <f t="shared" si="42"/>
        <v>1.1089214285714286</v>
      </c>
      <c r="J524" s="74">
        <f t="shared" si="43"/>
        <v>18.26764285714286</v>
      </c>
      <c r="K524">
        <f>VLOOKUP(C524,'RAW DATA 2023'!E:BO,12,0)</f>
        <v>1.4</v>
      </c>
      <c r="L524" s="268">
        <f t="shared" si="44"/>
        <v>25.574700000000004</v>
      </c>
    </row>
    <row r="525" spans="1:12">
      <c r="A525" s="64" t="str">
        <f>'RAW DATA 2023'!B518</f>
        <v>Bangsakao</v>
      </c>
      <c r="B525" s="64" t="str">
        <f>'RAW DATA 2023'!D518</f>
        <v>CG-008-0030</v>
      </c>
      <c r="C525" s="63" t="str">
        <f t="shared" si="40"/>
        <v>BangsakaoCG-008-0030</v>
      </c>
      <c r="D525" s="63">
        <f>VLOOKUP(C525,'RAW DATA 2023'!E:BP,63,0)</f>
        <v>12</v>
      </c>
      <c r="E525" s="63" t="str">
        <f t="shared" si="41"/>
        <v>Bangsakao12</v>
      </c>
      <c r="F525" s="79">
        <f>ROUND(VLOOKUP(C525,'RAW DATA 2023'!E:BO,23,0),0)</f>
        <v>36</v>
      </c>
      <c r="G525" s="79">
        <f>VLOOKUP(C525,'RAW DATA 2023'!E:BO,24,0)</f>
        <v>84.441642857142867</v>
      </c>
      <c r="H525" s="79">
        <f>IFERROR(VLOOKUP(F525,STD!B:G,2,FALSE),"")</f>
        <v>81</v>
      </c>
      <c r="I525" s="100">
        <f t="shared" si="42"/>
        <v>1.0424894179894182</v>
      </c>
      <c r="J525" s="74">
        <f t="shared" si="43"/>
        <v>16.274682539682544</v>
      </c>
      <c r="K525">
        <f>VLOOKUP(C525,'RAW DATA 2023'!E:BO,12,0)</f>
        <v>1.4</v>
      </c>
      <c r="L525" s="268">
        <f t="shared" si="44"/>
        <v>22.78455555555556</v>
      </c>
    </row>
    <row r="526" spans="1:12">
      <c r="A526" s="64" t="str">
        <f>'RAW DATA 2023'!B519</f>
        <v>Bangsakao</v>
      </c>
      <c r="B526" s="64" t="str">
        <f>'RAW DATA 2023'!D519</f>
        <v>CG-002-0028</v>
      </c>
      <c r="C526" s="63" t="str">
        <f t="shared" si="40"/>
        <v>BangsakaoCG-002-0028</v>
      </c>
      <c r="D526" s="63">
        <f>VLOOKUP(C526,'RAW DATA 2023'!E:BP,63,0)</f>
        <v>6</v>
      </c>
      <c r="E526" s="63" t="str">
        <f t="shared" si="41"/>
        <v>Bangsakao6</v>
      </c>
      <c r="F526" s="79">
        <f>ROUND(VLOOKUP(C526,'RAW DATA 2023'!E:BO,23,0),0)</f>
        <v>41</v>
      </c>
      <c r="G526" s="79">
        <f>VLOOKUP(C526,'RAW DATA 2023'!E:BO,24,0)</f>
        <v>87.471500000000006</v>
      </c>
      <c r="H526" s="79">
        <f>IFERROR(VLOOKUP(F526,STD!B:G,2,FALSE),"")</f>
        <v>82</v>
      </c>
      <c r="I526" s="100">
        <f t="shared" si="42"/>
        <v>1.0667256097560975</v>
      </c>
      <c r="J526" s="74">
        <f t="shared" si="43"/>
        <v>17.001768292682925</v>
      </c>
      <c r="K526">
        <f>VLOOKUP(C526,'RAW DATA 2023'!E:BO,12,0)</f>
        <v>1.4</v>
      </c>
      <c r="L526" s="268">
        <f t="shared" si="44"/>
        <v>23.802475609756094</v>
      </c>
    </row>
    <row r="527" spans="1:12">
      <c r="A527" s="64" t="str">
        <f>'RAW DATA 2023'!B520</f>
        <v>Bangsakao</v>
      </c>
      <c r="B527" s="64" t="str">
        <f>'RAW DATA 2023'!D520</f>
        <v>CG-003-0025</v>
      </c>
      <c r="C527" s="63" t="str">
        <f t="shared" si="40"/>
        <v>BangsakaoCG-003-0025</v>
      </c>
      <c r="D527" s="63">
        <f>VLOOKUP(C527,'RAW DATA 2023'!E:BP,63,0)</f>
        <v>1</v>
      </c>
      <c r="E527" s="63" t="str">
        <f t="shared" si="41"/>
        <v>Bangsakao1</v>
      </c>
      <c r="F527" s="79">
        <f>ROUND(VLOOKUP(C527,'RAW DATA 2023'!E:BO,23,0),0)</f>
        <v>40</v>
      </c>
      <c r="G527" s="79">
        <f>VLOOKUP(C527,'RAW DATA 2023'!E:BO,24,0)</f>
        <v>73.592575187969928</v>
      </c>
      <c r="H527" s="79">
        <f>IFERROR(VLOOKUP(F527,STD!B:G,2,FALSE),"")</f>
        <v>82</v>
      </c>
      <c r="I527" s="100">
        <f t="shared" si="42"/>
        <v>0.89747042912158448</v>
      </c>
      <c r="J527" s="74">
        <f t="shared" si="43"/>
        <v>11.924112873647534</v>
      </c>
      <c r="K527">
        <f>VLOOKUP(C527,'RAW DATA 2023'!E:BO,12,0)</f>
        <v>1.9152</v>
      </c>
      <c r="L527" s="268">
        <f t="shared" si="44"/>
        <v>22.837060975609756</v>
      </c>
    </row>
    <row r="528" spans="1:12">
      <c r="A528" s="64" t="str">
        <f>'RAW DATA 2023'!B521</f>
        <v>Bangsakao</v>
      </c>
      <c r="B528" s="64" t="str">
        <f>'RAW DATA 2023'!D521</f>
        <v>CG-006-0028</v>
      </c>
      <c r="C528" s="63" t="str">
        <f t="shared" si="40"/>
        <v>BangsakaoCG-006-0028</v>
      </c>
      <c r="D528" s="63">
        <f>VLOOKUP(C528,'RAW DATA 2023'!E:BP,63,0)</f>
        <v>2</v>
      </c>
      <c r="E528" s="63" t="str">
        <f t="shared" si="41"/>
        <v>Bangsakao2</v>
      </c>
      <c r="F528" s="79">
        <f>ROUND(VLOOKUP(C528,'RAW DATA 2023'!E:BO,23,0),0)</f>
        <v>39</v>
      </c>
      <c r="G528" s="79">
        <f>VLOOKUP(C528,'RAW DATA 2023'!E:BO,24,0)</f>
        <v>81.659599999999998</v>
      </c>
      <c r="H528" s="79">
        <f>IFERROR(VLOOKUP(F528,STD!B:G,2,FALSE),"")</f>
        <v>82</v>
      </c>
      <c r="I528" s="100">
        <f t="shared" si="42"/>
        <v>0.9958487804878049</v>
      </c>
      <c r="J528" s="74">
        <f t="shared" si="43"/>
        <v>14.875463414634147</v>
      </c>
      <c r="K528">
        <f>VLOOKUP(C528,'RAW DATA 2023'!E:BO,12,0)</f>
        <v>2</v>
      </c>
      <c r="L528" s="268">
        <f t="shared" si="44"/>
        <v>29.750926829268295</v>
      </c>
    </row>
    <row r="529" spans="1:12">
      <c r="A529" s="64" t="str">
        <f>'RAW DATA 2023'!B522</f>
        <v>Bangsakao</v>
      </c>
      <c r="B529" s="64" t="str">
        <f>'RAW DATA 2023'!D522</f>
        <v>CG-003-0026</v>
      </c>
      <c r="C529" s="63" t="str">
        <f t="shared" si="40"/>
        <v>BangsakaoCG-003-0026</v>
      </c>
      <c r="D529" s="63">
        <f>VLOOKUP(C529,'RAW DATA 2023'!E:BP,63,0)</f>
        <v>4</v>
      </c>
      <c r="E529" s="63" t="str">
        <f t="shared" si="41"/>
        <v>Bangsakao4</v>
      </c>
      <c r="F529" s="79">
        <f>ROUND(VLOOKUP(C529,'RAW DATA 2023'!E:BO,23,0),0)</f>
        <v>55</v>
      </c>
      <c r="G529" s="79">
        <f>VLOOKUP(C529,'RAW DATA 2023'!E:BO,24,0)</f>
        <v>82.290499999999994</v>
      </c>
      <c r="H529" s="79">
        <f>IFERROR(VLOOKUP(F529,STD!B:G,2,FALSE),"")</f>
        <v>86</v>
      </c>
      <c r="I529" s="100">
        <f t="shared" si="42"/>
        <v>0.9568662790697674</v>
      </c>
      <c r="J529" s="74">
        <f t="shared" si="43"/>
        <v>13.705988372093023</v>
      </c>
      <c r="K529">
        <f>VLOOKUP(C529,'RAW DATA 2023'!E:BO,12,0)</f>
        <v>1.8</v>
      </c>
      <c r="L529" s="268">
        <f t="shared" si="44"/>
        <v>24.670779069767441</v>
      </c>
    </row>
    <row r="530" spans="1:12">
      <c r="A530" s="64" t="str">
        <f>'RAW DATA 2023'!B523</f>
        <v>Bangsakao</v>
      </c>
      <c r="B530" s="64" t="str">
        <f>'RAW DATA 2023'!D523</f>
        <v>DG-001-0028</v>
      </c>
      <c r="C530" s="63" t="str">
        <f t="shared" si="40"/>
        <v>BangsakaoDG-001-0028</v>
      </c>
      <c r="D530" s="63">
        <f>VLOOKUP(C530,'RAW DATA 2023'!E:BP,63,0)</f>
        <v>11</v>
      </c>
      <c r="E530" s="63" t="str">
        <f t="shared" si="41"/>
        <v>Bangsakao11</v>
      </c>
      <c r="F530" s="79">
        <f>ROUND(VLOOKUP(C530,'RAW DATA 2023'!E:BO,23,0),0)</f>
        <v>36</v>
      </c>
      <c r="G530" s="79">
        <f>VLOOKUP(C530,'RAW DATA 2023'!E:BO,24,0)</f>
        <v>68.177250000000001</v>
      </c>
      <c r="H530" s="79">
        <f>IFERROR(VLOOKUP(F530,STD!B:G,2,FALSE),"")</f>
        <v>81</v>
      </c>
      <c r="I530" s="100">
        <f t="shared" si="42"/>
        <v>0.84169444444444441</v>
      </c>
      <c r="J530" s="74">
        <f t="shared" si="43"/>
        <v>10.250833333333333</v>
      </c>
      <c r="K530">
        <f>VLOOKUP(C530,'RAW DATA 2023'!E:BO,12,0)</f>
        <v>0.8</v>
      </c>
      <c r="L530" s="268">
        <f t="shared" si="44"/>
        <v>8.2006666666666668</v>
      </c>
    </row>
    <row r="531" spans="1:12">
      <c r="A531" s="64" t="str">
        <f>'RAW DATA 2023'!B524</f>
        <v>Bangsakao</v>
      </c>
      <c r="B531" s="64" t="str">
        <f>'RAW DATA 2023'!D524</f>
        <v>DG-005-0026</v>
      </c>
      <c r="C531" s="63" t="str">
        <f t="shared" si="40"/>
        <v>BangsakaoDG-005-0026</v>
      </c>
      <c r="D531" s="63">
        <f>VLOOKUP(C531,'RAW DATA 2023'!E:BP,63,0)</f>
        <v>11</v>
      </c>
      <c r="E531" s="63" t="str">
        <f t="shared" si="41"/>
        <v>Bangsakao11</v>
      </c>
      <c r="F531" s="79">
        <f>ROUND(VLOOKUP(C531,'RAW DATA 2023'!E:BO,23,0),0)</f>
        <v>36</v>
      </c>
      <c r="G531" s="79">
        <f>VLOOKUP(C531,'RAW DATA 2023'!E:BO,24,0)</f>
        <v>65.564624999999992</v>
      </c>
      <c r="H531" s="79">
        <f>IFERROR(VLOOKUP(F531,STD!B:G,2,FALSE),"")</f>
        <v>81</v>
      </c>
      <c r="I531" s="100">
        <f t="shared" si="42"/>
        <v>0.80943981481481475</v>
      </c>
      <c r="J531" s="74">
        <f t="shared" si="43"/>
        <v>9.2831944444444421</v>
      </c>
      <c r="K531">
        <f>VLOOKUP(C531,'RAW DATA 2023'!E:BO,12,0)</f>
        <v>0.8</v>
      </c>
      <c r="L531" s="268">
        <f t="shared" si="44"/>
        <v>7.426555555555554</v>
      </c>
    </row>
    <row r="532" spans="1:12">
      <c r="A532" s="64" t="str">
        <f>'RAW DATA 2023'!B525</f>
        <v>Bangsakao</v>
      </c>
      <c r="B532" s="64" t="str">
        <f>'RAW DATA 2023'!D525</f>
        <v>DG-002-0026</v>
      </c>
      <c r="C532" s="63" t="str">
        <f t="shared" si="40"/>
        <v>BangsakaoDG-002-0026</v>
      </c>
      <c r="D532" s="63">
        <f>VLOOKUP(C532,'RAW DATA 2023'!E:BP,63,0)</f>
        <v>12</v>
      </c>
      <c r="E532" s="63" t="str">
        <f t="shared" si="41"/>
        <v>Bangsakao12</v>
      </c>
      <c r="F532" s="79">
        <f>ROUND(VLOOKUP(C532,'RAW DATA 2023'!E:BO,23,0),0)</f>
        <v>38</v>
      </c>
      <c r="G532" s="79">
        <f>VLOOKUP(C532,'RAW DATA 2023'!E:BO,24,0)</f>
        <v>63.298250000000003</v>
      </c>
      <c r="H532" s="79">
        <f>IFERROR(VLOOKUP(F532,STD!B:G,2,FALSE),"")</f>
        <v>81</v>
      </c>
      <c r="I532" s="100">
        <f t="shared" si="42"/>
        <v>0.78145987654320992</v>
      </c>
      <c r="J532" s="74">
        <f t="shared" si="43"/>
        <v>8.4437962962962985</v>
      </c>
      <c r="K532">
        <f>VLOOKUP(C532,'RAW DATA 2023'!E:BO,12,0)</f>
        <v>0.8</v>
      </c>
      <c r="L532" s="268">
        <f t="shared" si="44"/>
        <v>6.7550370370370389</v>
      </c>
    </row>
    <row r="533" spans="1:12">
      <c r="A533" s="64" t="str">
        <f>'RAW DATA 2023'!B526</f>
        <v>Bangsakao</v>
      </c>
      <c r="B533" s="64" t="str">
        <f>'RAW DATA 2023'!D526</f>
        <v>DG-006-0027</v>
      </c>
      <c r="C533" s="63" t="str">
        <f t="shared" si="40"/>
        <v>BangsakaoDG-006-0027</v>
      </c>
      <c r="D533" s="63">
        <f>VLOOKUP(C533,'RAW DATA 2023'!E:BP,63,0)</f>
        <v>11</v>
      </c>
      <c r="E533" s="63" t="str">
        <f t="shared" si="41"/>
        <v>Bangsakao11</v>
      </c>
      <c r="F533" s="79">
        <f>ROUND(VLOOKUP(C533,'RAW DATA 2023'!E:BO,23,0),0)</f>
        <v>35</v>
      </c>
      <c r="G533" s="79">
        <f>VLOOKUP(C533,'RAW DATA 2023'!E:BO,24,0)</f>
        <v>70.27624999999999</v>
      </c>
      <c r="H533" s="79">
        <f>IFERROR(VLOOKUP(F533,STD!B:G,2,FALSE),"")</f>
        <v>80</v>
      </c>
      <c r="I533" s="100">
        <f t="shared" si="42"/>
        <v>0.87845312499999983</v>
      </c>
      <c r="J533" s="74">
        <f t="shared" si="43"/>
        <v>11.353593749999995</v>
      </c>
      <c r="K533">
        <f>VLOOKUP(C533,'RAW DATA 2023'!E:BO,12,0)</f>
        <v>0.8</v>
      </c>
      <c r="L533" s="268">
        <f t="shared" si="44"/>
        <v>9.082874999999996</v>
      </c>
    </row>
    <row r="534" spans="1:12">
      <c r="A534" s="64" t="str">
        <f>'RAW DATA 2023'!B527</f>
        <v>Bangsakao</v>
      </c>
      <c r="B534" s="64" t="str">
        <f>'RAW DATA 2023'!D527</f>
        <v>CG-006-0031</v>
      </c>
      <c r="C534" s="63" t="str">
        <f t="shared" si="40"/>
        <v>BangsakaoCG-006-0031</v>
      </c>
      <c r="D534" s="63">
        <f>VLOOKUP(C534,'RAW DATA 2023'!E:BP,63,0)</f>
        <v>12</v>
      </c>
      <c r="E534" s="63" t="str">
        <f t="shared" si="41"/>
        <v>Bangsakao12</v>
      </c>
      <c r="F534" s="79">
        <f>ROUND(VLOOKUP(C534,'RAW DATA 2023'!E:BO,23,0),0)</f>
        <v>44</v>
      </c>
      <c r="G534" s="79">
        <f>VLOOKUP(C534,'RAW DATA 2023'!E:BO,24,0)</f>
        <v>70.009749999999997</v>
      </c>
      <c r="H534" s="79">
        <f>IFERROR(VLOOKUP(F534,STD!B:G,2,FALSE),"")</f>
        <v>83</v>
      </c>
      <c r="I534" s="100">
        <f t="shared" si="42"/>
        <v>0.84349096385542166</v>
      </c>
      <c r="J534" s="74">
        <f t="shared" si="43"/>
        <v>10.30472891566265</v>
      </c>
      <c r="K534">
        <f>VLOOKUP(C534,'RAW DATA 2023'!E:BO,12,0)</f>
        <v>2</v>
      </c>
      <c r="L534" s="268">
        <f t="shared" si="44"/>
        <v>20.609457831325301</v>
      </c>
    </row>
    <row r="535" spans="1:12">
      <c r="A535" s="64" t="str">
        <f>'RAW DATA 2023'!B528</f>
        <v>Bangsakao</v>
      </c>
      <c r="B535" s="64" t="str">
        <f>'RAW DATA 2023'!D528</f>
        <v>CG-008-0028</v>
      </c>
      <c r="C535" s="63" t="str">
        <f t="shared" si="40"/>
        <v>BangsakaoCG-008-0028</v>
      </c>
      <c r="D535" s="63">
        <f>VLOOKUP(C535,'RAW DATA 2023'!E:BP,63,0)</f>
        <v>4</v>
      </c>
      <c r="E535" s="63" t="str">
        <f t="shared" si="41"/>
        <v>Bangsakao4</v>
      </c>
      <c r="F535" s="79">
        <f>ROUND(VLOOKUP(C535,'RAW DATA 2023'!E:BO,23,0),0)</f>
        <v>33</v>
      </c>
      <c r="G535" s="79">
        <f>VLOOKUP(C535,'RAW DATA 2023'!E:BO,24,0)</f>
        <v>90.92</v>
      </c>
      <c r="H535" s="79">
        <f>IFERROR(VLOOKUP(F535,STD!B:G,2,FALSE),"")</f>
        <v>79</v>
      </c>
      <c r="I535" s="100">
        <f t="shared" si="42"/>
        <v>1.1508860759493671</v>
      </c>
      <c r="J535" s="74">
        <f t="shared" si="43"/>
        <v>19.526582278481012</v>
      </c>
      <c r="K535">
        <f>VLOOKUP(C535,'RAW DATA 2023'!E:BO,12,0)</f>
        <v>1.4</v>
      </c>
      <c r="L535" s="268">
        <f t="shared" si="44"/>
        <v>27.337215189873415</v>
      </c>
    </row>
    <row r="536" spans="1:12">
      <c r="A536" s="64" t="str">
        <f>'RAW DATA 2023'!B529</f>
        <v>Bangsakao</v>
      </c>
      <c r="B536" s="64" t="str">
        <f>'RAW DATA 2023'!D529</f>
        <v>CG-002-0027</v>
      </c>
      <c r="C536" s="63" t="str">
        <f t="shared" si="40"/>
        <v>BangsakaoCG-002-0027</v>
      </c>
      <c r="D536" s="63">
        <f>VLOOKUP(C536,'RAW DATA 2023'!E:BP,63,0)</f>
        <v>3</v>
      </c>
      <c r="E536" s="63" t="str">
        <f t="shared" si="41"/>
        <v>Bangsakao3</v>
      </c>
      <c r="F536" s="79">
        <f>ROUND(VLOOKUP(C536,'RAW DATA 2023'!E:BO,23,0),0)</f>
        <v>36</v>
      </c>
      <c r="G536" s="79">
        <f>VLOOKUP(C536,'RAW DATA 2023'!E:BO,24,0)</f>
        <v>88.311714285714288</v>
      </c>
      <c r="H536" s="79">
        <f>IFERROR(VLOOKUP(F536,STD!B:G,2,FALSE),"")</f>
        <v>81</v>
      </c>
      <c r="I536" s="100">
        <f t="shared" si="42"/>
        <v>1.0902680776014109</v>
      </c>
      <c r="J536" s="74">
        <f t="shared" si="43"/>
        <v>17.708042328042325</v>
      </c>
      <c r="K536">
        <f>VLOOKUP(C536,'RAW DATA 2023'!E:BO,12,0)</f>
        <v>1.4</v>
      </c>
      <c r="L536" s="268">
        <f t="shared" si="44"/>
        <v>24.791259259259252</v>
      </c>
    </row>
    <row r="537" spans="1:12">
      <c r="A537" s="64" t="str">
        <f>'RAW DATA 2023'!B530</f>
        <v>Bangsakao</v>
      </c>
      <c r="B537" s="64" t="str">
        <f>'RAW DATA 2023'!D530</f>
        <v>CG-007-0024</v>
      </c>
      <c r="C537" s="63" t="str">
        <f t="shared" si="40"/>
        <v>BangsakaoCG-007-0024</v>
      </c>
      <c r="D537" s="63">
        <f>VLOOKUP(C537,'RAW DATA 2023'!E:BP,63,0)</f>
        <v>3</v>
      </c>
      <c r="E537" s="63" t="str">
        <f t="shared" si="41"/>
        <v>Bangsakao3</v>
      </c>
      <c r="F537" s="79">
        <f>ROUND(VLOOKUP(C537,'RAW DATA 2023'!E:BO,23,0),0)</f>
        <v>36</v>
      </c>
      <c r="G537" s="79">
        <f>VLOOKUP(C537,'RAW DATA 2023'!E:BO,24,0)</f>
        <v>84.510142857142853</v>
      </c>
      <c r="H537" s="79">
        <f>IFERROR(VLOOKUP(F537,STD!B:G,2,FALSE),"")</f>
        <v>81</v>
      </c>
      <c r="I537" s="100">
        <f t="shared" si="42"/>
        <v>1.0433350970017636</v>
      </c>
      <c r="J537" s="74">
        <f t="shared" si="43"/>
        <v>16.300052910052909</v>
      </c>
      <c r="K537">
        <f>VLOOKUP(C537,'RAW DATA 2023'!E:BO,12,0)</f>
        <v>1.4</v>
      </c>
      <c r="L537" s="268">
        <f t="shared" si="44"/>
        <v>22.820074074074071</v>
      </c>
    </row>
    <row r="538" spans="1:12">
      <c r="A538" s="64" t="str">
        <f>'RAW DATA 2023'!B531</f>
        <v>Bangsakao</v>
      </c>
      <c r="B538" s="64" t="str">
        <f>'RAW DATA 2023'!D531</f>
        <v>CG-007-0025</v>
      </c>
      <c r="C538" s="63" t="str">
        <f t="shared" si="40"/>
        <v>BangsakaoCG-007-0025</v>
      </c>
      <c r="D538" s="63">
        <f>VLOOKUP(C538,'RAW DATA 2023'!E:BP,63,0)</f>
        <v>6</v>
      </c>
      <c r="E538" s="63" t="str">
        <f t="shared" si="41"/>
        <v>Bangsakao6</v>
      </c>
      <c r="F538" s="79">
        <f>ROUND(VLOOKUP(C538,'RAW DATA 2023'!E:BO,23,0),0)</f>
        <v>73</v>
      </c>
      <c r="G538" s="79">
        <f>VLOOKUP(C538,'RAW DATA 2023'!E:BO,24,0)</f>
        <v>65.77421428571428</v>
      </c>
      <c r="H538" s="79">
        <f>IFERROR(VLOOKUP(F538,STD!B:G,2,FALSE),"")</f>
        <v>89</v>
      </c>
      <c r="I538" s="100">
        <f t="shared" si="42"/>
        <v>0.7390361155698234</v>
      </c>
      <c r="J538" s="74">
        <f t="shared" si="43"/>
        <v>7.1710834670947019</v>
      </c>
      <c r="K538">
        <f>VLOOKUP(C538,'RAW DATA 2023'!E:BO,12,0)</f>
        <v>1.4</v>
      </c>
      <c r="L538" s="268">
        <f t="shared" si="44"/>
        <v>10.039516853932582</v>
      </c>
    </row>
    <row r="539" spans="1:12">
      <c r="A539" s="64" t="str">
        <f>'RAW DATA 2023'!B532</f>
        <v>Bangsakao</v>
      </c>
      <c r="B539" s="64" t="str">
        <f>'RAW DATA 2023'!D532</f>
        <v>DG-004-0024</v>
      </c>
      <c r="C539" s="63" t="str">
        <f t="shared" si="40"/>
        <v>BangsakaoDG-004-0024</v>
      </c>
      <c r="D539" s="63">
        <f>VLOOKUP(C539,'RAW DATA 2023'!E:BP,63,0)</f>
        <v>12</v>
      </c>
      <c r="E539" s="63" t="str">
        <f t="shared" si="41"/>
        <v>Bangsakao12</v>
      </c>
      <c r="F539" s="79">
        <f>ROUND(VLOOKUP(C539,'RAW DATA 2023'!E:BO,23,0),0)</f>
        <v>40</v>
      </c>
      <c r="G539" s="79">
        <f>VLOOKUP(C539,'RAW DATA 2023'!E:BO,24,0)</f>
        <v>70.579374999999999</v>
      </c>
      <c r="H539" s="79">
        <f>IFERROR(VLOOKUP(F539,STD!B:G,2,FALSE),"")</f>
        <v>82</v>
      </c>
      <c r="I539" s="100">
        <f t="shared" si="42"/>
        <v>0.86072408536585365</v>
      </c>
      <c r="J539" s="74">
        <f t="shared" si="43"/>
        <v>10.82172256097561</v>
      </c>
      <c r="K539">
        <f>VLOOKUP(C539,'RAW DATA 2023'!E:BO,12,0)</f>
        <v>0.8</v>
      </c>
      <c r="L539" s="268">
        <f t="shared" si="44"/>
        <v>8.6573780487804886</v>
      </c>
    </row>
    <row r="540" spans="1:12">
      <c r="A540" s="64" t="str">
        <f>'RAW DATA 2023'!B533</f>
        <v>Bangsakao</v>
      </c>
      <c r="B540" s="64" t="str">
        <f>'RAW DATA 2023'!D533</f>
        <v>DG-003-0026</v>
      </c>
      <c r="C540" s="63" t="str">
        <f t="shared" si="40"/>
        <v>BangsakaoDG-003-0026</v>
      </c>
      <c r="D540" s="63">
        <f>VLOOKUP(C540,'RAW DATA 2023'!E:BP,63,0)</f>
        <v>12</v>
      </c>
      <c r="E540" s="63" t="str">
        <f t="shared" si="41"/>
        <v>Bangsakao12</v>
      </c>
      <c r="F540" s="79">
        <f>ROUND(VLOOKUP(C540,'RAW DATA 2023'!E:BO,23,0),0)</f>
        <v>42</v>
      </c>
      <c r="G540" s="79">
        <f>VLOOKUP(C540,'RAW DATA 2023'!E:BO,24,0)</f>
        <v>71.016999999999996</v>
      </c>
      <c r="H540" s="79">
        <f>IFERROR(VLOOKUP(F540,STD!B:G,2,FALSE),"")</f>
        <v>82</v>
      </c>
      <c r="I540" s="100">
        <f t="shared" si="42"/>
        <v>0.86606097560975603</v>
      </c>
      <c r="J540" s="74">
        <f t="shared" si="43"/>
        <v>10.981829268292682</v>
      </c>
      <c r="K540">
        <f>VLOOKUP(C540,'RAW DATA 2023'!E:BO,12,0)</f>
        <v>0.8</v>
      </c>
      <c r="L540" s="268">
        <f t="shared" si="44"/>
        <v>8.7854634146341457</v>
      </c>
    </row>
    <row r="541" spans="1:12">
      <c r="A541" s="64" t="str">
        <f>'RAW DATA 2023'!B534</f>
        <v>Bangsakao</v>
      </c>
      <c r="B541" s="64" t="str">
        <f>'RAW DATA 2023'!D534</f>
        <v>CG-006-0029</v>
      </c>
      <c r="C541" s="63" t="str">
        <f t="shared" si="40"/>
        <v>BangsakaoCG-006-0029</v>
      </c>
      <c r="D541" s="63">
        <f>VLOOKUP(C541,'RAW DATA 2023'!E:BP,63,0)</f>
        <v>5</v>
      </c>
      <c r="E541" s="63" t="str">
        <f t="shared" si="41"/>
        <v>Bangsakao5</v>
      </c>
      <c r="F541" s="79">
        <f>ROUND(VLOOKUP(C541,'RAW DATA 2023'!E:BO,23,0),0)</f>
        <v>61</v>
      </c>
      <c r="G541" s="79">
        <f>VLOOKUP(C541,'RAW DATA 2023'!E:BO,24,0)</f>
        <v>71.440749999999994</v>
      </c>
      <c r="H541" s="79">
        <f>IFERROR(VLOOKUP(F541,STD!B:G,2,FALSE),"")</f>
        <v>87</v>
      </c>
      <c r="I541" s="100">
        <f t="shared" si="42"/>
        <v>0.82115804597701147</v>
      </c>
      <c r="J541" s="74">
        <f t="shared" si="43"/>
        <v>9.6347413793103449</v>
      </c>
      <c r="K541">
        <f>VLOOKUP(C541,'RAW DATA 2023'!E:BO,12,0)</f>
        <v>2</v>
      </c>
      <c r="L541" s="268">
        <f t="shared" si="44"/>
        <v>19.26948275862069</v>
      </c>
    </row>
    <row r="542" spans="1:12">
      <c r="A542" s="64" t="str">
        <f>'RAW DATA 2023'!B535</f>
        <v>Bangsakao</v>
      </c>
      <c r="B542" s="64" t="str">
        <f>'RAW DATA 2023'!D535</f>
        <v>CG-009-0026</v>
      </c>
      <c r="C542" s="63" t="str">
        <f t="shared" si="40"/>
        <v>BangsakaoCG-009-0026</v>
      </c>
      <c r="D542" s="63">
        <f>VLOOKUP(C542,'RAW DATA 2023'!E:BP,63,0)</f>
        <v>12</v>
      </c>
      <c r="E542" s="63" t="str">
        <f t="shared" si="41"/>
        <v>Bangsakao12</v>
      </c>
      <c r="F542" s="79">
        <f>ROUND(VLOOKUP(C542,'RAW DATA 2023'!E:BO,23,0),0)</f>
        <v>47</v>
      </c>
      <c r="G542" s="79">
        <f>VLOOKUP(C542,'RAW DATA 2023'!E:BO,24,0)</f>
        <v>66.821785714285724</v>
      </c>
      <c r="H542" s="79">
        <f>IFERROR(VLOOKUP(F542,STD!B:G,2,FALSE),"")</f>
        <v>84</v>
      </c>
      <c r="I542" s="100">
        <f t="shared" si="42"/>
        <v>0.79549744897959196</v>
      </c>
      <c r="J542" s="74">
        <f t="shared" si="43"/>
        <v>8.8649234693877581</v>
      </c>
      <c r="K542">
        <f>VLOOKUP(C542,'RAW DATA 2023'!E:BO,12,0)</f>
        <v>1.4</v>
      </c>
      <c r="L542" s="268">
        <f t="shared" si="44"/>
        <v>12.41089285714286</v>
      </c>
    </row>
    <row r="543" spans="1:12">
      <c r="A543" s="64" t="str">
        <f>'RAW DATA 2023'!B536</f>
        <v>Bangsakao</v>
      </c>
      <c r="B543" s="64" t="str">
        <f>'RAW DATA 2023'!D536</f>
        <v>CG-004-0026</v>
      </c>
      <c r="C543" s="63" t="str">
        <f t="shared" si="40"/>
        <v>BangsakaoCG-004-0026</v>
      </c>
      <c r="D543" s="63">
        <f>VLOOKUP(C543,'RAW DATA 2023'!E:BP,63,0)</f>
        <v>7</v>
      </c>
      <c r="E543" s="63" t="str">
        <f t="shared" si="41"/>
        <v>Bangsakao7</v>
      </c>
      <c r="F543" s="79">
        <f>ROUND(VLOOKUP(C543,'RAW DATA 2023'!E:BO,23,0),0)</f>
        <v>139</v>
      </c>
      <c r="G543" s="79">
        <f>VLOOKUP(C543,'RAW DATA 2023'!E:BO,24,0)</f>
        <v>88.257277777777773</v>
      </c>
      <c r="H543" s="79">
        <f>IFERROR(VLOOKUP(F543,STD!B:G,2,FALSE),"")</f>
        <v>93</v>
      </c>
      <c r="I543" s="100">
        <f t="shared" si="42"/>
        <v>0.94900298685782547</v>
      </c>
      <c r="J543" s="74">
        <f t="shared" si="43"/>
        <v>13.470089605734763</v>
      </c>
      <c r="K543">
        <f>VLOOKUP(C543,'RAW DATA 2023'!E:BO,12,0)</f>
        <v>1.8</v>
      </c>
      <c r="L543" s="268">
        <f t="shared" si="44"/>
        <v>24.246161290322576</v>
      </c>
    </row>
    <row r="544" spans="1:12">
      <c r="A544" s="64" t="str">
        <f>'RAW DATA 2023'!B537</f>
        <v>Bangsakao</v>
      </c>
      <c r="B544" s="64" t="str">
        <f>'RAW DATA 2023'!D537</f>
        <v>CG-003-0027</v>
      </c>
      <c r="C544" s="63" t="str">
        <f t="shared" si="40"/>
        <v>BangsakaoCG-003-0027</v>
      </c>
      <c r="D544" s="63">
        <f>VLOOKUP(C544,'RAW DATA 2023'!E:BP,63,0)</f>
        <v>7</v>
      </c>
      <c r="E544" s="63" t="str">
        <f t="shared" si="41"/>
        <v>Bangsakao7</v>
      </c>
      <c r="F544" s="79">
        <f>ROUND(VLOOKUP(C544,'RAW DATA 2023'!E:BO,23,0),0)</f>
        <v>139</v>
      </c>
      <c r="G544" s="79">
        <f>VLOOKUP(C544,'RAW DATA 2023'!E:BO,24,0)</f>
        <v>99.009722222222223</v>
      </c>
      <c r="H544" s="79">
        <f>IFERROR(VLOOKUP(F544,STD!B:G,2,FALSE),"")</f>
        <v>93</v>
      </c>
      <c r="I544" s="100">
        <f t="shared" si="42"/>
        <v>1.0646206690561528</v>
      </c>
      <c r="J544" s="74">
        <f t="shared" si="43"/>
        <v>16.938620071684586</v>
      </c>
      <c r="K544">
        <f>VLOOKUP(C544,'RAW DATA 2023'!E:BO,12,0)</f>
        <v>1.8</v>
      </c>
      <c r="L544" s="268">
        <f t="shared" si="44"/>
        <v>30.489516129032253</v>
      </c>
    </row>
    <row r="545" spans="1:12">
      <c r="A545" s="64" t="str">
        <f>'RAW DATA 2023'!B538</f>
        <v>Bangsakao</v>
      </c>
      <c r="B545" s="64" t="str">
        <f>'RAW DATA 2023'!D538</f>
        <v>B1-006-0013</v>
      </c>
      <c r="C545" s="63" t="str">
        <f t="shared" si="40"/>
        <v>BangsakaoB1-006-0013</v>
      </c>
      <c r="D545" s="63">
        <f>VLOOKUP(C545,'RAW DATA 2023'!E:BP,63,0)</f>
        <v>6</v>
      </c>
      <c r="E545" s="63" t="str">
        <f t="shared" si="41"/>
        <v>Bangsakao6</v>
      </c>
      <c r="F545" s="79">
        <f>ROUND(VLOOKUP(C545,'RAW DATA 2023'!E:BO,23,0),0)</f>
        <v>55</v>
      </c>
      <c r="G545" s="79">
        <f>VLOOKUP(C545,'RAW DATA 2023'!E:BO,24,0)</f>
        <v>57.968499999999999</v>
      </c>
      <c r="H545" s="79">
        <f>IFERROR(VLOOKUP(F545,STD!B:G,2,FALSE),"")</f>
        <v>86</v>
      </c>
      <c r="I545" s="100">
        <f t="shared" si="42"/>
        <v>0.67405232558139538</v>
      </c>
      <c r="J545" s="74">
        <f t="shared" si="43"/>
        <v>5.2215697674418617</v>
      </c>
      <c r="K545">
        <f>VLOOKUP(C545,'RAW DATA 2023'!E:BO,12,0)</f>
        <v>3</v>
      </c>
      <c r="L545" s="268">
        <f t="shared" si="44"/>
        <v>15.664709302325585</v>
      </c>
    </row>
    <row r="546" spans="1:12">
      <c r="A546" s="64" t="str">
        <f>'RAW DATA 2023'!B539</f>
        <v>Bangsakao</v>
      </c>
      <c r="B546" s="64" t="str">
        <f>'RAW DATA 2023'!D539</f>
        <v>B1-003-0010</v>
      </c>
      <c r="C546" s="63" t="str">
        <f t="shared" si="40"/>
        <v>BangsakaoB1-003-0010</v>
      </c>
      <c r="D546" s="63">
        <f>VLOOKUP(C546,'RAW DATA 2023'!E:BP,63,0)</f>
        <v>3</v>
      </c>
      <c r="E546" s="63" t="str">
        <f t="shared" si="41"/>
        <v>Bangsakao3</v>
      </c>
      <c r="F546" s="79">
        <f>ROUND(VLOOKUP(C546,'RAW DATA 2023'!E:BO,23,0),0)</f>
        <v>93</v>
      </c>
      <c r="G546" s="79">
        <f>VLOOKUP(C546,'RAW DATA 2023'!E:BO,24,0)</f>
        <v>36.578076923076921</v>
      </c>
      <c r="H546" s="79">
        <f>IFERROR(VLOOKUP(F546,STD!B:G,2,FALSE),"")</f>
        <v>90</v>
      </c>
      <c r="I546" s="100">
        <f t="shared" si="42"/>
        <v>0.40642307692307689</v>
      </c>
      <c r="J546" s="74">
        <f t="shared" si="43"/>
        <v>-2.8073076923076936</v>
      </c>
      <c r="K546">
        <f>VLOOKUP(C546,'RAW DATA 2023'!E:BO,12,0)</f>
        <v>1.3</v>
      </c>
      <c r="L546" s="268">
        <f t="shared" si="44"/>
        <v>-3.649500000000002</v>
      </c>
    </row>
    <row r="547" spans="1:12">
      <c r="A547" s="64" t="str">
        <f>'RAW DATA 2023'!B540</f>
        <v>Bangsakao</v>
      </c>
      <c r="B547" s="64" t="str">
        <f>'RAW DATA 2023'!D540</f>
        <v>B1-003-0009</v>
      </c>
      <c r="C547" s="63" t="str">
        <f t="shared" si="40"/>
        <v>BangsakaoB1-003-0009</v>
      </c>
      <c r="D547" s="63">
        <f>VLOOKUP(C547,'RAW DATA 2023'!E:BP,63,0)</f>
        <v>1</v>
      </c>
      <c r="E547" s="63" t="str">
        <f t="shared" si="41"/>
        <v>Bangsakao1</v>
      </c>
      <c r="F547" s="79">
        <f>ROUND(VLOOKUP(C547,'RAW DATA 2023'!E:BO,23,0),0)</f>
        <v>89</v>
      </c>
      <c r="G547" s="79">
        <f>VLOOKUP(C547,'RAW DATA 2023'!E:BO,24,0)</f>
        <v>70.264769230769232</v>
      </c>
      <c r="H547" s="79">
        <f>IFERROR(VLOOKUP(F547,STD!B:G,2,FALSE),"")</f>
        <v>90</v>
      </c>
      <c r="I547" s="100">
        <f t="shared" si="42"/>
        <v>0.78071965811965816</v>
      </c>
      <c r="J547" s="74">
        <f t="shared" si="43"/>
        <v>8.4215897435897453</v>
      </c>
      <c r="K547">
        <f>VLOOKUP(C547,'RAW DATA 2023'!E:BO,12,0)</f>
        <v>1.3</v>
      </c>
      <c r="L547" s="268">
        <f t="shared" si="44"/>
        <v>10.948066666666669</v>
      </c>
    </row>
    <row r="548" spans="1:12">
      <c r="A548" s="64" t="str">
        <f>'RAW DATA 2023'!B541</f>
        <v>Bangsakao</v>
      </c>
      <c r="B548" s="64" t="str">
        <f>'RAW DATA 2023'!D541</f>
        <v>B1-006-0015</v>
      </c>
      <c r="C548" s="63" t="str">
        <f t="shared" si="40"/>
        <v>BangsakaoB1-006-0015</v>
      </c>
      <c r="D548" s="63">
        <f>VLOOKUP(C548,'RAW DATA 2023'!E:BP,63,0)</f>
        <v>9</v>
      </c>
      <c r="E548" s="63" t="str">
        <f t="shared" si="41"/>
        <v>Bangsakao9</v>
      </c>
      <c r="F548" s="79">
        <f>ROUND(VLOOKUP(C548,'RAW DATA 2023'!E:BO,23,0),0)</f>
        <v>0</v>
      </c>
      <c r="G548" s="79">
        <f>VLOOKUP(C548,'RAW DATA 2023'!E:BO,24,0)</f>
        <v>0</v>
      </c>
      <c r="H548" s="79" t="str">
        <f>IFERROR(VLOOKUP(F548,STD!B:G,2,FALSE),"")</f>
        <v/>
      </c>
      <c r="I548" s="100">
        <f t="shared" si="42"/>
        <v>0</v>
      </c>
      <c r="J548" s="74">
        <f t="shared" si="43"/>
        <v>-15</v>
      </c>
      <c r="K548">
        <f>VLOOKUP(C548,'RAW DATA 2023'!E:BO,12,0)</f>
        <v>1.5</v>
      </c>
      <c r="L548" s="268">
        <f t="shared" si="44"/>
        <v>-22.5</v>
      </c>
    </row>
    <row r="549" spans="1:12">
      <c r="A549" s="64" t="str">
        <f>'RAW DATA 2023'!B542</f>
        <v>Rayong3</v>
      </c>
      <c r="B549" s="64" t="str">
        <f>'RAW DATA 2023'!D542</f>
        <v>D1-030-0017</v>
      </c>
      <c r="C549" s="63" t="str">
        <f t="shared" si="40"/>
        <v>Rayong3D1-030-0017</v>
      </c>
      <c r="D549" s="63">
        <f>VLOOKUP(C549,'RAW DATA 2023'!E:BP,63,0)</f>
        <v>8</v>
      </c>
      <c r="E549" s="63" t="str">
        <f t="shared" si="41"/>
        <v>Rayong38</v>
      </c>
      <c r="F549" s="79">
        <f>ROUND(VLOOKUP(C549,'RAW DATA 2023'!E:BO,23,0),0)</f>
        <v>29</v>
      </c>
      <c r="G549" s="79">
        <f>VLOOKUP(C549,'RAW DATA 2023'!E:BO,24,0)</f>
        <v>67.162767441860467</v>
      </c>
      <c r="H549" s="79">
        <f>IFERROR(VLOOKUP(F549,STD!B:G,2,FALSE),"")</f>
        <v>76</v>
      </c>
      <c r="I549" s="100">
        <f t="shared" si="42"/>
        <v>0.88372062423500619</v>
      </c>
      <c r="J549" s="74">
        <f t="shared" si="43"/>
        <v>11.511618727050186</v>
      </c>
      <c r="K549">
        <f>VLOOKUP(C549,'RAW DATA 2023'!E:BO,12,0)</f>
        <v>4.3</v>
      </c>
      <c r="L549" s="268">
        <f t="shared" si="44"/>
        <v>49.499960526315796</v>
      </c>
    </row>
    <row r="550" spans="1:12">
      <c r="A550" s="64" t="str">
        <f>'RAW DATA 2023'!B543</f>
        <v>Rayong3</v>
      </c>
      <c r="B550" s="64" t="str">
        <f>'RAW DATA 2023'!D543</f>
        <v>D1-031-0041</v>
      </c>
      <c r="C550" s="63" t="str">
        <f t="shared" si="40"/>
        <v>Rayong3D1-031-0041</v>
      </c>
      <c r="D550" s="63">
        <f>VLOOKUP(C550,'RAW DATA 2023'!E:BP,63,0)</f>
        <v>4</v>
      </c>
      <c r="E550" s="63" t="str">
        <f t="shared" si="41"/>
        <v>Rayong34</v>
      </c>
      <c r="F550" s="79">
        <f>ROUND(VLOOKUP(C550,'RAW DATA 2023'!E:BO,23,0),0)</f>
        <v>26</v>
      </c>
      <c r="G550" s="79">
        <f>VLOOKUP(C550,'RAW DATA 2023'!E:BO,24,0)</f>
        <v>110.68393333333333</v>
      </c>
      <c r="H550" s="79">
        <f>IFERROR(VLOOKUP(F550,STD!B:G,2,FALSE),"")</f>
        <v>75</v>
      </c>
      <c r="I550" s="100">
        <f t="shared" si="42"/>
        <v>1.4757857777777776</v>
      </c>
      <c r="J550" s="74">
        <f t="shared" si="43"/>
        <v>29.273573333333328</v>
      </c>
      <c r="K550">
        <f>VLOOKUP(C550,'RAW DATA 2023'!E:BO,12,0)</f>
        <v>1.5</v>
      </c>
      <c r="L550" s="268">
        <f t="shared" si="44"/>
        <v>43.91035999999999</v>
      </c>
    </row>
    <row r="551" spans="1:12">
      <c r="A551" s="64" t="str">
        <f>'RAW DATA 2023'!B544</f>
        <v>Rayong3</v>
      </c>
      <c r="B551" s="64" t="str">
        <f>'RAW DATA 2023'!D544</f>
        <v>D1-047-0011</v>
      </c>
      <c r="C551" s="63" t="str">
        <f t="shared" si="40"/>
        <v>Rayong3D1-047-0011</v>
      </c>
      <c r="D551" s="63">
        <f>VLOOKUP(C551,'RAW DATA 2023'!E:BP,63,0)</f>
        <v>2</v>
      </c>
      <c r="E551" s="63" t="str">
        <f t="shared" si="41"/>
        <v>Rayong32</v>
      </c>
      <c r="F551" s="79">
        <f>ROUND(VLOOKUP(C551,'RAW DATA 2023'!E:BO,23,0),0)</f>
        <v>31</v>
      </c>
      <c r="G551" s="79">
        <f>VLOOKUP(C551,'RAW DATA 2023'!E:BO,24,0)</f>
        <v>82.599625000000003</v>
      </c>
      <c r="H551" s="79">
        <f>IFERROR(VLOOKUP(F551,STD!B:G,2,FALSE),"")</f>
        <v>76</v>
      </c>
      <c r="I551" s="100">
        <f t="shared" si="42"/>
        <v>1.0868371710526317</v>
      </c>
      <c r="J551" s="74">
        <f t="shared" si="43"/>
        <v>17.605115131578948</v>
      </c>
      <c r="K551">
        <f>VLOOKUP(C551,'RAW DATA 2023'!E:BO,12,0)</f>
        <v>0.8</v>
      </c>
      <c r="L551" s="268">
        <f t="shared" si="44"/>
        <v>14.08409210526316</v>
      </c>
    </row>
    <row r="552" spans="1:12">
      <c r="A552" s="64" t="str">
        <f>'RAW DATA 2023'!B545</f>
        <v>Rayong3</v>
      </c>
      <c r="B552" s="64" t="str">
        <f>'RAW DATA 2023'!D545</f>
        <v>D1-046-0011</v>
      </c>
      <c r="C552" s="63" t="str">
        <f t="shared" si="40"/>
        <v>Rayong3D1-046-0011</v>
      </c>
      <c r="D552" s="63">
        <f>VLOOKUP(C552,'RAW DATA 2023'!E:BP,63,0)</f>
        <v>3</v>
      </c>
      <c r="E552" s="63" t="str">
        <f t="shared" si="41"/>
        <v>Rayong33</v>
      </c>
      <c r="F552" s="79">
        <f>ROUND(VLOOKUP(C552,'RAW DATA 2023'!E:BO,23,0),0)</f>
        <v>29</v>
      </c>
      <c r="G552" s="79">
        <f>VLOOKUP(C552,'RAW DATA 2023'!E:BO,24,0)</f>
        <v>85.818857142857141</v>
      </c>
      <c r="H552" s="79">
        <f>IFERROR(VLOOKUP(F552,STD!B:G,2,FALSE),"")</f>
        <v>76</v>
      </c>
      <c r="I552" s="100">
        <f t="shared" si="42"/>
        <v>1.1291954887218045</v>
      </c>
      <c r="J552" s="74">
        <f t="shared" si="43"/>
        <v>18.875864661654134</v>
      </c>
      <c r="K552">
        <f>VLOOKUP(C552,'RAW DATA 2023'!E:BO,12,0)</f>
        <v>0.7</v>
      </c>
      <c r="L552" s="268">
        <f t="shared" si="44"/>
        <v>13.213105263157892</v>
      </c>
    </row>
    <row r="553" spans="1:12">
      <c r="A553" s="64" t="str">
        <f>'RAW DATA 2023'!B546</f>
        <v>Rayong3</v>
      </c>
      <c r="B553" s="64" t="str">
        <f>'RAW DATA 2023'!D546</f>
        <v>D1-030-0016</v>
      </c>
      <c r="C553" s="63" t="str">
        <f t="shared" si="40"/>
        <v>Rayong3D1-030-0016</v>
      </c>
      <c r="D553" s="63">
        <f>VLOOKUP(C553,'RAW DATA 2023'!E:BP,63,0)</f>
        <v>3</v>
      </c>
      <c r="E553" s="63" t="str">
        <f t="shared" si="41"/>
        <v>Rayong33</v>
      </c>
      <c r="F553" s="79">
        <f>ROUND(VLOOKUP(C553,'RAW DATA 2023'!E:BO,23,0),0)</f>
        <v>27</v>
      </c>
      <c r="G553" s="79">
        <f>VLOOKUP(C553,'RAW DATA 2023'!E:BO,24,0)</f>
        <v>96.545999999999992</v>
      </c>
      <c r="H553" s="79">
        <f>IFERROR(VLOOKUP(F553,STD!B:G,2,FALSE),"")</f>
        <v>75</v>
      </c>
      <c r="I553" s="100">
        <f t="shared" si="42"/>
        <v>1.28728</v>
      </c>
      <c r="J553" s="74">
        <f t="shared" si="43"/>
        <v>23.618400000000001</v>
      </c>
      <c r="K553">
        <f>VLOOKUP(C553,'RAW DATA 2023'!E:BO,12,0)</f>
        <v>1.5</v>
      </c>
      <c r="L553" s="268">
        <f t="shared" si="44"/>
        <v>35.427599999999998</v>
      </c>
    </row>
    <row r="554" spans="1:12">
      <c r="A554" s="64" t="str">
        <f>'RAW DATA 2023'!B547</f>
        <v>Rayong3</v>
      </c>
      <c r="B554" s="64" t="str">
        <f>'RAW DATA 2023'!D547</f>
        <v>D1-031-0042</v>
      </c>
      <c r="C554" s="63" t="str">
        <f t="shared" si="40"/>
        <v>Rayong3D1-031-0042</v>
      </c>
      <c r="D554" s="63">
        <f>VLOOKUP(C554,'RAW DATA 2023'!E:BP,63,0)</f>
        <v>8</v>
      </c>
      <c r="E554" s="63" t="str">
        <f t="shared" si="41"/>
        <v>Rayong38</v>
      </c>
      <c r="F554" s="79">
        <f>ROUND(VLOOKUP(C554,'RAW DATA 2023'!E:BO,23,0),0)</f>
        <v>124</v>
      </c>
      <c r="G554" s="79">
        <f>VLOOKUP(C554,'RAW DATA 2023'!E:BO,24,0)</f>
        <v>76.796047619047613</v>
      </c>
      <c r="H554" s="79">
        <f>IFERROR(VLOOKUP(F554,STD!B:G,2,FALSE),"")</f>
        <v>92</v>
      </c>
      <c r="I554" s="100">
        <f t="shared" si="42"/>
        <v>0.83473964803312628</v>
      </c>
      <c r="J554" s="74">
        <f t="shared" si="43"/>
        <v>10.042189440993788</v>
      </c>
      <c r="K554">
        <f>VLOOKUP(C554,'RAW DATA 2023'!E:BO,12,0)</f>
        <v>4.2</v>
      </c>
      <c r="L554" s="268">
        <f t="shared" si="44"/>
        <v>42.177195652173907</v>
      </c>
    </row>
    <row r="555" spans="1:12">
      <c r="A555" s="64" t="str">
        <f>'RAW DATA 2023'!B548</f>
        <v>Rayong3</v>
      </c>
      <c r="B555" s="64" t="str">
        <f>'RAW DATA 2023'!D548</f>
        <v>C1-016-0037</v>
      </c>
      <c r="C555" s="63" t="str">
        <f t="shared" si="40"/>
        <v>Rayong3C1-016-0037</v>
      </c>
      <c r="D555" s="63">
        <f>VLOOKUP(C555,'RAW DATA 2023'!E:BP,63,0)</f>
        <v>5</v>
      </c>
      <c r="E555" s="63" t="str">
        <f t="shared" si="41"/>
        <v>Rayong35</v>
      </c>
      <c r="F555" s="79">
        <f>ROUND(VLOOKUP(C555,'RAW DATA 2023'!E:BO,23,0),0)</f>
        <v>33</v>
      </c>
      <c r="G555" s="79">
        <f>VLOOKUP(C555,'RAW DATA 2023'!E:BO,24,0)</f>
        <v>91.991027777777774</v>
      </c>
      <c r="H555" s="79">
        <f>IFERROR(VLOOKUP(F555,STD!B:G,2,FALSE),"")</f>
        <v>79</v>
      </c>
      <c r="I555" s="100">
        <f t="shared" si="42"/>
        <v>1.1644433895921238</v>
      </c>
      <c r="J555" s="74">
        <f t="shared" si="43"/>
        <v>19.933301687763713</v>
      </c>
      <c r="K555">
        <f>VLOOKUP(C555,'RAW DATA 2023'!E:BO,12,0)</f>
        <v>3.6</v>
      </c>
      <c r="L555" s="268">
        <f t="shared" si="44"/>
        <v>71.759886075949368</v>
      </c>
    </row>
    <row r="556" spans="1:12">
      <c r="A556" s="64" t="str">
        <f>'RAW DATA 2023'!B549</f>
        <v>Rayong3</v>
      </c>
      <c r="B556" s="64" t="str">
        <f>'RAW DATA 2023'!D549</f>
        <v>C1-005-0001</v>
      </c>
      <c r="C556" s="63" t="str">
        <f t="shared" si="40"/>
        <v>Rayong3C1-005-0001</v>
      </c>
      <c r="D556" s="63">
        <f>VLOOKUP(C556,'RAW DATA 2023'!E:BP,63,0)</f>
        <v>12</v>
      </c>
      <c r="E556" s="63" t="str">
        <f t="shared" si="41"/>
        <v>Rayong312</v>
      </c>
      <c r="F556" s="79">
        <f>ROUND(VLOOKUP(C556,'RAW DATA 2023'!E:BO,23,0),0)</f>
        <v>90</v>
      </c>
      <c r="G556" s="79">
        <f>VLOOKUP(C556,'RAW DATA 2023'!E:BO,24,0)</f>
        <v>79.791944444444439</v>
      </c>
      <c r="H556" s="79">
        <f>IFERROR(VLOOKUP(F556,STD!B:G,2,FALSE),"")</f>
        <v>90</v>
      </c>
      <c r="I556" s="100">
        <f t="shared" si="42"/>
        <v>0.88657716049382707</v>
      </c>
      <c r="J556" s="74">
        <f t="shared" si="43"/>
        <v>11.597314814814812</v>
      </c>
      <c r="K556">
        <f>VLOOKUP(C556,'RAW DATA 2023'!E:BO,12,0)</f>
        <v>3.6</v>
      </c>
      <c r="L556" s="268">
        <f t="shared" si="44"/>
        <v>41.750333333333323</v>
      </c>
    </row>
    <row r="557" spans="1:12">
      <c r="A557" s="64" t="str">
        <f>'RAW DATA 2023'!B550</f>
        <v>Rayong3</v>
      </c>
      <c r="B557" s="64" t="str">
        <f>'RAW DATA 2023'!D550</f>
        <v>C1-016-0038</v>
      </c>
      <c r="C557" s="63" t="str">
        <f t="shared" si="40"/>
        <v>Rayong3C1-016-0038</v>
      </c>
      <c r="D557" s="63">
        <f>VLOOKUP(C557,'RAW DATA 2023'!E:BP,63,0)</f>
        <v>8</v>
      </c>
      <c r="E557" s="63" t="str">
        <f t="shared" si="41"/>
        <v>Rayong38</v>
      </c>
      <c r="F557" s="79">
        <f>ROUND(VLOOKUP(C557,'RAW DATA 2023'!E:BO,23,0),0)</f>
        <v>97</v>
      </c>
      <c r="G557" s="79">
        <f>VLOOKUP(C557,'RAW DATA 2023'!E:BO,24,0)</f>
        <v>82.381638888888887</v>
      </c>
      <c r="H557" s="79">
        <f>IFERROR(VLOOKUP(F557,STD!B:G,2,FALSE),"")</f>
        <v>91</v>
      </c>
      <c r="I557" s="100">
        <f t="shared" si="42"/>
        <v>0.905292735042735</v>
      </c>
      <c r="J557" s="74">
        <f t="shared" si="43"/>
        <v>12.158782051282049</v>
      </c>
      <c r="K557">
        <f>VLOOKUP(C557,'RAW DATA 2023'!E:BO,12,0)</f>
        <v>3.6</v>
      </c>
      <c r="L557" s="268">
        <f t="shared" si="44"/>
        <v>43.77161538461538</v>
      </c>
    </row>
    <row r="558" spans="1:12">
      <c r="A558" s="64" t="str">
        <f>'RAW DATA 2023'!B551</f>
        <v>Rayong3</v>
      </c>
      <c r="B558" s="64" t="str">
        <f>'RAW DATA 2023'!D551</f>
        <v>A1-042-0009</v>
      </c>
      <c r="C558" s="63" t="str">
        <f t="shared" si="40"/>
        <v>Rayong3A1-042-0009</v>
      </c>
      <c r="D558" s="63">
        <f>VLOOKUP(C558,'RAW DATA 2023'!E:BP,63,0)</f>
        <v>8</v>
      </c>
      <c r="E558" s="63" t="str">
        <f t="shared" si="41"/>
        <v>Rayong38</v>
      </c>
      <c r="F558" s="79">
        <f>ROUND(VLOOKUP(C558,'RAW DATA 2023'!E:BO,23,0),0)</f>
        <v>33</v>
      </c>
      <c r="G558" s="79">
        <f>VLOOKUP(C558,'RAW DATA 2023'!E:BO,24,0)</f>
        <v>74.574399999999997</v>
      </c>
      <c r="H558" s="79">
        <f>IFERROR(VLOOKUP(F558,STD!B:G,2,FALSE),"")</f>
        <v>79</v>
      </c>
      <c r="I558" s="100">
        <f t="shared" si="42"/>
        <v>0.94397974683544306</v>
      </c>
      <c r="J558" s="74">
        <f t="shared" si="43"/>
        <v>13.319392405063292</v>
      </c>
      <c r="K558">
        <f>VLOOKUP(C558,'RAW DATA 2023'!E:BO,12,0)</f>
        <v>1</v>
      </c>
      <c r="L558" s="268">
        <f t="shared" si="44"/>
        <v>13.319392405063292</v>
      </c>
    </row>
    <row r="559" spans="1:12">
      <c r="A559" s="64" t="str">
        <f>'RAW DATA 2023'!B552</f>
        <v>Rayong3</v>
      </c>
      <c r="B559" s="64" t="str">
        <f>'RAW DATA 2023'!D552</f>
        <v>A1-005-0028</v>
      </c>
      <c r="C559" s="63" t="str">
        <f t="shared" si="40"/>
        <v>Rayong3A1-005-0028</v>
      </c>
      <c r="D559" s="63">
        <f>VLOOKUP(C559,'RAW DATA 2023'!E:BP,63,0)</f>
        <v>8</v>
      </c>
      <c r="E559" s="63" t="str">
        <f t="shared" si="41"/>
        <v>Rayong38</v>
      </c>
      <c r="F559" s="79">
        <f>ROUND(VLOOKUP(C559,'RAW DATA 2023'!E:BO,23,0),0)</f>
        <v>90</v>
      </c>
      <c r="G559" s="79">
        <f>VLOOKUP(C559,'RAW DATA 2023'!E:BO,24,0)</f>
        <v>96.501516129032268</v>
      </c>
      <c r="H559" s="79">
        <f>IFERROR(VLOOKUP(F559,STD!B:G,2,FALSE),"")</f>
        <v>90</v>
      </c>
      <c r="I559" s="100">
        <f t="shared" si="42"/>
        <v>1.0722390681003586</v>
      </c>
      <c r="J559" s="74">
        <f t="shared" si="43"/>
        <v>17.167172043010758</v>
      </c>
      <c r="K559">
        <f>VLOOKUP(C559,'RAW DATA 2023'!E:BO,12,0)</f>
        <v>3.1</v>
      </c>
      <c r="L559" s="268">
        <f t="shared" si="44"/>
        <v>53.218233333333352</v>
      </c>
    </row>
    <row r="560" spans="1:12">
      <c r="A560" s="64" t="str">
        <f>'RAW DATA 2023'!B553</f>
        <v>Rayong3</v>
      </c>
      <c r="B560" s="64" t="str">
        <f>'RAW DATA 2023'!D553</f>
        <v>A1-023-0031</v>
      </c>
      <c r="C560" s="63" t="str">
        <f t="shared" si="40"/>
        <v>Rayong3A1-023-0031</v>
      </c>
      <c r="D560" s="63">
        <f>VLOOKUP(C560,'RAW DATA 2023'!E:BP,63,0)</f>
        <v>4</v>
      </c>
      <c r="E560" s="63" t="str">
        <f t="shared" si="41"/>
        <v>Rayong34</v>
      </c>
      <c r="F560" s="79">
        <f>ROUND(VLOOKUP(C560,'RAW DATA 2023'!E:BO,23,0),0)</f>
        <v>24</v>
      </c>
      <c r="G560" s="79">
        <f>VLOOKUP(C560,'RAW DATA 2023'!E:BO,24,0)</f>
        <v>77.056066666666666</v>
      </c>
      <c r="H560" s="79">
        <f>IFERROR(VLOOKUP(F560,STD!B:G,2,FALSE),"")</f>
        <v>72</v>
      </c>
      <c r="I560" s="100">
        <f t="shared" si="42"/>
        <v>1.0702231481481481</v>
      </c>
      <c r="J560" s="74">
        <f t="shared" si="43"/>
        <v>17.106694444444443</v>
      </c>
      <c r="K560">
        <f>VLOOKUP(C560,'RAW DATA 2023'!E:BO,12,0)</f>
        <v>1.5</v>
      </c>
      <c r="L560" s="268">
        <f t="shared" si="44"/>
        <v>25.660041666666665</v>
      </c>
    </row>
    <row r="561" spans="1:12">
      <c r="A561" s="64" t="str">
        <f>'RAW DATA 2023'!B554</f>
        <v>Rayong3</v>
      </c>
      <c r="B561" s="64" t="str">
        <f>'RAW DATA 2023'!D554</f>
        <v>A1-044-0012</v>
      </c>
      <c r="C561" s="63" t="str">
        <f t="shared" si="40"/>
        <v>Rayong3A1-044-0012</v>
      </c>
      <c r="D561" s="63">
        <f>VLOOKUP(C561,'RAW DATA 2023'!E:BP,63,0)</f>
        <v>3</v>
      </c>
      <c r="E561" s="63" t="str">
        <f t="shared" si="41"/>
        <v>Rayong33</v>
      </c>
      <c r="F561" s="79">
        <f>ROUND(VLOOKUP(C561,'RAW DATA 2023'!E:BO,23,0),0)</f>
        <v>25</v>
      </c>
      <c r="G561" s="79">
        <f>VLOOKUP(C561,'RAW DATA 2023'!E:BO,24,0)</f>
        <v>62.554333333333332</v>
      </c>
      <c r="H561" s="79">
        <f>IFERROR(VLOOKUP(F561,STD!B:G,2,FALSE),"")</f>
        <v>72</v>
      </c>
      <c r="I561" s="100">
        <f t="shared" si="42"/>
        <v>0.86881018518518516</v>
      </c>
      <c r="J561" s="74">
        <f t="shared" si="43"/>
        <v>11.064305555555555</v>
      </c>
      <c r="K561">
        <f>VLOOKUP(C561,'RAW DATA 2023'!E:BO,12,0)</f>
        <v>0.6</v>
      </c>
      <c r="L561" s="268">
        <f t="shared" si="44"/>
        <v>6.6385833333333322</v>
      </c>
    </row>
    <row r="562" spans="1:12">
      <c r="A562" s="64" t="str">
        <f>'RAW DATA 2023'!B555</f>
        <v>Rayong3</v>
      </c>
      <c r="B562" s="64" t="str">
        <f>'RAW DATA 2023'!D555</f>
        <v>A1-045-0009</v>
      </c>
      <c r="C562" s="63" t="str">
        <f t="shared" si="40"/>
        <v>Rayong3A1-045-0009</v>
      </c>
      <c r="D562" s="63">
        <f>VLOOKUP(C562,'RAW DATA 2023'!E:BP,63,0)</f>
        <v>4</v>
      </c>
      <c r="E562" s="63" t="str">
        <f t="shared" si="41"/>
        <v>Rayong34</v>
      </c>
      <c r="F562" s="79">
        <f>ROUND(VLOOKUP(C562,'RAW DATA 2023'!E:BO,23,0),0)</f>
        <v>25</v>
      </c>
      <c r="G562" s="79">
        <f>VLOOKUP(C562,'RAW DATA 2023'!E:BO,24,0)</f>
        <v>65.835833333333341</v>
      </c>
      <c r="H562" s="79">
        <f>IFERROR(VLOOKUP(F562,STD!B:G,2,FALSE),"")</f>
        <v>72</v>
      </c>
      <c r="I562" s="100">
        <f t="shared" si="42"/>
        <v>0.9143865740740742</v>
      </c>
      <c r="J562" s="74">
        <f t="shared" si="43"/>
        <v>12.431597222222226</v>
      </c>
      <c r="K562">
        <f>VLOOKUP(C562,'RAW DATA 2023'!E:BO,12,0)</f>
        <v>0.6</v>
      </c>
      <c r="L562" s="268">
        <f t="shared" si="44"/>
        <v>7.4589583333333351</v>
      </c>
    </row>
    <row r="563" spans="1:12">
      <c r="A563" s="64" t="str">
        <f>'RAW DATA 2023'!B556</f>
        <v>Rayong3</v>
      </c>
      <c r="B563" s="64" t="str">
        <f>'RAW DATA 2023'!D556</f>
        <v>A1-043-0009</v>
      </c>
      <c r="C563" s="63" t="str">
        <f t="shared" si="40"/>
        <v>Rayong3A1-043-0009</v>
      </c>
      <c r="D563" s="63">
        <f>VLOOKUP(C563,'RAW DATA 2023'!E:BP,63,0)</f>
        <v>3</v>
      </c>
      <c r="E563" s="63" t="str">
        <f t="shared" si="41"/>
        <v>Rayong33</v>
      </c>
      <c r="F563" s="79">
        <f>ROUND(VLOOKUP(C563,'RAW DATA 2023'!E:BO,23,0),0)</f>
        <v>25</v>
      </c>
      <c r="G563" s="79">
        <f>VLOOKUP(C563,'RAW DATA 2023'!E:BO,24,0)</f>
        <v>88.065333333333328</v>
      </c>
      <c r="H563" s="79">
        <f>IFERROR(VLOOKUP(F563,STD!B:G,2,FALSE),"")</f>
        <v>72</v>
      </c>
      <c r="I563" s="100">
        <f t="shared" si="42"/>
        <v>1.2231296296296295</v>
      </c>
      <c r="J563" s="74">
        <f t="shared" si="43"/>
        <v>21.693888888888885</v>
      </c>
      <c r="K563">
        <f>VLOOKUP(C563,'RAW DATA 2023'!E:BO,12,0)</f>
        <v>0.6</v>
      </c>
      <c r="L563" s="268">
        <f t="shared" si="44"/>
        <v>13.01633333333333</v>
      </c>
    </row>
    <row r="564" spans="1:12">
      <c r="A564" s="64" t="str">
        <f>'RAW DATA 2023'!B557</f>
        <v>Lucky2</v>
      </c>
      <c r="B564" s="64" t="str">
        <f>'RAW DATA 2023'!D557</f>
        <v>AC-001-0010</v>
      </c>
      <c r="C564" s="63" t="str">
        <f t="shared" si="40"/>
        <v>Lucky2AC-001-0010</v>
      </c>
      <c r="D564" s="63">
        <f>VLOOKUP(C564,'RAW DATA 2023'!E:BP,63,0)</f>
        <v>7</v>
      </c>
      <c r="E564" s="63" t="str">
        <f t="shared" si="41"/>
        <v>Lucky27</v>
      </c>
      <c r="F564" s="79">
        <f>ROUND(VLOOKUP(C564,'RAW DATA 2023'!E:BO,23,0),0)</f>
        <v>45</v>
      </c>
      <c r="G564" s="79">
        <f>VLOOKUP(C564,'RAW DATA 2023'!E:BO,24,0)</f>
        <v>48.122999999999998</v>
      </c>
      <c r="H564" s="79">
        <f>IFERROR(VLOOKUP(F564,STD!B:G,2,FALSE),"")</f>
        <v>83</v>
      </c>
      <c r="I564" s="100">
        <f t="shared" si="42"/>
        <v>0.57979518072289149</v>
      </c>
      <c r="J564" s="74">
        <f t="shared" si="43"/>
        <v>2.3938554216867445</v>
      </c>
      <c r="K564">
        <f>VLOOKUP(C564,'RAW DATA 2023'!E:BO,12,0)</f>
        <v>0.3</v>
      </c>
      <c r="L564" s="268">
        <f t="shared" si="44"/>
        <v>0.7181566265060233</v>
      </c>
    </row>
    <row r="565" spans="1:12">
      <c r="A565" s="64" t="str">
        <f>'RAW DATA 2023'!B558</f>
        <v>Lucky2</v>
      </c>
      <c r="B565" s="64" t="str">
        <f>'RAW DATA 2023'!D558</f>
        <v>AC-001-0009</v>
      </c>
      <c r="C565" s="63" t="str">
        <f t="shared" si="40"/>
        <v>Lucky2AC-001-0009</v>
      </c>
      <c r="D565" s="63">
        <f>VLOOKUP(C565,'RAW DATA 2023'!E:BP,63,0)</f>
        <v>5</v>
      </c>
      <c r="E565" s="63" t="str">
        <f t="shared" si="41"/>
        <v>Lucky25</v>
      </c>
      <c r="F565" s="79">
        <f>ROUND(VLOOKUP(C565,'RAW DATA 2023'!E:BO,23,0),0)</f>
        <v>56</v>
      </c>
      <c r="G565" s="79">
        <f>VLOOKUP(C565,'RAW DATA 2023'!E:BO,24,0)</f>
        <v>34.649777777777778</v>
      </c>
      <c r="H565" s="79">
        <f>IFERROR(VLOOKUP(F565,STD!B:G,2,FALSE),"")</f>
        <v>86</v>
      </c>
      <c r="I565" s="100">
        <f t="shared" si="42"/>
        <v>0.4029043927648579</v>
      </c>
      <c r="J565" s="74">
        <f t="shared" si="43"/>
        <v>-2.912868217054263</v>
      </c>
      <c r="K565">
        <f>VLOOKUP(C565,'RAW DATA 2023'!E:BO,12,0)</f>
        <v>0.45</v>
      </c>
      <c r="L565" s="268">
        <f t="shared" si="44"/>
        <v>-1.3107906976744184</v>
      </c>
    </row>
    <row r="566" spans="1:12">
      <c r="A566" s="64" t="str">
        <f>'RAW DATA 2023'!B559</f>
        <v>Lucky2</v>
      </c>
      <c r="B566" s="64" t="str">
        <f>'RAW DATA 2023'!D559</f>
        <v>AC-002-0010</v>
      </c>
      <c r="C566" s="63" t="str">
        <f t="shared" si="40"/>
        <v>Lucky2AC-002-0010</v>
      </c>
      <c r="D566" s="63">
        <f>VLOOKUP(C566,'RAW DATA 2023'!E:BP,63,0)</f>
        <v>7</v>
      </c>
      <c r="E566" s="63" t="str">
        <f t="shared" si="41"/>
        <v>Lucky27</v>
      </c>
      <c r="F566" s="79">
        <f>ROUND(VLOOKUP(C566,'RAW DATA 2023'!E:BO,23,0),0)</f>
        <v>53</v>
      </c>
      <c r="G566" s="79">
        <f>VLOOKUP(C566,'RAW DATA 2023'!E:BO,24,0)</f>
        <v>71.236666666666665</v>
      </c>
      <c r="H566" s="79">
        <f>IFERROR(VLOOKUP(F566,STD!B:G,2,FALSE),"")</f>
        <v>86</v>
      </c>
      <c r="I566" s="100">
        <f t="shared" si="42"/>
        <v>0.82833333333333325</v>
      </c>
      <c r="J566" s="74">
        <f t="shared" si="43"/>
        <v>9.8499999999999979</v>
      </c>
      <c r="K566">
        <f>VLOOKUP(C566,'RAW DATA 2023'!E:BO,12,0)</f>
        <v>0.3</v>
      </c>
      <c r="L566" s="268">
        <f t="shared" si="44"/>
        <v>2.9549999999999992</v>
      </c>
    </row>
    <row r="567" spans="1:12">
      <c r="A567" s="64" t="str">
        <f>'RAW DATA 2023'!B560</f>
        <v>Lucky2</v>
      </c>
      <c r="B567" s="64" t="str">
        <f>'RAW DATA 2023'!D560</f>
        <v>AC-004-0009</v>
      </c>
      <c r="C567" s="63" t="str">
        <f t="shared" si="40"/>
        <v>Lucky2AC-004-0009</v>
      </c>
      <c r="D567" s="63">
        <f>VLOOKUP(C567,'RAW DATA 2023'!E:BP,63,0)</f>
        <v>5</v>
      </c>
      <c r="E567" s="63" t="str">
        <f t="shared" si="41"/>
        <v>Lucky25</v>
      </c>
      <c r="F567" s="79">
        <f>ROUND(VLOOKUP(C567,'RAW DATA 2023'!E:BO,23,0),0)</f>
        <v>55</v>
      </c>
      <c r="G567" s="79">
        <f>VLOOKUP(C567,'RAW DATA 2023'!E:BO,24,0)</f>
        <v>25.345555555555556</v>
      </c>
      <c r="H567" s="79">
        <f>IFERROR(VLOOKUP(F567,STD!B:G,2,FALSE),"")</f>
        <v>86</v>
      </c>
      <c r="I567" s="100">
        <f t="shared" si="42"/>
        <v>0.29471576227390184</v>
      </c>
      <c r="J567" s="74">
        <f t="shared" si="43"/>
        <v>-6.1585271317829449</v>
      </c>
      <c r="K567">
        <f>VLOOKUP(C567,'RAW DATA 2023'!E:BO,12,0)</f>
        <v>0.45</v>
      </c>
      <c r="L567" s="268">
        <f t="shared" si="44"/>
        <v>-2.7713372093023252</v>
      </c>
    </row>
    <row r="568" spans="1:12">
      <c r="A568" s="64" t="str">
        <f>'RAW DATA 2023'!B561</f>
        <v>Lucky2</v>
      </c>
      <c r="B568" s="64" t="str">
        <f>'RAW DATA 2023'!D561</f>
        <v>AC-004-0008</v>
      </c>
      <c r="C568" s="63" t="str">
        <f t="shared" si="40"/>
        <v>Lucky2AC-004-0008</v>
      </c>
      <c r="D568" s="63">
        <f>VLOOKUP(C568,'RAW DATA 2023'!E:BP,63,0)</f>
        <v>2</v>
      </c>
      <c r="E568" s="63" t="str">
        <f t="shared" si="41"/>
        <v>Lucky22</v>
      </c>
      <c r="F568" s="79">
        <f>ROUND(VLOOKUP(C568,'RAW DATA 2023'!E:BO,23,0),0)</f>
        <v>23</v>
      </c>
      <c r="G568" s="79">
        <f>VLOOKUP(C568,'RAW DATA 2023'!E:BO,24,0)</f>
        <v>17.278611111111111</v>
      </c>
      <c r="H568" s="79">
        <f>IFERROR(VLOOKUP(F568,STD!B:G,2,FALSE),"")</f>
        <v>71</v>
      </c>
      <c r="I568" s="100">
        <f t="shared" si="42"/>
        <v>0.24336071987480437</v>
      </c>
      <c r="J568" s="74">
        <f t="shared" si="43"/>
        <v>-7.6991784037558695</v>
      </c>
      <c r="K568">
        <f>VLOOKUP(C568,'RAW DATA 2023'!E:BO,12,0)</f>
        <v>0.36</v>
      </c>
      <c r="L568" s="268">
        <f t="shared" si="44"/>
        <v>-2.7717042253521127</v>
      </c>
    </row>
    <row r="569" spans="1:12">
      <c r="A569" s="64" t="str">
        <f>'RAW DATA 2023'!B562</f>
        <v>Lucky2</v>
      </c>
      <c r="B569" s="64" t="str">
        <f>'RAW DATA 2023'!D562</f>
        <v>AC-005-0008</v>
      </c>
      <c r="C569" s="63" t="str">
        <f t="shared" si="40"/>
        <v>Lucky2AC-005-0008</v>
      </c>
      <c r="D569" s="63">
        <f>VLOOKUP(C569,'RAW DATA 2023'!E:BP,63,0)</f>
        <v>2</v>
      </c>
      <c r="E569" s="63" t="str">
        <f t="shared" si="41"/>
        <v>Lucky22</v>
      </c>
      <c r="F569" s="79">
        <f>ROUND(VLOOKUP(C569,'RAW DATA 2023'!E:BO,23,0),0)</f>
        <v>40</v>
      </c>
      <c r="G569" s="79">
        <f>VLOOKUP(C569,'RAW DATA 2023'!E:BO,24,0)</f>
        <v>32.160277777777779</v>
      </c>
      <c r="H569" s="79">
        <f>IFERROR(VLOOKUP(F569,STD!B:G,2,FALSE),"")</f>
        <v>82</v>
      </c>
      <c r="I569" s="100">
        <f t="shared" si="42"/>
        <v>0.39219850948509488</v>
      </c>
      <c r="J569" s="74">
        <f t="shared" si="43"/>
        <v>-3.2340447154471534</v>
      </c>
      <c r="K569">
        <f>VLOOKUP(C569,'RAW DATA 2023'!E:BO,12,0)</f>
        <v>0.36</v>
      </c>
      <c r="L569" s="268">
        <f t="shared" si="44"/>
        <v>-1.1642560975609753</v>
      </c>
    </row>
    <row r="570" spans="1:12">
      <c r="A570" s="64" t="str">
        <f>'RAW DATA 2023'!B563</f>
        <v>Lucky2</v>
      </c>
      <c r="B570" s="64" t="str">
        <f>'RAW DATA 2023'!D563</f>
        <v>AC-005-0009</v>
      </c>
      <c r="C570" s="63" t="str">
        <f t="shared" si="40"/>
        <v>Lucky2AC-005-0009</v>
      </c>
      <c r="D570" s="63">
        <f>VLOOKUP(C570,'RAW DATA 2023'!E:BP,63,0)</f>
        <v>5</v>
      </c>
      <c r="E570" s="63" t="str">
        <f t="shared" si="41"/>
        <v>Lucky25</v>
      </c>
      <c r="F570" s="79">
        <f>ROUND(VLOOKUP(C570,'RAW DATA 2023'!E:BO,23,0),0)</f>
        <v>55</v>
      </c>
      <c r="G570" s="79">
        <f>VLOOKUP(C570,'RAW DATA 2023'!E:BO,24,0)</f>
        <v>32.167555555555552</v>
      </c>
      <c r="H570" s="79">
        <f>IFERROR(VLOOKUP(F570,STD!B:G,2,FALSE),"")</f>
        <v>86</v>
      </c>
      <c r="I570" s="100">
        <f t="shared" si="42"/>
        <v>0.37404134366925063</v>
      </c>
      <c r="J570" s="74">
        <f t="shared" si="43"/>
        <v>-3.7787596899224813</v>
      </c>
      <c r="K570">
        <f>VLOOKUP(C570,'RAW DATA 2023'!E:BO,12,0)</f>
        <v>0.45</v>
      </c>
      <c r="L570" s="268">
        <f t="shared" si="44"/>
        <v>-1.7004418604651166</v>
      </c>
    </row>
    <row r="571" spans="1:12">
      <c r="A571" s="64" t="str">
        <f>'RAW DATA 2023'!B564</f>
        <v>Lucky2</v>
      </c>
      <c r="B571" s="64" t="str">
        <f>'RAW DATA 2023'!D564</f>
        <v>AC-001-0008</v>
      </c>
      <c r="C571" s="63" t="str">
        <f t="shared" si="40"/>
        <v>Lucky2AC-001-0008</v>
      </c>
      <c r="D571" s="63">
        <f>VLOOKUP(C571,'RAW DATA 2023'!E:BP,63,0)</f>
        <v>2</v>
      </c>
      <c r="E571" s="63" t="str">
        <f t="shared" si="41"/>
        <v>Lucky22</v>
      </c>
      <c r="F571" s="79">
        <f>ROUND(VLOOKUP(C571,'RAW DATA 2023'!E:BO,23,0),0)</f>
        <v>42</v>
      </c>
      <c r="G571" s="79">
        <f>VLOOKUP(C571,'RAW DATA 2023'!E:BO,24,0)</f>
        <v>39.654444444444444</v>
      </c>
      <c r="H571" s="79">
        <f>IFERROR(VLOOKUP(F571,STD!B:G,2,FALSE),"")</f>
        <v>82</v>
      </c>
      <c r="I571" s="100">
        <f t="shared" si="42"/>
        <v>0.48359078590785909</v>
      </c>
      <c r="J571" s="74">
        <f t="shared" si="43"/>
        <v>-0.49227642276422734</v>
      </c>
      <c r="K571">
        <f>VLOOKUP(C571,'RAW DATA 2023'!E:BO,12,0)</f>
        <v>0.36</v>
      </c>
      <c r="L571" s="268">
        <f t="shared" si="44"/>
        <v>-0.17721951219512183</v>
      </c>
    </row>
    <row r="572" spans="1:12">
      <c r="A572" s="64" t="str">
        <f>'RAW DATA 2023'!B565</f>
        <v>Lucky2</v>
      </c>
      <c r="B572" s="64" t="str">
        <f>'RAW DATA 2023'!D565</f>
        <v>AC-002-0009</v>
      </c>
      <c r="C572" s="63" t="str">
        <f t="shared" si="40"/>
        <v>Lucky2AC-002-0009</v>
      </c>
      <c r="D572" s="63">
        <f>VLOOKUP(C572,'RAW DATA 2023'!E:BP,63,0)</f>
        <v>5</v>
      </c>
      <c r="E572" s="63" t="str">
        <f t="shared" si="41"/>
        <v>Lucky25</v>
      </c>
      <c r="F572" s="79">
        <f>ROUND(VLOOKUP(C572,'RAW DATA 2023'!E:BO,23,0),0)</f>
        <v>63</v>
      </c>
      <c r="G572" s="79">
        <f>VLOOKUP(C572,'RAW DATA 2023'!E:BO,24,0)</f>
        <v>41.603111111111112</v>
      </c>
      <c r="H572" s="79">
        <f>IFERROR(VLOOKUP(F572,STD!B:G,2,FALSE),"")</f>
        <v>87</v>
      </c>
      <c r="I572" s="100">
        <f t="shared" si="42"/>
        <v>0.47819667943805877</v>
      </c>
      <c r="J572" s="74">
        <f t="shared" si="43"/>
        <v>-0.65409961685823692</v>
      </c>
      <c r="K572">
        <f>VLOOKUP(C572,'RAW DATA 2023'!E:BO,12,0)</f>
        <v>0.45</v>
      </c>
      <c r="L572" s="268">
        <f t="shared" si="44"/>
        <v>-0.29434482758620661</v>
      </c>
    </row>
    <row r="573" spans="1:12">
      <c r="A573" s="64" t="str">
        <f>'RAW DATA 2023'!B566</f>
        <v>Lucky2</v>
      </c>
      <c r="B573" s="64" t="str">
        <f>'RAW DATA 2023'!D566</f>
        <v>A1-045-0003</v>
      </c>
      <c r="C573" s="63" t="str">
        <f t="shared" si="40"/>
        <v>Lucky2A1-045-0003</v>
      </c>
      <c r="D573" s="63">
        <f>VLOOKUP(C573,'RAW DATA 2023'!E:BP,63,0)</f>
        <v>3</v>
      </c>
      <c r="E573" s="63" t="str">
        <f t="shared" si="41"/>
        <v>Lucky23</v>
      </c>
      <c r="F573" s="79">
        <f>ROUND(VLOOKUP(C573,'RAW DATA 2023'!E:BO,23,0),0)</f>
        <v>27</v>
      </c>
      <c r="G573" s="79">
        <f>VLOOKUP(C573,'RAW DATA 2023'!E:BO,24,0)</f>
        <v>69.989666666666665</v>
      </c>
      <c r="H573" s="79">
        <f>IFERROR(VLOOKUP(F573,STD!B:G,2,FALSE),"")</f>
        <v>75</v>
      </c>
      <c r="I573" s="100">
        <f t="shared" si="42"/>
        <v>0.93319555555555556</v>
      </c>
      <c r="J573" s="74">
        <f t="shared" si="43"/>
        <v>12.995866666666666</v>
      </c>
      <c r="K573">
        <f>VLOOKUP(C573,'RAW DATA 2023'!E:BO,12,0)</f>
        <v>1.5</v>
      </c>
      <c r="L573" s="268">
        <f t="shared" si="44"/>
        <v>19.4938</v>
      </c>
    </row>
    <row r="574" spans="1:12">
      <c r="A574" s="64" t="str">
        <f>'RAW DATA 2023'!B567</f>
        <v>Lucky2</v>
      </c>
      <c r="B574" s="64" t="str">
        <f>'RAW DATA 2023'!D567</f>
        <v>AC-002-0008</v>
      </c>
      <c r="C574" s="63" t="str">
        <f t="shared" si="40"/>
        <v>Lucky2AC-002-0008</v>
      </c>
      <c r="D574" s="63">
        <f>VLOOKUP(C574,'RAW DATA 2023'!E:BP,63,0)</f>
        <v>2</v>
      </c>
      <c r="E574" s="63" t="str">
        <f t="shared" si="41"/>
        <v>Lucky22</v>
      </c>
      <c r="F574" s="79">
        <f>ROUND(VLOOKUP(C574,'RAW DATA 2023'!E:BO,23,0),0)</f>
        <v>46</v>
      </c>
      <c r="G574" s="79">
        <f>VLOOKUP(C574,'RAW DATA 2023'!E:BO,24,0)</f>
        <v>46.766388888888891</v>
      </c>
      <c r="H574" s="79">
        <f>IFERROR(VLOOKUP(F574,STD!B:G,2,FALSE),"")</f>
        <v>84</v>
      </c>
      <c r="I574" s="100">
        <f t="shared" si="42"/>
        <v>0.55674272486772491</v>
      </c>
      <c r="J574" s="74">
        <f t="shared" si="43"/>
        <v>1.7022817460317474</v>
      </c>
      <c r="K574">
        <f>VLOOKUP(C574,'RAW DATA 2023'!E:BO,12,0)</f>
        <v>0.36</v>
      </c>
      <c r="L574" s="268">
        <f t="shared" si="44"/>
        <v>0.61282142857142907</v>
      </c>
    </row>
    <row r="575" spans="1:12">
      <c r="A575" s="64" t="str">
        <f>'RAW DATA 2023'!B568</f>
        <v>Lucky2</v>
      </c>
      <c r="B575" s="64" t="str">
        <f>'RAW DATA 2023'!D568</f>
        <v>A1-045-0004</v>
      </c>
      <c r="C575" s="63" t="str">
        <f t="shared" si="40"/>
        <v>Lucky2A1-045-0004</v>
      </c>
      <c r="D575" s="63">
        <f>VLOOKUP(C575,'RAW DATA 2023'!E:BP,63,0)</f>
        <v>6</v>
      </c>
      <c r="E575" s="63" t="str">
        <f t="shared" si="41"/>
        <v>Lucky26</v>
      </c>
      <c r="F575" s="79">
        <f>ROUND(VLOOKUP(C575,'RAW DATA 2023'!E:BO,23,0),0)</f>
        <v>59</v>
      </c>
      <c r="G575" s="79">
        <f>VLOOKUP(C575,'RAW DATA 2023'!E:BO,24,0)</f>
        <v>72.574100000000001</v>
      </c>
      <c r="H575" s="79">
        <f>IFERROR(VLOOKUP(F575,STD!B:G,2,FALSE),"")</f>
        <v>87</v>
      </c>
      <c r="I575" s="100">
        <f t="shared" si="42"/>
        <v>0.83418505747126437</v>
      </c>
      <c r="J575" s="74">
        <f t="shared" si="43"/>
        <v>10.02555172413793</v>
      </c>
      <c r="K575">
        <f>VLOOKUP(C575,'RAW DATA 2023'!E:BO,12,0)</f>
        <v>2</v>
      </c>
      <c r="L575" s="268">
        <f t="shared" si="44"/>
        <v>20.05110344827586</v>
      </c>
    </row>
    <row r="576" spans="1:12">
      <c r="A576" s="64" t="str">
        <f>'RAW DATA 2023'!B569</f>
        <v>Lucky2</v>
      </c>
      <c r="B576" s="64" t="str">
        <f>'RAW DATA 2023'!D569</f>
        <v>AC-003-0008</v>
      </c>
      <c r="C576" s="63" t="str">
        <f t="shared" si="40"/>
        <v>Lucky2AC-003-0008</v>
      </c>
      <c r="D576" s="63">
        <f>VLOOKUP(C576,'RAW DATA 2023'!E:BP,63,0)</f>
        <v>3</v>
      </c>
      <c r="E576" s="63" t="str">
        <f t="shared" si="41"/>
        <v>Lucky23</v>
      </c>
      <c r="F576" s="79">
        <f>ROUND(VLOOKUP(C576,'RAW DATA 2023'!E:BO,23,0),0)</f>
        <v>51</v>
      </c>
      <c r="G576" s="79">
        <f>VLOOKUP(C576,'RAW DATA 2023'!E:BO,24,0)</f>
        <v>45.011388888888888</v>
      </c>
      <c r="H576" s="79">
        <f>IFERROR(VLOOKUP(F576,STD!B:G,2,FALSE),"")</f>
        <v>85</v>
      </c>
      <c r="I576" s="100">
        <f t="shared" si="42"/>
        <v>0.52954575163398687</v>
      </c>
      <c r="J576" s="74">
        <f t="shared" si="43"/>
        <v>0.88637254901960616</v>
      </c>
      <c r="K576">
        <f>VLOOKUP(C576,'RAW DATA 2023'!E:BO,12,0)</f>
        <v>0.36</v>
      </c>
      <c r="L576" s="268">
        <f t="shared" si="44"/>
        <v>0.3190941176470582</v>
      </c>
    </row>
    <row r="577" spans="1:13">
      <c r="A577" s="64" t="str">
        <f>'RAW DATA 2023'!B570</f>
        <v>Lucky2</v>
      </c>
      <c r="B577" s="64" t="str">
        <f>'RAW DATA 2023'!D570</f>
        <v>A1-045-0005</v>
      </c>
      <c r="C577" s="63" t="str">
        <f t="shared" si="40"/>
        <v>Lucky2A1-045-0005</v>
      </c>
      <c r="D577" s="63">
        <f>VLOOKUP(C577,'RAW DATA 2023'!E:BP,63,0)</f>
        <v>9</v>
      </c>
      <c r="E577" s="63" t="str">
        <f t="shared" si="41"/>
        <v>Lucky29</v>
      </c>
      <c r="F577" s="79">
        <f>ROUND(VLOOKUP(C577,'RAW DATA 2023'!E:BO,23,0),0)</f>
        <v>88</v>
      </c>
      <c r="G577" s="79">
        <f>VLOOKUP(C577,'RAW DATA 2023'!E:BO,24,0)</f>
        <v>79.370159999999998</v>
      </c>
      <c r="H577" s="79">
        <f>IFERROR(VLOOKUP(F577,STD!B:G,2,FALSE),"")</f>
        <v>90</v>
      </c>
      <c r="I577" s="100">
        <f t="shared" si="42"/>
        <v>0.8818906666666666</v>
      </c>
      <c r="J577" s="74">
        <f t="shared" si="43"/>
        <v>11.456719999999997</v>
      </c>
      <c r="K577">
        <f>VLOOKUP(C577,'RAW DATA 2023'!E:BO,12,0)</f>
        <v>2.5</v>
      </c>
      <c r="L577" s="268">
        <f t="shared" si="44"/>
        <v>28.641799999999993</v>
      </c>
    </row>
    <row r="578" spans="1:13">
      <c r="A578" s="64" t="str">
        <f>'RAW DATA 2023'!B571</f>
        <v>Lucky2</v>
      </c>
      <c r="B578" s="64" t="str">
        <f>'RAW DATA 2023'!D571</f>
        <v>AC-004-0010</v>
      </c>
      <c r="C578" s="63" t="str">
        <f t="shared" si="40"/>
        <v>Lucky2AC-004-0010</v>
      </c>
      <c r="D578" s="63">
        <f>VLOOKUP(C578,'RAW DATA 2023'!E:BP,63,0)</f>
        <v>7</v>
      </c>
      <c r="E578" s="63" t="str">
        <f t="shared" si="41"/>
        <v>Lucky27</v>
      </c>
      <c r="F578" s="79">
        <f>ROUND(VLOOKUP(C578,'RAW DATA 2023'!E:BO,23,0),0)</f>
        <v>73</v>
      </c>
      <c r="G578" s="79">
        <f>VLOOKUP(C578,'RAW DATA 2023'!E:BO,24,0)</f>
        <v>107.09833333333334</v>
      </c>
      <c r="H578" s="79">
        <f>IFERROR(VLOOKUP(F578,STD!B:G,2,FALSE),"")</f>
        <v>89</v>
      </c>
      <c r="I578" s="100">
        <f t="shared" si="42"/>
        <v>1.2033520599250938</v>
      </c>
      <c r="J578" s="74">
        <f t="shared" si="43"/>
        <v>21.100561797752814</v>
      </c>
      <c r="K578">
        <f>VLOOKUP(C578,'RAW DATA 2023'!E:BO,12,0)</f>
        <v>0.3</v>
      </c>
      <c r="L578" s="268">
        <f t="shared" si="44"/>
        <v>6.330168539325844</v>
      </c>
      <c r="M578"/>
    </row>
    <row r="579" spans="1:13">
      <c r="A579" s="64" t="str">
        <f>'RAW DATA 2023'!B572</f>
        <v>Lucky2</v>
      </c>
      <c r="B579" s="64" t="str">
        <f>'RAW DATA 2023'!D572</f>
        <v>AC-005-0010</v>
      </c>
      <c r="C579" s="63" t="str">
        <f t="shared" si="40"/>
        <v>Lucky2AC-005-0010</v>
      </c>
      <c r="D579" s="63">
        <f>VLOOKUP(C579,'RAW DATA 2023'!E:BP,63,0)</f>
        <v>7</v>
      </c>
      <c r="E579" s="63" t="str">
        <f t="shared" si="41"/>
        <v>Lucky27</v>
      </c>
      <c r="F579" s="79">
        <f>ROUND(VLOOKUP(C579,'RAW DATA 2023'!E:BO,23,0),0)</f>
        <v>72</v>
      </c>
      <c r="G579" s="79">
        <f>VLOOKUP(C579,'RAW DATA 2023'!E:BO,24,0)</f>
        <v>75.546333333333337</v>
      </c>
      <c r="H579" s="79">
        <f>IFERROR(VLOOKUP(F579,STD!B:G,2,FALSE),"")</f>
        <v>89</v>
      </c>
      <c r="I579" s="100">
        <f t="shared" si="42"/>
        <v>0.84883520599250939</v>
      </c>
      <c r="J579" s="74">
        <f t="shared" si="43"/>
        <v>10.465056179775281</v>
      </c>
      <c r="K579">
        <f>VLOOKUP(C579,'RAW DATA 2023'!E:BO,12,0)</f>
        <v>0.3</v>
      </c>
      <c r="L579" s="268">
        <f t="shared" si="44"/>
        <v>3.1395168539325842</v>
      </c>
      <c r="M579"/>
    </row>
    <row r="580" spans="1:13">
      <c r="A580" s="64" t="str">
        <f>'RAW DATA 2023'!B573</f>
        <v>Lucky2</v>
      </c>
      <c r="B580" s="64" t="str">
        <f>'RAW DATA 2023'!D573</f>
        <v>AC-003-0009</v>
      </c>
      <c r="C580" s="63" t="str">
        <f t="shared" si="40"/>
        <v>Lucky2AC-003-0009</v>
      </c>
      <c r="D580" s="63">
        <f>VLOOKUP(C580,'RAW DATA 2023'!E:BP,63,0)</f>
        <v>7</v>
      </c>
      <c r="E580" s="63" t="str">
        <f t="shared" si="41"/>
        <v>Lucky27</v>
      </c>
      <c r="F580" s="79">
        <f>ROUND(VLOOKUP(C580,'RAW DATA 2023'!E:BO,23,0),0)</f>
        <v>72</v>
      </c>
      <c r="G580" s="79">
        <f>VLOOKUP(C580,'RAW DATA 2023'!E:BO,24,0)</f>
        <v>91.505749999999992</v>
      </c>
      <c r="H580" s="79">
        <f>IFERROR(VLOOKUP(F580,STD!B:G,2,FALSE),"")</f>
        <v>89</v>
      </c>
      <c r="I580" s="100">
        <f t="shared" si="42"/>
        <v>1.0281544943820224</v>
      </c>
      <c r="J580" s="74">
        <f t="shared" si="43"/>
        <v>15.844634831460674</v>
      </c>
      <c r="K580">
        <f>VLOOKUP(C580,'RAW DATA 2023'!E:BO,12,0)</f>
        <v>0.4</v>
      </c>
      <c r="L580" s="268">
        <f t="shared" si="44"/>
        <v>6.3378539325842702</v>
      </c>
      <c r="M580"/>
    </row>
    <row r="581" spans="1:13">
      <c r="A581" s="64" t="str">
        <f>'RAW DATA 2023'!B574</f>
        <v>Laemsing</v>
      </c>
      <c r="B581" s="64" t="str">
        <f>'RAW DATA 2023'!D574</f>
        <v>A1-002-0038</v>
      </c>
      <c r="C581" s="63" t="str">
        <f t="shared" si="40"/>
        <v>LaemsingA1-002-0038</v>
      </c>
      <c r="D581" s="63">
        <f>VLOOKUP(C581,'RAW DATA 2023'!E:BP,63,0)</f>
        <v>8</v>
      </c>
      <c r="E581" s="63" t="str">
        <f t="shared" si="41"/>
        <v>Laemsing8</v>
      </c>
      <c r="F581" s="79">
        <f>ROUND(VLOOKUP(C581,'RAW DATA 2023'!E:BO,23,0),0)</f>
        <v>23</v>
      </c>
      <c r="G581" s="79">
        <f>VLOOKUP(C581,'RAW DATA 2023'!E:BO,24,0)</f>
        <v>44.773000000000003</v>
      </c>
      <c r="H581" s="79">
        <f>IFERROR(VLOOKUP(F581,STD!B:G,2,FALSE),"")</f>
        <v>71</v>
      </c>
      <c r="I581" s="100">
        <f t="shared" si="42"/>
        <v>0.63060563380281698</v>
      </c>
      <c r="J581" s="74">
        <f t="shared" si="43"/>
        <v>3.9181690140845093</v>
      </c>
      <c r="K581">
        <f>VLOOKUP(C581,'RAW DATA 2023'!E:BO,12,0)</f>
        <v>0.8</v>
      </c>
      <c r="L581" s="268">
        <f t="shared" si="44"/>
        <v>3.1345352112676075</v>
      </c>
      <c r="M581"/>
    </row>
    <row r="582" spans="1:13">
      <c r="A582" s="64" t="str">
        <f>'RAW DATA 2023'!B575</f>
        <v>Laemsing</v>
      </c>
      <c r="B582" s="64" t="str">
        <f>'RAW DATA 2023'!D575</f>
        <v>A1-026-0016</v>
      </c>
      <c r="C582" s="63" t="str">
        <f t="shared" si="40"/>
        <v>LaemsingA1-026-0016</v>
      </c>
      <c r="D582" s="63">
        <f>VLOOKUP(C582,'RAW DATA 2023'!E:BP,63,0)</f>
        <v>8</v>
      </c>
      <c r="E582" s="63" t="str">
        <f t="shared" si="41"/>
        <v>Laemsing8</v>
      </c>
      <c r="F582" s="79">
        <f>ROUND(VLOOKUP(C582,'RAW DATA 2023'!E:BO,23,0),0)</f>
        <v>36</v>
      </c>
      <c r="G582" s="79">
        <f>VLOOKUP(C582,'RAW DATA 2023'!E:BO,24,0)</f>
        <v>88.661285714285711</v>
      </c>
      <c r="H582" s="79">
        <f>IFERROR(VLOOKUP(F582,STD!B:G,2,FALSE),"")</f>
        <v>81</v>
      </c>
      <c r="I582" s="100">
        <f t="shared" si="42"/>
        <v>1.094583774250441</v>
      </c>
      <c r="J582" s="74">
        <f t="shared" si="43"/>
        <v>17.837513227513227</v>
      </c>
      <c r="K582">
        <f>VLOOKUP(C582,'RAW DATA 2023'!E:BO,12,0)</f>
        <v>0.7</v>
      </c>
      <c r="L582" s="268">
        <f t="shared" si="44"/>
        <v>12.486259259259258</v>
      </c>
      <c r="M582"/>
    </row>
    <row r="583" spans="1:13">
      <c r="A583" s="64" t="str">
        <f>'RAW DATA 2023'!B576</f>
        <v>Laemsing</v>
      </c>
      <c r="B583" s="64" t="str">
        <f>'RAW DATA 2023'!D576</f>
        <v>A1-002-0037</v>
      </c>
      <c r="C583" s="63" t="str">
        <f t="shared" si="40"/>
        <v>LaemsingA1-002-0037</v>
      </c>
      <c r="D583" s="63">
        <f>VLOOKUP(C583,'RAW DATA 2023'!E:BP,63,0)</f>
        <v>3</v>
      </c>
      <c r="E583" s="63" t="str">
        <f t="shared" si="41"/>
        <v>Laemsing3</v>
      </c>
      <c r="F583" s="79">
        <f>ROUND(VLOOKUP(C583,'RAW DATA 2023'!E:BO,23,0),0)</f>
        <v>30</v>
      </c>
      <c r="G583" s="79">
        <f>VLOOKUP(C583,'RAW DATA 2023'!E:BO,24,0)</f>
        <v>75.789866666666668</v>
      </c>
      <c r="H583" s="79">
        <f>IFERROR(VLOOKUP(F583,STD!B:G,2,FALSE),"")</f>
        <v>76</v>
      </c>
      <c r="I583" s="100">
        <f t="shared" si="42"/>
        <v>0.99723508771929825</v>
      </c>
      <c r="J583" s="74">
        <f t="shared" si="43"/>
        <v>14.917052631578947</v>
      </c>
      <c r="K583">
        <f>VLOOKUP(C583,'RAW DATA 2023'!E:BO,12,0)</f>
        <v>0.75</v>
      </c>
      <c r="L583" s="268">
        <f t="shared" si="44"/>
        <v>11.187789473684211</v>
      </c>
      <c r="M583"/>
    </row>
    <row r="584" spans="1:13">
      <c r="A584" s="64" t="str">
        <f>'RAW DATA 2023'!B577</f>
        <v>Laemsing</v>
      </c>
      <c r="B584" s="64" t="str">
        <f>'RAW DATA 2023'!D577</f>
        <v>A1-025-0014</v>
      </c>
      <c r="C584" s="63" t="str">
        <f t="shared" si="40"/>
        <v>LaemsingA1-025-0014</v>
      </c>
      <c r="D584" s="63">
        <f>VLOOKUP(C584,'RAW DATA 2023'!E:BP,63,0)</f>
        <v>7</v>
      </c>
      <c r="E584" s="63" t="str">
        <f t="shared" si="41"/>
        <v>Laemsing7</v>
      </c>
      <c r="F584" s="79">
        <f>ROUND(VLOOKUP(C584,'RAW DATA 2023'!E:BO,23,0),0)</f>
        <v>48</v>
      </c>
      <c r="G584" s="79">
        <f>VLOOKUP(C584,'RAW DATA 2023'!E:BO,24,0)</f>
        <v>75.034500000000008</v>
      </c>
      <c r="H584" s="79">
        <f>IFERROR(VLOOKUP(F584,STD!B:G,2,FALSE),"")</f>
        <v>84</v>
      </c>
      <c r="I584" s="100">
        <f t="shared" si="42"/>
        <v>0.89326785714285728</v>
      </c>
      <c r="J584" s="74">
        <f t="shared" si="43"/>
        <v>11.798035714285719</v>
      </c>
      <c r="K584">
        <f>VLOOKUP(C584,'RAW DATA 2023'!E:BO,12,0)</f>
        <v>0.8</v>
      </c>
      <c r="L584" s="268">
        <f t="shared" si="44"/>
        <v>9.4384285714285756</v>
      </c>
      <c r="M584"/>
    </row>
    <row r="585" spans="1:13">
      <c r="A585" s="64" t="str">
        <f>'RAW DATA 2023'!B578</f>
        <v>Laemsing</v>
      </c>
      <c r="B585" s="64" t="str">
        <f>'RAW DATA 2023'!D578</f>
        <v>A1-019-0029</v>
      </c>
      <c r="C585" s="63" t="str">
        <f t="shared" si="40"/>
        <v>LaemsingA1-019-0029</v>
      </c>
      <c r="D585" s="63">
        <f>VLOOKUP(C585,'RAW DATA 2023'!E:BP,63,0)</f>
        <v>7</v>
      </c>
      <c r="E585" s="63" t="str">
        <f t="shared" si="41"/>
        <v>Laemsing7</v>
      </c>
      <c r="F585" s="79">
        <f>ROUND(VLOOKUP(C585,'RAW DATA 2023'!E:BO,23,0),0)</f>
        <v>53</v>
      </c>
      <c r="G585" s="79">
        <f>VLOOKUP(C585,'RAW DATA 2023'!E:BO,24,0)</f>
        <v>77.758142857142857</v>
      </c>
      <c r="H585" s="79">
        <f>IFERROR(VLOOKUP(F585,STD!B:G,2,FALSE),"")</f>
        <v>86</v>
      </c>
      <c r="I585" s="100">
        <f t="shared" si="42"/>
        <v>0.90416445182724248</v>
      </c>
      <c r="J585" s="74">
        <f t="shared" si="43"/>
        <v>12.124933554817275</v>
      </c>
      <c r="K585">
        <f>VLOOKUP(C585,'RAW DATA 2023'!E:BO,12,0)</f>
        <v>0.7</v>
      </c>
      <c r="L585" s="268">
        <f t="shared" si="44"/>
        <v>8.4874534883720916</v>
      </c>
      <c r="M585"/>
    </row>
    <row r="586" spans="1:13">
      <c r="A586" s="64" t="str">
        <f>'RAW DATA 2023'!B579</f>
        <v>Laemsing</v>
      </c>
      <c r="B586" s="64" t="str">
        <f>'RAW DATA 2023'!D579</f>
        <v>A1-019-0028</v>
      </c>
      <c r="C586" s="63" t="str">
        <f t="shared" ref="C586:C649" si="45">A586&amp;B586</f>
        <v>LaemsingA1-019-0028</v>
      </c>
      <c r="D586" s="63">
        <f>VLOOKUP(C586,'RAW DATA 2023'!E:BP,63,0)</f>
        <v>4</v>
      </c>
      <c r="E586" s="63" t="str">
        <f t="shared" ref="E586:E649" si="46">A586&amp;D586</f>
        <v>Laemsing4</v>
      </c>
      <c r="F586" s="79">
        <f>ROUND(VLOOKUP(C586,'RAW DATA 2023'!E:BO,23,0),0)</f>
        <v>31</v>
      </c>
      <c r="G586" s="79">
        <f>VLOOKUP(C586,'RAW DATA 2023'!E:BO,24,0)</f>
        <v>85.25954545454546</v>
      </c>
      <c r="H586" s="79">
        <f>IFERROR(VLOOKUP(F586,STD!B:G,2,FALSE),"")</f>
        <v>76</v>
      </c>
      <c r="I586" s="100">
        <f t="shared" si="42"/>
        <v>1.1218361244019139</v>
      </c>
      <c r="J586" s="74">
        <f t="shared" si="43"/>
        <v>18.655083732057417</v>
      </c>
      <c r="K586">
        <f>VLOOKUP(C586,'RAW DATA 2023'!E:BO,12,0)</f>
        <v>0.66</v>
      </c>
      <c r="L586" s="268">
        <f t="shared" si="44"/>
        <v>12.312355263157896</v>
      </c>
      <c r="M586"/>
    </row>
    <row r="587" spans="1:13">
      <c r="A587" s="64" t="str">
        <f>'RAW DATA 2023'!B580</f>
        <v>Laemsing</v>
      </c>
      <c r="B587" s="64" t="str">
        <f>'RAW DATA 2023'!D580</f>
        <v>A1-025-0013</v>
      </c>
      <c r="C587" s="63" t="str">
        <f t="shared" si="45"/>
        <v>LaemsingA1-025-0013</v>
      </c>
      <c r="D587" s="63">
        <f>VLOOKUP(C587,'RAW DATA 2023'!E:BP,63,0)</f>
        <v>4</v>
      </c>
      <c r="E587" s="63" t="str">
        <f t="shared" si="46"/>
        <v>Laemsing4</v>
      </c>
      <c r="F587" s="79">
        <f>ROUND(VLOOKUP(C587,'RAW DATA 2023'!E:BO,23,0),0)</f>
        <v>30</v>
      </c>
      <c r="G587" s="79">
        <f>VLOOKUP(C587,'RAW DATA 2023'!E:BO,24,0)</f>
        <v>85.748522727272729</v>
      </c>
      <c r="H587" s="79">
        <f>IFERROR(VLOOKUP(F587,STD!B:G,2,FALSE),"")</f>
        <v>76</v>
      </c>
      <c r="I587" s="100">
        <f t="shared" ref="I587:I650" si="47">IFERROR(G587/H587,0)</f>
        <v>1.1282700358851674</v>
      </c>
      <c r="J587" s="74">
        <f t="shared" ref="J587:J650" si="48">(I587-$E$4)*$E$7</f>
        <v>18.848101076555022</v>
      </c>
      <c r="K587">
        <f>VLOOKUP(C587,'RAW DATA 2023'!E:BO,12,0)</f>
        <v>0.88</v>
      </c>
      <c r="L587" s="268">
        <f t="shared" ref="L587:L650" si="49">J587*K587</f>
        <v>16.586328947368418</v>
      </c>
      <c r="M587"/>
    </row>
    <row r="588" spans="1:13">
      <c r="A588" s="64" t="str">
        <f>'RAW DATA 2023'!B581</f>
        <v>Laemsing</v>
      </c>
      <c r="B588" s="64" t="str">
        <f>'RAW DATA 2023'!D581</f>
        <v>A1-018-0026</v>
      </c>
      <c r="C588" s="63" t="str">
        <f t="shared" si="45"/>
        <v>LaemsingA1-018-0026</v>
      </c>
      <c r="D588" s="63">
        <f>VLOOKUP(C588,'RAW DATA 2023'!E:BP,63,0)</f>
        <v>6</v>
      </c>
      <c r="E588" s="63" t="str">
        <f t="shared" si="46"/>
        <v>Laemsing6</v>
      </c>
      <c r="F588" s="79">
        <f>ROUND(VLOOKUP(C588,'RAW DATA 2023'!E:BO,23,0),0)</f>
        <v>33</v>
      </c>
      <c r="G588" s="79">
        <f>VLOOKUP(C588,'RAW DATA 2023'!E:BO,24,0)</f>
        <v>111.94712499999999</v>
      </c>
      <c r="H588" s="79">
        <f>IFERROR(VLOOKUP(F588,STD!B:G,2,FALSE),"")</f>
        <v>79</v>
      </c>
      <c r="I588" s="100">
        <f t="shared" si="47"/>
        <v>1.4170522151898732</v>
      </c>
      <c r="J588" s="74">
        <f t="shared" si="48"/>
        <v>27.511566455696197</v>
      </c>
      <c r="K588">
        <f>VLOOKUP(C588,'RAW DATA 2023'!E:BO,12,0)</f>
        <v>0.8</v>
      </c>
      <c r="L588" s="268">
        <f t="shared" si="49"/>
        <v>22.009253164556959</v>
      </c>
      <c r="M588"/>
    </row>
    <row r="589" spans="1:13">
      <c r="A589" s="64" t="str">
        <f>'RAW DATA 2023'!B582</f>
        <v>Laemsing</v>
      </c>
      <c r="B589" s="64" t="str">
        <f>'RAW DATA 2023'!D582</f>
        <v>A1-026-0015</v>
      </c>
      <c r="C589" s="63" t="str">
        <f t="shared" si="45"/>
        <v>LaemsingA1-026-0015</v>
      </c>
      <c r="D589" s="63">
        <f>VLOOKUP(C589,'RAW DATA 2023'!E:BP,63,0)</f>
        <v>4</v>
      </c>
      <c r="E589" s="63" t="str">
        <f t="shared" si="46"/>
        <v>Laemsing4</v>
      </c>
      <c r="F589" s="79">
        <f>ROUND(VLOOKUP(C589,'RAW DATA 2023'!E:BO,23,0),0)</f>
        <v>31</v>
      </c>
      <c r="G589" s="79">
        <f>VLOOKUP(C589,'RAW DATA 2023'!E:BO,24,0)</f>
        <v>107.48681818181818</v>
      </c>
      <c r="H589" s="79">
        <f>IFERROR(VLOOKUP(F589,STD!B:G,2,FALSE),"")</f>
        <v>76</v>
      </c>
      <c r="I589" s="100">
        <f t="shared" si="47"/>
        <v>1.4143002392344497</v>
      </c>
      <c r="J589" s="74">
        <f t="shared" si="48"/>
        <v>27.42900717703349</v>
      </c>
      <c r="K589">
        <f>VLOOKUP(C589,'RAW DATA 2023'!E:BO,12,0)</f>
        <v>0.66</v>
      </c>
      <c r="L589" s="268">
        <f t="shared" si="49"/>
        <v>18.103144736842104</v>
      </c>
      <c r="M589"/>
    </row>
    <row r="590" spans="1:13">
      <c r="A590" s="64" t="str">
        <f>'RAW DATA 2023'!B583</f>
        <v>Laemsing</v>
      </c>
      <c r="B590" s="64" t="str">
        <f>'RAW DATA 2023'!D583</f>
        <v>A1-018-0025</v>
      </c>
      <c r="C590" s="63" t="str">
        <f t="shared" si="45"/>
        <v>LaemsingA1-018-0025</v>
      </c>
      <c r="D590" s="63">
        <f>VLOOKUP(C590,'RAW DATA 2023'!E:BP,63,0)</f>
        <v>1</v>
      </c>
      <c r="E590" s="63" t="str">
        <f t="shared" si="46"/>
        <v>Laemsing1</v>
      </c>
      <c r="F590" s="79">
        <f>ROUND(VLOOKUP(C590,'RAW DATA 2023'!E:BO,23,0),0)</f>
        <v>0</v>
      </c>
      <c r="G590" s="79">
        <f>VLOOKUP(C590,'RAW DATA 2023'!E:BO,24,0)</f>
        <v>0</v>
      </c>
      <c r="H590" s="79" t="str">
        <f>IFERROR(VLOOKUP(F590,STD!B:G,2,FALSE),"")</f>
        <v/>
      </c>
      <c r="I590" s="100">
        <f t="shared" si="47"/>
        <v>0</v>
      </c>
      <c r="J590" s="74">
        <f t="shared" si="48"/>
        <v>-15</v>
      </c>
      <c r="K590">
        <f>VLOOKUP(C590,'RAW DATA 2023'!E:BO,12,0)</f>
        <v>0.7</v>
      </c>
      <c r="L590" s="268">
        <f t="shared" si="49"/>
        <v>-10.5</v>
      </c>
      <c r="M590"/>
    </row>
    <row r="591" spans="1:13">
      <c r="A591" s="64" t="str">
        <f>'RAW DATA 2023'!B584</f>
        <v>Laemsing</v>
      </c>
      <c r="B591" s="64" t="str">
        <f>'RAW DATA 2023'!D584</f>
        <v>B1-028-0014</v>
      </c>
      <c r="C591" s="63" t="str">
        <f t="shared" si="45"/>
        <v>LaemsingB1-028-0014</v>
      </c>
      <c r="D591" s="63">
        <f>VLOOKUP(C591,'RAW DATA 2023'!E:BP,63,0)</f>
        <v>6</v>
      </c>
      <c r="E591" s="63" t="str">
        <f t="shared" si="46"/>
        <v>Laemsing6</v>
      </c>
      <c r="F591" s="79">
        <f>ROUND(VLOOKUP(C591,'RAW DATA 2023'!E:BO,23,0),0)</f>
        <v>26</v>
      </c>
      <c r="G591" s="79">
        <f>VLOOKUP(C591,'RAW DATA 2023'!E:BO,24,0)</f>
        <v>89.549250000000001</v>
      </c>
      <c r="H591" s="79">
        <f>IFERROR(VLOOKUP(F591,STD!B:G,2,FALSE),"")</f>
        <v>75</v>
      </c>
      <c r="I591" s="100">
        <f t="shared" si="47"/>
        <v>1.1939900000000001</v>
      </c>
      <c r="J591" s="74">
        <f t="shared" si="48"/>
        <v>20.819700000000005</v>
      </c>
      <c r="K591">
        <f>VLOOKUP(C591,'RAW DATA 2023'!E:BO,12,0)</f>
        <v>0.8</v>
      </c>
      <c r="L591" s="268">
        <f t="shared" si="49"/>
        <v>16.655760000000004</v>
      </c>
      <c r="M591"/>
    </row>
    <row r="592" spans="1:13">
      <c r="A592" s="64" t="str">
        <f>'RAW DATA 2023'!B585</f>
        <v>Laemsing</v>
      </c>
      <c r="B592" s="64" t="str">
        <f>'RAW DATA 2023'!D585</f>
        <v>B1-013-0033</v>
      </c>
      <c r="C592" s="63" t="str">
        <f t="shared" si="45"/>
        <v>LaemsingB1-013-0033</v>
      </c>
      <c r="D592" s="63">
        <f>VLOOKUP(C592,'RAW DATA 2023'!E:BP,63,0)</f>
        <v>7</v>
      </c>
      <c r="E592" s="63" t="str">
        <f t="shared" si="46"/>
        <v>Laemsing7</v>
      </c>
      <c r="F592" s="79">
        <f>ROUND(VLOOKUP(C592,'RAW DATA 2023'!E:BO,23,0),0)</f>
        <v>41</v>
      </c>
      <c r="G592" s="79">
        <f>VLOOKUP(C592,'RAW DATA 2023'!E:BO,24,0)</f>
        <v>69.805125000000004</v>
      </c>
      <c r="H592" s="79">
        <f>IFERROR(VLOOKUP(F592,STD!B:G,2,FALSE),"")</f>
        <v>82</v>
      </c>
      <c r="I592" s="100">
        <f t="shared" si="47"/>
        <v>0.85128201219512201</v>
      </c>
      <c r="J592" s="74">
        <f t="shared" si="48"/>
        <v>10.538460365853661</v>
      </c>
      <c r="K592">
        <f>VLOOKUP(C592,'RAW DATA 2023'!E:BO,12,0)</f>
        <v>0.8</v>
      </c>
      <c r="L592" s="268">
        <f t="shared" si="49"/>
        <v>8.430768292682929</v>
      </c>
      <c r="M592"/>
    </row>
    <row r="593" spans="1:13">
      <c r="A593" s="64" t="str">
        <f>'RAW DATA 2023'!B586</f>
        <v>Laemsing</v>
      </c>
      <c r="B593" s="64" t="str">
        <f>'RAW DATA 2023'!D586</f>
        <v>B1-027-0015</v>
      </c>
      <c r="C593" s="63" t="str">
        <f t="shared" si="45"/>
        <v>LaemsingB1-027-0015</v>
      </c>
      <c r="D593" s="63">
        <f>VLOOKUP(C593,'RAW DATA 2023'!E:BP,63,0)</f>
        <v>7</v>
      </c>
      <c r="E593" s="63" t="str">
        <f t="shared" si="46"/>
        <v>Laemsing7</v>
      </c>
      <c r="F593" s="79">
        <f>ROUND(VLOOKUP(C593,'RAW DATA 2023'!E:BO,23,0),0)</f>
        <v>41</v>
      </c>
      <c r="G593" s="79">
        <f>VLOOKUP(C593,'RAW DATA 2023'!E:BO,24,0)</f>
        <v>87.183285714285716</v>
      </c>
      <c r="H593" s="79">
        <f>IFERROR(VLOOKUP(F593,STD!B:G,2,FALSE),"")</f>
        <v>82</v>
      </c>
      <c r="I593" s="100">
        <f t="shared" si="47"/>
        <v>1.0632108013937283</v>
      </c>
      <c r="J593" s="74">
        <f t="shared" si="48"/>
        <v>16.896324041811848</v>
      </c>
      <c r="K593">
        <f>VLOOKUP(C593,'RAW DATA 2023'!E:BO,12,0)</f>
        <v>0.7</v>
      </c>
      <c r="L593" s="268">
        <f t="shared" si="49"/>
        <v>11.827426829268292</v>
      </c>
      <c r="M593"/>
    </row>
    <row r="594" spans="1:13">
      <c r="A594" s="64" t="str">
        <f>'RAW DATA 2023'!B587</f>
        <v>Laemsing</v>
      </c>
      <c r="B594" s="64" t="str">
        <f>'RAW DATA 2023'!D587</f>
        <v>B1-006-0040</v>
      </c>
      <c r="C594" s="63" t="str">
        <f t="shared" si="45"/>
        <v>LaemsingB1-006-0040</v>
      </c>
      <c r="D594" s="63">
        <f>VLOOKUP(C594,'RAW DATA 2023'!E:BP,63,0)</f>
        <v>3</v>
      </c>
      <c r="E594" s="63" t="str">
        <f t="shared" si="46"/>
        <v>Laemsing3</v>
      </c>
      <c r="F594" s="79">
        <f>ROUND(VLOOKUP(C594,'RAW DATA 2023'!E:BO,23,0),0)</f>
        <v>32</v>
      </c>
      <c r="G594" s="79">
        <f>VLOOKUP(C594,'RAW DATA 2023'!E:BO,24,0)</f>
        <v>109.01966666666667</v>
      </c>
      <c r="H594" s="79">
        <f>IFERROR(VLOOKUP(F594,STD!B:G,2,FALSE),"")</f>
        <v>77</v>
      </c>
      <c r="I594" s="100">
        <f t="shared" si="47"/>
        <v>1.4158398268398269</v>
      </c>
      <c r="J594" s="74">
        <f t="shared" si="48"/>
        <v>27.475194805194807</v>
      </c>
      <c r="K594">
        <f>VLOOKUP(C594,'RAW DATA 2023'!E:BO,12,0)</f>
        <v>0.6</v>
      </c>
      <c r="L594" s="268">
        <f t="shared" si="49"/>
        <v>16.485116883116884</v>
      </c>
      <c r="M594"/>
    </row>
    <row r="595" spans="1:13">
      <c r="A595" s="64" t="str">
        <f>'RAW DATA 2023'!B588</f>
        <v>Laemsing</v>
      </c>
      <c r="B595" s="64" t="str">
        <f>'RAW DATA 2023'!D588</f>
        <v>B1-027-0014</v>
      </c>
      <c r="C595" s="63" t="str">
        <f t="shared" si="45"/>
        <v>LaemsingB1-027-0014</v>
      </c>
      <c r="D595" s="63">
        <f>VLOOKUP(C595,'RAW DATA 2023'!E:BP,63,0)</f>
        <v>4</v>
      </c>
      <c r="E595" s="63" t="str">
        <f t="shared" si="46"/>
        <v>Laemsing4</v>
      </c>
      <c r="F595" s="79">
        <f>ROUND(VLOOKUP(C595,'RAW DATA 2023'!E:BO,23,0),0)</f>
        <v>29</v>
      </c>
      <c r="G595" s="79">
        <f>VLOOKUP(C595,'RAW DATA 2023'!E:BO,24,0)</f>
        <v>105.65042857142856</v>
      </c>
      <c r="H595" s="79">
        <f>IFERROR(VLOOKUP(F595,STD!B:G,2,FALSE),"")</f>
        <v>76</v>
      </c>
      <c r="I595" s="100">
        <f t="shared" si="47"/>
        <v>1.3901372180451126</v>
      </c>
      <c r="J595" s="74">
        <f t="shared" si="48"/>
        <v>26.704116541353379</v>
      </c>
      <c r="K595">
        <f>VLOOKUP(C595,'RAW DATA 2023'!E:BO,12,0)</f>
        <v>0.7</v>
      </c>
      <c r="L595" s="268">
        <f t="shared" si="49"/>
        <v>18.692881578947365</v>
      </c>
      <c r="M595"/>
    </row>
    <row r="596" spans="1:13">
      <c r="A596" s="64" t="str">
        <f>'RAW DATA 2023'!B589</f>
        <v>Laemsing</v>
      </c>
      <c r="B596" s="64" t="str">
        <f>'RAW DATA 2023'!D589</f>
        <v>B1-012-0030</v>
      </c>
      <c r="C596" s="63" t="str">
        <f t="shared" si="45"/>
        <v>LaemsingB1-012-0030</v>
      </c>
      <c r="D596" s="63">
        <f>VLOOKUP(C596,'RAW DATA 2023'!E:BP,63,0)</f>
        <v>6</v>
      </c>
      <c r="E596" s="63" t="str">
        <f t="shared" si="46"/>
        <v>Laemsing6</v>
      </c>
      <c r="F596" s="79">
        <f>ROUND(VLOOKUP(C596,'RAW DATA 2023'!E:BO,23,0),0)</f>
        <v>38</v>
      </c>
      <c r="G596" s="79">
        <f>VLOOKUP(C596,'RAW DATA 2023'!E:BO,24,0)</f>
        <v>114.8306</v>
      </c>
      <c r="H596" s="79">
        <f>IFERROR(VLOOKUP(F596,STD!B:G,2,FALSE),"")</f>
        <v>81</v>
      </c>
      <c r="I596" s="100">
        <f t="shared" si="47"/>
        <v>1.4176617283950619</v>
      </c>
      <c r="J596" s="74">
        <f t="shared" si="48"/>
        <v>27.529851851851856</v>
      </c>
      <c r="K596">
        <f>VLOOKUP(C596,'RAW DATA 2023'!E:BO,12,0)</f>
        <v>1</v>
      </c>
      <c r="L596" s="268">
        <f t="shared" si="49"/>
        <v>27.529851851851856</v>
      </c>
      <c r="M596"/>
    </row>
    <row r="597" spans="1:13">
      <c r="A597" s="64" t="str">
        <f>'RAW DATA 2023'!B590</f>
        <v>Laemsing</v>
      </c>
      <c r="B597" s="64" t="str">
        <f>'RAW DATA 2023'!D590</f>
        <v>B1-013-0032</v>
      </c>
      <c r="C597" s="63" t="str">
        <f t="shared" si="45"/>
        <v>LaemsingB1-013-0032</v>
      </c>
      <c r="D597" s="63">
        <f>VLOOKUP(C597,'RAW DATA 2023'!E:BP,63,0)</f>
        <v>4</v>
      </c>
      <c r="E597" s="63" t="str">
        <f t="shared" si="46"/>
        <v>Laemsing4</v>
      </c>
      <c r="F597" s="79">
        <f>ROUND(VLOOKUP(C597,'RAW DATA 2023'!E:BO,23,0),0)</f>
        <v>28</v>
      </c>
      <c r="G597" s="79">
        <f>VLOOKUP(C597,'RAW DATA 2023'!E:BO,24,0)</f>
        <v>63.633125</v>
      </c>
      <c r="H597" s="79">
        <f>IFERROR(VLOOKUP(F597,STD!B:G,2,FALSE),"")</f>
        <v>75</v>
      </c>
      <c r="I597" s="100">
        <f t="shared" si="47"/>
        <v>0.84844166666666665</v>
      </c>
      <c r="J597" s="74">
        <f t="shared" si="48"/>
        <v>10.453249999999999</v>
      </c>
      <c r="K597">
        <f>VLOOKUP(C597,'RAW DATA 2023'!E:BO,12,0)</f>
        <v>0.8</v>
      </c>
      <c r="L597" s="268">
        <f t="shared" si="49"/>
        <v>8.3625999999999987</v>
      </c>
      <c r="M597"/>
    </row>
    <row r="598" spans="1:13">
      <c r="A598" s="64" t="str">
        <f>'RAW DATA 2023'!B591</f>
        <v>Laemsing</v>
      </c>
      <c r="B598" s="64" t="str">
        <f>'RAW DATA 2023'!D591</f>
        <v>B1-028-0013</v>
      </c>
      <c r="C598" s="63" t="str">
        <f t="shared" si="45"/>
        <v>LaemsingB1-028-0013</v>
      </c>
      <c r="D598" s="63">
        <f>VLOOKUP(C598,'RAW DATA 2023'!E:BP,63,0)</f>
        <v>1</v>
      </c>
      <c r="E598" s="63" t="str">
        <f t="shared" si="46"/>
        <v>Laemsing1</v>
      </c>
      <c r="F598" s="79">
        <f>ROUND(VLOOKUP(C598,'RAW DATA 2023'!E:BO,23,0),0)</f>
        <v>72</v>
      </c>
      <c r="G598" s="79">
        <f>VLOOKUP(C598,'RAW DATA 2023'!E:BO,24,0)</f>
        <v>100.69275</v>
      </c>
      <c r="H598" s="79">
        <f>IFERROR(VLOOKUP(F598,STD!B:G,2,FALSE),"")</f>
        <v>89</v>
      </c>
      <c r="I598" s="100">
        <f t="shared" si="47"/>
        <v>1.1313792134831462</v>
      </c>
      <c r="J598" s="74">
        <f t="shared" si="48"/>
        <v>18.941376404494385</v>
      </c>
      <c r="K598">
        <f>VLOOKUP(C598,'RAW DATA 2023'!E:BO,12,0)</f>
        <v>0.8</v>
      </c>
      <c r="L598" s="268">
        <f t="shared" si="49"/>
        <v>15.153101123595508</v>
      </c>
      <c r="M598"/>
    </row>
    <row r="599" spans="1:13">
      <c r="A599" s="64" t="str">
        <f>'RAW DATA 2023'!B592</f>
        <v>Laemsing</v>
      </c>
      <c r="B599" s="64" t="str">
        <f>'RAW DATA 2023'!D592</f>
        <v>B1-012-0031</v>
      </c>
      <c r="C599" s="63" t="str">
        <f t="shared" si="45"/>
        <v>LaemsingB1-012-0031</v>
      </c>
      <c r="D599" s="63">
        <f>VLOOKUP(C599,'RAW DATA 2023'!E:BP,63,0)</f>
        <v>7</v>
      </c>
      <c r="E599" s="63" t="str">
        <f t="shared" si="46"/>
        <v>Laemsing7</v>
      </c>
      <c r="F599" s="79">
        <f>ROUND(VLOOKUP(C599,'RAW DATA 2023'!E:BO,23,0),0)</f>
        <v>156</v>
      </c>
      <c r="G599" s="79">
        <f>VLOOKUP(C599,'RAW DATA 2023'!E:BO,24,0)</f>
        <v>87.33</v>
      </c>
      <c r="H599" s="79">
        <f>IFERROR(VLOOKUP(F599,STD!B:G,2,FALSE),"")</f>
        <v>93</v>
      </c>
      <c r="I599" s="100">
        <f t="shared" si="47"/>
        <v>0.93903225806451607</v>
      </c>
      <c r="J599" s="74">
        <f t="shared" si="48"/>
        <v>13.170967741935481</v>
      </c>
      <c r="K599">
        <f>VLOOKUP(C599,'RAW DATA 2023'!E:BO,12,0)</f>
        <v>1</v>
      </c>
      <c r="L599" s="268">
        <f t="shared" si="49"/>
        <v>13.170967741935481</v>
      </c>
      <c r="M599"/>
    </row>
    <row r="600" spans="1:13">
      <c r="A600" s="64" t="str">
        <f>'RAW DATA 2023'!B593</f>
        <v>Laemsing</v>
      </c>
      <c r="B600" s="64" t="str">
        <f>'RAW DATA 2023'!D593</f>
        <v>B1-006-0041</v>
      </c>
      <c r="C600" s="63" t="str">
        <f t="shared" si="45"/>
        <v>LaemsingB1-006-0041</v>
      </c>
      <c r="D600" s="63">
        <f>VLOOKUP(C600,'RAW DATA 2023'!E:BP,63,0)</f>
        <v>8</v>
      </c>
      <c r="E600" s="63" t="str">
        <f t="shared" si="46"/>
        <v>Laemsing8</v>
      </c>
      <c r="F600" s="79">
        <f>ROUND(VLOOKUP(C600,'RAW DATA 2023'!E:BO,23,0),0)</f>
        <v>28</v>
      </c>
      <c r="G600" s="79">
        <f>VLOOKUP(C600,'RAW DATA 2023'!E:BO,24,0)</f>
        <v>75.501692307692309</v>
      </c>
      <c r="H600" s="79">
        <f>IFERROR(VLOOKUP(F600,STD!B:G,2,FALSE),"")</f>
        <v>75</v>
      </c>
      <c r="I600" s="100">
        <f t="shared" si="47"/>
        <v>1.0066892307692308</v>
      </c>
      <c r="J600" s="74">
        <f t="shared" si="48"/>
        <v>15.200676923076923</v>
      </c>
      <c r="K600">
        <f>VLOOKUP(C600,'RAW DATA 2023'!E:BO,12,0)</f>
        <v>0.65</v>
      </c>
      <c r="L600" s="268">
        <f t="shared" si="49"/>
        <v>9.8804400000000001</v>
      </c>
      <c r="M600"/>
    </row>
    <row r="601" spans="1:13">
      <c r="A601" s="64" t="str">
        <f>'RAW DATA 2023'!B594</f>
        <v>Laemsing</v>
      </c>
      <c r="B601" s="64" t="str">
        <f>'RAW DATA 2023'!D594</f>
        <v>B1-028-0016</v>
      </c>
      <c r="C601" s="63" t="str">
        <f t="shared" si="45"/>
        <v>LaemsingB1-028-0016</v>
      </c>
      <c r="D601" s="63">
        <f>VLOOKUP(C601,'RAW DATA 2023'!E:BP,63,0)</f>
        <v>11</v>
      </c>
      <c r="E601" s="63" t="str">
        <f t="shared" si="46"/>
        <v>Laemsing11</v>
      </c>
      <c r="F601" s="79">
        <f>ROUND(VLOOKUP(C601,'RAW DATA 2023'!E:BO,23,0),0)</f>
        <v>64</v>
      </c>
      <c r="G601" s="79">
        <f>VLOOKUP(C601,'RAW DATA 2023'!E:BO,24,0)</f>
        <v>104.25925000000001</v>
      </c>
      <c r="H601" s="79">
        <f>IFERROR(VLOOKUP(F601,STD!B:G,2,FALSE),"")</f>
        <v>88</v>
      </c>
      <c r="I601" s="100">
        <f t="shared" si="47"/>
        <v>1.1847642045454547</v>
      </c>
      <c r="J601" s="74">
        <f t="shared" si="48"/>
        <v>20.54292613636364</v>
      </c>
      <c r="K601">
        <f>VLOOKUP(C601,'RAW DATA 2023'!E:BO,12,0)</f>
        <v>0.8</v>
      </c>
      <c r="L601" s="268">
        <f t="shared" si="49"/>
        <v>16.434340909090913</v>
      </c>
      <c r="M601"/>
    </row>
    <row r="602" spans="1:13">
      <c r="A602" s="64" t="str">
        <f>'RAW DATA 2023'!B595</f>
        <v>Laemsing</v>
      </c>
      <c r="B602" s="64" t="str">
        <f>'RAW DATA 2023'!D595</f>
        <v>B1-013-0034</v>
      </c>
      <c r="C602" s="63" t="str">
        <f t="shared" si="45"/>
        <v>LaemsingB1-013-0034</v>
      </c>
      <c r="D602" s="63">
        <f>VLOOKUP(C602,'RAW DATA 2023'!E:BP,63,0)</f>
        <v>12</v>
      </c>
      <c r="E602" s="63" t="str">
        <f t="shared" si="46"/>
        <v>Laemsing12</v>
      </c>
      <c r="F602" s="79">
        <f>ROUND(VLOOKUP(C602,'RAW DATA 2023'!E:BO,23,0),0)</f>
        <v>75</v>
      </c>
      <c r="G602" s="79">
        <f>VLOOKUP(C602,'RAW DATA 2023'!E:BO,24,0)</f>
        <v>118.36442857142858</v>
      </c>
      <c r="H602" s="79">
        <f>IFERROR(VLOOKUP(F602,STD!B:G,2,FALSE),"")</f>
        <v>89</v>
      </c>
      <c r="I602" s="100">
        <f t="shared" si="47"/>
        <v>1.3299373996789727</v>
      </c>
      <c r="J602" s="74">
        <f t="shared" si="48"/>
        <v>24.898121990369184</v>
      </c>
      <c r="K602">
        <f>VLOOKUP(C602,'RAW DATA 2023'!E:BO,12,0)</f>
        <v>0.7</v>
      </c>
      <c r="L602" s="268">
        <f t="shared" si="49"/>
        <v>17.428685393258426</v>
      </c>
      <c r="M602"/>
    </row>
    <row r="603" spans="1:13">
      <c r="A603" s="64" t="str">
        <f>'RAW DATA 2023'!B596</f>
        <v>Lucky1</v>
      </c>
      <c r="B603" s="64" t="str">
        <f>'RAW DATA 2023'!D596</f>
        <v>BG-026-0012</v>
      </c>
      <c r="C603" s="63" t="str">
        <f t="shared" si="45"/>
        <v>Lucky1BG-026-0012</v>
      </c>
      <c r="D603" s="63">
        <f>VLOOKUP(C603,'RAW DATA 2023'!E:BP,63,0)</f>
        <v>5</v>
      </c>
      <c r="E603" s="63" t="str">
        <f t="shared" si="46"/>
        <v>Lucky15</v>
      </c>
      <c r="F603" s="79">
        <f>ROUND(VLOOKUP(C603,'RAW DATA 2023'!E:BO,23,0),0)</f>
        <v>47</v>
      </c>
      <c r="G603" s="79">
        <f>VLOOKUP(C603,'RAW DATA 2023'!E:BO,24,0)</f>
        <v>28.052800000000001</v>
      </c>
      <c r="H603" s="79">
        <f>IFERROR(VLOOKUP(F603,STD!B:G,2,FALSE),"")</f>
        <v>84</v>
      </c>
      <c r="I603" s="100">
        <f t="shared" si="47"/>
        <v>0.33396190476190479</v>
      </c>
      <c r="J603" s="74">
        <f t="shared" si="48"/>
        <v>-4.9811428571428564</v>
      </c>
      <c r="K603">
        <f>VLOOKUP(C603,'RAW DATA 2023'!E:BO,12,0)</f>
        <v>1</v>
      </c>
      <c r="L603" s="268">
        <f t="shared" si="49"/>
        <v>-4.9811428571428564</v>
      </c>
      <c r="M603"/>
    </row>
    <row r="604" spans="1:13">
      <c r="A604" s="64" t="str">
        <f>'RAW DATA 2023'!B597</f>
        <v>Lucky1</v>
      </c>
      <c r="B604" s="64" t="str">
        <f>'RAW DATA 2023'!D597</f>
        <v>BG-028-0012</v>
      </c>
      <c r="C604" s="63" t="str">
        <f t="shared" si="45"/>
        <v>Lucky1BG-028-0012</v>
      </c>
      <c r="D604" s="63">
        <f>VLOOKUP(C604,'RAW DATA 2023'!E:BP,63,0)</f>
        <v>6</v>
      </c>
      <c r="E604" s="63" t="str">
        <f t="shared" si="46"/>
        <v>Lucky16</v>
      </c>
      <c r="F604" s="79">
        <f>ROUND(VLOOKUP(C604,'RAW DATA 2023'!E:BO,23,0),0)</f>
        <v>30</v>
      </c>
      <c r="G604" s="79">
        <f>VLOOKUP(C604,'RAW DATA 2023'!E:BO,24,0)</f>
        <v>57.440500000000007</v>
      </c>
      <c r="H604" s="79">
        <f>IFERROR(VLOOKUP(F604,STD!B:G,2,FALSE),"")</f>
        <v>76</v>
      </c>
      <c r="I604" s="100">
        <f t="shared" si="47"/>
        <v>0.75579605263157901</v>
      </c>
      <c r="J604" s="74">
        <f t="shared" si="48"/>
        <v>7.6738815789473698</v>
      </c>
      <c r="K604">
        <f>VLOOKUP(C604,'RAW DATA 2023'!E:BO,12,0)</f>
        <v>1</v>
      </c>
      <c r="L604" s="268">
        <f t="shared" si="49"/>
        <v>7.6738815789473698</v>
      </c>
      <c r="M604"/>
    </row>
    <row r="605" spans="1:13">
      <c r="A605" s="64" t="str">
        <f>'RAW DATA 2023'!B598</f>
        <v>Lucky1</v>
      </c>
      <c r="B605" s="64" t="str">
        <f>'RAW DATA 2023'!D598</f>
        <v>BG-027-0012</v>
      </c>
      <c r="C605" s="63" t="str">
        <f t="shared" si="45"/>
        <v>Lucky1BG-027-0012</v>
      </c>
      <c r="D605" s="63">
        <f>VLOOKUP(C605,'RAW DATA 2023'!E:BP,63,0)</f>
        <v>10</v>
      </c>
      <c r="E605" s="63" t="str">
        <f t="shared" si="46"/>
        <v>Lucky110</v>
      </c>
      <c r="F605" s="79">
        <f>ROUND(VLOOKUP(C605,'RAW DATA 2023'!E:BO,23,0),0)</f>
        <v>35</v>
      </c>
      <c r="G605" s="79">
        <f>VLOOKUP(C605,'RAW DATA 2023'!E:BO,24,0)</f>
        <v>80.571600000000004</v>
      </c>
      <c r="H605" s="79">
        <f>IFERROR(VLOOKUP(F605,STD!B:G,2,FALSE),"")</f>
        <v>80</v>
      </c>
      <c r="I605" s="100">
        <f t="shared" si="47"/>
        <v>1.007145</v>
      </c>
      <c r="J605" s="74">
        <f t="shared" si="48"/>
        <v>15.21435</v>
      </c>
      <c r="K605">
        <f>VLOOKUP(C605,'RAW DATA 2023'!E:BO,12,0)</f>
        <v>1</v>
      </c>
      <c r="L605" s="268">
        <f t="shared" si="49"/>
        <v>15.21435</v>
      </c>
      <c r="M605"/>
    </row>
    <row r="606" spans="1:13">
      <c r="A606" s="64" t="str">
        <f>'RAW DATA 2023'!B599</f>
        <v>Lucky1</v>
      </c>
      <c r="B606" s="64" t="str">
        <f>'RAW DATA 2023'!D599</f>
        <v>BG-025-0010</v>
      </c>
      <c r="C606" s="63" t="str">
        <f t="shared" si="45"/>
        <v>Lucky1BG-025-0010</v>
      </c>
      <c r="D606" s="63">
        <f>VLOOKUP(C606,'RAW DATA 2023'!E:BP,63,0)</f>
        <v>8</v>
      </c>
      <c r="E606" s="63" t="str">
        <f t="shared" si="46"/>
        <v>Lucky18</v>
      </c>
      <c r="F606" s="79">
        <f>ROUND(VLOOKUP(C606,'RAW DATA 2023'!E:BO,23,0),0)</f>
        <v>25</v>
      </c>
      <c r="G606" s="79">
        <f>VLOOKUP(C606,'RAW DATA 2023'!E:BO,24,0)</f>
        <v>56.941800000000001</v>
      </c>
      <c r="H606" s="79">
        <f>IFERROR(VLOOKUP(F606,STD!B:G,2,FALSE),"")</f>
        <v>72</v>
      </c>
      <c r="I606" s="100">
        <f t="shared" si="47"/>
        <v>0.79085833333333333</v>
      </c>
      <c r="J606" s="74">
        <f t="shared" si="48"/>
        <v>8.7257499999999997</v>
      </c>
      <c r="K606">
        <f>VLOOKUP(C606,'RAW DATA 2023'!E:BO,12,0)</f>
        <v>1</v>
      </c>
      <c r="L606" s="268">
        <f t="shared" si="49"/>
        <v>8.7257499999999997</v>
      </c>
      <c r="M606"/>
    </row>
    <row r="607" spans="1:13">
      <c r="A607" s="64" t="str">
        <f>'RAW DATA 2023'!B600</f>
        <v>Lucky1</v>
      </c>
      <c r="B607" s="64" t="str">
        <f>'RAW DATA 2023'!D600</f>
        <v>BG-026-0011</v>
      </c>
      <c r="C607" s="63" t="str">
        <f t="shared" si="45"/>
        <v>Lucky1BG-026-0011</v>
      </c>
      <c r="D607" s="63">
        <f>VLOOKUP(C607,'RAW DATA 2023'!E:BP,63,0)</f>
        <v>2</v>
      </c>
      <c r="E607" s="63" t="str">
        <f t="shared" si="46"/>
        <v>Lucky12</v>
      </c>
      <c r="F607" s="79">
        <f>ROUND(VLOOKUP(C607,'RAW DATA 2023'!E:BO,23,0),0)</f>
        <v>26</v>
      </c>
      <c r="G607" s="79">
        <f>VLOOKUP(C607,'RAW DATA 2023'!E:BO,24,0)</f>
        <v>18.5229</v>
      </c>
      <c r="H607" s="79">
        <f>IFERROR(VLOOKUP(F607,STD!B:G,2,FALSE),"")</f>
        <v>75</v>
      </c>
      <c r="I607" s="100">
        <f t="shared" si="47"/>
        <v>0.246972</v>
      </c>
      <c r="J607" s="74">
        <f t="shared" si="48"/>
        <v>-7.5908400000000009</v>
      </c>
      <c r="K607">
        <f>VLOOKUP(C607,'RAW DATA 2023'!E:BO,12,0)</f>
        <v>1</v>
      </c>
      <c r="L607" s="268">
        <f t="shared" si="49"/>
        <v>-7.5908400000000009</v>
      </c>
      <c r="M607"/>
    </row>
    <row r="608" spans="1:13">
      <c r="A608" s="64" t="str">
        <f>'RAW DATA 2023'!B601</f>
        <v>Lucky1</v>
      </c>
      <c r="B608" s="64" t="str">
        <f>'RAW DATA 2023'!D601</f>
        <v>BG-026-0013</v>
      </c>
      <c r="C608" s="63" t="str">
        <f t="shared" si="45"/>
        <v>Lucky1BG-026-0013</v>
      </c>
      <c r="D608" s="63">
        <f>VLOOKUP(C608,'RAW DATA 2023'!E:BP,63,0)</f>
        <v>8</v>
      </c>
      <c r="E608" s="63" t="str">
        <f t="shared" si="46"/>
        <v>Lucky18</v>
      </c>
      <c r="F608" s="79">
        <f>ROUND(VLOOKUP(C608,'RAW DATA 2023'!E:BO,23,0),0)</f>
        <v>59</v>
      </c>
      <c r="G608" s="79">
        <f>VLOOKUP(C608,'RAW DATA 2023'!E:BO,24,0)</f>
        <v>48.520600000000002</v>
      </c>
      <c r="H608" s="79">
        <f>IFERROR(VLOOKUP(F608,STD!B:G,2,FALSE),"")</f>
        <v>87</v>
      </c>
      <c r="I608" s="100">
        <f t="shared" si="47"/>
        <v>0.55770804597701151</v>
      </c>
      <c r="J608" s="74">
        <f t="shared" si="48"/>
        <v>1.7312413793103454</v>
      </c>
      <c r="K608">
        <f>VLOOKUP(C608,'RAW DATA 2023'!E:BO,12,0)</f>
        <v>1</v>
      </c>
      <c r="L608" s="268">
        <f t="shared" si="49"/>
        <v>1.7312413793103454</v>
      </c>
      <c r="M608"/>
    </row>
    <row r="609" spans="1:13">
      <c r="A609" s="64" t="str">
        <f>'RAW DATA 2023'!B602</f>
        <v>Lucky1</v>
      </c>
      <c r="B609" s="64" t="str">
        <f>'RAW DATA 2023'!D602</f>
        <v>BG-025-0009</v>
      </c>
      <c r="C609" s="63" t="str">
        <f t="shared" si="45"/>
        <v>Lucky1BG-025-0009</v>
      </c>
      <c r="D609" s="63">
        <f>VLOOKUP(C609,'RAW DATA 2023'!E:BP,63,0)</f>
        <v>2</v>
      </c>
      <c r="E609" s="63" t="str">
        <f t="shared" si="46"/>
        <v>Lucky12</v>
      </c>
      <c r="F609" s="79">
        <f>ROUND(VLOOKUP(C609,'RAW DATA 2023'!E:BO,23,0),0)</f>
        <v>28</v>
      </c>
      <c r="G609" s="79">
        <f>VLOOKUP(C609,'RAW DATA 2023'!E:BO,24,0)</f>
        <v>24.324100000000001</v>
      </c>
      <c r="H609" s="79">
        <f>IFERROR(VLOOKUP(F609,STD!B:G,2,FALSE),"")</f>
        <v>75</v>
      </c>
      <c r="I609" s="100">
        <f t="shared" si="47"/>
        <v>0.32432133333333335</v>
      </c>
      <c r="J609" s="74">
        <f t="shared" si="48"/>
        <v>-5.2703599999999993</v>
      </c>
      <c r="K609">
        <f>VLOOKUP(C609,'RAW DATA 2023'!E:BO,12,0)</f>
        <v>1</v>
      </c>
      <c r="L609" s="268">
        <f t="shared" si="49"/>
        <v>-5.2703599999999993</v>
      </c>
      <c r="M609"/>
    </row>
    <row r="610" spans="1:13">
      <c r="A610" s="64" t="str">
        <f>'RAW DATA 2023'!B603</f>
        <v>Lucky1</v>
      </c>
      <c r="B610" s="64" t="str">
        <f>'RAW DATA 2023'!D603</f>
        <v>BG-027-0011</v>
      </c>
      <c r="C610" s="63" t="str">
        <f t="shared" si="45"/>
        <v>Lucky1BG-027-0011</v>
      </c>
      <c r="D610" s="63">
        <f>VLOOKUP(C610,'RAW DATA 2023'!E:BP,63,0)</f>
        <v>6</v>
      </c>
      <c r="E610" s="63" t="str">
        <f t="shared" si="46"/>
        <v>Lucky16</v>
      </c>
      <c r="F610" s="79">
        <f>ROUND(VLOOKUP(C610,'RAW DATA 2023'!E:BO,23,0),0)</f>
        <v>52</v>
      </c>
      <c r="G610" s="79">
        <f>VLOOKUP(C610,'RAW DATA 2023'!E:BO,24,0)</f>
        <v>38.1753</v>
      </c>
      <c r="H610" s="79">
        <f>IFERROR(VLOOKUP(F610,STD!B:G,2,FALSE),"")</f>
        <v>85</v>
      </c>
      <c r="I610" s="100">
        <f t="shared" si="47"/>
        <v>0.44912117647058825</v>
      </c>
      <c r="J610" s="74">
        <f t="shared" si="48"/>
        <v>-1.5263647058823526</v>
      </c>
      <c r="K610">
        <f>VLOOKUP(C610,'RAW DATA 2023'!E:BO,12,0)</f>
        <v>1</v>
      </c>
      <c r="L610" s="268">
        <f t="shared" si="49"/>
        <v>-1.5263647058823526</v>
      </c>
      <c r="M610"/>
    </row>
    <row r="611" spans="1:13">
      <c r="A611" s="64" t="str">
        <f>'RAW DATA 2023'!B604</f>
        <v>Lucky1</v>
      </c>
      <c r="B611" s="64" t="str">
        <f>'RAW DATA 2023'!D604</f>
        <v>BG-028-0011</v>
      </c>
      <c r="C611" s="63" t="str">
        <f t="shared" si="45"/>
        <v>Lucky1BG-028-0011</v>
      </c>
      <c r="D611" s="63">
        <f>VLOOKUP(C611,'RAW DATA 2023'!E:BP,63,0)</f>
        <v>2</v>
      </c>
      <c r="E611" s="63" t="str">
        <f t="shared" si="46"/>
        <v>Lucky12</v>
      </c>
      <c r="F611" s="79">
        <f>ROUND(VLOOKUP(C611,'RAW DATA 2023'!E:BO,23,0),0)</f>
        <v>29</v>
      </c>
      <c r="G611" s="79">
        <f>VLOOKUP(C611,'RAW DATA 2023'!E:BO,24,0)</f>
        <v>24.628299999999999</v>
      </c>
      <c r="H611" s="79">
        <f>IFERROR(VLOOKUP(F611,STD!B:G,2,FALSE),"")</f>
        <v>76</v>
      </c>
      <c r="I611" s="100">
        <f t="shared" si="47"/>
        <v>0.32405657894736839</v>
      </c>
      <c r="J611" s="74">
        <f t="shared" si="48"/>
        <v>-5.2783026315789483</v>
      </c>
      <c r="K611">
        <f>VLOOKUP(C611,'RAW DATA 2023'!E:BO,12,0)</f>
        <v>1</v>
      </c>
      <c r="L611" s="268">
        <f t="shared" si="49"/>
        <v>-5.2783026315789483</v>
      </c>
      <c r="M611"/>
    </row>
    <row r="612" spans="1:13">
      <c r="A612" s="64" t="str">
        <f>'RAW DATA 2023'!B605</f>
        <v>Lucky1</v>
      </c>
      <c r="B612" s="64" t="str">
        <f>'RAW DATA 2023'!D605</f>
        <v>BG-027-0010</v>
      </c>
      <c r="C612" s="63" t="str">
        <f t="shared" si="45"/>
        <v>Lucky1BG-027-0010</v>
      </c>
      <c r="D612" s="63">
        <f>VLOOKUP(C612,'RAW DATA 2023'!E:BP,63,0)</f>
        <v>2</v>
      </c>
      <c r="E612" s="63" t="str">
        <f t="shared" si="46"/>
        <v>Lucky12</v>
      </c>
      <c r="F612" s="79">
        <f>ROUND(VLOOKUP(C612,'RAW DATA 2023'!E:BO,23,0),0)</f>
        <v>27</v>
      </c>
      <c r="G612" s="79">
        <f>VLOOKUP(C612,'RAW DATA 2023'!E:BO,24,0)</f>
        <v>43.647000000000006</v>
      </c>
      <c r="H612" s="79">
        <f>IFERROR(VLOOKUP(F612,STD!B:G,2,FALSE),"")</f>
        <v>75</v>
      </c>
      <c r="I612" s="100">
        <f t="shared" si="47"/>
        <v>0.58196000000000003</v>
      </c>
      <c r="J612" s="74">
        <f t="shared" si="48"/>
        <v>2.458800000000001</v>
      </c>
      <c r="K612">
        <f>VLOOKUP(C612,'RAW DATA 2023'!E:BO,12,0)</f>
        <v>0.8</v>
      </c>
      <c r="L612" s="268">
        <f t="shared" si="49"/>
        <v>1.9670400000000008</v>
      </c>
      <c r="M612"/>
    </row>
    <row r="613" spans="1:13">
      <c r="A613" s="64" t="str">
        <f>'RAW DATA 2023'!B606</f>
        <v>Lucky1</v>
      </c>
      <c r="B613" s="64" t="str">
        <f>'RAW DATA 2023'!D606</f>
        <v>BG-028-0013</v>
      </c>
      <c r="C613" s="63" t="str">
        <f t="shared" si="45"/>
        <v>Lucky1BG-028-0013</v>
      </c>
      <c r="D613" s="63">
        <f>VLOOKUP(C613,'RAW DATA 2023'!E:BP,63,0)</f>
        <v>9</v>
      </c>
      <c r="E613" s="63" t="str">
        <f t="shared" si="46"/>
        <v>Lucky19</v>
      </c>
      <c r="F613" s="79">
        <f>ROUND(VLOOKUP(C613,'RAW DATA 2023'!E:BO,23,0),0)</f>
        <v>68</v>
      </c>
      <c r="G613" s="79">
        <f>VLOOKUP(C613,'RAW DATA 2023'!E:BO,24,0)</f>
        <v>86.653899999999993</v>
      </c>
      <c r="H613" s="79">
        <f>IFERROR(VLOOKUP(F613,STD!B:G,2,FALSE),"")</f>
        <v>88</v>
      </c>
      <c r="I613" s="100">
        <f t="shared" si="47"/>
        <v>0.98470340909090903</v>
      </c>
      <c r="J613" s="74">
        <f t="shared" si="48"/>
        <v>14.541102272727271</v>
      </c>
      <c r="K613">
        <f>VLOOKUP(C613,'RAW DATA 2023'!E:BO,12,0)</f>
        <v>1</v>
      </c>
      <c r="L613" s="268">
        <f t="shared" si="49"/>
        <v>14.541102272727271</v>
      </c>
      <c r="M613"/>
    </row>
    <row r="614" spans="1:13">
      <c r="A614" s="64" t="str">
        <f>'RAW DATA 2023'!B607</f>
        <v>Lucky1</v>
      </c>
      <c r="B614" s="64" t="str">
        <f>'RAW DATA 2023'!D607</f>
        <v>B1-015-0007</v>
      </c>
      <c r="C614" s="63" t="str">
        <f t="shared" si="45"/>
        <v>Lucky1B1-015-0007</v>
      </c>
      <c r="D614" s="63">
        <f>VLOOKUP(C614,'RAW DATA 2023'!E:BP,63,0)</f>
        <v>5</v>
      </c>
      <c r="E614" s="63" t="str">
        <f t="shared" si="46"/>
        <v>Lucky15</v>
      </c>
      <c r="F614" s="79">
        <f>ROUND(VLOOKUP(C614,'RAW DATA 2023'!E:BO,23,0),0)</f>
        <v>39</v>
      </c>
      <c r="G614" s="79">
        <f>VLOOKUP(C614,'RAW DATA 2023'!E:BO,24,0)</f>
        <v>113.77633333333333</v>
      </c>
      <c r="H614" s="79">
        <f>IFERROR(VLOOKUP(F614,STD!B:G,2,FALSE),"")</f>
        <v>82</v>
      </c>
      <c r="I614" s="100">
        <f t="shared" si="47"/>
        <v>1.3875162601626014</v>
      </c>
      <c r="J614" s="74">
        <f t="shared" si="48"/>
        <v>26.625487804878041</v>
      </c>
      <c r="K614">
        <f>VLOOKUP(C614,'RAW DATA 2023'!E:BO,12,0)</f>
        <v>0.6</v>
      </c>
      <c r="L614" s="268">
        <f t="shared" si="49"/>
        <v>15.975292682926824</v>
      </c>
      <c r="M614"/>
    </row>
    <row r="615" spans="1:13">
      <c r="A615" s="64" t="str">
        <f>'RAW DATA 2023'!B608</f>
        <v>Lucky1</v>
      </c>
      <c r="B615" s="64" t="str">
        <f>'RAW DATA 2023'!D608</f>
        <v>B1-017-0013</v>
      </c>
      <c r="C615" s="63" t="str">
        <f t="shared" si="45"/>
        <v>Lucky1B1-017-0013</v>
      </c>
      <c r="D615" s="63">
        <f>VLOOKUP(C615,'RAW DATA 2023'!E:BP,63,0)</f>
        <v>5</v>
      </c>
      <c r="E615" s="63" t="str">
        <f t="shared" si="46"/>
        <v>Lucky15</v>
      </c>
      <c r="F615" s="79">
        <f>ROUND(VLOOKUP(C615,'RAW DATA 2023'!E:BO,23,0),0)</f>
        <v>39</v>
      </c>
      <c r="G615" s="79">
        <f>VLOOKUP(C615,'RAW DATA 2023'!E:BO,24,0)</f>
        <v>80.954000000000008</v>
      </c>
      <c r="H615" s="79">
        <f>IFERROR(VLOOKUP(F615,STD!B:G,2,FALSE),"")</f>
        <v>82</v>
      </c>
      <c r="I615" s="100">
        <f t="shared" si="47"/>
        <v>0.98724390243902449</v>
      </c>
      <c r="J615" s="74">
        <f t="shared" si="48"/>
        <v>14.617317073170735</v>
      </c>
      <c r="K615">
        <f>VLOOKUP(C615,'RAW DATA 2023'!E:BO,12,0)</f>
        <v>0.8</v>
      </c>
      <c r="L615" s="268">
        <f t="shared" si="49"/>
        <v>11.69385365853659</v>
      </c>
      <c r="M615"/>
    </row>
    <row r="616" spans="1:13">
      <c r="A616" s="64" t="str">
        <f>'RAW DATA 2023'!B609</f>
        <v>Lucky1</v>
      </c>
      <c r="B616" s="64" t="str">
        <f>'RAW DATA 2023'!D609</f>
        <v>B1-020-0010</v>
      </c>
      <c r="C616" s="63" t="str">
        <f t="shared" si="45"/>
        <v>Lucky1B1-020-0010</v>
      </c>
      <c r="D616" s="63">
        <f>VLOOKUP(C616,'RAW DATA 2023'!E:BP,63,0)</f>
        <v>2</v>
      </c>
      <c r="E616" s="63" t="str">
        <f t="shared" si="46"/>
        <v>Lucky12</v>
      </c>
      <c r="F616" s="79">
        <f>ROUND(VLOOKUP(C616,'RAW DATA 2023'!E:BO,23,0),0)</f>
        <v>31</v>
      </c>
      <c r="G616" s="79">
        <f>VLOOKUP(C616,'RAW DATA 2023'!E:BO,24,0)</f>
        <v>95.795454545454547</v>
      </c>
      <c r="H616" s="79">
        <f>IFERROR(VLOOKUP(F616,STD!B:G,2,FALSE),"")</f>
        <v>76</v>
      </c>
      <c r="I616" s="100">
        <f t="shared" si="47"/>
        <v>1.2604665071770336</v>
      </c>
      <c r="J616" s="74">
        <f t="shared" si="48"/>
        <v>22.813995215311007</v>
      </c>
      <c r="K616">
        <f>VLOOKUP(C616,'RAW DATA 2023'!E:BO,12,0)</f>
        <v>0.55000000000000004</v>
      </c>
      <c r="L616" s="268">
        <f t="shared" si="49"/>
        <v>12.547697368421055</v>
      </c>
      <c r="M616"/>
    </row>
    <row r="617" spans="1:13">
      <c r="A617" s="64" t="str">
        <f>'RAW DATA 2023'!B610</f>
        <v>Lucky1</v>
      </c>
      <c r="B617" s="64" t="str">
        <f>'RAW DATA 2023'!D610</f>
        <v>B1-019-0012</v>
      </c>
      <c r="C617" s="63" t="str">
        <f t="shared" si="45"/>
        <v>Lucky1B1-019-0012</v>
      </c>
      <c r="D617" s="63">
        <f>VLOOKUP(C617,'RAW DATA 2023'!E:BP,63,0)</f>
        <v>2</v>
      </c>
      <c r="E617" s="63" t="str">
        <f t="shared" si="46"/>
        <v>Lucky12</v>
      </c>
      <c r="F617" s="79">
        <f>ROUND(VLOOKUP(C617,'RAW DATA 2023'!E:BO,23,0),0)</f>
        <v>33</v>
      </c>
      <c r="G617" s="79">
        <f>VLOOKUP(C617,'RAW DATA 2023'!E:BO,24,0)</f>
        <v>94.268363636363645</v>
      </c>
      <c r="H617" s="79">
        <f>IFERROR(VLOOKUP(F617,STD!B:G,2,FALSE),"")</f>
        <v>79</v>
      </c>
      <c r="I617" s="100">
        <f t="shared" si="47"/>
        <v>1.193270425776755</v>
      </c>
      <c r="J617" s="74">
        <f t="shared" si="48"/>
        <v>20.798112773302652</v>
      </c>
      <c r="K617">
        <f>VLOOKUP(C617,'RAW DATA 2023'!E:BO,12,0)</f>
        <v>0.55000000000000004</v>
      </c>
      <c r="L617" s="268">
        <f t="shared" si="49"/>
        <v>11.43896202531646</v>
      </c>
      <c r="M617"/>
    </row>
    <row r="618" spans="1:13">
      <c r="A618" s="64" t="str">
        <f>'RAW DATA 2023'!B611</f>
        <v>Lucky1</v>
      </c>
      <c r="B618" s="64" t="str">
        <f>'RAW DATA 2023'!D611</f>
        <v>B1-021-0013</v>
      </c>
      <c r="C618" s="63" t="str">
        <f t="shared" si="45"/>
        <v>Lucky1B1-021-0013</v>
      </c>
      <c r="D618" s="63">
        <f>VLOOKUP(C618,'RAW DATA 2023'!E:BP,63,0)</f>
        <v>2</v>
      </c>
      <c r="E618" s="63" t="str">
        <f t="shared" si="46"/>
        <v>Lucky12</v>
      </c>
      <c r="F618" s="79">
        <f>ROUND(VLOOKUP(C618,'RAW DATA 2023'!E:BO,23,0),0)</f>
        <v>28</v>
      </c>
      <c r="G618" s="79">
        <f>VLOOKUP(C618,'RAW DATA 2023'!E:BO,24,0)</f>
        <v>91.042727272727276</v>
      </c>
      <c r="H618" s="79">
        <f>IFERROR(VLOOKUP(F618,STD!B:G,2,FALSE),"")</f>
        <v>75</v>
      </c>
      <c r="I618" s="100">
        <f t="shared" si="47"/>
        <v>1.2139030303030303</v>
      </c>
      <c r="J618" s="74">
        <f t="shared" si="48"/>
        <v>21.417090909090909</v>
      </c>
      <c r="K618">
        <f>VLOOKUP(C618,'RAW DATA 2023'!E:BO,12,0)</f>
        <v>0.55000000000000004</v>
      </c>
      <c r="L618" s="268">
        <f t="shared" si="49"/>
        <v>11.779400000000001</v>
      </c>
      <c r="M618"/>
    </row>
    <row r="619" spans="1:13">
      <c r="A619" s="64" t="str">
        <f>'RAW DATA 2023'!B612</f>
        <v>Lucky1</v>
      </c>
      <c r="B619" s="64" t="str">
        <f>'RAW DATA 2023'!D612</f>
        <v>B1-018-0011</v>
      </c>
      <c r="C619" s="63" t="str">
        <f t="shared" si="45"/>
        <v>Lucky1B1-018-0011</v>
      </c>
      <c r="D619" s="63">
        <f>VLOOKUP(C619,'RAW DATA 2023'!E:BP,63,0)</f>
        <v>2</v>
      </c>
      <c r="E619" s="63" t="str">
        <f t="shared" si="46"/>
        <v>Lucky12</v>
      </c>
      <c r="F619" s="79">
        <f>ROUND(VLOOKUP(C619,'RAW DATA 2023'!E:BO,23,0),0)</f>
        <v>32</v>
      </c>
      <c r="G619" s="79">
        <f>VLOOKUP(C619,'RAW DATA 2023'!E:BO,24,0)</f>
        <v>85.137090909090901</v>
      </c>
      <c r="H619" s="79">
        <f>IFERROR(VLOOKUP(F619,STD!B:G,2,FALSE),"")</f>
        <v>77</v>
      </c>
      <c r="I619" s="100">
        <f t="shared" si="47"/>
        <v>1.1056765053128688</v>
      </c>
      <c r="J619" s="74">
        <f t="shared" si="48"/>
        <v>18.170295159386065</v>
      </c>
      <c r="K619">
        <f>VLOOKUP(C619,'RAW DATA 2023'!E:BO,12,0)</f>
        <v>0.55000000000000004</v>
      </c>
      <c r="L619" s="268">
        <f t="shared" si="49"/>
        <v>9.9936623376623359</v>
      </c>
      <c r="M619"/>
    </row>
    <row r="620" spans="1:13">
      <c r="A620" s="64" t="str">
        <f>'RAW DATA 2023'!B613</f>
        <v>Lucky1</v>
      </c>
      <c r="B620" s="64" t="str">
        <f>'RAW DATA 2023'!D613</f>
        <v>B1-016-0004</v>
      </c>
      <c r="C620" s="63" t="str">
        <f t="shared" si="45"/>
        <v>Lucky1B1-016-0004</v>
      </c>
      <c r="D620" s="63">
        <f>VLOOKUP(C620,'RAW DATA 2023'!E:BP,63,0)</f>
        <v>5</v>
      </c>
      <c r="E620" s="63" t="str">
        <f t="shared" si="46"/>
        <v>Lucky15</v>
      </c>
      <c r="F620" s="79">
        <f>ROUND(VLOOKUP(C620,'RAW DATA 2023'!E:BO,23,0),0)</f>
        <v>57</v>
      </c>
      <c r="G620" s="79">
        <f>VLOOKUP(C620,'RAW DATA 2023'!E:BO,24,0)</f>
        <v>139.11433333333335</v>
      </c>
      <c r="H620" s="79">
        <f>IFERROR(VLOOKUP(F620,STD!B:G,2,FALSE),"")</f>
        <v>86</v>
      </c>
      <c r="I620" s="100">
        <f t="shared" si="47"/>
        <v>1.617608527131783</v>
      </c>
      <c r="J620" s="74">
        <f t="shared" si="48"/>
        <v>33.528255813953493</v>
      </c>
      <c r="K620">
        <f>VLOOKUP(C620,'RAW DATA 2023'!E:BO,12,0)</f>
        <v>0.6</v>
      </c>
      <c r="L620" s="268">
        <f t="shared" si="49"/>
        <v>20.116953488372094</v>
      </c>
      <c r="M620"/>
    </row>
    <row r="621" spans="1:13">
      <c r="A621" s="64" t="str">
        <f>'RAW DATA 2023'!B614</f>
        <v>Lucky1</v>
      </c>
      <c r="B621" s="64" t="str">
        <f>'RAW DATA 2023'!D614</f>
        <v>B1-022-0010</v>
      </c>
      <c r="C621" s="63" t="str">
        <f t="shared" si="45"/>
        <v>Lucky1B1-022-0010</v>
      </c>
      <c r="D621" s="63">
        <f>VLOOKUP(C621,'RAW DATA 2023'!E:BP,63,0)</f>
        <v>2</v>
      </c>
      <c r="E621" s="63" t="str">
        <f t="shared" si="46"/>
        <v>Lucky12</v>
      </c>
      <c r="F621" s="79">
        <f>ROUND(VLOOKUP(C621,'RAW DATA 2023'!E:BO,23,0),0)</f>
        <v>40</v>
      </c>
      <c r="G621" s="79">
        <f>VLOOKUP(C621,'RAW DATA 2023'!E:BO,24,0)</f>
        <v>90.566000000000003</v>
      </c>
      <c r="H621" s="79">
        <f>IFERROR(VLOOKUP(F621,STD!B:G,2,FALSE),"")</f>
        <v>82</v>
      </c>
      <c r="I621" s="100">
        <f t="shared" si="47"/>
        <v>1.1044634146341463</v>
      </c>
      <c r="J621" s="74">
        <f t="shared" si="48"/>
        <v>18.133902439024389</v>
      </c>
      <c r="K621">
        <f>VLOOKUP(C621,'RAW DATA 2023'!E:BO,12,0)</f>
        <v>0.55000000000000004</v>
      </c>
      <c r="L621" s="268">
        <f t="shared" si="49"/>
        <v>9.9736463414634144</v>
      </c>
      <c r="M621"/>
    </row>
    <row r="622" spans="1:13">
      <c r="A622" s="64" t="str">
        <f>'RAW DATA 2023'!B615</f>
        <v>Lucky1</v>
      </c>
      <c r="B622" s="64" t="str">
        <f>'RAW DATA 2023'!D615</f>
        <v>B1-017-0012</v>
      </c>
      <c r="C622" s="63" t="str">
        <f t="shared" si="45"/>
        <v>Lucky1B1-017-0012</v>
      </c>
      <c r="D622" s="63">
        <f>VLOOKUP(C622,'RAW DATA 2023'!E:BP,63,0)</f>
        <v>1</v>
      </c>
      <c r="E622" s="63" t="str">
        <f t="shared" si="46"/>
        <v>Lucky11</v>
      </c>
      <c r="F622" s="79">
        <f>ROUND(VLOOKUP(C622,'RAW DATA 2023'!E:BO,23,0),0)</f>
        <v>44</v>
      </c>
      <c r="G622" s="79">
        <f>VLOOKUP(C622,'RAW DATA 2023'!E:BO,24,0)</f>
        <v>84.333090909090913</v>
      </c>
      <c r="H622" s="79">
        <f>IFERROR(VLOOKUP(F622,STD!B:G,2,FALSE),"")</f>
        <v>83</v>
      </c>
      <c r="I622" s="100">
        <f t="shared" si="47"/>
        <v>1.0160613362541073</v>
      </c>
      <c r="J622" s="74">
        <f t="shared" si="48"/>
        <v>15.481840087623219</v>
      </c>
      <c r="K622">
        <f>VLOOKUP(C622,'RAW DATA 2023'!E:BO,12,0)</f>
        <v>0.55000000000000004</v>
      </c>
      <c r="L622" s="268">
        <f t="shared" si="49"/>
        <v>8.5150120481927711</v>
      </c>
      <c r="M622"/>
    </row>
    <row r="623" spans="1:13">
      <c r="A623" s="64" t="str">
        <f>'RAW DATA 2023'!B616</f>
        <v>Lucky1</v>
      </c>
      <c r="B623" s="64" t="str">
        <f>'RAW DATA 2023'!D616</f>
        <v>B1-024-0011</v>
      </c>
      <c r="C623" s="63" t="str">
        <f t="shared" si="45"/>
        <v>Lucky1B1-024-0011</v>
      </c>
      <c r="D623" s="63">
        <f>VLOOKUP(C623,'RAW DATA 2023'!E:BP,63,0)</f>
        <v>1</v>
      </c>
      <c r="E623" s="63" t="str">
        <f t="shared" si="46"/>
        <v>Lucky11</v>
      </c>
      <c r="F623" s="79">
        <f>ROUND(VLOOKUP(C623,'RAW DATA 2023'!E:BO,23,0),0)</f>
        <v>48</v>
      </c>
      <c r="G623" s="79">
        <f>VLOOKUP(C623,'RAW DATA 2023'!E:BO,24,0)</f>
        <v>94.590363636363634</v>
      </c>
      <c r="H623" s="79">
        <f>IFERROR(VLOOKUP(F623,STD!B:G,2,FALSE),"")</f>
        <v>84</v>
      </c>
      <c r="I623" s="100">
        <f t="shared" si="47"/>
        <v>1.1260757575757576</v>
      </c>
      <c r="J623" s="74">
        <f t="shared" si="48"/>
        <v>18.78227272727273</v>
      </c>
      <c r="K623">
        <f>VLOOKUP(C623,'RAW DATA 2023'!E:BO,12,0)</f>
        <v>0.55000000000000004</v>
      </c>
      <c r="L623" s="268">
        <f t="shared" si="49"/>
        <v>10.330250000000003</v>
      </c>
      <c r="M623"/>
    </row>
    <row r="624" spans="1:13">
      <c r="A624" s="64" t="str">
        <f>'RAW DATA 2023'!B617</f>
        <v>Lucky1</v>
      </c>
      <c r="B624" s="64" t="str">
        <f>'RAW DATA 2023'!D617</f>
        <v>B1-021-0015</v>
      </c>
      <c r="C624" s="63" t="str">
        <f t="shared" si="45"/>
        <v>Lucky1B1-021-0015</v>
      </c>
      <c r="D624" s="63">
        <f>VLOOKUP(C624,'RAW DATA 2023'!E:BP,63,0)</f>
        <v>8</v>
      </c>
      <c r="E624" s="63" t="str">
        <f t="shared" si="46"/>
        <v>Lucky18</v>
      </c>
      <c r="F624" s="79">
        <f>ROUND(VLOOKUP(C624,'RAW DATA 2023'!E:BO,23,0),0)</f>
        <v>103</v>
      </c>
      <c r="G624" s="79">
        <f>VLOOKUP(C624,'RAW DATA 2023'!E:BO,24,0)</f>
        <v>98.593375000000009</v>
      </c>
      <c r="H624" s="79">
        <f>IFERROR(VLOOKUP(F624,STD!B:G,2,FALSE),"")</f>
        <v>91</v>
      </c>
      <c r="I624" s="100">
        <f t="shared" si="47"/>
        <v>1.0834436813186814</v>
      </c>
      <c r="J624" s="74">
        <f t="shared" si="48"/>
        <v>17.503310439560444</v>
      </c>
      <c r="K624">
        <f>VLOOKUP(C624,'RAW DATA 2023'!E:BO,12,0)</f>
        <v>0.8</v>
      </c>
      <c r="L624" s="268">
        <f t="shared" si="49"/>
        <v>14.002648351648356</v>
      </c>
      <c r="M624"/>
    </row>
    <row r="625" spans="1:13">
      <c r="A625" s="64" t="str">
        <f>'RAW DATA 2023'!B618</f>
        <v>Lucky1</v>
      </c>
      <c r="B625" s="64" t="str">
        <f>'RAW DATA 2023'!D618</f>
        <v>B1-017-0014</v>
      </c>
      <c r="C625" s="63" t="str">
        <f t="shared" si="45"/>
        <v>Lucky1B1-017-0014</v>
      </c>
      <c r="D625" s="63">
        <f>VLOOKUP(C625,'RAW DATA 2023'!E:BP,63,0)</f>
        <v>9</v>
      </c>
      <c r="E625" s="63" t="str">
        <f t="shared" si="46"/>
        <v>Lucky19</v>
      </c>
      <c r="F625" s="79">
        <f>ROUND(VLOOKUP(C625,'RAW DATA 2023'!E:BO,23,0),0)</f>
        <v>90</v>
      </c>
      <c r="G625" s="79">
        <f>VLOOKUP(C625,'RAW DATA 2023'!E:BO,24,0)</f>
        <v>103.11429999999999</v>
      </c>
      <c r="H625" s="79">
        <f>IFERROR(VLOOKUP(F625,STD!B:G,2,FALSE),"")</f>
        <v>90</v>
      </c>
      <c r="I625" s="100">
        <f t="shared" si="47"/>
        <v>1.1457144444444443</v>
      </c>
      <c r="J625" s="74">
        <f t="shared" si="48"/>
        <v>19.371433333333329</v>
      </c>
      <c r="K625">
        <f>VLOOKUP(C625,'RAW DATA 2023'!E:BO,12,0)</f>
        <v>1</v>
      </c>
      <c r="L625" s="268">
        <f t="shared" si="49"/>
        <v>19.371433333333329</v>
      </c>
      <c r="M625"/>
    </row>
    <row r="626" spans="1:13">
      <c r="A626" s="64" t="str">
        <f>'RAW DATA 2023'!B619</f>
        <v>Lucky1</v>
      </c>
      <c r="B626" s="64" t="str">
        <f>'RAW DATA 2023'!D619</f>
        <v>B1-023-0013</v>
      </c>
      <c r="C626" s="63" t="str">
        <f t="shared" si="45"/>
        <v>Lucky1B1-023-0013</v>
      </c>
      <c r="D626" s="63">
        <f>VLOOKUP(C626,'RAW DATA 2023'!E:BP,63,0)</f>
        <v>1</v>
      </c>
      <c r="E626" s="63" t="str">
        <f t="shared" si="46"/>
        <v>Lucky11</v>
      </c>
      <c r="F626" s="79">
        <f>ROUND(VLOOKUP(C626,'RAW DATA 2023'!E:BO,23,0),0)</f>
        <v>76</v>
      </c>
      <c r="G626" s="79">
        <f>VLOOKUP(C626,'RAW DATA 2023'!E:BO,24,0)</f>
        <v>72.679375000000007</v>
      </c>
      <c r="H626" s="79">
        <f>IFERROR(VLOOKUP(F626,STD!B:G,2,FALSE),"")</f>
        <v>89</v>
      </c>
      <c r="I626" s="100">
        <f t="shared" si="47"/>
        <v>0.81662219101123601</v>
      </c>
      <c r="J626" s="74">
        <f t="shared" si="48"/>
        <v>9.4986657303370805</v>
      </c>
      <c r="K626">
        <f>VLOOKUP(C626,'RAW DATA 2023'!E:BO,12,0)</f>
        <v>0.8</v>
      </c>
      <c r="L626" s="268">
        <f t="shared" si="49"/>
        <v>7.5989325842696651</v>
      </c>
      <c r="M626"/>
    </row>
    <row r="627" spans="1:13">
      <c r="A627" s="64" t="str">
        <f>'RAW DATA 2023'!B620</f>
        <v>Lucky1</v>
      </c>
      <c r="B627" s="64" t="str">
        <f>'RAW DATA 2023'!D620</f>
        <v>B1-019-0013</v>
      </c>
      <c r="C627" s="63" t="str">
        <f t="shared" si="45"/>
        <v>Lucky1B1-019-0013</v>
      </c>
      <c r="D627" s="63">
        <f>VLOOKUP(C627,'RAW DATA 2023'!E:BP,63,0)</f>
        <v>6</v>
      </c>
      <c r="E627" s="63" t="str">
        <f t="shared" si="46"/>
        <v>Lucky16</v>
      </c>
      <c r="F627" s="79">
        <f>ROUND(VLOOKUP(C627,'RAW DATA 2023'!E:BO,23,0),0)</f>
        <v>140</v>
      </c>
      <c r="G627" s="79">
        <f>VLOOKUP(C627,'RAW DATA 2023'!E:BO,24,0)</f>
        <v>81.706833333333321</v>
      </c>
      <c r="H627" s="79">
        <f>IFERROR(VLOOKUP(F627,STD!B:G,2,FALSE),"")</f>
        <v>93</v>
      </c>
      <c r="I627" s="100">
        <f t="shared" si="47"/>
        <v>0.87856810035842281</v>
      </c>
      <c r="J627" s="74">
        <f t="shared" si="48"/>
        <v>11.357043010752685</v>
      </c>
      <c r="K627">
        <f>VLOOKUP(C627,'RAW DATA 2023'!E:BO,12,0)</f>
        <v>0.6</v>
      </c>
      <c r="L627" s="268">
        <f t="shared" si="49"/>
        <v>6.8142258064516108</v>
      </c>
      <c r="M627"/>
    </row>
    <row r="628" spans="1:13">
      <c r="A628" s="64" t="str">
        <f>'RAW DATA 2023'!B621</f>
        <v>Lucky1</v>
      </c>
      <c r="B628" s="64" t="str">
        <f>'RAW DATA 2023'!D621</f>
        <v>B1-021-0014</v>
      </c>
      <c r="C628" s="63" t="str">
        <f t="shared" si="45"/>
        <v>Lucky1B1-021-0014</v>
      </c>
      <c r="D628" s="63">
        <f>VLOOKUP(C628,'RAW DATA 2023'!E:BP,63,0)</f>
        <v>4</v>
      </c>
      <c r="E628" s="63" t="str">
        <f t="shared" si="46"/>
        <v>Lucky14</v>
      </c>
      <c r="F628" s="79">
        <f>ROUND(VLOOKUP(C628,'RAW DATA 2023'!E:BO,23,0),0)</f>
        <v>137</v>
      </c>
      <c r="G628" s="79">
        <f>VLOOKUP(C628,'RAW DATA 2023'!E:BO,24,0)</f>
        <v>80.179000000000002</v>
      </c>
      <c r="H628" s="79">
        <f>IFERROR(VLOOKUP(F628,STD!B:G,2,FALSE),"")</f>
        <v>93</v>
      </c>
      <c r="I628" s="100">
        <f t="shared" si="47"/>
        <v>0.86213978494623655</v>
      </c>
      <c r="J628" s="74">
        <f t="shared" si="48"/>
        <v>10.864193548387096</v>
      </c>
      <c r="K628">
        <f>VLOOKUP(C628,'RAW DATA 2023'!E:BO,12,0)</f>
        <v>1</v>
      </c>
      <c r="L628" s="268">
        <f t="shared" si="49"/>
        <v>10.864193548387096</v>
      </c>
      <c r="M628"/>
    </row>
    <row r="629" spans="1:13">
      <c r="A629" s="64" t="str">
        <f>'RAW DATA 2023'!B622</f>
        <v>Lucky1</v>
      </c>
      <c r="B629" s="64" t="str">
        <f>'RAW DATA 2023'!D622</f>
        <v>B1-020-0011</v>
      </c>
      <c r="C629" s="63" t="str">
        <f t="shared" si="45"/>
        <v>Lucky1B1-020-0011</v>
      </c>
      <c r="D629" s="63">
        <f>VLOOKUP(C629,'RAW DATA 2023'!E:BP,63,0)</f>
        <v>6</v>
      </c>
      <c r="E629" s="63" t="str">
        <f t="shared" si="46"/>
        <v>Lucky16</v>
      </c>
      <c r="F629" s="79">
        <f>ROUND(VLOOKUP(C629,'RAW DATA 2023'!E:BO,23,0),0)</f>
        <v>142</v>
      </c>
      <c r="G629" s="79">
        <f>VLOOKUP(C629,'RAW DATA 2023'!E:BO,24,0)</f>
        <v>68.632357142857146</v>
      </c>
      <c r="H629" s="79">
        <f>IFERROR(VLOOKUP(F629,STD!B:G,2,FALSE),"")</f>
        <v>93</v>
      </c>
      <c r="I629" s="100">
        <f t="shared" si="47"/>
        <v>0.73798233486943166</v>
      </c>
      <c r="J629" s="74">
        <f t="shared" si="48"/>
        <v>7.1394700460829501</v>
      </c>
      <c r="K629">
        <f>VLOOKUP(C629,'RAW DATA 2023'!E:BO,12,0)</f>
        <v>1.4</v>
      </c>
      <c r="L629" s="268">
        <f t="shared" si="49"/>
        <v>9.9952580645161291</v>
      </c>
      <c r="M629"/>
    </row>
    <row r="630" spans="1:13">
      <c r="A630" s="64" t="str">
        <f>'RAW DATA 2023'!B623</f>
        <v>Lucky1</v>
      </c>
      <c r="B630" s="64" t="str">
        <f>'RAW DATA 2023'!D623</f>
        <v>B1-018-0012</v>
      </c>
      <c r="C630" s="63" t="str">
        <f t="shared" si="45"/>
        <v>Lucky1B1-018-0012</v>
      </c>
      <c r="D630" s="63">
        <f>VLOOKUP(C630,'RAW DATA 2023'!E:BP,63,0)</f>
        <v>5</v>
      </c>
      <c r="E630" s="63" t="str">
        <f t="shared" si="46"/>
        <v>Lucky15</v>
      </c>
      <c r="F630" s="79">
        <f>ROUND(VLOOKUP(C630,'RAW DATA 2023'!E:BO,23,0),0)</f>
        <v>0</v>
      </c>
      <c r="G630" s="79">
        <f>VLOOKUP(C630,'RAW DATA 2023'!E:BO,24,0)</f>
        <v>0</v>
      </c>
      <c r="H630" s="79" t="str">
        <f>IFERROR(VLOOKUP(F630,STD!B:G,2,FALSE),"")</f>
        <v/>
      </c>
      <c r="I630" s="100">
        <f t="shared" si="47"/>
        <v>0</v>
      </c>
      <c r="J630" s="74">
        <f t="shared" si="48"/>
        <v>-15</v>
      </c>
      <c r="K630">
        <f>VLOOKUP(C630,'RAW DATA 2023'!E:BO,12,0)</f>
        <v>1.4</v>
      </c>
      <c r="L630" s="268">
        <f t="shared" si="49"/>
        <v>-21</v>
      </c>
      <c r="M630"/>
    </row>
    <row r="631" spans="1:13">
      <c r="A631" s="64" t="str">
        <f>'RAW DATA 2023'!B624</f>
        <v>Kamong</v>
      </c>
      <c r="B631" s="64" t="str">
        <f>'RAW DATA 2023'!D624</f>
        <v>AG-031-0013</v>
      </c>
      <c r="C631" s="63" t="str">
        <f t="shared" si="45"/>
        <v>KamongAG-031-0013</v>
      </c>
      <c r="D631" s="63">
        <f>VLOOKUP(C631,'RAW DATA 2023'!E:BP,63,0)</f>
        <v>9</v>
      </c>
      <c r="E631" s="63" t="str">
        <f t="shared" si="46"/>
        <v>Kamong9</v>
      </c>
      <c r="F631" s="79">
        <f>ROUND(VLOOKUP(C631,'RAW DATA 2023'!E:BO,23,0),0)</f>
        <v>38</v>
      </c>
      <c r="G631" s="79">
        <f>VLOOKUP(C631,'RAW DATA 2023'!E:BO,24,0)</f>
        <v>67.699119434453678</v>
      </c>
      <c r="H631" s="79">
        <f>IFERROR(VLOOKUP(F631,STD!B:G,2,FALSE),"")</f>
        <v>81</v>
      </c>
      <c r="I631" s="100">
        <f t="shared" si="47"/>
        <v>0.83579159795621827</v>
      </c>
      <c r="J631" s="74">
        <f t="shared" si="48"/>
        <v>10.073747938686548</v>
      </c>
      <c r="K631">
        <f>VLOOKUP(C631,'RAW DATA 2023'!E:BO,12,0)</f>
        <v>0.80630000000000002</v>
      </c>
      <c r="L631" s="268">
        <f t="shared" si="49"/>
        <v>8.1224629629629632</v>
      </c>
      <c r="M631"/>
    </row>
    <row r="632" spans="1:13">
      <c r="A632" s="64" t="str">
        <f>'RAW DATA 2023'!B625</f>
        <v>Kamong</v>
      </c>
      <c r="B632" s="64" t="str">
        <f>'RAW DATA 2023'!D625</f>
        <v>AG-011-0009</v>
      </c>
      <c r="C632" s="63" t="str">
        <f t="shared" si="45"/>
        <v>KamongAG-011-0009</v>
      </c>
      <c r="D632" s="63">
        <f>VLOOKUP(C632,'RAW DATA 2023'!E:BP,63,0)</f>
        <v>9</v>
      </c>
      <c r="E632" s="63" t="str">
        <f t="shared" si="46"/>
        <v>Kamong9</v>
      </c>
      <c r="F632" s="79">
        <f>ROUND(VLOOKUP(C632,'RAW DATA 2023'!E:BO,23,0),0)</f>
        <v>40</v>
      </c>
      <c r="G632" s="79">
        <f>VLOOKUP(C632,'RAW DATA 2023'!E:BO,24,0)</f>
        <v>65.458285714285708</v>
      </c>
      <c r="H632" s="79">
        <f>IFERROR(VLOOKUP(F632,STD!B:G,2,FALSE),"")</f>
        <v>82</v>
      </c>
      <c r="I632" s="100">
        <f t="shared" si="47"/>
        <v>0.79827177700348428</v>
      </c>
      <c r="J632" s="74">
        <f t="shared" si="48"/>
        <v>8.9481533101045283</v>
      </c>
      <c r="K632">
        <f>VLOOKUP(C632,'RAW DATA 2023'!E:BO,12,0)</f>
        <v>1.4</v>
      </c>
      <c r="L632" s="268">
        <f t="shared" si="49"/>
        <v>12.527414634146339</v>
      </c>
    </row>
    <row r="633" spans="1:13">
      <c r="A633" s="64" t="str">
        <f>'RAW DATA 2023'!B626</f>
        <v>Kamong</v>
      </c>
      <c r="B633" s="64" t="str">
        <f>'RAW DATA 2023'!D626</f>
        <v>AG-031-0012</v>
      </c>
      <c r="C633" s="63" t="str">
        <f t="shared" si="45"/>
        <v>KamongAG-031-0012</v>
      </c>
      <c r="D633" s="63">
        <f>VLOOKUP(C633,'RAW DATA 2023'!E:BP,63,0)</f>
        <v>6</v>
      </c>
      <c r="E633" s="63" t="str">
        <f t="shared" si="46"/>
        <v>Kamong6</v>
      </c>
      <c r="F633" s="79">
        <f>ROUND(VLOOKUP(C633,'RAW DATA 2023'!E:BO,23,0),0)</f>
        <v>37</v>
      </c>
      <c r="G633" s="79">
        <f>VLOOKUP(C633,'RAW DATA 2023'!E:BO,24,0)</f>
        <v>63.054125000000006</v>
      </c>
      <c r="H633" s="79">
        <f>IFERROR(VLOOKUP(F633,STD!B:G,2,FALSE),"")</f>
        <v>81</v>
      </c>
      <c r="I633" s="100">
        <f t="shared" si="47"/>
        <v>0.77844598765432105</v>
      </c>
      <c r="J633" s="74">
        <f t="shared" si="48"/>
        <v>8.3533796296296323</v>
      </c>
      <c r="K633">
        <f>VLOOKUP(C633,'RAW DATA 2023'!E:BO,12,0)</f>
        <v>1.6</v>
      </c>
      <c r="L633" s="268">
        <f t="shared" si="49"/>
        <v>13.365407407407412</v>
      </c>
    </row>
    <row r="634" spans="1:13">
      <c r="A634" s="64" t="str">
        <f>'RAW DATA 2023'!B627</f>
        <v>Kamong</v>
      </c>
      <c r="B634" s="64" t="str">
        <f>'RAW DATA 2023'!D627</f>
        <v>C1-006-0031</v>
      </c>
      <c r="C634" s="63" t="str">
        <f t="shared" si="45"/>
        <v>KamongC1-006-0031</v>
      </c>
      <c r="D634" s="63">
        <f>VLOOKUP(C634,'RAW DATA 2023'!E:BP,63,0)</f>
        <v>8</v>
      </c>
      <c r="E634" s="63" t="str">
        <f t="shared" si="46"/>
        <v>Kamong8</v>
      </c>
      <c r="F634" s="79">
        <f>ROUND(VLOOKUP(C634,'RAW DATA 2023'!E:BO,23,0),0)</f>
        <v>32</v>
      </c>
      <c r="G634" s="79">
        <f>VLOOKUP(C634,'RAW DATA 2023'!E:BO,24,0)</f>
        <v>59.923924999999997</v>
      </c>
      <c r="H634" s="79">
        <f>IFERROR(VLOOKUP(F634,STD!B:G,2,FALSE),"")</f>
        <v>77</v>
      </c>
      <c r="I634" s="100">
        <f t="shared" si="47"/>
        <v>0.77823279220779218</v>
      </c>
      <c r="J634" s="74">
        <f t="shared" si="48"/>
        <v>8.346983766233766</v>
      </c>
      <c r="K634">
        <f>VLOOKUP(C634,'RAW DATA 2023'!E:BO,12,0)</f>
        <v>4</v>
      </c>
      <c r="L634" s="268">
        <f t="shared" si="49"/>
        <v>33.387935064935064</v>
      </c>
    </row>
    <row r="635" spans="1:13">
      <c r="A635" s="64" t="str">
        <f>'RAW DATA 2023'!B628</f>
        <v>Kamong</v>
      </c>
      <c r="B635" s="64" t="str">
        <f>'RAW DATA 2023'!D628</f>
        <v>C1-026-0043</v>
      </c>
      <c r="C635" s="63" t="str">
        <f t="shared" si="45"/>
        <v>KamongC1-026-0043</v>
      </c>
      <c r="D635" s="63">
        <f>VLOOKUP(C635,'RAW DATA 2023'!E:BP,63,0)</f>
        <v>12</v>
      </c>
      <c r="E635" s="63" t="str">
        <f t="shared" si="46"/>
        <v>Kamong12</v>
      </c>
      <c r="F635" s="79">
        <f>ROUND(VLOOKUP(C635,'RAW DATA 2023'!E:BO,23,0),0)</f>
        <v>34</v>
      </c>
      <c r="G635" s="79">
        <f>VLOOKUP(C635,'RAW DATA 2023'!E:BO,24,0)</f>
        <v>87.641100000000009</v>
      </c>
      <c r="H635" s="79">
        <f>IFERROR(VLOOKUP(F635,STD!B:G,2,FALSE),"")</f>
        <v>80</v>
      </c>
      <c r="I635" s="100">
        <f t="shared" si="47"/>
        <v>1.0955137500000001</v>
      </c>
      <c r="J635" s="74">
        <f t="shared" si="48"/>
        <v>17.865412500000001</v>
      </c>
      <c r="K635">
        <f>VLOOKUP(C635,'RAW DATA 2023'!E:BO,12,0)</f>
        <v>2</v>
      </c>
      <c r="L635" s="268">
        <f t="shared" si="49"/>
        <v>35.730825000000003</v>
      </c>
    </row>
    <row r="636" spans="1:13">
      <c r="A636" s="64" t="str">
        <f>'RAW DATA 2023'!B629</f>
        <v>Kamong</v>
      </c>
      <c r="B636" s="64" t="str">
        <f>'RAW DATA 2023'!D629</f>
        <v>C1-018-0018</v>
      </c>
      <c r="C636" s="63" t="str">
        <f t="shared" si="45"/>
        <v>KamongC1-018-0018</v>
      </c>
      <c r="D636" s="63">
        <f>VLOOKUP(C636,'RAW DATA 2023'!E:BP,63,0)</f>
        <v>5</v>
      </c>
      <c r="E636" s="63" t="str">
        <f t="shared" si="46"/>
        <v>Kamong5</v>
      </c>
      <c r="F636" s="79">
        <f>ROUND(VLOOKUP(C636,'RAW DATA 2023'!E:BO,23,0),0)</f>
        <v>43</v>
      </c>
      <c r="G636" s="79">
        <f>VLOOKUP(C636,'RAW DATA 2023'!E:BO,24,0)</f>
        <v>88.916222222222217</v>
      </c>
      <c r="H636" s="79">
        <f>IFERROR(VLOOKUP(F636,STD!B:G,2,FALSE),"")</f>
        <v>83</v>
      </c>
      <c r="I636" s="100">
        <f t="shared" si="47"/>
        <v>1.0712797858099061</v>
      </c>
      <c r="J636" s="74">
        <f t="shared" si="48"/>
        <v>17.138393574297183</v>
      </c>
      <c r="K636">
        <f>VLOOKUP(C636,'RAW DATA 2023'!E:BO,12,0)</f>
        <v>1.8</v>
      </c>
      <c r="L636" s="268">
        <f t="shared" si="49"/>
        <v>30.84910843373493</v>
      </c>
    </row>
    <row r="637" spans="1:13">
      <c r="A637" s="64" t="str">
        <f>'RAW DATA 2023'!B630</f>
        <v>Kamong</v>
      </c>
      <c r="B637" s="64" t="str">
        <f>'RAW DATA 2023'!D630</f>
        <v>C1-006-0030</v>
      </c>
      <c r="C637" s="63" t="str">
        <f t="shared" si="45"/>
        <v>KamongC1-006-0030</v>
      </c>
      <c r="D637" s="63">
        <f>VLOOKUP(C637,'RAW DATA 2023'!E:BP,63,0)</f>
        <v>4</v>
      </c>
      <c r="E637" s="63" t="str">
        <f t="shared" si="46"/>
        <v>Kamong4</v>
      </c>
      <c r="F637" s="79">
        <f>ROUND(VLOOKUP(C637,'RAW DATA 2023'!E:BO,23,0),0)</f>
        <v>38</v>
      </c>
      <c r="G637" s="79">
        <f>VLOOKUP(C637,'RAW DATA 2023'!E:BO,24,0)</f>
        <v>78.667052631578954</v>
      </c>
      <c r="H637" s="79">
        <f>IFERROR(VLOOKUP(F637,STD!B:G,2,FALSE),"")</f>
        <v>81</v>
      </c>
      <c r="I637" s="100">
        <f t="shared" si="47"/>
        <v>0.97119818063677721</v>
      </c>
      <c r="J637" s="74">
        <f t="shared" si="48"/>
        <v>14.135945419103317</v>
      </c>
      <c r="K637">
        <f>VLOOKUP(C637,'RAW DATA 2023'!E:BO,12,0)</f>
        <v>3.8</v>
      </c>
      <c r="L637" s="268">
        <f t="shared" si="49"/>
        <v>53.716592592592605</v>
      </c>
    </row>
    <row r="638" spans="1:13">
      <c r="A638" s="64" t="str">
        <f>'RAW DATA 2023'!B631</f>
        <v>Kamong</v>
      </c>
      <c r="B638" s="64" t="str">
        <f>'RAW DATA 2023'!D631</f>
        <v>C1-024-0042</v>
      </c>
      <c r="C638" s="63" t="str">
        <f t="shared" si="45"/>
        <v>KamongC1-024-0042</v>
      </c>
      <c r="D638" s="63">
        <f>VLOOKUP(C638,'RAW DATA 2023'!E:BP,63,0)</f>
        <v>5</v>
      </c>
      <c r="E638" s="63" t="str">
        <f t="shared" si="46"/>
        <v>Kamong5</v>
      </c>
      <c r="F638" s="79">
        <f>ROUND(VLOOKUP(C638,'RAW DATA 2023'!E:BO,23,0),0)</f>
        <v>70</v>
      </c>
      <c r="G638" s="79">
        <f>VLOOKUP(C638,'RAW DATA 2023'!E:BO,24,0)</f>
        <v>86.641625000000005</v>
      </c>
      <c r="H638" s="79">
        <f>IFERROR(VLOOKUP(F638,STD!B:G,2,FALSE),"")</f>
        <v>88</v>
      </c>
      <c r="I638" s="100">
        <f t="shared" si="47"/>
        <v>0.98456392045454555</v>
      </c>
      <c r="J638" s="74">
        <f t="shared" si="48"/>
        <v>14.536917613636366</v>
      </c>
      <c r="K638">
        <f>VLOOKUP(C638,'RAW DATA 2023'!E:BO,12,0)</f>
        <v>2.4</v>
      </c>
      <c r="L638" s="268">
        <f t="shared" si="49"/>
        <v>34.888602272727276</v>
      </c>
    </row>
    <row r="639" spans="1:13">
      <c r="A639" s="64" t="str">
        <f>'RAW DATA 2023'!B632</f>
        <v>Kamong</v>
      </c>
      <c r="B639" s="64" t="str">
        <f>'RAW DATA 2023'!D632</f>
        <v>AG-011-0008</v>
      </c>
      <c r="C639" s="63" t="str">
        <f t="shared" si="45"/>
        <v>KamongAG-011-0008</v>
      </c>
      <c r="D639" s="63">
        <f>VLOOKUP(C639,'RAW DATA 2023'!E:BP,63,0)</f>
        <v>4</v>
      </c>
      <c r="E639" s="63" t="str">
        <f t="shared" si="46"/>
        <v>Kamong4</v>
      </c>
      <c r="F639" s="79">
        <f>ROUND(VLOOKUP(C639,'RAW DATA 2023'!E:BO,23,0),0)</f>
        <v>43</v>
      </c>
      <c r="G639" s="79">
        <f>VLOOKUP(C639,'RAW DATA 2023'!E:BO,24,0)</f>
        <v>80.110187499999995</v>
      </c>
      <c r="H639" s="79">
        <f>IFERROR(VLOOKUP(F639,STD!B:G,2,FALSE),"")</f>
        <v>83</v>
      </c>
      <c r="I639" s="100">
        <f t="shared" si="47"/>
        <v>0.96518298192771079</v>
      </c>
      <c r="J639" s="74">
        <f t="shared" si="48"/>
        <v>13.955489457831323</v>
      </c>
      <c r="K639">
        <f>VLOOKUP(C639,'RAW DATA 2023'!E:BO,12,0)</f>
        <v>1.6</v>
      </c>
      <c r="L639" s="268">
        <f t="shared" si="49"/>
        <v>22.32878313253012</v>
      </c>
    </row>
    <row r="640" spans="1:13">
      <c r="A640" s="64" t="str">
        <f>'RAW DATA 2023'!B633</f>
        <v>Kamong</v>
      </c>
      <c r="B640" s="64" t="str">
        <f>'RAW DATA 2023'!D633</f>
        <v>D1-032-0010</v>
      </c>
      <c r="C640" s="63" t="str">
        <f t="shared" si="45"/>
        <v>KamongD1-032-0010</v>
      </c>
      <c r="D640" s="63">
        <f>VLOOKUP(C640,'RAW DATA 2023'!E:BP,63,0)</f>
        <v>8</v>
      </c>
      <c r="E640" s="63" t="str">
        <f t="shared" si="46"/>
        <v>Kamong8</v>
      </c>
      <c r="F640" s="79">
        <f>ROUND(VLOOKUP(C640,'RAW DATA 2023'!E:BO,23,0),0)</f>
        <v>110</v>
      </c>
      <c r="G640" s="79">
        <f>VLOOKUP(C640,'RAW DATA 2023'!E:BO,24,0)</f>
        <v>89.330222222222218</v>
      </c>
      <c r="H640" s="79">
        <f>IFERROR(VLOOKUP(F640,STD!B:G,2,FALSE),"")</f>
        <v>91</v>
      </c>
      <c r="I640" s="100">
        <f t="shared" si="47"/>
        <v>0.98165079365079366</v>
      </c>
      <c r="J640" s="74">
        <f t="shared" si="48"/>
        <v>14.449523809523811</v>
      </c>
      <c r="K640">
        <f>VLOOKUP(C640,'RAW DATA 2023'!E:BO,12,0)</f>
        <v>0.9</v>
      </c>
      <c r="L640" s="268">
        <f t="shared" si="49"/>
        <v>13.004571428571429</v>
      </c>
    </row>
    <row r="641" spans="1:12">
      <c r="A641" s="64" t="str">
        <f>'RAW DATA 2023'!B634</f>
        <v>Kamong</v>
      </c>
      <c r="B641" s="64" t="str">
        <f>'RAW DATA 2023'!D634</f>
        <v>D1-022-0038</v>
      </c>
      <c r="C641" s="63" t="str">
        <f t="shared" si="45"/>
        <v>KamongD1-022-0038</v>
      </c>
      <c r="D641" s="63">
        <f>VLOOKUP(C641,'RAW DATA 2023'!E:BP,63,0)</f>
        <v>2</v>
      </c>
      <c r="E641" s="63" t="str">
        <f t="shared" si="46"/>
        <v>Kamong2</v>
      </c>
      <c r="F641" s="79">
        <f>ROUND(VLOOKUP(C641,'RAW DATA 2023'!E:BO,23,0),0)</f>
        <v>36</v>
      </c>
      <c r="G641" s="79">
        <f>VLOOKUP(C641,'RAW DATA 2023'!E:BO,24,0)</f>
        <v>40.356571428571428</v>
      </c>
      <c r="H641" s="79">
        <f>IFERROR(VLOOKUP(F641,STD!B:G,2,FALSE),"")</f>
        <v>81</v>
      </c>
      <c r="I641" s="100">
        <f t="shared" si="47"/>
        <v>0.49822927689594354</v>
      </c>
      <c r="J641" s="74">
        <f t="shared" si="48"/>
        <v>-5.3121693121693792E-2</v>
      </c>
      <c r="K641">
        <f>VLOOKUP(C641,'RAW DATA 2023'!E:BO,12,0)</f>
        <v>1.4</v>
      </c>
      <c r="L641" s="268">
        <f t="shared" si="49"/>
        <v>-7.4370370370371308E-2</v>
      </c>
    </row>
    <row r="642" spans="1:12">
      <c r="A642" s="64" t="str">
        <f>'RAW DATA 2023'!B635</f>
        <v>Kamong</v>
      </c>
      <c r="B642" s="64" t="str">
        <f>'RAW DATA 2023'!D635</f>
        <v>D1-032-0008</v>
      </c>
      <c r="C642" s="63" t="str">
        <f t="shared" si="45"/>
        <v>KamongD1-032-0008</v>
      </c>
      <c r="D642" s="63">
        <f>VLOOKUP(C642,'RAW DATA 2023'!E:BP,63,0)</f>
        <v>3</v>
      </c>
      <c r="E642" s="63" t="str">
        <f t="shared" si="46"/>
        <v>Kamong3</v>
      </c>
      <c r="F642" s="79">
        <f>ROUND(VLOOKUP(C642,'RAW DATA 2023'!E:BO,23,0),0)</f>
        <v>34</v>
      </c>
      <c r="G642" s="79">
        <f>VLOOKUP(C642,'RAW DATA 2023'!E:BO,24,0)</f>
        <v>77.283555555555566</v>
      </c>
      <c r="H642" s="79">
        <f>IFERROR(VLOOKUP(F642,STD!B:G,2,FALSE),"")</f>
        <v>80</v>
      </c>
      <c r="I642" s="100">
        <f t="shared" si="47"/>
        <v>0.96604444444444459</v>
      </c>
      <c r="J642" s="74">
        <f t="shared" si="48"/>
        <v>13.981333333333337</v>
      </c>
      <c r="K642">
        <f>VLOOKUP(C642,'RAW DATA 2023'!E:BO,12,0)</f>
        <v>0.9</v>
      </c>
      <c r="L642" s="268">
        <f t="shared" si="49"/>
        <v>12.583200000000003</v>
      </c>
    </row>
    <row r="643" spans="1:12">
      <c r="A643" s="64" t="str">
        <f>'RAW DATA 2023'!B636</f>
        <v>Kamong</v>
      </c>
      <c r="B643" s="64" t="str">
        <f>'RAW DATA 2023'!D636</f>
        <v>D1-022-0040</v>
      </c>
      <c r="C643" s="63" t="str">
        <f t="shared" si="45"/>
        <v>KamongD1-022-0040</v>
      </c>
      <c r="D643" s="63">
        <f>VLOOKUP(C643,'RAW DATA 2023'!E:BP,63,0)</f>
        <v>7</v>
      </c>
      <c r="E643" s="63" t="str">
        <f t="shared" si="46"/>
        <v>Kamong7</v>
      </c>
      <c r="F643" s="79">
        <f>ROUND(VLOOKUP(C643,'RAW DATA 2023'!E:BO,23,0),0)</f>
        <v>111</v>
      </c>
      <c r="G643" s="79">
        <f>VLOOKUP(C643,'RAW DATA 2023'!E:BO,24,0)</f>
        <v>100.32589999999999</v>
      </c>
      <c r="H643" s="79">
        <f>IFERROR(VLOOKUP(F643,STD!B:G,2,FALSE),"")</f>
        <v>92</v>
      </c>
      <c r="I643" s="100">
        <f t="shared" si="47"/>
        <v>1.0904989130434781</v>
      </c>
      <c r="J643" s="74">
        <f t="shared" si="48"/>
        <v>17.714967391304345</v>
      </c>
      <c r="K643">
        <f>VLOOKUP(C643,'RAW DATA 2023'!E:BO,12,0)</f>
        <v>1</v>
      </c>
      <c r="L643" s="268">
        <f t="shared" si="49"/>
        <v>17.714967391304345</v>
      </c>
    </row>
    <row r="644" spans="1:12">
      <c r="A644" s="64" t="str">
        <f>'RAW DATA 2023'!B637</f>
        <v>Kamong</v>
      </c>
      <c r="B644" s="64" t="str">
        <f>'RAW DATA 2023'!D637</f>
        <v>D1-027-0001</v>
      </c>
      <c r="C644" s="63" t="str">
        <f t="shared" si="45"/>
        <v>KamongD1-027-0001</v>
      </c>
      <c r="D644" s="63">
        <f>VLOOKUP(C644,'RAW DATA 2023'!E:BP,63,0)</f>
        <v>4</v>
      </c>
      <c r="E644" s="63" t="str">
        <f t="shared" si="46"/>
        <v>Kamong4</v>
      </c>
      <c r="F644" s="79">
        <f>ROUND(VLOOKUP(C644,'RAW DATA 2023'!E:BO,23,0),0)</f>
        <v>52</v>
      </c>
      <c r="G644" s="79">
        <f>VLOOKUP(C644,'RAW DATA 2023'!E:BO,24,0)</f>
        <v>64.223749999999995</v>
      </c>
      <c r="H644" s="79">
        <f>IFERROR(VLOOKUP(F644,STD!B:G,2,FALSE),"")</f>
        <v>85</v>
      </c>
      <c r="I644" s="100">
        <f t="shared" si="47"/>
        <v>0.7555735294117647</v>
      </c>
      <c r="J644" s="74">
        <f t="shared" si="48"/>
        <v>7.667205882352941</v>
      </c>
      <c r="K644">
        <f>VLOOKUP(C644,'RAW DATA 2023'!E:BO,12,0)</f>
        <v>1.2</v>
      </c>
      <c r="L644" s="268">
        <f t="shared" si="49"/>
        <v>9.2006470588235292</v>
      </c>
    </row>
    <row r="645" spans="1:12">
      <c r="A645" s="64" t="str">
        <f>'RAW DATA 2023'!B638</f>
        <v>Kamong</v>
      </c>
      <c r="B645" s="64" t="str">
        <f>'RAW DATA 2023'!D638</f>
        <v>D1-027-0002</v>
      </c>
      <c r="C645" s="63" t="str">
        <f t="shared" si="45"/>
        <v>KamongD1-027-0002</v>
      </c>
      <c r="D645" s="63">
        <f>VLOOKUP(C645,'RAW DATA 2023'!E:BP,63,0)</f>
        <v>7</v>
      </c>
      <c r="E645" s="63" t="str">
        <f t="shared" si="46"/>
        <v>Kamong7</v>
      </c>
      <c r="F645" s="79">
        <f>ROUND(VLOOKUP(C645,'RAW DATA 2023'!E:BO,23,0),0)</f>
        <v>105</v>
      </c>
      <c r="G645" s="79">
        <f>VLOOKUP(C645,'RAW DATA 2023'!E:BO,24,0)</f>
        <v>73.647333333333336</v>
      </c>
      <c r="H645" s="79">
        <f>IFERROR(VLOOKUP(F645,STD!B:G,2,FALSE),"")</f>
        <v>91</v>
      </c>
      <c r="I645" s="100">
        <f t="shared" si="47"/>
        <v>0.80931135531135534</v>
      </c>
      <c r="J645" s="74">
        <f t="shared" si="48"/>
        <v>9.2793406593406598</v>
      </c>
      <c r="K645">
        <f>VLOOKUP(C645,'RAW DATA 2023'!E:BO,12,0)</f>
        <v>1.2</v>
      </c>
      <c r="L645" s="268">
        <f t="shared" si="49"/>
        <v>11.135208791208791</v>
      </c>
    </row>
    <row r="646" spans="1:12">
      <c r="A646" s="64" t="str">
        <f>'RAW DATA 2023'!B639</f>
        <v>Kamong</v>
      </c>
      <c r="B646" s="64" t="str">
        <f>'RAW DATA 2023'!D639</f>
        <v>D1-022-0039</v>
      </c>
      <c r="C646" s="63" t="str">
        <f t="shared" si="45"/>
        <v>KamongD1-022-0039</v>
      </c>
      <c r="D646" s="63">
        <f>VLOOKUP(C646,'RAW DATA 2023'!E:BP,63,0)</f>
        <v>4</v>
      </c>
      <c r="E646" s="63" t="str">
        <f t="shared" si="46"/>
        <v>Kamong4</v>
      </c>
      <c r="F646" s="79">
        <f>ROUND(VLOOKUP(C646,'RAW DATA 2023'!E:BO,23,0),0)</f>
        <v>175</v>
      </c>
      <c r="G646" s="79">
        <f>VLOOKUP(C646,'RAW DATA 2023'!E:BO,24,0)</f>
        <v>76.976388888888891</v>
      </c>
      <c r="H646" s="79">
        <f>IFERROR(VLOOKUP(F646,STD!B:G,2,FALSE),"")</f>
        <v>94</v>
      </c>
      <c r="I646" s="100">
        <f t="shared" si="47"/>
        <v>0.81889775413711585</v>
      </c>
      <c r="J646" s="74">
        <f t="shared" si="48"/>
        <v>9.5669326241134751</v>
      </c>
      <c r="K646">
        <f>VLOOKUP(C646,'RAW DATA 2023'!E:BO,12,0)</f>
        <v>1.8</v>
      </c>
      <c r="L646" s="268">
        <f t="shared" si="49"/>
        <v>17.220478723404256</v>
      </c>
    </row>
    <row r="647" spans="1:12">
      <c r="A647" s="64" t="str">
        <f>'RAW DATA 2023'!B640</f>
        <v>Kamong</v>
      </c>
      <c r="B647" s="64" t="str">
        <f>'RAW DATA 2023'!D640</f>
        <v>D1-032-0009</v>
      </c>
      <c r="C647" s="63" t="str">
        <f t="shared" si="45"/>
        <v>KamongD1-032-0009</v>
      </c>
      <c r="D647" s="63">
        <f>VLOOKUP(C647,'RAW DATA 2023'!E:BP,63,0)</f>
        <v>5</v>
      </c>
      <c r="E647" s="63" t="str">
        <f t="shared" si="46"/>
        <v>Kamong5</v>
      </c>
      <c r="F647" s="79">
        <f>ROUND(VLOOKUP(C647,'RAW DATA 2023'!E:BO,23,0),0)</f>
        <v>0</v>
      </c>
      <c r="G647" s="79">
        <f>VLOOKUP(C647,'RAW DATA 2023'!E:BO,24,0)</f>
        <v>0</v>
      </c>
      <c r="H647" s="79" t="str">
        <f>IFERROR(VLOOKUP(F647,STD!B:G,2,FALSE),"")</f>
        <v/>
      </c>
      <c r="I647" s="100">
        <f t="shared" si="47"/>
        <v>0</v>
      </c>
      <c r="J647" s="74">
        <f t="shared" si="48"/>
        <v>-15</v>
      </c>
      <c r="K647">
        <f>VLOOKUP(C647,'RAW DATA 2023'!E:BO,12,0)</f>
        <v>1.5</v>
      </c>
      <c r="L647" s="268">
        <f t="shared" si="49"/>
        <v>-22.5</v>
      </c>
    </row>
    <row r="648" spans="1:12">
      <c r="A648" s="64" t="str">
        <f>'RAW DATA 2023'!B641</f>
        <v>Talaytong</v>
      </c>
      <c r="B648" s="64" t="str">
        <f>'RAW DATA 2023'!D641</f>
        <v>A1-039-0007</v>
      </c>
      <c r="C648" s="63" t="str">
        <f t="shared" si="45"/>
        <v>TalaytongA1-039-0007</v>
      </c>
      <c r="D648" s="63">
        <f>VLOOKUP(C648,'RAW DATA 2023'!E:BP,63,0)</f>
        <v>8</v>
      </c>
      <c r="E648" s="63" t="str">
        <f t="shared" si="46"/>
        <v>Talaytong8</v>
      </c>
      <c r="F648" s="79">
        <f>ROUND(VLOOKUP(C648,'RAW DATA 2023'!E:BO,23,0),0)</f>
        <v>45</v>
      </c>
      <c r="G648" s="79">
        <f>VLOOKUP(C648,'RAW DATA 2023'!E:BO,24,0)</f>
        <v>69.478999999999999</v>
      </c>
      <c r="H648" s="79">
        <f>IFERROR(VLOOKUP(F648,STD!B:G,2,FALSE),"")</f>
        <v>83</v>
      </c>
      <c r="I648" s="100">
        <f t="shared" si="47"/>
        <v>0.8370963855421687</v>
      </c>
      <c r="J648" s="74">
        <f t="shared" si="48"/>
        <v>10.112891566265061</v>
      </c>
      <c r="K648">
        <f>VLOOKUP(C648,'RAW DATA 2023'!E:BO,12,0)</f>
        <v>2.5</v>
      </c>
      <c r="L648" s="268">
        <f t="shared" si="49"/>
        <v>25.282228915662653</v>
      </c>
    </row>
    <row r="649" spans="1:12">
      <c r="A649" s="64" t="str">
        <f>'RAW DATA 2023'!B642</f>
        <v>Talaytong</v>
      </c>
      <c r="B649" s="64" t="str">
        <f>'RAW DATA 2023'!D642</f>
        <v>A1-038-0010</v>
      </c>
      <c r="C649" s="63" t="str">
        <f t="shared" si="45"/>
        <v>TalaytongA1-038-0010</v>
      </c>
      <c r="D649" s="63">
        <f>VLOOKUP(C649,'RAW DATA 2023'!E:BP,63,0)</f>
        <v>10</v>
      </c>
      <c r="E649" s="63" t="str">
        <f t="shared" si="46"/>
        <v>Talaytong10</v>
      </c>
      <c r="F649" s="79">
        <f>ROUND(VLOOKUP(C649,'RAW DATA 2023'!E:BO,23,0),0)</f>
        <v>67</v>
      </c>
      <c r="G649" s="79">
        <f>VLOOKUP(C649,'RAW DATA 2023'!E:BO,24,0)</f>
        <v>75.919800000000009</v>
      </c>
      <c r="H649" s="79">
        <f>IFERROR(VLOOKUP(F649,STD!B:G,2,FALSE),"")</f>
        <v>88</v>
      </c>
      <c r="I649" s="100">
        <f t="shared" si="47"/>
        <v>0.86272500000000008</v>
      </c>
      <c r="J649" s="74">
        <f t="shared" si="48"/>
        <v>10.881750000000002</v>
      </c>
      <c r="K649">
        <f>VLOOKUP(C649,'RAW DATA 2023'!E:BO,12,0)</f>
        <v>3</v>
      </c>
      <c r="L649" s="268">
        <f t="shared" si="49"/>
        <v>32.645250000000004</v>
      </c>
    </row>
    <row r="650" spans="1:12">
      <c r="A650" s="64" t="str">
        <f>'RAW DATA 2023'!B643</f>
        <v>Talaytong</v>
      </c>
      <c r="B650" s="64" t="str">
        <f>'RAW DATA 2023'!D643</f>
        <v>A1-038-0008</v>
      </c>
      <c r="C650" s="63" t="str">
        <f t="shared" ref="C650:C713" si="50">A650&amp;B650</f>
        <v>TalaytongA1-038-0008</v>
      </c>
      <c r="D650" s="63">
        <f>VLOOKUP(C650,'RAW DATA 2023'!E:BP,63,0)</f>
        <v>5</v>
      </c>
      <c r="E650" s="63" t="str">
        <f t="shared" ref="E650:E713" si="51">A650&amp;D650</f>
        <v>Talaytong5</v>
      </c>
      <c r="F650" s="79">
        <f>ROUND(VLOOKUP(C650,'RAW DATA 2023'!E:BO,23,0),0)</f>
        <v>48</v>
      </c>
      <c r="G650" s="79">
        <f>VLOOKUP(C650,'RAW DATA 2023'!E:BO,24,0)</f>
        <v>66.853636363636355</v>
      </c>
      <c r="H650" s="79">
        <f>IFERROR(VLOOKUP(F650,STD!B:G,2,FALSE),"")</f>
        <v>84</v>
      </c>
      <c r="I650" s="100">
        <f t="shared" si="47"/>
        <v>0.79587662337662324</v>
      </c>
      <c r="J650" s="74">
        <f t="shared" si="48"/>
        <v>8.8762987012986976</v>
      </c>
      <c r="K650">
        <f>VLOOKUP(C650,'RAW DATA 2023'!E:BO,12,0)</f>
        <v>2.2000000000000002</v>
      </c>
      <c r="L650" s="268">
        <f t="shared" si="49"/>
        <v>19.527857142857137</v>
      </c>
    </row>
    <row r="651" spans="1:12">
      <c r="A651" s="64" t="str">
        <f>'RAW DATA 2023'!B644</f>
        <v>Talaytong</v>
      </c>
      <c r="B651" s="64" t="str">
        <f>'RAW DATA 2023'!D644</f>
        <v>A1-039-0006</v>
      </c>
      <c r="C651" s="63" t="str">
        <f t="shared" si="50"/>
        <v>TalaytongA1-039-0006</v>
      </c>
      <c r="D651" s="63">
        <f>VLOOKUP(C651,'RAW DATA 2023'!E:BP,63,0)</f>
        <v>4</v>
      </c>
      <c r="E651" s="63" t="str">
        <f t="shared" si="51"/>
        <v>Talaytong4</v>
      </c>
      <c r="F651" s="79">
        <f>ROUND(VLOOKUP(C651,'RAW DATA 2023'!E:BO,23,0),0)</f>
        <v>77</v>
      </c>
      <c r="G651" s="79">
        <f>VLOOKUP(C651,'RAW DATA 2023'!E:BO,24,0)</f>
        <v>59.772150000000003</v>
      </c>
      <c r="H651" s="79">
        <f>IFERROR(VLOOKUP(F651,STD!B:G,2,FALSE),"")</f>
        <v>89</v>
      </c>
      <c r="I651" s="100">
        <f t="shared" ref="I651:I714" si="52">IFERROR(G651/H651,0)</f>
        <v>0.67159719101123594</v>
      </c>
      <c r="J651" s="74">
        <f t="shared" ref="J651:J714" si="53">(I651-$E$4)*$E$7</f>
        <v>5.1479157303370782</v>
      </c>
      <c r="K651">
        <f>VLOOKUP(C651,'RAW DATA 2023'!E:BO,12,0)</f>
        <v>2</v>
      </c>
      <c r="L651" s="268">
        <f t="shared" ref="L651:L714" si="54">J651*K651</f>
        <v>10.295831460674156</v>
      </c>
    </row>
    <row r="652" spans="1:12">
      <c r="A652" s="64" t="str">
        <f>'RAW DATA 2023'!B645</f>
        <v>Talaytong</v>
      </c>
      <c r="B652" s="64" t="str">
        <f>'RAW DATA 2023'!D645</f>
        <v>B1-032-0008</v>
      </c>
      <c r="C652" s="63" t="str">
        <f t="shared" si="50"/>
        <v>TalaytongB1-032-0008</v>
      </c>
      <c r="D652" s="63">
        <f>VLOOKUP(C652,'RAW DATA 2023'!E:BP,63,0)</f>
        <v>1</v>
      </c>
      <c r="E652" s="63" t="str">
        <f t="shared" si="51"/>
        <v>Talaytong1</v>
      </c>
      <c r="F652" s="79">
        <f>ROUND(VLOOKUP(C652,'RAW DATA 2023'!E:BO,23,0),0)</f>
        <v>147</v>
      </c>
      <c r="G652" s="79">
        <f>VLOOKUP(C652,'RAW DATA 2023'!E:BO,24,0)</f>
        <v>63.43115384615384</v>
      </c>
      <c r="H652" s="79">
        <f>IFERROR(VLOOKUP(F652,STD!B:G,2,FALSE),"")</f>
        <v>93</v>
      </c>
      <c r="I652" s="100">
        <f t="shared" si="52"/>
        <v>0.68205541770057898</v>
      </c>
      <c r="J652" s="74">
        <f t="shared" si="53"/>
        <v>5.4616625310173692</v>
      </c>
      <c r="K652">
        <f>VLOOKUP(C652,'RAW DATA 2023'!E:BO,12,0)</f>
        <v>1.3</v>
      </c>
      <c r="L652" s="268">
        <f t="shared" si="54"/>
        <v>7.1001612903225801</v>
      </c>
    </row>
    <row r="653" spans="1:12">
      <c r="A653" s="64" t="str">
        <f>'RAW DATA 2023'!B646</f>
        <v>Talaytong</v>
      </c>
      <c r="B653" s="64" t="str">
        <f>'RAW DATA 2023'!D646</f>
        <v>A1-034-0008</v>
      </c>
      <c r="C653" s="63" t="str">
        <f t="shared" si="50"/>
        <v>TalaytongA1-034-0008</v>
      </c>
      <c r="D653" s="63">
        <f>VLOOKUP(C653,'RAW DATA 2023'!E:BP,63,0)</f>
        <v>5</v>
      </c>
      <c r="E653" s="63" t="str">
        <f t="shared" si="51"/>
        <v>Talaytong5</v>
      </c>
      <c r="F653" s="79">
        <f>ROUND(VLOOKUP(C653,'RAW DATA 2023'!E:BO,23,0),0)</f>
        <v>104</v>
      </c>
      <c r="G653" s="79">
        <f>VLOOKUP(C653,'RAW DATA 2023'!E:BO,24,0)</f>
        <v>71.799300000000002</v>
      </c>
      <c r="H653" s="79">
        <f>IFERROR(VLOOKUP(F653,STD!B:G,2,FALSE),"")</f>
        <v>91</v>
      </c>
      <c r="I653" s="100">
        <f t="shared" si="52"/>
        <v>0.78900329670329672</v>
      </c>
      <c r="J653" s="74">
        <f t="shared" si="53"/>
        <v>8.6700989010989016</v>
      </c>
      <c r="K653">
        <f>VLOOKUP(C653,'RAW DATA 2023'!E:BO,12,0)</f>
        <v>2</v>
      </c>
      <c r="L653" s="268">
        <f t="shared" si="54"/>
        <v>17.340197802197803</v>
      </c>
    </row>
    <row r="654" spans="1:12">
      <c r="A654" s="64" t="str">
        <f>'RAW DATA 2023'!B647</f>
        <v>CHBR1</v>
      </c>
      <c r="B654" s="64" t="str">
        <f>'RAW DATA 2023'!D647</f>
        <v>A1-015-0019</v>
      </c>
      <c r="C654" s="63" t="str">
        <f t="shared" si="50"/>
        <v>CHBR1A1-015-0019</v>
      </c>
      <c r="D654" s="63">
        <f>VLOOKUP(C654,'RAW DATA 2023'!E:BP,63,0)</f>
        <v>12</v>
      </c>
      <c r="E654" s="63" t="str">
        <f t="shared" si="51"/>
        <v>CHBR112</v>
      </c>
      <c r="F654" s="79">
        <f>ROUND(VLOOKUP(C654,'RAW DATA 2023'!E:BO,23,0),0)</f>
        <v>39</v>
      </c>
      <c r="G654" s="79">
        <f>VLOOKUP(C654,'RAW DATA 2023'!E:BO,24,0)</f>
        <v>86.759600000000006</v>
      </c>
      <c r="H654" s="79">
        <f>IFERROR(VLOOKUP(F654,STD!B:G,2,FALSE),"")</f>
        <v>82</v>
      </c>
      <c r="I654" s="100">
        <f t="shared" si="52"/>
        <v>1.0580439024390245</v>
      </c>
      <c r="J654" s="74">
        <f t="shared" si="53"/>
        <v>16.741317073170734</v>
      </c>
      <c r="K654">
        <f>VLOOKUP(C654,'RAW DATA 2023'!E:BO,12,0)</f>
        <v>1</v>
      </c>
      <c r="L654" s="268">
        <f t="shared" si="54"/>
        <v>16.741317073170734</v>
      </c>
    </row>
    <row r="655" spans="1:12">
      <c r="A655" s="64" t="str">
        <f>'RAW DATA 2023'!B648</f>
        <v>CHBR1</v>
      </c>
      <c r="B655" s="64" t="str">
        <f>'RAW DATA 2023'!D648</f>
        <v>A1-019-0005</v>
      </c>
      <c r="C655" s="63" t="str">
        <f t="shared" si="50"/>
        <v>CHBR1A1-019-0005</v>
      </c>
      <c r="D655" s="63">
        <f>VLOOKUP(C655,'RAW DATA 2023'!E:BP,63,0)</f>
        <v>7</v>
      </c>
      <c r="E655" s="63" t="str">
        <f t="shared" si="51"/>
        <v>CHBR17</v>
      </c>
      <c r="F655" s="79">
        <f>ROUND(VLOOKUP(C655,'RAW DATA 2023'!E:BO,23,0),0)</f>
        <v>36</v>
      </c>
      <c r="G655" s="79">
        <f>VLOOKUP(C655,'RAW DATA 2023'!E:BO,24,0)</f>
        <v>63.978000000000002</v>
      </c>
      <c r="H655" s="79">
        <f>IFERROR(VLOOKUP(F655,STD!B:G,2,FALSE),"")</f>
        <v>81</v>
      </c>
      <c r="I655" s="100">
        <f t="shared" si="52"/>
        <v>0.78985185185185192</v>
      </c>
      <c r="J655" s="74">
        <f t="shared" si="53"/>
        <v>8.6955555555555577</v>
      </c>
      <c r="K655">
        <f>VLOOKUP(C655,'RAW DATA 2023'!E:BO,12,0)</f>
        <v>0.6</v>
      </c>
      <c r="L655" s="268">
        <f t="shared" si="54"/>
        <v>5.2173333333333343</v>
      </c>
    </row>
    <row r="656" spans="1:12">
      <c r="A656" s="64" t="str">
        <f>'RAW DATA 2023'!B649</f>
        <v>CHBR1</v>
      </c>
      <c r="B656" s="64" t="str">
        <f>'RAW DATA 2023'!D649</f>
        <v>A1-016-0013</v>
      </c>
      <c r="C656" s="63" t="str">
        <f t="shared" si="50"/>
        <v>CHBR1A1-016-0013</v>
      </c>
      <c r="D656" s="63">
        <f>VLOOKUP(C656,'RAW DATA 2023'!E:BP,63,0)</f>
        <v>6</v>
      </c>
      <c r="E656" s="63" t="str">
        <f t="shared" si="51"/>
        <v>CHBR16</v>
      </c>
      <c r="F656" s="79">
        <f>ROUND(VLOOKUP(C656,'RAW DATA 2023'!E:BO,23,0),0)</f>
        <v>47</v>
      </c>
      <c r="G656" s="79">
        <f>VLOOKUP(C656,'RAW DATA 2023'!E:BO,24,0)</f>
        <v>64.449399999999997</v>
      </c>
      <c r="H656" s="79">
        <f>IFERROR(VLOOKUP(F656,STD!B:G,2,FALSE),"")</f>
        <v>84</v>
      </c>
      <c r="I656" s="100">
        <f t="shared" si="52"/>
        <v>0.76725476190476183</v>
      </c>
      <c r="J656" s="74">
        <f t="shared" si="53"/>
        <v>8.0176428571428549</v>
      </c>
      <c r="K656">
        <f>VLOOKUP(C656,'RAW DATA 2023'!E:BO,12,0)</f>
        <v>1</v>
      </c>
      <c r="L656" s="268">
        <f t="shared" si="54"/>
        <v>8.0176428571428549</v>
      </c>
    </row>
    <row r="657" spans="1:12">
      <c r="A657" s="64" t="str">
        <f>'RAW DATA 2023'!B650</f>
        <v>CHBR1</v>
      </c>
      <c r="B657" s="64" t="str">
        <f>'RAW DATA 2023'!D650</f>
        <v>A1-011-0014</v>
      </c>
      <c r="C657" s="63" t="str">
        <f t="shared" si="50"/>
        <v>CHBR1A1-011-0014</v>
      </c>
      <c r="D657" s="63">
        <f>VLOOKUP(C657,'RAW DATA 2023'!E:BP,63,0)</f>
        <v>7</v>
      </c>
      <c r="E657" s="63" t="str">
        <f t="shared" si="51"/>
        <v>CHBR17</v>
      </c>
      <c r="F657" s="79">
        <f>ROUND(VLOOKUP(C657,'RAW DATA 2023'!E:BO,23,0),0)</f>
        <v>40</v>
      </c>
      <c r="G657" s="79">
        <f>VLOOKUP(C657,'RAW DATA 2023'!E:BO,24,0)</f>
        <v>56.607100000000003</v>
      </c>
      <c r="H657" s="79">
        <f>IFERROR(VLOOKUP(F657,STD!B:G,2,FALSE),"")</f>
        <v>82</v>
      </c>
      <c r="I657" s="100">
        <f t="shared" si="52"/>
        <v>0.69033048780487805</v>
      </c>
      <c r="J657" s="74">
        <f t="shared" si="53"/>
        <v>5.7099146341463412</v>
      </c>
      <c r="K657">
        <f>VLOOKUP(C657,'RAW DATA 2023'!E:BO,12,0)</f>
        <v>1</v>
      </c>
      <c r="L657" s="268">
        <f t="shared" si="54"/>
        <v>5.7099146341463412</v>
      </c>
    </row>
    <row r="658" spans="1:12">
      <c r="A658" s="64" t="str">
        <f>'RAW DATA 2023'!B651</f>
        <v>CHBR1</v>
      </c>
      <c r="B658" s="64" t="str">
        <f>'RAW DATA 2023'!D651</f>
        <v>A1-018-0013</v>
      </c>
      <c r="C658" s="63" t="str">
        <f t="shared" si="50"/>
        <v>CHBR1A1-018-0013</v>
      </c>
      <c r="D658" s="63">
        <f>VLOOKUP(C658,'RAW DATA 2023'!E:BP,63,0)</f>
        <v>7</v>
      </c>
      <c r="E658" s="63" t="str">
        <f t="shared" si="51"/>
        <v>CHBR17</v>
      </c>
      <c r="F658" s="79">
        <f>ROUND(VLOOKUP(C658,'RAW DATA 2023'!E:BO,23,0),0)</f>
        <v>40</v>
      </c>
      <c r="G658" s="79">
        <f>VLOOKUP(C658,'RAW DATA 2023'!E:BO,24,0)</f>
        <v>78.388142857142867</v>
      </c>
      <c r="H658" s="79">
        <f>IFERROR(VLOOKUP(F658,STD!B:G,2,FALSE),"")</f>
        <v>82</v>
      </c>
      <c r="I658" s="100">
        <f t="shared" si="52"/>
        <v>0.95595296167247401</v>
      </c>
      <c r="J658" s="74">
        <f t="shared" si="53"/>
        <v>13.67858885017422</v>
      </c>
      <c r="K658">
        <f>VLOOKUP(C658,'RAW DATA 2023'!E:BO,12,0)</f>
        <v>0.7</v>
      </c>
      <c r="L658" s="268">
        <f t="shared" si="54"/>
        <v>9.5750121951219533</v>
      </c>
    </row>
    <row r="659" spans="1:12">
      <c r="A659" s="64" t="str">
        <f>'RAW DATA 2023'!B652</f>
        <v>CHBR1</v>
      </c>
      <c r="B659" s="64" t="str">
        <f>'RAW DATA 2023'!D652</f>
        <v>A1-009-0033</v>
      </c>
      <c r="C659" s="63" t="str">
        <f t="shared" si="50"/>
        <v>CHBR1A1-009-0033</v>
      </c>
      <c r="D659" s="63">
        <f>VLOOKUP(C659,'RAW DATA 2023'!E:BP,63,0)</f>
        <v>5</v>
      </c>
      <c r="E659" s="63" t="str">
        <f t="shared" si="51"/>
        <v>CHBR15</v>
      </c>
      <c r="F659" s="79">
        <f>ROUND(VLOOKUP(C659,'RAW DATA 2023'!E:BO,23,0),0)</f>
        <v>42</v>
      </c>
      <c r="G659" s="79">
        <f>VLOOKUP(C659,'RAW DATA 2023'!E:BO,24,0)</f>
        <v>40.3962</v>
      </c>
      <c r="H659" s="79">
        <f>IFERROR(VLOOKUP(F659,STD!B:G,2,FALSE),"")</f>
        <v>82</v>
      </c>
      <c r="I659" s="100">
        <f t="shared" si="52"/>
        <v>0.49263658536585364</v>
      </c>
      <c r="J659" s="74">
        <f t="shared" si="53"/>
        <v>-0.22090243902439077</v>
      </c>
      <c r="K659">
        <f>VLOOKUP(C659,'RAW DATA 2023'!E:BO,12,0)</f>
        <v>1</v>
      </c>
      <c r="L659" s="268">
        <f t="shared" si="54"/>
        <v>-0.22090243902439077</v>
      </c>
    </row>
    <row r="660" spans="1:12">
      <c r="A660" s="64" t="str">
        <f>'RAW DATA 2023'!B653</f>
        <v>CHBR1</v>
      </c>
      <c r="B660" s="64" t="str">
        <f>'RAW DATA 2023'!D653</f>
        <v>A1-012-0039</v>
      </c>
      <c r="C660" s="63" t="str">
        <f t="shared" si="50"/>
        <v>CHBR1A1-012-0039</v>
      </c>
      <c r="D660" s="63">
        <f>VLOOKUP(C660,'RAW DATA 2023'!E:BP,63,0)</f>
        <v>5</v>
      </c>
      <c r="E660" s="63" t="str">
        <f t="shared" si="51"/>
        <v>CHBR15</v>
      </c>
      <c r="F660" s="79">
        <f>ROUND(VLOOKUP(C660,'RAW DATA 2023'!E:BO,23,0),0)</f>
        <v>45</v>
      </c>
      <c r="G660" s="79">
        <f>VLOOKUP(C660,'RAW DATA 2023'!E:BO,24,0)</f>
        <v>49.895125</v>
      </c>
      <c r="H660" s="79">
        <f>IFERROR(VLOOKUP(F660,STD!B:G,2,FALSE),"")</f>
        <v>83</v>
      </c>
      <c r="I660" s="100">
        <f t="shared" si="52"/>
        <v>0.6011460843373494</v>
      </c>
      <c r="J660" s="74">
        <f t="shared" si="53"/>
        <v>3.0343825301204816</v>
      </c>
      <c r="K660">
        <f>VLOOKUP(C660,'RAW DATA 2023'!E:BO,12,0)</f>
        <v>0.8</v>
      </c>
      <c r="L660" s="268">
        <f t="shared" si="54"/>
        <v>2.4275060240963855</v>
      </c>
    </row>
    <row r="661" spans="1:12">
      <c r="A661" s="64" t="str">
        <f>'RAW DATA 2023'!B654</f>
        <v>CHBR1</v>
      </c>
      <c r="B661" s="64" t="str">
        <f>'RAW DATA 2023'!D654</f>
        <v>A1-017-0014</v>
      </c>
      <c r="C661" s="63" t="str">
        <f t="shared" si="50"/>
        <v>CHBR1A1-017-0014</v>
      </c>
      <c r="D661" s="63">
        <f>VLOOKUP(C661,'RAW DATA 2023'!E:BP,63,0)</f>
        <v>7</v>
      </c>
      <c r="E661" s="63" t="str">
        <f t="shared" si="51"/>
        <v>CHBR17</v>
      </c>
      <c r="F661" s="79">
        <f>ROUND(VLOOKUP(C661,'RAW DATA 2023'!E:BO,23,0),0)</f>
        <v>36</v>
      </c>
      <c r="G661" s="79">
        <f>VLOOKUP(C661,'RAW DATA 2023'!E:BO,24,0)</f>
        <v>102.10716666666666</v>
      </c>
      <c r="H661" s="79">
        <f>IFERROR(VLOOKUP(F661,STD!B:G,2,FALSE),"")</f>
        <v>81</v>
      </c>
      <c r="I661" s="100">
        <f t="shared" si="52"/>
        <v>1.2605823045267488</v>
      </c>
      <c r="J661" s="74">
        <f t="shared" si="53"/>
        <v>22.817469135802465</v>
      </c>
      <c r="K661">
        <f>VLOOKUP(C661,'RAW DATA 2023'!E:BO,12,0)</f>
        <v>0.6</v>
      </c>
      <c r="L661" s="268">
        <f t="shared" si="54"/>
        <v>13.690481481481479</v>
      </c>
    </row>
    <row r="662" spans="1:12">
      <c r="A662" s="64" t="str">
        <f>'RAW DATA 2023'!B655</f>
        <v>CHBR1</v>
      </c>
      <c r="B662" s="64" t="str">
        <f>'RAW DATA 2023'!D655</f>
        <v>A1-012-0040</v>
      </c>
      <c r="C662" s="63" t="str">
        <f t="shared" si="50"/>
        <v>CHBR1A1-012-0040</v>
      </c>
      <c r="D662" s="63">
        <f>VLOOKUP(C662,'RAW DATA 2023'!E:BP,63,0)</f>
        <v>7</v>
      </c>
      <c r="E662" s="63" t="str">
        <f t="shared" si="51"/>
        <v>CHBR17</v>
      </c>
      <c r="F662" s="79">
        <f>ROUND(VLOOKUP(C662,'RAW DATA 2023'!E:BO,23,0),0)</f>
        <v>73</v>
      </c>
      <c r="G662" s="79">
        <f>VLOOKUP(C662,'RAW DATA 2023'!E:BO,24,0)</f>
        <v>69.020333333333326</v>
      </c>
      <c r="H662" s="79">
        <f>IFERROR(VLOOKUP(F662,STD!B:G,2,FALSE),"")</f>
        <v>89</v>
      </c>
      <c r="I662" s="100">
        <f t="shared" si="52"/>
        <v>0.77550936329588005</v>
      </c>
      <c r="J662" s="74">
        <f t="shared" si="53"/>
        <v>8.2652808988764015</v>
      </c>
      <c r="K662">
        <f>VLOOKUP(C662,'RAW DATA 2023'!E:BO,12,0)</f>
        <v>0.6</v>
      </c>
      <c r="L662" s="268">
        <f t="shared" si="54"/>
        <v>4.9591685393258409</v>
      </c>
    </row>
    <row r="663" spans="1:12">
      <c r="A663" s="64" t="str">
        <f>'RAW DATA 2023'!B656</f>
        <v>CHBR1</v>
      </c>
      <c r="B663" s="64" t="str">
        <f>'RAW DATA 2023'!D656</f>
        <v>A1-016-0012</v>
      </c>
      <c r="C663" s="63" t="str">
        <f t="shared" si="50"/>
        <v>CHBR1A1-016-0012</v>
      </c>
      <c r="D663" s="63">
        <f>VLOOKUP(C663,'RAW DATA 2023'!E:BP,63,0)</f>
        <v>2</v>
      </c>
      <c r="E663" s="63" t="str">
        <f t="shared" si="51"/>
        <v>CHBR12</v>
      </c>
      <c r="F663" s="79">
        <f>ROUND(VLOOKUP(C663,'RAW DATA 2023'!E:BO,23,0),0)</f>
        <v>39</v>
      </c>
      <c r="G663" s="79">
        <f>VLOOKUP(C663,'RAW DATA 2023'!E:BO,24,0)</f>
        <v>52.354714285714287</v>
      </c>
      <c r="H663" s="79">
        <f>IFERROR(VLOOKUP(F663,STD!B:G,2,FALSE),"")</f>
        <v>82</v>
      </c>
      <c r="I663" s="100">
        <f t="shared" si="52"/>
        <v>0.63847212543554011</v>
      </c>
      <c r="J663" s="74">
        <f t="shared" si="53"/>
        <v>4.1541637630662027</v>
      </c>
      <c r="K663">
        <f>VLOOKUP(C663,'RAW DATA 2023'!E:BO,12,0)</f>
        <v>0.7</v>
      </c>
      <c r="L663" s="268">
        <f t="shared" si="54"/>
        <v>2.9079146341463415</v>
      </c>
    </row>
    <row r="664" spans="1:12">
      <c r="A664" s="64" t="str">
        <f>'RAW DATA 2023'!B657</f>
        <v>CHBR1</v>
      </c>
      <c r="B664" s="64" t="str">
        <f>'RAW DATA 2023'!D657</f>
        <v>A1-011-0013</v>
      </c>
      <c r="C664" s="63" t="str">
        <f t="shared" si="50"/>
        <v>CHBR1A1-011-0013</v>
      </c>
      <c r="D664" s="63">
        <f>VLOOKUP(C664,'RAW DATA 2023'!E:BP,63,0)</f>
        <v>2</v>
      </c>
      <c r="E664" s="63" t="str">
        <f t="shared" si="51"/>
        <v>CHBR12</v>
      </c>
      <c r="F664" s="79">
        <f>ROUND(VLOOKUP(C664,'RAW DATA 2023'!E:BO,23,0),0)</f>
        <v>42</v>
      </c>
      <c r="G664" s="79">
        <f>VLOOKUP(C664,'RAW DATA 2023'!E:BO,24,0)</f>
        <v>41.438285714285719</v>
      </c>
      <c r="H664" s="79">
        <f>IFERROR(VLOOKUP(F664,STD!B:G,2,FALSE),"")</f>
        <v>82</v>
      </c>
      <c r="I664" s="100">
        <f t="shared" si="52"/>
        <v>0.50534494773519167</v>
      </c>
      <c r="J664" s="74">
        <f t="shared" si="53"/>
        <v>0.16034843205575022</v>
      </c>
      <c r="K664">
        <f>VLOOKUP(C664,'RAW DATA 2023'!E:BO,12,0)</f>
        <v>0.7</v>
      </c>
      <c r="L664" s="268">
        <f t="shared" si="54"/>
        <v>0.11224390243902514</v>
      </c>
    </row>
    <row r="665" spans="1:12">
      <c r="A665" s="64" t="str">
        <f>'RAW DATA 2023'!B658</f>
        <v>CHBR1</v>
      </c>
      <c r="B665" s="64" t="str">
        <f>'RAW DATA 2023'!D658</f>
        <v>A1-015-0018</v>
      </c>
      <c r="C665" s="63" t="str">
        <f t="shared" si="50"/>
        <v>CHBR1A1-015-0018</v>
      </c>
      <c r="D665" s="63">
        <f>VLOOKUP(C665,'RAW DATA 2023'!E:BP,63,0)</f>
        <v>7</v>
      </c>
      <c r="E665" s="63" t="str">
        <f t="shared" si="51"/>
        <v>CHBR17</v>
      </c>
      <c r="F665" s="79">
        <f>ROUND(VLOOKUP(C665,'RAW DATA 2023'!E:BO,23,0),0)</f>
        <v>39</v>
      </c>
      <c r="G665" s="79">
        <f>VLOOKUP(C665,'RAW DATA 2023'!E:BO,24,0)</f>
        <v>112.64383333333335</v>
      </c>
      <c r="H665" s="79">
        <f>IFERROR(VLOOKUP(F665,STD!B:G,2,FALSE),"")</f>
        <v>82</v>
      </c>
      <c r="I665" s="100">
        <f t="shared" si="52"/>
        <v>1.3737052845528457</v>
      </c>
      <c r="J665" s="74">
        <f t="shared" si="53"/>
        <v>26.211158536585369</v>
      </c>
      <c r="K665">
        <f>VLOOKUP(C665,'RAW DATA 2023'!E:BO,12,0)</f>
        <v>0.6</v>
      </c>
      <c r="L665" s="268">
        <f t="shared" si="54"/>
        <v>15.72669512195122</v>
      </c>
    </row>
    <row r="666" spans="1:12">
      <c r="A666" s="64" t="str">
        <f>'RAW DATA 2023'!B659</f>
        <v>CHBR1</v>
      </c>
      <c r="B666" s="64" t="str">
        <f>'RAW DATA 2023'!D659</f>
        <v>A1-018-0012</v>
      </c>
      <c r="C666" s="63" t="str">
        <f t="shared" si="50"/>
        <v>CHBR1A1-018-0012</v>
      </c>
      <c r="D666" s="63">
        <f>VLOOKUP(C666,'RAW DATA 2023'!E:BP,63,0)</f>
        <v>3</v>
      </c>
      <c r="E666" s="63" t="str">
        <f t="shared" si="51"/>
        <v>CHBR13</v>
      </c>
      <c r="F666" s="79">
        <f>ROUND(VLOOKUP(C666,'RAW DATA 2023'!E:BO,23,0),0)</f>
        <v>39</v>
      </c>
      <c r="G666" s="79">
        <f>VLOOKUP(C666,'RAW DATA 2023'!E:BO,24,0)</f>
        <v>71.283375000000007</v>
      </c>
      <c r="H666" s="79">
        <f>IFERROR(VLOOKUP(F666,STD!B:G,2,FALSE),"")</f>
        <v>82</v>
      </c>
      <c r="I666" s="100">
        <f t="shared" si="52"/>
        <v>0.86930945121951231</v>
      </c>
      <c r="J666" s="74">
        <f t="shared" si="53"/>
        <v>11.079283536585368</v>
      </c>
      <c r="K666">
        <f>VLOOKUP(C666,'RAW DATA 2023'!E:BO,12,0)</f>
        <v>0.8</v>
      </c>
      <c r="L666" s="268">
        <f t="shared" si="54"/>
        <v>8.8634268292682954</v>
      </c>
    </row>
    <row r="667" spans="1:12">
      <c r="A667" s="64" t="str">
        <f>'RAW DATA 2023'!B660</f>
        <v>CHBR1</v>
      </c>
      <c r="B667" s="64" t="str">
        <f>'RAW DATA 2023'!D660</f>
        <v>A1-009-0034</v>
      </c>
      <c r="C667" s="63" t="str">
        <f t="shared" si="50"/>
        <v>CHBR1A1-009-0034</v>
      </c>
      <c r="D667" s="63">
        <f>VLOOKUP(C667,'RAW DATA 2023'!E:BP,63,0)</f>
        <v>7</v>
      </c>
      <c r="E667" s="63" t="str">
        <f t="shared" si="51"/>
        <v>CHBR17</v>
      </c>
      <c r="F667" s="79">
        <f>ROUND(VLOOKUP(C667,'RAW DATA 2023'!E:BO,23,0),0)</f>
        <v>112</v>
      </c>
      <c r="G667" s="79">
        <f>VLOOKUP(C667,'RAW DATA 2023'!E:BO,24,0)</f>
        <v>111.2595</v>
      </c>
      <c r="H667" s="79">
        <f>IFERROR(VLOOKUP(F667,STD!B:G,2,FALSE),"")</f>
        <v>92</v>
      </c>
      <c r="I667" s="100">
        <f t="shared" si="52"/>
        <v>1.209342391304348</v>
      </c>
      <c r="J667" s="74">
        <f t="shared" si="53"/>
        <v>21.280271739130438</v>
      </c>
      <c r="K667">
        <f>VLOOKUP(C667,'RAW DATA 2023'!E:BO,12,0)</f>
        <v>0.6</v>
      </c>
      <c r="L667" s="268">
        <f t="shared" si="54"/>
        <v>12.768163043478262</v>
      </c>
    </row>
    <row r="668" spans="1:12">
      <c r="A668" s="64" t="str">
        <f>'RAW DATA 2023'!B661</f>
        <v>CHBR1</v>
      </c>
      <c r="B668" s="64" t="str">
        <f>'RAW DATA 2023'!D661</f>
        <v>A1-019-0004</v>
      </c>
      <c r="C668" s="63" t="str">
        <f t="shared" si="50"/>
        <v>CHBR1A1-019-0004</v>
      </c>
      <c r="D668" s="63">
        <f>VLOOKUP(C668,'RAW DATA 2023'!E:BP,63,0)</f>
        <v>3</v>
      </c>
      <c r="E668" s="63" t="str">
        <f t="shared" si="51"/>
        <v>CHBR13</v>
      </c>
      <c r="F668" s="79">
        <f>ROUND(VLOOKUP(C668,'RAW DATA 2023'!E:BO,23,0),0)</f>
        <v>45</v>
      </c>
      <c r="G668" s="79">
        <f>VLOOKUP(C668,'RAW DATA 2023'!E:BO,24,0)</f>
        <v>70.904375000000002</v>
      </c>
      <c r="H668" s="79">
        <f>IFERROR(VLOOKUP(F668,STD!B:G,2,FALSE),"")</f>
        <v>83</v>
      </c>
      <c r="I668" s="100">
        <f t="shared" si="52"/>
        <v>0.85426957831325301</v>
      </c>
      <c r="J668" s="74">
        <f t="shared" si="53"/>
        <v>10.628087349397591</v>
      </c>
      <c r="K668">
        <f>VLOOKUP(C668,'RAW DATA 2023'!E:BO,12,0)</f>
        <v>0.8</v>
      </c>
      <c r="L668" s="268">
        <f t="shared" si="54"/>
        <v>8.5024698795180722</v>
      </c>
    </row>
    <row r="669" spans="1:12">
      <c r="A669" s="64" t="str">
        <f>'RAW DATA 2023'!B662</f>
        <v>CHBR1</v>
      </c>
      <c r="B669" s="64" t="str">
        <f>'RAW DATA 2023'!D662</f>
        <v>A1-017-0013</v>
      </c>
      <c r="C669" s="63" t="str">
        <f t="shared" si="50"/>
        <v>CHBR1A1-017-0013</v>
      </c>
      <c r="D669" s="63">
        <f>VLOOKUP(C669,'RAW DATA 2023'!E:BP,63,0)</f>
        <v>2</v>
      </c>
      <c r="E669" s="63" t="str">
        <f t="shared" si="51"/>
        <v>CHBR12</v>
      </c>
      <c r="F669" s="79">
        <f>ROUND(VLOOKUP(C669,'RAW DATA 2023'!E:BO,23,0),0)</f>
        <v>47</v>
      </c>
      <c r="G669" s="79">
        <f>VLOOKUP(C669,'RAW DATA 2023'!E:BO,24,0)</f>
        <v>68.807500000000005</v>
      </c>
      <c r="H669" s="79">
        <f>IFERROR(VLOOKUP(F669,STD!B:G,2,FALSE),"")</f>
        <v>84</v>
      </c>
      <c r="I669" s="100">
        <f t="shared" si="52"/>
        <v>0.81913690476190482</v>
      </c>
      <c r="J669" s="74">
        <f t="shared" si="53"/>
        <v>9.5741071428571445</v>
      </c>
      <c r="K669">
        <f>VLOOKUP(C669,'RAW DATA 2023'!E:BO,12,0)</f>
        <v>0.8</v>
      </c>
      <c r="L669" s="268">
        <f t="shared" si="54"/>
        <v>7.6592857142857156</v>
      </c>
    </row>
    <row r="670" spans="1:12">
      <c r="A670" s="64" t="str">
        <f>'RAW DATA 2023'!B663</f>
        <v>CHBR1</v>
      </c>
      <c r="B670" s="64" t="str">
        <f>'RAW DATA 2023'!D663</f>
        <v>A1-015-0017</v>
      </c>
      <c r="C670" s="63" t="str">
        <f t="shared" si="50"/>
        <v>CHBR1A1-015-0017</v>
      </c>
      <c r="D670" s="63">
        <f>VLOOKUP(C670,'RAW DATA 2023'!E:BP,63,0)</f>
        <v>2</v>
      </c>
      <c r="E670" s="63" t="str">
        <f t="shared" si="51"/>
        <v>CHBR12</v>
      </c>
      <c r="F670" s="79">
        <f>ROUND(VLOOKUP(C670,'RAW DATA 2023'!E:BO,23,0),0)</f>
        <v>52</v>
      </c>
      <c r="G670" s="79">
        <f>VLOOKUP(C670,'RAW DATA 2023'!E:BO,24,0)</f>
        <v>55.703625000000002</v>
      </c>
      <c r="H670" s="79">
        <f>IFERROR(VLOOKUP(F670,STD!B:G,2,FALSE),"")</f>
        <v>85</v>
      </c>
      <c r="I670" s="100">
        <f t="shared" si="52"/>
        <v>0.65533676470588242</v>
      </c>
      <c r="J670" s="74">
        <f t="shared" si="53"/>
        <v>4.6601029411764729</v>
      </c>
      <c r="K670">
        <f>VLOOKUP(C670,'RAW DATA 2023'!E:BO,12,0)</f>
        <v>0.8</v>
      </c>
      <c r="L670" s="268">
        <f t="shared" si="54"/>
        <v>3.7280823529411786</v>
      </c>
    </row>
    <row r="671" spans="1:12">
      <c r="A671" s="64" t="str">
        <f>'RAW DATA 2023'!B664</f>
        <v>Tamai2</v>
      </c>
      <c r="B671" s="64" t="str">
        <f>'RAW DATA 2023'!D664</f>
        <v>D1-068-0004</v>
      </c>
      <c r="C671" s="63" t="str">
        <f t="shared" si="50"/>
        <v>Tamai2D1-068-0004</v>
      </c>
      <c r="D671" s="63">
        <f>VLOOKUP(C671,'RAW DATA 2023'!E:BP,63,0)</f>
        <v>7</v>
      </c>
      <c r="E671" s="63" t="str">
        <f t="shared" si="51"/>
        <v>Tamai27</v>
      </c>
      <c r="F671" s="79">
        <f>ROUND(VLOOKUP(C671,'RAW DATA 2023'!E:BO,23,0),0)</f>
        <v>39</v>
      </c>
      <c r="G671" s="79">
        <f>VLOOKUP(C671,'RAW DATA 2023'!E:BO,24,0)</f>
        <v>74.735461538461536</v>
      </c>
      <c r="H671" s="79">
        <f>IFERROR(VLOOKUP(F671,STD!B:G,2,FALSE),"")</f>
        <v>82</v>
      </c>
      <c r="I671" s="100">
        <f t="shared" si="52"/>
        <v>0.91140806754221382</v>
      </c>
      <c r="J671" s="74">
        <f t="shared" si="53"/>
        <v>12.342242026266415</v>
      </c>
      <c r="K671">
        <f>VLOOKUP(C671,'RAW DATA 2023'!E:BO,12,0)</f>
        <v>1.3</v>
      </c>
      <c r="L671" s="268">
        <f t="shared" si="54"/>
        <v>16.044914634146341</v>
      </c>
    </row>
    <row r="672" spans="1:12">
      <c r="A672" s="64" t="str">
        <f>'RAW DATA 2023'!B665</f>
        <v>Tamai2</v>
      </c>
      <c r="B672" s="64" t="str">
        <f>'RAW DATA 2023'!D665</f>
        <v>D1-073-0009</v>
      </c>
      <c r="C672" s="63" t="str">
        <f t="shared" si="50"/>
        <v>Tamai2D1-073-0009</v>
      </c>
      <c r="D672" s="63">
        <f>VLOOKUP(C672,'RAW DATA 2023'!E:BP,63,0)</f>
        <v>5</v>
      </c>
      <c r="E672" s="63" t="str">
        <f t="shared" si="51"/>
        <v>Tamai25</v>
      </c>
      <c r="F672" s="79">
        <f>ROUND(VLOOKUP(C672,'RAW DATA 2023'!E:BO,23,0),0)</f>
        <v>38</v>
      </c>
      <c r="G672" s="79">
        <f>VLOOKUP(C672,'RAW DATA 2023'!E:BO,24,0)</f>
        <v>96.203538461538457</v>
      </c>
      <c r="H672" s="79">
        <f>IFERROR(VLOOKUP(F672,STD!B:G,2,FALSE),"")</f>
        <v>81</v>
      </c>
      <c r="I672" s="100">
        <f t="shared" si="52"/>
        <v>1.1876980056980055</v>
      </c>
      <c r="J672" s="74">
        <f t="shared" si="53"/>
        <v>20.630940170940168</v>
      </c>
      <c r="K672">
        <f>VLOOKUP(C672,'RAW DATA 2023'!E:BO,12,0)</f>
        <v>1.3</v>
      </c>
      <c r="L672" s="268">
        <f t="shared" si="54"/>
        <v>26.82022222222222</v>
      </c>
    </row>
    <row r="673" spans="1:12">
      <c r="A673" s="64" t="str">
        <f>'RAW DATA 2023'!B666</f>
        <v>Tamai2</v>
      </c>
      <c r="B673" s="64" t="str">
        <f>'RAW DATA 2023'!D666</f>
        <v>D1-068-0005</v>
      </c>
      <c r="C673" s="63" t="str">
        <f t="shared" si="50"/>
        <v>Tamai2D1-068-0005</v>
      </c>
      <c r="D673" s="63">
        <f>VLOOKUP(C673,'RAW DATA 2023'!E:BP,63,0)</f>
        <v>12</v>
      </c>
      <c r="E673" s="63" t="str">
        <f t="shared" si="51"/>
        <v>Tamai212</v>
      </c>
      <c r="F673" s="79">
        <f>ROUND(VLOOKUP(C673,'RAW DATA 2023'!E:BO,23,0),0)</f>
        <v>58</v>
      </c>
      <c r="G673" s="79">
        <f>VLOOKUP(C673,'RAW DATA 2023'!E:BO,24,0)</f>
        <v>87.135300000000001</v>
      </c>
      <c r="H673" s="79">
        <f>IFERROR(VLOOKUP(F673,STD!B:G,2,FALSE),"")</f>
        <v>87</v>
      </c>
      <c r="I673" s="100">
        <f t="shared" si="52"/>
        <v>1.0015551724137932</v>
      </c>
      <c r="J673" s="74">
        <f t="shared" si="53"/>
        <v>15.046655172413796</v>
      </c>
      <c r="K673">
        <f>VLOOKUP(C673,'RAW DATA 2023'!E:BO,12,0)</f>
        <v>1</v>
      </c>
      <c r="L673" s="268">
        <f t="shared" si="54"/>
        <v>15.046655172413796</v>
      </c>
    </row>
    <row r="674" spans="1:12">
      <c r="A674" s="64" t="str">
        <f>'RAW DATA 2023'!B667</f>
        <v>Tamai2</v>
      </c>
      <c r="B674" s="64" t="str">
        <f>'RAW DATA 2023'!D667</f>
        <v>D1-039-0028</v>
      </c>
      <c r="C674" s="63" t="str">
        <f t="shared" si="50"/>
        <v>Tamai2D1-039-0028</v>
      </c>
      <c r="D674" s="63">
        <f>VLOOKUP(C674,'RAW DATA 2023'!E:BP,63,0)</f>
        <v>6</v>
      </c>
      <c r="E674" s="63" t="str">
        <f t="shared" si="51"/>
        <v>Tamai26</v>
      </c>
      <c r="F674" s="79">
        <f>ROUND(VLOOKUP(C674,'RAW DATA 2023'!E:BO,23,0),0)</f>
        <v>58</v>
      </c>
      <c r="G674" s="79">
        <f>VLOOKUP(C674,'RAW DATA 2023'!E:BO,24,0)</f>
        <v>83.909923076923079</v>
      </c>
      <c r="H674" s="79">
        <f>IFERROR(VLOOKUP(F674,STD!B:G,2,FALSE),"")</f>
        <v>87</v>
      </c>
      <c r="I674" s="100">
        <f t="shared" si="52"/>
        <v>0.96448187444739175</v>
      </c>
      <c r="J674" s="74">
        <f t="shared" si="53"/>
        <v>13.934456233421752</v>
      </c>
      <c r="K674">
        <f>VLOOKUP(C674,'RAW DATA 2023'!E:BO,12,0)</f>
        <v>1.3</v>
      </c>
      <c r="L674" s="268">
        <f t="shared" si="54"/>
        <v>18.114793103448278</v>
      </c>
    </row>
    <row r="675" spans="1:12">
      <c r="A675" s="64" t="str">
        <f>'RAW DATA 2023'!B668</f>
        <v>Tamai2</v>
      </c>
      <c r="B675" s="64" t="str">
        <f>'RAW DATA 2023'!D668</f>
        <v>C1-058-0011</v>
      </c>
      <c r="C675" s="63" t="str">
        <f t="shared" si="50"/>
        <v>Tamai2C1-058-0011</v>
      </c>
      <c r="D675" s="63">
        <f>VLOOKUP(C675,'RAW DATA 2023'!E:BP,63,0)</f>
        <v>8</v>
      </c>
      <c r="E675" s="63" t="str">
        <f t="shared" si="51"/>
        <v>Tamai28</v>
      </c>
      <c r="F675" s="79">
        <f>ROUND(VLOOKUP(C675,'RAW DATA 2023'!E:BO,23,0),0)</f>
        <v>124</v>
      </c>
      <c r="G675" s="79">
        <f>VLOOKUP(C675,'RAW DATA 2023'!E:BO,24,0)</f>
        <v>95.050166666666669</v>
      </c>
      <c r="H675" s="79">
        <f>IFERROR(VLOOKUP(F675,STD!B:G,2,FALSE),"")</f>
        <v>92</v>
      </c>
      <c r="I675" s="100">
        <f t="shared" si="52"/>
        <v>1.0331539855072465</v>
      </c>
      <c r="J675" s="74">
        <f t="shared" si="53"/>
        <v>15.994619565217395</v>
      </c>
      <c r="K675">
        <f>VLOOKUP(C675,'RAW DATA 2023'!E:BO,12,0)</f>
        <v>0.6</v>
      </c>
      <c r="L675" s="268">
        <f t="shared" si="54"/>
        <v>9.5967717391304372</v>
      </c>
    </row>
    <row r="676" spans="1:12">
      <c r="A676" s="64" t="str">
        <f>'RAW DATA 2023'!B669</f>
        <v>Tamai2</v>
      </c>
      <c r="B676" s="64" t="str">
        <f>'RAW DATA 2023'!D669</f>
        <v>D1-040-0028</v>
      </c>
      <c r="C676" s="63" t="str">
        <f t="shared" si="50"/>
        <v>Tamai2D1-040-0028</v>
      </c>
      <c r="D676" s="63">
        <f>VLOOKUP(C676,'RAW DATA 2023'!E:BP,63,0)</f>
        <v>6</v>
      </c>
      <c r="E676" s="63" t="str">
        <f t="shared" si="51"/>
        <v>Tamai26</v>
      </c>
      <c r="F676" s="79">
        <f>ROUND(VLOOKUP(C676,'RAW DATA 2023'!E:BO,23,0),0)</f>
        <v>67</v>
      </c>
      <c r="G676" s="79">
        <f>VLOOKUP(C676,'RAW DATA 2023'!E:BO,24,0)</f>
        <v>92.810999999999993</v>
      </c>
      <c r="H676" s="79">
        <f>IFERROR(VLOOKUP(F676,STD!B:G,2,FALSE),"")</f>
        <v>88</v>
      </c>
      <c r="I676" s="100">
        <f t="shared" si="52"/>
        <v>1.0546704545454544</v>
      </c>
      <c r="J676" s="74">
        <f t="shared" si="53"/>
        <v>16.64011363636363</v>
      </c>
      <c r="K676">
        <f>VLOOKUP(C676,'RAW DATA 2023'!E:BO,12,0)</f>
        <v>1.4</v>
      </c>
      <c r="L676" s="268">
        <f t="shared" si="54"/>
        <v>23.296159090909079</v>
      </c>
    </row>
    <row r="677" spans="1:12">
      <c r="A677" s="64" t="str">
        <f>'RAW DATA 2023'!B670</f>
        <v>Tamai2</v>
      </c>
      <c r="B677" s="64" t="str">
        <f>'RAW DATA 2023'!D670</f>
        <v>D1-073-0010</v>
      </c>
      <c r="C677" s="63" t="str">
        <f t="shared" si="50"/>
        <v>Tamai2D1-073-0010</v>
      </c>
      <c r="D677" s="63">
        <f>VLOOKUP(C677,'RAW DATA 2023'!E:BP,63,0)</f>
        <v>8</v>
      </c>
      <c r="E677" s="63" t="str">
        <f t="shared" si="51"/>
        <v>Tamai28</v>
      </c>
      <c r="F677" s="79">
        <f>ROUND(VLOOKUP(C677,'RAW DATA 2023'!E:BO,23,0),0)</f>
        <v>119</v>
      </c>
      <c r="G677" s="79">
        <f>VLOOKUP(C677,'RAW DATA 2023'!E:BO,24,0)</f>
        <v>99.59842857142857</v>
      </c>
      <c r="H677" s="79">
        <f>IFERROR(VLOOKUP(F677,STD!B:G,2,FALSE),"")</f>
        <v>92</v>
      </c>
      <c r="I677" s="100">
        <f t="shared" si="52"/>
        <v>1.0825916149068322</v>
      </c>
      <c r="J677" s="74">
        <f t="shared" si="53"/>
        <v>17.477748447204966</v>
      </c>
      <c r="K677">
        <f>VLOOKUP(C677,'RAW DATA 2023'!E:BO,12,0)</f>
        <v>0.7</v>
      </c>
      <c r="L677" s="268">
        <f t="shared" si="54"/>
        <v>12.234423913043475</v>
      </c>
    </row>
    <row r="678" spans="1:12">
      <c r="A678" s="64" t="str">
        <f>'RAW DATA 2023'!B671</f>
        <v>Tamai2</v>
      </c>
      <c r="B678" s="64" t="str">
        <f>'RAW DATA 2023'!D671</f>
        <v>D1-068-0003</v>
      </c>
      <c r="C678" s="63" t="str">
        <f t="shared" si="50"/>
        <v>Tamai2D1-068-0003</v>
      </c>
      <c r="D678" s="63">
        <f>VLOOKUP(C678,'RAW DATA 2023'!E:BP,63,0)</f>
        <v>3</v>
      </c>
      <c r="E678" s="63" t="str">
        <f t="shared" si="51"/>
        <v>Tamai23</v>
      </c>
      <c r="F678" s="79">
        <f>ROUND(VLOOKUP(C678,'RAW DATA 2023'!E:BO,23,0),0)</f>
        <v>0</v>
      </c>
      <c r="G678" s="79">
        <f>VLOOKUP(C678,'RAW DATA 2023'!E:BO,24,0)</f>
        <v>0</v>
      </c>
      <c r="H678" s="79" t="str">
        <f>IFERROR(VLOOKUP(F678,STD!B:G,2,FALSE),"")</f>
        <v/>
      </c>
      <c r="I678" s="100">
        <f t="shared" si="52"/>
        <v>0</v>
      </c>
      <c r="J678" s="74">
        <f t="shared" si="53"/>
        <v>-15</v>
      </c>
      <c r="K678">
        <f>VLOOKUP(C678,'RAW DATA 2023'!E:BO,12,0)</f>
        <v>0.9</v>
      </c>
      <c r="L678" s="268">
        <f t="shared" si="54"/>
        <v>-13.5</v>
      </c>
    </row>
    <row r="679" spans="1:12">
      <c r="A679" s="64" t="str">
        <f>'RAW DATA 2023'!B672</f>
        <v>Tamai2</v>
      </c>
      <c r="B679" s="64" t="str">
        <f>'RAW DATA 2023'!D672</f>
        <v>A1-006-0026</v>
      </c>
      <c r="C679" s="63" t="str">
        <f t="shared" si="50"/>
        <v>Tamai2A1-006-0026</v>
      </c>
      <c r="D679" s="63">
        <f>VLOOKUP(C679,'RAW DATA 2023'!E:BP,63,0)</f>
        <v>6</v>
      </c>
      <c r="E679" s="63" t="str">
        <f t="shared" si="51"/>
        <v>Tamai26</v>
      </c>
      <c r="F679" s="79">
        <f>ROUND(VLOOKUP(C679,'RAW DATA 2023'!E:BO,23,0),0)</f>
        <v>30</v>
      </c>
      <c r="G679" s="79">
        <f>VLOOKUP(C679,'RAW DATA 2023'!E:BO,24,0)</f>
        <v>107.80940000000001</v>
      </c>
      <c r="H679" s="79">
        <f>IFERROR(VLOOKUP(F679,STD!B:G,2,FALSE),"")</f>
        <v>76</v>
      </c>
      <c r="I679" s="100">
        <f t="shared" si="52"/>
        <v>1.4185447368421054</v>
      </c>
      <c r="J679" s="74">
        <f t="shared" si="53"/>
        <v>27.556342105263163</v>
      </c>
      <c r="K679">
        <f>VLOOKUP(C679,'RAW DATA 2023'!E:BO,12,0)</f>
        <v>1</v>
      </c>
      <c r="L679" s="268">
        <f t="shared" si="54"/>
        <v>27.556342105263163</v>
      </c>
    </row>
    <row r="680" spans="1:12">
      <c r="A680" s="64" t="str">
        <f>'RAW DATA 2023'!B673</f>
        <v>Tamai2</v>
      </c>
      <c r="B680" s="64" t="str">
        <f>'RAW DATA 2023'!D673</f>
        <v>E1-027-0035</v>
      </c>
      <c r="C680" s="63" t="str">
        <f t="shared" si="50"/>
        <v>Tamai2E1-027-0035</v>
      </c>
      <c r="D680" s="63">
        <f>VLOOKUP(C680,'RAW DATA 2023'!E:BP,63,0)</f>
        <v>5</v>
      </c>
      <c r="E680" s="63" t="str">
        <f t="shared" si="51"/>
        <v>Tamai25</v>
      </c>
      <c r="F680" s="79">
        <f>ROUND(VLOOKUP(C680,'RAW DATA 2023'!E:BO,23,0),0)</f>
        <v>28</v>
      </c>
      <c r="G680" s="79">
        <f>VLOOKUP(C680,'RAW DATA 2023'!E:BO,24,0)</f>
        <v>98.661360544217686</v>
      </c>
      <c r="H680" s="79">
        <f>IFERROR(VLOOKUP(F680,STD!B:G,2,FALSE),"")</f>
        <v>75</v>
      </c>
      <c r="I680" s="100">
        <f t="shared" si="52"/>
        <v>1.3154848072562357</v>
      </c>
      <c r="J680" s="74">
        <f t="shared" si="53"/>
        <v>24.46454421768707</v>
      </c>
      <c r="K680">
        <f>VLOOKUP(C680,'RAW DATA 2023'!E:BO,12,0)</f>
        <v>0.73499999999999999</v>
      </c>
      <c r="L680" s="268">
        <f t="shared" si="54"/>
        <v>17.981439999999996</v>
      </c>
    </row>
    <row r="681" spans="1:12">
      <c r="A681" s="64" t="str">
        <f>'RAW DATA 2023'!B674</f>
        <v>Tamai2</v>
      </c>
      <c r="B681" s="64" t="str">
        <f>'RAW DATA 2023'!D674</f>
        <v>C1-057-0009</v>
      </c>
      <c r="C681" s="63" t="str">
        <f t="shared" si="50"/>
        <v>Tamai2C1-057-0009</v>
      </c>
      <c r="D681" s="63">
        <f>VLOOKUP(C681,'RAW DATA 2023'!E:BP,63,0)</f>
        <v>4</v>
      </c>
      <c r="E681" s="63" t="str">
        <f t="shared" si="51"/>
        <v>Tamai24</v>
      </c>
      <c r="F681" s="79">
        <f>ROUND(VLOOKUP(C681,'RAW DATA 2023'!E:BO,23,0),0)</f>
        <v>30</v>
      </c>
      <c r="G681" s="79">
        <f>VLOOKUP(C681,'RAW DATA 2023'!E:BO,24,0)</f>
        <v>87.371875000000003</v>
      </c>
      <c r="H681" s="79">
        <f>IFERROR(VLOOKUP(F681,STD!B:G,2,FALSE),"")</f>
        <v>76</v>
      </c>
      <c r="I681" s="100">
        <f t="shared" si="52"/>
        <v>1.1496299342105263</v>
      </c>
      <c r="J681" s="74">
        <f t="shared" si="53"/>
        <v>19.488898026315788</v>
      </c>
      <c r="K681">
        <f>VLOOKUP(C681,'RAW DATA 2023'!E:BO,12,0)</f>
        <v>0.8</v>
      </c>
      <c r="L681" s="268">
        <f t="shared" si="54"/>
        <v>15.591118421052631</v>
      </c>
    </row>
    <row r="682" spans="1:12">
      <c r="A682" s="64" t="str">
        <f>'RAW DATA 2023'!B675</f>
        <v>Tamai2</v>
      </c>
      <c r="B682" s="64" t="str">
        <f>'RAW DATA 2023'!D675</f>
        <v>E1-032-0036</v>
      </c>
      <c r="C682" s="63" t="str">
        <f t="shared" si="50"/>
        <v>Tamai2E1-032-0036</v>
      </c>
      <c r="D682" s="63">
        <f>VLOOKUP(C682,'RAW DATA 2023'!E:BP,63,0)</f>
        <v>3</v>
      </c>
      <c r="E682" s="63" t="str">
        <f t="shared" si="51"/>
        <v>Tamai23</v>
      </c>
      <c r="F682" s="79">
        <f>ROUND(VLOOKUP(C682,'RAW DATA 2023'!E:BO,23,0),0)</f>
        <v>31</v>
      </c>
      <c r="G682" s="79">
        <f>VLOOKUP(C682,'RAW DATA 2023'!E:BO,24,0)</f>
        <v>127.36279999999999</v>
      </c>
      <c r="H682" s="79">
        <f>IFERROR(VLOOKUP(F682,STD!B:G,2,FALSE),"")</f>
        <v>76</v>
      </c>
      <c r="I682" s="100">
        <f t="shared" si="52"/>
        <v>1.6758263157894735</v>
      </c>
      <c r="J682" s="74">
        <f t="shared" si="53"/>
        <v>35.274789473684208</v>
      </c>
      <c r="K682">
        <f>VLOOKUP(C682,'RAW DATA 2023'!E:BO,12,0)</f>
        <v>1</v>
      </c>
      <c r="L682" s="268">
        <f t="shared" si="54"/>
        <v>35.274789473684208</v>
      </c>
    </row>
    <row r="683" spans="1:12">
      <c r="A683" s="64" t="str">
        <f>'RAW DATA 2023'!B676</f>
        <v>Tamai2</v>
      </c>
      <c r="B683" s="64" t="str">
        <f>'RAW DATA 2023'!D676</f>
        <v>C1-057-0011</v>
      </c>
      <c r="C683" s="63" t="str">
        <f t="shared" si="50"/>
        <v>Tamai2C1-057-0011</v>
      </c>
      <c r="D683" s="63">
        <f>VLOOKUP(C683,'RAW DATA 2023'!E:BP,63,0)</f>
        <v>8</v>
      </c>
      <c r="E683" s="63" t="str">
        <f t="shared" si="51"/>
        <v>Tamai28</v>
      </c>
      <c r="F683" s="79">
        <f>ROUND(VLOOKUP(C683,'RAW DATA 2023'!E:BO,23,0),0)</f>
        <v>102</v>
      </c>
      <c r="G683" s="79">
        <f>VLOOKUP(C683,'RAW DATA 2023'!E:BO,24,0)</f>
        <v>73.038499999999999</v>
      </c>
      <c r="H683" s="79">
        <f>IFERROR(VLOOKUP(F683,STD!B:G,2,FALSE),"")</f>
        <v>91</v>
      </c>
      <c r="I683" s="100">
        <f t="shared" si="52"/>
        <v>0.80262087912087909</v>
      </c>
      <c r="J683" s="74">
        <f t="shared" si="53"/>
        <v>9.0786263736263724</v>
      </c>
      <c r="K683">
        <f>VLOOKUP(C683,'RAW DATA 2023'!E:BO,12,0)</f>
        <v>0.6</v>
      </c>
      <c r="L683" s="268">
        <f t="shared" si="54"/>
        <v>5.4471758241758232</v>
      </c>
    </row>
    <row r="684" spans="1:12">
      <c r="A684" s="64" t="str">
        <f>'RAW DATA 2023'!B677</f>
        <v>Tamai2</v>
      </c>
      <c r="B684" s="64" t="str">
        <f>'RAW DATA 2023'!D677</f>
        <v>A1-082-0008</v>
      </c>
      <c r="C684" s="63" t="str">
        <f t="shared" si="50"/>
        <v>Tamai2A1-082-0008</v>
      </c>
      <c r="D684" s="63">
        <f>VLOOKUP(C684,'RAW DATA 2023'!E:BP,63,0)</f>
        <v>5</v>
      </c>
      <c r="E684" s="63" t="str">
        <f t="shared" si="51"/>
        <v>Tamai25</v>
      </c>
      <c r="F684" s="79">
        <f>ROUND(VLOOKUP(C684,'RAW DATA 2023'!E:BO,23,0),0)</f>
        <v>46</v>
      </c>
      <c r="G684" s="79">
        <f>VLOOKUP(C684,'RAW DATA 2023'!E:BO,24,0)</f>
        <v>96.4846</v>
      </c>
      <c r="H684" s="79">
        <f>IFERROR(VLOOKUP(F684,STD!B:G,2,FALSE),"")</f>
        <v>84</v>
      </c>
      <c r="I684" s="100">
        <f t="shared" si="52"/>
        <v>1.1486261904761905</v>
      </c>
      <c r="J684" s="74">
        <f t="shared" si="53"/>
        <v>19.458785714285717</v>
      </c>
      <c r="K684">
        <f>VLOOKUP(C684,'RAW DATA 2023'!E:BO,12,0)</f>
        <v>1</v>
      </c>
      <c r="L684" s="268">
        <f t="shared" si="54"/>
        <v>19.458785714285717</v>
      </c>
    </row>
    <row r="685" spans="1:12">
      <c r="A685" s="64" t="str">
        <f>'RAW DATA 2023'!B678</f>
        <v>Tamai2</v>
      </c>
      <c r="B685" s="64" t="str">
        <f>'RAW DATA 2023'!D678</f>
        <v>E1-032-0037</v>
      </c>
      <c r="C685" s="63" t="str">
        <f t="shared" si="50"/>
        <v>Tamai2E1-032-0037</v>
      </c>
      <c r="D685" s="63">
        <f>VLOOKUP(C685,'RAW DATA 2023'!E:BP,63,0)</f>
        <v>7</v>
      </c>
      <c r="E685" s="63" t="str">
        <f t="shared" si="51"/>
        <v>Tamai27</v>
      </c>
      <c r="F685" s="79">
        <f>ROUND(VLOOKUP(C685,'RAW DATA 2023'!E:BO,23,0),0)</f>
        <v>97</v>
      </c>
      <c r="G685" s="79">
        <f>VLOOKUP(C685,'RAW DATA 2023'!E:BO,24,0)</f>
        <v>91.1268125</v>
      </c>
      <c r="H685" s="79">
        <f>IFERROR(VLOOKUP(F685,STD!B:G,2,FALSE),"")</f>
        <v>91</v>
      </c>
      <c r="I685" s="100">
        <f t="shared" si="52"/>
        <v>1.001393543956044</v>
      </c>
      <c r="J685" s="74">
        <f t="shared" si="53"/>
        <v>15.041806318681319</v>
      </c>
      <c r="K685">
        <f>VLOOKUP(C685,'RAW DATA 2023'!E:BO,12,0)</f>
        <v>3.2</v>
      </c>
      <c r="L685" s="268">
        <f t="shared" si="54"/>
        <v>48.13378021978022</v>
      </c>
    </row>
    <row r="686" spans="1:12">
      <c r="A686" s="64" t="str">
        <f>'RAW DATA 2023'!B679</f>
        <v>Tamai2</v>
      </c>
      <c r="B686" s="64" t="str">
        <f>'RAW DATA 2023'!D679</f>
        <v>C1-058-0010</v>
      </c>
      <c r="C686" s="63" t="str">
        <f t="shared" si="50"/>
        <v>Tamai2C1-058-0010</v>
      </c>
      <c r="D686" s="63">
        <f>VLOOKUP(C686,'RAW DATA 2023'!E:BP,63,0)</f>
        <v>4</v>
      </c>
      <c r="E686" s="63" t="str">
        <f t="shared" si="51"/>
        <v>Tamai24</v>
      </c>
      <c r="F686" s="79">
        <f>ROUND(VLOOKUP(C686,'RAW DATA 2023'!E:BO,23,0),0)</f>
        <v>118</v>
      </c>
      <c r="G686" s="79">
        <f>VLOOKUP(C686,'RAW DATA 2023'!E:BO,24,0)</f>
        <v>86.033857142857144</v>
      </c>
      <c r="H686" s="79">
        <f>IFERROR(VLOOKUP(F686,STD!B:G,2,FALSE),"")</f>
        <v>92</v>
      </c>
      <c r="I686" s="100">
        <f t="shared" si="52"/>
        <v>0.93515062111801239</v>
      </c>
      <c r="J686" s="74">
        <f t="shared" si="53"/>
        <v>13.054518633540372</v>
      </c>
      <c r="K686">
        <f>VLOOKUP(C686,'RAW DATA 2023'!E:BO,12,0)</f>
        <v>0.7</v>
      </c>
      <c r="L686" s="268">
        <f t="shared" si="54"/>
        <v>9.1381630434782597</v>
      </c>
    </row>
    <row r="687" spans="1:12">
      <c r="A687" s="64" t="str">
        <f>'RAW DATA 2023'!B680</f>
        <v>Tamai2</v>
      </c>
      <c r="B687" s="64" t="str">
        <f>'RAW DATA 2023'!D680</f>
        <v>C1-093-0008</v>
      </c>
      <c r="C687" s="63" t="str">
        <f t="shared" si="50"/>
        <v>Tamai2C1-093-0008</v>
      </c>
      <c r="D687" s="63">
        <f>VLOOKUP(C687,'RAW DATA 2023'!E:BP,63,0)</f>
        <v>6</v>
      </c>
      <c r="E687" s="63" t="str">
        <f t="shared" si="51"/>
        <v>Tamai26</v>
      </c>
      <c r="F687" s="79">
        <f>ROUND(VLOOKUP(C687,'RAW DATA 2023'!E:BO,23,0),0)</f>
        <v>107</v>
      </c>
      <c r="G687" s="79">
        <f>VLOOKUP(C687,'RAW DATA 2023'!E:BO,24,0)</f>
        <v>69.147999999999996</v>
      </c>
      <c r="H687" s="79">
        <f>IFERROR(VLOOKUP(F687,STD!B:G,2,FALSE),"")</f>
        <v>91</v>
      </c>
      <c r="I687" s="100">
        <f t="shared" si="52"/>
        <v>0.75986813186813185</v>
      </c>
      <c r="J687" s="74">
        <f t="shared" si="53"/>
        <v>7.7960439560439552</v>
      </c>
      <c r="K687">
        <f>VLOOKUP(C687,'RAW DATA 2023'!E:BO,12,0)</f>
        <v>0.8</v>
      </c>
      <c r="L687" s="268">
        <f t="shared" si="54"/>
        <v>6.2368351648351643</v>
      </c>
    </row>
    <row r="688" spans="1:12">
      <c r="A688" s="64" t="str">
        <f>'RAW DATA 2023'!B681</f>
        <v>Tamai2</v>
      </c>
      <c r="B688" s="64" t="str">
        <f>'RAW DATA 2023'!D681</f>
        <v>C1-057-0010</v>
      </c>
      <c r="C688" s="63" t="str">
        <f t="shared" si="50"/>
        <v>Tamai2C1-057-0010</v>
      </c>
      <c r="D688" s="63">
        <f>VLOOKUP(C688,'RAW DATA 2023'!E:BP,63,0)</f>
        <v>6</v>
      </c>
      <c r="E688" s="63" t="str">
        <f t="shared" si="51"/>
        <v>Tamai26</v>
      </c>
      <c r="F688" s="79">
        <f>ROUND(VLOOKUP(C688,'RAW DATA 2023'!E:BO,23,0),0)</f>
        <v>155</v>
      </c>
      <c r="G688" s="79">
        <f>VLOOKUP(C688,'RAW DATA 2023'!E:BO,24,0)</f>
        <v>87.519874999999999</v>
      </c>
      <c r="H688" s="79">
        <f>IFERROR(VLOOKUP(F688,STD!B:G,2,FALSE),"")</f>
        <v>93</v>
      </c>
      <c r="I688" s="100">
        <f t="shared" si="52"/>
        <v>0.94107392473118279</v>
      </c>
      <c r="J688" s="74">
        <f t="shared" si="53"/>
        <v>13.232217741935484</v>
      </c>
      <c r="K688">
        <f>VLOOKUP(C688,'RAW DATA 2023'!E:BO,12,0)</f>
        <v>0.8</v>
      </c>
      <c r="L688" s="268">
        <f t="shared" si="54"/>
        <v>10.585774193548389</v>
      </c>
    </row>
    <row r="689" spans="1:12">
      <c r="A689" s="64" t="str">
        <f>'RAW DATA 2023'!B682</f>
        <v>Tamai2</v>
      </c>
      <c r="B689" s="64" t="str">
        <f>'RAW DATA 2023'!D682</f>
        <v>A1-006-0027</v>
      </c>
      <c r="C689" s="63" t="str">
        <f t="shared" si="50"/>
        <v>Tamai2A1-006-0027</v>
      </c>
      <c r="D689" s="63">
        <f>VLOOKUP(C689,'RAW DATA 2023'!E:BP,63,0)</f>
        <v>7</v>
      </c>
      <c r="E689" s="63" t="str">
        <f t="shared" si="51"/>
        <v>Tamai27</v>
      </c>
      <c r="F689" s="79">
        <f>ROUND(VLOOKUP(C689,'RAW DATA 2023'!E:BO,23,0),0)</f>
        <v>0</v>
      </c>
      <c r="G689" s="79">
        <f>VLOOKUP(C689,'RAW DATA 2023'!E:BO,24,0)</f>
        <v>0</v>
      </c>
      <c r="H689" s="79" t="str">
        <f>IFERROR(VLOOKUP(F689,STD!B:G,2,FALSE),"")</f>
        <v/>
      </c>
      <c r="I689" s="100">
        <f t="shared" si="52"/>
        <v>0</v>
      </c>
      <c r="J689" s="74">
        <f t="shared" si="53"/>
        <v>-15</v>
      </c>
      <c r="K689">
        <f>VLOOKUP(C689,'RAW DATA 2023'!E:BO,12,0)</f>
        <v>1</v>
      </c>
      <c r="L689" s="268">
        <f t="shared" si="54"/>
        <v>-15</v>
      </c>
    </row>
    <row r="690" spans="1:12">
      <c r="A690" s="64" t="str">
        <f>'RAW DATA 2023'!B683</f>
        <v>Tamai2</v>
      </c>
      <c r="B690" s="64" t="str">
        <f>'RAW DATA 2023'!D683</f>
        <v>A1-032-0033</v>
      </c>
      <c r="C690" s="63" t="str">
        <f t="shared" si="50"/>
        <v>Tamai2A1-032-0033</v>
      </c>
      <c r="D690" s="63">
        <f>VLOOKUP(C690,'RAW DATA 2023'!E:BP,63,0)</f>
        <v>10</v>
      </c>
      <c r="E690" s="63" t="str">
        <f t="shared" si="51"/>
        <v>Tamai210</v>
      </c>
      <c r="F690" s="79">
        <f>ROUND(VLOOKUP(C690,'RAW DATA 2023'!E:BO,23,0),0)</f>
        <v>0</v>
      </c>
      <c r="G690" s="79">
        <f>VLOOKUP(C690,'RAW DATA 2023'!E:BO,24,0)</f>
        <v>0</v>
      </c>
      <c r="H690" s="79" t="str">
        <f>IFERROR(VLOOKUP(F690,STD!B:G,2,FALSE),"")</f>
        <v/>
      </c>
      <c r="I690" s="100">
        <f t="shared" si="52"/>
        <v>0</v>
      </c>
      <c r="J690" s="74">
        <f t="shared" si="53"/>
        <v>-15</v>
      </c>
      <c r="K690">
        <f>VLOOKUP(C690,'RAW DATA 2023'!E:BO,12,0)</f>
        <v>2</v>
      </c>
      <c r="L690" s="268">
        <f t="shared" si="54"/>
        <v>-30</v>
      </c>
    </row>
    <row r="691" spans="1:12">
      <c r="A691" s="64" t="str">
        <f>'RAW DATA 2023'!B684</f>
        <v>Chantaburi3</v>
      </c>
      <c r="B691" s="64" t="str">
        <f>'RAW DATA 2023'!D684</f>
        <v>B1-023-0029</v>
      </c>
      <c r="C691" s="63" t="str">
        <f t="shared" si="50"/>
        <v>Chantaburi3B1-023-0029</v>
      </c>
      <c r="D691" s="63">
        <f>VLOOKUP(C691,'RAW DATA 2023'!E:BP,63,0)</f>
        <v>8</v>
      </c>
      <c r="E691" s="63" t="str">
        <f t="shared" si="51"/>
        <v>Chantaburi38</v>
      </c>
      <c r="F691" s="79">
        <f>ROUND(VLOOKUP(C691,'RAW DATA 2023'!E:BO,23,0),0)</f>
        <v>46</v>
      </c>
      <c r="G691" s="79">
        <f>VLOOKUP(C691,'RAW DATA 2023'!E:BO,24,0)</f>
        <v>99.085571428571427</v>
      </c>
      <c r="H691" s="79">
        <f>IFERROR(VLOOKUP(F691,STD!B:G,2,FALSE),"")</f>
        <v>84</v>
      </c>
      <c r="I691" s="100">
        <f t="shared" si="52"/>
        <v>1.1795901360544216</v>
      </c>
      <c r="J691" s="74">
        <f t="shared" si="53"/>
        <v>20.387704081632648</v>
      </c>
      <c r="K691">
        <f>VLOOKUP(C691,'RAW DATA 2023'!E:BO,12,0)</f>
        <v>0.7</v>
      </c>
      <c r="L691" s="268">
        <f t="shared" si="54"/>
        <v>14.271392857142853</v>
      </c>
    </row>
    <row r="692" spans="1:12">
      <c r="A692" s="64" t="str">
        <f>'RAW DATA 2023'!B685</f>
        <v>Chantaburi3</v>
      </c>
      <c r="B692" s="64" t="str">
        <f>'RAW DATA 2023'!D685</f>
        <v>A1-008-0045</v>
      </c>
      <c r="C692" s="63" t="str">
        <f t="shared" si="50"/>
        <v>Chantaburi3A1-008-0045</v>
      </c>
      <c r="D692" s="63">
        <f>VLOOKUP(C692,'RAW DATA 2023'!E:BP,63,0)</f>
        <v>11</v>
      </c>
      <c r="E692" s="63" t="str">
        <f t="shared" si="51"/>
        <v>Chantaburi311</v>
      </c>
      <c r="F692" s="79">
        <f>ROUND(VLOOKUP(C692,'RAW DATA 2023'!E:BO,23,0),0)</f>
        <v>64</v>
      </c>
      <c r="G692" s="79">
        <f>VLOOKUP(C692,'RAW DATA 2023'!E:BO,24,0)</f>
        <v>75.180300000000003</v>
      </c>
      <c r="H692" s="79">
        <f>IFERROR(VLOOKUP(F692,STD!B:G,2,FALSE),"")</f>
        <v>88</v>
      </c>
      <c r="I692" s="100">
        <f t="shared" si="52"/>
        <v>0.85432159090909099</v>
      </c>
      <c r="J692" s="74">
        <f t="shared" si="53"/>
        <v>10.629647727272729</v>
      </c>
      <c r="K692">
        <f>VLOOKUP(C692,'RAW DATA 2023'!E:BO,12,0)</f>
        <v>2</v>
      </c>
      <c r="L692" s="268">
        <f t="shared" si="54"/>
        <v>21.259295454545459</v>
      </c>
    </row>
    <row r="693" spans="1:12">
      <c r="A693" s="64" t="str">
        <f>'RAW DATA 2023'!B686</f>
        <v>Chantaburi3</v>
      </c>
      <c r="B693" s="64" t="str">
        <f>'RAW DATA 2023'!D686</f>
        <v>B1-024-0042</v>
      </c>
      <c r="C693" s="63" t="str">
        <f t="shared" si="50"/>
        <v>Chantaburi3B1-024-0042</v>
      </c>
      <c r="D693" s="63">
        <f>VLOOKUP(C693,'RAW DATA 2023'!E:BP,63,0)</f>
        <v>7</v>
      </c>
      <c r="E693" s="63" t="str">
        <f t="shared" si="51"/>
        <v>Chantaburi37</v>
      </c>
      <c r="F693" s="79">
        <f>ROUND(VLOOKUP(C693,'RAW DATA 2023'!E:BO,23,0),0)</f>
        <v>36</v>
      </c>
      <c r="G693" s="79">
        <f>VLOOKUP(C693,'RAW DATA 2023'!E:BO,24,0)</f>
        <v>106.82149999999999</v>
      </c>
      <c r="H693" s="79">
        <f>IFERROR(VLOOKUP(F693,STD!B:G,2,FALSE),"")</f>
        <v>81</v>
      </c>
      <c r="I693" s="100">
        <f t="shared" si="52"/>
        <v>1.3187839506172838</v>
      </c>
      <c r="J693" s="74">
        <f t="shared" si="53"/>
        <v>24.563518518518514</v>
      </c>
      <c r="K693">
        <f>VLOOKUP(C693,'RAW DATA 2023'!E:BO,12,0)</f>
        <v>1</v>
      </c>
      <c r="L693" s="268">
        <f t="shared" si="54"/>
        <v>24.563518518518514</v>
      </c>
    </row>
    <row r="694" spans="1:12">
      <c r="A694" s="64" t="str">
        <f>'RAW DATA 2023'!B687</f>
        <v>Chantaburi3</v>
      </c>
      <c r="B694" s="64" t="str">
        <f>'RAW DATA 2023'!D687</f>
        <v>A1-011-0043</v>
      </c>
      <c r="C694" s="63" t="str">
        <f t="shared" si="50"/>
        <v>Chantaburi3A1-011-0043</v>
      </c>
      <c r="D694" s="63">
        <f>VLOOKUP(C694,'RAW DATA 2023'!E:BP,63,0)</f>
        <v>4</v>
      </c>
      <c r="E694" s="63" t="str">
        <f t="shared" si="51"/>
        <v>Chantaburi34</v>
      </c>
      <c r="F694" s="79">
        <f>ROUND(VLOOKUP(C694,'RAW DATA 2023'!E:BO,23,0),0)</f>
        <v>51</v>
      </c>
      <c r="G694" s="79">
        <f>VLOOKUP(C694,'RAW DATA 2023'!E:BO,24,0)</f>
        <v>82.536200000000008</v>
      </c>
      <c r="H694" s="79">
        <f>IFERROR(VLOOKUP(F694,STD!B:G,2,FALSE),"")</f>
        <v>85</v>
      </c>
      <c r="I694" s="100">
        <f t="shared" si="52"/>
        <v>0.97101411764705892</v>
      </c>
      <c r="J694" s="74">
        <f t="shared" si="53"/>
        <v>14.130423529411768</v>
      </c>
      <c r="K694">
        <f>VLOOKUP(C694,'RAW DATA 2023'!E:BO,12,0)</f>
        <v>1.5</v>
      </c>
      <c r="L694" s="268">
        <f t="shared" si="54"/>
        <v>21.19563529411765</v>
      </c>
    </row>
    <row r="695" spans="1:12">
      <c r="A695" s="64" t="str">
        <f>'RAW DATA 2023'!B688</f>
        <v>Chantaburi3</v>
      </c>
      <c r="B695" s="64" t="str">
        <f>'RAW DATA 2023'!D688</f>
        <v>B1-023-0027</v>
      </c>
      <c r="C695" s="63" t="str">
        <f t="shared" si="50"/>
        <v>Chantaburi3B1-023-0027</v>
      </c>
      <c r="D695" s="63">
        <f>VLOOKUP(C695,'RAW DATA 2023'!E:BP,63,0)</f>
        <v>3</v>
      </c>
      <c r="E695" s="63" t="str">
        <f t="shared" si="51"/>
        <v>Chantaburi33</v>
      </c>
      <c r="F695" s="79">
        <f>ROUND(VLOOKUP(C695,'RAW DATA 2023'!E:BO,23,0),0)</f>
        <v>52</v>
      </c>
      <c r="G695" s="79">
        <f>VLOOKUP(C695,'RAW DATA 2023'!E:BO,24,0)</f>
        <v>117.05754545454545</v>
      </c>
      <c r="H695" s="79">
        <f>IFERROR(VLOOKUP(F695,STD!B:G,2,FALSE),"")</f>
        <v>85</v>
      </c>
      <c r="I695" s="100">
        <f t="shared" si="52"/>
        <v>1.3771475935828876</v>
      </c>
      <c r="J695" s="74">
        <f t="shared" si="53"/>
        <v>26.314427807486631</v>
      </c>
      <c r="K695">
        <f>VLOOKUP(C695,'RAW DATA 2023'!E:BO,12,0)</f>
        <v>1.1000000000000001</v>
      </c>
      <c r="L695" s="268">
        <f t="shared" si="54"/>
        <v>28.945870588235294</v>
      </c>
    </row>
    <row r="696" spans="1:12">
      <c r="A696" s="64" t="str">
        <f>'RAW DATA 2023'!B689</f>
        <v>Chantaburi3</v>
      </c>
      <c r="B696" s="64" t="str">
        <f>'RAW DATA 2023'!D689</f>
        <v>A1-009-0042</v>
      </c>
      <c r="C696" s="63" t="str">
        <f t="shared" si="50"/>
        <v>Chantaburi3A1-009-0042</v>
      </c>
      <c r="D696" s="63">
        <f>VLOOKUP(C696,'RAW DATA 2023'!E:BP,63,0)</f>
        <v>5</v>
      </c>
      <c r="E696" s="63" t="str">
        <f t="shared" si="51"/>
        <v>Chantaburi35</v>
      </c>
      <c r="F696" s="79">
        <f>ROUND(VLOOKUP(C696,'RAW DATA 2023'!E:BO,23,0),0)</f>
        <v>54</v>
      </c>
      <c r="G696" s="79">
        <f>VLOOKUP(C696,'RAW DATA 2023'!E:BO,24,0)</f>
        <v>98.193562499999999</v>
      </c>
      <c r="H696" s="79">
        <f>IFERROR(VLOOKUP(F696,STD!B:G,2,FALSE),"")</f>
        <v>86</v>
      </c>
      <c r="I696" s="100">
        <f t="shared" si="52"/>
        <v>1.1417856104651163</v>
      </c>
      <c r="J696" s="74">
        <f t="shared" si="53"/>
        <v>19.253568313953487</v>
      </c>
      <c r="K696">
        <f>VLOOKUP(C696,'RAW DATA 2023'!E:BO,12,0)</f>
        <v>1.6</v>
      </c>
      <c r="L696" s="268">
        <f t="shared" si="54"/>
        <v>30.805709302325582</v>
      </c>
    </row>
    <row r="697" spans="1:12">
      <c r="A697" s="64" t="str">
        <f>'RAW DATA 2023'!B690</f>
        <v>Chantaburi3</v>
      </c>
      <c r="B697" s="64" t="str">
        <f>'RAW DATA 2023'!D690</f>
        <v>A1-010-0047</v>
      </c>
      <c r="C697" s="63" t="str">
        <f t="shared" si="50"/>
        <v>Chantaburi3A1-010-0047</v>
      </c>
      <c r="D697" s="63">
        <f>VLOOKUP(C697,'RAW DATA 2023'!E:BP,63,0)</f>
        <v>7</v>
      </c>
      <c r="E697" s="63" t="str">
        <f t="shared" si="51"/>
        <v>Chantaburi37</v>
      </c>
      <c r="F697" s="79">
        <f>ROUND(VLOOKUP(C697,'RAW DATA 2023'!E:BO,23,0),0)</f>
        <v>75</v>
      </c>
      <c r="G697" s="79">
        <f>VLOOKUP(C697,'RAW DATA 2023'!E:BO,24,0)</f>
        <v>82.708923076923085</v>
      </c>
      <c r="H697" s="79">
        <f>IFERROR(VLOOKUP(F697,STD!B:G,2,FALSE),"")</f>
        <v>89</v>
      </c>
      <c r="I697" s="100">
        <f t="shared" si="52"/>
        <v>0.929313742437338</v>
      </c>
      <c r="J697" s="74">
        <f t="shared" si="53"/>
        <v>12.87941227312014</v>
      </c>
      <c r="K697">
        <f>VLOOKUP(C697,'RAW DATA 2023'!E:BO,12,0)</f>
        <v>1.3</v>
      </c>
      <c r="L697" s="268">
        <f t="shared" si="54"/>
        <v>16.743235955056182</v>
      </c>
    </row>
    <row r="698" spans="1:12">
      <c r="A698" s="64" t="str">
        <f>'RAW DATA 2023'!B691</f>
        <v>Chantaburi3</v>
      </c>
      <c r="B698" s="64" t="str">
        <f>'RAW DATA 2023'!D691</f>
        <v>A1-011-0044</v>
      </c>
      <c r="C698" s="63" t="str">
        <f t="shared" si="50"/>
        <v>Chantaburi3A1-011-0044</v>
      </c>
      <c r="D698" s="63">
        <f>VLOOKUP(C698,'RAW DATA 2023'!E:BP,63,0)</f>
        <v>7</v>
      </c>
      <c r="E698" s="63" t="str">
        <f t="shared" si="51"/>
        <v>Chantaburi37</v>
      </c>
      <c r="F698" s="79">
        <f>ROUND(VLOOKUP(C698,'RAW DATA 2023'!E:BO,23,0),0)</f>
        <v>90</v>
      </c>
      <c r="G698" s="79">
        <f>VLOOKUP(C698,'RAW DATA 2023'!E:BO,24,0)</f>
        <v>89.990923076923082</v>
      </c>
      <c r="H698" s="79">
        <f>IFERROR(VLOOKUP(F698,STD!B:G,2,FALSE),"")</f>
        <v>90</v>
      </c>
      <c r="I698" s="100">
        <f t="shared" si="52"/>
        <v>0.99989914529914536</v>
      </c>
      <c r="J698" s="74">
        <f t="shared" si="53"/>
        <v>14.996974358974361</v>
      </c>
      <c r="K698">
        <f>VLOOKUP(C698,'RAW DATA 2023'!E:BO,12,0)</f>
        <v>1.3</v>
      </c>
      <c r="L698" s="268">
        <f t="shared" si="54"/>
        <v>19.496066666666671</v>
      </c>
    </row>
    <row r="699" spans="1:12">
      <c r="A699" s="64" t="str">
        <f>'RAW DATA 2023'!B692</f>
        <v>Chantaburi3</v>
      </c>
      <c r="B699" s="64" t="str">
        <f>'RAW DATA 2023'!D692</f>
        <v>B1-024-0041</v>
      </c>
      <c r="C699" s="63" t="str">
        <f t="shared" si="50"/>
        <v>Chantaburi3B1-024-0041</v>
      </c>
      <c r="D699" s="63">
        <f>VLOOKUP(C699,'RAW DATA 2023'!E:BP,63,0)</f>
        <v>2</v>
      </c>
      <c r="E699" s="63" t="str">
        <f t="shared" si="51"/>
        <v>Chantaburi32</v>
      </c>
      <c r="F699" s="79">
        <f>ROUND(VLOOKUP(C699,'RAW DATA 2023'!E:BO,23,0),0)</f>
        <v>98</v>
      </c>
      <c r="G699" s="79">
        <f>VLOOKUP(C699,'RAW DATA 2023'!E:BO,24,0)</f>
        <v>99.400333333333336</v>
      </c>
      <c r="H699" s="79">
        <f>IFERROR(VLOOKUP(F699,STD!B:G,2,FALSE),"")</f>
        <v>91</v>
      </c>
      <c r="I699" s="100">
        <f t="shared" si="52"/>
        <v>1.0923113553113553</v>
      </c>
      <c r="J699" s="74">
        <f t="shared" si="53"/>
        <v>17.769340659340656</v>
      </c>
      <c r="K699">
        <f>VLOOKUP(C699,'RAW DATA 2023'!E:BO,12,0)</f>
        <v>0.9</v>
      </c>
      <c r="L699" s="268">
        <f t="shared" si="54"/>
        <v>15.99240659340659</v>
      </c>
    </row>
    <row r="700" spans="1:12">
      <c r="A700" s="64" t="str">
        <f>'RAW DATA 2023'!B693</f>
        <v>Chantaburi3</v>
      </c>
      <c r="B700" s="64" t="str">
        <f>'RAW DATA 2023'!D693</f>
        <v>A1-009-0043</v>
      </c>
      <c r="C700" s="63" t="str">
        <f t="shared" si="50"/>
        <v>Chantaburi3A1-009-0043</v>
      </c>
      <c r="D700" s="63">
        <f>VLOOKUP(C700,'RAW DATA 2023'!E:BP,63,0)</f>
        <v>7</v>
      </c>
      <c r="E700" s="63" t="str">
        <f t="shared" si="51"/>
        <v>Chantaburi37</v>
      </c>
      <c r="F700" s="79">
        <f>ROUND(VLOOKUP(C700,'RAW DATA 2023'!E:BO,23,0),0)</f>
        <v>120</v>
      </c>
      <c r="G700" s="79">
        <f>VLOOKUP(C700,'RAW DATA 2023'!E:BO,24,0)</f>
        <v>107.077</v>
      </c>
      <c r="H700" s="79">
        <f>IFERROR(VLOOKUP(F700,STD!B:G,2,FALSE),"")</f>
        <v>92</v>
      </c>
      <c r="I700" s="100">
        <f t="shared" si="52"/>
        <v>1.1638804347826086</v>
      </c>
      <c r="J700" s="74">
        <f t="shared" si="53"/>
        <v>19.916413043478258</v>
      </c>
      <c r="K700">
        <f>VLOOKUP(C700,'RAW DATA 2023'!E:BO,12,0)</f>
        <v>1.1000000000000001</v>
      </c>
      <c r="L700" s="268">
        <f t="shared" si="54"/>
        <v>21.908054347826084</v>
      </c>
    </row>
    <row r="701" spans="1:12">
      <c r="A701" s="64" t="str">
        <f>'RAW DATA 2023'!B694</f>
        <v>Chantaburi3</v>
      </c>
      <c r="B701" s="64" t="str">
        <f>'RAW DATA 2023'!D694</f>
        <v>A1-010-0046</v>
      </c>
      <c r="C701" s="63" t="str">
        <f t="shared" si="50"/>
        <v>Chantaburi3A1-010-0046</v>
      </c>
      <c r="D701" s="63">
        <f>VLOOKUP(C701,'RAW DATA 2023'!E:BP,63,0)</f>
        <v>4</v>
      </c>
      <c r="E701" s="63" t="str">
        <f t="shared" si="51"/>
        <v>Chantaburi34</v>
      </c>
      <c r="F701" s="79">
        <f>ROUND(VLOOKUP(C701,'RAW DATA 2023'!E:BO,23,0),0)</f>
        <v>71</v>
      </c>
      <c r="G701" s="79">
        <f>VLOOKUP(C701,'RAW DATA 2023'!E:BO,24,0)</f>
        <v>79.400866666666673</v>
      </c>
      <c r="H701" s="79">
        <f>IFERROR(VLOOKUP(F701,STD!B:G,2,FALSE),"")</f>
        <v>88</v>
      </c>
      <c r="I701" s="100">
        <f t="shared" si="52"/>
        <v>0.90228257575757587</v>
      </c>
      <c r="J701" s="74">
        <f t="shared" si="53"/>
        <v>12.068477272727275</v>
      </c>
      <c r="K701">
        <f>VLOOKUP(C701,'RAW DATA 2023'!E:BO,12,0)</f>
        <v>1.5</v>
      </c>
      <c r="L701" s="268">
        <f t="shared" si="54"/>
        <v>18.102715909090911</v>
      </c>
    </row>
    <row r="702" spans="1:12">
      <c r="A702" s="64" t="str">
        <f>'RAW DATA 2023'!B695</f>
        <v>Chantaburi3</v>
      </c>
      <c r="B702" s="64" t="str">
        <f>'RAW DATA 2023'!D695</f>
        <v>B1-023-0028</v>
      </c>
      <c r="C702" s="63" t="str">
        <f t="shared" si="50"/>
        <v>Chantaburi3B1-023-0028</v>
      </c>
      <c r="D702" s="63">
        <f>VLOOKUP(C702,'RAW DATA 2023'!E:BP,63,0)</f>
        <v>5</v>
      </c>
      <c r="E702" s="63" t="str">
        <f t="shared" si="51"/>
        <v>Chantaburi35</v>
      </c>
      <c r="F702" s="79">
        <f>ROUND(VLOOKUP(C702,'RAW DATA 2023'!E:BO,23,0),0)</f>
        <v>0</v>
      </c>
      <c r="G702" s="79">
        <f>VLOOKUP(C702,'RAW DATA 2023'!E:BO,24,0)</f>
        <v>0</v>
      </c>
      <c r="H702" s="79" t="str">
        <f>IFERROR(VLOOKUP(F702,STD!B:G,2,FALSE),"")</f>
        <v/>
      </c>
      <c r="I702" s="100">
        <f t="shared" si="52"/>
        <v>0</v>
      </c>
      <c r="J702" s="74">
        <f t="shared" si="53"/>
        <v>-15</v>
      </c>
      <c r="K702">
        <f>VLOOKUP(C702,'RAW DATA 2023'!E:BO,12,0)</f>
        <v>1.2</v>
      </c>
      <c r="L702" s="268">
        <f t="shared" si="54"/>
        <v>-18</v>
      </c>
    </row>
    <row r="703" spans="1:12">
      <c r="A703" s="64" t="str">
        <f>'RAW DATA 2023'!B696</f>
        <v>Lucky3</v>
      </c>
      <c r="B703" s="64" t="str">
        <f>'RAW DATA 2023'!D696</f>
        <v>B1-025-0010</v>
      </c>
      <c r="C703" s="63" t="str">
        <f t="shared" si="50"/>
        <v>Lucky3B1-025-0010</v>
      </c>
      <c r="D703" s="63">
        <f>VLOOKUP(C703,'RAW DATA 2023'!E:BP,63,0)</f>
        <v>5</v>
      </c>
      <c r="E703" s="63" t="str">
        <f t="shared" si="51"/>
        <v>Lucky35</v>
      </c>
      <c r="F703" s="79">
        <f>ROUND(VLOOKUP(C703,'RAW DATA 2023'!E:BO,23,0),0)</f>
        <v>31</v>
      </c>
      <c r="G703" s="79">
        <f>VLOOKUP(C703,'RAW DATA 2023'!E:BO,24,0)</f>
        <v>59.333571428571432</v>
      </c>
      <c r="H703" s="79">
        <f>IFERROR(VLOOKUP(F703,STD!B:G,2,FALSE),"")</f>
        <v>76</v>
      </c>
      <c r="I703" s="100">
        <f t="shared" si="52"/>
        <v>0.78070488721804521</v>
      </c>
      <c r="J703" s="74">
        <f t="shared" si="53"/>
        <v>8.4211466165413569</v>
      </c>
      <c r="K703">
        <f>VLOOKUP(C703,'RAW DATA 2023'!E:BO,12,0)</f>
        <v>0.7</v>
      </c>
      <c r="L703" s="268">
        <f t="shared" si="54"/>
        <v>5.8948026315789495</v>
      </c>
    </row>
    <row r="704" spans="1:12">
      <c r="A704" s="64" t="str">
        <f>'RAW DATA 2023'!B697</f>
        <v>Lucky3</v>
      </c>
      <c r="B704" s="64" t="str">
        <f>'RAW DATA 2023'!D697</f>
        <v>B1-024-0009</v>
      </c>
      <c r="C704" s="63" t="str">
        <f t="shared" si="50"/>
        <v>Lucky3B1-024-0009</v>
      </c>
      <c r="D704" s="63">
        <f>VLOOKUP(C704,'RAW DATA 2023'!E:BP,63,0)</f>
        <v>5</v>
      </c>
      <c r="E704" s="63" t="str">
        <f t="shared" si="51"/>
        <v>Lucky35</v>
      </c>
      <c r="F704" s="79">
        <f>ROUND(VLOOKUP(C704,'RAW DATA 2023'!E:BO,23,0),0)</f>
        <v>33</v>
      </c>
      <c r="G704" s="79">
        <f>VLOOKUP(C704,'RAW DATA 2023'!E:BO,24,0)</f>
        <v>60.566714285714284</v>
      </c>
      <c r="H704" s="79">
        <f>IFERROR(VLOOKUP(F704,STD!B:G,2,FALSE),"")</f>
        <v>79</v>
      </c>
      <c r="I704" s="100">
        <f t="shared" si="52"/>
        <v>0.76666726943942132</v>
      </c>
      <c r="J704" s="74">
        <f t="shared" si="53"/>
        <v>8.0000180831826402</v>
      </c>
      <c r="K704">
        <f>VLOOKUP(C704,'RAW DATA 2023'!E:BO,12,0)</f>
        <v>0.7</v>
      </c>
      <c r="L704" s="268">
        <f t="shared" si="54"/>
        <v>5.6000126582278478</v>
      </c>
    </row>
    <row r="705" spans="1:12">
      <c r="A705" s="64" t="str">
        <f>'RAW DATA 2023'!B698</f>
        <v>Lucky3</v>
      </c>
      <c r="B705" s="64" t="str">
        <f>'RAW DATA 2023'!D698</f>
        <v>B1-011-0028</v>
      </c>
      <c r="C705" s="63" t="str">
        <f t="shared" si="50"/>
        <v>Lucky3B1-011-0028</v>
      </c>
      <c r="D705" s="63">
        <f>VLOOKUP(C705,'RAW DATA 2023'!E:BP,63,0)</f>
        <v>6</v>
      </c>
      <c r="E705" s="63" t="str">
        <f t="shared" si="51"/>
        <v>Lucky36</v>
      </c>
      <c r="F705" s="79">
        <f>ROUND(VLOOKUP(C705,'RAW DATA 2023'!E:BO,23,0),0)</f>
        <v>49</v>
      </c>
      <c r="G705" s="79">
        <f>VLOOKUP(C705,'RAW DATA 2023'!E:BO,24,0)</f>
        <v>44.804450000000003</v>
      </c>
      <c r="H705" s="79">
        <f>IFERROR(VLOOKUP(F705,STD!B:G,2,FALSE),"")</f>
        <v>84</v>
      </c>
      <c r="I705" s="100">
        <f t="shared" si="52"/>
        <v>0.53338630952380961</v>
      </c>
      <c r="J705" s="74">
        <f t="shared" si="53"/>
        <v>1.0015892857142883</v>
      </c>
      <c r="K705">
        <f>VLOOKUP(C705,'RAW DATA 2023'!E:BO,12,0)</f>
        <v>2</v>
      </c>
      <c r="L705" s="268">
        <f t="shared" si="54"/>
        <v>2.0031785714285766</v>
      </c>
    </row>
    <row r="706" spans="1:12">
      <c r="A706" s="64" t="str">
        <f>'RAW DATA 2023'!B699</f>
        <v>Lucky3</v>
      </c>
      <c r="B706" s="64" t="str">
        <f>'RAW DATA 2023'!D699</f>
        <v>B1-023-0012</v>
      </c>
      <c r="C706" s="63" t="str">
        <f t="shared" si="50"/>
        <v>Lucky3B1-023-0012</v>
      </c>
      <c r="D706" s="63">
        <f>VLOOKUP(C706,'RAW DATA 2023'!E:BP,63,0)</f>
        <v>5</v>
      </c>
      <c r="E706" s="63" t="str">
        <f t="shared" si="51"/>
        <v>Lucky35</v>
      </c>
      <c r="F706" s="79">
        <f>ROUND(VLOOKUP(C706,'RAW DATA 2023'!E:BO,23,0),0)</f>
        <v>82</v>
      </c>
      <c r="G706" s="79">
        <f>VLOOKUP(C706,'RAW DATA 2023'!E:BO,24,0)</f>
        <v>48.685375000000001</v>
      </c>
      <c r="H706" s="79">
        <f>IFERROR(VLOOKUP(F706,STD!B:G,2,FALSE),"")</f>
        <v>89</v>
      </c>
      <c r="I706" s="100">
        <f t="shared" si="52"/>
        <v>0.54702668539325838</v>
      </c>
      <c r="J706" s="74">
        <f t="shared" si="53"/>
        <v>1.4108005617977515</v>
      </c>
      <c r="K706">
        <f>VLOOKUP(C706,'RAW DATA 2023'!E:BO,12,0)</f>
        <v>0.8</v>
      </c>
      <c r="L706" s="268">
        <f t="shared" si="54"/>
        <v>1.1286404494382012</v>
      </c>
    </row>
    <row r="707" spans="1:12">
      <c r="A707" s="64" t="str">
        <f>'RAW DATA 2023'!B700</f>
        <v>Lucky3</v>
      </c>
      <c r="B707" s="64" t="str">
        <f>'RAW DATA 2023'!D700</f>
        <v>B1-011-0027</v>
      </c>
      <c r="C707" s="63" t="str">
        <f t="shared" si="50"/>
        <v>Lucky3B1-011-0027</v>
      </c>
      <c r="D707" s="63">
        <f>VLOOKUP(C707,'RAW DATA 2023'!E:BP,63,0)</f>
        <v>3</v>
      </c>
      <c r="E707" s="63" t="str">
        <f t="shared" si="51"/>
        <v>Lucky33</v>
      </c>
      <c r="F707" s="79">
        <f>ROUND(VLOOKUP(C707,'RAW DATA 2023'!E:BO,23,0),0)</f>
        <v>29</v>
      </c>
      <c r="G707" s="79">
        <f>VLOOKUP(C707,'RAW DATA 2023'!E:BO,24,0)</f>
        <v>80.903400000000005</v>
      </c>
      <c r="H707" s="79">
        <f>IFERROR(VLOOKUP(F707,STD!B:G,2,FALSE),"")</f>
        <v>76</v>
      </c>
      <c r="I707" s="100">
        <f t="shared" si="52"/>
        <v>1.0645184210526317</v>
      </c>
      <c r="J707" s="74">
        <f t="shared" si="53"/>
        <v>16.93555263157895</v>
      </c>
      <c r="K707">
        <f>VLOOKUP(C707,'RAW DATA 2023'!E:BO,12,0)</f>
        <v>1</v>
      </c>
      <c r="L707" s="268">
        <f t="shared" si="54"/>
        <v>16.93555263157895</v>
      </c>
    </row>
    <row r="708" spans="1:12">
      <c r="A708" s="64" t="str">
        <f>'RAW DATA 2023'!B701</f>
        <v>Lucky3</v>
      </c>
      <c r="B708" s="64" t="str">
        <f>'RAW DATA 2023'!D701</f>
        <v>BG-027-0011</v>
      </c>
      <c r="C708" s="63" t="str">
        <f t="shared" si="50"/>
        <v>Lucky3BG-027-0011</v>
      </c>
      <c r="D708" s="63">
        <f>VLOOKUP(C708,'RAW DATA 2023'!E:BP,63,0)</f>
        <v>5</v>
      </c>
      <c r="E708" s="63" t="str">
        <f t="shared" si="51"/>
        <v>Lucky35</v>
      </c>
      <c r="F708" s="79">
        <f>ROUND(VLOOKUP(C708,'RAW DATA 2023'!E:BO,23,0),0)</f>
        <v>87</v>
      </c>
      <c r="G708" s="79">
        <f>VLOOKUP(C708,'RAW DATA 2023'!E:BO,24,0)</f>
        <v>50.806750000000001</v>
      </c>
      <c r="H708" s="79">
        <f>IFERROR(VLOOKUP(F708,STD!B:G,2,FALSE),"")</f>
        <v>90</v>
      </c>
      <c r="I708" s="100">
        <f t="shared" si="52"/>
        <v>0.56451944444444446</v>
      </c>
      <c r="J708" s="74">
        <f t="shared" si="53"/>
        <v>1.9355833333333339</v>
      </c>
      <c r="K708">
        <f>VLOOKUP(C708,'RAW DATA 2023'!E:BO,12,0)</f>
        <v>0.8</v>
      </c>
      <c r="L708" s="268">
        <f t="shared" si="54"/>
        <v>1.5484666666666671</v>
      </c>
    </row>
    <row r="709" spans="1:12">
      <c r="A709" s="64" t="str">
        <f>'RAW DATA 2023'!B702</f>
        <v>Lucky3</v>
      </c>
      <c r="B709" s="64" t="str">
        <f>'RAW DATA 2023'!D702</f>
        <v>B1-022-0011</v>
      </c>
      <c r="C709" s="63" t="str">
        <f t="shared" si="50"/>
        <v>Lucky3B1-022-0011</v>
      </c>
      <c r="D709" s="63">
        <f>VLOOKUP(C709,'RAW DATA 2023'!E:BP,63,0)</f>
        <v>3</v>
      </c>
      <c r="E709" s="63" t="str">
        <f t="shared" si="51"/>
        <v>Lucky33</v>
      </c>
      <c r="F709" s="79">
        <f>ROUND(VLOOKUP(C709,'RAW DATA 2023'!E:BO,23,0),0)</f>
        <v>36</v>
      </c>
      <c r="G709" s="79">
        <f>VLOOKUP(C709,'RAW DATA 2023'!E:BO,24,0)</f>
        <v>72.139571428571429</v>
      </c>
      <c r="H709" s="79">
        <f>IFERROR(VLOOKUP(F709,STD!B:G,2,FALSE),"")</f>
        <v>81</v>
      </c>
      <c r="I709" s="100">
        <f t="shared" si="52"/>
        <v>0.89061199294532634</v>
      </c>
      <c r="J709" s="74">
        <f t="shared" si="53"/>
        <v>11.718359788359789</v>
      </c>
      <c r="K709">
        <f>VLOOKUP(C709,'RAW DATA 2023'!E:BO,12,0)</f>
        <v>0.7</v>
      </c>
      <c r="L709" s="268">
        <f t="shared" si="54"/>
        <v>8.2028518518518521</v>
      </c>
    </row>
    <row r="710" spans="1:12">
      <c r="A710" s="64" t="str">
        <f>'RAW DATA 2023'!B703</f>
        <v>Lucky3</v>
      </c>
      <c r="B710" s="64" t="str">
        <f>'RAW DATA 2023'!D703</f>
        <v>B1-022-0012</v>
      </c>
      <c r="C710" s="63" t="str">
        <f t="shared" si="50"/>
        <v>Lucky3B1-022-0012</v>
      </c>
      <c r="D710" s="63">
        <f>VLOOKUP(C710,'RAW DATA 2023'!E:BP,63,0)</f>
        <v>5</v>
      </c>
      <c r="E710" s="63" t="str">
        <f t="shared" si="51"/>
        <v>Lucky35</v>
      </c>
      <c r="F710" s="79">
        <f>ROUND(VLOOKUP(C710,'RAW DATA 2023'!E:BO,23,0),0)</f>
        <v>91</v>
      </c>
      <c r="G710" s="79">
        <f>VLOOKUP(C710,'RAW DATA 2023'!E:BO,24,0)</f>
        <v>29.602250000000002</v>
      </c>
      <c r="H710" s="79">
        <f>IFERROR(VLOOKUP(F710,STD!B:G,2,FALSE),"")</f>
        <v>90</v>
      </c>
      <c r="I710" s="100">
        <f t="shared" si="52"/>
        <v>0.32891388888888889</v>
      </c>
      <c r="J710" s="74">
        <f t="shared" si="53"/>
        <v>-5.1325833333333328</v>
      </c>
      <c r="K710">
        <f>VLOOKUP(C710,'RAW DATA 2023'!E:BO,12,0)</f>
        <v>0.8</v>
      </c>
      <c r="L710" s="268">
        <f t="shared" si="54"/>
        <v>-4.1060666666666661</v>
      </c>
    </row>
    <row r="711" spans="1:12">
      <c r="A711" s="64" t="str">
        <f>'RAW DATA 2023'!B704</f>
        <v>Lucky3</v>
      </c>
      <c r="B711" s="64" t="str">
        <f>'RAW DATA 2023'!D704</f>
        <v>BG-026-0010</v>
      </c>
      <c r="C711" s="63" t="str">
        <f t="shared" si="50"/>
        <v>Lucky3BG-026-0010</v>
      </c>
      <c r="D711" s="63">
        <f>VLOOKUP(C711,'RAW DATA 2023'!E:BP,63,0)</f>
        <v>3</v>
      </c>
      <c r="E711" s="63" t="str">
        <f t="shared" si="51"/>
        <v>Lucky33</v>
      </c>
      <c r="F711" s="79">
        <f>ROUND(VLOOKUP(C711,'RAW DATA 2023'!E:BO,23,0),0)</f>
        <v>31</v>
      </c>
      <c r="G711" s="79">
        <f>VLOOKUP(C711,'RAW DATA 2023'!E:BO,24,0)</f>
        <v>48.746571428571428</v>
      </c>
      <c r="H711" s="79">
        <f>IFERROR(VLOOKUP(F711,STD!B:G,2,FALSE),"")</f>
        <v>76</v>
      </c>
      <c r="I711" s="100">
        <f t="shared" si="52"/>
        <v>0.6414022556390977</v>
      </c>
      <c r="J711" s="74">
        <f t="shared" si="53"/>
        <v>4.2420676691729309</v>
      </c>
      <c r="K711">
        <f>VLOOKUP(C711,'RAW DATA 2023'!E:BO,12,0)</f>
        <v>0.7</v>
      </c>
      <c r="L711" s="268">
        <f t="shared" si="54"/>
        <v>2.9694473684210516</v>
      </c>
    </row>
    <row r="712" spans="1:12">
      <c r="A712" s="64" t="str">
        <f>'RAW DATA 2023'!B705</f>
        <v>Lucky3</v>
      </c>
      <c r="B712" s="64" t="str">
        <f>'RAW DATA 2023'!D705</f>
        <v>BG-027-0010</v>
      </c>
      <c r="C712" s="63" t="str">
        <f t="shared" si="50"/>
        <v>Lucky3BG-027-0010</v>
      </c>
      <c r="D712" s="63">
        <f>VLOOKUP(C712,'RAW DATA 2023'!E:BP,63,0)</f>
        <v>3</v>
      </c>
      <c r="E712" s="63" t="str">
        <f t="shared" si="51"/>
        <v>Lucky33</v>
      </c>
      <c r="F712" s="79">
        <f>ROUND(VLOOKUP(C712,'RAW DATA 2023'!E:BO,23,0),0)</f>
        <v>36</v>
      </c>
      <c r="G712" s="79">
        <f>VLOOKUP(C712,'RAW DATA 2023'!E:BO,24,0)</f>
        <v>64.161285714285711</v>
      </c>
      <c r="H712" s="79">
        <f>IFERROR(VLOOKUP(F712,STD!B:G,2,FALSE),"")</f>
        <v>81</v>
      </c>
      <c r="I712" s="100">
        <f t="shared" si="52"/>
        <v>0.7921146384479717</v>
      </c>
      <c r="J712" s="74">
        <f t="shared" si="53"/>
        <v>8.7634391534391511</v>
      </c>
      <c r="K712">
        <f>VLOOKUP(C712,'RAW DATA 2023'!E:BO,12,0)</f>
        <v>0.7</v>
      </c>
      <c r="L712" s="268">
        <f t="shared" si="54"/>
        <v>6.1344074074074051</v>
      </c>
    </row>
    <row r="713" spans="1:12">
      <c r="A713" s="64" t="str">
        <f>'RAW DATA 2023'!B706</f>
        <v>Lucky3</v>
      </c>
      <c r="B713" s="64" t="str">
        <f>'RAW DATA 2023'!D706</f>
        <v>BG-026-0011</v>
      </c>
      <c r="C713" s="63" t="str">
        <f t="shared" si="50"/>
        <v>Lucky3BG-026-0011</v>
      </c>
      <c r="D713" s="63">
        <f>VLOOKUP(C713,'RAW DATA 2023'!E:BP,63,0)</f>
        <v>5</v>
      </c>
      <c r="E713" s="63" t="str">
        <f t="shared" si="51"/>
        <v>Lucky35</v>
      </c>
      <c r="F713" s="79">
        <f>ROUND(VLOOKUP(C713,'RAW DATA 2023'!E:BO,23,0),0)</f>
        <v>97</v>
      </c>
      <c r="G713" s="79">
        <f>VLOOKUP(C713,'RAW DATA 2023'!E:BO,24,0)</f>
        <v>48.866500000000002</v>
      </c>
      <c r="H713" s="79">
        <f>IFERROR(VLOOKUP(F713,STD!B:G,2,FALSE),"")</f>
        <v>91</v>
      </c>
      <c r="I713" s="100">
        <f t="shared" si="52"/>
        <v>0.53699450549450556</v>
      </c>
      <c r="J713" s="74">
        <f t="shared" si="53"/>
        <v>1.1098351648351668</v>
      </c>
      <c r="K713">
        <f>VLOOKUP(C713,'RAW DATA 2023'!E:BO,12,0)</f>
        <v>0.8</v>
      </c>
      <c r="L713" s="268">
        <f t="shared" si="54"/>
        <v>0.8878681318681334</v>
      </c>
    </row>
    <row r="714" spans="1:12">
      <c r="A714" s="64" t="str">
        <f>'RAW DATA 2023'!B707</f>
        <v>Lucky3</v>
      </c>
      <c r="B714" s="64" t="str">
        <f>'RAW DATA 2023'!D707</f>
        <v>B1-024-0010</v>
      </c>
      <c r="C714" s="63" t="str">
        <f t="shared" ref="C714:C777" si="55">A714&amp;B714</f>
        <v>Lucky3B1-024-0010</v>
      </c>
      <c r="D714" s="63">
        <f>VLOOKUP(C714,'RAW DATA 2023'!E:BP,63,0)</f>
        <v>8</v>
      </c>
      <c r="E714" s="63" t="str">
        <f t="shared" ref="E714:E777" si="56">A714&amp;D714</f>
        <v>Lucky38</v>
      </c>
      <c r="F714" s="79">
        <f>ROUND(VLOOKUP(C714,'RAW DATA 2023'!E:BO,23,0),0)</f>
        <v>161</v>
      </c>
      <c r="G714" s="79">
        <f>VLOOKUP(C714,'RAW DATA 2023'!E:BO,24,0)</f>
        <v>95.181249999999991</v>
      </c>
      <c r="H714" s="79">
        <f>IFERROR(VLOOKUP(F714,STD!B:G,2,FALSE),"")</f>
        <v>93</v>
      </c>
      <c r="I714" s="100">
        <f t="shared" si="52"/>
        <v>1.0234543010752688</v>
      </c>
      <c r="J714" s="74">
        <f t="shared" si="53"/>
        <v>15.703629032258064</v>
      </c>
      <c r="K714">
        <f>VLOOKUP(C714,'RAW DATA 2023'!E:BO,12,0)</f>
        <v>0.8</v>
      </c>
      <c r="L714" s="268">
        <f t="shared" si="54"/>
        <v>12.562903225806451</v>
      </c>
    </row>
    <row r="715" spans="1:12">
      <c r="A715" s="64" t="str">
        <f>'RAW DATA 2023'!B708</f>
        <v>Lucky3</v>
      </c>
      <c r="B715" s="64" t="str">
        <f>'RAW DATA 2023'!D708</f>
        <v>B1-023-0011</v>
      </c>
      <c r="C715" s="63" t="str">
        <f t="shared" si="55"/>
        <v>Lucky3B1-023-0011</v>
      </c>
      <c r="D715" s="63">
        <f>VLOOKUP(C715,'RAW DATA 2023'!E:BP,63,0)</f>
        <v>3</v>
      </c>
      <c r="E715" s="63" t="str">
        <f t="shared" si="56"/>
        <v>Lucky33</v>
      </c>
      <c r="F715" s="79">
        <f>ROUND(VLOOKUP(C715,'RAW DATA 2023'!E:BO,23,0),0)</f>
        <v>42</v>
      </c>
      <c r="G715" s="79">
        <f>VLOOKUP(C715,'RAW DATA 2023'!E:BO,24,0)</f>
        <v>70.640714285714296</v>
      </c>
      <c r="H715" s="79">
        <f>IFERROR(VLOOKUP(F715,STD!B:G,2,FALSE),"")</f>
        <v>82</v>
      </c>
      <c r="I715" s="100">
        <f t="shared" ref="I715:I778" si="57">IFERROR(G715/H715,0)</f>
        <v>0.86147212543554019</v>
      </c>
      <c r="J715" s="74">
        <f t="shared" ref="J715:J778" si="58">(I715-$E$4)*$E$7</f>
        <v>10.844163763066206</v>
      </c>
      <c r="K715">
        <f>VLOOKUP(C715,'RAW DATA 2023'!E:BO,12,0)</f>
        <v>0.7</v>
      </c>
      <c r="L715" s="268">
        <f t="shared" ref="L715:L778" si="59">J715*K715</f>
        <v>7.5909146341463432</v>
      </c>
    </row>
    <row r="716" spans="1:12">
      <c r="A716" s="64" t="str">
        <f>'RAW DATA 2023'!B709</f>
        <v>Lucky3</v>
      </c>
      <c r="B716" s="64" t="str">
        <f>'RAW DATA 2023'!D709</f>
        <v>BG-027-0012</v>
      </c>
      <c r="C716" s="63" t="str">
        <f t="shared" si="55"/>
        <v>Lucky3BG-027-0012</v>
      </c>
      <c r="D716" s="63">
        <f>VLOOKUP(C716,'RAW DATA 2023'!E:BP,63,0)</f>
        <v>7</v>
      </c>
      <c r="E716" s="63" t="str">
        <f t="shared" si="56"/>
        <v>Lucky37</v>
      </c>
      <c r="F716" s="79">
        <f>ROUND(VLOOKUP(C716,'RAW DATA 2023'!E:BO,23,0),0)</f>
        <v>172</v>
      </c>
      <c r="G716" s="79">
        <f>VLOOKUP(C716,'RAW DATA 2023'!E:BO,24,0)</f>
        <v>96.069749999999999</v>
      </c>
      <c r="H716" s="79">
        <f>IFERROR(VLOOKUP(F716,STD!B:G,2,FALSE),"")</f>
        <v>94</v>
      </c>
      <c r="I716" s="100">
        <f t="shared" si="57"/>
        <v>1.0220186170212766</v>
      </c>
      <c r="J716" s="74">
        <f t="shared" si="58"/>
        <v>15.660558510638298</v>
      </c>
      <c r="K716">
        <f>VLOOKUP(C716,'RAW DATA 2023'!E:BO,12,0)</f>
        <v>0.8</v>
      </c>
      <c r="L716" s="268">
        <f t="shared" si="59"/>
        <v>12.528446808510639</v>
      </c>
    </row>
    <row r="717" spans="1:12">
      <c r="A717" s="64" t="str">
        <f>'RAW DATA 2023'!B710</f>
        <v>Lucky3</v>
      </c>
      <c r="B717" s="64" t="str">
        <f>'RAW DATA 2023'!D710</f>
        <v>B1-025-0011</v>
      </c>
      <c r="C717" s="63" t="str">
        <f t="shared" si="55"/>
        <v>Lucky3B1-025-0011</v>
      </c>
      <c r="D717" s="63">
        <f>VLOOKUP(C717,'RAW DATA 2023'!E:BP,63,0)</f>
        <v>8</v>
      </c>
      <c r="E717" s="63" t="str">
        <f t="shared" si="56"/>
        <v>Lucky38</v>
      </c>
      <c r="F717" s="79">
        <f>ROUND(VLOOKUP(C717,'RAW DATA 2023'!E:BO,23,0),0)</f>
        <v>0</v>
      </c>
      <c r="G717" s="79">
        <f>VLOOKUP(C717,'RAW DATA 2023'!E:BO,24,0)</f>
        <v>0</v>
      </c>
      <c r="H717" s="79" t="str">
        <f>IFERROR(VLOOKUP(F717,STD!B:G,2,FALSE),"")</f>
        <v/>
      </c>
      <c r="I717" s="100">
        <f t="shared" si="57"/>
        <v>0</v>
      </c>
      <c r="J717" s="74">
        <f t="shared" si="58"/>
        <v>-15</v>
      </c>
      <c r="K717">
        <f>VLOOKUP(C717,'RAW DATA 2023'!E:BO,12,0)</f>
        <v>0.8</v>
      </c>
      <c r="L717" s="268">
        <f t="shared" si="59"/>
        <v>-12</v>
      </c>
    </row>
    <row r="718" spans="1:12">
      <c r="A718" s="64" t="str">
        <f>'RAW DATA 2023'!B711</f>
        <v>Tachalab</v>
      </c>
      <c r="B718" s="64" t="str">
        <f>'RAW DATA 2023'!D711</f>
        <v>A1-012-0017</v>
      </c>
      <c r="C718" s="63" t="str">
        <f t="shared" si="55"/>
        <v>TachalabA1-012-0017</v>
      </c>
      <c r="D718" s="63">
        <f>VLOOKUP(C718,'RAW DATA 2023'!E:BP,63,0)</f>
        <v>8</v>
      </c>
      <c r="E718" s="63" t="str">
        <f t="shared" si="56"/>
        <v>Tachalab8</v>
      </c>
      <c r="F718" s="79">
        <f>ROUND(VLOOKUP(C718,'RAW DATA 2023'!E:BO,23,0),0)</f>
        <v>30</v>
      </c>
      <c r="G718" s="79">
        <f>VLOOKUP(C718,'RAW DATA 2023'!E:BO,24,0)</f>
        <v>85.629571428571424</v>
      </c>
      <c r="H718" s="79">
        <f>IFERROR(VLOOKUP(F718,STD!B:G,2,FALSE),"")</f>
        <v>76</v>
      </c>
      <c r="I718" s="100">
        <f t="shared" si="57"/>
        <v>1.126704887218045</v>
      </c>
      <c r="J718" s="74">
        <f t="shared" si="58"/>
        <v>18.801146616541349</v>
      </c>
      <c r="K718">
        <f>VLOOKUP(C718,'RAW DATA 2023'!E:BO,12,0)</f>
        <v>0.7</v>
      </c>
      <c r="L718" s="268">
        <f t="shared" si="59"/>
        <v>13.160802631578944</v>
      </c>
    </row>
    <row r="719" spans="1:12">
      <c r="A719" s="64" t="str">
        <f>'RAW DATA 2023'!B712</f>
        <v>Tachalab</v>
      </c>
      <c r="B719" s="64" t="str">
        <f>'RAW DATA 2023'!D712</f>
        <v>A1-013-0012</v>
      </c>
      <c r="C719" s="63" t="str">
        <f t="shared" si="55"/>
        <v>TachalabA1-013-0012</v>
      </c>
      <c r="D719" s="63">
        <f>VLOOKUP(C719,'RAW DATA 2023'!E:BP,63,0)</f>
        <v>7</v>
      </c>
      <c r="E719" s="63" t="str">
        <f t="shared" si="56"/>
        <v>Tachalab7</v>
      </c>
      <c r="F719" s="79">
        <f>ROUND(VLOOKUP(C719,'RAW DATA 2023'!E:BO,23,0),0)</f>
        <v>33</v>
      </c>
      <c r="G719" s="79">
        <f>VLOOKUP(C719,'RAW DATA 2023'!E:BO,24,0)</f>
        <v>86.781714285714287</v>
      </c>
      <c r="H719" s="79">
        <f>IFERROR(VLOOKUP(F719,STD!B:G,2,FALSE),"")</f>
        <v>79</v>
      </c>
      <c r="I719" s="100">
        <f t="shared" si="57"/>
        <v>1.0985027124773961</v>
      </c>
      <c r="J719" s="74">
        <f t="shared" si="58"/>
        <v>17.955081374321882</v>
      </c>
      <c r="K719">
        <f>VLOOKUP(C719,'RAW DATA 2023'!E:BO,12,0)</f>
        <v>0.7</v>
      </c>
      <c r="L719" s="268">
        <f t="shared" si="59"/>
        <v>12.568556962025317</v>
      </c>
    </row>
    <row r="720" spans="1:12">
      <c r="A720" s="64" t="str">
        <f>'RAW DATA 2023'!B713</f>
        <v>Tachalab</v>
      </c>
      <c r="B720" s="64" t="str">
        <f>'RAW DATA 2023'!D713</f>
        <v>A1-011-0018</v>
      </c>
      <c r="C720" s="63" t="str">
        <f t="shared" si="55"/>
        <v>TachalabA1-011-0018</v>
      </c>
      <c r="D720" s="63">
        <f>VLOOKUP(C720,'RAW DATA 2023'!E:BP,63,0)</f>
        <v>8</v>
      </c>
      <c r="E720" s="63" t="str">
        <f t="shared" si="56"/>
        <v>Tachalab8</v>
      </c>
      <c r="F720" s="79">
        <f>ROUND(VLOOKUP(C720,'RAW DATA 2023'!E:BO,23,0),0)</f>
        <v>32</v>
      </c>
      <c r="G720" s="79">
        <f>VLOOKUP(C720,'RAW DATA 2023'!E:BO,24,0)</f>
        <v>90.221099999999993</v>
      </c>
      <c r="H720" s="79">
        <f>IFERROR(VLOOKUP(F720,STD!B:G,2,FALSE),"")</f>
        <v>77</v>
      </c>
      <c r="I720" s="100">
        <f t="shared" si="57"/>
        <v>1.1717025974025974</v>
      </c>
      <c r="J720" s="74">
        <f t="shared" si="58"/>
        <v>20.151077922077924</v>
      </c>
      <c r="K720">
        <f>VLOOKUP(C720,'RAW DATA 2023'!E:BO,12,0)</f>
        <v>1</v>
      </c>
      <c r="L720" s="268">
        <f t="shared" si="59"/>
        <v>20.151077922077924</v>
      </c>
    </row>
    <row r="721" spans="1:12">
      <c r="A721" s="64" t="str">
        <f>'RAW DATA 2023'!B714</f>
        <v>Tachalab</v>
      </c>
      <c r="B721" s="64" t="str">
        <f>'RAW DATA 2023'!D714</f>
        <v>A1-005-0024</v>
      </c>
      <c r="C721" s="63" t="str">
        <f t="shared" si="55"/>
        <v>TachalabA1-005-0024</v>
      </c>
      <c r="D721" s="63">
        <f>VLOOKUP(C721,'RAW DATA 2023'!E:BP,63,0)</f>
        <v>7</v>
      </c>
      <c r="E721" s="63" t="str">
        <f t="shared" si="56"/>
        <v>Tachalab7</v>
      </c>
      <c r="F721" s="79">
        <f>ROUND(VLOOKUP(C721,'RAW DATA 2023'!E:BO,23,0),0)</f>
        <v>36</v>
      </c>
      <c r="G721" s="79">
        <f>VLOOKUP(C721,'RAW DATA 2023'!E:BO,24,0)</f>
        <v>98.933416666666659</v>
      </c>
      <c r="H721" s="79">
        <f>IFERROR(VLOOKUP(F721,STD!B:G,2,FALSE),"")</f>
        <v>81</v>
      </c>
      <c r="I721" s="100">
        <f t="shared" si="57"/>
        <v>1.2214002057613167</v>
      </c>
      <c r="J721" s="74">
        <f t="shared" si="58"/>
        <v>21.642006172839501</v>
      </c>
      <c r="K721">
        <f>VLOOKUP(C721,'RAW DATA 2023'!E:BO,12,0)</f>
        <v>1.2</v>
      </c>
      <c r="L721" s="268">
        <f t="shared" si="59"/>
        <v>25.9704074074074</v>
      </c>
    </row>
    <row r="722" spans="1:12">
      <c r="A722" s="64" t="str">
        <f>'RAW DATA 2023'!B715</f>
        <v>Tachalab</v>
      </c>
      <c r="B722" s="64" t="str">
        <f>'RAW DATA 2023'!D715</f>
        <v>B1-025-0015</v>
      </c>
      <c r="C722" s="63" t="str">
        <f t="shared" si="55"/>
        <v>TachalabB1-025-0015</v>
      </c>
      <c r="D722" s="63">
        <f>VLOOKUP(C722,'RAW DATA 2023'!E:BP,63,0)</f>
        <v>6</v>
      </c>
      <c r="E722" s="63" t="str">
        <f t="shared" si="56"/>
        <v>Tachalab6</v>
      </c>
      <c r="F722" s="79">
        <f>ROUND(VLOOKUP(C722,'RAW DATA 2023'!E:BO,23,0),0)</f>
        <v>46</v>
      </c>
      <c r="G722" s="79">
        <f>VLOOKUP(C722,'RAW DATA 2023'!E:BO,24,0)</f>
        <v>49.239192307692306</v>
      </c>
      <c r="H722" s="79">
        <f>IFERROR(VLOOKUP(F722,STD!B:G,2,FALSE),"")</f>
        <v>84</v>
      </c>
      <c r="I722" s="100">
        <f t="shared" si="57"/>
        <v>0.58618086080586074</v>
      </c>
      <c r="J722" s="74">
        <f t="shared" si="58"/>
        <v>2.5854258241758221</v>
      </c>
      <c r="K722">
        <f>VLOOKUP(C722,'RAW DATA 2023'!E:BO,12,0)</f>
        <v>2.6</v>
      </c>
      <c r="L722" s="268">
        <f t="shared" si="59"/>
        <v>6.722107142857138</v>
      </c>
    </row>
    <row r="723" spans="1:12">
      <c r="A723" s="64" t="str">
        <f>'RAW DATA 2023'!B716</f>
        <v>Tachalab</v>
      </c>
      <c r="B723" s="64" t="str">
        <f>'RAW DATA 2023'!D716</f>
        <v>A1-006-0017</v>
      </c>
      <c r="C723" s="63" t="str">
        <f t="shared" si="55"/>
        <v>TachalabA1-006-0017</v>
      </c>
      <c r="D723" s="63">
        <f>VLOOKUP(C723,'RAW DATA 2023'!E:BP,63,0)</f>
        <v>12</v>
      </c>
      <c r="E723" s="63" t="str">
        <f t="shared" si="56"/>
        <v>Tachalab12</v>
      </c>
      <c r="F723" s="79">
        <f>ROUND(VLOOKUP(C723,'RAW DATA 2023'!E:BO,23,0),0)</f>
        <v>56</v>
      </c>
      <c r="G723" s="79">
        <f>VLOOKUP(C723,'RAW DATA 2023'!E:BO,24,0)</f>
        <v>111.72833333333334</v>
      </c>
      <c r="H723" s="79">
        <f>IFERROR(VLOOKUP(F723,STD!B:G,2,FALSE),"")</f>
        <v>86</v>
      </c>
      <c r="I723" s="100">
        <f t="shared" si="57"/>
        <v>1.2991666666666668</v>
      </c>
      <c r="J723" s="74">
        <f t="shared" si="58"/>
        <v>23.975000000000005</v>
      </c>
      <c r="K723">
        <f>VLOOKUP(C723,'RAW DATA 2023'!E:BO,12,0)</f>
        <v>1.5</v>
      </c>
      <c r="L723" s="268">
        <f t="shared" si="59"/>
        <v>35.962500000000006</v>
      </c>
    </row>
    <row r="724" spans="1:12">
      <c r="A724" s="64" t="str">
        <f>'RAW DATA 2023'!B717</f>
        <v>Tachalab</v>
      </c>
      <c r="B724" s="64" t="str">
        <f>'RAW DATA 2023'!D717</f>
        <v>B1-023-0012</v>
      </c>
      <c r="C724" s="63" t="str">
        <f t="shared" si="55"/>
        <v>TachalabB1-023-0012</v>
      </c>
      <c r="D724" s="63">
        <f>VLOOKUP(C724,'RAW DATA 2023'!E:BP,63,0)</f>
        <v>2</v>
      </c>
      <c r="E724" s="63" t="str">
        <f t="shared" si="56"/>
        <v>Tachalab2</v>
      </c>
      <c r="F724" s="79">
        <f>ROUND(VLOOKUP(C724,'RAW DATA 2023'!E:BO,23,0),0)</f>
        <v>35</v>
      </c>
      <c r="G724" s="79">
        <f>VLOOKUP(C724,'RAW DATA 2023'!E:BO,24,0)</f>
        <v>88.52033333333334</v>
      </c>
      <c r="H724" s="79">
        <f>IFERROR(VLOOKUP(F724,STD!B:G,2,FALSE),"")</f>
        <v>80</v>
      </c>
      <c r="I724" s="100">
        <f t="shared" si="57"/>
        <v>1.1065041666666668</v>
      </c>
      <c r="J724" s="74">
        <f t="shared" si="58"/>
        <v>18.195125000000004</v>
      </c>
      <c r="K724">
        <f>VLOOKUP(C724,'RAW DATA 2023'!E:BO,12,0)</f>
        <v>0.9</v>
      </c>
      <c r="L724" s="268">
        <f t="shared" si="59"/>
        <v>16.375612500000006</v>
      </c>
    </row>
    <row r="725" spans="1:12">
      <c r="A725" s="64" t="str">
        <f>'RAW DATA 2023'!B718</f>
        <v>Tachalab</v>
      </c>
      <c r="B725" s="64" t="str">
        <f>'RAW DATA 2023'!D718</f>
        <v>A1-003-0023</v>
      </c>
      <c r="C725" s="63" t="str">
        <f t="shared" si="55"/>
        <v>TachalabA1-003-0023</v>
      </c>
      <c r="D725" s="63">
        <f>VLOOKUP(C725,'RAW DATA 2023'!E:BP,63,0)</f>
        <v>3</v>
      </c>
      <c r="E725" s="63" t="str">
        <f t="shared" si="56"/>
        <v>Tachalab3</v>
      </c>
      <c r="F725" s="79">
        <f>ROUND(VLOOKUP(C725,'RAW DATA 2023'!E:BO,23,0),0)</f>
        <v>38</v>
      </c>
      <c r="G725" s="79">
        <f>VLOOKUP(C725,'RAW DATA 2023'!E:BO,24,0)</f>
        <v>63.098437500000003</v>
      </c>
      <c r="H725" s="79">
        <f>IFERROR(VLOOKUP(F725,STD!B:G,2,FALSE),"")</f>
        <v>81</v>
      </c>
      <c r="I725" s="100">
        <f t="shared" si="57"/>
        <v>0.77899305555555554</v>
      </c>
      <c r="J725" s="74">
        <f t="shared" si="58"/>
        <v>8.3697916666666661</v>
      </c>
      <c r="K725">
        <f>VLOOKUP(C725,'RAW DATA 2023'!E:BO,12,0)</f>
        <v>0.96</v>
      </c>
      <c r="L725" s="268">
        <f t="shared" si="59"/>
        <v>8.0349999999999984</v>
      </c>
    </row>
    <row r="726" spans="1:12">
      <c r="A726" s="64" t="str">
        <f>'RAW DATA 2023'!B719</f>
        <v>Tachalab</v>
      </c>
      <c r="B726" s="64" t="str">
        <f>'RAW DATA 2023'!D719</f>
        <v>A1-013-0011</v>
      </c>
      <c r="C726" s="63" t="str">
        <f t="shared" si="55"/>
        <v>TachalabA1-013-0011</v>
      </c>
      <c r="D726" s="63">
        <f>VLOOKUP(C726,'RAW DATA 2023'!E:BP,63,0)</f>
        <v>3</v>
      </c>
      <c r="E726" s="63" t="str">
        <f t="shared" si="56"/>
        <v>Tachalab3</v>
      </c>
      <c r="F726" s="79">
        <f>ROUND(VLOOKUP(C726,'RAW DATA 2023'!E:BO,23,0),0)</f>
        <v>41</v>
      </c>
      <c r="G726" s="79">
        <f>VLOOKUP(C726,'RAW DATA 2023'!E:BO,24,0)</f>
        <v>61.552888888888887</v>
      </c>
      <c r="H726" s="79">
        <f>IFERROR(VLOOKUP(F726,STD!B:G,2,FALSE),"")</f>
        <v>82</v>
      </c>
      <c r="I726" s="100">
        <f t="shared" si="57"/>
        <v>0.75064498644986444</v>
      </c>
      <c r="J726" s="74">
        <f t="shared" si="58"/>
        <v>7.5193495934959333</v>
      </c>
      <c r="K726">
        <f>VLOOKUP(C726,'RAW DATA 2023'!E:BO,12,0)</f>
        <v>0.9</v>
      </c>
      <c r="L726" s="268">
        <f t="shared" si="59"/>
        <v>6.7674146341463404</v>
      </c>
    </row>
    <row r="727" spans="1:12">
      <c r="A727" s="64" t="str">
        <f>'RAW DATA 2023'!B720</f>
        <v>Tachalab</v>
      </c>
      <c r="B727" s="64" t="str">
        <f>'RAW DATA 2023'!D720</f>
        <v>A1-006-0016</v>
      </c>
      <c r="C727" s="63" t="str">
        <f t="shared" si="55"/>
        <v>TachalabA1-006-0016</v>
      </c>
      <c r="D727" s="63">
        <f>VLOOKUP(C727,'RAW DATA 2023'!E:BP,63,0)</f>
        <v>3</v>
      </c>
      <c r="E727" s="63" t="str">
        <f t="shared" si="56"/>
        <v>Tachalab3</v>
      </c>
      <c r="F727" s="79">
        <f>ROUND(VLOOKUP(C727,'RAW DATA 2023'!E:BO,23,0),0)</f>
        <v>42</v>
      </c>
      <c r="G727" s="79">
        <f>VLOOKUP(C727,'RAW DATA 2023'!E:BO,24,0)</f>
        <v>77.928928571428571</v>
      </c>
      <c r="H727" s="79">
        <f>IFERROR(VLOOKUP(F727,STD!B:G,2,FALSE),"")</f>
        <v>82</v>
      </c>
      <c r="I727" s="100">
        <f t="shared" si="57"/>
        <v>0.95035278745644602</v>
      </c>
      <c r="J727" s="74">
        <f t="shared" si="58"/>
        <v>13.51058362369338</v>
      </c>
      <c r="K727">
        <f>VLOOKUP(C727,'RAW DATA 2023'!E:BO,12,0)</f>
        <v>0.84</v>
      </c>
      <c r="L727" s="268">
        <f t="shared" si="59"/>
        <v>11.348890243902439</v>
      </c>
    </row>
    <row r="728" spans="1:12">
      <c r="A728" s="64" t="str">
        <f>'RAW DATA 2023'!B721</f>
        <v>Tachalab</v>
      </c>
      <c r="B728" s="64" t="str">
        <f>'RAW DATA 2023'!D721</f>
        <v>A1-011-0017</v>
      </c>
      <c r="C728" s="63" t="str">
        <f t="shared" si="55"/>
        <v>TachalabA1-011-0017</v>
      </c>
      <c r="D728" s="63">
        <f>VLOOKUP(C728,'RAW DATA 2023'!E:BP,63,0)</f>
        <v>3</v>
      </c>
      <c r="E728" s="63" t="str">
        <f t="shared" si="56"/>
        <v>Tachalab3</v>
      </c>
      <c r="F728" s="79">
        <f>ROUND(VLOOKUP(C728,'RAW DATA 2023'!E:BO,23,0),0)</f>
        <v>47</v>
      </c>
      <c r="G728" s="79">
        <f>VLOOKUP(C728,'RAW DATA 2023'!E:BO,24,0)</f>
        <v>70.896000000000001</v>
      </c>
      <c r="H728" s="79">
        <f>IFERROR(VLOOKUP(F728,STD!B:G,2,FALSE),"")</f>
        <v>84</v>
      </c>
      <c r="I728" s="100">
        <f t="shared" si="57"/>
        <v>0.84399999999999997</v>
      </c>
      <c r="J728" s="74">
        <f t="shared" si="58"/>
        <v>10.319999999999999</v>
      </c>
      <c r="K728">
        <f>VLOOKUP(C728,'RAW DATA 2023'!E:BO,12,0)</f>
        <v>0.9</v>
      </c>
      <c r="L728" s="268">
        <f t="shared" si="59"/>
        <v>9.2879999999999985</v>
      </c>
    </row>
    <row r="729" spans="1:12">
      <c r="A729" s="64" t="str">
        <f>'RAW DATA 2023'!B722</f>
        <v>Tachalab</v>
      </c>
      <c r="B729" s="64" t="str">
        <f>'RAW DATA 2023'!D722</f>
        <v>B1-025-0014</v>
      </c>
      <c r="C729" s="63" t="str">
        <f t="shared" si="55"/>
        <v>TachalabB1-025-0014</v>
      </c>
      <c r="D729" s="63">
        <f>VLOOKUP(C729,'RAW DATA 2023'!E:BP,63,0)</f>
        <v>2</v>
      </c>
      <c r="E729" s="63" t="str">
        <f t="shared" si="56"/>
        <v>Tachalab2</v>
      </c>
      <c r="F729" s="79">
        <f>ROUND(VLOOKUP(C729,'RAW DATA 2023'!E:BO,23,0),0)</f>
        <v>44</v>
      </c>
      <c r="G729" s="79">
        <f>VLOOKUP(C729,'RAW DATA 2023'!E:BO,24,0)</f>
        <v>58.108222222222224</v>
      </c>
      <c r="H729" s="79">
        <f>IFERROR(VLOOKUP(F729,STD!B:G,2,FALSE),"")</f>
        <v>83</v>
      </c>
      <c r="I729" s="100">
        <f t="shared" si="57"/>
        <v>0.70009906291834001</v>
      </c>
      <c r="J729" s="74">
        <f t="shared" si="58"/>
        <v>6.0029718875502001</v>
      </c>
      <c r="K729">
        <f>VLOOKUP(C729,'RAW DATA 2023'!E:BO,12,0)</f>
        <v>0.9</v>
      </c>
      <c r="L729" s="268">
        <f t="shared" si="59"/>
        <v>5.4026746987951801</v>
      </c>
    </row>
    <row r="730" spans="1:12">
      <c r="A730" s="64" t="str">
        <f>'RAW DATA 2023'!B723</f>
        <v>Tachalab</v>
      </c>
      <c r="B730" s="64" t="str">
        <f>'RAW DATA 2023'!D723</f>
        <v>A1-012-0016</v>
      </c>
      <c r="C730" s="63" t="str">
        <f t="shared" si="55"/>
        <v>TachalabA1-012-0016</v>
      </c>
      <c r="D730" s="63">
        <f>VLOOKUP(C730,'RAW DATA 2023'!E:BP,63,0)</f>
        <v>3</v>
      </c>
      <c r="E730" s="63" t="str">
        <f t="shared" si="56"/>
        <v>Tachalab3</v>
      </c>
      <c r="F730" s="79">
        <f>ROUND(VLOOKUP(C730,'RAW DATA 2023'!E:BO,23,0),0)</f>
        <v>77</v>
      </c>
      <c r="G730" s="79">
        <f>VLOOKUP(C730,'RAW DATA 2023'!E:BO,24,0)</f>
        <v>74.077454545454543</v>
      </c>
      <c r="H730" s="79">
        <f>IFERROR(VLOOKUP(F730,STD!B:G,2,FALSE),"")</f>
        <v>89</v>
      </c>
      <c r="I730" s="100">
        <f t="shared" si="57"/>
        <v>0.83233094994892742</v>
      </c>
      <c r="J730" s="74">
        <f t="shared" si="58"/>
        <v>9.9699284984678229</v>
      </c>
      <c r="K730">
        <f>VLOOKUP(C730,'RAW DATA 2023'!E:BO,12,0)</f>
        <v>1.1000000000000001</v>
      </c>
      <c r="L730" s="268">
        <f t="shared" si="59"/>
        <v>10.966921348314607</v>
      </c>
    </row>
    <row r="731" spans="1:12">
      <c r="A731" s="64" t="str">
        <f>'RAW DATA 2023'!B724</f>
        <v>Andaman</v>
      </c>
      <c r="B731" s="64" t="str">
        <f>'RAW DATA 2023'!D724</f>
        <v>A1-014-0018</v>
      </c>
      <c r="C731" s="63" t="str">
        <f t="shared" si="55"/>
        <v>AndamanA1-014-0018</v>
      </c>
      <c r="D731" s="63">
        <f>VLOOKUP(C731,'RAW DATA 2023'!E:BP,63,0)</f>
        <v>5</v>
      </c>
      <c r="E731" s="63" t="str">
        <f t="shared" si="56"/>
        <v>Andaman5</v>
      </c>
      <c r="F731" s="79">
        <f>ROUND(VLOOKUP(C731,'RAW DATA 2023'!E:BO,23,0),0)</f>
        <v>31</v>
      </c>
      <c r="G731" s="79">
        <f>VLOOKUP(C731,'RAW DATA 2023'!E:BO,24,0)</f>
        <v>61.025076923076924</v>
      </c>
      <c r="H731" s="79">
        <f>IFERROR(VLOOKUP(F731,STD!B:G,2,FALSE),"")</f>
        <v>76</v>
      </c>
      <c r="I731" s="100">
        <f t="shared" si="57"/>
        <v>0.8029615384615385</v>
      </c>
      <c r="J731" s="74">
        <f t="shared" si="58"/>
        <v>9.0888461538461556</v>
      </c>
      <c r="K731">
        <f>VLOOKUP(C731,'RAW DATA 2023'!E:BO,12,0)</f>
        <v>0.65</v>
      </c>
      <c r="L731" s="268">
        <f t="shared" si="59"/>
        <v>5.9077500000000009</v>
      </c>
    </row>
    <row r="732" spans="1:12">
      <c r="A732" s="64" t="str">
        <f>'RAW DATA 2023'!B725</f>
        <v>Andaman</v>
      </c>
      <c r="B732" s="64" t="str">
        <f>'RAW DATA 2023'!D725</f>
        <v>A1-013-0018</v>
      </c>
      <c r="C732" s="63" t="str">
        <f t="shared" si="55"/>
        <v>AndamanA1-013-0018</v>
      </c>
      <c r="D732" s="63">
        <f>VLOOKUP(C732,'RAW DATA 2023'!E:BP,63,0)</f>
        <v>6</v>
      </c>
      <c r="E732" s="63" t="str">
        <f t="shared" si="56"/>
        <v>Andaman6</v>
      </c>
      <c r="F732" s="79">
        <f>ROUND(VLOOKUP(C732,'RAW DATA 2023'!E:BO,23,0),0)</f>
        <v>28</v>
      </c>
      <c r="G732" s="79">
        <f>VLOOKUP(C732,'RAW DATA 2023'!E:BO,24,0)</f>
        <v>44.468999999999994</v>
      </c>
      <c r="H732" s="79">
        <f>IFERROR(VLOOKUP(F732,STD!B:G,2,FALSE),"")</f>
        <v>75</v>
      </c>
      <c r="I732" s="100">
        <f t="shared" si="57"/>
        <v>0.59291999999999989</v>
      </c>
      <c r="J732" s="74">
        <f t="shared" si="58"/>
        <v>2.7875999999999967</v>
      </c>
      <c r="K732">
        <f>VLOOKUP(C732,'RAW DATA 2023'!E:BO,12,0)</f>
        <v>0.8</v>
      </c>
      <c r="L732" s="268">
        <f t="shared" si="59"/>
        <v>2.2300799999999974</v>
      </c>
    </row>
    <row r="733" spans="1:12">
      <c r="A733" s="64" t="str">
        <f>'RAW DATA 2023'!B726</f>
        <v>Andaman</v>
      </c>
      <c r="B733" s="64" t="str">
        <f>'RAW DATA 2023'!D726</f>
        <v>A1-009-0046</v>
      </c>
      <c r="C733" s="63" t="str">
        <f t="shared" si="55"/>
        <v>AndamanA1-009-0046</v>
      </c>
      <c r="D733" s="63">
        <f>VLOOKUP(C733,'RAW DATA 2023'!E:BP,63,0)</f>
        <v>3</v>
      </c>
      <c r="E733" s="63" t="str">
        <f t="shared" si="56"/>
        <v>Andaman3</v>
      </c>
      <c r="F733" s="79">
        <f>ROUND(VLOOKUP(C733,'RAW DATA 2023'!E:BO,23,0),0)</f>
        <v>26</v>
      </c>
      <c r="G733" s="79">
        <f>VLOOKUP(C733,'RAW DATA 2023'!E:BO,24,0)</f>
        <v>48.880982142857142</v>
      </c>
      <c r="H733" s="79">
        <f>IFERROR(VLOOKUP(F733,STD!B:G,2,FALSE),"")</f>
        <v>75</v>
      </c>
      <c r="I733" s="100">
        <f t="shared" si="57"/>
        <v>0.65174642857142862</v>
      </c>
      <c r="J733" s="74">
        <f t="shared" si="58"/>
        <v>4.5523928571428582</v>
      </c>
      <c r="K733">
        <f>VLOOKUP(C733,'RAW DATA 2023'!E:BO,12,0)</f>
        <v>1.1200000000000001</v>
      </c>
      <c r="L733" s="268">
        <f t="shared" si="59"/>
        <v>5.0986800000000017</v>
      </c>
    </row>
    <row r="734" spans="1:12">
      <c r="A734" s="64" t="str">
        <f>'RAW DATA 2023'!B727</f>
        <v>Andaman</v>
      </c>
      <c r="B734" s="64" t="str">
        <f>'RAW DATA 2023'!D727</f>
        <v>A1-016-0015</v>
      </c>
      <c r="C734" s="63" t="str">
        <f t="shared" si="55"/>
        <v>AndamanA1-016-0015</v>
      </c>
      <c r="D734" s="63">
        <f>VLOOKUP(C734,'RAW DATA 2023'!E:BP,63,0)</f>
        <v>9</v>
      </c>
      <c r="E734" s="63" t="str">
        <f t="shared" si="56"/>
        <v>Andaman9</v>
      </c>
      <c r="F734" s="79">
        <f>ROUND(VLOOKUP(C734,'RAW DATA 2023'!E:BO,23,0),0)</f>
        <v>31</v>
      </c>
      <c r="G734" s="79">
        <f>VLOOKUP(C734,'RAW DATA 2023'!E:BO,24,0)</f>
        <v>67.099428571428575</v>
      </c>
      <c r="H734" s="79">
        <f>IFERROR(VLOOKUP(F734,STD!B:G,2,FALSE),"")</f>
        <v>76</v>
      </c>
      <c r="I734" s="100">
        <f t="shared" si="57"/>
        <v>0.88288721804511283</v>
      </c>
      <c r="J734" s="74">
        <f t="shared" si="58"/>
        <v>11.486616541353385</v>
      </c>
      <c r="K734">
        <f>VLOOKUP(C734,'RAW DATA 2023'!E:BO,12,0)</f>
        <v>0.7</v>
      </c>
      <c r="L734" s="268">
        <f t="shared" si="59"/>
        <v>8.0406315789473695</v>
      </c>
    </row>
    <row r="735" spans="1:12">
      <c r="A735" s="64" t="str">
        <f>'RAW DATA 2023'!B728</f>
        <v>Andaman</v>
      </c>
      <c r="B735" s="64" t="str">
        <f>'RAW DATA 2023'!D728</f>
        <v>A1-009-0047</v>
      </c>
      <c r="C735" s="63" t="str">
        <f t="shared" si="55"/>
        <v>AndamanA1-009-0047</v>
      </c>
      <c r="D735" s="63">
        <f>VLOOKUP(C735,'RAW DATA 2023'!E:BP,63,0)</f>
        <v>8</v>
      </c>
      <c r="E735" s="63" t="str">
        <f t="shared" si="56"/>
        <v>Andaman8</v>
      </c>
      <c r="F735" s="79">
        <f>ROUND(VLOOKUP(C735,'RAW DATA 2023'!E:BO,23,0),0)</f>
        <v>31</v>
      </c>
      <c r="G735" s="79">
        <f>VLOOKUP(C735,'RAW DATA 2023'!E:BO,24,0)</f>
        <v>66.677916666666675</v>
      </c>
      <c r="H735" s="79">
        <f>IFERROR(VLOOKUP(F735,STD!B:G,2,FALSE),"")</f>
        <v>76</v>
      </c>
      <c r="I735" s="100">
        <f t="shared" si="57"/>
        <v>0.87734100877192989</v>
      </c>
      <c r="J735" s="74">
        <f t="shared" si="58"/>
        <v>11.320230263157896</v>
      </c>
      <c r="K735">
        <f>VLOOKUP(C735,'RAW DATA 2023'!E:BO,12,0)</f>
        <v>1.2</v>
      </c>
      <c r="L735" s="268">
        <f t="shared" si="59"/>
        <v>13.584276315789475</v>
      </c>
    </row>
    <row r="736" spans="1:12">
      <c r="A736" s="64" t="str">
        <f>'RAW DATA 2023'!B729</f>
        <v>Andaman</v>
      </c>
      <c r="B736" s="64" t="str">
        <f>'RAW DATA 2023'!D729</f>
        <v>A1-014-0019</v>
      </c>
      <c r="C736" s="63" t="str">
        <f t="shared" si="55"/>
        <v>AndamanA1-014-0019</v>
      </c>
      <c r="D736" s="63">
        <f>VLOOKUP(C736,'RAW DATA 2023'!E:BP,63,0)</f>
        <v>9</v>
      </c>
      <c r="E736" s="63" t="str">
        <f t="shared" si="56"/>
        <v>Andaman9</v>
      </c>
      <c r="F736" s="79">
        <f>ROUND(VLOOKUP(C736,'RAW DATA 2023'!E:BO,23,0),0)</f>
        <v>46</v>
      </c>
      <c r="G736" s="79">
        <f>VLOOKUP(C736,'RAW DATA 2023'!E:BO,24,0)</f>
        <v>41.510000000000005</v>
      </c>
      <c r="H736" s="79">
        <f>IFERROR(VLOOKUP(F736,STD!B:G,2,FALSE),"")</f>
        <v>84</v>
      </c>
      <c r="I736" s="100">
        <f t="shared" si="57"/>
        <v>0.49416666666666675</v>
      </c>
      <c r="J736" s="74">
        <f t="shared" si="58"/>
        <v>-0.17499999999999738</v>
      </c>
      <c r="K736">
        <f>VLOOKUP(C736,'RAW DATA 2023'!E:BO,12,0)</f>
        <v>0.85</v>
      </c>
      <c r="L736" s="268">
        <f t="shared" si="59"/>
        <v>-0.14874999999999777</v>
      </c>
    </row>
    <row r="737" spans="1:12">
      <c r="A737" s="64" t="str">
        <f>'RAW DATA 2023'!B730</f>
        <v>Andaman</v>
      </c>
      <c r="B737" s="64" t="str">
        <f>'RAW DATA 2023'!D730</f>
        <v>A1-012-0022</v>
      </c>
      <c r="C737" s="63" t="str">
        <f t="shared" si="55"/>
        <v>AndamanA1-012-0022</v>
      </c>
      <c r="D737" s="63">
        <f>VLOOKUP(C737,'RAW DATA 2023'!E:BP,63,0)</f>
        <v>3</v>
      </c>
      <c r="E737" s="63" t="str">
        <f t="shared" si="56"/>
        <v>Andaman3</v>
      </c>
      <c r="F737" s="79">
        <f>ROUND(VLOOKUP(C737,'RAW DATA 2023'!E:BO,23,0),0)</f>
        <v>29</v>
      </c>
      <c r="G737" s="79">
        <f>VLOOKUP(C737,'RAW DATA 2023'!E:BO,24,0)</f>
        <v>56.633800000000001</v>
      </c>
      <c r="H737" s="79">
        <f>IFERROR(VLOOKUP(F737,STD!B:G,2,FALSE),"")</f>
        <v>76</v>
      </c>
      <c r="I737" s="100">
        <f t="shared" si="57"/>
        <v>0.74518157894736847</v>
      </c>
      <c r="J737" s="74">
        <f t="shared" si="58"/>
        <v>7.3554473684210544</v>
      </c>
      <c r="K737">
        <f>VLOOKUP(C737,'RAW DATA 2023'!E:BO,12,0)</f>
        <v>1</v>
      </c>
      <c r="L737" s="268">
        <f t="shared" si="59"/>
        <v>7.3554473684210544</v>
      </c>
    </row>
    <row r="738" spans="1:12">
      <c r="A738" s="64" t="str">
        <f>'RAW DATA 2023'!B731</f>
        <v>Andaman</v>
      </c>
      <c r="B738" s="64" t="str">
        <f>'RAW DATA 2023'!D731</f>
        <v>A1-012-0023</v>
      </c>
      <c r="C738" s="63" t="str">
        <f t="shared" si="55"/>
        <v>AndamanA1-012-0023</v>
      </c>
      <c r="D738" s="63">
        <f>VLOOKUP(C738,'RAW DATA 2023'!E:BP,63,0)</f>
        <v>7</v>
      </c>
      <c r="E738" s="63" t="str">
        <f t="shared" si="56"/>
        <v>Andaman7</v>
      </c>
      <c r="F738" s="79">
        <f>ROUND(VLOOKUP(C738,'RAW DATA 2023'!E:BO,23,0),0)</f>
        <v>38</v>
      </c>
      <c r="G738" s="79">
        <f>VLOOKUP(C738,'RAW DATA 2023'!E:BO,24,0)</f>
        <v>81.963250000000002</v>
      </c>
      <c r="H738" s="79">
        <f>IFERROR(VLOOKUP(F738,STD!B:G,2,FALSE),"")</f>
        <v>81</v>
      </c>
      <c r="I738" s="100">
        <f t="shared" si="57"/>
        <v>1.0118919753086419</v>
      </c>
      <c r="J738" s="74">
        <f t="shared" si="58"/>
        <v>15.356759259259258</v>
      </c>
      <c r="K738">
        <f>VLOOKUP(C738,'RAW DATA 2023'!E:BO,12,0)</f>
        <v>0.8</v>
      </c>
      <c r="L738" s="268">
        <f t="shared" si="59"/>
        <v>12.285407407407407</v>
      </c>
    </row>
    <row r="739" spans="1:12">
      <c r="A739" s="64" t="str">
        <f>'RAW DATA 2023'!B732</f>
        <v>Andaman</v>
      </c>
      <c r="B739" s="64" t="str">
        <f>'RAW DATA 2023'!D732</f>
        <v>A1-004-0047</v>
      </c>
      <c r="C739" s="63" t="str">
        <f t="shared" si="55"/>
        <v>AndamanA1-004-0047</v>
      </c>
      <c r="D739" s="63">
        <f>VLOOKUP(C739,'RAW DATA 2023'!E:BP,63,0)</f>
        <v>4</v>
      </c>
      <c r="E739" s="63" t="str">
        <f t="shared" si="56"/>
        <v>Andaman4</v>
      </c>
      <c r="F739" s="79">
        <f>ROUND(VLOOKUP(C739,'RAW DATA 2023'!E:BO,23,0),0)</f>
        <v>35</v>
      </c>
      <c r="G739" s="79">
        <f>VLOOKUP(C739,'RAW DATA 2023'!E:BO,24,0)</f>
        <v>53.12645454545455</v>
      </c>
      <c r="H739" s="79">
        <f>IFERROR(VLOOKUP(F739,STD!B:G,2,FALSE),"")</f>
        <v>80</v>
      </c>
      <c r="I739" s="100">
        <f t="shared" si="57"/>
        <v>0.66408068181818192</v>
      </c>
      <c r="J739" s="74">
        <f t="shared" si="58"/>
        <v>4.922420454545458</v>
      </c>
      <c r="K739">
        <f>VLOOKUP(C739,'RAW DATA 2023'!E:BO,12,0)</f>
        <v>1.1000000000000001</v>
      </c>
      <c r="L739" s="268">
        <f t="shared" si="59"/>
        <v>5.4146625000000039</v>
      </c>
    </row>
    <row r="740" spans="1:12">
      <c r="A740" s="64" t="str">
        <f>'RAW DATA 2023'!B733</f>
        <v>Andaman</v>
      </c>
      <c r="B740" s="64" t="str">
        <f>'RAW DATA 2023'!D733</f>
        <v>A1-008-0045</v>
      </c>
      <c r="C740" s="63" t="str">
        <f t="shared" si="55"/>
        <v>AndamanA1-008-0045</v>
      </c>
      <c r="D740" s="63">
        <f>VLOOKUP(C740,'RAW DATA 2023'!E:BP,63,0)</f>
        <v>3</v>
      </c>
      <c r="E740" s="63" t="str">
        <f t="shared" si="56"/>
        <v>Andaman3</v>
      </c>
      <c r="F740" s="79">
        <f>ROUND(VLOOKUP(C740,'RAW DATA 2023'!E:BO,23,0),0)</f>
        <v>34</v>
      </c>
      <c r="G740" s="79">
        <f>VLOOKUP(C740,'RAW DATA 2023'!E:BO,24,0)</f>
        <v>73.491181818181815</v>
      </c>
      <c r="H740" s="79">
        <f>IFERROR(VLOOKUP(F740,STD!B:G,2,FALSE),"")</f>
        <v>80</v>
      </c>
      <c r="I740" s="100">
        <f t="shared" si="57"/>
        <v>0.91863977272727271</v>
      </c>
      <c r="J740" s="74">
        <f t="shared" si="58"/>
        <v>12.559193181818181</v>
      </c>
      <c r="K740">
        <f>VLOOKUP(C740,'RAW DATA 2023'!E:BO,12,0)</f>
        <v>1.1000000000000001</v>
      </c>
      <c r="L740" s="268">
        <f t="shared" si="59"/>
        <v>13.8151125</v>
      </c>
    </row>
    <row r="741" spans="1:12">
      <c r="A741" s="64" t="str">
        <f>'RAW DATA 2023'!B734</f>
        <v>Andaman</v>
      </c>
      <c r="B741" s="64" t="str">
        <f>'RAW DATA 2023'!D734</f>
        <v>A1-016-0014</v>
      </c>
      <c r="C741" s="63" t="str">
        <f t="shared" si="55"/>
        <v>AndamanA1-016-0014</v>
      </c>
      <c r="D741" s="63">
        <f>VLOOKUP(C741,'RAW DATA 2023'!E:BP,63,0)</f>
        <v>4</v>
      </c>
      <c r="E741" s="63" t="str">
        <f t="shared" si="56"/>
        <v>Andaman4</v>
      </c>
      <c r="F741" s="79">
        <f>ROUND(VLOOKUP(C741,'RAW DATA 2023'!E:BO,23,0),0)</f>
        <v>39</v>
      </c>
      <c r="G741" s="79">
        <f>VLOOKUP(C741,'RAW DATA 2023'!E:BO,24,0)</f>
        <v>54.022999999999996</v>
      </c>
      <c r="H741" s="79">
        <f>IFERROR(VLOOKUP(F741,STD!B:G,2,FALSE),"")</f>
        <v>82</v>
      </c>
      <c r="I741" s="100">
        <f t="shared" si="57"/>
        <v>0.65881707317073168</v>
      </c>
      <c r="J741" s="74">
        <f t="shared" si="58"/>
        <v>4.7645121951219505</v>
      </c>
      <c r="K741">
        <f>VLOOKUP(C741,'RAW DATA 2023'!E:BO,12,0)</f>
        <v>0.9</v>
      </c>
      <c r="L741" s="268">
        <f t="shared" si="59"/>
        <v>4.2880609756097554</v>
      </c>
    </row>
    <row r="742" spans="1:12">
      <c r="A742" s="64" t="str">
        <f>'RAW DATA 2023'!B735</f>
        <v>Andaman</v>
      </c>
      <c r="B742" s="64" t="str">
        <f>'RAW DATA 2023'!D735</f>
        <v>A1-008-0046</v>
      </c>
      <c r="C742" s="63" t="str">
        <f t="shared" si="55"/>
        <v>AndamanA1-008-0046</v>
      </c>
      <c r="D742" s="63">
        <f>VLOOKUP(C742,'RAW DATA 2023'!E:BP,63,0)</f>
        <v>8</v>
      </c>
      <c r="E742" s="63" t="str">
        <f t="shared" si="56"/>
        <v>Andaman8</v>
      </c>
      <c r="F742" s="79">
        <f>ROUND(VLOOKUP(C742,'RAW DATA 2023'!E:BO,23,0),0)</f>
        <v>38</v>
      </c>
      <c r="G742" s="79">
        <f>VLOOKUP(C742,'RAW DATA 2023'!E:BO,24,0)</f>
        <v>92.999499999999998</v>
      </c>
      <c r="H742" s="79">
        <f>IFERROR(VLOOKUP(F742,STD!B:G,2,FALSE),"")</f>
        <v>81</v>
      </c>
      <c r="I742" s="100">
        <f t="shared" si="57"/>
        <v>1.1481419753086419</v>
      </c>
      <c r="J742" s="74">
        <f t="shared" si="58"/>
        <v>19.444259259259258</v>
      </c>
      <c r="K742">
        <f>VLOOKUP(C742,'RAW DATA 2023'!E:BO,12,0)</f>
        <v>1</v>
      </c>
      <c r="L742" s="268">
        <f t="shared" si="59"/>
        <v>19.444259259259258</v>
      </c>
    </row>
    <row r="743" spans="1:12">
      <c r="A743" s="64" t="str">
        <f>'RAW DATA 2023'!B736</f>
        <v>Andaman</v>
      </c>
      <c r="B743" s="64" t="str">
        <f>'RAW DATA 2023'!D736</f>
        <v>A1-004-0048</v>
      </c>
      <c r="C743" s="63" t="str">
        <f t="shared" si="55"/>
        <v>AndamanA1-004-0048</v>
      </c>
      <c r="D743" s="63">
        <f>VLOOKUP(C743,'RAW DATA 2023'!E:BP,63,0)</f>
        <v>8</v>
      </c>
      <c r="E743" s="63" t="str">
        <f t="shared" si="56"/>
        <v>Andaman8</v>
      </c>
      <c r="F743" s="79">
        <f>ROUND(VLOOKUP(C743,'RAW DATA 2023'!E:BO,23,0),0)</f>
        <v>47</v>
      </c>
      <c r="G743" s="79">
        <f>VLOOKUP(C743,'RAW DATA 2023'!E:BO,24,0)</f>
        <v>63.137777777777785</v>
      </c>
      <c r="H743" s="79">
        <f>IFERROR(VLOOKUP(F743,STD!B:G,2,FALSE),"")</f>
        <v>84</v>
      </c>
      <c r="I743" s="100">
        <f t="shared" si="57"/>
        <v>0.75164021164021178</v>
      </c>
      <c r="J743" s="74">
        <f t="shared" si="58"/>
        <v>7.5492063492063535</v>
      </c>
      <c r="K743">
        <f>VLOOKUP(C743,'RAW DATA 2023'!E:BO,12,0)</f>
        <v>0.9</v>
      </c>
      <c r="L743" s="268">
        <f t="shared" si="59"/>
        <v>6.794285714285718</v>
      </c>
    </row>
    <row r="744" spans="1:12">
      <c r="A744" s="64" t="str">
        <f>'RAW DATA 2023'!B737</f>
        <v>Andaman</v>
      </c>
      <c r="B744" s="64" t="str">
        <f>'RAW DATA 2023'!D737</f>
        <v>A1-013-0019</v>
      </c>
      <c r="C744" s="63" t="str">
        <f t="shared" si="55"/>
        <v>AndamanA1-013-0019</v>
      </c>
      <c r="D744" s="63">
        <f>VLOOKUP(C744,'RAW DATA 2023'!E:BP,63,0)</f>
        <v>8</v>
      </c>
      <c r="E744" s="63" t="str">
        <f t="shared" si="56"/>
        <v>Andaman8</v>
      </c>
      <c r="F744" s="79">
        <f>ROUND(VLOOKUP(C744,'RAW DATA 2023'!E:BO,23,0),0)</f>
        <v>86</v>
      </c>
      <c r="G744" s="79">
        <f>VLOOKUP(C744,'RAW DATA 2023'!E:BO,24,0)</f>
        <v>43.2742</v>
      </c>
      <c r="H744" s="79">
        <f>IFERROR(VLOOKUP(F744,STD!B:G,2,FALSE),"")</f>
        <v>90</v>
      </c>
      <c r="I744" s="100">
        <f t="shared" si="57"/>
        <v>0.48082444444444444</v>
      </c>
      <c r="J744" s="74">
        <f t="shared" si="58"/>
        <v>-0.5752666666666667</v>
      </c>
      <c r="K744">
        <f>VLOOKUP(C744,'RAW DATA 2023'!E:BO,12,0)</f>
        <v>1</v>
      </c>
      <c r="L744" s="268">
        <f t="shared" si="59"/>
        <v>-0.5752666666666667</v>
      </c>
    </row>
    <row r="745" spans="1:12">
      <c r="A745" s="64" t="str">
        <f>'RAW DATA 2023'!B738</f>
        <v>SR4</v>
      </c>
      <c r="B745" s="64" t="str">
        <f>'RAW DATA 2023'!D738</f>
        <v>H1-048-0014</v>
      </c>
      <c r="C745" s="63" t="str">
        <f t="shared" si="55"/>
        <v>SR4H1-048-0014</v>
      </c>
      <c r="D745" s="63">
        <f>VLOOKUP(C745,'RAW DATA 2023'!E:BP,63,0)</f>
        <v>9</v>
      </c>
      <c r="E745" s="63" t="str">
        <f t="shared" si="56"/>
        <v>SR49</v>
      </c>
      <c r="F745" s="79">
        <f>ROUND(VLOOKUP(C745,'RAW DATA 2023'!E:BO,23,0),0)</f>
        <v>25</v>
      </c>
      <c r="G745" s="79">
        <f>VLOOKUP(C745,'RAW DATA 2023'!E:BO,24,0)</f>
        <v>40.701933333333336</v>
      </c>
      <c r="H745" s="79">
        <f>IFERROR(VLOOKUP(F745,STD!B:G,2,FALSE),"")</f>
        <v>72</v>
      </c>
      <c r="I745" s="100">
        <f t="shared" si="57"/>
        <v>0.56530462962962968</v>
      </c>
      <c r="J745" s="74">
        <f t="shared" si="58"/>
        <v>1.9591388888888905</v>
      </c>
      <c r="K745">
        <f>VLOOKUP(C745,'RAW DATA 2023'!E:BO,12,0)</f>
        <v>1.5</v>
      </c>
      <c r="L745" s="268">
        <f t="shared" si="59"/>
        <v>2.9387083333333357</v>
      </c>
    </row>
    <row r="746" spans="1:12">
      <c r="A746" s="64" t="str">
        <f>'RAW DATA 2023'!B739</f>
        <v>SR4</v>
      </c>
      <c r="B746" s="64" t="str">
        <f>'RAW DATA 2023'!D739</f>
        <v>H1-047-0012</v>
      </c>
      <c r="C746" s="63" t="str">
        <f t="shared" si="55"/>
        <v>SR4H1-047-0012</v>
      </c>
      <c r="D746" s="63">
        <f>VLOOKUP(C746,'RAW DATA 2023'!E:BP,63,0)</f>
        <v>10</v>
      </c>
      <c r="E746" s="63" t="str">
        <f t="shared" si="56"/>
        <v>SR410</v>
      </c>
      <c r="F746" s="79">
        <f>ROUND(VLOOKUP(C746,'RAW DATA 2023'!E:BO,23,0),0)</f>
        <v>43</v>
      </c>
      <c r="G746" s="79">
        <f>VLOOKUP(C746,'RAW DATA 2023'!E:BO,24,0)</f>
        <v>59.331933333333332</v>
      </c>
      <c r="H746" s="79">
        <f>IFERROR(VLOOKUP(F746,STD!B:G,2,FALSE),"")</f>
        <v>83</v>
      </c>
      <c r="I746" s="100">
        <f t="shared" si="57"/>
        <v>0.71484257028112452</v>
      </c>
      <c r="J746" s="74">
        <f t="shared" si="58"/>
        <v>6.4452771084337357</v>
      </c>
      <c r="K746">
        <f>VLOOKUP(C746,'RAW DATA 2023'!E:BO,12,0)</f>
        <v>1.5</v>
      </c>
      <c r="L746" s="268">
        <f t="shared" si="59"/>
        <v>9.6679156626506035</v>
      </c>
    </row>
    <row r="747" spans="1:12">
      <c r="A747" s="64" t="str">
        <f>'RAW DATA 2023'!B740</f>
        <v>SR4</v>
      </c>
      <c r="B747" s="64" t="str">
        <f>'RAW DATA 2023'!D740</f>
        <v>G2-058-0007</v>
      </c>
      <c r="C747" s="63" t="str">
        <f t="shared" si="55"/>
        <v>SR4G2-058-0007</v>
      </c>
      <c r="D747" s="63">
        <f>VLOOKUP(C747,'RAW DATA 2023'!E:BP,63,0)</f>
        <v>7</v>
      </c>
      <c r="E747" s="63" t="str">
        <f t="shared" si="56"/>
        <v>SR47</v>
      </c>
      <c r="F747" s="79">
        <f>ROUND(VLOOKUP(C747,'RAW DATA 2023'!E:BO,23,0),0)</f>
        <v>19</v>
      </c>
      <c r="G747" s="79">
        <f>VLOOKUP(C747,'RAW DATA 2023'!E:BO,24,0)</f>
        <v>28.044900000000002</v>
      </c>
      <c r="H747" s="79">
        <f>IFERROR(VLOOKUP(F747,STD!B:G,2,FALSE),"")</f>
        <v>69</v>
      </c>
      <c r="I747" s="100">
        <f t="shared" si="57"/>
        <v>0.40644782608695657</v>
      </c>
      <c r="J747" s="74">
        <f t="shared" si="58"/>
        <v>-2.8065652173913032</v>
      </c>
      <c r="K747">
        <f>VLOOKUP(C747,'RAW DATA 2023'!E:BO,12,0)</f>
        <v>1</v>
      </c>
      <c r="L747" s="268">
        <f t="shared" si="59"/>
        <v>-2.8065652173913032</v>
      </c>
    </row>
    <row r="748" spans="1:12">
      <c r="A748" s="64" t="str">
        <f>'RAW DATA 2023'!B741</f>
        <v>SR4</v>
      </c>
      <c r="B748" s="64" t="str">
        <f>'RAW DATA 2023'!D741</f>
        <v>G2-059-0011</v>
      </c>
      <c r="C748" s="63" t="str">
        <f t="shared" si="55"/>
        <v>SR4G2-059-0011</v>
      </c>
      <c r="D748" s="63">
        <f>VLOOKUP(C748,'RAW DATA 2023'!E:BP,63,0)</f>
        <v>8</v>
      </c>
      <c r="E748" s="63" t="str">
        <f t="shared" si="56"/>
        <v>SR48</v>
      </c>
      <c r="F748" s="79">
        <f>ROUND(VLOOKUP(C748,'RAW DATA 2023'!E:BO,23,0),0)</f>
        <v>24</v>
      </c>
      <c r="G748" s="79">
        <f>VLOOKUP(C748,'RAW DATA 2023'!E:BO,24,0)</f>
        <v>49.736499999999999</v>
      </c>
      <c r="H748" s="79">
        <f>IFERROR(VLOOKUP(F748,STD!B:G,2,FALSE),"")</f>
        <v>72</v>
      </c>
      <c r="I748" s="100">
        <f t="shared" si="57"/>
        <v>0.6907847222222222</v>
      </c>
      <c r="J748" s="74">
        <f t="shared" si="58"/>
        <v>5.7235416666666659</v>
      </c>
      <c r="K748">
        <f>VLOOKUP(C748,'RAW DATA 2023'!E:BO,12,0)</f>
        <v>1</v>
      </c>
      <c r="L748" s="268">
        <f t="shared" si="59"/>
        <v>5.7235416666666659</v>
      </c>
    </row>
    <row r="749" spans="1:12">
      <c r="A749" s="64" t="str">
        <f>'RAW DATA 2023'!B742</f>
        <v>SR4</v>
      </c>
      <c r="B749" s="64" t="str">
        <f>'RAW DATA 2023'!D742</f>
        <v>G1-052-0012</v>
      </c>
      <c r="C749" s="63" t="str">
        <f t="shared" si="55"/>
        <v>SR4G1-052-0012</v>
      </c>
      <c r="D749" s="63">
        <f>VLOOKUP(C749,'RAW DATA 2023'!E:BP,63,0)</f>
        <v>11</v>
      </c>
      <c r="E749" s="63" t="str">
        <f t="shared" si="56"/>
        <v>SR411</v>
      </c>
      <c r="F749" s="79">
        <f>ROUND(VLOOKUP(C749,'RAW DATA 2023'!E:BO,23,0),0)</f>
        <v>23</v>
      </c>
      <c r="G749" s="79">
        <f>VLOOKUP(C749,'RAW DATA 2023'!E:BO,24,0)</f>
        <v>40.998899999999999</v>
      </c>
      <c r="H749" s="79">
        <f>IFERROR(VLOOKUP(F749,STD!B:G,2,FALSE),"")</f>
        <v>71</v>
      </c>
      <c r="I749" s="100">
        <f t="shared" si="57"/>
        <v>0.57744929577464787</v>
      </c>
      <c r="J749" s="74">
        <f t="shared" si="58"/>
        <v>2.323478873239436</v>
      </c>
      <c r="K749">
        <f>VLOOKUP(C749,'RAW DATA 2023'!E:BO,12,0)</f>
        <v>1</v>
      </c>
      <c r="L749" s="268">
        <f t="shared" si="59"/>
        <v>2.323478873239436</v>
      </c>
    </row>
    <row r="750" spans="1:12">
      <c r="A750" s="64" t="str">
        <f>'RAW DATA 2023'!B743</f>
        <v>SR4</v>
      </c>
      <c r="B750" s="64" t="str">
        <f>'RAW DATA 2023'!D743</f>
        <v>G1-053-0009</v>
      </c>
      <c r="C750" s="63" t="str">
        <f t="shared" si="55"/>
        <v>SR4G1-053-0009</v>
      </c>
      <c r="D750" s="63">
        <f>VLOOKUP(C750,'RAW DATA 2023'!E:BP,63,0)</f>
        <v>10</v>
      </c>
      <c r="E750" s="63" t="str">
        <f t="shared" si="56"/>
        <v>SR410</v>
      </c>
      <c r="F750" s="79">
        <f>ROUND(VLOOKUP(C750,'RAW DATA 2023'!E:BO,23,0),0)</f>
        <v>22</v>
      </c>
      <c r="G750" s="79">
        <f>VLOOKUP(C750,'RAW DATA 2023'!E:BO,24,0)</f>
        <v>45.804899999999996</v>
      </c>
      <c r="H750" s="79">
        <f>IFERROR(VLOOKUP(F750,STD!B:G,2,FALSE),"")</f>
        <v>71</v>
      </c>
      <c r="I750" s="100">
        <f t="shared" si="57"/>
        <v>0.64513943661971829</v>
      </c>
      <c r="J750" s="74">
        <f t="shared" si="58"/>
        <v>4.3541830985915482</v>
      </c>
      <c r="K750">
        <f>VLOOKUP(C750,'RAW DATA 2023'!E:BO,12,0)</f>
        <v>1</v>
      </c>
      <c r="L750" s="268">
        <f t="shared" si="59"/>
        <v>4.3541830985915482</v>
      </c>
    </row>
    <row r="751" spans="1:12">
      <c r="A751" s="64" t="str">
        <f>'RAW DATA 2023'!B744</f>
        <v>SR4</v>
      </c>
      <c r="B751" s="64" t="str">
        <f>'RAW DATA 2023'!D744</f>
        <v>G1-051-0010</v>
      </c>
      <c r="C751" s="63" t="str">
        <f t="shared" si="55"/>
        <v>SR4G1-051-0010</v>
      </c>
      <c r="D751" s="63">
        <f>VLOOKUP(C751,'RAW DATA 2023'!E:BP,63,0)</f>
        <v>10</v>
      </c>
      <c r="E751" s="63" t="str">
        <f t="shared" si="56"/>
        <v>SR410</v>
      </c>
      <c r="F751" s="79">
        <f>ROUND(VLOOKUP(C751,'RAW DATA 2023'!E:BO,23,0),0)</f>
        <v>24</v>
      </c>
      <c r="G751" s="79">
        <f>VLOOKUP(C751,'RAW DATA 2023'!E:BO,24,0)</f>
        <v>44.3123</v>
      </c>
      <c r="H751" s="79">
        <f>IFERROR(VLOOKUP(F751,STD!B:G,2,FALSE),"")</f>
        <v>72</v>
      </c>
      <c r="I751" s="100">
        <f t="shared" si="57"/>
        <v>0.61544861111111115</v>
      </c>
      <c r="J751" s="74">
        <f t="shared" si="58"/>
        <v>3.4634583333333344</v>
      </c>
      <c r="K751">
        <f>VLOOKUP(C751,'RAW DATA 2023'!E:BO,12,0)</f>
        <v>1</v>
      </c>
      <c r="L751" s="268">
        <f t="shared" si="59"/>
        <v>3.4634583333333344</v>
      </c>
    </row>
    <row r="752" spans="1:12">
      <c r="A752" s="64" t="str">
        <f>'RAW DATA 2023'!B745</f>
        <v>SR4</v>
      </c>
      <c r="B752" s="64" t="str">
        <f>'RAW DATA 2023'!D745</f>
        <v>G2-058-0008</v>
      </c>
      <c r="C752" s="63" t="str">
        <f t="shared" si="55"/>
        <v>SR4G2-058-0008</v>
      </c>
      <c r="D752" s="63">
        <f>VLOOKUP(C752,'RAW DATA 2023'!E:BP,63,0)</f>
        <v>12</v>
      </c>
      <c r="E752" s="63" t="str">
        <f t="shared" si="56"/>
        <v>SR412</v>
      </c>
      <c r="F752" s="79">
        <f>ROUND(VLOOKUP(C752,'RAW DATA 2023'!E:BO,23,0),0)</f>
        <v>34</v>
      </c>
      <c r="G752" s="79">
        <f>VLOOKUP(C752,'RAW DATA 2023'!E:BO,24,0)</f>
        <v>36.8035</v>
      </c>
      <c r="H752" s="79">
        <f>IFERROR(VLOOKUP(F752,STD!B:G,2,FALSE),"")</f>
        <v>80</v>
      </c>
      <c r="I752" s="100">
        <f t="shared" si="57"/>
        <v>0.46004374999999997</v>
      </c>
      <c r="J752" s="74">
        <f t="shared" si="58"/>
        <v>-1.1986875000000008</v>
      </c>
      <c r="K752">
        <f>VLOOKUP(C752,'RAW DATA 2023'!E:BO,12,0)</f>
        <v>1</v>
      </c>
      <c r="L752" s="268">
        <f t="shared" si="59"/>
        <v>-1.1986875000000008</v>
      </c>
    </row>
    <row r="753" spans="1:12">
      <c r="A753" s="64" t="str">
        <f>'RAW DATA 2023'!B746</f>
        <v>SR4</v>
      </c>
      <c r="B753" s="64" t="str">
        <f>'RAW DATA 2023'!D746</f>
        <v>G1-052-0011</v>
      </c>
      <c r="C753" s="63" t="str">
        <f t="shared" si="55"/>
        <v>SR4G1-052-0011</v>
      </c>
      <c r="D753" s="63">
        <f>VLOOKUP(C753,'RAW DATA 2023'!E:BP,63,0)</f>
        <v>6</v>
      </c>
      <c r="E753" s="63" t="str">
        <f t="shared" si="56"/>
        <v>SR46</v>
      </c>
      <c r="F753" s="79">
        <f>ROUND(VLOOKUP(C753,'RAW DATA 2023'!E:BO,23,0),0)</f>
        <v>28</v>
      </c>
      <c r="G753" s="79">
        <f>VLOOKUP(C753,'RAW DATA 2023'!E:BO,24,0)</f>
        <v>64.4649</v>
      </c>
      <c r="H753" s="79">
        <f>IFERROR(VLOOKUP(F753,STD!B:G,2,FALSE),"")</f>
        <v>75</v>
      </c>
      <c r="I753" s="100">
        <f t="shared" si="57"/>
        <v>0.85953199999999996</v>
      </c>
      <c r="J753" s="74">
        <f t="shared" si="58"/>
        <v>10.785959999999999</v>
      </c>
      <c r="K753">
        <f>VLOOKUP(C753,'RAW DATA 2023'!E:BO,12,0)</f>
        <v>1</v>
      </c>
      <c r="L753" s="268">
        <f t="shared" si="59"/>
        <v>10.785959999999999</v>
      </c>
    </row>
    <row r="754" spans="1:12">
      <c r="A754" s="64" t="str">
        <f>'RAW DATA 2023'!B747</f>
        <v>SR4</v>
      </c>
      <c r="B754" s="64" t="str">
        <f>'RAW DATA 2023'!D747</f>
        <v>G2-057-0010</v>
      </c>
      <c r="C754" s="63" t="str">
        <f t="shared" si="55"/>
        <v>SR4G2-057-0010</v>
      </c>
      <c r="D754" s="63">
        <f>VLOOKUP(C754,'RAW DATA 2023'!E:BP,63,0)</f>
        <v>9</v>
      </c>
      <c r="E754" s="63" t="str">
        <f t="shared" si="56"/>
        <v>SR49</v>
      </c>
      <c r="F754" s="79">
        <f>ROUND(VLOOKUP(C754,'RAW DATA 2023'!E:BO,23,0),0)</f>
        <v>26</v>
      </c>
      <c r="G754" s="79">
        <f>VLOOKUP(C754,'RAW DATA 2023'!E:BO,24,0)</f>
        <v>76.338300000000004</v>
      </c>
      <c r="H754" s="79">
        <f>IFERROR(VLOOKUP(F754,STD!B:G,2,FALSE),"")</f>
        <v>75</v>
      </c>
      <c r="I754" s="100">
        <f t="shared" si="57"/>
        <v>1.017844</v>
      </c>
      <c r="J754" s="74">
        <f t="shared" si="58"/>
        <v>15.535319999999999</v>
      </c>
      <c r="K754">
        <f>VLOOKUP(C754,'RAW DATA 2023'!E:BO,12,0)</f>
        <v>1</v>
      </c>
      <c r="L754" s="268">
        <f t="shared" si="59"/>
        <v>15.535319999999999</v>
      </c>
    </row>
    <row r="755" spans="1:12">
      <c r="A755" s="64" t="str">
        <f>'RAW DATA 2023'!B748</f>
        <v>SR4</v>
      </c>
      <c r="B755" s="64" t="str">
        <f>'RAW DATA 2023'!D748</f>
        <v>G1-053-0008</v>
      </c>
      <c r="C755" s="63" t="str">
        <f t="shared" si="55"/>
        <v>SR4G1-053-0008</v>
      </c>
      <c r="D755" s="63">
        <f>VLOOKUP(C755,'RAW DATA 2023'!E:BP,63,0)</f>
        <v>5</v>
      </c>
      <c r="E755" s="63" t="str">
        <f t="shared" si="56"/>
        <v>SR45</v>
      </c>
      <c r="F755" s="79">
        <f>ROUND(VLOOKUP(C755,'RAW DATA 2023'!E:BO,23,0),0)</f>
        <v>34</v>
      </c>
      <c r="G755" s="79">
        <f>VLOOKUP(C755,'RAW DATA 2023'!E:BO,24,0)</f>
        <v>25.505100000000002</v>
      </c>
      <c r="H755" s="79">
        <f>IFERROR(VLOOKUP(F755,STD!B:G,2,FALSE),"")</f>
        <v>80</v>
      </c>
      <c r="I755" s="100">
        <f t="shared" si="57"/>
        <v>0.31881375000000001</v>
      </c>
      <c r="J755" s="74">
        <f t="shared" si="58"/>
        <v>-5.4355874999999996</v>
      </c>
      <c r="K755">
        <f>VLOOKUP(C755,'RAW DATA 2023'!E:BO,12,0)</f>
        <v>1</v>
      </c>
      <c r="L755" s="268">
        <f t="shared" si="59"/>
        <v>-5.4355874999999996</v>
      </c>
    </row>
    <row r="756" spans="1:12">
      <c r="A756" s="64" t="str">
        <f>'RAW DATA 2023'!B749</f>
        <v>SR4</v>
      </c>
      <c r="B756" s="64" t="str">
        <f>'RAW DATA 2023'!D749</f>
        <v>G1-051-0009</v>
      </c>
      <c r="C756" s="63" t="str">
        <f t="shared" si="55"/>
        <v>SR4G1-051-0009</v>
      </c>
      <c r="D756" s="63">
        <f>VLOOKUP(C756,'RAW DATA 2023'!E:BP,63,0)</f>
        <v>5</v>
      </c>
      <c r="E756" s="63" t="str">
        <f t="shared" si="56"/>
        <v>SR45</v>
      </c>
      <c r="F756" s="79">
        <f>ROUND(VLOOKUP(C756,'RAW DATA 2023'!E:BO,23,0),0)</f>
        <v>28</v>
      </c>
      <c r="G756" s="79">
        <f>VLOOKUP(C756,'RAW DATA 2023'!E:BO,24,0)</f>
        <v>66.208699999999993</v>
      </c>
      <c r="H756" s="79">
        <f>IFERROR(VLOOKUP(F756,STD!B:G,2,FALSE),"")</f>
        <v>75</v>
      </c>
      <c r="I756" s="100">
        <f t="shared" si="57"/>
        <v>0.8827826666666666</v>
      </c>
      <c r="J756" s="74">
        <f t="shared" si="58"/>
        <v>11.483479999999998</v>
      </c>
      <c r="K756">
        <f>VLOOKUP(C756,'RAW DATA 2023'!E:BO,12,0)</f>
        <v>1</v>
      </c>
      <c r="L756" s="268">
        <f t="shared" si="59"/>
        <v>11.483479999999998</v>
      </c>
    </row>
    <row r="757" spans="1:12">
      <c r="A757" s="64" t="str">
        <f>'RAW DATA 2023'!B750</f>
        <v>SR4</v>
      </c>
      <c r="B757" s="64" t="str">
        <f>'RAW DATA 2023'!D750</f>
        <v>G2-059-0012</v>
      </c>
      <c r="C757" s="63" t="str">
        <f t="shared" si="55"/>
        <v>SR4G2-059-0012</v>
      </c>
      <c r="D757" s="63">
        <f>VLOOKUP(C757,'RAW DATA 2023'!E:BP,63,0)</f>
        <v>12</v>
      </c>
      <c r="E757" s="63" t="str">
        <f t="shared" si="56"/>
        <v>SR412</v>
      </c>
      <c r="F757" s="79">
        <f>ROUND(VLOOKUP(C757,'RAW DATA 2023'!E:BO,23,0),0)</f>
        <v>40</v>
      </c>
      <c r="G757" s="79">
        <f>VLOOKUP(C757,'RAW DATA 2023'!E:BO,24,0)</f>
        <v>41.840800000000002</v>
      </c>
      <c r="H757" s="79">
        <f>IFERROR(VLOOKUP(F757,STD!B:G,2,FALSE),"")</f>
        <v>82</v>
      </c>
      <c r="I757" s="100">
        <f t="shared" si="57"/>
        <v>0.51025365853658533</v>
      </c>
      <c r="J757" s="74">
        <f t="shared" si="58"/>
        <v>0.30760975609755992</v>
      </c>
      <c r="K757">
        <f>VLOOKUP(C757,'RAW DATA 2023'!E:BO,12,0)</f>
        <v>1</v>
      </c>
      <c r="L757" s="268">
        <f t="shared" si="59"/>
        <v>0.30760975609755992</v>
      </c>
    </row>
    <row r="758" spans="1:12">
      <c r="A758" s="64" t="str">
        <f>'RAW DATA 2023'!B751</f>
        <v>SR4</v>
      </c>
      <c r="B758" s="64" t="str">
        <f>'RAW DATA 2023'!D751</f>
        <v>G2-059-0010</v>
      </c>
      <c r="C758" s="63" t="str">
        <f t="shared" si="55"/>
        <v>SR4G2-059-0010</v>
      </c>
      <c r="D758" s="63">
        <f>VLOOKUP(C758,'RAW DATA 2023'!E:BP,63,0)</f>
        <v>4</v>
      </c>
      <c r="E758" s="63" t="str">
        <f t="shared" si="56"/>
        <v>SR44</v>
      </c>
      <c r="F758" s="79">
        <f>ROUND(VLOOKUP(C758,'RAW DATA 2023'!E:BO,23,0),0)</f>
        <v>40</v>
      </c>
      <c r="G758" s="79">
        <f>VLOOKUP(C758,'RAW DATA 2023'!E:BO,24,0)</f>
        <v>33.679818181818185</v>
      </c>
      <c r="H758" s="79">
        <f>IFERROR(VLOOKUP(F758,STD!B:G,2,FALSE),"")</f>
        <v>82</v>
      </c>
      <c r="I758" s="100">
        <f t="shared" si="57"/>
        <v>0.41072949002217296</v>
      </c>
      <c r="J758" s="74">
        <f t="shared" si="58"/>
        <v>-2.6781152993348112</v>
      </c>
      <c r="K758">
        <f>VLOOKUP(C758,'RAW DATA 2023'!E:BO,12,0)</f>
        <v>1.1000000000000001</v>
      </c>
      <c r="L758" s="268">
        <f t="shared" si="59"/>
        <v>-2.9459268292682927</v>
      </c>
    </row>
    <row r="759" spans="1:12">
      <c r="A759" s="64" t="str">
        <f>'RAW DATA 2023'!B752</f>
        <v>SR4</v>
      </c>
      <c r="B759" s="64" t="str">
        <f>'RAW DATA 2023'!D752</f>
        <v>G2-058-0006</v>
      </c>
      <c r="C759" s="63" t="str">
        <f t="shared" si="55"/>
        <v>SR4G2-058-0006</v>
      </c>
      <c r="D759" s="63">
        <f>VLOOKUP(C759,'RAW DATA 2023'!E:BP,63,0)</f>
        <v>2</v>
      </c>
      <c r="E759" s="63" t="str">
        <f t="shared" si="56"/>
        <v>SR42</v>
      </c>
      <c r="F759" s="79">
        <f>ROUND(VLOOKUP(C759,'RAW DATA 2023'!E:BO,23,0),0)</f>
        <v>124</v>
      </c>
      <c r="G759" s="79">
        <f>VLOOKUP(C759,'RAW DATA 2023'!E:BO,24,0)</f>
        <v>89.296333333333337</v>
      </c>
      <c r="H759" s="79">
        <f>IFERROR(VLOOKUP(F759,STD!B:G,2,FALSE),"")</f>
        <v>92</v>
      </c>
      <c r="I759" s="100">
        <f t="shared" si="57"/>
        <v>0.97061231884057975</v>
      </c>
      <c r="J759" s="74">
        <f t="shared" si="58"/>
        <v>14.118369565217392</v>
      </c>
      <c r="K759">
        <f>VLOOKUP(C759,'RAW DATA 2023'!E:BO,12,0)</f>
        <v>0.9</v>
      </c>
      <c r="L759" s="268">
        <f t="shared" si="59"/>
        <v>12.706532608695653</v>
      </c>
    </row>
    <row r="760" spans="1:12">
      <c r="A760" s="64" t="str">
        <f>'RAW DATA 2023'!B753</f>
        <v>SR4</v>
      </c>
      <c r="B760" s="64" t="str">
        <f>'RAW DATA 2023'!D753</f>
        <v>G2-057-0008</v>
      </c>
      <c r="C760" s="63" t="str">
        <f t="shared" si="55"/>
        <v>SR4G2-057-0008</v>
      </c>
      <c r="D760" s="63">
        <f>VLOOKUP(C760,'RAW DATA 2023'!E:BP,63,0)</f>
        <v>1</v>
      </c>
      <c r="E760" s="63" t="str">
        <f t="shared" si="56"/>
        <v>SR41</v>
      </c>
      <c r="F760" s="79">
        <f>ROUND(VLOOKUP(C760,'RAW DATA 2023'!E:BO,23,0),0)</f>
        <v>183</v>
      </c>
      <c r="G760" s="79">
        <f>VLOOKUP(C760,'RAW DATA 2023'!E:BO,24,0)</f>
        <v>60.021363636363631</v>
      </c>
      <c r="H760" s="79">
        <f>IFERROR(VLOOKUP(F760,STD!B:G,2,FALSE),"")</f>
        <v>95</v>
      </c>
      <c r="I760" s="100">
        <f t="shared" si="57"/>
        <v>0.63180382775119615</v>
      </c>
      <c r="J760" s="74">
        <f t="shared" si="58"/>
        <v>3.9541148325358844</v>
      </c>
      <c r="K760">
        <f>VLOOKUP(C760,'RAW DATA 2023'!E:BO,12,0)</f>
        <v>1.1000000000000001</v>
      </c>
      <c r="L760" s="268">
        <f t="shared" si="59"/>
        <v>4.3495263157894728</v>
      </c>
    </row>
    <row r="761" spans="1:12">
      <c r="A761" s="64" t="str">
        <f>'RAW DATA 2023'!B754</f>
        <v>SR4</v>
      </c>
      <c r="B761" s="64" t="str">
        <f>'RAW DATA 2023'!D754</f>
        <v>G2-057-0009</v>
      </c>
      <c r="C761" s="63" t="str">
        <f t="shared" si="55"/>
        <v>SR4G2-057-0009</v>
      </c>
      <c r="D761" s="63">
        <f>VLOOKUP(C761,'RAW DATA 2023'!E:BP,63,0)</f>
        <v>3</v>
      </c>
      <c r="E761" s="63" t="str">
        <f t="shared" si="56"/>
        <v>SR43</v>
      </c>
      <c r="F761" s="79">
        <f>ROUND(VLOOKUP(C761,'RAW DATA 2023'!E:BO,23,0),0)</f>
        <v>0</v>
      </c>
      <c r="G761" s="79">
        <f>VLOOKUP(C761,'RAW DATA 2023'!E:BO,24,0)</f>
        <v>0</v>
      </c>
      <c r="H761" s="79" t="str">
        <f>IFERROR(VLOOKUP(F761,STD!B:G,2,FALSE),"")</f>
        <v/>
      </c>
      <c r="I761" s="100">
        <f t="shared" si="57"/>
        <v>0</v>
      </c>
      <c r="J761" s="74">
        <f t="shared" si="58"/>
        <v>-15</v>
      </c>
      <c r="K761">
        <f>VLOOKUP(C761,'RAW DATA 2023'!E:BO,12,0)</f>
        <v>0.3</v>
      </c>
      <c r="L761" s="268">
        <f t="shared" si="59"/>
        <v>-4.5</v>
      </c>
    </row>
    <row r="762" spans="1:12">
      <c r="A762" s="64" t="str">
        <f>'RAW DATA 2023'!B755</f>
        <v>SR4</v>
      </c>
      <c r="B762" s="64" t="str">
        <f>'RAW DATA 2023'!D755</f>
        <v>F1-022-0003</v>
      </c>
      <c r="C762" s="63" t="str">
        <f t="shared" si="55"/>
        <v>SR4F1-022-0003</v>
      </c>
      <c r="D762" s="63">
        <f>VLOOKUP(C762,'RAW DATA 2023'!E:BP,63,0)</f>
        <v>7</v>
      </c>
      <c r="E762" s="63" t="str">
        <f t="shared" si="56"/>
        <v>SR47</v>
      </c>
      <c r="F762" s="79">
        <f>ROUND(VLOOKUP(C762,'RAW DATA 2023'!E:BO,23,0),0)</f>
        <v>38</v>
      </c>
      <c r="G762" s="79">
        <f>VLOOKUP(C762,'RAW DATA 2023'!E:BO,24,0)</f>
        <v>55.918399999999998</v>
      </c>
      <c r="H762" s="79">
        <f>IFERROR(VLOOKUP(F762,STD!B:G,2,FALSE),"")</f>
        <v>81</v>
      </c>
      <c r="I762" s="100">
        <f t="shared" si="57"/>
        <v>0.69035061728395064</v>
      </c>
      <c r="J762" s="74">
        <f t="shared" si="58"/>
        <v>5.7105185185185192</v>
      </c>
      <c r="K762">
        <f>VLOOKUP(C762,'RAW DATA 2023'!E:BO,12,0)</f>
        <v>4</v>
      </c>
      <c r="L762" s="268">
        <f t="shared" si="59"/>
        <v>22.842074074074077</v>
      </c>
    </row>
    <row r="763" spans="1:12">
      <c r="A763" s="64" t="str">
        <f>'RAW DATA 2023'!B756</f>
        <v>SR4</v>
      </c>
      <c r="B763" s="64" t="str">
        <f>'RAW DATA 2023'!D756</f>
        <v>B1-066-0008</v>
      </c>
      <c r="C763" s="63" t="str">
        <f t="shared" si="55"/>
        <v>SR4B1-066-0008</v>
      </c>
      <c r="D763" s="63">
        <f>VLOOKUP(C763,'RAW DATA 2023'!E:BP,63,0)</f>
        <v>7</v>
      </c>
      <c r="E763" s="63" t="str">
        <f t="shared" si="56"/>
        <v>SR47</v>
      </c>
      <c r="F763" s="79">
        <f>ROUND(VLOOKUP(C763,'RAW DATA 2023'!E:BO,23,0),0)</f>
        <v>23</v>
      </c>
      <c r="G763" s="79">
        <f>VLOOKUP(C763,'RAW DATA 2023'!E:BO,24,0)</f>
        <v>36.238999999999997</v>
      </c>
      <c r="H763" s="79">
        <f>IFERROR(VLOOKUP(F763,STD!B:G,2,FALSE),"")</f>
        <v>71</v>
      </c>
      <c r="I763" s="100">
        <f t="shared" si="57"/>
        <v>0.51040845070422536</v>
      </c>
      <c r="J763" s="74">
        <f t="shared" si="58"/>
        <v>0.31225352112676075</v>
      </c>
      <c r="K763">
        <f>VLOOKUP(C763,'RAW DATA 2023'!E:BO,12,0)</f>
        <v>0.6</v>
      </c>
      <c r="L763" s="268">
        <f t="shared" si="59"/>
        <v>0.18735211267605645</v>
      </c>
    </row>
    <row r="764" spans="1:12">
      <c r="A764" s="64" t="str">
        <f>'RAW DATA 2023'!B757</f>
        <v>SR4</v>
      </c>
      <c r="B764" s="64" t="str">
        <f>'RAW DATA 2023'!D757</f>
        <v>B1-063-0009</v>
      </c>
      <c r="C764" s="63" t="str">
        <f t="shared" si="55"/>
        <v>SR4B1-063-0009</v>
      </c>
      <c r="D764" s="63">
        <f>VLOOKUP(C764,'RAW DATA 2023'!E:BP,63,0)</f>
        <v>10</v>
      </c>
      <c r="E764" s="63" t="str">
        <f t="shared" si="56"/>
        <v>SR410</v>
      </c>
      <c r="F764" s="79">
        <f>ROUND(VLOOKUP(C764,'RAW DATA 2023'!E:BO,23,0),0)</f>
        <v>27</v>
      </c>
      <c r="G764" s="79">
        <f>VLOOKUP(C764,'RAW DATA 2023'!E:BO,24,0)</f>
        <v>49.012</v>
      </c>
      <c r="H764" s="79">
        <f>IFERROR(VLOOKUP(F764,STD!B:G,2,FALSE),"")</f>
        <v>75</v>
      </c>
      <c r="I764" s="100">
        <f t="shared" si="57"/>
        <v>0.65349333333333337</v>
      </c>
      <c r="J764" s="74">
        <f t="shared" si="58"/>
        <v>4.6048000000000009</v>
      </c>
      <c r="K764">
        <f>VLOOKUP(C764,'RAW DATA 2023'!E:BO,12,0)</f>
        <v>1</v>
      </c>
      <c r="L764" s="268">
        <f t="shared" si="59"/>
        <v>4.6048000000000009</v>
      </c>
    </row>
    <row r="765" spans="1:12">
      <c r="A765" s="64" t="str">
        <f>'RAW DATA 2023'!B758</f>
        <v>SR4</v>
      </c>
      <c r="B765" s="64" t="str">
        <f>'RAW DATA 2023'!D758</f>
        <v>B1-068-0003</v>
      </c>
      <c r="C765" s="63" t="str">
        <f t="shared" si="55"/>
        <v>SR4B1-068-0003</v>
      </c>
      <c r="D765" s="63">
        <f>VLOOKUP(C765,'RAW DATA 2023'!E:BP,63,0)</f>
        <v>6</v>
      </c>
      <c r="E765" s="63" t="str">
        <f t="shared" si="56"/>
        <v>SR46</v>
      </c>
      <c r="F765" s="79">
        <f>ROUND(VLOOKUP(C765,'RAW DATA 2023'!E:BO,23,0),0)</f>
        <v>27</v>
      </c>
      <c r="G765" s="79">
        <f>VLOOKUP(C765,'RAW DATA 2023'!E:BO,24,0)</f>
        <v>51.740333333333332</v>
      </c>
      <c r="H765" s="79">
        <f>IFERROR(VLOOKUP(F765,STD!B:G,2,FALSE),"")</f>
        <v>75</v>
      </c>
      <c r="I765" s="100">
        <f t="shared" si="57"/>
        <v>0.6898711111111111</v>
      </c>
      <c r="J765" s="74">
        <f t="shared" si="58"/>
        <v>5.696133333333333</v>
      </c>
      <c r="K765">
        <f>VLOOKUP(C765,'RAW DATA 2023'!E:BO,12,0)</f>
        <v>0.6</v>
      </c>
      <c r="L765" s="268">
        <f t="shared" si="59"/>
        <v>3.4176799999999998</v>
      </c>
    </row>
    <row r="766" spans="1:12">
      <c r="A766" s="64" t="str">
        <f>'RAW DATA 2023'!B759</f>
        <v>SR4</v>
      </c>
      <c r="B766" s="64" t="str">
        <f>'RAW DATA 2023'!D759</f>
        <v>B1-065-0002</v>
      </c>
      <c r="C766" s="63" t="str">
        <f t="shared" si="55"/>
        <v>SR4B1-065-0002</v>
      </c>
      <c r="D766" s="63">
        <f>VLOOKUP(C766,'RAW DATA 2023'!E:BP,63,0)</f>
        <v>6</v>
      </c>
      <c r="E766" s="63" t="str">
        <f t="shared" si="56"/>
        <v>SR46</v>
      </c>
      <c r="F766" s="79">
        <f>ROUND(VLOOKUP(C766,'RAW DATA 2023'!E:BO,23,0),0)</f>
        <v>25</v>
      </c>
      <c r="G766" s="79">
        <f>VLOOKUP(C766,'RAW DATA 2023'!E:BO,24,0)</f>
        <v>54.012333333333331</v>
      </c>
      <c r="H766" s="79">
        <f>IFERROR(VLOOKUP(F766,STD!B:G,2,FALSE),"")</f>
        <v>72</v>
      </c>
      <c r="I766" s="100">
        <f t="shared" si="57"/>
        <v>0.75017129629629631</v>
      </c>
      <c r="J766" s="74">
        <f t="shared" si="58"/>
        <v>7.5051388888888892</v>
      </c>
      <c r="K766">
        <f>VLOOKUP(C766,'RAW DATA 2023'!E:BO,12,0)</f>
        <v>0.6</v>
      </c>
      <c r="L766" s="268">
        <f t="shared" si="59"/>
        <v>4.5030833333333335</v>
      </c>
    </row>
    <row r="767" spans="1:12">
      <c r="A767" s="64" t="str">
        <f>'RAW DATA 2023'!B760</f>
        <v>SR4</v>
      </c>
      <c r="B767" s="64" t="str">
        <f>'RAW DATA 2023'!D760</f>
        <v>B1-064-0008</v>
      </c>
      <c r="C767" s="63" t="str">
        <f t="shared" si="55"/>
        <v>SR4B1-064-0008</v>
      </c>
      <c r="D767" s="63">
        <f>VLOOKUP(C767,'RAW DATA 2023'!E:BP,63,0)</f>
        <v>10</v>
      </c>
      <c r="E767" s="63" t="str">
        <f t="shared" si="56"/>
        <v>SR410</v>
      </c>
      <c r="F767" s="79">
        <f>ROUND(VLOOKUP(C767,'RAW DATA 2023'!E:BO,23,0),0)</f>
        <v>29</v>
      </c>
      <c r="G767" s="79">
        <f>VLOOKUP(C767,'RAW DATA 2023'!E:BO,24,0)</f>
        <v>57.631500000000003</v>
      </c>
      <c r="H767" s="79">
        <f>IFERROR(VLOOKUP(F767,STD!B:G,2,FALSE),"")</f>
        <v>76</v>
      </c>
      <c r="I767" s="100">
        <f t="shared" si="57"/>
        <v>0.75830921052631584</v>
      </c>
      <c r="J767" s="74">
        <f t="shared" si="58"/>
        <v>7.7492763157894746</v>
      </c>
      <c r="K767">
        <f>VLOOKUP(C767,'RAW DATA 2023'!E:BO,12,0)</f>
        <v>1</v>
      </c>
      <c r="L767" s="268">
        <f t="shared" si="59"/>
        <v>7.7492763157894746</v>
      </c>
    </row>
    <row r="768" spans="1:12">
      <c r="A768" s="64" t="str">
        <f>'RAW DATA 2023'!B761</f>
        <v>SR4</v>
      </c>
      <c r="B768" s="64" t="str">
        <f>'RAW DATA 2023'!D761</f>
        <v>B1-067-0010</v>
      </c>
      <c r="C768" s="63" t="str">
        <f t="shared" si="55"/>
        <v>SR4B1-067-0010</v>
      </c>
      <c r="D768" s="63">
        <f>VLOOKUP(C768,'RAW DATA 2023'!E:BP,63,0)</f>
        <v>6</v>
      </c>
      <c r="E768" s="63" t="str">
        <f t="shared" si="56"/>
        <v>SR46</v>
      </c>
      <c r="F768" s="79">
        <f>ROUND(VLOOKUP(C768,'RAW DATA 2023'!E:BO,23,0),0)</f>
        <v>29</v>
      </c>
      <c r="G768" s="79">
        <f>VLOOKUP(C768,'RAW DATA 2023'!E:BO,24,0)</f>
        <v>60.825499999999998</v>
      </c>
      <c r="H768" s="79">
        <f>IFERROR(VLOOKUP(F768,STD!B:G,2,FALSE),"")</f>
        <v>76</v>
      </c>
      <c r="I768" s="100">
        <f t="shared" si="57"/>
        <v>0.80033552631578941</v>
      </c>
      <c r="J768" s="74">
        <f t="shared" si="58"/>
        <v>9.010065789473682</v>
      </c>
      <c r="K768">
        <f>VLOOKUP(C768,'RAW DATA 2023'!E:BO,12,0)</f>
        <v>0.6</v>
      </c>
      <c r="L768" s="268">
        <f t="shared" si="59"/>
        <v>5.406039473684209</v>
      </c>
    </row>
    <row r="769" spans="1:12">
      <c r="A769" s="64" t="str">
        <f>'RAW DATA 2023'!B762</f>
        <v>SR4</v>
      </c>
      <c r="B769" s="64" t="str">
        <f>'RAW DATA 2023'!D762</f>
        <v>B1-067-0011</v>
      </c>
      <c r="C769" s="63" t="str">
        <f t="shared" si="55"/>
        <v>SR4B1-067-0011</v>
      </c>
      <c r="D769" s="63">
        <f>VLOOKUP(C769,'RAW DATA 2023'!E:BP,63,0)</f>
        <v>10</v>
      </c>
      <c r="E769" s="63" t="str">
        <f t="shared" si="56"/>
        <v>SR410</v>
      </c>
      <c r="F769" s="79">
        <f>ROUND(VLOOKUP(C769,'RAW DATA 2023'!E:BO,23,0),0)</f>
        <v>48</v>
      </c>
      <c r="G769" s="79">
        <f>VLOOKUP(C769,'RAW DATA 2023'!E:BO,24,0)</f>
        <v>67.025500000000008</v>
      </c>
      <c r="H769" s="79">
        <f>IFERROR(VLOOKUP(F769,STD!B:G,2,FALSE),"")</f>
        <v>84</v>
      </c>
      <c r="I769" s="100">
        <f t="shared" si="57"/>
        <v>0.79792261904761919</v>
      </c>
      <c r="J769" s="74">
        <f t="shared" si="58"/>
        <v>8.9376785714285756</v>
      </c>
      <c r="K769">
        <f>VLOOKUP(C769,'RAW DATA 2023'!E:BO,12,0)</f>
        <v>1</v>
      </c>
      <c r="L769" s="268">
        <f t="shared" si="59"/>
        <v>8.9376785714285756</v>
      </c>
    </row>
    <row r="770" spans="1:12">
      <c r="A770" s="64" t="str">
        <f>'RAW DATA 2023'!B763</f>
        <v>SR4</v>
      </c>
      <c r="B770" s="64" t="str">
        <f>'RAW DATA 2023'!D763</f>
        <v>B1-066-0009</v>
      </c>
      <c r="C770" s="63" t="str">
        <f t="shared" si="55"/>
        <v>SR4B1-066-0009</v>
      </c>
      <c r="D770" s="63">
        <f>VLOOKUP(C770,'RAW DATA 2023'!E:BP,63,0)</f>
        <v>10</v>
      </c>
      <c r="E770" s="63" t="str">
        <f t="shared" si="56"/>
        <v>SR410</v>
      </c>
      <c r="F770" s="79">
        <f>ROUND(VLOOKUP(C770,'RAW DATA 2023'!E:BO,23,0),0)</f>
        <v>53</v>
      </c>
      <c r="G770" s="79">
        <f>VLOOKUP(C770,'RAW DATA 2023'!E:BO,24,0)</f>
        <v>52.065399999999997</v>
      </c>
      <c r="H770" s="79">
        <f>IFERROR(VLOOKUP(F770,STD!B:G,2,FALSE),"")</f>
        <v>86</v>
      </c>
      <c r="I770" s="100">
        <f t="shared" si="57"/>
        <v>0.60541162790697667</v>
      </c>
      <c r="J770" s="74">
        <f t="shared" si="58"/>
        <v>3.1623488372092998</v>
      </c>
      <c r="K770">
        <f>VLOOKUP(C770,'RAW DATA 2023'!E:BO,12,0)</f>
        <v>1</v>
      </c>
      <c r="L770" s="268">
        <f t="shared" si="59"/>
        <v>3.1623488372092998</v>
      </c>
    </row>
    <row r="771" spans="1:12">
      <c r="A771" s="64" t="str">
        <f>'RAW DATA 2023'!B764</f>
        <v>SR4</v>
      </c>
      <c r="B771" s="64" t="str">
        <f>'RAW DATA 2023'!D764</f>
        <v>A1-085-0008</v>
      </c>
      <c r="C771" s="63" t="str">
        <f t="shared" si="55"/>
        <v>SR4A1-085-0008</v>
      </c>
      <c r="D771" s="63">
        <f>VLOOKUP(C771,'RAW DATA 2023'!E:BP,63,0)</f>
        <v>1</v>
      </c>
      <c r="E771" s="63" t="str">
        <f t="shared" si="56"/>
        <v>SR41</v>
      </c>
      <c r="F771" s="79">
        <f>ROUND(VLOOKUP(C771,'RAW DATA 2023'!E:BO,23,0),0)</f>
        <v>68</v>
      </c>
      <c r="G771" s="79">
        <f>VLOOKUP(C771,'RAW DATA 2023'!E:BO,24,0)</f>
        <v>38.97025</v>
      </c>
      <c r="H771" s="79">
        <f>IFERROR(VLOOKUP(F771,STD!B:G,2,FALSE),"")</f>
        <v>88</v>
      </c>
      <c r="I771" s="100">
        <f t="shared" si="57"/>
        <v>0.44284374999999998</v>
      </c>
      <c r="J771" s="74">
        <f t="shared" si="58"/>
        <v>-1.7146875000000006</v>
      </c>
      <c r="K771">
        <f>VLOOKUP(C771,'RAW DATA 2023'!E:BO,12,0)</f>
        <v>0.8</v>
      </c>
      <c r="L771" s="268">
        <f t="shared" si="59"/>
        <v>-1.3717500000000005</v>
      </c>
    </row>
    <row r="772" spans="1:12">
      <c r="A772" s="64" t="str">
        <f>'RAW DATA 2023'!B765</f>
        <v>SR4</v>
      </c>
      <c r="B772" s="64" t="str">
        <f>'RAW DATA 2023'!D765</f>
        <v>B1-067-0009</v>
      </c>
      <c r="C772" s="63" t="str">
        <f t="shared" si="55"/>
        <v>SR4B1-067-0009</v>
      </c>
      <c r="D772" s="63">
        <f>VLOOKUP(C772,'RAW DATA 2023'!E:BP,63,0)</f>
        <v>1</v>
      </c>
      <c r="E772" s="63" t="str">
        <f t="shared" si="56"/>
        <v>SR41</v>
      </c>
      <c r="F772" s="79">
        <f>ROUND(VLOOKUP(C772,'RAW DATA 2023'!E:BO,23,0),0)</f>
        <v>114</v>
      </c>
      <c r="G772" s="79">
        <f>VLOOKUP(C772,'RAW DATA 2023'!E:BO,24,0)</f>
        <v>40.470874999999999</v>
      </c>
      <c r="H772" s="79">
        <f>IFERROR(VLOOKUP(F772,STD!B:G,2,FALSE),"")</f>
        <v>92</v>
      </c>
      <c r="I772" s="100">
        <f t="shared" si="57"/>
        <v>0.43990081521739127</v>
      </c>
      <c r="J772" s="74">
        <f t="shared" si="58"/>
        <v>-1.8029755434782619</v>
      </c>
      <c r="K772">
        <f>VLOOKUP(C772,'RAW DATA 2023'!E:BO,12,0)</f>
        <v>0.8</v>
      </c>
      <c r="L772" s="268">
        <f t="shared" si="59"/>
        <v>-1.4423804347826097</v>
      </c>
    </row>
    <row r="773" spans="1:12">
      <c r="A773" s="64" t="str">
        <f>'RAW DATA 2023'!B766</f>
        <v>SR4</v>
      </c>
      <c r="B773" s="64" t="str">
        <f>'RAW DATA 2023'!D766</f>
        <v>A1-082-0008</v>
      </c>
      <c r="C773" s="63" t="str">
        <f t="shared" si="55"/>
        <v>SR4A1-082-0008</v>
      </c>
      <c r="D773" s="63">
        <f>VLOOKUP(C773,'RAW DATA 2023'!E:BP,63,0)</f>
        <v>1</v>
      </c>
      <c r="E773" s="63" t="str">
        <f t="shared" si="56"/>
        <v>SR41</v>
      </c>
      <c r="F773" s="79">
        <f>ROUND(VLOOKUP(C773,'RAW DATA 2023'!E:BO,23,0),0)</f>
        <v>139</v>
      </c>
      <c r="G773" s="79">
        <f>VLOOKUP(C773,'RAW DATA 2023'!E:BO,24,0)</f>
        <v>50.110125000000004</v>
      </c>
      <c r="H773" s="79">
        <f>IFERROR(VLOOKUP(F773,STD!B:G,2,FALSE),"")</f>
        <v>93</v>
      </c>
      <c r="I773" s="100">
        <f t="shared" si="57"/>
        <v>0.53881854838709686</v>
      </c>
      <c r="J773" s="74">
        <f t="shared" si="58"/>
        <v>1.1645564516129059</v>
      </c>
      <c r="K773">
        <f>VLOOKUP(C773,'RAW DATA 2023'!E:BO,12,0)</f>
        <v>0.8</v>
      </c>
      <c r="L773" s="268">
        <f t="shared" si="59"/>
        <v>0.93164516129032471</v>
      </c>
    </row>
    <row r="774" spans="1:12">
      <c r="A774" s="64" t="str">
        <f>'RAW DATA 2023'!B767</f>
        <v>Kanchanadit</v>
      </c>
      <c r="B774" s="64" t="str">
        <f>'RAW DATA 2023'!D767</f>
        <v>D1-051-0006</v>
      </c>
      <c r="C774" s="63" t="str">
        <f t="shared" si="55"/>
        <v>KanchanaditD1-051-0006</v>
      </c>
      <c r="D774" s="63">
        <f>VLOOKUP(C774,'RAW DATA 2023'!E:BP,63,0)</f>
        <v>8</v>
      </c>
      <c r="E774" s="63" t="str">
        <f t="shared" si="56"/>
        <v>Kanchanadit8</v>
      </c>
      <c r="F774" s="79">
        <f>ROUND(VLOOKUP(C774,'RAW DATA 2023'!E:BO,23,0),0)</f>
        <v>24</v>
      </c>
      <c r="G774" s="79">
        <f>VLOOKUP(C774,'RAW DATA 2023'!E:BO,24,0)</f>
        <v>41.791391304347826</v>
      </c>
      <c r="H774" s="79">
        <f>IFERROR(VLOOKUP(F774,STD!B:G,2,FALSE),"")</f>
        <v>72</v>
      </c>
      <c r="I774" s="100">
        <f t="shared" si="57"/>
        <v>0.58043599033816429</v>
      </c>
      <c r="J774" s="74">
        <f t="shared" si="58"/>
        <v>2.4130797101449284</v>
      </c>
      <c r="K774">
        <f>VLOOKUP(C774,'RAW DATA 2023'!E:BO,12,0)</f>
        <v>1.1499999999999999</v>
      </c>
      <c r="L774" s="268">
        <f t="shared" si="59"/>
        <v>2.7750416666666675</v>
      </c>
    </row>
    <row r="775" spans="1:12">
      <c r="A775" s="64" t="str">
        <f>'RAW DATA 2023'!B768</f>
        <v>Kanchanadit</v>
      </c>
      <c r="B775" s="64" t="str">
        <f>'RAW DATA 2023'!D768</f>
        <v>D1-052-0013</v>
      </c>
      <c r="C775" s="63" t="str">
        <f t="shared" si="55"/>
        <v>KanchanaditD1-052-0013</v>
      </c>
      <c r="D775" s="63">
        <f>VLOOKUP(C775,'RAW DATA 2023'!E:BP,63,0)</f>
        <v>8</v>
      </c>
      <c r="E775" s="63" t="str">
        <f t="shared" si="56"/>
        <v>Kanchanadit8</v>
      </c>
      <c r="F775" s="79">
        <f>ROUND(VLOOKUP(C775,'RAW DATA 2023'!E:BO,23,0),0)</f>
        <v>30</v>
      </c>
      <c r="G775" s="79">
        <f>VLOOKUP(C775,'RAW DATA 2023'!E:BO,24,0)</f>
        <v>61.657399999999996</v>
      </c>
      <c r="H775" s="79">
        <f>IFERROR(VLOOKUP(F775,STD!B:G,2,FALSE),"")</f>
        <v>76</v>
      </c>
      <c r="I775" s="100">
        <f t="shared" si="57"/>
        <v>0.81128157894736841</v>
      </c>
      <c r="J775" s="74">
        <f t="shared" si="58"/>
        <v>9.3384473684210523</v>
      </c>
      <c r="K775">
        <f>VLOOKUP(C775,'RAW DATA 2023'!E:BO,12,0)</f>
        <v>1</v>
      </c>
      <c r="L775" s="268">
        <f t="shared" si="59"/>
        <v>9.3384473684210523</v>
      </c>
    </row>
    <row r="776" spans="1:12">
      <c r="A776" s="64" t="str">
        <f>'RAW DATA 2023'!B769</f>
        <v>Kanchanadit</v>
      </c>
      <c r="B776" s="64" t="str">
        <f>'RAW DATA 2023'!D769</f>
        <v>C1-043-0014</v>
      </c>
      <c r="C776" s="63" t="str">
        <f t="shared" si="55"/>
        <v>KanchanaditC1-043-0014</v>
      </c>
      <c r="D776" s="63">
        <f>VLOOKUP(C776,'RAW DATA 2023'!E:BP,63,0)</f>
        <v>7</v>
      </c>
      <c r="E776" s="63" t="str">
        <f t="shared" si="56"/>
        <v>Kanchanadit7</v>
      </c>
      <c r="F776" s="79">
        <f>ROUND(VLOOKUP(C776,'RAW DATA 2023'!E:BO,23,0),0)</f>
        <v>28</v>
      </c>
      <c r="G776" s="79">
        <f>VLOOKUP(C776,'RAW DATA 2023'!E:BO,24,0)</f>
        <v>42.864200000000004</v>
      </c>
      <c r="H776" s="79">
        <f>IFERROR(VLOOKUP(F776,STD!B:G,2,FALSE),"")</f>
        <v>75</v>
      </c>
      <c r="I776" s="100">
        <f t="shared" si="57"/>
        <v>0.57152266666666673</v>
      </c>
      <c r="J776" s="74">
        <f t="shared" si="58"/>
        <v>2.1456800000000023</v>
      </c>
      <c r="K776">
        <f>VLOOKUP(C776,'RAW DATA 2023'!E:BO,12,0)</f>
        <v>0.5</v>
      </c>
      <c r="L776" s="268">
        <f t="shared" si="59"/>
        <v>1.0728400000000011</v>
      </c>
    </row>
    <row r="777" spans="1:12">
      <c r="A777" s="64" t="str">
        <f>'RAW DATA 2023'!B770</f>
        <v>Kanchanadit</v>
      </c>
      <c r="B777" s="64" t="str">
        <f>'RAW DATA 2023'!D770</f>
        <v>D1-053-0006</v>
      </c>
      <c r="C777" s="63" t="str">
        <f t="shared" si="55"/>
        <v>KanchanaditD1-053-0006</v>
      </c>
      <c r="D777" s="63">
        <f>VLOOKUP(C777,'RAW DATA 2023'!E:BP,63,0)</f>
        <v>8</v>
      </c>
      <c r="E777" s="63" t="str">
        <f t="shared" si="56"/>
        <v>Kanchanadit8</v>
      </c>
      <c r="F777" s="79">
        <f>ROUND(VLOOKUP(C777,'RAW DATA 2023'!E:BO,23,0),0)</f>
        <v>23</v>
      </c>
      <c r="G777" s="79">
        <f>VLOOKUP(C777,'RAW DATA 2023'!E:BO,24,0)</f>
        <v>52.607700000000001</v>
      </c>
      <c r="H777" s="79">
        <f>IFERROR(VLOOKUP(F777,STD!B:G,2,FALSE),"")</f>
        <v>71</v>
      </c>
      <c r="I777" s="100">
        <f t="shared" si="57"/>
        <v>0.74095352112676061</v>
      </c>
      <c r="J777" s="74">
        <f t="shared" si="58"/>
        <v>7.2286056338028182</v>
      </c>
      <c r="K777">
        <f>VLOOKUP(C777,'RAW DATA 2023'!E:BO,12,0)</f>
        <v>1</v>
      </c>
      <c r="L777" s="268">
        <f t="shared" si="59"/>
        <v>7.2286056338028182</v>
      </c>
    </row>
    <row r="778" spans="1:12">
      <c r="A778" s="64" t="str">
        <f>'RAW DATA 2023'!B771</f>
        <v>Kanchanadit</v>
      </c>
      <c r="B778" s="64" t="str">
        <f>'RAW DATA 2023'!D771</f>
        <v>C1-044-0016</v>
      </c>
      <c r="C778" s="63" t="str">
        <f t="shared" ref="C778:C841" si="60">A778&amp;B778</f>
        <v>KanchanaditC1-044-0016</v>
      </c>
      <c r="D778" s="63">
        <f>VLOOKUP(C778,'RAW DATA 2023'!E:BP,63,0)</f>
        <v>12</v>
      </c>
      <c r="E778" s="63" t="str">
        <f t="shared" ref="E778:E841" si="61">A778&amp;D778</f>
        <v>Kanchanadit12</v>
      </c>
      <c r="F778" s="79">
        <f>ROUND(VLOOKUP(C778,'RAW DATA 2023'!E:BO,23,0),0)</f>
        <v>33</v>
      </c>
      <c r="G778" s="79">
        <f>VLOOKUP(C778,'RAW DATA 2023'!E:BO,24,0)</f>
        <v>48.115142857142857</v>
      </c>
      <c r="H778" s="79">
        <f>IFERROR(VLOOKUP(F778,STD!B:G,2,FALSE),"")</f>
        <v>79</v>
      </c>
      <c r="I778" s="100">
        <f t="shared" si="57"/>
        <v>0.6090524412296564</v>
      </c>
      <c r="J778" s="74">
        <f t="shared" si="58"/>
        <v>3.2715732368896919</v>
      </c>
      <c r="K778">
        <f>VLOOKUP(C778,'RAW DATA 2023'!E:BO,12,0)</f>
        <v>0.7</v>
      </c>
      <c r="L778" s="268">
        <f t="shared" si="59"/>
        <v>2.2901012658227842</v>
      </c>
    </row>
    <row r="779" spans="1:12">
      <c r="A779" s="64" t="str">
        <f>'RAW DATA 2023'!B772</f>
        <v>Kanchanadit</v>
      </c>
      <c r="B779" s="64" t="str">
        <f>'RAW DATA 2023'!D772</f>
        <v>C1-041-0015</v>
      </c>
      <c r="C779" s="63" t="str">
        <f t="shared" si="60"/>
        <v>KanchanaditC1-041-0015</v>
      </c>
      <c r="D779" s="63">
        <f>VLOOKUP(C779,'RAW DATA 2023'!E:BP,63,0)</f>
        <v>8</v>
      </c>
      <c r="E779" s="63" t="str">
        <f t="shared" si="61"/>
        <v>Kanchanadit8</v>
      </c>
      <c r="F779" s="79">
        <f>ROUND(VLOOKUP(C779,'RAW DATA 2023'!E:BO,23,0),0)</f>
        <v>27</v>
      </c>
      <c r="G779" s="79">
        <f>VLOOKUP(C779,'RAW DATA 2023'!E:BO,24,0)</f>
        <v>45.566200000000002</v>
      </c>
      <c r="H779" s="79">
        <f>IFERROR(VLOOKUP(F779,STD!B:G,2,FALSE),"")</f>
        <v>75</v>
      </c>
      <c r="I779" s="100">
        <f t="shared" ref="I779:I842" si="62">IFERROR(G779/H779,0)</f>
        <v>0.60754933333333339</v>
      </c>
      <c r="J779" s="74">
        <f t="shared" ref="J779:J842" si="63">(I779-$E$4)*$E$7</f>
        <v>3.2264800000000013</v>
      </c>
      <c r="K779">
        <f>VLOOKUP(C779,'RAW DATA 2023'!E:BO,12,0)</f>
        <v>0.5</v>
      </c>
      <c r="L779" s="268">
        <f t="shared" ref="L779:L842" si="64">J779*K779</f>
        <v>1.6132400000000007</v>
      </c>
    </row>
    <row r="780" spans="1:12">
      <c r="A780" s="64" t="str">
        <f>'RAW DATA 2023'!B773</f>
        <v>Kanchanadit</v>
      </c>
      <c r="B780" s="64" t="str">
        <f>'RAW DATA 2023'!D773</f>
        <v>C1-047-0008</v>
      </c>
      <c r="C780" s="63" t="str">
        <f t="shared" si="60"/>
        <v>KanchanaditC1-047-0008</v>
      </c>
      <c r="D780" s="63">
        <f>VLOOKUP(C780,'RAW DATA 2023'!E:BP,63,0)</f>
        <v>11</v>
      </c>
      <c r="E780" s="63" t="str">
        <f t="shared" si="61"/>
        <v>Kanchanadit11</v>
      </c>
      <c r="F780" s="79">
        <f>ROUND(VLOOKUP(C780,'RAW DATA 2023'!E:BO,23,0),0)</f>
        <v>29</v>
      </c>
      <c r="G780" s="79">
        <f>VLOOKUP(C780,'RAW DATA 2023'!E:BO,24,0)</f>
        <v>55.455799999999996</v>
      </c>
      <c r="H780" s="79">
        <f>IFERROR(VLOOKUP(F780,STD!B:G,2,FALSE),"")</f>
        <v>76</v>
      </c>
      <c r="I780" s="100">
        <f t="shared" si="62"/>
        <v>0.7296815789473684</v>
      </c>
      <c r="J780" s="74">
        <f t="shared" si="63"/>
        <v>6.8904473684210519</v>
      </c>
      <c r="K780">
        <f>VLOOKUP(C780,'RAW DATA 2023'!E:BO,12,0)</f>
        <v>0.5</v>
      </c>
      <c r="L780" s="268">
        <f t="shared" si="64"/>
        <v>3.4452236842105259</v>
      </c>
    </row>
    <row r="781" spans="1:12">
      <c r="A781" s="64" t="str">
        <f>'RAW DATA 2023'!B774</f>
        <v>Kanchanadit</v>
      </c>
      <c r="B781" s="64" t="str">
        <f>'RAW DATA 2023'!D774</f>
        <v>D1-050-0013</v>
      </c>
      <c r="C781" s="63" t="str">
        <f t="shared" si="60"/>
        <v>KanchanaditD1-050-0013</v>
      </c>
      <c r="D781" s="63">
        <f>VLOOKUP(C781,'RAW DATA 2023'!E:BP,63,0)</f>
        <v>8</v>
      </c>
      <c r="E781" s="63" t="str">
        <f t="shared" si="61"/>
        <v>Kanchanadit8</v>
      </c>
      <c r="F781" s="79">
        <f>ROUND(VLOOKUP(C781,'RAW DATA 2023'!E:BO,23,0),0)</f>
        <v>25</v>
      </c>
      <c r="G781" s="79">
        <f>VLOOKUP(C781,'RAW DATA 2023'!E:BO,24,0)</f>
        <v>44.273499999999999</v>
      </c>
      <c r="H781" s="79">
        <f>IFERROR(VLOOKUP(F781,STD!B:G,2,FALSE),"")</f>
        <v>72</v>
      </c>
      <c r="I781" s="100">
        <f t="shared" si="62"/>
        <v>0.61490972222222218</v>
      </c>
      <c r="J781" s="74">
        <f t="shared" si="63"/>
        <v>3.4472916666666653</v>
      </c>
      <c r="K781">
        <f>VLOOKUP(C781,'RAW DATA 2023'!E:BO,12,0)</f>
        <v>1.2</v>
      </c>
      <c r="L781" s="268">
        <f t="shared" si="64"/>
        <v>4.1367499999999984</v>
      </c>
    </row>
    <row r="782" spans="1:12">
      <c r="A782" s="64" t="str">
        <f>'RAW DATA 2023'!B775</f>
        <v>Kanchanadit</v>
      </c>
      <c r="B782" s="64" t="str">
        <f>'RAW DATA 2023'!D775</f>
        <v>D1-049-0012</v>
      </c>
      <c r="C782" s="63" t="str">
        <f t="shared" si="60"/>
        <v>KanchanaditD1-049-0012</v>
      </c>
      <c r="D782" s="63">
        <f>VLOOKUP(C782,'RAW DATA 2023'!E:BP,63,0)</f>
        <v>12</v>
      </c>
      <c r="E782" s="63" t="str">
        <f t="shared" si="61"/>
        <v>Kanchanadit12</v>
      </c>
      <c r="F782" s="79">
        <f>ROUND(VLOOKUP(C782,'RAW DATA 2023'!E:BO,23,0),0)</f>
        <v>34</v>
      </c>
      <c r="G782" s="79">
        <f>VLOOKUP(C782,'RAW DATA 2023'!E:BO,24,0)</f>
        <v>58.729299999999995</v>
      </c>
      <c r="H782" s="79">
        <f>IFERROR(VLOOKUP(F782,STD!B:G,2,FALSE),"")</f>
        <v>80</v>
      </c>
      <c r="I782" s="100">
        <f t="shared" si="62"/>
        <v>0.73411624999999991</v>
      </c>
      <c r="J782" s="74">
        <f t="shared" si="63"/>
        <v>7.0234874999999972</v>
      </c>
      <c r="K782">
        <f>VLOOKUP(C782,'RAW DATA 2023'!E:BO,12,0)</f>
        <v>1</v>
      </c>
      <c r="L782" s="268">
        <f t="shared" si="64"/>
        <v>7.0234874999999972</v>
      </c>
    </row>
    <row r="783" spans="1:12">
      <c r="A783" s="64" t="str">
        <f>'RAW DATA 2023'!B776</f>
        <v>Kanchanadit</v>
      </c>
      <c r="B783" s="64" t="str">
        <f>'RAW DATA 2023'!D776</f>
        <v>C1-042-0005</v>
      </c>
      <c r="C783" s="63" t="str">
        <f t="shared" si="60"/>
        <v>KanchanaditC1-042-0005</v>
      </c>
      <c r="D783" s="63">
        <f>VLOOKUP(C783,'RAW DATA 2023'!E:BP,63,0)</f>
        <v>8</v>
      </c>
      <c r="E783" s="63" t="str">
        <f t="shared" si="61"/>
        <v>Kanchanadit8</v>
      </c>
      <c r="F783" s="79">
        <f>ROUND(VLOOKUP(C783,'RAW DATA 2023'!E:BO,23,0),0)</f>
        <v>30</v>
      </c>
      <c r="G783" s="79">
        <f>VLOOKUP(C783,'RAW DATA 2023'!E:BO,24,0)</f>
        <v>48.732285714285716</v>
      </c>
      <c r="H783" s="79">
        <f>IFERROR(VLOOKUP(F783,STD!B:G,2,FALSE),"")</f>
        <v>76</v>
      </c>
      <c r="I783" s="100">
        <f t="shared" si="62"/>
        <v>0.64121428571428574</v>
      </c>
      <c r="J783" s="74">
        <f t="shared" si="63"/>
        <v>4.2364285714285721</v>
      </c>
      <c r="K783">
        <f>VLOOKUP(C783,'RAW DATA 2023'!E:BO,12,0)</f>
        <v>0.7</v>
      </c>
      <c r="L783" s="268">
        <f t="shared" si="64"/>
        <v>2.9655000000000005</v>
      </c>
    </row>
    <row r="784" spans="1:12">
      <c r="A784" s="64" t="str">
        <f>'RAW DATA 2023'!B777</f>
        <v>Kanchanadit</v>
      </c>
      <c r="B784" s="64" t="str">
        <f>'RAW DATA 2023'!D777</f>
        <v>C1-046-0013</v>
      </c>
      <c r="C784" s="63" t="str">
        <f t="shared" si="60"/>
        <v>KanchanaditC1-046-0013</v>
      </c>
      <c r="D784" s="63">
        <f>VLOOKUP(C784,'RAW DATA 2023'!E:BP,63,0)</f>
        <v>11</v>
      </c>
      <c r="E784" s="63" t="str">
        <f t="shared" si="61"/>
        <v>Kanchanadit11</v>
      </c>
      <c r="F784" s="79">
        <f>ROUND(VLOOKUP(C784,'RAW DATA 2023'!E:BO,23,0),0)</f>
        <v>31</v>
      </c>
      <c r="G784" s="79">
        <f>VLOOKUP(C784,'RAW DATA 2023'!E:BO,24,0)</f>
        <v>63.668999999999997</v>
      </c>
      <c r="H784" s="79">
        <f>IFERROR(VLOOKUP(F784,STD!B:G,2,FALSE),"")</f>
        <v>76</v>
      </c>
      <c r="I784" s="100">
        <f t="shared" si="62"/>
        <v>0.83774999999999999</v>
      </c>
      <c r="J784" s="74">
        <f t="shared" si="63"/>
        <v>10.1325</v>
      </c>
      <c r="K784">
        <f>VLOOKUP(C784,'RAW DATA 2023'!E:BO,12,0)</f>
        <v>0.5</v>
      </c>
      <c r="L784" s="268">
        <f t="shared" si="64"/>
        <v>5.0662500000000001</v>
      </c>
    </row>
    <row r="785" spans="1:12">
      <c r="A785" s="64" t="str">
        <f>'RAW DATA 2023'!B778</f>
        <v>Kanchanadit</v>
      </c>
      <c r="B785" s="64" t="str">
        <f>'RAW DATA 2023'!D778</f>
        <v>C1-045-0012</v>
      </c>
      <c r="C785" s="63" t="str">
        <f t="shared" si="60"/>
        <v>KanchanaditC1-045-0012</v>
      </c>
      <c r="D785" s="63">
        <f>VLOOKUP(C785,'RAW DATA 2023'!E:BP,63,0)</f>
        <v>12</v>
      </c>
      <c r="E785" s="63" t="str">
        <f t="shared" si="61"/>
        <v>Kanchanadit12</v>
      </c>
      <c r="F785" s="79">
        <f>ROUND(VLOOKUP(C785,'RAW DATA 2023'!E:BO,23,0),0)</f>
        <v>30</v>
      </c>
      <c r="G785" s="79">
        <f>VLOOKUP(C785,'RAW DATA 2023'!E:BO,24,0)</f>
        <v>51.615999999999993</v>
      </c>
      <c r="H785" s="79">
        <f>IFERROR(VLOOKUP(F785,STD!B:G,2,FALSE),"")</f>
        <v>76</v>
      </c>
      <c r="I785" s="100">
        <f t="shared" si="62"/>
        <v>0.67915789473684196</v>
      </c>
      <c r="J785" s="74">
        <f t="shared" si="63"/>
        <v>5.3747368421052588</v>
      </c>
      <c r="K785">
        <f>VLOOKUP(C785,'RAW DATA 2023'!E:BO,12,0)</f>
        <v>0.5</v>
      </c>
      <c r="L785" s="268">
        <f t="shared" si="64"/>
        <v>2.6873684210526294</v>
      </c>
    </row>
    <row r="786" spans="1:12">
      <c r="A786" s="64" t="str">
        <f>'RAW DATA 2023'!B779</f>
        <v>Kanchanadit</v>
      </c>
      <c r="B786" s="64" t="str">
        <f>'RAW DATA 2023'!D779</f>
        <v>C1-045-0011</v>
      </c>
      <c r="C786" s="63" t="str">
        <f t="shared" si="60"/>
        <v>KanchanaditC1-045-0011</v>
      </c>
      <c r="D786" s="63">
        <f>VLOOKUP(C786,'RAW DATA 2023'!E:BP,63,0)</f>
        <v>6</v>
      </c>
      <c r="E786" s="63" t="str">
        <f t="shared" si="61"/>
        <v>Kanchanadit6</v>
      </c>
      <c r="F786" s="79">
        <f>ROUND(VLOOKUP(C786,'RAW DATA 2023'!E:BO,23,0),0)</f>
        <v>26</v>
      </c>
      <c r="G786" s="79">
        <f>VLOOKUP(C786,'RAW DATA 2023'!E:BO,24,0)</f>
        <v>56.339199999999998</v>
      </c>
      <c r="H786" s="79">
        <f>IFERROR(VLOOKUP(F786,STD!B:G,2,FALSE),"")</f>
        <v>75</v>
      </c>
      <c r="I786" s="100">
        <f t="shared" si="62"/>
        <v>0.75118933333333326</v>
      </c>
      <c r="J786" s="74">
        <f t="shared" si="63"/>
        <v>7.5356799999999975</v>
      </c>
      <c r="K786">
        <f>VLOOKUP(C786,'RAW DATA 2023'!E:BO,12,0)</f>
        <v>0.5</v>
      </c>
      <c r="L786" s="268">
        <f t="shared" si="64"/>
        <v>3.7678399999999987</v>
      </c>
    </row>
    <row r="787" spans="1:12">
      <c r="A787" s="64" t="str">
        <f>'RAW DATA 2023'!B780</f>
        <v>Kanchanadit</v>
      </c>
      <c r="B787" s="64" t="str">
        <f>'RAW DATA 2023'!D780</f>
        <v>D1-048-0013</v>
      </c>
      <c r="C787" s="63" t="str">
        <f t="shared" si="60"/>
        <v>KanchanaditD1-048-0013</v>
      </c>
      <c r="D787" s="63">
        <f>VLOOKUP(C787,'RAW DATA 2023'!E:BP,63,0)</f>
        <v>12</v>
      </c>
      <c r="E787" s="63" t="str">
        <f t="shared" si="61"/>
        <v>Kanchanadit12</v>
      </c>
      <c r="F787" s="79">
        <f>ROUND(VLOOKUP(C787,'RAW DATA 2023'!E:BO,23,0),0)</f>
        <v>34</v>
      </c>
      <c r="G787" s="79">
        <f>VLOOKUP(C787,'RAW DATA 2023'!E:BO,24,0)</f>
        <v>59.480200000000004</v>
      </c>
      <c r="H787" s="79">
        <f>IFERROR(VLOOKUP(F787,STD!B:G,2,FALSE),"")</f>
        <v>80</v>
      </c>
      <c r="I787" s="100">
        <f t="shared" si="62"/>
        <v>0.74350250000000007</v>
      </c>
      <c r="J787" s="74">
        <f t="shared" si="63"/>
        <v>7.3050750000000022</v>
      </c>
      <c r="K787">
        <f>VLOOKUP(C787,'RAW DATA 2023'!E:BO,12,0)</f>
        <v>1</v>
      </c>
      <c r="L787" s="268">
        <f t="shared" si="64"/>
        <v>7.3050750000000022</v>
      </c>
    </row>
    <row r="788" spans="1:12">
      <c r="A788" s="64" t="str">
        <f>'RAW DATA 2023'!B781</f>
        <v>Kanchanadit</v>
      </c>
      <c r="B788" s="64" t="str">
        <f>'RAW DATA 2023'!D781</f>
        <v>C1-040-0015</v>
      </c>
      <c r="C788" s="63" t="str">
        <f t="shared" si="60"/>
        <v>KanchanaditC1-040-0015</v>
      </c>
      <c r="D788" s="63">
        <f>VLOOKUP(C788,'RAW DATA 2023'!E:BP,63,0)</f>
        <v>7</v>
      </c>
      <c r="E788" s="63" t="str">
        <f t="shared" si="61"/>
        <v>Kanchanadit7</v>
      </c>
      <c r="F788" s="79">
        <f>ROUND(VLOOKUP(C788,'RAW DATA 2023'!E:BO,23,0),0)</f>
        <v>27</v>
      </c>
      <c r="G788" s="79">
        <f>VLOOKUP(C788,'RAW DATA 2023'!E:BO,24,0)</f>
        <v>58.035800000000002</v>
      </c>
      <c r="H788" s="79">
        <f>IFERROR(VLOOKUP(F788,STD!B:G,2,FALSE),"")</f>
        <v>75</v>
      </c>
      <c r="I788" s="100">
        <f t="shared" si="62"/>
        <v>0.77381066666666665</v>
      </c>
      <c r="J788" s="74">
        <f t="shared" si="63"/>
        <v>8.214319999999999</v>
      </c>
      <c r="K788">
        <f>VLOOKUP(C788,'RAW DATA 2023'!E:BO,12,0)</f>
        <v>0.5</v>
      </c>
      <c r="L788" s="268">
        <f t="shared" si="64"/>
        <v>4.1071599999999995</v>
      </c>
    </row>
    <row r="789" spans="1:12">
      <c r="A789" s="64" t="str">
        <f>'RAW DATA 2023'!B782</f>
        <v>Kanchanadit</v>
      </c>
      <c r="B789" s="64" t="str">
        <f>'RAW DATA 2023'!D782</f>
        <v>C1-047-0006</v>
      </c>
      <c r="C789" s="63" t="str">
        <f t="shared" si="60"/>
        <v>KanchanaditC1-047-0006</v>
      </c>
      <c r="D789" s="63">
        <f>VLOOKUP(C789,'RAW DATA 2023'!E:BP,63,0)</f>
        <v>6</v>
      </c>
      <c r="E789" s="63" t="str">
        <f t="shared" si="61"/>
        <v>Kanchanadit6</v>
      </c>
      <c r="F789" s="79">
        <f>ROUND(VLOOKUP(C789,'RAW DATA 2023'!E:BO,23,0),0)</f>
        <v>26</v>
      </c>
      <c r="G789" s="79">
        <f>VLOOKUP(C789,'RAW DATA 2023'!E:BO,24,0)</f>
        <v>62.943599999999996</v>
      </c>
      <c r="H789" s="79">
        <f>IFERROR(VLOOKUP(F789,STD!B:G,2,FALSE),"")</f>
        <v>75</v>
      </c>
      <c r="I789" s="100">
        <f t="shared" si="62"/>
        <v>0.83924799999999999</v>
      </c>
      <c r="J789" s="74">
        <f t="shared" si="63"/>
        <v>10.177440000000001</v>
      </c>
      <c r="K789">
        <f>VLOOKUP(C789,'RAW DATA 2023'!E:BO,12,0)</f>
        <v>0.5</v>
      </c>
      <c r="L789" s="268">
        <f t="shared" si="64"/>
        <v>5.0887200000000004</v>
      </c>
    </row>
    <row r="790" spans="1:12">
      <c r="A790" s="64" t="str">
        <f>'RAW DATA 2023'!B783</f>
        <v>Kanchanadit</v>
      </c>
      <c r="B790" s="64" t="str">
        <f>'RAW DATA 2023'!D783</f>
        <v>C1-044-0014</v>
      </c>
      <c r="C790" s="63" t="str">
        <f t="shared" si="60"/>
        <v>KanchanaditC1-044-0014</v>
      </c>
      <c r="D790" s="63">
        <f>VLOOKUP(C790,'RAW DATA 2023'!E:BP,63,0)</f>
        <v>6</v>
      </c>
      <c r="E790" s="63" t="str">
        <f t="shared" si="61"/>
        <v>Kanchanadit6</v>
      </c>
      <c r="F790" s="79">
        <f>ROUND(VLOOKUP(C790,'RAW DATA 2023'!E:BO,23,0),0)</f>
        <v>27</v>
      </c>
      <c r="G790" s="79">
        <f>VLOOKUP(C790,'RAW DATA 2023'!E:BO,24,0)</f>
        <v>71.823000000000008</v>
      </c>
      <c r="H790" s="79">
        <f>IFERROR(VLOOKUP(F790,STD!B:G,2,FALSE),"")</f>
        <v>75</v>
      </c>
      <c r="I790" s="100">
        <f t="shared" si="62"/>
        <v>0.95764000000000005</v>
      </c>
      <c r="J790" s="74">
        <f t="shared" si="63"/>
        <v>13.729200000000002</v>
      </c>
      <c r="K790">
        <f>VLOOKUP(C790,'RAW DATA 2023'!E:BO,12,0)</f>
        <v>0.5</v>
      </c>
      <c r="L790" s="268">
        <f t="shared" si="64"/>
        <v>6.8646000000000011</v>
      </c>
    </row>
    <row r="791" spans="1:12">
      <c r="A791" s="64" t="str">
        <f>'RAW DATA 2023'!B784</f>
        <v>Kanchanadit</v>
      </c>
      <c r="B791" s="64" t="str">
        <f>'RAW DATA 2023'!D784</f>
        <v>C1-046-0012</v>
      </c>
      <c r="C791" s="63" t="str">
        <f t="shared" si="60"/>
        <v>KanchanaditC1-046-0012</v>
      </c>
      <c r="D791" s="63">
        <f>VLOOKUP(C791,'RAW DATA 2023'!E:BP,63,0)</f>
        <v>4</v>
      </c>
      <c r="E791" s="63" t="str">
        <f t="shared" si="61"/>
        <v>Kanchanadit4</v>
      </c>
      <c r="F791" s="79">
        <f>ROUND(VLOOKUP(C791,'RAW DATA 2023'!E:BO,23,0),0)</f>
        <v>25</v>
      </c>
      <c r="G791" s="79">
        <f>VLOOKUP(C791,'RAW DATA 2023'!E:BO,24,0)</f>
        <v>47.712199999999996</v>
      </c>
      <c r="H791" s="79">
        <f>IFERROR(VLOOKUP(F791,STD!B:G,2,FALSE),"")</f>
        <v>72</v>
      </c>
      <c r="I791" s="100">
        <f t="shared" si="62"/>
        <v>0.66266944444444442</v>
      </c>
      <c r="J791" s="74">
        <f t="shared" si="63"/>
        <v>4.8800833333333324</v>
      </c>
      <c r="K791">
        <f>VLOOKUP(C791,'RAW DATA 2023'!E:BO,12,0)</f>
        <v>0.5</v>
      </c>
      <c r="L791" s="268">
        <f t="shared" si="64"/>
        <v>2.4400416666666662</v>
      </c>
    </row>
    <row r="792" spans="1:12">
      <c r="A792" s="64" t="str">
        <f>'RAW DATA 2023'!B785</f>
        <v>Kanchanadit</v>
      </c>
      <c r="B792" s="64" t="str">
        <f>'RAW DATA 2023'!D785</f>
        <v>C1-043-0013</v>
      </c>
      <c r="C792" s="63" t="str">
        <f t="shared" si="60"/>
        <v>KanchanaditC1-043-0013</v>
      </c>
      <c r="D792" s="63">
        <f>VLOOKUP(C792,'RAW DATA 2023'!E:BP,63,0)</f>
        <v>1</v>
      </c>
      <c r="E792" s="63" t="str">
        <f t="shared" si="61"/>
        <v>Kanchanadit1</v>
      </c>
      <c r="F792" s="79">
        <f>ROUND(VLOOKUP(C792,'RAW DATA 2023'!E:BO,23,0),0)</f>
        <v>81</v>
      </c>
      <c r="G792" s="79">
        <f>VLOOKUP(C792,'RAW DATA 2023'!E:BO,24,0)</f>
        <v>69.640999999999991</v>
      </c>
      <c r="H792" s="79">
        <f>IFERROR(VLOOKUP(F792,STD!B:G,2,FALSE),"")</f>
        <v>89</v>
      </c>
      <c r="I792" s="100">
        <f t="shared" si="62"/>
        <v>0.78248314606741565</v>
      </c>
      <c r="J792" s="74">
        <f t="shared" si="63"/>
        <v>8.4744943820224687</v>
      </c>
      <c r="K792">
        <f>VLOOKUP(C792,'RAW DATA 2023'!E:BO,12,0)</f>
        <v>0.7</v>
      </c>
      <c r="L792" s="268">
        <f t="shared" si="64"/>
        <v>5.9321460674157276</v>
      </c>
    </row>
    <row r="793" spans="1:12">
      <c r="A793" s="64" t="str">
        <f>'RAW DATA 2023'!B786</f>
        <v>Kanchanadit</v>
      </c>
      <c r="B793" s="64" t="str">
        <f>'RAW DATA 2023'!D786</f>
        <v>C1-040-0016</v>
      </c>
      <c r="C793" s="63" t="str">
        <f t="shared" si="60"/>
        <v>KanchanaditC1-040-0016</v>
      </c>
      <c r="D793" s="63">
        <f>VLOOKUP(C793,'RAW DATA 2023'!E:BP,63,0)</f>
        <v>12</v>
      </c>
      <c r="E793" s="63" t="str">
        <f t="shared" si="61"/>
        <v>Kanchanadit12</v>
      </c>
      <c r="F793" s="79">
        <f>ROUND(VLOOKUP(C793,'RAW DATA 2023'!E:BO,23,0),0)</f>
        <v>125</v>
      </c>
      <c r="G793" s="79">
        <f>VLOOKUP(C793,'RAW DATA 2023'!E:BO,24,0)</f>
        <v>71.507142857142853</v>
      </c>
      <c r="H793" s="79">
        <f>IFERROR(VLOOKUP(F793,STD!B:G,2,FALSE),"")</f>
        <v>92</v>
      </c>
      <c r="I793" s="100">
        <f t="shared" si="62"/>
        <v>0.777251552795031</v>
      </c>
      <c r="J793" s="74">
        <f t="shared" si="63"/>
        <v>8.3175465838509304</v>
      </c>
      <c r="K793">
        <f>VLOOKUP(C793,'RAW DATA 2023'!E:BO,12,0)</f>
        <v>0.7</v>
      </c>
      <c r="L793" s="268">
        <f t="shared" si="64"/>
        <v>5.8222826086956507</v>
      </c>
    </row>
    <row r="794" spans="1:12">
      <c r="A794" s="64" t="str">
        <f>'RAW DATA 2023'!B787</f>
        <v>Kanchanadit</v>
      </c>
      <c r="B794" s="64" t="str">
        <f>'RAW DATA 2023'!D787</f>
        <v>D1-049-0011</v>
      </c>
      <c r="C794" s="63" t="str">
        <f t="shared" si="60"/>
        <v>KanchanaditD1-049-0011</v>
      </c>
      <c r="D794" s="63">
        <f>VLOOKUP(C794,'RAW DATA 2023'!E:BP,63,0)</f>
        <v>7</v>
      </c>
      <c r="E794" s="63" t="str">
        <f t="shared" si="61"/>
        <v>Kanchanadit7</v>
      </c>
      <c r="F794" s="79">
        <f>ROUND(VLOOKUP(C794,'RAW DATA 2023'!E:BO,23,0),0)</f>
        <v>28</v>
      </c>
      <c r="G794" s="79">
        <f>VLOOKUP(C794,'RAW DATA 2023'!E:BO,24,0)</f>
        <v>69.621099999999998</v>
      </c>
      <c r="H794" s="79">
        <f>IFERROR(VLOOKUP(F794,STD!B:G,2,FALSE),"")</f>
        <v>75</v>
      </c>
      <c r="I794" s="100">
        <f t="shared" si="62"/>
        <v>0.92828133333333329</v>
      </c>
      <c r="J794" s="74">
        <f t="shared" si="63"/>
        <v>12.848439999999998</v>
      </c>
      <c r="K794">
        <f>VLOOKUP(C794,'RAW DATA 2023'!E:BO,12,0)</f>
        <v>1</v>
      </c>
      <c r="L794" s="268">
        <f t="shared" si="64"/>
        <v>12.848439999999998</v>
      </c>
    </row>
    <row r="795" spans="1:12">
      <c r="A795" s="64" t="str">
        <f>'RAW DATA 2023'!B788</f>
        <v>Kanchanadit</v>
      </c>
      <c r="B795" s="64" t="str">
        <f>'RAW DATA 2023'!D788</f>
        <v>D1-048-0012</v>
      </c>
      <c r="C795" s="63" t="str">
        <f t="shared" si="60"/>
        <v>KanchanaditD1-048-0012</v>
      </c>
      <c r="D795" s="63">
        <f>VLOOKUP(C795,'RAW DATA 2023'!E:BP,63,0)</f>
        <v>7</v>
      </c>
      <c r="E795" s="63" t="str">
        <f t="shared" si="61"/>
        <v>Kanchanadit7</v>
      </c>
      <c r="F795" s="79">
        <f>ROUND(VLOOKUP(C795,'RAW DATA 2023'!E:BO,23,0),0)</f>
        <v>30</v>
      </c>
      <c r="G795" s="79">
        <f>VLOOKUP(C795,'RAW DATA 2023'!E:BO,24,0)</f>
        <v>62.490699999999997</v>
      </c>
      <c r="H795" s="79">
        <f>IFERROR(VLOOKUP(F795,STD!B:G,2,FALSE),"")</f>
        <v>76</v>
      </c>
      <c r="I795" s="100">
        <f t="shared" si="62"/>
        <v>0.82224605263157891</v>
      </c>
      <c r="J795" s="74">
        <f t="shared" si="63"/>
        <v>9.6673815789473672</v>
      </c>
      <c r="K795">
        <f>VLOOKUP(C795,'RAW DATA 2023'!E:BO,12,0)</f>
        <v>1</v>
      </c>
      <c r="L795" s="268">
        <f t="shared" si="64"/>
        <v>9.6673815789473672</v>
      </c>
    </row>
    <row r="796" spans="1:12">
      <c r="A796" s="64" t="str">
        <f>'RAW DATA 2023'!B789</f>
        <v>Kanchanadit</v>
      </c>
      <c r="B796" s="64" t="str">
        <f>'RAW DATA 2023'!D789</f>
        <v>D1-050-0012</v>
      </c>
      <c r="C796" s="63" t="str">
        <f t="shared" si="60"/>
        <v>KanchanaditD1-050-0012</v>
      </c>
      <c r="D796" s="63">
        <f>VLOOKUP(C796,'RAW DATA 2023'!E:BP,63,0)</f>
        <v>1</v>
      </c>
      <c r="E796" s="63" t="str">
        <f t="shared" si="61"/>
        <v>Kanchanadit1</v>
      </c>
      <c r="F796" s="79">
        <f>ROUND(VLOOKUP(C796,'RAW DATA 2023'!E:BO,23,0),0)</f>
        <v>35</v>
      </c>
      <c r="G796" s="79">
        <f>VLOOKUP(C796,'RAW DATA 2023'!E:BO,24,0)</f>
        <v>39.768833333333333</v>
      </c>
      <c r="H796" s="79">
        <f>IFERROR(VLOOKUP(F796,STD!B:G,2,FALSE),"")</f>
        <v>80</v>
      </c>
      <c r="I796" s="100">
        <f t="shared" si="62"/>
        <v>0.49711041666666667</v>
      </c>
      <c r="J796" s="74">
        <f t="shared" si="63"/>
        <v>-8.6687500000000028E-2</v>
      </c>
      <c r="K796">
        <f>VLOOKUP(C796,'RAW DATA 2023'!E:BO,12,0)</f>
        <v>1.2</v>
      </c>
      <c r="L796" s="268">
        <f t="shared" si="64"/>
        <v>-0.10402500000000003</v>
      </c>
    </row>
    <row r="797" spans="1:12">
      <c r="A797" s="64" t="str">
        <f>'RAW DATA 2023'!B790</f>
        <v>Kanchanadit</v>
      </c>
      <c r="B797" s="64" t="str">
        <f>'RAW DATA 2023'!D790</f>
        <v>D1-053-0005</v>
      </c>
      <c r="C797" s="63" t="str">
        <f t="shared" si="60"/>
        <v>KanchanaditD1-053-0005</v>
      </c>
      <c r="D797" s="63">
        <f>VLOOKUP(C797,'RAW DATA 2023'!E:BP,63,0)</f>
        <v>1</v>
      </c>
      <c r="E797" s="63" t="str">
        <f t="shared" si="61"/>
        <v>Kanchanadit1</v>
      </c>
      <c r="F797" s="79">
        <f>ROUND(VLOOKUP(C797,'RAW DATA 2023'!E:BO,23,0),0)</f>
        <v>46</v>
      </c>
      <c r="G797" s="79">
        <f>VLOOKUP(C797,'RAW DATA 2023'!E:BO,24,0)</f>
        <v>92.962500000000006</v>
      </c>
      <c r="H797" s="79">
        <f>IFERROR(VLOOKUP(F797,STD!B:G,2,FALSE),"")</f>
        <v>84</v>
      </c>
      <c r="I797" s="100">
        <f t="shared" si="62"/>
        <v>1.1066964285714287</v>
      </c>
      <c r="J797" s="74">
        <f t="shared" si="63"/>
        <v>18.200892857142861</v>
      </c>
      <c r="K797">
        <f>VLOOKUP(C797,'RAW DATA 2023'!E:BO,12,0)</f>
        <v>0.8</v>
      </c>
      <c r="L797" s="268">
        <f t="shared" si="64"/>
        <v>14.56071428571429</v>
      </c>
    </row>
    <row r="798" spans="1:12">
      <c r="A798" s="64" t="str">
        <f>'RAW DATA 2023'!B791</f>
        <v>Kanchanadit</v>
      </c>
      <c r="B798" s="64" t="str">
        <f>'RAW DATA 2023'!D791</f>
        <v>D1-048-0011</v>
      </c>
      <c r="C798" s="63" t="str">
        <f t="shared" si="60"/>
        <v>KanchanaditD1-048-0011</v>
      </c>
      <c r="D798" s="63">
        <f>VLOOKUP(C798,'RAW DATA 2023'!E:BP,63,0)</f>
        <v>1</v>
      </c>
      <c r="E798" s="63" t="str">
        <f t="shared" si="61"/>
        <v>Kanchanadit1</v>
      </c>
      <c r="F798" s="79">
        <f>ROUND(VLOOKUP(C798,'RAW DATA 2023'!E:BO,23,0),0)</f>
        <v>58</v>
      </c>
      <c r="G798" s="79">
        <f>VLOOKUP(C798,'RAW DATA 2023'!E:BO,24,0)</f>
        <v>70.285857142857139</v>
      </c>
      <c r="H798" s="79">
        <f>IFERROR(VLOOKUP(F798,STD!B:G,2,FALSE),"")</f>
        <v>87</v>
      </c>
      <c r="I798" s="100">
        <f t="shared" si="62"/>
        <v>0.80788341543513953</v>
      </c>
      <c r="J798" s="74">
        <f t="shared" si="63"/>
        <v>9.2365024630541868</v>
      </c>
      <c r="K798">
        <f>VLOOKUP(C798,'RAW DATA 2023'!E:BO,12,0)</f>
        <v>0.7</v>
      </c>
      <c r="L798" s="268">
        <f t="shared" si="64"/>
        <v>6.4655517241379306</v>
      </c>
    </row>
    <row r="799" spans="1:12">
      <c r="A799" s="64" t="str">
        <f>'RAW DATA 2023'!B792</f>
        <v>Kanchanadit</v>
      </c>
      <c r="B799" s="64" t="str">
        <f>'RAW DATA 2023'!D792</f>
        <v>D1-052-0011</v>
      </c>
      <c r="C799" s="63" t="str">
        <f t="shared" si="60"/>
        <v>KanchanaditD1-052-0011</v>
      </c>
      <c r="D799" s="63">
        <f>VLOOKUP(C799,'RAW DATA 2023'!E:BP,63,0)</f>
        <v>1</v>
      </c>
      <c r="E799" s="63" t="str">
        <f t="shared" si="61"/>
        <v>Kanchanadit1</v>
      </c>
      <c r="F799" s="79">
        <f>ROUND(VLOOKUP(C799,'RAW DATA 2023'!E:BO,23,0),0)</f>
        <v>59</v>
      </c>
      <c r="G799" s="79">
        <f>VLOOKUP(C799,'RAW DATA 2023'!E:BO,24,0)</f>
        <v>77.099818181818179</v>
      </c>
      <c r="H799" s="79">
        <f>IFERROR(VLOOKUP(F799,STD!B:G,2,FALSE),"")</f>
        <v>87</v>
      </c>
      <c r="I799" s="100">
        <f t="shared" si="62"/>
        <v>0.88620480668756529</v>
      </c>
      <c r="J799" s="74">
        <f t="shared" si="63"/>
        <v>11.586144200626959</v>
      </c>
      <c r="K799">
        <f>VLOOKUP(C799,'RAW DATA 2023'!E:BO,12,0)</f>
        <v>1.1000000000000001</v>
      </c>
      <c r="L799" s="268">
        <f t="shared" si="64"/>
        <v>12.744758620689657</v>
      </c>
    </row>
    <row r="800" spans="1:12">
      <c r="A800" s="64" t="str">
        <f>'RAW DATA 2023'!B793</f>
        <v>Kanchanadit</v>
      </c>
      <c r="B800" s="64" t="str">
        <f>'RAW DATA 2023'!D793</f>
        <v>D1-051-0005</v>
      </c>
      <c r="C800" s="63" t="str">
        <f t="shared" si="60"/>
        <v>KanchanaditD1-051-0005</v>
      </c>
      <c r="D800" s="63">
        <f>VLOOKUP(C800,'RAW DATA 2023'!E:BP,63,0)</f>
        <v>1</v>
      </c>
      <c r="E800" s="63" t="str">
        <f t="shared" si="61"/>
        <v>Kanchanadit1</v>
      </c>
      <c r="F800" s="79">
        <f>ROUND(VLOOKUP(C800,'RAW DATA 2023'!E:BO,23,0),0)</f>
        <v>102</v>
      </c>
      <c r="G800" s="79">
        <f>VLOOKUP(C800,'RAW DATA 2023'!E:BO,24,0)</f>
        <v>80.491749999999996</v>
      </c>
      <c r="H800" s="79">
        <f>IFERROR(VLOOKUP(F800,STD!B:G,2,FALSE),"")</f>
        <v>91</v>
      </c>
      <c r="I800" s="100">
        <f t="shared" si="62"/>
        <v>0.88452472527472525</v>
      </c>
      <c r="J800" s="74">
        <f t="shared" si="63"/>
        <v>11.535741758241757</v>
      </c>
      <c r="K800">
        <f>VLOOKUP(C800,'RAW DATA 2023'!E:BO,12,0)</f>
        <v>0.8</v>
      </c>
      <c r="L800" s="268">
        <f t="shared" si="64"/>
        <v>9.2285934065934061</v>
      </c>
    </row>
    <row r="801" spans="1:12">
      <c r="A801" s="64" t="str">
        <f>'RAW DATA 2023'!B794</f>
        <v>Kanchanadit</v>
      </c>
      <c r="B801" s="64" t="str">
        <f>'RAW DATA 2023'!D794</f>
        <v>D1-052-0012</v>
      </c>
      <c r="C801" s="63" t="str">
        <f t="shared" si="60"/>
        <v>KanchanaditD1-052-0012</v>
      </c>
      <c r="D801" s="63">
        <f>VLOOKUP(C801,'RAW DATA 2023'!E:BP,63,0)</f>
        <v>3</v>
      </c>
      <c r="E801" s="63" t="str">
        <f t="shared" si="61"/>
        <v>Kanchanadit3</v>
      </c>
      <c r="F801" s="79">
        <f>ROUND(VLOOKUP(C801,'RAW DATA 2023'!E:BO,23,0),0)</f>
        <v>0</v>
      </c>
      <c r="G801" s="79">
        <f>VLOOKUP(C801,'RAW DATA 2023'!E:BO,24,0)</f>
        <v>0</v>
      </c>
      <c r="H801" s="79" t="str">
        <f>IFERROR(VLOOKUP(F801,STD!B:G,2,FALSE),"")</f>
        <v/>
      </c>
      <c r="I801" s="100">
        <f t="shared" si="62"/>
        <v>0</v>
      </c>
      <c r="J801" s="74">
        <f t="shared" si="63"/>
        <v>-15</v>
      </c>
      <c r="K801">
        <f>VLOOKUP(C801,'RAW DATA 2023'!E:BO,12,0)</f>
        <v>1</v>
      </c>
      <c r="L801" s="268">
        <f t="shared" si="64"/>
        <v>-15</v>
      </c>
    </row>
    <row r="802" spans="1:12">
      <c r="A802" s="64" t="str">
        <f>'RAW DATA 2023'!B795</f>
        <v>Pakpanang1</v>
      </c>
      <c r="B802" s="64" t="str">
        <f>'RAW DATA 2023'!D795</f>
        <v>C1-139-0010</v>
      </c>
      <c r="C802" s="63" t="str">
        <f t="shared" si="60"/>
        <v>Pakpanang1C1-139-0010</v>
      </c>
      <c r="D802" s="63">
        <f>VLOOKUP(C802,'RAW DATA 2023'!E:BP,63,0)</f>
        <v>11</v>
      </c>
      <c r="E802" s="63" t="str">
        <f t="shared" si="61"/>
        <v>Pakpanang111</v>
      </c>
      <c r="F802" s="79">
        <f>ROUND(VLOOKUP(C802,'RAW DATA 2023'!E:BO,23,0),0)</f>
        <v>22</v>
      </c>
      <c r="G802" s="79">
        <f>VLOOKUP(C802,'RAW DATA 2023'!E:BO,24,0)</f>
        <v>58.020666666666664</v>
      </c>
      <c r="H802" s="79">
        <f>IFERROR(VLOOKUP(F802,STD!B:G,2,FALSE),"")</f>
        <v>71</v>
      </c>
      <c r="I802" s="100">
        <f t="shared" si="62"/>
        <v>0.8171924882629108</v>
      </c>
      <c r="J802" s="74">
        <f t="shared" si="63"/>
        <v>9.5157746478873246</v>
      </c>
      <c r="K802">
        <f>VLOOKUP(C802,'RAW DATA 2023'!E:BO,12,0)</f>
        <v>0.6</v>
      </c>
      <c r="L802" s="268">
        <f t="shared" si="64"/>
        <v>5.7094647887323946</v>
      </c>
    </row>
    <row r="803" spans="1:12">
      <c r="A803" s="64" t="str">
        <f>'RAW DATA 2023'!B796</f>
        <v>Pakpanang1</v>
      </c>
      <c r="B803" s="64" t="str">
        <f>'RAW DATA 2023'!D796</f>
        <v>C1-138-0011</v>
      </c>
      <c r="C803" s="63" t="str">
        <f t="shared" si="60"/>
        <v>Pakpanang1C1-138-0011</v>
      </c>
      <c r="D803" s="63">
        <f>VLOOKUP(C803,'RAW DATA 2023'!E:BP,63,0)</f>
        <v>11</v>
      </c>
      <c r="E803" s="63" t="str">
        <f t="shared" si="61"/>
        <v>Pakpanang111</v>
      </c>
      <c r="F803" s="79">
        <f>ROUND(VLOOKUP(C803,'RAW DATA 2023'!E:BO,23,0),0)</f>
        <v>33</v>
      </c>
      <c r="G803" s="79">
        <f>VLOOKUP(C803,'RAW DATA 2023'!E:BO,24,0)</f>
        <v>116.99014285714287</v>
      </c>
      <c r="H803" s="79">
        <f>IFERROR(VLOOKUP(F803,STD!B:G,2,FALSE),"")</f>
        <v>79</v>
      </c>
      <c r="I803" s="100">
        <f t="shared" si="62"/>
        <v>1.4808878842676312</v>
      </c>
      <c r="J803" s="74">
        <f t="shared" si="63"/>
        <v>29.426636528028936</v>
      </c>
      <c r="K803">
        <f>VLOOKUP(C803,'RAW DATA 2023'!E:BO,12,0)</f>
        <v>0.7</v>
      </c>
      <c r="L803" s="268">
        <f t="shared" si="64"/>
        <v>20.598645569620253</v>
      </c>
    </row>
    <row r="804" spans="1:12">
      <c r="A804" s="64" t="str">
        <f>'RAW DATA 2023'!B797</f>
        <v>Pakpanang1</v>
      </c>
      <c r="B804" s="64" t="str">
        <f>'RAW DATA 2023'!D797</f>
        <v>D1-174-0009</v>
      </c>
      <c r="C804" s="63" t="str">
        <f t="shared" si="60"/>
        <v>Pakpanang1D1-174-0009</v>
      </c>
      <c r="D804" s="63">
        <f>VLOOKUP(C804,'RAW DATA 2023'!E:BP,63,0)</f>
        <v>11</v>
      </c>
      <c r="E804" s="63" t="str">
        <f t="shared" si="61"/>
        <v>Pakpanang111</v>
      </c>
      <c r="F804" s="79">
        <f>ROUND(VLOOKUP(C804,'RAW DATA 2023'!E:BO,23,0),0)</f>
        <v>26</v>
      </c>
      <c r="G804" s="79">
        <f>VLOOKUP(C804,'RAW DATA 2023'!E:BO,24,0)</f>
        <v>78.973749999999995</v>
      </c>
      <c r="H804" s="79">
        <f>IFERROR(VLOOKUP(F804,STD!B:G,2,FALSE),"")</f>
        <v>75</v>
      </c>
      <c r="I804" s="100">
        <f t="shared" si="62"/>
        <v>1.0529833333333334</v>
      </c>
      <c r="J804" s="74">
        <f t="shared" si="63"/>
        <v>16.589500000000001</v>
      </c>
      <c r="K804">
        <f>VLOOKUP(C804,'RAW DATA 2023'!E:BO,12,0)</f>
        <v>0.8</v>
      </c>
      <c r="L804" s="268">
        <f t="shared" si="64"/>
        <v>13.271600000000001</v>
      </c>
    </row>
    <row r="805" spans="1:12">
      <c r="A805" s="64" t="str">
        <f>'RAW DATA 2023'!B798</f>
        <v>Pakpanang1</v>
      </c>
      <c r="B805" s="64" t="str">
        <f>'RAW DATA 2023'!D798</f>
        <v>C1-140-0010</v>
      </c>
      <c r="C805" s="63" t="str">
        <f t="shared" si="60"/>
        <v>Pakpanang1C1-140-0010</v>
      </c>
      <c r="D805" s="63">
        <f>VLOOKUP(C805,'RAW DATA 2023'!E:BP,63,0)</f>
        <v>11</v>
      </c>
      <c r="E805" s="63" t="str">
        <f t="shared" si="61"/>
        <v>Pakpanang111</v>
      </c>
      <c r="F805" s="79">
        <f>ROUND(VLOOKUP(C805,'RAW DATA 2023'!E:BO,23,0),0)</f>
        <v>34</v>
      </c>
      <c r="G805" s="79">
        <f>VLOOKUP(C805,'RAW DATA 2023'!E:BO,24,0)</f>
        <v>84.758166666666668</v>
      </c>
      <c r="H805" s="79">
        <f>IFERROR(VLOOKUP(F805,STD!B:G,2,FALSE),"")</f>
        <v>80</v>
      </c>
      <c r="I805" s="100">
        <f t="shared" si="62"/>
        <v>1.0594770833333333</v>
      </c>
      <c r="J805" s="74">
        <f t="shared" si="63"/>
        <v>16.784312499999999</v>
      </c>
      <c r="K805">
        <f>VLOOKUP(C805,'RAW DATA 2023'!E:BO,12,0)</f>
        <v>0.6</v>
      </c>
      <c r="L805" s="268">
        <f t="shared" si="64"/>
        <v>10.070587499999998</v>
      </c>
    </row>
    <row r="806" spans="1:12">
      <c r="A806" s="64" t="str">
        <f>'RAW DATA 2023'!B799</f>
        <v>Pakpanang1</v>
      </c>
      <c r="B806" s="64" t="str">
        <f>'RAW DATA 2023'!D799</f>
        <v>D1-173-0009</v>
      </c>
      <c r="C806" s="63" t="str">
        <f t="shared" si="60"/>
        <v>Pakpanang1D1-173-0009</v>
      </c>
      <c r="D806" s="63">
        <f>VLOOKUP(C806,'RAW DATA 2023'!E:BP,63,0)</f>
        <v>10</v>
      </c>
      <c r="E806" s="63" t="str">
        <f t="shared" si="61"/>
        <v>Pakpanang110</v>
      </c>
      <c r="F806" s="79">
        <f>ROUND(VLOOKUP(C806,'RAW DATA 2023'!E:BO,23,0),0)</f>
        <v>29</v>
      </c>
      <c r="G806" s="79">
        <f>VLOOKUP(C806,'RAW DATA 2023'!E:BO,24,0)</f>
        <v>89.636499999999998</v>
      </c>
      <c r="H806" s="79">
        <f>IFERROR(VLOOKUP(F806,STD!B:G,2,FALSE),"")</f>
        <v>76</v>
      </c>
      <c r="I806" s="100">
        <f t="shared" si="62"/>
        <v>1.1794276315789474</v>
      </c>
      <c r="J806" s="74">
        <f t="shared" si="63"/>
        <v>20.38282894736842</v>
      </c>
      <c r="K806">
        <f>VLOOKUP(C806,'RAW DATA 2023'!E:BO,12,0)</f>
        <v>0.8</v>
      </c>
      <c r="L806" s="268">
        <f t="shared" si="64"/>
        <v>16.306263157894737</v>
      </c>
    </row>
    <row r="807" spans="1:12">
      <c r="A807" s="64" t="str">
        <f>'RAW DATA 2023'!B800</f>
        <v>Pakpanang1</v>
      </c>
      <c r="B807" s="64" t="str">
        <f>'RAW DATA 2023'!D800</f>
        <v>A1-183-0011</v>
      </c>
      <c r="C807" s="63" t="str">
        <f t="shared" si="60"/>
        <v>Pakpanang1A1-183-0011</v>
      </c>
      <c r="D807" s="63">
        <f>VLOOKUP(C807,'RAW DATA 2023'!E:BP,63,0)</f>
        <v>11</v>
      </c>
      <c r="E807" s="63" t="str">
        <f t="shared" si="61"/>
        <v>Pakpanang111</v>
      </c>
      <c r="F807" s="79">
        <f>ROUND(VLOOKUP(C807,'RAW DATA 2023'!E:BO,23,0),0)</f>
        <v>28</v>
      </c>
      <c r="G807" s="79">
        <f>VLOOKUP(C807,'RAW DATA 2023'!E:BO,24,0)</f>
        <v>82.155500000000004</v>
      </c>
      <c r="H807" s="79">
        <f>IFERROR(VLOOKUP(F807,STD!B:G,2,FALSE),"")</f>
        <v>75</v>
      </c>
      <c r="I807" s="100">
        <f t="shared" si="62"/>
        <v>1.0954066666666666</v>
      </c>
      <c r="J807" s="74">
        <f t="shared" si="63"/>
        <v>17.862199999999998</v>
      </c>
      <c r="K807">
        <f>VLOOKUP(C807,'RAW DATA 2023'!E:BO,12,0)</f>
        <v>0.8</v>
      </c>
      <c r="L807" s="268">
        <f t="shared" si="64"/>
        <v>14.289759999999999</v>
      </c>
    </row>
    <row r="808" spans="1:12">
      <c r="A808" s="64" t="str">
        <f>'RAW DATA 2023'!B801</f>
        <v>Pakpanang1</v>
      </c>
      <c r="B808" s="64" t="str">
        <f>'RAW DATA 2023'!D801</f>
        <v>C1-137-0010</v>
      </c>
      <c r="C808" s="63" t="str">
        <f t="shared" si="60"/>
        <v>Pakpanang1C1-137-0010</v>
      </c>
      <c r="D808" s="63">
        <f>VLOOKUP(C808,'RAW DATA 2023'!E:BP,63,0)</f>
        <v>5</v>
      </c>
      <c r="E808" s="63" t="str">
        <f t="shared" si="61"/>
        <v>Pakpanang15</v>
      </c>
      <c r="F808" s="79">
        <f>ROUND(VLOOKUP(C808,'RAW DATA 2023'!E:BO,23,0),0)</f>
        <v>28</v>
      </c>
      <c r="G808" s="79">
        <f>VLOOKUP(C808,'RAW DATA 2023'!E:BO,24,0)</f>
        <v>91.57442857142857</v>
      </c>
      <c r="H808" s="79">
        <f>IFERROR(VLOOKUP(F808,STD!B:G,2,FALSE),"")</f>
        <v>75</v>
      </c>
      <c r="I808" s="100">
        <f t="shared" si="62"/>
        <v>1.2209923809523808</v>
      </c>
      <c r="J808" s="74">
        <f t="shared" si="63"/>
        <v>21.629771428571424</v>
      </c>
      <c r="K808">
        <f>VLOOKUP(C808,'RAW DATA 2023'!E:BO,12,0)</f>
        <v>0.7</v>
      </c>
      <c r="L808" s="268">
        <f t="shared" si="64"/>
        <v>15.140839999999995</v>
      </c>
    </row>
    <row r="809" spans="1:12">
      <c r="A809" s="64" t="str">
        <f>'RAW DATA 2023'!B802</f>
        <v>Pakpanang1</v>
      </c>
      <c r="B809" s="64" t="str">
        <f>'RAW DATA 2023'!D802</f>
        <v>C1-136-0009</v>
      </c>
      <c r="C809" s="63" t="str">
        <f t="shared" si="60"/>
        <v>Pakpanang1C1-136-0009</v>
      </c>
      <c r="D809" s="63">
        <f>VLOOKUP(C809,'RAW DATA 2023'!E:BP,63,0)</f>
        <v>5</v>
      </c>
      <c r="E809" s="63" t="str">
        <f t="shared" si="61"/>
        <v>Pakpanang15</v>
      </c>
      <c r="F809" s="79">
        <f>ROUND(VLOOKUP(C809,'RAW DATA 2023'!E:BO,23,0),0)</f>
        <v>29</v>
      </c>
      <c r="G809" s="79">
        <f>VLOOKUP(C809,'RAW DATA 2023'!E:BO,24,0)</f>
        <v>79.997142857142862</v>
      </c>
      <c r="H809" s="79">
        <f>IFERROR(VLOOKUP(F809,STD!B:G,2,FALSE),"")</f>
        <v>76</v>
      </c>
      <c r="I809" s="100">
        <f t="shared" si="62"/>
        <v>1.052593984962406</v>
      </c>
      <c r="J809" s="74">
        <f t="shared" si="63"/>
        <v>16.577819548872178</v>
      </c>
      <c r="K809">
        <f>VLOOKUP(C809,'RAW DATA 2023'!E:BO,12,0)</f>
        <v>0.7</v>
      </c>
      <c r="L809" s="268">
        <f t="shared" si="64"/>
        <v>11.604473684210523</v>
      </c>
    </row>
    <row r="810" spans="1:12">
      <c r="A810" s="64" t="str">
        <f>'RAW DATA 2023'!B803</f>
        <v>Pakpanang1</v>
      </c>
      <c r="B810" s="64" t="str">
        <f>'RAW DATA 2023'!D803</f>
        <v>D1-171-0009</v>
      </c>
      <c r="C810" s="63" t="str">
        <f t="shared" si="60"/>
        <v>Pakpanang1D1-171-0009</v>
      </c>
      <c r="D810" s="63">
        <f>VLOOKUP(C810,'RAW DATA 2023'!E:BP,63,0)</f>
        <v>5</v>
      </c>
      <c r="E810" s="63" t="str">
        <f t="shared" si="61"/>
        <v>Pakpanang15</v>
      </c>
      <c r="F810" s="79">
        <f>ROUND(VLOOKUP(C810,'RAW DATA 2023'!E:BO,23,0),0)</f>
        <v>30</v>
      </c>
      <c r="G810" s="79">
        <f>VLOOKUP(C810,'RAW DATA 2023'!E:BO,24,0)</f>
        <v>84.155999999999992</v>
      </c>
      <c r="H810" s="79">
        <f>IFERROR(VLOOKUP(F810,STD!B:G,2,FALSE),"")</f>
        <v>76</v>
      </c>
      <c r="I810" s="100">
        <f t="shared" si="62"/>
        <v>1.107315789473684</v>
      </c>
      <c r="J810" s="74">
        <f t="shared" si="63"/>
        <v>18.21947368421052</v>
      </c>
      <c r="K810">
        <f>VLOOKUP(C810,'RAW DATA 2023'!E:BO,12,0)</f>
        <v>0.8</v>
      </c>
      <c r="L810" s="268">
        <f t="shared" si="64"/>
        <v>14.575578947368417</v>
      </c>
    </row>
    <row r="811" spans="1:12">
      <c r="A811" s="64" t="str">
        <f>'RAW DATA 2023'!B804</f>
        <v>Pakpanang1</v>
      </c>
      <c r="B811" s="64" t="str">
        <f>'RAW DATA 2023'!D804</f>
        <v>A1-184-0010</v>
      </c>
      <c r="C811" s="63" t="str">
        <f t="shared" si="60"/>
        <v>Pakpanang1A1-184-0010</v>
      </c>
      <c r="D811" s="63">
        <f>VLOOKUP(C811,'RAW DATA 2023'!E:BP,63,0)</f>
        <v>5</v>
      </c>
      <c r="E811" s="63" t="str">
        <f t="shared" si="61"/>
        <v>Pakpanang15</v>
      </c>
      <c r="F811" s="79">
        <f>ROUND(VLOOKUP(C811,'RAW DATA 2023'!E:BO,23,0),0)</f>
        <v>34</v>
      </c>
      <c r="G811" s="79">
        <f>VLOOKUP(C811,'RAW DATA 2023'!E:BO,24,0)</f>
        <v>69.981999999999999</v>
      </c>
      <c r="H811" s="79">
        <f>IFERROR(VLOOKUP(F811,STD!B:G,2,FALSE),"")</f>
        <v>80</v>
      </c>
      <c r="I811" s="100">
        <f t="shared" si="62"/>
        <v>0.87477499999999997</v>
      </c>
      <c r="J811" s="74">
        <f t="shared" si="63"/>
        <v>11.24325</v>
      </c>
      <c r="K811">
        <f>VLOOKUP(C811,'RAW DATA 2023'!E:BO,12,0)</f>
        <v>0.8</v>
      </c>
      <c r="L811" s="268">
        <f t="shared" si="64"/>
        <v>8.9946000000000002</v>
      </c>
    </row>
    <row r="812" spans="1:12">
      <c r="A812" s="64" t="str">
        <f>'RAW DATA 2023'!B805</f>
        <v>Pakpanang1</v>
      </c>
      <c r="B812" s="64" t="str">
        <f>'RAW DATA 2023'!D805</f>
        <v>D1-172-0008</v>
      </c>
      <c r="C812" s="63" t="str">
        <f t="shared" si="60"/>
        <v>Pakpanang1D1-172-0008</v>
      </c>
      <c r="D812" s="63">
        <f>VLOOKUP(C812,'RAW DATA 2023'!E:BP,63,0)</f>
        <v>5</v>
      </c>
      <c r="E812" s="63" t="str">
        <f t="shared" si="61"/>
        <v>Pakpanang15</v>
      </c>
      <c r="F812" s="79">
        <f>ROUND(VLOOKUP(C812,'RAW DATA 2023'!E:BO,23,0),0)</f>
        <v>45</v>
      </c>
      <c r="G812" s="79">
        <f>VLOOKUP(C812,'RAW DATA 2023'!E:BO,24,0)</f>
        <v>82.825625000000002</v>
      </c>
      <c r="H812" s="79">
        <f>IFERROR(VLOOKUP(F812,STD!B:G,2,FALSE),"")</f>
        <v>83</v>
      </c>
      <c r="I812" s="100">
        <f t="shared" si="62"/>
        <v>0.99789909638554219</v>
      </c>
      <c r="J812" s="74">
        <f t="shared" si="63"/>
        <v>14.936972891566265</v>
      </c>
      <c r="K812">
        <f>VLOOKUP(C812,'RAW DATA 2023'!E:BO,12,0)</f>
        <v>0.8</v>
      </c>
      <c r="L812" s="268">
        <f t="shared" si="64"/>
        <v>11.949578313253014</v>
      </c>
    </row>
    <row r="813" spans="1:12">
      <c r="A813" s="64" t="str">
        <f>'RAW DATA 2023'!B806</f>
        <v>Pakpanang1</v>
      </c>
      <c r="B813" s="64" t="str">
        <f>'RAW DATA 2023'!D806</f>
        <v>C1-138-0010</v>
      </c>
      <c r="C813" s="63" t="str">
        <f t="shared" si="60"/>
        <v>Pakpanang1C1-138-0010</v>
      </c>
      <c r="D813" s="63">
        <f>VLOOKUP(C813,'RAW DATA 2023'!E:BP,63,0)</f>
        <v>5</v>
      </c>
      <c r="E813" s="63" t="str">
        <f t="shared" si="61"/>
        <v>Pakpanang15</v>
      </c>
      <c r="F813" s="79">
        <f>ROUND(VLOOKUP(C813,'RAW DATA 2023'!E:BO,23,0),0)</f>
        <v>36</v>
      </c>
      <c r="G813" s="79">
        <f>VLOOKUP(C813,'RAW DATA 2023'!E:BO,24,0)</f>
        <v>74.536999999999992</v>
      </c>
      <c r="H813" s="79">
        <f>IFERROR(VLOOKUP(F813,STD!B:G,2,FALSE),"")</f>
        <v>81</v>
      </c>
      <c r="I813" s="100">
        <f t="shared" si="62"/>
        <v>0.92020987654320974</v>
      </c>
      <c r="J813" s="74">
        <f t="shared" si="63"/>
        <v>12.606296296296293</v>
      </c>
      <c r="K813">
        <f>VLOOKUP(C813,'RAW DATA 2023'!E:BO,12,0)</f>
        <v>0.7</v>
      </c>
      <c r="L813" s="268">
        <f t="shared" si="64"/>
        <v>8.8244074074074046</v>
      </c>
    </row>
    <row r="814" spans="1:12">
      <c r="A814" s="64" t="str">
        <f>'RAW DATA 2023'!B807</f>
        <v>Pakpanang1</v>
      </c>
      <c r="B814" s="64" t="str">
        <f>'RAW DATA 2023'!D807</f>
        <v>A1-183-0010</v>
      </c>
      <c r="C814" s="63" t="str">
        <f t="shared" si="60"/>
        <v>Pakpanang1A1-183-0010</v>
      </c>
      <c r="D814" s="63">
        <f>VLOOKUP(C814,'RAW DATA 2023'!E:BP,63,0)</f>
        <v>5</v>
      </c>
      <c r="E814" s="63" t="str">
        <f t="shared" si="61"/>
        <v>Pakpanang15</v>
      </c>
      <c r="F814" s="79">
        <f>ROUND(VLOOKUP(C814,'RAW DATA 2023'!E:BO,23,0),0)</f>
        <v>42</v>
      </c>
      <c r="G814" s="79">
        <f>VLOOKUP(C814,'RAW DATA 2023'!E:BO,24,0)</f>
        <v>67.048888888888897</v>
      </c>
      <c r="H814" s="79">
        <f>IFERROR(VLOOKUP(F814,STD!B:G,2,FALSE),"")</f>
        <v>82</v>
      </c>
      <c r="I814" s="100">
        <f t="shared" si="62"/>
        <v>0.81766937669376705</v>
      </c>
      <c r="J814" s="74">
        <f t="shared" si="63"/>
        <v>9.530081300813011</v>
      </c>
      <c r="K814">
        <f>VLOOKUP(C814,'RAW DATA 2023'!E:BO,12,0)</f>
        <v>0.9</v>
      </c>
      <c r="L814" s="268">
        <f t="shared" si="64"/>
        <v>8.5770731707317101</v>
      </c>
    </row>
    <row r="815" spans="1:12">
      <c r="A815" s="64" t="str">
        <f>'RAW DATA 2023'!B808</f>
        <v>Pakpanang1</v>
      </c>
      <c r="B815" s="64" t="str">
        <f>'RAW DATA 2023'!D808</f>
        <v>A1-181-0008</v>
      </c>
      <c r="C815" s="63" t="str">
        <f t="shared" si="60"/>
        <v>Pakpanang1A1-181-0008</v>
      </c>
      <c r="D815" s="63">
        <f>VLOOKUP(C815,'RAW DATA 2023'!E:BP,63,0)</f>
        <v>4</v>
      </c>
      <c r="E815" s="63" t="str">
        <f t="shared" si="61"/>
        <v>Pakpanang14</v>
      </c>
      <c r="F815" s="79">
        <f>ROUND(VLOOKUP(C815,'RAW DATA 2023'!E:BO,23,0),0)</f>
        <v>75</v>
      </c>
      <c r="G815" s="79">
        <f>VLOOKUP(C815,'RAW DATA 2023'!E:BO,24,0)</f>
        <v>97.397500000000008</v>
      </c>
      <c r="H815" s="79">
        <f>IFERROR(VLOOKUP(F815,STD!B:G,2,FALSE),"")</f>
        <v>89</v>
      </c>
      <c r="I815" s="100">
        <f t="shared" si="62"/>
        <v>1.0943539325842697</v>
      </c>
      <c r="J815" s="74">
        <f t="shared" si="63"/>
        <v>17.830617977528092</v>
      </c>
      <c r="K815">
        <f>VLOOKUP(C815,'RAW DATA 2023'!E:BO,12,0)</f>
        <v>0.8</v>
      </c>
      <c r="L815" s="268">
        <f t="shared" si="64"/>
        <v>14.264494382022475</v>
      </c>
    </row>
    <row r="816" spans="1:12">
      <c r="A816" s="64" t="str">
        <f>'RAW DATA 2023'!B809</f>
        <v>Pakpanang1</v>
      </c>
      <c r="B816" s="64" t="str">
        <f>'RAW DATA 2023'!D809</f>
        <v>A1-192-0009</v>
      </c>
      <c r="C816" s="63" t="str">
        <f t="shared" si="60"/>
        <v>Pakpanang1A1-192-0009</v>
      </c>
      <c r="D816" s="63">
        <f>VLOOKUP(C816,'RAW DATA 2023'!E:BP,63,0)</f>
        <v>5</v>
      </c>
      <c r="E816" s="63" t="str">
        <f t="shared" si="61"/>
        <v>Pakpanang15</v>
      </c>
      <c r="F816" s="79">
        <f>ROUND(VLOOKUP(C816,'RAW DATA 2023'!E:BO,23,0),0)</f>
        <v>54</v>
      </c>
      <c r="G816" s="79">
        <f>VLOOKUP(C816,'RAW DATA 2023'!E:BO,24,0)</f>
        <v>70.113624999999999</v>
      </c>
      <c r="H816" s="79">
        <f>IFERROR(VLOOKUP(F816,STD!B:G,2,FALSE),"")</f>
        <v>86</v>
      </c>
      <c r="I816" s="100">
        <f t="shared" si="62"/>
        <v>0.8152747093023256</v>
      </c>
      <c r="J816" s="74">
        <f t="shared" si="63"/>
        <v>9.4582412790697674</v>
      </c>
      <c r="K816">
        <f>VLOOKUP(C816,'RAW DATA 2023'!E:BO,12,0)</f>
        <v>0.8</v>
      </c>
      <c r="L816" s="268">
        <f t="shared" si="64"/>
        <v>7.5665930232558143</v>
      </c>
    </row>
    <row r="817" spans="1:13">
      <c r="A817" s="64" t="str">
        <f>'RAW DATA 2023'!B810</f>
        <v>Pakpanang1</v>
      </c>
      <c r="B817" s="64" t="str">
        <f>'RAW DATA 2023'!D810</f>
        <v>D1-173-0008</v>
      </c>
      <c r="C817" s="63" t="str">
        <f t="shared" si="60"/>
        <v>Pakpanang1D1-173-0008</v>
      </c>
      <c r="D817" s="63">
        <f>VLOOKUP(C817,'RAW DATA 2023'!E:BP,63,0)</f>
        <v>5</v>
      </c>
      <c r="E817" s="63" t="str">
        <f t="shared" si="61"/>
        <v>Pakpanang15</v>
      </c>
      <c r="F817" s="79">
        <f>ROUND(VLOOKUP(C817,'RAW DATA 2023'!E:BO,23,0),0)</f>
        <v>56</v>
      </c>
      <c r="G817" s="79">
        <f>VLOOKUP(C817,'RAW DATA 2023'!E:BO,24,0)</f>
        <v>56.187125000000002</v>
      </c>
      <c r="H817" s="79">
        <f>IFERROR(VLOOKUP(F817,STD!B:G,2,FALSE),"")</f>
        <v>86</v>
      </c>
      <c r="I817" s="100">
        <f t="shared" si="62"/>
        <v>0.65333866279069774</v>
      </c>
      <c r="J817" s="74">
        <f t="shared" si="63"/>
        <v>4.6001598837209325</v>
      </c>
      <c r="K817">
        <f>VLOOKUP(C817,'RAW DATA 2023'!E:BO,12,0)</f>
        <v>0.8</v>
      </c>
      <c r="L817" s="268">
        <f t="shared" si="64"/>
        <v>3.6801279069767463</v>
      </c>
    </row>
    <row r="818" spans="1:13">
      <c r="A818" s="64" t="str">
        <f>'RAW DATA 2023'!B811</f>
        <v>Pakpanang1</v>
      </c>
      <c r="B818" s="64" t="str">
        <f>'RAW DATA 2023'!D811</f>
        <v>C1-139-0009</v>
      </c>
      <c r="C818" s="63" t="str">
        <f t="shared" si="60"/>
        <v>Pakpanang1C1-139-0009</v>
      </c>
      <c r="D818" s="63">
        <f>VLOOKUP(C818,'RAW DATA 2023'!E:BP,63,0)</f>
        <v>5</v>
      </c>
      <c r="E818" s="63" t="str">
        <f t="shared" si="61"/>
        <v>Pakpanang15</v>
      </c>
      <c r="F818" s="79">
        <f>ROUND(VLOOKUP(C818,'RAW DATA 2023'!E:BO,23,0),0)</f>
        <v>54</v>
      </c>
      <c r="G818" s="79">
        <f>VLOOKUP(C818,'RAW DATA 2023'!E:BO,24,0)</f>
        <v>56.887142857142855</v>
      </c>
      <c r="H818" s="79">
        <f>IFERROR(VLOOKUP(F818,STD!B:G,2,FALSE),"")</f>
        <v>86</v>
      </c>
      <c r="I818" s="100">
        <f t="shared" si="62"/>
        <v>0.66147840531561464</v>
      </c>
      <c r="J818" s="74">
        <f t="shared" si="63"/>
        <v>4.8443521594684391</v>
      </c>
      <c r="K818">
        <f>VLOOKUP(C818,'RAW DATA 2023'!E:BO,12,0)</f>
        <v>0.7</v>
      </c>
      <c r="L818" s="268">
        <f t="shared" si="64"/>
        <v>3.3910465116279074</v>
      </c>
    </row>
    <row r="819" spans="1:13">
      <c r="A819" s="64" t="str">
        <f>'RAW DATA 2023'!B812</f>
        <v>Pakpanang1</v>
      </c>
      <c r="B819" s="64" t="str">
        <f>'RAW DATA 2023'!D812</f>
        <v>C1-140-0009</v>
      </c>
      <c r="C819" s="63" t="str">
        <f t="shared" si="60"/>
        <v>Pakpanang1C1-140-0009</v>
      </c>
      <c r="D819" s="63">
        <f>VLOOKUP(C819,'RAW DATA 2023'!E:BP,63,0)</f>
        <v>4</v>
      </c>
      <c r="E819" s="63" t="str">
        <f t="shared" si="61"/>
        <v>Pakpanang14</v>
      </c>
      <c r="F819" s="79">
        <f>ROUND(VLOOKUP(C819,'RAW DATA 2023'!E:BO,23,0),0)</f>
        <v>87</v>
      </c>
      <c r="G819" s="79">
        <f>VLOOKUP(C819,'RAW DATA 2023'!E:BO,24,0)</f>
        <v>85.844714285714289</v>
      </c>
      <c r="H819" s="79">
        <f>IFERROR(VLOOKUP(F819,STD!B:G,2,FALSE),"")</f>
        <v>90</v>
      </c>
      <c r="I819" s="100">
        <f t="shared" si="62"/>
        <v>0.95383015873015875</v>
      </c>
      <c r="J819" s="74">
        <f t="shared" si="63"/>
        <v>13.614904761904763</v>
      </c>
      <c r="K819">
        <f>VLOOKUP(C819,'RAW DATA 2023'!E:BO,12,0)</f>
        <v>0.7</v>
      </c>
      <c r="L819" s="268">
        <f t="shared" si="64"/>
        <v>9.5304333333333329</v>
      </c>
    </row>
    <row r="820" spans="1:13">
      <c r="A820" s="64" t="str">
        <f>'RAW DATA 2023'!B813</f>
        <v>Pakpanang1</v>
      </c>
      <c r="B820" s="64" t="str">
        <f>'RAW DATA 2023'!D813</f>
        <v>C1-141-0009</v>
      </c>
      <c r="C820" s="63" t="str">
        <f t="shared" si="60"/>
        <v>Pakpanang1C1-141-0009</v>
      </c>
      <c r="D820" s="63">
        <f>VLOOKUP(C820,'RAW DATA 2023'!E:BP,63,0)</f>
        <v>5</v>
      </c>
      <c r="E820" s="63" t="str">
        <f t="shared" si="61"/>
        <v>Pakpanang15</v>
      </c>
      <c r="F820" s="79">
        <f>ROUND(VLOOKUP(C820,'RAW DATA 2023'!E:BO,23,0),0)</f>
        <v>80</v>
      </c>
      <c r="G820" s="79">
        <f>VLOOKUP(C820,'RAW DATA 2023'!E:BO,24,0)</f>
        <v>71.92</v>
      </c>
      <c r="H820" s="79">
        <f>IFERROR(VLOOKUP(F820,STD!B:G,2,FALSE),"")</f>
        <v>89</v>
      </c>
      <c r="I820" s="100">
        <f t="shared" si="62"/>
        <v>0.80808988764044942</v>
      </c>
      <c r="J820" s="74">
        <f t="shared" si="63"/>
        <v>9.2426966292134836</v>
      </c>
      <c r="K820">
        <f>VLOOKUP(C820,'RAW DATA 2023'!E:BO,12,0)</f>
        <v>0.7</v>
      </c>
      <c r="L820" s="268">
        <f t="shared" si="64"/>
        <v>6.4698876404494383</v>
      </c>
    </row>
    <row r="821" spans="1:13">
      <c r="A821" s="64" t="str">
        <f>'RAW DATA 2023'!B814</f>
        <v>Pakpanang1</v>
      </c>
      <c r="B821" s="64" t="str">
        <f>'RAW DATA 2023'!D814</f>
        <v>A1-004-0020</v>
      </c>
      <c r="C821" s="63" t="str">
        <f t="shared" si="60"/>
        <v>Pakpanang1A1-004-0020</v>
      </c>
      <c r="D821" s="63">
        <f>VLOOKUP(C821,'RAW DATA 2023'!E:BP,63,0)</f>
        <v>11</v>
      </c>
      <c r="E821" s="63" t="str">
        <f t="shared" si="61"/>
        <v>Pakpanang111</v>
      </c>
      <c r="F821" s="79">
        <f>ROUND(VLOOKUP(C821,'RAW DATA 2023'!E:BO,23,0),0)</f>
        <v>74</v>
      </c>
      <c r="G821" s="79">
        <f>VLOOKUP(C821,'RAW DATA 2023'!E:BO,24,0)</f>
        <v>57.021877256317687</v>
      </c>
      <c r="H821" s="79">
        <f>IFERROR(VLOOKUP(F821,STD!B:G,2,FALSE),"")</f>
        <v>89</v>
      </c>
      <c r="I821" s="100">
        <f t="shared" si="62"/>
        <v>0.64069525007098527</v>
      </c>
      <c r="J821" s="74">
        <f t="shared" si="63"/>
        <v>4.220857502129558</v>
      </c>
      <c r="K821">
        <f>VLOOKUP(C821,'RAW DATA 2023'!E:BO,12,0)</f>
        <v>2.77</v>
      </c>
      <c r="L821" s="268">
        <f t="shared" si="64"/>
        <v>11.691775280898876</v>
      </c>
    </row>
    <row r="822" spans="1:13">
      <c r="A822" s="64" t="str">
        <f>'RAW DATA 2023'!B815</f>
        <v>Pakpanang1</v>
      </c>
      <c r="B822" s="64" t="str">
        <f>'RAW DATA 2023'!D815</f>
        <v>D1-171-0011</v>
      </c>
      <c r="C822" s="63" t="str">
        <f t="shared" si="60"/>
        <v>Pakpanang1D1-171-0011</v>
      </c>
      <c r="D822" s="63">
        <f>VLOOKUP(C822,'RAW DATA 2023'!E:BP,63,0)</f>
        <v>11</v>
      </c>
      <c r="E822" s="63" t="str">
        <f t="shared" si="61"/>
        <v>Pakpanang111</v>
      </c>
      <c r="F822" s="79">
        <f>ROUND(VLOOKUP(C822,'RAW DATA 2023'!E:BO,23,0),0)</f>
        <v>105</v>
      </c>
      <c r="G822" s="79">
        <f>VLOOKUP(C822,'RAW DATA 2023'!E:BO,24,0)</f>
        <v>54.577340425531915</v>
      </c>
      <c r="H822" s="79">
        <f>IFERROR(VLOOKUP(F822,STD!B:G,2,FALSE),"")</f>
        <v>91</v>
      </c>
      <c r="I822" s="100">
        <f t="shared" si="62"/>
        <v>0.59975099368716389</v>
      </c>
      <c r="J822" s="74">
        <f t="shared" si="63"/>
        <v>2.9925298106149167</v>
      </c>
      <c r="K822">
        <f>VLOOKUP(C822,'RAW DATA 2023'!E:BO,12,0)</f>
        <v>0.94</v>
      </c>
      <c r="L822" s="268">
        <f t="shared" si="64"/>
        <v>2.8129780219780214</v>
      </c>
      <c r="M822"/>
    </row>
    <row r="823" spans="1:13">
      <c r="A823" s="64" t="str">
        <f>'RAW DATA 2023'!B816</f>
        <v>Pakpanang1</v>
      </c>
      <c r="B823" s="64" t="str">
        <f>'RAW DATA 2023'!D816</f>
        <v>D1-174-0008</v>
      </c>
      <c r="C823" s="63" t="str">
        <f t="shared" si="60"/>
        <v>Pakpanang1D1-174-0008</v>
      </c>
      <c r="D823" s="63">
        <f>VLOOKUP(C823,'RAW DATA 2023'!E:BP,63,0)</f>
        <v>4</v>
      </c>
      <c r="E823" s="63" t="str">
        <f t="shared" si="61"/>
        <v>Pakpanang14</v>
      </c>
      <c r="F823" s="79">
        <f>ROUND(VLOOKUP(C823,'RAW DATA 2023'!E:BO,23,0),0)</f>
        <v>82</v>
      </c>
      <c r="G823" s="79">
        <f>VLOOKUP(C823,'RAW DATA 2023'!E:BO,24,0)</f>
        <v>66.974578313253005</v>
      </c>
      <c r="H823" s="79">
        <f>IFERROR(VLOOKUP(F823,STD!B:G,2,FALSE),"")</f>
        <v>89</v>
      </c>
      <c r="I823" s="100">
        <f t="shared" si="62"/>
        <v>0.75252335183430341</v>
      </c>
      <c r="J823" s="74">
        <f t="shared" si="63"/>
        <v>7.5757005550291021</v>
      </c>
      <c r="K823">
        <f>VLOOKUP(C823,'RAW DATA 2023'!E:BO,12,0)</f>
        <v>0.83</v>
      </c>
      <c r="L823" s="268">
        <f t="shared" si="64"/>
        <v>6.2878314606741545</v>
      </c>
      <c r="M823"/>
    </row>
    <row r="824" spans="1:13">
      <c r="A824" s="64" t="str">
        <f>'RAW DATA 2023'!B817</f>
        <v>Pakpanang1</v>
      </c>
      <c r="B824" s="64" t="str">
        <f>'RAW DATA 2023'!D817</f>
        <v>D1-177-0009</v>
      </c>
      <c r="C824" s="63" t="str">
        <f t="shared" si="60"/>
        <v>Pakpanang1D1-177-0009</v>
      </c>
      <c r="D824" s="63">
        <f>VLOOKUP(C824,'RAW DATA 2023'!E:BP,63,0)</f>
        <v>4</v>
      </c>
      <c r="E824" s="63" t="str">
        <f t="shared" si="61"/>
        <v>Pakpanang14</v>
      </c>
      <c r="F824" s="79">
        <f>ROUND(VLOOKUP(C824,'RAW DATA 2023'!E:BO,23,0),0)</f>
        <v>81</v>
      </c>
      <c r="G824" s="79">
        <f>VLOOKUP(C824,'RAW DATA 2023'!E:BO,24,0)</f>
        <v>70.71674999999999</v>
      </c>
      <c r="H824" s="79">
        <f>IFERROR(VLOOKUP(F824,STD!B:G,2,FALSE),"")</f>
        <v>89</v>
      </c>
      <c r="I824" s="100">
        <f t="shared" si="62"/>
        <v>0.79457022471910099</v>
      </c>
      <c r="J824" s="74">
        <f t="shared" si="63"/>
        <v>8.8371067415730291</v>
      </c>
      <c r="K824">
        <f>VLOOKUP(C824,'RAW DATA 2023'!E:BO,12,0)</f>
        <v>0.8</v>
      </c>
      <c r="L824" s="268">
        <f t="shared" si="64"/>
        <v>7.0696853932584238</v>
      </c>
      <c r="M824"/>
    </row>
    <row r="825" spans="1:13">
      <c r="A825" s="64" t="str">
        <f>'RAW DATA 2023'!B818</f>
        <v>Pakpanang1</v>
      </c>
      <c r="B825" s="64" t="str">
        <f>'RAW DATA 2023'!D818</f>
        <v>D1-172-0010</v>
      </c>
      <c r="C825" s="63" t="str">
        <f t="shared" si="60"/>
        <v>Pakpanang1D1-172-0010</v>
      </c>
      <c r="D825" s="63">
        <f>VLOOKUP(C825,'RAW DATA 2023'!E:BP,63,0)</f>
        <v>11</v>
      </c>
      <c r="E825" s="63" t="str">
        <f t="shared" si="61"/>
        <v>Pakpanang111</v>
      </c>
      <c r="F825" s="79">
        <f>ROUND(VLOOKUP(C825,'RAW DATA 2023'!E:BO,23,0),0)</f>
        <v>173</v>
      </c>
      <c r="G825" s="79">
        <f>VLOOKUP(C825,'RAW DATA 2023'!E:BO,24,0)</f>
        <v>46.715499999999999</v>
      </c>
      <c r="H825" s="79">
        <f>IFERROR(VLOOKUP(F825,STD!B:G,2,FALSE),"")</f>
        <v>94</v>
      </c>
      <c r="I825" s="100">
        <f t="shared" si="62"/>
        <v>0.49697340425531916</v>
      </c>
      <c r="J825" s="74">
        <f t="shared" si="63"/>
        <v>-9.0797872340425134E-2</v>
      </c>
      <c r="K825">
        <f>VLOOKUP(C825,'RAW DATA 2023'!E:BO,12,0)</f>
        <v>1</v>
      </c>
      <c r="L825" s="268">
        <f t="shared" si="64"/>
        <v>-9.0797872340425134E-2</v>
      </c>
      <c r="M825"/>
    </row>
    <row r="826" spans="1:13">
      <c r="A826" s="64" t="str">
        <f>'RAW DATA 2023'!B819</f>
        <v>Pakpanang1</v>
      </c>
      <c r="B826" s="64" t="str">
        <f>'RAW DATA 2023'!D819</f>
        <v>A1-180-0009</v>
      </c>
      <c r="C826" s="63" t="str">
        <f t="shared" si="60"/>
        <v>Pakpanang1A1-180-0009</v>
      </c>
      <c r="D826" s="63">
        <f>VLOOKUP(C826,'RAW DATA 2023'!E:BP,63,0)</f>
        <v>5</v>
      </c>
      <c r="E826" s="63" t="str">
        <f t="shared" si="61"/>
        <v>Pakpanang15</v>
      </c>
      <c r="F826" s="79">
        <f>ROUND(VLOOKUP(C826,'RAW DATA 2023'!E:BO,23,0),0)</f>
        <v>116</v>
      </c>
      <c r="G826" s="79">
        <f>VLOOKUP(C826,'RAW DATA 2023'!E:BO,24,0)</f>
        <v>84.073499999999996</v>
      </c>
      <c r="H826" s="79">
        <f>IFERROR(VLOOKUP(F826,STD!B:G,2,FALSE),"")</f>
        <v>92</v>
      </c>
      <c r="I826" s="100">
        <f t="shared" si="62"/>
        <v>0.91384239130434775</v>
      </c>
      <c r="J826" s="74">
        <f t="shared" si="63"/>
        <v>12.415271739130432</v>
      </c>
      <c r="K826">
        <f>VLOOKUP(C826,'RAW DATA 2023'!E:BO,12,0)</f>
        <v>0.8</v>
      </c>
      <c r="L826" s="268">
        <f t="shared" si="64"/>
        <v>9.9322173913043468</v>
      </c>
      <c r="M826"/>
    </row>
    <row r="827" spans="1:13">
      <c r="A827" s="64" t="str">
        <f>'RAW DATA 2023'!B820</f>
        <v>SR1</v>
      </c>
      <c r="B827" s="64" t="str">
        <f>'RAW DATA 2023'!D820</f>
        <v>A1-028-0037</v>
      </c>
      <c r="C827" s="63" t="str">
        <f t="shared" si="60"/>
        <v>SR1A1-028-0037</v>
      </c>
      <c r="D827" s="63">
        <f>VLOOKUP(C827,'RAW DATA 2023'!E:BP,63,0)</f>
        <v>10</v>
      </c>
      <c r="E827" s="63" t="str">
        <f t="shared" si="61"/>
        <v>SR110</v>
      </c>
      <c r="F827" s="79">
        <f>ROUND(VLOOKUP(C827,'RAW DATA 2023'!E:BO,23,0),0)</f>
        <v>35</v>
      </c>
      <c r="G827" s="79">
        <f>VLOOKUP(C827,'RAW DATA 2023'!E:BO,24,0)</f>
        <v>59.746705882352948</v>
      </c>
      <c r="H827" s="79">
        <f>IFERROR(VLOOKUP(F827,STD!B:G,2,FALSE),"")</f>
        <v>80</v>
      </c>
      <c r="I827" s="100">
        <f t="shared" si="62"/>
        <v>0.74683382352941186</v>
      </c>
      <c r="J827" s="74">
        <f t="shared" si="63"/>
        <v>7.4050147058823557</v>
      </c>
      <c r="K827">
        <f>VLOOKUP(C827,'RAW DATA 2023'!E:BO,12,0)</f>
        <v>1.7</v>
      </c>
      <c r="L827" s="268">
        <f t="shared" si="64"/>
        <v>12.588525000000004</v>
      </c>
      <c r="M827"/>
    </row>
    <row r="828" spans="1:13">
      <c r="A828" s="64" t="str">
        <f>'RAW DATA 2023'!B821</f>
        <v>SR1</v>
      </c>
      <c r="B828" s="64" t="str">
        <f>'RAW DATA 2023'!D821</f>
        <v>A1-027-0032</v>
      </c>
      <c r="C828" s="63" t="str">
        <f t="shared" si="60"/>
        <v>SR1A1-027-0032</v>
      </c>
      <c r="D828" s="63">
        <f>VLOOKUP(C828,'RAW DATA 2023'!E:BP,63,0)</f>
        <v>9</v>
      </c>
      <c r="E828" s="63" t="str">
        <f t="shared" si="61"/>
        <v>SR19</v>
      </c>
      <c r="F828" s="79">
        <f>ROUND(VLOOKUP(C828,'RAW DATA 2023'!E:BO,23,0),0)</f>
        <v>25</v>
      </c>
      <c r="G828" s="79">
        <f>VLOOKUP(C828,'RAW DATA 2023'!E:BO,24,0)</f>
        <v>67.642200000000003</v>
      </c>
      <c r="H828" s="79">
        <f>IFERROR(VLOOKUP(F828,STD!B:G,2,FALSE),"")</f>
        <v>72</v>
      </c>
      <c r="I828" s="100">
        <f t="shared" si="62"/>
        <v>0.93947500000000006</v>
      </c>
      <c r="J828" s="74">
        <f t="shared" si="63"/>
        <v>13.184250000000002</v>
      </c>
      <c r="K828">
        <f>VLOOKUP(C828,'RAW DATA 2023'!E:BO,12,0)</f>
        <v>1.5</v>
      </c>
      <c r="L828" s="268">
        <f t="shared" si="64"/>
        <v>19.776375000000002</v>
      </c>
      <c r="M828"/>
    </row>
    <row r="829" spans="1:13">
      <c r="A829" s="64" t="str">
        <f>'RAW DATA 2023'!B822</f>
        <v>SR1</v>
      </c>
      <c r="B829" s="64" t="str">
        <f>'RAW DATA 2023'!D822</f>
        <v>A1-026-0028</v>
      </c>
      <c r="C829" s="63" t="str">
        <f t="shared" si="60"/>
        <v>SR1A1-026-0028</v>
      </c>
      <c r="D829" s="63">
        <f>VLOOKUP(C829,'RAW DATA 2023'!E:BP,63,0)</f>
        <v>9</v>
      </c>
      <c r="E829" s="63" t="str">
        <f t="shared" si="61"/>
        <v>SR19</v>
      </c>
      <c r="F829" s="79">
        <f>ROUND(VLOOKUP(C829,'RAW DATA 2023'!E:BO,23,0),0)</f>
        <v>24</v>
      </c>
      <c r="G829" s="79">
        <f>VLOOKUP(C829,'RAW DATA 2023'!E:BO,24,0)</f>
        <v>51.18403830806065</v>
      </c>
      <c r="H829" s="79">
        <f>IFERROR(VLOOKUP(F829,STD!B:G,2,FALSE),"")</f>
        <v>72</v>
      </c>
      <c r="I829" s="100">
        <f t="shared" si="62"/>
        <v>0.71088942094528684</v>
      </c>
      <c r="J829" s="74">
        <f t="shared" si="63"/>
        <v>6.3266826283586051</v>
      </c>
      <c r="K829">
        <f>VLOOKUP(C829,'RAW DATA 2023'!E:BO,12,0)</f>
        <v>1.2529999999999999</v>
      </c>
      <c r="L829" s="268">
        <f t="shared" si="64"/>
        <v>7.9273333333333316</v>
      </c>
      <c r="M829"/>
    </row>
    <row r="830" spans="1:13">
      <c r="A830" s="64" t="str">
        <f>'RAW DATA 2023'!B823</f>
        <v>SR1</v>
      </c>
      <c r="B830" s="64" t="str">
        <f>'RAW DATA 2023'!D823</f>
        <v>A1-026-0029</v>
      </c>
      <c r="C830" s="63" t="str">
        <f t="shared" si="60"/>
        <v>SR1A1-026-0029</v>
      </c>
      <c r="D830" s="63">
        <f>VLOOKUP(C830,'RAW DATA 2023'!E:BP,63,0)</f>
        <v>12</v>
      </c>
      <c r="E830" s="63" t="str">
        <f t="shared" si="61"/>
        <v>SR112</v>
      </c>
      <c r="F830" s="79">
        <f>ROUND(VLOOKUP(C830,'RAW DATA 2023'!E:BO,23,0),0)</f>
        <v>89</v>
      </c>
      <c r="G830" s="79">
        <f>VLOOKUP(C830,'RAW DATA 2023'!E:BO,24,0)</f>
        <v>99.173149999999993</v>
      </c>
      <c r="H830" s="79">
        <f>IFERROR(VLOOKUP(F830,STD!B:G,2,FALSE),"")</f>
        <v>90</v>
      </c>
      <c r="I830" s="100">
        <f t="shared" si="62"/>
        <v>1.1019238888888887</v>
      </c>
      <c r="J830" s="74">
        <f t="shared" si="63"/>
        <v>18.057716666666661</v>
      </c>
      <c r="K830">
        <f>VLOOKUP(C830,'RAW DATA 2023'!E:BO,12,0)</f>
        <v>2</v>
      </c>
      <c r="L830" s="268">
        <f t="shared" si="64"/>
        <v>36.115433333333321</v>
      </c>
      <c r="M830"/>
    </row>
    <row r="831" spans="1:13">
      <c r="A831" s="64" t="str">
        <f>'RAW DATA 2023'!B824</f>
        <v>SR1</v>
      </c>
      <c r="B831" s="64" t="str">
        <f>'RAW DATA 2023'!D824</f>
        <v>C1-050-0015</v>
      </c>
      <c r="C831" s="63" t="str">
        <f t="shared" si="60"/>
        <v>SR1C1-050-0015</v>
      </c>
      <c r="D831" s="63">
        <f>VLOOKUP(C831,'RAW DATA 2023'!E:BP,63,0)</f>
        <v>6</v>
      </c>
      <c r="E831" s="63" t="str">
        <f t="shared" si="61"/>
        <v>SR16</v>
      </c>
      <c r="F831" s="79">
        <f>ROUND(VLOOKUP(C831,'RAW DATA 2023'!E:BO,23,0),0)</f>
        <v>29</v>
      </c>
      <c r="G831" s="79">
        <f>VLOOKUP(C831,'RAW DATA 2023'!E:BO,24,0)</f>
        <v>95.90091352477161</v>
      </c>
      <c r="H831" s="79">
        <f>IFERROR(VLOOKUP(F831,STD!B:G,2,FALSE),"")</f>
        <v>76</v>
      </c>
      <c r="I831" s="100">
        <f t="shared" si="62"/>
        <v>1.2618541253259423</v>
      </c>
      <c r="J831" s="74">
        <f t="shared" si="63"/>
        <v>22.855623759778268</v>
      </c>
      <c r="K831">
        <f>VLOOKUP(C831,'RAW DATA 2023'!E:BO,12,0)</f>
        <v>0.32000008000000002</v>
      </c>
      <c r="L831" s="268">
        <f t="shared" si="64"/>
        <v>7.3138014315789475</v>
      </c>
      <c r="M831"/>
    </row>
    <row r="832" spans="1:13">
      <c r="A832" s="64" t="str">
        <f>'RAW DATA 2023'!B825</f>
        <v>SR1</v>
      </c>
      <c r="B832" s="64" t="str">
        <f>'RAW DATA 2023'!D825</f>
        <v>C1-050-0016</v>
      </c>
      <c r="C832" s="63" t="str">
        <f t="shared" si="60"/>
        <v>SR1C1-050-0016</v>
      </c>
      <c r="D832" s="63">
        <f>VLOOKUP(C832,'RAW DATA 2023'!E:BP,63,0)</f>
        <v>9</v>
      </c>
      <c r="E832" s="63" t="str">
        <f t="shared" si="61"/>
        <v>SR19</v>
      </c>
      <c r="F832" s="79">
        <f>ROUND(VLOOKUP(C832,'RAW DATA 2023'!E:BO,23,0),0)</f>
        <v>22</v>
      </c>
      <c r="G832" s="79">
        <f>VLOOKUP(C832,'RAW DATA 2023'!E:BO,24,0)</f>
        <v>103.32923966707604</v>
      </c>
      <c r="H832" s="79">
        <f>IFERROR(VLOOKUP(F832,STD!B:G,2,FALSE),"")</f>
        <v>71</v>
      </c>
      <c r="I832" s="100">
        <f t="shared" si="62"/>
        <v>1.4553414037616343</v>
      </c>
      <c r="J832" s="74">
        <f t="shared" si="63"/>
        <v>28.66024211284903</v>
      </c>
      <c r="K832">
        <f>VLOOKUP(C832,'RAW DATA 2023'!E:BO,12,0)</f>
        <v>0.40000004</v>
      </c>
      <c r="L832" s="268">
        <f t="shared" si="64"/>
        <v>11.464097991549297</v>
      </c>
      <c r="M832"/>
    </row>
    <row r="833" spans="1:13">
      <c r="A833" s="64" t="str">
        <f>'RAW DATA 2023'!B826</f>
        <v>SR1</v>
      </c>
      <c r="B833" s="64" t="str">
        <f>'RAW DATA 2023'!D826</f>
        <v>C1-061-0039</v>
      </c>
      <c r="C833" s="63" t="str">
        <f t="shared" si="60"/>
        <v>SR1C1-061-0039</v>
      </c>
      <c r="D833" s="63">
        <f>VLOOKUP(C833,'RAW DATA 2023'!E:BP,63,0)</f>
        <v>9</v>
      </c>
      <c r="E833" s="63" t="str">
        <f t="shared" si="61"/>
        <v>SR19</v>
      </c>
      <c r="F833" s="79">
        <f>ROUND(VLOOKUP(C833,'RAW DATA 2023'!E:BO,23,0),0)</f>
        <v>25</v>
      </c>
      <c r="G833" s="79">
        <f>VLOOKUP(C833,'RAW DATA 2023'!E:BO,24,0)</f>
        <v>61.976900000000001</v>
      </c>
      <c r="H833" s="79">
        <f>IFERROR(VLOOKUP(F833,STD!B:G,2,FALSE),"")</f>
        <v>72</v>
      </c>
      <c r="I833" s="100">
        <f t="shared" si="62"/>
        <v>0.86079027777777783</v>
      </c>
      <c r="J833" s="74">
        <f t="shared" si="63"/>
        <v>10.823708333333336</v>
      </c>
      <c r="K833">
        <f>VLOOKUP(C833,'RAW DATA 2023'!E:BO,12,0)</f>
        <v>1</v>
      </c>
      <c r="L833" s="268">
        <f t="shared" si="64"/>
        <v>10.823708333333336</v>
      </c>
      <c r="M833"/>
    </row>
    <row r="834" spans="1:13">
      <c r="A834" s="64" t="str">
        <f>'RAW DATA 2023'!B827</f>
        <v>SR1</v>
      </c>
      <c r="B834" s="64" t="str">
        <f>'RAW DATA 2023'!D827</f>
        <v>C1-059-0036</v>
      </c>
      <c r="C834" s="63" t="str">
        <f t="shared" si="60"/>
        <v>SR1C1-059-0036</v>
      </c>
      <c r="D834" s="63">
        <f>VLOOKUP(C834,'RAW DATA 2023'!E:BP,63,0)</f>
        <v>7</v>
      </c>
      <c r="E834" s="63" t="str">
        <f t="shared" si="61"/>
        <v>SR17</v>
      </c>
      <c r="F834" s="79">
        <f>ROUND(VLOOKUP(C834,'RAW DATA 2023'!E:BO,23,0),0)</f>
        <v>29</v>
      </c>
      <c r="G834" s="79">
        <f>VLOOKUP(C834,'RAW DATA 2023'!E:BO,24,0)</f>
        <v>53.223678911564619</v>
      </c>
      <c r="H834" s="79">
        <f>IFERROR(VLOOKUP(F834,STD!B:G,2,FALSE),"")</f>
        <v>76</v>
      </c>
      <c r="I834" s="100">
        <f t="shared" si="62"/>
        <v>0.7003115646258502</v>
      </c>
      <c r="J834" s="74">
        <f t="shared" si="63"/>
        <v>6.0093469387755061</v>
      </c>
      <c r="K834">
        <f>VLOOKUP(C834,'RAW DATA 2023'!E:BO,12,0)</f>
        <v>1.47</v>
      </c>
      <c r="L834" s="268">
        <f t="shared" si="64"/>
        <v>8.8337399999999935</v>
      </c>
      <c r="M834"/>
    </row>
    <row r="835" spans="1:13">
      <c r="A835" s="64" t="str">
        <f>'RAW DATA 2023'!B828</f>
        <v>SR1</v>
      </c>
      <c r="B835" s="64" t="str">
        <f>'RAW DATA 2023'!D828</f>
        <v>D1-068-0006</v>
      </c>
      <c r="C835" s="63" t="str">
        <f t="shared" si="60"/>
        <v>SR1D1-068-0006</v>
      </c>
      <c r="D835" s="63">
        <f>VLOOKUP(C835,'RAW DATA 2023'!E:BP,63,0)</f>
        <v>9</v>
      </c>
      <c r="E835" s="63" t="str">
        <f t="shared" si="61"/>
        <v>SR19</v>
      </c>
      <c r="F835" s="79">
        <f>ROUND(VLOOKUP(C835,'RAW DATA 2023'!E:BO,23,0),0)</f>
        <v>26</v>
      </c>
      <c r="G835" s="79">
        <f>VLOOKUP(C835,'RAW DATA 2023'!E:BO,24,0)</f>
        <v>81.610754999999997</v>
      </c>
      <c r="H835" s="79">
        <f>IFERROR(VLOOKUP(F835,STD!B:G,2,FALSE),"")</f>
        <v>75</v>
      </c>
      <c r="I835" s="100">
        <f t="shared" si="62"/>
        <v>1.0881433999999999</v>
      </c>
      <c r="J835" s="74">
        <f t="shared" si="63"/>
        <v>17.644301999999996</v>
      </c>
      <c r="K835">
        <f>VLOOKUP(C835,'RAW DATA 2023'!E:BO,12,0)</f>
        <v>0.8</v>
      </c>
      <c r="L835" s="268">
        <f t="shared" si="64"/>
        <v>14.115441599999997</v>
      </c>
      <c r="M835"/>
    </row>
    <row r="836" spans="1:13">
      <c r="A836" s="64" t="str">
        <f>'RAW DATA 2023'!B829</f>
        <v>SR1</v>
      </c>
      <c r="B836" s="64" t="str">
        <f>'RAW DATA 2023'!D829</f>
        <v>D1-067-0005</v>
      </c>
      <c r="C836" s="63" t="str">
        <f t="shared" si="60"/>
        <v>SR1D1-067-0005</v>
      </c>
      <c r="D836" s="63">
        <f>VLOOKUP(C836,'RAW DATA 2023'!E:BP,63,0)</f>
        <v>9</v>
      </c>
      <c r="E836" s="63" t="str">
        <f t="shared" si="61"/>
        <v>SR19</v>
      </c>
      <c r="F836" s="79">
        <f>ROUND(VLOOKUP(C836,'RAW DATA 2023'!E:BO,23,0),0)</f>
        <v>31</v>
      </c>
      <c r="G836" s="79">
        <f>VLOOKUP(C836,'RAW DATA 2023'!E:BO,24,0)</f>
        <v>45.284416666666665</v>
      </c>
      <c r="H836" s="79">
        <f>IFERROR(VLOOKUP(F836,STD!B:G,2,FALSE),"")</f>
        <v>76</v>
      </c>
      <c r="I836" s="100">
        <f t="shared" si="62"/>
        <v>0.59584758771929824</v>
      </c>
      <c r="J836" s="74">
        <f t="shared" si="63"/>
        <v>2.8754276315789475</v>
      </c>
      <c r="K836">
        <f>VLOOKUP(C836,'RAW DATA 2023'!E:BO,12,0)</f>
        <v>1.2</v>
      </c>
      <c r="L836" s="268">
        <f t="shared" si="64"/>
        <v>3.4505131578947368</v>
      </c>
      <c r="M836"/>
    </row>
    <row r="837" spans="1:13">
      <c r="A837" s="64" t="str">
        <f>'RAW DATA 2023'!B830</f>
        <v>SR1</v>
      </c>
      <c r="B837" s="64" t="str">
        <f>'RAW DATA 2023'!D830</f>
        <v>C1-051-0032</v>
      </c>
      <c r="C837" s="63" t="str">
        <f t="shared" si="60"/>
        <v>SR1C1-051-0032</v>
      </c>
      <c r="D837" s="63">
        <f>VLOOKUP(C837,'RAW DATA 2023'!E:BP,63,0)</f>
        <v>8</v>
      </c>
      <c r="E837" s="63" t="str">
        <f t="shared" si="61"/>
        <v>SR18</v>
      </c>
      <c r="F837" s="79">
        <f>ROUND(VLOOKUP(C837,'RAW DATA 2023'!E:BO,23,0),0)</f>
        <v>32</v>
      </c>
      <c r="G837" s="79">
        <f>VLOOKUP(C837,'RAW DATA 2023'!E:BO,24,0)</f>
        <v>86.22475</v>
      </c>
      <c r="H837" s="79">
        <f>IFERROR(VLOOKUP(F837,STD!B:G,2,FALSE),"")</f>
        <v>77</v>
      </c>
      <c r="I837" s="100">
        <f t="shared" si="62"/>
        <v>1.1198019480519481</v>
      </c>
      <c r="J837" s="74">
        <f t="shared" si="63"/>
        <v>18.594058441558442</v>
      </c>
      <c r="K837">
        <f>VLOOKUP(C837,'RAW DATA 2023'!E:BO,12,0)</f>
        <v>1.2</v>
      </c>
      <c r="L837" s="268">
        <f t="shared" si="64"/>
        <v>22.312870129870131</v>
      </c>
      <c r="M837"/>
    </row>
    <row r="838" spans="1:13">
      <c r="A838" s="64" t="str">
        <f>'RAW DATA 2023'!B831</f>
        <v>SR1</v>
      </c>
      <c r="B838" s="64" t="str">
        <f>'RAW DATA 2023'!D831</f>
        <v>C1-060-0035</v>
      </c>
      <c r="C838" s="63" t="str">
        <f t="shared" si="60"/>
        <v>SR1C1-060-0035</v>
      </c>
      <c r="D838" s="63">
        <f>VLOOKUP(C838,'RAW DATA 2023'!E:BP,63,0)</f>
        <v>2</v>
      </c>
      <c r="E838" s="63" t="str">
        <f t="shared" si="61"/>
        <v>SR12</v>
      </c>
      <c r="F838" s="79">
        <f>ROUND(VLOOKUP(C838,'RAW DATA 2023'!E:BO,23,0),0)</f>
        <v>26</v>
      </c>
      <c r="G838" s="79">
        <f>VLOOKUP(C838,'RAW DATA 2023'!E:BO,24,0)</f>
        <v>46.492201834862385</v>
      </c>
      <c r="H838" s="79">
        <f>IFERROR(VLOOKUP(F838,STD!B:G,2,FALSE),"")</f>
        <v>75</v>
      </c>
      <c r="I838" s="100">
        <f t="shared" si="62"/>
        <v>0.61989602446483183</v>
      </c>
      <c r="J838" s="74">
        <f t="shared" si="63"/>
        <v>3.5968807339449551</v>
      </c>
      <c r="K838">
        <f>VLOOKUP(C838,'RAW DATA 2023'!E:BO,12,0)</f>
        <v>1.0900000000000001</v>
      </c>
      <c r="L838" s="268">
        <f t="shared" si="64"/>
        <v>3.9206000000000012</v>
      </c>
      <c r="M838"/>
    </row>
    <row r="839" spans="1:13">
      <c r="A839" s="64" t="str">
        <f>'RAW DATA 2023'!B832</f>
        <v>SR1</v>
      </c>
      <c r="B839" s="64" t="str">
        <f>'RAW DATA 2023'!D832</f>
        <v>C1-060-0036</v>
      </c>
      <c r="C839" s="63" t="str">
        <f t="shared" si="60"/>
        <v>SR1C1-060-0036</v>
      </c>
      <c r="D839" s="63">
        <f>VLOOKUP(C839,'RAW DATA 2023'!E:BP,63,0)</f>
        <v>12</v>
      </c>
      <c r="E839" s="63" t="str">
        <f t="shared" si="61"/>
        <v>SR112</v>
      </c>
      <c r="F839" s="79">
        <f>ROUND(VLOOKUP(C839,'RAW DATA 2023'!E:BO,23,0),0)</f>
        <v>34</v>
      </c>
      <c r="G839" s="79">
        <f>VLOOKUP(C839,'RAW DATA 2023'!E:BO,24,0)</f>
        <v>67.189266666666668</v>
      </c>
      <c r="H839" s="79">
        <f>IFERROR(VLOOKUP(F839,STD!B:G,2,FALSE),"")</f>
        <v>80</v>
      </c>
      <c r="I839" s="100">
        <f t="shared" si="62"/>
        <v>0.83986583333333331</v>
      </c>
      <c r="J839" s="74">
        <f t="shared" si="63"/>
        <v>10.195974999999999</v>
      </c>
      <c r="K839">
        <f>VLOOKUP(C839,'RAW DATA 2023'!E:BO,12,0)</f>
        <v>1.5</v>
      </c>
      <c r="L839" s="268">
        <f t="shared" si="64"/>
        <v>15.293962499999999</v>
      </c>
      <c r="M839"/>
    </row>
    <row r="840" spans="1:13">
      <c r="A840" s="64" t="str">
        <f>'RAW DATA 2023'!B833</f>
        <v>SR1</v>
      </c>
      <c r="B840" s="64" t="str">
        <f>'RAW DATA 2023'!D833</f>
        <v>D1-067-0004</v>
      </c>
      <c r="C840" s="63" t="str">
        <f t="shared" si="60"/>
        <v>SR1D1-067-0004</v>
      </c>
      <c r="D840" s="63">
        <f>VLOOKUP(C840,'RAW DATA 2023'!E:BP,63,0)</f>
        <v>3</v>
      </c>
      <c r="E840" s="63" t="str">
        <f t="shared" si="61"/>
        <v>SR13</v>
      </c>
      <c r="F840" s="79">
        <f>ROUND(VLOOKUP(C840,'RAW DATA 2023'!E:BO,23,0),0)</f>
        <v>30</v>
      </c>
      <c r="G840" s="79">
        <f>VLOOKUP(C840,'RAW DATA 2023'!E:BO,24,0)</f>
        <v>48.640952380952378</v>
      </c>
      <c r="H840" s="79">
        <f>IFERROR(VLOOKUP(F840,STD!B:G,2,FALSE),"")</f>
        <v>76</v>
      </c>
      <c r="I840" s="100">
        <f t="shared" si="62"/>
        <v>0.64001253132832081</v>
      </c>
      <c r="J840" s="74">
        <f t="shared" si="63"/>
        <v>4.2003759398496241</v>
      </c>
      <c r="K840">
        <f>VLOOKUP(C840,'RAW DATA 2023'!E:BO,12,0)</f>
        <v>1.26</v>
      </c>
      <c r="L840" s="268">
        <f t="shared" si="64"/>
        <v>5.2924736842105267</v>
      </c>
      <c r="M840"/>
    </row>
    <row r="841" spans="1:13">
      <c r="A841" s="64" t="str">
        <f>'RAW DATA 2023'!B834</f>
        <v>SR1</v>
      </c>
      <c r="B841" s="64" t="str">
        <f>'RAW DATA 2023'!D834</f>
        <v>D1-062-0038</v>
      </c>
      <c r="C841" s="63" t="str">
        <f t="shared" si="60"/>
        <v>SR1D1-062-0038</v>
      </c>
      <c r="D841" s="63">
        <f>VLOOKUP(C841,'RAW DATA 2023'!E:BP,63,0)</f>
        <v>12</v>
      </c>
      <c r="E841" s="63" t="str">
        <f t="shared" si="61"/>
        <v>SR112</v>
      </c>
      <c r="F841" s="79">
        <f>ROUND(VLOOKUP(C841,'RAW DATA 2023'!E:BO,23,0),0)</f>
        <v>42</v>
      </c>
      <c r="G841" s="79">
        <f>VLOOKUP(C841,'RAW DATA 2023'!E:BO,24,0)</f>
        <v>63.397400000000005</v>
      </c>
      <c r="H841" s="79">
        <f>IFERROR(VLOOKUP(F841,STD!B:G,2,FALSE),"")</f>
        <v>82</v>
      </c>
      <c r="I841" s="100">
        <f t="shared" si="62"/>
        <v>0.77313902439024396</v>
      </c>
      <c r="J841" s="74">
        <f t="shared" si="63"/>
        <v>8.1941707317073185</v>
      </c>
      <c r="K841">
        <f>VLOOKUP(C841,'RAW DATA 2023'!E:BO,12,0)</f>
        <v>1.5</v>
      </c>
      <c r="L841" s="268">
        <f t="shared" si="64"/>
        <v>12.291256097560979</v>
      </c>
      <c r="M841"/>
    </row>
    <row r="842" spans="1:13">
      <c r="A842" s="64" t="str">
        <f>'RAW DATA 2023'!B835</f>
        <v>SR1</v>
      </c>
      <c r="B842" s="64" t="str">
        <f>'RAW DATA 2023'!D835</f>
        <v>C1-061-0038</v>
      </c>
      <c r="C842" s="63" t="str">
        <f t="shared" ref="C842:C905" si="65">A842&amp;B842</f>
        <v>SR1C1-061-0038</v>
      </c>
      <c r="D842" s="63">
        <f>VLOOKUP(C842,'RAW DATA 2023'!E:BP,63,0)</f>
        <v>1</v>
      </c>
      <c r="E842" s="63" t="str">
        <f t="shared" ref="E842:E905" si="66">A842&amp;D842</f>
        <v>SR11</v>
      </c>
      <c r="F842" s="79">
        <f>ROUND(VLOOKUP(C842,'RAW DATA 2023'!E:BO,23,0),0)</f>
        <v>48</v>
      </c>
      <c r="G842" s="79">
        <f>VLOOKUP(C842,'RAW DATA 2023'!E:BO,24,0)</f>
        <v>81.401375000000002</v>
      </c>
      <c r="H842" s="79">
        <f>IFERROR(VLOOKUP(F842,STD!B:G,2,FALSE),"")</f>
        <v>84</v>
      </c>
      <c r="I842" s="100">
        <f t="shared" si="62"/>
        <v>0.96906398809523808</v>
      </c>
      <c r="J842" s="74">
        <f t="shared" si="63"/>
        <v>14.071919642857143</v>
      </c>
      <c r="K842">
        <f>VLOOKUP(C842,'RAW DATA 2023'!E:BO,12,0)</f>
        <v>0.8</v>
      </c>
      <c r="L842" s="268">
        <f t="shared" si="64"/>
        <v>11.257535714285716</v>
      </c>
      <c r="M842"/>
    </row>
    <row r="843" spans="1:13">
      <c r="A843" s="64" t="str">
        <f>'RAW DATA 2023'!B836</f>
        <v>SR1</v>
      </c>
      <c r="B843" s="64" t="str">
        <f>'RAW DATA 2023'!D836</f>
        <v>C1-062-0037</v>
      </c>
      <c r="C843" s="63" t="str">
        <f t="shared" si="65"/>
        <v>SR1C1-062-0037</v>
      </c>
      <c r="D843" s="63">
        <f>VLOOKUP(C843,'RAW DATA 2023'!E:BP,63,0)</f>
        <v>2</v>
      </c>
      <c r="E843" s="63" t="str">
        <f t="shared" si="66"/>
        <v>SR12</v>
      </c>
      <c r="F843" s="79">
        <f>ROUND(VLOOKUP(C843,'RAW DATA 2023'!E:BO,23,0),0)</f>
        <v>43</v>
      </c>
      <c r="G843" s="79">
        <f>VLOOKUP(C843,'RAW DATA 2023'!E:BO,24,0)</f>
        <v>47.729812500000001</v>
      </c>
      <c r="H843" s="79">
        <f>IFERROR(VLOOKUP(F843,STD!B:G,2,FALSE),"")</f>
        <v>83</v>
      </c>
      <c r="I843" s="100">
        <f t="shared" ref="I843:I906" si="67">IFERROR(G843/H843,0)</f>
        <v>0.57505798192771085</v>
      </c>
      <c r="J843" s="74">
        <f t="shared" ref="J843:J906" si="68">(I843-$E$4)*$E$7</f>
        <v>2.2517394578313255</v>
      </c>
      <c r="K843">
        <f>VLOOKUP(C843,'RAW DATA 2023'!E:BO,12,0)</f>
        <v>1.6</v>
      </c>
      <c r="L843" s="268">
        <f t="shared" ref="L843:L906" si="69">J843*K843</f>
        <v>3.6027831325301207</v>
      </c>
      <c r="M843"/>
    </row>
    <row r="844" spans="1:13">
      <c r="A844" s="64" t="str">
        <f>'RAW DATA 2023'!B837</f>
        <v>SR1</v>
      </c>
      <c r="B844" s="64" t="str">
        <f>'RAW DATA 2023'!D837</f>
        <v>D1-066-0037</v>
      </c>
      <c r="C844" s="63" t="str">
        <f t="shared" si="65"/>
        <v>SR1D1-066-0037</v>
      </c>
      <c r="D844" s="63">
        <f>VLOOKUP(C844,'RAW DATA 2023'!E:BP,63,0)</f>
        <v>3</v>
      </c>
      <c r="E844" s="63" t="str">
        <f t="shared" si="66"/>
        <v>SR13</v>
      </c>
      <c r="F844" s="79">
        <f>ROUND(VLOOKUP(C844,'RAW DATA 2023'!E:BO,23,0),0)</f>
        <v>54</v>
      </c>
      <c r="G844" s="79">
        <f>VLOOKUP(C844,'RAW DATA 2023'!E:BO,24,0)</f>
        <v>37.530761904761903</v>
      </c>
      <c r="H844" s="79">
        <f>IFERROR(VLOOKUP(F844,STD!B:G,2,FALSE),"")</f>
        <v>86</v>
      </c>
      <c r="I844" s="100">
        <f t="shared" si="67"/>
        <v>0.43640420819490583</v>
      </c>
      <c r="J844" s="74">
        <f t="shared" si="68"/>
        <v>-1.907873754152825</v>
      </c>
      <c r="K844">
        <f>VLOOKUP(C844,'RAW DATA 2023'!E:BO,12,0)</f>
        <v>2.1</v>
      </c>
      <c r="L844" s="268">
        <f t="shared" si="69"/>
        <v>-4.0065348837209322</v>
      </c>
      <c r="M844"/>
    </row>
    <row r="845" spans="1:13">
      <c r="A845" s="64" t="str">
        <f>'RAW DATA 2023'!B838</f>
        <v>SR1</v>
      </c>
      <c r="B845" s="64" t="str">
        <f>'RAW DATA 2023'!D838</f>
        <v>A1-027-0031</v>
      </c>
      <c r="C845" s="63" t="str">
        <f t="shared" si="65"/>
        <v>SR1A1-027-0031</v>
      </c>
      <c r="D845" s="63">
        <f>VLOOKUP(C845,'RAW DATA 2023'!E:BP,63,0)</f>
        <v>1</v>
      </c>
      <c r="E845" s="63" t="str">
        <f t="shared" si="66"/>
        <v>SR11</v>
      </c>
      <c r="F845" s="79">
        <f>ROUND(VLOOKUP(C845,'RAW DATA 2023'!E:BO,23,0),0)</f>
        <v>136</v>
      </c>
      <c r="G845" s="79">
        <f>VLOOKUP(C845,'RAW DATA 2023'!E:BO,24,0)</f>
        <v>64.714083333333335</v>
      </c>
      <c r="H845" s="79">
        <f>IFERROR(VLOOKUP(F845,STD!B:G,2,FALSE),"")</f>
        <v>93</v>
      </c>
      <c r="I845" s="100">
        <f t="shared" si="67"/>
        <v>0.69585035842293907</v>
      </c>
      <c r="J845" s="74">
        <f t="shared" si="68"/>
        <v>5.8755107526881725</v>
      </c>
      <c r="K845">
        <f>VLOOKUP(C845,'RAW DATA 2023'!E:BO,12,0)</f>
        <v>1.2</v>
      </c>
      <c r="L845" s="268">
        <f t="shared" si="69"/>
        <v>7.0506129032258071</v>
      </c>
      <c r="M845"/>
    </row>
    <row r="846" spans="1:13">
      <c r="A846" s="64" t="str">
        <f>'RAW DATA 2023'!B839</f>
        <v>SR1</v>
      </c>
      <c r="B846" s="64" t="str">
        <f>'RAW DATA 2023'!D839</f>
        <v>C1-063-0004</v>
      </c>
      <c r="C846" s="63" t="str">
        <f t="shared" si="65"/>
        <v>SR1C1-063-0004</v>
      </c>
      <c r="D846" s="63">
        <f>VLOOKUP(C846,'RAW DATA 2023'!E:BP,63,0)</f>
        <v>3</v>
      </c>
      <c r="E846" s="63" t="str">
        <f t="shared" si="66"/>
        <v>SR13</v>
      </c>
      <c r="F846" s="79">
        <f>ROUND(VLOOKUP(C846,'RAW DATA 2023'!E:BO,23,0),0)</f>
        <v>163</v>
      </c>
      <c r="G846" s="79">
        <f>VLOOKUP(C846,'RAW DATA 2023'!E:BO,24,0)</f>
        <v>92.713700000000003</v>
      </c>
      <c r="H846" s="79">
        <f>IFERROR(VLOOKUP(F846,STD!B:G,2,FALSE),"")</f>
        <v>94</v>
      </c>
      <c r="I846" s="100">
        <f t="shared" si="67"/>
        <v>0.98631595744680856</v>
      </c>
      <c r="J846" s="74">
        <f t="shared" si="68"/>
        <v>14.589478723404257</v>
      </c>
      <c r="K846">
        <f>VLOOKUP(C846,'RAW DATA 2023'!E:BO,12,0)</f>
        <v>1</v>
      </c>
      <c r="L846" s="268">
        <f t="shared" si="69"/>
        <v>14.589478723404257</v>
      </c>
      <c r="M846"/>
    </row>
    <row r="847" spans="1:13">
      <c r="A847" s="64" t="str">
        <f>'RAW DATA 2023'!B840</f>
        <v>SR1</v>
      </c>
      <c r="B847" s="64" t="str">
        <f>'RAW DATA 2023'!D840</f>
        <v>C1-050-0014</v>
      </c>
      <c r="C847" s="63" t="str">
        <f t="shared" si="65"/>
        <v>SR1C1-050-0014</v>
      </c>
      <c r="D847" s="63">
        <f>VLOOKUP(C847,'RAW DATA 2023'!E:BP,63,0)</f>
        <v>2</v>
      </c>
      <c r="E847" s="63" t="str">
        <f t="shared" si="66"/>
        <v>SR12</v>
      </c>
      <c r="F847" s="79">
        <f>ROUND(VLOOKUP(C847,'RAW DATA 2023'!E:BO,23,0),0)</f>
        <v>181</v>
      </c>
      <c r="G847" s="79">
        <f>VLOOKUP(C847,'RAW DATA 2023'!E:BO,24,0)</f>
        <v>73.112399999999994</v>
      </c>
      <c r="H847" s="79">
        <f>IFERROR(VLOOKUP(F847,STD!B:G,2,FALSE),"")</f>
        <v>95</v>
      </c>
      <c r="I847" s="100">
        <f t="shared" si="67"/>
        <v>0.76960421052631578</v>
      </c>
      <c r="J847" s="74">
        <f t="shared" si="68"/>
        <v>8.0881263157894736</v>
      </c>
      <c r="K847">
        <f>VLOOKUP(C847,'RAW DATA 2023'!E:BO,12,0)</f>
        <v>1</v>
      </c>
      <c r="L847" s="268">
        <f t="shared" si="69"/>
        <v>8.0881263157894736</v>
      </c>
      <c r="M847"/>
    </row>
    <row r="848" spans="1:13">
      <c r="A848" s="64" t="str">
        <f>'RAW DATA 2023'!B841</f>
        <v>SR1</v>
      </c>
      <c r="B848" s="64" t="str">
        <f>'RAW DATA 2023'!D841</f>
        <v>G1-130-0009</v>
      </c>
      <c r="C848" s="63" t="str">
        <f t="shared" si="65"/>
        <v>SR1G1-130-0009</v>
      </c>
      <c r="D848" s="63">
        <f>VLOOKUP(C848,'RAW DATA 2023'!E:BP,63,0)</f>
        <v>7</v>
      </c>
      <c r="E848" s="63" t="str">
        <f t="shared" si="66"/>
        <v>SR17</v>
      </c>
      <c r="F848" s="79">
        <f>ROUND(VLOOKUP(C848,'RAW DATA 2023'!E:BO,23,0),0)</f>
        <v>29</v>
      </c>
      <c r="G848" s="79">
        <f>VLOOKUP(C848,'RAW DATA 2023'!E:BO,24,0)</f>
        <v>37.811199999999999</v>
      </c>
      <c r="H848" s="79">
        <f>IFERROR(VLOOKUP(F848,STD!B:G,2,FALSE),"")</f>
        <v>76</v>
      </c>
      <c r="I848" s="100">
        <f t="shared" si="67"/>
        <v>0.49751578947368419</v>
      </c>
      <c r="J848" s="74">
        <f t="shared" si="68"/>
        <v>-7.4526315789474329E-2</v>
      </c>
      <c r="K848">
        <f>VLOOKUP(C848,'RAW DATA 2023'!E:BO,12,0)</f>
        <v>1</v>
      </c>
      <c r="L848" s="268">
        <f t="shared" si="69"/>
        <v>-7.4526315789474329E-2</v>
      </c>
      <c r="M848"/>
    </row>
    <row r="849" spans="1:13">
      <c r="A849" s="64" t="str">
        <f>'RAW DATA 2023'!B842</f>
        <v>SR1</v>
      </c>
      <c r="B849" s="64" t="str">
        <f>'RAW DATA 2023'!D842</f>
        <v>G1-128-0006</v>
      </c>
      <c r="C849" s="63" t="str">
        <f t="shared" si="65"/>
        <v>SR1G1-128-0006</v>
      </c>
      <c r="D849" s="63">
        <f>VLOOKUP(C849,'RAW DATA 2023'!E:BP,63,0)</f>
        <v>11</v>
      </c>
      <c r="E849" s="63" t="str">
        <f t="shared" si="66"/>
        <v>SR111</v>
      </c>
      <c r="F849" s="79">
        <f>ROUND(VLOOKUP(C849,'RAW DATA 2023'!E:BO,23,0),0)</f>
        <v>24</v>
      </c>
      <c r="G849" s="79">
        <f>VLOOKUP(C849,'RAW DATA 2023'!E:BO,24,0)</f>
        <v>31.295000000000002</v>
      </c>
      <c r="H849" s="79">
        <f>IFERROR(VLOOKUP(F849,STD!B:G,2,FALSE),"")</f>
        <v>72</v>
      </c>
      <c r="I849" s="100">
        <f t="shared" si="67"/>
        <v>0.43465277777777778</v>
      </c>
      <c r="J849" s="74">
        <f t="shared" si="68"/>
        <v>-1.9604166666666667</v>
      </c>
      <c r="K849">
        <f>VLOOKUP(C849,'RAW DATA 2023'!E:BO,12,0)</f>
        <v>1</v>
      </c>
      <c r="L849" s="268">
        <f t="shared" si="69"/>
        <v>-1.9604166666666667</v>
      </c>
      <c r="M849"/>
    </row>
    <row r="850" spans="1:13">
      <c r="A850" s="64" t="str">
        <f>'RAW DATA 2023'!B843</f>
        <v>SR1</v>
      </c>
      <c r="B850" s="64" t="str">
        <f>'RAW DATA 2023'!D843</f>
        <v>G1-129-0009</v>
      </c>
      <c r="C850" s="63" t="str">
        <f t="shared" si="65"/>
        <v>SR1G1-129-0009</v>
      </c>
      <c r="D850" s="63">
        <f>VLOOKUP(C850,'RAW DATA 2023'!E:BP,63,0)</f>
        <v>7</v>
      </c>
      <c r="E850" s="63" t="str">
        <f t="shared" si="66"/>
        <v>SR17</v>
      </c>
      <c r="F850" s="79">
        <f>ROUND(VLOOKUP(C850,'RAW DATA 2023'!E:BO,23,0),0)</f>
        <v>33</v>
      </c>
      <c r="G850" s="79">
        <f>VLOOKUP(C850,'RAW DATA 2023'!E:BO,24,0)</f>
        <v>36.071799999999996</v>
      </c>
      <c r="H850" s="79">
        <f>IFERROR(VLOOKUP(F850,STD!B:G,2,FALSE),"")</f>
        <v>79</v>
      </c>
      <c r="I850" s="100">
        <f t="shared" si="67"/>
        <v>0.4566050632911392</v>
      </c>
      <c r="J850" s="74">
        <f t="shared" si="68"/>
        <v>-1.3018481012658238</v>
      </c>
      <c r="K850">
        <f>VLOOKUP(C850,'RAW DATA 2023'!E:BO,12,0)</f>
        <v>1</v>
      </c>
      <c r="L850" s="268">
        <f t="shared" si="69"/>
        <v>-1.3018481012658238</v>
      </c>
      <c r="M850"/>
    </row>
    <row r="851" spans="1:13">
      <c r="A851" s="64" t="str">
        <f>'RAW DATA 2023'!B844</f>
        <v>SR1</v>
      </c>
      <c r="B851" s="64" t="str">
        <f>'RAW DATA 2023'!D844</f>
        <v>G1-128-0005</v>
      </c>
      <c r="C851" s="63" t="str">
        <f t="shared" si="65"/>
        <v>SR1G1-128-0005</v>
      </c>
      <c r="D851" s="63">
        <f>VLOOKUP(C851,'RAW DATA 2023'!E:BP,63,0)</f>
        <v>6</v>
      </c>
      <c r="E851" s="63" t="str">
        <f t="shared" si="66"/>
        <v>SR16</v>
      </c>
      <c r="F851" s="79">
        <f>ROUND(VLOOKUP(C851,'RAW DATA 2023'!E:BO,23,0),0)</f>
        <v>22</v>
      </c>
      <c r="G851" s="79">
        <f>VLOOKUP(C851,'RAW DATA 2023'!E:BO,24,0)</f>
        <v>28.403099999999998</v>
      </c>
      <c r="H851" s="79">
        <f>IFERROR(VLOOKUP(F851,STD!B:G,2,FALSE),"")</f>
        <v>71</v>
      </c>
      <c r="I851" s="100">
        <f t="shared" si="67"/>
        <v>0.40004366197183094</v>
      </c>
      <c r="J851" s="74">
        <f t="shared" si="68"/>
        <v>-2.9986901408450715</v>
      </c>
      <c r="K851">
        <f>VLOOKUP(C851,'RAW DATA 2023'!E:BO,12,0)</f>
        <v>1</v>
      </c>
      <c r="L851" s="268">
        <f t="shared" si="69"/>
        <v>-2.9986901408450715</v>
      </c>
      <c r="M851"/>
    </row>
    <row r="852" spans="1:13">
      <c r="A852" s="64" t="str">
        <f>'RAW DATA 2023'!B845</f>
        <v>SR1</v>
      </c>
      <c r="B852" s="64" t="str">
        <f>'RAW DATA 2023'!D845</f>
        <v>A1-028-0036</v>
      </c>
      <c r="C852" s="63" t="str">
        <f t="shared" si="65"/>
        <v>SR1A1-028-0036</v>
      </c>
      <c r="D852" s="63">
        <f>VLOOKUP(C852,'RAW DATA 2023'!E:BP,63,0)</f>
        <v>5</v>
      </c>
      <c r="E852" s="63" t="str">
        <f t="shared" si="66"/>
        <v>SR15</v>
      </c>
      <c r="F852" s="79">
        <f>ROUND(VLOOKUP(C852,'RAW DATA 2023'!E:BO,23,0),0)</f>
        <v>23</v>
      </c>
      <c r="G852" s="79">
        <f>VLOOKUP(C852,'RAW DATA 2023'!E:BO,24,0)</f>
        <v>63.810900000000004</v>
      </c>
      <c r="H852" s="79">
        <f>IFERROR(VLOOKUP(F852,STD!B:G,2,FALSE),"")</f>
        <v>71</v>
      </c>
      <c r="I852" s="100">
        <f t="shared" si="67"/>
        <v>0.89874507042253526</v>
      </c>
      <c r="J852" s="74">
        <f t="shared" si="68"/>
        <v>11.962352112676058</v>
      </c>
      <c r="K852">
        <f>VLOOKUP(C852,'RAW DATA 2023'!E:BO,12,0)</f>
        <v>1</v>
      </c>
      <c r="L852" s="268">
        <f t="shared" si="69"/>
        <v>11.962352112676058</v>
      </c>
      <c r="M852"/>
    </row>
    <row r="853" spans="1:13">
      <c r="A853" s="64" t="str">
        <f>'RAW DATA 2023'!B846</f>
        <v>SR1</v>
      </c>
      <c r="B853" s="64" t="str">
        <f>'RAW DATA 2023'!D846</f>
        <v>G1-129-0010</v>
      </c>
      <c r="C853" s="63" t="str">
        <f t="shared" si="65"/>
        <v>SR1G1-129-0010</v>
      </c>
      <c r="D853" s="63">
        <f>VLOOKUP(C853,'RAW DATA 2023'!E:BP,63,0)</f>
        <v>10</v>
      </c>
      <c r="E853" s="63" t="str">
        <f t="shared" si="66"/>
        <v>SR110</v>
      </c>
      <c r="F853" s="79">
        <f>ROUND(VLOOKUP(C853,'RAW DATA 2023'!E:BO,23,0),0)</f>
        <v>61</v>
      </c>
      <c r="G853" s="79">
        <f>VLOOKUP(C853,'RAW DATA 2023'!E:BO,24,0)</f>
        <v>49.674099999999996</v>
      </c>
      <c r="H853" s="79">
        <f>IFERROR(VLOOKUP(F853,STD!B:G,2,FALSE),"")</f>
        <v>87</v>
      </c>
      <c r="I853" s="100">
        <f t="shared" si="67"/>
        <v>0.57096666666666662</v>
      </c>
      <c r="J853" s="74">
        <f t="shared" si="68"/>
        <v>2.1289999999999987</v>
      </c>
      <c r="K853">
        <f>VLOOKUP(C853,'RAW DATA 2023'!E:BO,12,0)</f>
        <v>1</v>
      </c>
      <c r="L853" s="268">
        <f t="shared" si="69"/>
        <v>2.1289999999999987</v>
      </c>
      <c r="M853"/>
    </row>
    <row r="854" spans="1:13">
      <c r="A854" s="64" t="str">
        <f>'RAW DATA 2023'!B847</f>
        <v>SR1</v>
      </c>
      <c r="B854" s="64" t="str">
        <f>'RAW DATA 2023'!D847</f>
        <v>G1-129-0008</v>
      </c>
      <c r="C854" s="63" t="str">
        <f t="shared" si="65"/>
        <v>SR1G1-129-0008</v>
      </c>
      <c r="D854" s="63">
        <f>VLOOKUP(C854,'RAW DATA 2023'!E:BP,63,0)</f>
        <v>2</v>
      </c>
      <c r="E854" s="63" t="str">
        <f t="shared" si="66"/>
        <v>SR12</v>
      </c>
      <c r="F854" s="79">
        <f>ROUND(VLOOKUP(C854,'RAW DATA 2023'!E:BO,23,0),0)</f>
        <v>74</v>
      </c>
      <c r="G854" s="79">
        <f>VLOOKUP(C854,'RAW DATA 2023'!E:BO,24,0)</f>
        <v>58.649499999999996</v>
      </c>
      <c r="H854" s="79">
        <f>IFERROR(VLOOKUP(F854,STD!B:G,2,FALSE),"")</f>
        <v>89</v>
      </c>
      <c r="I854" s="100">
        <f t="shared" si="67"/>
        <v>0.6589831460674157</v>
      </c>
      <c r="J854" s="74">
        <f t="shared" si="68"/>
        <v>4.7694943820224713</v>
      </c>
      <c r="K854">
        <f>VLOOKUP(C854,'RAW DATA 2023'!E:BO,12,0)</f>
        <v>1</v>
      </c>
      <c r="L854" s="268">
        <f t="shared" si="69"/>
        <v>4.7694943820224713</v>
      </c>
      <c r="M854"/>
    </row>
    <row r="855" spans="1:13">
      <c r="A855" s="64" t="str">
        <f>'RAW DATA 2023'!B848</f>
        <v>SR1</v>
      </c>
      <c r="B855" s="64" t="str">
        <f>'RAW DATA 2023'!D848</f>
        <v>G1-130-0010</v>
      </c>
      <c r="C855" s="63" t="str">
        <f t="shared" si="65"/>
        <v>SR1G1-130-0010</v>
      </c>
      <c r="D855" s="63">
        <f>VLOOKUP(C855,'RAW DATA 2023'!E:BP,63,0)</f>
        <v>10</v>
      </c>
      <c r="E855" s="63" t="str">
        <f t="shared" si="66"/>
        <v>SR110</v>
      </c>
      <c r="F855" s="79">
        <f>ROUND(VLOOKUP(C855,'RAW DATA 2023'!E:BO,23,0),0)</f>
        <v>117</v>
      </c>
      <c r="G855" s="79">
        <f>VLOOKUP(C855,'RAW DATA 2023'!E:BO,24,0)</f>
        <v>60.229538461538453</v>
      </c>
      <c r="H855" s="79">
        <f>IFERROR(VLOOKUP(F855,STD!B:G,2,FALSE),"")</f>
        <v>92</v>
      </c>
      <c r="I855" s="100">
        <f t="shared" si="67"/>
        <v>0.65466889632107017</v>
      </c>
      <c r="J855" s="74">
        <f t="shared" si="68"/>
        <v>4.6400668896321049</v>
      </c>
      <c r="K855">
        <f>VLOOKUP(C855,'RAW DATA 2023'!E:BO,12,0)</f>
        <v>1.3</v>
      </c>
      <c r="L855" s="268">
        <f t="shared" si="69"/>
        <v>6.032086956521737</v>
      </c>
      <c r="M855"/>
    </row>
    <row r="856" spans="1:13">
      <c r="A856" s="64" t="str">
        <f>'RAW DATA 2023'!B849</f>
        <v>SR1</v>
      </c>
      <c r="B856" s="64" t="str">
        <f>'RAW DATA 2023'!D849</f>
        <v>H1-095-0037</v>
      </c>
      <c r="C856" s="63" t="str">
        <f t="shared" si="65"/>
        <v>SR1H1-095-0037</v>
      </c>
      <c r="D856" s="63">
        <f>VLOOKUP(C856,'RAW DATA 2023'!E:BP,63,0)</f>
        <v>1</v>
      </c>
      <c r="E856" s="63" t="str">
        <f t="shared" si="66"/>
        <v>SR11</v>
      </c>
      <c r="F856" s="79">
        <f>ROUND(VLOOKUP(C856,'RAW DATA 2023'!E:BO,23,0),0)</f>
        <v>89</v>
      </c>
      <c r="G856" s="79">
        <f>VLOOKUP(C856,'RAW DATA 2023'!E:BO,24,0)</f>
        <v>39.808818181818182</v>
      </c>
      <c r="H856" s="79">
        <f>IFERROR(VLOOKUP(F856,STD!B:G,2,FALSE),"")</f>
        <v>90</v>
      </c>
      <c r="I856" s="100">
        <f t="shared" si="67"/>
        <v>0.442320202020202</v>
      </c>
      <c r="J856" s="74">
        <f t="shared" si="68"/>
        <v>-1.7303939393939398</v>
      </c>
      <c r="K856">
        <f>VLOOKUP(C856,'RAW DATA 2023'!E:BO,12,0)</f>
        <v>1.1000000000000001</v>
      </c>
      <c r="L856" s="268">
        <f t="shared" si="69"/>
        <v>-1.903433333333334</v>
      </c>
      <c r="M856"/>
    </row>
    <row r="857" spans="1:13">
      <c r="A857" s="64" t="str">
        <f>'RAW DATA 2023'!B850</f>
        <v>SR1</v>
      </c>
      <c r="B857" s="64" t="str">
        <f>'RAW DATA 2023'!D850</f>
        <v>H1-092-0039</v>
      </c>
      <c r="C857" s="63" t="str">
        <f t="shared" si="65"/>
        <v>SR1H1-092-0039</v>
      </c>
      <c r="D857" s="63">
        <f>VLOOKUP(C857,'RAW DATA 2023'!E:BP,63,0)</f>
        <v>1</v>
      </c>
      <c r="E857" s="63" t="str">
        <f t="shared" si="66"/>
        <v>SR11</v>
      </c>
      <c r="F857" s="79">
        <f>ROUND(VLOOKUP(C857,'RAW DATA 2023'!E:BO,23,0),0)</f>
        <v>82</v>
      </c>
      <c r="G857" s="79">
        <f>VLOOKUP(C857,'RAW DATA 2023'!E:BO,24,0)</f>
        <v>33.720925925925926</v>
      </c>
      <c r="H857" s="79">
        <f>IFERROR(VLOOKUP(F857,STD!B:G,2,FALSE),"")</f>
        <v>89</v>
      </c>
      <c r="I857" s="100">
        <f t="shared" si="67"/>
        <v>0.37888680815647108</v>
      </c>
      <c r="J857" s="74">
        <f t="shared" si="68"/>
        <v>-3.6333957553058678</v>
      </c>
      <c r="K857">
        <f>VLOOKUP(C857,'RAW DATA 2023'!E:BO,12,0)</f>
        <v>1.08</v>
      </c>
      <c r="L857" s="268">
        <f t="shared" si="69"/>
        <v>-3.9240674157303377</v>
      </c>
      <c r="M857"/>
    </row>
    <row r="858" spans="1:13">
      <c r="A858" s="64" t="str">
        <f>'RAW DATA 2023'!B851</f>
        <v>SR1</v>
      </c>
      <c r="B858" s="64" t="str">
        <f>'RAW DATA 2023'!D851</f>
        <v>H1-126-0008</v>
      </c>
      <c r="C858" s="63" t="str">
        <f t="shared" si="65"/>
        <v>SR1H1-126-0008</v>
      </c>
      <c r="D858" s="63">
        <f>VLOOKUP(C858,'RAW DATA 2023'!E:BP,63,0)</f>
        <v>2</v>
      </c>
      <c r="E858" s="63" t="str">
        <f t="shared" si="66"/>
        <v>SR12</v>
      </c>
      <c r="F858" s="79">
        <f>ROUND(VLOOKUP(C858,'RAW DATA 2023'!E:BO,23,0),0)</f>
        <v>108</v>
      </c>
      <c r="G858" s="79">
        <f>VLOOKUP(C858,'RAW DATA 2023'!E:BO,24,0)</f>
        <v>89.022285714285715</v>
      </c>
      <c r="H858" s="79">
        <f>IFERROR(VLOOKUP(F858,STD!B:G,2,FALSE),"")</f>
        <v>91</v>
      </c>
      <c r="I858" s="100">
        <f t="shared" si="67"/>
        <v>0.97826687598116169</v>
      </c>
      <c r="J858" s="74">
        <f t="shared" si="68"/>
        <v>14.34800627943485</v>
      </c>
      <c r="K858">
        <f>VLOOKUP(C858,'RAW DATA 2023'!E:BO,12,0)</f>
        <v>0.7</v>
      </c>
      <c r="L858" s="268">
        <f t="shared" si="69"/>
        <v>10.043604395604394</v>
      </c>
      <c r="M858"/>
    </row>
    <row r="859" spans="1:13">
      <c r="A859" s="64" t="str">
        <f>'RAW DATA 2023'!B852</f>
        <v>SR1</v>
      </c>
      <c r="B859" s="64" t="str">
        <f>'RAW DATA 2023'!D852</f>
        <v>G1-130-0008</v>
      </c>
      <c r="C859" s="63" t="str">
        <f t="shared" si="65"/>
        <v>SR1G1-130-0008</v>
      </c>
      <c r="D859" s="63">
        <f>VLOOKUP(C859,'RAW DATA 2023'!E:BP,63,0)</f>
        <v>2</v>
      </c>
      <c r="E859" s="63" t="str">
        <f t="shared" si="66"/>
        <v>SR12</v>
      </c>
      <c r="F859" s="79">
        <f>ROUND(VLOOKUP(C859,'RAW DATA 2023'!E:BO,23,0),0)</f>
        <v>91</v>
      </c>
      <c r="G859" s="79">
        <f>VLOOKUP(C859,'RAW DATA 2023'!E:BO,24,0)</f>
        <v>72.956222222222223</v>
      </c>
      <c r="H859" s="79">
        <f>IFERROR(VLOOKUP(F859,STD!B:G,2,FALSE),"")</f>
        <v>90</v>
      </c>
      <c r="I859" s="100">
        <f t="shared" si="67"/>
        <v>0.81062469135802473</v>
      </c>
      <c r="J859" s="74">
        <f t="shared" si="68"/>
        <v>9.3187407407407417</v>
      </c>
      <c r="K859">
        <f>VLOOKUP(C859,'RAW DATA 2023'!E:BO,12,0)</f>
        <v>0.9</v>
      </c>
      <c r="L859" s="268">
        <f t="shared" si="69"/>
        <v>8.386866666666668</v>
      </c>
      <c r="M859"/>
    </row>
    <row r="860" spans="1:13">
      <c r="A860" s="64" t="str">
        <f>'RAW DATA 2023'!B853</f>
        <v>SR1</v>
      </c>
      <c r="B860" s="64" t="str">
        <f>'RAW DATA 2023'!D853</f>
        <v>H1-125-0010</v>
      </c>
      <c r="C860" s="63" t="str">
        <f t="shared" si="65"/>
        <v>SR1H1-125-0010</v>
      </c>
      <c r="D860" s="63">
        <f>VLOOKUP(C860,'RAW DATA 2023'!E:BP,63,0)</f>
        <v>3</v>
      </c>
      <c r="E860" s="63" t="str">
        <f t="shared" si="66"/>
        <v>SR13</v>
      </c>
      <c r="F860" s="79">
        <f>ROUND(VLOOKUP(C860,'RAW DATA 2023'!E:BO,23,0),0)</f>
        <v>133</v>
      </c>
      <c r="G860" s="79">
        <f>VLOOKUP(C860,'RAW DATA 2023'!E:BO,24,0)</f>
        <v>69.401875000000004</v>
      </c>
      <c r="H860" s="79">
        <f>IFERROR(VLOOKUP(F860,STD!B:G,2,FALSE),"")</f>
        <v>93</v>
      </c>
      <c r="I860" s="100">
        <f t="shared" si="67"/>
        <v>0.7462567204301076</v>
      </c>
      <c r="J860" s="74">
        <f t="shared" si="68"/>
        <v>7.3877016129032285</v>
      </c>
      <c r="K860">
        <f>VLOOKUP(C860,'RAW DATA 2023'!E:BO,12,0)</f>
        <v>0.8</v>
      </c>
      <c r="L860" s="268">
        <f t="shared" si="69"/>
        <v>5.9101612903225833</v>
      </c>
      <c r="M860"/>
    </row>
    <row r="861" spans="1:13">
      <c r="A861" s="64" t="str">
        <f>'RAW DATA 2023'!B854</f>
        <v>SR1</v>
      </c>
      <c r="B861" s="64" t="str">
        <f>'RAW DATA 2023'!D854</f>
        <v>H1-126-0009</v>
      </c>
      <c r="C861" s="63" t="str">
        <f t="shared" si="65"/>
        <v>SR1H1-126-0009</v>
      </c>
      <c r="D861" s="63">
        <f>VLOOKUP(C861,'RAW DATA 2023'!E:BP,63,0)</f>
        <v>6</v>
      </c>
      <c r="E861" s="63" t="str">
        <f t="shared" si="66"/>
        <v>SR16</v>
      </c>
      <c r="F861" s="79">
        <f>ROUND(VLOOKUP(C861,'RAW DATA 2023'!E:BO,23,0),0)</f>
        <v>57</v>
      </c>
      <c r="G861" s="79">
        <f>VLOOKUP(C861,'RAW DATA 2023'!E:BO,24,0)</f>
        <v>64.666624999999996</v>
      </c>
      <c r="H861" s="79">
        <f>IFERROR(VLOOKUP(F861,STD!B:G,2,FALSE),"")</f>
        <v>86</v>
      </c>
      <c r="I861" s="100">
        <f t="shared" si="67"/>
        <v>0.75193749999999993</v>
      </c>
      <c r="J861" s="74">
        <f t="shared" si="68"/>
        <v>7.5581249999999978</v>
      </c>
      <c r="K861">
        <f>VLOOKUP(C861,'RAW DATA 2023'!E:BO,12,0)</f>
        <v>0.8</v>
      </c>
      <c r="L861" s="268">
        <f t="shared" si="69"/>
        <v>6.0464999999999982</v>
      </c>
      <c r="M861"/>
    </row>
    <row r="862" spans="1:13">
      <c r="A862" s="64" t="str">
        <f>'RAW DATA 2023'!B855</f>
        <v>SR1</v>
      </c>
      <c r="B862" s="64" t="str">
        <f>'RAW DATA 2023'!D855</f>
        <v>H1-125-0011</v>
      </c>
      <c r="C862" s="63" t="str">
        <f t="shared" si="65"/>
        <v>SR1H1-125-0011</v>
      </c>
      <c r="D862" s="63">
        <f>VLOOKUP(C862,'RAW DATA 2023'!E:BP,63,0)</f>
        <v>7</v>
      </c>
      <c r="E862" s="63" t="str">
        <f t="shared" si="66"/>
        <v>SR17</v>
      </c>
      <c r="F862" s="79">
        <f>ROUND(VLOOKUP(C862,'RAW DATA 2023'!E:BO,23,0),0)</f>
        <v>60</v>
      </c>
      <c r="G862" s="79">
        <f>VLOOKUP(C862,'RAW DATA 2023'!E:BO,24,0)</f>
        <v>36.41525</v>
      </c>
      <c r="H862" s="79">
        <f>IFERROR(VLOOKUP(F862,STD!B:G,2,FALSE),"")</f>
        <v>87</v>
      </c>
      <c r="I862" s="100">
        <f t="shared" si="67"/>
        <v>0.418566091954023</v>
      </c>
      <c r="J862" s="74">
        <f t="shared" si="68"/>
        <v>-2.4430172413793101</v>
      </c>
      <c r="K862">
        <f>VLOOKUP(C862,'RAW DATA 2023'!E:BO,12,0)</f>
        <v>0.8</v>
      </c>
      <c r="L862" s="268">
        <f t="shared" si="69"/>
        <v>-1.9544137931034482</v>
      </c>
      <c r="M862"/>
    </row>
    <row r="863" spans="1:13">
      <c r="A863" s="64" t="str">
        <f>'RAW DATA 2023'!B856</f>
        <v>SR1</v>
      </c>
      <c r="B863" s="64" t="str">
        <f>'RAW DATA 2023'!D856</f>
        <v>H1-095-0038</v>
      </c>
      <c r="C863" s="63" t="str">
        <f t="shared" si="65"/>
        <v>SR1H1-095-0038</v>
      </c>
      <c r="D863" s="63">
        <f>VLOOKUP(C863,'RAW DATA 2023'!E:BP,63,0)</f>
        <v>6</v>
      </c>
      <c r="E863" s="63" t="str">
        <f t="shared" si="66"/>
        <v>SR16</v>
      </c>
      <c r="F863" s="79">
        <f>ROUND(VLOOKUP(C863,'RAW DATA 2023'!E:BO,23,0),0)</f>
        <v>82</v>
      </c>
      <c r="G863" s="79">
        <f>VLOOKUP(C863,'RAW DATA 2023'!E:BO,24,0)</f>
        <v>65.091499999999996</v>
      </c>
      <c r="H863" s="79">
        <f>IFERROR(VLOOKUP(F863,STD!B:G,2,FALSE),"")</f>
        <v>89</v>
      </c>
      <c r="I863" s="100">
        <f t="shared" si="67"/>
        <v>0.73136516853932576</v>
      </c>
      <c r="J863" s="74">
        <f t="shared" si="68"/>
        <v>6.9409550561797726</v>
      </c>
      <c r="K863">
        <f>VLOOKUP(C863,'RAW DATA 2023'!E:BO,12,0)</f>
        <v>0.8</v>
      </c>
      <c r="L863" s="268">
        <f t="shared" si="69"/>
        <v>5.5527640449438183</v>
      </c>
      <c r="M863"/>
    </row>
    <row r="864" spans="1:13">
      <c r="A864" s="64" t="str">
        <f>'RAW DATA 2023'!B857</f>
        <v>SR1</v>
      </c>
      <c r="B864" s="64" t="str">
        <f>'RAW DATA 2023'!D857</f>
        <v>H1-094-0029</v>
      </c>
      <c r="C864" s="63" t="str">
        <f t="shared" si="65"/>
        <v>SR1H1-094-0029</v>
      </c>
      <c r="D864" s="63">
        <f>VLOOKUP(C864,'RAW DATA 2023'!E:BP,63,0)</f>
        <v>7</v>
      </c>
      <c r="E864" s="63" t="str">
        <f t="shared" si="66"/>
        <v>SR17</v>
      </c>
      <c r="F864" s="79">
        <f>ROUND(VLOOKUP(C864,'RAW DATA 2023'!E:BO,23,0),0)</f>
        <v>78</v>
      </c>
      <c r="G864" s="79">
        <f>VLOOKUP(C864,'RAW DATA 2023'!E:BO,24,0)</f>
        <v>57.457100000000004</v>
      </c>
      <c r="H864" s="79">
        <f>IFERROR(VLOOKUP(F864,STD!B:G,2,FALSE),"")</f>
        <v>89</v>
      </c>
      <c r="I864" s="100">
        <f t="shared" si="67"/>
        <v>0.64558539325842701</v>
      </c>
      <c r="J864" s="74">
        <f t="shared" si="68"/>
        <v>4.3675617977528098</v>
      </c>
      <c r="K864">
        <f>VLOOKUP(C864,'RAW DATA 2023'!E:BO,12,0)</f>
        <v>1</v>
      </c>
      <c r="L864" s="268">
        <f t="shared" si="69"/>
        <v>4.3675617977528098</v>
      </c>
      <c r="M864"/>
    </row>
    <row r="865" spans="1:13">
      <c r="A865" s="64" t="str">
        <f>'RAW DATA 2023'!B858</f>
        <v>Nakornfarm</v>
      </c>
      <c r="B865" s="64" t="str">
        <f>'RAW DATA 2023'!D858</f>
        <v>BG-113-0010</v>
      </c>
      <c r="C865" s="63" t="str">
        <f t="shared" si="65"/>
        <v>NakornfarmBG-113-0010</v>
      </c>
      <c r="D865" s="63">
        <f>VLOOKUP(C865,'RAW DATA 2023'!E:BP,63,0)</f>
        <v>10</v>
      </c>
      <c r="E865" s="63" t="str">
        <f t="shared" si="66"/>
        <v>Nakornfarm10</v>
      </c>
      <c r="F865" s="79">
        <f>ROUND(VLOOKUP(C865,'RAW DATA 2023'!E:BO,23,0),0)</f>
        <v>26</v>
      </c>
      <c r="G865" s="79">
        <f>VLOOKUP(C865,'RAW DATA 2023'!E:BO,24,0)</f>
        <v>54.939249999999994</v>
      </c>
      <c r="H865" s="79">
        <f>IFERROR(VLOOKUP(F865,STD!B:G,2,FALSE),"")</f>
        <v>75</v>
      </c>
      <c r="I865" s="100">
        <f t="shared" si="67"/>
        <v>0.7325233333333333</v>
      </c>
      <c r="J865" s="74">
        <f t="shared" si="68"/>
        <v>6.9756999999999989</v>
      </c>
      <c r="K865">
        <f>VLOOKUP(C865,'RAW DATA 2023'!E:BO,12,0)</f>
        <v>0.8</v>
      </c>
      <c r="L865" s="268">
        <f t="shared" si="69"/>
        <v>5.5805599999999993</v>
      </c>
      <c r="M865"/>
    </row>
    <row r="866" spans="1:13">
      <c r="A866" s="64" t="str">
        <f>'RAW DATA 2023'!B859</f>
        <v>Nakornfarm</v>
      </c>
      <c r="B866" s="64" t="str">
        <f>'RAW DATA 2023'!D859</f>
        <v>BG-101-0010</v>
      </c>
      <c r="C866" s="63" t="str">
        <f t="shared" si="65"/>
        <v>NakornfarmBG-101-0010</v>
      </c>
      <c r="D866" s="63">
        <f>VLOOKUP(C866,'RAW DATA 2023'!E:BP,63,0)</f>
        <v>7</v>
      </c>
      <c r="E866" s="63" t="str">
        <f t="shared" si="66"/>
        <v>Nakornfarm7</v>
      </c>
      <c r="F866" s="79">
        <f>ROUND(VLOOKUP(C866,'RAW DATA 2023'!E:BO,23,0),0)</f>
        <v>23</v>
      </c>
      <c r="G866" s="79">
        <f>VLOOKUP(C866,'RAW DATA 2023'!E:BO,24,0)</f>
        <v>50.613142857142854</v>
      </c>
      <c r="H866" s="79">
        <f>IFERROR(VLOOKUP(F866,STD!B:G,2,FALSE),"")</f>
        <v>71</v>
      </c>
      <c r="I866" s="100">
        <f t="shared" si="67"/>
        <v>0.71286116700201207</v>
      </c>
      <c r="J866" s="74">
        <f t="shared" si="68"/>
        <v>6.3858350100603625</v>
      </c>
      <c r="K866">
        <f>VLOOKUP(C866,'RAW DATA 2023'!E:BO,12,0)</f>
        <v>0.7</v>
      </c>
      <c r="L866" s="268">
        <f t="shared" si="69"/>
        <v>4.4700845070422535</v>
      </c>
      <c r="M866"/>
    </row>
    <row r="867" spans="1:13">
      <c r="A867" s="64" t="str">
        <f>'RAW DATA 2023'!B860</f>
        <v>Nakornfarm</v>
      </c>
      <c r="B867" s="64" t="str">
        <f>'RAW DATA 2023'!D860</f>
        <v>BG-119-0010</v>
      </c>
      <c r="C867" s="63" t="str">
        <f t="shared" si="65"/>
        <v>NakornfarmBG-119-0010</v>
      </c>
      <c r="D867" s="63">
        <f>VLOOKUP(C867,'RAW DATA 2023'!E:BP,63,0)</f>
        <v>5</v>
      </c>
      <c r="E867" s="63" t="str">
        <f t="shared" si="66"/>
        <v>Nakornfarm5</v>
      </c>
      <c r="F867" s="79">
        <f>ROUND(VLOOKUP(C867,'RAW DATA 2023'!E:BO,23,0),0)</f>
        <v>28</v>
      </c>
      <c r="G867" s="79">
        <f>VLOOKUP(C867,'RAW DATA 2023'!E:BO,24,0)</f>
        <v>81.605571428571437</v>
      </c>
      <c r="H867" s="79">
        <f>IFERROR(VLOOKUP(F867,STD!B:G,2,FALSE),"")</f>
        <v>75</v>
      </c>
      <c r="I867" s="100">
        <f t="shared" si="67"/>
        <v>1.0880742857142858</v>
      </c>
      <c r="J867" s="74">
        <f t="shared" si="68"/>
        <v>17.642228571428575</v>
      </c>
      <c r="K867">
        <f>VLOOKUP(C867,'RAW DATA 2023'!E:BO,12,0)</f>
        <v>0.7</v>
      </c>
      <c r="L867" s="268">
        <f t="shared" si="69"/>
        <v>12.349560000000002</v>
      </c>
      <c r="M867"/>
    </row>
    <row r="868" spans="1:13">
      <c r="A868" s="64" t="str">
        <f>'RAW DATA 2023'!B861</f>
        <v>Nakornfarm</v>
      </c>
      <c r="B868" s="64" t="str">
        <f>'RAW DATA 2023'!D861</f>
        <v>BG-116-0011</v>
      </c>
      <c r="C868" s="63" t="str">
        <f t="shared" si="65"/>
        <v>NakornfarmBG-116-0011</v>
      </c>
      <c r="D868" s="63">
        <f>VLOOKUP(C868,'RAW DATA 2023'!E:BP,63,0)</f>
        <v>10</v>
      </c>
      <c r="E868" s="63" t="str">
        <f t="shared" si="66"/>
        <v>Nakornfarm10</v>
      </c>
      <c r="F868" s="79">
        <f>ROUND(VLOOKUP(C868,'RAW DATA 2023'!E:BO,23,0),0)</f>
        <v>29</v>
      </c>
      <c r="G868" s="79">
        <f>VLOOKUP(C868,'RAW DATA 2023'!E:BO,24,0)</f>
        <v>82.975624999999994</v>
      </c>
      <c r="H868" s="79">
        <f>IFERROR(VLOOKUP(F868,STD!B:G,2,FALSE),"")</f>
        <v>76</v>
      </c>
      <c r="I868" s="100">
        <f t="shared" si="67"/>
        <v>1.091784539473684</v>
      </c>
      <c r="J868" s="74">
        <f t="shared" si="68"/>
        <v>17.753536184210521</v>
      </c>
      <c r="K868">
        <f>VLOOKUP(C868,'RAW DATA 2023'!E:BO,12,0)</f>
        <v>0.8</v>
      </c>
      <c r="L868" s="268">
        <f t="shared" si="69"/>
        <v>14.202828947368417</v>
      </c>
      <c r="M868"/>
    </row>
    <row r="869" spans="1:13">
      <c r="A869" s="64" t="str">
        <f>'RAW DATA 2023'!B862</f>
        <v>Nakornfarm</v>
      </c>
      <c r="B869" s="64" t="str">
        <f>'RAW DATA 2023'!D862</f>
        <v>BG-119-0011</v>
      </c>
      <c r="C869" s="63" t="str">
        <f t="shared" si="65"/>
        <v>NakornfarmBG-119-0011</v>
      </c>
      <c r="D869" s="63">
        <f>VLOOKUP(C869,'RAW DATA 2023'!E:BP,63,0)</f>
        <v>10</v>
      </c>
      <c r="E869" s="63" t="str">
        <f t="shared" si="66"/>
        <v>Nakornfarm10</v>
      </c>
      <c r="F869" s="79">
        <f>ROUND(VLOOKUP(C869,'RAW DATA 2023'!E:BO,23,0),0)</f>
        <v>31</v>
      </c>
      <c r="G869" s="79">
        <f>VLOOKUP(C869,'RAW DATA 2023'!E:BO,24,0)</f>
        <v>75.308250000000001</v>
      </c>
      <c r="H869" s="79">
        <f>IFERROR(VLOOKUP(F869,STD!B:G,2,FALSE),"")</f>
        <v>76</v>
      </c>
      <c r="I869" s="100">
        <f t="shared" si="67"/>
        <v>0.99089802631578949</v>
      </c>
      <c r="J869" s="74">
        <f t="shared" si="68"/>
        <v>14.726940789473685</v>
      </c>
      <c r="K869">
        <f>VLOOKUP(C869,'RAW DATA 2023'!E:BO,12,0)</f>
        <v>0.8</v>
      </c>
      <c r="L869" s="268">
        <f t="shared" si="69"/>
        <v>11.781552631578949</v>
      </c>
      <c r="M869"/>
    </row>
    <row r="870" spans="1:13">
      <c r="A870" s="64" t="str">
        <f>'RAW DATA 2023'!B863</f>
        <v>Nakornfarm</v>
      </c>
      <c r="B870" s="64" t="str">
        <f>'RAW DATA 2023'!D863</f>
        <v>BG-110-0011</v>
      </c>
      <c r="C870" s="63" t="str">
        <f t="shared" si="65"/>
        <v>NakornfarmBG-110-0011</v>
      </c>
      <c r="D870" s="63">
        <f>VLOOKUP(C870,'RAW DATA 2023'!E:BP,63,0)</f>
        <v>6</v>
      </c>
      <c r="E870" s="63" t="str">
        <f t="shared" si="66"/>
        <v>Nakornfarm6</v>
      </c>
      <c r="F870" s="79">
        <f>ROUND(VLOOKUP(C870,'RAW DATA 2023'!E:BO,23,0),0)</f>
        <v>27</v>
      </c>
      <c r="G870" s="79">
        <f>VLOOKUP(C870,'RAW DATA 2023'!E:BO,24,0)</f>
        <v>67.780714285714282</v>
      </c>
      <c r="H870" s="79">
        <f>IFERROR(VLOOKUP(F870,STD!B:G,2,FALSE),"")</f>
        <v>75</v>
      </c>
      <c r="I870" s="100">
        <f t="shared" si="67"/>
        <v>0.90374285714285707</v>
      </c>
      <c r="J870" s="74">
        <f t="shared" si="68"/>
        <v>12.112285714285711</v>
      </c>
      <c r="K870">
        <f>VLOOKUP(C870,'RAW DATA 2023'!E:BO,12,0)</f>
        <v>0.7</v>
      </c>
      <c r="L870" s="268">
        <f t="shared" si="69"/>
        <v>8.4785999999999966</v>
      </c>
      <c r="M870"/>
    </row>
    <row r="871" spans="1:13">
      <c r="A871" s="64" t="str">
        <f>'RAW DATA 2023'!B864</f>
        <v>Nakornfarm</v>
      </c>
      <c r="B871" s="64" t="str">
        <f>'RAW DATA 2023'!D864</f>
        <v>BG-102-0011</v>
      </c>
      <c r="C871" s="63" t="str">
        <f t="shared" si="65"/>
        <v>NakornfarmBG-102-0011</v>
      </c>
      <c r="D871" s="63">
        <f>VLOOKUP(C871,'RAW DATA 2023'!E:BP,63,0)</f>
        <v>9</v>
      </c>
      <c r="E871" s="63" t="str">
        <f t="shared" si="66"/>
        <v>Nakornfarm9</v>
      </c>
      <c r="F871" s="79">
        <f>ROUND(VLOOKUP(C871,'RAW DATA 2023'!E:BO,23,0),0)</f>
        <v>40</v>
      </c>
      <c r="G871" s="79">
        <f>VLOOKUP(C871,'RAW DATA 2023'!E:BO,24,0)</f>
        <v>76.188374999999994</v>
      </c>
      <c r="H871" s="79">
        <f>IFERROR(VLOOKUP(F871,STD!B:G,2,FALSE),"")</f>
        <v>82</v>
      </c>
      <c r="I871" s="100">
        <f t="shared" si="67"/>
        <v>0.92912652439024379</v>
      </c>
      <c r="J871" s="74">
        <f t="shared" si="68"/>
        <v>12.873795731707315</v>
      </c>
      <c r="K871">
        <f>VLOOKUP(C871,'RAW DATA 2023'!E:BO,12,0)</f>
        <v>0.8</v>
      </c>
      <c r="L871" s="268">
        <f t="shared" si="69"/>
        <v>10.299036585365853</v>
      </c>
      <c r="M871"/>
    </row>
    <row r="872" spans="1:13">
      <c r="A872" s="64" t="str">
        <f>'RAW DATA 2023'!B865</f>
        <v>Nakornfarm</v>
      </c>
      <c r="B872" s="64" t="str">
        <f>'RAW DATA 2023'!D865</f>
        <v>BG-111-0010</v>
      </c>
      <c r="C872" s="63" t="str">
        <f t="shared" si="65"/>
        <v>NakornfarmBG-111-0010</v>
      </c>
      <c r="D872" s="63">
        <f>VLOOKUP(C872,'RAW DATA 2023'!E:BP,63,0)</f>
        <v>6</v>
      </c>
      <c r="E872" s="63" t="str">
        <f t="shared" si="66"/>
        <v>Nakornfarm6</v>
      </c>
      <c r="F872" s="79">
        <f>ROUND(VLOOKUP(C872,'RAW DATA 2023'!E:BO,23,0),0)</f>
        <v>29</v>
      </c>
      <c r="G872" s="79">
        <f>VLOOKUP(C872,'RAW DATA 2023'!E:BO,24,0)</f>
        <v>108.98099999999999</v>
      </c>
      <c r="H872" s="79">
        <f>IFERROR(VLOOKUP(F872,STD!B:G,2,FALSE),"")</f>
        <v>76</v>
      </c>
      <c r="I872" s="100">
        <f t="shared" si="67"/>
        <v>1.4339605263157893</v>
      </c>
      <c r="J872" s="74">
        <f t="shared" si="68"/>
        <v>28.018815789473678</v>
      </c>
      <c r="K872">
        <f>VLOOKUP(C872,'RAW DATA 2023'!E:BO,12,0)</f>
        <v>0.8</v>
      </c>
      <c r="L872" s="268">
        <f t="shared" si="69"/>
        <v>22.415052631578945</v>
      </c>
      <c r="M872"/>
    </row>
    <row r="873" spans="1:13">
      <c r="A873" s="64" t="str">
        <f>'RAW DATA 2023'!B866</f>
        <v>Nakornfarm</v>
      </c>
      <c r="B873" s="64" t="str">
        <f>'RAW DATA 2023'!D866</f>
        <v>BG-116-0009</v>
      </c>
      <c r="C873" s="63" t="str">
        <f t="shared" si="65"/>
        <v>NakornfarmBG-116-0009</v>
      </c>
      <c r="D873" s="63">
        <f>VLOOKUP(C873,'RAW DATA 2023'!E:BP,63,0)</f>
        <v>3</v>
      </c>
      <c r="E873" s="63" t="str">
        <f t="shared" si="66"/>
        <v>Nakornfarm3</v>
      </c>
      <c r="F873" s="79">
        <f>ROUND(VLOOKUP(C873,'RAW DATA 2023'!E:BO,23,0),0)</f>
        <v>117</v>
      </c>
      <c r="G873" s="79">
        <f>VLOOKUP(C873,'RAW DATA 2023'!E:BO,24,0)</f>
        <v>57.997428571428564</v>
      </c>
      <c r="H873" s="79">
        <f>IFERROR(VLOOKUP(F873,STD!B:G,2,FALSE),"")</f>
        <v>92</v>
      </c>
      <c r="I873" s="100">
        <f t="shared" si="67"/>
        <v>0.63040683229813654</v>
      </c>
      <c r="J873" s="74">
        <f t="shared" si="68"/>
        <v>3.9122049689440965</v>
      </c>
      <c r="K873">
        <f>VLOOKUP(C873,'RAW DATA 2023'!E:BO,12,0)</f>
        <v>0.7</v>
      </c>
      <c r="L873" s="268">
        <f t="shared" si="69"/>
        <v>2.7385434782608673</v>
      </c>
      <c r="M873"/>
    </row>
    <row r="874" spans="1:13">
      <c r="A874" s="64" t="str">
        <f>'RAW DATA 2023'!B867</f>
        <v>Nakornfarm</v>
      </c>
      <c r="B874" s="64" t="str">
        <f>'RAW DATA 2023'!D867</f>
        <v>BG-102-0010</v>
      </c>
      <c r="C874" s="63" t="str">
        <f t="shared" si="65"/>
        <v>NakornfarmBG-102-0010</v>
      </c>
      <c r="D874" s="63">
        <f>VLOOKUP(C874,'RAW DATA 2023'!E:BP,63,0)</f>
        <v>2</v>
      </c>
      <c r="E874" s="63" t="str">
        <f t="shared" si="66"/>
        <v>Nakornfarm2</v>
      </c>
      <c r="F874" s="79">
        <f>ROUND(VLOOKUP(C874,'RAW DATA 2023'!E:BO,23,0),0)</f>
        <v>121</v>
      </c>
      <c r="G874" s="79">
        <f>VLOOKUP(C874,'RAW DATA 2023'!E:BO,24,0)</f>
        <v>68.93685714285715</v>
      </c>
      <c r="H874" s="79">
        <f>IFERROR(VLOOKUP(F874,STD!B:G,2,FALSE),"")</f>
        <v>92</v>
      </c>
      <c r="I874" s="100">
        <f t="shared" si="67"/>
        <v>0.74931366459627335</v>
      </c>
      <c r="J874" s="74">
        <f t="shared" si="68"/>
        <v>7.4794099378882004</v>
      </c>
      <c r="K874">
        <f>VLOOKUP(C874,'RAW DATA 2023'!E:BO,12,0)</f>
        <v>0.7</v>
      </c>
      <c r="L874" s="268">
        <f t="shared" si="69"/>
        <v>5.2355869565217397</v>
      </c>
      <c r="M874"/>
    </row>
    <row r="875" spans="1:13">
      <c r="A875" s="64" t="str">
        <f>'RAW DATA 2023'!B868</f>
        <v>Nakornfarm</v>
      </c>
      <c r="B875" s="64" t="str">
        <f>'RAW DATA 2023'!D868</f>
        <v>BG-110-0012</v>
      </c>
      <c r="C875" s="63" t="str">
        <f t="shared" si="65"/>
        <v>NakornfarmBG-110-0012</v>
      </c>
      <c r="D875" s="63">
        <f>VLOOKUP(C875,'RAW DATA 2023'!E:BP,63,0)</f>
        <v>8</v>
      </c>
      <c r="E875" s="63" t="str">
        <f t="shared" si="66"/>
        <v>Nakornfarm8</v>
      </c>
      <c r="F875" s="79">
        <f>ROUND(VLOOKUP(C875,'RAW DATA 2023'!E:BO,23,0),0)</f>
        <v>0</v>
      </c>
      <c r="G875" s="79">
        <f>VLOOKUP(C875,'RAW DATA 2023'!E:BO,24,0)</f>
        <v>0</v>
      </c>
      <c r="H875" s="79" t="str">
        <f>IFERROR(VLOOKUP(F875,STD!B:G,2,FALSE),"")</f>
        <v/>
      </c>
      <c r="I875" s="100">
        <f t="shared" si="67"/>
        <v>0</v>
      </c>
      <c r="J875" s="74">
        <f t="shared" si="68"/>
        <v>-15</v>
      </c>
      <c r="K875">
        <f>VLOOKUP(C875,'RAW DATA 2023'!E:BO,12,0)</f>
        <v>0.67200000000000004</v>
      </c>
      <c r="L875" s="268">
        <f t="shared" si="69"/>
        <v>-10.08</v>
      </c>
      <c r="M875"/>
    </row>
    <row r="876" spans="1:13">
      <c r="A876" s="64" t="str">
        <f>'RAW DATA 2023'!B869</f>
        <v>Nakornfarm</v>
      </c>
      <c r="B876" s="64" t="str">
        <f>'RAW DATA 2023'!D869</f>
        <v>BG-113-0009</v>
      </c>
      <c r="C876" s="63" t="str">
        <f t="shared" si="65"/>
        <v>NakornfarmBG-113-0009</v>
      </c>
      <c r="D876" s="63">
        <f>VLOOKUP(C876,'RAW DATA 2023'!E:BP,63,0)</f>
        <v>1</v>
      </c>
      <c r="E876" s="63" t="str">
        <f t="shared" si="66"/>
        <v>Nakornfarm1</v>
      </c>
      <c r="F876" s="79">
        <f>ROUND(VLOOKUP(C876,'RAW DATA 2023'!E:BO,23,0),0)</f>
        <v>0</v>
      </c>
      <c r="G876" s="79">
        <f>VLOOKUP(C876,'RAW DATA 2023'!E:BO,24,0)</f>
        <v>0</v>
      </c>
      <c r="H876" s="79" t="str">
        <f>IFERROR(VLOOKUP(F876,STD!B:G,2,FALSE),"")</f>
        <v/>
      </c>
      <c r="I876" s="100">
        <f t="shared" si="67"/>
        <v>0</v>
      </c>
      <c r="J876" s="74">
        <f t="shared" si="68"/>
        <v>-15</v>
      </c>
      <c r="K876">
        <f>VLOOKUP(C876,'RAW DATA 2023'!E:BO,12,0)</f>
        <v>0.7</v>
      </c>
      <c r="L876" s="268">
        <f t="shared" si="69"/>
        <v>-10.5</v>
      </c>
      <c r="M876"/>
    </row>
    <row r="877" spans="1:13">
      <c r="A877" s="64" t="str">
        <f>'RAW DATA 2023'!B870</f>
        <v>Nakornfarm</v>
      </c>
      <c r="B877" s="64" t="str">
        <f>'RAW DATA 2023'!D870</f>
        <v>E1-075-0011</v>
      </c>
      <c r="C877" s="63" t="str">
        <f t="shared" si="65"/>
        <v>NakornfarmE1-075-0011</v>
      </c>
      <c r="D877" s="63">
        <f>VLOOKUP(C877,'RAW DATA 2023'!E:BP,63,0)</f>
        <v>4</v>
      </c>
      <c r="E877" s="63" t="str">
        <f t="shared" si="66"/>
        <v>Nakornfarm4</v>
      </c>
      <c r="F877" s="79">
        <f>ROUND(VLOOKUP(C877,'RAW DATA 2023'!E:BO,23,0),0)</f>
        <v>56</v>
      </c>
      <c r="G877" s="79">
        <f>VLOOKUP(C877,'RAW DATA 2023'!E:BO,24,0)</f>
        <v>85.546571428571426</v>
      </c>
      <c r="H877" s="79">
        <f>IFERROR(VLOOKUP(F877,STD!B:G,2,FALSE),"")</f>
        <v>86</v>
      </c>
      <c r="I877" s="100">
        <f t="shared" si="67"/>
        <v>0.99472757475083051</v>
      </c>
      <c r="J877" s="74">
        <f t="shared" si="68"/>
        <v>14.841827242524916</v>
      </c>
      <c r="K877">
        <f>VLOOKUP(C877,'RAW DATA 2023'!E:BO,12,0)</f>
        <v>0.7</v>
      </c>
      <c r="L877" s="268">
        <f t="shared" si="69"/>
        <v>10.38927906976744</v>
      </c>
      <c r="M877"/>
    </row>
    <row r="878" spans="1:13">
      <c r="A878" s="64" t="str">
        <f>'RAW DATA 2023'!B871</f>
        <v>Nakornfarm</v>
      </c>
      <c r="B878" s="64" t="str">
        <f>'RAW DATA 2023'!D871</f>
        <v>BG-102-0012</v>
      </c>
      <c r="C878" s="63" t="str">
        <f t="shared" si="65"/>
        <v>NakornfarmBG-102-0012</v>
      </c>
      <c r="D878" s="63">
        <f>VLOOKUP(C878,'RAW DATA 2023'!E:BP,63,0)</f>
        <v>12</v>
      </c>
      <c r="E878" s="63" t="str">
        <f t="shared" si="66"/>
        <v>Nakornfarm12</v>
      </c>
      <c r="F878" s="79">
        <f>ROUND(VLOOKUP(C878,'RAW DATA 2023'!E:BO,23,0),0)</f>
        <v>56</v>
      </c>
      <c r="G878" s="79">
        <f>VLOOKUP(C878,'RAW DATA 2023'!E:BO,24,0)</f>
        <v>82.588200000000001</v>
      </c>
      <c r="H878" s="79">
        <f>IFERROR(VLOOKUP(F878,STD!B:G,2,FALSE),"")</f>
        <v>86</v>
      </c>
      <c r="I878" s="100">
        <f t="shared" si="67"/>
        <v>0.96032790697674419</v>
      </c>
      <c r="J878" s="74">
        <f t="shared" si="68"/>
        <v>13.809837209302326</v>
      </c>
      <c r="K878">
        <f>VLOOKUP(C878,'RAW DATA 2023'!E:BO,12,0)</f>
        <v>1</v>
      </c>
      <c r="L878" s="268">
        <f t="shared" si="69"/>
        <v>13.809837209302326</v>
      </c>
      <c r="M878"/>
    </row>
    <row r="879" spans="1:13">
      <c r="A879" s="64" t="str">
        <f>'RAW DATA 2023'!B872</f>
        <v>Nakornfarm</v>
      </c>
      <c r="B879" s="64" t="str">
        <f>'RAW DATA 2023'!D872</f>
        <v>BG-101-0011</v>
      </c>
      <c r="C879" s="63" t="str">
        <f t="shared" si="65"/>
        <v>NakornfarmBG-101-0011</v>
      </c>
      <c r="D879" s="63">
        <f>VLOOKUP(C879,'RAW DATA 2023'!E:BP,63,0)</f>
        <v>12</v>
      </c>
      <c r="E879" s="63" t="str">
        <f t="shared" si="66"/>
        <v>Nakornfarm12</v>
      </c>
      <c r="F879" s="79">
        <f>ROUND(VLOOKUP(C879,'RAW DATA 2023'!E:BO,23,0),0)</f>
        <v>49</v>
      </c>
      <c r="G879" s="79">
        <f>VLOOKUP(C879,'RAW DATA 2023'!E:BO,24,0)</f>
        <v>85.938000000000002</v>
      </c>
      <c r="H879" s="79">
        <f>IFERROR(VLOOKUP(F879,STD!B:G,2,FALSE),"")</f>
        <v>84</v>
      </c>
      <c r="I879" s="100">
        <f t="shared" si="67"/>
        <v>1.0230714285714286</v>
      </c>
      <c r="J879" s="74">
        <f t="shared" si="68"/>
        <v>15.692142857142859</v>
      </c>
      <c r="K879">
        <f>VLOOKUP(C879,'RAW DATA 2023'!E:BO,12,0)</f>
        <v>1</v>
      </c>
      <c r="L879" s="268">
        <f t="shared" si="69"/>
        <v>15.692142857142859</v>
      </c>
      <c r="M879"/>
    </row>
    <row r="880" spans="1:13">
      <c r="A880" s="64" t="str">
        <f>'RAW DATA 2023'!B873</f>
        <v>Nakornfarm</v>
      </c>
      <c r="B880" s="64" t="str">
        <f>'RAW DATA 2023'!D873</f>
        <v>E1-077-0016</v>
      </c>
      <c r="C880" s="63" t="str">
        <f t="shared" si="65"/>
        <v>NakornfarmE1-077-0016</v>
      </c>
      <c r="D880" s="63">
        <f>VLOOKUP(C880,'RAW DATA 2023'!E:BP,63,0)</f>
        <v>7</v>
      </c>
      <c r="E880" s="63" t="str">
        <f t="shared" si="66"/>
        <v>Nakornfarm7</v>
      </c>
      <c r="F880" s="79">
        <f>ROUND(VLOOKUP(C880,'RAW DATA 2023'!E:BO,23,0),0)</f>
        <v>92</v>
      </c>
      <c r="G880" s="79">
        <f>VLOOKUP(C880,'RAW DATA 2023'!E:BO,24,0)</f>
        <v>79.4422</v>
      </c>
      <c r="H880" s="79">
        <f>IFERROR(VLOOKUP(F880,STD!B:G,2,FALSE),"")</f>
        <v>90</v>
      </c>
      <c r="I880" s="100">
        <f t="shared" si="67"/>
        <v>0.88269111111111109</v>
      </c>
      <c r="J880" s="74">
        <f t="shared" si="68"/>
        <v>11.480733333333333</v>
      </c>
      <c r="K880">
        <f>VLOOKUP(C880,'RAW DATA 2023'!E:BO,12,0)</f>
        <v>0.5</v>
      </c>
      <c r="L880" s="268">
        <f t="shared" si="69"/>
        <v>5.7403666666666666</v>
      </c>
      <c r="M880"/>
    </row>
    <row r="881" spans="1:13">
      <c r="A881" s="64" t="str">
        <f>'RAW DATA 2023'!B874</f>
        <v>Nakornfarm</v>
      </c>
      <c r="B881" s="64" t="str">
        <f>'RAW DATA 2023'!D874</f>
        <v>E1-074-0012</v>
      </c>
      <c r="C881" s="63" t="str">
        <f t="shared" si="65"/>
        <v>NakornfarmE1-074-0012</v>
      </c>
      <c r="D881" s="63">
        <f>VLOOKUP(C881,'RAW DATA 2023'!E:BP,63,0)</f>
        <v>4</v>
      </c>
      <c r="E881" s="63" t="str">
        <f t="shared" si="66"/>
        <v>Nakornfarm4</v>
      </c>
      <c r="F881" s="79">
        <f>ROUND(VLOOKUP(C881,'RAW DATA 2023'!E:BO,23,0),0)</f>
        <v>58</v>
      </c>
      <c r="G881" s="79">
        <f>VLOOKUP(C881,'RAW DATA 2023'!E:BO,24,0)</f>
        <v>54.554428571428573</v>
      </c>
      <c r="H881" s="79">
        <f>IFERROR(VLOOKUP(F881,STD!B:G,2,FALSE),"")</f>
        <v>87</v>
      </c>
      <c r="I881" s="100">
        <f t="shared" si="67"/>
        <v>0.62706239737274228</v>
      </c>
      <c r="J881" s="74">
        <f t="shared" si="68"/>
        <v>3.8118719211822683</v>
      </c>
      <c r="K881">
        <f>VLOOKUP(C881,'RAW DATA 2023'!E:BO,12,0)</f>
        <v>0.7</v>
      </c>
      <c r="L881" s="268">
        <f t="shared" si="69"/>
        <v>2.6683103448275878</v>
      </c>
      <c r="M881"/>
    </row>
    <row r="882" spans="1:13">
      <c r="A882" s="64" t="str">
        <f>'RAW DATA 2023'!B875</f>
        <v>Nakornfarm</v>
      </c>
      <c r="B882" s="64" t="str">
        <f>'RAW DATA 2023'!D875</f>
        <v>D1-081-0013</v>
      </c>
      <c r="C882" s="63" t="str">
        <f t="shared" si="65"/>
        <v>NakornfarmD1-081-0013</v>
      </c>
      <c r="D882" s="63">
        <f>VLOOKUP(C882,'RAW DATA 2023'!E:BP,63,0)</f>
        <v>4</v>
      </c>
      <c r="E882" s="63" t="str">
        <f t="shared" si="66"/>
        <v>Nakornfarm4</v>
      </c>
      <c r="F882" s="79">
        <f>ROUND(VLOOKUP(C882,'RAW DATA 2023'!E:BO,23,0),0)</f>
        <v>84</v>
      </c>
      <c r="G882" s="79">
        <f>VLOOKUP(C882,'RAW DATA 2023'!E:BO,24,0)</f>
        <v>57.316000000000003</v>
      </c>
      <c r="H882" s="79">
        <f>IFERROR(VLOOKUP(F882,STD!B:G,2,FALSE),"")</f>
        <v>90</v>
      </c>
      <c r="I882" s="100">
        <f t="shared" si="67"/>
        <v>0.63684444444444444</v>
      </c>
      <c r="J882" s="74">
        <f t="shared" si="68"/>
        <v>4.1053333333333333</v>
      </c>
      <c r="K882">
        <f>VLOOKUP(C882,'RAW DATA 2023'!E:BO,12,0)</f>
        <v>0.8</v>
      </c>
      <c r="L882" s="268">
        <f t="shared" si="69"/>
        <v>3.2842666666666669</v>
      </c>
      <c r="M882"/>
    </row>
    <row r="883" spans="1:13">
      <c r="A883" s="64" t="str">
        <f>'RAW DATA 2023'!B876</f>
        <v>Nakornfarm</v>
      </c>
      <c r="B883" s="64" t="str">
        <f>'RAW DATA 2023'!D876</f>
        <v>E1-077-0015</v>
      </c>
      <c r="C883" s="63" t="str">
        <f t="shared" si="65"/>
        <v>NakornfarmE1-077-0015</v>
      </c>
      <c r="D883" s="63">
        <f>VLOOKUP(C883,'RAW DATA 2023'!E:BP,63,0)</f>
        <v>4</v>
      </c>
      <c r="E883" s="63" t="str">
        <f t="shared" si="66"/>
        <v>Nakornfarm4</v>
      </c>
      <c r="F883" s="79">
        <f>ROUND(VLOOKUP(C883,'RAW DATA 2023'!E:BO,23,0),0)</f>
        <v>102</v>
      </c>
      <c r="G883" s="79">
        <f>VLOOKUP(C883,'RAW DATA 2023'!E:BO,24,0)</f>
        <v>60.115571428571421</v>
      </c>
      <c r="H883" s="79">
        <f>IFERROR(VLOOKUP(F883,STD!B:G,2,FALSE),"")</f>
        <v>91</v>
      </c>
      <c r="I883" s="100">
        <f t="shared" si="67"/>
        <v>0.66061067503924642</v>
      </c>
      <c r="J883" s="74">
        <f t="shared" si="68"/>
        <v>4.8183202511773926</v>
      </c>
      <c r="K883">
        <f>VLOOKUP(C883,'RAW DATA 2023'!E:BO,12,0)</f>
        <v>0.7</v>
      </c>
      <c r="L883" s="268">
        <f t="shared" si="69"/>
        <v>3.3728241758241748</v>
      </c>
      <c r="M883"/>
    </row>
    <row r="884" spans="1:13">
      <c r="A884" s="64" t="str">
        <f>'RAW DATA 2023'!B877</f>
        <v>Nakornfarm</v>
      </c>
      <c r="B884" s="64" t="str">
        <f>'RAW DATA 2023'!D877</f>
        <v>D1-080-0015</v>
      </c>
      <c r="C884" s="63" t="str">
        <f t="shared" si="65"/>
        <v>NakornfarmD1-080-0015</v>
      </c>
      <c r="D884" s="63">
        <f>VLOOKUP(C884,'RAW DATA 2023'!E:BP,63,0)</f>
        <v>4</v>
      </c>
      <c r="E884" s="63" t="str">
        <f t="shared" si="66"/>
        <v>Nakornfarm4</v>
      </c>
      <c r="F884" s="79">
        <f>ROUND(VLOOKUP(C884,'RAW DATA 2023'!E:BO,23,0),0)</f>
        <v>109</v>
      </c>
      <c r="G884" s="79">
        <f>VLOOKUP(C884,'RAW DATA 2023'!E:BO,24,0)</f>
        <v>72.866749999999996</v>
      </c>
      <c r="H884" s="79">
        <f>IFERROR(VLOOKUP(F884,STD!B:G,2,FALSE),"")</f>
        <v>91</v>
      </c>
      <c r="I884" s="100">
        <f t="shared" si="67"/>
        <v>0.80073351648351643</v>
      </c>
      <c r="J884" s="74">
        <f t="shared" si="68"/>
        <v>9.0220054945054926</v>
      </c>
      <c r="K884">
        <f>VLOOKUP(C884,'RAW DATA 2023'!E:BO,12,0)</f>
        <v>0.8</v>
      </c>
      <c r="L884" s="268">
        <f t="shared" si="69"/>
        <v>7.2176043956043943</v>
      </c>
      <c r="M884"/>
    </row>
    <row r="885" spans="1:13">
      <c r="A885" s="64" t="str">
        <f>'RAW DATA 2023'!B878</f>
        <v>Nakornfarm</v>
      </c>
      <c r="B885" s="64" t="str">
        <f>'RAW DATA 2023'!D878</f>
        <v>D1-083-0013</v>
      </c>
      <c r="C885" s="63" t="str">
        <f t="shared" si="65"/>
        <v>NakornfarmD1-083-0013</v>
      </c>
      <c r="D885" s="63">
        <f>VLOOKUP(C885,'RAW DATA 2023'!E:BP,63,0)</f>
        <v>4</v>
      </c>
      <c r="E885" s="63" t="str">
        <f t="shared" si="66"/>
        <v>Nakornfarm4</v>
      </c>
      <c r="F885" s="79">
        <f>ROUND(VLOOKUP(C885,'RAW DATA 2023'!E:BO,23,0),0)</f>
        <v>147</v>
      </c>
      <c r="G885" s="79">
        <f>VLOOKUP(C885,'RAW DATA 2023'!E:BO,24,0)</f>
        <v>42.144874999999999</v>
      </c>
      <c r="H885" s="79">
        <f>IFERROR(VLOOKUP(F885,STD!B:G,2,FALSE),"")</f>
        <v>93</v>
      </c>
      <c r="I885" s="100">
        <f t="shared" si="67"/>
        <v>0.45317069892473116</v>
      </c>
      <c r="J885" s="74">
        <f t="shared" si="68"/>
        <v>-1.4048790322580651</v>
      </c>
      <c r="K885">
        <f>VLOOKUP(C885,'RAW DATA 2023'!E:BO,12,0)</f>
        <v>0.8</v>
      </c>
      <c r="L885" s="268">
        <f t="shared" si="69"/>
        <v>-1.1239032258064521</v>
      </c>
      <c r="M885"/>
    </row>
    <row r="886" spans="1:13">
      <c r="A886" s="64" t="str">
        <f>'RAW DATA 2023'!B879</f>
        <v>Nakornfarm</v>
      </c>
      <c r="B886" s="64" t="str">
        <f>'RAW DATA 2023'!D879</f>
        <v>FG-125-0009</v>
      </c>
      <c r="C886" s="63" t="str">
        <f t="shared" si="65"/>
        <v>NakornfarmFG-125-0009</v>
      </c>
      <c r="D886" s="63">
        <f>VLOOKUP(C886,'RAW DATA 2023'!E:BP,63,0)</f>
        <v>4</v>
      </c>
      <c r="E886" s="63" t="str">
        <f t="shared" si="66"/>
        <v>Nakornfarm4</v>
      </c>
      <c r="F886" s="79">
        <f>ROUND(VLOOKUP(C886,'RAW DATA 2023'!E:BO,23,0),0)</f>
        <v>22</v>
      </c>
      <c r="G886" s="79">
        <f>VLOOKUP(C886,'RAW DATA 2023'!E:BO,24,0)</f>
        <v>77.764200000000002</v>
      </c>
      <c r="H886" s="79">
        <f>IFERROR(VLOOKUP(F886,STD!B:G,2,FALSE),"")</f>
        <v>71</v>
      </c>
      <c r="I886" s="100">
        <f t="shared" si="67"/>
        <v>1.0952704225352112</v>
      </c>
      <c r="J886" s="74">
        <f t="shared" si="68"/>
        <v>17.858112676056336</v>
      </c>
      <c r="K886">
        <f>VLOOKUP(C886,'RAW DATA 2023'!E:BO,12,0)</f>
        <v>0.5</v>
      </c>
      <c r="L886" s="268">
        <f t="shared" si="69"/>
        <v>8.9290563380281682</v>
      </c>
      <c r="M886"/>
    </row>
    <row r="887" spans="1:13">
      <c r="A887" s="64" t="str">
        <f>'RAW DATA 2023'!B880</f>
        <v>Nakornfarm</v>
      </c>
      <c r="B887" s="64" t="str">
        <f>'RAW DATA 2023'!D880</f>
        <v>F1-089-0012</v>
      </c>
      <c r="C887" s="63" t="str">
        <f t="shared" si="65"/>
        <v>NakornfarmF1-089-0012</v>
      </c>
      <c r="D887" s="63">
        <f>VLOOKUP(C887,'RAW DATA 2023'!E:BP,63,0)</f>
        <v>4</v>
      </c>
      <c r="E887" s="63" t="str">
        <f t="shared" si="66"/>
        <v>Nakornfarm4</v>
      </c>
      <c r="F887" s="79">
        <f>ROUND(VLOOKUP(C887,'RAW DATA 2023'!E:BO,23,0),0)</f>
        <v>38</v>
      </c>
      <c r="G887" s="79">
        <f>VLOOKUP(C887,'RAW DATA 2023'!E:BO,24,0)</f>
        <v>73.159875</v>
      </c>
      <c r="H887" s="79">
        <f>IFERROR(VLOOKUP(F887,STD!B:G,2,FALSE),"")</f>
        <v>81</v>
      </c>
      <c r="I887" s="100">
        <f t="shared" si="67"/>
        <v>0.90320833333333328</v>
      </c>
      <c r="J887" s="74">
        <f t="shared" si="68"/>
        <v>12.096249999999998</v>
      </c>
      <c r="K887">
        <f>VLOOKUP(C887,'RAW DATA 2023'!E:BO,12,0)</f>
        <v>0.8</v>
      </c>
      <c r="L887" s="268">
        <f t="shared" si="69"/>
        <v>9.6769999999999996</v>
      </c>
      <c r="M887"/>
    </row>
    <row r="888" spans="1:13">
      <c r="A888" s="64" t="str">
        <f>'RAW DATA 2023'!B881</f>
        <v>Nakornfarm</v>
      </c>
      <c r="B888" s="64" t="str">
        <f>'RAW DATA 2023'!D881</f>
        <v>F1-090-0012</v>
      </c>
      <c r="C888" s="63" t="str">
        <f t="shared" si="65"/>
        <v>NakornfarmF1-090-0012</v>
      </c>
      <c r="D888" s="63">
        <f>VLOOKUP(C888,'RAW DATA 2023'!E:BP,63,0)</f>
        <v>3</v>
      </c>
      <c r="E888" s="63" t="str">
        <f t="shared" si="66"/>
        <v>Nakornfarm3</v>
      </c>
      <c r="F888" s="79">
        <f>ROUND(VLOOKUP(C888,'RAW DATA 2023'!E:BO,23,0),0)</f>
        <v>59</v>
      </c>
      <c r="G888" s="79">
        <f>VLOOKUP(C888,'RAW DATA 2023'!E:BO,24,0)</f>
        <v>87.603250000000003</v>
      </c>
      <c r="H888" s="79">
        <f>IFERROR(VLOOKUP(F888,STD!B:G,2,FALSE),"")</f>
        <v>87</v>
      </c>
      <c r="I888" s="100">
        <f t="shared" si="67"/>
        <v>1.0069339080459769</v>
      </c>
      <c r="J888" s="74">
        <f t="shared" si="68"/>
        <v>15.208017241379308</v>
      </c>
      <c r="K888">
        <f>VLOOKUP(C888,'RAW DATA 2023'!E:BO,12,0)</f>
        <v>0.8</v>
      </c>
      <c r="L888" s="268">
        <f t="shared" si="69"/>
        <v>12.166413793103446</v>
      </c>
      <c r="M888"/>
    </row>
    <row r="889" spans="1:13">
      <c r="A889" s="64" t="str">
        <f>'RAW DATA 2023'!B882</f>
        <v>Nakornfarm</v>
      </c>
      <c r="B889" s="64" t="str">
        <f>'RAW DATA 2023'!D882</f>
        <v>F1-089-0013</v>
      </c>
      <c r="C889" s="63" t="str">
        <f t="shared" si="65"/>
        <v>NakornfarmF1-089-0013</v>
      </c>
      <c r="D889" s="63">
        <f>VLOOKUP(C889,'RAW DATA 2023'!E:BP,63,0)</f>
        <v>7</v>
      </c>
      <c r="E889" s="63" t="str">
        <f t="shared" si="66"/>
        <v>Nakornfarm7</v>
      </c>
      <c r="F889" s="79">
        <f>ROUND(VLOOKUP(C889,'RAW DATA 2023'!E:BO,23,0),0)</f>
        <v>82</v>
      </c>
      <c r="G889" s="79">
        <f>VLOOKUP(C889,'RAW DATA 2023'!E:BO,24,0)</f>
        <v>107.866125</v>
      </c>
      <c r="H889" s="79">
        <f>IFERROR(VLOOKUP(F889,STD!B:G,2,FALSE),"")</f>
        <v>89</v>
      </c>
      <c r="I889" s="100">
        <f t="shared" si="67"/>
        <v>1.2119789325842696</v>
      </c>
      <c r="J889" s="74">
        <f t="shared" si="68"/>
        <v>21.359367977528088</v>
      </c>
      <c r="K889">
        <f>VLOOKUP(C889,'RAW DATA 2023'!E:BO,12,0)</f>
        <v>0.8</v>
      </c>
      <c r="L889" s="268">
        <f t="shared" si="69"/>
        <v>17.08749438202247</v>
      </c>
      <c r="M889"/>
    </row>
    <row r="890" spans="1:13">
      <c r="A890" s="64" t="str">
        <f>'RAW DATA 2023'!B883</f>
        <v>Nakornfarm</v>
      </c>
      <c r="B890" s="64" t="str">
        <f>'RAW DATA 2023'!D883</f>
        <v>D1-081-0015</v>
      </c>
      <c r="C890" s="63" t="str">
        <f t="shared" si="65"/>
        <v>NakornfarmD1-081-0015</v>
      </c>
      <c r="D890" s="63">
        <f>VLOOKUP(C890,'RAW DATA 2023'!E:BP,63,0)</f>
        <v>11</v>
      </c>
      <c r="E890" s="63" t="str">
        <f t="shared" si="66"/>
        <v>Nakornfarm11</v>
      </c>
      <c r="F890" s="79">
        <f>ROUND(VLOOKUP(C890,'RAW DATA 2023'!E:BO,23,0),0)</f>
        <v>53</v>
      </c>
      <c r="G890" s="79">
        <f>VLOOKUP(C890,'RAW DATA 2023'!E:BO,24,0)</f>
        <v>86.190100000000001</v>
      </c>
      <c r="H890" s="79">
        <f>IFERROR(VLOOKUP(F890,STD!B:G,2,FALSE),"")</f>
        <v>86</v>
      </c>
      <c r="I890" s="100">
        <f t="shared" si="67"/>
        <v>1.0022104651162791</v>
      </c>
      <c r="J890" s="74">
        <f t="shared" si="68"/>
        <v>15.066313953488372</v>
      </c>
      <c r="K890">
        <f>VLOOKUP(C890,'RAW DATA 2023'!E:BO,12,0)</f>
        <v>1</v>
      </c>
      <c r="L890" s="268">
        <f t="shared" si="69"/>
        <v>15.066313953488372</v>
      </c>
      <c r="M890"/>
    </row>
    <row r="891" spans="1:13">
      <c r="A891" s="64" t="str">
        <f>'RAW DATA 2023'!B884</f>
        <v>Nakornfarm</v>
      </c>
      <c r="B891" s="64" t="str">
        <f>'RAW DATA 2023'!D884</f>
        <v>FG-125-0010</v>
      </c>
      <c r="C891" s="63" t="str">
        <f t="shared" si="65"/>
        <v>NakornfarmFG-125-0010</v>
      </c>
      <c r="D891" s="63">
        <f>VLOOKUP(C891,'RAW DATA 2023'!E:BP,63,0)</f>
        <v>8</v>
      </c>
      <c r="E891" s="63" t="str">
        <f t="shared" si="66"/>
        <v>Nakornfarm8</v>
      </c>
      <c r="F891" s="79">
        <f>ROUND(VLOOKUP(C891,'RAW DATA 2023'!E:BO,23,0),0)</f>
        <v>42</v>
      </c>
      <c r="G891" s="79">
        <f>VLOOKUP(C891,'RAW DATA 2023'!E:BO,24,0)</f>
        <v>77.216499999999996</v>
      </c>
      <c r="H891" s="79">
        <f>IFERROR(VLOOKUP(F891,STD!B:G,2,FALSE),"")</f>
        <v>82</v>
      </c>
      <c r="I891" s="100">
        <f t="shared" si="67"/>
        <v>0.94166463414634138</v>
      </c>
      <c r="J891" s="74">
        <f t="shared" si="68"/>
        <v>13.249939024390242</v>
      </c>
      <c r="K891">
        <f>VLOOKUP(C891,'RAW DATA 2023'!E:BO,12,0)</f>
        <v>0.8</v>
      </c>
      <c r="L891" s="268">
        <f t="shared" si="69"/>
        <v>10.599951219512194</v>
      </c>
      <c r="M891"/>
    </row>
    <row r="892" spans="1:13">
      <c r="A892" s="64" t="str">
        <f>'RAW DATA 2023'!B885</f>
        <v>Nakornfarm</v>
      </c>
      <c r="B892" s="64" t="str">
        <f>'RAW DATA 2023'!D885</f>
        <v>F1-124-0008</v>
      </c>
      <c r="C892" s="63" t="str">
        <f t="shared" si="65"/>
        <v>NakornfarmF1-124-0008</v>
      </c>
      <c r="D892" s="63">
        <f>VLOOKUP(C892,'RAW DATA 2023'!E:BP,63,0)</f>
        <v>4</v>
      </c>
      <c r="E892" s="63" t="str">
        <f t="shared" si="66"/>
        <v>Nakornfarm4</v>
      </c>
      <c r="F892" s="79">
        <f>ROUND(VLOOKUP(C892,'RAW DATA 2023'!E:BO,23,0),0)</f>
        <v>99</v>
      </c>
      <c r="G892" s="79">
        <f>VLOOKUP(C892,'RAW DATA 2023'!E:BO,24,0)</f>
        <v>81.679285714285712</v>
      </c>
      <c r="H892" s="79">
        <f>IFERROR(VLOOKUP(F892,STD!B:G,2,FALSE),"")</f>
        <v>91</v>
      </c>
      <c r="I892" s="100">
        <f t="shared" si="67"/>
        <v>0.89757456828885396</v>
      </c>
      <c r="J892" s="74">
        <f t="shared" si="68"/>
        <v>11.927237048665619</v>
      </c>
      <c r="K892">
        <f>VLOOKUP(C892,'RAW DATA 2023'!E:BO,12,0)</f>
        <v>0.7</v>
      </c>
      <c r="L892" s="268">
        <f t="shared" si="69"/>
        <v>8.3490659340659334</v>
      </c>
      <c r="M892"/>
    </row>
    <row r="893" spans="1:13">
      <c r="A893" s="64" t="str">
        <f>'RAW DATA 2023'!B886</f>
        <v>Nakornfarm</v>
      </c>
      <c r="B893" s="64" t="str">
        <f>'RAW DATA 2023'!D886</f>
        <v>D1-083-0015</v>
      </c>
      <c r="C893" s="63" t="str">
        <f t="shared" si="65"/>
        <v>NakornfarmD1-083-0015</v>
      </c>
      <c r="D893" s="63">
        <f>VLOOKUP(C893,'RAW DATA 2023'!E:BP,63,0)</f>
        <v>11</v>
      </c>
      <c r="E893" s="63" t="str">
        <f t="shared" si="66"/>
        <v>Nakornfarm11</v>
      </c>
      <c r="F893" s="79">
        <f>ROUND(VLOOKUP(C893,'RAW DATA 2023'!E:BO,23,0),0)</f>
        <v>89</v>
      </c>
      <c r="G893" s="79">
        <f>VLOOKUP(C893,'RAW DATA 2023'!E:BO,24,0)</f>
        <v>66.959999999999994</v>
      </c>
      <c r="H893" s="79">
        <f>IFERROR(VLOOKUP(F893,STD!B:G,2,FALSE),"")</f>
        <v>90</v>
      </c>
      <c r="I893" s="100">
        <f t="shared" si="67"/>
        <v>0.74399999999999988</v>
      </c>
      <c r="J893" s="74">
        <f t="shared" si="68"/>
        <v>7.3199999999999967</v>
      </c>
      <c r="K893">
        <f>VLOOKUP(C893,'RAW DATA 2023'!E:BO,12,0)</f>
        <v>1</v>
      </c>
      <c r="L893" s="268">
        <f t="shared" si="69"/>
        <v>7.3199999999999967</v>
      </c>
      <c r="M893"/>
    </row>
    <row r="894" spans="1:13">
      <c r="A894" s="64" t="str">
        <f>'RAW DATA 2023'!B887</f>
        <v>Nakornfarm</v>
      </c>
      <c r="B894" s="64" t="str">
        <f>'RAW DATA 2023'!D887</f>
        <v>F1-090-0013</v>
      </c>
      <c r="C894" s="63" t="str">
        <f t="shared" si="65"/>
        <v>NakornfarmF1-090-0013</v>
      </c>
      <c r="D894" s="63">
        <f>VLOOKUP(C894,'RAW DATA 2023'!E:BP,63,0)</f>
        <v>10</v>
      </c>
      <c r="E894" s="63" t="str">
        <f t="shared" si="66"/>
        <v>Nakornfarm10</v>
      </c>
      <c r="F894" s="79">
        <f>ROUND(VLOOKUP(C894,'RAW DATA 2023'!E:BO,23,0),0)</f>
        <v>173</v>
      </c>
      <c r="G894" s="79">
        <f>VLOOKUP(C894,'RAW DATA 2023'!E:BO,24,0)</f>
        <v>74.945142857142855</v>
      </c>
      <c r="H894" s="79">
        <f>IFERROR(VLOOKUP(F894,STD!B:G,2,FALSE),"")</f>
        <v>94</v>
      </c>
      <c r="I894" s="100">
        <f t="shared" si="67"/>
        <v>0.79728875379939212</v>
      </c>
      <c r="J894" s="74">
        <f t="shared" si="68"/>
        <v>8.9186626139817644</v>
      </c>
      <c r="K894">
        <f>VLOOKUP(C894,'RAW DATA 2023'!E:BO,12,0)</f>
        <v>0.7</v>
      </c>
      <c r="L894" s="268">
        <f t="shared" si="69"/>
        <v>6.2430638297872347</v>
      </c>
      <c r="M894"/>
    </row>
    <row r="895" spans="1:13">
      <c r="A895" s="64" t="str">
        <f>'RAW DATA 2023'!B888</f>
        <v>Nakornfarm</v>
      </c>
      <c r="B895" s="64" t="str">
        <f>'RAW DATA 2023'!D888</f>
        <v>FG-125-0011</v>
      </c>
      <c r="C895" s="63" t="str">
        <f t="shared" si="65"/>
        <v>NakornfarmFG-125-0011</v>
      </c>
      <c r="D895" s="63">
        <f>VLOOKUP(C895,'RAW DATA 2023'!E:BP,63,0)</f>
        <v>11</v>
      </c>
      <c r="E895" s="63" t="str">
        <f t="shared" si="66"/>
        <v>Nakornfarm11</v>
      </c>
      <c r="F895" s="79">
        <f>ROUND(VLOOKUP(C895,'RAW DATA 2023'!E:BO,23,0),0)</f>
        <v>154</v>
      </c>
      <c r="G895" s="79">
        <f>VLOOKUP(C895,'RAW DATA 2023'!E:BO,24,0)</f>
        <v>70.114285714285714</v>
      </c>
      <c r="H895" s="79">
        <f>IFERROR(VLOOKUP(F895,STD!B:G,2,FALSE),"")</f>
        <v>93</v>
      </c>
      <c r="I895" s="100">
        <f t="shared" si="67"/>
        <v>0.75391705069124426</v>
      </c>
      <c r="J895" s="74">
        <f t="shared" si="68"/>
        <v>7.6175115207373274</v>
      </c>
      <c r="K895">
        <f>VLOOKUP(C895,'RAW DATA 2023'!E:BO,12,0)</f>
        <v>0.7</v>
      </c>
      <c r="L895" s="268">
        <f t="shared" si="69"/>
        <v>5.3322580645161288</v>
      </c>
      <c r="M895"/>
    </row>
    <row r="896" spans="1:13">
      <c r="A896" s="64" t="str">
        <f>'RAW DATA 2023'!B889</f>
        <v>Nakornfarm</v>
      </c>
      <c r="B896" s="64" t="str">
        <f>'RAW DATA 2023'!D889</f>
        <v>F1-070-0019</v>
      </c>
      <c r="C896" s="63" t="str">
        <f t="shared" si="65"/>
        <v>NakornfarmF1-070-0019</v>
      </c>
      <c r="D896" s="63">
        <f>VLOOKUP(C896,'RAW DATA 2023'!E:BP,63,0)</f>
        <v>7</v>
      </c>
      <c r="E896" s="63" t="str">
        <f t="shared" si="66"/>
        <v>Nakornfarm7</v>
      </c>
      <c r="F896" s="79">
        <f>ROUND(VLOOKUP(C896,'RAW DATA 2023'!E:BO,23,0),0)</f>
        <v>167</v>
      </c>
      <c r="G896" s="79">
        <f>VLOOKUP(C896,'RAW DATA 2023'!E:BO,24,0)</f>
        <v>78.058999999999997</v>
      </c>
      <c r="H896" s="79">
        <f>IFERROR(VLOOKUP(F896,STD!B:G,2,FALSE),"")</f>
        <v>94</v>
      </c>
      <c r="I896" s="100">
        <f t="shared" si="67"/>
        <v>0.83041489361702125</v>
      </c>
      <c r="J896" s="74">
        <f t="shared" si="68"/>
        <v>9.9124468085106372</v>
      </c>
      <c r="K896">
        <f>VLOOKUP(C896,'RAW DATA 2023'!E:BO,12,0)</f>
        <v>0.8</v>
      </c>
      <c r="L896" s="268">
        <f t="shared" si="69"/>
        <v>7.9299574468085101</v>
      </c>
      <c r="M896"/>
    </row>
    <row r="897" spans="1:13">
      <c r="A897" s="64" t="str">
        <f>'RAW DATA 2023'!B890</f>
        <v>Nakornfarm</v>
      </c>
      <c r="B897" s="64" t="str">
        <f>'RAW DATA 2023'!D890</f>
        <v>E1-075-0013</v>
      </c>
      <c r="C897" s="63" t="str">
        <f t="shared" si="65"/>
        <v>NakornfarmE1-075-0013</v>
      </c>
      <c r="D897" s="63">
        <f>VLOOKUP(C897,'RAW DATA 2023'!E:BP,63,0)</f>
        <v>11</v>
      </c>
      <c r="E897" s="63" t="str">
        <f t="shared" si="66"/>
        <v>Nakornfarm11</v>
      </c>
      <c r="F897" s="79">
        <f>ROUND(VLOOKUP(C897,'RAW DATA 2023'!E:BO,23,0),0)</f>
        <v>161</v>
      </c>
      <c r="G897" s="79">
        <f>VLOOKUP(C897,'RAW DATA 2023'!E:BO,24,0)</f>
        <v>47.726428571428571</v>
      </c>
      <c r="H897" s="79">
        <f>IFERROR(VLOOKUP(F897,STD!B:G,2,FALSE),"")</f>
        <v>93</v>
      </c>
      <c r="I897" s="100">
        <f t="shared" si="67"/>
        <v>0.51318740399385565</v>
      </c>
      <c r="J897" s="74">
        <f t="shared" si="68"/>
        <v>0.39562211981566953</v>
      </c>
      <c r="K897">
        <f>VLOOKUP(C897,'RAW DATA 2023'!E:BO,12,0)</f>
        <v>0.7</v>
      </c>
      <c r="L897" s="268">
        <f t="shared" si="69"/>
        <v>0.27693548387096867</v>
      </c>
      <c r="M897"/>
    </row>
    <row r="898" spans="1:13">
      <c r="A898" s="64" t="str">
        <f>'RAW DATA 2023'!B891</f>
        <v>Nakornfarm</v>
      </c>
      <c r="B898" s="64" t="str">
        <f>'RAW DATA 2023'!D891</f>
        <v>A1-099-0008</v>
      </c>
      <c r="C898" s="63" t="str">
        <f t="shared" si="65"/>
        <v>NakornfarmA1-099-0008</v>
      </c>
      <c r="D898" s="63">
        <f>VLOOKUP(C898,'RAW DATA 2023'!E:BP,63,0)</f>
        <v>6</v>
      </c>
      <c r="E898" s="63" t="str">
        <f t="shared" si="66"/>
        <v>Nakornfarm6</v>
      </c>
      <c r="F898" s="79">
        <f>ROUND(VLOOKUP(C898,'RAW DATA 2023'!E:BO,23,0),0)</f>
        <v>66</v>
      </c>
      <c r="G898" s="79">
        <f>VLOOKUP(C898,'RAW DATA 2023'!E:BO,24,0)</f>
        <v>81.572999999999993</v>
      </c>
      <c r="H898" s="79">
        <f>IFERROR(VLOOKUP(F898,STD!B:G,2,FALSE),"")</f>
        <v>88</v>
      </c>
      <c r="I898" s="100">
        <f t="shared" si="67"/>
        <v>0.92696590909090903</v>
      </c>
      <c r="J898" s="74">
        <f t="shared" si="68"/>
        <v>12.808977272727271</v>
      </c>
      <c r="K898">
        <f>VLOOKUP(C898,'RAW DATA 2023'!E:BO,12,0)</f>
        <v>0.6</v>
      </c>
      <c r="L898" s="268">
        <f t="shared" si="69"/>
        <v>7.6853863636363622</v>
      </c>
      <c r="M898"/>
    </row>
    <row r="899" spans="1:13">
      <c r="A899" s="64" t="str">
        <f>'RAW DATA 2023'!B892</f>
        <v>Nakornfarm</v>
      </c>
      <c r="B899" s="64" t="str">
        <f>'RAW DATA 2023'!D892</f>
        <v>A1-098-0006</v>
      </c>
      <c r="C899" s="63" t="str">
        <f t="shared" si="65"/>
        <v>NakornfarmA1-098-0006</v>
      </c>
      <c r="D899" s="63">
        <f>VLOOKUP(C899,'RAW DATA 2023'!E:BP,63,0)</f>
        <v>7</v>
      </c>
      <c r="E899" s="63" t="str">
        <f t="shared" si="66"/>
        <v>Nakornfarm7</v>
      </c>
      <c r="F899" s="79">
        <f>ROUND(VLOOKUP(C899,'RAW DATA 2023'!E:BO,23,0),0)</f>
        <v>40</v>
      </c>
      <c r="G899" s="79">
        <f>VLOOKUP(C899,'RAW DATA 2023'!E:BO,24,0)</f>
        <v>89.958749999999995</v>
      </c>
      <c r="H899" s="79">
        <f>IFERROR(VLOOKUP(F899,STD!B:G,2,FALSE),"")</f>
        <v>82</v>
      </c>
      <c r="I899" s="100">
        <f t="shared" si="67"/>
        <v>1.0970579268292682</v>
      </c>
      <c r="J899" s="74">
        <f t="shared" si="68"/>
        <v>17.911737804878044</v>
      </c>
      <c r="K899">
        <f>VLOOKUP(C899,'RAW DATA 2023'!E:BO,12,0)</f>
        <v>0.8</v>
      </c>
      <c r="L899" s="268">
        <f t="shared" si="69"/>
        <v>14.329390243902436</v>
      </c>
      <c r="M899"/>
    </row>
    <row r="900" spans="1:13">
      <c r="A900" s="64" t="str">
        <f>'RAW DATA 2023'!B893</f>
        <v>Nakornfarm</v>
      </c>
      <c r="B900" s="64" t="str">
        <f>'RAW DATA 2023'!D893</f>
        <v>A1-098-0005</v>
      </c>
      <c r="C900" s="63" t="str">
        <f t="shared" si="65"/>
        <v>NakornfarmA1-098-0005</v>
      </c>
      <c r="D900" s="63">
        <f>VLOOKUP(C900,'RAW DATA 2023'!E:BP,63,0)</f>
        <v>1</v>
      </c>
      <c r="E900" s="63" t="str">
        <f t="shared" si="66"/>
        <v>Nakornfarm1</v>
      </c>
      <c r="F900" s="79">
        <f>ROUND(VLOOKUP(C900,'RAW DATA 2023'!E:BO,23,0),0)</f>
        <v>68</v>
      </c>
      <c r="G900" s="79">
        <f>VLOOKUP(C900,'RAW DATA 2023'!E:BO,24,0)</f>
        <v>93.645090909090911</v>
      </c>
      <c r="H900" s="79">
        <f>IFERROR(VLOOKUP(F900,STD!B:G,2,FALSE),"")</f>
        <v>88</v>
      </c>
      <c r="I900" s="100">
        <f t="shared" si="67"/>
        <v>1.0641487603305786</v>
      </c>
      <c r="J900" s="74">
        <f t="shared" si="68"/>
        <v>16.924462809917358</v>
      </c>
      <c r="K900">
        <f>VLOOKUP(C900,'RAW DATA 2023'!E:BO,12,0)</f>
        <v>0.55000000000000004</v>
      </c>
      <c r="L900" s="268">
        <f t="shared" si="69"/>
        <v>9.3084545454545484</v>
      </c>
      <c r="M900"/>
    </row>
    <row r="901" spans="1:13">
      <c r="A901" s="64" t="str">
        <f>'RAW DATA 2023'!B894</f>
        <v>Nakornfarm</v>
      </c>
      <c r="B901" s="64" t="str">
        <f>'RAW DATA 2023'!D894</f>
        <v>A1-099-0007</v>
      </c>
      <c r="C901" s="63" t="str">
        <f t="shared" si="65"/>
        <v>NakornfarmA1-099-0007</v>
      </c>
      <c r="D901" s="63">
        <f>VLOOKUP(C901,'RAW DATA 2023'!E:BP,63,0)</f>
        <v>1</v>
      </c>
      <c r="E901" s="63" t="str">
        <f t="shared" si="66"/>
        <v>Nakornfarm1</v>
      </c>
      <c r="F901" s="79">
        <f>ROUND(VLOOKUP(C901,'RAW DATA 2023'!E:BO,23,0),0)</f>
        <v>68</v>
      </c>
      <c r="G901" s="79">
        <f>VLOOKUP(C901,'RAW DATA 2023'!E:BO,24,0)</f>
        <v>108.59672727272726</v>
      </c>
      <c r="H901" s="79">
        <f>IFERROR(VLOOKUP(F901,STD!B:G,2,FALSE),"")</f>
        <v>88</v>
      </c>
      <c r="I901" s="100">
        <f t="shared" si="67"/>
        <v>1.2340537190082643</v>
      </c>
      <c r="J901" s="74">
        <f t="shared" si="68"/>
        <v>22.021611570247931</v>
      </c>
      <c r="K901">
        <f>VLOOKUP(C901,'RAW DATA 2023'!E:BO,12,0)</f>
        <v>0.55000000000000004</v>
      </c>
      <c r="L901" s="268">
        <f t="shared" si="69"/>
        <v>12.111886363636362</v>
      </c>
      <c r="M901"/>
    </row>
    <row r="902" spans="1:13">
      <c r="A902" s="64" t="str">
        <f>'RAW DATA 2023'!B895</f>
        <v>Nakornfarm</v>
      </c>
      <c r="B902" s="64" t="str">
        <f>'RAW DATA 2023'!D895</f>
        <v>B1-108-0006</v>
      </c>
      <c r="C902" s="63" t="str">
        <f t="shared" si="65"/>
        <v>NakornfarmB1-108-0006</v>
      </c>
      <c r="D902" s="63">
        <f>VLOOKUP(C902,'RAW DATA 2023'!E:BP,63,0)</f>
        <v>8</v>
      </c>
      <c r="E902" s="63" t="str">
        <f t="shared" si="66"/>
        <v>Nakornfarm8</v>
      </c>
      <c r="F902" s="79">
        <f>ROUND(VLOOKUP(C902,'RAW DATA 2023'!E:BO,23,0),0)</f>
        <v>102</v>
      </c>
      <c r="G902" s="79">
        <f>VLOOKUP(C902,'RAW DATA 2023'!E:BO,24,0)</f>
        <v>87.675250000000005</v>
      </c>
      <c r="H902" s="79">
        <f>IFERROR(VLOOKUP(F902,STD!B:G,2,FALSE),"")</f>
        <v>91</v>
      </c>
      <c r="I902" s="100">
        <f t="shared" si="67"/>
        <v>0.96346428571428577</v>
      </c>
      <c r="J902" s="74">
        <f t="shared" si="68"/>
        <v>13.903928571428573</v>
      </c>
      <c r="K902">
        <f>VLOOKUP(C902,'RAW DATA 2023'!E:BO,12,0)</f>
        <v>0.8</v>
      </c>
      <c r="L902" s="268">
        <f t="shared" si="69"/>
        <v>11.123142857142859</v>
      </c>
      <c r="M902"/>
    </row>
    <row r="903" spans="1:13">
      <c r="A903" s="64" t="str">
        <f>'RAW DATA 2023'!B896</f>
        <v>Nakornfarm</v>
      </c>
      <c r="B903" s="64" t="str">
        <f>'RAW DATA 2023'!D896</f>
        <v>B1-107-0005</v>
      </c>
      <c r="C903" s="63" t="str">
        <f t="shared" si="65"/>
        <v>NakornfarmB1-107-0005</v>
      </c>
      <c r="D903" s="63">
        <f>VLOOKUP(C903,'RAW DATA 2023'!E:BP,63,0)</f>
        <v>2</v>
      </c>
      <c r="E903" s="63" t="str">
        <f t="shared" si="66"/>
        <v>Nakornfarm2</v>
      </c>
      <c r="F903" s="79">
        <f>ROUND(VLOOKUP(C903,'RAW DATA 2023'!E:BO,23,0),0)</f>
        <v>122</v>
      </c>
      <c r="G903" s="79">
        <f>VLOOKUP(C903,'RAW DATA 2023'!E:BO,24,0)</f>
        <v>105.80383333333334</v>
      </c>
      <c r="H903" s="79">
        <f>IFERROR(VLOOKUP(F903,STD!B:G,2,FALSE),"")</f>
        <v>92</v>
      </c>
      <c r="I903" s="100">
        <f t="shared" si="67"/>
        <v>1.1500416666666669</v>
      </c>
      <c r="J903" s="74">
        <f t="shared" si="68"/>
        <v>19.501250000000006</v>
      </c>
      <c r="K903">
        <f>VLOOKUP(C903,'RAW DATA 2023'!E:BO,12,0)</f>
        <v>0.6</v>
      </c>
      <c r="L903" s="268">
        <f t="shared" si="69"/>
        <v>11.700750000000003</v>
      </c>
      <c r="M903"/>
    </row>
    <row r="904" spans="1:13">
      <c r="A904" s="64" t="str">
        <f>'RAW DATA 2023'!B897</f>
        <v>Nakornfarm</v>
      </c>
      <c r="B904" s="64" t="str">
        <f>'RAW DATA 2023'!D897</f>
        <v>B1-108-0005</v>
      </c>
      <c r="C904" s="63" t="str">
        <f t="shared" si="65"/>
        <v>NakornfarmB1-108-0005</v>
      </c>
      <c r="D904" s="63">
        <f>VLOOKUP(C904,'RAW DATA 2023'!E:BP,63,0)</f>
        <v>2</v>
      </c>
      <c r="E904" s="63" t="str">
        <f t="shared" si="66"/>
        <v>Nakornfarm2</v>
      </c>
      <c r="F904" s="79">
        <f>ROUND(VLOOKUP(C904,'RAW DATA 2023'!E:BO,23,0),0)</f>
        <v>134</v>
      </c>
      <c r="G904" s="79">
        <f>VLOOKUP(C904,'RAW DATA 2023'!E:BO,24,0)</f>
        <v>111.47683333333333</v>
      </c>
      <c r="H904" s="79">
        <f>IFERROR(VLOOKUP(F904,STD!B:G,2,FALSE),"")</f>
        <v>93</v>
      </c>
      <c r="I904" s="100">
        <f t="shared" si="67"/>
        <v>1.1986756272401433</v>
      </c>
      <c r="J904" s="74">
        <f t="shared" si="68"/>
        <v>20.960268817204298</v>
      </c>
      <c r="K904">
        <f>VLOOKUP(C904,'RAW DATA 2023'!E:BO,12,0)</f>
        <v>0.6</v>
      </c>
      <c r="L904" s="268">
        <f t="shared" si="69"/>
        <v>12.576161290322579</v>
      </c>
      <c r="M904"/>
    </row>
    <row r="905" spans="1:13">
      <c r="A905" s="64" t="str">
        <f>'RAW DATA 2023'!B898</f>
        <v>Nakornfarm</v>
      </c>
      <c r="B905" s="64" t="str">
        <f>'RAW DATA 2023'!D898</f>
        <v>B1-107-0006</v>
      </c>
      <c r="C905" s="63" t="str">
        <f t="shared" si="65"/>
        <v>NakornfarmB1-107-0006</v>
      </c>
      <c r="D905" s="63">
        <f>VLOOKUP(C905,'RAW DATA 2023'!E:BP,63,0)</f>
        <v>8</v>
      </c>
      <c r="E905" s="63" t="str">
        <f t="shared" si="66"/>
        <v>Nakornfarm8</v>
      </c>
      <c r="F905" s="79">
        <f>ROUND(VLOOKUP(C905,'RAW DATA 2023'!E:BO,23,0),0)</f>
        <v>0</v>
      </c>
      <c r="G905" s="79">
        <f>VLOOKUP(C905,'RAW DATA 2023'!E:BO,24,0)</f>
        <v>0</v>
      </c>
      <c r="H905" s="79" t="str">
        <f>IFERROR(VLOOKUP(F905,STD!B:G,2,FALSE),"")</f>
        <v/>
      </c>
      <c r="I905" s="100">
        <f t="shared" si="67"/>
        <v>0</v>
      </c>
      <c r="J905" s="74">
        <f t="shared" si="68"/>
        <v>-15</v>
      </c>
      <c r="K905">
        <f>VLOOKUP(C905,'RAW DATA 2023'!E:BO,12,0)</f>
        <v>0.57599999999999996</v>
      </c>
      <c r="L905" s="268">
        <f t="shared" si="69"/>
        <v>-8.6399999999999988</v>
      </c>
      <c r="M905"/>
    </row>
    <row r="906" spans="1:13">
      <c r="A906" s="64" t="str">
        <f>'RAW DATA 2023'!B899</f>
        <v>Ranode</v>
      </c>
      <c r="B906" s="64" t="str">
        <f>'RAW DATA 2023'!D899</f>
        <v>AG-091-0013</v>
      </c>
      <c r="C906" s="63" t="str">
        <f t="shared" ref="C906:C969" si="70">A906&amp;B906</f>
        <v>RanodeAG-091-0013</v>
      </c>
      <c r="D906" s="63">
        <f>VLOOKUP(C906,'RAW DATA 2023'!E:BP,63,0)</f>
        <v>11</v>
      </c>
      <c r="E906" s="63" t="str">
        <f t="shared" ref="E906:E969" si="71">A906&amp;D906</f>
        <v>Ranode11</v>
      </c>
      <c r="F906" s="79">
        <f>ROUND(VLOOKUP(C906,'RAW DATA 2023'!E:BO,23,0),0)</f>
        <v>28</v>
      </c>
      <c r="G906" s="79">
        <f>VLOOKUP(C906,'RAW DATA 2023'!E:BO,24,0)</f>
        <v>97.240499999999997</v>
      </c>
      <c r="H906" s="79">
        <f>IFERROR(VLOOKUP(F906,STD!B:G,2,FALSE),"")</f>
        <v>75</v>
      </c>
      <c r="I906" s="100">
        <f t="shared" si="67"/>
        <v>1.29654</v>
      </c>
      <c r="J906" s="74">
        <f t="shared" si="68"/>
        <v>23.8962</v>
      </c>
      <c r="K906">
        <f>VLOOKUP(C906,'RAW DATA 2023'!E:BO,12,0)</f>
        <v>0.8</v>
      </c>
      <c r="L906" s="268">
        <f t="shared" si="69"/>
        <v>19.116960000000002</v>
      </c>
      <c r="M906"/>
    </row>
    <row r="907" spans="1:13">
      <c r="A907" s="64" t="str">
        <f>'RAW DATA 2023'!B900</f>
        <v>Ranode</v>
      </c>
      <c r="B907" s="64" t="str">
        <f>'RAW DATA 2023'!D900</f>
        <v>AG-090-0011</v>
      </c>
      <c r="C907" s="63" t="str">
        <f t="shared" si="70"/>
        <v>RanodeAG-090-0011</v>
      </c>
      <c r="D907" s="63">
        <f>VLOOKUP(C907,'RAW DATA 2023'!E:BP,63,0)</f>
        <v>12</v>
      </c>
      <c r="E907" s="63" t="str">
        <f t="shared" si="71"/>
        <v>Ranode12</v>
      </c>
      <c r="F907" s="79">
        <f>ROUND(VLOOKUP(C907,'RAW DATA 2023'!E:BO,23,0),0)</f>
        <v>27</v>
      </c>
      <c r="G907" s="79">
        <f>VLOOKUP(C907,'RAW DATA 2023'!E:BO,24,0)</f>
        <v>67.955874999999992</v>
      </c>
      <c r="H907" s="79">
        <f>IFERROR(VLOOKUP(F907,STD!B:G,2,FALSE),"")</f>
        <v>75</v>
      </c>
      <c r="I907" s="100">
        <f t="shared" ref="I907:I970" si="72">IFERROR(G907/H907,0)</f>
        <v>0.90607833333333321</v>
      </c>
      <c r="J907" s="74">
        <f t="shared" ref="J907:J970" si="73">(I907-$E$4)*$E$7</f>
        <v>12.182349999999996</v>
      </c>
      <c r="K907">
        <f>VLOOKUP(C907,'RAW DATA 2023'!E:BO,12,0)</f>
        <v>0.8</v>
      </c>
      <c r="L907" s="268">
        <f t="shared" ref="L907:L970" si="74">J907*K907</f>
        <v>9.7458799999999979</v>
      </c>
      <c r="M907"/>
    </row>
    <row r="908" spans="1:13">
      <c r="A908" s="64" t="str">
        <f>'RAW DATA 2023'!B901</f>
        <v>Ranode</v>
      </c>
      <c r="B908" s="64" t="str">
        <f>'RAW DATA 2023'!D901</f>
        <v>AG-091-0012</v>
      </c>
      <c r="C908" s="63" t="str">
        <f t="shared" si="70"/>
        <v>RanodeAG-091-0012</v>
      </c>
      <c r="D908" s="63">
        <f>VLOOKUP(C908,'RAW DATA 2023'!E:BP,63,0)</f>
        <v>6</v>
      </c>
      <c r="E908" s="63" t="str">
        <f t="shared" si="71"/>
        <v>Ranode6</v>
      </c>
      <c r="F908" s="79">
        <f>ROUND(VLOOKUP(C908,'RAW DATA 2023'!E:BO,23,0),0)</f>
        <v>26</v>
      </c>
      <c r="G908" s="79">
        <f>VLOOKUP(C908,'RAW DATA 2023'!E:BO,24,0)</f>
        <v>72.745777777777775</v>
      </c>
      <c r="H908" s="79">
        <f>IFERROR(VLOOKUP(F908,STD!B:G,2,FALSE),"")</f>
        <v>75</v>
      </c>
      <c r="I908" s="100">
        <f t="shared" si="72"/>
        <v>0.96994370370370364</v>
      </c>
      <c r="J908" s="74">
        <f t="shared" si="73"/>
        <v>14.098311111111109</v>
      </c>
      <c r="K908">
        <f>VLOOKUP(C908,'RAW DATA 2023'!E:BO,12,0)</f>
        <v>0.9</v>
      </c>
      <c r="L908" s="268">
        <f t="shared" si="74"/>
        <v>12.688479999999998</v>
      </c>
      <c r="M908"/>
    </row>
    <row r="909" spans="1:13">
      <c r="A909" s="64" t="str">
        <f>'RAW DATA 2023'!B902</f>
        <v>Ranode</v>
      </c>
      <c r="B909" s="64" t="str">
        <f>'RAW DATA 2023'!D902</f>
        <v>AG-090-0010</v>
      </c>
      <c r="C909" s="63" t="str">
        <f t="shared" si="70"/>
        <v>RanodeAG-090-0010</v>
      </c>
      <c r="D909" s="63">
        <f>VLOOKUP(C909,'RAW DATA 2023'!E:BP,63,0)</f>
        <v>6</v>
      </c>
      <c r="E909" s="63" t="str">
        <f t="shared" si="71"/>
        <v>Ranode6</v>
      </c>
      <c r="F909" s="79">
        <f>ROUND(VLOOKUP(C909,'RAW DATA 2023'!E:BO,23,0),0)</f>
        <v>25</v>
      </c>
      <c r="G909" s="79">
        <f>VLOOKUP(C909,'RAW DATA 2023'!E:BO,24,0)</f>
        <v>54.454777777777771</v>
      </c>
      <c r="H909" s="79">
        <f>IFERROR(VLOOKUP(F909,STD!B:G,2,FALSE),"")</f>
        <v>72</v>
      </c>
      <c r="I909" s="100">
        <f t="shared" si="72"/>
        <v>0.75631635802469122</v>
      </c>
      <c r="J909" s="74">
        <f t="shared" si="73"/>
        <v>7.6894907407407365</v>
      </c>
      <c r="K909">
        <f>VLOOKUP(C909,'RAW DATA 2023'!E:BO,12,0)</f>
        <v>0.9</v>
      </c>
      <c r="L909" s="268">
        <f t="shared" si="74"/>
        <v>6.9205416666666633</v>
      </c>
      <c r="M909"/>
    </row>
    <row r="910" spans="1:13">
      <c r="A910" s="64" t="str">
        <f>'RAW DATA 2023'!B903</f>
        <v>Ranode</v>
      </c>
      <c r="B910" s="64" t="str">
        <f>'RAW DATA 2023'!D903</f>
        <v>A1-016-0028</v>
      </c>
      <c r="C910" s="63" t="str">
        <f t="shared" si="70"/>
        <v>RanodeA1-016-0028</v>
      </c>
      <c r="D910" s="63">
        <f>VLOOKUP(C910,'RAW DATA 2023'!E:BP,63,0)</f>
        <v>11</v>
      </c>
      <c r="E910" s="63" t="str">
        <f t="shared" si="71"/>
        <v>Ranode11</v>
      </c>
      <c r="F910" s="79">
        <f>ROUND(VLOOKUP(C910,'RAW DATA 2023'!E:BO,23,0),0)</f>
        <v>45</v>
      </c>
      <c r="G910" s="79">
        <f>VLOOKUP(C910,'RAW DATA 2023'!E:BO,24,0)</f>
        <v>89.253360000000001</v>
      </c>
      <c r="H910" s="79">
        <f>IFERROR(VLOOKUP(F910,STD!B:G,2,FALSE),"")</f>
        <v>83</v>
      </c>
      <c r="I910" s="100">
        <f t="shared" si="72"/>
        <v>1.075341686746988</v>
      </c>
      <c r="J910" s="74">
        <f t="shared" si="73"/>
        <v>17.260250602409641</v>
      </c>
      <c r="K910">
        <f>VLOOKUP(C910,'RAW DATA 2023'!E:BO,12,0)</f>
        <v>2.5</v>
      </c>
      <c r="L910" s="268">
        <f t="shared" si="74"/>
        <v>43.150626506024103</v>
      </c>
      <c r="M910"/>
    </row>
    <row r="911" spans="1:13">
      <c r="A911" s="64" t="str">
        <f>'RAW DATA 2023'!B904</f>
        <v>Ranode</v>
      </c>
      <c r="B911" s="64" t="str">
        <f>'RAW DATA 2023'!D904</f>
        <v>AG-093-0013</v>
      </c>
      <c r="C911" s="63" t="str">
        <f t="shared" si="70"/>
        <v>RanodeAG-093-0013</v>
      </c>
      <c r="D911" s="63">
        <f>VLOOKUP(C911,'RAW DATA 2023'!E:BP,63,0)</f>
        <v>6</v>
      </c>
      <c r="E911" s="63" t="str">
        <f t="shared" si="71"/>
        <v>Ranode6</v>
      </c>
      <c r="F911" s="79">
        <f>ROUND(VLOOKUP(C911,'RAW DATA 2023'!E:BO,23,0),0)</f>
        <v>75</v>
      </c>
      <c r="G911" s="79">
        <f>VLOOKUP(C911,'RAW DATA 2023'!E:BO,24,0)</f>
        <v>82.949600000000004</v>
      </c>
      <c r="H911" s="79">
        <f>IFERROR(VLOOKUP(F911,STD!B:G,2,FALSE),"")</f>
        <v>89</v>
      </c>
      <c r="I911" s="100">
        <f t="shared" si="72"/>
        <v>0.9320179775280899</v>
      </c>
      <c r="J911" s="74">
        <f t="shared" si="73"/>
        <v>12.960539325842698</v>
      </c>
      <c r="K911">
        <f>VLOOKUP(C911,'RAW DATA 2023'!E:BO,12,0)</f>
        <v>1</v>
      </c>
      <c r="L911" s="268">
        <f t="shared" si="74"/>
        <v>12.960539325842698</v>
      </c>
      <c r="M911"/>
    </row>
    <row r="912" spans="1:13">
      <c r="A912" s="64" t="str">
        <f>'RAW DATA 2023'!B905</f>
        <v>Ranode</v>
      </c>
      <c r="B912" s="64" t="str">
        <f>'RAW DATA 2023'!D905</f>
        <v>AG-093-0012</v>
      </c>
      <c r="C912" s="63" t="str">
        <f t="shared" si="70"/>
        <v>RanodeAG-093-0012</v>
      </c>
      <c r="D912" s="63">
        <f>VLOOKUP(C912,'RAW DATA 2023'!E:BP,63,0)</f>
        <v>4</v>
      </c>
      <c r="E912" s="63" t="str">
        <f t="shared" si="71"/>
        <v>Ranode4</v>
      </c>
      <c r="F912" s="79">
        <f>ROUND(VLOOKUP(C912,'RAW DATA 2023'!E:BO,23,0),0)</f>
        <v>59</v>
      </c>
      <c r="G912" s="79">
        <f>VLOOKUP(C912,'RAW DATA 2023'!E:BO,24,0)</f>
        <v>63.446301369863015</v>
      </c>
      <c r="H912" s="79">
        <f>IFERROR(VLOOKUP(F912,STD!B:G,2,FALSE),"")</f>
        <v>87</v>
      </c>
      <c r="I912" s="100">
        <f t="shared" si="72"/>
        <v>0.72926783183750588</v>
      </c>
      <c r="J912" s="74">
        <f t="shared" si="73"/>
        <v>6.8780349551251767</v>
      </c>
      <c r="K912">
        <f>VLOOKUP(C912,'RAW DATA 2023'!E:BO,12,0)</f>
        <v>0.73</v>
      </c>
      <c r="L912" s="268">
        <f t="shared" si="74"/>
        <v>5.020965517241379</v>
      </c>
      <c r="M912"/>
    </row>
    <row r="913" spans="1:13">
      <c r="A913" s="64" t="str">
        <f>'RAW DATA 2023'!B906</f>
        <v>Ranode</v>
      </c>
      <c r="B913" s="64" t="str">
        <f>'RAW DATA 2023'!D906</f>
        <v>AG-093-0014</v>
      </c>
      <c r="C913" s="63" t="str">
        <f t="shared" si="70"/>
        <v>RanodeAG-093-0014</v>
      </c>
      <c r="D913" s="63">
        <f>VLOOKUP(C913,'RAW DATA 2023'!E:BP,63,0)</f>
        <v>12</v>
      </c>
      <c r="E913" s="63" t="str">
        <f t="shared" si="71"/>
        <v>Ranode12</v>
      </c>
      <c r="F913" s="79">
        <f>ROUND(VLOOKUP(C913,'RAW DATA 2023'!E:BO,23,0),0)</f>
        <v>132</v>
      </c>
      <c r="G913" s="79">
        <f>VLOOKUP(C913,'RAW DATA 2023'!E:BO,24,0)</f>
        <v>76.211100000000002</v>
      </c>
      <c r="H913" s="79">
        <f>IFERROR(VLOOKUP(F913,STD!B:G,2,FALSE),"")</f>
        <v>93</v>
      </c>
      <c r="I913" s="100">
        <f t="shared" si="72"/>
        <v>0.81947419354838713</v>
      </c>
      <c r="J913" s="74">
        <f t="shared" si="73"/>
        <v>9.584225806451613</v>
      </c>
      <c r="K913">
        <f>VLOOKUP(C913,'RAW DATA 2023'!E:BO,12,0)</f>
        <v>1</v>
      </c>
      <c r="L913" s="268">
        <f t="shared" si="74"/>
        <v>9.584225806451613</v>
      </c>
      <c r="M913"/>
    </row>
    <row r="914" spans="1:13">
      <c r="A914" s="64" t="str">
        <f>'RAW DATA 2023'!B907</f>
        <v>Ranode</v>
      </c>
      <c r="B914" s="64" t="str">
        <f>'RAW DATA 2023'!D907</f>
        <v>A1-082-0016</v>
      </c>
      <c r="C914" s="63" t="str">
        <f t="shared" si="70"/>
        <v>RanodeA1-082-0016</v>
      </c>
      <c r="D914" s="63">
        <f>VLOOKUP(C914,'RAW DATA 2023'!E:BP,63,0)</f>
        <v>3</v>
      </c>
      <c r="E914" s="63" t="str">
        <f t="shared" si="71"/>
        <v>Ranode3</v>
      </c>
      <c r="F914" s="79">
        <f>ROUND(VLOOKUP(C914,'RAW DATA 2023'!E:BO,23,0),0)</f>
        <v>144</v>
      </c>
      <c r="G914" s="79">
        <f>VLOOKUP(C914,'RAW DATA 2023'!E:BO,24,0)</f>
        <v>99.357142857142861</v>
      </c>
      <c r="H914" s="79">
        <f>IFERROR(VLOOKUP(F914,STD!B:G,2,FALSE),"")</f>
        <v>93</v>
      </c>
      <c r="I914" s="100">
        <f t="shared" si="72"/>
        <v>1.0683563748079878</v>
      </c>
      <c r="J914" s="74">
        <f t="shared" si="73"/>
        <v>17.050691244239637</v>
      </c>
      <c r="K914">
        <f>VLOOKUP(C914,'RAW DATA 2023'!E:BO,12,0)</f>
        <v>0.7</v>
      </c>
      <c r="L914" s="268">
        <f t="shared" si="74"/>
        <v>11.935483870967746</v>
      </c>
      <c r="M914"/>
    </row>
    <row r="915" spans="1:13">
      <c r="A915" s="64" t="str">
        <f>'RAW DATA 2023'!B908</f>
        <v>Ranode</v>
      </c>
      <c r="B915" s="64" t="str">
        <f>'RAW DATA 2023'!D908</f>
        <v>A1-083-0016</v>
      </c>
      <c r="C915" s="63" t="str">
        <f t="shared" si="70"/>
        <v>RanodeA1-083-0016</v>
      </c>
      <c r="D915" s="63">
        <f>VLOOKUP(C915,'RAW DATA 2023'!E:BP,63,0)</f>
        <v>3</v>
      </c>
      <c r="E915" s="63" t="str">
        <f t="shared" si="71"/>
        <v>Ranode3</v>
      </c>
      <c r="F915" s="79">
        <f>ROUND(VLOOKUP(C915,'RAW DATA 2023'!E:BO,23,0),0)</f>
        <v>183</v>
      </c>
      <c r="G915" s="79">
        <f>VLOOKUP(C915,'RAW DATA 2023'!E:BO,24,0)</f>
        <v>82.355285714285714</v>
      </c>
      <c r="H915" s="79">
        <f>IFERROR(VLOOKUP(F915,STD!B:G,2,FALSE),"")</f>
        <v>95</v>
      </c>
      <c r="I915" s="100">
        <f t="shared" si="72"/>
        <v>0.86689774436090228</v>
      </c>
      <c r="J915" s="74">
        <f t="shared" si="73"/>
        <v>11.006932330827068</v>
      </c>
      <c r="K915">
        <f>VLOOKUP(C915,'RAW DATA 2023'!E:BO,12,0)</f>
        <v>0.7</v>
      </c>
      <c r="L915" s="268">
        <f t="shared" si="74"/>
        <v>7.7048526315789472</v>
      </c>
      <c r="M915"/>
    </row>
    <row r="916" spans="1:13">
      <c r="A916" s="64" t="str">
        <f>'RAW DATA 2023'!B909</f>
        <v>Ranode</v>
      </c>
      <c r="B916" s="64" t="str">
        <f>'RAW DATA 2023'!D909</f>
        <v>A1-015-0033</v>
      </c>
      <c r="C916" s="63" t="str">
        <f t="shared" si="70"/>
        <v>RanodeA1-015-0033</v>
      </c>
      <c r="D916" s="63">
        <f>VLOOKUP(C916,'RAW DATA 2023'!E:BP,63,0)</f>
        <v>7</v>
      </c>
      <c r="E916" s="63" t="str">
        <f t="shared" si="71"/>
        <v>Ranode7</v>
      </c>
      <c r="F916" s="79">
        <f>ROUND(VLOOKUP(C916,'RAW DATA 2023'!E:BO,23,0),0)</f>
        <v>207</v>
      </c>
      <c r="G916" s="79">
        <f>VLOOKUP(C916,'RAW DATA 2023'!E:BO,24,0)</f>
        <v>60.125450000000001</v>
      </c>
      <c r="H916" s="79">
        <f>IFERROR(VLOOKUP(F916,STD!B:G,2,FALSE),"")</f>
        <v>95</v>
      </c>
      <c r="I916" s="100">
        <f t="shared" si="72"/>
        <v>0.63289947368421051</v>
      </c>
      <c r="J916" s="74">
        <f t="shared" si="73"/>
        <v>3.9869842105263151</v>
      </c>
      <c r="K916">
        <f>VLOOKUP(C916,'RAW DATA 2023'!E:BO,12,0)</f>
        <v>4</v>
      </c>
      <c r="L916" s="268">
        <f t="shared" si="74"/>
        <v>15.947936842105261</v>
      </c>
      <c r="M916"/>
    </row>
    <row r="917" spans="1:13">
      <c r="A917" s="64">
        <f>'RAW DATA 2023'!B910</f>
        <v>0</v>
      </c>
      <c r="B917" s="64">
        <f>'RAW DATA 2023'!D910</f>
        <v>0</v>
      </c>
      <c r="C917" s="63" t="str">
        <f t="shared" si="70"/>
        <v>00</v>
      </c>
      <c r="D917" s="63" t="e">
        <f>VLOOKUP(C917,'RAW DATA 2023'!E:BP,63,0)</f>
        <v>#N/A</v>
      </c>
      <c r="E917" s="63" t="e">
        <f t="shared" si="71"/>
        <v>#N/A</v>
      </c>
      <c r="F917" s="79" t="e">
        <f>ROUND(VLOOKUP(C917,'RAW DATA 2023'!E:BO,23,0),0)</f>
        <v>#N/A</v>
      </c>
      <c r="G917" s="79" t="e">
        <f>VLOOKUP(C917,'RAW DATA 2023'!E:BO,24,0)</f>
        <v>#N/A</v>
      </c>
      <c r="H917" s="79" t="str">
        <f>IFERROR(VLOOKUP(F917,STD!A:G,3,TRUE),"")</f>
        <v/>
      </c>
      <c r="I917" s="100">
        <f t="shared" si="72"/>
        <v>0</v>
      </c>
      <c r="J917" s="74">
        <f t="shared" si="73"/>
        <v>-15</v>
      </c>
      <c r="K917" t="e">
        <f>VLOOKUP(C917,'RAW DATA 2023'!E:BO,12,0)</f>
        <v>#N/A</v>
      </c>
      <c r="L917" s="268" t="e">
        <f t="shared" si="74"/>
        <v>#N/A</v>
      </c>
      <c r="M917"/>
    </row>
    <row r="918" spans="1:13">
      <c r="A918" s="64">
        <f>'RAW DATA 2023'!B911</f>
        <v>0</v>
      </c>
      <c r="B918" s="64">
        <f>'RAW DATA 2023'!D911</f>
        <v>0</v>
      </c>
      <c r="C918" s="63" t="str">
        <f t="shared" si="70"/>
        <v>00</v>
      </c>
      <c r="D918" s="63" t="e">
        <f>VLOOKUP(C918,'RAW DATA 2023'!E:BP,63,0)</f>
        <v>#N/A</v>
      </c>
      <c r="E918" s="63" t="e">
        <f t="shared" si="71"/>
        <v>#N/A</v>
      </c>
      <c r="F918" s="79" t="e">
        <f>ROUND(VLOOKUP(C918,'RAW DATA 2023'!E:BO,23,0),0)</f>
        <v>#N/A</v>
      </c>
      <c r="G918" s="79" t="e">
        <f>VLOOKUP(C918,'RAW DATA 2023'!E:BO,24,0)</f>
        <v>#N/A</v>
      </c>
      <c r="H918" s="79" t="str">
        <f>IFERROR(VLOOKUP(F918,STD!A:G,3,TRUE),"")</f>
        <v/>
      </c>
      <c r="I918" s="100">
        <f t="shared" si="72"/>
        <v>0</v>
      </c>
      <c r="J918" s="74">
        <f t="shared" si="73"/>
        <v>-15</v>
      </c>
      <c r="K918" t="e">
        <f>VLOOKUP(C918,'RAW DATA 2023'!E:BO,12,0)</f>
        <v>#N/A</v>
      </c>
      <c r="L918" s="268" t="e">
        <f t="shared" si="74"/>
        <v>#N/A</v>
      </c>
      <c r="M918"/>
    </row>
    <row r="919" spans="1:13">
      <c r="A919" s="64">
        <f>'RAW DATA 2023'!B912</f>
        <v>0</v>
      </c>
      <c r="B919" s="64">
        <f>'RAW DATA 2023'!D912</f>
        <v>0</v>
      </c>
      <c r="C919" s="63" t="str">
        <f t="shared" si="70"/>
        <v>00</v>
      </c>
      <c r="D919" s="63" t="e">
        <f>VLOOKUP(C919,'RAW DATA 2023'!E:BP,63,0)</f>
        <v>#N/A</v>
      </c>
      <c r="E919" s="63" t="e">
        <f t="shared" si="71"/>
        <v>#N/A</v>
      </c>
      <c r="F919" s="79" t="e">
        <f>ROUND(VLOOKUP(C919,'RAW DATA 2023'!E:BO,23,0),0)</f>
        <v>#N/A</v>
      </c>
      <c r="G919" s="79" t="e">
        <f>VLOOKUP(C919,'RAW DATA 2023'!E:BO,24,0)</f>
        <v>#N/A</v>
      </c>
      <c r="H919" s="79" t="str">
        <f>IFERROR(VLOOKUP(F919,STD!A:G,3,TRUE),"")</f>
        <v/>
      </c>
      <c r="I919" s="100">
        <f t="shared" si="72"/>
        <v>0</v>
      </c>
      <c r="J919" s="74">
        <f t="shared" si="73"/>
        <v>-15</v>
      </c>
      <c r="K919" t="e">
        <f>VLOOKUP(C919,'RAW DATA 2023'!E:BO,12,0)</f>
        <v>#N/A</v>
      </c>
      <c r="L919" s="268" t="e">
        <f t="shared" si="74"/>
        <v>#N/A</v>
      </c>
      <c r="M919"/>
    </row>
    <row r="920" spans="1:13">
      <c r="A920" s="64">
        <f>'RAW DATA 2023'!B913</f>
        <v>0</v>
      </c>
      <c r="B920" s="64">
        <f>'RAW DATA 2023'!D913</f>
        <v>0</v>
      </c>
      <c r="C920" s="63" t="str">
        <f t="shared" si="70"/>
        <v>00</v>
      </c>
      <c r="D920" s="63" t="e">
        <f>VLOOKUP(C920,'RAW DATA 2023'!E:BP,63,0)</f>
        <v>#N/A</v>
      </c>
      <c r="E920" s="63" t="e">
        <f t="shared" si="71"/>
        <v>#N/A</v>
      </c>
      <c r="F920" s="79" t="e">
        <f>ROUND(VLOOKUP(C920,'RAW DATA 2023'!E:BO,23,0),0)</f>
        <v>#N/A</v>
      </c>
      <c r="G920" s="79" t="e">
        <f>VLOOKUP(C920,'RAW DATA 2023'!E:BO,24,0)</f>
        <v>#N/A</v>
      </c>
      <c r="H920" s="79" t="str">
        <f>IFERROR(VLOOKUP(F920,STD!A:G,3,TRUE),"")</f>
        <v/>
      </c>
      <c r="I920" s="100">
        <f t="shared" si="72"/>
        <v>0</v>
      </c>
      <c r="J920" s="74">
        <f t="shared" si="73"/>
        <v>-15</v>
      </c>
      <c r="K920" t="e">
        <f>VLOOKUP(C920,'RAW DATA 2023'!E:BO,12,0)</f>
        <v>#N/A</v>
      </c>
      <c r="L920" s="268" t="e">
        <f t="shared" si="74"/>
        <v>#N/A</v>
      </c>
      <c r="M920"/>
    </row>
    <row r="921" spans="1:13">
      <c r="A921" s="64">
        <f>'RAW DATA 2023'!B914</f>
        <v>0</v>
      </c>
      <c r="B921" s="64">
        <f>'RAW DATA 2023'!D914</f>
        <v>0</v>
      </c>
      <c r="C921" s="63" t="str">
        <f t="shared" si="70"/>
        <v>00</v>
      </c>
      <c r="D921" s="63" t="e">
        <f>VLOOKUP(C921,'RAW DATA 2023'!E:BP,63,0)</f>
        <v>#N/A</v>
      </c>
      <c r="E921" s="63" t="e">
        <f t="shared" si="71"/>
        <v>#N/A</v>
      </c>
      <c r="F921" s="79" t="e">
        <f>ROUND(VLOOKUP(C921,'RAW DATA 2023'!E:BO,23,0),0)</f>
        <v>#N/A</v>
      </c>
      <c r="G921" s="79" t="e">
        <f>VLOOKUP(C921,'RAW DATA 2023'!E:BO,24,0)</f>
        <v>#N/A</v>
      </c>
      <c r="H921" s="79" t="str">
        <f>IFERROR(VLOOKUP(F921,STD!A:G,3,TRUE),"")</f>
        <v/>
      </c>
      <c r="I921" s="100">
        <f t="shared" si="72"/>
        <v>0</v>
      </c>
      <c r="J921" s="74">
        <f t="shared" si="73"/>
        <v>-15</v>
      </c>
      <c r="K921" t="e">
        <f>VLOOKUP(C921,'RAW DATA 2023'!E:BO,12,0)</f>
        <v>#N/A</v>
      </c>
      <c r="L921" s="268" t="e">
        <f t="shared" si="74"/>
        <v>#N/A</v>
      </c>
      <c r="M921"/>
    </row>
    <row r="922" spans="1:13">
      <c r="A922" s="64">
        <f>'RAW DATA 2023'!B915</f>
        <v>0</v>
      </c>
      <c r="B922" s="64">
        <f>'RAW DATA 2023'!D915</f>
        <v>0</v>
      </c>
      <c r="C922" s="63" t="str">
        <f t="shared" si="70"/>
        <v>00</v>
      </c>
      <c r="D922" s="63" t="e">
        <f>VLOOKUP(C922,'RAW DATA 2023'!E:BP,63,0)</f>
        <v>#N/A</v>
      </c>
      <c r="E922" s="63" t="e">
        <f t="shared" si="71"/>
        <v>#N/A</v>
      </c>
      <c r="F922" s="79" t="e">
        <f>ROUND(VLOOKUP(C922,'RAW DATA 2023'!E:BO,23,0),0)</f>
        <v>#N/A</v>
      </c>
      <c r="G922" s="79" t="e">
        <f>VLOOKUP(C922,'RAW DATA 2023'!E:BO,24,0)</f>
        <v>#N/A</v>
      </c>
      <c r="H922" s="79" t="str">
        <f>IFERROR(VLOOKUP(F922,STD!A:G,3,TRUE),"")</f>
        <v/>
      </c>
      <c r="I922" s="100">
        <f t="shared" si="72"/>
        <v>0</v>
      </c>
      <c r="J922" s="74">
        <f t="shared" si="73"/>
        <v>-15</v>
      </c>
      <c r="K922" t="e">
        <f>VLOOKUP(C922,'RAW DATA 2023'!E:BO,12,0)</f>
        <v>#N/A</v>
      </c>
      <c r="L922" s="268" t="e">
        <f t="shared" si="74"/>
        <v>#N/A</v>
      </c>
      <c r="M922"/>
    </row>
    <row r="923" spans="1:13">
      <c r="A923" s="64">
        <f>'RAW DATA 2023'!B916</f>
        <v>0</v>
      </c>
      <c r="B923" s="64">
        <f>'RAW DATA 2023'!D916</f>
        <v>0</v>
      </c>
      <c r="C923" s="63" t="str">
        <f t="shared" si="70"/>
        <v>00</v>
      </c>
      <c r="D923" s="63" t="e">
        <f>VLOOKUP(C923,'RAW DATA 2023'!E:BP,63,0)</f>
        <v>#N/A</v>
      </c>
      <c r="E923" s="63" t="e">
        <f t="shared" si="71"/>
        <v>#N/A</v>
      </c>
      <c r="F923" s="79" t="e">
        <f>ROUND(VLOOKUP(C923,'RAW DATA 2023'!E:BO,23,0),0)</f>
        <v>#N/A</v>
      </c>
      <c r="G923" s="79" t="e">
        <f>VLOOKUP(C923,'RAW DATA 2023'!E:BO,24,0)</f>
        <v>#N/A</v>
      </c>
      <c r="H923" s="79" t="str">
        <f>IFERROR(VLOOKUP(F923,STD!A:G,3,TRUE),"")</f>
        <v/>
      </c>
      <c r="I923" s="100">
        <f t="shared" si="72"/>
        <v>0</v>
      </c>
      <c r="J923" s="74">
        <f t="shared" si="73"/>
        <v>-15</v>
      </c>
      <c r="K923" t="e">
        <f>VLOOKUP(C923,'RAW DATA 2023'!E:BO,12,0)</f>
        <v>#N/A</v>
      </c>
      <c r="L923" s="268" t="e">
        <f t="shared" si="74"/>
        <v>#N/A</v>
      </c>
      <c r="M923"/>
    </row>
    <row r="924" spans="1:13">
      <c r="A924" s="64">
        <f>'RAW DATA 2023'!B917</f>
        <v>0</v>
      </c>
      <c r="B924" s="64">
        <f>'RAW DATA 2023'!D917</f>
        <v>0</v>
      </c>
      <c r="C924" s="63" t="str">
        <f t="shared" si="70"/>
        <v>00</v>
      </c>
      <c r="D924" s="63" t="e">
        <f>VLOOKUP(C924,'RAW DATA 2023'!E:BP,63,0)</f>
        <v>#N/A</v>
      </c>
      <c r="E924" s="63" t="e">
        <f t="shared" si="71"/>
        <v>#N/A</v>
      </c>
      <c r="F924" s="79" t="e">
        <f>ROUND(VLOOKUP(C924,'RAW DATA 2023'!E:BO,23,0),0)</f>
        <v>#N/A</v>
      </c>
      <c r="G924" s="79" t="e">
        <f>VLOOKUP(C924,'RAW DATA 2023'!E:BO,24,0)</f>
        <v>#N/A</v>
      </c>
      <c r="H924" s="79" t="str">
        <f>IFERROR(VLOOKUP(F924,STD!A:G,3,TRUE),"")</f>
        <v/>
      </c>
      <c r="I924" s="100">
        <f t="shared" si="72"/>
        <v>0</v>
      </c>
      <c r="J924" s="74">
        <f t="shared" si="73"/>
        <v>-15</v>
      </c>
      <c r="K924" t="e">
        <f>VLOOKUP(C924,'RAW DATA 2023'!E:BO,12,0)</f>
        <v>#N/A</v>
      </c>
      <c r="L924" s="268" t="e">
        <f t="shared" si="74"/>
        <v>#N/A</v>
      </c>
      <c r="M924"/>
    </row>
    <row r="925" spans="1:13">
      <c r="A925" s="64">
        <f>'RAW DATA 2023'!B918</f>
        <v>0</v>
      </c>
      <c r="B925" s="64">
        <f>'RAW DATA 2023'!D918</f>
        <v>0</v>
      </c>
      <c r="C925" s="63" t="str">
        <f t="shared" si="70"/>
        <v>00</v>
      </c>
      <c r="D925" s="63" t="e">
        <f>VLOOKUP(C925,'RAW DATA 2023'!E:BP,63,0)</f>
        <v>#N/A</v>
      </c>
      <c r="E925" s="63" t="e">
        <f t="shared" si="71"/>
        <v>#N/A</v>
      </c>
      <c r="F925" s="79" t="e">
        <f>ROUND(VLOOKUP(C925,'RAW DATA 2023'!E:BO,23,0),0)</f>
        <v>#N/A</v>
      </c>
      <c r="G925" s="79" t="e">
        <f>VLOOKUP(C925,'RAW DATA 2023'!E:BO,24,0)</f>
        <v>#N/A</v>
      </c>
      <c r="H925" s="79" t="str">
        <f>IFERROR(VLOOKUP(F925,STD!A:G,3,TRUE),"")</f>
        <v/>
      </c>
      <c r="I925" s="100">
        <f t="shared" si="72"/>
        <v>0</v>
      </c>
      <c r="J925" s="74">
        <f t="shared" si="73"/>
        <v>-15</v>
      </c>
      <c r="K925" t="e">
        <f>VLOOKUP(C925,'RAW DATA 2023'!E:BO,12,0)</f>
        <v>#N/A</v>
      </c>
      <c r="L925" s="268" t="e">
        <f t="shared" si="74"/>
        <v>#N/A</v>
      </c>
      <c r="M925"/>
    </row>
    <row r="926" spans="1:13">
      <c r="A926" s="64">
        <f>'RAW DATA 2023'!B919</f>
        <v>0</v>
      </c>
      <c r="B926" s="64">
        <f>'RAW DATA 2023'!D919</f>
        <v>0</v>
      </c>
      <c r="C926" s="63" t="str">
        <f t="shared" si="70"/>
        <v>00</v>
      </c>
      <c r="D926" s="63" t="e">
        <f>VLOOKUP(C926,'RAW DATA 2023'!E:BP,63,0)</f>
        <v>#N/A</v>
      </c>
      <c r="E926" s="63" t="e">
        <f t="shared" si="71"/>
        <v>#N/A</v>
      </c>
      <c r="F926" s="79" t="e">
        <f>ROUND(VLOOKUP(C926,'RAW DATA 2023'!E:BO,23,0),0)</f>
        <v>#N/A</v>
      </c>
      <c r="G926" s="79" t="e">
        <f>VLOOKUP(C926,'RAW DATA 2023'!E:BO,24,0)</f>
        <v>#N/A</v>
      </c>
      <c r="H926" s="79" t="str">
        <f>IFERROR(VLOOKUP(F926,STD!A:G,3,TRUE),"")</f>
        <v/>
      </c>
      <c r="I926" s="100">
        <f t="shared" si="72"/>
        <v>0</v>
      </c>
      <c r="J926" s="74">
        <f t="shared" si="73"/>
        <v>-15</v>
      </c>
      <c r="K926" t="e">
        <f>VLOOKUP(C926,'RAW DATA 2023'!E:BO,12,0)</f>
        <v>#N/A</v>
      </c>
      <c r="L926" s="268" t="e">
        <f t="shared" si="74"/>
        <v>#N/A</v>
      </c>
      <c r="M926"/>
    </row>
    <row r="927" spans="1:13">
      <c r="A927" s="64">
        <f>'RAW DATA 2023'!B920</f>
        <v>0</v>
      </c>
      <c r="B927" s="64">
        <f>'RAW DATA 2023'!D920</f>
        <v>0</v>
      </c>
      <c r="C927" s="63" t="str">
        <f t="shared" si="70"/>
        <v>00</v>
      </c>
      <c r="D927" s="63" t="e">
        <f>VLOOKUP(C927,'RAW DATA 2023'!E:BP,63,0)</f>
        <v>#N/A</v>
      </c>
      <c r="E927" s="63" t="e">
        <f t="shared" si="71"/>
        <v>#N/A</v>
      </c>
      <c r="F927" s="79" t="e">
        <f>ROUND(VLOOKUP(C927,'RAW DATA 2023'!E:BO,23,0),0)</f>
        <v>#N/A</v>
      </c>
      <c r="G927" s="79" t="e">
        <f>VLOOKUP(C927,'RAW DATA 2023'!E:BO,24,0)</f>
        <v>#N/A</v>
      </c>
      <c r="H927" s="79" t="str">
        <f>IFERROR(VLOOKUP(F927,STD!A:G,3,TRUE),"")</f>
        <v/>
      </c>
      <c r="I927" s="100">
        <f t="shared" si="72"/>
        <v>0</v>
      </c>
      <c r="J927" s="74">
        <f t="shared" si="73"/>
        <v>-15</v>
      </c>
      <c r="K927" t="e">
        <f>VLOOKUP(C927,'RAW DATA 2023'!E:BO,12,0)</f>
        <v>#N/A</v>
      </c>
      <c r="L927" s="268" t="e">
        <f t="shared" si="74"/>
        <v>#N/A</v>
      </c>
      <c r="M927"/>
    </row>
    <row r="928" spans="1:13">
      <c r="A928" s="64">
        <f>'RAW DATA 2023'!B921</f>
        <v>0</v>
      </c>
      <c r="B928" s="64">
        <f>'RAW DATA 2023'!D921</f>
        <v>0</v>
      </c>
      <c r="C928" s="63" t="str">
        <f t="shared" si="70"/>
        <v>00</v>
      </c>
      <c r="D928" s="63" t="e">
        <f>VLOOKUP(C928,'RAW DATA 2023'!E:BP,63,0)</f>
        <v>#N/A</v>
      </c>
      <c r="E928" s="63" t="e">
        <f t="shared" si="71"/>
        <v>#N/A</v>
      </c>
      <c r="F928" s="79" t="e">
        <f>ROUND(VLOOKUP(C928,'RAW DATA 2023'!E:BO,23,0),0)</f>
        <v>#N/A</v>
      </c>
      <c r="G928" s="79" t="e">
        <f>VLOOKUP(C928,'RAW DATA 2023'!E:BO,24,0)</f>
        <v>#N/A</v>
      </c>
      <c r="H928" s="79" t="str">
        <f>IFERROR(VLOOKUP(F928,STD!A:G,3,TRUE),"")</f>
        <v/>
      </c>
      <c r="I928" s="100">
        <f t="shared" si="72"/>
        <v>0</v>
      </c>
      <c r="J928" s="74">
        <f t="shared" si="73"/>
        <v>-15</v>
      </c>
      <c r="K928" t="e">
        <f>VLOOKUP(C928,'RAW DATA 2023'!E:BO,12,0)</f>
        <v>#N/A</v>
      </c>
      <c r="L928" s="268" t="e">
        <f t="shared" si="74"/>
        <v>#N/A</v>
      </c>
      <c r="M928"/>
    </row>
    <row r="929" spans="1:13">
      <c r="A929" s="64">
        <f>'RAW DATA 2023'!B922</f>
        <v>0</v>
      </c>
      <c r="B929" s="64">
        <f>'RAW DATA 2023'!D922</f>
        <v>0</v>
      </c>
      <c r="C929" s="63" t="str">
        <f t="shared" si="70"/>
        <v>00</v>
      </c>
      <c r="D929" s="63" t="e">
        <f>VLOOKUP(C929,'RAW DATA 2023'!E:BP,63,0)</f>
        <v>#N/A</v>
      </c>
      <c r="E929" s="63" t="e">
        <f t="shared" si="71"/>
        <v>#N/A</v>
      </c>
      <c r="F929" s="79" t="e">
        <f>ROUND(VLOOKUP(C929,'RAW DATA 2023'!E:BO,23,0),0)</f>
        <v>#N/A</v>
      </c>
      <c r="G929" s="79" t="e">
        <f>VLOOKUP(C929,'RAW DATA 2023'!E:BO,24,0)</f>
        <v>#N/A</v>
      </c>
      <c r="H929" s="79" t="str">
        <f>IFERROR(VLOOKUP(F929,STD!A:G,3,TRUE),"")</f>
        <v/>
      </c>
      <c r="I929" s="100">
        <f t="shared" si="72"/>
        <v>0</v>
      </c>
      <c r="J929" s="74">
        <f t="shared" si="73"/>
        <v>-15</v>
      </c>
      <c r="K929" t="e">
        <f>VLOOKUP(C929,'RAW DATA 2023'!E:BO,12,0)</f>
        <v>#N/A</v>
      </c>
      <c r="L929" s="268" t="e">
        <f t="shared" si="74"/>
        <v>#N/A</v>
      </c>
      <c r="M929"/>
    </row>
    <row r="930" spans="1:13">
      <c r="A930" s="64">
        <f>'RAW DATA 2023'!B923</f>
        <v>0</v>
      </c>
      <c r="B930" s="64">
        <f>'RAW DATA 2023'!D923</f>
        <v>0</v>
      </c>
      <c r="C930" s="63" t="str">
        <f t="shared" si="70"/>
        <v>00</v>
      </c>
      <c r="D930" s="63" t="e">
        <f>VLOOKUP(C930,'RAW DATA 2023'!E:BP,63,0)</f>
        <v>#N/A</v>
      </c>
      <c r="E930" s="63" t="e">
        <f t="shared" si="71"/>
        <v>#N/A</v>
      </c>
      <c r="F930" s="79" t="e">
        <f>ROUND(VLOOKUP(C930,'RAW DATA 2023'!E:BO,23,0),0)</f>
        <v>#N/A</v>
      </c>
      <c r="G930" s="79" t="e">
        <f>VLOOKUP(C930,'RAW DATA 2023'!E:BO,24,0)</f>
        <v>#N/A</v>
      </c>
      <c r="H930" s="79" t="str">
        <f>IFERROR(VLOOKUP(F930,STD!A:G,3,TRUE),"")</f>
        <v/>
      </c>
      <c r="I930" s="100">
        <f t="shared" si="72"/>
        <v>0</v>
      </c>
      <c r="J930" s="74">
        <f t="shared" si="73"/>
        <v>-15</v>
      </c>
      <c r="K930" t="e">
        <f>VLOOKUP(C930,'RAW DATA 2023'!E:BO,12,0)</f>
        <v>#N/A</v>
      </c>
      <c r="L930" s="268" t="e">
        <f t="shared" si="74"/>
        <v>#N/A</v>
      </c>
      <c r="M930"/>
    </row>
    <row r="931" spans="1:13">
      <c r="A931" s="64">
        <f>'RAW DATA 2023'!B924</f>
        <v>0</v>
      </c>
      <c r="B931" s="64">
        <f>'RAW DATA 2023'!D924</f>
        <v>0</v>
      </c>
      <c r="C931" s="63" t="str">
        <f t="shared" si="70"/>
        <v>00</v>
      </c>
      <c r="D931" s="63" t="e">
        <f>VLOOKUP(C931,'RAW DATA 2023'!E:BP,63,0)</f>
        <v>#N/A</v>
      </c>
      <c r="E931" s="63" t="e">
        <f t="shared" si="71"/>
        <v>#N/A</v>
      </c>
      <c r="F931" s="79" t="e">
        <f>ROUND(VLOOKUP(C931,'RAW DATA 2023'!E:BO,23,0),0)</f>
        <v>#N/A</v>
      </c>
      <c r="G931" s="79" t="e">
        <f>VLOOKUP(C931,'RAW DATA 2023'!E:BO,24,0)</f>
        <v>#N/A</v>
      </c>
      <c r="H931" s="79" t="str">
        <f>IFERROR(VLOOKUP(F931,STD!A:G,3,TRUE),"")</f>
        <v/>
      </c>
      <c r="I931" s="100">
        <f t="shared" si="72"/>
        <v>0</v>
      </c>
      <c r="J931" s="74">
        <f t="shared" si="73"/>
        <v>-15</v>
      </c>
      <c r="K931" t="e">
        <f>VLOOKUP(C931,'RAW DATA 2023'!E:BO,12,0)</f>
        <v>#N/A</v>
      </c>
      <c r="L931" s="268" t="e">
        <f t="shared" si="74"/>
        <v>#N/A</v>
      </c>
      <c r="M931"/>
    </row>
    <row r="932" spans="1:13">
      <c r="A932" s="64">
        <f>'RAW DATA 2023'!B925</f>
        <v>0</v>
      </c>
      <c r="B932" s="64">
        <f>'RAW DATA 2023'!D925</f>
        <v>0</v>
      </c>
      <c r="C932" s="63" t="str">
        <f t="shared" si="70"/>
        <v>00</v>
      </c>
      <c r="D932" s="63" t="e">
        <f>VLOOKUP(C932,'RAW DATA 2023'!E:BP,63,0)</f>
        <v>#N/A</v>
      </c>
      <c r="E932" s="63" t="e">
        <f t="shared" si="71"/>
        <v>#N/A</v>
      </c>
      <c r="F932" s="79" t="e">
        <f>ROUND(VLOOKUP(C932,'RAW DATA 2023'!E:BO,23,0),0)</f>
        <v>#N/A</v>
      </c>
      <c r="G932" s="79" t="e">
        <f>VLOOKUP(C932,'RAW DATA 2023'!E:BO,24,0)</f>
        <v>#N/A</v>
      </c>
      <c r="H932" s="79" t="str">
        <f>IFERROR(VLOOKUP(F932,STD!A:G,3,TRUE),"")</f>
        <v/>
      </c>
      <c r="I932" s="100">
        <f t="shared" si="72"/>
        <v>0</v>
      </c>
      <c r="J932" s="74">
        <f t="shared" si="73"/>
        <v>-15</v>
      </c>
      <c r="K932" t="e">
        <f>VLOOKUP(C932,'RAW DATA 2023'!E:BO,12,0)</f>
        <v>#N/A</v>
      </c>
      <c r="L932" s="268" t="e">
        <f t="shared" si="74"/>
        <v>#N/A</v>
      </c>
      <c r="M932"/>
    </row>
    <row r="933" spans="1:13">
      <c r="A933" s="64">
        <f>'RAW DATA 2023'!B926</f>
        <v>0</v>
      </c>
      <c r="B933" s="64">
        <f>'RAW DATA 2023'!D926</f>
        <v>0</v>
      </c>
      <c r="C933" s="63" t="str">
        <f t="shared" si="70"/>
        <v>00</v>
      </c>
      <c r="D933" s="63" t="e">
        <f>VLOOKUP(C933,'RAW DATA 2023'!E:BP,63,0)</f>
        <v>#N/A</v>
      </c>
      <c r="E933" s="63" t="e">
        <f t="shared" si="71"/>
        <v>#N/A</v>
      </c>
      <c r="F933" s="79" t="e">
        <f>ROUND(VLOOKUP(C933,'RAW DATA 2023'!E:BO,23,0),0)</f>
        <v>#N/A</v>
      </c>
      <c r="G933" s="79" t="e">
        <f>VLOOKUP(C933,'RAW DATA 2023'!E:BO,24,0)</f>
        <v>#N/A</v>
      </c>
      <c r="H933" s="79" t="str">
        <f>IFERROR(VLOOKUP(F933,STD!A:G,3,TRUE),"")</f>
        <v/>
      </c>
      <c r="I933" s="100">
        <f t="shared" si="72"/>
        <v>0</v>
      </c>
      <c r="J933" s="74">
        <f t="shared" si="73"/>
        <v>-15</v>
      </c>
      <c r="K933" t="e">
        <f>VLOOKUP(C933,'RAW DATA 2023'!E:BO,12,0)</f>
        <v>#N/A</v>
      </c>
      <c r="L933" s="268" t="e">
        <f t="shared" si="74"/>
        <v>#N/A</v>
      </c>
      <c r="M933"/>
    </row>
    <row r="934" spans="1:13">
      <c r="A934" s="64">
        <f>'RAW DATA 2023'!B927</f>
        <v>0</v>
      </c>
      <c r="B934" s="64">
        <f>'RAW DATA 2023'!D927</f>
        <v>0</v>
      </c>
      <c r="C934" s="63" t="str">
        <f t="shared" si="70"/>
        <v>00</v>
      </c>
      <c r="D934" s="63" t="e">
        <f>VLOOKUP(C934,'RAW DATA 2023'!E:BP,63,0)</f>
        <v>#N/A</v>
      </c>
      <c r="E934" s="63" t="e">
        <f t="shared" si="71"/>
        <v>#N/A</v>
      </c>
      <c r="F934" s="79" t="e">
        <f>ROUND(VLOOKUP(C934,'RAW DATA 2023'!E:BO,23,0),0)</f>
        <v>#N/A</v>
      </c>
      <c r="G934" s="79" t="e">
        <f>VLOOKUP(C934,'RAW DATA 2023'!E:BO,24,0)</f>
        <v>#N/A</v>
      </c>
      <c r="H934" s="79" t="str">
        <f>IFERROR(VLOOKUP(F934,STD!A:G,3,TRUE),"")</f>
        <v/>
      </c>
      <c r="I934" s="100">
        <f t="shared" si="72"/>
        <v>0</v>
      </c>
      <c r="J934" s="74">
        <f t="shared" si="73"/>
        <v>-15</v>
      </c>
      <c r="K934" t="e">
        <f>VLOOKUP(C934,'RAW DATA 2023'!E:BO,12,0)</f>
        <v>#N/A</v>
      </c>
      <c r="L934" s="268" t="e">
        <f t="shared" si="74"/>
        <v>#N/A</v>
      </c>
      <c r="M934"/>
    </row>
    <row r="935" spans="1:13">
      <c r="A935" s="64">
        <f>'RAW DATA 2023'!B928</f>
        <v>0</v>
      </c>
      <c r="B935" s="64">
        <f>'RAW DATA 2023'!D928</f>
        <v>0</v>
      </c>
      <c r="C935" s="63" t="str">
        <f t="shared" si="70"/>
        <v>00</v>
      </c>
      <c r="D935" s="63" t="e">
        <f>VLOOKUP(C935,'RAW DATA 2023'!E:BP,63,0)</f>
        <v>#N/A</v>
      </c>
      <c r="E935" s="63" t="e">
        <f t="shared" si="71"/>
        <v>#N/A</v>
      </c>
      <c r="F935" s="79" t="e">
        <f>ROUND(VLOOKUP(C935,'RAW DATA 2023'!E:BO,23,0),0)</f>
        <v>#N/A</v>
      </c>
      <c r="G935" s="79" t="e">
        <f>VLOOKUP(C935,'RAW DATA 2023'!E:BO,24,0)</f>
        <v>#N/A</v>
      </c>
      <c r="H935" s="79" t="str">
        <f>IFERROR(VLOOKUP(F935,STD!A:G,3,TRUE),"")</f>
        <v/>
      </c>
      <c r="I935" s="100">
        <f t="shared" si="72"/>
        <v>0</v>
      </c>
      <c r="J935" s="74">
        <f t="shared" si="73"/>
        <v>-15</v>
      </c>
      <c r="K935" t="e">
        <f>VLOOKUP(C935,'RAW DATA 2023'!E:BO,12,0)</f>
        <v>#N/A</v>
      </c>
      <c r="L935" s="268" t="e">
        <f t="shared" si="74"/>
        <v>#N/A</v>
      </c>
      <c r="M935"/>
    </row>
    <row r="936" spans="1:13">
      <c r="A936" s="64">
        <f>'RAW DATA 2023'!B929</f>
        <v>0</v>
      </c>
      <c r="B936" s="64">
        <f>'RAW DATA 2023'!D929</f>
        <v>0</v>
      </c>
      <c r="C936" s="63" t="str">
        <f t="shared" si="70"/>
        <v>00</v>
      </c>
      <c r="D936" s="63" t="e">
        <f>VLOOKUP(C936,'RAW DATA 2023'!E:BP,63,0)</f>
        <v>#N/A</v>
      </c>
      <c r="E936" s="63" t="e">
        <f t="shared" si="71"/>
        <v>#N/A</v>
      </c>
      <c r="F936" s="79" t="e">
        <f>ROUND(VLOOKUP(C936,'RAW DATA 2023'!E:BO,23,0),0)</f>
        <v>#N/A</v>
      </c>
      <c r="G936" s="79" t="e">
        <f>VLOOKUP(C936,'RAW DATA 2023'!E:BO,24,0)</f>
        <v>#N/A</v>
      </c>
      <c r="H936" s="79" t="str">
        <f>IFERROR(VLOOKUP(F936,STD!A:G,3,TRUE),"")</f>
        <v/>
      </c>
      <c r="I936" s="100">
        <f t="shared" si="72"/>
        <v>0</v>
      </c>
      <c r="J936" s="74">
        <f t="shared" si="73"/>
        <v>-15</v>
      </c>
      <c r="K936" t="e">
        <f>VLOOKUP(C936,'RAW DATA 2023'!E:BO,12,0)</f>
        <v>#N/A</v>
      </c>
      <c r="L936" s="268" t="e">
        <f t="shared" si="74"/>
        <v>#N/A</v>
      </c>
      <c r="M936"/>
    </row>
    <row r="937" spans="1:13">
      <c r="A937" s="64">
        <f>'RAW DATA 2023'!B930</f>
        <v>0</v>
      </c>
      <c r="B937" s="64">
        <f>'RAW DATA 2023'!D930</f>
        <v>0</v>
      </c>
      <c r="C937" s="63" t="str">
        <f t="shared" si="70"/>
        <v>00</v>
      </c>
      <c r="D937" s="63" t="e">
        <f>VLOOKUP(C937,'RAW DATA 2023'!E:BP,63,0)</f>
        <v>#N/A</v>
      </c>
      <c r="E937" s="63" t="e">
        <f t="shared" si="71"/>
        <v>#N/A</v>
      </c>
      <c r="F937" s="79" t="e">
        <f>ROUND(VLOOKUP(C937,'RAW DATA 2023'!E:BO,23,0),0)</f>
        <v>#N/A</v>
      </c>
      <c r="G937" s="79" t="e">
        <f>VLOOKUP(C937,'RAW DATA 2023'!E:BO,24,0)</f>
        <v>#N/A</v>
      </c>
      <c r="H937" s="79" t="str">
        <f>IFERROR(VLOOKUP(F937,STD!A:G,3,TRUE),"")</f>
        <v/>
      </c>
      <c r="I937" s="100">
        <f t="shared" si="72"/>
        <v>0</v>
      </c>
      <c r="J937" s="74">
        <f t="shared" si="73"/>
        <v>-15</v>
      </c>
      <c r="K937" t="e">
        <f>VLOOKUP(C937,'RAW DATA 2023'!E:BO,12,0)</f>
        <v>#N/A</v>
      </c>
      <c r="L937" s="268" t="e">
        <f t="shared" si="74"/>
        <v>#N/A</v>
      </c>
      <c r="M937"/>
    </row>
    <row r="938" spans="1:13">
      <c r="A938" s="64">
        <f>'RAW DATA 2023'!B931</f>
        <v>0</v>
      </c>
      <c r="B938" s="64">
        <f>'RAW DATA 2023'!D931</f>
        <v>0</v>
      </c>
      <c r="C938" s="63" t="str">
        <f t="shared" si="70"/>
        <v>00</v>
      </c>
      <c r="D938" s="63" t="e">
        <f>VLOOKUP(C938,'RAW DATA 2023'!E:BP,63,0)</f>
        <v>#N/A</v>
      </c>
      <c r="E938" s="63" t="e">
        <f t="shared" si="71"/>
        <v>#N/A</v>
      </c>
      <c r="F938" s="79" t="e">
        <f>ROUND(VLOOKUP(C938,'RAW DATA 2023'!E:BO,23,0),0)</f>
        <v>#N/A</v>
      </c>
      <c r="G938" s="79" t="e">
        <f>VLOOKUP(C938,'RAW DATA 2023'!E:BO,24,0)</f>
        <v>#N/A</v>
      </c>
      <c r="H938" s="79" t="str">
        <f>IFERROR(VLOOKUP(F938,STD!A:G,3,TRUE),"")</f>
        <v/>
      </c>
      <c r="I938" s="100">
        <f t="shared" si="72"/>
        <v>0</v>
      </c>
      <c r="J938" s="74">
        <f t="shared" si="73"/>
        <v>-15</v>
      </c>
      <c r="K938" t="e">
        <f>VLOOKUP(C938,'RAW DATA 2023'!E:BO,12,0)</f>
        <v>#N/A</v>
      </c>
      <c r="L938" s="268" t="e">
        <f t="shared" si="74"/>
        <v>#N/A</v>
      </c>
      <c r="M938"/>
    </row>
    <row r="939" spans="1:13">
      <c r="A939" s="64">
        <f>'RAW DATA 2023'!B932</f>
        <v>0</v>
      </c>
      <c r="B939" s="64">
        <f>'RAW DATA 2023'!D932</f>
        <v>0</v>
      </c>
      <c r="C939" s="63" t="str">
        <f t="shared" si="70"/>
        <v>00</v>
      </c>
      <c r="D939" s="63" t="e">
        <f>VLOOKUP(C939,'RAW DATA 2023'!E:BP,63,0)</f>
        <v>#N/A</v>
      </c>
      <c r="E939" s="63" t="e">
        <f t="shared" si="71"/>
        <v>#N/A</v>
      </c>
      <c r="F939" s="79" t="e">
        <f>ROUND(VLOOKUP(C939,'RAW DATA 2023'!E:BO,23,0),0)</f>
        <v>#N/A</v>
      </c>
      <c r="G939" s="79" t="e">
        <f>VLOOKUP(C939,'RAW DATA 2023'!E:BO,24,0)</f>
        <v>#N/A</v>
      </c>
      <c r="H939" s="79" t="str">
        <f>IFERROR(VLOOKUP(F939,STD!A:G,3,TRUE),"")</f>
        <v/>
      </c>
      <c r="I939" s="100">
        <f t="shared" si="72"/>
        <v>0</v>
      </c>
      <c r="J939" s="74">
        <f t="shared" si="73"/>
        <v>-15</v>
      </c>
      <c r="K939" t="e">
        <f>VLOOKUP(C939,'RAW DATA 2023'!E:BO,12,0)</f>
        <v>#N/A</v>
      </c>
      <c r="L939" s="268" t="e">
        <f t="shared" si="74"/>
        <v>#N/A</v>
      </c>
      <c r="M939"/>
    </row>
    <row r="940" spans="1:13">
      <c r="A940" s="64">
        <f>'RAW DATA 2023'!B933</f>
        <v>0</v>
      </c>
      <c r="B940" s="64">
        <f>'RAW DATA 2023'!D933</f>
        <v>0</v>
      </c>
      <c r="C940" s="63" t="str">
        <f t="shared" si="70"/>
        <v>00</v>
      </c>
      <c r="D940" s="63" t="e">
        <f>VLOOKUP(C940,'RAW DATA 2023'!E:BP,63,0)</f>
        <v>#N/A</v>
      </c>
      <c r="E940" s="63" t="e">
        <f t="shared" si="71"/>
        <v>#N/A</v>
      </c>
      <c r="F940" s="79" t="e">
        <f>ROUND(VLOOKUP(C940,'RAW DATA 2023'!E:BO,23,0),0)</f>
        <v>#N/A</v>
      </c>
      <c r="G940" s="79" t="e">
        <f>VLOOKUP(C940,'RAW DATA 2023'!E:BO,24,0)</f>
        <v>#N/A</v>
      </c>
      <c r="H940" s="79" t="str">
        <f>IFERROR(VLOOKUP(F940,STD!A:G,3,TRUE),"")</f>
        <v/>
      </c>
      <c r="I940" s="100">
        <f t="shared" si="72"/>
        <v>0</v>
      </c>
      <c r="J940" s="74">
        <f t="shared" si="73"/>
        <v>-15</v>
      </c>
      <c r="K940" t="e">
        <f>VLOOKUP(C940,'RAW DATA 2023'!E:BO,12,0)</f>
        <v>#N/A</v>
      </c>
      <c r="L940" s="268" t="e">
        <f t="shared" si="74"/>
        <v>#N/A</v>
      </c>
      <c r="M940"/>
    </row>
    <row r="941" spans="1:13">
      <c r="A941" s="64">
        <f>'RAW DATA 2023'!B934</f>
        <v>0</v>
      </c>
      <c r="B941" s="64">
        <f>'RAW DATA 2023'!D934</f>
        <v>0</v>
      </c>
      <c r="C941" s="63" t="str">
        <f t="shared" si="70"/>
        <v>00</v>
      </c>
      <c r="D941" s="63" t="e">
        <f>VLOOKUP(C941,'RAW DATA 2023'!E:BP,63,0)</f>
        <v>#N/A</v>
      </c>
      <c r="E941" s="63" t="e">
        <f t="shared" si="71"/>
        <v>#N/A</v>
      </c>
      <c r="F941" s="79" t="e">
        <f>ROUND(VLOOKUP(C941,'RAW DATA 2023'!E:BO,23,0),0)</f>
        <v>#N/A</v>
      </c>
      <c r="G941" s="79" t="e">
        <f>VLOOKUP(C941,'RAW DATA 2023'!E:BO,24,0)</f>
        <v>#N/A</v>
      </c>
      <c r="H941" s="79" t="str">
        <f>IFERROR(VLOOKUP(F941,STD!A:G,3,TRUE),"")</f>
        <v/>
      </c>
      <c r="I941" s="100">
        <f t="shared" si="72"/>
        <v>0</v>
      </c>
      <c r="J941" s="74">
        <f t="shared" si="73"/>
        <v>-15</v>
      </c>
      <c r="K941" t="e">
        <f>VLOOKUP(C941,'RAW DATA 2023'!E:BO,12,0)</f>
        <v>#N/A</v>
      </c>
      <c r="L941" s="268" t="e">
        <f t="shared" si="74"/>
        <v>#N/A</v>
      </c>
      <c r="M941"/>
    </row>
    <row r="942" spans="1:13">
      <c r="A942" s="64">
        <f>'RAW DATA 2023'!B935</f>
        <v>0</v>
      </c>
      <c r="B942" s="64">
        <f>'RAW DATA 2023'!D935</f>
        <v>0</v>
      </c>
      <c r="C942" s="63" t="str">
        <f t="shared" si="70"/>
        <v>00</v>
      </c>
      <c r="D942" s="63" t="e">
        <f>VLOOKUP(C942,'RAW DATA 2023'!E:BP,63,0)</f>
        <v>#N/A</v>
      </c>
      <c r="E942" s="63" t="e">
        <f t="shared" si="71"/>
        <v>#N/A</v>
      </c>
      <c r="F942" s="79" t="e">
        <f>ROUND(VLOOKUP(C942,'RAW DATA 2023'!E:BO,23,0),0)</f>
        <v>#N/A</v>
      </c>
      <c r="G942" s="79" t="e">
        <f>VLOOKUP(C942,'RAW DATA 2023'!E:BO,24,0)</f>
        <v>#N/A</v>
      </c>
      <c r="H942" s="79" t="str">
        <f>IFERROR(VLOOKUP(F942,STD!A:G,3,TRUE),"")</f>
        <v/>
      </c>
      <c r="I942" s="100">
        <f t="shared" si="72"/>
        <v>0</v>
      </c>
      <c r="J942" s="74">
        <f t="shared" si="73"/>
        <v>-15</v>
      </c>
      <c r="K942" t="e">
        <f>VLOOKUP(C942,'RAW DATA 2023'!E:BO,12,0)</f>
        <v>#N/A</v>
      </c>
      <c r="L942" s="268" t="e">
        <f t="shared" si="74"/>
        <v>#N/A</v>
      </c>
      <c r="M942"/>
    </row>
    <row r="943" spans="1:13">
      <c r="A943" s="64">
        <f>'RAW DATA 2023'!B936</f>
        <v>0</v>
      </c>
      <c r="B943" s="64">
        <f>'RAW DATA 2023'!D936</f>
        <v>0</v>
      </c>
      <c r="C943" s="63" t="str">
        <f t="shared" si="70"/>
        <v>00</v>
      </c>
      <c r="D943" s="63" t="e">
        <f>VLOOKUP(C943,'RAW DATA 2023'!E:BP,63,0)</f>
        <v>#N/A</v>
      </c>
      <c r="E943" s="63" t="e">
        <f t="shared" si="71"/>
        <v>#N/A</v>
      </c>
      <c r="F943" s="79" t="e">
        <f>ROUND(VLOOKUP(C943,'RAW DATA 2023'!E:BO,23,0),0)</f>
        <v>#N/A</v>
      </c>
      <c r="G943" s="79" t="e">
        <f>VLOOKUP(C943,'RAW DATA 2023'!E:BO,24,0)</f>
        <v>#N/A</v>
      </c>
      <c r="H943" s="79" t="str">
        <f>IFERROR(VLOOKUP(F943,STD!A:G,3,TRUE),"")</f>
        <v/>
      </c>
      <c r="I943" s="100">
        <f t="shared" si="72"/>
        <v>0</v>
      </c>
      <c r="J943" s="74">
        <f t="shared" si="73"/>
        <v>-15</v>
      </c>
      <c r="K943" t="e">
        <f>VLOOKUP(C943,'RAW DATA 2023'!E:BO,12,0)</f>
        <v>#N/A</v>
      </c>
      <c r="L943" s="268" t="e">
        <f t="shared" si="74"/>
        <v>#N/A</v>
      </c>
      <c r="M943"/>
    </row>
    <row r="944" spans="1:13">
      <c r="A944" s="64">
        <f>'RAW DATA 2023'!B937</f>
        <v>0</v>
      </c>
      <c r="B944" s="64">
        <f>'RAW DATA 2023'!D937</f>
        <v>0</v>
      </c>
      <c r="C944" s="63" t="str">
        <f t="shared" si="70"/>
        <v>00</v>
      </c>
      <c r="D944" s="63" t="e">
        <f>VLOOKUP(C944,'RAW DATA 2023'!E:BP,63,0)</f>
        <v>#N/A</v>
      </c>
      <c r="E944" s="63" t="e">
        <f t="shared" si="71"/>
        <v>#N/A</v>
      </c>
      <c r="F944" s="79" t="e">
        <f>ROUND(VLOOKUP(C944,'RAW DATA 2023'!E:BO,23,0),0)</f>
        <v>#N/A</v>
      </c>
      <c r="G944" s="79" t="e">
        <f>VLOOKUP(C944,'RAW DATA 2023'!E:BO,24,0)</f>
        <v>#N/A</v>
      </c>
      <c r="H944" s="79" t="str">
        <f>IFERROR(VLOOKUP(F944,STD!A:G,3,TRUE),"")</f>
        <v/>
      </c>
      <c r="I944" s="100">
        <f t="shared" si="72"/>
        <v>0</v>
      </c>
      <c r="J944" s="74">
        <f t="shared" si="73"/>
        <v>-15</v>
      </c>
      <c r="K944" t="e">
        <f>VLOOKUP(C944,'RAW DATA 2023'!E:BO,12,0)</f>
        <v>#N/A</v>
      </c>
      <c r="L944" s="268" t="e">
        <f t="shared" si="74"/>
        <v>#N/A</v>
      </c>
      <c r="M944"/>
    </row>
    <row r="945" spans="1:13">
      <c r="A945" s="64">
        <f>'RAW DATA 2023'!B938</f>
        <v>0</v>
      </c>
      <c r="B945" s="64">
        <f>'RAW DATA 2023'!D938</f>
        <v>0</v>
      </c>
      <c r="C945" s="63" t="str">
        <f t="shared" si="70"/>
        <v>00</v>
      </c>
      <c r="D945" s="63" t="e">
        <f>VLOOKUP(C945,'RAW DATA 2023'!E:BP,63,0)</f>
        <v>#N/A</v>
      </c>
      <c r="E945" s="63" t="e">
        <f t="shared" si="71"/>
        <v>#N/A</v>
      </c>
      <c r="F945" s="79" t="e">
        <f>ROUND(VLOOKUP(C945,'RAW DATA 2023'!E:BO,23,0),0)</f>
        <v>#N/A</v>
      </c>
      <c r="G945" s="79" t="e">
        <f>VLOOKUP(C945,'RAW DATA 2023'!E:BO,24,0)</f>
        <v>#N/A</v>
      </c>
      <c r="H945" s="79" t="str">
        <f>IFERROR(VLOOKUP(F945,STD!A:G,3,TRUE),"")</f>
        <v/>
      </c>
      <c r="I945" s="100">
        <f t="shared" si="72"/>
        <v>0</v>
      </c>
      <c r="J945" s="74">
        <f t="shared" si="73"/>
        <v>-15</v>
      </c>
      <c r="K945" t="e">
        <f>VLOOKUP(C945,'RAW DATA 2023'!E:BO,12,0)</f>
        <v>#N/A</v>
      </c>
      <c r="L945" s="268" t="e">
        <f t="shared" si="74"/>
        <v>#N/A</v>
      </c>
      <c r="M945"/>
    </row>
    <row r="946" spans="1:13">
      <c r="A946" s="64">
        <f>'RAW DATA 2023'!B939</f>
        <v>0</v>
      </c>
      <c r="B946" s="64">
        <f>'RAW DATA 2023'!D939</f>
        <v>0</v>
      </c>
      <c r="C946" s="63" t="str">
        <f t="shared" si="70"/>
        <v>00</v>
      </c>
      <c r="D946" s="63" t="e">
        <f>VLOOKUP(C946,'RAW DATA 2023'!E:BP,63,0)</f>
        <v>#N/A</v>
      </c>
      <c r="E946" s="63" t="e">
        <f t="shared" si="71"/>
        <v>#N/A</v>
      </c>
      <c r="F946" s="79" t="e">
        <f>ROUND(VLOOKUP(C946,'RAW DATA 2023'!E:BO,23,0),0)</f>
        <v>#N/A</v>
      </c>
      <c r="G946" s="79" t="e">
        <f>VLOOKUP(C946,'RAW DATA 2023'!E:BO,24,0)</f>
        <v>#N/A</v>
      </c>
      <c r="H946" s="79" t="str">
        <f>IFERROR(VLOOKUP(F946,STD!A:G,3,TRUE),"")</f>
        <v/>
      </c>
      <c r="I946" s="100">
        <f t="shared" si="72"/>
        <v>0</v>
      </c>
      <c r="J946" s="74">
        <f t="shared" si="73"/>
        <v>-15</v>
      </c>
      <c r="K946" t="e">
        <f>VLOOKUP(C946,'RAW DATA 2023'!E:BO,12,0)</f>
        <v>#N/A</v>
      </c>
      <c r="L946" s="268" t="e">
        <f t="shared" si="74"/>
        <v>#N/A</v>
      </c>
      <c r="M946"/>
    </row>
    <row r="947" spans="1:13">
      <c r="A947" s="64">
        <f>'RAW DATA 2023'!B940</f>
        <v>0</v>
      </c>
      <c r="B947" s="64">
        <f>'RAW DATA 2023'!D940</f>
        <v>0</v>
      </c>
      <c r="C947" s="63" t="str">
        <f t="shared" si="70"/>
        <v>00</v>
      </c>
      <c r="D947" s="63" t="e">
        <f>VLOOKUP(C947,'RAW DATA 2023'!E:BP,63,0)</f>
        <v>#N/A</v>
      </c>
      <c r="E947" s="63" t="e">
        <f t="shared" si="71"/>
        <v>#N/A</v>
      </c>
      <c r="F947" s="79" t="e">
        <f>ROUND(VLOOKUP(C947,'RAW DATA 2023'!E:BO,23,0),0)</f>
        <v>#N/A</v>
      </c>
      <c r="G947" s="79" t="e">
        <f>VLOOKUP(C947,'RAW DATA 2023'!E:BO,24,0)</f>
        <v>#N/A</v>
      </c>
      <c r="H947" s="79" t="str">
        <f>IFERROR(VLOOKUP(F947,STD!A:G,3,TRUE),"")</f>
        <v/>
      </c>
      <c r="I947" s="100">
        <f t="shared" si="72"/>
        <v>0</v>
      </c>
      <c r="J947" s="74">
        <f t="shared" si="73"/>
        <v>-15</v>
      </c>
      <c r="K947" t="e">
        <f>VLOOKUP(C947,'RAW DATA 2023'!E:BO,12,0)</f>
        <v>#N/A</v>
      </c>
      <c r="L947" s="268" t="e">
        <f t="shared" si="74"/>
        <v>#N/A</v>
      </c>
      <c r="M947"/>
    </row>
    <row r="948" spans="1:13">
      <c r="A948" s="64">
        <f>'RAW DATA 2023'!B941</f>
        <v>0</v>
      </c>
      <c r="B948" s="64">
        <f>'RAW DATA 2023'!D941</f>
        <v>0</v>
      </c>
      <c r="C948" s="63" t="str">
        <f t="shared" si="70"/>
        <v>00</v>
      </c>
      <c r="D948" s="63" t="e">
        <f>VLOOKUP(C948,'RAW DATA 2023'!E:BP,63,0)</f>
        <v>#N/A</v>
      </c>
      <c r="E948" s="63" t="e">
        <f t="shared" si="71"/>
        <v>#N/A</v>
      </c>
      <c r="F948" s="79" t="e">
        <f>ROUND(VLOOKUP(C948,'RAW DATA 2023'!E:BO,23,0),0)</f>
        <v>#N/A</v>
      </c>
      <c r="G948" s="79" t="e">
        <f>VLOOKUP(C948,'RAW DATA 2023'!E:BO,24,0)</f>
        <v>#N/A</v>
      </c>
      <c r="H948" s="79" t="str">
        <f>IFERROR(VLOOKUP(F948,STD!A:G,3,TRUE),"")</f>
        <v/>
      </c>
      <c r="I948" s="100">
        <f t="shared" si="72"/>
        <v>0</v>
      </c>
      <c r="J948" s="74">
        <f t="shared" si="73"/>
        <v>-15</v>
      </c>
      <c r="K948" t="e">
        <f>VLOOKUP(C948,'RAW DATA 2023'!E:BO,12,0)</f>
        <v>#N/A</v>
      </c>
      <c r="L948" s="268" t="e">
        <f t="shared" si="74"/>
        <v>#N/A</v>
      </c>
      <c r="M948"/>
    </row>
    <row r="949" spans="1:13">
      <c r="A949" s="64">
        <f>'RAW DATA 2023'!B942</f>
        <v>0</v>
      </c>
      <c r="B949" s="64">
        <f>'RAW DATA 2023'!D942</f>
        <v>0</v>
      </c>
      <c r="C949" s="63" t="str">
        <f t="shared" si="70"/>
        <v>00</v>
      </c>
      <c r="D949" s="63" t="e">
        <f>VLOOKUP(C949,'RAW DATA 2023'!E:BP,63,0)</f>
        <v>#N/A</v>
      </c>
      <c r="E949" s="63" t="e">
        <f t="shared" si="71"/>
        <v>#N/A</v>
      </c>
      <c r="F949" s="79" t="e">
        <f>ROUND(VLOOKUP(C949,'RAW DATA 2023'!E:BO,23,0),0)</f>
        <v>#N/A</v>
      </c>
      <c r="G949" s="79" t="e">
        <f>VLOOKUP(C949,'RAW DATA 2023'!E:BO,24,0)</f>
        <v>#N/A</v>
      </c>
      <c r="H949" s="79" t="str">
        <f>IFERROR(VLOOKUP(F949,STD!A:G,3,TRUE),"")</f>
        <v/>
      </c>
      <c r="I949" s="100">
        <f t="shared" si="72"/>
        <v>0</v>
      </c>
      <c r="J949" s="74">
        <f t="shared" si="73"/>
        <v>-15</v>
      </c>
      <c r="K949" t="e">
        <f>VLOOKUP(C949,'RAW DATA 2023'!E:BO,12,0)</f>
        <v>#N/A</v>
      </c>
      <c r="L949" s="268" t="e">
        <f t="shared" si="74"/>
        <v>#N/A</v>
      </c>
      <c r="M949"/>
    </row>
    <row r="950" spans="1:13">
      <c r="A950" s="64">
        <f>'RAW DATA 2023'!B943</f>
        <v>0</v>
      </c>
      <c r="B950" s="64">
        <f>'RAW DATA 2023'!D943</f>
        <v>0</v>
      </c>
      <c r="C950" s="63" t="str">
        <f t="shared" si="70"/>
        <v>00</v>
      </c>
      <c r="D950" s="63" t="e">
        <f>VLOOKUP(C950,'RAW DATA 2023'!E:BP,63,0)</f>
        <v>#N/A</v>
      </c>
      <c r="E950" s="63" t="e">
        <f t="shared" si="71"/>
        <v>#N/A</v>
      </c>
      <c r="F950" s="79" t="e">
        <f>ROUND(VLOOKUP(C950,'RAW DATA 2023'!E:BO,23,0),0)</f>
        <v>#N/A</v>
      </c>
      <c r="G950" s="79" t="e">
        <f>VLOOKUP(C950,'RAW DATA 2023'!E:BO,24,0)</f>
        <v>#N/A</v>
      </c>
      <c r="H950" s="79" t="str">
        <f>IFERROR(VLOOKUP(F950,STD!A:G,3,TRUE),"")</f>
        <v/>
      </c>
      <c r="I950" s="100">
        <f t="shared" si="72"/>
        <v>0</v>
      </c>
      <c r="J950" s="74">
        <f t="shared" si="73"/>
        <v>-15</v>
      </c>
      <c r="K950" t="e">
        <f>VLOOKUP(C950,'RAW DATA 2023'!E:BO,12,0)</f>
        <v>#N/A</v>
      </c>
      <c r="L950" s="268" t="e">
        <f t="shared" si="74"/>
        <v>#N/A</v>
      </c>
      <c r="M950"/>
    </row>
    <row r="951" spans="1:13">
      <c r="A951" s="64">
        <f>'RAW DATA 2023'!B944</f>
        <v>0</v>
      </c>
      <c r="B951" s="64">
        <f>'RAW DATA 2023'!D944</f>
        <v>0</v>
      </c>
      <c r="C951" s="63" t="str">
        <f t="shared" si="70"/>
        <v>00</v>
      </c>
      <c r="D951" s="63" t="e">
        <f>VLOOKUP(C951,'RAW DATA 2023'!E:BP,63,0)</f>
        <v>#N/A</v>
      </c>
      <c r="E951" s="63" t="e">
        <f t="shared" si="71"/>
        <v>#N/A</v>
      </c>
      <c r="F951" s="79" t="e">
        <f>ROUND(VLOOKUP(C951,'RAW DATA 2023'!E:BO,23,0),0)</f>
        <v>#N/A</v>
      </c>
      <c r="G951" s="79" t="e">
        <f>VLOOKUP(C951,'RAW DATA 2023'!E:BO,24,0)</f>
        <v>#N/A</v>
      </c>
      <c r="H951" s="79" t="str">
        <f>IFERROR(VLOOKUP(F951,STD!A:G,3,TRUE),"")</f>
        <v/>
      </c>
      <c r="I951" s="100">
        <f t="shared" si="72"/>
        <v>0</v>
      </c>
      <c r="J951" s="74">
        <f t="shared" si="73"/>
        <v>-15</v>
      </c>
      <c r="K951" t="e">
        <f>VLOOKUP(C951,'RAW DATA 2023'!E:BO,12,0)</f>
        <v>#N/A</v>
      </c>
      <c r="L951" s="268" t="e">
        <f t="shared" si="74"/>
        <v>#N/A</v>
      </c>
      <c r="M951"/>
    </row>
    <row r="952" spans="1:13">
      <c r="A952" s="64">
        <f>'RAW DATA 2023'!B945</f>
        <v>0</v>
      </c>
      <c r="B952" s="64">
        <f>'RAW DATA 2023'!D945</f>
        <v>0</v>
      </c>
      <c r="C952" s="63" t="str">
        <f t="shared" si="70"/>
        <v>00</v>
      </c>
      <c r="D952" s="63" t="e">
        <f>VLOOKUP(C952,'RAW DATA 2023'!E:BP,63,0)</f>
        <v>#N/A</v>
      </c>
      <c r="E952" s="63" t="e">
        <f t="shared" si="71"/>
        <v>#N/A</v>
      </c>
      <c r="F952" s="79" t="e">
        <f>ROUND(VLOOKUP(C952,'RAW DATA 2023'!E:BO,23,0),0)</f>
        <v>#N/A</v>
      </c>
      <c r="G952" s="79" t="e">
        <f>VLOOKUP(C952,'RAW DATA 2023'!E:BO,24,0)</f>
        <v>#N/A</v>
      </c>
      <c r="H952" s="79" t="str">
        <f>IFERROR(VLOOKUP(F952,STD!A:G,3,TRUE),"")</f>
        <v/>
      </c>
      <c r="I952" s="100">
        <f t="shared" si="72"/>
        <v>0</v>
      </c>
      <c r="J952" s="74">
        <f t="shared" si="73"/>
        <v>-15</v>
      </c>
      <c r="K952" t="e">
        <f>VLOOKUP(C952,'RAW DATA 2023'!E:BO,12,0)</f>
        <v>#N/A</v>
      </c>
      <c r="L952" s="268" t="e">
        <f t="shared" si="74"/>
        <v>#N/A</v>
      </c>
      <c r="M952"/>
    </row>
    <row r="953" spans="1:13">
      <c r="A953" s="64">
        <f>'RAW DATA 2023'!B946</f>
        <v>0</v>
      </c>
      <c r="B953" s="64">
        <f>'RAW DATA 2023'!D946</f>
        <v>0</v>
      </c>
      <c r="C953" s="63" t="str">
        <f t="shared" si="70"/>
        <v>00</v>
      </c>
      <c r="D953" s="63" t="e">
        <f>VLOOKUP(C953,'RAW DATA 2023'!E:BP,63,0)</f>
        <v>#N/A</v>
      </c>
      <c r="E953" s="63" t="e">
        <f t="shared" si="71"/>
        <v>#N/A</v>
      </c>
      <c r="F953" s="79" t="e">
        <f>ROUND(VLOOKUP(C953,'RAW DATA 2023'!E:BO,23,0),0)</f>
        <v>#N/A</v>
      </c>
      <c r="G953" s="79" t="e">
        <f>VLOOKUP(C953,'RAW DATA 2023'!E:BO,24,0)</f>
        <v>#N/A</v>
      </c>
      <c r="H953" s="79" t="str">
        <f>IFERROR(VLOOKUP(F953,STD!A:G,3,TRUE),"")</f>
        <v/>
      </c>
      <c r="I953" s="100">
        <f t="shared" si="72"/>
        <v>0</v>
      </c>
      <c r="J953" s="74">
        <f t="shared" si="73"/>
        <v>-15</v>
      </c>
      <c r="K953" t="e">
        <f>VLOOKUP(C953,'RAW DATA 2023'!E:BO,12,0)</f>
        <v>#N/A</v>
      </c>
      <c r="L953" s="268" t="e">
        <f t="shared" si="74"/>
        <v>#N/A</v>
      </c>
      <c r="M953"/>
    </row>
    <row r="954" spans="1:13">
      <c r="A954" s="64">
        <f>'RAW DATA 2023'!B947</f>
        <v>0</v>
      </c>
      <c r="B954" s="64">
        <f>'RAW DATA 2023'!D947</f>
        <v>0</v>
      </c>
      <c r="C954" s="63" t="str">
        <f t="shared" si="70"/>
        <v>00</v>
      </c>
      <c r="D954" s="63" t="e">
        <f>VLOOKUP(C954,'RAW DATA 2023'!E:BP,63,0)</f>
        <v>#N/A</v>
      </c>
      <c r="E954" s="63" t="e">
        <f t="shared" si="71"/>
        <v>#N/A</v>
      </c>
      <c r="F954" s="79" t="e">
        <f>ROUND(VLOOKUP(C954,'RAW DATA 2023'!E:BO,23,0),0)</f>
        <v>#N/A</v>
      </c>
      <c r="G954" s="79" t="e">
        <f>VLOOKUP(C954,'RAW DATA 2023'!E:BO,24,0)</f>
        <v>#N/A</v>
      </c>
      <c r="H954" s="79" t="str">
        <f>IFERROR(VLOOKUP(F954,STD!A:G,3,TRUE),"")</f>
        <v/>
      </c>
      <c r="I954" s="100">
        <f t="shared" si="72"/>
        <v>0</v>
      </c>
      <c r="J954" s="74">
        <f t="shared" si="73"/>
        <v>-15</v>
      </c>
      <c r="K954" t="e">
        <f>VLOOKUP(C954,'RAW DATA 2023'!E:BO,12,0)</f>
        <v>#N/A</v>
      </c>
      <c r="L954" s="268" t="e">
        <f t="shared" si="74"/>
        <v>#N/A</v>
      </c>
      <c r="M954"/>
    </row>
    <row r="955" spans="1:13">
      <c r="A955" s="64">
        <f>'RAW DATA 2023'!B948</f>
        <v>0</v>
      </c>
      <c r="B955" s="64">
        <f>'RAW DATA 2023'!D948</f>
        <v>0</v>
      </c>
      <c r="C955" s="63" t="str">
        <f t="shared" si="70"/>
        <v>00</v>
      </c>
      <c r="D955" s="63" t="e">
        <f>VLOOKUP(C955,'RAW DATA 2023'!E:BP,63,0)</f>
        <v>#N/A</v>
      </c>
      <c r="E955" s="63" t="e">
        <f t="shared" si="71"/>
        <v>#N/A</v>
      </c>
      <c r="F955" s="79" t="e">
        <f>ROUND(VLOOKUP(C955,'RAW DATA 2023'!E:BO,23,0),0)</f>
        <v>#N/A</v>
      </c>
      <c r="G955" s="79" t="e">
        <f>VLOOKUP(C955,'RAW DATA 2023'!E:BO,24,0)</f>
        <v>#N/A</v>
      </c>
      <c r="H955" s="79" t="str">
        <f>IFERROR(VLOOKUP(F955,STD!A:G,3,TRUE),"")</f>
        <v/>
      </c>
      <c r="I955" s="100">
        <f t="shared" si="72"/>
        <v>0</v>
      </c>
      <c r="J955" s="74">
        <f t="shared" si="73"/>
        <v>-15</v>
      </c>
      <c r="K955" t="e">
        <f>VLOOKUP(C955,'RAW DATA 2023'!E:BO,12,0)</f>
        <v>#N/A</v>
      </c>
      <c r="L955" s="268" t="e">
        <f t="shared" si="74"/>
        <v>#N/A</v>
      </c>
      <c r="M955"/>
    </row>
    <row r="956" spans="1:13">
      <c r="A956" s="64">
        <f>'RAW DATA 2023'!B949</f>
        <v>0</v>
      </c>
      <c r="B956" s="64">
        <f>'RAW DATA 2023'!D949</f>
        <v>0</v>
      </c>
      <c r="C956" s="63" t="str">
        <f t="shared" si="70"/>
        <v>00</v>
      </c>
      <c r="D956" s="63" t="e">
        <f>VLOOKUP(C956,'RAW DATA 2023'!E:BP,63,0)</f>
        <v>#N/A</v>
      </c>
      <c r="E956" s="63" t="e">
        <f t="shared" si="71"/>
        <v>#N/A</v>
      </c>
      <c r="F956" s="79" t="e">
        <f>ROUND(VLOOKUP(C956,'RAW DATA 2023'!E:BO,23,0),0)</f>
        <v>#N/A</v>
      </c>
      <c r="G956" s="79" t="e">
        <f>VLOOKUP(C956,'RAW DATA 2023'!E:BO,24,0)</f>
        <v>#N/A</v>
      </c>
      <c r="H956" s="79" t="str">
        <f>IFERROR(VLOOKUP(F956,STD!A:G,3,TRUE),"")</f>
        <v/>
      </c>
      <c r="I956" s="100">
        <f t="shared" si="72"/>
        <v>0</v>
      </c>
      <c r="J956" s="74">
        <f t="shared" si="73"/>
        <v>-15</v>
      </c>
      <c r="K956" t="e">
        <f>VLOOKUP(C956,'RAW DATA 2023'!E:BO,12,0)</f>
        <v>#N/A</v>
      </c>
      <c r="L956" s="268" t="e">
        <f t="shared" si="74"/>
        <v>#N/A</v>
      </c>
      <c r="M956"/>
    </row>
    <row r="957" spans="1:13">
      <c r="A957" s="64">
        <f>'RAW DATA 2023'!B950</f>
        <v>0</v>
      </c>
      <c r="B957" s="64">
        <f>'RAW DATA 2023'!D950</f>
        <v>0</v>
      </c>
      <c r="C957" s="63" t="str">
        <f t="shared" si="70"/>
        <v>00</v>
      </c>
      <c r="D957" s="63" t="e">
        <f>VLOOKUP(C957,'RAW DATA 2023'!E:BP,63,0)</f>
        <v>#N/A</v>
      </c>
      <c r="E957" s="63" t="e">
        <f t="shared" si="71"/>
        <v>#N/A</v>
      </c>
      <c r="F957" s="79" t="e">
        <f>ROUND(VLOOKUP(C957,'RAW DATA 2023'!E:BO,23,0),0)</f>
        <v>#N/A</v>
      </c>
      <c r="G957" s="79" t="e">
        <f>VLOOKUP(C957,'RAW DATA 2023'!E:BO,24,0)</f>
        <v>#N/A</v>
      </c>
      <c r="H957" s="79" t="str">
        <f>IFERROR(VLOOKUP(F957,STD!A:G,3,TRUE),"")</f>
        <v/>
      </c>
      <c r="I957" s="100">
        <f t="shared" si="72"/>
        <v>0</v>
      </c>
      <c r="J957" s="74">
        <f t="shared" si="73"/>
        <v>-15</v>
      </c>
      <c r="K957" t="e">
        <f>VLOOKUP(C957,'RAW DATA 2023'!E:BO,12,0)</f>
        <v>#N/A</v>
      </c>
      <c r="L957" s="268" t="e">
        <f t="shared" si="74"/>
        <v>#N/A</v>
      </c>
      <c r="M957"/>
    </row>
    <row r="958" spans="1:13">
      <c r="A958" s="64">
        <f>'RAW DATA 2023'!B951</f>
        <v>0</v>
      </c>
      <c r="B958" s="64">
        <f>'RAW DATA 2023'!D951</f>
        <v>0</v>
      </c>
      <c r="C958" s="63" t="str">
        <f t="shared" si="70"/>
        <v>00</v>
      </c>
      <c r="D958" s="63" t="e">
        <f>VLOOKUP(C958,'RAW DATA 2023'!E:BP,63,0)</f>
        <v>#N/A</v>
      </c>
      <c r="E958" s="63" t="e">
        <f t="shared" si="71"/>
        <v>#N/A</v>
      </c>
      <c r="F958" s="79" t="e">
        <f>ROUND(VLOOKUP(C958,'RAW DATA 2023'!E:BO,23,0),0)</f>
        <v>#N/A</v>
      </c>
      <c r="G958" s="79" t="e">
        <f>VLOOKUP(C958,'RAW DATA 2023'!E:BO,24,0)</f>
        <v>#N/A</v>
      </c>
      <c r="H958" s="79" t="str">
        <f>IFERROR(VLOOKUP(F958,STD!A:G,3,TRUE),"")</f>
        <v/>
      </c>
      <c r="I958" s="100">
        <f t="shared" si="72"/>
        <v>0</v>
      </c>
      <c r="J958" s="74">
        <f t="shared" si="73"/>
        <v>-15</v>
      </c>
      <c r="K958" t="e">
        <f>VLOOKUP(C958,'RAW DATA 2023'!E:BO,12,0)</f>
        <v>#N/A</v>
      </c>
      <c r="L958" s="268" t="e">
        <f t="shared" si="74"/>
        <v>#N/A</v>
      </c>
      <c r="M958"/>
    </row>
    <row r="959" spans="1:13">
      <c r="A959" s="64">
        <f>'RAW DATA 2023'!B952</f>
        <v>0</v>
      </c>
      <c r="B959" s="64">
        <f>'RAW DATA 2023'!D952</f>
        <v>0</v>
      </c>
      <c r="C959" s="63" t="str">
        <f t="shared" si="70"/>
        <v>00</v>
      </c>
      <c r="D959" s="63" t="e">
        <f>VLOOKUP(C959,'RAW DATA 2023'!E:BP,63,0)</f>
        <v>#N/A</v>
      </c>
      <c r="E959" s="63" t="e">
        <f t="shared" si="71"/>
        <v>#N/A</v>
      </c>
      <c r="F959" s="79" t="e">
        <f>ROUND(VLOOKUP(C959,'RAW DATA 2023'!E:BO,23,0),0)</f>
        <v>#N/A</v>
      </c>
      <c r="G959" s="79" t="e">
        <f>VLOOKUP(C959,'RAW DATA 2023'!E:BO,24,0)</f>
        <v>#N/A</v>
      </c>
      <c r="H959" s="79" t="str">
        <f>IFERROR(VLOOKUP(F959,STD!A:G,3,TRUE),"")</f>
        <v/>
      </c>
      <c r="I959" s="100">
        <f t="shared" si="72"/>
        <v>0</v>
      </c>
      <c r="J959" s="74">
        <f t="shared" si="73"/>
        <v>-15</v>
      </c>
      <c r="K959" t="e">
        <f>VLOOKUP(C959,'RAW DATA 2023'!E:BO,12,0)</f>
        <v>#N/A</v>
      </c>
      <c r="L959" s="268" t="e">
        <f t="shared" si="74"/>
        <v>#N/A</v>
      </c>
      <c r="M959"/>
    </row>
    <row r="960" spans="1:13">
      <c r="A960" s="64">
        <f>'RAW DATA 2023'!B953</f>
        <v>0</v>
      </c>
      <c r="B960" s="64">
        <f>'RAW DATA 2023'!D953</f>
        <v>0</v>
      </c>
      <c r="C960" s="63" t="str">
        <f t="shared" si="70"/>
        <v>00</v>
      </c>
      <c r="D960" s="63" t="e">
        <f>VLOOKUP(C960,'RAW DATA 2023'!E:BP,63,0)</f>
        <v>#N/A</v>
      </c>
      <c r="E960" s="63" t="e">
        <f t="shared" si="71"/>
        <v>#N/A</v>
      </c>
      <c r="F960" s="79" t="e">
        <f>ROUND(VLOOKUP(C960,'RAW DATA 2023'!E:BO,23,0),0)</f>
        <v>#N/A</v>
      </c>
      <c r="G960" s="79" t="e">
        <f>VLOOKUP(C960,'RAW DATA 2023'!E:BO,24,0)</f>
        <v>#N/A</v>
      </c>
      <c r="H960" s="79" t="str">
        <f>IFERROR(VLOOKUP(F960,STD!A:G,3,TRUE),"")</f>
        <v/>
      </c>
      <c r="I960" s="100">
        <f t="shared" si="72"/>
        <v>0</v>
      </c>
      <c r="J960" s="74">
        <f t="shared" si="73"/>
        <v>-15</v>
      </c>
      <c r="K960" t="e">
        <f>VLOOKUP(C960,'RAW DATA 2023'!E:BO,12,0)</f>
        <v>#N/A</v>
      </c>
      <c r="L960" s="268" t="e">
        <f t="shared" si="74"/>
        <v>#N/A</v>
      </c>
      <c r="M960"/>
    </row>
    <row r="961" spans="1:13">
      <c r="A961" s="64">
        <f>'RAW DATA 2023'!B954</f>
        <v>0</v>
      </c>
      <c r="B961" s="64">
        <f>'RAW DATA 2023'!D954</f>
        <v>0</v>
      </c>
      <c r="C961" s="63" t="str">
        <f t="shared" si="70"/>
        <v>00</v>
      </c>
      <c r="D961" s="63" t="e">
        <f>VLOOKUP(C961,'RAW DATA 2023'!E:BP,63,0)</f>
        <v>#N/A</v>
      </c>
      <c r="E961" s="63" t="e">
        <f t="shared" si="71"/>
        <v>#N/A</v>
      </c>
      <c r="F961" s="79" t="e">
        <f>ROUND(VLOOKUP(C961,'RAW DATA 2023'!E:BO,23,0),0)</f>
        <v>#N/A</v>
      </c>
      <c r="G961" s="79" t="e">
        <f>VLOOKUP(C961,'RAW DATA 2023'!E:BO,24,0)</f>
        <v>#N/A</v>
      </c>
      <c r="H961" s="79" t="str">
        <f>IFERROR(VLOOKUP(F961,STD!A:G,3,TRUE),"")</f>
        <v/>
      </c>
      <c r="I961" s="100">
        <f t="shared" si="72"/>
        <v>0</v>
      </c>
      <c r="J961" s="74">
        <f t="shared" si="73"/>
        <v>-15</v>
      </c>
      <c r="K961" t="e">
        <f>VLOOKUP(C961,'RAW DATA 2023'!E:BO,12,0)</f>
        <v>#N/A</v>
      </c>
      <c r="L961" s="268" t="e">
        <f t="shared" si="74"/>
        <v>#N/A</v>
      </c>
      <c r="M961"/>
    </row>
    <row r="962" spans="1:13">
      <c r="A962" s="64">
        <f>'RAW DATA 2023'!B955</f>
        <v>0</v>
      </c>
      <c r="B962" s="64">
        <f>'RAW DATA 2023'!D955</f>
        <v>0</v>
      </c>
      <c r="C962" s="63" t="str">
        <f t="shared" si="70"/>
        <v>00</v>
      </c>
      <c r="D962" s="63" t="e">
        <f>VLOOKUP(C962,'RAW DATA 2023'!E:BP,63,0)</f>
        <v>#N/A</v>
      </c>
      <c r="E962" s="63" t="e">
        <f t="shared" si="71"/>
        <v>#N/A</v>
      </c>
      <c r="F962" s="79" t="e">
        <f>ROUND(VLOOKUP(C962,'RAW DATA 2023'!E:BO,23,0),0)</f>
        <v>#N/A</v>
      </c>
      <c r="G962" s="79" t="e">
        <f>VLOOKUP(C962,'RAW DATA 2023'!E:BO,24,0)</f>
        <v>#N/A</v>
      </c>
      <c r="H962" s="79" t="str">
        <f>IFERROR(VLOOKUP(F962,STD!A:G,3,TRUE),"")</f>
        <v/>
      </c>
      <c r="I962" s="100">
        <f t="shared" si="72"/>
        <v>0</v>
      </c>
      <c r="J962" s="74">
        <f t="shared" si="73"/>
        <v>-15</v>
      </c>
      <c r="K962" t="e">
        <f>VLOOKUP(C962,'RAW DATA 2023'!E:BO,12,0)</f>
        <v>#N/A</v>
      </c>
      <c r="L962" s="268" t="e">
        <f t="shared" si="74"/>
        <v>#N/A</v>
      </c>
      <c r="M962"/>
    </row>
    <row r="963" spans="1:13">
      <c r="A963" s="64">
        <f>'RAW DATA 2023'!B956</f>
        <v>0</v>
      </c>
      <c r="B963" s="64">
        <f>'RAW DATA 2023'!D956</f>
        <v>0</v>
      </c>
      <c r="C963" s="63" t="str">
        <f t="shared" si="70"/>
        <v>00</v>
      </c>
      <c r="D963" s="63" t="e">
        <f>VLOOKUP(C963,'RAW DATA 2023'!E:BP,63,0)</f>
        <v>#N/A</v>
      </c>
      <c r="E963" s="63" t="e">
        <f t="shared" si="71"/>
        <v>#N/A</v>
      </c>
      <c r="F963" s="79" t="e">
        <f>ROUND(VLOOKUP(C963,'RAW DATA 2023'!E:BO,23,0),0)</f>
        <v>#N/A</v>
      </c>
      <c r="G963" s="79" t="e">
        <f>VLOOKUP(C963,'RAW DATA 2023'!E:BO,24,0)</f>
        <v>#N/A</v>
      </c>
      <c r="H963" s="79" t="str">
        <f>IFERROR(VLOOKUP(F963,STD!A:G,3,TRUE),"")</f>
        <v/>
      </c>
      <c r="I963" s="100">
        <f t="shared" si="72"/>
        <v>0</v>
      </c>
      <c r="J963" s="74">
        <f t="shared" si="73"/>
        <v>-15</v>
      </c>
      <c r="K963" t="e">
        <f>VLOOKUP(C963,'RAW DATA 2023'!E:BO,12,0)</f>
        <v>#N/A</v>
      </c>
      <c r="L963" s="268" t="e">
        <f t="shared" si="74"/>
        <v>#N/A</v>
      </c>
      <c r="M963"/>
    </row>
    <row r="964" spans="1:13">
      <c r="A964" s="64">
        <f>'RAW DATA 2023'!B957</f>
        <v>0</v>
      </c>
      <c r="B964" s="64">
        <f>'RAW DATA 2023'!D957</f>
        <v>0</v>
      </c>
      <c r="C964" s="63" t="str">
        <f t="shared" si="70"/>
        <v>00</v>
      </c>
      <c r="D964" s="63" t="e">
        <f>VLOOKUP(C964,'RAW DATA 2023'!E:BP,63,0)</f>
        <v>#N/A</v>
      </c>
      <c r="E964" s="63" t="e">
        <f t="shared" si="71"/>
        <v>#N/A</v>
      </c>
      <c r="F964" s="79" t="e">
        <f>ROUND(VLOOKUP(C964,'RAW DATA 2023'!E:BO,23,0),0)</f>
        <v>#N/A</v>
      </c>
      <c r="G964" s="79" t="e">
        <f>VLOOKUP(C964,'RAW DATA 2023'!E:BO,24,0)</f>
        <v>#N/A</v>
      </c>
      <c r="H964" s="79" t="str">
        <f>IFERROR(VLOOKUP(F964,STD!A:G,3,TRUE),"")</f>
        <v/>
      </c>
      <c r="I964" s="100">
        <f t="shared" si="72"/>
        <v>0</v>
      </c>
      <c r="J964" s="74">
        <f t="shared" si="73"/>
        <v>-15</v>
      </c>
      <c r="K964" t="e">
        <f>VLOOKUP(C964,'RAW DATA 2023'!E:BO,12,0)</f>
        <v>#N/A</v>
      </c>
      <c r="L964" s="268" t="e">
        <f t="shared" si="74"/>
        <v>#N/A</v>
      </c>
      <c r="M964"/>
    </row>
    <row r="965" spans="1:13">
      <c r="A965" s="64">
        <f>'RAW DATA 2023'!B958</f>
        <v>0</v>
      </c>
      <c r="B965" s="64">
        <f>'RAW DATA 2023'!D958</f>
        <v>0</v>
      </c>
      <c r="C965" s="63" t="str">
        <f t="shared" si="70"/>
        <v>00</v>
      </c>
      <c r="D965" s="63" t="e">
        <f>VLOOKUP(C965,'RAW DATA 2023'!E:BP,63,0)</f>
        <v>#N/A</v>
      </c>
      <c r="E965" s="63" t="e">
        <f t="shared" si="71"/>
        <v>#N/A</v>
      </c>
      <c r="F965" s="79" t="e">
        <f>ROUND(VLOOKUP(C965,'RAW DATA 2023'!E:BO,23,0),0)</f>
        <v>#N/A</v>
      </c>
      <c r="G965" s="79" t="e">
        <f>VLOOKUP(C965,'RAW DATA 2023'!E:BO,24,0)</f>
        <v>#N/A</v>
      </c>
      <c r="H965" s="79" t="str">
        <f>IFERROR(VLOOKUP(F965,STD!A:G,3,TRUE),"")</f>
        <v/>
      </c>
      <c r="I965" s="100">
        <f t="shared" si="72"/>
        <v>0</v>
      </c>
      <c r="J965" s="74">
        <f t="shared" si="73"/>
        <v>-15</v>
      </c>
      <c r="K965" t="e">
        <f>VLOOKUP(C965,'RAW DATA 2023'!E:BO,12,0)</f>
        <v>#N/A</v>
      </c>
      <c r="L965" s="268" t="e">
        <f t="shared" si="74"/>
        <v>#N/A</v>
      </c>
      <c r="M965"/>
    </row>
    <row r="966" spans="1:13">
      <c r="A966" s="64">
        <f>'RAW DATA 2023'!B959</f>
        <v>0</v>
      </c>
      <c r="B966" s="64">
        <f>'RAW DATA 2023'!D959</f>
        <v>0</v>
      </c>
      <c r="C966" s="63" t="str">
        <f t="shared" si="70"/>
        <v>00</v>
      </c>
      <c r="D966" s="63" t="e">
        <f>VLOOKUP(C966,'RAW DATA 2023'!E:BP,63,0)</f>
        <v>#N/A</v>
      </c>
      <c r="E966" s="63" t="e">
        <f t="shared" si="71"/>
        <v>#N/A</v>
      </c>
      <c r="F966" s="79" t="e">
        <f>ROUND(VLOOKUP(C966,'RAW DATA 2023'!E:BO,23,0),0)</f>
        <v>#N/A</v>
      </c>
      <c r="G966" s="79" t="e">
        <f>VLOOKUP(C966,'RAW DATA 2023'!E:BO,24,0)</f>
        <v>#N/A</v>
      </c>
      <c r="H966" s="79" t="str">
        <f>IFERROR(VLOOKUP(F966,STD!A:G,3,TRUE),"")</f>
        <v/>
      </c>
      <c r="I966" s="100">
        <f t="shared" si="72"/>
        <v>0</v>
      </c>
      <c r="J966" s="74">
        <f t="shared" si="73"/>
        <v>-15</v>
      </c>
      <c r="K966" t="e">
        <f>VLOOKUP(C966,'RAW DATA 2023'!E:BO,12,0)</f>
        <v>#N/A</v>
      </c>
      <c r="L966" s="268" t="e">
        <f t="shared" si="74"/>
        <v>#N/A</v>
      </c>
      <c r="M966"/>
    </row>
    <row r="967" spans="1:13">
      <c r="A967" s="64">
        <f>'RAW DATA 2023'!B960</f>
        <v>0</v>
      </c>
      <c r="B967" s="64">
        <f>'RAW DATA 2023'!D960</f>
        <v>0</v>
      </c>
      <c r="C967" s="63" t="str">
        <f t="shared" si="70"/>
        <v>00</v>
      </c>
      <c r="D967" s="63" t="e">
        <f>VLOOKUP(C967,'RAW DATA 2023'!E:BP,63,0)</f>
        <v>#N/A</v>
      </c>
      <c r="E967" s="63" t="e">
        <f t="shared" si="71"/>
        <v>#N/A</v>
      </c>
      <c r="F967" s="79" t="e">
        <f>ROUND(VLOOKUP(C967,'RAW DATA 2023'!E:BO,23,0),0)</f>
        <v>#N/A</v>
      </c>
      <c r="G967" s="79" t="e">
        <f>VLOOKUP(C967,'RAW DATA 2023'!E:BO,24,0)</f>
        <v>#N/A</v>
      </c>
      <c r="H967" s="79" t="str">
        <f>IFERROR(VLOOKUP(F967,STD!A:G,3,TRUE),"")</f>
        <v/>
      </c>
      <c r="I967" s="100">
        <f t="shared" si="72"/>
        <v>0</v>
      </c>
      <c r="J967" s="74">
        <f t="shared" si="73"/>
        <v>-15</v>
      </c>
      <c r="K967" t="e">
        <f>VLOOKUP(C967,'RAW DATA 2023'!E:BO,12,0)</f>
        <v>#N/A</v>
      </c>
      <c r="L967" s="268" t="e">
        <f t="shared" si="74"/>
        <v>#N/A</v>
      </c>
      <c r="M967"/>
    </row>
    <row r="968" spans="1:13">
      <c r="A968" s="64">
        <f>'RAW DATA 2023'!B961</f>
        <v>0</v>
      </c>
      <c r="B968" s="64">
        <f>'RAW DATA 2023'!D961</f>
        <v>0</v>
      </c>
      <c r="C968" s="63" t="str">
        <f t="shared" si="70"/>
        <v>00</v>
      </c>
      <c r="D968" s="63" t="e">
        <f>VLOOKUP(C968,'RAW DATA 2023'!E:BP,63,0)</f>
        <v>#N/A</v>
      </c>
      <c r="E968" s="63" t="e">
        <f t="shared" si="71"/>
        <v>#N/A</v>
      </c>
      <c r="F968" s="79" t="e">
        <f>ROUND(VLOOKUP(C968,'RAW DATA 2023'!E:BO,23,0),0)</f>
        <v>#N/A</v>
      </c>
      <c r="G968" s="79" t="e">
        <f>VLOOKUP(C968,'RAW DATA 2023'!E:BO,24,0)</f>
        <v>#N/A</v>
      </c>
      <c r="H968" s="79" t="str">
        <f>IFERROR(VLOOKUP(F968,STD!A:G,3,TRUE),"")</f>
        <v/>
      </c>
      <c r="I968" s="100">
        <f t="shared" si="72"/>
        <v>0</v>
      </c>
      <c r="J968" s="74">
        <f t="shared" si="73"/>
        <v>-15</v>
      </c>
      <c r="K968" t="e">
        <f>VLOOKUP(C968,'RAW DATA 2023'!E:BO,12,0)</f>
        <v>#N/A</v>
      </c>
      <c r="L968" s="268" t="e">
        <f t="shared" si="74"/>
        <v>#N/A</v>
      </c>
      <c r="M968"/>
    </row>
    <row r="969" spans="1:13">
      <c r="A969" s="64">
        <f>'RAW DATA 2023'!B962</f>
        <v>0</v>
      </c>
      <c r="B969" s="64">
        <f>'RAW DATA 2023'!D962</f>
        <v>0</v>
      </c>
      <c r="C969" s="63" t="str">
        <f t="shared" si="70"/>
        <v>00</v>
      </c>
      <c r="D969" s="63" t="e">
        <f>VLOOKUP(C969,'RAW DATA 2023'!E:BP,63,0)</f>
        <v>#N/A</v>
      </c>
      <c r="E969" s="63" t="e">
        <f t="shared" si="71"/>
        <v>#N/A</v>
      </c>
      <c r="F969" s="79" t="e">
        <f>ROUND(VLOOKUP(C969,'RAW DATA 2023'!E:BO,23,0),0)</f>
        <v>#N/A</v>
      </c>
      <c r="G969" s="79" t="e">
        <f>VLOOKUP(C969,'RAW DATA 2023'!E:BO,24,0)</f>
        <v>#N/A</v>
      </c>
      <c r="H969" s="79" t="str">
        <f>IFERROR(VLOOKUP(F969,STD!A:G,3,TRUE),"")</f>
        <v/>
      </c>
      <c r="I969" s="100">
        <f t="shared" si="72"/>
        <v>0</v>
      </c>
      <c r="J969" s="74">
        <f t="shared" si="73"/>
        <v>-15</v>
      </c>
      <c r="K969" t="e">
        <f>VLOOKUP(C969,'RAW DATA 2023'!E:BO,12,0)</f>
        <v>#N/A</v>
      </c>
      <c r="L969" s="268" t="e">
        <f t="shared" si="74"/>
        <v>#N/A</v>
      </c>
      <c r="M969"/>
    </row>
    <row r="970" spans="1:13">
      <c r="A970" s="64">
        <f>'RAW DATA 2023'!B963</f>
        <v>0</v>
      </c>
      <c r="B970" s="64">
        <f>'RAW DATA 2023'!D963</f>
        <v>0</v>
      </c>
      <c r="C970" s="63" t="str">
        <f t="shared" ref="C970:C1033" si="75">A970&amp;B970</f>
        <v>00</v>
      </c>
      <c r="D970" s="63" t="e">
        <f>VLOOKUP(C970,'RAW DATA 2023'!E:BP,63,0)</f>
        <v>#N/A</v>
      </c>
      <c r="E970" s="63" t="e">
        <f t="shared" ref="E970:E1033" si="76">A970&amp;D970</f>
        <v>#N/A</v>
      </c>
      <c r="F970" s="79" t="e">
        <f>ROUND(VLOOKUP(C970,'RAW DATA 2023'!E:BO,23,0),0)</f>
        <v>#N/A</v>
      </c>
      <c r="G970" s="79" t="e">
        <f>VLOOKUP(C970,'RAW DATA 2023'!E:BO,24,0)</f>
        <v>#N/A</v>
      </c>
      <c r="H970" s="79" t="str">
        <f>IFERROR(VLOOKUP(F970,STD!A:G,3,TRUE),"")</f>
        <v/>
      </c>
      <c r="I970" s="100">
        <f t="shared" si="72"/>
        <v>0</v>
      </c>
      <c r="J970" s="74">
        <f t="shared" si="73"/>
        <v>-15</v>
      </c>
      <c r="K970" t="e">
        <f>VLOOKUP(C970,'RAW DATA 2023'!E:BO,12,0)</f>
        <v>#N/A</v>
      </c>
      <c r="L970" s="268" t="e">
        <f t="shared" si="74"/>
        <v>#N/A</v>
      </c>
      <c r="M970"/>
    </row>
    <row r="971" spans="1:13">
      <c r="A971" s="64">
        <f>'RAW DATA 2023'!B964</f>
        <v>0</v>
      </c>
      <c r="B971" s="64">
        <f>'RAW DATA 2023'!D964</f>
        <v>0</v>
      </c>
      <c r="C971" s="63" t="str">
        <f t="shared" si="75"/>
        <v>00</v>
      </c>
      <c r="D971" s="63" t="e">
        <f>VLOOKUP(C971,'RAW DATA 2023'!E:BP,63,0)</f>
        <v>#N/A</v>
      </c>
      <c r="E971" s="63" t="e">
        <f t="shared" si="76"/>
        <v>#N/A</v>
      </c>
      <c r="F971" s="79" t="e">
        <f>ROUND(VLOOKUP(C971,'RAW DATA 2023'!E:BO,23,0),0)</f>
        <v>#N/A</v>
      </c>
      <c r="G971" s="79" t="e">
        <f>VLOOKUP(C971,'RAW DATA 2023'!E:BO,24,0)</f>
        <v>#N/A</v>
      </c>
      <c r="H971" s="79" t="str">
        <f>IFERROR(VLOOKUP(F971,STD!A:G,3,TRUE),"")</f>
        <v/>
      </c>
      <c r="I971" s="100">
        <f t="shared" ref="I971:I1034" si="77">IFERROR(G971/H971,0)</f>
        <v>0</v>
      </c>
      <c r="J971" s="74">
        <f t="shared" ref="J971:J1034" si="78">(I971-$E$4)*$E$7</f>
        <v>-15</v>
      </c>
      <c r="K971" t="e">
        <f>VLOOKUP(C971,'RAW DATA 2023'!E:BO,12,0)</f>
        <v>#N/A</v>
      </c>
      <c r="L971" s="268" t="e">
        <f t="shared" ref="L971:L1034" si="79">J971*K971</f>
        <v>#N/A</v>
      </c>
      <c r="M971"/>
    </row>
    <row r="972" spans="1:13">
      <c r="A972" s="64">
        <f>'RAW DATA 2023'!B965</f>
        <v>0</v>
      </c>
      <c r="B972" s="64">
        <f>'RAW DATA 2023'!D965</f>
        <v>0</v>
      </c>
      <c r="C972" s="63" t="str">
        <f t="shared" si="75"/>
        <v>00</v>
      </c>
      <c r="D972" s="63" t="e">
        <f>VLOOKUP(C972,'RAW DATA 2023'!E:BP,63,0)</f>
        <v>#N/A</v>
      </c>
      <c r="E972" s="63" t="e">
        <f t="shared" si="76"/>
        <v>#N/A</v>
      </c>
      <c r="F972" s="79" t="e">
        <f>ROUND(VLOOKUP(C972,'RAW DATA 2023'!E:BO,23,0),0)</f>
        <v>#N/A</v>
      </c>
      <c r="G972" s="79" t="e">
        <f>VLOOKUP(C972,'RAW DATA 2023'!E:BO,24,0)</f>
        <v>#N/A</v>
      </c>
      <c r="H972" s="79" t="str">
        <f>IFERROR(VLOOKUP(F972,STD!A:G,3,TRUE),"")</f>
        <v/>
      </c>
      <c r="I972" s="100">
        <f t="shared" si="77"/>
        <v>0</v>
      </c>
      <c r="J972" s="74">
        <f t="shared" si="78"/>
        <v>-15</v>
      </c>
      <c r="K972" t="e">
        <f>VLOOKUP(C972,'RAW DATA 2023'!E:BO,12,0)</f>
        <v>#N/A</v>
      </c>
      <c r="L972" s="268" t="e">
        <f t="shared" si="79"/>
        <v>#N/A</v>
      </c>
      <c r="M972"/>
    </row>
    <row r="973" spans="1:13">
      <c r="A973" s="64">
        <f>'RAW DATA 2023'!B966</f>
        <v>0</v>
      </c>
      <c r="B973" s="64">
        <f>'RAW DATA 2023'!D966</f>
        <v>0</v>
      </c>
      <c r="C973" s="63" t="str">
        <f t="shared" si="75"/>
        <v>00</v>
      </c>
      <c r="D973" s="63" t="e">
        <f>VLOOKUP(C973,'RAW DATA 2023'!E:BP,63,0)</f>
        <v>#N/A</v>
      </c>
      <c r="E973" s="63" t="e">
        <f t="shared" si="76"/>
        <v>#N/A</v>
      </c>
      <c r="F973" s="79" t="e">
        <f>ROUND(VLOOKUP(C973,'RAW DATA 2023'!E:BO,23,0),0)</f>
        <v>#N/A</v>
      </c>
      <c r="G973" s="79" t="e">
        <f>VLOOKUP(C973,'RAW DATA 2023'!E:BO,24,0)</f>
        <v>#N/A</v>
      </c>
      <c r="H973" s="79" t="str">
        <f>IFERROR(VLOOKUP(F973,STD!A:G,3,TRUE),"")</f>
        <v/>
      </c>
      <c r="I973" s="100">
        <f t="shared" si="77"/>
        <v>0</v>
      </c>
      <c r="J973" s="74">
        <f t="shared" si="78"/>
        <v>-15</v>
      </c>
      <c r="K973" t="e">
        <f>VLOOKUP(C973,'RAW DATA 2023'!E:BO,12,0)</f>
        <v>#N/A</v>
      </c>
      <c r="L973" s="268" t="e">
        <f t="shared" si="79"/>
        <v>#N/A</v>
      </c>
      <c r="M973"/>
    </row>
    <row r="974" spans="1:13">
      <c r="A974" s="64">
        <f>'RAW DATA 2023'!B967</f>
        <v>0</v>
      </c>
      <c r="B974" s="64">
        <f>'RAW DATA 2023'!D967</f>
        <v>0</v>
      </c>
      <c r="C974" s="63" t="str">
        <f t="shared" si="75"/>
        <v>00</v>
      </c>
      <c r="D974" s="63" t="e">
        <f>VLOOKUP(C974,'RAW DATA 2023'!E:BP,63,0)</f>
        <v>#N/A</v>
      </c>
      <c r="E974" s="63" t="e">
        <f t="shared" si="76"/>
        <v>#N/A</v>
      </c>
      <c r="F974" s="79" t="e">
        <f>ROUND(VLOOKUP(C974,'RAW DATA 2023'!E:BO,23,0),0)</f>
        <v>#N/A</v>
      </c>
      <c r="G974" s="79" t="e">
        <f>VLOOKUP(C974,'RAW DATA 2023'!E:BO,24,0)</f>
        <v>#N/A</v>
      </c>
      <c r="H974" s="79" t="str">
        <f>IFERROR(VLOOKUP(F974,STD!A:G,3,TRUE),"")</f>
        <v/>
      </c>
      <c r="I974" s="100">
        <f t="shared" si="77"/>
        <v>0</v>
      </c>
      <c r="J974" s="74">
        <f t="shared" si="78"/>
        <v>-15</v>
      </c>
      <c r="K974" t="e">
        <f>VLOOKUP(C974,'RAW DATA 2023'!E:BO,12,0)</f>
        <v>#N/A</v>
      </c>
      <c r="L974" s="268" t="e">
        <f t="shared" si="79"/>
        <v>#N/A</v>
      </c>
      <c r="M974"/>
    </row>
    <row r="975" spans="1:13">
      <c r="A975" s="64">
        <f>'RAW DATA 2023'!B968</f>
        <v>0</v>
      </c>
      <c r="B975" s="64">
        <f>'RAW DATA 2023'!D968</f>
        <v>0</v>
      </c>
      <c r="C975" s="63" t="str">
        <f t="shared" si="75"/>
        <v>00</v>
      </c>
      <c r="D975" s="63" t="e">
        <f>VLOOKUP(C975,'RAW DATA 2023'!E:BP,63,0)</f>
        <v>#N/A</v>
      </c>
      <c r="E975" s="63" t="e">
        <f t="shared" si="76"/>
        <v>#N/A</v>
      </c>
      <c r="F975" s="79" t="e">
        <f>ROUND(VLOOKUP(C975,'RAW DATA 2023'!E:BO,23,0),0)</f>
        <v>#N/A</v>
      </c>
      <c r="G975" s="79" t="e">
        <f>VLOOKUP(C975,'RAW DATA 2023'!E:BO,24,0)</f>
        <v>#N/A</v>
      </c>
      <c r="H975" s="79" t="str">
        <f>IFERROR(VLOOKUP(F975,STD!A:G,3,TRUE),"")</f>
        <v/>
      </c>
      <c r="I975" s="100">
        <f t="shared" si="77"/>
        <v>0</v>
      </c>
      <c r="J975" s="74">
        <f t="shared" si="78"/>
        <v>-15</v>
      </c>
      <c r="K975" t="e">
        <f>VLOOKUP(C975,'RAW DATA 2023'!E:BO,12,0)</f>
        <v>#N/A</v>
      </c>
      <c r="L975" s="268" t="e">
        <f t="shared" si="79"/>
        <v>#N/A</v>
      </c>
      <c r="M975"/>
    </row>
    <row r="976" spans="1:13">
      <c r="A976" s="64">
        <f>'RAW DATA 2023'!B969</f>
        <v>0</v>
      </c>
      <c r="B976" s="64">
        <f>'RAW DATA 2023'!D969</f>
        <v>0</v>
      </c>
      <c r="C976" s="63" t="str">
        <f t="shared" si="75"/>
        <v>00</v>
      </c>
      <c r="D976" s="63" t="e">
        <f>VLOOKUP(C976,'RAW DATA 2023'!E:BP,63,0)</f>
        <v>#N/A</v>
      </c>
      <c r="E976" s="63" t="e">
        <f t="shared" si="76"/>
        <v>#N/A</v>
      </c>
      <c r="F976" s="79" t="e">
        <f>ROUND(VLOOKUP(C976,'RAW DATA 2023'!E:BO,23,0),0)</f>
        <v>#N/A</v>
      </c>
      <c r="G976" s="79" t="e">
        <f>VLOOKUP(C976,'RAW DATA 2023'!E:BO,24,0)</f>
        <v>#N/A</v>
      </c>
      <c r="H976" s="79" t="str">
        <f>IFERROR(VLOOKUP(F976,STD!A:G,3,TRUE),"")</f>
        <v/>
      </c>
      <c r="I976" s="100">
        <f t="shared" si="77"/>
        <v>0</v>
      </c>
      <c r="J976" s="74">
        <f t="shared" si="78"/>
        <v>-15</v>
      </c>
      <c r="K976" t="e">
        <f>VLOOKUP(C976,'RAW DATA 2023'!E:BO,12,0)</f>
        <v>#N/A</v>
      </c>
      <c r="L976" s="268" t="e">
        <f t="shared" si="79"/>
        <v>#N/A</v>
      </c>
      <c r="M976"/>
    </row>
    <row r="977" spans="1:13">
      <c r="A977" s="64">
        <f>'RAW DATA 2023'!B970</f>
        <v>0</v>
      </c>
      <c r="B977" s="64">
        <f>'RAW DATA 2023'!D970</f>
        <v>0</v>
      </c>
      <c r="C977" s="63" t="str">
        <f t="shared" si="75"/>
        <v>00</v>
      </c>
      <c r="D977" s="63" t="e">
        <f>VLOOKUP(C977,'RAW DATA 2023'!E:BP,63,0)</f>
        <v>#N/A</v>
      </c>
      <c r="E977" s="63" t="e">
        <f t="shared" si="76"/>
        <v>#N/A</v>
      </c>
      <c r="F977" s="79" t="e">
        <f>ROUND(VLOOKUP(C977,'RAW DATA 2023'!E:BO,23,0),0)</f>
        <v>#N/A</v>
      </c>
      <c r="G977" s="79" t="e">
        <f>VLOOKUP(C977,'RAW DATA 2023'!E:BO,24,0)</f>
        <v>#N/A</v>
      </c>
      <c r="H977" s="79" t="str">
        <f>IFERROR(VLOOKUP(F977,STD!A:G,3,TRUE),"")</f>
        <v/>
      </c>
      <c r="I977" s="100">
        <f t="shared" si="77"/>
        <v>0</v>
      </c>
      <c r="J977" s="74">
        <f t="shared" si="78"/>
        <v>-15</v>
      </c>
      <c r="K977" t="e">
        <f>VLOOKUP(C977,'RAW DATA 2023'!E:BO,12,0)</f>
        <v>#N/A</v>
      </c>
      <c r="L977" s="268" t="e">
        <f t="shared" si="79"/>
        <v>#N/A</v>
      </c>
      <c r="M977"/>
    </row>
    <row r="978" spans="1:13">
      <c r="A978" s="64">
        <f>'RAW DATA 2023'!B971</f>
        <v>0</v>
      </c>
      <c r="B978" s="64">
        <f>'RAW DATA 2023'!D971</f>
        <v>0</v>
      </c>
      <c r="C978" s="63" t="str">
        <f t="shared" si="75"/>
        <v>00</v>
      </c>
      <c r="D978" s="63" t="e">
        <f>VLOOKUP(C978,'RAW DATA 2023'!E:BP,63,0)</f>
        <v>#N/A</v>
      </c>
      <c r="E978" s="63" t="e">
        <f t="shared" si="76"/>
        <v>#N/A</v>
      </c>
      <c r="F978" s="79" t="e">
        <f>ROUND(VLOOKUP(C978,'RAW DATA 2023'!E:BO,23,0),0)</f>
        <v>#N/A</v>
      </c>
      <c r="G978" s="79" t="e">
        <f>VLOOKUP(C978,'RAW DATA 2023'!E:BO,24,0)</f>
        <v>#N/A</v>
      </c>
      <c r="H978" s="79" t="str">
        <f>IFERROR(VLOOKUP(F978,STD!A:G,3,TRUE),"")</f>
        <v/>
      </c>
      <c r="I978" s="100">
        <f t="shared" si="77"/>
        <v>0</v>
      </c>
      <c r="J978" s="74">
        <f t="shared" si="78"/>
        <v>-15</v>
      </c>
      <c r="K978" t="e">
        <f>VLOOKUP(C978,'RAW DATA 2023'!E:BO,12,0)</f>
        <v>#N/A</v>
      </c>
      <c r="L978" s="268" t="e">
        <f t="shared" si="79"/>
        <v>#N/A</v>
      </c>
      <c r="M978"/>
    </row>
    <row r="979" spans="1:13">
      <c r="A979" s="64">
        <f>'RAW DATA 2023'!B972</f>
        <v>0</v>
      </c>
      <c r="B979" s="64">
        <f>'RAW DATA 2023'!D972</f>
        <v>0</v>
      </c>
      <c r="C979" s="63" t="str">
        <f t="shared" si="75"/>
        <v>00</v>
      </c>
      <c r="D979" s="63" t="e">
        <f>VLOOKUP(C979,'RAW DATA 2023'!E:BP,63,0)</f>
        <v>#N/A</v>
      </c>
      <c r="E979" s="63" t="e">
        <f t="shared" si="76"/>
        <v>#N/A</v>
      </c>
      <c r="F979" s="79" t="e">
        <f>ROUND(VLOOKUP(C979,'RAW DATA 2023'!E:BO,23,0),0)</f>
        <v>#N/A</v>
      </c>
      <c r="G979" s="79" t="e">
        <f>VLOOKUP(C979,'RAW DATA 2023'!E:BO,24,0)</f>
        <v>#N/A</v>
      </c>
      <c r="H979" s="79" t="str">
        <f>IFERROR(VLOOKUP(F979,STD!A:G,3,TRUE),"")</f>
        <v/>
      </c>
      <c r="I979" s="100">
        <f t="shared" si="77"/>
        <v>0</v>
      </c>
      <c r="J979" s="74">
        <f t="shared" si="78"/>
        <v>-15</v>
      </c>
      <c r="K979" t="e">
        <f>VLOOKUP(C979,'RAW DATA 2023'!E:BO,12,0)</f>
        <v>#N/A</v>
      </c>
      <c r="L979" s="268" t="e">
        <f t="shared" si="79"/>
        <v>#N/A</v>
      </c>
      <c r="M979"/>
    </row>
    <row r="980" spans="1:13">
      <c r="A980" s="64">
        <f>'RAW DATA 2023'!B973</f>
        <v>0</v>
      </c>
      <c r="B980" s="64">
        <f>'RAW DATA 2023'!D973</f>
        <v>0</v>
      </c>
      <c r="C980" s="63" t="str">
        <f t="shared" si="75"/>
        <v>00</v>
      </c>
      <c r="D980" s="63" t="e">
        <f>VLOOKUP(C980,'RAW DATA 2023'!E:BP,63,0)</f>
        <v>#N/A</v>
      </c>
      <c r="E980" s="63" t="e">
        <f t="shared" si="76"/>
        <v>#N/A</v>
      </c>
      <c r="F980" s="79" t="e">
        <f>ROUND(VLOOKUP(C980,'RAW DATA 2023'!E:BO,23,0),0)</f>
        <v>#N/A</v>
      </c>
      <c r="G980" s="79" t="e">
        <f>VLOOKUP(C980,'RAW DATA 2023'!E:BO,24,0)</f>
        <v>#N/A</v>
      </c>
      <c r="H980" s="79" t="str">
        <f>IFERROR(VLOOKUP(F980,STD!A:G,3,TRUE),"")</f>
        <v/>
      </c>
      <c r="I980" s="100">
        <f t="shared" si="77"/>
        <v>0</v>
      </c>
      <c r="J980" s="74">
        <f t="shared" si="78"/>
        <v>-15</v>
      </c>
      <c r="K980" t="e">
        <f>VLOOKUP(C980,'RAW DATA 2023'!E:BO,12,0)</f>
        <v>#N/A</v>
      </c>
      <c r="L980" s="268" t="e">
        <f t="shared" si="79"/>
        <v>#N/A</v>
      </c>
      <c r="M980"/>
    </row>
    <row r="981" spans="1:13">
      <c r="A981" s="64">
        <f>'RAW DATA 2023'!B974</f>
        <v>0</v>
      </c>
      <c r="B981" s="64">
        <f>'RAW DATA 2023'!D974</f>
        <v>0</v>
      </c>
      <c r="C981" s="63" t="str">
        <f t="shared" si="75"/>
        <v>00</v>
      </c>
      <c r="D981" s="63" t="e">
        <f>VLOOKUP(C981,'RAW DATA 2023'!E:BP,63,0)</f>
        <v>#N/A</v>
      </c>
      <c r="E981" s="63" t="e">
        <f t="shared" si="76"/>
        <v>#N/A</v>
      </c>
      <c r="F981" s="79" t="e">
        <f>ROUND(VLOOKUP(C981,'RAW DATA 2023'!E:BO,23,0),0)</f>
        <v>#N/A</v>
      </c>
      <c r="G981" s="79" t="e">
        <f>VLOOKUP(C981,'RAW DATA 2023'!E:BO,24,0)</f>
        <v>#N/A</v>
      </c>
      <c r="H981" s="79" t="str">
        <f>IFERROR(VLOOKUP(F981,STD!A:G,3,TRUE),"")</f>
        <v/>
      </c>
      <c r="I981" s="100">
        <f t="shared" si="77"/>
        <v>0</v>
      </c>
      <c r="J981" s="74">
        <f t="shared" si="78"/>
        <v>-15</v>
      </c>
      <c r="K981" t="e">
        <f>VLOOKUP(C981,'RAW DATA 2023'!E:BO,12,0)</f>
        <v>#N/A</v>
      </c>
      <c r="L981" s="268" t="e">
        <f t="shared" si="79"/>
        <v>#N/A</v>
      </c>
      <c r="M981"/>
    </row>
    <row r="982" spans="1:13">
      <c r="A982" s="64">
        <f>'RAW DATA 2023'!B975</f>
        <v>0</v>
      </c>
      <c r="B982" s="64">
        <f>'RAW DATA 2023'!D975</f>
        <v>0</v>
      </c>
      <c r="C982" s="63" t="str">
        <f t="shared" si="75"/>
        <v>00</v>
      </c>
      <c r="D982" s="63" t="e">
        <f>VLOOKUP(C982,'RAW DATA 2023'!E:BP,63,0)</f>
        <v>#N/A</v>
      </c>
      <c r="E982" s="63" t="e">
        <f t="shared" si="76"/>
        <v>#N/A</v>
      </c>
      <c r="F982" s="79" t="e">
        <f>ROUND(VLOOKUP(C982,'RAW DATA 2023'!E:BO,23,0),0)</f>
        <v>#N/A</v>
      </c>
      <c r="G982" s="79" t="e">
        <f>VLOOKUP(C982,'RAW DATA 2023'!E:BO,24,0)</f>
        <v>#N/A</v>
      </c>
      <c r="H982" s="79" t="str">
        <f>IFERROR(VLOOKUP(F982,STD!A:G,3,TRUE),"")</f>
        <v/>
      </c>
      <c r="I982" s="100">
        <f t="shared" si="77"/>
        <v>0</v>
      </c>
      <c r="J982" s="74">
        <f t="shared" si="78"/>
        <v>-15</v>
      </c>
      <c r="K982" t="e">
        <f>VLOOKUP(C982,'RAW DATA 2023'!E:BO,12,0)</f>
        <v>#N/A</v>
      </c>
      <c r="L982" s="268" t="e">
        <f t="shared" si="79"/>
        <v>#N/A</v>
      </c>
      <c r="M982"/>
    </row>
    <row r="983" spans="1:13">
      <c r="A983" s="64">
        <f>'RAW DATA 2023'!B976</f>
        <v>0</v>
      </c>
      <c r="B983" s="64">
        <f>'RAW DATA 2023'!D976</f>
        <v>0</v>
      </c>
      <c r="C983" s="63" t="str">
        <f t="shared" si="75"/>
        <v>00</v>
      </c>
      <c r="D983" s="63" t="e">
        <f>VLOOKUP(C983,'RAW DATA 2023'!E:BP,63,0)</f>
        <v>#N/A</v>
      </c>
      <c r="E983" s="63" t="e">
        <f t="shared" si="76"/>
        <v>#N/A</v>
      </c>
      <c r="F983" s="79" t="e">
        <f>ROUND(VLOOKUP(C983,'RAW DATA 2023'!E:BO,23,0),0)</f>
        <v>#N/A</v>
      </c>
      <c r="G983" s="79" t="e">
        <f>VLOOKUP(C983,'RAW DATA 2023'!E:BO,24,0)</f>
        <v>#N/A</v>
      </c>
      <c r="H983" s="79" t="str">
        <f>IFERROR(VLOOKUP(F983,STD!A:G,3,TRUE),"")</f>
        <v/>
      </c>
      <c r="I983" s="100">
        <f t="shared" si="77"/>
        <v>0</v>
      </c>
      <c r="J983" s="74">
        <f t="shared" si="78"/>
        <v>-15</v>
      </c>
      <c r="K983" t="e">
        <f>VLOOKUP(C983,'RAW DATA 2023'!E:BO,12,0)</f>
        <v>#N/A</v>
      </c>
      <c r="L983" s="268" t="e">
        <f t="shared" si="79"/>
        <v>#N/A</v>
      </c>
      <c r="M983"/>
    </row>
    <row r="984" spans="1:13">
      <c r="A984" s="64">
        <f>'RAW DATA 2023'!B977</f>
        <v>0</v>
      </c>
      <c r="B984" s="64">
        <f>'RAW DATA 2023'!D977</f>
        <v>0</v>
      </c>
      <c r="C984" s="63" t="str">
        <f t="shared" si="75"/>
        <v>00</v>
      </c>
      <c r="D984" s="63" t="e">
        <f>VLOOKUP(C984,'RAW DATA 2023'!E:BP,63,0)</f>
        <v>#N/A</v>
      </c>
      <c r="E984" s="63" t="e">
        <f t="shared" si="76"/>
        <v>#N/A</v>
      </c>
      <c r="F984" s="79" t="e">
        <f>ROUND(VLOOKUP(C984,'RAW DATA 2023'!E:BO,23,0),0)</f>
        <v>#N/A</v>
      </c>
      <c r="G984" s="79" t="e">
        <f>VLOOKUP(C984,'RAW DATA 2023'!E:BO,24,0)</f>
        <v>#N/A</v>
      </c>
      <c r="H984" s="79" t="str">
        <f>IFERROR(VLOOKUP(F984,STD!A:G,3,TRUE),"")</f>
        <v/>
      </c>
      <c r="I984" s="100">
        <f t="shared" si="77"/>
        <v>0</v>
      </c>
      <c r="J984" s="74">
        <f t="shared" si="78"/>
        <v>-15</v>
      </c>
      <c r="K984" t="e">
        <f>VLOOKUP(C984,'RAW DATA 2023'!E:BO,12,0)</f>
        <v>#N/A</v>
      </c>
      <c r="L984" s="268" t="e">
        <f t="shared" si="79"/>
        <v>#N/A</v>
      </c>
      <c r="M984"/>
    </row>
    <row r="985" spans="1:13">
      <c r="A985" s="64">
        <f>'RAW DATA 2023'!B978</f>
        <v>0</v>
      </c>
      <c r="B985" s="64">
        <f>'RAW DATA 2023'!D978</f>
        <v>0</v>
      </c>
      <c r="C985" s="63" t="str">
        <f t="shared" si="75"/>
        <v>00</v>
      </c>
      <c r="D985" s="63" t="e">
        <f>VLOOKUP(C985,'RAW DATA 2023'!E:BP,63,0)</f>
        <v>#N/A</v>
      </c>
      <c r="E985" s="63" t="e">
        <f t="shared" si="76"/>
        <v>#N/A</v>
      </c>
      <c r="F985" s="79" t="e">
        <f>ROUND(VLOOKUP(C985,'RAW DATA 2023'!E:BO,23,0),0)</f>
        <v>#N/A</v>
      </c>
      <c r="G985" s="79" t="e">
        <f>VLOOKUP(C985,'RAW DATA 2023'!E:BO,24,0)</f>
        <v>#N/A</v>
      </c>
      <c r="H985" s="79" t="str">
        <f>IFERROR(VLOOKUP(F985,STD!A:G,3,TRUE),"")</f>
        <v/>
      </c>
      <c r="I985" s="100">
        <f t="shared" si="77"/>
        <v>0</v>
      </c>
      <c r="J985" s="74">
        <f t="shared" si="78"/>
        <v>-15</v>
      </c>
      <c r="K985" t="e">
        <f>VLOOKUP(C985,'RAW DATA 2023'!E:BO,12,0)</f>
        <v>#N/A</v>
      </c>
      <c r="L985" s="268" t="e">
        <f t="shared" si="79"/>
        <v>#N/A</v>
      </c>
      <c r="M985"/>
    </row>
    <row r="986" spans="1:13">
      <c r="A986" s="64">
        <f>'RAW DATA 2023'!B979</f>
        <v>0</v>
      </c>
      <c r="B986" s="64">
        <f>'RAW DATA 2023'!D979</f>
        <v>0</v>
      </c>
      <c r="C986" s="63" t="str">
        <f t="shared" si="75"/>
        <v>00</v>
      </c>
      <c r="D986" s="63" t="e">
        <f>VLOOKUP(C986,'RAW DATA 2023'!E:BP,63,0)</f>
        <v>#N/A</v>
      </c>
      <c r="E986" s="63" t="e">
        <f t="shared" si="76"/>
        <v>#N/A</v>
      </c>
      <c r="F986" s="79" t="e">
        <f>ROUND(VLOOKUP(C986,'RAW DATA 2023'!E:BO,23,0),0)</f>
        <v>#N/A</v>
      </c>
      <c r="G986" s="79" t="e">
        <f>VLOOKUP(C986,'RAW DATA 2023'!E:BO,24,0)</f>
        <v>#N/A</v>
      </c>
      <c r="H986" s="79" t="str">
        <f>IFERROR(VLOOKUP(F986,STD!A:G,3,TRUE),"")</f>
        <v/>
      </c>
      <c r="I986" s="100">
        <f t="shared" si="77"/>
        <v>0</v>
      </c>
      <c r="J986" s="74">
        <f t="shared" si="78"/>
        <v>-15</v>
      </c>
      <c r="K986" t="e">
        <f>VLOOKUP(C986,'RAW DATA 2023'!E:BO,12,0)</f>
        <v>#N/A</v>
      </c>
      <c r="L986" s="268" t="e">
        <f t="shared" si="79"/>
        <v>#N/A</v>
      </c>
      <c r="M986"/>
    </row>
    <row r="987" spans="1:13">
      <c r="A987" s="64">
        <f>'RAW DATA 2023'!B980</f>
        <v>0</v>
      </c>
      <c r="B987" s="64">
        <f>'RAW DATA 2023'!D980</f>
        <v>0</v>
      </c>
      <c r="C987" s="63" t="str">
        <f t="shared" si="75"/>
        <v>00</v>
      </c>
      <c r="D987" s="63" t="e">
        <f>VLOOKUP(C987,'RAW DATA 2023'!E:BP,63,0)</f>
        <v>#N/A</v>
      </c>
      <c r="E987" s="63" t="e">
        <f t="shared" si="76"/>
        <v>#N/A</v>
      </c>
      <c r="F987" s="79" t="e">
        <f>ROUND(VLOOKUP(C987,'RAW DATA 2023'!E:BO,23,0),0)</f>
        <v>#N/A</v>
      </c>
      <c r="G987" s="79" t="e">
        <f>VLOOKUP(C987,'RAW DATA 2023'!E:BO,24,0)</f>
        <v>#N/A</v>
      </c>
      <c r="H987" s="79" t="str">
        <f>IFERROR(VLOOKUP(F987,STD!A:G,3,TRUE),"")</f>
        <v/>
      </c>
      <c r="I987" s="100">
        <f t="shared" si="77"/>
        <v>0</v>
      </c>
      <c r="J987" s="74">
        <f t="shared" si="78"/>
        <v>-15</v>
      </c>
      <c r="K987" t="e">
        <f>VLOOKUP(C987,'RAW DATA 2023'!E:BO,12,0)</f>
        <v>#N/A</v>
      </c>
      <c r="L987" s="268" t="e">
        <f t="shared" si="79"/>
        <v>#N/A</v>
      </c>
      <c r="M987"/>
    </row>
    <row r="988" spans="1:13">
      <c r="A988" s="64">
        <f>'RAW DATA 2023'!B981</f>
        <v>0</v>
      </c>
      <c r="B988" s="64">
        <f>'RAW DATA 2023'!D981</f>
        <v>0</v>
      </c>
      <c r="C988" s="63" t="str">
        <f t="shared" si="75"/>
        <v>00</v>
      </c>
      <c r="D988" s="63" t="e">
        <f>VLOOKUP(C988,'RAW DATA 2023'!E:BP,63,0)</f>
        <v>#N/A</v>
      </c>
      <c r="E988" s="63" t="e">
        <f t="shared" si="76"/>
        <v>#N/A</v>
      </c>
      <c r="F988" s="79" t="e">
        <f>ROUND(VLOOKUP(C988,'RAW DATA 2023'!E:BO,23,0),0)</f>
        <v>#N/A</v>
      </c>
      <c r="G988" s="79" t="e">
        <f>VLOOKUP(C988,'RAW DATA 2023'!E:BO,24,0)</f>
        <v>#N/A</v>
      </c>
      <c r="H988" s="79" t="str">
        <f>IFERROR(VLOOKUP(F988,STD!A:G,3,TRUE),"")</f>
        <v/>
      </c>
      <c r="I988" s="100">
        <f t="shared" si="77"/>
        <v>0</v>
      </c>
      <c r="J988" s="74">
        <f t="shared" si="78"/>
        <v>-15</v>
      </c>
      <c r="K988" t="e">
        <f>VLOOKUP(C988,'RAW DATA 2023'!E:BO,12,0)</f>
        <v>#N/A</v>
      </c>
      <c r="L988" s="268" t="e">
        <f t="shared" si="79"/>
        <v>#N/A</v>
      </c>
      <c r="M988"/>
    </row>
    <row r="989" spans="1:13">
      <c r="A989" s="64">
        <f>'RAW DATA 2023'!B982</f>
        <v>0</v>
      </c>
      <c r="B989" s="64">
        <f>'RAW DATA 2023'!D982</f>
        <v>0</v>
      </c>
      <c r="C989" s="63" t="str">
        <f t="shared" si="75"/>
        <v>00</v>
      </c>
      <c r="D989" s="63" t="e">
        <f>VLOOKUP(C989,'RAW DATA 2023'!E:BP,63,0)</f>
        <v>#N/A</v>
      </c>
      <c r="E989" s="63" t="e">
        <f t="shared" si="76"/>
        <v>#N/A</v>
      </c>
      <c r="F989" s="79" t="e">
        <f>ROUND(VLOOKUP(C989,'RAW DATA 2023'!E:BO,23,0),0)</f>
        <v>#N/A</v>
      </c>
      <c r="G989" s="79" t="e">
        <f>VLOOKUP(C989,'RAW DATA 2023'!E:BO,24,0)</f>
        <v>#N/A</v>
      </c>
      <c r="H989" s="79" t="str">
        <f>IFERROR(VLOOKUP(F989,STD!A:G,3,TRUE),"")</f>
        <v/>
      </c>
      <c r="I989" s="100">
        <f t="shared" si="77"/>
        <v>0</v>
      </c>
      <c r="J989" s="74">
        <f t="shared" si="78"/>
        <v>-15</v>
      </c>
      <c r="K989" t="e">
        <f>VLOOKUP(C989,'RAW DATA 2023'!E:BO,12,0)</f>
        <v>#N/A</v>
      </c>
      <c r="L989" s="268" t="e">
        <f t="shared" si="79"/>
        <v>#N/A</v>
      </c>
      <c r="M989"/>
    </row>
    <row r="990" spans="1:13">
      <c r="A990" s="64">
        <f>'RAW DATA 2023'!B983</f>
        <v>0</v>
      </c>
      <c r="B990" s="64">
        <f>'RAW DATA 2023'!D983</f>
        <v>0</v>
      </c>
      <c r="C990" s="63" t="str">
        <f t="shared" si="75"/>
        <v>00</v>
      </c>
      <c r="D990" s="63" t="e">
        <f>VLOOKUP(C990,'RAW DATA 2023'!E:BP,63,0)</f>
        <v>#N/A</v>
      </c>
      <c r="E990" s="63" t="e">
        <f t="shared" si="76"/>
        <v>#N/A</v>
      </c>
      <c r="F990" s="79" t="e">
        <f>ROUND(VLOOKUP(C990,'RAW DATA 2023'!E:BO,23,0),0)</f>
        <v>#N/A</v>
      </c>
      <c r="G990" s="79" t="e">
        <f>VLOOKUP(C990,'RAW DATA 2023'!E:BO,24,0)</f>
        <v>#N/A</v>
      </c>
      <c r="H990" s="79" t="str">
        <f>IFERROR(VLOOKUP(F990,STD!A:G,3,TRUE),"")</f>
        <v/>
      </c>
      <c r="I990" s="100">
        <f t="shared" si="77"/>
        <v>0</v>
      </c>
      <c r="J990" s="74">
        <f t="shared" si="78"/>
        <v>-15</v>
      </c>
      <c r="K990" t="e">
        <f>VLOOKUP(C990,'RAW DATA 2023'!E:BO,12,0)</f>
        <v>#N/A</v>
      </c>
      <c r="L990" s="268" t="e">
        <f t="shared" si="79"/>
        <v>#N/A</v>
      </c>
      <c r="M990"/>
    </row>
    <row r="991" spans="1:13">
      <c r="A991" s="64">
        <f>'RAW DATA 2023'!B984</f>
        <v>0</v>
      </c>
      <c r="B991" s="64">
        <f>'RAW DATA 2023'!D984</f>
        <v>0</v>
      </c>
      <c r="C991" s="63" t="str">
        <f t="shared" si="75"/>
        <v>00</v>
      </c>
      <c r="D991" s="63" t="e">
        <f>VLOOKUP(C991,'RAW DATA 2023'!E:BP,63,0)</f>
        <v>#N/A</v>
      </c>
      <c r="E991" s="63" t="e">
        <f t="shared" si="76"/>
        <v>#N/A</v>
      </c>
      <c r="F991" s="79" t="e">
        <f>ROUND(VLOOKUP(C991,'RAW DATA 2023'!E:BO,23,0),0)</f>
        <v>#N/A</v>
      </c>
      <c r="G991" s="79" t="e">
        <f>VLOOKUP(C991,'RAW DATA 2023'!E:BO,24,0)</f>
        <v>#N/A</v>
      </c>
      <c r="H991" s="79" t="str">
        <f>IFERROR(VLOOKUP(F991,STD!A:G,3,TRUE),"")</f>
        <v/>
      </c>
      <c r="I991" s="100">
        <f t="shared" si="77"/>
        <v>0</v>
      </c>
      <c r="J991" s="74">
        <f t="shared" si="78"/>
        <v>-15</v>
      </c>
      <c r="K991" t="e">
        <f>VLOOKUP(C991,'RAW DATA 2023'!E:BO,12,0)</f>
        <v>#N/A</v>
      </c>
      <c r="L991" s="268" t="e">
        <f t="shared" si="79"/>
        <v>#N/A</v>
      </c>
      <c r="M991"/>
    </row>
    <row r="992" spans="1:13">
      <c r="A992" s="64">
        <f>'RAW DATA 2023'!B985</f>
        <v>0</v>
      </c>
      <c r="B992" s="64">
        <f>'RAW DATA 2023'!D985</f>
        <v>0</v>
      </c>
      <c r="C992" s="63" t="str">
        <f t="shared" si="75"/>
        <v>00</v>
      </c>
      <c r="D992" s="63" t="e">
        <f>VLOOKUP(C992,'RAW DATA 2023'!E:BP,63,0)</f>
        <v>#N/A</v>
      </c>
      <c r="E992" s="63" t="e">
        <f t="shared" si="76"/>
        <v>#N/A</v>
      </c>
      <c r="F992" s="79" t="e">
        <f>ROUND(VLOOKUP(C992,'RAW DATA 2023'!E:BO,23,0),0)</f>
        <v>#N/A</v>
      </c>
      <c r="G992" s="79" t="e">
        <f>VLOOKUP(C992,'RAW DATA 2023'!E:BO,24,0)</f>
        <v>#N/A</v>
      </c>
      <c r="H992" s="79" t="str">
        <f>IFERROR(VLOOKUP(F992,STD!A:G,3,TRUE),"")</f>
        <v/>
      </c>
      <c r="I992" s="100">
        <f t="shared" si="77"/>
        <v>0</v>
      </c>
      <c r="J992" s="74">
        <f t="shared" si="78"/>
        <v>-15</v>
      </c>
      <c r="K992" t="e">
        <f>VLOOKUP(C992,'RAW DATA 2023'!E:BO,12,0)</f>
        <v>#N/A</v>
      </c>
      <c r="L992" s="268" t="e">
        <f t="shared" si="79"/>
        <v>#N/A</v>
      </c>
      <c r="M992"/>
    </row>
    <row r="993" spans="1:13">
      <c r="A993" s="64">
        <f>'RAW DATA 2023'!B986</f>
        <v>0</v>
      </c>
      <c r="B993" s="64">
        <f>'RAW DATA 2023'!D986</f>
        <v>0</v>
      </c>
      <c r="C993" s="63" t="str">
        <f t="shared" si="75"/>
        <v>00</v>
      </c>
      <c r="D993" s="63" t="e">
        <f>VLOOKUP(C993,'RAW DATA 2023'!E:BP,63,0)</f>
        <v>#N/A</v>
      </c>
      <c r="E993" s="63" t="e">
        <f t="shared" si="76"/>
        <v>#N/A</v>
      </c>
      <c r="F993" s="79" t="e">
        <f>ROUND(VLOOKUP(C993,'RAW DATA 2023'!E:BO,23,0),0)</f>
        <v>#N/A</v>
      </c>
      <c r="G993" s="79" t="e">
        <f>VLOOKUP(C993,'RAW DATA 2023'!E:BO,24,0)</f>
        <v>#N/A</v>
      </c>
      <c r="H993" s="79" t="str">
        <f>IFERROR(VLOOKUP(F993,STD!A:G,3,TRUE),"")</f>
        <v/>
      </c>
      <c r="I993" s="100">
        <f t="shared" si="77"/>
        <v>0</v>
      </c>
      <c r="J993" s="74">
        <f t="shared" si="78"/>
        <v>-15</v>
      </c>
      <c r="K993" t="e">
        <f>VLOOKUP(C993,'RAW DATA 2023'!E:BO,12,0)</f>
        <v>#N/A</v>
      </c>
      <c r="L993" s="268" t="e">
        <f t="shared" si="79"/>
        <v>#N/A</v>
      </c>
      <c r="M993"/>
    </row>
    <row r="994" spans="1:13">
      <c r="A994" s="64">
        <f>'RAW DATA 2023'!B987</f>
        <v>0</v>
      </c>
      <c r="B994" s="64">
        <f>'RAW DATA 2023'!D987</f>
        <v>0</v>
      </c>
      <c r="C994" s="63" t="str">
        <f t="shared" si="75"/>
        <v>00</v>
      </c>
      <c r="D994" s="63" t="e">
        <f>VLOOKUP(C994,'RAW DATA 2023'!E:BP,63,0)</f>
        <v>#N/A</v>
      </c>
      <c r="E994" s="63" t="e">
        <f t="shared" si="76"/>
        <v>#N/A</v>
      </c>
      <c r="F994" s="79" t="e">
        <f>ROUND(VLOOKUP(C994,'RAW DATA 2023'!E:BO,23,0),0)</f>
        <v>#N/A</v>
      </c>
      <c r="G994" s="79" t="e">
        <f>VLOOKUP(C994,'RAW DATA 2023'!E:BO,24,0)</f>
        <v>#N/A</v>
      </c>
      <c r="H994" s="79" t="str">
        <f>IFERROR(VLOOKUP(F994,STD!A:G,3,TRUE),"")</f>
        <v/>
      </c>
      <c r="I994" s="100">
        <f t="shared" si="77"/>
        <v>0</v>
      </c>
      <c r="J994" s="74">
        <f t="shared" si="78"/>
        <v>-15</v>
      </c>
      <c r="K994" t="e">
        <f>VLOOKUP(C994,'RAW DATA 2023'!E:BO,12,0)</f>
        <v>#N/A</v>
      </c>
      <c r="L994" s="268" t="e">
        <f t="shared" si="79"/>
        <v>#N/A</v>
      </c>
      <c r="M994"/>
    </row>
    <row r="995" spans="1:13">
      <c r="A995" s="64">
        <f>'RAW DATA 2023'!B988</f>
        <v>0</v>
      </c>
      <c r="B995" s="64">
        <f>'RAW DATA 2023'!D988</f>
        <v>0</v>
      </c>
      <c r="C995" s="63" t="str">
        <f t="shared" si="75"/>
        <v>00</v>
      </c>
      <c r="D995" s="63" t="e">
        <f>VLOOKUP(C995,'RAW DATA 2023'!E:BP,63,0)</f>
        <v>#N/A</v>
      </c>
      <c r="E995" s="63" t="e">
        <f t="shared" si="76"/>
        <v>#N/A</v>
      </c>
      <c r="F995" s="79" t="e">
        <f>ROUND(VLOOKUP(C995,'RAW DATA 2023'!E:BO,23,0),0)</f>
        <v>#N/A</v>
      </c>
      <c r="G995" s="79" t="e">
        <f>VLOOKUP(C995,'RAW DATA 2023'!E:BO,24,0)</f>
        <v>#N/A</v>
      </c>
      <c r="H995" s="79" t="str">
        <f>IFERROR(VLOOKUP(F995,STD!A:G,3,TRUE),"")</f>
        <v/>
      </c>
      <c r="I995" s="100">
        <f t="shared" si="77"/>
        <v>0</v>
      </c>
      <c r="J995" s="74">
        <f t="shared" si="78"/>
        <v>-15</v>
      </c>
      <c r="K995" t="e">
        <f>VLOOKUP(C995,'RAW DATA 2023'!E:BO,12,0)</f>
        <v>#N/A</v>
      </c>
      <c r="L995" s="268" t="e">
        <f t="shared" si="79"/>
        <v>#N/A</v>
      </c>
      <c r="M995"/>
    </row>
    <row r="996" spans="1:13">
      <c r="A996" s="64">
        <f>'RAW DATA 2023'!B989</f>
        <v>0</v>
      </c>
      <c r="B996" s="64">
        <f>'RAW DATA 2023'!D989</f>
        <v>0</v>
      </c>
      <c r="C996" s="63" t="str">
        <f t="shared" si="75"/>
        <v>00</v>
      </c>
      <c r="D996" s="63" t="e">
        <f>VLOOKUP(C996,'RAW DATA 2023'!E:BP,63,0)</f>
        <v>#N/A</v>
      </c>
      <c r="E996" s="63" t="e">
        <f t="shared" si="76"/>
        <v>#N/A</v>
      </c>
      <c r="F996" s="79" t="e">
        <f>ROUND(VLOOKUP(C996,'RAW DATA 2023'!E:BO,23,0),0)</f>
        <v>#N/A</v>
      </c>
      <c r="G996" s="79" t="e">
        <f>VLOOKUP(C996,'RAW DATA 2023'!E:BO,24,0)</f>
        <v>#N/A</v>
      </c>
      <c r="H996" s="79" t="str">
        <f>IFERROR(VLOOKUP(F996,STD!A:G,3,TRUE),"")</f>
        <v/>
      </c>
      <c r="I996" s="100">
        <f t="shared" si="77"/>
        <v>0</v>
      </c>
      <c r="J996" s="74">
        <f t="shared" si="78"/>
        <v>-15</v>
      </c>
      <c r="K996" t="e">
        <f>VLOOKUP(C996,'RAW DATA 2023'!E:BO,12,0)</f>
        <v>#N/A</v>
      </c>
      <c r="L996" s="268" t="e">
        <f t="shared" si="79"/>
        <v>#N/A</v>
      </c>
      <c r="M996"/>
    </row>
    <row r="997" spans="1:13">
      <c r="A997" s="64">
        <f>'RAW DATA 2023'!B990</f>
        <v>0</v>
      </c>
      <c r="B997" s="64">
        <f>'RAW DATA 2023'!D990</f>
        <v>0</v>
      </c>
      <c r="C997" s="63" t="str">
        <f t="shared" si="75"/>
        <v>00</v>
      </c>
      <c r="D997" s="63" t="e">
        <f>VLOOKUP(C997,'RAW DATA 2023'!E:BP,63,0)</f>
        <v>#N/A</v>
      </c>
      <c r="E997" s="63" t="e">
        <f t="shared" si="76"/>
        <v>#N/A</v>
      </c>
      <c r="F997" s="79" t="e">
        <f>ROUND(VLOOKUP(C997,'RAW DATA 2023'!E:BO,23,0),0)</f>
        <v>#N/A</v>
      </c>
      <c r="G997" s="79" t="e">
        <f>VLOOKUP(C997,'RAW DATA 2023'!E:BO,24,0)</f>
        <v>#N/A</v>
      </c>
      <c r="H997" s="79" t="str">
        <f>IFERROR(VLOOKUP(F997,STD!A:G,3,TRUE),"")</f>
        <v/>
      </c>
      <c r="I997" s="100">
        <f t="shared" si="77"/>
        <v>0</v>
      </c>
      <c r="J997" s="74">
        <f t="shared" si="78"/>
        <v>-15</v>
      </c>
      <c r="K997" t="e">
        <f>VLOOKUP(C997,'RAW DATA 2023'!E:BO,12,0)</f>
        <v>#N/A</v>
      </c>
      <c r="L997" s="268" t="e">
        <f t="shared" si="79"/>
        <v>#N/A</v>
      </c>
      <c r="M997"/>
    </row>
    <row r="998" spans="1:13">
      <c r="A998" s="64">
        <f>'RAW DATA 2023'!B991</f>
        <v>0</v>
      </c>
      <c r="B998" s="64">
        <f>'RAW DATA 2023'!D991</f>
        <v>0</v>
      </c>
      <c r="C998" s="63" t="str">
        <f t="shared" si="75"/>
        <v>00</v>
      </c>
      <c r="D998" s="63" t="e">
        <f>VLOOKUP(C998,'RAW DATA 2023'!E:BP,63,0)</f>
        <v>#N/A</v>
      </c>
      <c r="E998" s="63" t="e">
        <f t="shared" si="76"/>
        <v>#N/A</v>
      </c>
      <c r="F998" s="79" t="e">
        <f>ROUND(VLOOKUP(C998,'RAW DATA 2023'!E:BO,23,0),0)</f>
        <v>#N/A</v>
      </c>
      <c r="G998" s="79" t="e">
        <f>VLOOKUP(C998,'RAW DATA 2023'!E:BO,24,0)</f>
        <v>#N/A</v>
      </c>
      <c r="H998" s="79" t="str">
        <f>IFERROR(VLOOKUP(F998,STD!A:G,3,TRUE),"")</f>
        <v/>
      </c>
      <c r="I998" s="100">
        <f t="shared" si="77"/>
        <v>0</v>
      </c>
      <c r="J998" s="74">
        <f t="shared" si="78"/>
        <v>-15</v>
      </c>
      <c r="K998" t="e">
        <f>VLOOKUP(C998,'RAW DATA 2023'!E:BO,12,0)</f>
        <v>#N/A</v>
      </c>
      <c r="L998" s="268" t="e">
        <f t="shared" si="79"/>
        <v>#N/A</v>
      </c>
      <c r="M998"/>
    </row>
    <row r="999" spans="1:13">
      <c r="A999" s="64">
        <f>'RAW DATA 2023'!B992</f>
        <v>0</v>
      </c>
      <c r="B999" s="64">
        <f>'RAW DATA 2023'!D992</f>
        <v>0</v>
      </c>
      <c r="C999" s="63" t="str">
        <f t="shared" si="75"/>
        <v>00</v>
      </c>
      <c r="D999" s="63" t="e">
        <f>VLOOKUP(C999,'RAW DATA 2023'!E:BP,63,0)</f>
        <v>#N/A</v>
      </c>
      <c r="E999" s="63" t="e">
        <f t="shared" si="76"/>
        <v>#N/A</v>
      </c>
      <c r="F999" s="79" t="e">
        <f>ROUND(VLOOKUP(C999,'RAW DATA 2023'!E:BO,23,0),0)</f>
        <v>#N/A</v>
      </c>
      <c r="G999" s="79" t="e">
        <f>VLOOKUP(C999,'RAW DATA 2023'!E:BO,24,0)</f>
        <v>#N/A</v>
      </c>
      <c r="H999" s="79" t="str">
        <f>IFERROR(VLOOKUP(F999,STD!A:G,3,TRUE),"")</f>
        <v/>
      </c>
      <c r="I999" s="100">
        <f t="shared" si="77"/>
        <v>0</v>
      </c>
      <c r="J999" s="74">
        <f t="shared" si="78"/>
        <v>-15</v>
      </c>
      <c r="K999" t="e">
        <f>VLOOKUP(C999,'RAW DATA 2023'!E:BO,12,0)</f>
        <v>#N/A</v>
      </c>
      <c r="L999" s="268" t="e">
        <f t="shared" si="79"/>
        <v>#N/A</v>
      </c>
      <c r="M999"/>
    </row>
    <row r="1000" spans="1:13">
      <c r="A1000" s="64">
        <f>'RAW DATA 2023'!B993</f>
        <v>0</v>
      </c>
      <c r="B1000" s="64">
        <f>'RAW DATA 2023'!D993</f>
        <v>0</v>
      </c>
      <c r="C1000" s="63" t="str">
        <f t="shared" si="75"/>
        <v>00</v>
      </c>
      <c r="D1000" s="63" t="e">
        <f>VLOOKUP(C1000,'RAW DATA 2023'!E:BP,63,0)</f>
        <v>#N/A</v>
      </c>
      <c r="E1000" s="63" t="e">
        <f t="shared" si="76"/>
        <v>#N/A</v>
      </c>
      <c r="F1000" s="79" t="e">
        <f>ROUND(VLOOKUP(C1000,'RAW DATA 2023'!E:BO,23,0),0)</f>
        <v>#N/A</v>
      </c>
      <c r="G1000" s="79" t="e">
        <f>VLOOKUP(C1000,'RAW DATA 2023'!E:BO,24,0)</f>
        <v>#N/A</v>
      </c>
      <c r="H1000" s="79" t="str">
        <f>IFERROR(VLOOKUP(F1000,STD!A:G,3,TRUE),"")</f>
        <v/>
      </c>
      <c r="I1000" s="100">
        <f t="shared" si="77"/>
        <v>0</v>
      </c>
      <c r="J1000" s="74">
        <f t="shared" si="78"/>
        <v>-15</v>
      </c>
      <c r="K1000" t="e">
        <f>VLOOKUP(C1000,'RAW DATA 2023'!E:BO,12,0)</f>
        <v>#N/A</v>
      </c>
      <c r="L1000" s="268" t="e">
        <f t="shared" si="79"/>
        <v>#N/A</v>
      </c>
      <c r="M1000"/>
    </row>
    <row r="1001" spans="1:13">
      <c r="A1001" s="64">
        <f>'RAW DATA 2023'!B994</f>
        <v>0</v>
      </c>
      <c r="B1001" s="64">
        <f>'RAW DATA 2023'!D994</f>
        <v>0</v>
      </c>
      <c r="C1001" s="63" t="str">
        <f t="shared" si="75"/>
        <v>00</v>
      </c>
      <c r="D1001" s="63" t="e">
        <f>VLOOKUP(C1001,'RAW DATA 2023'!E:BP,63,0)</f>
        <v>#N/A</v>
      </c>
      <c r="E1001" s="63" t="e">
        <f t="shared" si="76"/>
        <v>#N/A</v>
      </c>
      <c r="F1001" s="79" t="e">
        <f>ROUND(VLOOKUP(C1001,'RAW DATA 2023'!E:BO,23,0),0)</f>
        <v>#N/A</v>
      </c>
      <c r="G1001" s="79" t="e">
        <f>VLOOKUP(C1001,'RAW DATA 2023'!E:BO,24,0)</f>
        <v>#N/A</v>
      </c>
      <c r="H1001" s="79" t="str">
        <f>IFERROR(VLOOKUP(F1001,STD!A:G,3,TRUE),"")</f>
        <v/>
      </c>
      <c r="I1001" s="100">
        <f t="shared" si="77"/>
        <v>0</v>
      </c>
      <c r="J1001" s="74">
        <f t="shared" si="78"/>
        <v>-15</v>
      </c>
      <c r="K1001" t="e">
        <f>VLOOKUP(C1001,'RAW DATA 2023'!E:BO,12,0)</f>
        <v>#N/A</v>
      </c>
      <c r="L1001" s="268" t="e">
        <f t="shared" si="79"/>
        <v>#N/A</v>
      </c>
      <c r="M1001"/>
    </row>
    <row r="1002" spans="1:13">
      <c r="A1002" s="64">
        <f>'RAW DATA 2023'!B995</f>
        <v>0</v>
      </c>
      <c r="B1002" s="64">
        <f>'RAW DATA 2023'!D995</f>
        <v>0</v>
      </c>
      <c r="C1002" s="63" t="str">
        <f t="shared" si="75"/>
        <v>00</v>
      </c>
      <c r="D1002" s="63" t="e">
        <f>VLOOKUP(C1002,'RAW DATA 2023'!E:BP,63,0)</f>
        <v>#N/A</v>
      </c>
      <c r="E1002" s="63" t="e">
        <f t="shared" si="76"/>
        <v>#N/A</v>
      </c>
      <c r="F1002" s="79" t="e">
        <f>ROUND(VLOOKUP(C1002,'RAW DATA 2023'!E:BO,23,0),0)</f>
        <v>#N/A</v>
      </c>
      <c r="G1002" s="79" t="e">
        <f>VLOOKUP(C1002,'RAW DATA 2023'!E:BO,24,0)</f>
        <v>#N/A</v>
      </c>
      <c r="H1002" s="79" t="str">
        <f>IFERROR(VLOOKUP(F1002,STD!A:G,3,TRUE),"")</f>
        <v/>
      </c>
      <c r="I1002" s="100">
        <f t="shared" si="77"/>
        <v>0</v>
      </c>
      <c r="J1002" s="74">
        <f t="shared" si="78"/>
        <v>-15</v>
      </c>
      <c r="K1002" t="e">
        <f>VLOOKUP(C1002,'RAW DATA 2023'!E:BO,12,0)</f>
        <v>#N/A</v>
      </c>
      <c r="L1002" s="268" t="e">
        <f t="shared" si="79"/>
        <v>#N/A</v>
      </c>
      <c r="M1002"/>
    </row>
    <row r="1003" spans="1:13">
      <c r="A1003" s="64">
        <f>'RAW DATA 2023'!B996</f>
        <v>0</v>
      </c>
      <c r="B1003" s="64">
        <f>'RAW DATA 2023'!D996</f>
        <v>0</v>
      </c>
      <c r="C1003" s="63" t="str">
        <f t="shared" si="75"/>
        <v>00</v>
      </c>
      <c r="D1003" s="63" t="e">
        <f>VLOOKUP(C1003,'RAW DATA 2023'!E:BP,63,0)</f>
        <v>#N/A</v>
      </c>
      <c r="E1003" s="63" t="e">
        <f t="shared" si="76"/>
        <v>#N/A</v>
      </c>
      <c r="F1003" s="79" t="e">
        <f>ROUND(VLOOKUP(C1003,'RAW DATA 2023'!E:BO,23,0),0)</f>
        <v>#N/A</v>
      </c>
      <c r="G1003" s="79" t="e">
        <f>VLOOKUP(C1003,'RAW DATA 2023'!E:BO,24,0)</f>
        <v>#N/A</v>
      </c>
      <c r="H1003" s="79" t="str">
        <f>IFERROR(VLOOKUP(F1003,STD!A:G,3,TRUE),"")</f>
        <v/>
      </c>
      <c r="I1003" s="100">
        <f t="shared" si="77"/>
        <v>0</v>
      </c>
      <c r="J1003" s="74">
        <f t="shared" si="78"/>
        <v>-15</v>
      </c>
      <c r="K1003" t="e">
        <f>VLOOKUP(C1003,'RAW DATA 2023'!E:BO,12,0)</f>
        <v>#N/A</v>
      </c>
      <c r="L1003" s="268" t="e">
        <f t="shared" si="79"/>
        <v>#N/A</v>
      </c>
      <c r="M1003"/>
    </row>
    <row r="1004" spans="1:13">
      <c r="A1004" s="64">
        <f>'RAW DATA 2023'!B997</f>
        <v>0</v>
      </c>
      <c r="B1004" s="64">
        <f>'RAW DATA 2023'!D997</f>
        <v>0</v>
      </c>
      <c r="C1004" s="63" t="str">
        <f t="shared" si="75"/>
        <v>00</v>
      </c>
      <c r="D1004" s="63" t="e">
        <f>VLOOKUP(C1004,'RAW DATA 2023'!E:BP,63,0)</f>
        <v>#N/A</v>
      </c>
      <c r="E1004" s="63" t="e">
        <f t="shared" si="76"/>
        <v>#N/A</v>
      </c>
      <c r="F1004" s="79" t="e">
        <f>ROUND(VLOOKUP(C1004,'RAW DATA 2023'!E:BO,23,0),0)</f>
        <v>#N/A</v>
      </c>
      <c r="G1004" s="79" t="e">
        <f>VLOOKUP(C1004,'RAW DATA 2023'!E:BO,24,0)</f>
        <v>#N/A</v>
      </c>
      <c r="H1004" s="79" t="str">
        <f>IFERROR(VLOOKUP(F1004,STD!A:G,3,TRUE),"")</f>
        <v/>
      </c>
      <c r="I1004" s="100">
        <f t="shared" si="77"/>
        <v>0</v>
      </c>
      <c r="J1004" s="74">
        <f t="shared" si="78"/>
        <v>-15</v>
      </c>
      <c r="K1004" t="e">
        <f>VLOOKUP(C1004,'RAW DATA 2023'!E:BO,12,0)</f>
        <v>#N/A</v>
      </c>
      <c r="L1004" s="268" t="e">
        <f t="shared" si="79"/>
        <v>#N/A</v>
      </c>
      <c r="M1004"/>
    </row>
    <row r="1005" spans="1:13">
      <c r="A1005" s="64">
        <f>'RAW DATA 2023'!B998</f>
        <v>0</v>
      </c>
      <c r="B1005" s="64">
        <f>'RAW DATA 2023'!D998</f>
        <v>0</v>
      </c>
      <c r="C1005" s="63" t="str">
        <f t="shared" si="75"/>
        <v>00</v>
      </c>
      <c r="D1005" s="63" t="e">
        <f>VLOOKUP(C1005,'RAW DATA 2023'!E:BP,63,0)</f>
        <v>#N/A</v>
      </c>
      <c r="E1005" s="63" t="e">
        <f t="shared" si="76"/>
        <v>#N/A</v>
      </c>
      <c r="F1005" s="79" t="e">
        <f>ROUND(VLOOKUP(C1005,'RAW DATA 2023'!E:BO,23,0),0)</f>
        <v>#N/A</v>
      </c>
      <c r="G1005" s="79" t="e">
        <f>VLOOKUP(C1005,'RAW DATA 2023'!E:BO,24,0)</f>
        <v>#N/A</v>
      </c>
      <c r="H1005" s="79" t="str">
        <f>IFERROR(VLOOKUP(F1005,STD!A:G,3,TRUE),"")</f>
        <v/>
      </c>
      <c r="I1005" s="100">
        <f t="shared" si="77"/>
        <v>0</v>
      </c>
      <c r="J1005" s="74">
        <f t="shared" si="78"/>
        <v>-15</v>
      </c>
      <c r="K1005" t="e">
        <f>VLOOKUP(C1005,'RAW DATA 2023'!E:BO,12,0)</f>
        <v>#N/A</v>
      </c>
      <c r="L1005" s="268" t="e">
        <f t="shared" si="79"/>
        <v>#N/A</v>
      </c>
      <c r="M1005"/>
    </row>
    <row r="1006" spans="1:13">
      <c r="A1006" s="64">
        <f>'RAW DATA 2023'!B999</f>
        <v>0</v>
      </c>
      <c r="B1006" s="64">
        <f>'RAW DATA 2023'!D999</f>
        <v>0</v>
      </c>
      <c r="C1006" s="63" t="str">
        <f t="shared" si="75"/>
        <v>00</v>
      </c>
      <c r="D1006" s="63" t="e">
        <f>VLOOKUP(C1006,'RAW DATA 2023'!E:BP,63,0)</f>
        <v>#N/A</v>
      </c>
      <c r="E1006" s="63" t="e">
        <f t="shared" si="76"/>
        <v>#N/A</v>
      </c>
      <c r="F1006" s="79" t="e">
        <f>ROUND(VLOOKUP(C1006,'RAW DATA 2023'!E:BO,23,0),0)</f>
        <v>#N/A</v>
      </c>
      <c r="G1006" s="79" t="e">
        <f>VLOOKUP(C1006,'RAW DATA 2023'!E:BO,24,0)</f>
        <v>#N/A</v>
      </c>
      <c r="H1006" s="79" t="str">
        <f>IFERROR(VLOOKUP(F1006,STD!A:G,3,TRUE),"")</f>
        <v/>
      </c>
      <c r="I1006" s="100">
        <f t="shared" si="77"/>
        <v>0</v>
      </c>
      <c r="J1006" s="74">
        <f t="shared" si="78"/>
        <v>-15</v>
      </c>
      <c r="K1006" t="e">
        <f>VLOOKUP(C1006,'RAW DATA 2023'!E:BO,12,0)</f>
        <v>#N/A</v>
      </c>
      <c r="L1006" s="268" t="e">
        <f t="shared" si="79"/>
        <v>#N/A</v>
      </c>
      <c r="M1006"/>
    </row>
    <row r="1007" spans="1:13">
      <c r="A1007" s="64">
        <f>'RAW DATA 2023'!B1000</f>
        <v>0</v>
      </c>
      <c r="B1007" s="64">
        <f>'RAW DATA 2023'!D1000</f>
        <v>0</v>
      </c>
      <c r="C1007" s="63" t="str">
        <f t="shared" si="75"/>
        <v>00</v>
      </c>
      <c r="D1007" s="63" t="e">
        <f>VLOOKUP(C1007,'RAW DATA 2023'!E:BP,63,0)</f>
        <v>#N/A</v>
      </c>
      <c r="E1007" s="63" t="e">
        <f t="shared" si="76"/>
        <v>#N/A</v>
      </c>
      <c r="F1007" s="79" t="e">
        <f>ROUND(VLOOKUP(C1007,'RAW DATA 2023'!E:BO,23,0),0)</f>
        <v>#N/A</v>
      </c>
      <c r="G1007" s="79" t="e">
        <f>VLOOKUP(C1007,'RAW DATA 2023'!E:BO,24,0)</f>
        <v>#N/A</v>
      </c>
      <c r="H1007" s="79" t="str">
        <f>IFERROR(VLOOKUP(F1007,STD!A:G,3,TRUE),"")</f>
        <v/>
      </c>
      <c r="I1007" s="100">
        <f t="shared" si="77"/>
        <v>0</v>
      </c>
      <c r="J1007" s="74">
        <f t="shared" si="78"/>
        <v>-15</v>
      </c>
      <c r="K1007" t="e">
        <f>VLOOKUP(C1007,'RAW DATA 2023'!E:BO,12,0)</f>
        <v>#N/A</v>
      </c>
      <c r="L1007" s="268" t="e">
        <f t="shared" si="79"/>
        <v>#N/A</v>
      </c>
      <c r="M1007"/>
    </row>
    <row r="1008" spans="1:13">
      <c r="A1008" s="64">
        <f>'RAW DATA 2023'!B1001</f>
        <v>0</v>
      </c>
      <c r="B1008" s="64">
        <f>'RAW DATA 2023'!D1001</f>
        <v>0</v>
      </c>
      <c r="C1008" s="63" t="str">
        <f t="shared" si="75"/>
        <v>00</v>
      </c>
      <c r="D1008" s="63" t="e">
        <f>VLOOKUP(C1008,'RAW DATA 2023'!E:BP,63,0)</f>
        <v>#N/A</v>
      </c>
      <c r="E1008" s="63" t="e">
        <f t="shared" si="76"/>
        <v>#N/A</v>
      </c>
      <c r="F1008" s="79" t="e">
        <f>ROUND(VLOOKUP(C1008,'RAW DATA 2023'!E:BO,23,0),0)</f>
        <v>#N/A</v>
      </c>
      <c r="G1008" s="79" t="e">
        <f>VLOOKUP(C1008,'RAW DATA 2023'!E:BO,24,0)</f>
        <v>#N/A</v>
      </c>
      <c r="H1008" s="79" t="str">
        <f>IFERROR(VLOOKUP(F1008,STD!A:G,3,TRUE),"")</f>
        <v/>
      </c>
      <c r="I1008" s="100">
        <f t="shared" si="77"/>
        <v>0</v>
      </c>
      <c r="J1008" s="74">
        <f t="shared" si="78"/>
        <v>-15</v>
      </c>
      <c r="K1008" t="e">
        <f>VLOOKUP(C1008,'RAW DATA 2023'!E:BO,12,0)</f>
        <v>#N/A</v>
      </c>
      <c r="L1008" s="268" t="e">
        <f t="shared" si="79"/>
        <v>#N/A</v>
      </c>
      <c r="M1008"/>
    </row>
    <row r="1009" spans="1:13">
      <c r="A1009" s="64">
        <f>'RAW DATA 2023'!B1002</f>
        <v>0</v>
      </c>
      <c r="B1009" s="64">
        <f>'RAW DATA 2023'!D1002</f>
        <v>0</v>
      </c>
      <c r="C1009" s="63" t="str">
        <f t="shared" si="75"/>
        <v>00</v>
      </c>
      <c r="D1009" s="63" t="e">
        <f>VLOOKUP(C1009,'RAW DATA 2023'!E:BP,63,0)</f>
        <v>#N/A</v>
      </c>
      <c r="E1009" s="63" t="e">
        <f t="shared" si="76"/>
        <v>#N/A</v>
      </c>
      <c r="F1009" s="79" t="e">
        <f>ROUND(VLOOKUP(C1009,'RAW DATA 2023'!E:BO,23,0),0)</f>
        <v>#N/A</v>
      </c>
      <c r="G1009" s="79" t="e">
        <f>VLOOKUP(C1009,'RAW DATA 2023'!E:BO,24,0)</f>
        <v>#N/A</v>
      </c>
      <c r="H1009" s="79" t="str">
        <f>IFERROR(VLOOKUP(F1009,STD!A:G,3,TRUE),"")</f>
        <v/>
      </c>
      <c r="I1009" s="100">
        <f t="shared" si="77"/>
        <v>0</v>
      </c>
      <c r="J1009" s="74">
        <f t="shared" si="78"/>
        <v>-15</v>
      </c>
      <c r="K1009" t="e">
        <f>VLOOKUP(C1009,'RAW DATA 2023'!E:BO,12,0)</f>
        <v>#N/A</v>
      </c>
      <c r="L1009" s="268" t="e">
        <f t="shared" si="79"/>
        <v>#N/A</v>
      </c>
      <c r="M1009"/>
    </row>
    <row r="1010" spans="1:13">
      <c r="A1010" s="64">
        <f>'RAW DATA 2023'!B1003</f>
        <v>0</v>
      </c>
      <c r="B1010" s="64">
        <f>'RAW DATA 2023'!D1003</f>
        <v>0</v>
      </c>
      <c r="C1010" s="63" t="str">
        <f t="shared" si="75"/>
        <v>00</v>
      </c>
      <c r="D1010" s="63" t="e">
        <f>VLOOKUP(C1010,'RAW DATA 2023'!E:BP,63,0)</f>
        <v>#N/A</v>
      </c>
      <c r="E1010" s="63" t="e">
        <f t="shared" si="76"/>
        <v>#N/A</v>
      </c>
      <c r="F1010" s="79" t="e">
        <f>ROUND(VLOOKUP(C1010,'RAW DATA 2023'!E:BO,23,0),0)</f>
        <v>#N/A</v>
      </c>
      <c r="G1010" s="79" t="e">
        <f>VLOOKUP(C1010,'RAW DATA 2023'!E:BO,24,0)</f>
        <v>#N/A</v>
      </c>
      <c r="H1010" s="79" t="str">
        <f>IFERROR(VLOOKUP(F1010,STD!A:G,3,TRUE),"")</f>
        <v/>
      </c>
      <c r="I1010" s="100">
        <f t="shared" si="77"/>
        <v>0</v>
      </c>
      <c r="J1010" s="74">
        <f t="shared" si="78"/>
        <v>-15</v>
      </c>
      <c r="K1010" t="e">
        <f>VLOOKUP(C1010,'RAW DATA 2023'!E:BO,12,0)</f>
        <v>#N/A</v>
      </c>
      <c r="L1010" s="268" t="e">
        <f t="shared" si="79"/>
        <v>#N/A</v>
      </c>
      <c r="M1010"/>
    </row>
    <row r="1011" spans="1:13">
      <c r="A1011" s="64">
        <f>'RAW DATA 2023'!B1004</f>
        <v>0</v>
      </c>
      <c r="B1011" s="64">
        <f>'RAW DATA 2023'!D1004</f>
        <v>0</v>
      </c>
      <c r="C1011" s="63" t="str">
        <f t="shared" si="75"/>
        <v>00</v>
      </c>
      <c r="D1011" s="63" t="e">
        <f>VLOOKUP(C1011,'RAW DATA 2023'!E:BP,63,0)</f>
        <v>#N/A</v>
      </c>
      <c r="E1011" s="63" t="e">
        <f t="shared" si="76"/>
        <v>#N/A</v>
      </c>
      <c r="F1011" s="79" t="e">
        <f>ROUND(VLOOKUP(C1011,'RAW DATA 2023'!E:BO,23,0),0)</f>
        <v>#N/A</v>
      </c>
      <c r="G1011" s="79" t="e">
        <f>VLOOKUP(C1011,'RAW DATA 2023'!E:BO,24,0)</f>
        <v>#N/A</v>
      </c>
      <c r="H1011" s="79" t="str">
        <f>IFERROR(VLOOKUP(F1011,STD!A:G,3,TRUE),"")</f>
        <v/>
      </c>
      <c r="I1011" s="100">
        <f t="shared" si="77"/>
        <v>0</v>
      </c>
      <c r="J1011" s="74">
        <f t="shared" si="78"/>
        <v>-15</v>
      </c>
      <c r="K1011" t="e">
        <f>VLOOKUP(C1011,'RAW DATA 2023'!E:BO,12,0)</f>
        <v>#N/A</v>
      </c>
      <c r="L1011" s="268" t="e">
        <f t="shared" si="79"/>
        <v>#N/A</v>
      </c>
      <c r="M1011"/>
    </row>
    <row r="1012" spans="1:13">
      <c r="A1012" s="64">
        <f>'RAW DATA 2023'!B1005</f>
        <v>0</v>
      </c>
      <c r="B1012" s="64">
        <f>'RAW DATA 2023'!D1005</f>
        <v>0</v>
      </c>
      <c r="C1012" s="63" t="str">
        <f t="shared" si="75"/>
        <v>00</v>
      </c>
      <c r="D1012" s="63" t="e">
        <f>VLOOKUP(C1012,'RAW DATA 2023'!E:BP,63,0)</f>
        <v>#N/A</v>
      </c>
      <c r="E1012" s="63" t="e">
        <f t="shared" si="76"/>
        <v>#N/A</v>
      </c>
      <c r="F1012" s="79" t="e">
        <f>ROUND(VLOOKUP(C1012,'RAW DATA 2023'!E:BO,23,0),0)</f>
        <v>#N/A</v>
      </c>
      <c r="G1012" s="79" t="e">
        <f>VLOOKUP(C1012,'RAW DATA 2023'!E:BO,24,0)</f>
        <v>#N/A</v>
      </c>
      <c r="H1012" s="79" t="str">
        <f>IFERROR(VLOOKUP(F1012,STD!A:G,3,TRUE),"")</f>
        <v/>
      </c>
      <c r="I1012" s="100">
        <f t="shared" si="77"/>
        <v>0</v>
      </c>
      <c r="J1012" s="74">
        <f t="shared" si="78"/>
        <v>-15</v>
      </c>
      <c r="K1012" t="e">
        <f>VLOOKUP(C1012,'RAW DATA 2023'!E:BO,12,0)</f>
        <v>#N/A</v>
      </c>
      <c r="L1012" s="268" t="e">
        <f t="shared" si="79"/>
        <v>#N/A</v>
      </c>
      <c r="M1012"/>
    </row>
    <row r="1013" spans="1:13">
      <c r="A1013" s="64">
        <f>'RAW DATA 2023'!B1006</f>
        <v>0</v>
      </c>
      <c r="B1013" s="64">
        <f>'RAW DATA 2023'!D1006</f>
        <v>0</v>
      </c>
      <c r="C1013" s="63" t="str">
        <f t="shared" si="75"/>
        <v>00</v>
      </c>
      <c r="D1013" s="63" t="e">
        <f>VLOOKUP(C1013,'RAW DATA 2023'!E:BP,63,0)</f>
        <v>#N/A</v>
      </c>
      <c r="E1013" s="63" t="e">
        <f t="shared" si="76"/>
        <v>#N/A</v>
      </c>
      <c r="F1013" s="79" t="e">
        <f>ROUND(VLOOKUP(C1013,'RAW DATA 2023'!E:BO,23,0),0)</f>
        <v>#N/A</v>
      </c>
      <c r="G1013" s="79" t="e">
        <f>VLOOKUP(C1013,'RAW DATA 2023'!E:BO,24,0)</f>
        <v>#N/A</v>
      </c>
      <c r="H1013" s="79" t="str">
        <f>IFERROR(VLOOKUP(F1013,STD!A:G,3,TRUE),"")</f>
        <v/>
      </c>
      <c r="I1013" s="100">
        <f t="shared" si="77"/>
        <v>0</v>
      </c>
      <c r="J1013" s="74">
        <f t="shared" si="78"/>
        <v>-15</v>
      </c>
      <c r="K1013" t="e">
        <f>VLOOKUP(C1013,'RAW DATA 2023'!E:BO,12,0)</f>
        <v>#N/A</v>
      </c>
      <c r="L1013" s="268" t="e">
        <f t="shared" si="79"/>
        <v>#N/A</v>
      </c>
      <c r="M1013"/>
    </row>
    <row r="1014" spans="1:13">
      <c r="A1014" s="64">
        <f>'RAW DATA 2023'!B1007</f>
        <v>0</v>
      </c>
      <c r="B1014" s="64">
        <f>'RAW DATA 2023'!D1007</f>
        <v>0</v>
      </c>
      <c r="C1014" s="63" t="str">
        <f t="shared" si="75"/>
        <v>00</v>
      </c>
      <c r="D1014" s="63" t="e">
        <f>VLOOKUP(C1014,'RAW DATA 2023'!E:BP,63,0)</f>
        <v>#N/A</v>
      </c>
      <c r="E1014" s="63" t="e">
        <f t="shared" si="76"/>
        <v>#N/A</v>
      </c>
      <c r="F1014" s="79" t="e">
        <f>ROUND(VLOOKUP(C1014,'RAW DATA 2023'!E:BO,23,0),0)</f>
        <v>#N/A</v>
      </c>
      <c r="G1014" s="79" t="e">
        <f>VLOOKUP(C1014,'RAW DATA 2023'!E:BO,24,0)</f>
        <v>#N/A</v>
      </c>
      <c r="H1014" s="79" t="str">
        <f>IFERROR(VLOOKUP(F1014,STD!A:G,3,TRUE),"")</f>
        <v/>
      </c>
      <c r="I1014" s="100">
        <f t="shared" si="77"/>
        <v>0</v>
      </c>
      <c r="J1014" s="74">
        <f t="shared" si="78"/>
        <v>-15</v>
      </c>
      <c r="K1014" t="e">
        <f>VLOOKUP(C1014,'RAW DATA 2023'!E:BO,12,0)</f>
        <v>#N/A</v>
      </c>
      <c r="L1014" s="268" t="e">
        <f t="shared" si="79"/>
        <v>#N/A</v>
      </c>
      <c r="M1014"/>
    </row>
    <row r="1015" spans="1:13">
      <c r="A1015" s="64">
        <f>'RAW DATA 2023'!B1008</f>
        <v>0</v>
      </c>
      <c r="B1015" s="64">
        <f>'RAW DATA 2023'!D1008</f>
        <v>0</v>
      </c>
      <c r="C1015" s="63" t="str">
        <f t="shared" si="75"/>
        <v>00</v>
      </c>
      <c r="D1015" s="63" t="e">
        <f>VLOOKUP(C1015,'RAW DATA 2023'!E:BP,63,0)</f>
        <v>#N/A</v>
      </c>
      <c r="E1015" s="63" t="e">
        <f t="shared" si="76"/>
        <v>#N/A</v>
      </c>
      <c r="F1015" s="79" t="e">
        <f>ROUND(VLOOKUP(C1015,'RAW DATA 2023'!E:BO,23,0),0)</f>
        <v>#N/A</v>
      </c>
      <c r="G1015" s="79" t="e">
        <f>VLOOKUP(C1015,'RAW DATA 2023'!E:BO,24,0)</f>
        <v>#N/A</v>
      </c>
      <c r="H1015" s="79" t="str">
        <f>IFERROR(VLOOKUP(F1015,STD!A:G,3,TRUE),"")</f>
        <v/>
      </c>
      <c r="I1015" s="100">
        <f t="shared" si="77"/>
        <v>0</v>
      </c>
      <c r="J1015" s="74">
        <f t="shared" si="78"/>
        <v>-15</v>
      </c>
      <c r="K1015" t="e">
        <f>VLOOKUP(C1015,'RAW DATA 2023'!E:BO,12,0)</f>
        <v>#N/A</v>
      </c>
      <c r="L1015" s="268" t="e">
        <f t="shared" si="79"/>
        <v>#N/A</v>
      </c>
      <c r="M1015"/>
    </row>
    <row r="1016" spans="1:13">
      <c r="A1016" s="64">
        <f>'RAW DATA 2023'!B1009</f>
        <v>0</v>
      </c>
      <c r="B1016" s="64">
        <f>'RAW DATA 2023'!D1009</f>
        <v>0</v>
      </c>
      <c r="C1016" s="63" t="str">
        <f t="shared" si="75"/>
        <v>00</v>
      </c>
      <c r="D1016" s="63" t="e">
        <f>VLOOKUP(C1016,'RAW DATA 2023'!E:BP,63,0)</f>
        <v>#N/A</v>
      </c>
      <c r="E1016" s="63" t="e">
        <f t="shared" si="76"/>
        <v>#N/A</v>
      </c>
      <c r="F1016" s="79" t="e">
        <f>ROUND(VLOOKUP(C1016,'RAW DATA 2023'!E:BO,23,0),0)</f>
        <v>#N/A</v>
      </c>
      <c r="G1016" s="79" t="e">
        <f>VLOOKUP(C1016,'RAW DATA 2023'!E:BO,24,0)</f>
        <v>#N/A</v>
      </c>
      <c r="H1016" s="79" t="str">
        <f>IFERROR(VLOOKUP(F1016,STD!A:G,3,TRUE),"")</f>
        <v/>
      </c>
      <c r="I1016" s="100">
        <f t="shared" si="77"/>
        <v>0</v>
      </c>
      <c r="J1016" s="74">
        <f t="shared" si="78"/>
        <v>-15</v>
      </c>
      <c r="K1016" t="e">
        <f>VLOOKUP(C1016,'RAW DATA 2023'!E:BO,12,0)</f>
        <v>#N/A</v>
      </c>
      <c r="L1016" s="268" t="e">
        <f t="shared" si="79"/>
        <v>#N/A</v>
      </c>
      <c r="M1016"/>
    </row>
    <row r="1017" spans="1:13">
      <c r="A1017" s="64">
        <f>'RAW DATA 2023'!B1010</f>
        <v>0</v>
      </c>
      <c r="B1017" s="64">
        <f>'RAW DATA 2023'!D1010</f>
        <v>0</v>
      </c>
      <c r="C1017" s="63" t="str">
        <f t="shared" si="75"/>
        <v>00</v>
      </c>
      <c r="D1017" s="63" t="e">
        <f>VLOOKUP(C1017,'RAW DATA 2023'!E:BP,63,0)</f>
        <v>#N/A</v>
      </c>
      <c r="E1017" s="63" t="e">
        <f t="shared" si="76"/>
        <v>#N/A</v>
      </c>
      <c r="F1017" s="79" t="e">
        <f>ROUND(VLOOKUP(C1017,'RAW DATA 2023'!E:BO,23,0),0)</f>
        <v>#N/A</v>
      </c>
      <c r="G1017" s="79" t="e">
        <f>VLOOKUP(C1017,'RAW DATA 2023'!E:BO,24,0)</f>
        <v>#N/A</v>
      </c>
      <c r="H1017" s="79" t="str">
        <f>IFERROR(VLOOKUP(F1017,STD!A:G,3,TRUE),"")</f>
        <v/>
      </c>
      <c r="I1017" s="100">
        <f t="shared" si="77"/>
        <v>0</v>
      </c>
      <c r="J1017" s="74">
        <f t="shared" si="78"/>
        <v>-15</v>
      </c>
      <c r="K1017" t="e">
        <f>VLOOKUP(C1017,'RAW DATA 2023'!E:BO,12,0)</f>
        <v>#N/A</v>
      </c>
      <c r="L1017" s="268" t="e">
        <f t="shared" si="79"/>
        <v>#N/A</v>
      </c>
      <c r="M1017"/>
    </row>
    <row r="1018" spans="1:13">
      <c r="A1018" s="64">
        <f>'RAW DATA 2023'!B1011</f>
        <v>0</v>
      </c>
      <c r="B1018" s="64">
        <f>'RAW DATA 2023'!D1011</f>
        <v>0</v>
      </c>
      <c r="C1018" s="63" t="str">
        <f t="shared" si="75"/>
        <v>00</v>
      </c>
      <c r="D1018" s="63" t="e">
        <f>VLOOKUP(C1018,'RAW DATA 2023'!E:BP,63,0)</f>
        <v>#N/A</v>
      </c>
      <c r="E1018" s="63" t="e">
        <f t="shared" si="76"/>
        <v>#N/A</v>
      </c>
      <c r="F1018" s="79" t="e">
        <f>ROUND(VLOOKUP(C1018,'RAW DATA 2023'!E:BO,23,0),0)</f>
        <v>#N/A</v>
      </c>
      <c r="G1018" s="79" t="e">
        <f>VLOOKUP(C1018,'RAW DATA 2023'!E:BO,24,0)</f>
        <v>#N/A</v>
      </c>
      <c r="H1018" s="79" t="str">
        <f>IFERROR(VLOOKUP(F1018,STD!A:G,3,TRUE),"")</f>
        <v/>
      </c>
      <c r="I1018" s="100">
        <f t="shared" si="77"/>
        <v>0</v>
      </c>
      <c r="J1018" s="74">
        <f t="shared" si="78"/>
        <v>-15</v>
      </c>
      <c r="K1018" t="e">
        <f>VLOOKUP(C1018,'RAW DATA 2023'!E:BO,12,0)</f>
        <v>#N/A</v>
      </c>
      <c r="L1018" s="268" t="e">
        <f t="shared" si="79"/>
        <v>#N/A</v>
      </c>
      <c r="M1018"/>
    </row>
    <row r="1019" spans="1:13">
      <c r="A1019" s="64">
        <f>'RAW DATA 2023'!B1012</f>
        <v>0</v>
      </c>
      <c r="B1019" s="64">
        <f>'RAW DATA 2023'!D1012</f>
        <v>0</v>
      </c>
      <c r="C1019" s="63" t="str">
        <f t="shared" si="75"/>
        <v>00</v>
      </c>
      <c r="D1019" s="63" t="e">
        <f>VLOOKUP(C1019,'RAW DATA 2023'!E:BP,63,0)</f>
        <v>#N/A</v>
      </c>
      <c r="E1019" s="63" t="e">
        <f t="shared" si="76"/>
        <v>#N/A</v>
      </c>
      <c r="F1019" s="79" t="e">
        <f>ROUND(VLOOKUP(C1019,'RAW DATA 2023'!E:BO,23,0),0)</f>
        <v>#N/A</v>
      </c>
      <c r="G1019" s="79" t="e">
        <f>VLOOKUP(C1019,'RAW DATA 2023'!E:BO,24,0)</f>
        <v>#N/A</v>
      </c>
      <c r="H1019" s="79" t="str">
        <f>IFERROR(VLOOKUP(F1019,STD!A:G,3,TRUE),"")</f>
        <v/>
      </c>
      <c r="I1019" s="100">
        <f t="shared" si="77"/>
        <v>0</v>
      </c>
      <c r="J1019" s="74">
        <f t="shared" si="78"/>
        <v>-15</v>
      </c>
      <c r="K1019" t="e">
        <f>VLOOKUP(C1019,'RAW DATA 2023'!E:BO,12,0)</f>
        <v>#N/A</v>
      </c>
      <c r="L1019" s="268" t="e">
        <f t="shared" si="79"/>
        <v>#N/A</v>
      </c>
      <c r="M1019"/>
    </row>
    <row r="1020" spans="1:13">
      <c r="A1020" s="64">
        <f>'RAW DATA 2023'!B1013</f>
        <v>0</v>
      </c>
      <c r="B1020" s="64">
        <f>'RAW DATA 2023'!D1013</f>
        <v>0</v>
      </c>
      <c r="C1020" s="63" t="str">
        <f t="shared" si="75"/>
        <v>00</v>
      </c>
      <c r="D1020" s="63" t="e">
        <f>VLOOKUP(C1020,'RAW DATA 2023'!E:BP,63,0)</f>
        <v>#N/A</v>
      </c>
      <c r="E1020" s="63" t="e">
        <f t="shared" si="76"/>
        <v>#N/A</v>
      </c>
      <c r="F1020" s="79" t="e">
        <f>ROUND(VLOOKUP(C1020,'RAW DATA 2023'!E:BO,23,0),0)</f>
        <v>#N/A</v>
      </c>
      <c r="G1020" s="79" t="e">
        <f>VLOOKUP(C1020,'RAW DATA 2023'!E:BO,24,0)</f>
        <v>#N/A</v>
      </c>
      <c r="H1020" s="79" t="str">
        <f>IFERROR(VLOOKUP(F1020,STD!A:G,3,TRUE),"")</f>
        <v/>
      </c>
      <c r="I1020" s="100">
        <f t="shared" si="77"/>
        <v>0</v>
      </c>
      <c r="J1020" s="74">
        <f t="shared" si="78"/>
        <v>-15</v>
      </c>
      <c r="K1020" t="e">
        <f>VLOOKUP(C1020,'RAW DATA 2023'!E:BO,12,0)</f>
        <v>#N/A</v>
      </c>
      <c r="L1020" s="268" t="e">
        <f t="shared" si="79"/>
        <v>#N/A</v>
      </c>
      <c r="M1020"/>
    </row>
    <row r="1021" spans="1:13">
      <c r="A1021" s="64">
        <f>'RAW DATA 2023'!B1014</f>
        <v>0</v>
      </c>
      <c r="B1021" s="64">
        <f>'RAW DATA 2023'!D1014</f>
        <v>0</v>
      </c>
      <c r="C1021" s="63" t="str">
        <f t="shared" si="75"/>
        <v>00</v>
      </c>
      <c r="D1021" s="63" t="e">
        <f>VLOOKUP(C1021,'RAW DATA 2023'!E:BP,63,0)</f>
        <v>#N/A</v>
      </c>
      <c r="E1021" s="63" t="e">
        <f t="shared" si="76"/>
        <v>#N/A</v>
      </c>
      <c r="F1021" s="79" t="e">
        <f>ROUND(VLOOKUP(C1021,'RAW DATA 2023'!E:BO,23,0),0)</f>
        <v>#N/A</v>
      </c>
      <c r="G1021" s="79" t="e">
        <f>VLOOKUP(C1021,'RAW DATA 2023'!E:BO,24,0)</f>
        <v>#N/A</v>
      </c>
      <c r="H1021" s="79" t="str">
        <f>IFERROR(VLOOKUP(F1021,STD!A:G,3,TRUE),"")</f>
        <v/>
      </c>
      <c r="I1021" s="100">
        <f t="shared" si="77"/>
        <v>0</v>
      </c>
      <c r="J1021" s="74">
        <f t="shared" si="78"/>
        <v>-15</v>
      </c>
      <c r="K1021" t="e">
        <f>VLOOKUP(C1021,'RAW DATA 2023'!E:BO,12,0)</f>
        <v>#N/A</v>
      </c>
      <c r="L1021" s="268" t="e">
        <f t="shared" si="79"/>
        <v>#N/A</v>
      </c>
      <c r="M1021"/>
    </row>
    <row r="1022" spans="1:13">
      <c r="A1022" s="64">
        <f>'RAW DATA 2023'!B1015</f>
        <v>0</v>
      </c>
      <c r="B1022" s="64">
        <f>'RAW DATA 2023'!D1015</f>
        <v>0</v>
      </c>
      <c r="C1022" s="63" t="str">
        <f t="shared" si="75"/>
        <v>00</v>
      </c>
      <c r="D1022" s="63" t="e">
        <f>VLOOKUP(C1022,'RAW DATA 2023'!E:BP,63,0)</f>
        <v>#N/A</v>
      </c>
      <c r="E1022" s="63" t="e">
        <f t="shared" si="76"/>
        <v>#N/A</v>
      </c>
      <c r="F1022" s="79" t="e">
        <f>ROUND(VLOOKUP(C1022,'RAW DATA 2023'!E:BO,23,0),0)</f>
        <v>#N/A</v>
      </c>
      <c r="G1022" s="79" t="e">
        <f>VLOOKUP(C1022,'RAW DATA 2023'!E:BO,24,0)</f>
        <v>#N/A</v>
      </c>
      <c r="H1022" s="79" t="str">
        <f>IFERROR(VLOOKUP(F1022,STD!A:G,3,TRUE),"")</f>
        <v/>
      </c>
      <c r="I1022" s="100">
        <f t="shared" si="77"/>
        <v>0</v>
      </c>
      <c r="J1022" s="74">
        <f t="shared" si="78"/>
        <v>-15</v>
      </c>
      <c r="K1022" t="e">
        <f>VLOOKUP(C1022,'RAW DATA 2023'!E:BO,12,0)</f>
        <v>#N/A</v>
      </c>
      <c r="L1022" s="268" t="e">
        <f t="shared" si="79"/>
        <v>#N/A</v>
      </c>
      <c r="M1022"/>
    </row>
    <row r="1023" spans="1:13">
      <c r="A1023" s="64">
        <f>'RAW DATA 2023'!B1016</f>
        <v>0</v>
      </c>
      <c r="B1023" s="64">
        <f>'RAW DATA 2023'!D1016</f>
        <v>0</v>
      </c>
      <c r="C1023" s="63" t="str">
        <f t="shared" si="75"/>
        <v>00</v>
      </c>
      <c r="D1023" s="63" t="e">
        <f>VLOOKUP(C1023,'RAW DATA 2023'!E:BP,63,0)</f>
        <v>#N/A</v>
      </c>
      <c r="E1023" s="63" t="e">
        <f t="shared" si="76"/>
        <v>#N/A</v>
      </c>
      <c r="F1023" s="79" t="e">
        <f>ROUND(VLOOKUP(C1023,'RAW DATA 2023'!E:BO,23,0),0)</f>
        <v>#N/A</v>
      </c>
      <c r="G1023" s="79" t="e">
        <f>VLOOKUP(C1023,'RAW DATA 2023'!E:BO,24,0)</f>
        <v>#N/A</v>
      </c>
      <c r="H1023" s="79" t="str">
        <f>IFERROR(VLOOKUP(F1023,STD!A:G,3,TRUE),"")</f>
        <v/>
      </c>
      <c r="I1023" s="100">
        <f t="shared" si="77"/>
        <v>0</v>
      </c>
      <c r="J1023" s="74">
        <f t="shared" si="78"/>
        <v>-15</v>
      </c>
      <c r="K1023" t="e">
        <f>VLOOKUP(C1023,'RAW DATA 2023'!E:BO,12,0)</f>
        <v>#N/A</v>
      </c>
      <c r="L1023" s="268" t="e">
        <f t="shared" si="79"/>
        <v>#N/A</v>
      </c>
      <c r="M1023"/>
    </row>
    <row r="1024" spans="1:13">
      <c r="A1024" s="64">
        <f>'RAW DATA 2023'!B1017</f>
        <v>0</v>
      </c>
      <c r="B1024" s="64">
        <f>'RAW DATA 2023'!D1017</f>
        <v>0</v>
      </c>
      <c r="C1024" s="63" t="str">
        <f t="shared" si="75"/>
        <v>00</v>
      </c>
      <c r="D1024" s="63" t="e">
        <f>VLOOKUP(C1024,'RAW DATA 2023'!E:BP,63,0)</f>
        <v>#N/A</v>
      </c>
      <c r="E1024" s="63" t="e">
        <f t="shared" si="76"/>
        <v>#N/A</v>
      </c>
      <c r="F1024" s="79" t="e">
        <f>ROUND(VLOOKUP(C1024,'RAW DATA 2023'!E:BO,23,0),0)</f>
        <v>#N/A</v>
      </c>
      <c r="G1024" s="79" t="e">
        <f>VLOOKUP(C1024,'RAW DATA 2023'!E:BO,24,0)</f>
        <v>#N/A</v>
      </c>
      <c r="H1024" s="79" t="str">
        <f>IFERROR(VLOOKUP(F1024,STD!A:G,3,TRUE),"")</f>
        <v/>
      </c>
      <c r="I1024" s="100">
        <f t="shared" si="77"/>
        <v>0</v>
      </c>
      <c r="J1024" s="74">
        <f t="shared" si="78"/>
        <v>-15</v>
      </c>
      <c r="K1024" t="e">
        <f>VLOOKUP(C1024,'RAW DATA 2023'!E:BO,12,0)</f>
        <v>#N/A</v>
      </c>
      <c r="L1024" s="268" t="e">
        <f t="shared" si="79"/>
        <v>#N/A</v>
      </c>
      <c r="M1024"/>
    </row>
    <row r="1025" spans="1:13">
      <c r="A1025" s="64">
        <f>'RAW DATA 2023'!B1018</f>
        <v>0</v>
      </c>
      <c r="B1025" s="64">
        <f>'RAW DATA 2023'!D1018</f>
        <v>0</v>
      </c>
      <c r="C1025" s="63" t="str">
        <f t="shared" si="75"/>
        <v>00</v>
      </c>
      <c r="D1025" s="63" t="e">
        <f>VLOOKUP(C1025,'RAW DATA 2023'!E:BP,63,0)</f>
        <v>#N/A</v>
      </c>
      <c r="E1025" s="63" t="e">
        <f t="shared" si="76"/>
        <v>#N/A</v>
      </c>
      <c r="F1025" s="79" t="e">
        <f>ROUND(VLOOKUP(C1025,'RAW DATA 2023'!E:BO,23,0),0)</f>
        <v>#N/A</v>
      </c>
      <c r="G1025" s="79" t="e">
        <f>VLOOKUP(C1025,'RAW DATA 2023'!E:BO,24,0)</f>
        <v>#N/A</v>
      </c>
      <c r="H1025" s="79" t="str">
        <f>IFERROR(VLOOKUP(F1025,STD!A:G,3,TRUE),"")</f>
        <v/>
      </c>
      <c r="I1025" s="100">
        <f t="shared" si="77"/>
        <v>0</v>
      </c>
      <c r="J1025" s="74">
        <f t="shared" si="78"/>
        <v>-15</v>
      </c>
      <c r="K1025" t="e">
        <f>VLOOKUP(C1025,'RAW DATA 2023'!E:BO,12,0)</f>
        <v>#N/A</v>
      </c>
      <c r="L1025" s="268" t="e">
        <f t="shared" si="79"/>
        <v>#N/A</v>
      </c>
      <c r="M1025"/>
    </row>
    <row r="1026" spans="1:13">
      <c r="A1026" s="64">
        <f>'RAW DATA 2023'!B1019</f>
        <v>0</v>
      </c>
      <c r="B1026" s="64">
        <f>'RAW DATA 2023'!D1019</f>
        <v>0</v>
      </c>
      <c r="C1026" s="63" t="str">
        <f t="shared" si="75"/>
        <v>00</v>
      </c>
      <c r="D1026" s="63" t="e">
        <f>VLOOKUP(C1026,'RAW DATA 2023'!E:BP,63,0)</f>
        <v>#N/A</v>
      </c>
      <c r="E1026" s="63" t="e">
        <f t="shared" si="76"/>
        <v>#N/A</v>
      </c>
      <c r="F1026" s="79" t="e">
        <f>ROUND(VLOOKUP(C1026,'RAW DATA 2023'!E:BO,23,0),0)</f>
        <v>#N/A</v>
      </c>
      <c r="G1026" s="79" t="e">
        <f>VLOOKUP(C1026,'RAW DATA 2023'!E:BO,24,0)</f>
        <v>#N/A</v>
      </c>
      <c r="H1026" s="79" t="str">
        <f>IFERROR(VLOOKUP(F1026,STD!A:G,3,TRUE),"")</f>
        <v/>
      </c>
      <c r="I1026" s="100">
        <f t="shared" si="77"/>
        <v>0</v>
      </c>
      <c r="J1026" s="74">
        <f t="shared" si="78"/>
        <v>-15</v>
      </c>
      <c r="K1026" t="e">
        <f>VLOOKUP(C1026,'RAW DATA 2023'!E:BO,12,0)</f>
        <v>#N/A</v>
      </c>
      <c r="L1026" s="268" t="e">
        <f t="shared" si="79"/>
        <v>#N/A</v>
      </c>
      <c r="M1026"/>
    </row>
    <row r="1027" spans="1:13">
      <c r="A1027" s="64">
        <f>'RAW DATA 2023'!B1020</f>
        <v>0</v>
      </c>
      <c r="B1027" s="64">
        <f>'RAW DATA 2023'!D1020</f>
        <v>0</v>
      </c>
      <c r="C1027" s="63" t="str">
        <f t="shared" si="75"/>
        <v>00</v>
      </c>
      <c r="D1027" s="63" t="e">
        <f>VLOOKUP(C1027,'RAW DATA 2023'!E:BP,63,0)</f>
        <v>#N/A</v>
      </c>
      <c r="E1027" s="63" t="e">
        <f t="shared" si="76"/>
        <v>#N/A</v>
      </c>
      <c r="F1027" s="79" t="e">
        <f>ROUND(VLOOKUP(C1027,'RAW DATA 2023'!E:BO,23,0),0)</f>
        <v>#N/A</v>
      </c>
      <c r="G1027" s="79" t="e">
        <f>VLOOKUP(C1027,'RAW DATA 2023'!E:BO,24,0)</f>
        <v>#N/A</v>
      </c>
      <c r="H1027" s="79" t="str">
        <f>IFERROR(VLOOKUP(F1027,STD!A:G,3,TRUE),"")</f>
        <v/>
      </c>
      <c r="I1027" s="100">
        <f t="shared" si="77"/>
        <v>0</v>
      </c>
      <c r="J1027" s="74">
        <f t="shared" si="78"/>
        <v>-15</v>
      </c>
      <c r="K1027" t="e">
        <f>VLOOKUP(C1027,'RAW DATA 2023'!E:BO,12,0)</f>
        <v>#N/A</v>
      </c>
      <c r="L1027" s="268" t="e">
        <f t="shared" si="79"/>
        <v>#N/A</v>
      </c>
      <c r="M1027"/>
    </row>
    <row r="1028" spans="1:13">
      <c r="A1028" s="64">
        <f>'RAW DATA 2023'!B1021</f>
        <v>0</v>
      </c>
      <c r="B1028" s="64">
        <f>'RAW DATA 2023'!D1021</f>
        <v>0</v>
      </c>
      <c r="C1028" s="63" t="str">
        <f t="shared" si="75"/>
        <v>00</v>
      </c>
      <c r="D1028" s="63" t="e">
        <f>VLOOKUP(C1028,'RAW DATA 2023'!E:BP,63,0)</f>
        <v>#N/A</v>
      </c>
      <c r="E1028" s="63" t="e">
        <f t="shared" si="76"/>
        <v>#N/A</v>
      </c>
      <c r="F1028" s="79" t="e">
        <f>ROUND(VLOOKUP(C1028,'RAW DATA 2023'!E:BO,23,0),0)</f>
        <v>#N/A</v>
      </c>
      <c r="G1028" s="79" t="e">
        <f>VLOOKUP(C1028,'RAW DATA 2023'!E:BO,24,0)</f>
        <v>#N/A</v>
      </c>
      <c r="H1028" s="79" t="str">
        <f>IFERROR(VLOOKUP(F1028,STD!A:G,3,TRUE),"")</f>
        <v/>
      </c>
      <c r="I1028" s="100">
        <f t="shared" si="77"/>
        <v>0</v>
      </c>
      <c r="J1028" s="74">
        <f t="shared" si="78"/>
        <v>-15</v>
      </c>
      <c r="K1028" t="e">
        <f>VLOOKUP(C1028,'RAW DATA 2023'!E:BO,12,0)</f>
        <v>#N/A</v>
      </c>
      <c r="L1028" s="268" t="e">
        <f t="shared" si="79"/>
        <v>#N/A</v>
      </c>
      <c r="M1028"/>
    </row>
    <row r="1029" spans="1:13">
      <c r="A1029" s="64">
        <f>'RAW DATA 2023'!B1022</f>
        <v>0</v>
      </c>
      <c r="B1029" s="64">
        <f>'RAW DATA 2023'!D1022</f>
        <v>0</v>
      </c>
      <c r="C1029" s="63" t="str">
        <f t="shared" si="75"/>
        <v>00</v>
      </c>
      <c r="D1029" s="63" t="e">
        <f>VLOOKUP(C1029,'RAW DATA 2023'!E:BP,63,0)</f>
        <v>#N/A</v>
      </c>
      <c r="E1029" s="63" t="e">
        <f t="shared" si="76"/>
        <v>#N/A</v>
      </c>
      <c r="F1029" s="79" t="e">
        <f>ROUND(VLOOKUP(C1029,'RAW DATA 2023'!E:BO,23,0),0)</f>
        <v>#N/A</v>
      </c>
      <c r="G1029" s="79" t="e">
        <f>VLOOKUP(C1029,'RAW DATA 2023'!E:BO,24,0)</f>
        <v>#N/A</v>
      </c>
      <c r="H1029" s="79" t="str">
        <f>IFERROR(VLOOKUP(F1029,STD!A:G,3,TRUE),"")</f>
        <v/>
      </c>
      <c r="I1029" s="100">
        <f t="shared" si="77"/>
        <v>0</v>
      </c>
      <c r="J1029" s="74">
        <f t="shared" si="78"/>
        <v>-15</v>
      </c>
      <c r="K1029" t="e">
        <f>VLOOKUP(C1029,'RAW DATA 2023'!E:BO,12,0)</f>
        <v>#N/A</v>
      </c>
      <c r="L1029" s="268" t="e">
        <f t="shared" si="79"/>
        <v>#N/A</v>
      </c>
      <c r="M1029"/>
    </row>
    <row r="1030" spans="1:13">
      <c r="A1030" s="64">
        <f>'RAW DATA 2023'!B1023</f>
        <v>0</v>
      </c>
      <c r="B1030" s="64">
        <f>'RAW DATA 2023'!D1023</f>
        <v>0</v>
      </c>
      <c r="C1030" s="63" t="str">
        <f t="shared" si="75"/>
        <v>00</v>
      </c>
      <c r="D1030" s="63" t="e">
        <f>VLOOKUP(C1030,'RAW DATA 2023'!E:BP,63,0)</f>
        <v>#N/A</v>
      </c>
      <c r="E1030" s="63" t="e">
        <f t="shared" si="76"/>
        <v>#N/A</v>
      </c>
      <c r="F1030" s="79" t="e">
        <f>ROUND(VLOOKUP(C1030,'RAW DATA 2023'!E:BO,23,0),0)</f>
        <v>#N/A</v>
      </c>
      <c r="G1030" s="79" t="e">
        <f>VLOOKUP(C1030,'RAW DATA 2023'!E:BO,24,0)</f>
        <v>#N/A</v>
      </c>
      <c r="H1030" s="79" t="str">
        <f>IFERROR(VLOOKUP(F1030,STD!A:G,3,TRUE),"")</f>
        <v/>
      </c>
      <c r="I1030" s="100">
        <f t="shared" si="77"/>
        <v>0</v>
      </c>
      <c r="J1030" s="74">
        <f t="shared" si="78"/>
        <v>-15</v>
      </c>
      <c r="K1030" t="e">
        <f>VLOOKUP(C1030,'RAW DATA 2023'!E:BO,12,0)</f>
        <v>#N/A</v>
      </c>
      <c r="L1030" s="268" t="e">
        <f t="shared" si="79"/>
        <v>#N/A</v>
      </c>
      <c r="M1030"/>
    </row>
    <row r="1031" spans="1:13">
      <c r="A1031" s="64">
        <f>'RAW DATA 2023'!B1024</f>
        <v>0</v>
      </c>
      <c r="B1031" s="64">
        <f>'RAW DATA 2023'!D1024</f>
        <v>0</v>
      </c>
      <c r="C1031" s="63" t="str">
        <f t="shared" si="75"/>
        <v>00</v>
      </c>
      <c r="D1031" s="63" t="e">
        <f>VLOOKUP(C1031,'RAW DATA 2023'!E:BP,63,0)</f>
        <v>#N/A</v>
      </c>
      <c r="E1031" s="63" t="e">
        <f t="shared" si="76"/>
        <v>#N/A</v>
      </c>
      <c r="F1031" s="79" t="e">
        <f>ROUND(VLOOKUP(C1031,'RAW DATA 2023'!E:BO,23,0),0)</f>
        <v>#N/A</v>
      </c>
      <c r="G1031" s="79" t="e">
        <f>VLOOKUP(C1031,'RAW DATA 2023'!E:BO,24,0)</f>
        <v>#N/A</v>
      </c>
      <c r="H1031" s="79" t="str">
        <f>IFERROR(VLOOKUP(F1031,STD!A:G,3,TRUE),"")</f>
        <v/>
      </c>
      <c r="I1031" s="100">
        <f t="shared" si="77"/>
        <v>0</v>
      </c>
      <c r="J1031" s="74">
        <f t="shared" si="78"/>
        <v>-15</v>
      </c>
      <c r="K1031" t="e">
        <f>VLOOKUP(C1031,'RAW DATA 2023'!E:BO,12,0)</f>
        <v>#N/A</v>
      </c>
      <c r="L1031" s="268" t="e">
        <f t="shared" si="79"/>
        <v>#N/A</v>
      </c>
      <c r="M1031"/>
    </row>
    <row r="1032" spans="1:13">
      <c r="A1032" s="64">
        <f>'RAW DATA 2023'!B1025</f>
        <v>0</v>
      </c>
      <c r="B1032" s="64">
        <f>'RAW DATA 2023'!D1025</f>
        <v>0</v>
      </c>
      <c r="C1032" s="63" t="str">
        <f t="shared" si="75"/>
        <v>00</v>
      </c>
      <c r="D1032" s="63" t="e">
        <f>VLOOKUP(C1032,'RAW DATA 2023'!E:BP,63,0)</f>
        <v>#N/A</v>
      </c>
      <c r="E1032" s="63" t="e">
        <f t="shared" si="76"/>
        <v>#N/A</v>
      </c>
      <c r="F1032" s="79" t="e">
        <f>ROUND(VLOOKUP(C1032,'RAW DATA 2023'!E:BO,23,0),0)</f>
        <v>#N/A</v>
      </c>
      <c r="G1032" s="79" t="e">
        <f>VLOOKUP(C1032,'RAW DATA 2023'!E:BO,24,0)</f>
        <v>#N/A</v>
      </c>
      <c r="H1032" s="79" t="str">
        <f>IFERROR(VLOOKUP(F1032,STD!A:G,3,TRUE),"")</f>
        <v/>
      </c>
      <c r="I1032" s="100">
        <f t="shared" si="77"/>
        <v>0</v>
      </c>
      <c r="J1032" s="74">
        <f t="shared" si="78"/>
        <v>-15</v>
      </c>
      <c r="K1032" t="e">
        <f>VLOOKUP(C1032,'RAW DATA 2023'!E:BO,12,0)</f>
        <v>#N/A</v>
      </c>
      <c r="L1032" s="268" t="e">
        <f t="shared" si="79"/>
        <v>#N/A</v>
      </c>
      <c r="M1032"/>
    </row>
    <row r="1033" spans="1:13">
      <c r="A1033" s="64">
        <f>'RAW DATA 2023'!B1026</f>
        <v>0</v>
      </c>
      <c r="B1033" s="64">
        <f>'RAW DATA 2023'!D1026</f>
        <v>0</v>
      </c>
      <c r="C1033" s="63" t="str">
        <f t="shared" si="75"/>
        <v>00</v>
      </c>
      <c r="D1033" s="63" t="e">
        <f>VLOOKUP(C1033,'RAW DATA 2023'!E:BP,63,0)</f>
        <v>#N/A</v>
      </c>
      <c r="E1033" s="63" t="e">
        <f t="shared" si="76"/>
        <v>#N/A</v>
      </c>
      <c r="F1033" s="79" t="e">
        <f>ROUND(VLOOKUP(C1033,'RAW DATA 2023'!E:BO,23,0),0)</f>
        <v>#N/A</v>
      </c>
      <c r="G1033" s="79" t="e">
        <f>VLOOKUP(C1033,'RAW DATA 2023'!E:BO,24,0)</f>
        <v>#N/A</v>
      </c>
      <c r="H1033" s="79" t="str">
        <f>IFERROR(VLOOKUP(F1033,STD!A:G,3,TRUE),"")</f>
        <v/>
      </c>
      <c r="I1033" s="100">
        <f t="shared" si="77"/>
        <v>0</v>
      </c>
      <c r="J1033" s="74">
        <f t="shared" si="78"/>
        <v>-15</v>
      </c>
      <c r="K1033" t="e">
        <f>VLOOKUP(C1033,'RAW DATA 2023'!E:BO,12,0)</f>
        <v>#N/A</v>
      </c>
      <c r="L1033" s="268" t="e">
        <f t="shared" si="79"/>
        <v>#N/A</v>
      </c>
      <c r="M1033"/>
    </row>
    <row r="1034" spans="1:13">
      <c r="A1034" s="64">
        <f>'RAW DATA 2023'!B1027</f>
        <v>0</v>
      </c>
      <c r="B1034" s="64">
        <f>'RAW DATA 2023'!D1027</f>
        <v>0</v>
      </c>
      <c r="C1034" s="63" t="str">
        <f t="shared" ref="C1034:C1097" si="80">A1034&amp;B1034</f>
        <v>00</v>
      </c>
      <c r="D1034" s="63" t="e">
        <f>VLOOKUP(C1034,'RAW DATA 2023'!E:BP,63,0)</f>
        <v>#N/A</v>
      </c>
      <c r="E1034" s="63" t="e">
        <f t="shared" ref="E1034:E1097" si="81">A1034&amp;D1034</f>
        <v>#N/A</v>
      </c>
      <c r="F1034" s="79" t="e">
        <f>ROUND(VLOOKUP(C1034,'RAW DATA 2023'!E:BO,23,0),0)</f>
        <v>#N/A</v>
      </c>
      <c r="G1034" s="79" t="e">
        <f>VLOOKUP(C1034,'RAW DATA 2023'!E:BO,24,0)</f>
        <v>#N/A</v>
      </c>
      <c r="H1034" s="79" t="str">
        <f>IFERROR(VLOOKUP(F1034,STD!A:G,3,TRUE),"")</f>
        <v/>
      </c>
      <c r="I1034" s="100">
        <f t="shared" si="77"/>
        <v>0</v>
      </c>
      <c r="J1034" s="74">
        <f t="shared" si="78"/>
        <v>-15</v>
      </c>
      <c r="K1034" t="e">
        <f>VLOOKUP(C1034,'RAW DATA 2023'!E:BO,12,0)</f>
        <v>#N/A</v>
      </c>
      <c r="L1034" s="268" t="e">
        <f t="shared" si="79"/>
        <v>#N/A</v>
      </c>
      <c r="M1034"/>
    </row>
    <row r="1035" spans="1:13">
      <c r="A1035" s="64">
        <f>'RAW DATA 2023'!B1028</f>
        <v>0</v>
      </c>
      <c r="B1035" s="64">
        <f>'RAW DATA 2023'!D1028</f>
        <v>0</v>
      </c>
      <c r="C1035" s="63" t="str">
        <f t="shared" si="80"/>
        <v>00</v>
      </c>
      <c r="D1035" s="63" t="e">
        <f>VLOOKUP(C1035,'RAW DATA 2023'!E:BP,63,0)</f>
        <v>#N/A</v>
      </c>
      <c r="E1035" s="63" t="e">
        <f t="shared" si="81"/>
        <v>#N/A</v>
      </c>
      <c r="F1035" s="79" t="e">
        <f>ROUND(VLOOKUP(C1035,'RAW DATA 2023'!E:BO,23,0),0)</f>
        <v>#N/A</v>
      </c>
      <c r="G1035" s="79" t="e">
        <f>VLOOKUP(C1035,'RAW DATA 2023'!E:BO,24,0)</f>
        <v>#N/A</v>
      </c>
      <c r="H1035" s="79" t="str">
        <f>IFERROR(VLOOKUP(F1035,STD!A:G,3,TRUE),"")</f>
        <v/>
      </c>
      <c r="I1035" s="100">
        <f t="shared" ref="I1035:I1098" si="82">IFERROR(G1035/H1035,0)</f>
        <v>0</v>
      </c>
      <c r="J1035" s="74">
        <f t="shared" ref="J1035:J1098" si="83">(I1035-$E$4)*$E$7</f>
        <v>-15</v>
      </c>
      <c r="K1035" t="e">
        <f>VLOOKUP(C1035,'RAW DATA 2023'!E:BO,12,0)</f>
        <v>#N/A</v>
      </c>
      <c r="L1035" s="268" t="e">
        <f t="shared" ref="L1035:L1098" si="84">J1035*K1035</f>
        <v>#N/A</v>
      </c>
      <c r="M1035"/>
    </row>
    <row r="1036" spans="1:13">
      <c r="A1036" s="64">
        <f>'RAW DATA 2023'!B1029</f>
        <v>0</v>
      </c>
      <c r="B1036" s="64">
        <f>'RAW DATA 2023'!D1029</f>
        <v>0</v>
      </c>
      <c r="C1036" s="63" t="str">
        <f t="shared" si="80"/>
        <v>00</v>
      </c>
      <c r="D1036" s="63" t="e">
        <f>VLOOKUP(C1036,'RAW DATA 2023'!E:BP,63,0)</f>
        <v>#N/A</v>
      </c>
      <c r="E1036" s="63" t="e">
        <f t="shared" si="81"/>
        <v>#N/A</v>
      </c>
      <c r="F1036" s="79" t="e">
        <f>ROUND(VLOOKUP(C1036,'RAW DATA 2023'!E:BO,23,0),0)</f>
        <v>#N/A</v>
      </c>
      <c r="G1036" s="79" t="e">
        <f>VLOOKUP(C1036,'RAW DATA 2023'!E:BO,24,0)</f>
        <v>#N/A</v>
      </c>
      <c r="H1036" s="79" t="str">
        <f>IFERROR(VLOOKUP(F1036,STD!A:G,3,TRUE),"")</f>
        <v/>
      </c>
      <c r="I1036" s="100">
        <f t="shared" si="82"/>
        <v>0</v>
      </c>
      <c r="J1036" s="74">
        <f t="shared" si="83"/>
        <v>-15</v>
      </c>
      <c r="K1036" t="e">
        <f>VLOOKUP(C1036,'RAW DATA 2023'!E:BO,12,0)</f>
        <v>#N/A</v>
      </c>
      <c r="L1036" s="268" t="e">
        <f t="shared" si="84"/>
        <v>#N/A</v>
      </c>
      <c r="M1036"/>
    </row>
    <row r="1037" spans="1:13">
      <c r="A1037" s="64">
        <f>'RAW DATA 2023'!B1030</f>
        <v>0</v>
      </c>
      <c r="B1037" s="64">
        <f>'RAW DATA 2023'!D1030</f>
        <v>0</v>
      </c>
      <c r="C1037" s="63" t="str">
        <f t="shared" si="80"/>
        <v>00</v>
      </c>
      <c r="D1037" s="63" t="e">
        <f>VLOOKUP(C1037,'RAW DATA 2023'!E:BP,63,0)</f>
        <v>#N/A</v>
      </c>
      <c r="E1037" s="63" t="e">
        <f t="shared" si="81"/>
        <v>#N/A</v>
      </c>
      <c r="F1037" s="79" t="e">
        <f>ROUND(VLOOKUP(C1037,'RAW DATA 2023'!E:BO,23,0),0)</f>
        <v>#N/A</v>
      </c>
      <c r="G1037" s="79" t="e">
        <f>VLOOKUP(C1037,'RAW DATA 2023'!E:BO,24,0)</f>
        <v>#N/A</v>
      </c>
      <c r="H1037" s="79" t="str">
        <f>IFERROR(VLOOKUP(F1037,STD!A:G,3,TRUE),"")</f>
        <v/>
      </c>
      <c r="I1037" s="100">
        <f t="shared" si="82"/>
        <v>0</v>
      </c>
      <c r="J1037" s="74">
        <f t="shared" si="83"/>
        <v>-15</v>
      </c>
      <c r="K1037" t="e">
        <f>VLOOKUP(C1037,'RAW DATA 2023'!E:BO,12,0)</f>
        <v>#N/A</v>
      </c>
      <c r="L1037" s="268" t="e">
        <f t="shared" si="84"/>
        <v>#N/A</v>
      </c>
      <c r="M1037"/>
    </row>
    <row r="1038" spans="1:13">
      <c r="A1038" s="64">
        <f>'RAW DATA 2023'!B1031</f>
        <v>0</v>
      </c>
      <c r="B1038" s="64">
        <f>'RAW DATA 2023'!D1031</f>
        <v>0</v>
      </c>
      <c r="C1038" s="63" t="str">
        <f t="shared" si="80"/>
        <v>00</v>
      </c>
      <c r="D1038" s="63" t="e">
        <f>VLOOKUP(C1038,'RAW DATA 2023'!E:BP,63,0)</f>
        <v>#N/A</v>
      </c>
      <c r="E1038" s="63" t="e">
        <f t="shared" si="81"/>
        <v>#N/A</v>
      </c>
      <c r="F1038" s="79" t="e">
        <f>ROUND(VLOOKUP(C1038,'RAW DATA 2023'!E:BO,23,0),0)</f>
        <v>#N/A</v>
      </c>
      <c r="G1038" s="79" t="e">
        <f>VLOOKUP(C1038,'RAW DATA 2023'!E:BO,24,0)</f>
        <v>#N/A</v>
      </c>
      <c r="H1038" s="79" t="str">
        <f>IFERROR(VLOOKUP(F1038,STD!A:G,3,TRUE),"")</f>
        <v/>
      </c>
      <c r="I1038" s="100">
        <f t="shared" si="82"/>
        <v>0</v>
      </c>
      <c r="J1038" s="74">
        <f t="shared" si="83"/>
        <v>-15</v>
      </c>
      <c r="K1038" t="e">
        <f>VLOOKUP(C1038,'RAW DATA 2023'!E:BO,12,0)</f>
        <v>#N/A</v>
      </c>
      <c r="L1038" s="268" t="e">
        <f t="shared" si="84"/>
        <v>#N/A</v>
      </c>
      <c r="M1038"/>
    </row>
    <row r="1039" spans="1:13">
      <c r="A1039" s="64">
        <f>'RAW DATA 2023'!B1032</f>
        <v>0</v>
      </c>
      <c r="B1039" s="64">
        <f>'RAW DATA 2023'!D1032</f>
        <v>0</v>
      </c>
      <c r="C1039" s="63" t="str">
        <f t="shared" si="80"/>
        <v>00</v>
      </c>
      <c r="D1039" s="63" t="e">
        <f>VLOOKUP(C1039,'RAW DATA 2023'!E:BP,63,0)</f>
        <v>#N/A</v>
      </c>
      <c r="E1039" s="63" t="e">
        <f t="shared" si="81"/>
        <v>#N/A</v>
      </c>
      <c r="F1039" s="79" t="e">
        <f>ROUND(VLOOKUP(C1039,'RAW DATA 2023'!E:BO,23,0),0)</f>
        <v>#N/A</v>
      </c>
      <c r="G1039" s="79" t="e">
        <f>VLOOKUP(C1039,'RAW DATA 2023'!E:BO,24,0)</f>
        <v>#N/A</v>
      </c>
      <c r="H1039" s="79" t="str">
        <f>IFERROR(VLOOKUP(F1039,STD!A:G,3,TRUE),"")</f>
        <v/>
      </c>
      <c r="I1039" s="100">
        <f t="shared" si="82"/>
        <v>0</v>
      </c>
      <c r="J1039" s="74">
        <f t="shared" si="83"/>
        <v>-15</v>
      </c>
      <c r="K1039" t="e">
        <f>VLOOKUP(C1039,'RAW DATA 2023'!E:BO,12,0)</f>
        <v>#N/A</v>
      </c>
      <c r="L1039" s="268" t="e">
        <f t="shared" si="84"/>
        <v>#N/A</v>
      </c>
      <c r="M1039"/>
    </row>
    <row r="1040" spans="1:13">
      <c r="A1040" s="64">
        <f>'RAW DATA 2023'!B1033</f>
        <v>0</v>
      </c>
      <c r="B1040" s="64">
        <f>'RAW DATA 2023'!D1033</f>
        <v>0</v>
      </c>
      <c r="C1040" s="63" t="str">
        <f t="shared" si="80"/>
        <v>00</v>
      </c>
      <c r="D1040" s="63" t="e">
        <f>VLOOKUP(C1040,'RAW DATA 2023'!E:BP,63,0)</f>
        <v>#N/A</v>
      </c>
      <c r="E1040" s="63" t="e">
        <f t="shared" si="81"/>
        <v>#N/A</v>
      </c>
      <c r="F1040" s="79" t="e">
        <f>ROUND(VLOOKUP(C1040,'RAW DATA 2023'!E:BO,23,0),0)</f>
        <v>#N/A</v>
      </c>
      <c r="G1040" s="79" t="e">
        <f>VLOOKUP(C1040,'RAW DATA 2023'!E:BO,24,0)</f>
        <v>#N/A</v>
      </c>
      <c r="H1040" s="79" t="str">
        <f>IFERROR(VLOOKUP(F1040,STD!A:G,3,TRUE),"")</f>
        <v/>
      </c>
      <c r="I1040" s="100">
        <f t="shared" si="82"/>
        <v>0</v>
      </c>
      <c r="J1040" s="74">
        <f t="shared" si="83"/>
        <v>-15</v>
      </c>
      <c r="K1040" t="e">
        <f>VLOOKUP(C1040,'RAW DATA 2023'!E:BO,12,0)</f>
        <v>#N/A</v>
      </c>
      <c r="L1040" s="268" t="e">
        <f t="shared" si="84"/>
        <v>#N/A</v>
      </c>
      <c r="M1040"/>
    </row>
    <row r="1041" spans="1:13">
      <c r="A1041" s="64">
        <f>'RAW DATA 2023'!B1034</f>
        <v>0</v>
      </c>
      <c r="B1041" s="64">
        <f>'RAW DATA 2023'!D1034</f>
        <v>0</v>
      </c>
      <c r="C1041" s="63" t="str">
        <f t="shared" si="80"/>
        <v>00</v>
      </c>
      <c r="D1041" s="63" t="e">
        <f>VLOOKUP(C1041,'RAW DATA 2023'!E:BP,63,0)</f>
        <v>#N/A</v>
      </c>
      <c r="E1041" s="63" t="e">
        <f t="shared" si="81"/>
        <v>#N/A</v>
      </c>
      <c r="F1041" s="79" t="e">
        <f>ROUND(VLOOKUP(C1041,'RAW DATA 2023'!E:BO,23,0),0)</f>
        <v>#N/A</v>
      </c>
      <c r="G1041" s="79" t="e">
        <f>VLOOKUP(C1041,'RAW DATA 2023'!E:BO,24,0)</f>
        <v>#N/A</v>
      </c>
      <c r="H1041" s="79" t="str">
        <f>IFERROR(VLOOKUP(F1041,STD!A:G,3,TRUE),"")</f>
        <v/>
      </c>
      <c r="I1041" s="100">
        <f t="shared" si="82"/>
        <v>0</v>
      </c>
      <c r="J1041" s="74">
        <f t="shared" si="83"/>
        <v>-15</v>
      </c>
      <c r="K1041" t="e">
        <f>VLOOKUP(C1041,'RAW DATA 2023'!E:BO,12,0)</f>
        <v>#N/A</v>
      </c>
      <c r="L1041" s="268" t="e">
        <f t="shared" si="84"/>
        <v>#N/A</v>
      </c>
      <c r="M1041"/>
    </row>
    <row r="1042" spans="1:13">
      <c r="A1042" s="64">
        <f>'RAW DATA 2023'!B1035</f>
        <v>0</v>
      </c>
      <c r="B1042" s="64">
        <f>'RAW DATA 2023'!D1035</f>
        <v>0</v>
      </c>
      <c r="C1042" s="63" t="str">
        <f t="shared" si="80"/>
        <v>00</v>
      </c>
      <c r="D1042" s="63" t="e">
        <f>VLOOKUP(C1042,'RAW DATA 2023'!E:BP,63,0)</f>
        <v>#N/A</v>
      </c>
      <c r="E1042" s="63" t="e">
        <f t="shared" si="81"/>
        <v>#N/A</v>
      </c>
      <c r="F1042" s="79" t="e">
        <f>ROUND(VLOOKUP(C1042,'RAW DATA 2023'!E:BO,23,0),0)</f>
        <v>#N/A</v>
      </c>
      <c r="G1042" s="79" t="e">
        <f>VLOOKUP(C1042,'RAW DATA 2023'!E:BO,24,0)</f>
        <v>#N/A</v>
      </c>
      <c r="H1042" s="79" t="str">
        <f>IFERROR(VLOOKUP(F1042,STD!A:G,3,TRUE),"")</f>
        <v/>
      </c>
      <c r="I1042" s="100">
        <f t="shared" si="82"/>
        <v>0</v>
      </c>
      <c r="J1042" s="74">
        <f t="shared" si="83"/>
        <v>-15</v>
      </c>
      <c r="K1042" t="e">
        <f>VLOOKUP(C1042,'RAW DATA 2023'!E:BO,12,0)</f>
        <v>#N/A</v>
      </c>
      <c r="L1042" s="268" t="e">
        <f t="shared" si="84"/>
        <v>#N/A</v>
      </c>
      <c r="M1042"/>
    </row>
    <row r="1043" spans="1:13">
      <c r="A1043" s="64">
        <f>'RAW DATA 2023'!B1036</f>
        <v>0</v>
      </c>
      <c r="B1043" s="64">
        <f>'RAW DATA 2023'!D1036</f>
        <v>0</v>
      </c>
      <c r="C1043" s="63" t="str">
        <f t="shared" si="80"/>
        <v>00</v>
      </c>
      <c r="D1043" s="63" t="e">
        <f>VLOOKUP(C1043,'RAW DATA 2023'!E:BP,63,0)</f>
        <v>#N/A</v>
      </c>
      <c r="E1043" s="63" t="e">
        <f t="shared" si="81"/>
        <v>#N/A</v>
      </c>
      <c r="F1043" s="79" t="e">
        <f>ROUND(VLOOKUP(C1043,'RAW DATA 2023'!E:BO,23,0),0)</f>
        <v>#N/A</v>
      </c>
      <c r="G1043" s="79" t="e">
        <f>VLOOKUP(C1043,'RAW DATA 2023'!E:BO,24,0)</f>
        <v>#N/A</v>
      </c>
      <c r="H1043" s="79" t="str">
        <f>IFERROR(VLOOKUP(F1043,STD!A:G,3,TRUE),"")</f>
        <v/>
      </c>
      <c r="I1043" s="100">
        <f t="shared" si="82"/>
        <v>0</v>
      </c>
      <c r="J1043" s="74">
        <f t="shared" si="83"/>
        <v>-15</v>
      </c>
      <c r="K1043" t="e">
        <f>VLOOKUP(C1043,'RAW DATA 2023'!E:BO,12,0)</f>
        <v>#N/A</v>
      </c>
      <c r="L1043" s="268" t="e">
        <f t="shared" si="84"/>
        <v>#N/A</v>
      </c>
      <c r="M1043"/>
    </row>
    <row r="1044" spans="1:13">
      <c r="A1044" s="64">
        <f>'RAW DATA 2023'!B1037</f>
        <v>0</v>
      </c>
      <c r="B1044" s="64">
        <f>'RAW DATA 2023'!D1037</f>
        <v>0</v>
      </c>
      <c r="C1044" s="63" t="str">
        <f t="shared" si="80"/>
        <v>00</v>
      </c>
      <c r="D1044" s="63" t="e">
        <f>VLOOKUP(C1044,'RAW DATA 2023'!E:BP,63,0)</f>
        <v>#N/A</v>
      </c>
      <c r="E1044" s="63" t="e">
        <f t="shared" si="81"/>
        <v>#N/A</v>
      </c>
      <c r="F1044" s="79" t="e">
        <f>ROUND(VLOOKUP(C1044,'RAW DATA 2023'!E:BO,23,0),0)</f>
        <v>#N/A</v>
      </c>
      <c r="G1044" s="79" t="e">
        <f>VLOOKUP(C1044,'RAW DATA 2023'!E:BO,24,0)</f>
        <v>#N/A</v>
      </c>
      <c r="H1044" s="79" t="str">
        <f>IFERROR(VLOOKUP(F1044,STD!A:G,3,TRUE),"")</f>
        <v/>
      </c>
      <c r="I1044" s="100">
        <f t="shared" si="82"/>
        <v>0</v>
      </c>
      <c r="J1044" s="74">
        <f t="shared" si="83"/>
        <v>-15</v>
      </c>
      <c r="K1044" t="e">
        <f>VLOOKUP(C1044,'RAW DATA 2023'!E:BO,12,0)</f>
        <v>#N/A</v>
      </c>
      <c r="L1044" s="268" t="e">
        <f t="shared" si="84"/>
        <v>#N/A</v>
      </c>
      <c r="M1044"/>
    </row>
    <row r="1045" spans="1:13">
      <c r="A1045" s="64">
        <f>'RAW DATA 2023'!B1038</f>
        <v>0</v>
      </c>
      <c r="B1045" s="64">
        <f>'RAW DATA 2023'!D1038</f>
        <v>0</v>
      </c>
      <c r="C1045" s="63" t="str">
        <f t="shared" si="80"/>
        <v>00</v>
      </c>
      <c r="D1045" s="63" t="e">
        <f>VLOOKUP(C1045,'RAW DATA 2023'!E:BP,63,0)</f>
        <v>#N/A</v>
      </c>
      <c r="E1045" s="63" t="e">
        <f t="shared" si="81"/>
        <v>#N/A</v>
      </c>
      <c r="F1045" s="79" t="e">
        <f>ROUND(VLOOKUP(C1045,'RAW DATA 2023'!E:BO,23,0),0)</f>
        <v>#N/A</v>
      </c>
      <c r="G1045" s="79" t="e">
        <f>VLOOKUP(C1045,'RAW DATA 2023'!E:BO,24,0)</f>
        <v>#N/A</v>
      </c>
      <c r="H1045" s="79" t="str">
        <f>IFERROR(VLOOKUP(F1045,STD!A:G,3,TRUE),"")</f>
        <v/>
      </c>
      <c r="I1045" s="100">
        <f t="shared" si="82"/>
        <v>0</v>
      </c>
      <c r="J1045" s="74">
        <f t="shared" si="83"/>
        <v>-15</v>
      </c>
      <c r="K1045" t="e">
        <f>VLOOKUP(C1045,'RAW DATA 2023'!E:BO,12,0)</f>
        <v>#N/A</v>
      </c>
      <c r="L1045" s="268" t="e">
        <f t="shared" si="84"/>
        <v>#N/A</v>
      </c>
      <c r="M1045"/>
    </row>
    <row r="1046" spans="1:13">
      <c r="A1046" s="64">
        <f>'RAW DATA 2023'!B1039</f>
        <v>0</v>
      </c>
      <c r="B1046" s="64">
        <f>'RAW DATA 2023'!D1039</f>
        <v>0</v>
      </c>
      <c r="C1046" s="63" t="str">
        <f t="shared" si="80"/>
        <v>00</v>
      </c>
      <c r="D1046" s="63" t="e">
        <f>VLOOKUP(C1046,'RAW DATA 2023'!E:BP,63,0)</f>
        <v>#N/A</v>
      </c>
      <c r="E1046" s="63" t="e">
        <f t="shared" si="81"/>
        <v>#N/A</v>
      </c>
      <c r="F1046" s="79" t="e">
        <f>ROUND(VLOOKUP(C1046,'RAW DATA 2023'!E:BO,23,0),0)</f>
        <v>#N/A</v>
      </c>
      <c r="G1046" s="79" t="e">
        <f>VLOOKUP(C1046,'RAW DATA 2023'!E:BO,24,0)</f>
        <v>#N/A</v>
      </c>
      <c r="H1046" s="79" t="str">
        <f>IFERROR(VLOOKUP(F1046,STD!A:G,3,TRUE),"")</f>
        <v/>
      </c>
      <c r="I1046" s="100">
        <f t="shared" si="82"/>
        <v>0</v>
      </c>
      <c r="J1046" s="74">
        <f t="shared" si="83"/>
        <v>-15</v>
      </c>
      <c r="K1046" t="e">
        <f>VLOOKUP(C1046,'RAW DATA 2023'!E:BO,12,0)</f>
        <v>#N/A</v>
      </c>
      <c r="L1046" s="268" t="e">
        <f t="shared" si="84"/>
        <v>#N/A</v>
      </c>
      <c r="M1046"/>
    </row>
    <row r="1047" spans="1:13">
      <c r="A1047" s="64">
        <f>'RAW DATA 2023'!B1040</f>
        <v>0</v>
      </c>
      <c r="B1047" s="64">
        <f>'RAW DATA 2023'!D1040</f>
        <v>0</v>
      </c>
      <c r="C1047" s="63" t="str">
        <f t="shared" si="80"/>
        <v>00</v>
      </c>
      <c r="D1047" s="63" t="e">
        <f>VLOOKUP(C1047,'RAW DATA 2023'!E:BP,63,0)</f>
        <v>#N/A</v>
      </c>
      <c r="E1047" s="63" t="e">
        <f t="shared" si="81"/>
        <v>#N/A</v>
      </c>
      <c r="F1047" s="79" t="e">
        <f>ROUND(VLOOKUP(C1047,'RAW DATA 2023'!E:BO,23,0),0)</f>
        <v>#N/A</v>
      </c>
      <c r="G1047" s="79" t="e">
        <f>VLOOKUP(C1047,'RAW DATA 2023'!E:BO,24,0)</f>
        <v>#N/A</v>
      </c>
      <c r="H1047" s="79" t="str">
        <f>IFERROR(VLOOKUP(F1047,STD!A:G,3,TRUE),"")</f>
        <v/>
      </c>
      <c r="I1047" s="100">
        <f t="shared" si="82"/>
        <v>0</v>
      </c>
      <c r="J1047" s="74">
        <f t="shared" si="83"/>
        <v>-15</v>
      </c>
      <c r="K1047" t="e">
        <f>VLOOKUP(C1047,'RAW DATA 2023'!E:BO,12,0)</f>
        <v>#N/A</v>
      </c>
      <c r="L1047" s="268" t="e">
        <f t="shared" si="84"/>
        <v>#N/A</v>
      </c>
      <c r="M1047"/>
    </row>
    <row r="1048" spans="1:13">
      <c r="A1048" s="64">
        <f>'RAW DATA 2023'!B1041</f>
        <v>0</v>
      </c>
      <c r="B1048" s="64">
        <f>'RAW DATA 2023'!D1041</f>
        <v>0</v>
      </c>
      <c r="C1048" s="63" t="str">
        <f t="shared" si="80"/>
        <v>00</v>
      </c>
      <c r="D1048" s="63" t="e">
        <f>VLOOKUP(C1048,'RAW DATA 2023'!E:BP,63,0)</f>
        <v>#N/A</v>
      </c>
      <c r="E1048" s="63" t="e">
        <f t="shared" si="81"/>
        <v>#N/A</v>
      </c>
      <c r="F1048" s="79" t="e">
        <f>ROUND(VLOOKUP(C1048,'RAW DATA 2023'!E:BO,23,0),0)</f>
        <v>#N/A</v>
      </c>
      <c r="G1048" s="79" t="e">
        <f>VLOOKUP(C1048,'RAW DATA 2023'!E:BO,24,0)</f>
        <v>#N/A</v>
      </c>
      <c r="H1048" s="79" t="str">
        <f>IFERROR(VLOOKUP(F1048,STD!A:G,3,TRUE),"")</f>
        <v/>
      </c>
      <c r="I1048" s="100">
        <f t="shared" si="82"/>
        <v>0</v>
      </c>
      <c r="J1048" s="74">
        <f t="shared" si="83"/>
        <v>-15</v>
      </c>
      <c r="K1048" t="e">
        <f>VLOOKUP(C1048,'RAW DATA 2023'!E:BO,12,0)</f>
        <v>#N/A</v>
      </c>
      <c r="L1048" s="268" t="e">
        <f t="shared" si="84"/>
        <v>#N/A</v>
      </c>
      <c r="M1048"/>
    </row>
    <row r="1049" spans="1:13">
      <c r="A1049" s="64">
        <f>'RAW DATA 2023'!B1042</f>
        <v>0</v>
      </c>
      <c r="B1049" s="64">
        <f>'RAW DATA 2023'!D1042</f>
        <v>0</v>
      </c>
      <c r="C1049" s="63" t="str">
        <f t="shared" si="80"/>
        <v>00</v>
      </c>
      <c r="D1049" s="63" t="e">
        <f>VLOOKUP(C1049,'RAW DATA 2023'!E:BP,63,0)</f>
        <v>#N/A</v>
      </c>
      <c r="E1049" s="63" t="e">
        <f t="shared" si="81"/>
        <v>#N/A</v>
      </c>
      <c r="F1049" s="79" t="e">
        <f>ROUND(VLOOKUP(C1049,'RAW DATA 2023'!E:BO,23,0),0)</f>
        <v>#N/A</v>
      </c>
      <c r="G1049" s="79" t="e">
        <f>VLOOKUP(C1049,'RAW DATA 2023'!E:BO,24,0)</f>
        <v>#N/A</v>
      </c>
      <c r="H1049" s="79" t="str">
        <f>IFERROR(VLOOKUP(F1049,STD!A:G,3,TRUE),"")</f>
        <v/>
      </c>
      <c r="I1049" s="100">
        <f t="shared" si="82"/>
        <v>0</v>
      </c>
      <c r="J1049" s="74">
        <f t="shared" si="83"/>
        <v>-15</v>
      </c>
      <c r="K1049" t="e">
        <f>VLOOKUP(C1049,'RAW DATA 2023'!E:BO,12,0)</f>
        <v>#N/A</v>
      </c>
      <c r="L1049" s="268" t="e">
        <f t="shared" si="84"/>
        <v>#N/A</v>
      </c>
      <c r="M1049"/>
    </row>
    <row r="1050" spans="1:13">
      <c r="A1050" s="64">
        <f>'RAW DATA 2023'!B1043</f>
        <v>0</v>
      </c>
      <c r="B1050" s="64">
        <f>'RAW DATA 2023'!D1043</f>
        <v>0</v>
      </c>
      <c r="C1050" s="63" t="str">
        <f t="shared" si="80"/>
        <v>00</v>
      </c>
      <c r="D1050" s="63" t="e">
        <f>VLOOKUP(C1050,'RAW DATA 2023'!E:BP,63,0)</f>
        <v>#N/A</v>
      </c>
      <c r="E1050" s="63" t="e">
        <f t="shared" si="81"/>
        <v>#N/A</v>
      </c>
      <c r="F1050" s="79" t="e">
        <f>ROUND(VLOOKUP(C1050,'RAW DATA 2023'!E:BO,23,0),0)</f>
        <v>#N/A</v>
      </c>
      <c r="G1050" s="79" t="e">
        <f>VLOOKUP(C1050,'RAW DATA 2023'!E:BO,24,0)</f>
        <v>#N/A</v>
      </c>
      <c r="H1050" s="79" t="str">
        <f>IFERROR(VLOOKUP(F1050,STD!A:G,3,TRUE),"")</f>
        <v/>
      </c>
      <c r="I1050" s="100">
        <f t="shared" si="82"/>
        <v>0</v>
      </c>
      <c r="J1050" s="74">
        <f t="shared" si="83"/>
        <v>-15</v>
      </c>
      <c r="K1050" t="e">
        <f>VLOOKUP(C1050,'RAW DATA 2023'!E:BO,12,0)</f>
        <v>#N/A</v>
      </c>
      <c r="L1050" s="268" t="e">
        <f t="shared" si="84"/>
        <v>#N/A</v>
      </c>
      <c r="M1050"/>
    </row>
    <row r="1051" spans="1:13">
      <c r="A1051" s="64">
        <f>'RAW DATA 2023'!B1044</f>
        <v>0</v>
      </c>
      <c r="B1051" s="64">
        <f>'RAW DATA 2023'!D1044</f>
        <v>0</v>
      </c>
      <c r="C1051" s="63" t="str">
        <f t="shared" si="80"/>
        <v>00</v>
      </c>
      <c r="D1051" s="63" t="e">
        <f>VLOOKUP(C1051,'RAW DATA 2023'!E:BP,63,0)</f>
        <v>#N/A</v>
      </c>
      <c r="E1051" s="63" t="e">
        <f t="shared" si="81"/>
        <v>#N/A</v>
      </c>
      <c r="F1051" s="79" t="e">
        <f>ROUND(VLOOKUP(C1051,'RAW DATA 2023'!E:BO,23,0),0)</f>
        <v>#N/A</v>
      </c>
      <c r="G1051" s="79" t="e">
        <f>VLOOKUP(C1051,'RAW DATA 2023'!E:BO,24,0)</f>
        <v>#N/A</v>
      </c>
      <c r="H1051" s="79" t="str">
        <f>IFERROR(VLOOKUP(F1051,STD!A:G,3,TRUE),"")</f>
        <v/>
      </c>
      <c r="I1051" s="100">
        <f t="shared" si="82"/>
        <v>0</v>
      </c>
      <c r="J1051" s="74">
        <f t="shared" si="83"/>
        <v>-15</v>
      </c>
      <c r="K1051" t="e">
        <f>VLOOKUP(C1051,'RAW DATA 2023'!E:BO,12,0)</f>
        <v>#N/A</v>
      </c>
      <c r="L1051" s="268" t="e">
        <f t="shared" si="84"/>
        <v>#N/A</v>
      </c>
      <c r="M1051"/>
    </row>
    <row r="1052" spans="1:13">
      <c r="A1052" s="64">
        <f>'RAW DATA 2023'!B1045</f>
        <v>0</v>
      </c>
      <c r="B1052" s="64">
        <f>'RAW DATA 2023'!D1045</f>
        <v>0</v>
      </c>
      <c r="C1052" s="63" t="str">
        <f t="shared" si="80"/>
        <v>00</v>
      </c>
      <c r="D1052" s="63" t="e">
        <f>VLOOKUP(C1052,'RAW DATA 2023'!E:BP,63,0)</f>
        <v>#N/A</v>
      </c>
      <c r="E1052" s="63" t="e">
        <f t="shared" si="81"/>
        <v>#N/A</v>
      </c>
      <c r="F1052" s="79" t="e">
        <f>ROUND(VLOOKUP(C1052,'RAW DATA 2023'!E:BO,23,0),0)</f>
        <v>#N/A</v>
      </c>
      <c r="G1052" s="79" t="e">
        <f>VLOOKUP(C1052,'RAW DATA 2023'!E:BO,24,0)</f>
        <v>#N/A</v>
      </c>
      <c r="H1052" s="79" t="str">
        <f>IFERROR(VLOOKUP(F1052,STD!A:G,3,TRUE),"")</f>
        <v/>
      </c>
      <c r="I1052" s="100">
        <f t="shared" si="82"/>
        <v>0</v>
      </c>
      <c r="J1052" s="74">
        <f t="shared" si="83"/>
        <v>-15</v>
      </c>
      <c r="K1052" t="e">
        <f>VLOOKUP(C1052,'RAW DATA 2023'!E:BO,12,0)</f>
        <v>#N/A</v>
      </c>
      <c r="L1052" s="268" t="e">
        <f t="shared" si="84"/>
        <v>#N/A</v>
      </c>
      <c r="M1052"/>
    </row>
    <row r="1053" spans="1:13">
      <c r="A1053" s="64">
        <f>'RAW DATA 2023'!B1046</f>
        <v>0</v>
      </c>
      <c r="B1053" s="64">
        <f>'RAW DATA 2023'!D1046</f>
        <v>0</v>
      </c>
      <c r="C1053" s="63" t="str">
        <f t="shared" si="80"/>
        <v>00</v>
      </c>
      <c r="D1053" s="63" t="e">
        <f>VLOOKUP(C1053,'RAW DATA 2023'!E:BP,63,0)</f>
        <v>#N/A</v>
      </c>
      <c r="E1053" s="63" t="e">
        <f t="shared" si="81"/>
        <v>#N/A</v>
      </c>
      <c r="F1053" s="79" t="e">
        <f>ROUND(VLOOKUP(C1053,'RAW DATA 2023'!E:BO,23,0),0)</f>
        <v>#N/A</v>
      </c>
      <c r="G1053" s="79" t="e">
        <f>VLOOKUP(C1053,'RAW DATA 2023'!E:BO,24,0)</f>
        <v>#N/A</v>
      </c>
      <c r="H1053" s="79" t="str">
        <f>IFERROR(VLOOKUP(F1053,STD!A:G,3,TRUE),"")</f>
        <v/>
      </c>
      <c r="I1053" s="100">
        <f t="shared" si="82"/>
        <v>0</v>
      </c>
      <c r="J1053" s="74">
        <f t="shared" si="83"/>
        <v>-15</v>
      </c>
      <c r="K1053" t="e">
        <f>VLOOKUP(C1053,'RAW DATA 2023'!E:BO,12,0)</f>
        <v>#N/A</v>
      </c>
      <c r="L1053" s="268" t="e">
        <f t="shared" si="84"/>
        <v>#N/A</v>
      </c>
      <c r="M1053"/>
    </row>
    <row r="1054" spans="1:13">
      <c r="A1054" s="64">
        <f>'RAW DATA 2023'!B1047</f>
        <v>0</v>
      </c>
      <c r="B1054" s="64">
        <f>'RAW DATA 2023'!D1047</f>
        <v>0</v>
      </c>
      <c r="C1054" s="63" t="str">
        <f t="shared" si="80"/>
        <v>00</v>
      </c>
      <c r="D1054" s="63" t="e">
        <f>VLOOKUP(C1054,'RAW DATA 2023'!E:BP,63,0)</f>
        <v>#N/A</v>
      </c>
      <c r="E1054" s="63" t="e">
        <f t="shared" si="81"/>
        <v>#N/A</v>
      </c>
      <c r="F1054" s="79" t="e">
        <f>ROUND(VLOOKUP(C1054,'RAW DATA 2023'!E:BO,23,0),0)</f>
        <v>#N/A</v>
      </c>
      <c r="G1054" s="79" t="e">
        <f>VLOOKUP(C1054,'RAW DATA 2023'!E:BO,24,0)</f>
        <v>#N/A</v>
      </c>
      <c r="H1054" s="79" t="str">
        <f>IFERROR(VLOOKUP(F1054,STD!A:G,3,TRUE),"")</f>
        <v/>
      </c>
      <c r="I1054" s="100">
        <f t="shared" si="82"/>
        <v>0</v>
      </c>
      <c r="J1054" s="74">
        <f t="shared" si="83"/>
        <v>-15</v>
      </c>
      <c r="K1054" t="e">
        <f>VLOOKUP(C1054,'RAW DATA 2023'!E:BO,12,0)</f>
        <v>#N/A</v>
      </c>
      <c r="L1054" s="268" t="e">
        <f t="shared" si="84"/>
        <v>#N/A</v>
      </c>
      <c r="M1054"/>
    </row>
    <row r="1055" spans="1:13">
      <c r="A1055" s="64">
        <f>'RAW DATA 2023'!B1048</f>
        <v>0</v>
      </c>
      <c r="B1055" s="64">
        <f>'RAW DATA 2023'!D1048</f>
        <v>0</v>
      </c>
      <c r="C1055" s="63" t="str">
        <f t="shared" si="80"/>
        <v>00</v>
      </c>
      <c r="D1055" s="63" t="e">
        <f>VLOOKUP(C1055,'RAW DATA 2023'!E:BP,63,0)</f>
        <v>#N/A</v>
      </c>
      <c r="E1055" s="63" t="e">
        <f t="shared" si="81"/>
        <v>#N/A</v>
      </c>
      <c r="F1055" s="79" t="e">
        <f>ROUND(VLOOKUP(C1055,'RAW DATA 2023'!E:BO,23,0),0)</f>
        <v>#N/A</v>
      </c>
      <c r="G1055" s="79" t="e">
        <f>VLOOKUP(C1055,'RAW DATA 2023'!E:BO,24,0)</f>
        <v>#N/A</v>
      </c>
      <c r="H1055" s="79" t="str">
        <f>IFERROR(VLOOKUP(F1055,STD!A:G,3,TRUE),"")</f>
        <v/>
      </c>
      <c r="I1055" s="100">
        <f t="shared" si="82"/>
        <v>0</v>
      </c>
      <c r="J1055" s="74">
        <f t="shared" si="83"/>
        <v>-15</v>
      </c>
      <c r="K1055" t="e">
        <f>VLOOKUP(C1055,'RAW DATA 2023'!E:BO,12,0)</f>
        <v>#N/A</v>
      </c>
      <c r="L1055" s="268" t="e">
        <f t="shared" si="84"/>
        <v>#N/A</v>
      </c>
      <c r="M1055"/>
    </row>
    <row r="1056" spans="1:13">
      <c r="A1056" s="64">
        <f>'RAW DATA 2023'!B1049</f>
        <v>0</v>
      </c>
      <c r="B1056" s="64">
        <f>'RAW DATA 2023'!D1049</f>
        <v>0</v>
      </c>
      <c r="C1056" s="63" t="str">
        <f t="shared" si="80"/>
        <v>00</v>
      </c>
      <c r="D1056" s="63" t="e">
        <f>VLOOKUP(C1056,'RAW DATA 2023'!E:BP,63,0)</f>
        <v>#N/A</v>
      </c>
      <c r="E1056" s="63" t="e">
        <f t="shared" si="81"/>
        <v>#N/A</v>
      </c>
      <c r="F1056" s="79" t="e">
        <f>ROUND(VLOOKUP(C1056,'RAW DATA 2023'!E:BO,23,0),0)</f>
        <v>#N/A</v>
      </c>
      <c r="G1056" s="79" t="e">
        <f>VLOOKUP(C1056,'RAW DATA 2023'!E:BO,24,0)</f>
        <v>#N/A</v>
      </c>
      <c r="H1056" s="79" t="str">
        <f>IFERROR(VLOOKUP(F1056,STD!A:G,3,TRUE),"")</f>
        <v/>
      </c>
      <c r="I1056" s="100">
        <f t="shared" si="82"/>
        <v>0</v>
      </c>
      <c r="J1056" s="74">
        <f t="shared" si="83"/>
        <v>-15</v>
      </c>
      <c r="K1056" t="e">
        <f>VLOOKUP(C1056,'RAW DATA 2023'!E:BO,12,0)</f>
        <v>#N/A</v>
      </c>
      <c r="L1056" s="268" t="e">
        <f t="shared" si="84"/>
        <v>#N/A</v>
      </c>
      <c r="M1056"/>
    </row>
    <row r="1057" spans="1:13">
      <c r="A1057" s="64">
        <f>'RAW DATA 2023'!B1050</f>
        <v>0</v>
      </c>
      <c r="B1057" s="64">
        <f>'RAW DATA 2023'!D1050</f>
        <v>0</v>
      </c>
      <c r="C1057" s="63" t="str">
        <f t="shared" si="80"/>
        <v>00</v>
      </c>
      <c r="D1057" s="63" t="e">
        <f>VLOOKUP(C1057,'RAW DATA 2023'!E:BP,63,0)</f>
        <v>#N/A</v>
      </c>
      <c r="E1057" s="63" t="e">
        <f t="shared" si="81"/>
        <v>#N/A</v>
      </c>
      <c r="F1057" s="79" t="e">
        <f>ROUND(VLOOKUP(C1057,'RAW DATA 2023'!E:BO,23,0),0)</f>
        <v>#N/A</v>
      </c>
      <c r="G1057" s="79" t="e">
        <f>VLOOKUP(C1057,'RAW DATA 2023'!E:BO,24,0)</f>
        <v>#N/A</v>
      </c>
      <c r="H1057" s="79" t="str">
        <f>IFERROR(VLOOKUP(F1057,STD!A:G,3,TRUE),"")</f>
        <v/>
      </c>
      <c r="I1057" s="100">
        <f t="shared" si="82"/>
        <v>0</v>
      </c>
      <c r="J1057" s="74">
        <f t="shared" si="83"/>
        <v>-15</v>
      </c>
      <c r="K1057" t="e">
        <f>VLOOKUP(C1057,'RAW DATA 2023'!E:BO,12,0)</f>
        <v>#N/A</v>
      </c>
      <c r="L1057" s="268" t="e">
        <f t="shared" si="84"/>
        <v>#N/A</v>
      </c>
      <c r="M1057"/>
    </row>
    <row r="1058" spans="1:13">
      <c r="A1058" s="64">
        <f>'RAW DATA 2023'!B1051</f>
        <v>0</v>
      </c>
      <c r="B1058" s="64">
        <f>'RAW DATA 2023'!D1051</f>
        <v>0</v>
      </c>
      <c r="C1058" s="63" t="str">
        <f t="shared" si="80"/>
        <v>00</v>
      </c>
      <c r="D1058" s="63" t="e">
        <f>VLOOKUP(C1058,'RAW DATA 2023'!E:BP,63,0)</f>
        <v>#N/A</v>
      </c>
      <c r="E1058" s="63" t="e">
        <f t="shared" si="81"/>
        <v>#N/A</v>
      </c>
      <c r="F1058" s="79" t="e">
        <f>ROUND(VLOOKUP(C1058,'RAW DATA 2023'!E:BO,23,0),0)</f>
        <v>#N/A</v>
      </c>
      <c r="G1058" s="79" t="e">
        <f>VLOOKUP(C1058,'RAW DATA 2023'!E:BO,24,0)</f>
        <v>#N/A</v>
      </c>
      <c r="H1058" s="79" t="str">
        <f>IFERROR(VLOOKUP(F1058,STD!A:G,3,TRUE),"")</f>
        <v/>
      </c>
      <c r="I1058" s="100">
        <f t="shared" si="82"/>
        <v>0</v>
      </c>
      <c r="J1058" s="74">
        <f t="shared" si="83"/>
        <v>-15</v>
      </c>
      <c r="K1058" t="e">
        <f>VLOOKUP(C1058,'RAW DATA 2023'!E:BO,12,0)</f>
        <v>#N/A</v>
      </c>
      <c r="L1058" s="268" t="e">
        <f t="shared" si="84"/>
        <v>#N/A</v>
      </c>
      <c r="M1058"/>
    </row>
    <row r="1059" spans="1:13">
      <c r="A1059" s="64">
        <f>'RAW DATA 2023'!B1052</f>
        <v>0</v>
      </c>
      <c r="B1059" s="64">
        <f>'RAW DATA 2023'!D1052</f>
        <v>0</v>
      </c>
      <c r="C1059" s="63" t="str">
        <f t="shared" si="80"/>
        <v>00</v>
      </c>
      <c r="D1059" s="63" t="e">
        <f>VLOOKUP(C1059,'RAW DATA 2023'!E:BP,63,0)</f>
        <v>#N/A</v>
      </c>
      <c r="E1059" s="63" t="e">
        <f t="shared" si="81"/>
        <v>#N/A</v>
      </c>
      <c r="F1059" s="79" t="e">
        <f>ROUND(VLOOKUP(C1059,'RAW DATA 2023'!E:BO,23,0),0)</f>
        <v>#N/A</v>
      </c>
      <c r="G1059" s="79" t="e">
        <f>VLOOKUP(C1059,'RAW DATA 2023'!E:BO,24,0)</f>
        <v>#N/A</v>
      </c>
      <c r="H1059" s="79" t="str">
        <f>IFERROR(VLOOKUP(F1059,STD!A:G,3,TRUE),"")</f>
        <v/>
      </c>
      <c r="I1059" s="100">
        <f t="shared" si="82"/>
        <v>0</v>
      </c>
      <c r="J1059" s="74">
        <f t="shared" si="83"/>
        <v>-15</v>
      </c>
      <c r="K1059" t="e">
        <f>VLOOKUP(C1059,'RAW DATA 2023'!E:BO,12,0)</f>
        <v>#N/A</v>
      </c>
      <c r="L1059" s="268" t="e">
        <f t="shared" si="84"/>
        <v>#N/A</v>
      </c>
      <c r="M1059"/>
    </row>
    <row r="1060" spans="1:13">
      <c r="A1060" s="64">
        <f>'RAW DATA 2023'!B1053</f>
        <v>0</v>
      </c>
      <c r="B1060" s="64">
        <f>'RAW DATA 2023'!D1053</f>
        <v>0</v>
      </c>
      <c r="C1060" s="63" t="str">
        <f t="shared" si="80"/>
        <v>00</v>
      </c>
      <c r="D1060" s="63" t="e">
        <f>VLOOKUP(C1060,'RAW DATA 2023'!E:BP,63,0)</f>
        <v>#N/A</v>
      </c>
      <c r="E1060" s="63" t="e">
        <f t="shared" si="81"/>
        <v>#N/A</v>
      </c>
      <c r="F1060" s="79" t="e">
        <f>ROUND(VLOOKUP(C1060,'RAW DATA 2023'!E:BO,23,0),0)</f>
        <v>#N/A</v>
      </c>
      <c r="G1060" s="79" t="e">
        <f>VLOOKUP(C1060,'RAW DATA 2023'!E:BO,24,0)</f>
        <v>#N/A</v>
      </c>
      <c r="H1060" s="79" t="str">
        <f>IFERROR(VLOOKUP(F1060,STD!A:G,3,TRUE),"")</f>
        <v/>
      </c>
      <c r="I1060" s="100">
        <f t="shared" si="82"/>
        <v>0</v>
      </c>
      <c r="J1060" s="74">
        <f t="shared" si="83"/>
        <v>-15</v>
      </c>
      <c r="K1060" t="e">
        <f>VLOOKUP(C1060,'RAW DATA 2023'!E:BO,12,0)</f>
        <v>#N/A</v>
      </c>
      <c r="L1060" s="268" t="e">
        <f t="shared" si="84"/>
        <v>#N/A</v>
      </c>
      <c r="M1060"/>
    </row>
    <row r="1061" spans="1:13">
      <c r="A1061" s="64">
        <f>'RAW DATA 2023'!B1054</f>
        <v>0</v>
      </c>
      <c r="B1061" s="64">
        <f>'RAW DATA 2023'!D1054</f>
        <v>0</v>
      </c>
      <c r="C1061" s="63" t="str">
        <f t="shared" si="80"/>
        <v>00</v>
      </c>
      <c r="D1061" s="63" t="e">
        <f>VLOOKUP(C1061,'RAW DATA 2023'!E:BP,63,0)</f>
        <v>#N/A</v>
      </c>
      <c r="E1061" s="63" t="e">
        <f t="shared" si="81"/>
        <v>#N/A</v>
      </c>
      <c r="F1061" s="79" t="e">
        <f>ROUND(VLOOKUP(C1061,'RAW DATA 2023'!E:BO,23,0),0)</f>
        <v>#N/A</v>
      </c>
      <c r="G1061" s="79" t="e">
        <f>VLOOKUP(C1061,'RAW DATA 2023'!E:BO,24,0)</f>
        <v>#N/A</v>
      </c>
      <c r="H1061" s="79" t="str">
        <f>IFERROR(VLOOKUP(F1061,STD!A:G,3,TRUE),"")</f>
        <v/>
      </c>
      <c r="I1061" s="100">
        <f t="shared" si="82"/>
        <v>0</v>
      </c>
      <c r="J1061" s="74">
        <f t="shared" si="83"/>
        <v>-15</v>
      </c>
      <c r="K1061" t="e">
        <f>VLOOKUP(C1061,'RAW DATA 2023'!E:BO,12,0)</f>
        <v>#N/A</v>
      </c>
      <c r="L1061" s="268" t="e">
        <f t="shared" si="84"/>
        <v>#N/A</v>
      </c>
      <c r="M1061"/>
    </row>
    <row r="1062" spans="1:13">
      <c r="A1062" s="64">
        <f>'RAW DATA 2023'!B1055</f>
        <v>0</v>
      </c>
      <c r="B1062" s="64">
        <f>'RAW DATA 2023'!D1055</f>
        <v>0</v>
      </c>
      <c r="C1062" s="63" t="str">
        <f t="shared" si="80"/>
        <v>00</v>
      </c>
      <c r="D1062" s="63" t="e">
        <f>VLOOKUP(C1062,'RAW DATA 2023'!E:BP,63,0)</f>
        <v>#N/A</v>
      </c>
      <c r="E1062" s="63" t="e">
        <f t="shared" si="81"/>
        <v>#N/A</v>
      </c>
      <c r="F1062" s="79" t="e">
        <f>ROUND(VLOOKUP(C1062,'RAW DATA 2023'!E:BO,23,0),0)</f>
        <v>#N/A</v>
      </c>
      <c r="G1062" s="79" t="e">
        <f>VLOOKUP(C1062,'RAW DATA 2023'!E:BO,24,0)</f>
        <v>#N/A</v>
      </c>
      <c r="H1062" s="79" t="str">
        <f>IFERROR(VLOOKUP(F1062,STD!A:G,3,TRUE),"")</f>
        <v/>
      </c>
      <c r="I1062" s="100">
        <f t="shared" si="82"/>
        <v>0</v>
      </c>
      <c r="J1062" s="74">
        <f t="shared" si="83"/>
        <v>-15</v>
      </c>
      <c r="K1062" t="e">
        <f>VLOOKUP(C1062,'RAW DATA 2023'!E:BO,12,0)</f>
        <v>#N/A</v>
      </c>
      <c r="L1062" s="268" t="e">
        <f t="shared" si="84"/>
        <v>#N/A</v>
      </c>
      <c r="M1062"/>
    </row>
    <row r="1063" spans="1:13">
      <c r="A1063" s="64">
        <f>'RAW DATA 2023'!B1056</f>
        <v>0</v>
      </c>
      <c r="B1063" s="64">
        <f>'RAW DATA 2023'!D1056</f>
        <v>0</v>
      </c>
      <c r="C1063" s="63" t="str">
        <f t="shared" si="80"/>
        <v>00</v>
      </c>
      <c r="D1063" s="63" t="e">
        <f>VLOOKUP(C1063,'RAW DATA 2023'!E:BP,63,0)</f>
        <v>#N/A</v>
      </c>
      <c r="E1063" s="63" t="e">
        <f t="shared" si="81"/>
        <v>#N/A</v>
      </c>
      <c r="F1063" s="79" t="e">
        <f>ROUND(VLOOKUP(C1063,'RAW DATA 2023'!E:BO,23,0),0)</f>
        <v>#N/A</v>
      </c>
      <c r="G1063" s="79" t="e">
        <f>VLOOKUP(C1063,'RAW DATA 2023'!E:BO,24,0)</f>
        <v>#N/A</v>
      </c>
      <c r="H1063" s="79" t="str">
        <f>IFERROR(VLOOKUP(F1063,STD!A:G,3,TRUE),"")</f>
        <v/>
      </c>
      <c r="I1063" s="100">
        <f t="shared" si="82"/>
        <v>0</v>
      </c>
      <c r="J1063" s="74">
        <f t="shared" si="83"/>
        <v>-15</v>
      </c>
      <c r="K1063" t="e">
        <f>VLOOKUP(C1063,'RAW DATA 2023'!E:BO,12,0)</f>
        <v>#N/A</v>
      </c>
      <c r="L1063" s="268" t="e">
        <f t="shared" si="84"/>
        <v>#N/A</v>
      </c>
      <c r="M1063"/>
    </row>
    <row r="1064" spans="1:13">
      <c r="A1064" s="64">
        <f>'RAW DATA 2023'!B1057</f>
        <v>0</v>
      </c>
      <c r="B1064" s="64">
        <f>'RAW DATA 2023'!D1057</f>
        <v>0</v>
      </c>
      <c r="C1064" s="63" t="str">
        <f t="shared" si="80"/>
        <v>00</v>
      </c>
      <c r="D1064" s="63" t="e">
        <f>VLOOKUP(C1064,'RAW DATA 2023'!E:BP,63,0)</f>
        <v>#N/A</v>
      </c>
      <c r="E1064" s="63" t="e">
        <f t="shared" si="81"/>
        <v>#N/A</v>
      </c>
      <c r="F1064" s="79" t="e">
        <f>ROUND(VLOOKUP(C1064,'RAW DATA 2023'!E:BO,23,0),0)</f>
        <v>#N/A</v>
      </c>
      <c r="G1064" s="79" t="e">
        <f>VLOOKUP(C1064,'RAW DATA 2023'!E:BO,24,0)</f>
        <v>#N/A</v>
      </c>
      <c r="H1064" s="79" t="str">
        <f>IFERROR(VLOOKUP(F1064,STD!A:G,3,TRUE),"")</f>
        <v/>
      </c>
      <c r="I1064" s="100">
        <f t="shared" si="82"/>
        <v>0</v>
      </c>
      <c r="J1064" s="74">
        <f t="shared" si="83"/>
        <v>-15</v>
      </c>
      <c r="K1064" t="e">
        <f>VLOOKUP(C1064,'RAW DATA 2023'!E:BO,12,0)</f>
        <v>#N/A</v>
      </c>
      <c r="L1064" s="268" t="e">
        <f t="shared" si="84"/>
        <v>#N/A</v>
      </c>
      <c r="M1064"/>
    </row>
    <row r="1065" spans="1:13">
      <c r="A1065" s="64">
        <f>'RAW DATA 2023'!B1058</f>
        <v>0</v>
      </c>
      <c r="B1065" s="64">
        <f>'RAW DATA 2023'!D1058</f>
        <v>0</v>
      </c>
      <c r="C1065" s="63" t="str">
        <f t="shared" si="80"/>
        <v>00</v>
      </c>
      <c r="D1065" s="63" t="e">
        <f>VLOOKUP(C1065,'RAW DATA 2023'!E:BP,63,0)</f>
        <v>#N/A</v>
      </c>
      <c r="E1065" s="63" t="e">
        <f t="shared" si="81"/>
        <v>#N/A</v>
      </c>
      <c r="F1065" s="79" t="e">
        <f>ROUND(VLOOKUP(C1065,'RAW DATA 2023'!E:BO,23,0),0)</f>
        <v>#N/A</v>
      </c>
      <c r="G1065" s="79" t="e">
        <f>VLOOKUP(C1065,'RAW DATA 2023'!E:BO,24,0)</f>
        <v>#N/A</v>
      </c>
      <c r="H1065" s="79" t="str">
        <f>IFERROR(VLOOKUP(F1065,STD!A:G,3,TRUE),"")</f>
        <v/>
      </c>
      <c r="I1065" s="100">
        <f t="shared" si="82"/>
        <v>0</v>
      </c>
      <c r="J1065" s="74">
        <f t="shared" si="83"/>
        <v>-15</v>
      </c>
      <c r="K1065" t="e">
        <f>VLOOKUP(C1065,'RAW DATA 2023'!E:BO,12,0)</f>
        <v>#N/A</v>
      </c>
      <c r="L1065" s="268" t="e">
        <f t="shared" si="84"/>
        <v>#N/A</v>
      </c>
      <c r="M1065"/>
    </row>
    <row r="1066" spans="1:13">
      <c r="A1066" s="64">
        <f>'RAW DATA 2023'!B1059</f>
        <v>0</v>
      </c>
      <c r="B1066" s="64">
        <f>'RAW DATA 2023'!D1059</f>
        <v>0</v>
      </c>
      <c r="C1066" s="63" t="str">
        <f t="shared" si="80"/>
        <v>00</v>
      </c>
      <c r="D1066" s="63" t="e">
        <f>VLOOKUP(C1066,'RAW DATA 2023'!E:BP,63,0)</f>
        <v>#N/A</v>
      </c>
      <c r="E1066" s="63" t="e">
        <f t="shared" si="81"/>
        <v>#N/A</v>
      </c>
      <c r="F1066" s="79" t="e">
        <f>ROUND(VLOOKUP(C1066,'RAW DATA 2023'!E:BO,23,0),0)</f>
        <v>#N/A</v>
      </c>
      <c r="G1066" s="79" t="e">
        <f>VLOOKUP(C1066,'RAW DATA 2023'!E:BO,24,0)</f>
        <v>#N/A</v>
      </c>
      <c r="H1066" s="79" t="str">
        <f>IFERROR(VLOOKUP(F1066,STD!A:G,3,TRUE),"")</f>
        <v/>
      </c>
      <c r="I1066" s="100">
        <f t="shared" si="82"/>
        <v>0</v>
      </c>
      <c r="J1066" s="74">
        <f t="shared" si="83"/>
        <v>-15</v>
      </c>
      <c r="K1066" t="e">
        <f>VLOOKUP(C1066,'RAW DATA 2023'!E:BO,12,0)</f>
        <v>#N/A</v>
      </c>
      <c r="L1066" s="268" t="e">
        <f t="shared" si="84"/>
        <v>#N/A</v>
      </c>
      <c r="M1066"/>
    </row>
    <row r="1067" spans="1:13">
      <c r="A1067" s="64">
        <f>'RAW DATA 2023'!B1060</f>
        <v>0</v>
      </c>
      <c r="B1067" s="64">
        <f>'RAW DATA 2023'!D1060</f>
        <v>0</v>
      </c>
      <c r="C1067" s="63" t="str">
        <f t="shared" si="80"/>
        <v>00</v>
      </c>
      <c r="D1067" s="63" t="e">
        <f>VLOOKUP(C1067,'RAW DATA 2023'!E:BP,63,0)</f>
        <v>#N/A</v>
      </c>
      <c r="E1067" s="63" t="e">
        <f t="shared" si="81"/>
        <v>#N/A</v>
      </c>
      <c r="F1067" s="79" t="e">
        <f>ROUND(VLOOKUP(C1067,'RAW DATA 2023'!E:BO,23,0),0)</f>
        <v>#N/A</v>
      </c>
      <c r="G1067" s="79" t="e">
        <f>VLOOKUP(C1067,'RAW DATA 2023'!E:BO,24,0)</f>
        <v>#N/A</v>
      </c>
      <c r="H1067" s="79" t="str">
        <f>IFERROR(VLOOKUP(F1067,STD!A:G,3,TRUE),"")</f>
        <v/>
      </c>
      <c r="I1067" s="100">
        <f t="shared" si="82"/>
        <v>0</v>
      </c>
      <c r="J1067" s="74">
        <f t="shared" si="83"/>
        <v>-15</v>
      </c>
      <c r="K1067" t="e">
        <f>VLOOKUP(C1067,'RAW DATA 2023'!E:BO,12,0)</f>
        <v>#N/A</v>
      </c>
      <c r="L1067" s="268" t="e">
        <f t="shared" si="84"/>
        <v>#N/A</v>
      </c>
      <c r="M1067"/>
    </row>
    <row r="1068" spans="1:13">
      <c r="A1068" s="64">
        <f>'RAW DATA 2023'!B1061</f>
        <v>0</v>
      </c>
      <c r="B1068" s="64">
        <f>'RAW DATA 2023'!D1061</f>
        <v>0</v>
      </c>
      <c r="C1068" s="63" t="str">
        <f t="shared" si="80"/>
        <v>00</v>
      </c>
      <c r="D1068" s="63" t="e">
        <f>VLOOKUP(C1068,'RAW DATA 2023'!E:BP,63,0)</f>
        <v>#N/A</v>
      </c>
      <c r="E1068" s="63" t="e">
        <f t="shared" si="81"/>
        <v>#N/A</v>
      </c>
      <c r="F1068" s="79" t="e">
        <f>ROUND(VLOOKUP(C1068,'RAW DATA 2023'!E:BO,23,0),0)</f>
        <v>#N/A</v>
      </c>
      <c r="G1068" s="79" t="e">
        <f>VLOOKUP(C1068,'RAW DATA 2023'!E:BO,24,0)</f>
        <v>#N/A</v>
      </c>
      <c r="H1068" s="79" t="str">
        <f>IFERROR(VLOOKUP(F1068,STD!A:G,3,TRUE),"")</f>
        <v/>
      </c>
      <c r="I1068" s="100">
        <f t="shared" si="82"/>
        <v>0</v>
      </c>
      <c r="J1068" s="74">
        <f t="shared" si="83"/>
        <v>-15</v>
      </c>
      <c r="K1068" t="e">
        <f>VLOOKUP(C1068,'RAW DATA 2023'!E:BO,12,0)</f>
        <v>#N/A</v>
      </c>
      <c r="L1068" s="268" t="e">
        <f t="shared" si="84"/>
        <v>#N/A</v>
      </c>
      <c r="M1068"/>
    </row>
    <row r="1069" spans="1:13">
      <c r="A1069" s="64">
        <f>'RAW DATA 2023'!B1062</f>
        <v>0</v>
      </c>
      <c r="B1069" s="64">
        <f>'RAW DATA 2023'!D1062</f>
        <v>0</v>
      </c>
      <c r="C1069" s="63" t="str">
        <f t="shared" si="80"/>
        <v>00</v>
      </c>
      <c r="D1069" s="63" t="e">
        <f>VLOOKUP(C1069,'RAW DATA 2023'!E:BP,63,0)</f>
        <v>#N/A</v>
      </c>
      <c r="E1069" s="63" t="e">
        <f t="shared" si="81"/>
        <v>#N/A</v>
      </c>
      <c r="F1069" s="79" t="e">
        <f>ROUND(VLOOKUP(C1069,'RAW DATA 2023'!E:BO,23,0),0)</f>
        <v>#N/A</v>
      </c>
      <c r="G1069" s="79" t="e">
        <f>VLOOKUP(C1069,'RAW DATA 2023'!E:BO,24,0)</f>
        <v>#N/A</v>
      </c>
      <c r="H1069" s="79" t="str">
        <f>IFERROR(VLOOKUP(F1069,STD!A:G,3,TRUE),"")</f>
        <v/>
      </c>
      <c r="I1069" s="100">
        <f t="shared" si="82"/>
        <v>0</v>
      </c>
      <c r="J1069" s="74">
        <f t="shared" si="83"/>
        <v>-15</v>
      </c>
      <c r="K1069" t="e">
        <f>VLOOKUP(C1069,'RAW DATA 2023'!E:BO,12,0)</f>
        <v>#N/A</v>
      </c>
      <c r="L1069" s="268" t="e">
        <f t="shared" si="84"/>
        <v>#N/A</v>
      </c>
      <c r="M1069"/>
    </row>
    <row r="1070" spans="1:13">
      <c r="A1070" s="64">
        <f>'RAW DATA 2023'!B1063</f>
        <v>0</v>
      </c>
      <c r="B1070" s="64">
        <f>'RAW DATA 2023'!D1063</f>
        <v>0</v>
      </c>
      <c r="C1070" s="63" t="str">
        <f t="shared" si="80"/>
        <v>00</v>
      </c>
      <c r="D1070" s="63" t="e">
        <f>VLOOKUP(C1070,'RAW DATA 2023'!E:BP,63,0)</f>
        <v>#N/A</v>
      </c>
      <c r="E1070" s="63" t="e">
        <f t="shared" si="81"/>
        <v>#N/A</v>
      </c>
      <c r="F1070" s="79" t="e">
        <f>ROUND(VLOOKUP(C1070,'RAW DATA 2023'!E:BO,23,0),0)</f>
        <v>#N/A</v>
      </c>
      <c r="G1070" s="79" t="e">
        <f>VLOOKUP(C1070,'RAW DATA 2023'!E:BO,24,0)</f>
        <v>#N/A</v>
      </c>
      <c r="H1070" s="79" t="str">
        <f>IFERROR(VLOOKUP(F1070,STD!A:G,3,TRUE),"")</f>
        <v/>
      </c>
      <c r="I1070" s="100">
        <f t="shared" si="82"/>
        <v>0</v>
      </c>
      <c r="J1070" s="74">
        <f t="shared" si="83"/>
        <v>-15</v>
      </c>
      <c r="K1070" t="e">
        <f>VLOOKUP(C1070,'RAW DATA 2023'!E:BO,12,0)</f>
        <v>#N/A</v>
      </c>
      <c r="L1070" s="268" t="e">
        <f t="shared" si="84"/>
        <v>#N/A</v>
      </c>
      <c r="M1070"/>
    </row>
    <row r="1071" spans="1:13">
      <c r="A1071" s="64">
        <f>'RAW DATA 2023'!B1064</f>
        <v>0</v>
      </c>
      <c r="B1071" s="64">
        <f>'RAW DATA 2023'!D1064</f>
        <v>0</v>
      </c>
      <c r="C1071" s="63" t="str">
        <f t="shared" si="80"/>
        <v>00</v>
      </c>
      <c r="D1071" s="63" t="e">
        <f>VLOOKUP(C1071,'RAW DATA 2023'!E:BP,63,0)</f>
        <v>#N/A</v>
      </c>
      <c r="E1071" s="63" t="e">
        <f t="shared" si="81"/>
        <v>#N/A</v>
      </c>
      <c r="F1071" s="79" t="e">
        <f>ROUND(VLOOKUP(C1071,'RAW DATA 2023'!E:BO,23,0),0)</f>
        <v>#N/A</v>
      </c>
      <c r="G1071" s="79" t="e">
        <f>VLOOKUP(C1071,'RAW DATA 2023'!E:BO,24,0)</f>
        <v>#N/A</v>
      </c>
      <c r="H1071" s="79" t="str">
        <f>IFERROR(VLOOKUP(F1071,STD!A:G,3,TRUE),"")</f>
        <v/>
      </c>
      <c r="I1071" s="100">
        <f t="shared" si="82"/>
        <v>0</v>
      </c>
      <c r="J1071" s="74">
        <f t="shared" si="83"/>
        <v>-15</v>
      </c>
      <c r="K1071" t="e">
        <f>VLOOKUP(C1071,'RAW DATA 2023'!E:BO,12,0)</f>
        <v>#N/A</v>
      </c>
      <c r="L1071" s="268" t="e">
        <f t="shared" si="84"/>
        <v>#N/A</v>
      </c>
      <c r="M1071"/>
    </row>
    <row r="1072" spans="1:13">
      <c r="A1072" s="64">
        <f>'RAW DATA 2023'!B1065</f>
        <v>0</v>
      </c>
      <c r="B1072" s="64">
        <f>'RAW DATA 2023'!D1065</f>
        <v>0</v>
      </c>
      <c r="C1072" s="63" t="str">
        <f t="shared" si="80"/>
        <v>00</v>
      </c>
      <c r="D1072" s="63" t="e">
        <f>VLOOKUP(C1072,'RAW DATA 2023'!E:BP,63,0)</f>
        <v>#N/A</v>
      </c>
      <c r="E1072" s="63" t="e">
        <f t="shared" si="81"/>
        <v>#N/A</v>
      </c>
      <c r="F1072" s="79" t="e">
        <f>ROUND(VLOOKUP(C1072,'RAW DATA 2023'!E:BO,23,0),0)</f>
        <v>#N/A</v>
      </c>
      <c r="G1072" s="79" t="e">
        <f>VLOOKUP(C1072,'RAW DATA 2023'!E:BO,24,0)</f>
        <v>#N/A</v>
      </c>
      <c r="H1072" s="79" t="str">
        <f>IFERROR(VLOOKUP(F1072,STD!A:G,3,TRUE),"")</f>
        <v/>
      </c>
      <c r="I1072" s="100">
        <f t="shared" si="82"/>
        <v>0</v>
      </c>
      <c r="J1072" s="74">
        <f t="shared" si="83"/>
        <v>-15</v>
      </c>
      <c r="K1072" t="e">
        <f>VLOOKUP(C1072,'RAW DATA 2023'!E:BO,12,0)</f>
        <v>#N/A</v>
      </c>
      <c r="L1072" s="268" t="e">
        <f t="shared" si="84"/>
        <v>#N/A</v>
      </c>
      <c r="M1072"/>
    </row>
    <row r="1073" spans="1:13">
      <c r="A1073" s="64">
        <f>'RAW DATA 2023'!B1066</f>
        <v>0</v>
      </c>
      <c r="B1073" s="64">
        <f>'RAW DATA 2023'!D1066</f>
        <v>0</v>
      </c>
      <c r="C1073" s="63" t="str">
        <f t="shared" si="80"/>
        <v>00</v>
      </c>
      <c r="D1073" s="63" t="e">
        <f>VLOOKUP(C1073,'RAW DATA 2023'!E:BP,63,0)</f>
        <v>#N/A</v>
      </c>
      <c r="E1073" s="63" t="e">
        <f t="shared" si="81"/>
        <v>#N/A</v>
      </c>
      <c r="F1073" s="79" t="e">
        <f>ROUND(VLOOKUP(C1073,'RAW DATA 2023'!E:BO,23,0),0)</f>
        <v>#N/A</v>
      </c>
      <c r="G1073" s="79" t="e">
        <f>VLOOKUP(C1073,'RAW DATA 2023'!E:BO,24,0)</f>
        <v>#N/A</v>
      </c>
      <c r="H1073" s="79" t="str">
        <f>IFERROR(VLOOKUP(F1073,STD!A:G,3,TRUE),"")</f>
        <v/>
      </c>
      <c r="I1073" s="100">
        <f t="shared" si="82"/>
        <v>0</v>
      </c>
      <c r="J1073" s="74">
        <f t="shared" si="83"/>
        <v>-15</v>
      </c>
      <c r="K1073" t="e">
        <f>VLOOKUP(C1073,'RAW DATA 2023'!E:BO,12,0)</f>
        <v>#N/A</v>
      </c>
      <c r="L1073" s="268" t="e">
        <f t="shared" si="84"/>
        <v>#N/A</v>
      </c>
      <c r="M1073"/>
    </row>
    <row r="1074" spans="1:13">
      <c r="A1074" s="64">
        <f>'RAW DATA 2023'!B1067</f>
        <v>0</v>
      </c>
      <c r="B1074" s="64">
        <f>'RAW DATA 2023'!D1067</f>
        <v>0</v>
      </c>
      <c r="C1074" s="63" t="str">
        <f t="shared" si="80"/>
        <v>00</v>
      </c>
      <c r="D1074" s="63" t="e">
        <f>VLOOKUP(C1074,'RAW DATA 2023'!E:BP,63,0)</f>
        <v>#N/A</v>
      </c>
      <c r="E1074" s="63" t="e">
        <f t="shared" si="81"/>
        <v>#N/A</v>
      </c>
      <c r="F1074" s="79" t="e">
        <f>ROUND(VLOOKUP(C1074,'RAW DATA 2023'!E:BO,23,0),0)</f>
        <v>#N/A</v>
      </c>
      <c r="G1074" s="79" t="e">
        <f>VLOOKUP(C1074,'RAW DATA 2023'!E:BO,24,0)</f>
        <v>#N/A</v>
      </c>
      <c r="H1074" s="79" t="str">
        <f>IFERROR(VLOOKUP(F1074,STD!A:G,3,TRUE),"")</f>
        <v/>
      </c>
      <c r="I1074" s="100">
        <f t="shared" si="82"/>
        <v>0</v>
      </c>
      <c r="J1074" s="74">
        <f t="shared" si="83"/>
        <v>-15</v>
      </c>
      <c r="K1074" t="e">
        <f>VLOOKUP(C1074,'RAW DATA 2023'!E:BO,12,0)</f>
        <v>#N/A</v>
      </c>
      <c r="L1074" s="268" t="e">
        <f t="shared" si="84"/>
        <v>#N/A</v>
      </c>
      <c r="M1074"/>
    </row>
    <row r="1075" spans="1:13">
      <c r="A1075" s="64">
        <f>'RAW DATA 2023'!B1068</f>
        <v>0</v>
      </c>
      <c r="B1075" s="64">
        <f>'RAW DATA 2023'!D1068</f>
        <v>0</v>
      </c>
      <c r="C1075" s="63" t="str">
        <f t="shared" si="80"/>
        <v>00</v>
      </c>
      <c r="D1075" s="63" t="e">
        <f>VLOOKUP(C1075,'RAW DATA 2023'!E:BP,63,0)</f>
        <v>#N/A</v>
      </c>
      <c r="E1075" s="63" t="e">
        <f t="shared" si="81"/>
        <v>#N/A</v>
      </c>
      <c r="F1075" s="79" t="e">
        <f>ROUND(VLOOKUP(C1075,'RAW DATA 2023'!E:BO,23,0),0)</f>
        <v>#N/A</v>
      </c>
      <c r="G1075" s="79" t="e">
        <f>VLOOKUP(C1075,'RAW DATA 2023'!E:BO,24,0)</f>
        <v>#N/A</v>
      </c>
      <c r="H1075" s="79" t="str">
        <f>IFERROR(VLOOKUP(F1075,STD!A:G,3,TRUE),"")</f>
        <v/>
      </c>
      <c r="I1075" s="100">
        <f t="shared" si="82"/>
        <v>0</v>
      </c>
      <c r="J1075" s="74">
        <f t="shared" si="83"/>
        <v>-15</v>
      </c>
      <c r="K1075" t="e">
        <f>VLOOKUP(C1075,'RAW DATA 2023'!E:BO,12,0)</f>
        <v>#N/A</v>
      </c>
      <c r="L1075" s="268" t="e">
        <f t="shared" si="84"/>
        <v>#N/A</v>
      </c>
      <c r="M1075"/>
    </row>
    <row r="1076" spans="1:13">
      <c r="A1076" s="64">
        <f>'RAW DATA 2023'!B1069</f>
        <v>0</v>
      </c>
      <c r="B1076" s="64">
        <f>'RAW DATA 2023'!D1069</f>
        <v>0</v>
      </c>
      <c r="C1076" s="63" t="str">
        <f t="shared" si="80"/>
        <v>00</v>
      </c>
      <c r="D1076" s="63" t="e">
        <f>VLOOKUP(C1076,'RAW DATA 2023'!E:BP,63,0)</f>
        <v>#N/A</v>
      </c>
      <c r="E1076" s="63" t="e">
        <f t="shared" si="81"/>
        <v>#N/A</v>
      </c>
      <c r="F1076" s="79" t="e">
        <f>ROUND(VLOOKUP(C1076,'RAW DATA 2023'!E:BO,23,0),0)</f>
        <v>#N/A</v>
      </c>
      <c r="G1076" s="79" t="e">
        <f>VLOOKUP(C1076,'RAW DATA 2023'!E:BO,24,0)</f>
        <v>#N/A</v>
      </c>
      <c r="H1076" s="79" t="str">
        <f>IFERROR(VLOOKUP(F1076,STD!A:G,3,TRUE),"")</f>
        <v/>
      </c>
      <c r="I1076" s="100">
        <f t="shared" si="82"/>
        <v>0</v>
      </c>
      <c r="J1076" s="74">
        <f t="shared" si="83"/>
        <v>-15</v>
      </c>
      <c r="K1076" t="e">
        <f>VLOOKUP(C1076,'RAW DATA 2023'!E:BO,12,0)</f>
        <v>#N/A</v>
      </c>
      <c r="L1076" s="268" t="e">
        <f t="shared" si="84"/>
        <v>#N/A</v>
      </c>
      <c r="M1076"/>
    </row>
    <row r="1077" spans="1:13">
      <c r="A1077" s="64">
        <f>'RAW DATA 2023'!B1070</f>
        <v>0</v>
      </c>
      <c r="B1077" s="64">
        <f>'RAW DATA 2023'!D1070</f>
        <v>0</v>
      </c>
      <c r="C1077" s="63" t="str">
        <f t="shared" si="80"/>
        <v>00</v>
      </c>
      <c r="D1077" s="63" t="e">
        <f>VLOOKUP(C1077,'RAW DATA 2023'!E:BP,63,0)</f>
        <v>#N/A</v>
      </c>
      <c r="E1077" s="63" t="e">
        <f t="shared" si="81"/>
        <v>#N/A</v>
      </c>
      <c r="F1077" s="79" t="e">
        <f>ROUND(VLOOKUP(C1077,'RAW DATA 2023'!E:BO,23,0),0)</f>
        <v>#N/A</v>
      </c>
      <c r="G1077" s="79" t="e">
        <f>VLOOKUP(C1077,'RAW DATA 2023'!E:BO,24,0)</f>
        <v>#N/A</v>
      </c>
      <c r="H1077" s="79" t="str">
        <f>IFERROR(VLOOKUP(F1077,STD!A:G,3,TRUE),"")</f>
        <v/>
      </c>
      <c r="I1077" s="100">
        <f t="shared" si="82"/>
        <v>0</v>
      </c>
      <c r="J1077" s="74">
        <f t="shared" si="83"/>
        <v>-15</v>
      </c>
      <c r="K1077" t="e">
        <f>VLOOKUP(C1077,'RAW DATA 2023'!E:BO,12,0)</f>
        <v>#N/A</v>
      </c>
      <c r="L1077" s="268" t="e">
        <f t="shared" si="84"/>
        <v>#N/A</v>
      </c>
      <c r="M1077"/>
    </row>
    <row r="1078" spans="1:13">
      <c r="A1078" s="64">
        <f>'RAW DATA 2023'!B1071</f>
        <v>0</v>
      </c>
      <c r="B1078" s="64">
        <f>'RAW DATA 2023'!D1071</f>
        <v>0</v>
      </c>
      <c r="C1078" s="63" t="str">
        <f t="shared" si="80"/>
        <v>00</v>
      </c>
      <c r="D1078" s="63" t="e">
        <f>VLOOKUP(C1078,'RAW DATA 2023'!E:BP,63,0)</f>
        <v>#N/A</v>
      </c>
      <c r="E1078" s="63" t="e">
        <f t="shared" si="81"/>
        <v>#N/A</v>
      </c>
      <c r="F1078" s="79" t="e">
        <f>ROUND(VLOOKUP(C1078,'RAW DATA 2023'!E:BO,23,0),0)</f>
        <v>#N/A</v>
      </c>
      <c r="G1078" s="79" t="e">
        <f>VLOOKUP(C1078,'RAW DATA 2023'!E:BO,24,0)</f>
        <v>#N/A</v>
      </c>
      <c r="H1078" s="79" t="str">
        <f>IFERROR(VLOOKUP(F1078,STD!A:G,3,TRUE),"")</f>
        <v/>
      </c>
      <c r="I1078" s="100">
        <f t="shared" si="82"/>
        <v>0</v>
      </c>
      <c r="J1078" s="74">
        <f t="shared" si="83"/>
        <v>-15</v>
      </c>
      <c r="K1078" t="e">
        <f>VLOOKUP(C1078,'RAW DATA 2023'!E:BO,12,0)</f>
        <v>#N/A</v>
      </c>
      <c r="L1078" s="268" t="e">
        <f t="shared" si="84"/>
        <v>#N/A</v>
      </c>
      <c r="M1078"/>
    </row>
    <row r="1079" spans="1:13">
      <c r="A1079" s="64">
        <f>'RAW DATA 2023'!B1072</f>
        <v>0</v>
      </c>
      <c r="B1079" s="64">
        <f>'RAW DATA 2023'!D1072</f>
        <v>0</v>
      </c>
      <c r="C1079" s="63" t="str">
        <f t="shared" si="80"/>
        <v>00</v>
      </c>
      <c r="D1079" s="63" t="e">
        <f>VLOOKUP(C1079,'RAW DATA 2023'!E:BP,63,0)</f>
        <v>#N/A</v>
      </c>
      <c r="E1079" s="63" t="e">
        <f t="shared" si="81"/>
        <v>#N/A</v>
      </c>
      <c r="F1079" s="79" t="e">
        <f>ROUND(VLOOKUP(C1079,'RAW DATA 2023'!E:BO,23,0),0)</f>
        <v>#N/A</v>
      </c>
      <c r="G1079" s="79" t="e">
        <f>VLOOKUP(C1079,'RAW DATA 2023'!E:BO,24,0)</f>
        <v>#N/A</v>
      </c>
      <c r="H1079" s="79" t="str">
        <f>IFERROR(VLOOKUP(F1079,STD!A:G,3,TRUE),"")</f>
        <v/>
      </c>
      <c r="I1079" s="100">
        <f t="shared" si="82"/>
        <v>0</v>
      </c>
      <c r="J1079" s="74">
        <f t="shared" si="83"/>
        <v>-15</v>
      </c>
      <c r="K1079" t="e">
        <f>VLOOKUP(C1079,'RAW DATA 2023'!E:BO,12,0)</f>
        <v>#N/A</v>
      </c>
      <c r="L1079" s="268" t="e">
        <f t="shared" si="84"/>
        <v>#N/A</v>
      </c>
      <c r="M1079"/>
    </row>
    <row r="1080" spans="1:13">
      <c r="A1080" s="64">
        <f>'RAW DATA 2023'!B1073</f>
        <v>0</v>
      </c>
      <c r="B1080" s="64">
        <f>'RAW DATA 2023'!D1073</f>
        <v>0</v>
      </c>
      <c r="C1080" s="63" t="str">
        <f t="shared" si="80"/>
        <v>00</v>
      </c>
      <c r="D1080" s="63" t="e">
        <f>VLOOKUP(C1080,'RAW DATA 2023'!E:BP,63,0)</f>
        <v>#N/A</v>
      </c>
      <c r="E1080" s="63" t="e">
        <f t="shared" si="81"/>
        <v>#N/A</v>
      </c>
      <c r="F1080" s="79" t="e">
        <f>ROUND(VLOOKUP(C1080,'RAW DATA 2023'!E:BO,23,0),0)</f>
        <v>#N/A</v>
      </c>
      <c r="G1080" s="79" t="e">
        <f>VLOOKUP(C1080,'RAW DATA 2023'!E:BO,24,0)</f>
        <v>#N/A</v>
      </c>
      <c r="H1080" s="79" t="str">
        <f>IFERROR(VLOOKUP(F1080,STD!A:G,3,TRUE),"")</f>
        <v/>
      </c>
      <c r="I1080" s="100">
        <f t="shared" si="82"/>
        <v>0</v>
      </c>
      <c r="J1080" s="74">
        <f t="shared" si="83"/>
        <v>-15</v>
      </c>
      <c r="K1080" t="e">
        <f>VLOOKUP(C1080,'RAW DATA 2023'!E:BO,12,0)</f>
        <v>#N/A</v>
      </c>
      <c r="L1080" s="268" t="e">
        <f t="shared" si="84"/>
        <v>#N/A</v>
      </c>
      <c r="M1080"/>
    </row>
    <row r="1081" spans="1:13">
      <c r="A1081" s="64">
        <f>'RAW DATA 2023'!B1074</f>
        <v>0</v>
      </c>
      <c r="B1081" s="64">
        <f>'RAW DATA 2023'!D1074</f>
        <v>0</v>
      </c>
      <c r="C1081" s="63" t="str">
        <f t="shared" si="80"/>
        <v>00</v>
      </c>
      <c r="D1081" s="63" t="e">
        <f>VLOOKUP(C1081,'RAW DATA 2023'!E:BP,63,0)</f>
        <v>#N/A</v>
      </c>
      <c r="E1081" s="63" t="e">
        <f t="shared" si="81"/>
        <v>#N/A</v>
      </c>
      <c r="F1081" s="79" t="e">
        <f>ROUND(VLOOKUP(C1081,'RAW DATA 2023'!E:BO,23,0),0)</f>
        <v>#N/A</v>
      </c>
      <c r="G1081" s="79" t="e">
        <f>VLOOKUP(C1081,'RAW DATA 2023'!E:BO,24,0)</f>
        <v>#N/A</v>
      </c>
      <c r="H1081" s="79" t="str">
        <f>IFERROR(VLOOKUP(F1081,STD!A:G,3,TRUE),"")</f>
        <v/>
      </c>
      <c r="I1081" s="100">
        <f t="shared" si="82"/>
        <v>0</v>
      </c>
      <c r="J1081" s="74">
        <f t="shared" si="83"/>
        <v>-15</v>
      </c>
      <c r="K1081" t="e">
        <f>VLOOKUP(C1081,'RAW DATA 2023'!E:BO,12,0)</f>
        <v>#N/A</v>
      </c>
      <c r="L1081" s="268" t="e">
        <f t="shared" si="84"/>
        <v>#N/A</v>
      </c>
      <c r="M1081"/>
    </row>
    <row r="1082" spans="1:13">
      <c r="A1082" s="64">
        <f>'RAW DATA 2023'!B1075</f>
        <v>0</v>
      </c>
      <c r="B1082" s="64">
        <f>'RAW DATA 2023'!D1075</f>
        <v>0</v>
      </c>
      <c r="C1082" s="63" t="str">
        <f t="shared" si="80"/>
        <v>00</v>
      </c>
      <c r="D1082" s="63" t="e">
        <f>VLOOKUP(C1082,'RAW DATA 2023'!E:BP,63,0)</f>
        <v>#N/A</v>
      </c>
      <c r="E1082" s="63" t="e">
        <f t="shared" si="81"/>
        <v>#N/A</v>
      </c>
      <c r="F1082" s="79" t="e">
        <f>ROUND(VLOOKUP(C1082,'RAW DATA 2023'!E:BO,23,0),0)</f>
        <v>#N/A</v>
      </c>
      <c r="G1082" s="79" t="e">
        <f>VLOOKUP(C1082,'RAW DATA 2023'!E:BO,24,0)</f>
        <v>#N/A</v>
      </c>
      <c r="H1082" s="79" t="str">
        <f>IFERROR(VLOOKUP(F1082,STD!A:G,3,TRUE),"")</f>
        <v/>
      </c>
      <c r="I1082" s="100">
        <f t="shared" si="82"/>
        <v>0</v>
      </c>
      <c r="J1082" s="74">
        <f t="shared" si="83"/>
        <v>-15</v>
      </c>
      <c r="K1082" t="e">
        <f>VLOOKUP(C1082,'RAW DATA 2023'!E:BO,12,0)</f>
        <v>#N/A</v>
      </c>
      <c r="L1082" s="268" t="e">
        <f t="shared" si="84"/>
        <v>#N/A</v>
      </c>
      <c r="M1082"/>
    </row>
    <row r="1083" spans="1:13">
      <c r="A1083" s="64">
        <f>'RAW DATA 2023'!B1076</f>
        <v>0</v>
      </c>
      <c r="B1083" s="64">
        <f>'RAW DATA 2023'!D1076</f>
        <v>0</v>
      </c>
      <c r="C1083" s="63" t="str">
        <f t="shared" si="80"/>
        <v>00</v>
      </c>
      <c r="D1083" s="63" t="e">
        <f>VLOOKUP(C1083,'RAW DATA 2023'!E:BP,63,0)</f>
        <v>#N/A</v>
      </c>
      <c r="E1083" s="63" t="e">
        <f t="shared" si="81"/>
        <v>#N/A</v>
      </c>
      <c r="F1083" s="79" t="e">
        <f>ROUND(VLOOKUP(C1083,'RAW DATA 2023'!E:BO,23,0),0)</f>
        <v>#N/A</v>
      </c>
      <c r="G1083" s="79" t="e">
        <f>VLOOKUP(C1083,'RAW DATA 2023'!E:BO,24,0)</f>
        <v>#N/A</v>
      </c>
      <c r="H1083" s="79" t="str">
        <f>IFERROR(VLOOKUP(F1083,STD!A:G,3,TRUE),"")</f>
        <v/>
      </c>
      <c r="I1083" s="100">
        <f t="shared" si="82"/>
        <v>0</v>
      </c>
      <c r="J1083" s="74">
        <f t="shared" si="83"/>
        <v>-15</v>
      </c>
      <c r="K1083" t="e">
        <f>VLOOKUP(C1083,'RAW DATA 2023'!E:BO,12,0)</f>
        <v>#N/A</v>
      </c>
      <c r="L1083" s="268" t="e">
        <f t="shared" si="84"/>
        <v>#N/A</v>
      </c>
      <c r="M1083"/>
    </row>
    <row r="1084" spans="1:13">
      <c r="A1084" s="64">
        <f>'RAW DATA 2023'!B1077</f>
        <v>0</v>
      </c>
      <c r="B1084" s="64">
        <f>'RAW DATA 2023'!D1077</f>
        <v>0</v>
      </c>
      <c r="C1084" s="63" t="str">
        <f t="shared" si="80"/>
        <v>00</v>
      </c>
      <c r="D1084" s="63" t="e">
        <f>VLOOKUP(C1084,'RAW DATA 2023'!E:BP,63,0)</f>
        <v>#N/A</v>
      </c>
      <c r="E1084" s="63" t="e">
        <f t="shared" si="81"/>
        <v>#N/A</v>
      </c>
      <c r="F1084" s="79" t="e">
        <f>ROUND(VLOOKUP(C1084,'RAW DATA 2023'!E:BO,23,0),0)</f>
        <v>#N/A</v>
      </c>
      <c r="G1084" s="79" t="e">
        <f>VLOOKUP(C1084,'RAW DATA 2023'!E:BO,24,0)</f>
        <v>#N/A</v>
      </c>
      <c r="H1084" s="79" t="str">
        <f>IFERROR(VLOOKUP(F1084,STD!A:G,3,TRUE),"")</f>
        <v/>
      </c>
      <c r="I1084" s="100">
        <f t="shared" si="82"/>
        <v>0</v>
      </c>
      <c r="J1084" s="74">
        <f t="shared" si="83"/>
        <v>-15</v>
      </c>
      <c r="K1084" t="e">
        <f>VLOOKUP(C1084,'RAW DATA 2023'!E:BO,12,0)</f>
        <v>#N/A</v>
      </c>
      <c r="L1084" s="268" t="e">
        <f t="shared" si="84"/>
        <v>#N/A</v>
      </c>
      <c r="M1084"/>
    </row>
    <row r="1085" spans="1:13">
      <c r="A1085" s="64">
        <f>'RAW DATA 2023'!B1078</f>
        <v>0</v>
      </c>
      <c r="B1085" s="64">
        <f>'RAW DATA 2023'!D1078</f>
        <v>0</v>
      </c>
      <c r="C1085" s="63" t="str">
        <f t="shared" si="80"/>
        <v>00</v>
      </c>
      <c r="D1085" s="63" t="e">
        <f>VLOOKUP(C1085,'RAW DATA 2023'!E:BP,63,0)</f>
        <v>#N/A</v>
      </c>
      <c r="E1085" s="63" t="e">
        <f t="shared" si="81"/>
        <v>#N/A</v>
      </c>
      <c r="F1085" s="79" t="e">
        <f>ROUND(VLOOKUP(C1085,'RAW DATA 2023'!E:BO,23,0),0)</f>
        <v>#N/A</v>
      </c>
      <c r="G1085" s="79" t="e">
        <f>VLOOKUP(C1085,'RAW DATA 2023'!E:BO,24,0)</f>
        <v>#N/A</v>
      </c>
      <c r="H1085" s="79" t="str">
        <f>IFERROR(VLOOKUP(F1085,STD!A:G,3,TRUE),"")</f>
        <v/>
      </c>
      <c r="I1085" s="100">
        <f t="shared" si="82"/>
        <v>0</v>
      </c>
      <c r="J1085" s="74">
        <f t="shared" si="83"/>
        <v>-15</v>
      </c>
      <c r="K1085" t="e">
        <f>VLOOKUP(C1085,'RAW DATA 2023'!E:BO,12,0)</f>
        <v>#N/A</v>
      </c>
      <c r="L1085" s="268" t="e">
        <f t="shared" si="84"/>
        <v>#N/A</v>
      </c>
      <c r="M1085"/>
    </row>
    <row r="1086" spans="1:13">
      <c r="A1086" s="64">
        <f>'RAW DATA 2023'!B1079</f>
        <v>0</v>
      </c>
      <c r="B1086" s="64">
        <f>'RAW DATA 2023'!D1079</f>
        <v>0</v>
      </c>
      <c r="C1086" s="63" t="str">
        <f t="shared" si="80"/>
        <v>00</v>
      </c>
      <c r="D1086" s="63" t="e">
        <f>VLOOKUP(C1086,'RAW DATA 2023'!E:BP,63,0)</f>
        <v>#N/A</v>
      </c>
      <c r="E1086" s="63" t="e">
        <f t="shared" si="81"/>
        <v>#N/A</v>
      </c>
      <c r="F1086" s="79" t="e">
        <f>ROUND(VLOOKUP(C1086,'RAW DATA 2023'!E:BO,23,0),0)</f>
        <v>#N/A</v>
      </c>
      <c r="G1086" s="79" t="e">
        <f>VLOOKUP(C1086,'RAW DATA 2023'!E:BO,24,0)</f>
        <v>#N/A</v>
      </c>
      <c r="H1086" s="79" t="str">
        <f>IFERROR(VLOOKUP(F1086,STD!A:G,3,TRUE),"")</f>
        <v/>
      </c>
      <c r="I1086" s="100">
        <f t="shared" si="82"/>
        <v>0</v>
      </c>
      <c r="J1086" s="74">
        <f t="shared" si="83"/>
        <v>-15</v>
      </c>
      <c r="K1086" t="e">
        <f>VLOOKUP(C1086,'RAW DATA 2023'!E:BO,12,0)</f>
        <v>#N/A</v>
      </c>
      <c r="L1086" s="268" t="e">
        <f t="shared" si="84"/>
        <v>#N/A</v>
      </c>
      <c r="M1086"/>
    </row>
    <row r="1087" spans="1:13">
      <c r="A1087" s="64">
        <f>'RAW DATA 2023'!B1080</f>
        <v>0</v>
      </c>
      <c r="B1087" s="64">
        <f>'RAW DATA 2023'!D1080</f>
        <v>0</v>
      </c>
      <c r="C1087" s="63" t="str">
        <f t="shared" si="80"/>
        <v>00</v>
      </c>
      <c r="D1087" s="63" t="e">
        <f>VLOOKUP(C1087,'RAW DATA 2023'!E:BP,63,0)</f>
        <v>#N/A</v>
      </c>
      <c r="E1087" s="63" t="e">
        <f t="shared" si="81"/>
        <v>#N/A</v>
      </c>
      <c r="F1087" s="79" t="e">
        <f>ROUND(VLOOKUP(C1087,'RAW DATA 2023'!E:BO,23,0),0)</f>
        <v>#N/A</v>
      </c>
      <c r="G1087" s="79" t="e">
        <f>VLOOKUP(C1087,'RAW DATA 2023'!E:BO,24,0)</f>
        <v>#N/A</v>
      </c>
      <c r="H1087" s="79" t="str">
        <f>IFERROR(VLOOKUP(F1087,STD!A:G,3,TRUE),"")</f>
        <v/>
      </c>
      <c r="I1087" s="100">
        <f t="shared" si="82"/>
        <v>0</v>
      </c>
      <c r="J1087" s="74">
        <f t="shared" si="83"/>
        <v>-15</v>
      </c>
      <c r="K1087" t="e">
        <f>VLOOKUP(C1087,'RAW DATA 2023'!E:BO,12,0)</f>
        <v>#N/A</v>
      </c>
      <c r="L1087" s="268" t="e">
        <f t="shared" si="84"/>
        <v>#N/A</v>
      </c>
      <c r="M1087"/>
    </row>
    <row r="1088" spans="1:13">
      <c r="A1088" s="64">
        <f>'RAW DATA 2023'!B1081</f>
        <v>0</v>
      </c>
      <c r="B1088" s="64">
        <f>'RAW DATA 2023'!D1081</f>
        <v>0</v>
      </c>
      <c r="C1088" s="63" t="str">
        <f t="shared" si="80"/>
        <v>00</v>
      </c>
      <c r="D1088" s="63" t="e">
        <f>VLOOKUP(C1088,'RAW DATA 2023'!E:BP,63,0)</f>
        <v>#N/A</v>
      </c>
      <c r="E1088" s="63" t="e">
        <f t="shared" si="81"/>
        <v>#N/A</v>
      </c>
      <c r="F1088" s="79" t="e">
        <f>ROUND(VLOOKUP(C1088,'RAW DATA 2023'!E:BO,23,0),0)</f>
        <v>#N/A</v>
      </c>
      <c r="G1088" s="79" t="e">
        <f>VLOOKUP(C1088,'RAW DATA 2023'!E:BO,24,0)</f>
        <v>#N/A</v>
      </c>
      <c r="H1088" s="79" t="str">
        <f>IFERROR(VLOOKUP(F1088,STD!A:G,3,TRUE),"")</f>
        <v/>
      </c>
      <c r="I1088" s="100">
        <f t="shared" si="82"/>
        <v>0</v>
      </c>
      <c r="J1088" s="74">
        <f t="shared" si="83"/>
        <v>-15</v>
      </c>
      <c r="K1088" t="e">
        <f>VLOOKUP(C1088,'RAW DATA 2023'!E:BO,12,0)</f>
        <v>#N/A</v>
      </c>
      <c r="L1088" s="268" t="e">
        <f t="shared" si="84"/>
        <v>#N/A</v>
      </c>
      <c r="M1088"/>
    </row>
    <row r="1089" spans="1:13">
      <c r="A1089" s="64">
        <f>'RAW DATA 2023'!B1082</f>
        <v>0</v>
      </c>
      <c r="B1089" s="64">
        <f>'RAW DATA 2023'!D1082</f>
        <v>0</v>
      </c>
      <c r="C1089" s="63" t="str">
        <f t="shared" si="80"/>
        <v>00</v>
      </c>
      <c r="D1089" s="63" t="e">
        <f>VLOOKUP(C1089,'RAW DATA 2023'!E:BP,63,0)</f>
        <v>#N/A</v>
      </c>
      <c r="E1089" s="63" t="e">
        <f t="shared" si="81"/>
        <v>#N/A</v>
      </c>
      <c r="F1089" s="79" t="e">
        <f>ROUND(VLOOKUP(C1089,'RAW DATA 2023'!E:BO,23,0),0)</f>
        <v>#N/A</v>
      </c>
      <c r="G1089" s="79" t="e">
        <f>VLOOKUP(C1089,'RAW DATA 2023'!E:BO,24,0)</f>
        <v>#N/A</v>
      </c>
      <c r="H1089" s="79" t="str">
        <f>IFERROR(VLOOKUP(F1089,STD!A:G,3,TRUE),"")</f>
        <v/>
      </c>
      <c r="I1089" s="100">
        <f t="shared" si="82"/>
        <v>0</v>
      </c>
      <c r="J1089" s="74">
        <f t="shared" si="83"/>
        <v>-15</v>
      </c>
      <c r="K1089" t="e">
        <f>VLOOKUP(C1089,'RAW DATA 2023'!E:BO,12,0)</f>
        <v>#N/A</v>
      </c>
      <c r="L1089" s="268" t="e">
        <f t="shared" si="84"/>
        <v>#N/A</v>
      </c>
      <c r="M1089"/>
    </row>
    <row r="1090" spans="1:13">
      <c r="A1090" s="64">
        <f>'RAW DATA 2023'!B1083</f>
        <v>0</v>
      </c>
      <c r="B1090" s="64">
        <f>'RAW DATA 2023'!D1083</f>
        <v>0</v>
      </c>
      <c r="C1090" s="63" t="str">
        <f t="shared" si="80"/>
        <v>00</v>
      </c>
      <c r="D1090" s="63" t="e">
        <f>VLOOKUP(C1090,'RAW DATA 2023'!E:BP,63,0)</f>
        <v>#N/A</v>
      </c>
      <c r="E1090" s="63" t="e">
        <f t="shared" si="81"/>
        <v>#N/A</v>
      </c>
      <c r="F1090" s="79" t="e">
        <f>ROUND(VLOOKUP(C1090,'RAW DATA 2023'!E:BO,23,0),0)</f>
        <v>#N/A</v>
      </c>
      <c r="G1090" s="79" t="e">
        <f>VLOOKUP(C1090,'RAW DATA 2023'!E:BO,24,0)</f>
        <v>#N/A</v>
      </c>
      <c r="H1090" s="79" t="str">
        <f>IFERROR(VLOOKUP(F1090,STD!A:G,3,TRUE),"")</f>
        <v/>
      </c>
      <c r="I1090" s="100">
        <f t="shared" si="82"/>
        <v>0</v>
      </c>
      <c r="J1090" s="74">
        <f t="shared" si="83"/>
        <v>-15</v>
      </c>
      <c r="K1090" t="e">
        <f>VLOOKUP(C1090,'RAW DATA 2023'!E:BO,12,0)</f>
        <v>#N/A</v>
      </c>
      <c r="L1090" s="268" t="e">
        <f t="shared" si="84"/>
        <v>#N/A</v>
      </c>
      <c r="M1090"/>
    </row>
    <row r="1091" spans="1:13">
      <c r="A1091" s="64">
        <f>'RAW DATA 2023'!B1084</f>
        <v>0</v>
      </c>
      <c r="B1091" s="64">
        <f>'RAW DATA 2023'!D1084</f>
        <v>0</v>
      </c>
      <c r="C1091" s="63" t="str">
        <f t="shared" si="80"/>
        <v>00</v>
      </c>
      <c r="D1091" s="63" t="e">
        <f>VLOOKUP(C1091,'RAW DATA 2023'!E:BP,63,0)</f>
        <v>#N/A</v>
      </c>
      <c r="E1091" s="63" t="e">
        <f t="shared" si="81"/>
        <v>#N/A</v>
      </c>
      <c r="F1091" s="79" t="e">
        <f>ROUND(VLOOKUP(C1091,'RAW DATA 2023'!E:BO,23,0),0)</f>
        <v>#N/A</v>
      </c>
      <c r="G1091" s="79" t="e">
        <f>VLOOKUP(C1091,'RAW DATA 2023'!E:BO,24,0)</f>
        <v>#N/A</v>
      </c>
      <c r="H1091" s="79" t="str">
        <f>IFERROR(VLOOKUP(F1091,STD!A:G,3,TRUE),"")</f>
        <v/>
      </c>
      <c r="I1091" s="100">
        <f t="shared" si="82"/>
        <v>0</v>
      </c>
      <c r="J1091" s="74">
        <f t="shared" si="83"/>
        <v>-15</v>
      </c>
      <c r="K1091" t="e">
        <f>VLOOKUP(C1091,'RAW DATA 2023'!E:BO,12,0)</f>
        <v>#N/A</v>
      </c>
      <c r="L1091" s="268" t="e">
        <f t="shared" si="84"/>
        <v>#N/A</v>
      </c>
      <c r="M1091"/>
    </row>
    <row r="1092" spans="1:13">
      <c r="A1092" s="64">
        <f>'RAW DATA 2023'!B1085</f>
        <v>0</v>
      </c>
      <c r="B1092" s="64">
        <f>'RAW DATA 2023'!D1085</f>
        <v>0</v>
      </c>
      <c r="C1092" s="63" t="str">
        <f t="shared" si="80"/>
        <v>00</v>
      </c>
      <c r="D1092" s="63" t="e">
        <f>VLOOKUP(C1092,'RAW DATA 2023'!E:BP,63,0)</f>
        <v>#N/A</v>
      </c>
      <c r="E1092" s="63" t="e">
        <f t="shared" si="81"/>
        <v>#N/A</v>
      </c>
      <c r="F1092" s="79" t="e">
        <f>ROUND(VLOOKUP(C1092,'RAW DATA 2023'!E:BO,23,0),0)</f>
        <v>#N/A</v>
      </c>
      <c r="G1092" s="79" t="e">
        <f>VLOOKUP(C1092,'RAW DATA 2023'!E:BO,24,0)</f>
        <v>#N/A</v>
      </c>
      <c r="H1092" s="79" t="str">
        <f>IFERROR(VLOOKUP(F1092,STD!A:G,3,TRUE),"")</f>
        <v/>
      </c>
      <c r="I1092" s="100">
        <f t="shared" si="82"/>
        <v>0</v>
      </c>
      <c r="J1092" s="74">
        <f t="shared" si="83"/>
        <v>-15</v>
      </c>
      <c r="K1092" t="e">
        <f>VLOOKUP(C1092,'RAW DATA 2023'!E:BO,12,0)</f>
        <v>#N/A</v>
      </c>
      <c r="L1092" s="268" t="e">
        <f t="shared" si="84"/>
        <v>#N/A</v>
      </c>
      <c r="M1092"/>
    </row>
    <row r="1093" spans="1:13">
      <c r="A1093" s="64">
        <f>'RAW DATA 2023'!B1086</f>
        <v>0</v>
      </c>
      <c r="B1093" s="64">
        <f>'RAW DATA 2023'!D1086</f>
        <v>0</v>
      </c>
      <c r="C1093" s="63" t="str">
        <f t="shared" si="80"/>
        <v>00</v>
      </c>
      <c r="D1093" s="63" t="e">
        <f>VLOOKUP(C1093,'RAW DATA 2023'!E:BP,63,0)</f>
        <v>#N/A</v>
      </c>
      <c r="E1093" s="63" t="e">
        <f t="shared" si="81"/>
        <v>#N/A</v>
      </c>
      <c r="F1093" s="79" t="e">
        <f>ROUND(VLOOKUP(C1093,'RAW DATA 2023'!E:BO,23,0),0)</f>
        <v>#N/A</v>
      </c>
      <c r="G1093" s="79" t="e">
        <f>VLOOKUP(C1093,'RAW DATA 2023'!E:BO,24,0)</f>
        <v>#N/A</v>
      </c>
      <c r="H1093" s="79" t="str">
        <f>IFERROR(VLOOKUP(F1093,STD!A:G,3,TRUE),"")</f>
        <v/>
      </c>
      <c r="I1093" s="100">
        <f t="shared" si="82"/>
        <v>0</v>
      </c>
      <c r="J1093" s="74">
        <f t="shared" si="83"/>
        <v>-15</v>
      </c>
      <c r="K1093" t="e">
        <f>VLOOKUP(C1093,'RAW DATA 2023'!E:BO,12,0)</f>
        <v>#N/A</v>
      </c>
      <c r="L1093" s="268" t="e">
        <f t="shared" si="84"/>
        <v>#N/A</v>
      </c>
      <c r="M1093"/>
    </row>
    <row r="1094" spans="1:13">
      <c r="A1094" s="64">
        <f>'RAW DATA 2023'!B1087</f>
        <v>0</v>
      </c>
      <c r="B1094" s="64">
        <f>'RAW DATA 2023'!D1087</f>
        <v>0</v>
      </c>
      <c r="C1094" s="63" t="str">
        <f t="shared" si="80"/>
        <v>00</v>
      </c>
      <c r="D1094" s="63" t="e">
        <f>VLOOKUP(C1094,'RAW DATA 2023'!E:BP,63,0)</f>
        <v>#N/A</v>
      </c>
      <c r="E1094" s="63" t="e">
        <f t="shared" si="81"/>
        <v>#N/A</v>
      </c>
      <c r="F1094" s="79" t="e">
        <f>ROUND(VLOOKUP(C1094,'RAW DATA 2023'!E:BO,23,0),0)</f>
        <v>#N/A</v>
      </c>
      <c r="G1094" s="79" t="e">
        <f>VLOOKUP(C1094,'RAW DATA 2023'!E:BO,24,0)</f>
        <v>#N/A</v>
      </c>
      <c r="H1094" s="79" t="str">
        <f>IFERROR(VLOOKUP(F1094,STD!A:G,3,TRUE),"")</f>
        <v/>
      </c>
      <c r="I1094" s="100">
        <f t="shared" si="82"/>
        <v>0</v>
      </c>
      <c r="J1094" s="74">
        <f t="shared" si="83"/>
        <v>-15</v>
      </c>
      <c r="K1094" t="e">
        <f>VLOOKUP(C1094,'RAW DATA 2023'!E:BO,12,0)</f>
        <v>#N/A</v>
      </c>
      <c r="L1094" s="268" t="e">
        <f t="shared" si="84"/>
        <v>#N/A</v>
      </c>
      <c r="M1094"/>
    </row>
    <row r="1095" spans="1:13">
      <c r="A1095" s="64">
        <f>'RAW DATA 2023'!B1088</f>
        <v>0</v>
      </c>
      <c r="B1095" s="64">
        <f>'RAW DATA 2023'!D1088</f>
        <v>0</v>
      </c>
      <c r="C1095" s="63" t="str">
        <f t="shared" si="80"/>
        <v>00</v>
      </c>
      <c r="D1095" s="63" t="e">
        <f>VLOOKUP(C1095,'RAW DATA 2023'!E:BP,63,0)</f>
        <v>#N/A</v>
      </c>
      <c r="E1095" s="63" t="e">
        <f t="shared" si="81"/>
        <v>#N/A</v>
      </c>
      <c r="F1095" s="79" t="e">
        <f>ROUND(VLOOKUP(C1095,'RAW DATA 2023'!E:BO,23,0),0)</f>
        <v>#N/A</v>
      </c>
      <c r="G1095" s="79" t="e">
        <f>VLOOKUP(C1095,'RAW DATA 2023'!E:BO,24,0)</f>
        <v>#N/A</v>
      </c>
      <c r="H1095" s="79" t="str">
        <f>IFERROR(VLOOKUP(F1095,STD!A:G,3,TRUE),"")</f>
        <v/>
      </c>
      <c r="I1095" s="100">
        <f t="shared" si="82"/>
        <v>0</v>
      </c>
      <c r="J1095" s="74">
        <f t="shared" si="83"/>
        <v>-15</v>
      </c>
      <c r="K1095" t="e">
        <f>VLOOKUP(C1095,'RAW DATA 2023'!E:BO,12,0)</f>
        <v>#N/A</v>
      </c>
      <c r="L1095" s="268" t="e">
        <f t="shared" si="84"/>
        <v>#N/A</v>
      </c>
      <c r="M1095"/>
    </row>
    <row r="1096" spans="1:13">
      <c r="A1096" s="64">
        <f>'RAW DATA 2023'!B1089</f>
        <v>0</v>
      </c>
      <c r="B1096" s="64">
        <f>'RAW DATA 2023'!D1089</f>
        <v>0</v>
      </c>
      <c r="C1096" s="63" t="str">
        <f t="shared" si="80"/>
        <v>00</v>
      </c>
      <c r="D1096" s="63" t="e">
        <f>VLOOKUP(C1096,'RAW DATA 2023'!E:BP,63,0)</f>
        <v>#N/A</v>
      </c>
      <c r="E1096" s="63" t="e">
        <f t="shared" si="81"/>
        <v>#N/A</v>
      </c>
      <c r="F1096" s="79" t="e">
        <f>ROUND(VLOOKUP(C1096,'RAW DATA 2023'!E:BO,23,0),0)</f>
        <v>#N/A</v>
      </c>
      <c r="G1096" s="79" t="e">
        <f>VLOOKUP(C1096,'RAW DATA 2023'!E:BO,24,0)</f>
        <v>#N/A</v>
      </c>
      <c r="H1096" s="79" t="str">
        <f>IFERROR(VLOOKUP(F1096,STD!A:G,3,TRUE),"")</f>
        <v/>
      </c>
      <c r="I1096" s="100">
        <f t="shared" si="82"/>
        <v>0</v>
      </c>
      <c r="J1096" s="74">
        <f t="shared" si="83"/>
        <v>-15</v>
      </c>
      <c r="K1096" t="e">
        <f>VLOOKUP(C1096,'RAW DATA 2023'!E:BO,12,0)</f>
        <v>#N/A</v>
      </c>
      <c r="L1096" s="268" t="e">
        <f t="shared" si="84"/>
        <v>#N/A</v>
      </c>
      <c r="M1096"/>
    </row>
    <row r="1097" spans="1:13">
      <c r="A1097" s="64">
        <f>'RAW DATA 2023'!B1090</f>
        <v>0</v>
      </c>
      <c r="B1097" s="64">
        <f>'RAW DATA 2023'!D1090</f>
        <v>0</v>
      </c>
      <c r="C1097" s="63" t="str">
        <f t="shared" si="80"/>
        <v>00</v>
      </c>
      <c r="D1097" s="63" t="e">
        <f>VLOOKUP(C1097,'RAW DATA 2023'!E:BP,63,0)</f>
        <v>#N/A</v>
      </c>
      <c r="E1097" s="63" t="e">
        <f t="shared" si="81"/>
        <v>#N/A</v>
      </c>
      <c r="F1097" s="79" t="e">
        <f>ROUND(VLOOKUP(C1097,'RAW DATA 2023'!E:BO,23,0),0)</f>
        <v>#N/A</v>
      </c>
      <c r="G1097" s="79" t="e">
        <f>VLOOKUP(C1097,'RAW DATA 2023'!E:BO,24,0)</f>
        <v>#N/A</v>
      </c>
      <c r="H1097" s="79" t="str">
        <f>IFERROR(VLOOKUP(F1097,STD!A:G,3,TRUE),"")</f>
        <v/>
      </c>
      <c r="I1097" s="100">
        <f t="shared" si="82"/>
        <v>0</v>
      </c>
      <c r="J1097" s="74">
        <f t="shared" si="83"/>
        <v>-15</v>
      </c>
      <c r="K1097" t="e">
        <f>VLOOKUP(C1097,'RAW DATA 2023'!E:BO,12,0)</f>
        <v>#N/A</v>
      </c>
      <c r="L1097" s="268" t="e">
        <f t="shared" si="84"/>
        <v>#N/A</v>
      </c>
      <c r="M1097"/>
    </row>
    <row r="1098" spans="1:13">
      <c r="A1098" s="64">
        <f>'RAW DATA 2023'!B1091</f>
        <v>0</v>
      </c>
      <c r="B1098" s="64">
        <f>'RAW DATA 2023'!D1091</f>
        <v>0</v>
      </c>
      <c r="C1098" s="63" t="str">
        <f t="shared" ref="C1098:C1161" si="85">A1098&amp;B1098</f>
        <v>00</v>
      </c>
      <c r="D1098" s="63" t="e">
        <f>VLOOKUP(C1098,'RAW DATA 2023'!E:BP,63,0)</f>
        <v>#N/A</v>
      </c>
      <c r="E1098" s="63" t="e">
        <f t="shared" ref="E1098:E1161" si="86">A1098&amp;D1098</f>
        <v>#N/A</v>
      </c>
      <c r="F1098" s="79" t="e">
        <f>ROUND(VLOOKUP(C1098,'RAW DATA 2023'!E:BO,23,0),0)</f>
        <v>#N/A</v>
      </c>
      <c r="G1098" s="79" t="e">
        <f>VLOOKUP(C1098,'RAW DATA 2023'!E:BO,24,0)</f>
        <v>#N/A</v>
      </c>
      <c r="H1098" s="79" t="str">
        <f>IFERROR(VLOOKUP(F1098,STD!A:G,3,TRUE),"")</f>
        <v/>
      </c>
      <c r="I1098" s="100">
        <f t="shared" si="82"/>
        <v>0</v>
      </c>
      <c r="J1098" s="74">
        <f t="shared" si="83"/>
        <v>-15</v>
      </c>
      <c r="K1098" t="e">
        <f>VLOOKUP(C1098,'RAW DATA 2023'!E:BO,12,0)</f>
        <v>#N/A</v>
      </c>
      <c r="L1098" s="268" t="e">
        <f t="shared" si="84"/>
        <v>#N/A</v>
      </c>
      <c r="M1098"/>
    </row>
    <row r="1099" spans="1:13">
      <c r="A1099" s="64">
        <f>'RAW DATA 2023'!B1092</f>
        <v>0</v>
      </c>
      <c r="B1099" s="64">
        <f>'RAW DATA 2023'!D1092</f>
        <v>0</v>
      </c>
      <c r="C1099" s="63" t="str">
        <f t="shared" si="85"/>
        <v>00</v>
      </c>
      <c r="D1099" s="63" t="e">
        <f>VLOOKUP(C1099,'RAW DATA 2023'!E:BP,63,0)</f>
        <v>#N/A</v>
      </c>
      <c r="E1099" s="63" t="e">
        <f t="shared" si="86"/>
        <v>#N/A</v>
      </c>
      <c r="F1099" s="79" t="e">
        <f>ROUND(VLOOKUP(C1099,'RAW DATA 2023'!E:BO,23,0),0)</f>
        <v>#N/A</v>
      </c>
      <c r="G1099" s="79" t="e">
        <f>VLOOKUP(C1099,'RAW DATA 2023'!E:BO,24,0)</f>
        <v>#N/A</v>
      </c>
      <c r="H1099" s="79" t="str">
        <f>IFERROR(VLOOKUP(F1099,STD!A:G,3,TRUE),"")</f>
        <v/>
      </c>
      <c r="I1099" s="100">
        <f t="shared" ref="I1099:I1162" si="87">IFERROR(G1099/H1099,0)</f>
        <v>0</v>
      </c>
      <c r="J1099" s="74">
        <f t="shared" ref="J1099:J1162" si="88">(I1099-$E$4)*$E$7</f>
        <v>-15</v>
      </c>
      <c r="K1099" t="e">
        <f>VLOOKUP(C1099,'RAW DATA 2023'!E:BO,12,0)</f>
        <v>#N/A</v>
      </c>
      <c r="L1099" s="268" t="e">
        <f t="shared" ref="L1099:L1162" si="89">J1099*K1099</f>
        <v>#N/A</v>
      </c>
      <c r="M1099"/>
    </row>
    <row r="1100" spans="1:13">
      <c r="A1100" s="64">
        <f>'RAW DATA 2023'!B1093</f>
        <v>0</v>
      </c>
      <c r="B1100" s="64">
        <f>'RAW DATA 2023'!D1093</f>
        <v>0</v>
      </c>
      <c r="C1100" s="63" t="str">
        <f t="shared" si="85"/>
        <v>00</v>
      </c>
      <c r="D1100" s="63" t="e">
        <f>VLOOKUP(C1100,'RAW DATA 2023'!E:BP,63,0)</f>
        <v>#N/A</v>
      </c>
      <c r="E1100" s="63" t="e">
        <f t="shared" si="86"/>
        <v>#N/A</v>
      </c>
      <c r="F1100" s="79" t="e">
        <f>ROUND(VLOOKUP(C1100,'RAW DATA 2023'!E:BO,23,0),0)</f>
        <v>#N/A</v>
      </c>
      <c r="G1100" s="79" t="e">
        <f>VLOOKUP(C1100,'RAW DATA 2023'!E:BO,24,0)</f>
        <v>#N/A</v>
      </c>
      <c r="H1100" s="79" t="str">
        <f>IFERROR(VLOOKUP(F1100,STD!A:G,3,TRUE),"")</f>
        <v/>
      </c>
      <c r="I1100" s="100">
        <f t="shared" si="87"/>
        <v>0</v>
      </c>
      <c r="J1100" s="74">
        <f t="shared" si="88"/>
        <v>-15</v>
      </c>
      <c r="K1100" t="e">
        <f>VLOOKUP(C1100,'RAW DATA 2023'!E:BO,12,0)</f>
        <v>#N/A</v>
      </c>
      <c r="L1100" s="268" t="e">
        <f t="shared" si="89"/>
        <v>#N/A</v>
      </c>
      <c r="M1100"/>
    </row>
    <row r="1101" spans="1:13">
      <c r="A1101" s="64">
        <f>'RAW DATA 2023'!B1094</f>
        <v>0</v>
      </c>
      <c r="B1101" s="64">
        <f>'RAW DATA 2023'!D1094</f>
        <v>0</v>
      </c>
      <c r="C1101" s="63" t="str">
        <f t="shared" si="85"/>
        <v>00</v>
      </c>
      <c r="D1101" s="63" t="e">
        <f>VLOOKUP(C1101,'RAW DATA 2023'!E:BP,63,0)</f>
        <v>#N/A</v>
      </c>
      <c r="E1101" s="63" t="e">
        <f t="shared" si="86"/>
        <v>#N/A</v>
      </c>
      <c r="F1101" s="79" t="e">
        <f>ROUND(VLOOKUP(C1101,'RAW DATA 2023'!E:BO,23,0),0)</f>
        <v>#N/A</v>
      </c>
      <c r="G1101" s="79" t="e">
        <f>VLOOKUP(C1101,'RAW DATA 2023'!E:BO,24,0)</f>
        <v>#N/A</v>
      </c>
      <c r="H1101" s="79" t="str">
        <f>IFERROR(VLOOKUP(F1101,STD!A:G,3,TRUE),"")</f>
        <v/>
      </c>
      <c r="I1101" s="100">
        <f t="shared" si="87"/>
        <v>0</v>
      </c>
      <c r="J1101" s="74">
        <f t="shared" si="88"/>
        <v>-15</v>
      </c>
      <c r="K1101" t="e">
        <f>VLOOKUP(C1101,'RAW DATA 2023'!E:BO,12,0)</f>
        <v>#N/A</v>
      </c>
      <c r="L1101" s="268" t="e">
        <f t="shared" si="89"/>
        <v>#N/A</v>
      </c>
      <c r="M1101"/>
    </row>
    <row r="1102" spans="1:13">
      <c r="A1102" s="64">
        <f>'RAW DATA 2023'!B1095</f>
        <v>0</v>
      </c>
      <c r="B1102" s="64">
        <f>'RAW DATA 2023'!D1095</f>
        <v>0</v>
      </c>
      <c r="C1102" s="63" t="str">
        <f t="shared" si="85"/>
        <v>00</v>
      </c>
      <c r="D1102" s="63" t="e">
        <f>VLOOKUP(C1102,'RAW DATA 2023'!E:BP,63,0)</f>
        <v>#N/A</v>
      </c>
      <c r="E1102" s="63" t="e">
        <f t="shared" si="86"/>
        <v>#N/A</v>
      </c>
      <c r="F1102" s="79" t="e">
        <f>ROUND(VLOOKUP(C1102,'RAW DATA 2023'!E:BO,23,0),0)</f>
        <v>#N/A</v>
      </c>
      <c r="G1102" s="79" t="e">
        <f>VLOOKUP(C1102,'RAW DATA 2023'!E:BO,24,0)</f>
        <v>#N/A</v>
      </c>
      <c r="H1102" s="79" t="str">
        <f>IFERROR(VLOOKUP(F1102,STD!A:G,3,TRUE),"")</f>
        <v/>
      </c>
      <c r="I1102" s="100">
        <f t="shared" si="87"/>
        <v>0</v>
      </c>
      <c r="J1102" s="74">
        <f t="shared" si="88"/>
        <v>-15</v>
      </c>
      <c r="K1102" t="e">
        <f>VLOOKUP(C1102,'RAW DATA 2023'!E:BO,12,0)</f>
        <v>#N/A</v>
      </c>
      <c r="L1102" s="268" t="e">
        <f t="shared" si="89"/>
        <v>#N/A</v>
      </c>
      <c r="M1102"/>
    </row>
    <row r="1103" spans="1:13">
      <c r="A1103" s="64">
        <f>'RAW DATA 2023'!B1096</f>
        <v>0</v>
      </c>
      <c r="B1103" s="64">
        <f>'RAW DATA 2023'!D1096</f>
        <v>0</v>
      </c>
      <c r="C1103" s="63" t="str">
        <f t="shared" si="85"/>
        <v>00</v>
      </c>
      <c r="D1103" s="63" t="e">
        <f>VLOOKUP(C1103,'RAW DATA 2023'!E:BP,63,0)</f>
        <v>#N/A</v>
      </c>
      <c r="E1103" s="63" t="e">
        <f t="shared" si="86"/>
        <v>#N/A</v>
      </c>
      <c r="F1103" s="79" t="e">
        <f>ROUND(VLOOKUP(C1103,'RAW DATA 2023'!E:BO,23,0),0)</f>
        <v>#N/A</v>
      </c>
      <c r="G1103" s="79" t="e">
        <f>VLOOKUP(C1103,'RAW DATA 2023'!E:BO,24,0)</f>
        <v>#N/A</v>
      </c>
      <c r="H1103" s="79" t="str">
        <f>IFERROR(VLOOKUP(F1103,STD!A:G,3,TRUE),"")</f>
        <v/>
      </c>
      <c r="I1103" s="100">
        <f t="shared" si="87"/>
        <v>0</v>
      </c>
      <c r="J1103" s="74">
        <f t="shared" si="88"/>
        <v>-15</v>
      </c>
      <c r="K1103" t="e">
        <f>VLOOKUP(C1103,'RAW DATA 2023'!E:BO,12,0)</f>
        <v>#N/A</v>
      </c>
      <c r="L1103" s="268" t="e">
        <f t="shared" si="89"/>
        <v>#N/A</v>
      </c>
      <c r="M1103"/>
    </row>
    <row r="1104" spans="1:13">
      <c r="A1104" s="64">
        <f>'RAW DATA 2023'!B1097</f>
        <v>0</v>
      </c>
      <c r="B1104" s="64">
        <f>'RAW DATA 2023'!D1097</f>
        <v>0</v>
      </c>
      <c r="C1104" s="63" t="str">
        <f t="shared" si="85"/>
        <v>00</v>
      </c>
      <c r="D1104" s="63" t="e">
        <f>VLOOKUP(C1104,'RAW DATA 2023'!E:BP,63,0)</f>
        <v>#N/A</v>
      </c>
      <c r="E1104" s="63" t="e">
        <f t="shared" si="86"/>
        <v>#N/A</v>
      </c>
      <c r="F1104" s="79" t="e">
        <f>ROUND(VLOOKUP(C1104,'RAW DATA 2023'!E:BO,23,0),0)</f>
        <v>#N/A</v>
      </c>
      <c r="G1104" s="79" t="e">
        <f>VLOOKUP(C1104,'RAW DATA 2023'!E:BO,24,0)</f>
        <v>#N/A</v>
      </c>
      <c r="H1104" s="79" t="str">
        <f>IFERROR(VLOOKUP(F1104,STD!A:G,3,TRUE),"")</f>
        <v/>
      </c>
      <c r="I1104" s="100">
        <f t="shared" si="87"/>
        <v>0</v>
      </c>
      <c r="J1104" s="74">
        <f t="shared" si="88"/>
        <v>-15</v>
      </c>
      <c r="K1104" t="e">
        <f>VLOOKUP(C1104,'RAW DATA 2023'!E:BO,12,0)</f>
        <v>#N/A</v>
      </c>
      <c r="L1104" s="268" t="e">
        <f t="shared" si="89"/>
        <v>#N/A</v>
      </c>
      <c r="M1104"/>
    </row>
    <row r="1105" spans="1:13">
      <c r="A1105" s="64">
        <f>'RAW DATA 2023'!B1098</f>
        <v>0</v>
      </c>
      <c r="B1105" s="64">
        <f>'RAW DATA 2023'!D1098</f>
        <v>0</v>
      </c>
      <c r="C1105" s="63" t="str">
        <f t="shared" si="85"/>
        <v>00</v>
      </c>
      <c r="D1105" s="63" t="e">
        <f>VLOOKUP(C1105,'RAW DATA 2023'!E:BP,63,0)</f>
        <v>#N/A</v>
      </c>
      <c r="E1105" s="63" t="e">
        <f t="shared" si="86"/>
        <v>#N/A</v>
      </c>
      <c r="F1105" s="79" t="e">
        <f>ROUND(VLOOKUP(C1105,'RAW DATA 2023'!E:BO,23,0),0)</f>
        <v>#N/A</v>
      </c>
      <c r="G1105" s="79" t="e">
        <f>VLOOKUP(C1105,'RAW DATA 2023'!E:BO,24,0)</f>
        <v>#N/A</v>
      </c>
      <c r="H1105" s="79" t="str">
        <f>IFERROR(VLOOKUP(F1105,STD!A:G,3,TRUE),"")</f>
        <v/>
      </c>
      <c r="I1105" s="100">
        <f t="shared" si="87"/>
        <v>0</v>
      </c>
      <c r="J1105" s="74">
        <f t="shared" si="88"/>
        <v>-15</v>
      </c>
      <c r="K1105" t="e">
        <f>VLOOKUP(C1105,'RAW DATA 2023'!E:BO,12,0)</f>
        <v>#N/A</v>
      </c>
      <c r="L1105" s="268" t="e">
        <f t="shared" si="89"/>
        <v>#N/A</v>
      </c>
      <c r="M1105"/>
    </row>
    <row r="1106" spans="1:13">
      <c r="A1106" s="64">
        <f>'RAW DATA 2023'!B1099</f>
        <v>0</v>
      </c>
      <c r="B1106" s="64">
        <f>'RAW DATA 2023'!D1099</f>
        <v>0</v>
      </c>
      <c r="C1106" s="63" t="str">
        <f t="shared" si="85"/>
        <v>00</v>
      </c>
      <c r="D1106" s="63" t="e">
        <f>VLOOKUP(C1106,'RAW DATA 2023'!E:BP,63,0)</f>
        <v>#N/A</v>
      </c>
      <c r="E1106" s="63" t="e">
        <f t="shared" si="86"/>
        <v>#N/A</v>
      </c>
      <c r="F1106" s="79" t="e">
        <f>ROUND(VLOOKUP(C1106,'RAW DATA 2023'!E:BO,23,0),0)</f>
        <v>#N/A</v>
      </c>
      <c r="G1106" s="79" t="e">
        <f>VLOOKUP(C1106,'RAW DATA 2023'!E:BO,24,0)</f>
        <v>#N/A</v>
      </c>
      <c r="H1106" s="79" t="str">
        <f>IFERROR(VLOOKUP(F1106,STD!A:G,3,TRUE),"")</f>
        <v/>
      </c>
      <c r="I1106" s="100">
        <f t="shared" si="87"/>
        <v>0</v>
      </c>
      <c r="J1106" s="74">
        <f t="shared" si="88"/>
        <v>-15</v>
      </c>
      <c r="K1106" t="e">
        <f>VLOOKUP(C1106,'RAW DATA 2023'!E:BO,12,0)</f>
        <v>#N/A</v>
      </c>
      <c r="L1106" s="268" t="e">
        <f t="shared" si="89"/>
        <v>#N/A</v>
      </c>
      <c r="M1106"/>
    </row>
    <row r="1107" spans="1:13">
      <c r="A1107" s="64">
        <f>'RAW DATA 2023'!B1100</f>
        <v>0</v>
      </c>
      <c r="B1107" s="64">
        <f>'RAW DATA 2023'!D1100</f>
        <v>0</v>
      </c>
      <c r="C1107" s="63" t="str">
        <f t="shared" si="85"/>
        <v>00</v>
      </c>
      <c r="D1107" s="63" t="e">
        <f>VLOOKUP(C1107,'RAW DATA 2023'!E:BP,63,0)</f>
        <v>#N/A</v>
      </c>
      <c r="E1107" s="63" t="e">
        <f t="shared" si="86"/>
        <v>#N/A</v>
      </c>
      <c r="F1107" s="79" t="e">
        <f>ROUND(VLOOKUP(C1107,'RAW DATA 2023'!E:BO,23,0),0)</f>
        <v>#N/A</v>
      </c>
      <c r="G1107" s="79" t="e">
        <f>VLOOKUP(C1107,'RAW DATA 2023'!E:BO,24,0)</f>
        <v>#N/A</v>
      </c>
      <c r="H1107" s="79" t="str">
        <f>IFERROR(VLOOKUP(F1107,STD!A:G,3,TRUE),"")</f>
        <v/>
      </c>
      <c r="I1107" s="100">
        <f t="shared" si="87"/>
        <v>0</v>
      </c>
      <c r="J1107" s="74">
        <f t="shared" si="88"/>
        <v>-15</v>
      </c>
      <c r="K1107" t="e">
        <f>VLOOKUP(C1107,'RAW DATA 2023'!E:BO,12,0)</f>
        <v>#N/A</v>
      </c>
      <c r="L1107" s="268" t="e">
        <f t="shared" si="89"/>
        <v>#N/A</v>
      </c>
      <c r="M1107"/>
    </row>
    <row r="1108" spans="1:13">
      <c r="A1108" s="64">
        <f>'RAW DATA 2023'!B1101</f>
        <v>0</v>
      </c>
      <c r="B1108" s="64">
        <f>'RAW DATA 2023'!D1101</f>
        <v>0</v>
      </c>
      <c r="C1108" s="63" t="str">
        <f t="shared" si="85"/>
        <v>00</v>
      </c>
      <c r="D1108" s="63" t="e">
        <f>VLOOKUP(C1108,'RAW DATA 2023'!E:BP,63,0)</f>
        <v>#N/A</v>
      </c>
      <c r="E1108" s="63" t="e">
        <f t="shared" si="86"/>
        <v>#N/A</v>
      </c>
      <c r="F1108" s="79" t="e">
        <f>ROUND(VLOOKUP(C1108,'RAW DATA 2023'!E:BO,23,0),0)</f>
        <v>#N/A</v>
      </c>
      <c r="G1108" s="79" t="e">
        <f>VLOOKUP(C1108,'RAW DATA 2023'!E:BO,24,0)</f>
        <v>#N/A</v>
      </c>
      <c r="H1108" s="79" t="str">
        <f>IFERROR(VLOOKUP(F1108,STD!A:G,3,TRUE),"")</f>
        <v/>
      </c>
      <c r="I1108" s="100">
        <f t="shared" si="87"/>
        <v>0</v>
      </c>
      <c r="J1108" s="74">
        <f t="shared" si="88"/>
        <v>-15</v>
      </c>
      <c r="K1108" t="e">
        <f>VLOOKUP(C1108,'RAW DATA 2023'!E:BO,12,0)</f>
        <v>#N/A</v>
      </c>
      <c r="L1108" s="268" t="e">
        <f t="shared" si="89"/>
        <v>#N/A</v>
      </c>
      <c r="M1108"/>
    </row>
    <row r="1109" spans="1:13">
      <c r="A1109" s="64">
        <f>'RAW DATA 2023'!B1102</f>
        <v>0</v>
      </c>
      <c r="B1109" s="64">
        <f>'RAW DATA 2023'!D1102</f>
        <v>0</v>
      </c>
      <c r="C1109" s="63" t="str">
        <f t="shared" si="85"/>
        <v>00</v>
      </c>
      <c r="D1109" s="63" t="e">
        <f>VLOOKUP(C1109,'RAW DATA 2023'!E:BP,63,0)</f>
        <v>#N/A</v>
      </c>
      <c r="E1109" s="63" t="e">
        <f t="shared" si="86"/>
        <v>#N/A</v>
      </c>
      <c r="F1109" s="79" t="e">
        <f>ROUND(VLOOKUP(C1109,'RAW DATA 2023'!E:BO,23,0),0)</f>
        <v>#N/A</v>
      </c>
      <c r="G1109" s="79" t="e">
        <f>VLOOKUP(C1109,'RAW DATA 2023'!E:BO,24,0)</f>
        <v>#N/A</v>
      </c>
      <c r="H1109" s="79" t="str">
        <f>IFERROR(VLOOKUP(F1109,STD!A:G,3,TRUE),"")</f>
        <v/>
      </c>
      <c r="I1109" s="100">
        <f t="shared" si="87"/>
        <v>0</v>
      </c>
      <c r="J1109" s="74">
        <f t="shared" si="88"/>
        <v>-15</v>
      </c>
      <c r="K1109" t="e">
        <f>VLOOKUP(C1109,'RAW DATA 2023'!E:BO,12,0)</f>
        <v>#N/A</v>
      </c>
      <c r="L1109" s="268" t="e">
        <f t="shared" si="89"/>
        <v>#N/A</v>
      </c>
      <c r="M1109"/>
    </row>
    <row r="1110" spans="1:13">
      <c r="A1110" s="64">
        <f>'RAW DATA 2023'!B1103</f>
        <v>0</v>
      </c>
      <c r="B1110" s="64">
        <f>'RAW DATA 2023'!D1103</f>
        <v>0</v>
      </c>
      <c r="C1110" s="63" t="str">
        <f t="shared" si="85"/>
        <v>00</v>
      </c>
      <c r="D1110" s="63" t="e">
        <f>VLOOKUP(C1110,'RAW DATA 2023'!E:BP,63,0)</f>
        <v>#N/A</v>
      </c>
      <c r="E1110" s="63" t="e">
        <f t="shared" si="86"/>
        <v>#N/A</v>
      </c>
      <c r="F1110" s="79" t="e">
        <f>ROUND(VLOOKUP(C1110,'RAW DATA 2023'!E:BO,23,0),0)</f>
        <v>#N/A</v>
      </c>
      <c r="G1110" s="79" t="e">
        <f>VLOOKUP(C1110,'RAW DATA 2023'!E:BO,24,0)</f>
        <v>#N/A</v>
      </c>
      <c r="H1110" s="79" t="str">
        <f>IFERROR(VLOOKUP(F1110,STD!A:G,3,TRUE),"")</f>
        <v/>
      </c>
      <c r="I1110" s="100">
        <f t="shared" si="87"/>
        <v>0</v>
      </c>
      <c r="J1110" s="74">
        <f t="shared" si="88"/>
        <v>-15</v>
      </c>
      <c r="K1110" t="e">
        <f>VLOOKUP(C1110,'RAW DATA 2023'!E:BO,12,0)</f>
        <v>#N/A</v>
      </c>
      <c r="L1110" s="268" t="e">
        <f t="shared" si="89"/>
        <v>#N/A</v>
      </c>
      <c r="M1110"/>
    </row>
    <row r="1111" spans="1:13">
      <c r="A1111" s="64">
        <f>'RAW DATA 2023'!B1104</f>
        <v>0</v>
      </c>
      <c r="B1111" s="64">
        <f>'RAW DATA 2023'!D1104</f>
        <v>0</v>
      </c>
      <c r="C1111" s="63" t="str">
        <f t="shared" si="85"/>
        <v>00</v>
      </c>
      <c r="D1111" s="63" t="e">
        <f>VLOOKUP(C1111,'RAW DATA 2023'!E:BP,63,0)</f>
        <v>#N/A</v>
      </c>
      <c r="E1111" s="63" t="e">
        <f t="shared" si="86"/>
        <v>#N/A</v>
      </c>
      <c r="F1111" s="79" t="e">
        <f>ROUND(VLOOKUP(C1111,'RAW DATA 2023'!E:BO,23,0),0)</f>
        <v>#N/A</v>
      </c>
      <c r="G1111" s="79" t="e">
        <f>VLOOKUP(C1111,'RAW DATA 2023'!E:BO,24,0)</f>
        <v>#N/A</v>
      </c>
      <c r="H1111" s="79" t="str">
        <f>IFERROR(VLOOKUP(F1111,STD!A:G,3,TRUE),"")</f>
        <v/>
      </c>
      <c r="I1111" s="100">
        <f t="shared" si="87"/>
        <v>0</v>
      </c>
      <c r="J1111" s="74">
        <f t="shared" si="88"/>
        <v>-15</v>
      </c>
      <c r="K1111" t="e">
        <f>VLOOKUP(C1111,'RAW DATA 2023'!E:BO,12,0)</f>
        <v>#N/A</v>
      </c>
      <c r="L1111" s="268" t="e">
        <f t="shared" si="89"/>
        <v>#N/A</v>
      </c>
      <c r="M1111"/>
    </row>
    <row r="1112" spans="1:13">
      <c r="A1112" s="64">
        <f>'RAW DATA 2023'!B1105</f>
        <v>0</v>
      </c>
      <c r="B1112" s="64">
        <f>'RAW DATA 2023'!D1105</f>
        <v>0</v>
      </c>
      <c r="C1112" s="63" t="str">
        <f t="shared" si="85"/>
        <v>00</v>
      </c>
      <c r="D1112" s="63" t="e">
        <f>VLOOKUP(C1112,'RAW DATA 2023'!E:BP,63,0)</f>
        <v>#N/A</v>
      </c>
      <c r="E1112" s="63" t="e">
        <f t="shared" si="86"/>
        <v>#N/A</v>
      </c>
      <c r="F1112" s="79" t="e">
        <f>ROUND(VLOOKUP(C1112,'RAW DATA 2023'!E:BO,23,0),0)</f>
        <v>#N/A</v>
      </c>
      <c r="G1112" s="79" t="e">
        <f>VLOOKUP(C1112,'RAW DATA 2023'!E:BO,24,0)</f>
        <v>#N/A</v>
      </c>
      <c r="H1112" s="79" t="str">
        <f>IFERROR(VLOOKUP(F1112,STD!A:G,3,TRUE),"")</f>
        <v/>
      </c>
      <c r="I1112" s="100">
        <f t="shared" si="87"/>
        <v>0</v>
      </c>
      <c r="J1112" s="74">
        <f t="shared" si="88"/>
        <v>-15</v>
      </c>
      <c r="K1112" t="e">
        <f>VLOOKUP(C1112,'RAW DATA 2023'!E:BO,12,0)</f>
        <v>#N/A</v>
      </c>
      <c r="L1112" s="268" t="e">
        <f t="shared" si="89"/>
        <v>#N/A</v>
      </c>
      <c r="M1112"/>
    </row>
    <row r="1113" spans="1:13">
      <c r="A1113" s="64">
        <f>'RAW DATA 2023'!B1106</f>
        <v>0</v>
      </c>
      <c r="B1113" s="64">
        <f>'RAW DATA 2023'!D1106</f>
        <v>0</v>
      </c>
      <c r="C1113" s="63" t="str">
        <f t="shared" si="85"/>
        <v>00</v>
      </c>
      <c r="D1113" s="63" t="e">
        <f>VLOOKUP(C1113,'RAW DATA 2023'!E:BP,63,0)</f>
        <v>#N/A</v>
      </c>
      <c r="E1113" s="63" t="e">
        <f t="shared" si="86"/>
        <v>#N/A</v>
      </c>
      <c r="F1113" s="79" t="e">
        <f>ROUND(VLOOKUP(C1113,'RAW DATA 2023'!E:BO,23,0),0)</f>
        <v>#N/A</v>
      </c>
      <c r="G1113" s="79" t="e">
        <f>VLOOKUP(C1113,'RAW DATA 2023'!E:BO,24,0)</f>
        <v>#N/A</v>
      </c>
      <c r="H1113" s="79" t="str">
        <f>IFERROR(VLOOKUP(F1113,STD!A:G,3,TRUE),"")</f>
        <v/>
      </c>
      <c r="I1113" s="100">
        <f t="shared" si="87"/>
        <v>0</v>
      </c>
      <c r="J1113" s="74">
        <f t="shared" si="88"/>
        <v>-15</v>
      </c>
      <c r="K1113" t="e">
        <f>VLOOKUP(C1113,'RAW DATA 2023'!E:BO,12,0)</f>
        <v>#N/A</v>
      </c>
      <c r="L1113" s="268" t="e">
        <f t="shared" si="89"/>
        <v>#N/A</v>
      </c>
      <c r="M1113"/>
    </row>
    <row r="1114" spans="1:13">
      <c r="A1114" s="64">
        <f>'RAW DATA 2023'!B1107</f>
        <v>0</v>
      </c>
      <c r="B1114" s="64">
        <f>'RAW DATA 2023'!D1107</f>
        <v>0</v>
      </c>
      <c r="C1114" s="63" t="str">
        <f t="shared" si="85"/>
        <v>00</v>
      </c>
      <c r="D1114" s="63" t="e">
        <f>VLOOKUP(C1114,'RAW DATA 2023'!E:BP,63,0)</f>
        <v>#N/A</v>
      </c>
      <c r="E1114" s="63" t="e">
        <f t="shared" si="86"/>
        <v>#N/A</v>
      </c>
      <c r="F1114" s="79" t="e">
        <f>ROUND(VLOOKUP(C1114,'RAW DATA 2023'!E:BO,23,0),0)</f>
        <v>#N/A</v>
      </c>
      <c r="G1114" s="79" t="e">
        <f>VLOOKUP(C1114,'RAW DATA 2023'!E:BO,24,0)</f>
        <v>#N/A</v>
      </c>
      <c r="H1114" s="79" t="str">
        <f>IFERROR(VLOOKUP(F1114,STD!A:G,3,TRUE),"")</f>
        <v/>
      </c>
      <c r="I1114" s="100">
        <f t="shared" si="87"/>
        <v>0</v>
      </c>
      <c r="J1114" s="74">
        <f t="shared" si="88"/>
        <v>-15</v>
      </c>
      <c r="K1114" t="e">
        <f>VLOOKUP(C1114,'RAW DATA 2023'!E:BO,12,0)</f>
        <v>#N/A</v>
      </c>
      <c r="L1114" s="268" t="e">
        <f t="shared" si="89"/>
        <v>#N/A</v>
      </c>
      <c r="M1114"/>
    </row>
    <row r="1115" spans="1:13">
      <c r="A1115" s="64">
        <f>'RAW DATA 2023'!B1108</f>
        <v>0</v>
      </c>
      <c r="B1115" s="64">
        <f>'RAW DATA 2023'!D1108</f>
        <v>0</v>
      </c>
      <c r="C1115" s="63" t="str">
        <f t="shared" si="85"/>
        <v>00</v>
      </c>
      <c r="D1115" s="63" t="e">
        <f>VLOOKUP(C1115,'RAW DATA 2023'!E:BP,63,0)</f>
        <v>#N/A</v>
      </c>
      <c r="E1115" s="63" t="e">
        <f t="shared" si="86"/>
        <v>#N/A</v>
      </c>
      <c r="F1115" s="79" t="e">
        <f>ROUND(VLOOKUP(C1115,'RAW DATA 2023'!E:BO,23,0),0)</f>
        <v>#N/A</v>
      </c>
      <c r="G1115" s="79" t="e">
        <f>VLOOKUP(C1115,'RAW DATA 2023'!E:BO,24,0)</f>
        <v>#N/A</v>
      </c>
      <c r="H1115" s="79" t="str">
        <f>IFERROR(VLOOKUP(F1115,STD!A:G,3,TRUE),"")</f>
        <v/>
      </c>
      <c r="I1115" s="100">
        <f t="shared" si="87"/>
        <v>0</v>
      </c>
      <c r="J1115" s="74">
        <f t="shared" si="88"/>
        <v>-15</v>
      </c>
      <c r="K1115" t="e">
        <f>VLOOKUP(C1115,'RAW DATA 2023'!E:BO,12,0)</f>
        <v>#N/A</v>
      </c>
      <c r="L1115" s="268" t="e">
        <f t="shared" si="89"/>
        <v>#N/A</v>
      </c>
      <c r="M1115"/>
    </row>
    <row r="1116" spans="1:13">
      <c r="A1116" s="64">
        <f>'RAW DATA 2023'!B1109</f>
        <v>0</v>
      </c>
      <c r="B1116" s="64">
        <f>'RAW DATA 2023'!D1109</f>
        <v>0</v>
      </c>
      <c r="C1116" s="63" t="str">
        <f t="shared" si="85"/>
        <v>00</v>
      </c>
      <c r="D1116" s="63" t="e">
        <f>VLOOKUP(C1116,'RAW DATA 2023'!E:BP,63,0)</f>
        <v>#N/A</v>
      </c>
      <c r="E1116" s="63" t="e">
        <f t="shared" si="86"/>
        <v>#N/A</v>
      </c>
      <c r="F1116" s="79" t="e">
        <f>ROUND(VLOOKUP(C1116,'RAW DATA 2023'!E:BO,23,0),0)</f>
        <v>#N/A</v>
      </c>
      <c r="G1116" s="79" t="e">
        <f>VLOOKUP(C1116,'RAW DATA 2023'!E:BO,24,0)</f>
        <v>#N/A</v>
      </c>
      <c r="H1116" s="79" t="str">
        <f>IFERROR(VLOOKUP(F1116,STD!A:G,3,TRUE),"")</f>
        <v/>
      </c>
      <c r="I1116" s="100">
        <f t="shared" si="87"/>
        <v>0</v>
      </c>
      <c r="J1116" s="74">
        <f t="shared" si="88"/>
        <v>-15</v>
      </c>
      <c r="K1116" t="e">
        <f>VLOOKUP(C1116,'RAW DATA 2023'!E:BO,12,0)</f>
        <v>#N/A</v>
      </c>
      <c r="L1116" s="268" t="e">
        <f t="shared" si="89"/>
        <v>#N/A</v>
      </c>
      <c r="M1116"/>
    </row>
    <row r="1117" spans="1:13">
      <c r="A1117" s="64">
        <f>'RAW DATA 2023'!B1110</f>
        <v>0</v>
      </c>
      <c r="B1117" s="64">
        <f>'RAW DATA 2023'!D1110</f>
        <v>0</v>
      </c>
      <c r="C1117" s="63" t="str">
        <f t="shared" si="85"/>
        <v>00</v>
      </c>
      <c r="D1117" s="63" t="e">
        <f>VLOOKUP(C1117,'RAW DATA 2023'!E:BP,63,0)</f>
        <v>#N/A</v>
      </c>
      <c r="E1117" s="63" t="e">
        <f t="shared" si="86"/>
        <v>#N/A</v>
      </c>
      <c r="F1117" s="79" t="e">
        <f>ROUND(VLOOKUP(C1117,'RAW DATA 2023'!E:BO,23,0),0)</f>
        <v>#N/A</v>
      </c>
      <c r="G1117" s="79" t="e">
        <f>VLOOKUP(C1117,'RAW DATA 2023'!E:BO,24,0)</f>
        <v>#N/A</v>
      </c>
      <c r="H1117" s="79" t="str">
        <f>IFERROR(VLOOKUP(F1117,STD!A:G,3,TRUE),"")</f>
        <v/>
      </c>
      <c r="I1117" s="100">
        <f t="shared" si="87"/>
        <v>0</v>
      </c>
      <c r="J1117" s="74">
        <f t="shared" si="88"/>
        <v>-15</v>
      </c>
      <c r="K1117" t="e">
        <f>VLOOKUP(C1117,'RAW DATA 2023'!E:BO,12,0)</f>
        <v>#N/A</v>
      </c>
      <c r="L1117" s="268" t="e">
        <f t="shared" si="89"/>
        <v>#N/A</v>
      </c>
      <c r="M1117"/>
    </row>
    <row r="1118" spans="1:13">
      <c r="A1118" s="64">
        <f>'RAW DATA 2023'!B1111</f>
        <v>0</v>
      </c>
      <c r="B1118" s="64">
        <f>'RAW DATA 2023'!D1111</f>
        <v>0</v>
      </c>
      <c r="C1118" s="63" t="str">
        <f t="shared" si="85"/>
        <v>00</v>
      </c>
      <c r="D1118" s="63" t="e">
        <f>VLOOKUP(C1118,'RAW DATA 2023'!E:BP,63,0)</f>
        <v>#N/A</v>
      </c>
      <c r="E1118" s="63" t="e">
        <f t="shared" si="86"/>
        <v>#N/A</v>
      </c>
      <c r="F1118" s="79" t="e">
        <f>ROUND(VLOOKUP(C1118,'RAW DATA 2023'!E:BO,23,0),0)</f>
        <v>#N/A</v>
      </c>
      <c r="G1118" s="79" t="e">
        <f>VLOOKUP(C1118,'RAW DATA 2023'!E:BO,24,0)</f>
        <v>#N/A</v>
      </c>
      <c r="H1118" s="79" t="str">
        <f>IFERROR(VLOOKUP(F1118,STD!A:G,3,TRUE),"")</f>
        <v/>
      </c>
      <c r="I1118" s="100">
        <f t="shared" si="87"/>
        <v>0</v>
      </c>
      <c r="J1118" s="74">
        <f t="shared" si="88"/>
        <v>-15</v>
      </c>
      <c r="K1118" t="e">
        <f>VLOOKUP(C1118,'RAW DATA 2023'!E:BO,12,0)</f>
        <v>#N/A</v>
      </c>
      <c r="L1118" s="268" t="e">
        <f t="shared" si="89"/>
        <v>#N/A</v>
      </c>
      <c r="M1118"/>
    </row>
    <row r="1119" spans="1:13">
      <c r="A1119" s="64">
        <f>'RAW DATA 2023'!B1112</f>
        <v>0</v>
      </c>
      <c r="B1119" s="64">
        <f>'RAW DATA 2023'!D1112</f>
        <v>0</v>
      </c>
      <c r="C1119" s="63" t="str">
        <f t="shared" si="85"/>
        <v>00</v>
      </c>
      <c r="D1119" s="63" t="e">
        <f>VLOOKUP(C1119,'RAW DATA 2023'!E:BP,63,0)</f>
        <v>#N/A</v>
      </c>
      <c r="E1119" s="63" t="e">
        <f t="shared" si="86"/>
        <v>#N/A</v>
      </c>
      <c r="F1119" s="79" t="e">
        <f>ROUND(VLOOKUP(C1119,'RAW DATA 2023'!E:BO,23,0),0)</f>
        <v>#N/A</v>
      </c>
      <c r="G1119" s="79" t="e">
        <f>VLOOKUP(C1119,'RAW DATA 2023'!E:BO,24,0)</f>
        <v>#N/A</v>
      </c>
      <c r="H1119" s="79" t="str">
        <f>IFERROR(VLOOKUP(F1119,STD!A:G,3,TRUE),"")</f>
        <v/>
      </c>
      <c r="I1119" s="100">
        <f t="shared" si="87"/>
        <v>0</v>
      </c>
      <c r="J1119" s="74">
        <f t="shared" si="88"/>
        <v>-15</v>
      </c>
      <c r="K1119" t="e">
        <f>VLOOKUP(C1119,'RAW DATA 2023'!E:BO,12,0)</f>
        <v>#N/A</v>
      </c>
      <c r="L1119" s="268" t="e">
        <f t="shared" si="89"/>
        <v>#N/A</v>
      </c>
      <c r="M1119"/>
    </row>
    <row r="1120" spans="1:13">
      <c r="A1120" s="64">
        <f>'RAW DATA 2023'!B1113</f>
        <v>0</v>
      </c>
      <c r="B1120" s="64">
        <f>'RAW DATA 2023'!D1113</f>
        <v>0</v>
      </c>
      <c r="C1120" s="63" t="str">
        <f t="shared" si="85"/>
        <v>00</v>
      </c>
      <c r="D1120" s="63" t="e">
        <f>VLOOKUP(C1120,'RAW DATA 2023'!E:BP,63,0)</f>
        <v>#N/A</v>
      </c>
      <c r="E1120" s="63" t="e">
        <f t="shared" si="86"/>
        <v>#N/A</v>
      </c>
      <c r="F1120" s="79" t="e">
        <f>ROUND(VLOOKUP(C1120,'RAW DATA 2023'!E:BO,23,0),0)</f>
        <v>#N/A</v>
      </c>
      <c r="G1120" s="79" t="e">
        <f>VLOOKUP(C1120,'RAW DATA 2023'!E:BO,24,0)</f>
        <v>#N/A</v>
      </c>
      <c r="H1120" s="79" t="str">
        <f>IFERROR(VLOOKUP(F1120,STD!A:G,3,TRUE),"")</f>
        <v/>
      </c>
      <c r="I1120" s="100">
        <f t="shared" si="87"/>
        <v>0</v>
      </c>
      <c r="J1120" s="74">
        <f t="shared" si="88"/>
        <v>-15</v>
      </c>
      <c r="K1120" t="e">
        <f>VLOOKUP(C1120,'RAW DATA 2023'!E:BO,12,0)</f>
        <v>#N/A</v>
      </c>
      <c r="L1120" s="268" t="e">
        <f t="shared" si="89"/>
        <v>#N/A</v>
      </c>
      <c r="M1120"/>
    </row>
    <row r="1121" spans="1:13">
      <c r="A1121" s="64">
        <f>'RAW DATA 2023'!B1114</f>
        <v>0</v>
      </c>
      <c r="B1121" s="64">
        <f>'RAW DATA 2023'!D1114</f>
        <v>0</v>
      </c>
      <c r="C1121" s="63" t="str">
        <f t="shared" si="85"/>
        <v>00</v>
      </c>
      <c r="D1121" s="63" t="e">
        <f>VLOOKUP(C1121,'RAW DATA 2023'!E:BP,63,0)</f>
        <v>#N/A</v>
      </c>
      <c r="E1121" s="63" t="e">
        <f t="shared" si="86"/>
        <v>#N/A</v>
      </c>
      <c r="F1121" s="79" t="e">
        <f>ROUND(VLOOKUP(C1121,'RAW DATA 2023'!E:BO,23,0),0)</f>
        <v>#N/A</v>
      </c>
      <c r="G1121" s="79" t="e">
        <f>VLOOKUP(C1121,'RAW DATA 2023'!E:BO,24,0)</f>
        <v>#N/A</v>
      </c>
      <c r="H1121" s="79" t="str">
        <f>IFERROR(VLOOKUP(F1121,STD!A:G,3,TRUE),"")</f>
        <v/>
      </c>
      <c r="I1121" s="100">
        <f t="shared" si="87"/>
        <v>0</v>
      </c>
      <c r="J1121" s="74">
        <f t="shared" si="88"/>
        <v>-15</v>
      </c>
      <c r="K1121" t="e">
        <f>VLOOKUP(C1121,'RAW DATA 2023'!E:BO,12,0)</f>
        <v>#N/A</v>
      </c>
      <c r="L1121" s="268" t="e">
        <f t="shared" si="89"/>
        <v>#N/A</v>
      </c>
      <c r="M1121"/>
    </row>
    <row r="1122" spans="1:13">
      <c r="A1122" s="64">
        <f>'RAW DATA 2023'!B1115</f>
        <v>0</v>
      </c>
      <c r="B1122" s="64">
        <f>'RAW DATA 2023'!D1115</f>
        <v>0</v>
      </c>
      <c r="C1122" s="63" t="str">
        <f t="shared" si="85"/>
        <v>00</v>
      </c>
      <c r="D1122" s="63" t="e">
        <f>VLOOKUP(C1122,'RAW DATA 2023'!E:BP,63,0)</f>
        <v>#N/A</v>
      </c>
      <c r="E1122" s="63" t="e">
        <f t="shared" si="86"/>
        <v>#N/A</v>
      </c>
      <c r="F1122" s="79" t="e">
        <f>ROUND(VLOOKUP(C1122,'RAW DATA 2023'!E:BO,23,0),0)</f>
        <v>#N/A</v>
      </c>
      <c r="G1122" s="79" t="e">
        <f>VLOOKUP(C1122,'RAW DATA 2023'!E:BO,24,0)</f>
        <v>#N/A</v>
      </c>
      <c r="H1122" s="79" t="str">
        <f>IFERROR(VLOOKUP(F1122,STD!A:G,3,TRUE),"")</f>
        <v/>
      </c>
      <c r="I1122" s="100">
        <f t="shared" si="87"/>
        <v>0</v>
      </c>
      <c r="J1122" s="74">
        <f t="shared" si="88"/>
        <v>-15</v>
      </c>
      <c r="K1122" t="e">
        <f>VLOOKUP(C1122,'RAW DATA 2023'!E:BO,12,0)</f>
        <v>#N/A</v>
      </c>
      <c r="L1122" s="268" t="e">
        <f t="shared" si="89"/>
        <v>#N/A</v>
      </c>
      <c r="M1122"/>
    </row>
    <row r="1123" spans="1:13">
      <c r="A1123" s="64">
        <f>'RAW DATA 2023'!B1116</f>
        <v>0</v>
      </c>
      <c r="B1123" s="64">
        <f>'RAW DATA 2023'!D1116</f>
        <v>0</v>
      </c>
      <c r="C1123" s="63" t="str">
        <f t="shared" si="85"/>
        <v>00</v>
      </c>
      <c r="D1123" s="63" t="e">
        <f>VLOOKUP(C1123,'RAW DATA 2023'!E:BP,63,0)</f>
        <v>#N/A</v>
      </c>
      <c r="E1123" s="63" t="e">
        <f t="shared" si="86"/>
        <v>#N/A</v>
      </c>
      <c r="F1123" s="79" t="e">
        <f>ROUND(VLOOKUP(C1123,'RAW DATA 2023'!E:BO,23,0),0)</f>
        <v>#N/A</v>
      </c>
      <c r="G1123" s="79" t="e">
        <f>VLOOKUP(C1123,'RAW DATA 2023'!E:BO,24,0)</f>
        <v>#N/A</v>
      </c>
      <c r="H1123" s="79" t="str">
        <f>IFERROR(VLOOKUP(F1123,STD!A:G,3,TRUE),"")</f>
        <v/>
      </c>
      <c r="I1123" s="100">
        <f t="shared" si="87"/>
        <v>0</v>
      </c>
      <c r="J1123" s="74">
        <f t="shared" si="88"/>
        <v>-15</v>
      </c>
      <c r="K1123" t="e">
        <f>VLOOKUP(C1123,'RAW DATA 2023'!E:BO,12,0)</f>
        <v>#N/A</v>
      </c>
      <c r="L1123" s="268" t="e">
        <f t="shared" si="89"/>
        <v>#N/A</v>
      </c>
      <c r="M1123"/>
    </row>
    <row r="1124" spans="1:13">
      <c r="A1124" s="64">
        <f>'RAW DATA 2023'!B1117</f>
        <v>0</v>
      </c>
      <c r="B1124" s="64">
        <f>'RAW DATA 2023'!D1117</f>
        <v>0</v>
      </c>
      <c r="C1124" s="63" t="str">
        <f t="shared" si="85"/>
        <v>00</v>
      </c>
      <c r="D1124" s="63" t="e">
        <f>VLOOKUP(C1124,'RAW DATA 2023'!E:BP,63,0)</f>
        <v>#N/A</v>
      </c>
      <c r="E1124" s="63" t="e">
        <f t="shared" si="86"/>
        <v>#N/A</v>
      </c>
      <c r="F1124" s="79" t="e">
        <f>ROUND(VLOOKUP(C1124,'RAW DATA 2023'!E:BO,23,0),0)</f>
        <v>#N/A</v>
      </c>
      <c r="G1124" s="79" t="e">
        <f>VLOOKUP(C1124,'RAW DATA 2023'!E:BO,24,0)</f>
        <v>#N/A</v>
      </c>
      <c r="H1124" s="79" t="str">
        <f>IFERROR(VLOOKUP(F1124,STD!A:G,3,TRUE),"")</f>
        <v/>
      </c>
      <c r="I1124" s="100">
        <f t="shared" si="87"/>
        <v>0</v>
      </c>
      <c r="J1124" s="74">
        <f t="shared" si="88"/>
        <v>-15</v>
      </c>
      <c r="K1124" t="e">
        <f>VLOOKUP(C1124,'RAW DATA 2023'!E:BO,12,0)</f>
        <v>#N/A</v>
      </c>
      <c r="L1124" s="268" t="e">
        <f t="shared" si="89"/>
        <v>#N/A</v>
      </c>
      <c r="M1124"/>
    </row>
    <row r="1125" spans="1:13">
      <c r="A1125" s="64">
        <f>'RAW DATA 2023'!B1118</f>
        <v>0</v>
      </c>
      <c r="B1125" s="64">
        <f>'RAW DATA 2023'!D1118</f>
        <v>0</v>
      </c>
      <c r="C1125" s="63" t="str">
        <f t="shared" si="85"/>
        <v>00</v>
      </c>
      <c r="D1125" s="63" t="e">
        <f>VLOOKUP(C1125,'RAW DATA 2023'!E:BP,63,0)</f>
        <v>#N/A</v>
      </c>
      <c r="E1125" s="63" t="e">
        <f t="shared" si="86"/>
        <v>#N/A</v>
      </c>
      <c r="F1125" s="79" t="e">
        <f>ROUND(VLOOKUP(C1125,'RAW DATA 2023'!E:BO,23,0),0)</f>
        <v>#N/A</v>
      </c>
      <c r="G1125" s="79" t="e">
        <f>VLOOKUP(C1125,'RAW DATA 2023'!E:BO,24,0)</f>
        <v>#N/A</v>
      </c>
      <c r="H1125" s="79" t="str">
        <f>IFERROR(VLOOKUP(F1125,STD!A:G,3,TRUE),"")</f>
        <v/>
      </c>
      <c r="I1125" s="100">
        <f t="shared" si="87"/>
        <v>0</v>
      </c>
      <c r="J1125" s="74">
        <f t="shared" si="88"/>
        <v>-15</v>
      </c>
      <c r="K1125" t="e">
        <f>VLOOKUP(C1125,'RAW DATA 2023'!E:BO,12,0)</f>
        <v>#N/A</v>
      </c>
      <c r="L1125" s="268" t="e">
        <f t="shared" si="89"/>
        <v>#N/A</v>
      </c>
      <c r="M1125"/>
    </row>
    <row r="1126" spans="1:13">
      <c r="A1126" s="64">
        <f>'RAW DATA 2023'!B1119</f>
        <v>0</v>
      </c>
      <c r="B1126" s="64">
        <f>'RAW DATA 2023'!D1119</f>
        <v>0</v>
      </c>
      <c r="C1126" s="63" t="str">
        <f t="shared" si="85"/>
        <v>00</v>
      </c>
      <c r="D1126" s="63" t="e">
        <f>VLOOKUP(C1126,'RAW DATA 2023'!E:BP,63,0)</f>
        <v>#N/A</v>
      </c>
      <c r="E1126" s="63" t="e">
        <f t="shared" si="86"/>
        <v>#N/A</v>
      </c>
      <c r="F1126" s="79" t="e">
        <f>ROUND(VLOOKUP(C1126,'RAW DATA 2023'!E:BO,23,0),0)</f>
        <v>#N/A</v>
      </c>
      <c r="G1126" s="79" t="e">
        <f>VLOOKUP(C1126,'RAW DATA 2023'!E:BO,24,0)</f>
        <v>#N/A</v>
      </c>
      <c r="H1126" s="79" t="str">
        <f>IFERROR(VLOOKUP(F1126,STD!A:G,3,TRUE),"")</f>
        <v/>
      </c>
      <c r="I1126" s="100">
        <f t="shared" si="87"/>
        <v>0</v>
      </c>
      <c r="J1126" s="74">
        <f t="shared" si="88"/>
        <v>-15</v>
      </c>
      <c r="K1126" t="e">
        <f>VLOOKUP(C1126,'RAW DATA 2023'!E:BO,12,0)</f>
        <v>#N/A</v>
      </c>
      <c r="L1126" s="268" t="e">
        <f t="shared" si="89"/>
        <v>#N/A</v>
      </c>
      <c r="M1126"/>
    </row>
    <row r="1127" spans="1:13">
      <c r="A1127" s="64">
        <f>'RAW DATA 2023'!B1120</f>
        <v>0</v>
      </c>
      <c r="B1127" s="64">
        <f>'RAW DATA 2023'!D1120</f>
        <v>0</v>
      </c>
      <c r="C1127" s="63" t="str">
        <f t="shared" si="85"/>
        <v>00</v>
      </c>
      <c r="D1127" s="63" t="e">
        <f>VLOOKUP(C1127,'RAW DATA 2023'!E:BP,63,0)</f>
        <v>#N/A</v>
      </c>
      <c r="E1127" s="63" t="e">
        <f t="shared" si="86"/>
        <v>#N/A</v>
      </c>
      <c r="F1127" s="79" t="e">
        <f>ROUND(VLOOKUP(C1127,'RAW DATA 2023'!E:BO,23,0),0)</f>
        <v>#N/A</v>
      </c>
      <c r="G1127" s="79" t="e">
        <f>VLOOKUP(C1127,'RAW DATA 2023'!E:BO,24,0)</f>
        <v>#N/A</v>
      </c>
      <c r="H1127" s="79" t="str">
        <f>IFERROR(VLOOKUP(F1127,STD!A:G,3,TRUE),"")</f>
        <v/>
      </c>
      <c r="I1127" s="100">
        <f t="shared" si="87"/>
        <v>0</v>
      </c>
      <c r="J1127" s="74">
        <f t="shared" si="88"/>
        <v>-15</v>
      </c>
      <c r="K1127" t="e">
        <f>VLOOKUP(C1127,'RAW DATA 2023'!E:BO,12,0)</f>
        <v>#N/A</v>
      </c>
      <c r="L1127" s="268" t="e">
        <f t="shared" si="89"/>
        <v>#N/A</v>
      </c>
      <c r="M1127"/>
    </row>
    <row r="1128" spans="1:13">
      <c r="A1128" s="64">
        <f>'RAW DATA 2023'!B1121</f>
        <v>0</v>
      </c>
      <c r="B1128" s="64">
        <f>'RAW DATA 2023'!D1121</f>
        <v>0</v>
      </c>
      <c r="C1128" s="63" t="str">
        <f t="shared" si="85"/>
        <v>00</v>
      </c>
      <c r="D1128" s="63" t="e">
        <f>VLOOKUP(C1128,'RAW DATA 2023'!E:BP,63,0)</f>
        <v>#N/A</v>
      </c>
      <c r="E1128" s="63" t="e">
        <f t="shared" si="86"/>
        <v>#N/A</v>
      </c>
      <c r="F1128" s="79" t="e">
        <f>ROUND(VLOOKUP(C1128,'RAW DATA 2023'!E:BO,23,0),0)</f>
        <v>#N/A</v>
      </c>
      <c r="G1128" s="79" t="e">
        <f>VLOOKUP(C1128,'RAW DATA 2023'!E:BO,24,0)</f>
        <v>#N/A</v>
      </c>
      <c r="H1128" s="79" t="str">
        <f>IFERROR(VLOOKUP(F1128,STD!A:G,3,TRUE),"")</f>
        <v/>
      </c>
      <c r="I1128" s="100">
        <f t="shared" si="87"/>
        <v>0</v>
      </c>
      <c r="J1128" s="74">
        <f t="shared" si="88"/>
        <v>-15</v>
      </c>
      <c r="K1128" t="e">
        <f>VLOOKUP(C1128,'RAW DATA 2023'!E:BO,12,0)</f>
        <v>#N/A</v>
      </c>
      <c r="L1128" s="268" t="e">
        <f t="shared" si="89"/>
        <v>#N/A</v>
      </c>
      <c r="M1128"/>
    </row>
    <row r="1129" spans="1:13">
      <c r="A1129" s="64">
        <f>'RAW DATA 2023'!B1122</f>
        <v>0</v>
      </c>
      <c r="B1129" s="64">
        <f>'RAW DATA 2023'!D1122</f>
        <v>0</v>
      </c>
      <c r="C1129" s="63" t="str">
        <f t="shared" si="85"/>
        <v>00</v>
      </c>
      <c r="D1129" s="63" t="e">
        <f>VLOOKUP(C1129,'RAW DATA 2023'!E:BP,63,0)</f>
        <v>#N/A</v>
      </c>
      <c r="E1129" s="63" t="e">
        <f t="shared" si="86"/>
        <v>#N/A</v>
      </c>
      <c r="F1129" s="79" t="e">
        <f>ROUND(VLOOKUP(C1129,'RAW DATA 2023'!E:BO,23,0),0)</f>
        <v>#N/A</v>
      </c>
      <c r="G1129" s="79" t="e">
        <f>VLOOKUP(C1129,'RAW DATA 2023'!E:BO,24,0)</f>
        <v>#N/A</v>
      </c>
      <c r="H1129" s="79" t="str">
        <f>IFERROR(VLOOKUP(F1129,STD!A:G,3,TRUE),"")</f>
        <v/>
      </c>
      <c r="I1129" s="100">
        <f t="shared" si="87"/>
        <v>0</v>
      </c>
      <c r="J1129" s="74">
        <f t="shared" si="88"/>
        <v>-15</v>
      </c>
      <c r="K1129" t="e">
        <f>VLOOKUP(C1129,'RAW DATA 2023'!E:BO,12,0)</f>
        <v>#N/A</v>
      </c>
      <c r="L1129" s="268" t="e">
        <f t="shared" si="89"/>
        <v>#N/A</v>
      </c>
      <c r="M1129"/>
    </row>
    <row r="1130" spans="1:13">
      <c r="A1130" s="64">
        <f>'RAW DATA 2023'!B1123</f>
        <v>0</v>
      </c>
      <c r="B1130" s="64">
        <f>'RAW DATA 2023'!D1123</f>
        <v>0</v>
      </c>
      <c r="C1130" s="63" t="str">
        <f t="shared" si="85"/>
        <v>00</v>
      </c>
      <c r="D1130" s="63" t="e">
        <f>VLOOKUP(C1130,'RAW DATA 2023'!E:BP,63,0)</f>
        <v>#N/A</v>
      </c>
      <c r="E1130" s="63" t="e">
        <f t="shared" si="86"/>
        <v>#N/A</v>
      </c>
      <c r="F1130" s="79" t="e">
        <f>ROUND(VLOOKUP(C1130,'RAW DATA 2023'!E:BO,23,0),0)</f>
        <v>#N/A</v>
      </c>
      <c r="G1130" s="79" t="e">
        <f>VLOOKUP(C1130,'RAW DATA 2023'!E:BO,24,0)</f>
        <v>#N/A</v>
      </c>
      <c r="H1130" s="79" t="str">
        <f>IFERROR(VLOOKUP(F1130,STD!A:G,3,TRUE),"")</f>
        <v/>
      </c>
      <c r="I1130" s="100">
        <f t="shared" si="87"/>
        <v>0</v>
      </c>
      <c r="J1130" s="74">
        <f t="shared" si="88"/>
        <v>-15</v>
      </c>
      <c r="K1130" t="e">
        <f>VLOOKUP(C1130,'RAW DATA 2023'!E:BO,12,0)</f>
        <v>#N/A</v>
      </c>
      <c r="L1130" s="268" t="e">
        <f t="shared" si="89"/>
        <v>#N/A</v>
      </c>
      <c r="M1130"/>
    </row>
    <row r="1131" spans="1:13">
      <c r="A1131" s="64">
        <f>'RAW DATA 2023'!B1124</f>
        <v>0</v>
      </c>
      <c r="B1131" s="64">
        <f>'RAW DATA 2023'!D1124</f>
        <v>0</v>
      </c>
      <c r="C1131" s="63" t="str">
        <f t="shared" si="85"/>
        <v>00</v>
      </c>
      <c r="D1131" s="63" t="e">
        <f>VLOOKUP(C1131,'RAW DATA 2023'!E:BP,63,0)</f>
        <v>#N/A</v>
      </c>
      <c r="E1131" s="63" t="e">
        <f t="shared" si="86"/>
        <v>#N/A</v>
      </c>
      <c r="F1131" s="79" t="e">
        <f>ROUND(VLOOKUP(C1131,'RAW DATA 2023'!E:BO,23,0),0)</f>
        <v>#N/A</v>
      </c>
      <c r="G1131" s="79" t="e">
        <f>VLOOKUP(C1131,'RAW DATA 2023'!E:BO,24,0)</f>
        <v>#N/A</v>
      </c>
      <c r="H1131" s="79" t="str">
        <f>IFERROR(VLOOKUP(F1131,STD!A:G,3,TRUE),"")</f>
        <v/>
      </c>
      <c r="I1131" s="100">
        <f t="shared" si="87"/>
        <v>0</v>
      </c>
      <c r="J1131" s="74">
        <f t="shared" si="88"/>
        <v>-15</v>
      </c>
      <c r="K1131" t="e">
        <f>VLOOKUP(C1131,'RAW DATA 2023'!E:BO,12,0)</f>
        <v>#N/A</v>
      </c>
      <c r="L1131" s="268" t="e">
        <f t="shared" si="89"/>
        <v>#N/A</v>
      </c>
      <c r="M1131"/>
    </row>
    <row r="1132" spans="1:13">
      <c r="A1132" s="64">
        <f>'RAW DATA 2023'!B1125</f>
        <v>0</v>
      </c>
      <c r="B1132" s="64">
        <f>'RAW DATA 2023'!D1125</f>
        <v>0</v>
      </c>
      <c r="C1132" s="63" t="str">
        <f t="shared" si="85"/>
        <v>00</v>
      </c>
      <c r="D1132" s="63" t="e">
        <f>VLOOKUP(C1132,'RAW DATA 2023'!E:BP,63,0)</f>
        <v>#N/A</v>
      </c>
      <c r="E1132" s="63" t="e">
        <f t="shared" si="86"/>
        <v>#N/A</v>
      </c>
      <c r="F1132" s="79" t="e">
        <f>ROUND(VLOOKUP(C1132,'RAW DATA 2023'!E:BO,23,0),0)</f>
        <v>#N/A</v>
      </c>
      <c r="G1132" s="79" t="e">
        <f>VLOOKUP(C1132,'RAW DATA 2023'!E:BO,24,0)</f>
        <v>#N/A</v>
      </c>
      <c r="H1132" s="79" t="str">
        <f>IFERROR(VLOOKUP(F1132,STD!A:G,3,TRUE),"")</f>
        <v/>
      </c>
      <c r="I1132" s="100">
        <f t="shared" si="87"/>
        <v>0</v>
      </c>
      <c r="J1132" s="74">
        <f t="shared" si="88"/>
        <v>-15</v>
      </c>
      <c r="K1132" t="e">
        <f>VLOOKUP(C1132,'RAW DATA 2023'!E:BO,12,0)</f>
        <v>#N/A</v>
      </c>
      <c r="L1132" s="268" t="e">
        <f t="shared" si="89"/>
        <v>#N/A</v>
      </c>
      <c r="M1132"/>
    </row>
    <row r="1133" spans="1:13">
      <c r="A1133" s="64">
        <f>'RAW DATA 2023'!B1126</f>
        <v>0</v>
      </c>
      <c r="B1133" s="64">
        <f>'RAW DATA 2023'!D1126</f>
        <v>0</v>
      </c>
      <c r="C1133" s="63" t="str">
        <f t="shared" si="85"/>
        <v>00</v>
      </c>
      <c r="D1133" s="63" t="e">
        <f>VLOOKUP(C1133,'RAW DATA 2023'!E:BP,63,0)</f>
        <v>#N/A</v>
      </c>
      <c r="E1133" s="63" t="e">
        <f t="shared" si="86"/>
        <v>#N/A</v>
      </c>
      <c r="F1133" s="79" t="e">
        <f>ROUND(VLOOKUP(C1133,'RAW DATA 2023'!E:BO,23,0),0)</f>
        <v>#N/A</v>
      </c>
      <c r="G1133" s="79" t="e">
        <f>VLOOKUP(C1133,'RAW DATA 2023'!E:BO,24,0)</f>
        <v>#N/A</v>
      </c>
      <c r="H1133" s="79" t="str">
        <f>IFERROR(VLOOKUP(F1133,STD!A:G,3,TRUE),"")</f>
        <v/>
      </c>
      <c r="I1133" s="100">
        <f t="shared" si="87"/>
        <v>0</v>
      </c>
      <c r="J1133" s="74">
        <f t="shared" si="88"/>
        <v>-15</v>
      </c>
      <c r="K1133" t="e">
        <f>VLOOKUP(C1133,'RAW DATA 2023'!E:BO,12,0)</f>
        <v>#N/A</v>
      </c>
      <c r="L1133" s="268" t="e">
        <f t="shared" si="89"/>
        <v>#N/A</v>
      </c>
      <c r="M1133"/>
    </row>
    <row r="1134" spans="1:13">
      <c r="A1134" s="64">
        <f>'RAW DATA 2023'!B1127</f>
        <v>0</v>
      </c>
      <c r="B1134" s="64">
        <f>'RAW DATA 2023'!D1127</f>
        <v>0</v>
      </c>
      <c r="C1134" s="63" t="str">
        <f t="shared" si="85"/>
        <v>00</v>
      </c>
      <c r="D1134" s="63" t="e">
        <f>VLOOKUP(C1134,'RAW DATA 2023'!E:BP,63,0)</f>
        <v>#N/A</v>
      </c>
      <c r="E1134" s="63" t="e">
        <f t="shared" si="86"/>
        <v>#N/A</v>
      </c>
      <c r="F1134" s="79" t="e">
        <f>ROUND(VLOOKUP(C1134,'RAW DATA 2023'!E:BO,23,0),0)</f>
        <v>#N/A</v>
      </c>
      <c r="G1134" s="79" t="e">
        <f>VLOOKUP(C1134,'RAW DATA 2023'!E:BO,24,0)</f>
        <v>#N/A</v>
      </c>
      <c r="H1134" s="79" t="str">
        <f>IFERROR(VLOOKUP(F1134,STD!A:G,3,TRUE),"")</f>
        <v/>
      </c>
      <c r="I1134" s="100">
        <f t="shared" si="87"/>
        <v>0</v>
      </c>
      <c r="J1134" s="74">
        <f t="shared" si="88"/>
        <v>-15</v>
      </c>
      <c r="K1134" t="e">
        <f>VLOOKUP(C1134,'RAW DATA 2023'!E:BO,12,0)</f>
        <v>#N/A</v>
      </c>
      <c r="L1134" s="268" t="e">
        <f t="shared" si="89"/>
        <v>#N/A</v>
      </c>
      <c r="M1134"/>
    </row>
    <row r="1135" spans="1:13">
      <c r="A1135" s="64">
        <f>'RAW DATA 2023'!B1128</f>
        <v>0</v>
      </c>
      <c r="B1135" s="64">
        <f>'RAW DATA 2023'!D1128</f>
        <v>0</v>
      </c>
      <c r="C1135" s="63" t="str">
        <f t="shared" si="85"/>
        <v>00</v>
      </c>
      <c r="D1135" s="63" t="e">
        <f>VLOOKUP(C1135,'RAW DATA 2023'!E:BP,63,0)</f>
        <v>#N/A</v>
      </c>
      <c r="E1135" s="63" t="e">
        <f t="shared" si="86"/>
        <v>#N/A</v>
      </c>
      <c r="F1135" s="79" t="e">
        <f>ROUND(VLOOKUP(C1135,'RAW DATA 2023'!E:BO,23,0),0)</f>
        <v>#N/A</v>
      </c>
      <c r="G1135" s="79" t="e">
        <f>VLOOKUP(C1135,'RAW DATA 2023'!E:BO,24,0)</f>
        <v>#N/A</v>
      </c>
      <c r="H1135" s="79" t="str">
        <f>IFERROR(VLOOKUP(F1135,STD!A:G,3,TRUE),"")</f>
        <v/>
      </c>
      <c r="I1135" s="100">
        <f t="shared" si="87"/>
        <v>0</v>
      </c>
      <c r="J1135" s="74">
        <f t="shared" si="88"/>
        <v>-15</v>
      </c>
      <c r="K1135" t="e">
        <f>VLOOKUP(C1135,'RAW DATA 2023'!E:BO,12,0)</f>
        <v>#N/A</v>
      </c>
      <c r="L1135" s="268" t="e">
        <f t="shared" si="89"/>
        <v>#N/A</v>
      </c>
    </row>
    <row r="1136" spans="1:13">
      <c r="A1136" s="64">
        <f>'RAW DATA 2023'!B1129</f>
        <v>0</v>
      </c>
      <c r="B1136" s="64">
        <f>'RAW DATA 2023'!D1129</f>
        <v>0</v>
      </c>
      <c r="C1136" s="63" t="str">
        <f t="shared" si="85"/>
        <v>00</v>
      </c>
      <c r="D1136" s="63" t="e">
        <f>VLOOKUP(C1136,'RAW DATA 2023'!E:BP,63,0)</f>
        <v>#N/A</v>
      </c>
      <c r="E1136" s="63" t="e">
        <f t="shared" si="86"/>
        <v>#N/A</v>
      </c>
      <c r="F1136" s="79" t="e">
        <f>ROUND(VLOOKUP(C1136,'RAW DATA 2023'!E:BO,23,0),0)</f>
        <v>#N/A</v>
      </c>
      <c r="G1136" s="79" t="e">
        <f>VLOOKUP(C1136,'RAW DATA 2023'!E:BO,24,0)</f>
        <v>#N/A</v>
      </c>
      <c r="H1136" s="79" t="str">
        <f>IFERROR(VLOOKUP(F1136,STD!A:G,3,TRUE),"")</f>
        <v/>
      </c>
      <c r="I1136" s="100">
        <f t="shared" si="87"/>
        <v>0</v>
      </c>
      <c r="J1136" s="74">
        <f t="shared" si="88"/>
        <v>-15</v>
      </c>
      <c r="K1136" t="e">
        <f>VLOOKUP(C1136,'RAW DATA 2023'!E:BO,12,0)</f>
        <v>#N/A</v>
      </c>
      <c r="L1136" s="268" t="e">
        <f t="shared" si="89"/>
        <v>#N/A</v>
      </c>
    </row>
    <row r="1137" spans="1:12">
      <c r="A1137" s="64">
        <f>'RAW DATA 2023'!B1130</f>
        <v>0</v>
      </c>
      <c r="B1137" s="64">
        <f>'RAW DATA 2023'!D1130</f>
        <v>0</v>
      </c>
      <c r="C1137" s="63" t="str">
        <f t="shared" si="85"/>
        <v>00</v>
      </c>
      <c r="D1137" s="63" t="e">
        <f>VLOOKUP(C1137,'RAW DATA 2023'!E:BP,63,0)</f>
        <v>#N/A</v>
      </c>
      <c r="E1137" s="63" t="e">
        <f t="shared" si="86"/>
        <v>#N/A</v>
      </c>
      <c r="F1137" s="79" t="e">
        <f>ROUND(VLOOKUP(C1137,'RAW DATA 2023'!E:BO,23,0),0)</f>
        <v>#N/A</v>
      </c>
      <c r="G1137" s="79" t="e">
        <f>VLOOKUP(C1137,'RAW DATA 2023'!E:BO,24,0)</f>
        <v>#N/A</v>
      </c>
      <c r="H1137" s="79" t="str">
        <f>IFERROR(VLOOKUP(F1137,STD!A:G,3,TRUE),"")</f>
        <v/>
      </c>
      <c r="I1137" s="100">
        <f t="shared" si="87"/>
        <v>0</v>
      </c>
      <c r="J1137" s="74">
        <f t="shared" si="88"/>
        <v>-15</v>
      </c>
      <c r="K1137" t="e">
        <f>VLOOKUP(C1137,'RAW DATA 2023'!E:BO,12,0)</f>
        <v>#N/A</v>
      </c>
      <c r="L1137" s="268" t="e">
        <f t="shared" si="89"/>
        <v>#N/A</v>
      </c>
    </row>
    <row r="1138" spans="1:12">
      <c r="A1138" s="64">
        <f>'RAW DATA 2023'!B1131</f>
        <v>0</v>
      </c>
      <c r="B1138" s="64">
        <f>'RAW DATA 2023'!D1131</f>
        <v>0</v>
      </c>
      <c r="C1138" s="63" t="str">
        <f t="shared" si="85"/>
        <v>00</v>
      </c>
      <c r="D1138" s="63" t="e">
        <f>VLOOKUP(C1138,'RAW DATA 2023'!E:BP,63,0)</f>
        <v>#N/A</v>
      </c>
      <c r="E1138" s="63" t="e">
        <f t="shared" si="86"/>
        <v>#N/A</v>
      </c>
      <c r="F1138" s="79" t="e">
        <f>ROUND(VLOOKUP(C1138,'RAW DATA 2023'!E:BO,23,0),0)</f>
        <v>#N/A</v>
      </c>
      <c r="G1138" s="79" t="e">
        <f>VLOOKUP(C1138,'RAW DATA 2023'!E:BO,24,0)</f>
        <v>#N/A</v>
      </c>
      <c r="H1138" s="79" t="str">
        <f>IFERROR(VLOOKUP(F1138,STD!A:G,3,TRUE),"")</f>
        <v/>
      </c>
      <c r="I1138" s="100">
        <f t="shared" si="87"/>
        <v>0</v>
      </c>
      <c r="J1138" s="74">
        <f t="shared" si="88"/>
        <v>-15</v>
      </c>
      <c r="K1138" t="e">
        <f>VLOOKUP(C1138,'RAW DATA 2023'!E:BO,12,0)</f>
        <v>#N/A</v>
      </c>
      <c r="L1138" s="268" t="e">
        <f t="shared" si="89"/>
        <v>#N/A</v>
      </c>
    </row>
    <row r="1139" spans="1:12">
      <c r="A1139" s="64">
        <f>'RAW DATA 2023'!B1132</f>
        <v>0</v>
      </c>
      <c r="B1139" s="64">
        <f>'RAW DATA 2023'!D1132</f>
        <v>0</v>
      </c>
      <c r="C1139" s="63" t="str">
        <f t="shared" si="85"/>
        <v>00</v>
      </c>
      <c r="D1139" s="63" t="e">
        <f>VLOOKUP(C1139,'RAW DATA 2023'!E:BP,63,0)</f>
        <v>#N/A</v>
      </c>
      <c r="E1139" s="63" t="e">
        <f t="shared" si="86"/>
        <v>#N/A</v>
      </c>
      <c r="F1139" s="79" t="e">
        <f>ROUND(VLOOKUP(C1139,'RAW DATA 2023'!E:BO,23,0),0)</f>
        <v>#N/A</v>
      </c>
      <c r="G1139" s="79" t="e">
        <f>VLOOKUP(C1139,'RAW DATA 2023'!E:BO,24,0)</f>
        <v>#N/A</v>
      </c>
      <c r="H1139" s="79" t="str">
        <f>IFERROR(VLOOKUP(F1139,STD!A:G,3,TRUE),"")</f>
        <v/>
      </c>
      <c r="I1139" s="100">
        <f t="shared" si="87"/>
        <v>0</v>
      </c>
      <c r="J1139" s="74">
        <f t="shared" si="88"/>
        <v>-15</v>
      </c>
      <c r="K1139" t="e">
        <f>VLOOKUP(C1139,'RAW DATA 2023'!E:BO,12,0)</f>
        <v>#N/A</v>
      </c>
      <c r="L1139" s="268" t="e">
        <f t="shared" si="89"/>
        <v>#N/A</v>
      </c>
    </row>
    <row r="1140" spans="1:12">
      <c r="A1140" s="64">
        <f>'RAW DATA 2023'!B1133</f>
        <v>0</v>
      </c>
      <c r="B1140" s="64">
        <f>'RAW DATA 2023'!D1133</f>
        <v>0</v>
      </c>
      <c r="C1140" s="63" t="str">
        <f t="shared" si="85"/>
        <v>00</v>
      </c>
      <c r="D1140" s="63" t="e">
        <f>VLOOKUP(C1140,'RAW DATA 2023'!E:BP,63,0)</f>
        <v>#N/A</v>
      </c>
      <c r="E1140" s="63" t="e">
        <f t="shared" si="86"/>
        <v>#N/A</v>
      </c>
      <c r="F1140" s="79" t="e">
        <f>ROUND(VLOOKUP(C1140,'RAW DATA 2023'!E:BO,23,0),0)</f>
        <v>#N/A</v>
      </c>
      <c r="G1140" s="79" t="e">
        <f>VLOOKUP(C1140,'RAW DATA 2023'!E:BO,24,0)</f>
        <v>#N/A</v>
      </c>
      <c r="H1140" s="79" t="str">
        <f>IFERROR(VLOOKUP(F1140,STD!A:G,3,TRUE),"")</f>
        <v/>
      </c>
      <c r="I1140" s="100">
        <f t="shared" si="87"/>
        <v>0</v>
      </c>
      <c r="J1140" s="74">
        <f t="shared" si="88"/>
        <v>-15</v>
      </c>
      <c r="K1140" t="e">
        <f>VLOOKUP(C1140,'RAW DATA 2023'!E:BO,12,0)</f>
        <v>#N/A</v>
      </c>
      <c r="L1140" s="268" t="e">
        <f t="shared" si="89"/>
        <v>#N/A</v>
      </c>
    </row>
    <row r="1141" spans="1:12">
      <c r="A1141" s="64">
        <f>'RAW DATA 2023'!B1134</f>
        <v>0</v>
      </c>
      <c r="B1141" s="64">
        <f>'RAW DATA 2023'!D1134</f>
        <v>0</v>
      </c>
      <c r="C1141" s="63" t="str">
        <f t="shared" si="85"/>
        <v>00</v>
      </c>
      <c r="D1141" s="63" t="e">
        <f>VLOOKUP(C1141,'RAW DATA 2023'!E:BP,63,0)</f>
        <v>#N/A</v>
      </c>
      <c r="E1141" s="63" t="e">
        <f t="shared" si="86"/>
        <v>#N/A</v>
      </c>
      <c r="F1141" s="79" t="e">
        <f>ROUND(VLOOKUP(C1141,'RAW DATA 2023'!E:BO,23,0),0)</f>
        <v>#N/A</v>
      </c>
      <c r="G1141" s="79" t="e">
        <f>VLOOKUP(C1141,'RAW DATA 2023'!E:BO,24,0)</f>
        <v>#N/A</v>
      </c>
      <c r="H1141" s="79" t="str">
        <f>IFERROR(VLOOKUP(F1141,STD!A:G,3,TRUE),"")</f>
        <v/>
      </c>
      <c r="I1141" s="100">
        <f t="shared" si="87"/>
        <v>0</v>
      </c>
      <c r="J1141" s="74">
        <f t="shared" si="88"/>
        <v>-15</v>
      </c>
      <c r="K1141" t="e">
        <f>VLOOKUP(C1141,'RAW DATA 2023'!E:BO,12,0)</f>
        <v>#N/A</v>
      </c>
      <c r="L1141" s="268" t="e">
        <f t="shared" si="89"/>
        <v>#N/A</v>
      </c>
    </row>
    <row r="1142" spans="1:12">
      <c r="A1142" s="64">
        <f>'RAW DATA 2023'!B1135</f>
        <v>0</v>
      </c>
      <c r="B1142" s="64">
        <f>'RAW DATA 2023'!D1135</f>
        <v>0</v>
      </c>
      <c r="C1142" s="63" t="str">
        <f t="shared" si="85"/>
        <v>00</v>
      </c>
      <c r="D1142" s="63" t="e">
        <f>VLOOKUP(C1142,'RAW DATA 2023'!E:BP,63,0)</f>
        <v>#N/A</v>
      </c>
      <c r="E1142" s="63" t="e">
        <f t="shared" si="86"/>
        <v>#N/A</v>
      </c>
      <c r="F1142" s="79" t="e">
        <f>ROUND(VLOOKUP(C1142,'RAW DATA 2023'!E:BO,23,0),0)</f>
        <v>#N/A</v>
      </c>
      <c r="G1142" s="79" t="e">
        <f>VLOOKUP(C1142,'RAW DATA 2023'!E:BO,24,0)</f>
        <v>#N/A</v>
      </c>
      <c r="H1142" s="79" t="str">
        <f>IFERROR(VLOOKUP(F1142,STD!A:G,3,TRUE),"")</f>
        <v/>
      </c>
      <c r="I1142" s="100">
        <f t="shared" si="87"/>
        <v>0</v>
      </c>
      <c r="J1142" s="74">
        <f t="shared" si="88"/>
        <v>-15</v>
      </c>
      <c r="K1142" t="e">
        <f>VLOOKUP(C1142,'RAW DATA 2023'!E:BO,12,0)</f>
        <v>#N/A</v>
      </c>
      <c r="L1142" s="268" t="e">
        <f t="shared" si="89"/>
        <v>#N/A</v>
      </c>
    </row>
    <row r="1143" spans="1:12">
      <c r="A1143" s="64">
        <f>'RAW DATA 2023'!B1136</f>
        <v>0</v>
      </c>
      <c r="B1143" s="64">
        <f>'RAW DATA 2023'!D1136</f>
        <v>0</v>
      </c>
      <c r="C1143" s="63" t="str">
        <f t="shared" si="85"/>
        <v>00</v>
      </c>
      <c r="D1143" s="63" t="e">
        <f>VLOOKUP(C1143,'RAW DATA 2023'!E:BP,63,0)</f>
        <v>#N/A</v>
      </c>
      <c r="E1143" s="63" t="e">
        <f t="shared" si="86"/>
        <v>#N/A</v>
      </c>
      <c r="F1143" s="79" t="e">
        <f>ROUND(VLOOKUP(C1143,'RAW DATA 2023'!E:BO,23,0),0)</f>
        <v>#N/A</v>
      </c>
      <c r="G1143" s="79" t="e">
        <f>VLOOKUP(C1143,'RAW DATA 2023'!E:BO,24,0)</f>
        <v>#N/A</v>
      </c>
      <c r="H1143" s="79" t="str">
        <f>IFERROR(VLOOKUP(F1143,STD!A:G,3,TRUE),"")</f>
        <v/>
      </c>
      <c r="I1143" s="100">
        <f t="shared" si="87"/>
        <v>0</v>
      </c>
      <c r="J1143" s="74">
        <f t="shared" si="88"/>
        <v>-15</v>
      </c>
      <c r="K1143" t="e">
        <f>VLOOKUP(C1143,'RAW DATA 2023'!E:BO,12,0)</f>
        <v>#N/A</v>
      </c>
      <c r="L1143" s="268" t="e">
        <f t="shared" si="89"/>
        <v>#N/A</v>
      </c>
    </row>
    <row r="1144" spans="1:12">
      <c r="A1144" s="64">
        <f>'RAW DATA 2023'!B1137</f>
        <v>0</v>
      </c>
      <c r="B1144" s="64">
        <f>'RAW DATA 2023'!D1137</f>
        <v>0</v>
      </c>
      <c r="C1144" s="63" t="str">
        <f t="shared" si="85"/>
        <v>00</v>
      </c>
      <c r="D1144" s="63" t="e">
        <f>VLOOKUP(C1144,'RAW DATA 2023'!E:BP,63,0)</f>
        <v>#N/A</v>
      </c>
      <c r="E1144" s="63" t="e">
        <f t="shared" si="86"/>
        <v>#N/A</v>
      </c>
      <c r="F1144" s="79" t="e">
        <f>ROUND(VLOOKUP(C1144,'RAW DATA 2023'!E:BO,23,0),0)</f>
        <v>#N/A</v>
      </c>
      <c r="G1144" s="79" t="e">
        <f>VLOOKUP(C1144,'RAW DATA 2023'!E:BO,24,0)</f>
        <v>#N/A</v>
      </c>
      <c r="H1144" s="79" t="str">
        <f>IFERROR(VLOOKUP(F1144,STD!A:G,3,TRUE),"")</f>
        <v/>
      </c>
      <c r="I1144" s="100">
        <f t="shared" si="87"/>
        <v>0</v>
      </c>
      <c r="J1144" s="74">
        <f t="shared" si="88"/>
        <v>-15</v>
      </c>
      <c r="K1144" t="e">
        <f>VLOOKUP(C1144,'RAW DATA 2023'!E:BO,12,0)</f>
        <v>#N/A</v>
      </c>
      <c r="L1144" s="268" t="e">
        <f t="shared" si="89"/>
        <v>#N/A</v>
      </c>
    </row>
    <row r="1145" spans="1:12">
      <c r="A1145" s="64">
        <f>'RAW DATA 2023'!B1138</f>
        <v>0</v>
      </c>
      <c r="B1145" s="64">
        <f>'RAW DATA 2023'!D1138</f>
        <v>0</v>
      </c>
      <c r="C1145" s="63" t="str">
        <f t="shared" si="85"/>
        <v>00</v>
      </c>
      <c r="D1145" s="63" t="e">
        <f>VLOOKUP(C1145,'RAW DATA 2023'!E:BP,63,0)</f>
        <v>#N/A</v>
      </c>
      <c r="E1145" s="63" t="e">
        <f t="shared" si="86"/>
        <v>#N/A</v>
      </c>
      <c r="F1145" s="79" t="e">
        <f>ROUND(VLOOKUP(C1145,'RAW DATA 2023'!E:BO,23,0),0)</f>
        <v>#N/A</v>
      </c>
      <c r="G1145" s="79" t="e">
        <f>VLOOKUP(C1145,'RAW DATA 2023'!E:BO,24,0)</f>
        <v>#N/A</v>
      </c>
      <c r="H1145" s="79" t="str">
        <f>IFERROR(VLOOKUP(F1145,STD!A:G,3,TRUE),"")</f>
        <v/>
      </c>
      <c r="I1145" s="100">
        <f t="shared" si="87"/>
        <v>0</v>
      </c>
      <c r="J1145" s="74">
        <f t="shared" si="88"/>
        <v>-15</v>
      </c>
      <c r="K1145" t="e">
        <f>VLOOKUP(C1145,'RAW DATA 2023'!E:BO,12,0)</f>
        <v>#N/A</v>
      </c>
      <c r="L1145" s="268" t="e">
        <f t="shared" si="89"/>
        <v>#N/A</v>
      </c>
    </row>
    <row r="1146" spans="1:12">
      <c r="A1146" s="64">
        <f>'RAW DATA 2023'!B1139</f>
        <v>0</v>
      </c>
      <c r="B1146" s="64">
        <f>'RAW DATA 2023'!D1139</f>
        <v>0</v>
      </c>
      <c r="C1146" s="63" t="str">
        <f t="shared" si="85"/>
        <v>00</v>
      </c>
      <c r="D1146" s="63" t="e">
        <f>VLOOKUP(C1146,'RAW DATA 2023'!E:BP,63,0)</f>
        <v>#N/A</v>
      </c>
      <c r="E1146" s="63" t="e">
        <f t="shared" si="86"/>
        <v>#N/A</v>
      </c>
      <c r="F1146" s="79" t="e">
        <f>ROUND(VLOOKUP(C1146,'RAW DATA 2023'!E:BO,23,0),0)</f>
        <v>#N/A</v>
      </c>
      <c r="G1146" s="79" t="e">
        <f>VLOOKUP(C1146,'RAW DATA 2023'!E:BO,24,0)</f>
        <v>#N/A</v>
      </c>
      <c r="H1146" s="79" t="str">
        <f>IFERROR(VLOOKUP(F1146,STD!A:G,3,TRUE),"")</f>
        <v/>
      </c>
      <c r="I1146" s="100">
        <f t="shared" si="87"/>
        <v>0</v>
      </c>
      <c r="J1146" s="74">
        <f t="shared" si="88"/>
        <v>-15</v>
      </c>
      <c r="K1146" t="e">
        <f>VLOOKUP(C1146,'RAW DATA 2023'!E:BO,12,0)</f>
        <v>#N/A</v>
      </c>
      <c r="L1146" s="268" t="e">
        <f t="shared" si="89"/>
        <v>#N/A</v>
      </c>
    </row>
    <row r="1147" spans="1:12">
      <c r="A1147" s="64">
        <f>'RAW DATA 2023'!B1140</f>
        <v>0</v>
      </c>
      <c r="B1147" s="64">
        <f>'RAW DATA 2023'!D1140</f>
        <v>0</v>
      </c>
      <c r="C1147" s="63" t="str">
        <f t="shared" si="85"/>
        <v>00</v>
      </c>
      <c r="D1147" s="63" t="e">
        <f>VLOOKUP(C1147,'RAW DATA 2023'!E:BP,63,0)</f>
        <v>#N/A</v>
      </c>
      <c r="E1147" s="63" t="e">
        <f t="shared" si="86"/>
        <v>#N/A</v>
      </c>
      <c r="F1147" s="79" t="e">
        <f>ROUND(VLOOKUP(C1147,'RAW DATA 2023'!E:BO,23,0),0)</f>
        <v>#N/A</v>
      </c>
      <c r="G1147" s="79" t="e">
        <f>VLOOKUP(C1147,'RAW DATA 2023'!E:BO,24,0)</f>
        <v>#N/A</v>
      </c>
      <c r="H1147" s="79" t="str">
        <f>IFERROR(VLOOKUP(F1147,STD!A:G,3,TRUE),"")</f>
        <v/>
      </c>
      <c r="I1147" s="100">
        <f t="shared" si="87"/>
        <v>0</v>
      </c>
      <c r="J1147" s="74">
        <f t="shared" si="88"/>
        <v>-15</v>
      </c>
      <c r="K1147" t="e">
        <f>VLOOKUP(C1147,'RAW DATA 2023'!E:BO,12,0)</f>
        <v>#N/A</v>
      </c>
      <c r="L1147" s="268" t="e">
        <f t="shared" si="89"/>
        <v>#N/A</v>
      </c>
    </row>
    <row r="1148" spans="1:12">
      <c r="A1148" s="64">
        <f>'RAW DATA 2023'!B1141</f>
        <v>0</v>
      </c>
      <c r="B1148" s="64">
        <f>'RAW DATA 2023'!D1141</f>
        <v>0</v>
      </c>
      <c r="C1148" s="63" t="str">
        <f t="shared" si="85"/>
        <v>00</v>
      </c>
      <c r="D1148" s="63" t="e">
        <f>VLOOKUP(C1148,'RAW DATA 2023'!E:BP,63,0)</f>
        <v>#N/A</v>
      </c>
      <c r="E1148" s="63" t="e">
        <f t="shared" si="86"/>
        <v>#N/A</v>
      </c>
      <c r="F1148" s="79" t="e">
        <f>ROUND(VLOOKUP(C1148,'RAW DATA 2023'!E:BO,23,0),0)</f>
        <v>#N/A</v>
      </c>
      <c r="G1148" s="79" t="e">
        <f>VLOOKUP(C1148,'RAW DATA 2023'!E:BO,24,0)</f>
        <v>#N/A</v>
      </c>
      <c r="H1148" s="79" t="str">
        <f>IFERROR(VLOOKUP(F1148,STD!A:G,3,TRUE),"")</f>
        <v/>
      </c>
      <c r="I1148" s="100">
        <f t="shared" si="87"/>
        <v>0</v>
      </c>
      <c r="J1148" s="74">
        <f t="shared" si="88"/>
        <v>-15</v>
      </c>
      <c r="K1148" t="e">
        <f>VLOOKUP(C1148,'RAW DATA 2023'!E:BO,12,0)</f>
        <v>#N/A</v>
      </c>
      <c r="L1148" s="268" t="e">
        <f t="shared" si="89"/>
        <v>#N/A</v>
      </c>
    </row>
    <row r="1149" spans="1:12">
      <c r="A1149" s="64">
        <f>'RAW DATA 2023'!B1142</f>
        <v>0</v>
      </c>
      <c r="B1149" s="64">
        <f>'RAW DATA 2023'!D1142</f>
        <v>0</v>
      </c>
      <c r="C1149" s="63" t="str">
        <f t="shared" si="85"/>
        <v>00</v>
      </c>
      <c r="D1149" s="63" t="e">
        <f>VLOOKUP(C1149,'RAW DATA 2023'!E:BP,63,0)</f>
        <v>#N/A</v>
      </c>
      <c r="E1149" s="63" t="e">
        <f t="shared" si="86"/>
        <v>#N/A</v>
      </c>
      <c r="F1149" s="79" t="e">
        <f>ROUND(VLOOKUP(C1149,'RAW DATA 2023'!E:BO,23,0),0)</f>
        <v>#N/A</v>
      </c>
      <c r="G1149" s="79" t="e">
        <f>VLOOKUP(C1149,'RAW DATA 2023'!E:BO,24,0)</f>
        <v>#N/A</v>
      </c>
      <c r="H1149" s="79" t="str">
        <f>IFERROR(VLOOKUP(F1149,STD!A:G,3,TRUE),"")</f>
        <v/>
      </c>
      <c r="I1149" s="100">
        <f t="shared" si="87"/>
        <v>0</v>
      </c>
      <c r="J1149" s="74">
        <f t="shared" si="88"/>
        <v>-15</v>
      </c>
      <c r="K1149" t="e">
        <f>VLOOKUP(C1149,'RAW DATA 2023'!E:BO,12,0)</f>
        <v>#N/A</v>
      </c>
      <c r="L1149" s="268" t="e">
        <f t="shared" si="89"/>
        <v>#N/A</v>
      </c>
    </row>
    <row r="1150" spans="1:12">
      <c r="A1150" s="64">
        <f>'RAW DATA 2023'!B1143</f>
        <v>0</v>
      </c>
      <c r="B1150" s="64">
        <f>'RAW DATA 2023'!D1143</f>
        <v>0</v>
      </c>
      <c r="C1150" s="63" t="str">
        <f t="shared" si="85"/>
        <v>00</v>
      </c>
      <c r="D1150" s="63" t="e">
        <f>VLOOKUP(C1150,'RAW DATA 2023'!E:BP,63,0)</f>
        <v>#N/A</v>
      </c>
      <c r="E1150" s="63" t="e">
        <f t="shared" si="86"/>
        <v>#N/A</v>
      </c>
      <c r="F1150" s="79" t="e">
        <f>ROUND(VLOOKUP(C1150,'RAW DATA 2023'!E:BO,23,0),0)</f>
        <v>#N/A</v>
      </c>
      <c r="G1150" s="79" t="e">
        <f>VLOOKUP(C1150,'RAW DATA 2023'!E:BO,24,0)</f>
        <v>#N/A</v>
      </c>
      <c r="H1150" s="79" t="str">
        <f>IFERROR(VLOOKUP(F1150,STD!A:G,3,TRUE),"")</f>
        <v/>
      </c>
      <c r="I1150" s="100">
        <f t="shared" si="87"/>
        <v>0</v>
      </c>
      <c r="J1150" s="74">
        <f t="shared" si="88"/>
        <v>-15</v>
      </c>
      <c r="K1150" t="e">
        <f>VLOOKUP(C1150,'RAW DATA 2023'!E:BO,12,0)</f>
        <v>#N/A</v>
      </c>
      <c r="L1150" s="268" t="e">
        <f t="shared" si="89"/>
        <v>#N/A</v>
      </c>
    </row>
    <row r="1151" spans="1:12">
      <c r="A1151" s="64">
        <f>'RAW DATA 2023'!B1144</f>
        <v>0</v>
      </c>
      <c r="B1151" s="64">
        <f>'RAW DATA 2023'!D1144</f>
        <v>0</v>
      </c>
      <c r="C1151" s="63" t="str">
        <f t="shared" si="85"/>
        <v>00</v>
      </c>
      <c r="D1151" s="63" t="e">
        <f>VLOOKUP(C1151,'RAW DATA 2023'!E:BP,63,0)</f>
        <v>#N/A</v>
      </c>
      <c r="E1151" s="63" t="e">
        <f t="shared" si="86"/>
        <v>#N/A</v>
      </c>
      <c r="F1151" s="79" t="e">
        <f>ROUND(VLOOKUP(C1151,'RAW DATA 2023'!E:BO,23,0),0)</f>
        <v>#N/A</v>
      </c>
      <c r="G1151" s="79" t="e">
        <f>VLOOKUP(C1151,'RAW DATA 2023'!E:BO,24,0)</f>
        <v>#N/A</v>
      </c>
      <c r="H1151" s="79" t="str">
        <f>IFERROR(VLOOKUP(F1151,STD!A:G,3,TRUE),"")</f>
        <v/>
      </c>
      <c r="I1151" s="100">
        <f t="shared" si="87"/>
        <v>0</v>
      </c>
      <c r="J1151" s="74">
        <f t="shared" si="88"/>
        <v>-15</v>
      </c>
      <c r="K1151" t="e">
        <f>VLOOKUP(C1151,'RAW DATA 2023'!E:BO,12,0)</f>
        <v>#N/A</v>
      </c>
      <c r="L1151" s="268" t="e">
        <f t="shared" si="89"/>
        <v>#N/A</v>
      </c>
    </row>
    <row r="1152" spans="1:12">
      <c r="A1152" s="64">
        <f>'RAW DATA 2023'!B1145</f>
        <v>0</v>
      </c>
      <c r="B1152" s="64">
        <f>'RAW DATA 2023'!D1145</f>
        <v>0</v>
      </c>
      <c r="C1152" s="63" t="str">
        <f t="shared" si="85"/>
        <v>00</v>
      </c>
      <c r="D1152" s="63" t="e">
        <f>VLOOKUP(C1152,'RAW DATA 2023'!E:BP,63,0)</f>
        <v>#N/A</v>
      </c>
      <c r="E1152" s="63" t="e">
        <f t="shared" si="86"/>
        <v>#N/A</v>
      </c>
      <c r="F1152" s="79" t="e">
        <f>ROUND(VLOOKUP(C1152,'RAW DATA 2023'!E:BO,23,0),0)</f>
        <v>#N/A</v>
      </c>
      <c r="G1152" s="79" t="e">
        <f>VLOOKUP(C1152,'RAW DATA 2023'!E:BO,24,0)</f>
        <v>#N/A</v>
      </c>
      <c r="H1152" s="79" t="str">
        <f>IFERROR(VLOOKUP(F1152,STD!A:G,3,TRUE),"")</f>
        <v/>
      </c>
      <c r="I1152" s="100">
        <f t="shared" si="87"/>
        <v>0</v>
      </c>
      <c r="J1152" s="74">
        <f t="shared" si="88"/>
        <v>-15</v>
      </c>
      <c r="K1152" t="e">
        <f>VLOOKUP(C1152,'RAW DATA 2023'!E:BO,12,0)</f>
        <v>#N/A</v>
      </c>
      <c r="L1152" s="268" t="e">
        <f t="shared" si="89"/>
        <v>#N/A</v>
      </c>
    </row>
    <row r="1153" spans="1:12">
      <c r="A1153" s="64">
        <f>'RAW DATA 2023'!B1146</f>
        <v>0</v>
      </c>
      <c r="B1153" s="64">
        <f>'RAW DATA 2023'!D1146</f>
        <v>0</v>
      </c>
      <c r="C1153" s="63" t="str">
        <f t="shared" si="85"/>
        <v>00</v>
      </c>
      <c r="D1153" s="63" t="e">
        <f>VLOOKUP(C1153,'RAW DATA 2023'!E:BP,63,0)</f>
        <v>#N/A</v>
      </c>
      <c r="E1153" s="63" t="e">
        <f t="shared" si="86"/>
        <v>#N/A</v>
      </c>
      <c r="F1153" s="79" t="e">
        <f>ROUND(VLOOKUP(C1153,'RAW DATA 2023'!E:BO,23,0),0)</f>
        <v>#N/A</v>
      </c>
      <c r="G1153" s="79" t="e">
        <f>VLOOKUP(C1153,'RAW DATA 2023'!E:BO,24,0)</f>
        <v>#N/A</v>
      </c>
      <c r="H1153" s="79" t="str">
        <f>IFERROR(VLOOKUP(F1153,STD!A:G,3,TRUE),"")</f>
        <v/>
      </c>
      <c r="I1153" s="100">
        <f t="shared" si="87"/>
        <v>0</v>
      </c>
      <c r="J1153" s="74">
        <f t="shared" si="88"/>
        <v>-15</v>
      </c>
      <c r="K1153" t="e">
        <f>VLOOKUP(C1153,'RAW DATA 2023'!E:BO,12,0)</f>
        <v>#N/A</v>
      </c>
      <c r="L1153" s="268" t="e">
        <f t="shared" si="89"/>
        <v>#N/A</v>
      </c>
    </row>
    <row r="1154" spans="1:12">
      <c r="A1154" s="64">
        <f>'RAW DATA 2023'!B1147</f>
        <v>0</v>
      </c>
      <c r="B1154" s="64">
        <f>'RAW DATA 2023'!D1147</f>
        <v>0</v>
      </c>
      <c r="C1154" s="63" t="str">
        <f t="shared" si="85"/>
        <v>00</v>
      </c>
      <c r="D1154" s="63" t="e">
        <f>VLOOKUP(C1154,'RAW DATA 2023'!E:BP,63,0)</f>
        <v>#N/A</v>
      </c>
      <c r="E1154" s="63" t="e">
        <f t="shared" si="86"/>
        <v>#N/A</v>
      </c>
      <c r="F1154" s="79" t="e">
        <f>ROUND(VLOOKUP(C1154,'RAW DATA 2023'!E:BO,23,0),0)</f>
        <v>#N/A</v>
      </c>
      <c r="G1154" s="79" t="e">
        <f>VLOOKUP(C1154,'RAW DATA 2023'!E:BO,24,0)</f>
        <v>#N/A</v>
      </c>
      <c r="H1154" s="79" t="str">
        <f>IFERROR(VLOOKUP(F1154,STD!A:G,3,TRUE),"")</f>
        <v/>
      </c>
      <c r="I1154" s="100">
        <f t="shared" si="87"/>
        <v>0</v>
      </c>
      <c r="J1154" s="74">
        <f t="shared" si="88"/>
        <v>-15</v>
      </c>
      <c r="K1154" t="e">
        <f>VLOOKUP(C1154,'RAW DATA 2023'!E:BO,12,0)</f>
        <v>#N/A</v>
      </c>
      <c r="L1154" s="268" t="e">
        <f t="shared" si="89"/>
        <v>#N/A</v>
      </c>
    </row>
    <row r="1155" spans="1:12">
      <c r="A1155" s="64">
        <f>'RAW DATA 2023'!B1148</f>
        <v>0</v>
      </c>
      <c r="B1155" s="64">
        <f>'RAW DATA 2023'!D1148</f>
        <v>0</v>
      </c>
      <c r="C1155" s="63" t="str">
        <f t="shared" si="85"/>
        <v>00</v>
      </c>
      <c r="D1155" s="63" t="e">
        <f>VLOOKUP(C1155,'RAW DATA 2023'!E:BP,63,0)</f>
        <v>#N/A</v>
      </c>
      <c r="E1155" s="63" t="e">
        <f t="shared" si="86"/>
        <v>#N/A</v>
      </c>
      <c r="F1155" s="79" t="e">
        <f>ROUND(VLOOKUP(C1155,'RAW DATA 2023'!E:BO,23,0),0)</f>
        <v>#N/A</v>
      </c>
      <c r="G1155" s="79" t="e">
        <f>VLOOKUP(C1155,'RAW DATA 2023'!E:BO,24,0)</f>
        <v>#N/A</v>
      </c>
      <c r="H1155" s="79" t="str">
        <f>IFERROR(VLOOKUP(F1155,STD!A:G,3,TRUE),"")</f>
        <v/>
      </c>
      <c r="I1155" s="100">
        <f t="shared" si="87"/>
        <v>0</v>
      </c>
      <c r="J1155" s="74">
        <f t="shared" si="88"/>
        <v>-15</v>
      </c>
      <c r="K1155" t="e">
        <f>VLOOKUP(C1155,'RAW DATA 2023'!E:BO,12,0)</f>
        <v>#N/A</v>
      </c>
      <c r="L1155" s="268" t="e">
        <f t="shared" si="89"/>
        <v>#N/A</v>
      </c>
    </row>
    <row r="1156" spans="1:12">
      <c r="A1156" s="64">
        <f>'RAW DATA 2023'!B1149</f>
        <v>0</v>
      </c>
      <c r="B1156" s="64">
        <f>'RAW DATA 2023'!D1149</f>
        <v>0</v>
      </c>
      <c r="C1156" s="63" t="str">
        <f t="shared" si="85"/>
        <v>00</v>
      </c>
      <c r="D1156" s="63" t="e">
        <f>VLOOKUP(C1156,'RAW DATA 2023'!E:BP,63,0)</f>
        <v>#N/A</v>
      </c>
      <c r="E1156" s="63" t="e">
        <f t="shared" si="86"/>
        <v>#N/A</v>
      </c>
      <c r="F1156" s="79" t="e">
        <f>ROUND(VLOOKUP(C1156,'RAW DATA 2023'!E:BO,23,0),0)</f>
        <v>#N/A</v>
      </c>
      <c r="G1156" s="79" t="e">
        <f>VLOOKUP(C1156,'RAW DATA 2023'!E:BO,24,0)</f>
        <v>#N/A</v>
      </c>
      <c r="H1156" s="79" t="str">
        <f>IFERROR(VLOOKUP(F1156,STD!A:G,3,TRUE),"")</f>
        <v/>
      </c>
      <c r="I1156" s="100">
        <f t="shared" si="87"/>
        <v>0</v>
      </c>
      <c r="J1156" s="74">
        <f t="shared" si="88"/>
        <v>-15</v>
      </c>
      <c r="K1156" t="e">
        <f>VLOOKUP(C1156,'RAW DATA 2023'!E:BO,12,0)</f>
        <v>#N/A</v>
      </c>
      <c r="L1156" s="268" t="e">
        <f t="shared" si="89"/>
        <v>#N/A</v>
      </c>
    </row>
    <row r="1157" spans="1:12">
      <c r="A1157" s="64">
        <f>'RAW DATA 2023'!B1150</f>
        <v>0</v>
      </c>
      <c r="B1157" s="64">
        <f>'RAW DATA 2023'!D1150</f>
        <v>0</v>
      </c>
      <c r="C1157" s="63" t="str">
        <f t="shared" si="85"/>
        <v>00</v>
      </c>
      <c r="D1157" s="63" t="e">
        <f>VLOOKUP(C1157,'RAW DATA 2023'!E:BP,63,0)</f>
        <v>#N/A</v>
      </c>
      <c r="E1157" s="63" t="e">
        <f t="shared" si="86"/>
        <v>#N/A</v>
      </c>
      <c r="F1157" s="79" t="e">
        <f>ROUND(VLOOKUP(C1157,'RAW DATA 2023'!E:BO,23,0),0)</f>
        <v>#N/A</v>
      </c>
      <c r="G1157" s="79" t="e">
        <f>VLOOKUP(C1157,'RAW DATA 2023'!E:BO,24,0)</f>
        <v>#N/A</v>
      </c>
      <c r="H1157" s="79" t="str">
        <f>IFERROR(VLOOKUP(F1157,STD!A:G,3,TRUE),"")</f>
        <v/>
      </c>
      <c r="I1157" s="100">
        <f t="shared" si="87"/>
        <v>0</v>
      </c>
      <c r="J1157" s="74">
        <f t="shared" si="88"/>
        <v>-15</v>
      </c>
      <c r="K1157" t="e">
        <f>VLOOKUP(C1157,'RAW DATA 2023'!E:BO,12,0)</f>
        <v>#N/A</v>
      </c>
      <c r="L1157" s="268" t="e">
        <f t="shared" si="89"/>
        <v>#N/A</v>
      </c>
    </row>
    <row r="1158" spans="1:12">
      <c r="A1158" s="64">
        <f>'RAW DATA 2023'!B1151</f>
        <v>0</v>
      </c>
      <c r="B1158" s="64">
        <f>'RAW DATA 2023'!D1151</f>
        <v>0</v>
      </c>
      <c r="C1158" s="63" t="str">
        <f t="shared" si="85"/>
        <v>00</v>
      </c>
      <c r="D1158" s="63" t="e">
        <f>VLOOKUP(C1158,'RAW DATA 2023'!E:BP,63,0)</f>
        <v>#N/A</v>
      </c>
      <c r="E1158" s="63" t="e">
        <f t="shared" si="86"/>
        <v>#N/A</v>
      </c>
      <c r="F1158" s="79" t="e">
        <f>ROUND(VLOOKUP(C1158,'RAW DATA 2023'!E:BO,23,0),0)</f>
        <v>#N/A</v>
      </c>
      <c r="G1158" s="79" t="e">
        <f>VLOOKUP(C1158,'RAW DATA 2023'!E:BO,24,0)</f>
        <v>#N/A</v>
      </c>
      <c r="H1158" s="79" t="str">
        <f>IFERROR(VLOOKUP(F1158,STD!A:G,3,TRUE),"")</f>
        <v/>
      </c>
      <c r="I1158" s="100">
        <f t="shared" si="87"/>
        <v>0</v>
      </c>
      <c r="J1158" s="74">
        <f t="shared" si="88"/>
        <v>-15</v>
      </c>
      <c r="K1158" t="e">
        <f>VLOOKUP(C1158,'RAW DATA 2023'!E:BO,12,0)</f>
        <v>#N/A</v>
      </c>
      <c r="L1158" s="268" t="e">
        <f t="shared" si="89"/>
        <v>#N/A</v>
      </c>
    </row>
    <row r="1159" spans="1:12">
      <c r="A1159" s="64">
        <f>'RAW DATA 2023'!B1152</f>
        <v>0</v>
      </c>
      <c r="B1159" s="64">
        <f>'RAW DATA 2023'!D1152</f>
        <v>0</v>
      </c>
      <c r="C1159" s="63" t="str">
        <f t="shared" si="85"/>
        <v>00</v>
      </c>
      <c r="D1159" s="63" t="e">
        <f>VLOOKUP(C1159,'RAW DATA 2023'!E:BP,63,0)</f>
        <v>#N/A</v>
      </c>
      <c r="E1159" s="63" t="e">
        <f t="shared" si="86"/>
        <v>#N/A</v>
      </c>
      <c r="F1159" s="79" t="e">
        <f>ROUND(VLOOKUP(C1159,'RAW DATA 2023'!E:BO,23,0),0)</f>
        <v>#N/A</v>
      </c>
      <c r="G1159" s="79" t="e">
        <f>VLOOKUP(C1159,'RAW DATA 2023'!E:BO,24,0)</f>
        <v>#N/A</v>
      </c>
      <c r="H1159" s="79" t="str">
        <f>IFERROR(VLOOKUP(F1159,STD!A:G,3,TRUE),"")</f>
        <v/>
      </c>
      <c r="I1159" s="100">
        <f t="shared" si="87"/>
        <v>0</v>
      </c>
      <c r="J1159" s="74">
        <f t="shared" si="88"/>
        <v>-15</v>
      </c>
      <c r="K1159" t="e">
        <f>VLOOKUP(C1159,'RAW DATA 2023'!E:BO,12,0)</f>
        <v>#N/A</v>
      </c>
      <c r="L1159" s="268" t="e">
        <f t="shared" si="89"/>
        <v>#N/A</v>
      </c>
    </row>
    <row r="1160" spans="1:12">
      <c r="A1160" s="64">
        <f>'RAW DATA 2023'!B1153</f>
        <v>0</v>
      </c>
      <c r="B1160" s="64">
        <f>'RAW DATA 2023'!D1153</f>
        <v>0</v>
      </c>
      <c r="C1160" s="63" t="str">
        <f t="shared" si="85"/>
        <v>00</v>
      </c>
      <c r="D1160" s="63" t="e">
        <f>VLOOKUP(C1160,'RAW DATA 2023'!E:BP,63,0)</f>
        <v>#N/A</v>
      </c>
      <c r="E1160" s="63" t="e">
        <f t="shared" si="86"/>
        <v>#N/A</v>
      </c>
      <c r="F1160" s="79" t="e">
        <f>ROUND(VLOOKUP(C1160,'RAW DATA 2023'!E:BO,23,0),0)</f>
        <v>#N/A</v>
      </c>
      <c r="G1160" s="79" t="e">
        <f>VLOOKUP(C1160,'RAW DATA 2023'!E:BO,24,0)</f>
        <v>#N/A</v>
      </c>
      <c r="H1160" s="79" t="str">
        <f>IFERROR(VLOOKUP(F1160,STD!A:G,3,TRUE),"")</f>
        <v/>
      </c>
      <c r="I1160" s="100">
        <f t="shared" si="87"/>
        <v>0</v>
      </c>
      <c r="J1160" s="74">
        <f t="shared" si="88"/>
        <v>-15</v>
      </c>
      <c r="K1160" t="e">
        <f>VLOOKUP(C1160,'RAW DATA 2023'!E:BO,12,0)</f>
        <v>#N/A</v>
      </c>
      <c r="L1160" s="268" t="e">
        <f t="shared" si="89"/>
        <v>#N/A</v>
      </c>
    </row>
    <row r="1161" spans="1:12">
      <c r="A1161" s="64">
        <f>'RAW DATA 2023'!B1154</f>
        <v>0</v>
      </c>
      <c r="B1161" s="64">
        <f>'RAW DATA 2023'!D1154</f>
        <v>0</v>
      </c>
      <c r="C1161" s="63" t="str">
        <f t="shared" si="85"/>
        <v>00</v>
      </c>
      <c r="D1161" s="63" t="e">
        <f>VLOOKUP(C1161,'RAW DATA 2023'!E:BP,63,0)</f>
        <v>#N/A</v>
      </c>
      <c r="E1161" s="63" t="e">
        <f t="shared" si="86"/>
        <v>#N/A</v>
      </c>
      <c r="F1161" s="79" t="e">
        <f>ROUND(VLOOKUP(C1161,'RAW DATA 2023'!E:BO,23,0),0)</f>
        <v>#N/A</v>
      </c>
      <c r="G1161" s="79" t="e">
        <f>VLOOKUP(C1161,'RAW DATA 2023'!E:BO,24,0)</f>
        <v>#N/A</v>
      </c>
      <c r="H1161" s="79" t="str">
        <f>IFERROR(VLOOKUP(F1161,STD!A:G,3,TRUE),"")</f>
        <v/>
      </c>
      <c r="I1161" s="100">
        <f t="shared" si="87"/>
        <v>0</v>
      </c>
      <c r="J1161" s="74">
        <f t="shared" si="88"/>
        <v>-15</v>
      </c>
      <c r="K1161" t="e">
        <f>VLOOKUP(C1161,'RAW DATA 2023'!E:BO,12,0)</f>
        <v>#N/A</v>
      </c>
      <c r="L1161" s="268" t="e">
        <f t="shared" si="89"/>
        <v>#N/A</v>
      </c>
    </row>
    <row r="1162" spans="1:12">
      <c r="A1162" s="64">
        <f>'RAW DATA 2023'!B1155</f>
        <v>0</v>
      </c>
      <c r="B1162" s="64">
        <f>'RAW DATA 2023'!D1155</f>
        <v>0</v>
      </c>
      <c r="C1162" s="63" t="str">
        <f t="shared" ref="C1162:C1225" si="90">A1162&amp;B1162</f>
        <v>00</v>
      </c>
      <c r="D1162" s="63" t="e">
        <f>VLOOKUP(C1162,'RAW DATA 2023'!E:BP,63,0)</f>
        <v>#N/A</v>
      </c>
      <c r="E1162" s="63" t="e">
        <f t="shared" ref="E1162:E1225" si="91">A1162&amp;D1162</f>
        <v>#N/A</v>
      </c>
      <c r="F1162" s="79" t="e">
        <f>ROUND(VLOOKUP(C1162,'RAW DATA 2023'!E:BO,23,0),0)</f>
        <v>#N/A</v>
      </c>
      <c r="G1162" s="79" t="e">
        <f>VLOOKUP(C1162,'RAW DATA 2023'!E:BO,24,0)</f>
        <v>#N/A</v>
      </c>
      <c r="H1162" s="79" t="str">
        <f>IFERROR(VLOOKUP(F1162,STD!A:G,3,TRUE),"")</f>
        <v/>
      </c>
      <c r="I1162" s="100">
        <f t="shared" si="87"/>
        <v>0</v>
      </c>
      <c r="J1162" s="74">
        <f t="shared" si="88"/>
        <v>-15</v>
      </c>
      <c r="K1162" t="e">
        <f>VLOOKUP(C1162,'RAW DATA 2023'!E:BO,12,0)</f>
        <v>#N/A</v>
      </c>
      <c r="L1162" s="268" t="e">
        <f t="shared" si="89"/>
        <v>#N/A</v>
      </c>
    </row>
    <row r="1163" spans="1:12">
      <c r="A1163" s="64">
        <f>'RAW DATA 2023'!B1156</f>
        <v>0</v>
      </c>
      <c r="B1163" s="64">
        <f>'RAW DATA 2023'!D1156</f>
        <v>0</v>
      </c>
      <c r="C1163" s="63" t="str">
        <f t="shared" si="90"/>
        <v>00</v>
      </c>
      <c r="D1163" s="63" t="e">
        <f>VLOOKUP(C1163,'RAW DATA 2023'!E:BP,63,0)</f>
        <v>#N/A</v>
      </c>
      <c r="E1163" s="63" t="e">
        <f t="shared" si="91"/>
        <v>#N/A</v>
      </c>
      <c r="F1163" s="79" t="e">
        <f>ROUND(VLOOKUP(C1163,'RAW DATA 2023'!E:BO,23,0),0)</f>
        <v>#N/A</v>
      </c>
      <c r="G1163" s="79" t="e">
        <f>VLOOKUP(C1163,'RAW DATA 2023'!E:BO,24,0)</f>
        <v>#N/A</v>
      </c>
      <c r="H1163" s="79" t="str">
        <f>IFERROR(VLOOKUP(F1163,STD!A:G,3,TRUE),"")</f>
        <v/>
      </c>
      <c r="I1163" s="100">
        <f t="shared" ref="I1163:I1226" si="92">IFERROR(G1163/H1163,0)</f>
        <v>0</v>
      </c>
      <c r="J1163" s="74">
        <f t="shared" ref="J1163:J1226" si="93">(I1163-$E$4)*$E$7</f>
        <v>-15</v>
      </c>
      <c r="K1163" t="e">
        <f>VLOOKUP(C1163,'RAW DATA 2023'!E:BO,12,0)</f>
        <v>#N/A</v>
      </c>
      <c r="L1163" s="268" t="e">
        <f t="shared" ref="L1163:L1226" si="94">J1163*K1163</f>
        <v>#N/A</v>
      </c>
    </row>
    <row r="1164" spans="1:12">
      <c r="A1164" s="64">
        <f>'RAW DATA 2023'!B1157</f>
        <v>0</v>
      </c>
      <c r="B1164" s="64">
        <f>'RAW DATA 2023'!D1157</f>
        <v>0</v>
      </c>
      <c r="C1164" s="63" t="str">
        <f t="shared" si="90"/>
        <v>00</v>
      </c>
      <c r="D1164" s="63" t="e">
        <f>VLOOKUP(C1164,'RAW DATA 2023'!E:BP,63,0)</f>
        <v>#N/A</v>
      </c>
      <c r="E1164" s="63" t="e">
        <f t="shared" si="91"/>
        <v>#N/A</v>
      </c>
      <c r="F1164" s="79" t="e">
        <f>ROUND(VLOOKUP(C1164,'RAW DATA 2023'!E:BO,23,0),0)</f>
        <v>#N/A</v>
      </c>
      <c r="G1164" s="79" t="e">
        <f>VLOOKUP(C1164,'RAW DATA 2023'!E:BO,24,0)</f>
        <v>#N/A</v>
      </c>
      <c r="H1164" s="79" t="str">
        <f>IFERROR(VLOOKUP(F1164,STD!A:G,3,TRUE),"")</f>
        <v/>
      </c>
      <c r="I1164" s="100">
        <f t="shared" si="92"/>
        <v>0</v>
      </c>
      <c r="J1164" s="74">
        <f t="shared" si="93"/>
        <v>-15</v>
      </c>
      <c r="K1164" t="e">
        <f>VLOOKUP(C1164,'RAW DATA 2023'!E:BO,12,0)</f>
        <v>#N/A</v>
      </c>
      <c r="L1164" s="268" t="e">
        <f t="shared" si="94"/>
        <v>#N/A</v>
      </c>
    </row>
    <row r="1165" spans="1:12">
      <c r="A1165" s="64">
        <f>'RAW DATA 2023'!B1158</f>
        <v>0</v>
      </c>
      <c r="B1165" s="64">
        <f>'RAW DATA 2023'!D1158</f>
        <v>0</v>
      </c>
      <c r="C1165" s="63" t="str">
        <f t="shared" si="90"/>
        <v>00</v>
      </c>
      <c r="D1165" s="63" t="e">
        <f>VLOOKUP(C1165,'RAW DATA 2023'!E:BP,63,0)</f>
        <v>#N/A</v>
      </c>
      <c r="E1165" s="63" t="e">
        <f t="shared" si="91"/>
        <v>#N/A</v>
      </c>
      <c r="F1165" s="79" t="e">
        <f>ROUND(VLOOKUP(C1165,'RAW DATA 2023'!E:BO,23,0),0)</f>
        <v>#N/A</v>
      </c>
      <c r="G1165" s="79" t="e">
        <f>VLOOKUP(C1165,'RAW DATA 2023'!E:BO,24,0)</f>
        <v>#N/A</v>
      </c>
      <c r="H1165" s="79" t="str">
        <f>IFERROR(VLOOKUP(F1165,STD!A:G,3,TRUE),"")</f>
        <v/>
      </c>
      <c r="I1165" s="100">
        <f t="shared" si="92"/>
        <v>0</v>
      </c>
      <c r="J1165" s="74">
        <f t="shared" si="93"/>
        <v>-15</v>
      </c>
      <c r="K1165" t="e">
        <f>VLOOKUP(C1165,'RAW DATA 2023'!E:BO,12,0)</f>
        <v>#N/A</v>
      </c>
      <c r="L1165" s="268" t="e">
        <f t="shared" si="94"/>
        <v>#N/A</v>
      </c>
    </row>
    <row r="1166" spans="1:12">
      <c r="A1166" s="64">
        <f>'RAW DATA 2023'!B1159</f>
        <v>0</v>
      </c>
      <c r="B1166" s="64">
        <f>'RAW DATA 2023'!D1159</f>
        <v>0</v>
      </c>
      <c r="C1166" s="63" t="str">
        <f t="shared" si="90"/>
        <v>00</v>
      </c>
      <c r="D1166" s="63" t="e">
        <f>VLOOKUP(C1166,'RAW DATA 2023'!E:BP,63,0)</f>
        <v>#N/A</v>
      </c>
      <c r="E1166" s="63" t="e">
        <f t="shared" si="91"/>
        <v>#N/A</v>
      </c>
      <c r="F1166" s="79" t="e">
        <f>ROUND(VLOOKUP(C1166,'RAW DATA 2023'!E:BO,23,0),0)</f>
        <v>#N/A</v>
      </c>
      <c r="G1166" s="79" t="e">
        <f>VLOOKUP(C1166,'RAW DATA 2023'!E:BO,24,0)</f>
        <v>#N/A</v>
      </c>
      <c r="H1166" s="79" t="str">
        <f>IFERROR(VLOOKUP(F1166,STD!A:G,3,TRUE),"")</f>
        <v/>
      </c>
      <c r="I1166" s="100">
        <f t="shared" si="92"/>
        <v>0</v>
      </c>
      <c r="J1166" s="74">
        <f t="shared" si="93"/>
        <v>-15</v>
      </c>
      <c r="K1166" t="e">
        <f>VLOOKUP(C1166,'RAW DATA 2023'!E:BO,12,0)</f>
        <v>#N/A</v>
      </c>
      <c r="L1166" s="268" t="e">
        <f t="shared" si="94"/>
        <v>#N/A</v>
      </c>
    </row>
    <row r="1167" spans="1:12">
      <c r="A1167" s="64">
        <f>'RAW DATA 2023'!B1160</f>
        <v>0</v>
      </c>
      <c r="B1167" s="64">
        <f>'RAW DATA 2023'!D1160</f>
        <v>0</v>
      </c>
      <c r="C1167" s="63" t="str">
        <f t="shared" si="90"/>
        <v>00</v>
      </c>
      <c r="D1167" s="63" t="e">
        <f>VLOOKUP(C1167,'RAW DATA 2023'!E:BP,63,0)</f>
        <v>#N/A</v>
      </c>
      <c r="E1167" s="63" t="e">
        <f t="shared" si="91"/>
        <v>#N/A</v>
      </c>
      <c r="F1167" s="79" t="e">
        <f>ROUND(VLOOKUP(C1167,'RAW DATA 2023'!E:BO,23,0),0)</f>
        <v>#N/A</v>
      </c>
      <c r="G1167" s="79" t="e">
        <f>VLOOKUP(C1167,'RAW DATA 2023'!E:BO,24,0)</f>
        <v>#N/A</v>
      </c>
      <c r="H1167" s="79" t="str">
        <f>IFERROR(VLOOKUP(F1167,STD!A:G,3,TRUE),"")</f>
        <v/>
      </c>
      <c r="I1167" s="100">
        <f t="shared" si="92"/>
        <v>0</v>
      </c>
      <c r="J1167" s="74">
        <f t="shared" si="93"/>
        <v>-15</v>
      </c>
      <c r="K1167" t="e">
        <f>VLOOKUP(C1167,'RAW DATA 2023'!E:BO,12,0)</f>
        <v>#N/A</v>
      </c>
      <c r="L1167" s="268" t="e">
        <f t="shared" si="94"/>
        <v>#N/A</v>
      </c>
    </row>
    <row r="1168" spans="1:12">
      <c r="A1168" s="64">
        <f>'RAW DATA 2023'!B1161</f>
        <v>0</v>
      </c>
      <c r="B1168" s="64">
        <f>'RAW DATA 2023'!D1161</f>
        <v>0</v>
      </c>
      <c r="C1168" s="63" t="str">
        <f t="shared" si="90"/>
        <v>00</v>
      </c>
      <c r="D1168" s="63" t="e">
        <f>VLOOKUP(C1168,'RAW DATA 2023'!E:BP,63,0)</f>
        <v>#N/A</v>
      </c>
      <c r="E1168" s="63" t="e">
        <f t="shared" si="91"/>
        <v>#N/A</v>
      </c>
      <c r="F1168" s="79" t="e">
        <f>ROUND(VLOOKUP(C1168,'RAW DATA 2023'!E:BO,23,0),0)</f>
        <v>#N/A</v>
      </c>
      <c r="G1168" s="79" t="e">
        <f>VLOOKUP(C1168,'RAW DATA 2023'!E:BO,24,0)</f>
        <v>#N/A</v>
      </c>
      <c r="H1168" s="79" t="str">
        <f>IFERROR(VLOOKUP(F1168,STD!A:G,3,TRUE),"")</f>
        <v/>
      </c>
      <c r="I1168" s="100">
        <f t="shared" si="92"/>
        <v>0</v>
      </c>
      <c r="J1168" s="74">
        <f t="shared" si="93"/>
        <v>-15</v>
      </c>
      <c r="K1168" t="e">
        <f>VLOOKUP(C1168,'RAW DATA 2023'!E:BO,12,0)</f>
        <v>#N/A</v>
      </c>
      <c r="L1168" s="268" t="e">
        <f t="shared" si="94"/>
        <v>#N/A</v>
      </c>
    </row>
    <row r="1169" spans="1:12">
      <c r="A1169" s="64">
        <f>'RAW DATA 2023'!B1162</f>
        <v>0</v>
      </c>
      <c r="B1169" s="64">
        <f>'RAW DATA 2023'!D1162</f>
        <v>0</v>
      </c>
      <c r="C1169" s="63" t="str">
        <f t="shared" si="90"/>
        <v>00</v>
      </c>
      <c r="D1169" s="63" t="e">
        <f>VLOOKUP(C1169,'RAW DATA 2023'!E:BP,63,0)</f>
        <v>#N/A</v>
      </c>
      <c r="E1169" s="63" t="e">
        <f t="shared" si="91"/>
        <v>#N/A</v>
      </c>
      <c r="F1169" s="79" t="e">
        <f>ROUND(VLOOKUP(C1169,'RAW DATA 2023'!E:BO,23,0),0)</f>
        <v>#N/A</v>
      </c>
      <c r="G1169" s="79" t="e">
        <f>VLOOKUP(C1169,'RAW DATA 2023'!E:BO,24,0)</f>
        <v>#N/A</v>
      </c>
      <c r="H1169" s="79" t="str">
        <f>IFERROR(VLOOKUP(F1169,STD!A:G,3,TRUE),"")</f>
        <v/>
      </c>
      <c r="I1169" s="100">
        <f t="shared" si="92"/>
        <v>0</v>
      </c>
      <c r="J1169" s="74">
        <f t="shared" si="93"/>
        <v>-15</v>
      </c>
      <c r="K1169" t="e">
        <f>VLOOKUP(C1169,'RAW DATA 2023'!E:BO,12,0)</f>
        <v>#N/A</v>
      </c>
      <c r="L1169" s="268" t="e">
        <f t="shared" si="94"/>
        <v>#N/A</v>
      </c>
    </row>
    <row r="1170" spans="1:12">
      <c r="A1170" s="64">
        <f>'RAW DATA 2023'!B1163</f>
        <v>0</v>
      </c>
      <c r="B1170" s="64">
        <f>'RAW DATA 2023'!D1163</f>
        <v>0</v>
      </c>
      <c r="C1170" s="63" t="str">
        <f t="shared" si="90"/>
        <v>00</v>
      </c>
      <c r="D1170" s="63" t="e">
        <f>VLOOKUP(C1170,'RAW DATA 2023'!E:BP,63,0)</f>
        <v>#N/A</v>
      </c>
      <c r="E1170" s="63" t="e">
        <f t="shared" si="91"/>
        <v>#N/A</v>
      </c>
      <c r="F1170" s="79" t="e">
        <f>ROUND(VLOOKUP(C1170,'RAW DATA 2023'!E:BO,23,0),0)</f>
        <v>#N/A</v>
      </c>
      <c r="G1170" s="79" t="e">
        <f>VLOOKUP(C1170,'RAW DATA 2023'!E:BO,24,0)</f>
        <v>#N/A</v>
      </c>
      <c r="H1170" s="79" t="str">
        <f>IFERROR(VLOOKUP(F1170,STD!A:G,3,TRUE),"")</f>
        <v/>
      </c>
      <c r="I1170" s="100">
        <f t="shared" si="92"/>
        <v>0</v>
      </c>
      <c r="J1170" s="74">
        <f t="shared" si="93"/>
        <v>-15</v>
      </c>
      <c r="K1170" t="e">
        <f>VLOOKUP(C1170,'RAW DATA 2023'!E:BO,12,0)</f>
        <v>#N/A</v>
      </c>
      <c r="L1170" s="268" t="e">
        <f t="shared" si="94"/>
        <v>#N/A</v>
      </c>
    </row>
    <row r="1171" spans="1:12">
      <c r="A1171" s="64">
        <f>'RAW DATA 2023'!B1164</f>
        <v>0</v>
      </c>
      <c r="B1171" s="64">
        <f>'RAW DATA 2023'!D1164</f>
        <v>0</v>
      </c>
      <c r="C1171" s="63" t="str">
        <f t="shared" si="90"/>
        <v>00</v>
      </c>
      <c r="D1171" s="63" t="e">
        <f>VLOOKUP(C1171,'RAW DATA 2023'!E:BP,63,0)</f>
        <v>#N/A</v>
      </c>
      <c r="E1171" s="63" t="e">
        <f t="shared" si="91"/>
        <v>#N/A</v>
      </c>
      <c r="F1171" s="79" t="e">
        <f>ROUND(VLOOKUP(C1171,'RAW DATA 2023'!E:BO,23,0),0)</f>
        <v>#N/A</v>
      </c>
      <c r="G1171" s="79" t="e">
        <f>VLOOKUP(C1171,'RAW DATA 2023'!E:BO,24,0)</f>
        <v>#N/A</v>
      </c>
      <c r="H1171" s="79" t="str">
        <f>IFERROR(VLOOKUP(F1171,STD!A:G,3,TRUE),"")</f>
        <v/>
      </c>
      <c r="I1171" s="100">
        <f t="shared" si="92"/>
        <v>0</v>
      </c>
      <c r="J1171" s="74">
        <f t="shared" si="93"/>
        <v>-15</v>
      </c>
      <c r="K1171" t="e">
        <f>VLOOKUP(C1171,'RAW DATA 2023'!E:BO,12,0)</f>
        <v>#N/A</v>
      </c>
      <c r="L1171" s="268" t="e">
        <f t="shared" si="94"/>
        <v>#N/A</v>
      </c>
    </row>
    <row r="1172" spans="1:12">
      <c r="A1172" s="64">
        <f>'RAW DATA 2023'!B1165</f>
        <v>0</v>
      </c>
      <c r="B1172" s="64">
        <f>'RAW DATA 2023'!D1165</f>
        <v>0</v>
      </c>
      <c r="C1172" s="63" t="str">
        <f t="shared" si="90"/>
        <v>00</v>
      </c>
      <c r="D1172" s="63" t="e">
        <f>VLOOKUP(C1172,'RAW DATA 2023'!E:BP,63,0)</f>
        <v>#N/A</v>
      </c>
      <c r="E1172" s="63" t="e">
        <f t="shared" si="91"/>
        <v>#N/A</v>
      </c>
      <c r="F1172" s="79" t="e">
        <f>ROUND(VLOOKUP(C1172,'RAW DATA 2023'!E:BO,23,0),0)</f>
        <v>#N/A</v>
      </c>
      <c r="G1172" s="79" t="e">
        <f>VLOOKUP(C1172,'RAW DATA 2023'!E:BO,24,0)</f>
        <v>#N/A</v>
      </c>
      <c r="H1172" s="79" t="str">
        <f>IFERROR(VLOOKUP(F1172,STD!A:G,3,TRUE),"")</f>
        <v/>
      </c>
      <c r="I1172" s="100">
        <f t="shared" si="92"/>
        <v>0</v>
      </c>
      <c r="J1172" s="74">
        <f t="shared" si="93"/>
        <v>-15</v>
      </c>
      <c r="K1172" t="e">
        <f>VLOOKUP(C1172,'RAW DATA 2023'!E:BO,12,0)</f>
        <v>#N/A</v>
      </c>
      <c r="L1172" s="268" t="e">
        <f t="shared" si="94"/>
        <v>#N/A</v>
      </c>
    </row>
    <row r="1173" spans="1:12">
      <c r="A1173" s="64">
        <f>'RAW DATA 2023'!B1166</f>
        <v>0</v>
      </c>
      <c r="B1173" s="64">
        <f>'RAW DATA 2023'!D1166</f>
        <v>0</v>
      </c>
      <c r="C1173" s="63" t="str">
        <f t="shared" si="90"/>
        <v>00</v>
      </c>
      <c r="D1173" s="63" t="e">
        <f>VLOOKUP(C1173,'RAW DATA 2023'!E:BP,63,0)</f>
        <v>#N/A</v>
      </c>
      <c r="E1173" s="63" t="e">
        <f t="shared" si="91"/>
        <v>#N/A</v>
      </c>
      <c r="F1173" s="79" t="e">
        <f>ROUND(VLOOKUP(C1173,'RAW DATA 2023'!E:BO,23,0),0)</f>
        <v>#N/A</v>
      </c>
      <c r="G1173" s="79" t="e">
        <f>VLOOKUP(C1173,'RAW DATA 2023'!E:BO,24,0)</f>
        <v>#N/A</v>
      </c>
      <c r="H1173" s="79" t="str">
        <f>IFERROR(VLOOKUP(F1173,STD!A:G,3,TRUE),"")</f>
        <v/>
      </c>
      <c r="I1173" s="100">
        <f t="shared" si="92"/>
        <v>0</v>
      </c>
      <c r="J1173" s="74">
        <f t="shared" si="93"/>
        <v>-15</v>
      </c>
      <c r="K1173" t="e">
        <f>VLOOKUP(C1173,'RAW DATA 2023'!E:BO,12,0)</f>
        <v>#N/A</v>
      </c>
      <c r="L1173" s="268" t="e">
        <f t="shared" si="94"/>
        <v>#N/A</v>
      </c>
    </row>
    <row r="1174" spans="1:12">
      <c r="A1174" s="64">
        <f>'RAW DATA 2023'!B1167</f>
        <v>0</v>
      </c>
      <c r="B1174" s="64">
        <f>'RAW DATA 2023'!D1167</f>
        <v>0</v>
      </c>
      <c r="C1174" s="63" t="str">
        <f t="shared" si="90"/>
        <v>00</v>
      </c>
      <c r="D1174" s="63" t="e">
        <f>VLOOKUP(C1174,'RAW DATA 2023'!E:BP,63,0)</f>
        <v>#N/A</v>
      </c>
      <c r="E1174" s="63" t="e">
        <f t="shared" si="91"/>
        <v>#N/A</v>
      </c>
      <c r="F1174" s="79" t="e">
        <f>ROUND(VLOOKUP(C1174,'RAW DATA 2023'!E:BO,23,0),0)</f>
        <v>#N/A</v>
      </c>
      <c r="G1174" s="79" t="e">
        <f>VLOOKUP(C1174,'RAW DATA 2023'!E:BO,24,0)</f>
        <v>#N/A</v>
      </c>
      <c r="H1174" s="79" t="str">
        <f>IFERROR(VLOOKUP(F1174,STD!A:G,3,TRUE),"")</f>
        <v/>
      </c>
      <c r="I1174" s="100">
        <f t="shared" si="92"/>
        <v>0</v>
      </c>
      <c r="J1174" s="74">
        <f t="shared" si="93"/>
        <v>-15</v>
      </c>
      <c r="K1174" t="e">
        <f>VLOOKUP(C1174,'RAW DATA 2023'!E:BO,12,0)</f>
        <v>#N/A</v>
      </c>
      <c r="L1174" s="268" t="e">
        <f t="shared" si="94"/>
        <v>#N/A</v>
      </c>
    </row>
    <row r="1175" spans="1:12">
      <c r="A1175" s="64">
        <f>'RAW DATA 2023'!B1168</f>
        <v>0</v>
      </c>
      <c r="B1175" s="64">
        <f>'RAW DATA 2023'!D1168</f>
        <v>0</v>
      </c>
      <c r="C1175" s="63" t="str">
        <f t="shared" si="90"/>
        <v>00</v>
      </c>
      <c r="D1175" s="63" t="e">
        <f>VLOOKUP(C1175,'RAW DATA 2023'!E:BP,63,0)</f>
        <v>#N/A</v>
      </c>
      <c r="E1175" s="63" t="e">
        <f t="shared" si="91"/>
        <v>#N/A</v>
      </c>
      <c r="F1175" s="79" t="e">
        <f>ROUND(VLOOKUP(C1175,'RAW DATA 2023'!E:BO,23,0),0)</f>
        <v>#N/A</v>
      </c>
      <c r="G1175" s="79" t="e">
        <f>VLOOKUP(C1175,'RAW DATA 2023'!E:BO,24,0)</f>
        <v>#N/A</v>
      </c>
      <c r="H1175" s="79" t="str">
        <f>IFERROR(VLOOKUP(F1175,STD!A:G,3,TRUE),"")</f>
        <v/>
      </c>
      <c r="I1175" s="100">
        <f t="shared" si="92"/>
        <v>0</v>
      </c>
      <c r="J1175" s="74">
        <f t="shared" si="93"/>
        <v>-15</v>
      </c>
      <c r="K1175" t="e">
        <f>VLOOKUP(C1175,'RAW DATA 2023'!E:BO,12,0)</f>
        <v>#N/A</v>
      </c>
      <c r="L1175" s="268" t="e">
        <f t="shared" si="94"/>
        <v>#N/A</v>
      </c>
    </row>
    <row r="1176" spans="1:12">
      <c r="A1176" s="64">
        <f>'RAW DATA 2023'!B1169</f>
        <v>0</v>
      </c>
      <c r="B1176" s="64">
        <f>'RAW DATA 2023'!D1169</f>
        <v>0</v>
      </c>
      <c r="C1176" s="63" t="str">
        <f t="shared" si="90"/>
        <v>00</v>
      </c>
      <c r="D1176" s="63" t="e">
        <f>VLOOKUP(C1176,'RAW DATA 2023'!E:BP,63,0)</f>
        <v>#N/A</v>
      </c>
      <c r="E1176" s="63" t="e">
        <f t="shared" si="91"/>
        <v>#N/A</v>
      </c>
      <c r="F1176" s="79" t="e">
        <f>ROUND(VLOOKUP(C1176,'RAW DATA 2023'!E:BO,23,0),0)</f>
        <v>#N/A</v>
      </c>
      <c r="G1176" s="79" t="e">
        <f>VLOOKUP(C1176,'RAW DATA 2023'!E:BO,24,0)</f>
        <v>#N/A</v>
      </c>
      <c r="H1176" s="79" t="str">
        <f>IFERROR(VLOOKUP(F1176,STD!A:G,3,TRUE),"")</f>
        <v/>
      </c>
      <c r="I1176" s="100">
        <f t="shared" si="92"/>
        <v>0</v>
      </c>
      <c r="J1176" s="74">
        <f t="shared" si="93"/>
        <v>-15</v>
      </c>
      <c r="K1176" t="e">
        <f>VLOOKUP(C1176,'RAW DATA 2023'!E:BO,12,0)</f>
        <v>#N/A</v>
      </c>
      <c r="L1176" s="268" t="e">
        <f t="shared" si="94"/>
        <v>#N/A</v>
      </c>
    </row>
    <row r="1177" spans="1:12">
      <c r="A1177" s="64">
        <f>'RAW DATA 2023'!B1170</f>
        <v>0</v>
      </c>
      <c r="B1177" s="64">
        <f>'RAW DATA 2023'!D1170</f>
        <v>0</v>
      </c>
      <c r="C1177" s="63" t="str">
        <f t="shared" si="90"/>
        <v>00</v>
      </c>
      <c r="D1177" s="63" t="e">
        <f>VLOOKUP(C1177,'RAW DATA 2023'!E:BP,63,0)</f>
        <v>#N/A</v>
      </c>
      <c r="E1177" s="63" t="e">
        <f t="shared" si="91"/>
        <v>#N/A</v>
      </c>
      <c r="F1177" s="79" t="e">
        <f>ROUND(VLOOKUP(C1177,'RAW DATA 2023'!E:BO,23,0),0)</f>
        <v>#N/A</v>
      </c>
      <c r="G1177" s="79" t="e">
        <f>VLOOKUP(C1177,'RAW DATA 2023'!E:BO,24,0)</f>
        <v>#N/A</v>
      </c>
      <c r="H1177" s="79" t="str">
        <f>IFERROR(VLOOKUP(F1177,STD!A:G,3,TRUE),"")</f>
        <v/>
      </c>
      <c r="I1177" s="100">
        <f t="shared" si="92"/>
        <v>0</v>
      </c>
      <c r="J1177" s="74">
        <f t="shared" si="93"/>
        <v>-15</v>
      </c>
      <c r="K1177" t="e">
        <f>VLOOKUP(C1177,'RAW DATA 2023'!E:BO,12,0)</f>
        <v>#N/A</v>
      </c>
      <c r="L1177" s="268" t="e">
        <f t="shared" si="94"/>
        <v>#N/A</v>
      </c>
    </row>
    <row r="1178" spans="1:12">
      <c r="A1178" s="64">
        <f>'RAW DATA 2023'!B1171</f>
        <v>0</v>
      </c>
      <c r="B1178" s="64">
        <f>'RAW DATA 2023'!D1171</f>
        <v>0</v>
      </c>
      <c r="C1178" s="63" t="str">
        <f t="shared" si="90"/>
        <v>00</v>
      </c>
      <c r="D1178" s="63" t="e">
        <f>VLOOKUP(C1178,'RAW DATA 2023'!E:BP,63,0)</f>
        <v>#N/A</v>
      </c>
      <c r="E1178" s="63" t="e">
        <f t="shared" si="91"/>
        <v>#N/A</v>
      </c>
      <c r="F1178" s="79" t="e">
        <f>ROUND(VLOOKUP(C1178,'RAW DATA 2023'!E:BO,23,0),0)</f>
        <v>#N/A</v>
      </c>
      <c r="G1178" s="79" t="e">
        <f>VLOOKUP(C1178,'RAW DATA 2023'!E:BO,24,0)</f>
        <v>#N/A</v>
      </c>
      <c r="H1178" s="79" t="str">
        <f>IFERROR(VLOOKUP(F1178,STD!A:G,3,TRUE),"")</f>
        <v/>
      </c>
      <c r="I1178" s="100">
        <f t="shared" si="92"/>
        <v>0</v>
      </c>
      <c r="J1178" s="74">
        <f t="shared" si="93"/>
        <v>-15</v>
      </c>
      <c r="K1178" t="e">
        <f>VLOOKUP(C1178,'RAW DATA 2023'!E:BO,12,0)</f>
        <v>#N/A</v>
      </c>
      <c r="L1178" s="268" t="e">
        <f t="shared" si="94"/>
        <v>#N/A</v>
      </c>
    </row>
    <row r="1179" spans="1:12">
      <c r="A1179" s="64">
        <f>'RAW DATA 2023'!B1172</f>
        <v>0</v>
      </c>
      <c r="B1179" s="64">
        <f>'RAW DATA 2023'!D1172</f>
        <v>0</v>
      </c>
      <c r="C1179" s="63" t="str">
        <f t="shared" si="90"/>
        <v>00</v>
      </c>
      <c r="D1179" s="63" t="e">
        <f>VLOOKUP(C1179,'RAW DATA 2023'!E:BP,63,0)</f>
        <v>#N/A</v>
      </c>
      <c r="E1179" s="63" t="e">
        <f t="shared" si="91"/>
        <v>#N/A</v>
      </c>
      <c r="F1179" s="79" t="e">
        <f>ROUND(VLOOKUP(C1179,'RAW DATA 2023'!E:BO,23,0),0)</f>
        <v>#N/A</v>
      </c>
      <c r="G1179" s="79" t="e">
        <f>VLOOKUP(C1179,'RAW DATA 2023'!E:BO,24,0)</f>
        <v>#N/A</v>
      </c>
      <c r="H1179" s="79" t="str">
        <f>IFERROR(VLOOKUP(F1179,STD!A:G,3,TRUE),"")</f>
        <v/>
      </c>
      <c r="I1179" s="100">
        <f t="shared" si="92"/>
        <v>0</v>
      </c>
      <c r="J1179" s="74">
        <f t="shared" si="93"/>
        <v>-15</v>
      </c>
      <c r="K1179" t="e">
        <f>VLOOKUP(C1179,'RAW DATA 2023'!E:BO,12,0)</f>
        <v>#N/A</v>
      </c>
      <c r="L1179" s="268" t="e">
        <f t="shared" si="94"/>
        <v>#N/A</v>
      </c>
    </row>
    <row r="1180" spans="1:12">
      <c r="A1180" s="64">
        <f>'RAW DATA 2023'!B1173</f>
        <v>0</v>
      </c>
      <c r="B1180" s="64">
        <f>'RAW DATA 2023'!D1173</f>
        <v>0</v>
      </c>
      <c r="C1180" s="63" t="str">
        <f t="shared" si="90"/>
        <v>00</v>
      </c>
      <c r="D1180" s="63" t="e">
        <f>VLOOKUP(C1180,'RAW DATA 2023'!E:BP,63,0)</f>
        <v>#N/A</v>
      </c>
      <c r="E1180" s="63" t="e">
        <f t="shared" si="91"/>
        <v>#N/A</v>
      </c>
      <c r="F1180" s="79" t="e">
        <f>ROUND(VLOOKUP(C1180,'RAW DATA 2023'!E:BO,23,0),0)</f>
        <v>#N/A</v>
      </c>
      <c r="G1180" s="79" t="e">
        <f>VLOOKUP(C1180,'RAW DATA 2023'!E:BO,24,0)</f>
        <v>#N/A</v>
      </c>
      <c r="H1180" s="79" t="str">
        <f>IFERROR(VLOOKUP(F1180,STD!A:G,3,TRUE),"")</f>
        <v/>
      </c>
      <c r="I1180" s="100">
        <f t="shared" si="92"/>
        <v>0</v>
      </c>
      <c r="J1180" s="74">
        <f t="shared" si="93"/>
        <v>-15</v>
      </c>
      <c r="K1180" t="e">
        <f>VLOOKUP(C1180,'RAW DATA 2023'!E:BO,12,0)</f>
        <v>#N/A</v>
      </c>
      <c r="L1180" s="268" t="e">
        <f t="shared" si="94"/>
        <v>#N/A</v>
      </c>
    </row>
    <row r="1181" spans="1:12">
      <c r="A1181" s="64">
        <f>'RAW DATA 2023'!B1174</f>
        <v>0</v>
      </c>
      <c r="B1181" s="64">
        <f>'RAW DATA 2023'!D1174</f>
        <v>0</v>
      </c>
      <c r="C1181" s="63" t="str">
        <f t="shared" si="90"/>
        <v>00</v>
      </c>
      <c r="D1181" s="63" t="e">
        <f>VLOOKUP(C1181,'RAW DATA 2023'!E:BP,63,0)</f>
        <v>#N/A</v>
      </c>
      <c r="E1181" s="63" t="e">
        <f t="shared" si="91"/>
        <v>#N/A</v>
      </c>
      <c r="F1181" s="79" t="e">
        <f>ROUND(VLOOKUP(C1181,'RAW DATA 2023'!E:BO,23,0),0)</f>
        <v>#N/A</v>
      </c>
      <c r="G1181" s="79" t="e">
        <f>VLOOKUP(C1181,'RAW DATA 2023'!E:BO,24,0)</f>
        <v>#N/A</v>
      </c>
      <c r="H1181" s="79" t="str">
        <f>IFERROR(VLOOKUP(F1181,STD!A:G,3,TRUE),"")</f>
        <v/>
      </c>
      <c r="I1181" s="100">
        <f t="shared" si="92"/>
        <v>0</v>
      </c>
      <c r="J1181" s="74">
        <f t="shared" si="93"/>
        <v>-15</v>
      </c>
      <c r="K1181" t="e">
        <f>VLOOKUP(C1181,'RAW DATA 2023'!E:BO,12,0)</f>
        <v>#N/A</v>
      </c>
      <c r="L1181" s="268" t="e">
        <f t="shared" si="94"/>
        <v>#N/A</v>
      </c>
    </row>
    <row r="1182" spans="1:12">
      <c r="A1182" s="64">
        <f>'RAW DATA 2023'!B1175</f>
        <v>0</v>
      </c>
      <c r="B1182" s="64">
        <f>'RAW DATA 2023'!D1175</f>
        <v>0</v>
      </c>
      <c r="C1182" s="63" t="str">
        <f t="shared" si="90"/>
        <v>00</v>
      </c>
      <c r="D1182" s="63" t="e">
        <f>VLOOKUP(C1182,'RAW DATA 2023'!E:BP,63,0)</f>
        <v>#N/A</v>
      </c>
      <c r="E1182" s="63" t="e">
        <f t="shared" si="91"/>
        <v>#N/A</v>
      </c>
      <c r="F1182" s="79" t="e">
        <f>ROUND(VLOOKUP(C1182,'RAW DATA 2023'!E:BO,23,0),0)</f>
        <v>#N/A</v>
      </c>
      <c r="G1182" s="79" t="e">
        <f>VLOOKUP(C1182,'RAW DATA 2023'!E:BO,24,0)</f>
        <v>#N/A</v>
      </c>
      <c r="H1182" s="79" t="str">
        <f>IFERROR(VLOOKUP(F1182,STD!A:G,3,TRUE),"")</f>
        <v/>
      </c>
      <c r="I1182" s="100">
        <f t="shared" si="92"/>
        <v>0</v>
      </c>
      <c r="J1182" s="74">
        <f t="shared" si="93"/>
        <v>-15</v>
      </c>
      <c r="K1182" t="e">
        <f>VLOOKUP(C1182,'RAW DATA 2023'!E:BO,12,0)</f>
        <v>#N/A</v>
      </c>
      <c r="L1182" s="268" t="e">
        <f t="shared" si="94"/>
        <v>#N/A</v>
      </c>
    </row>
    <row r="1183" spans="1:12">
      <c r="A1183" s="64">
        <f>'RAW DATA 2023'!B1176</f>
        <v>0</v>
      </c>
      <c r="B1183" s="64">
        <f>'RAW DATA 2023'!D1176</f>
        <v>0</v>
      </c>
      <c r="C1183" s="63" t="str">
        <f t="shared" si="90"/>
        <v>00</v>
      </c>
      <c r="D1183" s="63" t="e">
        <f>VLOOKUP(C1183,'RAW DATA 2023'!E:BP,63,0)</f>
        <v>#N/A</v>
      </c>
      <c r="E1183" s="63" t="e">
        <f t="shared" si="91"/>
        <v>#N/A</v>
      </c>
      <c r="F1183" s="79" t="e">
        <f>ROUND(VLOOKUP(C1183,'RAW DATA 2023'!E:BO,23,0),0)</f>
        <v>#N/A</v>
      </c>
      <c r="G1183" s="79" t="e">
        <f>VLOOKUP(C1183,'RAW DATA 2023'!E:BO,24,0)</f>
        <v>#N/A</v>
      </c>
      <c r="H1183" s="79" t="str">
        <f>IFERROR(VLOOKUP(F1183,STD!A:G,3,TRUE),"")</f>
        <v/>
      </c>
      <c r="I1183" s="100">
        <f t="shared" si="92"/>
        <v>0</v>
      </c>
      <c r="J1183" s="74">
        <f t="shared" si="93"/>
        <v>-15</v>
      </c>
      <c r="K1183" t="e">
        <f>VLOOKUP(C1183,'RAW DATA 2023'!E:BO,12,0)</f>
        <v>#N/A</v>
      </c>
      <c r="L1183" s="268" t="e">
        <f t="shared" si="94"/>
        <v>#N/A</v>
      </c>
    </row>
    <row r="1184" spans="1:12">
      <c r="A1184" s="64">
        <f>'RAW DATA 2023'!B1177</f>
        <v>0</v>
      </c>
      <c r="B1184" s="64">
        <f>'RAW DATA 2023'!D1177</f>
        <v>0</v>
      </c>
      <c r="C1184" s="63" t="str">
        <f t="shared" si="90"/>
        <v>00</v>
      </c>
      <c r="D1184" s="63" t="e">
        <f>VLOOKUP(C1184,'RAW DATA 2023'!E:BP,63,0)</f>
        <v>#N/A</v>
      </c>
      <c r="E1184" s="63" t="e">
        <f t="shared" si="91"/>
        <v>#N/A</v>
      </c>
      <c r="F1184" s="79" t="e">
        <f>ROUND(VLOOKUP(C1184,'RAW DATA 2023'!E:BO,23,0),0)</f>
        <v>#N/A</v>
      </c>
      <c r="G1184" s="79" t="e">
        <f>VLOOKUP(C1184,'RAW DATA 2023'!E:BO,24,0)</f>
        <v>#N/A</v>
      </c>
      <c r="H1184" s="79" t="str">
        <f>IFERROR(VLOOKUP(F1184,STD!A:G,3,TRUE),"")</f>
        <v/>
      </c>
      <c r="I1184" s="100">
        <f t="shared" si="92"/>
        <v>0</v>
      </c>
      <c r="J1184" s="74">
        <f t="shared" si="93"/>
        <v>-15</v>
      </c>
      <c r="K1184" t="e">
        <f>VLOOKUP(C1184,'RAW DATA 2023'!E:BO,12,0)</f>
        <v>#N/A</v>
      </c>
      <c r="L1184" s="268" t="e">
        <f t="shared" si="94"/>
        <v>#N/A</v>
      </c>
    </row>
    <row r="1185" spans="1:12">
      <c r="A1185" s="64">
        <f>'RAW DATA 2023'!B1178</f>
        <v>0</v>
      </c>
      <c r="B1185" s="64">
        <f>'RAW DATA 2023'!D1178</f>
        <v>0</v>
      </c>
      <c r="C1185" s="63" t="str">
        <f t="shared" si="90"/>
        <v>00</v>
      </c>
      <c r="D1185" s="63" t="e">
        <f>VLOOKUP(C1185,'RAW DATA 2023'!E:BP,63,0)</f>
        <v>#N/A</v>
      </c>
      <c r="E1185" s="63" t="e">
        <f t="shared" si="91"/>
        <v>#N/A</v>
      </c>
      <c r="F1185" s="79" t="e">
        <f>ROUND(VLOOKUP(C1185,'RAW DATA 2023'!E:BO,23,0),0)</f>
        <v>#N/A</v>
      </c>
      <c r="G1185" s="79" t="e">
        <f>VLOOKUP(C1185,'RAW DATA 2023'!E:BO,24,0)</f>
        <v>#N/A</v>
      </c>
      <c r="H1185" s="79" t="str">
        <f>IFERROR(VLOOKUP(F1185,STD!A:G,3,TRUE),"")</f>
        <v/>
      </c>
      <c r="I1185" s="100">
        <f t="shared" si="92"/>
        <v>0</v>
      </c>
      <c r="J1185" s="74">
        <f t="shared" si="93"/>
        <v>-15</v>
      </c>
      <c r="K1185" t="e">
        <f>VLOOKUP(C1185,'RAW DATA 2023'!E:BO,12,0)</f>
        <v>#N/A</v>
      </c>
      <c r="L1185" s="268" t="e">
        <f t="shared" si="94"/>
        <v>#N/A</v>
      </c>
    </row>
    <row r="1186" spans="1:12">
      <c r="A1186" s="64">
        <f>'RAW DATA 2023'!B1179</f>
        <v>0</v>
      </c>
      <c r="B1186" s="64">
        <f>'RAW DATA 2023'!D1179</f>
        <v>0</v>
      </c>
      <c r="C1186" s="63" t="str">
        <f t="shared" si="90"/>
        <v>00</v>
      </c>
      <c r="D1186" s="63" t="e">
        <f>VLOOKUP(C1186,'RAW DATA 2023'!E:BP,63,0)</f>
        <v>#N/A</v>
      </c>
      <c r="E1186" s="63" t="e">
        <f t="shared" si="91"/>
        <v>#N/A</v>
      </c>
      <c r="F1186" s="79" t="e">
        <f>ROUND(VLOOKUP(C1186,'RAW DATA 2023'!E:BO,23,0),0)</f>
        <v>#N/A</v>
      </c>
      <c r="G1186" s="79" t="e">
        <f>VLOOKUP(C1186,'RAW DATA 2023'!E:BO,24,0)</f>
        <v>#N/A</v>
      </c>
      <c r="H1186" s="79" t="str">
        <f>IFERROR(VLOOKUP(F1186,STD!A:G,3,TRUE),"")</f>
        <v/>
      </c>
      <c r="I1186" s="100">
        <f t="shared" si="92"/>
        <v>0</v>
      </c>
      <c r="J1186" s="74">
        <f t="shared" si="93"/>
        <v>-15</v>
      </c>
      <c r="K1186" t="e">
        <f>VLOOKUP(C1186,'RAW DATA 2023'!E:BO,12,0)</f>
        <v>#N/A</v>
      </c>
      <c r="L1186" s="268" t="e">
        <f t="shared" si="94"/>
        <v>#N/A</v>
      </c>
    </row>
    <row r="1187" spans="1:12">
      <c r="A1187" s="64">
        <f>'RAW DATA 2023'!B1180</f>
        <v>0</v>
      </c>
      <c r="B1187" s="64">
        <f>'RAW DATA 2023'!D1180</f>
        <v>0</v>
      </c>
      <c r="C1187" s="63" t="str">
        <f t="shared" si="90"/>
        <v>00</v>
      </c>
      <c r="D1187" s="63" t="e">
        <f>VLOOKUP(C1187,'RAW DATA 2023'!E:BP,63,0)</f>
        <v>#N/A</v>
      </c>
      <c r="E1187" s="63" t="e">
        <f t="shared" si="91"/>
        <v>#N/A</v>
      </c>
      <c r="F1187" s="79" t="e">
        <f>ROUND(VLOOKUP(C1187,'RAW DATA 2023'!E:BO,23,0),0)</f>
        <v>#N/A</v>
      </c>
      <c r="G1187" s="79" t="e">
        <f>VLOOKUP(C1187,'RAW DATA 2023'!E:BO,24,0)</f>
        <v>#N/A</v>
      </c>
      <c r="H1187" s="79" t="str">
        <f>IFERROR(VLOOKUP(F1187,STD!A:G,3,TRUE),"")</f>
        <v/>
      </c>
      <c r="I1187" s="100">
        <f t="shared" si="92"/>
        <v>0</v>
      </c>
      <c r="J1187" s="74">
        <f t="shared" si="93"/>
        <v>-15</v>
      </c>
      <c r="K1187" t="e">
        <f>VLOOKUP(C1187,'RAW DATA 2023'!E:BO,12,0)</f>
        <v>#N/A</v>
      </c>
      <c r="L1187" s="268" t="e">
        <f t="shared" si="94"/>
        <v>#N/A</v>
      </c>
    </row>
    <row r="1188" spans="1:12">
      <c r="A1188" s="64">
        <f>'RAW DATA 2023'!B1181</f>
        <v>0</v>
      </c>
      <c r="B1188" s="64">
        <f>'RAW DATA 2023'!D1181</f>
        <v>0</v>
      </c>
      <c r="C1188" s="63" t="str">
        <f t="shared" si="90"/>
        <v>00</v>
      </c>
      <c r="D1188" s="63" t="e">
        <f>VLOOKUP(C1188,'RAW DATA 2023'!E:BP,63,0)</f>
        <v>#N/A</v>
      </c>
      <c r="E1188" s="63" t="e">
        <f t="shared" si="91"/>
        <v>#N/A</v>
      </c>
      <c r="F1188" s="79" t="e">
        <f>ROUND(VLOOKUP(C1188,'RAW DATA 2023'!E:BO,23,0),0)</f>
        <v>#N/A</v>
      </c>
      <c r="G1188" s="79" t="e">
        <f>VLOOKUP(C1188,'RAW DATA 2023'!E:BO,24,0)</f>
        <v>#N/A</v>
      </c>
      <c r="H1188" s="79" t="str">
        <f>IFERROR(VLOOKUP(F1188,STD!A:G,3,TRUE),"")</f>
        <v/>
      </c>
      <c r="I1188" s="100">
        <f t="shared" si="92"/>
        <v>0</v>
      </c>
      <c r="J1188" s="74">
        <f t="shared" si="93"/>
        <v>-15</v>
      </c>
      <c r="K1188" t="e">
        <f>VLOOKUP(C1188,'RAW DATA 2023'!E:BO,12,0)</f>
        <v>#N/A</v>
      </c>
      <c r="L1188" s="268" t="e">
        <f t="shared" si="94"/>
        <v>#N/A</v>
      </c>
    </row>
    <row r="1189" spans="1:12">
      <c r="A1189" s="64">
        <f>'RAW DATA 2023'!B1182</f>
        <v>0</v>
      </c>
      <c r="B1189" s="64">
        <f>'RAW DATA 2023'!D1182</f>
        <v>0</v>
      </c>
      <c r="C1189" s="63" t="str">
        <f t="shared" si="90"/>
        <v>00</v>
      </c>
      <c r="D1189" s="63" t="e">
        <f>VLOOKUP(C1189,'RAW DATA 2023'!E:BP,63,0)</f>
        <v>#N/A</v>
      </c>
      <c r="E1189" s="63" t="e">
        <f t="shared" si="91"/>
        <v>#N/A</v>
      </c>
      <c r="F1189" s="79" t="e">
        <f>ROUND(VLOOKUP(C1189,'RAW DATA 2023'!E:BO,23,0),0)</f>
        <v>#N/A</v>
      </c>
      <c r="G1189" s="79" t="e">
        <f>VLOOKUP(C1189,'RAW DATA 2023'!E:BO,24,0)</f>
        <v>#N/A</v>
      </c>
      <c r="H1189" s="79" t="str">
        <f>IFERROR(VLOOKUP(F1189,STD!A:G,3,TRUE),"")</f>
        <v/>
      </c>
      <c r="I1189" s="100">
        <f t="shared" si="92"/>
        <v>0</v>
      </c>
      <c r="J1189" s="74">
        <f t="shared" si="93"/>
        <v>-15</v>
      </c>
      <c r="K1189" t="e">
        <f>VLOOKUP(C1189,'RAW DATA 2023'!E:BO,12,0)</f>
        <v>#N/A</v>
      </c>
      <c r="L1189" s="268" t="e">
        <f t="shared" si="94"/>
        <v>#N/A</v>
      </c>
    </row>
    <row r="1190" spans="1:12">
      <c r="A1190" s="64">
        <f>'RAW DATA 2023'!B1183</f>
        <v>0</v>
      </c>
      <c r="B1190" s="64">
        <f>'RAW DATA 2023'!D1183</f>
        <v>0</v>
      </c>
      <c r="C1190" s="63" t="str">
        <f t="shared" si="90"/>
        <v>00</v>
      </c>
      <c r="D1190" s="63" t="e">
        <f>VLOOKUP(C1190,'RAW DATA 2023'!E:BP,63,0)</f>
        <v>#N/A</v>
      </c>
      <c r="E1190" s="63" t="e">
        <f t="shared" si="91"/>
        <v>#N/A</v>
      </c>
      <c r="F1190" s="79" t="e">
        <f>ROUND(VLOOKUP(C1190,'RAW DATA 2023'!E:BO,23,0),0)</f>
        <v>#N/A</v>
      </c>
      <c r="G1190" s="79" t="e">
        <f>VLOOKUP(C1190,'RAW DATA 2023'!E:BO,24,0)</f>
        <v>#N/A</v>
      </c>
      <c r="H1190" s="79" t="str">
        <f>IFERROR(VLOOKUP(F1190,STD!A:G,3,TRUE),"")</f>
        <v/>
      </c>
      <c r="I1190" s="100">
        <f t="shared" si="92"/>
        <v>0</v>
      </c>
      <c r="J1190" s="74">
        <f t="shared" si="93"/>
        <v>-15</v>
      </c>
      <c r="K1190" t="e">
        <f>VLOOKUP(C1190,'RAW DATA 2023'!E:BO,12,0)</f>
        <v>#N/A</v>
      </c>
      <c r="L1190" s="268" t="e">
        <f t="shared" si="94"/>
        <v>#N/A</v>
      </c>
    </row>
    <row r="1191" spans="1:12">
      <c r="A1191" s="64">
        <f>'RAW DATA 2023'!B1184</f>
        <v>0</v>
      </c>
      <c r="B1191" s="64">
        <f>'RAW DATA 2023'!D1184</f>
        <v>0</v>
      </c>
      <c r="C1191" s="63" t="str">
        <f t="shared" si="90"/>
        <v>00</v>
      </c>
      <c r="D1191" s="63" t="e">
        <f>VLOOKUP(C1191,'RAW DATA 2023'!E:BP,63,0)</f>
        <v>#N/A</v>
      </c>
      <c r="E1191" s="63" t="e">
        <f t="shared" si="91"/>
        <v>#N/A</v>
      </c>
      <c r="F1191" s="79" t="e">
        <f>ROUND(VLOOKUP(C1191,'RAW DATA 2023'!E:BO,23,0),0)</f>
        <v>#N/A</v>
      </c>
      <c r="G1191" s="79" t="e">
        <f>VLOOKUP(C1191,'RAW DATA 2023'!E:BO,24,0)</f>
        <v>#N/A</v>
      </c>
      <c r="H1191" s="79" t="str">
        <f>IFERROR(VLOOKUP(F1191,STD!A:G,3,TRUE),"")</f>
        <v/>
      </c>
      <c r="I1191" s="100">
        <f t="shared" si="92"/>
        <v>0</v>
      </c>
      <c r="J1191" s="74">
        <f t="shared" si="93"/>
        <v>-15</v>
      </c>
      <c r="K1191" t="e">
        <f>VLOOKUP(C1191,'RAW DATA 2023'!E:BO,12,0)</f>
        <v>#N/A</v>
      </c>
      <c r="L1191" s="268" t="e">
        <f t="shared" si="94"/>
        <v>#N/A</v>
      </c>
    </row>
    <row r="1192" spans="1:12">
      <c r="A1192" s="64">
        <f>'RAW DATA 2023'!B1185</f>
        <v>0</v>
      </c>
      <c r="B1192" s="64">
        <f>'RAW DATA 2023'!D1185</f>
        <v>0</v>
      </c>
      <c r="C1192" s="63" t="str">
        <f t="shared" si="90"/>
        <v>00</v>
      </c>
      <c r="D1192" s="63" t="e">
        <f>VLOOKUP(C1192,'RAW DATA 2023'!E:BP,63,0)</f>
        <v>#N/A</v>
      </c>
      <c r="E1192" s="63" t="e">
        <f t="shared" si="91"/>
        <v>#N/A</v>
      </c>
      <c r="F1192" s="79" t="e">
        <f>ROUND(VLOOKUP(C1192,'RAW DATA 2023'!E:BO,23,0),0)</f>
        <v>#N/A</v>
      </c>
      <c r="G1192" s="79" t="e">
        <f>VLOOKUP(C1192,'RAW DATA 2023'!E:BO,24,0)</f>
        <v>#N/A</v>
      </c>
      <c r="H1192" s="79" t="str">
        <f>IFERROR(VLOOKUP(F1192,STD!A:G,3,TRUE),"")</f>
        <v/>
      </c>
      <c r="I1192" s="100">
        <f t="shared" si="92"/>
        <v>0</v>
      </c>
      <c r="J1192" s="74">
        <f t="shared" si="93"/>
        <v>-15</v>
      </c>
      <c r="K1192" t="e">
        <f>VLOOKUP(C1192,'RAW DATA 2023'!E:BO,12,0)</f>
        <v>#N/A</v>
      </c>
      <c r="L1192" s="268" t="e">
        <f t="shared" si="94"/>
        <v>#N/A</v>
      </c>
    </row>
    <row r="1193" spans="1:12">
      <c r="A1193" s="64">
        <f>'RAW DATA 2023'!B1186</f>
        <v>0</v>
      </c>
      <c r="B1193" s="64">
        <f>'RAW DATA 2023'!D1186</f>
        <v>0</v>
      </c>
      <c r="C1193" s="63" t="str">
        <f t="shared" si="90"/>
        <v>00</v>
      </c>
      <c r="D1193" s="63" t="e">
        <f>VLOOKUP(C1193,'RAW DATA 2023'!E:BP,63,0)</f>
        <v>#N/A</v>
      </c>
      <c r="E1193" s="63" t="e">
        <f t="shared" si="91"/>
        <v>#N/A</v>
      </c>
      <c r="F1193" s="79" t="e">
        <f>ROUND(VLOOKUP(C1193,'RAW DATA 2023'!E:BO,23,0),0)</f>
        <v>#N/A</v>
      </c>
      <c r="G1193" s="79" t="e">
        <f>VLOOKUP(C1193,'RAW DATA 2023'!E:BO,24,0)</f>
        <v>#N/A</v>
      </c>
      <c r="H1193" s="79" t="str">
        <f>IFERROR(VLOOKUP(F1193,STD!A:G,3,TRUE),"")</f>
        <v/>
      </c>
      <c r="I1193" s="100">
        <f t="shared" si="92"/>
        <v>0</v>
      </c>
      <c r="J1193" s="74">
        <f t="shared" si="93"/>
        <v>-15</v>
      </c>
      <c r="K1193" t="e">
        <f>VLOOKUP(C1193,'RAW DATA 2023'!E:BO,12,0)</f>
        <v>#N/A</v>
      </c>
      <c r="L1193" s="268" t="e">
        <f t="shared" si="94"/>
        <v>#N/A</v>
      </c>
    </row>
    <row r="1194" spans="1:12">
      <c r="A1194" s="64">
        <f>'RAW DATA 2023'!B1187</f>
        <v>0</v>
      </c>
      <c r="B1194" s="64">
        <f>'RAW DATA 2023'!D1187</f>
        <v>0</v>
      </c>
      <c r="C1194" s="63" t="str">
        <f t="shared" si="90"/>
        <v>00</v>
      </c>
      <c r="D1194" s="63" t="e">
        <f>VLOOKUP(C1194,'RAW DATA 2023'!E:BP,63,0)</f>
        <v>#N/A</v>
      </c>
      <c r="E1194" s="63" t="e">
        <f t="shared" si="91"/>
        <v>#N/A</v>
      </c>
      <c r="F1194" s="79" t="e">
        <f>ROUND(VLOOKUP(C1194,'RAW DATA 2023'!E:BO,23,0),0)</f>
        <v>#N/A</v>
      </c>
      <c r="G1194" s="79" t="e">
        <f>VLOOKUP(C1194,'RAW DATA 2023'!E:BO,24,0)</f>
        <v>#N/A</v>
      </c>
      <c r="H1194" s="79" t="str">
        <f>IFERROR(VLOOKUP(F1194,STD!A:G,3,TRUE),"")</f>
        <v/>
      </c>
      <c r="I1194" s="100">
        <f t="shared" si="92"/>
        <v>0</v>
      </c>
      <c r="J1194" s="74">
        <f t="shared" si="93"/>
        <v>-15</v>
      </c>
      <c r="K1194" t="e">
        <f>VLOOKUP(C1194,'RAW DATA 2023'!E:BO,12,0)</f>
        <v>#N/A</v>
      </c>
      <c r="L1194" s="268" t="e">
        <f t="shared" si="94"/>
        <v>#N/A</v>
      </c>
    </row>
    <row r="1195" spans="1:12">
      <c r="A1195" s="64">
        <f>'RAW DATA 2023'!B1188</f>
        <v>0</v>
      </c>
      <c r="B1195" s="64">
        <f>'RAW DATA 2023'!D1188</f>
        <v>0</v>
      </c>
      <c r="C1195" s="63" t="str">
        <f t="shared" si="90"/>
        <v>00</v>
      </c>
      <c r="D1195" s="63" t="e">
        <f>VLOOKUP(C1195,'RAW DATA 2023'!E:BP,63,0)</f>
        <v>#N/A</v>
      </c>
      <c r="E1195" s="63" t="e">
        <f t="shared" si="91"/>
        <v>#N/A</v>
      </c>
      <c r="F1195" s="79" t="e">
        <f>ROUND(VLOOKUP(C1195,'RAW DATA 2023'!E:BO,23,0),0)</f>
        <v>#N/A</v>
      </c>
      <c r="G1195" s="79" t="e">
        <f>VLOOKUP(C1195,'RAW DATA 2023'!E:BO,24,0)</f>
        <v>#N/A</v>
      </c>
      <c r="H1195" s="79" t="str">
        <f>IFERROR(VLOOKUP(F1195,STD!A:G,3,TRUE),"")</f>
        <v/>
      </c>
      <c r="I1195" s="100">
        <f t="shared" si="92"/>
        <v>0</v>
      </c>
      <c r="J1195" s="74">
        <f t="shared" si="93"/>
        <v>-15</v>
      </c>
      <c r="K1195" t="e">
        <f>VLOOKUP(C1195,'RAW DATA 2023'!E:BO,12,0)</f>
        <v>#N/A</v>
      </c>
      <c r="L1195" s="268" t="e">
        <f t="shared" si="94"/>
        <v>#N/A</v>
      </c>
    </row>
    <row r="1196" spans="1:12">
      <c r="A1196" s="64">
        <f>'RAW DATA 2023'!B1189</f>
        <v>0</v>
      </c>
      <c r="B1196" s="64">
        <f>'RAW DATA 2023'!D1189</f>
        <v>0</v>
      </c>
      <c r="C1196" s="63" t="str">
        <f t="shared" si="90"/>
        <v>00</v>
      </c>
      <c r="D1196" s="63" t="e">
        <f>VLOOKUP(C1196,'RAW DATA 2023'!E:BP,63,0)</f>
        <v>#N/A</v>
      </c>
      <c r="E1196" s="63" t="e">
        <f t="shared" si="91"/>
        <v>#N/A</v>
      </c>
      <c r="F1196" s="79" t="e">
        <f>ROUND(VLOOKUP(C1196,'RAW DATA 2023'!E:BO,23,0),0)</f>
        <v>#N/A</v>
      </c>
      <c r="G1196" s="79" t="e">
        <f>VLOOKUP(C1196,'RAW DATA 2023'!E:BO,24,0)</f>
        <v>#N/A</v>
      </c>
      <c r="H1196" s="79" t="str">
        <f>IFERROR(VLOOKUP(F1196,STD!A:G,3,TRUE),"")</f>
        <v/>
      </c>
      <c r="I1196" s="100">
        <f t="shared" si="92"/>
        <v>0</v>
      </c>
      <c r="J1196" s="74">
        <f t="shared" si="93"/>
        <v>-15</v>
      </c>
      <c r="K1196" t="e">
        <f>VLOOKUP(C1196,'RAW DATA 2023'!E:BO,12,0)</f>
        <v>#N/A</v>
      </c>
      <c r="L1196" s="268" t="e">
        <f t="shared" si="94"/>
        <v>#N/A</v>
      </c>
    </row>
    <row r="1197" spans="1:12">
      <c r="A1197" s="64">
        <f>'RAW DATA 2023'!B1190</f>
        <v>0</v>
      </c>
      <c r="B1197" s="64">
        <f>'RAW DATA 2023'!D1190</f>
        <v>0</v>
      </c>
      <c r="C1197" s="63" t="str">
        <f t="shared" si="90"/>
        <v>00</v>
      </c>
      <c r="D1197" s="63" t="e">
        <f>VLOOKUP(C1197,'RAW DATA 2023'!E:BP,63,0)</f>
        <v>#N/A</v>
      </c>
      <c r="E1197" s="63" t="e">
        <f t="shared" si="91"/>
        <v>#N/A</v>
      </c>
      <c r="F1197" s="79" t="e">
        <f>ROUND(VLOOKUP(C1197,'RAW DATA 2023'!E:BO,23,0),0)</f>
        <v>#N/A</v>
      </c>
      <c r="G1197" s="79" t="e">
        <f>VLOOKUP(C1197,'RAW DATA 2023'!E:BO,24,0)</f>
        <v>#N/A</v>
      </c>
      <c r="H1197" s="79" t="str">
        <f>IFERROR(VLOOKUP(F1197,STD!A:G,3,TRUE),"")</f>
        <v/>
      </c>
      <c r="I1197" s="100">
        <f t="shared" si="92"/>
        <v>0</v>
      </c>
      <c r="J1197" s="74">
        <f t="shared" si="93"/>
        <v>-15</v>
      </c>
      <c r="K1197" t="e">
        <f>VLOOKUP(C1197,'RAW DATA 2023'!E:BO,12,0)</f>
        <v>#N/A</v>
      </c>
      <c r="L1197" s="268" t="e">
        <f t="shared" si="94"/>
        <v>#N/A</v>
      </c>
    </row>
    <row r="1198" spans="1:12">
      <c r="A1198" s="64">
        <f>'RAW DATA 2023'!B1191</f>
        <v>0</v>
      </c>
      <c r="B1198" s="64">
        <f>'RAW DATA 2023'!D1191</f>
        <v>0</v>
      </c>
      <c r="C1198" s="63" t="str">
        <f t="shared" si="90"/>
        <v>00</v>
      </c>
      <c r="D1198" s="63" t="e">
        <f>VLOOKUP(C1198,'RAW DATA 2023'!E:BP,63,0)</f>
        <v>#N/A</v>
      </c>
      <c r="E1198" s="63" t="e">
        <f t="shared" si="91"/>
        <v>#N/A</v>
      </c>
      <c r="F1198" s="79" t="e">
        <f>ROUND(VLOOKUP(C1198,'RAW DATA 2023'!E:BO,23,0),0)</f>
        <v>#N/A</v>
      </c>
      <c r="G1198" s="79" t="e">
        <f>VLOOKUP(C1198,'RAW DATA 2023'!E:BO,24,0)</f>
        <v>#N/A</v>
      </c>
      <c r="H1198" s="79" t="str">
        <f>IFERROR(VLOOKUP(F1198,STD!A:G,3,TRUE),"")</f>
        <v/>
      </c>
      <c r="I1198" s="100">
        <f t="shared" si="92"/>
        <v>0</v>
      </c>
      <c r="J1198" s="74">
        <f t="shared" si="93"/>
        <v>-15</v>
      </c>
      <c r="K1198" t="e">
        <f>VLOOKUP(C1198,'RAW DATA 2023'!E:BO,12,0)</f>
        <v>#N/A</v>
      </c>
      <c r="L1198" s="268" t="e">
        <f t="shared" si="94"/>
        <v>#N/A</v>
      </c>
    </row>
    <row r="1199" spans="1:12">
      <c r="A1199" s="64">
        <f>'RAW DATA 2023'!B1192</f>
        <v>0</v>
      </c>
      <c r="B1199" s="64">
        <f>'RAW DATA 2023'!D1192</f>
        <v>0</v>
      </c>
      <c r="C1199" s="63" t="str">
        <f t="shared" si="90"/>
        <v>00</v>
      </c>
      <c r="D1199" s="63" t="e">
        <f>VLOOKUP(C1199,'RAW DATA 2023'!E:BP,63,0)</f>
        <v>#N/A</v>
      </c>
      <c r="E1199" s="63" t="e">
        <f t="shared" si="91"/>
        <v>#N/A</v>
      </c>
      <c r="F1199" s="79" t="e">
        <f>ROUND(VLOOKUP(C1199,'RAW DATA 2023'!E:BO,23,0),0)</f>
        <v>#N/A</v>
      </c>
      <c r="G1199" s="79" t="e">
        <f>VLOOKUP(C1199,'RAW DATA 2023'!E:BO,24,0)</f>
        <v>#N/A</v>
      </c>
      <c r="H1199" s="79" t="str">
        <f>IFERROR(VLOOKUP(F1199,STD!A:G,3,TRUE),"")</f>
        <v/>
      </c>
      <c r="I1199" s="100">
        <f t="shared" si="92"/>
        <v>0</v>
      </c>
      <c r="J1199" s="74">
        <f t="shared" si="93"/>
        <v>-15</v>
      </c>
      <c r="K1199" t="e">
        <f>VLOOKUP(C1199,'RAW DATA 2023'!E:BO,12,0)</f>
        <v>#N/A</v>
      </c>
      <c r="L1199" s="268" t="e">
        <f t="shared" si="94"/>
        <v>#N/A</v>
      </c>
    </row>
    <row r="1200" spans="1:12">
      <c r="A1200" s="64">
        <f>'RAW DATA 2023'!B1193</f>
        <v>0</v>
      </c>
      <c r="B1200" s="64">
        <f>'RAW DATA 2023'!D1193</f>
        <v>0</v>
      </c>
      <c r="C1200" s="63" t="str">
        <f t="shared" si="90"/>
        <v>00</v>
      </c>
      <c r="D1200" s="63" t="e">
        <f>VLOOKUP(C1200,'RAW DATA 2023'!E:BP,63,0)</f>
        <v>#N/A</v>
      </c>
      <c r="E1200" s="63" t="e">
        <f t="shared" si="91"/>
        <v>#N/A</v>
      </c>
      <c r="F1200" s="79" t="e">
        <f>ROUND(VLOOKUP(C1200,'RAW DATA 2023'!E:BO,23,0),0)</f>
        <v>#N/A</v>
      </c>
      <c r="G1200" s="79" t="e">
        <f>VLOOKUP(C1200,'RAW DATA 2023'!E:BO,24,0)</f>
        <v>#N/A</v>
      </c>
      <c r="H1200" s="79" t="str">
        <f>IFERROR(VLOOKUP(F1200,STD!A:G,3,TRUE),"")</f>
        <v/>
      </c>
      <c r="I1200" s="100">
        <f t="shared" si="92"/>
        <v>0</v>
      </c>
      <c r="J1200" s="74">
        <f t="shared" si="93"/>
        <v>-15</v>
      </c>
      <c r="K1200" t="e">
        <f>VLOOKUP(C1200,'RAW DATA 2023'!E:BO,12,0)</f>
        <v>#N/A</v>
      </c>
      <c r="L1200" s="268" t="e">
        <f t="shared" si="94"/>
        <v>#N/A</v>
      </c>
    </row>
    <row r="1201" spans="1:12">
      <c r="A1201" s="64">
        <f>'RAW DATA 2023'!B1194</f>
        <v>0</v>
      </c>
      <c r="B1201" s="64">
        <f>'RAW DATA 2023'!D1194</f>
        <v>0</v>
      </c>
      <c r="C1201" s="63" t="str">
        <f t="shared" si="90"/>
        <v>00</v>
      </c>
      <c r="D1201" s="63" t="e">
        <f>VLOOKUP(C1201,'RAW DATA 2023'!E:BP,63,0)</f>
        <v>#N/A</v>
      </c>
      <c r="E1201" s="63" t="e">
        <f t="shared" si="91"/>
        <v>#N/A</v>
      </c>
      <c r="F1201" s="79" t="e">
        <f>ROUND(VLOOKUP(C1201,'RAW DATA 2023'!E:BO,23,0),0)</f>
        <v>#N/A</v>
      </c>
      <c r="G1201" s="79" t="e">
        <f>VLOOKUP(C1201,'RAW DATA 2023'!E:BO,24,0)</f>
        <v>#N/A</v>
      </c>
      <c r="H1201" s="79" t="str">
        <f>IFERROR(VLOOKUP(F1201,STD!A:G,3,TRUE),"")</f>
        <v/>
      </c>
      <c r="I1201" s="100">
        <f t="shared" si="92"/>
        <v>0</v>
      </c>
      <c r="J1201" s="74">
        <f t="shared" si="93"/>
        <v>-15</v>
      </c>
      <c r="K1201" t="e">
        <f>VLOOKUP(C1201,'RAW DATA 2023'!E:BO,12,0)</f>
        <v>#N/A</v>
      </c>
      <c r="L1201" s="268" t="e">
        <f t="shared" si="94"/>
        <v>#N/A</v>
      </c>
    </row>
    <row r="1202" spans="1:12">
      <c r="A1202" s="64">
        <f>'RAW DATA 2023'!B1195</f>
        <v>0</v>
      </c>
      <c r="B1202" s="64">
        <f>'RAW DATA 2023'!D1195</f>
        <v>0</v>
      </c>
      <c r="C1202" s="63" t="str">
        <f t="shared" si="90"/>
        <v>00</v>
      </c>
      <c r="D1202" s="63" t="e">
        <f>VLOOKUP(C1202,'RAW DATA 2023'!E:BP,63,0)</f>
        <v>#N/A</v>
      </c>
      <c r="E1202" s="63" t="e">
        <f t="shared" si="91"/>
        <v>#N/A</v>
      </c>
      <c r="F1202" s="79" t="e">
        <f>ROUND(VLOOKUP(C1202,'RAW DATA 2023'!E:BO,23,0),0)</f>
        <v>#N/A</v>
      </c>
      <c r="G1202" s="79" t="e">
        <f>VLOOKUP(C1202,'RAW DATA 2023'!E:BO,24,0)</f>
        <v>#N/A</v>
      </c>
      <c r="H1202" s="79" t="str">
        <f>IFERROR(VLOOKUP(F1202,STD!A:G,3,TRUE),"")</f>
        <v/>
      </c>
      <c r="I1202" s="100">
        <f t="shared" si="92"/>
        <v>0</v>
      </c>
      <c r="J1202" s="74">
        <f t="shared" si="93"/>
        <v>-15</v>
      </c>
      <c r="K1202" t="e">
        <f>VLOOKUP(C1202,'RAW DATA 2023'!E:BO,12,0)</f>
        <v>#N/A</v>
      </c>
      <c r="L1202" s="268" t="e">
        <f t="shared" si="94"/>
        <v>#N/A</v>
      </c>
    </row>
    <row r="1203" spans="1:12">
      <c r="A1203" s="64">
        <f>'RAW DATA 2023'!B1196</f>
        <v>0</v>
      </c>
      <c r="B1203" s="64">
        <f>'RAW DATA 2023'!D1196</f>
        <v>0</v>
      </c>
      <c r="C1203" s="63" t="str">
        <f t="shared" si="90"/>
        <v>00</v>
      </c>
      <c r="D1203" s="63" t="e">
        <f>VLOOKUP(C1203,'RAW DATA 2023'!E:BP,63,0)</f>
        <v>#N/A</v>
      </c>
      <c r="E1203" s="63" t="e">
        <f t="shared" si="91"/>
        <v>#N/A</v>
      </c>
      <c r="F1203" s="79" t="e">
        <f>ROUND(VLOOKUP(C1203,'RAW DATA 2023'!E:BO,23,0),0)</f>
        <v>#N/A</v>
      </c>
      <c r="G1203" s="79" t="e">
        <f>VLOOKUP(C1203,'RAW DATA 2023'!E:BO,24,0)</f>
        <v>#N/A</v>
      </c>
      <c r="H1203" s="79" t="str">
        <f>IFERROR(VLOOKUP(F1203,STD!A:G,3,TRUE),"")</f>
        <v/>
      </c>
      <c r="I1203" s="100">
        <f t="shared" si="92"/>
        <v>0</v>
      </c>
      <c r="J1203" s="74">
        <f t="shared" si="93"/>
        <v>-15</v>
      </c>
      <c r="K1203" t="e">
        <f>VLOOKUP(C1203,'RAW DATA 2023'!E:BO,12,0)</f>
        <v>#N/A</v>
      </c>
      <c r="L1203" s="268" t="e">
        <f t="shared" si="94"/>
        <v>#N/A</v>
      </c>
    </row>
    <row r="1204" spans="1:12">
      <c r="A1204" s="64">
        <f>'RAW DATA 2023'!B1197</f>
        <v>0</v>
      </c>
      <c r="B1204" s="64">
        <f>'RAW DATA 2023'!D1197</f>
        <v>0</v>
      </c>
      <c r="C1204" s="63" t="str">
        <f t="shared" si="90"/>
        <v>00</v>
      </c>
      <c r="D1204" s="63" t="e">
        <f>VLOOKUP(C1204,'RAW DATA 2023'!E:BP,63,0)</f>
        <v>#N/A</v>
      </c>
      <c r="E1204" s="63" t="e">
        <f t="shared" si="91"/>
        <v>#N/A</v>
      </c>
      <c r="F1204" s="79" t="e">
        <f>ROUND(VLOOKUP(C1204,'RAW DATA 2023'!E:BO,23,0),0)</f>
        <v>#N/A</v>
      </c>
      <c r="G1204" s="79" t="e">
        <f>VLOOKUP(C1204,'RAW DATA 2023'!E:BO,24,0)</f>
        <v>#N/A</v>
      </c>
      <c r="H1204" s="79" t="str">
        <f>IFERROR(VLOOKUP(F1204,STD!A:G,3,TRUE),"")</f>
        <v/>
      </c>
      <c r="I1204" s="100">
        <f t="shared" si="92"/>
        <v>0</v>
      </c>
      <c r="J1204" s="74">
        <f t="shared" si="93"/>
        <v>-15</v>
      </c>
      <c r="K1204" t="e">
        <f>VLOOKUP(C1204,'RAW DATA 2023'!E:BO,12,0)</f>
        <v>#N/A</v>
      </c>
      <c r="L1204" s="268" t="e">
        <f t="shared" si="94"/>
        <v>#N/A</v>
      </c>
    </row>
    <row r="1205" spans="1:12">
      <c r="A1205" s="64">
        <f>'RAW DATA 2023'!B1198</f>
        <v>0</v>
      </c>
      <c r="B1205" s="64">
        <f>'RAW DATA 2023'!D1198</f>
        <v>0</v>
      </c>
      <c r="C1205" s="63" t="str">
        <f t="shared" si="90"/>
        <v>00</v>
      </c>
      <c r="D1205" s="63" t="e">
        <f>VLOOKUP(C1205,'RAW DATA 2023'!E:BP,63,0)</f>
        <v>#N/A</v>
      </c>
      <c r="E1205" s="63" t="e">
        <f t="shared" si="91"/>
        <v>#N/A</v>
      </c>
      <c r="F1205" s="79" t="e">
        <f>ROUND(VLOOKUP(C1205,'RAW DATA 2023'!E:BO,23,0),0)</f>
        <v>#N/A</v>
      </c>
      <c r="G1205" s="79" t="e">
        <f>VLOOKUP(C1205,'RAW DATA 2023'!E:BO,24,0)</f>
        <v>#N/A</v>
      </c>
      <c r="H1205" s="79" t="str">
        <f>IFERROR(VLOOKUP(F1205,STD!A:G,3,TRUE),"")</f>
        <v/>
      </c>
      <c r="I1205" s="100">
        <f t="shared" si="92"/>
        <v>0</v>
      </c>
      <c r="J1205" s="74">
        <f t="shared" si="93"/>
        <v>-15</v>
      </c>
      <c r="K1205" t="e">
        <f>VLOOKUP(C1205,'RAW DATA 2023'!E:BO,12,0)</f>
        <v>#N/A</v>
      </c>
      <c r="L1205" s="268" t="e">
        <f t="shared" si="94"/>
        <v>#N/A</v>
      </c>
    </row>
    <row r="1206" spans="1:12">
      <c r="A1206" s="64">
        <f>'RAW DATA 2023'!B1199</f>
        <v>0</v>
      </c>
      <c r="B1206" s="64">
        <f>'RAW DATA 2023'!D1199</f>
        <v>0</v>
      </c>
      <c r="C1206" s="63" t="str">
        <f t="shared" si="90"/>
        <v>00</v>
      </c>
      <c r="D1206" s="63" t="e">
        <f>VLOOKUP(C1206,'RAW DATA 2023'!E:BP,63,0)</f>
        <v>#N/A</v>
      </c>
      <c r="E1206" s="63" t="e">
        <f t="shared" si="91"/>
        <v>#N/A</v>
      </c>
      <c r="F1206" s="79" t="e">
        <f>ROUND(VLOOKUP(C1206,'RAW DATA 2023'!E:BO,23,0),0)</f>
        <v>#N/A</v>
      </c>
      <c r="G1206" s="79" t="e">
        <f>VLOOKUP(C1206,'RAW DATA 2023'!E:BO,24,0)</f>
        <v>#N/A</v>
      </c>
      <c r="H1206" s="79" t="str">
        <f>IFERROR(VLOOKUP(F1206,STD!A:G,3,TRUE),"")</f>
        <v/>
      </c>
      <c r="I1206" s="100">
        <f t="shared" si="92"/>
        <v>0</v>
      </c>
      <c r="J1206" s="74">
        <f t="shared" si="93"/>
        <v>-15</v>
      </c>
      <c r="K1206" t="e">
        <f>VLOOKUP(C1206,'RAW DATA 2023'!E:BO,12,0)</f>
        <v>#N/A</v>
      </c>
      <c r="L1206" s="268" t="e">
        <f t="shared" si="94"/>
        <v>#N/A</v>
      </c>
    </row>
    <row r="1207" spans="1:12">
      <c r="A1207" s="64">
        <f>'RAW DATA 2023'!B1200</f>
        <v>0</v>
      </c>
      <c r="B1207" s="64">
        <f>'RAW DATA 2023'!D1200</f>
        <v>0</v>
      </c>
      <c r="C1207" s="63" t="str">
        <f t="shared" si="90"/>
        <v>00</v>
      </c>
      <c r="D1207" s="63" t="e">
        <f>VLOOKUP(C1207,'RAW DATA 2023'!E:BP,63,0)</f>
        <v>#N/A</v>
      </c>
      <c r="E1207" s="63" t="e">
        <f t="shared" si="91"/>
        <v>#N/A</v>
      </c>
      <c r="F1207" s="79" t="e">
        <f>ROUND(VLOOKUP(C1207,'RAW DATA 2023'!E:BO,23,0),0)</f>
        <v>#N/A</v>
      </c>
      <c r="G1207" s="79" t="e">
        <f>VLOOKUP(C1207,'RAW DATA 2023'!E:BO,24,0)</f>
        <v>#N/A</v>
      </c>
      <c r="H1207" s="79" t="str">
        <f>IFERROR(VLOOKUP(F1207,STD!A:G,3,TRUE),"")</f>
        <v/>
      </c>
      <c r="I1207" s="100">
        <f t="shared" si="92"/>
        <v>0</v>
      </c>
      <c r="J1207" s="74">
        <f t="shared" si="93"/>
        <v>-15</v>
      </c>
      <c r="K1207" t="e">
        <f>VLOOKUP(C1207,'RAW DATA 2023'!E:BO,12,0)</f>
        <v>#N/A</v>
      </c>
      <c r="L1207" s="268" t="e">
        <f t="shared" si="94"/>
        <v>#N/A</v>
      </c>
    </row>
    <row r="1208" spans="1:12">
      <c r="A1208" s="64">
        <f>'RAW DATA 2023'!B1201</f>
        <v>0</v>
      </c>
      <c r="B1208" s="64">
        <f>'RAW DATA 2023'!D1201</f>
        <v>0</v>
      </c>
      <c r="C1208" s="63" t="str">
        <f t="shared" si="90"/>
        <v>00</v>
      </c>
      <c r="D1208" s="63" t="e">
        <f>VLOOKUP(C1208,'RAW DATA 2023'!E:BP,63,0)</f>
        <v>#N/A</v>
      </c>
      <c r="E1208" s="63" t="e">
        <f t="shared" si="91"/>
        <v>#N/A</v>
      </c>
      <c r="F1208" s="79" t="e">
        <f>ROUND(VLOOKUP(C1208,'RAW DATA 2023'!E:BO,23,0),0)</f>
        <v>#N/A</v>
      </c>
      <c r="G1208" s="79" t="e">
        <f>VLOOKUP(C1208,'RAW DATA 2023'!E:BO,24,0)</f>
        <v>#N/A</v>
      </c>
      <c r="H1208" s="79" t="str">
        <f>IFERROR(VLOOKUP(F1208,STD!A:G,3,TRUE),"")</f>
        <v/>
      </c>
      <c r="I1208" s="100">
        <f t="shared" si="92"/>
        <v>0</v>
      </c>
      <c r="J1208" s="74">
        <f t="shared" si="93"/>
        <v>-15</v>
      </c>
      <c r="K1208" t="e">
        <f>VLOOKUP(C1208,'RAW DATA 2023'!E:BO,12,0)</f>
        <v>#N/A</v>
      </c>
      <c r="L1208" s="268" t="e">
        <f t="shared" si="94"/>
        <v>#N/A</v>
      </c>
    </row>
    <row r="1209" spans="1:12">
      <c r="A1209" s="64">
        <f>'RAW DATA 2023'!B1202</f>
        <v>0</v>
      </c>
      <c r="B1209" s="64">
        <f>'RAW DATA 2023'!D1202</f>
        <v>0</v>
      </c>
      <c r="C1209" s="63" t="str">
        <f t="shared" si="90"/>
        <v>00</v>
      </c>
      <c r="D1209" s="63" t="e">
        <f>VLOOKUP(C1209,'RAW DATA 2023'!E:BP,63,0)</f>
        <v>#N/A</v>
      </c>
      <c r="E1209" s="63" t="e">
        <f t="shared" si="91"/>
        <v>#N/A</v>
      </c>
      <c r="F1209" s="79" t="e">
        <f>ROUND(VLOOKUP(C1209,'RAW DATA 2023'!E:BO,23,0),0)</f>
        <v>#N/A</v>
      </c>
      <c r="G1209" s="79" t="e">
        <f>VLOOKUP(C1209,'RAW DATA 2023'!E:BO,24,0)</f>
        <v>#N/A</v>
      </c>
      <c r="H1209" s="79" t="str">
        <f>IFERROR(VLOOKUP(F1209,STD!A:G,3,TRUE),"")</f>
        <v/>
      </c>
      <c r="I1209" s="100">
        <f t="shared" si="92"/>
        <v>0</v>
      </c>
      <c r="J1209" s="74">
        <f t="shared" si="93"/>
        <v>-15</v>
      </c>
      <c r="K1209" t="e">
        <f>VLOOKUP(C1209,'RAW DATA 2023'!E:BO,12,0)</f>
        <v>#N/A</v>
      </c>
      <c r="L1209" s="268" t="e">
        <f t="shared" si="94"/>
        <v>#N/A</v>
      </c>
    </row>
    <row r="1210" spans="1:12">
      <c r="A1210" s="64">
        <f>'RAW DATA 2023'!B1203</f>
        <v>0</v>
      </c>
      <c r="B1210" s="64">
        <f>'RAW DATA 2023'!D1203</f>
        <v>0</v>
      </c>
      <c r="C1210" s="63" t="str">
        <f t="shared" si="90"/>
        <v>00</v>
      </c>
      <c r="D1210" s="63" t="e">
        <f>VLOOKUP(C1210,'RAW DATA 2023'!E:BP,63,0)</f>
        <v>#N/A</v>
      </c>
      <c r="E1210" s="63" t="e">
        <f t="shared" si="91"/>
        <v>#N/A</v>
      </c>
      <c r="F1210" s="79" t="e">
        <f>ROUND(VLOOKUP(C1210,'RAW DATA 2023'!E:BO,23,0),0)</f>
        <v>#N/A</v>
      </c>
      <c r="G1210" s="79" t="e">
        <f>VLOOKUP(C1210,'RAW DATA 2023'!E:BO,24,0)</f>
        <v>#N/A</v>
      </c>
      <c r="H1210" s="79" t="str">
        <f>IFERROR(VLOOKUP(F1210,STD!A:G,3,TRUE),"")</f>
        <v/>
      </c>
      <c r="I1210" s="100">
        <f t="shared" si="92"/>
        <v>0</v>
      </c>
      <c r="J1210" s="74">
        <f t="shared" si="93"/>
        <v>-15</v>
      </c>
      <c r="K1210" t="e">
        <f>VLOOKUP(C1210,'RAW DATA 2023'!E:BO,12,0)</f>
        <v>#N/A</v>
      </c>
      <c r="L1210" s="268" t="e">
        <f t="shared" si="94"/>
        <v>#N/A</v>
      </c>
    </row>
    <row r="1211" spans="1:12">
      <c r="A1211" s="64">
        <f>'RAW DATA 2023'!B1204</f>
        <v>0</v>
      </c>
      <c r="B1211" s="64">
        <f>'RAW DATA 2023'!D1204</f>
        <v>0</v>
      </c>
      <c r="C1211" s="63" t="str">
        <f t="shared" si="90"/>
        <v>00</v>
      </c>
      <c r="D1211" s="63" t="e">
        <f>VLOOKUP(C1211,'RAW DATA 2023'!E:BP,63,0)</f>
        <v>#N/A</v>
      </c>
      <c r="E1211" s="63" t="e">
        <f t="shared" si="91"/>
        <v>#N/A</v>
      </c>
      <c r="F1211" s="79" t="e">
        <f>ROUND(VLOOKUP(C1211,'RAW DATA 2023'!E:BO,23,0),0)</f>
        <v>#N/A</v>
      </c>
      <c r="G1211" s="79" t="e">
        <f>VLOOKUP(C1211,'RAW DATA 2023'!E:BO,24,0)</f>
        <v>#N/A</v>
      </c>
      <c r="H1211" s="79" t="str">
        <f>IFERROR(VLOOKUP(F1211,STD!A:G,3,TRUE),"")</f>
        <v/>
      </c>
      <c r="I1211" s="100">
        <f t="shared" si="92"/>
        <v>0</v>
      </c>
      <c r="J1211" s="74">
        <f t="shared" si="93"/>
        <v>-15</v>
      </c>
      <c r="K1211" t="e">
        <f>VLOOKUP(C1211,'RAW DATA 2023'!E:BO,12,0)</f>
        <v>#N/A</v>
      </c>
      <c r="L1211" s="268" t="e">
        <f t="shared" si="94"/>
        <v>#N/A</v>
      </c>
    </row>
    <row r="1212" spans="1:12">
      <c r="A1212" s="64">
        <f>'RAW DATA 2023'!B1205</f>
        <v>0</v>
      </c>
      <c r="B1212" s="64">
        <f>'RAW DATA 2023'!D1205</f>
        <v>0</v>
      </c>
      <c r="C1212" s="63" t="str">
        <f t="shared" si="90"/>
        <v>00</v>
      </c>
      <c r="D1212" s="63" t="e">
        <f>VLOOKUP(C1212,'RAW DATA 2023'!E:BP,63,0)</f>
        <v>#N/A</v>
      </c>
      <c r="E1212" s="63" t="e">
        <f t="shared" si="91"/>
        <v>#N/A</v>
      </c>
      <c r="F1212" s="79" t="e">
        <f>ROUND(VLOOKUP(C1212,'RAW DATA 2023'!E:BO,23,0),0)</f>
        <v>#N/A</v>
      </c>
      <c r="G1212" s="79" t="e">
        <f>VLOOKUP(C1212,'RAW DATA 2023'!E:BO,24,0)</f>
        <v>#N/A</v>
      </c>
      <c r="H1212" s="79" t="str">
        <f>IFERROR(VLOOKUP(F1212,STD!A:G,3,TRUE),"")</f>
        <v/>
      </c>
      <c r="I1212" s="100">
        <f t="shared" si="92"/>
        <v>0</v>
      </c>
      <c r="J1212" s="74">
        <f t="shared" si="93"/>
        <v>-15</v>
      </c>
      <c r="K1212" t="e">
        <f>VLOOKUP(C1212,'RAW DATA 2023'!E:BO,12,0)</f>
        <v>#N/A</v>
      </c>
      <c r="L1212" s="268" t="e">
        <f t="shared" si="94"/>
        <v>#N/A</v>
      </c>
    </row>
    <row r="1213" spans="1:12">
      <c r="A1213" s="64">
        <f>'RAW DATA 2023'!B1206</f>
        <v>0</v>
      </c>
      <c r="B1213" s="64">
        <f>'RAW DATA 2023'!D1206</f>
        <v>0</v>
      </c>
      <c r="C1213" s="63" t="str">
        <f t="shared" si="90"/>
        <v>00</v>
      </c>
      <c r="D1213" s="63" t="e">
        <f>VLOOKUP(C1213,'RAW DATA 2023'!E:BP,63,0)</f>
        <v>#N/A</v>
      </c>
      <c r="E1213" s="63" t="e">
        <f t="shared" si="91"/>
        <v>#N/A</v>
      </c>
      <c r="F1213" s="79" t="e">
        <f>ROUND(VLOOKUP(C1213,'RAW DATA 2023'!E:BO,23,0),0)</f>
        <v>#N/A</v>
      </c>
      <c r="G1213" s="79" t="e">
        <f>VLOOKUP(C1213,'RAW DATA 2023'!E:BO,24,0)</f>
        <v>#N/A</v>
      </c>
      <c r="H1213" s="79" t="str">
        <f>IFERROR(VLOOKUP(F1213,STD!A:G,3,TRUE),"")</f>
        <v/>
      </c>
      <c r="I1213" s="100">
        <f t="shared" si="92"/>
        <v>0</v>
      </c>
      <c r="J1213" s="74">
        <f t="shared" si="93"/>
        <v>-15</v>
      </c>
      <c r="K1213" t="e">
        <f>VLOOKUP(C1213,'RAW DATA 2023'!E:BO,12,0)</f>
        <v>#N/A</v>
      </c>
      <c r="L1213" s="268" t="e">
        <f t="shared" si="94"/>
        <v>#N/A</v>
      </c>
    </row>
    <row r="1214" spans="1:12">
      <c r="A1214" s="64">
        <f>'RAW DATA 2023'!B1207</f>
        <v>0</v>
      </c>
      <c r="B1214" s="64">
        <f>'RAW DATA 2023'!D1207</f>
        <v>0</v>
      </c>
      <c r="C1214" s="63" t="str">
        <f t="shared" si="90"/>
        <v>00</v>
      </c>
      <c r="D1214" s="63" t="e">
        <f>VLOOKUP(C1214,'RAW DATA 2023'!E:BP,63,0)</f>
        <v>#N/A</v>
      </c>
      <c r="E1214" s="63" t="e">
        <f t="shared" si="91"/>
        <v>#N/A</v>
      </c>
      <c r="F1214" s="79" t="e">
        <f>ROUND(VLOOKUP(C1214,'RAW DATA 2023'!E:BO,23,0),0)</f>
        <v>#N/A</v>
      </c>
      <c r="G1214" s="79" t="e">
        <f>VLOOKUP(C1214,'RAW DATA 2023'!E:BO,24,0)</f>
        <v>#N/A</v>
      </c>
      <c r="H1214" s="79" t="str">
        <f>IFERROR(VLOOKUP(F1214,STD!A:G,3,TRUE),"")</f>
        <v/>
      </c>
      <c r="I1214" s="100">
        <f t="shared" si="92"/>
        <v>0</v>
      </c>
      <c r="J1214" s="74">
        <f t="shared" si="93"/>
        <v>-15</v>
      </c>
      <c r="K1214" t="e">
        <f>VLOOKUP(C1214,'RAW DATA 2023'!E:BO,12,0)</f>
        <v>#N/A</v>
      </c>
      <c r="L1214" s="268" t="e">
        <f t="shared" si="94"/>
        <v>#N/A</v>
      </c>
    </row>
    <row r="1215" spans="1:12">
      <c r="A1215" s="64">
        <f>'RAW DATA 2023'!B1208</f>
        <v>0</v>
      </c>
      <c r="B1215" s="64">
        <f>'RAW DATA 2023'!D1208</f>
        <v>0</v>
      </c>
      <c r="C1215" s="63" t="str">
        <f t="shared" si="90"/>
        <v>00</v>
      </c>
      <c r="D1215" s="63" t="e">
        <f>VLOOKUP(C1215,'RAW DATA 2023'!E:BP,63,0)</f>
        <v>#N/A</v>
      </c>
      <c r="E1215" s="63" t="e">
        <f t="shared" si="91"/>
        <v>#N/A</v>
      </c>
      <c r="F1215" s="79" t="e">
        <f>ROUND(VLOOKUP(C1215,'RAW DATA 2023'!E:BO,23,0),0)</f>
        <v>#N/A</v>
      </c>
      <c r="G1215" s="79" t="e">
        <f>VLOOKUP(C1215,'RAW DATA 2023'!E:BO,24,0)</f>
        <v>#N/A</v>
      </c>
      <c r="H1215" s="79" t="str">
        <f>IFERROR(VLOOKUP(F1215,STD!A:G,3,TRUE),"")</f>
        <v/>
      </c>
      <c r="I1215" s="100">
        <f t="shared" si="92"/>
        <v>0</v>
      </c>
      <c r="J1215" s="74">
        <f t="shared" si="93"/>
        <v>-15</v>
      </c>
      <c r="K1215" t="e">
        <f>VLOOKUP(C1215,'RAW DATA 2023'!E:BO,12,0)</f>
        <v>#N/A</v>
      </c>
      <c r="L1215" s="268" t="e">
        <f t="shared" si="94"/>
        <v>#N/A</v>
      </c>
    </row>
    <row r="1216" spans="1:12">
      <c r="A1216" s="64">
        <f>'RAW DATA 2023'!B1209</f>
        <v>0</v>
      </c>
      <c r="B1216" s="64">
        <f>'RAW DATA 2023'!D1209</f>
        <v>0</v>
      </c>
      <c r="C1216" s="63" t="str">
        <f t="shared" si="90"/>
        <v>00</v>
      </c>
      <c r="D1216" s="63" t="e">
        <f>VLOOKUP(C1216,'RAW DATA 2023'!E:BP,63,0)</f>
        <v>#N/A</v>
      </c>
      <c r="E1216" s="63" t="e">
        <f t="shared" si="91"/>
        <v>#N/A</v>
      </c>
      <c r="F1216" s="79" t="e">
        <f>ROUND(VLOOKUP(C1216,'RAW DATA 2023'!E:BO,23,0),0)</f>
        <v>#N/A</v>
      </c>
      <c r="G1216" s="79" t="e">
        <f>VLOOKUP(C1216,'RAW DATA 2023'!E:BO,24,0)</f>
        <v>#N/A</v>
      </c>
      <c r="H1216" s="79" t="str">
        <f>IFERROR(VLOOKUP(F1216,STD!A:G,3,TRUE),"")</f>
        <v/>
      </c>
      <c r="I1216" s="100">
        <f t="shared" si="92"/>
        <v>0</v>
      </c>
      <c r="J1216" s="74">
        <f t="shared" si="93"/>
        <v>-15</v>
      </c>
      <c r="K1216" t="e">
        <f>VLOOKUP(C1216,'RAW DATA 2023'!E:BO,12,0)</f>
        <v>#N/A</v>
      </c>
      <c r="L1216" s="268" t="e">
        <f t="shared" si="94"/>
        <v>#N/A</v>
      </c>
    </row>
    <row r="1217" spans="1:12">
      <c r="A1217" s="64">
        <f>'RAW DATA 2023'!B1210</f>
        <v>0</v>
      </c>
      <c r="B1217" s="64">
        <f>'RAW DATA 2023'!D1210</f>
        <v>0</v>
      </c>
      <c r="C1217" s="63" t="str">
        <f t="shared" si="90"/>
        <v>00</v>
      </c>
      <c r="D1217" s="63" t="e">
        <f>VLOOKUP(C1217,'RAW DATA 2023'!E:BP,63,0)</f>
        <v>#N/A</v>
      </c>
      <c r="E1217" s="63" t="e">
        <f t="shared" si="91"/>
        <v>#N/A</v>
      </c>
      <c r="F1217" s="79" t="e">
        <f>ROUND(VLOOKUP(C1217,'RAW DATA 2023'!E:BO,23,0),0)</f>
        <v>#N/A</v>
      </c>
      <c r="G1217" s="79" t="e">
        <f>VLOOKUP(C1217,'RAW DATA 2023'!E:BO,24,0)</f>
        <v>#N/A</v>
      </c>
      <c r="H1217" s="79" t="str">
        <f>IFERROR(VLOOKUP(F1217,STD!A:G,3,TRUE),"")</f>
        <v/>
      </c>
      <c r="I1217" s="100">
        <f t="shared" si="92"/>
        <v>0</v>
      </c>
      <c r="J1217" s="74">
        <f t="shared" si="93"/>
        <v>-15</v>
      </c>
      <c r="K1217" t="e">
        <f>VLOOKUP(C1217,'RAW DATA 2023'!E:BO,12,0)</f>
        <v>#N/A</v>
      </c>
      <c r="L1217" s="268" t="e">
        <f t="shared" si="94"/>
        <v>#N/A</v>
      </c>
    </row>
    <row r="1218" spans="1:12">
      <c r="A1218" s="64">
        <f>'RAW DATA 2023'!B1211</f>
        <v>0</v>
      </c>
      <c r="B1218" s="64">
        <f>'RAW DATA 2023'!D1211</f>
        <v>0</v>
      </c>
      <c r="C1218" s="63" t="str">
        <f t="shared" si="90"/>
        <v>00</v>
      </c>
      <c r="D1218" s="63" t="e">
        <f>VLOOKUP(C1218,'RAW DATA 2023'!E:BP,63,0)</f>
        <v>#N/A</v>
      </c>
      <c r="E1218" s="63" t="e">
        <f t="shared" si="91"/>
        <v>#N/A</v>
      </c>
      <c r="F1218" s="79" t="e">
        <f>ROUND(VLOOKUP(C1218,'RAW DATA 2023'!E:BO,23,0),0)</f>
        <v>#N/A</v>
      </c>
      <c r="G1218" s="79" t="e">
        <f>VLOOKUP(C1218,'RAW DATA 2023'!E:BO,24,0)</f>
        <v>#N/A</v>
      </c>
      <c r="H1218" s="79" t="str">
        <f>IFERROR(VLOOKUP(F1218,STD!A:G,3,TRUE),"")</f>
        <v/>
      </c>
      <c r="I1218" s="100">
        <f t="shared" si="92"/>
        <v>0</v>
      </c>
      <c r="J1218" s="74">
        <f t="shared" si="93"/>
        <v>-15</v>
      </c>
      <c r="K1218" t="e">
        <f>VLOOKUP(C1218,'RAW DATA 2023'!E:BO,12,0)</f>
        <v>#N/A</v>
      </c>
      <c r="L1218" s="268" t="e">
        <f t="shared" si="94"/>
        <v>#N/A</v>
      </c>
    </row>
    <row r="1219" spans="1:12">
      <c r="A1219" s="64">
        <f>'RAW DATA 2023'!B1212</f>
        <v>0</v>
      </c>
      <c r="B1219" s="64">
        <f>'RAW DATA 2023'!D1212</f>
        <v>0</v>
      </c>
      <c r="C1219" s="63" t="str">
        <f t="shared" si="90"/>
        <v>00</v>
      </c>
      <c r="D1219" s="63" t="e">
        <f>VLOOKUP(C1219,'RAW DATA 2023'!E:BP,63,0)</f>
        <v>#N/A</v>
      </c>
      <c r="E1219" s="63" t="e">
        <f t="shared" si="91"/>
        <v>#N/A</v>
      </c>
      <c r="F1219" s="79" t="e">
        <f>ROUND(VLOOKUP(C1219,'RAW DATA 2023'!E:BO,23,0),0)</f>
        <v>#N/A</v>
      </c>
      <c r="G1219" s="79" t="e">
        <f>VLOOKUP(C1219,'RAW DATA 2023'!E:BO,24,0)</f>
        <v>#N/A</v>
      </c>
      <c r="H1219" s="79" t="str">
        <f>IFERROR(VLOOKUP(F1219,STD!A:G,3,TRUE),"")</f>
        <v/>
      </c>
      <c r="I1219" s="100">
        <f t="shared" si="92"/>
        <v>0</v>
      </c>
      <c r="J1219" s="74">
        <f t="shared" si="93"/>
        <v>-15</v>
      </c>
      <c r="K1219" t="e">
        <f>VLOOKUP(C1219,'RAW DATA 2023'!E:BO,12,0)</f>
        <v>#N/A</v>
      </c>
      <c r="L1219" s="268" t="e">
        <f t="shared" si="94"/>
        <v>#N/A</v>
      </c>
    </row>
    <row r="1220" spans="1:12">
      <c r="A1220" s="64">
        <f>'RAW DATA 2023'!B1213</f>
        <v>0</v>
      </c>
      <c r="B1220" s="64">
        <f>'RAW DATA 2023'!D1213</f>
        <v>0</v>
      </c>
      <c r="C1220" s="63" t="str">
        <f t="shared" si="90"/>
        <v>00</v>
      </c>
      <c r="D1220" s="63" t="e">
        <f>VLOOKUP(C1220,'RAW DATA 2023'!E:BP,63,0)</f>
        <v>#N/A</v>
      </c>
      <c r="E1220" s="63" t="e">
        <f t="shared" si="91"/>
        <v>#N/A</v>
      </c>
      <c r="F1220" s="79" t="e">
        <f>ROUND(VLOOKUP(C1220,'RAW DATA 2023'!E:BO,23,0),0)</f>
        <v>#N/A</v>
      </c>
      <c r="G1220" s="79" t="e">
        <f>VLOOKUP(C1220,'RAW DATA 2023'!E:BO,24,0)</f>
        <v>#N/A</v>
      </c>
      <c r="H1220" s="79" t="str">
        <f>IFERROR(VLOOKUP(F1220,STD!A:G,3,TRUE),"")</f>
        <v/>
      </c>
      <c r="I1220" s="100">
        <f t="shared" si="92"/>
        <v>0</v>
      </c>
      <c r="J1220" s="74">
        <f t="shared" si="93"/>
        <v>-15</v>
      </c>
      <c r="K1220" t="e">
        <f>VLOOKUP(C1220,'RAW DATA 2023'!E:BO,12,0)</f>
        <v>#N/A</v>
      </c>
      <c r="L1220" s="268" t="e">
        <f t="shared" si="94"/>
        <v>#N/A</v>
      </c>
    </row>
    <row r="1221" spans="1:12">
      <c r="A1221" s="64">
        <f>'RAW DATA 2023'!B1214</f>
        <v>0</v>
      </c>
      <c r="B1221" s="64">
        <f>'RAW DATA 2023'!D1214</f>
        <v>0</v>
      </c>
      <c r="C1221" s="63" t="str">
        <f t="shared" si="90"/>
        <v>00</v>
      </c>
      <c r="D1221" s="63" t="e">
        <f>VLOOKUP(C1221,'RAW DATA 2023'!E:BP,63,0)</f>
        <v>#N/A</v>
      </c>
      <c r="E1221" s="63" t="e">
        <f t="shared" si="91"/>
        <v>#N/A</v>
      </c>
      <c r="F1221" s="79" t="e">
        <f>ROUND(VLOOKUP(C1221,'RAW DATA 2023'!E:BO,23,0),0)</f>
        <v>#N/A</v>
      </c>
      <c r="G1221" s="79" t="e">
        <f>VLOOKUP(C1221,'RAW DATA 2023'!E:BO,24,0)</f>
        <v>#N/A</v>
      </c>
      <c r="H1221" s="79" t="str">
        <f>IFERROR(VLOOKUP(F1221,STD!A:G,3,TRUE),"")</f>
        <v/>
      </c>
      <c r="I1221" s="100">
        <f t="shared" si="92"/>
        <v>0</v>
      </c>
      <c r="J1221" s="74">
        <f t="shared" si="93"/>
        <v>-15</v>
      </c>
      <c r="K1221" t="e">
        <f>VLOOKUP(C1221,'RAW DATA 2023'!E:BO,12,0)</f>
        <v>#N/A</v>
      </c>
      <c r="L1221" s="268" t="e">
        <f t="shared" si="94"/>
        <v>#N/A</v>
      </c>
    </row>
    <row r="1222" spans="1:12">
      <c r="A1222" s="64">
        <f>'RAW DATA 2023'!B1215</f>
        <v>0</v>
      </c>
      <c r="B1222" s="64">
        <f>'RAW DATA 2023'!D1215</f>
        <v>0</v>
      </c>
      <c r="C1222" s="63" t="str">
        <f t="shared" si="90"/>
        <v>00</v>
      </c>
      <c r="D1222" s="63" t="e">
        <f>VLOOKUP(C1222,'RAW DATA 2023'!E:BP,63,0)</f>
        <v>#N/A</v>
      </c>
      <c r="E1222" s="63" t="e">
        <f t="shared" si="91"/>
        <v>#N/A</v>
      </c>
      <c r="F1222" s="79" t="e">
        <f>ROUND(VLOOKUP(C1222,'RAW DATA 2023'!E:BO,23,0),0)</f>
        <v>#N/A</v>
      </c>
      <c r="G1222" s="79" t="e">
        <f>VLOOKUP(C1222,'RAW DATA 2023'!E:BO,24,0)</f>
        <v>#N/A</v>
      </c>
      <c r="H1222" s="79" t="str">
        <f>IFERROR(VLOOKUP(F1222,STD!A:G,3,TRUE),"")</f>
        <v/>
      </c>
      <c r="I1222" s="100">
        <f t="shared" si="92"/>
        <v>0</v>
      </c>
      <c r="J1222" s="74">
        <f t="shared" si="93"/>
        <v>-15</v>
      </c>
      <c r="K1222" t="e">
        <f>VLOOKUP(C1222,'RAW DATA 2023'!E:BO,12,0)</f>
        <v>#N/A</v>
      </c>
      <c r="L1222" s="268" t="e">
        <f t="shared" si="94"/>
        <v>#N/A</v>
      </c>
    </row>
    <row r="1223" spans="1:12">
      <c r="A1223" s="64">
        <f>'RAW DATA 2023'!B1216</f>
        <v>0</v>
      </c>
      <c r="B1223" s="64">
        <f>'RAW DATA 2023'!D1216</f>
        <v>0</v>
      </c>
      <c r="C1223" s="63" t="str">
        <f t="shared" si="90"/>
        <v>00</v>
      </c>
      <c r="D1223" s="63" t="e">
        <f>VLOOKUP(C1223,'RAW DATA 2023'!E:BP,63,0)</f>
        <v>#N/A</v>
      </c>
      <c r="E1223" s="63" t="e">
        <f t="shared" si="91"/>
        <v>#N/A</v>
      </c>
      <c r="F1223" s="79" t="e">
        <f>ROUND(VLOOKUP(C1223,'RAW DATA 2023'!E:BO,23,0),0)</f>
        <v>#N/A</v>
      </c>
      <c r="G1223" s="79" t="e">
        <f>VLOOKUP(C1223,'RAW DATA 2023'!E:BO,24,0)</f>
        <v>#N/A</v>
      </c>
      <c r="H1223" s="79" t="str">
        <f>IFERROR(VLOOKUP(F1223,STD!A:G,3,TRUE),"")</f>
        <v/>
      </c>
      <c r="I1223" s="100">
        <f t="shared" si="92"/>
        <v>0</v>
      </c>
      <c r="J1223" s="74">
        <f t="shared" si="93"/>
        <v>-15</v>
      </c>
      <c r="K1223" t="e">
        <f>VLOOKUP(C1223,'RAW DATA 2023'!E:BO,12,0)</f>
        <v>#N/A</v>
      </c>
      <c r="L1223" s="268" t="e">
        <f t="shared" si="94"/>
        <v>#N/A</v>
      </c>
    </row>
    <row r="1224" spans="1:12">
      <c r="A1224" s="64">
        <f>'RAW DATA 2023'!B1217</f>
        <v>0</v>
      </c>
      <c r="B1224" s="64">
        <f>'RAW DATA 2023'!D1217</f>
        <v>0</v>
      </c>
      <c r="C1224" s="63" t="str">
        <f t="shared" si="90"/>
        <v>00</v>
      </c>
      <c r="D1224" s="63" t="e">
        <f>VLOOKUP(C1224,'RAW DATA 2023'!E:BP,63,0)</f>
        <v>#N/A</v>
      </c>
      <c r="E1224" s="63" t="e">
        <f t="shared" si="91"/>
        <v>#N/A</v>
      </c>
      <c r="F1224" s="79" t="e">
        <f>ROUND(VLOOKUP(C1224,'RAW DATA 2023'!E:BO,23,0),0)</f>
        <v>#N/A</v>
      </c>
      <c r="G1224" s="79" t="e">
        <f>VLOOKUP(C1224,'RAW DATA 2023'!E:BO,24,0)</f>
        <v>#N/A</v>
      </c>
      <c r="H1224" s="79" t="str">
        <f>IFERROR(VLOOKUP(F1224,STD!A:G,3,TRUE),"")</f>
        <v/>
      </c>
      <c r="I1224" s="100">
        <f t="shared" si="92"/>
        <v>0</v>
      </c>
      <c r="J1224" s="74">
        <f t="shared" si="93"/>
        <v>-15</v>
      </c>
      <c r="K1224" t="e">
        <f>VLOOKUP(C1224,'RAW DATA 2023'!E:BO,12,0)</f>
        <v>#N/A</v>
      </c>
      <c r="L1224" s="268" t="e">
        <f t="shared" si="94"/>
        <v>#N/A</v>
      </c>
    </row>
    <row r="1225" spans="1:12">
      <c r="A1225" s="64">
        <f>'RAW DATA 2023'!B1218</f>
        <v>0</v>
      </c>
      <c r="B1225" s="64">
        <f>'RAW DATA 2023'!D1218</f>
        <v>0</v>
      </c>
      <c r="C1225" s="63" t="str">
        <f t="shared" si="90"/>
        <v>00</v>
      </c>
      <c r="D1225" s="63" t="e">
        <f>VLOOKUP(C1225,'RAW DATA 2023'!E:BP,63,0)</f>
        <v>#N/A</v>
      </c>
      <c r="E1225" s="63" t="e">
        <f t="shared" si="91"/>
        <v>#N/A</v>
      </c>
      <c r="F1225" s="79" t="e">
        <f>ROUND(VLOOKUP(C1225,'RAW DATA 2023'!E:BO,23,0),0)</f>
        <v>#N/A</v>
      </c>
      <c r="G1225" s="79" t="e">
        <f>VLOOKUP(C1225,'RAW DATA 2023'!E:BO,24,0)</f>
        <v>#N/A</v>
      </c>
      <c r="H1225" s="79" t="str">
        <f>IFERROR(VLOOKUP(F1225,STD!A:G,3,TRUE),"")</f>
        <v/>
      </c>
      <c r="I1225" s="100">
        <f t="shared" si="92"/>
        <v>0</v>
      </c>
      <c r="J1225" s="74">
        <f t="shared" si="93"/>
        <v>-15</v>
      </c>
      <c r="K1225" t="e">
        <f>VLOOKUP(C1225,'RAW DATA 2023'!E:BO,12,0)</f>
        <v>#N/A</v>
      </c>
      <c r="L1225" s="268" t="e">
        <f t="shared" si="94"/>
        <v>#N/A</v>
      </c>
    </row>
    <row r="1226" spans="1:12">
      <c r="A1226" s="64">
        <f>'RAW DATA 2023'!B1219</f>
        <v>0</v>
      </c>
      <c r="B1226" s="64">
        <f>'RAW DATA 2023'!D1219</f>
        <v>0</v>
      </c>
      <c r="C1226" s="63" t="str">
        <f t="shared" ref="C1226:C1289" si="95">A1226&amp;B1226</f>
        <v>00</v>
      </c>
      <c r="D1226" s="63" t="e">
        <f>VLOOKUP(C1226,'RAW DATA 2023'!E:BP,63,0)</f>
        <v>#N/A</v>
      </c>
      <c r="E1226" s="63" t="e">
        <f t="shared" ref="E1226:E1289" si="96">A1226&amp;D1226</f>
        <v>#N/A</v>
      </c>
      <c r="F1226" s="79" t="e">
        <f>ROUND(VLOOKUP(C1226,'RAW DATA 2023'!E:BO,23,0),0)</f>
        <v>#N/A</v>
      </c>
      <c r="G1226" s="79" t="e">
        <f>VLOOKUP(C1226,'RAW DATA 2023'!E:BO,24,0)</f>
        <v>#N/A</v>
      </c>
      <c r="H1226" s="79" t="str">
        <f>IFERROR(VLOOKUP(F1226,STD!A:G,3,TRUE),"")</f>
        <v/>
      </c>
      <c r="I1226" s="100">
        <f t="shared" si="92"/>
        <v>0</v>
      </c>
      <c r="J1226" s="74">
        <f t="shared" si="93"/>
        <v>-15</v>
      </c>
      <c r="K1226" t="e">
        <f>VLOOKUP(C1226,'RAW DATA 2023'!E:BO,12,0)</f>
        <v>#N/A</v>
      </c>
      <c r="L1226" s="268" t="e">
        <f t="shared" si="94"/>
        <v>#N/A</v>
      </c>
    </row>
    <row r="1227" spans="1:12">
      <c r="A1227" s="64">
        <f>'RAW DATA 2023'!B1220</f>
        <v>0</v>
      </c>
      <c r="B1227" s="64">
        <f>'RAW DATA 2023'!D1220</f>
        <v>0</v>
      </c>
      <c r="C1227" s="63" t="str">
        <f t="shared" si="95"/>
        <v>00</v>
      </c>
      <c r="D1227" s="63" t="e">
        <f>VLOOKUP(C1227,'RAW DATA 2023'!E:BP,63,0)</f>
        <v>#N/A</v>
      </c>
      <c r="E1227" s="63" t="e">
        <f t="shared" si="96"/>
        <v>#N/A</v>
      </c>
      <c r="F1227" s="79" t="e">
        <f>ROUND(VLOOKUP(C1227,'RAW DATA 2023'!E:BO,23,0),0)</f>
        <v>#N/A</v>
      </c>
      <c r="G1227" s="79" t="e">
        <f>VLOOKUP(C1227,'RAW DATA 2023'!E:BO,24,0)</f>
        <v>#N/A</v>
      </c>
      <c r="H1227" s="79" t="str">
        <f>IFERROR(VLOOKUP(F1227,STD!A:G,3,TRUE),"")</f>
        <v/>
      </c>
      <c r="I1227" s="100">
        <f t="shared" ref="I1227:I1290" si="97">IFERROR(G1227/H1227,0)</f>
        <v>0</v>
      </c>
      <c r="J1227" s="74">
        <f t="shared" ref="J1227:J1290" si="98">(I1227-$E$4)*$E$7</f>
        <v>-15</v>
      </c>
      <c r="K1227" t="e">
        <f>VLOOKUP(C1227,'RAW DATA 2023'!E:BO,12,0)</f>
        <v>#N/A</v>
      </c>
      <c r="L1227" s="268" t="e">
        <f t="shared" ref="L1227:L1290" si="99">J1227*K1227</f>
        <v>#N/A</v>
      </c>
    </row>
    <row r="1228" spans="1:12">
      <c r="A1228" s="64">
        <f>'RAW DATA 2023'!B1221</f>
        <v>0</v>
      </c>
      <c r="B1228" s="64">
        <f>'RAW DATA 2023'!D1221</f>
        <v>0</v>
      </c>
      <c r="C1228" s="63" t="str">
        <f t="shared" si="95"/>
        <v>00</v>
      </c>
      <c r="D1228" s="63" t="e">
        <f>VLOOKUP(C1228,'RAW DATA 2023'!E:BP,63,0)</f>
        <v>#N/A</v>
      </c>
      <c r="E1228" s="63" t="e">
        <f t="shared" si="96"/>
        <v>#N/A</v>
      </c>
      <c r="F1228" s="79" t="e">
        <f>ROUND(VLOOKUP(C1228,'RAW DATA 2023'!E:BO,23,0),0)</f>
        <v>#N/A</v>
      </c>
      <c r="G1228" s="79" t="e">
        <f>VLOOKUP(C1228,'RAW DATA 2023'!E:BO,24,0)</f>
        <v>#N/A</v>
      </c>
      <c r="H1228" s="79" t="str">
        <f>IFERROR(VLOOKUP(F1228,STD!A:G,3,TRUE),"")</f>
        <v/>
      </c>
      <c r="I1228" s="100">
        <f t="shared" si="97"/>
        <v>0</v>
      </c>
      <c r="J1228" s="74">
        <f t="shared" si="98"/>
        <v>-15</v>
      </c>
      <c r="K1228" t="e">
        <f>VLOOKUP(C1228,'RAW DATA 2023'!E:BO,12,0)</f>
        <v>#N/A</v>
      </c>
      <c r="L1228" s="268" t="e">
        <f t="shared" si="99"/>
        <v>#N/A</v>
      </c>
    </row>
    <row r="1229" spans="1:12">
      <c r="A1229" s="64">
        <f>'RAW DATA 2023'!B1222</f>
        <v>0</v>
      </c>
      <c r="B1229" s="64">
        <f>'RAW DATA 2023'!D1222</f>
        <v>0</v>
      </c>
      <c r="C1229" s="63" t="str">
        <f t="shared" si="95"/>
        <v>00</v>
      </c>
      <c r="D1229" s="63" t="e">
        <f>VLOOKUP(C1229,'RAW DATA 2023'!E:BP,63,0)</f>
        <v>#N/A</v>
      </c>
      <c r="E1229" s="63" t="e">
        <f t="shared" si="96"/>
        <v>#N/A</v>
      </c>
      <c r="F1229" s="79" t="e">
        <f>ROUND(VLOOKUP(C1229,'RAW DATA 2023'!E:BO,23,0),0)</f>
        <v>#N/A</v>
      </c>
      <c r="G1229" s="79" t="e">
        <f>VLOOKUP(C1229,'RAW DATA 2023'!E:BO,24,0)</f>
        <v>#N/A</v>
      </c>
      <c r="H1229" s="79" t="str">
        <f>IFERROR(VLOOKUP(F1229,STD!A:G,3,TRUE),"")</f>
        <v/>
      </c>
      <c r="I1229" s="100">
        <f t="shared" si="97"/>
        <v>0</v>
      </c>
      <c r="J1229" s="74">
        <f t="shared" si="98"/>
        <v>-15</v>
      </c>
      <c r="K1229" t="e">
        <f>VLOOKUP(C1229,'RAW DATA 2023'!E:BO,12,0)</f>
        <v>#N/A</v>
      </c>
      <c r="L1229" s="268" t="e">
        <f t="shared" si="99"/>
        <v>#N/A</v>
      </c>
    </row>
    <row r="1230" spans="1:12">
      <c r="A1230" s="64">
        <f>'RAW DATA 2023'!B1223</f>
        <v>0</v>
      </c>
      <c r="B1230" s="64">
        <f>'RAW DATA 2023'!D1223</f>
        <v>0</v>
      </c>
      <c r="C1230" s="63" t="str">
        <f t="shared" si="95"/>
        <v>00</v>
      </c>
      <c r="D1230" s="63" t="e">
        <f>VLOOKUP(C1230,'RAW DATA 2023'!E:BP,63,0)</f>
        <v>#N/A</v>
      </c>
      <c r="E1230" s="63" t="e">
        <f t="shared" si="96"/>
        <v>#N/A</v>
      </c>
      <c r="F1230" s="79" t="e">
        <f>ROUND(VLOOKUP(C1230,'RAW DATA 2023'!E:BO,23,0),0)</f>
        <v>#N/A</v>
      </c>
      <c r="G1230" s="79" t="e">
        <f>VLOOKUP(C1230,'RAW DATA 2023'!E:BO,24,0)</f>
        <v>#N/A</v>
      </c>
      <c r="H1230" s="79" t="str">
        <f>IFERROR(VLOOKUP(F1230,STD!A:G,3,TRUE),"")</f>
        <v/>
      </c>
      <c r="I1230" s="100">
        <f t="shared" si="97"/>
        <v>0</v>
      </c>
      <c r="J1230" s="74">
        <f t="shared" si="98"/>
        <v>-15</v>
      </c>
      <c r="K1230" t="e">
        <f>VLOOKUP(C1230,'RAW DATA 2023'!E:BO,12,0)</f>
        <v>#N/A</v>
      </c>
      <c r="L1230" s="268" t="e">
        <f t="shared" si="99"/>
        <v>#N/A</v>
      </c>
    </row>
    <row r="1231" spans="1:12">
      <c r="A1231" s="64">
        <f>'RAW DATA 2023'!B1224</f>
        <v>0</v>
      </c>
      <c r="B1231" s="64">
        <f>'RAW DATA 2023'!D1224</f>
        <v>0</v>
      </c>
      <c r="C1231" s="63" t="str">
        <f t="shared" si="95"/>
        <v>00</v>
      </c>
      <c r="D1231" s="63" t="e">
        <f>VLOOKUP(C1231,'RAW DATA 2023'!E:BP,63,0)</f>
        <v>#N/A</v>
      </c>
      <c r="E1231" s="63" t="e">
        <f t="shared" si="96"/>
        <v>#N/A</v>
      </c>
      <c r="F1231" s="79" t="e">
        <f>ROUND(VLOOKUP(C1231,'RAW DATA 2023'!E:BO,23,0),0)</f>
        <v>#N/A</v>
      </c>
      <c r="G1231" s="79" t="e">
        <f>VLOOKUP(C1231,'RAW DATA 2023'!E:BO,24,0)</f>
        <v>#N/A</v>
      </c>
      <c r="H1231" s="79" t="str">
        <f>IFERROR(VLOOKUP(F1231,STD!A:G,3,TRUE),"")</f>
        <v/>
      </c>
      <c r="I1231" s="100">
        <f t="shared" si="97"/>
        <v>0</v>
      </c>
      <c r="J1231" s="74">
        <f t="shared" si="98"/>
        <v>-15</v>
      </c>
      <c r="K1231" t="e">
        <f>VLOOKUP(C1231,'RAW DATA 2023'!E:BO,12,0)</f>
        <v>#N/A</v>
      </c>
      <c r="L1231" s="268" t="e">
        <f t="shared" si="99"/>
        <v>#N/A</v>
      </c>
    </row>
    <row r="1232" spans="1:12">
      <c r="A1232" s="64">
        <f>'RAW DATA 2023'!B1225</f>
        <v>0</v>
      </c>
      <c r="B1232" s="64">
        <f>'RAW DATA 2023'!D1225</f>
        <v>0</v>
      </c>
      <c r="C1232" s="63" t="str">
        <f t="shared" si="95"/>
        <v>00</v>
      </c>
      <c r="D1232" s="63" t="e">
        <f>VLOOKUP(C1232,'RAW DATA 2023'!E:BP,63,0)</f>
        <v>#N/A</v>
      </c>
      <c r="E1232" s="63" t="e">
        <f t="shared" si="96"/>
        <v>#N/A</v>
      </c>
      <c r="F1232" s="79" t="e">
        <f>ROUND(VLOOKUP(C1232,'RAW DATA 2023'!E:BO,23,0),0)</f>
        <v>#N/A</v>
      </c>
      <c r="G1232" s="79" t="e">
        <f>VLOOKUP(C1232,'RAW DATA 2023'!E:BO,24,0)</f>
        <v>#N/A</v>
      </c>
      <c r="H1232" s="79" t="str">
        <f>IFERROR(VLOOKUP(F1232,STD!A:G,3,TRUE),"")</f>
        <v/>
      </c>
      <c r="I1232" s="100">
        <f t="shared" si="97"/>
        <v>0</v>
      </c>
      <c r="J1232" s="74">
        <f t="shared" si="98"/>
        <v>-15</v>
      </c>
      <c r="K1232" t="e">
        <f>VLOOKUP(C1232,'RAW DATA 2023'!E:BO,12,0)</f>
        <v>#N/A</v>
      </c>
      <c r="L1232" s="268" t="e">
        <f t="shared" si="99"/>
        <v>#N/A</v>
      </c>
    </row>
    <row r="1233" spans="1:12">
      <c r="A1233" s="64">
        <f>'RAW DATA 2023'!B1226</f>
        <v>0</v>
      </c>
      <c r="B1233" s="64">
        <f>'RAW DATA 2023'!D1226</f>
        <v>0</v>
      </c>
      <c r="C1233" s="63" t="str">
        <f t="shared" si="95"/>
        <v>00</v>
      </c>
      <c r="D1233" s="63" t="e">
        <f>VLOOKUP(C1233,'RAW DATA 2023'!E:BP,63,0)</f>
        <v>#N/A</v>
      </c>
      <c r="E1233" s="63" t="e">
        <f t="shared" si="96"/>
        <v>#N/A</v>
      </c>
      <c r="F1233" s="79" t="e">
        <f>ROUND(VLOOKUP(C1233,'RAW DATA 2023'!E:BO,23,0),0)</f>
        <v>#N/A</v>
      </c>
      <c r="G1233" s="79" t="e">
        <f>VLOOKUP(C1233,'RAW DATA 2023'!E:BO,24,0)</f>
        <v>#N/A</v>
      </c>
      <c r="H1233" s="79" t="str">
        <f>IFERROR(VLOOKUP(F1233,STD!A:G,3,TRUE),"")</f>
        <v/>
      </c>
      <c r="I1233" s="100">
        <f t="shared" si="97"/>
        <v>0</v>
      </c>
      <c r="J1233" s="74">
        <f t="shared" si="98"/>
        <v>-15</v>
      </c>
      <c r="K1233" t="e">
        <f>VLOOKUP(C1233,'RAW DATA 2023'!E:BO,12,0)</f>
        <v>#N/A</v>
      </c>
      <c r="L1233" s="268" t="e">
        <f t="shared" si="99"/>
        <v>#N/A</v>
      </c>
    </row>
    <row r="1234" spans="1:12">
      <c r="A1234" s="64">
        <f>'RAW DATA 2023'!B1227</f>
        <v>0</v>
      </c>
      <c r="B1234" s="64">
        <f>'RAW DATA 2023'!D1227</f>
        <v>0</v>
      </c>
      <c r="C1234" s="63" t="str">
        <f t="shared" si="95"/>
        <v>00</v>
      </c>
      <c r="D1234" s="63" t="e">
        <f>VLOOKUP(C1234,'RAW DATA 2023'!E:BP,63,0)</f>
        <v>#N/A</v>
      </c>
      <c r="E1234" s="63" t="e">
        <f t="shared" si="96"/>
        <v>#N/A</v>
      </c>
      <c r="F1234" s="79" t="e">
        <f>ROUND(VLOOKUP(C1234,'RAW DATA 2023'!E:BO,23,0),0)</f>
        <v>#N/A</v>
      </c>
      <c r="G1234" s="79" t="e">
        <f>VLOOKUP(C1234,'RAW DATA 2023'!E:BO,24,0)</f>
        <v>#N/A</v>
      </c>
      <c r="H1234" s="79" t="str">
        <f>IFERROR(VLOOKUP(F1234,STD!A:G,3,TRUE),"")</f>
        <v/>
      </c>
      <c r="I1234" s="100">
        <f t="shared" si="97"/>
        <v>0</v>
      </c>
      <c r="J1234" s="74">
        <f t="shared" si="98"/>
        <v>-15</v>
      </c>
      <c r="K1234" t="e">
        <f>VLOOKUP(C1234,'RAW DATA 2023'!E:BO,12,0)</f>
        <v>#N/A</v>
      </c>
      <c r="L1234" s="268" t="e">
        <f t="shared" si="99"/>
        <v>#N/A</v>
      </c>
    </row>
    <row r="1235" spans="1:12">
      <c r="A1235" s="64">
        <f>'RAW DATA 2023'!B1228</f>
        <v>0</v>
      </c>
      <c r="B1235" s="64">
        <f>'RAW DATA 2023'!D1228</f>
        <v>0</v>
      </c>
      <c r="C1235" s="63" t="str">
        <f t="shared" si="95"/>
        <v>00</v>
      </c>
      <c r="D1235" s="63" t="e">
        <f>VLOOKUP(C1235,'RAW DATA 2023'!E:BP,63,0)</f>
        <v>#N/A</v>
      </c>
      <c r="E1235" s="63" t="e">
        <f t="shared" si="96"/>
        <v>#N/A</v>
      </c>
      <c r="F1235" s="79" t="e">
        <f>ROUND(VLOOKUP(C1235,'RAW DATA 2023'!E:BO,23,0),0)</f>
        <v>#N/A</v>
      </c>
      <c r="G1235" s="79" t="e">
        <f>VLOOKUP(C1235,'RAW DATA 2023'!E:BO,24,0)</f>
        <v>#N/A</v>
      </c>
      <c r="H1235" s="79" t="str">
        <f>IFERROR(VLOOKUP(F1235,STD!A:G,3,TRUE),"")</f>
        <v/>
      </c>
      <c r="I1235" s="100">
        <f t="shared" si="97"/>
        <v>0</v>
      </c>
      <c r="J1235" s="74">
        <f t="shared" si="98"/>
        <v>-15</v>
      </c>
      <c r="K1235" t="e">
        <f>VLOOKUP(C1235,'RAW DATA 2023'!E:BO,12,0)</f>
        <v>#N/A</v>
      </c>
      <c r="L1235" s="268" t="e">
        <f t="shared" si="99"/>
        <v>#N/A</v>
      </c>
    </row>
    <row r="1236" spans="1:12">
      <c r="A1236" s="64">
        <f>'RAW DATA 2023'!B1229</f>
        <v>0</v>
      </c>
      <c r="B1236" s="64">
        <f>'RAW DATA 2023'!D1229</f>
        <v>0</v>
      </c>
      <c r="C1236" s="63" t="str">
        <f t="shared" si="95"/>
        <v>00</v>
      </c>
      <c r="D1236" s="63" t="e">
        <f>VLOOKUP(C1236,'RAW DATA 2023'!E:BP,63,0)</f>
        <v>#N/A</v>
      </c>
      <c r="E1236" s="63" t="e">
        <f t="shared" si="96"/>
        <v>#N/A</v>
      </c>
      <c r="F1236" s="79" t="e">
        <f>ROUND(VLOOKUP(C1236,'RAW DATA 2023'!E:BO,23,0),0)</f>
        <v>#N/A</v>
      </c>
      <c r="G1236" s="79" t="e">
        <f>VLOOKUP(C1236,'RAW DATA 2023'!E:BO,24,0)</f>
        <v>#N/A</v>
      </c>
      <c r="H1236" s="79" t="str">
        <f>IFERROR(VLOOKUP(F1236,STD!A:G,3,TRUE),"")</f>
        <v/>
      </c>
      <c r="I1236" s="100">
        <f t="shared" si="97"/>
        <v>0</v>
      </c>
      <c r="J1236" s="74">
        <f t="shared" si="98"/>
        <v>-15</v>
      </c>
      <c r="K1236" t="e">
        <f>VLOOKUP(C1236,'RAW DATA 2023'!E:BO,12,0)</f>
        <v>#N/A</v>
      </c>
      <c r="L1236" s="268" t="e">
        <f t="shared" si="99"/>
        <v>#N/A</v>
      </c>
    </row>
    <row r="1237" spans="1:12">
      <c r="A1237" s="64">
        <f>'RAW DATA 2023'!B1230</f>
        <v>0</v>
      </c>
      <c r="B1237" s="64">
        <f>'RAW DATA 2023'!D1230</f>
        <v>0</v>
      </c>
      <c r="C1237" s="63" t="str">
        <f t="shared" si="95"/>
        <v>00</v>
      </c>
      <c r="D1237" s="63" t="e">
        <f>VLOOKUP(C1237,'RAW DATA 2023'!E:BP,63,0)</f>
        <v>#N/A</v>
      </c>
      <c r="E1237" s="63" t="e">
        <f t="shared" si="96"/>
        <v>#N/A</v>
      </c>
      <c r="F1237" s="79" t="e">
        <f>ROUND(VLOOKUP(C1237,'RAW DATA 2023'!E:BO,23,0),0)</f>
        <v>#N/A</v>
      </c>
      <c r="G1237" s="79" t="e">
        <f>VLOOKUP(C1237,'RAW DATA 2023'!E:BO,24,0)</f>
        <v>#N/A</v>
      </c>
      <c r="H1237" s="79" t="str">
        <f>IFERROR(VLOOKUP(F1237,STD!A:G,3,TRUE),"")</f>
        <v/>
      </c>
      <c r="I1237" s="100">
        <f t="shared" si="97"/>
        <v>0</v>
      </c>
      <c r="J1237" s="74">
        <f t="shared" si="98"/>
        <v>-15</v>
      </c>
      <c r="K1237" t="e">
        <f>VLOOKUP(C1237,'RAW DATA 2023'!E:BO,12,0)</f>
        <v>#N/A</v>
      </c>
      <c r="L1237" s="268" t="e">
        <f t="shared" si="99"/>
        <v>#N/A</v>
      </c>
    </row>
    <row r="1238" spans="1:12">
      <c r="A1238" s="64">
        <f>'RAW DATA 2023'!B1231</f>
        <v>0</v>
      </c>
      <c r="B1238" s="64">
        <f>'RAW DATA 2023'!D1231</f>
        <v>0</v>
      </c>
      <c r="C1238" s="63" t="str">
        <f t="shared" si="95"/>
        <v>00</v>
      </c>
      <c r="D1238" s="63" t="e">
        <f>VLOOKUP(C1238,'RAW DATA 2023'!E:BP,63,0)</f>
        <v>#N/A</v>
      </c>
      <c r="E1238" s="63" t="e">
        <f t="shared" si="96"/>
        <v>#N/A</v>
      </c>
      <c r="F1238" s="79" t="e">
        <f>ROUND(VLOOKUP(C1238,'RAW DATA 2023'!E:BO,23,0),0)</f>
        <v>#N/A</v>
      </c>
      <c r="G1238" s="79" t="e">
        <f>VLOOKUP(C1238,'RAW DATA 2023'!E:BO,24,0)</f>
        <v>#N/A</v>
      </c>
      <c r="H1238" s="79" t="str">
        <f>IFERROR(VLOOKUP(F1238,STD!A:G,3,TRUE),"")</f>
        <v/>
      </c>
      <c r="I1238" s="100">
        <f t="shared" si="97"/>
        <v>0</v>
      </c>
      <c r="J1238" s="74">
        <f t="shared" si="98"/>
        <v>-15</v>
      </c>
      <c r="K1238" t="e">
        <f>VLOOKUP(C1238,'RAW DATA 2023'!E:BO,12,0)</f>
        <v>#N/A</v>
      </c>
      <c r="L1238" s="268" t="e">
        <f t="shared" si="99"/>
        <v>#N/A</v>
      </c>
    </row>
    <row r="1239" spans="1:12">
      <c r="A1239" s="64">
        <f>'RAW DATA 2023'!B1232</f>
        <v>0</v>
      </c>
      <c r="B1239" s="64">
        <f>'RAW DATA 2023'!D1232</f>
        <v>0</v>
      </c>
      <c r="C1239" s="63" t="str">
        <f t="shared" si="95"/>
        <v>00</v>
      </c>
      <c r="D1239" s="63" t="e">
        <f>VLOOKUP(C1239,'RAW DATA 2023'!E:BP,63,0)</f>
        <v>#N/A</v>
      </c>
      <c r="E1239" s="63" t="e">
        <f t="shared" si="96"/>
        <v>#N/A</v>
      </c>
      <c r="F1239" s="79" t="e">
        <f>ROUND(VLOOKUP(C1239,'RAW DATA 2023'!E:BO,23,0),0)</f>
        <v>#N/A</v>
      </c>
      <c r="G1239" s="79" t="e">
        <f>VLOOKUP(C1239,'RAW DATA 2023'!E:BO,24,0)</f>
        <v>#N/A</v>
      </c>
      <c r="H1239" s="79" t="str">
        <f>IFERROR(VLOOKUP(F1239,STD!A:G,3,TRUE),"")</f>
        <v/>
      </c>
      <c r="I1239" s="100">
        <f t="shared" si="97"/>
        <v>0</v>
      </c>
      <c r="J1239" s="74">
        <f t="shared" si="98"/>
        <v>-15</v>
      </c>
      <c r="K1239" t="e">
        <f>VLOOKUP(C1239,'RAW DATA 2023'!E:BO,12,0)</f>
        <v>#N/A</v>
      </c>
      <c r="L1239" s="268" t="e">
        <f t="shared" si="99"/>
        <v>#N/A</v>
      </c>
    </row>
    <row r="1240" spans="1:12">
      <c r="A1240" s="64">
        <f>'RAW DATA 2023'!B1233</f>
        <v>0</v>
      </c>
      <c r="B1240" s="64">
        <f>'RAW DATA 2023'!D1233</f>
        <v>0</v>
      </c>
      <c r="C1240" s="63" t="str">
        <f t="shared" si="95"/>
        <v>00</v>
      </c>
      <c r="D1240" s="63" t="e">
        <f>VLOOKUP(C1240,'RAW DATA 2023'!E:BP,63,0)</f>
        <v>#N/A</v>
      </c>
      <c r="E1240" s="63" t="e">
        <f t="shared" si="96"/>
        <v>#N/A</v>
      </c>
      <c r="F1240" s="79" t="e">
        <f>ROUND(VLOOKUP(C1240,'RAW DATA 2023'!E:BO,23,0),0)</f>
        <v>#N/A</v>
      </c>
      <c r="G1240" s="79" t="e">
        <f>VLOOKUP(C1240,'RAW DATA 2023'!E:BO,24,0)</f>
        <v>#N/A</v>
      </c>
      <c r="H1240" s="79" t="str">
        <f>IFERROR(VLOOKUP(F1240,STD!A:G,3,TRUE),"")</f>
        <v/>
      </c>
      <c r="I1240" s="100">
        <f t="shared" si="97"/>
        <v>0</v>
      </c>
      <c r="J1240" s="74">
        <f t="shared" si="98"/>
        <v>-15</v>
      </c>
      <c r="K1240" t="e">
        <f>VLOOKUP(C1240,'RAW DATA 2023'!E:BO,12,0)</f>
        <v>#N/A</v>
      </c>
      <c r="L1240" s="268" t="e">
        <f t="shared" si="99"/>
        <v>#N/A</v>
      </c>
    </row>
    <row r="1241" spans="1:12">
      <c r="A1241" s="64">
        <f>'RAW DATA 2023'!B1234</f>
        <v>0</v>
      </c>
      <c r="B1241" s="64">
        <f>'RAW DATA 2023'!D1234</f>
        <v>0</v>
      </c>
      <c r="C1241" s="63" t="str">
        <f t="shared" si="95"/>
        <v>00</v>
      </c>
      <c r="D1241" s="63" t="e">
        <f>VLOOKUP(C1241,'RAW DATA 2023'!E:BP,63,0)</f>
        <v>#N/A</v>
      </c>
      <c r="E1241" s="63" t="e">
        <f t="shared" si="96"/>
        <v>#N/A</v>
      </c>
      <c r="F1241" s="79" t="e">
        <f>ROUND(VLOOKUP(C1241,'RAW DATA 2023'!E:BO,23,0),0)</f>
        <v>#N/A</v>
      </c>
      <c r="G1241" s="79" t="e">
        <f>VLOOKUP(C1241,'RAW DATA 2023'!E:BO,24,0)</f>
        <v>#N/A</v>
      </c>
      <c r="H1241" s="79" t="str">
        <f>IFERROR(VLOOKUP(F1241,STD!A:G,3,TRUE),"")</f>
        <v/>
      </c>
      <c r="I1241" s="100">
        <f t="shared" si="97"/>
        <v>0</v>
      </c>
      <c r="J1241" s="74">
        <f t="shared" si="98"/>
        <v>-15</v>
      </c>
      <c r="K1241" t="e">
        <f>VLOOKUP(C1241,'RAW DATA 2023'!E:BO,12,0)</f>
        <v>#N/A</v>
      </c>
      <c r="L1241" s="268" t="e">
        <f t="shared" si="99"/>
        <v>#N/A</v>
      </c>
    </row>
    <row r="1242" spans="1:12">
      <c r="A1242" s="64">
        <f>'RAW DATA 2023'!B1235</f>
        <v>0</v>
      </c>
      <c r="B1242" s="64">
        <f>'RAW DATA 2023'!D1235</f>
        <v>0</v>
      </c>
      <c r="C1242" s="63" t="str">
        <f t="shared" si="95"/>
        <v>00</v>
      </c>
      <c r="D1242" s="63" t="e">
        <f>VLOOKUP(C1242,'RAW DATA 2023'!E:BP,63,0)</f>
        <v>#N/A</v>
      </c>
      <c r="E1242" s="63" t="e">
        <f t="shared" si="96"/>
        <v>#N/A</v>
      </c>
      <c r="F1242" s="79" t="e">
        <f>ROUND(VLOOKUP(C1242,'RAW DATA 2023'!E:BO,23,0),0)</f>
        <v>#N/A</v>
      </c>
      <c r="G1242" s="79" t="e">
        <f>VLOOKUP(C1242,'RAW DATA 2023'!E:BO,24,0)</f>
        <v>#N/A</v>
      </c>
      <c r="H1242" s="79" t="str">
        <f>IFERROR(VLOOKUP(F1242,STD!A:G,3,TRUE),"")</f>
        <v/>
      </c>
      <c r="I1242" s="100">
        <f t="shared" si="97"/>
        <v>0</v>
      </c>
      <c r="J1242" s="74">
        <f t="shared" si="98"/>
        <v>-15</v>
      </c>
      <c r="K1242" t="e">
        <f>VLOOKUP(C1242,'RAW DATA 2023'!E:BO,12,0)</f>
        <v>#N/A</v>
      </c>
      <c r="L1242" s="268" t="e">
        <f t="shared" si="99"/>
        <v>#N/A</v>
      </c>
    </row>
    <row r="1243" spans="1:12">
      <c r="A1243" s="64">
        <f>'RAW DATA 2023'!B1236</f>
        <v>0</v>
      </c>
      <c r="B1243" s="64">
        <f>'RAW DATA 2023'!D1236</f>
        <v>0</v>
      </c>
      <c r="C1243" s="63" t="str">
        <f t="shared" si="95"/>
        <v>00</v>
      </c>
      <c r="D1243" s="63" t="e">
        <f>VLOOKUP(C1243,'RAW DATA 2023'!E:BP,63,0)</f>
        <v>#N/A</v>
      </c>
      <c r="E1243" s="63" t="e">
        <f t="shared" si="96"/>
        <v>#N/A</v>
      </c>
      <c r="F1243" s="79" t="e">
        <f>ROUND(VLOOKUP(C1243,'RAW DATA 2023'!E:BO,23,0),0)</f>
        <v>#N/A</v>
      </c>
      <c r="G1243" s="79" t="e">
        <f>VLOOKUP(C1243,'RAW DATA 2023'!E:BO,24,0)</f>
        <v>#N/A</v>
      </c>
      <c r="H1243" s="79" t="str">
        <f>IFERROR(VLOOKUP(F1243,STD!A:G,3,TRUE),"")</f>
        <v/>
      </c>
      <c r="I1243" s="100">
        <f t="shared" si="97"/>
        <v>0</v>
      </c>
      <c r="J1243" s="74">
        <f t="shared" si="98"/>
        <v>-15</v>
      </c>
      <c r="K1243" t="e">
        <f>VLOOKUP(C1243,'RAW DATA 2023'!E:BO,12,0)</f>
        <v>#N/A</v>
      </c>
      <c r="L1243" s="268" t="e">
        <f t="shared" si="99"/>
        <v>#N/A</v>
      </c>
    </row>
    <row r="1244" spans="1:12">
      <c r="A1244" s="64">
        <f>'RAW DATA 2023'!B1237</f>
        <v>0</v>
      </c>
      <c r="B1244" s="64">
        <f>'RAW DATA 2023'!D1237</f>
        <v>0</v>
      </c>
      <c r="C1244" s="63" t="str">
        <f t="shared" si="95"/>
        <v>00</v>
      </c>
      <c r="D1244" s="63" t="e">
        <f>VLOOKUP(C1244,'RAW DATA 2023'!E:BP,63,0)</f>
        <v>#N/A</v>
      </c>
      <c r="E1244" s="63" t="e">
        <f t="shared" si="96"/>
        <v>#N/A</v>
      </c>
      <c r="F1244" s="79" t="e">
        <f>ROUND(VLOOKUP(C1244,'RAW DATA 2023'!E:BO,23,0),0)</f>
        <v>#N/A</v>
      </c>
      <c r="G1244" s="79" t="e">
        <f>VLOOKUP(C1244,'RAW DATA 2023'!E:BO,24,0)</f>
        <v>#N/A</v>
      </c>
      <c r="H1244" s="79" t="str">
        <f>IFERROR(VLOOKUP(F1244,STD!A:G,3,TRUE),"")</f>
        <v/>
      </c>
      <c r="I1244" s="100">
        <f t="shared" si="97"/>
        <v>0</v>
      </c>
      <c r="J1244" s="74">
        <f t="shared" si="98"/>
        <v>-15</v>
      </c>
      <c r="K1244" t="e">
        <f>VLOOKUP(C1244,'RAW DATA 2023'!E:BO,12,0)</f>
        <v>#N/A</v>
      </c>
      <c r="L1244" s="268" t="e">
        <f t="shared" si="99"/>
        <v>#N/A</v>
      </c>
    </row>
    <row r="1245" spans="1:12">
      <c r="A1245" s="64">
        <f>'RAW DATA 2023'!B1238</f>
        <v>0</v>
      </c>
      <c r="B1245" s="64">
        <f>'RAW DATA 2023'!D1238</f>
        <v>0</v>
      </c>
      <c r="C1245" s="63" t="str">
        <f t="shared" si="95"/>
        <v>00</v>
      </c>
      <c r="D1245" s="63" t="e">
        <f>VLOOKUP(C1245,'RAW DATA 2023'!E:BP,63,0)</f>
        <v>#N/A</v>
      </c>
      <c r="E1245" s="63" t="e">
        <f t="shared" si="96"/>
        <v>#N/A</v>
      </c>
      <c r="F1245" s="79" t="e">
        <f>ROUND(VLOOKUP(C1245,'RAW DATA 2023'!E:BO,23,0),0)</f>
        <v>#N/A</v>
      </c>
      <c r="G1245" s="79" t="e">
        <f>VLOOKUP(C1245,'RAW DATA 2023'!E:BO,24,0)</f>
        <v>#N/A</v>
      </c>
      <c r="H1245" s="79" t="str">
        <f>IFERROR(VLOOKUP(F1245,STD!A:G,3,TRUE),"")</f>
        <v/>
      </c>
      <c r="I1245" s="100">
        <f t="shared" si="97"/>
        <v>0</v>
      </c>
      <c r="J1245" s="74">
        <f t="shared" si="98"/>
        <v>-15</v>
      </c>
      <c r="K1245" t="e">
        <f>VLOOKUP(C1245,'RAW DATA 2023'!E:BO,12,0)</f>
        <v>#N/A</v>
      </c>
      <c r="L1245" s="268" t="e">
        <f t="shared" si="99"/>
        <v>#N/A</v>
      </c>
    </row>
    <row r="1246" spans="1:12">
      <c r="A1246" s="64">
        <f>'RAW DATA 2023'!B1239</f>
        <v>0</v>
      </c>
      <c r="B1246" s="64">
        <f>'RAW DATA 2023'!D1239</f>
        <v>0</v>
      </c>
      <c r="C1246" s="63" t="str">
        <f t="shared" si="95"/>
        <v>00</v>
      </c>
      <c r="D1246" s="63" t="e">
        <f>VLOOKUP(C1246,'RAW DATA 2023'!E:BP,63,0)</f>
        <v>#N/A</v>
      </c>
      <c r="E1246" s="63" t="e">
        <f t="shared" si="96"/>
        <v>#N/A</v>
      </c>
      <c r="F1246" s="79" t="e">
        <f>ROUND(VLOOKUP(C1246,'RAW DATA 2023'!E:BO,23,0),0)</f>
        <v>#N/A</v>
      </c>
      <c r="G1246" s="79" t="e">
        <f>VLOOKUP(C1246,'RAW DATA 2023'!E:BO,24,0)</f>
        <v>#N/A</v>
      </c>
      <c r="H1246" s="79" t="str">
        <f>IFERROR(VLOOKUP(F1246,STD!A:G,3,TRUE),"")</f>
        <v/>
      </c>
      <c r="I1246" s="100">
        <f t="shared" si="97"/>
        <v>0</v>
      </c>
      <c r="J1246" s="74">
        <f t="shared" si="98"/>
        <v>-15</v>
      </c>
      <c r="K1246" t="e">
        <f>VLOOKUP(C1246,'RAW DATA 2023'!E:BO,12,0)</f>
        <v>#N/A</v>
      </c>
      <c r="L1246" s="268" t="e">
        <f t="shared" si="99"/>
        <v>#N/A</v>
      </c>
    </row>
    <row r="1247" spans="1:12">
      <c r="A1247" s="64">
        <f>'RAW DATA 2023'!B1240</f>
        <v>0</v>
      </c>
      <c r="B1247" s="64">
        <f>'RAW DATA 2023'!D1240</f>
        <v>0</v>
      </c>
      <c r="C1247" s="63" t="str">
        <f t="shared" si="95"/>
        <v>00</v>
      </c>
      <c r="D1247" s="63" t="e">
        <f>VLOOKUP(C1247,'RAW DATA 2023'!E:BP,63,0)</f>
        <v>#N/A</v>
      </c>
      <c r="E1247" s="63" t="e">
        <f t="shared" si="96"/>
        <v>#N/A</v>
      </c>
      <c r="F1247" s="79" t="e">
        <f>ROUND(VLOOKUP(C1247,'RAW DATA 2023'!E:BO,23,0),0)</f>
        <v>#N/A</v>
      </c>
      <c r="G1247" s="79" t="e">
        <f>VLOOKUP(C1247,'RAW DATA 2023'!E:BO,24,0)</f>
        <v>#N/A</v>
      </c>
      <c r="H1247" s="79" t="str">
        <f>IFERROR(VLOOKUP(F1247,STD!A:G,3,TRUE),"")</f>
        <v/>
      </c>
      <c r="I1247" s="100">
        <f t="shared" si="97"/>
        <v>0</v>
      </c>
      <c r="J1247" s="74">
        <f t="shared" si="98"/>
        <v>-15</v>
      </c>
      <c r="K1247" t="e">
        <f>VLOOKUP(C1247,'RAW DATA 2023'!E:BO,12,0)</f>
        <v>#N/A</v>
      </c>
      <c r="L1247" s="268" t="e">
        <f t="shared" si="99"/>
        <v>#N/A</v>
      </c>
    </row>
    <row r="1248" spans="1:12">
      <c r="A1248" s="64">
        <f>'RAW DATA 2023'!B1241</f>
        <v>0</v>
      </c>
      <c r="B1248" s="64">
        <f>'RAW DATA 2023'!D1241</f>
        <v>0</v>
      </c>
      <c r="C1248" s="63" t="str">
        <f t="shared" si="95"/>
        <v>00</v>
      </c>
      <c r="D1248" s="63" t="e">
        <f>VLOOKUP(C1248,'RAW DATA 2023'!E:BP,63,0)</f>
        <v>#N/A</v>
      </c>
      <c r="E1248" s="63" t="e">
        <f t="shared" si="96"/>
        <v>#N/A</v>
      </c>
      <c r="F1248" s="79" t="e">
        <f>ROUND(VLOOKUP(C1248,'RAW DATA 2023'!E:BO,23,0),0)</f>
        <v>#N/A</v>
      </c>
      <c r="G1248" s="79" t="e">
        <f>VLOOKUP(C1248,'RAW DATA 2023'!E:BO,24,0)</f>
        <v>#N/A</v>
      </c>
      <c r="H1248" s="79" t="str">
        <f>IFERROR(VLOOKUP(F1248,STD!A:G,3,TRUE),"")</f>
        <v/>
      </c>
      <c r="I1248" s="100">
        <f t="shared" si="97"/>
        <v>0</v>
      </c>
      <c r="J1248" s="74">
        <f t="shared" si="98"/>
        <v>-15</v>
      </c>
      <c r="K1248" t="e">
        <f>VLOOKUP(C1248,'RAW DATA 2023'!E:BO,12,0)</f>
        <v>#N/A</v>
      </c>
      <c r="L1248" s="268" t="e">
        <f t="shared" si="99"/>
        <v>#N/A</v>
      </c>
    </row>
    <row r="1249" spans="1:12">
      <c r="A1249" s="64">
        <f>'RAW DATA 2023'!B1242</f>
        <v>0</v>
      </c>
      <c r="B1249" s="64">
        <f>'RAW DATA 2023'!D1242</f>
        <v>0</v>
      </c>
      <c r="C1249" s="63" t="str">
        <f t="shared" si="95"/>
        <v>00</v>
      </c>
      <c r="D1249" s="63" t="e">
        <f>VLOOKUP(C1249,'RAW DATA 2023'!E:BP,63,0)</f>
        <v>#N/A</v>
      </c>
      <c r="E1249" s="63" t="e">
        <f t="shared" si="96"/>
        <v>#N/A</v>
      </c>
      <c r="F1249" s="79" t="e">
        <f>ROUND(VLOOKUP(C1249,'RAW DATA 2023'!E:BO,23,0),0)</f>
        <v>#N/A</v>
      </c>
      <c r="G1249" s="79" t="e">
        <f>VLOOKUP(C1249,'RAW DATA 2023'!E:BO,24,0)</f>
        <v>#N/A</v>
      </c>
      <c r="H1249" s="79" t="str">
        <f>IFERROR(VLOOKUP(F1249,STD!A:G,3,TRUE),"")</f>
        <v/>
      </c>
      <c r="I1249" s="100">
        <f t="shared" si="97"/>
        <v>0</v>
      </c>
      <c r="J1249" s="74">
        <f t="shared" si="98"/>
        <v>-15</v>
      </c>
      <c r="K1249" t="e">
        <f>VLOOKUP(C1249,'RAW DATA 2023'!E:BO,12,0)</f>
        <v>#N/A</v>
      </c>
      <c r="L1249" s="268" t="e">
        <f t="shared" si="99"/>
        <v>#N/A</v>
      </c>
    </row>
    <row r="1250" spans="1:12">
      <c r="A1250" s="64">
        <f>'RAW DATA 2023'!B1243</f>
        <v>0</v>
      </c>
      <c r="B1250" s="64">
        <f>'RAW DATA 2023'!D1243</f>
        <v>0</v>
      </c>
      <c r="C1250" s="63" t="str">
        <f t="shared" si="95"/>
        <v>00</v>
      </c>
      <c r="D1250" s="63" t="e">
        <f>VLOOKUP(C1250,'RAW DATA 2023'!E:BP,63,0)</f>
        <v>#N/A</v>
      </c>
      <c r="E1250" s="63" t="e">
        <f t="shared" si="96"/>
        <v>#N/A</v>
      </c>
      <c r="F1250" s="79" t="e">
        <f>ROUND(VLOOKUP(C1250,'RAW DATA 2023'!E:BO,23,0),0)</f>
        <v>#N/A</v>
      </c>
      <c r="G1250" s="79" t="e">
        <f>VLOOKUP(C1250,'RAW DATA 2023'!E:BO,24,0)</f>
        <v>#N/A</v>
      </c>
      <c r="H1250" s="79" t="str">
        <f>IFERROR(VLOOKUP(F1250,STD!A:G,3,TRUE),"")</f>
        <v/>
      </c>
      <c r="I1250" s="100">
        <f t="shared" si="97"/>
        <v>0</v>
      </c>
      <c r="J1250" s="74">
        <f t="shared" si="98"/>
        <v>-15</v>
      </c>
      <c r="K1250" t="e">
        <f>VLOOKUP(C1250,'RAW DATA 2023'!E:BO,12,0)</f>
        <v>#N/A</v>
      </c>
      <c r="L1250" s="268" t="e">
        <f t="shared" si="99"/>
        <v>#N/A</v>
      </c>
    </row>
    <row r="1251" spans="1:12">
      <c r="A1251" s="64">
        <f>'RAW DATA 2023'!B1244</f>
        <v>0</v>
      </c>
      <c r="B1251" s="64">
        <f>'RAW DATA 2023'!D1244</f>
        <v>0</v>
      </c>
      <c r="C1251" s="63" t="str">
        <f t="shared" si="95"/>
        <v>00</v>
      </c>
      <c r="D1251" s="63" t="e">
        <f>VLOOKUP(C1251,'RAW DATA 2023'!E:BP,63,0)</f>
        <v>#N/A</v>
      </c>
      <c r="E1251" s="63" t="e">
        <f t="shared" si="96"/>
        <v>#N/A</v>
      </c>
      <c r="F1251" s="79" t="e">
        <f>ROUND(VLOOKUP(C1251,'RAW DATA 2023'!E:BO,23,0),0)</f>
        <v>#N/A</v>
      </c>
      <c r="G1251" s="79" t="e">
        <f>VLOOKUP(C1251,'RAW DATA 2023'!E:BO,24,0)</f>
        <v>#N/A</v>
      </c>
      <c r="H1251" s="79" t="str">
        <f>IFERROR(VLOOKUP(F1251,STD!A:G,3,TRUE),"")</f>
        <v/>
      </c>
      <c r="I1251" s="100">
        <f t="shared" si="97"/>
        <v>0</v>
      </c>
      <c r="J1251" s="74">
        <f t="shared" si="98"/>
        <v>-15</v>
      </c>
      <c r="K1251" t="e">
        <f>VLOOKUP(C1251,'RAW DATA 2023'!E:BO,12,0)</f>
        <v>#N/A</v>
      </c>
      <c r="L1251" s="268" t="e">
        <f t="shared" si="99"/>
        <v>#N/A</v>
      </c>
    </row>
    <row r="1252" spans="1:12">
      <c r="A1252" s="64">
        <f>'RAW DATA 2023'!B1245</f>
        <v>0</v>
      </c>
      <c r="B1252" s="64">
        <f>'RAW DATA 2023'!D1245</f>
        <v>0</v>
      </c>
      <c r="C1252" s="63" t="str">
        <f t="shared" si="95"/>
        <v>00</v>
      </c>
      <c r="D1252" s="63" t="e">
        <f>VLOOKUP(C1252,'RAW DATA 2023'!E:BP,63,0)</f>
        <v>#N/A</v>
      </c>
      <c r="E1252" s="63" t="e">
        <f t="shared" si="96"/>
        <v>#N/A</v>
      </c>
      <c r="F1252" s="79" t="e">
        <f>ROUND(VLOOKUP(C1252,'RAW DATA 2023'!E:BO,23,0),0)</f>
        <v>#N/A</v>
      </c>
      <c r="G1252" s="79" t="e">
        <f>VLOOKUP(C1252,'RAW DATA 2023'!E:BO,24,0)</f>
        <v>#N/A</v>
      </c>
      <c r="H1252" s="79" t="str">
        <f>IFERROR(VLOOKUP(F1252,STD!A:G,3,TRUE),"")</f>
        <v/>
      </c>
      <c r="I1252" s="100">
        <f t="shared" si="97"/>
        <v>0</v>
      </c>
      <c r="J1252" s="74">
        <f t="shared" si="98"/>
        <v>-15</v>
      </c>
      <c r="K1252" t="e">
        <f>VLOOKUP(C1252,'RAW DATA 2023'!E:BO,12,0)</f>
        <v>#N/A</v>
      </c>
      <c r="L1252" s="268" t="e">
        <f t="shared" si="99"/>
        <v>#N/A</v>
      </c>
    </row>
    <row r="1253" spans="1:12">
      <c r="A1253" s="64">
        <f>'RAW DATA 2023'!B1246</f>
        <v>0</v>
      </c>
      <c r="B1253" s="64">
        <f>'RAW DATA 2023'!D1246</f>
        <v>0</v>
      </c>
      <c r="C1253" s="63" t="str">
        <f t="shared" si="95"/>
        <v>00</v>
      </c>
      <c r="D1253" s="63" t="e">
        <f>VLOOKUP(C1253,'RAW DATA 2023'!E:BP,63,0)</f>
        <v>#N/A</v>
      </c>
      <c r="E1253" s="63" t="e">
        <f t="shared" si="96"/>
        <v>#N/A</v>
      </c>
      <c r="F1253" s="79" t="e">
        <f>ROUND(VLOOKUP(C1253,'RAW DATA 2023'!E:BO,23,0),0)</f>
        <v>#N/A</v>
      </c>
      <c r="G1253" s="79" t="e">
        <f>VLOOKUP(C1253,'RAW DATA 2023'!E:BO,24,0)</f>
        <v>#N/A</v>
      </c>
      <c r="H1253" s="79" t="str">
        <f>IFERROR(VLOOKUP(F1253,STD!A:G,3,TRUE),"")</f>
        <v/>
      </c>
      <c r="I1253" s="100">
        <f t="shared" si="97"/>
        <v>0</v>
      </c>
      <c r="J1253" s="74">
        <f t="shared" si="98"/>
        <v>-15</v>
      </c>
      <c r="K1253" t="e">
        <f>VLOOKUP(C1253,'RAW DATA 2023'!E:BO,12,0)</f>
        <v>#N/A</v>
      </c>
      <c r="L1253" s="268" t="e">
        <f t="shared" si="99"/>
        <v>#N/A</v>
      </c>
    </row>
    <row r="1254" spans="1:12">
      <c r="A1254" s="64">
        <f>'RAW DATA 2023'!B1247</f>
        <v>0</v>
      </c>
      <c r="B1254" s="64">
        <f>'RAW DATA 2023'!D1247</f>
        <v>0</v>
      </c>
      <c r="C1254" s="63" t="str">
        <f t="shared" si="95"/>
        <v>00</v>
      </c>
      <c r="D1254" s="63" t="e">
        <f>VLOOKUP(C1254,'RAW DATA 2023'!E:BP,63,0)</f>
        <v>#N/A</v>
      </c>
      <c r="E1254" s="63" t="e">
        <f t="shared" si="96"/>
        <v>#N/A</v>
      </c>
      <c r="F1254" s="79" t="e">
        <f>ROUND(VLOOKUP(C1254,'RAW DATA 2023'!E:BO,23,0),0)</f>
        <v>#N/A</v>
      </c>
      <c r="G1254" s="79" t="e">
        <f>VLOOKUP(C1254,'RAW DATA 2023'!E:BO,24,0)</f>
        <v>#N/A</v>
      </c>
      <c r="H1254" s="79" t="str">
        <f>IFERROR(VLOOKUP(F1254,STD!A:G,3,TRUE),"")</f>
        <v/>
      </c>
      <c r="I1254" s="100">
        <f t="shared" si="97"/>
        <v>0</v>
      </c>
      <c r="J1254" s="74">
        <f t="shared" si="98"/>
        <v>-15</v>
      </c>
      <c r="K1254" t="e">
        <f>VLOOKUP(C1254,'RAW DATA 2023'!E:BO,12,0)</f>
        <v>#N/A</v>
      </c>
      <c r="L1254" s="268" t="e">
        <f t="shared" si="99"/>
        <v>#N/A</v>
      </c>
    </row>
    <row r="1255" spans="1:12">
      <c r="A1255" s="64">
        <f>'RAW DATA 2023'!B1248</f>
        <v>0</v>
      </c>
      <c r="B1255" s="64">
        <f>'RAW DATA 2023'!D1248</f>
        <v>0</v>
      </c>
      <c r="C1255" s="63" t="str">
        <f t="shared" si="95"/>
        <v>00</v>
      </c>
      <c r="D1255" s="63" t="e">
        <f>VLOOKUP(C1255,'RAW DATA 2023'!E:BP,63,0)</f>
        <v>#N/A</v>
      </c>
      <c r="E1255" s="63" t="e">
        <f t="shared" si="96"/>
        <v>#N/A</v>
      </c>
      <c r="F1255" s="79" t="e">
        <f>ROUND(VLOOKUP(C1255,'RAW DATA 2023'!E:BO,23,0),0)</f>
        <v>#N/A</v>
      </c>
      <c r="G1255" s="79" t="e">
        <f>VLOOKUP(C1255,'RAW DATA 2023'!E:BO,24,0)</f>
        <v>#N/A</v>
      </c>
      <c r="H1255" s="79" t="str">
        <f>IFERROR(VLOOKUP(F1255,STD!A:G,3,TRUE),"")</f>
        <v/>
      </c>
      <c r="I1255" s="100">
        <f t="shared" si="97"/>
        <v>0</v>
      </c>
      <c r="J1255" s="74">
        <f t="shared" si="98"/>
        <v>-15</v>
      </c>
      <c r="K1255" t="e">
        <f>VLOOKUP(C1255,'RAW DATA 2023'!E:BO,12,0)</f>
        <v>#N/A</v>
      </c>
      <c r="L1255" s="268" t="e">
        <f t="shared" si="99"/>
        <v>#N/A</v>
      </c>
    </row>
    <row r="1256" spans="1:12">
      <c r="A1256" s="64">
        <f>'RAW DATA 2023'!B1249</f>
        <v>0</v>
      </c>
      <c r="B1256" s="64">
        <f>'RAW DATA 2023'!D1249</f>
        <v>0</v>
      </c>
      <c r="C1256" s="63" t="str">
        <f t="shared" si="95"/>
        <v>00</v>
      </c>
      <c r="D1256" s="63" t="e">
        <f>VLOOKUP(C1256,'RAW DATA 2023'!E:BP,63,0)</f>
        <v>#N/A</v>
      </c>
      <c r="E1256" s="63" t="e">
        <f t="shared" si="96"/>
        <v>#N/A</v>
      </c>
      <c r="F1256" s="79" t="e">
        <f>ROUND(VLOOKUP(C1256,'RAW DATA 2023'!E:BO,23,0),0)</f>
        <v>#N/A</v>
      </c>
      <c r="G1256" s="79" t="e">
        <f>VLOOKUP(C1256,'RAW DATA 2023'!E:BO,24,0)</f>
        <v>#N/A</v>
      </c>
      <c r="H1256" s="79" t="str">
        <f>IFERROR(VLOOKUP(F1256,STD!A:G,3,TRUE),"")</f>
        <v/>
      </c>
      <c r="I1256" s="100">
        <f t="shared" si="97"/>
        <v>0</v>
      </c>
      <c r="J1256" s="74">
        <f t="shared" si="98"/>
        <v>-15</v>
      </c>
      <c r="K1256" t="e">
        <f>VLOOKUP(C1256,'RAW DATA 2023'!E:BO,12,0)</f>
        <v>#N/A</v>
      </c>
      <c r="L1256" s="268" t="e">
        <f t="shared" si="99"/>
        <v>#N/A</v>
      </c>
    </row>
    <row r="1257" spans="1:12">
      <c r="A1257" s="64">
        <f>'RAW DATA 2023'!B1250</f>
        <v>0</v>
      </c>
      <c r="B1257" s="64">
        <f>'RAW DATA 2023'!D1250</f>
        <v>0</v>
      </c>
      <c r="C1257" s="63" t="str">
        <f t="shared" si="95"/>
        <v>00</v>
      </c>
      <c r="D1257" s="63" t="e">
        <f>VLOOKUP(C1257,'RAW DATA 2023'!E:BP,63,0)</f>
        <v>#N/A</v>
      </c>
      <c r="E1257" s="63" t="e">
        <f t="shared" si="96"/>
        <v>#N/A</v>
      </c>
      <c r="F1257" s="79" t="e">
        <f>ROUND(VLOOKUP(C1257,'RAW DATA 2023'!E:BO,23,0),0)</f>
        <v>#N/A</v>
      </c>
      <c r="G1257" s="79" t="e">
        <f>VLOOKUP(C1257,'RAW DATA 2023'!E:BO,24,0)</f>
        <v>#N/A</v>
      </c>
      <c r="H1257" s="79" t="str">
        <f>IFERROR(VLOOKUP(F1257,STD!A:G,3,TRUE),"")</f>
        <v/>
      </c>
      <c r="I1257" s="100">
        <f t="shared" si="97"/>
        <v>0</v>
      </c>
      <c r="J1257" s="74">
        <f t="shared" si="98"/>
        <v>-15</v>
      </c>
      <c r="K1257" t="e">
        <f>VLOOKUP(C1257,'RAW DATA 2023'!E:BO,12,0)</f>
        <v>#N/A</v>
      </c>
      <c r="L1257" s="268" t="e">
        <f t="shared" si="99"/>
        <v>#N/A</v>
      </c>
    </row>
    <row r="1258" spans="1:12">
      <c r="A1258" s="64">
        <f>'RAW DATA 2023'!B1251</f>
        <v>0</v>
      </c>
      <c r="B1258" s="64">
        <f>'RAW DATA 2023'!D1251</f>
        <v>0</v>
      </c>
      <c r="C1258" s="63" t="str">
        <f t="shared" si="95"/>
        <v>00</v>
      </c>
      <c r="D1258" s="63" t="e">
        <f>VLOOKUP(C1258,'RAW DATA 2023'!E:BP,63,0)</f>
        <v>#N/A</v>
      </c>
      <c r="E1258" s="63" t="e">
        <f t="shared" si="96"/>
        <v>#N/A</v>
      </c>
      <c r="F1258" s="79" t="e">
        <f>ROUND(VLOOKUP(C1258,'RAW DATA 2023'!E:BO,23,0),0)</f>
        <v>#N/A</v>
      </c>
      <c r="G1258" s="79" t="e">
        <f>VLOOKUP(C1258,'RAW DATA 2023'!E:BO,24,0)</f>
        <v>#N/A</v>
      </c>
      <c r="H1258" s="79" t="str">
        <f>IFERROR(VLOOKUP(F1258,STD!A:G,3,TRUE),"")</f>
        <v/>
      </c>
      <c r="I1258" s="100">
        <f t="shared" si="97"/>
        <v>0</v>
      </c>
      <c r="J1258" s="74">
        <f t="shared" si="98"/>
        <v>-15</v>
      </c>
      <c r="K1258" t="e">
        <f>VLOOKUP(C1258,'RAW DATA 2023'!E:BO,12,0)</f>
        <v>#N/A</v>
      </c>
      <c r="L1258" s="268" t="e">
        <f t="shared" si="99"/>
        <v>#N/A</v>
      </c>
    </row>
    <row r="1259" spans="1:12">
      <c r="A1259" s="64">
        <f>'RAW DATA 2023'!B1252</f>
        <v>0</v>
      </c>
      <c r="B1259" s="64">
        <f>'RAW DATA 2023'!D1252</f>
        <v>0</v>
      </c>
      <c r="C1259" s="63" t="str">
        <f t="shared" si="95"/>
        <v>00</v>
      </c>
      <c r="D1259" s="63" t="e">
        <f>VLOOKUP(C1259,'RAW DATA 2023'!E:BP,63,0)</f>
        <v>#N/A</v>
      </c>
      <c r="E1259" s="63" t="e">
        <f t="shared" si="96"/>
        <v>#N/A</v>
      </c>
      <c r="F1259" s="79" t="e">
        <f>ROUND(VLOOKUP(C1259,'RAW DATA 2023'!E:BO,23,0),0)</f>
        <v>#N/A</v>
      </c>
      <c r="G1259" s="79" t="e">
        <f>VLOOKUP(C1259,'RAW DATA 2023'!E:BO,24,0)</f>
        <v>#N/A</v>
      </c>
      <c r="H1259" s="79" t="str">
        <f>IFERROR(VLOOKUP(F1259,STD!A:G,3,TRUE),"")</f>
        <v/>
      </c>
      <c r="I1259" s="100">
        <f t="shared" si="97"/>
        <v>0</v>
      </c>
      <c r="J1259" s="74">
        <f t="shared" si="98"/>
        <v>-15</v>
      </c>
      <c r="K1259" t="e">
        <f>VLOOKUP(C1259,'RAW DATA 2023'!E:BO,12,0)</f>
        <v>#N/A</v>
      </c>
      <c r="L1259" s="268" t="e">
        <f t="shared" si="99"/>
        <v>#N/A</v>
      </c>
    </row>
    <row r="1260" spans="1:12">
      <c r="A1260" s="64">
        <f>'RAW DATA 2023'!B1253</f>
        <v>0</v>
      </c>
      <c r="B1260" s="64">
        <f>'RAW DATA 2023'!D1253</f>
        <v>0</v>
      </c>
      <c r="C1260" s="63" t="str">
        <f t="shared" si="95"/>
        <v>00</v>
      </c>
      <c r="D1260" s="63" t="e">
        <f>VLOOKUP(C1260,'RAW DATA 2023'!E:BP,63,0)</f>
        <v>#N/A</v>
      </c>
      <c r="E1260" s="63" t="e">
        <f t="shared" si="96"/>
        <v>#N/A</v>
      </c>
      <c r="F1260" s="79" t="e">
        <f>ROUND(VLOOKUP(C1260,'RAW DATA 2023'!E:BO,23,0),0)</f>
        <v>#N/A</v>
      </c>
      <c r="G1260" s="79" t="e">
        <f>VLOOKUP(C1260,'RAW DATA 2023'!E:BO,24,0)</f>
        <v>#N/A</v>
      </c>
      <c r="H1260" s="79" t="str">
        <f>IFERROR(VLOOKUP(F1260,STD!A:G,3,TRUE),"")</f>
        <v/>
      </c>
      <c r="I1260" s="100">
        <f t="shared" si="97"/>
        <v>0</v>
      </c>
      <c r="J1260" s="74">
        <f t="shared" si="98"/>
        <v>-15</v>
      </c>
      <c r="K1260" t="e">
        <f>VLOOKUP(C1260,'RAW DATA 2023'!E:BO,12,0)</f>
        <v>#N/A</v>
      </c>
      <c r="L1260" s="268" t="e">
        <f t="shared" si="99"/>
        <v>#N/A</v>
      </c>
    </row>
    <row r="1261" spans="1:12">
      <c r="A1261" s="64">
        <f>'RAW DATA 2023'!B1254</f>
        <v>0</v>
      </c>
      <c r="B1261" s="64">
        <f>'RAW DATA 2023'!D1254</f>
        <v>0</v>
      </c>
      <c r="C1261" s="63" t="str">
        <f t="shared" si="95"/>
        <v>00</v>
      </c>
      <c r="D1261" s="63" t="e">
        <f>VLOOKUP(C1261,'RAW DATA 2023'!E:BP,63,0)</f>
        <v>#N/A</v>
      </c>
      <c r="E1261" s="63" t="e">
        <f t="shared" si="96"/>
        <v>#N/A</v>
      </c>
      <c r="F1261" s="79" t="e">
        <f>ROUND(VLOOKUP(C1261,'RAW DATA 2023'!E:BO,23,0),0)</f>
        <v>#N/A</v>
      </c>
      <c r="G1261" s="79" t="e">
        <f>VLOOKUP(C1261,'RAW DATA 2023'!E:BO,24,0)</f>
        <v>#N/A</v>
      </c>
      <c r="H1261" s="79" t="str">
        <f>IFERROR(VLOOKUP(F1261,STD!A:G,3,TRUE),"")</f>
        <v/>
      </c>
      <c r="I1261" s="100">
        <f t="shared" si="97"/>
        <v>0</v>
      </c>
      <c r="J1261" s="74">
        <f t="shared" si="98"/>
        <v>-15</v>
      </c>
      <c r="K1261" t="e">
        <f>VLOOKUP(C1261,'RAW DATA 2023'!E:BO,12,0)</f>
        <v>#N/A</v>
      </c>
      <c r="L1261" s="268" t="e">
        <f t="shared" si="99"/>
        <v>#N/A</v>
      </c>
    </row>
    <row r="1262" spans="1:12">
      <c r="A1262" s="64">
        <f>'RAW DATA 2023'!B1255</f>
        <v>0</v>
      </c>
      <c r="B1262" s="64">
        <f>'RAW DATA 2023'!D1255</f>
        <v>0</v>
      </c>
      <c r="C1262" s="63" t="str">
        <f t="shared" si="95"/>
        <v>00</v>
      </c>
      <c r="D1262" s="63" t="e">
        <f>VLOOKUP(C1262,'RAW DATA 2023'!E:BP,63,0)</f>
        <v>#N/A</v>
      </c>
      <c r="E1262" s="63" t="e">
        <f t="shared" si="96"/>
        <v>#N/A</v>
      </c>
      <c r="F1262" s="79" t="e">
        <f>ROUND(VLOOKUP(C1262,'RAW DATA 2023'!E:BO,23,0),0)</f>
        <v>#N/A</v>
      </c>
      <c r="G1262" s="79" t="e">
        <f>VLOOKUP(C1262,'RAW DATA 2023'!E:BO,24,0)</f>
        <v>#N/A</v>
      </c>
      <c r="H1262" s="79" t="str">
        <f>IFERROR(VLOOKUP(F1262,STD!A:G,3,TRUE),"")</f>
        <v/>
      </c>
      <c r="I1262" s="100">
        <f t="shared" si="97"/>
        <v>0</v>
      </c>
      <c r="J1262" s="74">
        <f t="shared" si="98"/>
        <v>-15</v>
      </c>
      <c r="K1262" t="e">
        <f>VLOOKUP(C1262,'RAW DATA 2023'!E:BO,12,0)</f>
        <v>#N/A</v>
      </c>
      <c r="L1262" s="268" t="e">
        <f t="shared" si="99"/>
        <v>#N/A</v>
      </c>
    </row>
    <row r="1263" spans="1:12">
      <c r="A1263" s="64">
        <f>'RAW DATA 2023'!B1256</f>
        <v>0</v>
      </c>
      <c r="B1263" s="64">
        <f>'RAW DATA 2023'!D1256</f>
        <v>0</v>
      </c>
      <c r="C1263" s="63" t="str">
        <f t="shared" si="95"/>
        <v>00</v>
      </c>
      <c r="D1263" s="63" t="e">
        <f>VLOOKUP(C1263,'RAW DATA 2023'!E:BP,63,0)</f>
        <v>#N/A</v>
      </c>
      <c r="E1263" s="63" t="e">
        <f t="shared" si="96"/>
        <v>#N/A</v>
      </c>
      <c r="F1263" s="79" t="e">
        <f>ROUND(VLOOKUP(C1263,'RAW DATA 2023'!E:BO,23,0),0)</f>
        <v>#N/A</v>
      </c>
      <c r="G1263" s="79" t="e">
        <f>VLOOKUP(C1263,'RAW DATA 2023'!E:BO,24,0)</f>
        <v>#N/A</v>
      </c>
      <c r="H1263" s="79" t="str">
        <f>IFERROR(VLOOKUP(F1263,STD!A:G,3,TRUE),"")</f>
        <v/>
      </c>
      <c r="I1263" s="100">
        <f t="shared" si="97"/>
        <v>0</v>
      </c>
      <c r="J1263" s="74">
        <f t="shared" si="98"/>
        <v>-15</v>
      </c>
      <c r="K1263" t="e">
        <f>VLOOKUP(C1263,'RAW DATA 2023'!E:BO,12,0)</f>
        <v>#N/A</v>
      </c>
      <c r="L1263" s="268" t="e">
        <f t="shared" si="99"/>
        <v>#N/A</v>
      </c>
    </row>
    <row r="1264" spans="1:12">
      <c r="A1264" s="64">
        <f>'RAW DATA 2023'!B1257</f>
        <v>0</v>
      </c>
      <c r="B1264" s="64">
        <f>'RAW DATA 2023'!D1257</f>
        <v>0</v>
      </c>
      <c r="C1264" s="63" t="str">
        <f t="shared" si="95"/>
        <v>00</v>
      </c>
      <c r="D1264" s="63" t="e">
        <f>VLOOKUP(C1264,'RAW DATA 2023'!E:BP,63,0)</f>
        <v>#N/A</v>
      </c>
      <c r="E1264" s="63" t="e">
        <f t="shared" si="96"/>
        <v>#N/A</v>
      </c>
      <c r="F1264" s="79" t="e">
        <f>ROUND(VLOOKUP(C1264,'RAW DATA 2023'!E:BO,23,0),0)</f>
        <v>#N/A</v>
      </c>
      <c r="G1264" s="79" t="e">
        <f>VLOOKUP(C1264,'RAW DATA 2023'!E:BO,24,0)</f>
        <v>#N/A</v>
      </c>
      <c r="H1264" s="79" t="str">
        <f>IFERROR(VLOOKUP(F1264,STD!A:G,3,TRUE),"")</f>
        <v/>
      </c>
      <c r="I1264" s="100">
        <f t="shared" si="97"/>
        <v>0</v>
      </c>
      <c r="J1264" s="74">
        <f t="shared" si="98"/>
        <v>-15</v>
      </c>
      <c r="K1264" t="e">
        <f>VLOOKUP(C1264,'RAW DATA 2023'!E:BO,12,0)</f>
        <v>#N/A</v>
      </c>
      <c r="L1264" s="268" t="e">
        <f t="shared" si="99"/>
        <v>#N/A</v>
      </c>
    </row>
    <row r="1265" spans="1:12">
      <c r="A1265" s="64">
        <f>'RAW DATA 2023'!B1258</f>
        <v>0</v>
      </c>
      <c r="B1265" s="64">
        <f>'RAW DATA 2023'!D1258</f>
        <v>0</v>
      </c>
      <c r="C1265" s="63" t="str">
        <f t="shared" si="95"/>
        <v>00</v>
      </c>
      <c r="D1265" s="63" t="e">
        <f>VLOOKUP(C1265,'RAW DATA 2023'!E:BP,63,0)</f>
        <v>#N/A</v>
      </c>
      <c r="E1265" s="63" t="e">
        <f t="shared" si="96"/>
        <v>#N/A</v>
      </c>
      <c r="F1265" s="79" t="e">
        <f>ROUND(VLOOKUP(C1265,'RAW DATA 2023'!E:BO,23,0),0)</f>
        <v>#N/A</v>
      </c>
      <c r="G1265" s="79" t="e">
        <f>VLOOKUP(C1265,'RAW DATA 2023'!E:BO,24,0)</f>
        <v>#N/A</v>
      </c>
      <c r="H1265" s="79" t="str">
        <f>IFERROR(VLOOKUP(F1265,STD!A:G,3,TRUE),"")</f>
        <v/>
      </c>
      <c r="I1265" s="100">
        <f t="shared" si="97"/>
        <v>0</v>
      </c>
      <c r="J1265" s="74">
        <f t="shared" si="98"/>
        <v>-15</v>
      </c>
      <c r="K1265" t="e">
        <f>VLOOKUP(C1265,'RAW DATA 2023'!E:BO,12,0)</f>
        <v>#N/A</v>
      </c>
      <c r="L1265" s="268" t="e">
        <f t="shared" si="99"/>
        <v>#N/A</v>
      </c>
    </row>
    <row r="1266" spans="1:12">
      <c r="A1266" s="64">
        <f>'RAW DATA 2023'!B1259</f>
        <v>0</v>
      </c>
      <c r="B1266" s="64">
        <f>'RAW DATA 2023'!D1259</f>
        <v>0</v>
      </c>
      <c r="C1266" s="63" t="str">
        <f t="shared" si="95"/>
        <v>00</v>
      </c>
      <c r="D1266" s="63" t="e">
        <f>VLOOKUP(C1266,'RAW DATA 2023'!E:BP,63,0)</f>
        <v>#N/A</v>
      </c>
      <c r="E1266" s="63" t="e">
        <f t="shared" si="96"/>
        <v>#N/A</v>
      </c>
      <c r="F1266" s="79" t="e">
        <f>ROUND(VLOOKUP(C1266,'RAW DATA 2023'!E:BO,23,0),0)</f>
        <v>#N/A</v>
      </c>
      <c r="G1266" s="79" t="e">
        <f>VLOOKUP(C1266,'RAW DATA 2023'!E:BO,24,0)</f>
        <v>#N/A</v>
      </c>
      <c r="H1266" s="79" t="str">
        <f>IFERROR(VLOOKUP(F1266,STD!A:G,3,TRUE),"")</f>
        <v/>
      </c>
      <c r="I1266" s="100">
        <f t="shared" si="97"/>
        <v>0</v>
      </c>
      <c r="J1266" s="74">
        <f t="shared" si="98"/>
        <v>-15</v>
      </c>
      <c r="K1266" t="e">
        <f>VLOOKUP(C1266,'RAW DATA 2023'!E:BO,12,0)</f>
        <v>#N/A</v>
      </c>
      <c r="L1266" s="268" t="e">
        <f t="shared" si="99"/>
        <v>#N/A</v>
      </c>
    </row>
    <row r="1267" spans="1:12">
      <c r="A1267" s="64">
        <f>'RAW DATA 2023'!B1260</f>
        <v>0</v>
      </c>
      <c r="B1267" s="64">
        <f>'RAW DATA 2023'!D1260</f>
        <v>0</v>
      </c>
      <c r="C1267" s="63" t="str">
        <f t="shared" si="95"/>
        <v>00</v>
      </c>
      <c r="D1267" s="63" t="e">
        <f>VLOOKUP(C1267,'RAW DATA 2023'!E:BP,63,0)</f>
        <v>#N/A</v>
      </c>
      <c r="E1267" s="63" t="e">
        <f t="shared" si="96"/>
        <v>#N/A</v>
      </c>
      <c r="F1267" s="79" t="e">
        <f>ROUND(VLOOKUP(C1267,'RAW DATA 2023'!E:BO,23,0),0)</f>
        <v>#N/A</v>
      </c>
      <c r="G1267" s="79" t="e">
        <f>VLOOKUP(C1267,'RAW DATA 2023'!E:BO,24,0)</f>
        <v>#N/A</v>
      </c>
      <c r="H1267" s="79" t="str">
        <f>IFERROR(VLOOKUP(F1267,STD!A:G,3,TRUE),"")</f>
        <v/>
      </c>
      <c r="I1267" s="100">
        <f t="shared" si="97"/>
        <v>0</v>
      </c>
      <c r="J1267" s="74">
        <f t="shared" si="98"/>
        <v>-15</v>
      </c>
      <c r="K1267" t="e">
        <f>VLOOKUP(C1267,'RAW DATA 2023'!E:BO,12,0)</f>
        <v>#N/A</v>
      </c>
      <c r="L1267" s="268" t="e">
        <f t="shared" si="99"/>
        <v>#N/A</v>
      </c>
    </row>
    <row r="1268" spans="1:12">
      <c r="A1268" s="64">
        <f>'RAW DATA 2023'!B1261</f>
        <v>0</v>
      </c>
      <c r="B1268" s="64">
        <f>'RAW DATA 2023'!D1261</f>
        <v>0</v>
      </c>
      <c r="C1268" s="63" t="str">
        <f t="shared" si="95"/>
        <v>00</v>
      </c>
      <c r="D1268" s="63" t="e">
        <f>VLOOKUP(C1268,'RAW DATA 2023'!E:BP,63,0)</f>
        <v>#N/A</v>
      </c>
      <c r="E1268" s="63" t="e">
        <f t="shared" si="96"/>
        <v>#N/A</v>
      </c>
      <c r="F1268" s="79" t="e">
        <f>ROUND(VLOOKUP(C1268,'RAW DATA 2023'!E:BO,23,0),0)</f>
        <v>#N/A</v>
      </c>
      <c r="G1268" s="79" t="e">
        <f>VLOOKUP(C1268,'RAW DATA 2023'!E:BO,24,0)</f>
        <v>#N/A</v>
      </c>
      <c r="H1268" s="79" t="str">
        <f>IFERROR(VLOOKUP(F1268,STD!A:G,3,TRUE),"")</f>
        <v/>
      </c>
      <c r="I1268" s="100">
        <f t="shared" si="97"/>
        <v>0</v>
      </c>
      <c r="J1268" s="74">
        <f t="shared" si="98"/>
        <v>-15</v>
      </c>
      <c r="K1268" t="e">
        <f>VLOOKUP(C1268,'RAW DATA 2023'!E:BO,12,0)</f>
        <v>#N/A</v>
      </c>
      <c r="L1268" s="268" t="e">
        <f t="shared" si="99"/>
        <v>#N/A</v>
      </c>
    </row>
    <row r="1269" spans="1:12">
      <c r="A1269" s="64">
        <f>'RAW DATA 2023'!B1262</f>
        <v>0</v>
      </c>
      <c r="B1269" s="64">
        <f>'RAW DATA 2023'!D1262</f>
        <v>0</v>
      </c>
      <c r="C1269" s="63" t="str">
        <f t="shared" si="95"/>
        <v>00</v>
      </c>
      <c r="D1269" s="63" t="e">
        <f>VLOOKUP(C1269,'RAW DATA 2023'!E:BP,63,0)</f>
        <v>#N/A</v>
      </c>
      <c r="E1269" s="63" t="e">
        <f t="shared" si="96"/>
        <v>#N/A</v>
      </c>
      <c r="F1269" s="79" t="e">
        <f>ROUND(VLOOKUP(C1269,'RAW DATA 2023'!E:BO,23,0),0)</f>
        <v>#N/A</v>
      </c>
      <c r="G1269" s="79" t="e">
        <f>VLOOKUP(C1269,'RAW DATA 2023'!E:BO,24,0)</f>
        <v>#N/A</v>
      </c>
      <c r="H1269" s="79" t="str">
        <f>IFERROR(VLOOKUP(F1269,STD!A:G,3,TRUE),"")</f>
        <v/>
      </c>
      <c r="I1269" s="100">
        <f t="shared" si="97"/>
        <v>0</v>
      </c>
      <c r="J1269" s="74">
        <f t="shared" si="98"/>
        <v>-15</v>
      </c>
      <c r="K1269" t="e">
        <f>VLOOKUP(C1269,'RAW DATA 2023'!E:BO,12,0)</f>
        <v>#N/A</v>
      </c>
      <c r="L1269" s="268" t="e">
        <f t="shared" si="99"/>
        <v>#N/A</v>
      </c>
    </row>
    <row r="1270" spans="1:12">
      <c r="A1270" s="64">
        <f>'RAW DATA 2023'!B1263</f>
        <v>0</v>
      </c>
      <c r="B1270" s="64">
        <f>'RAW DATA 2023'!D1263</f>
        <v>0</v>
      </c>
      <c r="C1270" s="63" t="str">
        <f t="shared" si="95"/>
        <v>00</v>
      </c>
      <c r="D1270" s="63" t="e">
        <f>VLOOKUP(C1270,'RAW DATA 2023'!E:BP,63,0)</f>
        <v>#N/A</v>
      </c>
      <c r="E1270" s="63" t="e">
        <f t="shared" si="96"/>
        <v>#N/A</v>
      </c>
      <c r="F1270" s="79" t="e">
        <f>ROUND(VLOOKUP(C1270,'RAW DATA 2023'!E:BO,23,0),0)</f>
        <v>#N/A</v>
      </c>
      <c r="G1270" s="79" t="e">
        <f>VLOOKUP(C1270,'RAW DATA 2023'!E:BO,24,0)</f>
        <v>#N/A</v>
      </c>
      <c r="H1270" s="79" t="str">
        <f>IFERROR(VLOOKUP(F1270,STD!A:G,3,TRUE),"")</f>
        <v/>
      </c>
      <c r="I1270" s="100">
        <f t="shared" si="97"/>
        <v>0</v>
      </c>
      <c r="J1270" s="74">
        <f t="shared" si="98"/>
        <v>-15</v>
      </c>
      <c r="K1270" t="e">
        <f>VLOOKUP(C1270,'RAW DATA 2023'!E:BO,12,0)</f>
        <v>#N/A</v>
      </c>
      <c r="L1270" s="268" t="e">
        <f t="shared" si="99"/>
        <v>#N/A</v>
      </c>
    </row>
    <row r="1271" spans="1:12">
      <c r="A1271" s="64">
        <f>'RAW DATA 2023'!B1264</f>
        <v>0</v>
      </c>
      <c r="B1271" s="64">
        <f>'RAW DATA 2023'!D1264</f>
        <v>0</v>
      </c>
      <c r="C1271" s="63" t="str">
        <f t="shared" si="95"/>
        <v>00</v>
      </c>
      <c r="D1271" s="63" t="e">
        <f>VLOOKUP(C1271,'RAW DATA 2023'!E:BP,63,0)</f>
        <v>#N/A</v>
      </c>
      <c r="E1271" s="63" t="e">
        <f t="shared" si="96"/>
        <v>#N/A</v>
      </c>
      <c r="F1271" s="79" t="e">
        <f>ROUND(VLOOKUP(C1271,'RAW DATA 2023'!E:BO,23,0),0)</f>
        <v>#N/A</v>
      </c>
      <c r="G1271" s="79" t="e">
        <f>VLOOKUP(C1271,'RAW DATA 2023'!E:BO,24,0)</f>
        <v>#N/A</v>
      </c>
      <c r="H1271" s="79" t="str">
        <f>IFERROR(VLOOKUP(F1271,STD!A:G,3,TRUE),"")</f>
        <v/>
      </c>
      <c r="I1271" s="100">
        <f t="shared" si="97"/>
        <v>0</v>
      </c>
      <c r="J1271" s="74">
        <f t="shared" si="98"/>
        <v>-15</v>
      </c>
      <c r="K1271" t="e">
        <f>VLOOKUP(C1271,'RAW DATA 2023'!E:BO,12,0)</f>
        <v>#N/A</v>
      </c>
      <c r="L1271" s="268" t="e">
        <f t="shared" si="99"/>
        <v>#N/A</v>
      </c>
    </row>
    <row r="1272" spans="1:12">
      <c r="A1272" s="64">
        <f>'RAW DATA 2023'!B1265</f>
        <v>0</v>
      </c>
      <c r="B1272" s="64">
        <f>'RAW DATA 2023'!D1265</f>
        <v>0</v>
      </c>
      <c r="C1272" s="63" t="str">
        <f t="shared" si="95"/>
        <v>00</v>
      </c>
      <c r="D1272" s="63" t="e">
        <f>VLOOKUP(C1272,'RAW DATA 2023'!E:BP,63,0)</f>
        <v>#N/A</v>
      </c>
      <c r="E1272" s="63" t="e">
        <f t="shared" si="96"/>
        <v>#N/A</v>
      </c>
      <c r="F1272" s="79" t="e">
        <f>ROUND(VLOOKUP(C1272,'RAW DATA 2023'!E:BO,23,0),0)</f>
        <v>#N/A</v>
      </c>
      <c r="G1272" s="79" t="e">
        <f>VLOOKUP(C1272,'RAW DATA 2023'!E:BO,24,0)</f>
        <v>#N/A</v>
      </c>
      <c r="H1272" s="79" t="str">
        <f>IFERROR(VLOOKUP(F1272,STD!A:G,3,TRUE),"")</f>
        <v/>
      </c>
      <c r="I1272" s="100">
        <f t="shared" si="97"/>
        <v>0</v>
      </c>
      <c r="J1272" s="74">
        <f t="shared" si="98"/>
        <v>-15</v>
      </c>
      <c r="K1272" t="e">
        <f>VLOOKUP(C1272,'RAW DATA 2023'!E:BO,12,0)</f>
        <v>#N/A</v>
      </c>
      <c r="L1272" s="268" t="e">
        <f t="shared" si="99"/>
        <v>#N/A</v>
      </c>
    </row>
    <row r="1273" spans="1:12">
      <c r="A1273" s="64">
        <f>'RAW DATA 2023'!B1266</f>
        <v>0</v>
      </c>
      <c r="B1273" s="64">
        <f>'RAW DATA 2023'!D1266</f>
        <v>0</v>
      </c>
      <c r="C1273" s="63" t="str">
        <f t="shared" si="95"/>
        <v>00</v>
      </c>
      <c r="D1273" s="63" t="e">
        <f>VLOOKUP(C1273,'RAW DATA 2023'!E:BP,63,0)</f>
        <v>#N/A</v>
      </c>
      <c r="E1273" s="63" t="e">
        <f t="shared" si="96"/>
        <v>#N/A</v>
      </c>
      <c r="F1273" s="79" t="e">
        <f>ROUND(VLOOKUP(C1273,'RAW DATA 2023'!E:BO,23,0),0)</f>
        <v>#N/A</v>
      </c>
      <c r="G1273" s="79" t="e">
        <f>VLOOKUP(C1273,'RAW DATA 2023'!E:BO,24,0)</f>
        <v>#N/A</v>
      </c>
      <c r="H1273" s="79" t="str">
        <f>IFERROR(VLOOKUP(F1273,STD!A:G,3,TRUE),"")</f>
        <v/>
      </c>
      <c r="I1273" s="100">
        <f t="shared" si="97"/>
        <v>0</v>
      </c>
      <c r="J1273" s="74">
        <f t="shared" si="98"/>
        <v>-15</v>
      </c>
      <c r="K1273" t="e">
        <f>VLOOKUP(C1273,'RAW DATA 2023'!E:BO,12,0)</f>
        <v>#N/A</v>
      </c>
      <c r="L1273" s="268" t="e">
        <f t="shared" si="99"/>
        <v>#N/A</v>
      </c>
    </row>
    <row r="1274" spans="1:12">
      <c r="A1274" s="64">
        <f>'RAW DATA 2023'!B1267</f>
        <v>0</v>
      </c>
      <c r="B1274" s="64">
        <f>'RAW DATA 2023'!D1267</f>
        <v>0</v>
      </c>
      <c r="C1274" s="63" t="str">
        <f t="shared" si="95"/>
        <v>00</v>
      </c>
      <c r="D1274" s="63" t="e">
        <f>VLOOKUP(C1274,'RAW DATA 2023'!E:BP,63,0)</f>
        <v>#N/A</v>
      </c>
      <c r="E1274" s="63" t="e">
        <f t="shared" si="96"/>
        <v>#N/A</v>
      </c>
      <c r="F1274" s="79" t="e">
        <f>ROUND(VLOOKUP(C1274,'RAW DATA 2023'!E:BO,23,0),0)</f>
        <v>#N/A</v>
      </c>
      <c r="G1274" s="79" t="e">
        <f>VLOOKUP(C1274,'RAW DATA 2023'!E:BO,24,0)</f>
        <v>#N/A</v>
      </c>
      <c r="H1274" s="79" t="str">
        <f>IFERROR(VLOOKUP(F1274,STD!A:G,3,TRUE),"")</f>
        <v/>
      </c>
      <c r="I1274" s="100">
        <f t="shared" si="97"/>
        <v>0</v>
      </c>
      <c r="J1274" s="74">
        <f t="shared" si="98"/>
        <v>-15</v>
      </c>
      <c r="K1274" t="e">
        <f>VLOOKUP(C1274,'RAW DATA 2023'!E:BO,12,0)</f>
        <v>#N/A</v>
      </c>
      <c r="L1274" s="268" t="e">
        <f t="shared" si="99"/>
        <v>#N/A</v>
      </c>
    </row>
    <row r="1275" spans="1:12">
      <c r="A1275" s="64">
        <f>'RAW DATA 2023'!B1268</f>
        <v>0</v>
      </c>
      <c r="B1275" s="64">
        <f>'RAW DATA 2023'!D1268</f>
        <v>0</v>
      </c>
      <c r="C1275" s="63" t="str">
        <f t="shared" si="95"/>
        <v>00</v>
      </c>
      <c r="D1275" s="63" t="e">
        <f>VLOOKUP(C1275,'RAW DATA 2023'!E:BP,63,0)</f>
        <v>#N/A</v>
      </c>
      <c r="E1275" s="63" t="e">
        <f t="shared" si="96"/>
        <v>#N/A</v>
      </c>
      <c r="F1275" s="79" t="e">
        <f>ROUND(VLOOKUP(C1275,'RAW DATA 2023'!E:BO,23,0),0)</f>
        <v>#N/A</v>
      </c>
      <c r="G1275" s="79" t="e">
        <f>VLOOKUP(C1275,'RAW DATA 2023'!E:BO,24,0)</f>
        <v>#N/A</v>
      </c>
      <c r="H1275" s="79" t="str">
        <f>IFERROR(VLOOKUP(F1275,STD!A:G,3,TRUE),"")</f>
        <v/>
      </c>
      <c r="I1275" s="100">
        <f t="shared" si="97"/>
        <v>0</v>
      </c>
      <c r="J1275" s="74">
        <f t="shared" si="98"/>
        <v>-15</v>
      </c>
      <c r="K1275" t="e">
        <f>VLOOKUP(C1275,'RAW DATA 2023'!E:BO,12,0)</f>
        <v>#N/A</v>
      </c>
      <c r="L1275" s="268" t="e">
        <f t="shared" si="99"/>
        <v>#N/A</v>
      </c>
    </row>
    <row r="1276" spans="1:12">
      <c r="A1276" s="64">
        <f>'RAW DATA 2023'!B1269</f>
        <v>0</v>
      </c>
      <c r="B1276" s="64">
        <f>'RAW DATA 2023'!D1269</f>
        <v>0</v>
      </c>
      <c r="C1276" s="63" t="str">
        <f t="shared" si="95"/>
        <v>00</v>
      </c>
      <c r="D1276" s="63" t="e">
        <f>VLOOKUP(C1276,'RAW DATA 2023'!E:BP,63,0)</f>
        <v>#N/A</v>
      </c>
      <c r="E1276" s="63" t="e">
        <f t="shared" si="96"/>
        <v>#N/A</v>
      </c>
      <c r="F1276" s="79" t="e">
        <f>ROUND(VLOOKUP(C1276,'RAW DATA 2023'!E:BO,23,0),0)</f>
        <v>#N/A</v>
      </c>
      <c r="G1276" s="79" t="e">
        <f>VLOOKUP(C1276,'RAW DATA 2023'!E:BO,24,0)</f>
        <v>#N/A</v>
      </c>
      <c r="H1276" s="79" t="str">
        <f>IFERROR(VLOOKUP(F1276,STD!A:G,3,TRUE),"")</f>
        <v/>
      </c>
      <c r="I1276" s="100">
        <f t="shared" si="97"/>
        <v>0</v>
      </c>
      <c r="J1276" s="74">
        <f t="shared" si="98"/>
        <v>-15</v>
      </c>
      <c r="K1276" t="e">
        <f>VLOOKUP(C1276,'RAW DATA 2023'!E:BO,12,0)</f>
        <v>#N/A</v>
      </c>
      <c r="L1276" s="268" t="e">
        <f t="shared" si="99"/>
        <v>#N/A</v>
      </c>
    </row>
    <row r="1277" spans="1:12">
      <c r="A1277" s="64">
        <f>'RAW DATA 2023'!B1270</f>
        <v>0</v>
      </c>
      <c r="B1277" s="64">
        <f>'RAW DATA 2023'!D1270</f>
        <v>0</v>
      </c>
      <c r="C1277" s="63" t="str">
        <f t="shared" si="95"/>
        <v>00</v>
      </c>
      <c r="D1277" s="63" t="e">
        <f>VLOOKUP(C1277,'RAW DATA 2023'!E:BP,63,0)</f>
        <v>#N/A</v>
      </c>
      <c r="E1277" s="63" t="e">
        <f t="shared" si="96"/>
        <v>#N/A</v>
      </c>
      <c r="F1277" s="79" t="e">
        <f>ROUND(VLOOKUP(C1277,'RAW DATA 2023'!E:BO,23,0),0)</f>
        <v>#N/A</v>
      </c>
      <c r="G1277" s="79" t="e">
        <f>VLOOKUP(C1277,'RAW DATA 2023'!E:BO,24,0)</f>
        <v>#N/A</v>
      </c>
      <c r="H1277" s="79" t="str">
        <f>IFERROR(VLOOKUP(F1277,STD!A:G,3,TRUE),"")</f>
        <v/>
      </c>
      <c r="I1277" s="100">
        <f t="shared" si="97"/>
        <v>0</v>
      </c>
      <c r="J1277" s="74">
        <f t="shared" si="98"/>
        <v>-15</v>
      </c>
      <c r="K1277" t="e">
        <f>VLOOKUP(C1277,'RAW DATA 2023'!E:BO,12,0)</f>
        <v>#N/A</v>
      </c>
      <c r="L1277" s="268" t="e">
        <f t="shared" si="99"/>
        <v>#N/A</v>
      </c>
    </row>
    <row r="1278" spans="1:12">
      <c r="A1278" s="64">
        <f>'RAW DATA 2023'!B1271</f>
        <v>0</v>
      </c>
      <c r="B1278" s="64">
        <f>'RAW DATA 2023'!D1271</f>
        <v>0</v>
      </c>
      <c r="C1278" s="63" t="str">
        <f t="shared" si="95"/>
        <v>00</v>
      </c>
      <c r="D1278" s="63" t="e">
        <f>VLOOKUP(C1278,'RAW DATA 2023'!E:BP,63,0)</f>
        <v>#N/A</v>
      </c>
      <c r="E1278" s="63" t="e">
        <f t="shared" si="96"/>
        <v>#N/A</v>
      </c>
      <c r="F1278" s="79" t="e">
        <f>ROUND(VLOOKUP(C1278,'RAW DATA 2023'!E:BO,23,0),0)</f>
        <v>#N/A</v>
      </c>
      <c r="G1278" s="79" t="e">
        <f>VLOOKUP(C1278,'RAW DATA 2023'!E:BO,24,0)</f>
        <v>#N/A</v>
      </c>
      <c r="H1278" s="79" t="str">
        <f>IFERROR(VLOOKUP(F1278,STD!A:G,3,TRUE),"")</f>
        <v/>
      </c>
      <c r="I1278" s="100">
        <f t="shared" si="97"/>
        <v>0</v>
      </c>
      <c r="J1278" s="74">
        <f t="shared" si="98"/>
        <v>-15</v>
      </c>
      <c r="K1278" t="e">
        <f>VLOOKUP(C1278,'RAW DATA 2023'!E:BO,12,0)</f>
        <v>#N/A</v>
      </c>
      <c r="L1278" s="268" t="e">
        <f t="shared" si="99"/>
        <v>#N/A</v>
      </c>
    </row>
    <row r="1279" spans="1:12">
      <c r="A1279" s="64">
        <f>'RAW DATA 2023'!B1272</f>
        <v>0</v>
      </c>
      <c r="B1279" s="64">
        <f>'RAW DATA 2023'!D1272</f>
        <v>0</v>
      </c>
      <c r="C1279" s="63" t="str">
        <f t="shared" si="95"/>
        <v>00</v>
      </c>
      <c r="D1279" s="63" t="e">
        <f>VLOOKUP(C1279,'RAW DATA 2023'!E:BP,63,0)</f>
        <v>#N/A</v>
      </c>
      <c r="E1279" s="63" t="e">
        <f t="shared" si="96"/>
        <v>#N/A</v>
      </c>
      <c r="F1279" s="79" t="e">
        <f>ROUND(VLOOKUP(C1279,'RAW DATA 2023'!E:BO,23,0),0)</f>
        <v>#N/A</v>
      </c>
      <c r="G1279" s="79" t="e">
        <f>VLOOKUP(C1279,'RAW DATA 2023'!E:BO,24,0)</f>
        <v>#N/A</v>
      </c>
      <c r="H1279" s="79" t="str">
        <f>IFERROR(VLOOKUP(F1279,STD!A:G,3,TRUE),"")</f>
        <v/>
      </c>
      <c r="I1279" s="100">
        <f t="shared" si="97"/>
        <v>0</v>
      </c>
      <c r="J1279" s="74">
        <f t="shared" si="98"/>
        <v>-15</v>
      </c>
      <c r="K1279" t="e">
        <f>VLOOKUP(C1279,'RAW DATA 2023'!E:BO,12,0)</f>
        <v>#N/A</v>
      </c>
      <c r="L1279" s="268" t="e">
        <f t="shared" si="99"/>
        <v>#N/A</v>
      </c>
    </row>
    <row r="1280" spans="1:12">
      <c r="A1280" s="64">
        <f>'RAW DATA 2023'!B1273</f>
        <v>0</v>
      </c>
      <c r="B1280" s="64">
        <f>'RAW DATA 2023'!D1273</f>
        <v>0</v>
      </c>
      <c r="C1280" s="63" t="str">
        <f t="shared" si="95"/>
        <v>00</v>
      </c>
      <c r="D1280" s="63" t="e">
        <f>VLOOKUP(C1280,'RAW DATA 2023'!E:BP,63,0)</f>
        <v>#N/A</v>
      </c>
      <c r="E1280" s="63" t="e">
        <f t="shared" si="96"/>
        <v>#N/A</v>
      </c>
      <c r="F1280" s="79" t="e">
        <f>ROUND(VLOOKUP(C1280,'RAW DATA 2023'!E:BO,23,0),0)</f>
        <v>#N/A</v>
      </c>
      <c r="G1280" s="79" t="e">
        <f>VLOOKUP(C1280,'RAW DATA 2023'!E:BO,24,0)</f>
        <v>#N/A</v>
      </c>
      <c r="H1280" s="79" t="str">
        <f>IFERROR(VLOOKUP(F1280,STD!A:G,3,TRUE),"")</f>
        <v/>
      </c>
      <c r="I1280" s="100">
        <f t="shared" si="97"/>
        <v>0</v>
      </c>
      <c r="J1280" s="74">
        <f t="shared" si="98"/>
        <v>-15</v>
      </c>
      <c r="K1280" t="e">
        <f>VLOOKUP(C1280,'RAW DATA 2023'!E:BO,12,0)</f>
        <v>#N/A</v>
      </c>
      <c r="L1280" s="268" t="e">
        <f t="shared" si="99"/>
        <v>#N/A</v>
      </c>
    </row>
    <row r="1281" spans="1:12">
      <c r="A1281" s="64">
        <f>'RAW DATA 2023'!B1274</f>
        <v>0</v>
      </c>
      <c r="B1281" s="64">
        <f>'RAW DATA 2023'!D1274</f>
        <v>0</v>
      </c>
      <c r="C1281" s="63" t="str">
        <f t="shared" si="95"/>
        <v>00</v>
      </c>
      <c r="D1281" s="63" t="e">
        <f>VLOOKUP(C1281,'RAW DATA 2023'!E:BP,63,0)</f>
        <v>#N/A</v>
      </c>
      <c r="E1281" s="63" t="e">
        <f t="shared" si="96"/>
        <v>#N/A</v>
      </c>
      <c r="F1281" s="79" t="e">
        <f>ROUND(VLOOKUP(C1281,'RAW DATA 2023'!E:BO,23,0),0)</f>
        <v>#N/A</v>
      </c>
      <c r="G1281" s="79" t="e">
        <f>VLOOKUP(C1281,'RAW DATA 2023'!E:BO,24,0)</f>
        <v>#N/A</v>
      </c>
      <c r="H1281" s="79" t="str">
        <f>IFERROR(VLOOKUP(F1281,STD!A:G,3,TRUE),"")</f>
        <v/>
      </c>
      <c r="I1281" s="100">
        <f t="shared" si="97"/>
        <v>0</v>
      </c>
      <c r="J1281" s="74">
        <f t="shared" si="98"/>
        <v>-15</v>
      </c>
      <c r="K1281" t="e">
        <f>VLOOKUP(C1281,'RAW DATA 2023'!E:BO,12,0)</f>
        <v>#N/A</v>
      </c>
      <c r="L1281" s="268" t="e">
        <f t="shared" si="99"/>
        <v>#N/A</v>
      </c>
    </row>
    <row r="1282" spans="1:12">
      <c r="A1282" s="64">
        <f>'RAW DATA 2023'!B1275</f>
        <v>0</v>
      </c>
      <c r="B1282" s="64">
        <f>'RAW DATA 2023'!D1275</f>
        <v>0</v>
      </c>
      <c r="C1282" s="63" t="str">
        <f t="shared" si="95"/>
        <v>00</v>
      </c>
      <c r="D1282" s="63" t="e">
        <f>VLOOKUP(C1282,'RAW DATA 2023'!E:BP,63,0)</f>
        <v>#N/A</v>
      </c>
      <c r="E1282" s="63" t="e">
        <f t="shared" si="96"/>
        <v>#N/A</v>
      </c>
      <c r="F1282" s="79" t="e">
        <f>ROUND(VLOOKUP(C1282,'RAW DATA 2023'!E:BO,23,0),0)</f>
        <v>#N/A</v>
      </c>
      <c r="G1282" s="79" t="e">
        <f>VLOOKUP(C1282,'RAW DATA 2023'!E:BO,24,0)</f>
        <v>#N/A</v>
      </c>
      <c r="H1282" s="79" t="str">
        <f>IFERROR(VLOOKUP(F1282,STD!A:G,3,TRUE),"")</f>
        <v/>
      </c>
      <c r="I1282" s="100">
        <f t="shared" si="97"/>
        <v>0</v>
      </c>
      <c r="J1282" s="74">
        <f t="shared" si="98"/>
        <v>-15</v>
      </c>
      <c r="K1282" t="e">
        <f>VLOOKUP(C1282,'RAW DATA 2023'!E:BO,12,0)</f>
        <v>#N/A</v>
      </c>
      <c r="L1282" s="268" t="e">
        <f t="shared" si="99"/>
        <v>#N/A</v>
      </c>
    </row>
    <row r="1283" spans="1:12">
      <c r="A1283" s="64">
        <f>'RAW DATA 2023'!B1276</f>
        <v>0</v>
      </c>
      <c r="B1283" s="64">
        <f>'RAW DATA 2023'!D1276</f>
        <v>0</v>
      </c>
      <c r="C1283" s="63" t="str">
        <f t="shared" si="95"/>
        <v>00</v>
      </c>
      <c r="D1283" s="63" t="e">
        <f>VLOOKUP(C1283,'RAW DATA 2023'!E:BP,63,0)</f>
        <v>#N/A</v>
      </c>
      <c r="E1283" s="63" t="e">
        <f t="shared" si="96"/>
        <v>#N/A</v>
      </c>
      <c r="F1283" s="79" t="e">
        <f>ROUND(VLOOKUP(C1283,'RAW DATA 2023'!E:BO,23,0),0)</f>
        <v>#N/A</v>
      </c>
      <c r="G1283" s="79" t="e">
        <f>VLOOKUP(C1283,'RAW DATA 2023'!E:BO,24,0)</f>
        <v>#N/A</v>
      </c>
      <c r="H1283" s="79" t="str">
        <f>IFERROR(VLOOKUP(F1283,STD!A:G,3,TRUE),"")</f>
        <v/>
      </c>
      <c r="I1283" s="100">
        <f t="shared" si="97"/>
        <v>0</v>
      </c>
      <c r="J1283" s="74">
        <f t="shared" si="98"/>
        <v>-15</v>
      </c>
      <c r="K1283" t="e">
        <f>VLOOKUP(C1283,'RAW DATA 2023'!E:BO,12,0)</f>
        <v>#N/A</v>
      </c>
      <c r="L1283" s="268" t="e">
        <f t="shared" si="99"/>
        <v>#N/A</v>
      </c>
    </row>
    <row r="1284" spans="1:12">
      <c r="A1284" s="64">
        <f>'RAW DATA 2023'!B1277</f>
        <v>0</v>
      </c>
      <c r="B1284" s="64">
        <f>'RAW DATA 2023'!D1277</f>
        <v>0</v>
      </c>
      <c r="C1284" s="63" t="str">
        <f t="shared" si="95"/>
        <v>00</v>
      </c>
      <c r="D1284" s="63" t="e">
        <f>VLOOKUP(C1284,'RAW DATA 2023'!E:BP,63,0)</f>
        <v>#N/A</v>
      </c>
      <c r="E1284" s="63" t="e">
        <f t="shared" si="96"/>
        <v>#N/A</v>
      </c>
      <c r="F1284" s="79" t="e">
        <f>ROUND(VLOOKUP(C1284,'RAW DATA 2023'!E:BO,23,0),0)</f>
        <v>#N/A</v>
      </c>
      <c r="G1284" s="79" t="e">
        <f>VLOOKUP(C1284,'RAW DATA 2023'!E:BO,24,0)</f>
        <v>#N/A</v>
      </c>
      <c r="H1284" s="79" t="str">
        <f>IFERROR(VLOOKUP(F1284,STD!A:G,3,TRUE),"")</f>
        <v/>
      </c>
      <c r="I1284" s="100">
        <f t="shared" si="97"/>
        <v>0</v>
      </c>
      <c r="J1284" s="74">
        <f t="shared" si="98"/>
        <v>-15</v>
      </c>
      <c r="K1284" t="e">
        <f>VLOOKUP(C1284,'RAW DATA 2023'!E:BO,12,0)</f>
        <v>#N/A</v>
      </c>
      <c r="L1284" s="268" t="e">
        <f t="shared" si="99"/>
        <v>#N/A</v>
      </c>
    </row>
    <row r="1285" spans="1:12">
      <c r="A1285" s="64">
        <f>'RAW DATA 2023'!B1278</f>
        <v>0</v>
      </c>
      <c r="B1285" s="64">
        <f>'RAW DATA 2023'!D1278</f>
        <v>0</v>
      </c>
      <c r="C1285" s="63" t="str">
        <f t="shared" si="95"/>
        <v>00</v>
      </c>
      <c r="D1285" s="63" t="e">
        <f>VLOOKUP(C1285,'RAW DATA 2023'!E:BP,63,0)</f>
        <v>#N/A</v>
      </c>
      <c r="E1285" s="63" t="e">
        <f t="shared" si="96"/>
        <v>#N/A</v>
      </c>
      <c r="F1285" s="79" t="e">
        <f>ROUND(VLOOKUP(C1285,'RAW DATA 2023'!E:BO,23,0),0)</f>
        <v>#N/A</v>
      </c>
      <c r="G1285" s="79" t="e">
        <f>VLOOKUP(C1285,'RAW DATA 2023'!E:BO,24,0)</f>
        <v>#N/A</v>
      </c>
      <c r="H1285" s="79" t="str">
        <f>IFERROR(VLOOKUP(F1285,STD!A:G,3,TRUE),"")</f>
        <v/>
      </c>
      <c r="I1285" s="100">
        <f t="shared" si="97"/>
        <v>0</v>
      </c>
      <c r="J1285" s="74">
        <f t="shared" si="98"/>
        <v>-15</v>
      </c>
      <c r="K1285" t="e">
        <f>VLOOKUP(C1285,'RAW DATA 2023'!E:BO,12,0)</f>
        <v>#N/A</v>
      </c>
      <c r="L1285" s="268" t="e">
        <f t="shared" si="99"/>
        <v>#N/A</v>
      </c>
    </row>
    <row r="1286" spans="1:12">
      <c r="A1286" s="64">
        <f>'RAW DATA 2023'!B1279</f>
        <v>0</v>
      </c>
      <c r="B1286" s="64">
        <f>'RAW DATA 2023'!D1279</f>
        <v>0</v>
      </c>
      <c r="C1286" s="63" t="str">
        <f t="shared" si="95"/>
        <v>00</v>
      </c>
      <c r="D1286" s="63" t="e">
        <f>VLOOKUP(C1286,'RAW DATA 2023'!E:BP,63,0)</f>
        <v>#N/A</v>
      </c>
      <c r="E1286" s="63" t="e">
        <f t="shared" si="96"/>
        <v>#N/A</v>
      </c>
      <c r="F1286" s="79" t="e">
        <f>ROUND(VLOOKUP(C1286,'RAW DATA 2023'!E:BO,23,0),0)</f>
        <v>#N/A</v>
      </c>
      <c r="G1286" s="79" t="e">
        <f>VLOOKUP(C1286,'RAW DATA 2023'!E:BO,24,0)</f>
        <v>#N/A</v>
      </c>
      <c r="H1286" s="79" t="str">
        <f>IFERROR(VLOOKUP(F1286,STD!A:G,3,TRUE),"")</f>
        <v/>
      </c>
      <c r="I1286" s="100">
        <f t="shared" si="97"/>
        <v>0</v>
      </c>
      <c r="J1286" s="74">
        <f t="shared" si="98"/>
        <v>-15</v>
      </c>
      <c r="K1286" t="e">
        <f>VLOOKUP(C1286,'RAW DATA 2023'!E:BO,12,0)</f>
        <v>#N/A</v>
      </c>
      <c r="L1286" s="268" t="e">
        <f t="shared" si="99"/>
        <v>#N/A</v>
      </c>
    </row>
    <row r="1287" spans="1:12">
      <c r="A1287" s="64">
        <f>'RAW DATA 2023'!B1280</f>
        <v>0</v>
      </c>
      <c r="B1287" s="64">
        <f>'RAW DATA 2023'!D1280</f>
        <v>0</v>
      </c>
      <c r="C1287" s="63" t="str">
        <f t="shared" si="95"/>
        <v>00</v>
      </c>
      <c r="D1287" s="63" t="e">
        <f>VLOOKUP(C1287,'RAW DATA 2023'!E:BP,63,0)</f>
        <v>#N/A</v>
      </c>
      <c r="E1287" s="63" t="e">
        <f t="shared" si="96"/>
        <v>#N/A</v>
      </c>
      <c r="F1287" s="79" t="e">
        <f>ROUND(VLOOKUP(C1287,'RAW DATA 2023'!E:BO,23,0),0)</f>
        <v>#N/A</v>
      </c>
      <c r="G1287" s="79" t="e">
        <f>VLOOKUP(C1287,'RAW DATA 2023'!E:BO,24,0)</f>
        <v>#N/A</v>
      </c>
      <c r="H1287" s="79" t="str">
        <f>IFERROR(VLOOKUP(F1287,STD!A:G,3,TRUE),"")</f>
        <v/>
      </c>
      <c r="I1287" s="100">
        <f t="shared" si="97"/>
        <v>0</v>
      </c>
      <c r="J1287" s="74">
        <f t="shared" si="98"/>
        <v>-15</v>
      </c>
      <c r="K1287" t="e">
        <f>VLOOKUP(C1287,'RAW DATA 2023'!E:BO,12,0)</f>
        <v>#N/A</v>
      </c>
      <c r="L1287" s="268" t="e">
        <f t="shared" si="99"/>
        <v>#N/A</v>
      </c>
    </row>
    <row r="1288" spans="1:12">
      <c r="A1288" s="64">
        <f>'RAW DATA 2023'!B1281</f>
        <v>0</v>
      </c>
      <c r="B1288" s="64">
        <f>'RAW DATA 2023'!D1281</f>
        <v>0</v>
      </c>
      <c r="C1288" s="63" t="str">
        <f t="shared" si="95"/>
        <v>00</v>
      </c>
      <c r="D1288" s="63" t="e">
        <f>VLOOKUP(C1288,'RAW DATA 2023'!E:BP,63,0)</f>
        <v>#N/A</v>
      </c>
      <c r="E1288" s="63" t="e">
        <f t="shared" si="96"/>
        <v>#N/A</v>
      </c>
      <c r="F1288" s="79" t="e">
        <f>ROUND(VLOOKUP(C1288,'RAW DATA 2023'!E:BO,23,0),0)</f>
        <v>#N/A</v>
      </c>
      <c r="G1288" s="79" t="e">
        <f>VLOOKUP(C1288,'RAW DATA 2023'!E:BO,24,0)</f>
        <v>#N/A</v>
      </c>
      <c r="H1288" s="79" t="str">
        <f>IFERROR(VLOOKUP(F1288,STD!A:G,3,TRUE),"")</f>
        <v/>
      </c>
      <c r="I1288" s="100">
        <f t="shared" si="97"/>
        <v>0</v>
      </c>
      <c r="J1288" s="74">
        <f t="shared" si="98"/>
        <v>-15</v>
      </c>
      <c r="K1288" t="e">
        <f>VLOOKUP(C1288,'RAW DATA 2023'!E:BO,12,0)</f>
        <v>#N/A</v>
      </c>
      <c r="L1288" s="268" t="e">
        <f t="shared" si="99"/>
        <v>#N/A</v>
      </c>
    </row>
    <row r="1289" spans="1:12">
      <c r="A1289" s="64">
        <f>'RAW DATA 2023'!B1282</f>
        <v>0</v>
      </c>
      <c r="B1289" s="64">
        <f>'RAW DATA 2023'!D1282</f>
        <v>0</v>
      </c>
      <c r="C1289" s="63" t="str">
        <f t="shared" si="95"/>
        <v>00</v>
      </c>
      <c r="D1289" s="63" t="e">
        <f>VLOOKUP(C1289,'RAW DATA 2023'!E:BP,63,0)</f>
        <v>#N/A</v>
      </c>
      <c r="E1289" s="63" t="e">
        <f t="shared" si="96"/>
        <v>#N/A</v>
      </c>
      <c r="F1289" s="79" t="e">
        <f>ROUND(VLOOKUP(C1289,'RAW DATA 2023'!E:BO,23,0),0)</f>
        <v>#N/A</v>
      </c>
      <c r="G1289" s="79" t="e">
        <f>VLOOKUP(C1289,'RAW DATA 2023'!E:BO,24,0)</f>
        <v>#N/A</v>
      </c>
      <c r="H1289" s="79" t="str">
        <f>IFERROR(VLOOKUP(F1289,STD!A:G,3,TRUE),"")</f>
        <v/>
      </c>
      <c r="I1289" s="100">
        <f t="shared" si="97"/>
        <v>0</v>
      </c>
      <c r="J1289" s="74">
        <f t="shared" si="98"/>
        <v>-15</v>
      </c>
      <c r="K1289" t="e">
        <f>VLOOKUP(C1289,'RAW DATA 2023'!E:BO,12,0)</f>
        <v>#N/A</v>
      </c>
      <c r="L1289" s="268" t="e">
        <f t="shared" si="99"/>
        <v>#N/A</v>
      </c>
    </row>
    <row r="1290" spans="1:12">
      <c r="A1290" s="64">
        <f>'RAW DATA 2023'!B1283</f>
        <v>0</v>
      </c>
      <c r="B1290" s="64">
        <f>'RAW DATA 2023'!D1283</f>
        <v>0</v>
      </c>
      <c r="C1290" s="63" t="str">
        <f t="shared" ref="C1290:C1297" si="100">A1290&amp;B1290</f>
        <v>00</v>
      </c>
      <c r="D1290" s="63" t="e">
        <f>VLOOKUP(C1290,'RAW DATA 2023'!E:BP,63,0)</f>
        <v>#N/A</v>
      </c>
      <c r="E1290" s="63" t="e">
        <f t="shared" ref="E1290:E1297" si="101">A1290&amp;D1290</f>
        <v>#N/A</v>
      </c>
      <c r="F1290" s="79" t="e">
        <f>ROUND(VLOOKUP(C1290,'RAW DATA 2023'!E:BO,23,0),0)</f>
        <v>#N/A</v>
      </c>
      <c r="G1290" s="79" t="e">
        <f>VLOOKUP(C1290,'RAW DATA 2023'!E:BO,24,0)</f>
        <v>#N/A</v>
      </c>
      <c r="H1290" s="79" t="str">
        <f>IFERROR(VLOOKUP(F1290,STD!A:G,3,TRUE),"")</f>
        <v/>
      </c>
      <c r="I1290" s="100">
        <f t="shared" si="97"/>
        <v>0</v>
      </c>
      <c r="J1290" s="74">
        <f t="shared" si="98"/>
        <v>-15</v>
      </c>
      <c r="K1290" t="e">
        <f>VLOOKUP(C1290,'RAW DATA 2023'!E:BO,12,0)</f>
        <v>#N/A</v>
      </c>
      <c r="L1290" s="268" t="e">
        <f t="shared" si="99"/>
        <v>#N/A</v>
      </c>
    </row>
    <row r="1291" spans="1:12">
      <c r="A1291" s="64">
        <f>'RAW DATA 2023'!B1284</f>
        <v>0</v>
      </c>
      <c r="B1291" s="64">
        <f>'RAW DATA 2023'!D1284</f>
        <v>0</v>
      </c>
      <c r="C1291" s="63" t="str">
        <f t="shared" si="100"/>
        <v>00</v>
      </c>
      <c r="D1291" s="63" t="e">
        <f>VLOOKUP(C1291,'RAW DATA 2023'!E:BP,63,0)</f>
        <v>#N/A</v>
      </c>
      <c r="E1291" s="63" t="e">
        <f t="shared" si="101"/>
        <v>#N/A</v>
      </c>
      <c r="F1291" s="79" t="e">
        <f>ROUND(VLOOKUP(C1291,'RAW DATA 2023'!E:BO,23,0),0)</f>
        <v>#N/A</v>
      </c>
      <c r="G1291" s="79" t="e">
        <f>VLOOKUP(C1291,'RAW DATA 2023'!E:BO,24,0)</f>
        <v>#N/A</v>
      </c>
      <c r="H1291" s="79" t="str">
        <f>IFERROR(VLOOKUP(F1291,STD!A:G,3,TRUE),"")</f>
        <v/>
      </c>
      <c r="I1291" s="100">
        <f t="shared" ref="I1291:I1297" si="102">IFERROR(G1291/H1291,0)</f>
        <v>0</v>
      </c>
      <c r="J1291" s="74">
        <f t="shared" ref="J1291:J1297" si="103">(I1291-$E$4)*$E$7</f>
        <v>-15</v>
      </c>
      <c r="K1291" t="e">
        <f>VLOOKUP(C1291,'RAW DATA 2023'!E:BO,12,0)</f>
        <v>#N/A</v>
      </c>
      <c r="L1291" s="268" t="e">
        <f t="shared" ref="L1291:L1297" si="104">J1291*K1291</f>
        <v>#N/A</v>
      </c>
    </row>
    <row r="1292" spans="1:12">
      <c r="A1292" s="64">
        <f>'RAW DATA 2023'!B1285</f>
        <v>0</v>
      </c>
      <c r="B1292" s="64">
        <f>'RAW DATA 2023'!D1285</f>
        <v>0</v>
      </c>
      <c r="C1292" s="63" t="str">
        <f t="shared" si="100"/>
        <v>00</v>
      </c>
      <c r="D1292" s="63" t="e">
        <f>VLOOKUP(C1292,'RAW DATA 2023'!E:BP,63,0)</f>
        <v>#N/A</v>
      </c>
      <c r="E1292" s="63" t="e">
        <f t="shared" si="101"/>
        <v>#N/A</v>
      </c>
      <c r="F1292" s="79" t="e">
        <f>ROUND(VLOOKUP(C1292,'RAW DATA 2023'!E:BO,23,0),0)</f>
        <v>#N/A</v>
      </c>
      <c r="G1292" s="79" t="e">
        <f>VLOOKUP(C1292,'RAW DATA 2023'!E:BO,24,0)</f>
        <v>#N/A</v>
      </c>
      <c r="H1292" s="79" t="str">
        <f>IFERROR(VLOOKUP(F1292,STD!A:G,3,TRUE),"")</f>
        <v/>
      </c>
      <c r="I1292" s="100">
        <f t="shared" si="102"/>
        <v>0</v>
      </c>
      <c r="J1292" s="74">
        <f t="shared" si="103"/>
        <v>-15</v>
      </c>
      <c r="K1292" t="e">
        <f>VLOOKUP(C1292,'RAW DATA 2023'!E:BO,12,0)</f>
        <v>#N/A</v>
      </c>
      <c r="L1292" s="268" t="e">
        <f t="shared" si="104"/>
        <v>#N/A</v>
      </c>
    </row>
    <row r="1293" spans="1:12">
      <c r="A1293" s="64">
        <f>'RAW DATA 2023'!B1286</f>
        <v>0</v>
      </c>
      <c r="B1293" s="64">
        <f>'RAW DATA 2023'!D1286</f>
        <v>0</v>
      </c>
      <c r="C1293" s="63" t="str">
        <f t="shared" si="100"/>
        <v>00</v>
      </c>
      <c r="D1293" s="63" t="e">
        <f>VLOOKUP(C1293,'RAW DATA 2023'!E:BP,63,0)</f>
        <v>#N/A</v>
      </c>
      <c r="E1293" s="63" t="e">
        <f t="shared" si="101"/>
        <v>#N/A</v>
      </c>
      <c r="F1293" s="79" t="e">
        <f>ROUND(VLOOKUP(C1293,'RAW DATA 2023'!E:BO,23,0),0)</f>
        <v>#N/A</v>
      </c>
      <c r="G1293" s="79" t="e">
        <f>VLOOKUP(C1293,'RAW DATA 2023'!E:BO,24,0)</f>
        <v>#N/A</v>
      </c>
      <c r="H1293" s="79" t="str">
        <f>IFERROR(VLOOKUP(F1293,STD!A:G,3,TRUE),"")</f>
        <v/>
      </c>
      <c r="I1293" s="100">
        <f t="shared" si="102"/>
        <v>0</v>
      </c>
      <c r="J1293" s="74">
        <f t="shared" si="103"/>
        <v>-15</v>
      </c>
      <c r="K1293" t="e">
        <f>VLOOKUP(C1293,'RAW DATA 2023'!E:BO,12,0)</f>
        <v>#N/A</v>
      </c>
      <c r="L1293" s="268" t="e">
        <f t="shared" si="104"/>
        <v>#N/A</v>
      </c>
    </row>
    <row r="1294" spans="1:12">
      <c r="A1294" s="64">
        <f>'RAW DATA 2023'!B1287</f>
        <v>0</v>
      </c>
      <c r="B1294" s="64">
        <f>'RAW DATA 2023'!D1287</f>
        <v>0</v>
      </c>
      <c r="C1294" s="63" t="str">
        <f t="shared" si="100"/>
        <v>00</v>
      </c>
      <c r="D1294" s="63" t="e">
        <f>VLOOKUP(C1294,'RAW DATA 2023'!E:BP,63,0)</f>
        <v>#N/A</v>
      </c>
      <c r="E1294" s="63" t="e">
        <f t="shared" si="101"/>
        <v>#N/A</v>
      </c>
      <c r="F1294" s="79" t="e">
        <f>ROUND(VLOOKUP(C1294,'RAW DATA 2023'!E:BO,23,0),0)</f>
        <v>#N/A</v>
      </c>
      <c r="G1294" s="79" t="e">
        <f>VLOOKUP(C1294,'RAW DATA 2023'!E:BO,24,0)</f>
        <v>#N/A</v>
      </c>
      <c r="H1294" s="79" t="str">
        <f>IFERROR(VLOOKUP(F1294,STD!A:G,3,TRUE),"")</f>
        <v/>
      </c>
      <c r="I1294" s="100">
        <f t="shared" si="102"/>
        <v>0</v>
      </c>
      <c r="J1294" s="74">
        <f t="shared" si="103"/>
        <v>-15</v>
      </c>
      <c r="K1294" t="e">
        <f>VLOOKUP(C1294,'RAW DATA 2023'!E:BO,12,0)</f>
        <v>#N/A</v>
      </c>
      <c r="L1294" s="268" t="e">
        <f t="shared" si="104"/>
        <v>#N/A</v>
      </c>
    </row>
    <row r="1295" spans="1:12">
      <c r="A1295" s="64">
        <f>'RAW DATA 2023'!B1288</f>
        <v>0</v>
      </c>
      <c r="B1295" s="64">
        <f>'RAW DATA 2023'!D1288</f>
        <v>0</v>
      </c>
      <c r="C1295" s="63" t="str">
        <f t="shared" si="100"/>
        <v>00</v>
      </c>
      <c r="D1295" s="63" t="e">
        <f>VLOOKUP(C1295,'RAW DATA 2023'!E:BP,63,0)</f>
        <v>#N/A</v>
      </c>
      <c r="E1295" s="63" t="e">
        <f t="shared" si="101"/>
        <v>#N/A</v>
      </c>
      <c r="F1295" s="79" t="e">
        <f>ROUND(VLOOKUP(C1295,'RAW DATA 2023'!E:BO,23,0),0)</f>
        <v>#N/A</v>
      </c>
      <c r="G1295" s="79" t="e">
        <f>VLOOKUP(C1295,'RAW DATA 2023'!E:BO,24,0)</f>
        <v>#N/A</v>
      </c>
      <c r="H1295" s="79" t="str">
        <f>IFERROR(VLOOKUP(F1295,STD!A:G,3,TRUE),"")</f>
        <v/>
      </c>
      <c r="I1295" s="100">
        <f t="shared" si="102"/>
        <v>0</v>
      </c>
      <c r="J1295" s="74">
        <f t="shared" si="103"/>
        <v>-15</v>
      </c>
      <c r="K1295" t="e">
        <f>VLOOKUP(C1295,'RAW DATA 2023'!E:BO,12,0)</f>
        <v>#N/A</v>
      </c>
      <c r="L1295" s="268" t="e">
        <f t="shared" si="104"/>
        <v>#N/A</v>
      </c>
    </row>
    <row r="1296" spans="1:12">
      <c r="A1296" s="64">
        <f>'RAW DATA 2023'!B1289</f>
        <v>0</v>
      </c>
      <c r="B1296" s="64">
        <f>'RAW DATA 2023'!D1289</f>
        <v>0</v>
      </c>
      <c r="C1296" s="63" t="str">
        <f t="shared" si="100"/>
        <v>00</v>
      </c>
      <c r="D1296" s="63" t="e">
        <f>VLOOKUP(C1296,'RAW DATA 2023'!E:BP,63,0)</f>
        <v>#N/A</v>
      </c>
      <c r="E1296" s="63" t="e">
        <f t="shared" si="101"/>
        <v>#N/A</v>
      </c>
      <c r="F1296" s="79" t="e">
        <f>ROUND(VLOOKUP(C1296,'RAW DATA 2023'!E:BO,23,0),0)</f>
        <v>#N/A</v>
      </c>
      <c r="G1296" s="79" t="e">
        <f>VLOOKUP(C1296,'RAW DATA 2023'!E:BO,24,0)</f>
        <v>#N/A</v>
      </c>
      <c r="H1296" s="79" t="str">
        <f>IFERROR(VLOOKUP(F1296,STD!A:G,3,TRUE),"")</f>
        <v/>
      </c>
      <c r="I1296" s="100">
        <f t="shared" si="102"/>
        <v>0</v>
      </c>
      <c r="J1296" s="74">
        <f t="shared" si="103"/>
        <v>-15</v>
      </c>
      <c r="K1296" t="e">
        <f>VLOOKUP(C1296,'RAW DATA 2023'!E:BO,12,0)</f>
        <v>#N/A</v>
      </c>
      <c r="L1296" s="268" t="e">
        <f t="shared" si="104"/>
        <v>#N/A</v>
      </c>
    </row>
    <row r="1297" spans="1:12">
      <c r="A1297" s="64">
        <f>'RAW DATA 2023'!B1290</f>
        <v>0</v>
      </c>
      <c r="B1297" s="64">
        <f>'RAW DATA 2023'!D1290</f>
        <v>0</v>
      </c>
      <c r="C1297" s="63" t="str">
        <f t="shared" si="100"/>
        <v>00</v>
      </c>
      <c r="D1297" s="63" t="e">
        <f>VLOOKUP(C1297,'RAW DATA 2023'!E:BP,63,0)</f>
        <v>#N/A</v>
      </c>
      <c r="E1297" s="63" t="e">
        <f t="shared" si="101"/>
        <v>#N/A</v>
      </c>
      <c r="F1297" s="79" t="e">
        <f>ROUND(VLOOKUP(C1297,'RAW DATA 2023'!E:BO,23,0),0)</f>
        <v>#N/A</v>
      </c>
      <c r="G1297" s="79" t="e">
        <f>VLOOKUP(C1297,'RAW DATA 2023'!E:BO,24,0)</f>
        <v>#N/A</v>
      </c>
      <c r="H1297" s="79" t="str">
        <f>IFERROR(VLOOKUP(F1297,STD!A:G,3,TRUE),"")</f>
        <v/>
      </c>
      <c r="I1297" s="100">
        <f t="shared" si="102"/>
        <v>0</v>
      </c>
      <c r="J1297" s="74">
        <f t="shared" si="103"/>
        <v>-15</v>
      </c>
      <c r="K1297" t="e">
        <f>VLOOKUP(C1297,'RAW DATA 2023'!E:BO,12,0)</f>
        <v>#N/A</v>
      </c>
      <c r="L1297" s="268" t="e">
        <f t="shared" si="104"/>
        <v>#N/A</v>
      </c>
    </row>
    <row r="1298" spans="1:12">
      <c r="A1298" s="63"/>
    </row>
    <row r="1299" spans="1:12">
      <c r="A1299" s="63"/>
      <c r="I1299" s="320"/>
      <c r="J1299" s="321"/>
    </row>
    <row r="1300" spans="1:12">
      <c r="A1300" s="63"/>
      <c r="I1300" s="320"/>
      <c r="J1300" s="16"/>
    </row>
    <row r="1301" spans="1:12">
      <c r="A1301" s="63"/>
    </row>
    <row r="1302" spans="1:12">
      <c r="A1302" s="63"/>
    </row>
    <row r="1303" spans="1:12">
      <c r="A1303" s="63"/>
    </row>
    <row r="1304" spans="1:12">
      <c r="A1304" s="63"/>
    </row>
    <row r="1305" spans="1:12">
      <c r="A1305" s="63"/>
    </row>
    <row r="1306" spans="1:12">
      <c r="A1306" s="63"/>
    </row>
    <row r="1307" spans="1:12">
      <c r="A1307" s="63"/>
    </row>
    <row r="1308" spans="1:12">
      <c r="A1308" s="63"/>
    </row>
    <row r="1309" spans="1:12">
      <c r="A1309" s="63"/>
    </row>
    <row r="1310" spans="1:12">
      <c r="A1310" s="63"/>
    </row>
    <row r="1311" spans="1:12">
      <c r="A1311" s="63"/>
    </row>
    <row r="1312" spans="1:12">
      <c r="A1312" s="63"/>
    </row>
    <row r="1313" spans="1:1">
      <c r="A1313" s="63"/>
    </row>
    <row r="1314" spans="1:1">
      <c r="A1314" s="63"/>
    </row>
    <row r="1315" spans="1:1">
      <c r="A1315" s="63"/>
    </row>
    <row r="1316" spans="1:1">
      <c r="A1316" s="63"/>
    </row>
    <row r="1317" spans="1:1">
      <c r="A1317" s="63"/>
    </row>
    <row r="1318" spans="1:1">
      <c r="A1318" s="63"/>
    </row>
    <row r="1319" spans="1:1">
      <c r="A1319" s="63"/>
    </row>
    <row r="1320" spans="1:1">
      <c r="A1320" s="63"/>
    </row>
    <row r="1321" spans="1:1">
      <c r="A1321" s="63"/>
    </row>
    <row r="1322" spans="1:1">
      <c r="A1322" s="63"/>
    </row>
    <row r="1323" spans="1:1">
      <c r="A1323" s="63"/>
    </row>
    <row r="1324" spans="1:1">
      <c r="A1324" s="63"/>
    </row>
    <row r="1325" spans="1:1">
      <c r="A1325" s="63"/>
    </row>
    <row r="1326" spans="1:1">
      <c r="A1326" s="63"/>
    </row>
    <row r="1327" spans="1:1">
      <c r="A1327" s="63"/>
    </row>
    <row r="1328" spans="1:1">
      <c r="A1328" s="63"/>
    </row>
    <row r="1329" spans="1:1">
      <c r="A1329" s="63"/>
    </row>
    <row r="1330" spans="1:1">
      <c r="A1330" s="63"/>
    </row>
    <row r="1331" spans="1:1">
      <c r="A1331" s="63"/>
    </row>
    <row r="1332" spans="1:1">
      <c r="A1332" s="63"/>
    </row>
    <row r="1333" spans="1:1">
      <c r="A1333" s="63"/>
    </row>
    <row r="1334" spans="1:1">
      <c r="A1334" s="63"/>
    </row>
    <row r="1335" spans="1:1">
      <c r="A1335" s="63"/>
    </row>
    <row r="1336" spans="1:1">
      <c r="A1336" s="63"/>
    </row>
    <row r="1337" spans="1:1">
      <c r="A1337" s="63"/>
    </row>
    <row r="1338" spans="1:1">
      <c r="A1338" s="63"/>
    </row>
    <row r="1339" spans="1:1">
      <c r="A1339" s="63"/>
    </row>
    <row r="1340" spans="1:1">
      <c r="A1340" s="63"/>
    </row>
    <row r="1341" spans="1:1">
      <c r="A1341" s="63"/>
    </row>
    <row r="1342" spans="1:1">
      <c r="A1342" s="63"/>
    </row>
    <row r="1343" spans="1:1">
      <c r="A1343" s="63"/>
    </row>
    <row r="1344" spans="1:1">
      <c r="A1344" s="63"/>
    </row>
    <row r="1345" spans="1:1">
      <c r="A1345" s="63"/>
    </row>
    <row r="1346" spans="1:1">
      <c r="A1346" s="63"/>
    </row>
    <row r="1347" spans="1:1">
      <c r="A1347" s="63"/>
    </row>
    <row r="1348" spans="1:1">
      <c r="A1348" s="63"/>
    </row>
    <row r="1349" spans="1:1">
      <c r="A1349" s="63"/>
    </row>
    <row r="1350" spans="1:1">
      <c r="A1350" s="63"/>
    </row>
    <row r="1351" spans="1:1">
      <c r="A1351" s="63"/>
    </row>
    <row r="1352" spans="1:1">
      <c r="A1352" s="63"/>
    </row>
    <row r="1353" spans="1:1">
      <c r="A1353" s="63"/>
    </row>
    <row r="1354" spans="1:1">
      <c r="A1354" s="63"/>
    </row>
    <row r="1355" spans="1:1">
      <c r="A1355" s="63"/>
    </row>
    <row r="1356" spans="1:1">
      <c r="A1356" s="63"/>
    </row>
    <row r="1357" spans="1:1">
      <c r="A1357" s="63"/>
    </row>
    <row r="1358" spans="1:1">
      <c r="A1358" s="63"/>
    </row>
    <row r="1359" spans="1:1">
      <c r="A1359" s="63"/>
    </row>
    <row r="1360" spans="1:1">
      <c r="A1360" s="63"/>
    </row>
    <row r="1361" spans="1:1">
      <c r="A1361" s="63"/>
    </row>
    <row r="1362" spans="1:1">
      <c r="A1362" s="63"/>
    </row>
    <row r="1363" spans="1:1">
      <c r="A1363" s="63"/>
    </row>
    <row r="1364" spans="1:1">
      <c r="A1364" s="63"/>
    </row>
    <row r="1365" spans="1:1">
      <c r="A1365" s="63"/>
    </row>
    <row r="1366" spans="1:1">
      <c r="A1366" s="63"/>
    </row>
    <row r="1367" spans="1:1">
      <c r="A1367" s="63"/>
    </row>
    <row r="1368" spans="1:1">
      <c r="A1368" s="63"/>
    </row>
  </sheetData>
  <autoFilter ref="A9:M1297" xr:uid="{D90192E0-DA82-9346-8986-ADED974424B7}">
    <sortState xmlns:xlrd2="http://schemas.microsoft.com/office/spreadsheetml/2017/richdata2" ref="A10:M1297">
      <sortCondition ref="C9:C1297"/>
    </sortState>
  </autoFilter>
  <pageMargins left="0.7" right="0.7" top="0.75" bottom="0.75" header="0.3" footer="0.3"/>
  <pageSetup paperSize="9" orientation="portrait" horizontalDpi="0" verticalDpi="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1D8C6-EE92-BC4B-89AF-D9BB283EF2BE}">
  <dimension ref="A2:Y1297"/>
  <sheetViews>
    <sheetView topLeftCell="A2" zoomScale="166" zoomScaleNormal="160" workbookViewId="0">
      <selection activeCell="J10" sqref="J10"/>
    </sheetView>
  </sheetViews>
  <sheetFormatPr baseColWidth="10" defaultRowHeight="16"/>
  <cols>
    <col min="1" max="1" width="18.33203125" style="63" customWidth="1"/>
    <col min="2" max="2" width="15.5" style="63" customWidth="1"/>
    <col min="3" max="3" width="25.1640625" style="63" customWidth="1"/>
    <col min="4" max="4" width="12.33203125" style="68" customWidth="1"/>
    <col min="5" max="5" width="12.33203125" style="63" customWidth="1"/>
    <col min="6" max="9" width="15.5" style="63" customWidth="1"/>
    <col min="10" max="10" width="15.5" style="73" customWidth="1"/>
    <col min="11" max="11" width="15.5" style="63" customWidth="1"/>
    <col min="12" max="12" width="15.5" style="74" customWidth="1"/>
    <col min="13" max="13" width="15.5" style="105" customWidth="1"/>
    <col min="14" max="24" width="10.83203125" style="63"/>
    <col min="25" max="25" width="17.33203125" style="63" customWidth="1"/>
    <col min="26" max="16384" width="10.83203125" style="63"/>
  </cols>
  <sheetData>
    <row r="2" spans="1:25" s="64" customFormat="1">
      <c r="A2" s="81" t="s">
        <v>1831</v>
      </c>
      <c r="B2" s="82" t="s">
        <v>1846</v>
      </c>
      <c r="D2" s="83" t="s">
        <v>1849</v>
      </c>
      <c r="E2" s="83"/>
      <c r="F2" s="102"/>
      <c r="G2" s="65" t="s">
        <v>1839</v>
      </c>
      <c r="H2" s="66" t="s">
        <v>1844</v>
      </c>
      <c r="I2" s="66" t="s">
        <v>1845</v>
      </c>
      <c r="J2" s="247"/>
      <c r="P2" s="48" t="s">
        <v>1848</v>
      </c>
      <c r="Q2" s="48"/>
    </row>
    <row r="3" spans="1:25" s="64" customFormat="1">
      <c r="A3" s="83" t="s">
        <v>1826</v>
      </c>
      <c r="B3" s="116">
        <v>1.25</v>
      </c>
      <c r="D3" s="83" t="s">
        <v>1826</v>
      </c>
      <c r="E3" s="173">
        <f>MAX(J480:J681)</f>
        <v>17.6354902</v>
      </c>
      <c r="F3" s="102"/>
      <c r="G3" s="64" t="s">
        <v>1840</v>
      </c>
      <c r="H3" s="64">
        <f>COUNTIF(J10:J1297,"&gt;15")</f>
        <v>11</v>
      </c>
      <c r="I3" s="67">
        <f>H3/$H$6</f>
        <v>1.3546798029556651E-2</v>
      </c>
      <c r="J3" s="247"/>
      <c r="P3" s="113" t="s">
        <v>1826</v>
      </c>
      <c r="Q3" s="114">
        <v>0.3</v>
      </c>
    </row>
    <row r="4" spans="1:25" s="64" customFormat="1">
      <c r="A4" s="83" t="s">
        <v>1827</v>
      </c>
      <c r="B4" s="116">
        <v>0.5</v>
      </c>
      <c r="D4" s="83" t="s">
        <v>1827</v>
      </c>
      <c r="E4" s="173">
        <f>MIN(J480:J681)</f>
        <v>0</v>
      </c>
      <c r="F4" s="102"/>
      <c r="G4" s="64" t="s">
        <v>1841</v>
      </c>
      <c r="H4" s="64">
        <f>COUNTIF(J10:J1297,"0")</f>
        <v>418</v>
      </c>
      <c r="I4" s="67">
        <f>H4/$H$6</f>
        <v>0.51477832512315269</v>
      </c>
      <c r="J4" s="247"/>
      <c r="P4" s="113" t="s">
        <v>1827</v>
      </c>
      <c r="Q4" s="114">
        <v>0</v>
      </c>
    </row>
    <row r="5" spans="1:25" s="64" customFormat="1">
      <c r="A5" s="83" t="s">
        <v>1833</v>
      </c>
      <c r="B5" s="116">
        <f>B3-B4</f>
        <v>0.75</v>
      </c>
      <c r="D5" s="83" t="s">
        <v>1837</v>
      </c>
      <c r="E5" s="173">
        <f>AVERAGE(J480:J681)</f>
        <v>6.8786806615827043</v>
      </c>
      <c r="F5" s="102"/>
      <c r="G5" s="64" t="s">
        <v>1842</v>
      </c>
      <c r="H5" s="64">
        <f>H6-H4-H3</f>
        <v>383</v>
      </c>
      <c r="I5" s="67">
        <f>H5/$H$6</f>
        <v>0.47167487684729065</v>
      </c>
      <c r="J5" s="247"/>
      <c r="P5" s="113" t="s">
        <v>1833</v>
      </c>
      <c r="Q5" s="114">
        <f>Q3-Q4</f>
        <v>0.3</v>
      </c>
    </row>
    <row r="6" spans="1:25" s="64" customFormat="1">
      <c r="A6" s="83" t="s">
        <v>1832</v>
      </c>
      <c r="B6" s="84">
        <v>15</v>
      </c>
      <c r="D6" s="83" t="s">
        <v>1838</v>
      </c>
      <c r="E6" s="173">
        <f>MEDIAN(J480:J681)</f>
        <v>6.5606475163763074</v>
      </c>
      <c r="F6" s="102"/>
      <c r="G6" s="64" t="s">
        <v>1843</v>
      </c>
      <c r="H6" s="64">
        <f>COUNT(G10:G821)</f>
        <v>812</v>
      </c>
      <c r="I6" s="67">
        <f>H6/$H$6</f>
        <v>1</v>
      </c>
      <c r="J6" s="247"/>
      <c r="P6" s="113" t="s">
        <v>1832</v>
      </c>
      <c r="Q6" s="114">
        <v>5</v>
      </c>
    </row>
    <row r="7" spans="1:25" s="64" customFormat="1">
      <c r="A7" s="83" t="s">
        <v>1835</v>
      </c>
      <c r="B7" s="117">
        <f>B6/B5</f>
        <v>20</v>
      </c>
      <c r="D7" s="66"/>
      <c r="E7" s="102"/>
      <c r="G7" s="78"/>
      <c r="H7" s="103"/>
      <c r="J7" s="247"/>
      <c r="P7" s="113" t="s">
        <v>1835</v>
      </c>
      <c r="Q7" s="115">
        <f>Q6/Q5</f>
        <v>16.666666666666668</v>
      </c>
    </row>
    <row r="9" spans="1:25" ht="17">
      <c r="A9" s="63" t="str">
        <f>'RAW DATA 2023'!B2</f>
        <v>Farm</v>
      </c>
      <c r="B9" s="63" t="str">
        <f>'RAW DATA 2023'!D2</f>
        <v>Pond</v>
      </c>
      <c r="C9" s="71" t="s">
        <v>1903</v>
      </c>
      <c r="D9" s="34" t="s">
        <v>1873</v>
      </c>
      <c r="E9" s="125" t="s">
        <v>1915</v>
      </c>
      <c r="F9" s="63" t="s">
        <v>1911</v>
      </c>
      <c r="G9" s="120" t="str">
        <f>'RAW DATA 2023'!AD2</f>
        <v>ADG (g)</v>
      </c>
      <c r="H9" s="77" t="s">
        <v>1912</v>
      </c>
      <c r="I9" s="77" t="s">
        <v>1910</v>
      </c>
      <c r="J9" s="248" t="s">
        <v>1829</v>
      </c>
      <c r="K9" s="68" t="s">
        <v>1855</v>
      </c>
      <c r="L9" s="204" t="s">
        <v>2623</v>
      </c>
      <c r="M9" s="63"/>
      <c r="Y9" s="76"/>
    </row>
    <row r="10" spans="1:25">
      <c r="A10" s="63" t="str">
        <f>'RAW DATA 2023'!B3</f>
        <v>Lamae</v>
      </c>
      <c r="B10" s="63" t="str">
        <f>'RAW DATA 2023'!D3</f>
        <v>A1-013-0016</v>
      </c>
      <c r="C10" s="63" t="str">
        <f t="shared" ref="C10:C73" si="0">A10&amp;B10</f>
        <v>LamaeA1-013-0016</v>
      </c>
      <c r="D10" s="63">
        <f>VLOOKUP(C10,'RAW DATA 2023'!E:BP,63,0)</f>
        <v>9</v>
      </c>
      <c r="E10" s="63" t="str">
        <f t="shared" ref="E10:E73" si="1">A10&amp;D10</f>
        <v>Lamae9</v>
      </c>
      <c r="F10" s="63">
        <f>ROUND(VLOOKUP(C10,'RAW DATA 2023'!E:BO,23,0),0)</f>
        <v>33</v>
      </c>
      <c r="G10" s="120">
        <f>VLOOKUP(C10,'RAW DATA 2023'!E:BO,26,0)</f>
        <v>0.40494636300000003</v>
      </c>
      <c r="H10" s="101">
        <f>IFERROR(VLOOKUP(F10,STD!B:G,6,0),"")</f>
        <v>0.39</v>
      </c>
      <c r="I10" s="100">
        <f t="shared" ref="I10:I73" si="2">IFERROR(G10/H10,0)</f>
        <v>1.0383240076923077</v>
      </c>
      <c r="J10" s="249">
        <f>IF(I10&gt;0.5,((I10-$B$4)*$B$7),0)</f>
        <v>10.766480153846153</v>
      </c>
      <c r="K10" s="63">
        <f>VLOOKUP(C10,'RAW DATA 2023'!E:BO,20,0)</f>
        <v>107</v>
      </c>
      <c r="L10" s="322">
        <f>J10*K10</f>
        <v>1152.0133764615384</v>
      </c>
      <c r="M10" s="63"/>
      <c r="Y10" s="63" t="str">
        <f t="shared" ref="Y10:Y73" si="3">B10&amp;D10</f>
        <v>A1-013-00169</v>
      </c>
    </row>
    <row r="11" spans="1:25">
      <c r="A11" s="63" t="str">
        <f>'RAW DATA 2023'!B4</f>
        <v>Lamae</v>
      </c>
      <c r="B11" s="63" t="str">
        <f>'RAW DATA 2023'!D4</f>
        <v>A1-012-0013</v>
      </c>
      <c r="C11" s="63" t="str">
        <f t="shared" si="0"/>
        <v>LamaeA1-012-0013</v>
      </c>
      <c r="D11" s="63">
        <f>VLOOKUP(C11,'RAW DATA 2023'!E:BP,63,0)</f>
        <v>6</v>
      </c>
      <c r="E11" s="63" t="str">
        <f t="shared" si="1"/>
        <v>Lamae6</v>
      </c>
      <c r="F11" s="63">
        <f>ROUND(VLOOKUP(C11,'RAW DATA 2023'!E:BO,23,0),0)</f>
        <v>36</v>
      </c>
      <c r="G11" s="120">
        <f>VLOOKUP(C11,'RAW DATA 2023'!E:BO,26,0)</f>
        <v>0.40475486999999999</v>
      </c>
      <c r="H11" s="101">
        <f>IFERROR(VLOOKUP(F11,STD!B:G,6,0),"")</f>
        <v>0.36</v>
      </c>
      <c r="I11" s="100">
        <f t="shared" si="2"/>
        <v>1.1243190833333334</v>
      </c>
      <c r="J11" s="249">
        <f t="shared" ref="J11:J74" si="4">IF(I11&gt;0.5,((I11-$B$4)*$B$7),0)</f>
        <v>12.486381666666668</v>
      </c>
      <c r="K11" s="63">
        <f>VLOOKUP(C11,'RAW DATA 2023'!E:BO,20,0)</f>
        <v>112</v>
      </c>
      <c r="L11" s="322">
        <f t="shared" ref="L11:L74" si="5">J11*K11</f>
        <v>1398.4747466666668</v>
      </c>
      <c r="M11" s="63"/>
      <c r="Y11" s="63" t="str">
        <f t="shared" si="3"/>
        <v>A1-012-00136</v>
      </c>
    </row>
    <row r="12" spans="1:25">
      <c r="A12" s="63" t="str">
        <f>'RAW DATA 2023'!B5</f>
        <v>Lamae</v>
      </c>
      <c r="B12" s="63" t="str">
        <f>'RAW DATA 2023'!D5</f>
        <v>A1-011-0023</v>
      </c>
      <c r="C12" s="63" t="str">
        <f t="shared" si="0"/>
        <v>LamaeA1-011-0023</v>
      </c>
      <c r="D12" s="63">
        <f>VLOOKUP(C12,'RAW DATA 2023'!E:BP,63,0)</f>
        <v>9</v>
      </c>
      <c r="E12" s="63" t="str">
        <f t="shared" si="1"/>
        <v>Lamae9</v>
      </c>
      <c r="F12" s="63">
        <f>ROUND(VLOOKUP(C12,'RAW DATA 2023'!E:BO,23,0),0)</f>
        <v>35</v>
      </c>
      <c r="G12" s="120">
        <f>VLOOKUP(C12,'RAW DATA 2023'!E:BO,26,0)</f>
        <v>0.38423456800000005</v>
      </c>
      <c r="H12" s="101">
        <f>IFERROR(VLOOKUP(F12,STD!B:G,6,0),"")</f>
        <v>0.37</v>
      </c>
      <c r="I12" s="100">
        <f t="shared" si="2"/>
        <v>1.0384718054054056</v>
      </c>
      <c r="J12" s="249">
        <f t="shared" si="4"/>
        <v>10.769436108108113</v>
      </c>
      <c r="K12" s="63">
        <f>VLOOKUP(C12,'RAW DATA 2023'!E:BO,20,0)</f>
        <v>81</v>
      </c>
      <c r="L12" s="322">
        <f t="shared" si="5"/>
        <v>872.32432475675716</v>
      </c>
      <c r="M12" s="63"/>
      <c r="Y12" s="63" t="str">
        <f t="shared" si="3"/>
        <v>A1-011-00239</v>
      </c>
    </row>
    <row r="13" spans="1:25">
      <c r="A13" s="63" t="str">
        <f>'RAW DATA 2023'!B6</f>
        <v>Lamae</v>
      </c>
      <c r="B13" s="63" t="str">
        <f>'RAW DATA 2023'!D6</f>
        <v>A1-012-0014</v>
      </c>
      <c r="C13" s="63" t="str">
        <f t="shared" si="0"/>
        <v>LamaeA1-012-0014</v>
      </c>
      <c r="D13" s="63">
        <f>VLOOKUP(C13,'RAW DATA 2023'!E:BP,63,0)</f>
        <v>9</v>
      </c>
      <c r="E13" s="63" t="str">
        <f t="shared" si="1"/>
        <v>Lamae9</v>
      </c>
      <c r="F13" s="63">
        <f>ROUND(VLOOKUP(C13,'RAW DATA 2023'!E:BO,23,0),0)</f>
        <v>38</v>
      </c>
      <c r="G13" s="120">
        <f>VLOOKUP(C13,'RAW DATA 2023'!E:BO,26,0)</f>
        <v>0.37980487800000001</v>
      </c>
      <c r="H13" s="101">
        <f>IFERROR(VLOOKUP(F13,STD!B:G,6,0),"")</f>
        <v>0.37</v>
      </c>
      <c r="I13" s="100">
        <f t="shared" si="2"/>
        <v>1.0264996702702702</v>
      </c>
      <c r="J13" s="249">
        <f t="shared" si="4"/>
        <v>10.529993405405405</v>
      </c>
      <c r="K13" s="63">
        <f>VLOOKUP(C13,'RAW DATA 2023'!E:BO,20,0)</f>
        <v>82</v>
      </c>
      <c r="L13" s="322">
        <f t="shared" si="5"/>
        <v>863.45945924324315</v>
      </c>
      <c r="M13" s="63"/>
      <c r="Y13" s="63" t="str">
        <f t="shared" si="3"/>
        <v>A1-012-00149</v>
      </c>
    </row>
    <row r="14" spans="1:25">
      <c r="A14" s="63" t="str">
        <f>'RAW DATA 2023'!B7</f>
        <v>Lamae</v>
      </c>
      <c r="B14" s="63" t="str">
        <f>'RAW DATA 2023'!D7</f>
        <v>B1-018-0013</v>
      </c>
      <c r="C14" s="63" t="str">
        <f t="shared" si="0"/>
        <v>LamaeB1-018-0013</v>
      </c>
      <c r="D14" s="63">
        <f>VLOOKUP(C14,'RAW DATA 2023'!E:BP,63,0)</f>
        <v>7</v>
      </c>
      <c r="E14" s="63" t="str">
        <f t="shared" si="1"/>
        <v>Lamae7</v>
      </c>
      <c r="F14" s="63">
        <f>ROUND(VLOOKUP(C14,'RAW DATA 2023'!E:BO,23,0),0)</f>
        <v>42</v>
      </c>
      <c r="G14" s="120">
        <f>VLOOKUP(C14,'RAW DATA 2023'!E:BO,26,0)</f>
        <v>0.35474074100000003</v>
      </c>
      <c r="H14" s="101">
        <f>IFERROR(VLOOKUP(F14,STD!B:G,6,0),"")</f>
        <v>0.37</v>
      </c>
      <c r="I14" s="100">
        <f t="shared" si="2"/>
        <v>0.95875875945945954</v>
      </c>
      <c r="J14" s="249">
        <f t="shared" si="4"/>
        <v>9.17517518918919</v>
      </c>
      <c r="K14" s="63">
        <f>VLOOKUP(C14,'RAW DATA 2023'!E:BO,20,0)</f>
        <v>78</v>
      </c>
      <c r="L14" s="322">
        <f t="shared" si="5"/>
        <v>715.66366475675682</v>
      </c>
      <c r="M14" s="63"/>
      <c r="Y14" s="63" t="str">
        <f t="shared" si="3"/>
        <v>B1-018-00137</v>
      </c>
    </row>
    <row r="15" spans="1:25">
      <c r="A15" s="63" t="str">
        <f>'RAW DATA 2023'!B8</f>
        <v>Lamae</v>
      </c>
      <c r="B15" s="63" t="str">
        <f>'RAW DATA 2023'!D8</f>
        <v>A1-007-0045</v>
      </c>
      <c r="C15" s="63" t="str">
        <f t="shared" si="0"/>
        <v>LamaeA1-007-0045</v>
      </c>
      <c r="D15" s="63">
        <f>VLOOKUP(C15,'RAW DATA 2023'!E:BP,63,0)</f>
        <v>7</v>
      </c>
      <c r="E15" s="63" t="str">
        <f t="shared" si="1"/>
        <v>Lamae7</v>
      </c>
      <c r="F15" s="63">
        <f>ROUND(VLOOKUP(C15,'RAW DATA 2023'!E:BO,23,0),0)</f>
        <v>26</v>
      </c>
      <c r="G15" s="120">
        <f>VLOOKUP(C15,'RAW DATA 2023'!E:BO,26,0)</f>
        <v>0.34665728200000001</v>
      </c>
      <c r="H15" s="101">
        <f>IFERROR(VLOOKUP(F15,STD!B:G,6,0),"")</f>
        <v>0.37</v>
      </c>
      <c r="I15" s="100">
        <f t="shared" si="2"/>
        <v>0.93691157297297301</v>
      </c>
      <c r="J15" s="249">
        <f t="shared" si="4"/>
        <v>8.7382314594594597</v>
      </c>
      <c r="K15" s="63">
        <f>VLOOKUP(C15,'RAW DATA 2023'!E:BO,20,0)</f>
        <v>137</v>
      </c>
      <c r="L15" s="322">
        <f t="shared" si="5"/>
        <v>1197.137709945946</v>
      </c>
      <c r="M15" s="63"/>
      <c r="Y15" s="63" t="str">
        <f t="shared" si="3"/>
        <v>A1-007-00457</v>
      </c>
    </row>
    <row r="16" spans="1:25">
      <c r="A16" s="63" t="str">
        <f>'RAW DATA 2023'!B9</f>
        <v>Lamae</v>
      </c>
      <c r="B16" s="63" t="str">
        <f>'RAW DATA 2023'!D9</f>
        <v>B1-021-0012</v>
      </c>
      <c r="C16" s="63" t="str">
        <f t="shared" si="0"/>
        <v>LamaeB1-021-0012</v>
      </c>
      <c r="D16" s="63">
        <f>VLOOKUP(C16,'RAW DATA 2023'!E:BP,63,0)</f>
        <v>2</v>
      </c>
      <c r="E16" s="63" t="str">
        <f t="shared" si="1"/>
        <v>Lamae2</v>
      </c>
      <c r="F16" s="63">
        <f>ROUND(VLOOKUP(C16,'RAW DATA 2023'!E:BO,23,0),0)</f>
        <v>26</v>
      </c>
      <c r="G16" s="120">
        <f>VLOOKUP(C16,'RAW DATA 2023'!E:BO,26,0)</f>
        <v>0.338949153</v>
      </c>
      <c r="H16" s="101">
        <f>IFERROR(VLOOKUP(F16,STD!B:G,6,0),"")</f>
        <v>0.37</v>
      </c>
      <c r="I16" s="100">
        <f t="shared" si="2"/>
        <v>0.9160787918918919</v>
      </c>
      <c r="J16" s="249">
        <f t="shared" si="4"/>
        <v>8.3215758378378375</v>
      </c>
      <c r="K16" s="63">
        <f>VLOOKUP(C16,'RAW DATA 2023'!E:BO,20,0)</f>
        <v>117.99999999999999</v>
      </c>
      <c r="L16" s="322">
        <f t="shared" si="5"/>
        <v>981.9459488648647</v>
      </c>
      <c r="M16" s="63"/>
      <c r="Y16" s="63" t="str">
        <f t="shared" si="3"/>
        <v>B1-021-00122</v>
      </c>
    </row>
    <row r="17" spans="1:25">
      <c r="A17" s="63" t="str">
        <f>'RAW DATA 2023'!B10</f>
        <v>Lamae</v>
      </c>
      <c r="B17" s="63" t="str">
        <f>'RAW DATA 2023'!D10</f>
        <v>A1-007-0046</v>
      </c>
      <c r="C17" s="63" t="str">
        <f t="shared" si="0"/>
        <v>LamaeA1-007-0046</v>
      </c>
      <c r="D17" s="63">
        <f>VLOOKUP(C17,'RAW DATA 2023'!E:BP,63,0)</f>
        <v>11</v>
      </c>
      <c r="E17" s="63" t="str">
        <f t="shared" si="1"/>
        <v>Lamae11</v>
      </c>
      <c r="F17" s="63">
        <f>ROUND(VLOOKUP(C17,'RAW DATA 2023'!E:BO,23,0),0)</f>
        <v>43</v>
      </c>
      <c r="G17" s="120">
        <f>VLOOKUP(C17,'RAW DATA 2023'!E:BO,26,0)</f>
        <v>0.32578627500000001</v>
      </c>
      <c r="H17" s="101">
        <f>IFERROR(VLOOKUP(F17,STD!B:G,6,0),"")</f>
        <v>0.37</v>
      </c>
      <c r="I17" s="100">
        <f t="shared" si="2"/>
        <v>0.88050344594594598</v>
      </c>
      <c r="J17" s="249">
        <f t="shared" si="4"/>
        <v>7.6100689189189197</v>
      </c>
      <c r="K17" s="63">
        <f>VLOOKUP(C17,'RAW DATA 2023'!E:BO,20,0)</f>
        <v>90</v>
      </c>
      <c r="L17" s="322">
        <f t="shared" si="5"/>
        <v>684.90620270270279</v>
      </c>
      <c r="M17" s="63"/>
      <c r="P17" s="68"/>
      <c r="R17" s="68"/>
      <c r="S17" s="68"/>
      <c r="T17" s="68"/>
      <c r="U17" s="68"/>
      <c r="Y17" s="63" t="str">
        <f t="shared" si="3"/>
        <v>A1-007-004611</v>
      </c>
    </row>
    <row r="18" spans="1:25">
      <c r="A18" s="63" t="str">
        <f>'RAW DATA 2023'!B11</f>
        <v>Lamae</v>
      </c>
      <c r="B18" s="63" t="str">
        <f>'RAW DATA 2023'!D11</f>
        <v>B1-022-0011</v>
      </c>
      <c r="C18" s="63" t="str">
        <f t="shared" si="0"/>
        <v>LamaeB1-022-0011</v>
      </c>
      <c r="D18" s="63">
        <f>VLOOKUP(C18,'RAW DATA 2023'!E:BP,63,0)</f>
        <v>2</v>
      </c>
      <c r="E18" s="63" t="str">
        <f t="shared" si="1"/>
        <v>Lamae2</v>
      </c>
      <c r="F18" s="63">
        <f>ROUND(VLOOKUP(C18,'RAW DATA 2023'!E:BO,23,0),0)</f>
        <v>27</v>
      </c>
      <c r="G18" s="120">
        <f>VLOOKUP(C18,'RAW DATA 2023'!E:BO,26,0)</f>
        <v>0.32254838699999999</v>
      </c>
      <c r="H18" s="101">
        <f>IFERROR(VLOOKUP(F18,STD!B:G,6,0),"")</f>
        <v>0.39</v>
      </c>
      <c r="I18" s="100">
        <f t="shared" si="2"/>
        <v>0.82704714615384611</v>
      </c>
      <c r="J18" s="249">
        <f t="shared" si="4"/>
        <v>6.5409429230769227</v>
      </c>
      <c r="K18" s="63">
        <f>VLOOKUP(C18,'RAW DATA 2023'!E:BO,20,0)</f>
        <v>124</v>
      </c>
      <c r="L18" s="322">
        <f t="shared" si="5"/>
        <v>811.0769224615384</v>
      </c>
      <c r="M18" s="63"/>
      <c r="P18" s="68"/>
      <c r="R18" s="68"/>
      <c r="S18" s="75"/>
      <c r="T18" s="68"/>
      <c r="U18" s="68"/>
      <c r="Y18" s="63" t="str">
        <f t="shared" si="3"/>
        <v>B1-022-00112</v>
      </c>
    </row>
    <row r="19" spans="1:25">
      <c r="A19" s="63" t="str">
        <f>'RAW DATA 2023'!B12</f>
        <v>Lamae</v>
      </c>
      <c r="B19" s="63" t="str">
        <f>'RAW DATA 2023'!D12</f>
        <v>B1-021-0014</v>
      </c>
      <c r="C19" s="63" t="str">
        <f t="shared" si="0"/>
        <v>LamaeB1-021-0014</v>
      </c>
      <c r="D19" s="63">
        <f>VLOOKUP(C19,'RAW DATA 2023'!E:BP,63,0)</f>
        <v>12</v>
      </c>
      <c r="E19" s="63" t="str">
        <f t="shared" si="1"/>
        <v>Lamae12</v>
      </c>
      <c r="F19" s="63">
        <f>ROUND(VLOOKUP(C19,'RAW DATA 2023'!E:BO,23,0),0)</f>
        <v>46</v>
      </c>
      <c r="G19" s="120">
        <f>VLOOKUP(C19,'RAW DATA 2023'!E:BO,26,0)</f>
        <v>0.31235463699999999</v>
      </c>
      <c r="H19" s="101">
        <f>IFERROR(VLOOKUP(F19,STD!B:G,6,0),"")</f>
        <v>0.36</v>
      </c>
      <c r="I19" s="100">
        <f t="shared" si="2"/>
        <v>0.86765176944444444</v>
      </c>
      <c r="J19" s="249">
        <f t="shared" si="4"/>
        <v>7.3530353888888893</v>
      </c>
      <c r="K19" s="63">
        <f>VLOOKUP(C19,'RAW DATA 2023'!E:BO,20,0)</f>
        <v>84</v>
      </c>
      <c r="L19" s="322">
        <f t="shared" si="5"/>
        <v>617.65497266666671</v>
      </c>
      <c r="M19" s="63"/>
      <c r="R19" s="68"/>
      <c r="S19" s="68"/>
      <c r="T19" s="68"/>
      <c r="U19" s="68"/>
      <c r="Y19" s="63" t="str">
        <f t="shared" si="3"/>
        <v>B1-021-001412</v>
      </c>
    </row>
    <row r="20" spans="1:25">
      <c r="A20" s="63" t="str">
        <f>'RAW DATA 2023'!B13</f>
        <v>Lamae</v>
      </c>
      <c r="B20" s="63" t="str">
        <f>'RAW DATA 2023'!D13</f>
        <v>B1-021-0013</v>
      </c>
      <c r="C20" s="63" t="str">
        <f t="shared" si="0"/>
        <v>LamaeB1-021-0013</v>
      </c>
      <c r="D20" s="63">
        <f>VLOOKUP(C20,'RAW DATA 2023'!E:BP,63,0)</f>
        <v>8</v>
      </c>
      <c r="E20" s="63" t="str">
        <f t="shared" si="1"/>
        <v>Lamae8</v>
      </c>
      <c r="F20" s="63">
        <f>ROUND(VLOOKUP(C20,'RAW DATA 2023'!E:BO,23,0),0)</f>
        <v>30</v>
      </c>
      <c r="G20" s="120">
        <f>VLOOKUP(C20,'RAW DATA 2023'!E:BO,26,0)</f>
        <v>0.311975</v>
      </c>
      <c r="H20" s="101">
        <f>IFERROR(VLOOKUP(F20,STD!B:G,6,0),"")</f>
        <v>0.39</v>
      </c>
      <c r="I20" s="100">
        <f t="shared" si="2"/>
        <v>0.79993589743589744</v>
      </c>
      <c r="J20" s="249">
        <f t="shared" si="4"/>
        <v>5.9987179487179487</v>
      </c>
      <c r="K20" s="63">
        <f>VLOOKUP(C20,'RAW DATA 2023'!E:BO,20,0)</f>
        <v>160</v>
      </c>
      <c r="L20" s="322">
        <f t="shared" si="5"/>
        <v>959.79487179487182</v>
      </c>
      <c r="M20" s="63"/>
      <c r="R20" s="68"/>
      <c r="S20" s="68"/>
      <c r="T20" s="68"/>
      <c r="U20" s="68"/>
      <c r="Y20" s="63" t="str">
        <f t="shared" si="3"/>
        <v>B1-021-00138</v>
      </c>
    </row>
    <row r="21" spans="1:25">
      <c r="A21" s="63" t="str">
        <f>'RAW DATA 2023'!B14</f>
        <v>Lamae</v>
      </c>
      <c r="B21" s="63" t="str">
        <f>'RAW DATA 2023'!D14</f>
        <v>B1-018-0014</v>
      </c>
      <c r="C21" s="63" t="str">
        <f t="shared" si="0"/>
        <v>LamaeB1-018-0014</v>
      </c>
      <c r="D21" s="63">
        <f>VLOOKUP(C21,'RAW DATA 2023'!E:BP,63,0)</f>
        <v>12</v>
      </c>
      <c r="E21" s="63" t="str">
        <f t="shared" si="1"/>
        <v>Lamae12</v>
      </c>
      <c r="F21" s="63">
        <f>ROUND(VLOOKUP(C21,'RAW DATA 2023'!E:BO,23,0),0)</f>
        <v>42</v>
      </c>
      <c r="G21" s="120">
        <f>VLOOKUP(C21,'RAW DATA 2023'!E:BO,26,0)</f>
        <v>0.30815693500000002</v>
      </c>
      <c r="H21" s="101">
        <f>IFERROR(VLOOKUP(F21,STD!B:G,6,0),"")</f>
        <v>0.37</v>
      </c>
      <c r="I21" s="100">
        <f t="shared" si="2"/>
        <v>0.83285658108108118</v>
      </c>
      <c r="J21" s="249">
        <f t="shared" si="4"/>
        <v>6.6571316216216232</v>
      </c>
      <c r="K21" s="63">
        <f>VLOOKUP(C21,'RAW DATA 2023'!E:BO,20,0)</f>
        <v>83</v>
      </c>
      <c r="L21" s="322">
        <f t="shared" si="5"/>
        <v>552.54192459459478</v>
      </c>
      <c r="M21" s="63"/>
      <c r="R21" s="68"/>
      <c r="S21" s="68"/>
      <c r="T21" s="68"/>
      <c r="U21" s="68"/>
      <c r="Y21" s="63" t="str">
        <f t="shared" si="3"/>
        <v>B1-018-001412</v>
      </c>
    </row>
    <row r="22" spans="1:25">
      <c r="A22" s="63" t="str">
        <f>'RAW DATA 2023'!B15</f>
        <v>Lamae</v>
      </c>
      <c r="B22" s="63" t="str">
        <f>'RAW DATA 2023'!D15</f>
        <v>B1-022-0013</v>
      </c>
      <c r="C22" s="63" t="str">
        <f t="shared" si="0"/>
        <v>LamaeB1-022-0013</v>
      </c>
      <c r="D22" s="63">
        <f>VLOOKUP(C22,'RAW DATA 2023'!E:BP,63,0)</f>
        <v>12</v>
      </c>
      <c r="E22" s="63" t="str">
        <f t="shared" si="1"/>
        <v>Lamae12</v>
      </c>
      <c r="F22" s="63">
        <f>ROUND(VLOOKUP(C22,'RAW DATA 2023'!E:BO,23,0),0)</f>
        <v>50</v>
      </c>
      <c r="G22" s="120">
        <f>VLOOKUP(C22,'RAW DATA 2023'!E:BO,26,0)</f>
        <v>0.30630769200000002</v>
      </c>
      <c r="H22" s="101">
        <f>IFERROR(VLOOKUP(F22,STD!B:G,6,0),"")</f>
        <v>0.36</v>
      </c>
      <c r="I22" s="100">
        <f t="shared" si="2"/>
        <v>0.85085470000000007</v>
      </c>
      <c r="J22" s="249">
        <f t="shared" si="4"/>
        <v>7.0170940000000019</v>
      </c>
      <c r="K22" s="63">
        <f>VLOOKUP(C22,'RAW DATA 2023'!E:BO,20,0)</f>
        <v>65</v>
      </c>
      <c r="L22" s="322">
        <f t="shared" si="5"/>
        <v>456.11111000000011</v>
      </c>
      <c r="M22" s="63"/>
      <c r="R22" s="104"/>
      <c r="S22" s="104"/>
      <c r="T22" s="104"/>
      <c r="U22" s="104"/>
      <c r="Y22" s="63" t="str">
        <f t="shared" si="3"/>
        <v>B1-022-001312</v>
      </c>
    </row>
    <row r="23" spans="1:25">
      <c r="A23" s="63" t="str">
        <f>'RAW DATA 2023'!B16</f>
        <v>Lamae</v>
      </c>
      <c r="B23" s="63" t="str">
        <f>'RAW DATA 2023'!D16</f>
        <v>B1-018-0012</v>
      </c>
      <c r="C23" s="63" t="str">
        <f t="shared" si="0"/>
        <v>LamaeB1-018-0012</v>
      </c>
      <c r="D23" s="63">
        <f>VLOOKUP(C23,'RAW DATA 2023'!E:BP,63,0)</f>
        <v>3</v>
      </c>
      <c r="E23" s="63" t="str">
        <f t="shared" si="1"/>
        <v>Lamae3</v>
      </c>
      <c r="F23" s="63">
        <f>ROUND(VLOOKUP(C23,'RAW DATA 2023'!E:BO,23,0),0)</f>
        <v>33</v>
      </c>
      <c r="G23" s="120">
        <f>VLOOKUP(C23,'RAW DATA 2023'!E:BO,26,0)</f>
        <v>0.302016697</v>
      </c>
      <c r="H23" s="101">
        <f>IFERROR(VLOOKUP(F23,STD!B:G,6,0),"")</f>
        <v>0.39</v>
      </c>
      <c r="I23" s="100">
        <f t="shared" si="2"/>
        <v>0.77440178717948716</v>
      </c>
      <c r="J23" s="249">
        <f t="shared" si="4"/>
        <v>5.4880357435897427</v>
      </c>
      <c r="K23" s="63">
        <f>VLOOKUP(C23,'RAW DATA 2023'!E:BO,20,0)</f>
        <v>122</v>
      </c>
      <c r="L23" s="322">
        <f t="shared" si="5"/>
        <v>669.5403607179486</v>
      </c>
      <c r="M23" s="63"/>
      <c r="Y23" s="63" t="str">
        <f t="shared" si="3"/>
        <v>B1-018-00123</v>
      </c>
    </row>
    <row r="24" spans="1:25">
      <c r="A24" s="63" t="str">
        <f>'RAW DATA 2023'!B17</f>
        <v>Lamae</v>
      </c>
      <c r="B24" s="63" t="str">
        <f>'RAW DATA 2023'!D17</f>
        <v>A1-013-0015</v>
      </c>
      <c r="C24" s="63" t="str">
        <f t="shared" si="0"/>
        <v>LamaeA1-013-0015</v>
      </c>
      <c r="D24" s="63">
        <f>VLOOKUP(C24,'RAW DATA 2023'!E:BP,63,0)</f>
        <v>5</v>
      </c>
      <c r="E24" s="63" t="str">
        <f t="shared" si="1"/>
        <v>Lamae5</v>
      </c>
      <c r="F24" s="63">
        <f>ROUND(VLOOKUP(C24,'RAW DATA 2023'!E:BO,23,0),0)</f>
        <v>39</v>
      </c>
      <c r="G24" s="120">
        <f>VLOOKUP(C24,'RAW DATA 2023'!E:BO,26,0)</f>
        <v>0.29990977400000002</v>
      </c>
      <c r="H24" s="101">
        <f>IFERROR(VLOOKUP(F24,STD!B:G,6,0),"")</f>
        <v>0.37</v>
      </c>
      <c r="I24" s="100">
        <f t="shared" si="2"/>
        <v>0.81056695675675683</v>
      </c>
      <c r="J24" s="249">
        <f t="shared" si="4"/>
        <v>6.2113391351351366</v>
      </c>
      <c r="K24" s="63">
        <f>VLOOKUP(C24,'RAW DATA 2023'!E:BO,20,0)</f>
        <v>133</v>
      </c>
      <c r="L24" s="322">
        <f t="shared" si="5"/>
        <v>826.10810497297314</v>
      </c>
      <c r="M24" s="63"/>
      <c r="Y24" s="63" t="str">
        <f t="shared" si="3"/>
        <v>A1-013-00155</v>
      </c>
    </row>
    <row r="25" spans="1:25">
      <c r="A25" s="63" t="str">
        <f>'RAW DATA 2023'!B18</f>
        <v>Lamae</v>
      </c>
      <c r="B25" s="63" t="str">
        <f>'RAW DATA 2023'!D18</f>
        <v>A1-009-0021</v>
      </c>
      <c r="C25" s="63" t="str">
        <f t="shared" si="0"/>
        <v>LamaeA1-009-0021</v>
      </c>
      <c r="D25" s="63">
        <f>VLOOKUP(C25,'RAW DATA 2023'!E:BP,63,0)</f>
        <v>12</v>
      </c>
      <c r="E25" s="63" t="str">
        <f t="shared" si="1"/>
        <v>Lamae12</v>
      </c>
      <c r="F25" s="63">
        <f>ROUND(VLOOKUP(C25,'RAW DATA 2023'!E:BO,23,0),0)</f>
        <v>43</v>
      </c>
      <c r="G25" s="120">
        <f>VLOOKUP(C25,'RAW DATA 2023'!E:BO,26,0)</f>
        <v>0.292413337</v>
      </c>
      <c r="H25" s="101">
        <f>IFERROR(VLOOKUP(F25,STD!B:G,6,0),"")</f>
        <v>0.37</v>
      </c>
      <c r="I25" s="100">
        <f t="shared" si="2"/>
        <v>0.79030631621621616</v>
      </c>
      <c r="J25" s="249">
        <f t="shared" si="4"/>
        <v>5.8061263243243229</v>
      </c>
      <c r="K25" s="63">
        <f>VLOOKUP(C25,'RAW DATA 2023'!E:BO,20,0)</f>
        <v>92</v>
      </c>
      <c r="L25" s="322">
        <f t="shared" si="5"/>
        <v>534.1636218378377</v>
      </c>
      <c r="M25" s="63"/>
      <c r="Y25" s="63" t="str">
        <f t="shared" si="3"/>
        <v>A1-009-002112</v>
      </c>
    </row>
    <row r="26" spans="1:25">
      <c r="A26" s="63" t="str">
        <f>'RAW DATA 2023'!B19</f>
        <v>Lamae</v>
      </c>
      <c r="B26" s="63" t="str">
        <f>'RAW DATA 2023'!D19</f>
        <v>B1-022-0012</v>
      </c>
      <c r="C26" s="63" t="str">
        <f t="shared" si="0"/>
        <v>LamaeB1-022-0012</v>
      </c>
      <c r="D26" s="63">
        <f>VLOOKUP(C26,'RAW DATA 2023'!E:BP,63,0)</f>
        <v>9</v>
      </c>
      <c r="E26" s="63" t="str">
        <f t="shared" si="1"/>
        <v>Lamae9</v>
      </c>
      <c r="F26" s="63">
        <f>ROUND(VLOOKUP(C26,'RAW DATA 2023'!E:BO,23,0),0)</f>
        <v>36</v>
      </c>
      <c r="G26" s="120">
        <f>VLOOKUP(C26,'RAW DATA 2023'!E:BO,26,0)</f>
        <v>0.29176432699999999</v>
      </c>
      <c r="H26" s="101">
        <f>IFERROR(VLOOKUP(F26,STD!B:G,6,0),"")</f>
        <v>0.36</v>
      </c>
      <c r="I26" s="100">
        <f t="shared" si="2"/>
        <v>0.81045646388888892</v>
      </c>
      <c r="J26" s="249">
        <f t="shared" si="4"/>
        <v>6.2091292777777785</v>
      </c>
      <c r="K26" s="63">
        <f>VLOOKUP(C26,'RAW DATA 2023'!E:BO,20,0)</f>
        <v>180</v>
      </c>
      <c r="L26" s="322">
        <f t="shared" si="5"/>
        <v>1117.64327</v>
      </c>
      <c r="M26" s="63"/>
      <c r="Y26" s="63" t="str">
        <f t="shared" si="3"/>
        <v>B1-022-00129</v>
      </c>
    </row>
    <row r="27" spans="1:25">
      <c r="A27" s="63" t="str">
        <f>'RAW DATA 2023'!B20</f>
        <v>Lamae</v>
      </c>
      <c r="B27" s="63" t="str">
        <f>'RAW DATA 2023'!D20</f>
        <v>A1-011-0022</v>
      </c>
      <c r="C27" s="63" t="str">
        <f t="shared" si="0"/>
        <v>LamaeA1-011-0022</v>
      </c>
      <c r="D27" s="63">
        <f>VLOOKUP(C27,'RAW DATA 2023'!E:BP,63,0)</f>
        <v>6</v>
      </c>
      <c r="E27" s="63" t="str">
        <f t="shared" si="1"/>
        <v>Lamae6</v>
      </c>
      <c r="F27" s="63">
        <f>ROUND(VLOOKUP(C27,'RAW DATA 2023'!E:BO,23,0),0)</f>
        <v>32</v>
      </c>
      <c r="G27" s="120">
        <f>VLOOKUP(C27,'RAW DATA 2023'!E:BO,26,0)</f>
        <v>0.284145496</v>
      </c>
      <c r="H27" s="101">
        <f>IFERROR(VLOOKUP(F27,STD!B:G,6,0),"")</f>
        <v>0.39</v>
      </c>
      <c r="I27" s="100">
        <f t="shared" si="2"/>
        <v>0.72857819487179487</v>
      </c>
      <c r="J27" s="249">
        <f t="shared" si="4"/>
        <v>4.5715638974358974</v>
      </c>
      <c r="K27" s="63">
        <f>VLOOKUP(C27,'RAW DATA 2023'!E:BO,20,0)</f>
        <v>153.00000000000003</v>
      </c>
      <c r="L27" s="322">
        <f t="shared" si="5"/>
        <v>699.44927630769246</v>
      </c>
      <c r="M27" s="63"/>
      <c r="Y27" s="63" t="str">
        <f t="shared" si="3"/>
        <v>A1-011-00226</v>
      </c>
    </row>
    <row r="28" spans="1:25">
      <c r="A28" s="63" t="str">
        <f>'RAW DATA 2023'!B21</f>
        <v>Lamae</v>
      </c>
      <c r="B28" s="63" t="str">
        <f>'RAW DATA 2023'!D21</f>
        <v>A1-010-0023</v>
      </c>
      <c r="C28" s="63" t="str">
        <f t="shared" si="0"/>
        <v>LamaeA1-010-0023</v>
      </c>
      <c r="D28" s="63">
        <f>VLOOKUP(C28,'RAW DATA 2023'!E:BP,63,0)</f>
        <v>12</v>
      </c>
      <c r="E28" s="63" t="str">
        <f t="shared" si="1"/>
        <v>Lamae12</v>
      </c>
      <c r="F28" s="63">
        <f>ROUND(VLOOKUP(C28,'RAW DATA 2023'!E:BO,23,0),0)</f>
        <v>45</v>
      </c>
      <c r="G28" s="120">
        <f>VLOOKUP(C28,'RAW DATA 2023'!E:BO,26,0)</f>
        <v>0.27385714300000003</v>
      </c>
      <c r="H28" s="101">
        <f>IFERROR(VLOOKUP(F28,STD!B:G,6,0),"")</f>
        <v>0.36</v>
      </c>
      <c r="I28" s="100">
        <f t="shared" si="2"/>
        <v>0.76071428611111125</v>
      </c>
      <c r="J28" s="249">
        <f t="shared" si="4"/>
        <v>5.2142857222222254</v>
      </c>
      <c r="K28" s="63">
        <f>VLOOKUP(C28,'RAW DATA 2023'!E:BO,20,0)</f>
        <v>91</v>
      </c>
      <c r="L28" s="322">
        <f t="shared" si="5"/>
        <v>474.50000072222252</v>
      </c>
      <c r="M28" s="63"/>
      <c r="Y28" s="63" t="str">
        <f t="shared" si="3"/>
        <v>A1-010-002312</v>
      </c>
    </row>
    <row r="29" spans="1:25">
      <c r="A29" s="63" t="str">
        <f>'RAW DATA 2023'!B22</f>
        <v>Lamae</v>
      </c>
      <c r="B29" s="63" t="str">
        <f>'RAW DATA 2023'!D22</f>
        <v>A1-012-0012</v>
      </c>
      <c r="C29" s="63" t="str">
        <f t="shared" si="0"/>
        <v>LamaeA1-012-0012</v>
      </c>
      <c r="D29" s="63">
        <f>VLOOKUP(C29,'RAW DATA 2023'!E:BP,63,0)</f>
        <v>2</v>
      </c>
      <c r="E29" s="63" t="str">
        <f t="shared" si="1"/>
        <v>Lamae2</v>
      </c>
      <c r="F29" s="63">
        <f>ROUND(VLOOKUP(C29,'RAW DATA 2023'!E:BO,23,0),0)</f>
        <v>26</v>
      </c>
      <c r="G29" s="120">
        <f>VLOOKUP(C29,'RAW DATA 2023'!E:BO,26,0)</f>
        <v>0.2727485</v>
      </c>
      <c r="H29" s="101">
        <f>IFERROR(VLOOKUP(F29,STD!B:G,6,0),"")</f>
        <v>0.37</v>
      </c>
      <c r="I29" s="100">
        <f t="shared" si="2"/>
        <v>0.73715810810810811</v>
      </c>
      <c r="J29" s="249">
        <f t="shared" si="4"/>
        <v>4.7431621621621627</v>
      </c>
      <c r="K29" s="63">
        <f>VLOOKUP(C29,'RAW DATA 2023'!E:BO,20,0)</f>
        <v>141</v>
      </c>
      <c r="L29" s="322">
        <f t="shared" si="5"/>
        <v>668.78586486486495</v>
      </c>
      <c r="M29" s="63"/>
      <c r="Y29" s="63" t="str">
        <f t="shared" si="3"/>
        <v>A1-012-00122</v>
      </c>
    </row>
    <row r="30" spans="1:25">
      <c r="A30" s="63" t="str">
        <f>'RAW DATA 2023'!B23</f>
        <v>Lamae</v>
      </c>
      <c r="B30" s="63" t="str">
        <f>'RAW DATA 2023'!D23</f>
        <v>A1-010-0022</v>
      </c>
      <c r="C30" s="63" t="str">
        <f t="shared" si="0"/>
        <v>LamaeA1-010-0022</v>
      </c>
      <c r="D30" s="63">
        <f>VLOOKUP(C30,'RAW DATA 2023'!E:BP,63,0)</f>
        <v>8</v>
      </c>
      <c r="E30" s="63" t="str">
        <f t="shared" si="1"/>
        <v>Lamae8</v>
      </c>
      <c r="F30" s="63">
        <f>ROUND(VLOOKUP(C30,'RAW DATA 2023'!E:BO,23,0),0)</f>
        <v>35</v>
      </c>
      <c r="G30" s="120">
        <f>VLOOKUP(C30,'RAW DATA 2023'!E:BO,26,0)</f>
        <v>0.25075376900000002</v>
      </c>
      <c r="H30" s="101">
        <f>IFERROR(VLOOKUP(F30,STD!B:G,6,0),"")</f>
        <v>0.37</v>
      </c>
      <c r="I30" s="100">
        <f t="shared" si="2"/>
        <v>0.67771288918918926</v>
      </c>
      <c r="J30" s="249">
        <f t="shared" si="4"/>
        <v>3.5542577837837852</v>
      </c>
      <c r="K30" s="63">
        <f>VLOOKUP(C30,'RAW DATA 2023'!E:BO,20,0)</f>
        <v>199</v>
      </c>
      <c r="L30" s="322">
        <f t="shared" si="5"/>
        <v>707.29729897297329</v>
      </c>
      <c r="M30" s="63"/>
      <c r="Y30" s="63" t="str">
        <f t="shared" si="3"/>
        <v>A1-010-00228</v>
      </c>
    </row>
    <row r="31" spans="1:25">
      <c r="A31" s="63" t="str">
        <f>'RAW DATA 2023'!B24</f>
        <v>Lamae</v>
      </c>
      <c r="B31" s="63" t="str">
        <f>'RAW DATA 2023'!D24</f>
        <v>A1-009-0020</v>
      </c>
      <c r="C31" s="63" t="str">
        <f t="shared" si="0"/>
        <v>LamaeA1-009-0020</v>
      </c>
      <c r="D31" s="63">
        <f>VLOOKUP(C31,'RAW DATA 2023'!E:BP,63,0)</f>
        <v>8</v>
      </c>
      <c r="E31" s="63" t="str">
        <f t="shared" si="1"/>
        <v>Lamae8</v>
      </c>
      <c r="F31" s="63">
        <f>ROUND(VLOOKUP(C31,'RAW DATA 2023'!E:BO,23,0),0)</f>
        <v>35</v>
      </c>
      <c r="G31" s="120">
        <f>VLOOKUP(C31,'RAW DATA 2023'!E:BO,26,0)</f>
        <v>0.24477943699999996</v>
      </c>
      <c r="H31" s="101">
        <f>IFERROR(VLOOKUP(F31,STD!B:G,6,0),"")</f>
        <v>0.37</v>
      </c>
      <c r="I31" s="100">
        <f t="shared" si="2"/>
        <v>0.66156604594594581</v>
      </c>
      <c r="J31" s="249">
        <f t="shared" si="4"/>
        <v>3.2313209189189163</v>
      </c>
      <c r="K31" s="63">
        <f>VLOOKUP(C31,'RAW DATA 2023'!E:BO,20,0)</f>
        <v>215</v>
      </c>
      <c r="L31" s="322">
        <f t="shared" si="5"/>
        <v>694.73399756756703</v>
      </c>
      <c r="M31" s="63"/>
      <c r="Y31" s="63" t="str">
        <f t="shared" si="3"/>
        <v>A1-009-00208</v>
      </c>
    </row>
    <row r="32" spans="1:25">
      <c r="A32" s="63" t="str">
        <f>'RAW DATA 2023'!B25</f>
        <v>Lamae</v>
      </c>
      <c r="B32" s="63" t="str">
        <f>'RAW DATA 2023'!D25</f>
        <v>A1-007-0044</v>
      </c>
      <c r="C32" s="63" t="str">
        <f t="shared" si="0"/>
        <v>LamaeA1-007-0044</v>
      </c>
      <c r="D32" s="63">
        <f>VLOOKUP(C32,'RAW DATA 2023'!E:BP,63,0)</f>
        <v>2</v>
      </c>
      <c r="E32" s="63" t="str">
        <f t="shared" si="1"/>
        <v>Lamae2</v>
      </c>
      <c r="F32" s="63">
        <f>ROUND(VLOOKUP(C32,'RAW DATA 2023'!E:BO,23,0),0)</f>
        <v>35</v>
      </c>
      <c r="G32" s="120">
        <f>VLOOKUP(C32,'RAW DATA 2023'!E:BO,26,0)</f>
        <v>0.22217522300000001</v>
      </c>
      <c r="H32" s="101">
        <f>IFERROR(VLOOKUP(F32,STD!B:G,6,0),"")</f>
        <v>0.37</v>
      </c>
      <c r="I32" s="100">
        <f t="shared" si="2"/>
        <v>0.60047357567567572</v>
      </c>
      <c r="J32" s="249">
        <f t="shared" si="4"/>
        <v>2.0094715135135144</v>
      </c>
      <c r="K32" s="63">
        <f>VLOOKUP(C32,'RAW DATA 2023'!E:BO,20,0)</f>
        <v>128</v>
      </c>
      <c r="L32" s="322">
        <f t="shared" si="5"/>
        <v>257.21235372972984</v>
      </c>
      <c r="M32" s="63"/>
      <c r="Y32" s="63" t="str">
        <f t="shared" si="3"/>
        <v>A1-007-00442</v>
      </c>
    </row>
    <row r="33" spans="1:25">
      <c r="A33" s="63" t="str">
        <f>'RAW DATA 2023'!B26</f>
        <v>Lamae</v>
      </c>
      <c r="B33" s="63" t="str">
        <f>'RAW DATA 2023'!D26</f>
        <v>A1-007-0047</v>
      </c>
      <c r="C33" s="63" t="str">
        <f t="shared" si="0"/>
        <v>LamaeA1-007-0047</v>
      </c>
      <c r="D33" s="63">
        <f>VLOOKUP(C33,'RAW DATA 2023'!E:BP,63,0)</f>
        <v>12</v>
      </c>
      <c r="E33" s="63" t="str">
        <f t="shared" si="1"/>
        <v>Lamae12</v>
      </c>
      <c r="F33" s="63">
        <f>ROUND(VLOOKUP(C33,'RAW DATA 2023'!E:BO,23,0),0)</f>
        <v>0</v>
      </c>
      <c r="G33" s="120">
        <f>VLOOKUP(C33,'RAW DATA 2023'!E:BO,26,0)</f>
        <v>0</v>
      </c>
      <c r="H33" s="101" t="str">
        <f>IFERROR(VLOOKUP(F33,STD!B:G,6,0),"")</f>
        <v/>
      </c>
      <c r="I33" s="100">
        <f t="shared" si="2"/>
        <v>0</v>
      </c>
      <c r="J33" s="249">
        <f t="shared" si="4"/>
        <v>0</v>
      </c>
      <c r="K33" s="63">
        <f>VLOOKUP(C33,'RAW DATA 2023'!E:BO,20,0)</f>
        <v>0</v>
      </c>
      <c r="L33" s="322">
        <f t="shared" si="5"/>
        <v>0</v>
      </c>
      <c r="M33" s="63"/>
      <c r="Y33" s="63" t="str">
        <f t="shared" si="3"/>
        <v>A1-007-004712</v>
      </c>
    </row>
    <row r="34" spans="1:25">
      <c r="A34" s="63" t="str">
        <f>'RAW DATA 2023'!B27</f>
        <v>Lamae</v>
      </c>
      <c r="B34" s="63" t="str">
        <f>'RAW DATA 2023'!D27</f>
        <v>A1-011-0024</v>
      </c>
      <c r="C34" s="63" t="str">
        <f t="shared" si="0"/>
        <v>LamaeA1-011-0024</v>
      </c>
      <c r="D34" s="63">
        <f>VLOOKUP(C34,'RAW DATA 2023'!E:BP,63,0)</f>
        <v>12</v>
      </c>
      <c r="E34" s="63" t="str">
        <f t="shared" si="1"/>
        <v>Lamae12</v>
      </c>
      <c r="F34" s="63">
        <f>ROUND(VLOOKUP(C34,'RAW DATA 2023'!E:BO,23,0),0)</f>
        <v>0</v>
      </c>
      <c r="G34" s="120">
        <f>VLOOKUP(C34,'RAW DATA 2023'!E:BO,26,0)</f>
        <v>0</v>
      </c>
      <c r="H34" s="101" t="str">
        <f>IFERROR(VLOOKUP(F34,STD!B:G,6,0),"")</f>
        <v/>
      </c>
      <c r="I34" s="100">
        <f t="shared" si="2"/>
        <v>0</v>
      </c>
      <c r="J34" s="249">
        <f t="shared" si="4"/>
        <v>0</v>
      </c>
      <c r="K34" s="63">
        <f>VLOOKUP(C34,'RAW DATA 2023'!E:BO,20,0)</f>
        <v>0</v>
      </c>
      <c r="L34" s="322">
        <f t="shared" si="5"/>
        <v>0</v>
      </c>
      <c r="M34" s="63"/>
      <c r="Y34" s="63" t="str">
        <f t="shared" si="3"/>
        <v>A1-011-002412</v>
      </c>
    </row>
    <row r="35" spans="1:25">
      <c r="A35" s="63" t="str">
        <f>'RAW DATA 2023'!B28</f>
        <v>Lamae</v>
      </c>
      <c r="B35" s="63" t="str">
        <f>'RAW DATA 2023'!D28</f>
        <v>A1-012-0015</v>
      </c>
      <c r="C35" s="63" t="str">
        <f t="shared" si="0"/>
        <v>LamaeA1-012-0015</v>
      </c>
      <c r="D35" s="63">
        <f>VLOOKUP(C35,'RAW DATA 2023'!E:BP,63,0)</f>
        <v>12</v>
      </c>
      <c r="E35" s="63" t="str">
        <f t="shared" si="1"/>
        <v>Lamae12</v>
      </c>
      <c r="F35" s="63">
        <f>ROUND(VLOOKUP(C35,'RAW DATA 2023'!E:BO,23,0),0)</f>
        <v>0</v>
      </c>
      <c r="G35" s="120">
        <f>VLOOKUP(C35,'RAW DATA 2023'!E:BO,26,0)</f>
        <v>0</v>
      </c>
      <c r="H35" s="101" t="str">
        <f>IFERROR(VLOOKUP(F35,STD!B:G,6,0),"")</f>
        <v/>
      </c>
      <c r="I35" s="100">
        <f t="shared" si="2"/>
        <v>0</v>
      </c>
      <c r="J35" s="249">
        <f t="shared" si="4"/>
        <v>0</v>
      </c>
      <c r="K35" s="63">
        <f>VLOOKUP(C35,'RAW DATA 2023'!E:BO,20,0)</f>
        <v>0</v>
      </c>
      <c r="L35" s="322">
        <f t="shared" si="5"/>
        <v>0</v>
      </c>
      <c r="M35" s="63"/>
      <c r="Y35" s="63" t="str">
        <f t="shared" si="3"/>
        <v>A1-012-001512</v>
      </c>
    </row>
    <row r="36" spans="1:25">
      <c r="A36" s="63" t="str">
        <f>'RAW DATA 2023'!B29</f>
        <v>Lamae</v>
      </c>
      <c r="B36" s="63" t="str">
        <f>'RAW DATA 2023'!D29</f>
        <v>A1-013-0017</v>
      </c>
      <c r="C36" s="63" t="str">
        <f t="shared" si="0"/>
        <v>LamaeA1-013-0017</v>
      </c>
      <c r="D36" s="63">
        <f>VLOOKUP(C36,'RAW DATA 2023'!E:BP,63,0)</f>
        <v>12</v>
      </c>
      <c r="E36" s="63" t="str">
        <f t="shared" si="1"/>
        <v>Lamae12</v>
      </c>
      <c r="F36" s="63">
        <f>ROUND(VLOOKUP(C36,'RAW DATA 2023'!E:BO,23,0),0)</f>
        <v>0</v>
      </c>
      <c r="G36" s="120">
        <f>VLOOKUP(C36,'RAW DATA 2023'!E:BO,26,0)</f>
        <v>0</v>
      </c>
      <c r="H36" s="101" t="str">
        <f>IFERROR(VLOOKUP(F36,STD!B:G,6,0),"")</f>
        <v/>
      </c>
      <c r="I36" s="100">
        <f t="shared" si="2"/>
        <v>0</v>
      </c>
      <c r="J36" s="249">
        <f t="shared" si="4"/>
        <v>0</v>
      </c>
      <c r="K36" s="63">
        <f>VLOOKUP(C36,'RAW DATA 2023'!E:BO,20,0)</f>
        <v>0</v>
      </c>
      <c r="L36" s="322">
        <f t="shared" si="5"/>
        <v>0</v>
      </c>
      <c r="M36" s="63"/>
      <c r="Y36" s="63" t="str">
        <f t="shared" si="3"/>
        <v>A1-013-001712</v>
      </c>
    </row>
    <row r="37" spans="1:25">
      <c r="A37" s="63" t="str">
        <f>'RAW DATA 2023'!B30</f>
        <v>Bansang</v>
      </c>
      <c r="B37" s="63" t="str">
        <f>'RAW DATA 2023'!D30</f>
        <v>A1-008-0015</v>
      </c>
      <c r="C37" s="63" t="str">
        <f t="shared" si="0"/>
        <v>BansangA1-008-0015</v>
      </c>
      <c r="D37" s="63">
        <f>VLOOKUP(C37,'RAW DATA 2023'!E:BP,63,0)</f>
        <v>9</v>
      </c>
      <c r="E37" s="63" t="str">
        <f t="shared" si="1"/>
        <v>Bansang9</v>
      </c>
      <c r="F37" s="63">
        <f>ROUND(VLOOKUP(C37,'RAW DATA 2023'!E:BO,23,0),0)</f>
        <v>27</v>
      </c>
      <c r="G37" s="120">
        <f>VLOOKUP(C37,'RAW DATA 2023'!E:BO,26,0)</f>
        <v>0.493543228</v>
      </c>
      <c r="H37" s="101">
        <f>IFERROR(VLOOKUP(F37,STD!B:G,6,0),"")</f>
        <v>0.39</v>
      </c>
      <c r="I37" s="100">
        <f t="shared" si="2"/>
        <v>1.2654954564102563</v>
      </c>
      <c r="J37" s="249">
        <f t="shared" si="4"/>
        <v>15.309909128205126</v>
      </c>
      <c r="K37" s="63">
        <f>VLOOKUP(C37,'RAW DATA 2023'!E:BO,20,0)</f>
        <v>87</v>
      </c>
      <c r="L37" s="322">
        <f t="shared" si="5"/>
        <v>1331.962094153846</v>
      </c>
      <c r="M37" s="63"/>
      <c r="Y37" s="63" t="str">
        <f t="shared" si="3"/>
        <v>A1-008-00159</v>
      </c>
    </row>
    <row r="38" spans="1:25">
      <c r="A38" s="63" t="str">
        <f>'RAW DATA 2023'!B31</f>
        <v>Bansang</v>
      </c>
      <c r="B38" s="63" t="str">
        <f>'RAW DATA 2023'!D31</f>
        <v>A1-006-0015</v>
      </c>
      <c r="C38" s="63" t="str">
        <f t="shared" si="0"/>
        <v>BansangA1-006-0015</v>
      </c>
      <c r="D38" s="63">
        <f>VLOOKUP(C38,'RAW DATA 2023'!E:BP,63,0)</f>
        <v>10</v>
      </c>
      <c r="E38" s="63" t="str">
        <f t="shared" si="1"/>
        <v>Bansang10</v>
      </c>
      <c r="F38" s="63">
        <f>ROUND(VLOOKUP(C38,'RAW DATA 2023'!E:BO,23,0),0)</f>
        <v>26</v>
      </c>
      <c r="G38" s="120">
        <f>VLOOKUP(C38,'RAW DATA 2023'!E:BO,26,0)</f>
        <v>0.47710843400000003</v>
      </c>
      <c r="H38" s="101">
        <f>IFERROR(VLOOKUP(F38,STD!B:G,6,0),"")</f>
        <v>0.37</v>
      </c>
      <c r="I38" s="100">
        <f t="shared" si="2"/>
        <v>1.289482254054054</v>
      </c>
      <c r="J38" s="249">
        <f t="shared" si="4"/>
        <v>15.78964508108108</v>
      </c>
      <c r="K38" s="63">
        <f>VLOOKUP(C38,'RAW DATA 2023'!E:BO,20,0)</f>
        <v>83</v>
      </c>
      <c r="L38" s="322">
        <f t="shared" si="5"/>
        <v>1310.5405417297295</v>
      </c>
      <c r="M38" s="63"/>
      <c r="Y38" s="63" t="str">
        <f t="shared" si="3"/>
        <v>A1-006-001510</v>
      </c>
    </row>
    <row r="39" spans="1:25">
      <c r="A39" s="63" t="str">
        <f>'RAW DATA 2023'!B32</f>
        <v>Bansang</v>
      </c>
      <c r="B39" s="63" t="str">
        <f>'RAW DATA 2023'!D32</f>
        <v>A1-005-0016</v>
      </c>
      <c r="C39" s="63" t="str">
        <f t="shared" si="0"/>
        <v>BansangA1-005-0016</v>
      </c>
      <c r="D39" s="63">
        <f>VLOOKUP(C39,'RAW DATA 2023'!E:BP,63,0)</f>
        <v>9</v>
      </c>
      <c r="E39" s="63" t="str">
        <f t="shared" si="1"/>
        <v>Bansang9</v>
      </c>
      <c r="F39" s="63">
        <f>ROUND(VLOOKUP(C39,'RAW DATA 2023'!E:BO,23,0),0)</f>
        <v>46</v>
      </c>
      <c r="G39" s="120">
        <f>VLOOKUP(C39,'RAW DATA 2023'!E:BO,26,0)</f>
        <v>0.41836260899999994</v>
      </c>
      <c r="H39" s="101">
        <f>IFERROR(VLOOKUP(F39,STD!B:G,6,0),"")</f>
        <v>0.36</v>
      </c>
      <c r="I39" s="100">
        <f t="shared" si="2"/>
        <v>1.1621183583333332</v>
      </c>
      <c r="J39" s="249">
        <f t="shared" si="4"/>
        <v>13.242367166666664</v>
      </c>
      <c r="K39" s="63">
        <f>VLOOKUP(C39,'RAW DATA 2023'!E:BO,20,0)</f>
        <v>50</v>
      </c>
      <c r="L39" s="322">
        <f t="shared" si="5"/>
        <v>662.11835833333316</v>
      </c>
      <c r="M39" s="63"/>
      <c r="Y39" s="63" t="str">
        <f t="shared" si="3"/>
        <v>A1-005-00169</v>
      </c>
    </row>
    <row r="40" spans="1:25">
      <c r="A40" s="63" t="str">
        <f>'RAW DATA 2023'!B33</f>
        <v>Bansang</v>
      </c>
      <c r="B40" s="63" t="str">
        <f>'RAW DATA 2023'!D33</f>
        <v>A1-006-0013</v>
      </c>
      <c r="C40" s="63" t="str">
        <f t="shared" si="0"/>
        <v>BansangA1-006-0013</v>
      </c>
      <c r="D40" s="63">
        <f>VLOOKUP(C40,'RAW DATA 2023'!E:BP,63,0)</f>
        <v>1</v>
      </c>
      <c r="E40" s="63" t="str">
        <f t="shared" si="1"/>
        <v>Bansang1</v>
      </c>
      <c r="F40" s="63">
        <f>ROUND(VLOOKUP(C40,'RAW DATA 2023'!E:BO,23,0),0)</f>
        <v>24</v>
      </c>
      <c r="G40" s="120">
        <f>VLOOKUP(C40,'RAW DATA 2023'!E:BO,26,0)</f>
        <v>0.38710178699999992</v>
      </c>
      <c r="H40" s="101">
        <f>IFERROR(VLOOKUP(F40,STD!B:G,6,0),"")</f>
        <v>0.36</v>
      </c>
      <c r="I40" s="100">
        <f t="shared" si="2"/>
        <v>1.0752827416666664</v>
      </c>
      <c r="J40" s="249">
        <f t="shared" si="4"/>
        <v>11.505654833333328</v>
      </c>
      <c r="K40" s="63">
        <f>VLOOKUP(C40,'RAW DATA 2023'!E:BO,20,0)</f>
        <v>143</v>
      </c>
      <c r="L40" s="322">
        <f t="shared" si="5"/>
        <v>1645.3086411666659</v>
      </c>
      <c r="M40" s="63"/>
      <c r="Y40" s="63" t="str">
        <f t="shared" si="3"/>
        <v>A1-006-00131</v>
      </c>
    </row>
    <row r="41" spans="1:25">
      <c r="A41" s="63" t="str">
        <f>'RAW DATA 2023'!B34</f>
        <v>Bansang</v>
      </c>
      <c r="B41" s="63" t="str">
        <f>'RAW DATA 2023'!D34</f>
        <v>A1-005-0014</v>
      </c>
      <c r="C41" s="63" t="str">
        <f t="shared" si="0"/>
        <v>BansangA1-005-0014</v>
      </c>
      <c r="D41" s="63">
        <f>VLOOKUP(C41,'RAW DATA 2023'!E:BP,63,0)</f>
        <v>1</v>
      </c>
      <c r="E41" s="63" t="str">
        <f t="shared" si="1"/>
        <v>Bansang1</v>
      </c>
      <c r="F41" s="63">
        <f>ROUND(VLOOKUP(C41,'RAW DATA 2023'!E:BO,23,0),0)</f>
        <v>28</v>
      </c>
      <c r="G41" s="120">
        <f>VLOOKUP(C41,'RAW DATA 2023'!E:BO,26,0)</f>
        <v>0.38641304300000001</v>
      </c>
      <c r="H41" s="101">
        <f>IFERROR(VLOOKUP(F41,STD!B:G,6,0),"")</f>
        <v>0.41</v>
      </c>
      <c r="I41" s="100">
        <f t="shared" si="2"/>
        <v>0.9424708365853659</v>
      </c>
      <c r="J41" s="249">
        <f t="shared" si="4"/>
        <v>8.8494167317073185</v>
      </c>
      <c r="K41" s="63">
        <f>VLOOKUP(C41,'RAW DATA 2023'!E:BO,20,0)</f>
        <v>112</v>
      </c>
      <c r="L41" s="322">
        <f t="shared" si="5"/>
        <v>991.13467395121961</v>
      </c>
      <c r="M41" s="63"/>
      <c r="Y41" s="63" t="str">
        <f t="shared" si="3"/>
        <v>A1-005-00141</v>
      </c>
    </row>
    <row r="42" spans="1:25">
      <c r="A42" s="63" t="str">
        <f>'RAW DATA 2023'!B35</f>
        <v>Bansang</v>
      </c>
      <c r="B42" s="63" t="str">
        <f>'RAW DATA 2023'!D35</f>
        <v>A1-007-0017</v>
      </c>
      <c r="C42" s="63" t="str">
        <f t="shared" si="0"/>
        <v>BansangA1-007-0017</v>
      </c>
      <c r="D42" s="63">
        <f>VLOOKUP(C42,'RAW DATA 2023'!E:BP,63,0)</f>
        <v>8</v>
      </c>
      <c r="E42" s="63" t="str">
        <f t="shared" si="1"/>
        <v>Bansang8</v>
      </c>
      <c r="F42" s="63">
        <f>ROUND(VLOOKUP(C42,'RAW DATA 2023'!E:BO,23,0),0)</f>
        <v>29</v>
      </c>
      <c r="G42" s="120">
        <f>VLOOKUP(C42,'RAW DATA 2023'!E:BO,26,0)</f>
        <v>0.34873368599999999</v>
      </c>
      <c r="H42" s="101">
        <f>IFERROR(VLOOKUP(F42,STD!B:G,6,0),"")</f>
        <v>0.4</v>
      </c>
      <c r="I42" s="100">
        <f t="shared" si="2"/>
        <v>0.87183421499999991</v>
      </c>
      <c r="J42" s="249">
        <f t="shared" si="4"/>
        <v>7.4366842999999978</v>
      </c>
      <c r="K42" s="63">
        <f>VLOOKUP(C42,'RAW DATA 2023'!E:BO,20,0)</f>
        <v>105.00000000000001</v>
      </c>
      <c r="L42" s="322">
        <f t="shared" si="5"/>
        <v>780.85185149999984</v>
      </c>
      <c r="M42" s="63"/>
      <c r="Y42" s="63" t="str">
        <f t="shared" si="3"/>
        <v>A1-007-00178</v>
      </c>
    </row>
    <row r="43" spans="1:25">
      <c r="A43" s="63" t="str">
        <f>'RAW DATA 2023'!B36</f>
        <v>Bansang</v>
      </c>
      <c r="B43" s="63" t="str">
        <f>'RAW DATA 2023'!D36</f>
        <v>A1-005-0015</v>
      </c>
      <c r="C43" s="63" t="str">
        <f t="shared" si="0"/>
        <v>BansangA1-005-0015</v>
      </c>
      <c r="D43" s="63">
        <f>VLOOKUP(C43,'RAW DATA 2023'!E:BP,63,0)</f>
        <v>6</v>
      </c>
      <c r="E43" s="63" t="str">
        <f t="shared" si="1"/>
        <v>Bansang6</v>
      </c>
      <c r="F43" s="63">
        <f>ROUND(VLOOKUP(C43,'RAW DATA 2023'!E:BO,23,0),0)</f>
        <v>29</v>
      </c>
      <c r="G43" s="120">
        <f>VLOOKUP(C43,'RAW DATA 2023'!E:BO,26,0)</f>
        <v>0.32666997399999997</v>
      </c>
      <c r="H43" s="101">
        <f>IFERROR(VLOOKUP(F43,STD!B:G,6,0),"")</f>
        <v>0.4</v>
      </c>
      <c r="I43" s="100">
        <f t="shared" si="2"/>
        <v>0.81667493499999988</v>
      </c>
      <c r="J43" s="249">
        <f t="shared" si="4"/>
        <v>6.333498699999998</v>
      </c>
      <c r="K43" s="63">
        <f>VLOOKUP(C43,'RAW DATA 2023'!E:BO,20,0)</f>
        <v>112</v>
      </c>
      <c r="L43" s="322">
        <f t="shared" si="5"/>
        <v>709.35185439999975</v>
      </c>
      <c r="M43" s="63"/>
      <c r="Y43" s="63" t="str">
        <f t="shared" si="3"/>
        <v>A1-005-00156</v>
      </c>
    </row>
    <row r="44" spans="1:25">
      <c r="A44" s="63" t="str">
        <f>'RAW DATA 2023'!B37</f>
        <v>Bansang</v>
      </c>
      <c r="B44" s="63" t="str">
        <f>'RAW DATA 2023'!D37</f>
        <v>A1-006-0014</v>
      </c>
      <c r="C44" s="63" t="str">
        <f t="shared" si="0"/>
        <v>BansangA1-006-0014</v>
      </c>
      <c r="D44" s="63">
        <f>VLOOKUP(C44,'RAW DATA 2023'!E:BP,63,0)</f>
        <v>6</v>
      </c>
      <c r="E44" s="63" t="str">
        <f t="shared" si="1"/>
        <v>Bansang6</v>
      </c>
      <c r="F44" s="63">
        <f>ROUND(VLOOKUP(C44,'RAW DATA 2023'!E:BO,23,0),0)</f>
        <v>30</v>
      </c>
      <c r="G44" s="120">
        <f>VLOOKUP(C44,'RAW DATA 2023'!E:BO,26,0)</f>
        <v>0.31270971800000003</v>
      </c>
      <c r="H44" s="101">
        <f>IFERROR(VLOOKUP(F44,STD!B:G,6,0),"")</f>
        <v>0.39</v>
      </c>
      <c r="I44" s="100">
        <f t="shared" si="2"/>
        <v>0.80181978974358981</v>
      </c>
      <c r="J44" s="249">
        <f t="shared" si="4"/>
        <v>6.0363957948717957</v>
      </c>
      <c r="K44" s="63">
        <f>VLOOKUP(C44,'RAW DATA 2023'!E:BO,20,0)</f>
        <v>117</v>
      </c>
      <c r="L44" s="322">
        <f t="shared" si="5"/>
        <v>706.25830800000006</v>
      </c>
      <c r="M44" s="63"/>
      <c r="Y44" s="63" t="str">
        <f t="shared" si="3"/>
        <v>A1-006-00146</v>
      </c>
    </row>
    <row r="45" spans="1:25">
      <c r="A45" s="63" t="str">
        <f>'RAW DATA 2023'!B38</f>
        <v>Bansang</v>
      </c>
      <c r="B45" s="63" t="str">
        <f>'RAW DATA 2023'!D38</f>
        <v>A1-008-0014</v>
      </c>
      <c r="C45" s="63" t="str">
        <f t="shared" si="0"/>
        <v>BansangA1-008-0014</v>
      </c>
      <c r="D45" s="63">
        <f>VLOOKUP(C45,'RAW DATA 2023'!E:BP,63,0)</f>
        <v>5</v>
      </c>
      <c r="E45" s="63" t="str">
        <f t="shared" si="1"/>
        <v>Bansang5</v>
      </c>
      <c r="F45" s="63">
        <f>ROUND(VLOOKUP(C45,'RAW DATA 2023'!E:BO,23,0),0)</f>
        <v>33</v>
      </c>
      <c r="G45" s="120">
        <f>VLOOKUP(C45,'RAW DATA 2023'!E:BO,26,0)</f>
        <v>0.30009708699999998</v>
      </c>
      <c r="H45" s="101">
        <f>IFERROR(VLOOKUP(F45,STD!B:G,6,0),"")</f>
        <v>0.39</v>
      </c>
      <c r="I45" s="100">
        <f t="shared" si="2"/>
        <v>0.76947971025641015</v>
      </c>
      <c r="J45" s="249">
        <f t="shared" si="4"/>
        <v>5.3895942051282031</v>
      </c>
      <c r="K45" s="63">
        <f>VLOOKUP(C45,'RAW DATA 2023'!E:BO,20,0)</f>
        <v>103</v>
      </c>
      <c r="L45" s="322">
        <f t="shared" si="5"/>
        <v>555.12820312820497</v>
      </c>
      <c r="M45" s="63"/>
      <c r="Y45" s="63" t="str">
        <f t="shared" si="3"/>
        <v>A1-008-00145</v>
      </c>
    </row>
    <row r="46" spans="1:25">
      <c r="A46" s="63" t="str">
        <f>'RAW DATA 2023'!B39</f>
        <v>Bansang</v>
      </c>
      <c r="B46" s="63" t="str">
        <f>'RAW DATA 2023'!D39</f>
        <v>A1-007-0016</v>
      </c>
      <c r="C46" s="63" t="str">
        <f t="shared" si="0"/>
        <v>BansangA1-007-0016</v>
      </c>
      <c r="D46" s="63">
        <f>VLOOKUP(C46,'RAW DATA 2023'!E:BP,63,0)</f>
        <v>3</v>
      </c>
      <c r="E46" s="63" t="str">
        <f t="shared" si="1"/>
        <v>Bansang3</v>
      </c>
      <c r="F46" s="63">
        <f>ROUND(VLOOKUP(C46,'RAW DATA 2023'!E:BO,23,0),0)</f>
        <v>31</v>
      </c>
      <c r="G46" s="120">
        <f>VLOOKUP(C46,'RAW DATA 2023'!E:BO,26,0)</f>
        <v>0.28768073999999999</v>
      </c>
      <c r="H46" s="101">
        <f>IFERROR(VLOOKUP(F46,STD!B:G,6,0),"")</f>
        <v>0.39</v>
      </c>
      <c r="I46" s="100">
        <f t="shared" si="2"/>
        <v>0.73764292307692303</v>
      </c>
      <c r="J46" s="249">
        <f t="shared" si="4"/>
        <v>4.7528584615384606</v>
      </c>
      <c r="K46" s="63">
        <f>VLOOKUP(C46,'RAW DATA 2023'!E:BO,20,0)</f>
        <v>133</v>
      </c>
      <c r="L46" s="322">
        <f t="shared" si="5"/>
        <v>632.13017538461531</v>
      </c>
      <c r="M46" s="63"/>
      <c r="Y46" s="63" t="str">
        <f t="shared" si="3"/>
        <v>A1-007-00163</v>
      </c>
    </row>
    <row r="47" spans="1:25">
      <c r="A47" s="63" t="str">
        <f>'RAW DATA 2023'!B40</f>
        <v>Bansang</v>
      </c>
      <c r="B47" s="63" t="str">
        <f>'RAW DATA 2023'!D40</f>
        <v>A1-007-0018</v>
      </c>
      <c r="C47" s="63" t="str">
        <f t="shared" si="0"/>
        <v>BansangA1-007-0018</v>
      </c>
      <c r="D47" s="63">
        <f>VLOOKUP(C47,'RAW DATA 2023'!E:BP,63,0)</f>
        <v>10</v>
      </c>
      <c r="E47" s="63" t="str">
        <f t="shared" si="1"/>
        <v>Bansang10</v>
      </c>
      <c r="F47" s="63">
        <f>ROUND(VLOOKUP(C47,'RAW DATA 2023'!E:BO,23,0),0)</f>
        <v>129</v>
      </c>
      <c r="G47" s="120">
        <f>VLOOKUP(C47,'RAW DATA 2023'!E:BO,26,0)</f>
        <v>0.23052931199999996</v>
      </c>
      <c r="H47" s="101">
        <f>IFERROR(VLOOKUP(F47,STD!B:G,6,0),"")</f>
        <v>0.3</v>
      </c>
      <c r="I47" s="100">
        <f t="shared" si="2"/>
        <v>0.76843103999999984</v>
      </c>
      <c r="J47" s="249">
        <f t="shared" si="4"/>
        <v>5.3686207999999969</v>
      </c>
      <c r="K47" s="63">
        <f>VLOOKUP(C47,'RAW DATA 2023'!E:BO,20,0)</f>
        <v>32</v>
      </c>
      <c r="L47" s="322">
        <f t="shared" si="5"/>
        <v>171.7958655999999</v>
      </c>
      <c r="M47" s="63"/>
      <c r="Y47" s="63" t="str">
        <f t="shared" si="3"/>
        <v>A1-007-001810</v>
      </c>
    </row>
    <row r="48" spans="1:25">
      <c r="A48" s="63" t="str">
        <f>'RAW DATA 2023'!B41</f>
        <v>Petchburi5</v>
      </c>
      <c r="B48" s="63" t="str">
        <f>'RAW DATA 2023'!D41</f>
        <v>B1-127-0009</v>
      </c>
      <c r="C48" s="63" t="str">
        <f t="shared" si="0"/>
        <v>Petchburi5B1-127-0009</v>
      </c>
      <c r="D48" s="63">
        <f>VLOOKUP(C48,'RAW DATA 2023'!E:BP,63,0)</f>
        <v>10</v>
      </c>
      <c r="E48" s="63" t="str">
        <f t="shared" si="1"/>
        <v>Petchburi510</v>
      </c>
      <c r="F48" s="63">
        <f>ROUND(VLOOKUP(C48,'RAW DATA 2023'!E:BO,23,0),0)</f>
        <v>33</v>
      </c>
      <c r="G48" s="120">
        <f>VLOOKUP(C48,'RAW DATA 2023'!E:BO,26,0)</f>
        <v>0.41692463200000002</v>
      </c>
      <c r="H48" s="101">
        <f>IFERROR(VLOOKUP(F48,STD!B:G,6,0),"")</f>
        <v>0.39</v>
      </c>
      <c r="I48" s="100">
        <f t="shared" si="2"/>
        <v>1.0690375179487179</v>
      </c>
      <c r="J48" s="249">
        <f t="shared" si="4"/>
        <v>11.380750358974359</v>
      </c>
      <c r="K48" s="63">
        <f>VLOOKUP(C48,'RAW DATA 2023'!E:BO,20,0)</f>
        <v>125</v>
      </c>
      <c r="L48" s="322">
        <f t="shared" si="5"/>
        <v>1422.5937948717949</v>
      </c>
      <c r="M48" s="63"/>
      <c r="Y48" s="63" t="str">
        <f t="shared" si="3"/>
        <v>B1-127-000910</v>
      </c>
    </row>
    <row r="49" spans="1:25">
      <c r="A49" s="63" t="str">
        <f>'RAW DATA 2023'!B42</f>
        <v>Petchburi5</v>
      </c>
      <c r="B49" s="63" t="str">
        <f>'RAW DATA 2023'!D42</f>
        <v>B1-124-0008</v>
      </c>
      <c r="C49" s="63" t="str">
        <f t="shared" si="0"/>
        <v>Petchburi5B1-124-0008</v>
      </c>
      <c r="D49" s="63">
        <f>VLOOKUP(C49,'RAW DATA 2023'!E:BP,63,0)</f>
        <v>7</v>
      </c>
      <c r="E49" s="63" t="str">
        <f t="shared" si="1"/>
        <v>Petchburi57</v>
      </c>
      <c r="F49" s="63">
        <f>ROUND(VLOOKUP(C49,'RAW DATA 2023'!E:BO,23,0),0)</f>
        <v>33</v>
      </c>
      <c r="G49" s="120">
        <f>VLOOKUP(C49,'RAW DATA 2023'!E:BO,26,0)</f>
        <v>0.41196666700000001</v>
      </c>
      <c r="H49" s="101">
        <f>IFERROR(VLOOKUP(F49,STD!B:G,6,0),"")</f>
        <v>0.39</v>
      </c>
      <c r="I49" s="100">
        <f t="shared" si="2"/>
        <v>1.0563247871794872</v>
      </c>
      <c r="J49" s="249">
        <f t="shared" si="4"/>
        <v>11.126495743589743</v>
      </c>
      <c r="K49" s="63">
        <f>VLOOKUP(C49,'RAW DATA 2023'!E:BO,20,0)</f>
        <v>100</v>
      </c>
      <c r="L49" s="322">
        <f t="shared" si="5"/>
        <v>1112.6495743589744</v>
      </c>
      <c r="M49" s="63"/>
      <c r="Y49" s="63" t="str">
        <f t="shared" si="3"/>
        <v>B1-124-00087</v>
      </c>
    </row>
    <row r="50" spans="1:25">
      <c r="A50" s="63" t="str">
        <f>'RAW DATA 2023'!B43</f>
        <v>Petchburi5</v>
      </c>
      <c r="B50" s="63" t="str">
        <f>'RAW DATA 2023'!D43</f>
        <v>B1-124-0009</v>
      </c>
      <c r="C50" s="63" t="str">
        <f t="shared" si="0"/>
        <v>Petchburi5B1-124-0009</v>
      </c>
      <c r="D50" s="63">
        <f>VLOOKUP(C50,'RAW DATA 2023'!E:BP,63,0)</f>
        <v>11</v>
      </c>
      <c r="E50" s="63" t="str">
        <f t="shared" si="1"/>
        <v>Petchburi511</v>
      </c>
      <c r="F50" s="63">
        <f>ROUND(VLOOKUP(C50,'RAW DATA 2023'!E:BO,23,0),0)</f>
        <v>33</v>
      </c>
      <c r="G50" s="120">
        <f>VLOOKUP(C50,'RAW DATA 2023'!E:BO,26,0)</f>
        <v>0.41099498299999998</v>
      </c>
      <c r="H50" s="101">
        <f>IFERROR(VLOOKUP(F50,STD!B:G,6,0),"")</f>
        <v>0.39</v>
      </c>
      <c r="I50" s="100">
        <f t="shared" si="2"/>
        <v>1.0538332897435896</v>
      </c>
      <c r="J50" s="249">
        <f t="shared" si="4"/>
        <v>11.076665794871792</v>
      </c>
      <c r="K50" s="63">
        <f>VLOOKUP(C50,'RAW DATA 2023'!E:BO,20,0)</f>
        <v>92</v>
      </c>
      <c r="L50" s="322">
        <f t="shared" si="5"/>
        <v>1019.0532531282048</v>
      </c>
      <c r="M50" s="63"/>
      <c r="Y50" s="63" t="str">
        <f t="shared" si="3"/>
        <v>B1-124-000911</v>
      </c>
    </row>
    <row r="51" spans="1:25">
      <c r="A51" s="63" t="str">
        <f>'RAW DATA 2023'!B44</f>
        <v>Petchburi5</v>
      </c>
      <c r="B51" s="63" t="str">
        <f>'RAW DATA 2023'!D44</f>
        <v>B1-126-0009</v>
      </c>
      <c r="C51" s="63" t="str">
        <f t="shared" si="0"/>
        <v>Petchburi5B1-126-0009</v>
      </c>
      <c r="D51" s="63">
        <f>VLOOKUP(C51,'RAW DATA 2023'!E:BP,63,0)</f>
        <v>11</v>
      </c>
      <c r="E51" s="63" t="str">
        <f t="shared" si="1"/>
        <v>Petchburi511</v>
      </c>
      <c r="F51" s="63">
        <f>ROUND(VLOOKUP(C51,'RAW DATA 2023'!E:BO,23,0),0)</f>
        <v>39</v>
      </c>
      <c r="G51" s="120">
        <f>VLOOKUP(C51,'RAW DATA 2023'!E:BO,26,0)</f>
        <v>0.40602796099999999</v>
      </c>
      <c r="H51" s="101">
        <f>IFERROR(VLOOKUP(F51,STD!B:G,6,0),"")</f>
        <v>0.37</v>
      </c>
      <c r="I51" s="100">
        <f t="shared" si="2"/>
        <v>1.0973728675675676</v>
      </c>
      <c r="J51" s="249">
        <f t="shared" si="4"/>
        <v>11.947457351351352</v>
      </c>
      <c r="K51" s="63">
        <f>VLOOKUP(C51,'RAW DATA 2023'!E:BO,20,0)</f>
        <v>128</v>
      </c>
      <c r="L51" s="322">
        <f t="shared" si="5"/>
        <v>1529.274540972973</v>
      </c>
      <c r="M51" s="63"/>
      <c r="Y51" s="63" t="str">
        <f t="shared" si="3"/>
        <v>B1-126-000911</v>
      </c>
    </row>
    <row r="52" spans="1:25">
      <c r="A52" s="63" t="str">
        <f>'RAW DATA 2023'!B45</f>
        <v>Petchburi5</v>
      </c>
      <c r="B52" s="63" t="str">
        <f>'RAW DATA 2023'!D45</f>
        <v>B1-125-0009</v>
      </c>
      <c r="C52" s="63" t="str">
        <f t="shared" si="0"/>
        <v>Petchburi5B1-125-0009</v>
      </c>
      <c r="D52" s="63">
        <f>VLOOKUP(C52,'RAW DATA 2023'!E:BP,63,0)</f>
        <v>11</v>
      </c>
      <c r="E52" s="63" t="str">
        <f t="shared" si="1"/>
        <v>Petchburi511</v>
      </c>
      <c r="F52" s="63">
        <f>ROUND(VLOOKUP(C52,'RAW DATA 2023'!E:BO,23,0),0)</f>
        <v>32</v>
      </c>
      <c r="G52" s="120">
        <f>VLOOKUP(C52,'RAW DATA 2023'!E:BO,26,0)</f>
        <v>0.38037925700000003</v>
      </c>
      <c r="H52" s="101">
        <f>IFERROR(VLOOKUP(F52,STD!B:G,6,0),"")</f>
        <v>0.39</v>
      </c>
      <c r="I52" s="100">
        <f t="shared" si="2"/>
        <v>0.97533142820512819</v>
      </c>
      <c r="J52" s="249">
        <f t="shared" si="4"/>
        <v>9.506628564102563</v>
      </c>
      <c r="K52" s="63">
        <f>VLOOKUP(C52,'RAW DATA 2023'!E:BO,20,0)</f>
        <v>136</v>
      </c>
      <c r="L52" s="322">
        <f t="shared" si="5"/>
        <v>1292.9014847179485</v>
      </c>
      <c r="M52" s="63"/>
      <c r="Y52" s="63" t="str">
        <f t="shared" si="3"/>
        <v>B1-125-000911</v>
      </c>
    </row>
    <row r="53" spans="1:25">
      <c r="A53" s="63" t="str">
        <f>'RAW DATA 2023'!B46</f>
        <v>Petchburi5</v>
      </c>
      <c r="B53" s="63" t="str">
        <f>'RAW DATA 2023'!D46</f>
        <v>B1-116-0007</v>
      </c>
      <c r="C53" s="63" t="str">
        <f t="shared" si="0"/>
        <v>Petchburi5B1-116-0007</v>
      </c>
      <c r="D53" s="63">
        <f>VLOOKUP(C53,'RAW DATA 2023'!E:BP,63,0)</f>
        <v>9</v>
      </c>
      <c r="E53" s="63" t="str">
        <f t="shared" si="1"/>
        <v>Petchburi59</v>
      </c>
      <c r="F53" s="63">
        <f>ROUND(VLOOKUP(C53,'RAW DATA 2023'!E:BO,23,0),0)</f>
        <v>30</v>
      </c>
      <c r="G53" s="120">
        <f>VLOOKUP(C53,'RAW DATA 2023'!E:BO,26,0)</f>
        <v>0.37586545700000001</v>
      </c>
      <c r="H53" s="101">
        <f>IFERROR(VLOOKUP(F53,STD!B:G,6,0),"")</f>
        <v>0.39</v>
      </c>
      <c r="I53" s="100">
        <f t="shared" si="2"/>
        <v>0.96375758205128204</v>
      </c>
      <c r="J53" s="249">
        <f t="shared" si="4"/>
        <v>9.2751516410256407</v>
      </c>
      <c r="K53" s="63">
        <f>VLOOKUP(C53,'RAW DATA 2023'!E:BO,20,0)</f>
        <v>126</v>
      </c>
      <c r="L53" s="322">
        <f t="shared" si="5"/>
        <v>1168.6691067692307</v>
      </c>
      <c r="M53" s="63"/>
      <c r="Y53" s="63" t="str">
        <f t="shared" si="3"/>
        <v>B1-116-00079</v>
      </c>
    </row>
    <row r="54" spans="1:25">
      <c r="A54" s="63" t="str">
        <f>'RAW DATA 2023'!B47</f>
        <v>Petchburi5</v>
      </c>
      <c r="B54" s="63" t="str">
        <f>'RAW DATA 2023'!D47</f>
        <v>B1-125-0008</v>
      </c>
      <c r="C54" s="63" t="str">
        <f t="shared" si="0"/>
        <v>Petchburi5B1-125-0008</v>
      </c>
      <c r="D54" s="63">
        <f>VLOOKUP(C54,'RAW DATA 2023'!E:BP,63,0)</f>
        <v>6</v>
      </c>
      <c r="E54" s="63" t="str">
        <f t="shared" si="1"/>
        <v>Petchburi56</v>
      </c>
      <c r="F54" s="63">
        <f>ROUND(VLOOKUP(C54,'RAW DATA 2023'!E:BO,23,0),0)</f>
        <v>31</v>
      </c>
      <c r="G54" s="120">
        <f>VLOOKUP(C54,'RAW DATA 2023'!E:BO,26,0)</f>
        <v>0.37543337199999999</v>
      </c>
      <c r="H54" s="101">
        <f>IFERROR(VLOOKUP(F54,STD!B:G,6,0),"")</f>
        <v>0.39</v>
      </c>
      <c r="I54" s="100">
        <f t="shared" si="2"/>
        <v>0.96264967179487171</v>
      </c>
      <c r="J54" s="249">
        <f t="shared" si="4"/>
        <v>9.2529934358974337</v>
      </c>
      <c r="K54" s="63">
        <f>VLOOKUP(C54,'RAW DATA 2023'!E:BO,20,0)</f>
        <v>97</v>
      </c>
      <c r="L54" s="322">
        <f t="shared" si="5"/>
        <v>897.54036328205109</v>
      </c>
      <c r="M54" s="63"/>
      <c r="Y54" s="63" t="str">
        <f t="shared" si="3"/>
        <v>B1-125-00086</v>
      </c>
    </row>
    <row r="55" spans="1:25">
      <c r="A55" s="63" t="str">
        <f>'RAW DATA 2023'!B48</f>
        <v>Petchburi5</v>
      </c>
      <c r="B55" s="63" t="str">
        <f>'RAW DATA 2023'!D48</f>
        <v>B1-126-0008</v>
      </c>
      <c r="C55" s="63" t="str">
        <f t="shared" si="0"/>
        <v>Petchburi5B1-126-0008</v>
      </c>
      <c r="D55" s="63">
        <f>VLOOKUP(C55,'RAW DATA 2023'!E:BP,63,0)</f>
        <v>6</v>
      </c>
      <c r="E55" s="63" t="str">
        <f t="shared" si="1"/>
        <v>Petchburi56</v>
      </c>
      <c r="F55" s="63">
        <f>ROUND(VLOOKUP(C55,'RAW DATA 2023'!E:BO,23,0),0)</f>
        <v>37</v>
      </c>
      <c r="G55" s="120">
        <f>VLOOKUP(C55,'RAW DATA 2023'!E:BO,26,0)</f>
        <v>0.37451367800000002</v>
      </c>
      <c r="H55" s="101">
        <f>IFERROR(VLOOKUP(F55,STD!B:G,6,0),"")</f>
        <v>0.37</v>
      </c>
      <c r="I55" s="100">
        <f t="shared" si="2"/>
        <v>1.0121991297297297</v>
      </c>
      <c r="J55" s="249">
        <f t="shared" si="4"/>
        <v>10.243982594594595</v>
      </c>
      <c r="K55" s="63">
        <f>VLOOKUP(C55,'RAW DATA 2023'!E:BO,20,0)</f>
        <v>94</v>
      </c>
      <c r="L55" s="322">
        <f t="shared" si="5"/>
        <v>962.93436389189196</v>
      </c>
      <c r="M55" s="63"/>
      <c r="Y55" s="63" t="str">
        <f t="shared" si="3"/>
        <v>B1-126-00086</v>
      </c>
    </row>
    <row r="56" spans="1:25">
      <c r="A56" s="63" t="str">
        <f>'RAW DATA 2023'!B49</f>
        <v>Petchburi5</v>
      </c>
      <c r="B56" s="63" t="str">
        <f>'RAW DATA 2023'!D49</f>
        <v>B1-115-0008</v>
      </c>
      <c r="C56" s="63" t="str">
        <f t="shared" si="0"/>
        <v>Petchburi5B1-115-0008</v>
      </c>
      <c r="D56" s="63">
        <f>VLOOKUP(C56,'RAW DATA 2023'!E:BP,63,0)</f>
        <v>9</v>
      </c>
      <c r="E56" s="63" t="str">
        <f t="shared" si="1"/>
        <v>Petchburi59</v>
      </c>
      <c r="F56" s="63">
        <f>ROUND(VLOOKUP(C56,'RAW DATA 2023'!E:BO,23,0),0)</f>
        <v>33</v>
      </c>
      <c r="G56" s="120">
        <f>VLOOKUP(C56,'RAW DATA 2023'!E:BO,26,0)</f>
        <v>0.36669549200000001</v>
      </c>
      <c r="H56" s="101">
        <f>IFERROR(VLOOKUP(F56,STD!B:G,6,0),"")</f>
        <v>0.39</v>
      </c>
      <c r="I56" s="100">
        <f t="shared" si="2"/>
        <v>0.94024485128205126</v>
      </c>
      <c r="J56" s="249">
        <f t="shared" si="4"/>
        <v>8.8048970256410257</v>
      </c>
      <c r="K56" s="63">
        <f>VLOOKUP(C56,'RAW DATA 2023'!E:BO,20,0)</f>
        <v>123.00000000000001</v>
      </c>
      <c r="L56" s="322">
        <f t="shared" si="5"/>
        <v>1083.0023341538463</v>
      </c>
      <c r="M56" s="63"/>
      <c r="Y56" s="63" t="str">
        <f t="shared" si="3"/>
        <v>B1-115-00089</v>
      </c>
    </row>
    <row r="57" spans="1:25">
      <c r="A57" s="63" t="str">
        <f>'RAW DATA 2023'!B50</f>
        <v>Petchburi5</v>
      </c>
      <c r="B57" s="63" t="str">
        <f>'RAW DATA 2023'!D50</f>
        <v>B1-125-0007</v>
      </c>
      <c r="C57" s="63" t="str">
        <f t="shared" si="0"/>
        <v>Petchburi5B1-125-0007</v>
      </c>
      <c r="D57" s="63">
        <f>VLOOKUP(C57,'RAW DATA 2023'!E:BP,63,0)</f>
        <v>2</v>
      </c>
      <c r="E57" s="63" t="str">
        <f t="shared" si="1"/>
        <v>Petchburi52</v>
      </c>
      <c r="F57" s="63">
        <f>ROUND(VLOOKUP(C57,'RAW DATA 2023'!E:BO,23,0),0)</f>
        <v>29</v>
      </c>
      <c r="G57" s="120">
        <f>VLOOKUP(C57,'RAW DATA 2023'!E:BO,26,0)</f>
        <v>0.36536975100000002</v>
      </c>
      <c r="H57" s="101">
        <f>IFERROR(VLOOKUP(F57,STD!B:G,6,0),"")</f>
        <v>0.4</v>
      </c>
      <c r="I57" s="100">
        <f t="shared" si="2"/>
        <v>0.91342437750000005</v>
      </c>
      <c r="J57" s="249">
        <f t="shared" si="4"/>
        <v>8.2684875500000015</v>
      </c>
      <c r="K57" s="63">
        <f>VLOOKUP(C57,'RAW DATA 2023'!E:BO,20,0)</f>
        <v>117</v>
      </c>
      <c r="L57" s="322">
        <f t="shared" si="5"/>
        <v>967.41304335000018</v>
      </c>
      <c r="M57" s="63"/>
      <c r="Y57" s="63" t="str">
        <f t="shared" si="3"/>
        <v>B1-125-00072</v>
      </c>
    </row>
    <row r="58" spans="1:25">
      <c r="A58" s="63" t="str">
        <f>'RAW DATA 2023'!B51</f>
        <v>Petchburi5</v>
      </c>
      <c r="B58" s="63" t="str">
        <f>'RAW DATA 2023'!D51</f>
        <v>B1-127-0007</v>
      </c>
      <c r="C58" s="63" t="str">
        <f t="shared" si="0"/>
        <v>Petchburi5B1-127-0007</v>
      </c>
      <c r="D58" s="63">
        <f>VLOOKUP(C58,'RAW DATA 2023'!E:BP,63,0)</f>
        <v>1</v>
      </c>
      <c r="E58" s="63" t="str">
        <f t="shared" si="1"/>
        <v>Petchburi51</v>
      </c>
      <c r="F58" s="63">
        <f>ROUND(VLOOKUP(C58,'RAW DATA 2023'!E:BO,23,0),0)</f>
        <v>29</v>
      </c>
      <c r="G58" s="120">
        <f>VLOOKUP(C58,'RAW DATA 2023'!E:BO,26,0)</f>
        <v>0.34896358500000002</v>
      </c>
      <c r="H58" s="101">
        <f>IFERROR(VLOOKUP(F58,STD!B:G,6,0),"")</f>
        <v>0.4</v>
      </c>
      <c r="I58" s="100">
        <f t="shared" si="2"/>
        <v>0.8724089625</v>
      </c>
      <c r="J58" s="249">
        <f t="shared" si="4"/>
        <v>7.4481792499999999</v>
      </c>
      <c r="K58" s="63">
        <f>VLOOKUP(C58,'RAW DATA 2023'!E:BO,20,0)</f>
        <v>102</v>
      </c>
      <c r="L58" s="322">
        <f t="shared" si="5"/>
        <v>759.71428349999996</v>
      </c>
      <c r="M58" s="63"/>
      <c r="Y58" s="63" t="str">
        <f t="shared" si="3"/>
        <v>B1-127-00071</v>
      </c>
    </row>
    <row r="59" spans="1:25">
      <c r="A59" s="63" t="str">
        <f>'RAW DATA 2023'!B52</f>
        <v>Petchburi5</v>
      </c>
      <c r="B59" s="63" t="str">
        <f>'RAW DATA 2023'!D52</f>
        <v>B1-127-0008</v>
      </c>
      <c r="C59" s="63" t="str">
        <f t="shared" si="0"/>
        <v>Petchburi5B1-127-0008</v>
      </c>
      <c r="D59" s="63">
        <f>VLOOKUP(C59,'RAW DATA 2023'!E:BP,63,0)</f>
        <v>5</v>
      </c>
      <c r="E59" s="63" t="str">
        <f t="shared" si="1"/>
        <v>Petchburi55</v>
      </c>
      <c r="F59" s="63">
        <f>ROUND(VLOOKUP(C59,'RAW DATA 2023'!E:BO,23,0),0)</f>
        <v>34</v>
      </c>
      <c r="G59" s="120">
        <f>VLOOKUP(C59,'RAW DATA 2023'!E:BO,26,0)</f>
        <v>0.32898333299999999</v>
      </c>
      <c r="H59" s="101">
        <f>IFERROR(VLOOKUP(F59,STD!B:G,6,0),"")</f>
        <v>0.38</v>
      </c>
      <c r="I59" s="100">
        <f t="shared" si="2"/>
        <v>0.86574561315789467</v>
      </c>
      <c r="J59" s="249">
        <f t="shared" si="4"/>
        <v>7.3149122631578933</v>
      </c>
      <c r="K59" s="63">
        <f>VLOOKUP(C59,'RAW DATA 2023'!E:BO,20,0)</f>
        <v>100</v>
      </c>
      <c r="L59" s="322">
        <f t="shared" si="5"/>
        <v>731.49122631578939</v>
      </c>
      <c r="M59" s="63"/>
      <c r="Y59" s="63" t="str">
        <f t="shared" si="3"/>
        <v>B1-127-00085</v>
      </c>
    </row>
    <row r="60" spans="1:25">
      <c r="A60" s="63" t="str">
        <f>'RAW DATA 2023'!B53</f>
        <v>Petchburi5</v>
      </c>
      <c r="B60" s="63" t="str">
        <f>'RAW DATA 2023'!D53</f>
        <v>B1-116-0006</v>
      </c>
      <c r="C60" s="63" t="str">
        <f t="shared" si="0"/>
        <v>Petchburi5B1-116-0006</v>
      </c>
      <c r="D60" s="63">
        <f>VLOOKUP(C60,'RAW DATA 2023'!E:BP,63,0)</f>
        <v>4</v>
      </c>
      <c r="E60" s="63" t="str">
        <f t="shared" si="1"/>
        <v>Petchburi54</v>
      </c>
      <c r="F60" s="63">
        <f>ROUND(VLOOKUP(C60,'RAW DATA 2023'!E:BO,23,0),0)</f>
        <v>29</v>
      </c>
      <c r="G60" s="120">
        <f>VLOOKUP(C60,'RAW DATA 2023'!E:BO,26,0)</f>
        <v>0.32024500299999997</v>
      </c>
      <c r="H60" s="101">
        <f>IFERROR(VLOOKUP(F60,STD!B:G,6,0),"")</f>
        <v>0.4</v>
      </c>
      <c r="I60" s="100">
        <f t="shared" si="2"/>
        <v>0.8006125074999999</v>
      </c>
      <c r="J60" s="249">
        <f t="shared" si="4"/>
        <v>6.0122501499999981</v>
      </c>
      <c r="K60" s="63">
        <f>VLOOKUP(C60,'RAW DATA 2023'!E:BO,20,0)</f>
        <v>141</v>
      </c>
      <c r="L60" s="322">
        <f t="shared" si="5"/>
        <v>847.72727114999975</v>
      </c>
      <c r="M60" s="63"/>
      <c r="Y60" s="63" t="str">
        <f t="shared" si="3"/>
        <v>B1-116-00064</v>
      </c>
    </row>
    <row r="61" spans="1:25">
      <c r="A61" s="63" t="str">
        <f>'RAW DATA 2023'!B54</f>
        <v>Petchburi5</v>
      </c>
      <c r="B61" s="63" t="str">
        <f>'RAW DATA 2023'!D54</f>
        <v>B1-115-0007</v>
      </c>
      <c r="C61" s="63" t="str">
        <f t="shared" si="0"/>
        <v>Petchburi5B1-115-0007</v>
      </c>
      <c r="D61" s="63">
        <f>VLOOKUP(C61,'RAW DATA 2023'!E:BP,63,0)</f>
        <v>4</v>
      </c>
      <c r="E61" s="63" t="str">
        <f t="shared" si="1"/>
        <v>Petchburi54</v>
      </c>
      <c r="F61" s="63">
        <f>ROUND(VLOOKUP(C61,'RAW DATA 2023'!E:BO,23,0),0)</f>
        <v>28</v>
      </c>
      <c r="G61" s="120">
        <f>VLOOKUP(C61,'RAW DATA 2023'!E:BO,26,0)</f>
        <v>0.311825397</v>
      </c>
      <c r="H61" s="101">
        <f>IFERROR(VLOOKUP(F61,STD!B:G,6,0),"")</f>
        <v>0.41</v>
      </c>
      <c r="I61" s="100">
        <f t="shared" si="2"/>
        <v>0.76054974878048787</v>
      </c>
      <c r="J61" s="249">
        <f t="shared" si="4"/>
        <v>5.2109949756097578</v>
      </c>
      <c r="K61" s="63">
        <f>VLOOKUP(C61,'RAW DATA 2023'!E:BO,20,0)</f>
        <v>126</v>
      </c>
      <c r="L61" s="322">
        <f t="shared" si="5"/>
        <v>656.58536692682947</v>
      </c>
      <c r="M61" s="63"/>
      <c r="Y61" s="63" t="str">
        <f t="shared" si="3"/>
        <v>B1-115-00074</v>
      </c>
    </row>
    <row r="62" spans="1:25">
      <c r="A62" s="63" t="str">
        <f>'RAW DATA 2023'!B55</f>
        <v>Petchburi5</v>
      </c>
      <c r="B62" s="63" t="str">
        <f>'RAW DATA 2023'!D55</f>
        <v>B1-124-0007</v>
      </c>
      <c r="C62" s="63" t="str">
        <f t="shared" si="0"/>
        <v>Petchburi5B1-124-0007</v>
      </c>
      <c r="D62" s="63">
        <f>VLOOKUP(C62,'RAW DATA 2023'!E:BP,63,0)</f>
        <v>3</v>
      </c>
      <c r="E62" s="63" t="str">
        <f t="shared" si="1"/>
        <v>Petchburi53</v>
      </c>
      <c r="F62" s="63">
        <f>ROUND(VLOOKUP(C62,'RAW DATA 2023'!E:BO,23,0),0)</f>
        <v>29</v>
      </c>
      <c r="G62" s="120">
        <f>VLOOKUP(C62,'RAW DATA 2023'!E:BO,26,0)</f>
        <v>0.29972981199999998</v>
      </c>
      <c r="H62" s="101">
        <f>IFERROR(VLOOKUP(F62,STD!B:G,6,0),"")</f>
        <v>0.4</v>
      </c>
      <c r="I62" s="100">
        <f t="shared" si="2"/>
        <v>0.74932452999999988</v>
      </c>
      <c r="J62" s="249">
        <f t="shared" si="4"/>
        <v>4.986490599999998</v>
      </c>
      <c r="K62" s="63">
        <f>VLOOKUP(C62,'RAW DATA 2023'!E:BO,20,0)</f>
        <v>122</v>
      </c>
      <c r="L62" s="322">
        <f t="shared" si="5"/>
        <v>608.35185319999971</v>
      </c>
      <c r="M62" s="63"/>
      <c r="Y62" s="63" t="str">
        <f t="shared" si="3"/>
        <v>B1-124-00073</v>
      </c>
    </row>
    <row r="63" spans="1:25">
      <c r="A63" s="63" t="str">
        <f>'RAW DATA 2023'!B56</f>
        <v>Petchburi5</v>
      </c>
      <c r="B63" s="63" t="str">
        <f>'RAW DATA 2023'!D56</f>
        <v>B1-126-0007</v>
      </c>
      <c r="C63" s="63" t="str">
        <f t="shared" si="0"/>
        <v>Petchburi5B1-126-0007</v>
      </c>
      <c r="D63" s="63">
        <f>VLOOKUP(C63,'RAW DATA 2023'!E:BP,63,0)</f>
        <v>3</v>
      </c>
      <c r="E63" s="63" t="str">
        <f t="shared" si="1"/>
        <v>Petchburi53</v>
      </c>
      <c r="F63" s="63">
        <f>ROUND(VLOOKUP(C63,'RAW DATA 2023'!E:BO,23,0),0)</f>
        <v>36</v>
      </c>
      <c r="G63" s="120">
        <f>VLOOKUP(C63,'RAW DATA 2023'!E:BO,26,0)</f>
        <v>0.28800058699999997</v>
      </c>
      <c r="H63" s="101">
        <f>IFERROR(VLOOKUP(F63,STD!B:G,6,0),"")</f>
        <v>0.36</v>
      </c>
      <c r="I63" s="100">
        <f t="shared" si="2"/>
        <v>0.80000163055555551</v>
      </c>
      <c r="J63" s="249">
        <f t="shared" si="4"/>
        <v>6.0000326111111102</v>
      </c>
      <c r="K63" s="63">
        <f>VLOOKUP(C63,'RAW DATA 2023'!E:BO,20,0)</f>
        <v>110</v>
      </c>
      <c r="L63" s="322">
        <f t="shared" si="5"/>
        <v>660.00358722222211</v>
      </c>
      <c r="M63" s="63"/>
      <c r="Y63" s="63" t="str">
        <f t="shared" si="3"/>
        <v>B1-126-00073</v>
      </c>
    </row>
    <row r="64" spans="1:25">
      <c r="A64" s="63" t="str">
        <f>'RAW DATA 2023'!B57</f>
        <v>Petchburi5</v>
      </c>
      <c r="B64" s="63" t="str">
        <f>'RAW DATA 2023'!D57</f>
        <v>B1-115-0009</v>
      </c>
      <c r="C64" s="63" t="str">
        <f t="shared" si="0"/>
        <v>Petchburi5B1-115-0009</v>
      </c>
      <c r="D64" s="63">
        <f>VLOOKUP(C64,'RAW DATA 2023'!E:BP,63,0)</f>
        <v>12</v>
      </c>
      <c r="E64" s="63" t="str">
        <f t="shared" si="1"/>
        <v>Petchburi512</v>
      </c>
      <c r="F64" s="63">
        <f>ROUND(VLOOKUP(C64,'RAW DATA 2023'!E:BO,23,0),0)</f>
        <v>34</v>
      </c>
      <c r="G64" s="120">
        <f>VLOOKUP(C64,'RAW DATA 2023'!E:BO,26,0)</f>
        <v>0.38960317500000002</v>
      </c>
      <c r="H64" s="101">
        <f>IFERROR(VLOOKUP(F64,STD!B:G,6,0),"")</f>
        <v>0.38</v>
      </c>
      <c r="I64" s="100">
        <f t="shared" si="2"/>
        <v>1.0252715131578949</v>
      </c>
      <c r="J64" s="249">
        <f t="shared" si="4"/>
        <v>10.505430263157898</v>
      </c>
      <c r="K64" s="63">
        <f>VLOOKUP(C64,'RAW DATA 2023'!E:BO,20,0)</f>
        <v>90</v>
      </c>
      <c r="L64" s="322">
        <f t="shared" si="5"/>
        <v>945.48872368421075</v>
      </c>
      <c r="M64" s="63"/>
      <c r="Y64" s="63" t="str">
        <f t="shared" si="3"/>
        <v>B1-115-000912</v>
      </c>
    </row>
    <row r="65" spans="1:25">
      <c r="A65" s="63" t="str">
        <f>'RAW DATA 2023'!B58</f>
        <v>Petchburi5</v>
      </c>
      <c r="B65" s="63" t="str">
        <f>'RAW DATA 2023'!D58</f>
        <v>B1-116-0008</v>
      </c>
      <c r="C65" s="63" t="str">
        <f t="shared" si="0"/>
        <v>Petchburi5B1-116-0008</v>
      </c>
      <c r="D65" s="63">
        <f>VLOOKUP(C65,'RAW DATA 2023'!E:BP,63,0)</f>
        <v>12</v>
      </c>
      <c r="E65" s="63" t="str">
        <f t="shared" si="1"/>
        <v>Petchburi512</v>
      </c>
      <c r="F65" s="63">
        <f>ROUND(VLOOKUP(C65,'RAW DATA 2023'!E:BO,23,0),0)</f>
        <v>49</v>
      </c>
      <c r="G65" s="120">
        <f>VLOOKUP(C65,'RAW DATA 2023'!E:BO,26,0)</f>
        <v>0.32876344099999999</v>
      </c>
      <c r="H65" s="101">
        <f>IFERROR(VLOOKUP(F65,STD!B:G,6,0),"")</f>
        <v>0.36</v>
      </c>
      <c r="I65" s="100">
        <f t="shared" si="2"/>
        <v>0.91323178055555554</v>
      </c>
      <c r="J65" s="249">
        <f t="shared" si="4"/>
        <v>8.2646356111111103</v>
      </c>
      <c r="K65" s="63">
        <f>VLOOKUP(C65,'RAW DATA 2023'!E:BO,20,0)</f>
        <v>61.999999999999993</v>
      </c>
      <c r="L65" s="322">
        <f t="shared" si="5"/>
        <v>512.40740788888877</v>
      </c>
      <c r="M65" s="63"/>
      <c r="Y65" s="63" t="str">
        <f t="shared" si="3"/>
        <v>B1-116-000812</v>
      </c>
    </row>
    <row r="66" spans="1:25">
      <c r="A66" s="63" t="str">
        <f>'RAW DATA 2023'!B59</f>
        <v>Petchburi5</v>
      </c>
      <c r="B66" s="63" t="str">
        <f>'RAW DATA 2023'!D59</f>
        <v>AG-002-0013</v>
      </c>
      <c r="C66" s="63" t="str">
        <f t="shared" si="0"/>
        <v>Petchburi5AG-002-0013</v>
      </c>
      <c r="D66" s="63">
        <f>VLOOKUP(C66,'RAW DATA 2023'!E:BP,63,0)</f>
        <v>8</v>
      </c>
      <c r="E66" s="63" t="str">
        <f t="shared" si="1"/>
        <v>Petchburi58</v>
      </c>
      <c r="F66" s="63">
        <f>ROUND(VLOOKUP(C66,'RAW DATA 2023'!E:BO,23,0),0)</f>
        <v>29</v>
      </c>
      <c r="G66" s="120">
        <f>VLOOKUP(C66,'RAW DATA 2023'!E:BO,26,0)</f>
        <v>0.43001304899999993</v>
      </c>
      <c r="H66" s="101">
        <f>IFERROR(VLOOKUP(F66,STD!B:G,6,0),"")</f>
        <v>0.4</v>
      </c>
      <c r="I66" s="100">
        <f t="shared" si="2"/>
        <v>1.0750326224999998</v>
      </c>
      <c r="J66" s="249">
        <f t="shared" si="4"/>
        <v>11.500652449999995</v>
      </c>
      <c r="K66" s="63">
        <f>VLOOKUP(C66,'RAW DATA 2023'!E:BO,20,0)</f>
        <v>121</v>
      </c>
      <c r="L66" s="322">
        <f t="shared" si="5"/>
        <v>1391.5789464499994</v>
      </c>
      <c r="M66" s="63"/>
      <c r="Y66" s="63" t="str">
        <f t="shared" si="3"/>
        <v>AG-002-00138</v>
      </c>
    </row>
    <row r="67" spans="1:25">
      <c r="A67" s="63" t="str">
        <f>'RAW DATA 2023'!B60</f>
        <v>Petchburi5</v>
      </c>
      <c r="B67" s="63" t="str">
        <f>'RAW DATA 2023'!D60</f>
        <v>AG-003-0011</v>
      </c>
      <c r="C67" s="63" t="str">
        <f t="shared" si="0"/>
        <v>Petchburi5AG-003-0011</v>
      </c>
      <c r="D67" s="63">
        <f>VLOOKUP(C67,'RAW DATA 2023'!E:BP,63,0)</f>
        <v>1</v>
      </c>
      <c r="E67" s="63" t="str">
        <f t="shared" si="1"/>
        <v>Petchburi51</v>
      </c>
      <c r="F67" s="63">
        <f>ROUND(VLOOKUP(C67,'RAW DATA 2023'!E:BO,23,0),0)</f>
        <v>27</v>
      </c>
      <c r="G67" s="120">
        <f>VLOOKUP(C67,'RAW DATA 2023'!E:BO,26,0)</f>
        <v>0.42152542399999998</v>
      </c>
      <c r="H67" s="101">
        <f>IFERROR(VLOOKUP(F67,STD!B:G,6,0),"")</f>
        <v>0.39</v>
      </c>
      <c r="I67" s="100">
        <f t="shared" si="2"/>
        <v>1.0808344205128204</v>
      </c>
      <c r="J67" s="249">
        <f t="shared" si="4"/>
        <v>11.616688410256408</v>
      </c>
      <c r="K67" s="63">
        <f>VLOOKUP(C67,'RAW DATA 2023'!E:BO,20,0)</f>
        <v>118</v>
      </c>
      <c r="L67" s="322">
        <f t="shared" si="5"/>
        <v>1370.7692324102561</v>
      </c>
      <c r="M67" s="63"/>
      <c r="Y67" s="63" t="str">
        <f t="shared" si="3"/>
        <v>AG-003-00111</v>
      </c>
    </row>
    <row r="68" spans="1:25">
      <c r="A68" s="63" t="str">
        <f>'RAW DATA 2023'!B61</f>
        <v>Petchburi5</v>
      </c>
      <c r="B68" s="63" t="str">
        <f>'RAW DATA 2023'!D61</f>
        <v>AG-006-0010</v>
      </c>
      <c r="C68" s="63" t="str">
        <f t="shared" si="0"/>
        <v>Petchburi5AG-006-0010</v>
      </c>
      <c r="D68" s="63">
        <f>VLOOKUP(C68,'RAW DATA 2023'!E:BP,63,0)</f>
        <v>1</v>
      </c>
      <c r="E68" s="63" t="str">
        <f t="shared" si="1"/>
        <v>Petchburi51</v>
      </c>
      <c r="F68" s="63">
        <f>ROUND(VLOOKUP(C68,'RAW DATA 2023'!E:BO,23,0),0)</f>
        <v>29</v>
      </c>
      <c r="G68" s="120">
        <f>VLOOKUP(C68,'RAW DATA 2023'!E:BO,26,0)</f>
        <v>0.40354420099999999</v>
      </c>
      <c r="H68" s="101">
        <f>IFERROR(VLOOKUP(F68,STD!B:G,6,0),"")</f>
        <v>0.4</v>
      </c>
      <c r="I68" s="100">
        <f t="shared" si="2"/>
        <v>1.0088605024999999</v>
      </c>
      <c r="J68" s="249">
        <f t="shared" si="4"/>
        <v>10.177210049999999</v>
      </c>
      <c r="K68" s="63">
        <f>VLOOKUP(C68,'RAW DATA 2023'!E:BO,20,0)</f>
        <v>137</v>
      </c>
      <c r="L68" s="322">
        <f t="shared" si="5"/>
        <v>1394.27777685</v>
      </c>
      <c r="M68" s="63"/>
      <c r="Y68" s="63" t="str">
        <f t="shared" si="3"/>
        <v>AG-006-00101</v>
      </c>
    </row>
    <row r="69" spans="1:25">
      <c r="A69" s="63" t="str">
        <f>'RAW DATA 2023'!B62</f>
        <v>Petchburi5</v>
      </c>
      <c r="B69" s="63" t="str">
        <f>'RAW DATA 2023'!D62</f>
        <v>AG-006-0012</v>
      </c>
      <c r="C69" s="63" t="str">
        <f t="shared" si="0"/>
        <v>Petchburi5AG-006-0012</v>
      </c>
      <c r="D69" s="63">
        <f>VLOOKUP(C69,'RAW DATA 2023'!E:BP,63,0)</f>
        <v>10</v>
      </c>
      <c r="E69" s="63" t="str">
        <f t="shared" si="1"/>
        <v>Petchburi510</v>
      </c>
      <c r="F69" s="63">
        <f>ROUND(VLOOKUP(C69,'RAW DATA 2023'!E:BO,23,0),0)</f>
        <v>35</v>
      </c>
      <c r="G69" s="120">
        <f>VLOOKUP(C69,'RAW DATA 2023'!E:BO,26,0)</f>
        <v>0.39109250400000001</v>
      </c>
      <c r="H69" s="101">
        <f>IFERROR(VLOOKUP(F69,STD!B:G,6,0),"")</f>
        <v>0.37</v>
      </c>
      <c r="I69" s="100">
        <f t="shared" si="2"/>
        <v>1.0570067675675676</v>
      </c>
      <c r="J69" s="249">
        <f t="shared" si="4"/>
        <v>11.140135351351352</v>
      </c>
      <c r="K69" s="63">
        <f>VLOOKUP(C69,'RAW DATA 2023'!E:BO,20,0)</f>
        <v>114.00000000000001</v>
      </c>
      <c r="L69" s="322">
        <f t="shared" si="5"/>
        <v>1269.9754300540544</v>
      </c>
      <c r="M69" s="63"/>
      <c r="Y69" s="63" t="str">
        <f t="shared" si="3"/>
        <v>AG-006-001210</v>
      </c>
    </row>
    <row r="70" spans="1:25">
      <c r="A70" s="63" t="str">
        <f>'RAW DATA 2023'!B63</f>
        <v>Petchburi5</v>
      </c>
      <c r="B70" s="63" t="str">
        <f>'RAW DATA 2023'!D63</f>
        <v>AG-001-0013</v>
      </c>
      <c r="C70" s="63" t="str">
        <f t="shared" si="0"/>
        <v>Petchburi5AG-001-0013</v>
      </c>
      <c r="D70" s="63">
        <f>VLOOKUP(C70,'RAW DATA 2023'!E:BP,63,0)</f>
        <v>6</v>
      </c>
      <c r="E70" s="63" t="str">
        <f t="shared" si="1"/>
        <v>Petchburi56</v>
      </c>
      <c r="F70" s="63">
        <f>ROUND(VLOOKUP(C70,'RAW DATA 2023'!E:BO,23,0),0)</f>
        <v>44</v>
      </c>
      <c r="G70" s="120">
        <f>VLOOKUP(C70,'RAW DATA 2023'!E:BO,26,0)</f>
        <v>0.37092682899999996</v>
      </c>
      <c r="H70" s="101">
        <f>IFERROR(VLOOKUP(F70,STD!B:G,6,0),"")</f>
        <v>0.37</v>
      </c>
      <c r="I70" s="100">
        <f t="shared" si="2"/>
        <v>1.0025049432432431</v>
      </c>
      <c r="J70" s="249">
        <f t="shared" si="4"/>
        <v>10.050098864864863</v>
      </c>
      <c r="K70" s="63">
        <f>VLOOKUP(C70,'RAW DATA 2023'!E:BO,20,0)</f>
        <v>65</v>
      </c>
      <c r="L70" s="322">
        <f t="shared" si="5"/>
        <v>653.25642621621603</v>
      </c>
      <c r="M70" s="63"/>
      <c r="Y70" s="63" t="str">
        <f t="shared" si="3"/>
        <v>AG-001-00136</v>
      </c>
    </row>
    <row r="71" spans="1:25">
      <c r="A71" s="63" t="str">
        <f>'RAW DATA 2023'!B64</f>
        <v>Petchburi5</v>
      </c>
      <c r="B71" s="63" t="str">
        <f>'RAW DATA 2023'!D64</f>
        <v>AG-001-0014</v>
      </c>
      <c r="C71" s="63" t="str">
        <f t="shared" si="0"/>
        <v>Petchburi5AG-001-0014</v>
      </c>
      <c r="D71" s="63">
        <f>VLOOKUP(C71,'RAW DATA 2023'!E:BP,63,0)</f>
        <v>11</v>
      </c>
      <c r="E71" s="63" t="str">
        <f t="shared" si="1"/>
        <v>Petchburi511</v>
      </c>
      <c r="F71" s="63">
        <f>ROUND(VLOOKUP(C71,'RAW DATA 2023'!E:BO,23,0),0)</f>
        <v>33</v>
      </c>
      <c r="G71" s="120">
        <f>VLOOKUP(C71,'RAW DATA 2023'!E:BO,26,0)</f>
        <v>0.36423292699999998</v>
      </c>
      <c r="H71" s="101">
        <f>IFERROR(VLOOKUP(F71,STD!B:G,6,0),"")</f>
        <v>0.39</v>
      </c>
      <c r="I71" s="100">
        <f t="shared" si="2"/>
        <v>0.93393058205128199</v>
      </c>
      <c r="J71" s="249">
        <f t="shared" si="4"/>
        <v>8.6786116410256398</v>
      </c>
      <c r="K71" s="63">
        <f>VLOOKUP(C71,'RAW DATA 2023'!E:BO,20,0)</f>
        <v>129</v>
      </c>
      <c r="L71" s="322">
        <f t="shared" si="5"/>
        <v>1119.5409016923074</v>
      </c>
      <c r="M71" s="63"/>
      <c r="Y71" s="63" t="str">
        <f t="shared" si="3"/>
        <v>AG-001-001411</v>
      </c>
    </row>
    <row r="72" spans="1:25">
      <c r="A72" s="63" t="str">
        <f>'RAW DATA 2023'!B65</f>
        <v>Petchburi5</v>
      </c>
      <c r="B72" s="63" t="str">
        <f>'RAW DATA 2023'!D65</f>
        <v>AG-004-0012</v>
      </c>
      <c r="C72" s="63" t="str">
        <f t="shared" si="0"/>
        <v>Petchburi5AG-004-0012</v>
      </c>
      <c r="D72" s="63">
        <f>VLOOKUP(C72,'RAW DATA 2023'!E:BP,63,0)</f>
        <v>10</v>
      </c>
      <c r="E72" s="63" t="str">
        <f t="shared" si="1"/>
        <v>Petchburi510</v>
      </c>
      <c r="F72" s="63">
        <f>ROUND(VLOOKUP(C72,'RAW DATA 2023'!E:BO,23,0),0)</f>
        <v>39</v>
      </c>
      <c r="G72" s="120">
        <f>VLOOKUP(C72,'RAW DATA 2023'!E:BO,26,0)</f>
        <v>0.35196909799999998</v>
      </c>
      <c r="H72" s="101">
        <f>IFERROR(VLOOKUP(F72,STD!B:G,6,0),"")</f>
        <v>0.37</v>
      </c>
      <c r="I72" s="100">
        <f t="shared" si="2"/>
        <v>0.9512678324324324</v>
      </c>
      <c r="J72" s="249">
        <f t="shared" si="4"/>
        <v>9.0253566486486481</v>
      </c>
      <c r="K72" s="63">
        <f>VLOOKUP(C72,'RAW DATA 2023'!E:BO,20,0)</f>
        <v>121</v>
      </c>
      <c r="L72" s="322">
        <f t="shared" si="5"/>
        <v>1092.0681544864865</v>
      </c>
      <c r="M72" s="63"/>
      <c r="Y72" s="63" t="str">
        <f t="shared" si="3"/>
        <v>AG-004-001210</v>
      </c>
    </row>
    <row r="73" spans="1:25">
      <c r="A73" s="63" t="str">
        <f>'RAW DATA 2023'!B66</f>
        <v>Petchburi5</v>
      </c>
      <c r="B73" s="63" t="str">
        <f>'RAW DATA 2023'!D66</f>
        <v>AG-001-0012</v>
      </c>
      <c r="C73" s="63" t="str">
        <f t="shared" si="0"/>
        <v>Petchburi5AG-001-0012</v>
      </c>
      <c r="D73" s="63">
        <f>VLOOKUP(C73,'RAW DATA 2023'!E:BP,63,0)</f>
        <v>3</v>
      </c>
      <c r="E73" s="63" t="str">
        <f t="shared" si="1"/>
        <v>Petchburi53</v>
      </c>
      <c r="F73" s="63">
        <f>ROUND(VLOOKUP(C73,'RAW DATA 2023'!E:BO,23,0),0)</f>
        <v>30</v>
      </c>
      <c r="G73" s="120">
        <f>VLOOKUP(C73,'RAW DATA 2023'!E:BO,26,0)</f>
        <v>0.349498056</v>
      </c>
      <c r="H73" s="101">
        <f>IFERROR(VLOOKUP(F73,STD!B:G,6,0),"")</f>
        <v>0.39</v>
      </c>
      <c r="I73" s="100">
        <f t="shared" si="2"/>
        <v>0.89614886153846152</v>
      </c>
      <c r="J73" s="249">
        <f t="shared" si="4"/>
        <v>7.9229772307692308</v>
      </c>
      <c r="K73" s="63">
        <f>VLOOKUP(C73,'RAW DATA 2023'!E:BO,20,0)</f>
        <v>123.00000000000001</v>
      </c>
      <c r="L73" s="322">
        <f t="shared" si="5"/>
        <v>974.52619938461555</v>
      </c>
      <c r="M73" s="63"/>
      <c r="Y73" s="63" t="str">
        <f t="shared" si="3"/>
        <v>AG-001-00123</v>
      </c>
    </row>
    <row r="74" spans="1:25">
      <c r="A74" s="63" t="str">
        <f>'RAW DATA 2023'!B67</f>
        <v>Petchburi5</v>
      </c>
      <c r="B74" s="63" t="str">
        <f>'RAW DATA 2023'!D67</f>
        <v>AG-003-0012</v>
      </c>
      <c r="C74" s="63" t="str">
        <f t="shared" ref="C74:C137" si="6">A74&amp;B74</f>
        <v>Petchburi5AG-003-0012</v>
      </c>
      <c r="D74" s="63">
        <f>VLOOKUP(C74,'RAW DATA 2023'!E:BP,63,0)</f>
        <v>6</v>
      </c>
      <c r="E74" s="63" t="str">
        <f t="shared" ref="E74:E137" si="7">A74&amp;D74</f>
        <v>Petchburi56</v>
      </c>
      <c r="F74" s="63">
        <f>ROUND(VLOOKUP(C74,'RAW DATA 2023'!E:BO,23,0),0)</f>
        <v>30</v>
      </c>
      <c r="G74" s="120">
        <f>VLOOKUP(C74,'RAW DATA 2023'!E:BO,26,0)</f>
        <v>0.34718881099999999</v>
      </c>
      <c r="H74" s="101">
        <f>IFERROR(VLOOKUP(F74,STD!B:G,6,0),"")</f>
        <v>0.39</v>
      </c>
      <c r="I74" s="100">
        <f t="shared" ref="I74:I137" si="8">IFERROR(G74/H74,0)</f>
        <v>0.8902277205128204</v>
      </c>
      <c r="J74" s="249">
        <f t="shared" si="4"/>
        <v>7.8045544102564079</v>
      </c>
      <c r="K74" s="63">
        <f>VLOOKUP(C74,'RAW DATA 2023'!E:BO,20,0)</f>
        <v>130</v>
      </c>
      <c r="L74" s="322">
        <f t="shared" si="5"/>
        <v>1014.592073333333</v>
      </c>
      <c r="M74" s="63"/>
      <c r="Y74" s="63" t="str">
        <f t="shared" ref="Y74:Y137" si="9">B74&amp;D74</f>
        <v>AG-003-00126</v>
      </c>
    </row>
    <row r="75" spans="1:25">
      <c r="A75" s="63" t="str">
        <f>'RAW DATA 2023'!B68</f>
        <v>Petchburi5</v>
      </c>
      <c r="B75" s="63" t="str">
        <f>'RAW DATA 2023'!D68</f>
        <v>AG-005-0012</v>
      </c>
      <c r="C75" s="63" t="str">
        <f t="shared" si="6"/>
        <v>Petchburi5AG-005-0012</v>
      </c>
      <c r="D75" s="63">
        <f>VLOOKUP(C75,'RAW DATA 2023'!E:BP,63,0)</f>
        <v>10</v>
      </c>
      <c r="E75" s="63" t="str">
        <f t="shared" si="7"/>
        <v>Petchburi510</v>
      </c>
      <c r="F75" s="63">
        <f>ROUND(VLOOKUP(C75,'RAW DATA 2023'!E:BO,23,0),0)</f>
        <v>32</v>
      </c>
      <c r="G75" s="120">
        <f>VLOOKUP(C75,'RAW DATA 2023'!E:BO,26,0)</f>
        <v>0.34595804200000002</v>
      </c>
      <c r="H75" s="101">
        <f>IFERROR(VLOOKUP(F75,STD!B:G,6,0),"")</f>
        <v>0.39</v>
      </c>
      <c r="I75" s="100">
        <f t="shared" si="8"/>
        <v>0.88707190256410262</v>
      </c>
      <c r="J75" s="249">
        <f t="shared" ref="J75:J138" si="10">IF(I75&gt;0.5,((I75-$B$4)*$B$7),0)</f>
        <v>7.7414380512820529</v>
      </c>
      <c r="K75" s="63">
        <f>VLOOKUP(C75,'RAW DATA 2023'!E:BO,20,0)</f>
        <v>130</v>
      </c>
      <c r="L75" s="322">
        <f t="shared" ref="L75:L138" si="11">J75*K75</f>
        <v>1006.3869466666669</v>
      </c>
      <c r="M75" s="63"/>
      <c r="Y75" s="63" t="str">
        <f t="shared" si="9"/>
        <v>AG-005-001210</v>
      </c>
    </row>
    <row r="76" spans="1:25">
      <c r="A76" s="63" t="str">
        <f>'RAW DATA 2023'!B69</f>
        <v>Petchburi5</v>
      </c>
      <c r="B76" s="63" t="str">
        <f>'RAW DATA 2023'!D69</f>
        <v>AG-003-0013</v>
      </c>
      <c r="C76" s="63" t="str">
        <f t="shared" si="6"/>
        <v>Petchburi5AG-003-0013</v>
      </c>
      <c r="D76" s="63">
        <f>VLOOKUP(C76,'RAW DATA 2023'!E:BP,63,0)</f>
        <v>10</v>
      </c>
      <c r="E76" s="63" t="str">
        <f t="shared" si="7"/>
        <v>Petchburi510</v>
      </c>
      <c r="F76" s="63">
        <f>ROUND(VLOOKUP(C76,'RAW DATA 2023'!E:BO,23,0),0)</f>
        <v>35</v>
      </c>
      <c r="G76" s="120">
        <f>VLOOKUP(C76,'RAW DATA 2023'!E:BO,26,0)</f>
        <v>0.33770404700000001</v>
      </c>
      <c r="H76" s="101">
        <f>IFERROR(VLOOKUP(F76,STD!B:G,6,0),"")</f>
        <v>0.37</v>
      </c>
      <c r="I76" s="100">
        <f t="shared" si="8"/>
        <v>0.9127136405405406</v>
      </c>
      <c r="J76" s="249">
        <f t="shared" si="10"/>
        <v>8.2542728108108125</v>
      </c>
      <c r="K76" s="63">
        <f>VLOOKUP(C76,'RAW DATA 2023'!E:BO,20,0)</f>
        <v>108</v>
      </c>
      <c r="L76" s="322">
        <f t="shared" si="11"/>
        <v>891.46146356756776</v>
      </c>
      <c r="M76" s="63"/>
      <c r="Y76" s="63" t="str">
        <f t="shared" si="9"/>
        <v>AG-003-001310</v>
      </c>
    </row>
    <row r="77" spans="1:25">
      <c r="A77" s="63" t="str">
        <f>'RAW DATA 2023'!B70</f>
        <v>Petchburi5</v>
      </c>
      <c r="B77" s="63" t="str">
        <f>'RAW DATA 2023'!D70</f>
        <v>AG-002-0012</v>
      </c>
      <c r="C77" s="63" t="str">
        <f t="shared" si="6"/>
        <v>Petchburi5AG-002-0012</v>
      </c>
      <c r="D77" s="63">
        <f>VLOOKUP(C77,'RAW DATA 2023'!E:BP,63,0)</f>
        <v>4</v>
      </c>
      <c r="E77" s="63" t="str">
        <f t="shared" si="7"/>
        <v>Petchburi54</v>
      </c>
      <c r="F77" s="63">
        <f>ROUND(VLOOKUP(C77,'RAW DATA 2023'!E:BO,23,0),0)</f>
        <v>31</v>
      </c>
      <c r="G77" s="120">
        <f>VLOOKUP(C77,'RAW DATA 2023'!E:BO,26,0)</f>
        <v>0.33529891299999998</v>
      </c>
      <c r="H77" s="101">
        <f>IFERROR(VLOOKUP(F77,STD!B:G,6,0),"")</f>
        <v>0.39</v>
      </c>
      <c r="I77" s="100">
        <f t="shared" si="8"/>
        <v>0.85974080256410246</v>
      </c>
      <c r="J77" s="249">
        <f t="shared" si="10"/>
        <v>7.1948160512820492</v>
      </c>
      <c r="K77" s="63">
        <f>VLOOKUP(C77,'RAW DATA 2023'!E:BO,20,0)</f>
        <v>128</v>
      </c>
      <c r="L77" s="322">
        <f t="shared" si="11"/>
        <v>920.93645456410229</v>
      </c>
      <c r="M77" s="63"/>
      <c r="Y77" s="63" t="str">
        <f t="shared" si="9"/>
        <v>AG-002-00124</v>
      </c>
    </row>
    <row r="78" spans="1:25">
      <c r="A78" s="63" t="str">
        <f>'RAW DATA 2023'!B71</f>
        <v>Petchburi5</v>
      </c>
      <c r="B78" s="63" t="str">
        <f>'RAW DATA 2023'!D71</f>
        <v>AG-006-0011</v>
      </c>
      <c r="C78" s="63" t="str">
        <f t="shared" si="6"/>
        <v>Petchburi5AG-006-0011</v>
      </c>
      <c r="D78" s="63">
        <f>VLOOKUP(C78,'RAW DATA 2023'!E:BP,63,0)</f>
        <v>5</v>
      </c>
      <c r="E78" s="63" t="str">
        <f t="shared" si="7"/>
        <v>Petchburi55</v>
      </c>
      <c r="F78" s="63">
        <f>ROUND(VLOOKUP(C78,'RAW DATA 2023'!E:BO,23,0),0)</f>
        <v>32</v>
      </c>
      <c r="G78" s="120">
        <f>VLOOKUP(C78,'RAW DATA 2023'!E:BO,26,0)</f>
        <v>0.33387314400000001</v>
      </c>
      <c r="H78" s="101">
        <f>IFERROR(VLOOKUP(F78,STD!B:G,6,0),"")</f>
        <v>0.39</v>
      </c>
      <c r="I78" s="100">
        <f t="shared" si="8"/>
        <v>0.85608498461538463</v>
      </c>
      <c r="J78" s="249">
        <f t="shared" si="10"/>
        <v>7.1216996923076925</v>
      </c>
      <c r="K78" s="63">
        <f>VLOOKUP(C78,'RAW DATA 2023'!E:BO,20,0)</f>
        <v>114</v>
      </c>
      <c r="L78" s="322">
        <f t="shared" si="11"/>
        <v>811.87376492307692</v>
      </c>
      <c r="M78" s="63"/>
      <c r="Y78" s="63" t="str">
        <f t="shared" si="9"/>
        <v>AG-006-00115</v>
      </c>
    </row>
    <row r="79" spans="1:25">
      <c r="A79" s="63" t="str">
        <f>'RAW DATA 2023'!B72</f>
        <v>Petchburi5</v>
      </c>
      <c r="B79" s="63" t="str">
        <f>'RAW DATA 2023'!D72</f>
        <v>AG-004-0011</v>
      </c>
      <c r="C79" s="63" t="str">
        <f t="shared" si="6"/>
        <v>Petchburi5AG-004-0011</v>
      </c>
      <c r="D79" s="63">
        <f>VLOOKUP(C79,'RAW DATA 2023'!E:BP,63,0)</f>
        <v>5</v>
      </c>
      <c r="E79" s="63" t="str">
        <f t="shared" si="7"/>
        <v>Petchburi55</v>
      </c>
      <c r="F79" s="63">
        <f>ROUND(VLOOKUP(C79,'RAW DATA 2023'!E:BO,23,0),0)</f>
        <v>32</v>
      </c>
      <c r="G79" s="120">
        <f>VLOOKUP(C79,'RAW DATA 2023'!E:BO,26,0)</f>
        <v>0.30777639800000001</v>
      </c>
      <c r="H79" s="101">
        <f>IFERROR(VLOOKUP(F79,STD!B:G,6,0),"")</f>
        <v>0.39</v>
      </c>
      <c r="I79" s="100">
        <f t="shared" si="8"/>
        <v>0.78917025128205132</v>
      </c>
      <c r="J79" s="249">
        <f t="shared" si="10"/>
        <v>5.7834050256410263</v>
      </c>
      <c r="K79" s="63">
        <f>VLOOKUP(C79,'RAW DATA 2023'!E:BO,20,0)</f>
        <v>115</v>
      </c>
      <c r="L79" s="322">
        <f t="shared" si="11"/>
        <v>665.09157794871805</v>
      </c>
      <c r="M79" s="63"/>
      <c r="Y79" s="63" t="str">
        <f t="shared" si="9"/>
        <v>AG-004-00115</v>
      </c>
    </row>
    <row r="80" spans="1:25">
      <c r="A80" s="63" t="str">
        <f>'RAW DATA 2023'!B73</f>
        <v>Petchburi5</v>
      </c>
      <c r="B80" s="63" t="str">
        <f>'RAW DATA 2023'!D73</f>
        <v>AG-005-0011</v>
      </c>
      <c r="C80" s="63" t="str">
        <f t="shared" si="6"/>
        <v>Petchburi5AG-005-0011</v>
      </c>
      <c r="D80" s="63">
        <f>VLOOKUP(C80,'RAW DATA 2023'!E:BP,63,0)</f>
        <v>5</v>
      </c>
      <c r="E80" s="63" t="str">
        <f t="shared" si="7"/>
        <v>Petchburi55</v>
      </c>
      <c r="F80" s="63">
        <f>ROUND(VLOOKUP(C80,'RAW DATA 2023'!E:BO,23,0),0)</f>
        <v>33</v>
      </c>
      <c r="G80" s="120">
        <f>VLOOKUP(C80,'RAW DATA 2023'!E:BO,26,0)</f>
        <v>0.29760882500000002</v>
      </c>
      <c r="H80" s="101">
        <f>IFERROR(VLOOKUP(F80,STD!B:G,6,0),"")</f>
        <v>0.39</v>
      </c>
      <c r="I80" s="100">
        <f t="shared" si="8"/>
        <v>0.76309955128205131</v>
      </c>
      <c r="J80" s="249">
        <f t="shared" si="10"/>
        <v>5.2619910256410263</v>
      </c>
      <c r="K80" s="63">
        <f>VLOOKUP(C80,'RAW DATA 2023'!E:BO,20,0)</f>
        <v>129</v>
      </c>
      <c r="L80" s="322">
        <f t="shared" si="11"/>
        <v>678.79684230769237</v>
      </c>
      <c r="M80" s="63"/>
      <c r="Y80" s="63" t="str">
        <f t="shared" si="9"/>
        <v>AG-005-00115</v>
      </c>
    </row>
    <row r="81" spans="1:25">
      <c r="A81" s="63" t="str">
        <f>'RAW DATA 2023'!B74</f>
        <v>Petchburi5</v>
      </c>
      <c r="B81" s="63" t="str">
        <f>'RAW DATA 2023'!D74</f>
        <v>A1-021-0020</v>
      </c>
      <c r="C81" s="63" t="str">
        <f t="shared" si="6"/>
        <v>Petchburi5A1-021-0020</v>
      </c>
      <c r="D81" s="63">
        <f>VLOOKUP(C81,'RAW DATA 2023'!E:BP,63,0)</f>
        <v>9</v>
      </c>
      <c r="E81" s="63" t="str">
        <f t="shared" si="7"/>
        <v>Petchburi59</v>
      </c>
      <c r="F81" s="63">
        <f>ROUND(VLOOKUP(C81,'RAW DATA 2023'!E:BO,23,0),0)</f>
        <v>28</v>
      </c>
      <c r="G81" s="120">
        <f>VLOOKUP(C81,'RAW DATA 2023'!E:BO,26,0)</f>
        <v>0.396370903</v>
      </c>
      <c r="H81" s="101">
        <f>IFERROR(VLOOKUP(F81,STD!B:G,6,0),"")</f>
        <v>0.41</v>
      </c>
      <c r="I81" s="100">
        <f t="shared" si="8"/>
        <v>0.96675830000000007</v>
      </c>
      <c r="J81" s="249">
        <f t="shared" si="10"/>
        <v>9.335166000000001</v>
      </c>
      <c r="K81" s="63">
        <f>VLOOKUP(C81,'RAW DATA 2023'!E:BO,20,0)</f>
        <v>139</v>
      </c>
      <c r="L81" s="322">
        <f t="shared" si="11"/>
        <v>1297.5880740000002</v>
      </c>
      <c r="M81" s="63"/>
      <c r="Y81" s="63" t="str">
        <f t="shared" si="9"/>
        <v>A1-021-00209</v>
      </c>
    </row>
    <row r="82" spans="1:25">
      <c r="A82" s="63" t="str">
        <f>'RAW DATA 2023'!B75</f>
        <v>Petchburi5</v>
      </c>
      <c r="B82" s="63" t="str">
        <f>'RAW DATA 2023'!D75</f>
        <v>A1-034-0008</v>
      </c>
      <c r="C82" s="63" t="str">
        <f t="shared" si="6"/>
        <v>Petchburi5A1-034-0008</v>
      </c>
      <c r="D82" s="63">
        <f>VLOOKUP(C82,'RAW DATA 2023'!E:BP,63,0)</f>
        <v>5</v>
      </c>
      <c r="E82" s="63" t="str">
        <f t="shared" si="7"/>
        <v>Petchburi55</v>
      </c>
      <c r="F82" s="63">
        <f>ROUND(VLOOKUP(C82,'RAW DATA 2023'!E:BO,23,0),0)</f>
        <v>31</v>
      </c>
      <c r="G82" s="120">
        <f>VLOOKUP(C82,'RAW DATA 2023'!E:BO,26,0)</f>
        <v>0.36909774400000001</v>
      </c>
      <c r="H82" s="101">
        <f>IFERROR(VLOOKUP(F82,STD!B:G,6,0),"")</f>
        <v>0.39</v>
      </c>
      <c r="I82" s="100">
        <f t="shared" si="8"/>
        <v>0.94640447179487175</v>
      </c>
      <c r="J82" s="249">
        <f t="shared" si="10"/>
        <v>8.9280894358974354</v>
      </c>
      <c r="K82" s="63">
        <f>VLOOKUP(C82,'RAW DATA 2023'!E:BO,20,0)</f>
        <v>94.999999999999986</v>
      </c>
      <c r="L82" s="322">
        <f t="shared" si="11"/>
        <v>848.16849641025624</v>
      </c>
      <c r="M82" s="63"/>
      <c r="Y82" s="63" t="str">
        <f t="shared" si="9"/>
        <v>A1-034-00085</v>
      </c>
    </row>
    <row r="83" spans="1:25">
      <c r="A83" s="63" t="str">
        <f>'RAW DATA 2023'!B76</f>
        <v>Petchburi5</v>
      </c>
      <c r="B83" s="63" t="str">
        <f>'RAW DATA 2023'!D76</f>
        <v>A1-035-0007</v>
      </c>
      <c r="C83" s="63" t="str">
        <f t="shared" si="6"/>
        <v>Petchburi5A1-035-0007</v>
      </c>
      <c r="D83" s="63">
        <f>VLOOKUP(C83,'RAW DATA 2023'!E:BP,63,0)</f>
        <v>9</v>
      </c>
      <c r="E83" s="63" t="str">
        <f t="shared" si="7"/>
        <v>Petchburi59</v>
      </c>
      <c r="F83" s="63">
        <f>ROUND(VLOOKUP(C83,'RAW DATA 2023'!E:BO,23,0),0)</f>
        <v>35</v>
      </c>
      <c r="G83" s="120">
        <f>VLOOKUP(C83,'RAW DATA 2023'!E:BO,26,0)</f>
        <v>0.36813432800000001</v>
      </c>
      <c r="H83" s="101">
        <f>IFERROR(VLOOKUP(F83,STD!B:G,6,0),"")</f>
        <v>0.37</v>
      </c>
      <c r="I83" s="100">
        <f t="shared" si="8"/>
        <v>0.99495764324324332</v>
      </c>
      <c r="J83" s="249">
        <f t="shared" si="10"/>
        <v>9.8991528648648668</v>
      </c>
      <c r="K83" s="63">
        <f>VLOOKUP(C83,'RAW DATA 2023'!E:BO,20,0)</f>
        <v>134</v>
      </c>
      <c r="L83" s="322">
        <f t="shared" si="11"/>
        <v>1326.4864838918922</v>
      </c>
      <c r="M83" s="63"/>
      <c r="Y83" s="63" t="str">
        <f t="shared" si="9"/>
        <v>A1-035-00079</v>
      </c>
    </row>
    <row r="84" spans="1:25">
      <c r="A84" s="63" t="str">
        <f>'RAW DATA 2023'!B77</f>
        <v>Petchburi5</v>
      </c>
      <c r="B84" s="63" t="str">
        <f>'RAW DATA 2023'!D77</f>
        <v>A1-032-0009</v>
      </c>
      <c r="C84" s="63" t="str">
        <f t="shared" si="6"/>
        <v>Petchburi5A1-032-0009</v>
      </c>
      <c r="D84" s="63">
        <f>VLOOKUP(C84,'RAW DATA 2023'!E:BP,63,0)</f>
        <v>12</v>
      </c>
      <c r="E84" s="63" t="str">
        <f t="shared" si="7"/>
        <v>Petchburi512</v>
      </c>
      <c r="F84" s="63">
        <f>ROUND(VLOOKUP(C84,'RAW DATA 2023'!E:BO,23,0),0)</f>
        <v>36</v>
      </c>
      <c r="G84" s="120">
        <f>VLOOKUP(C84,'RAW DATA 2023'!E:BO,26,0)</f>
        <v>0.35392496400000001</v>
      </c>
      <c r="H84" s="101">
        <f>IFERROR(VLOOKUP(F84,STD!B:G,6,0),"")</f>
        <v>0.36</v>
      </c>
      <c r="I84" s="100">
        <f t="shared" si="8"/>
        <v>0.98312490000000008</v>
      </c>
      <c r="J84" s="249">
        <f t="shared" si="10"/>
        <v>9.6624980000000011</v>
      </c>
      <c r="K84" s="63">
        <f>VLOOKUP(C84,'RAW DATA 2023'!E:BO,20,0)</f>
        <v>126</v>
      </c>
      <c r="L84" s="322">
        <f t="shared" si="11"/>
        <v>1217.4747480000001</v>
      </c>
      <c r="M84" s="63"/>
      <c r="Y84" s="63" t="str">
        <f t="shared" si="9"/>
        <v>A1-032-000912</v>
      </c>
    </row>
    <row r="85" spans="1:25">
      <c r="A85" s="63" t="str">
        <f>'RAW DATA 2023'!B78</f>
        <v>Petchburi5</v>
      </c>
      <c r="B85" s="63" t="str">
        <f>'RAW DATA 2023'!D78</f>
        <v>A1-020-0016</v>
      </c>
      <c r="C85" s="63" t="str">
        <f t="shared" si="6"/>
        <v>Petchburi5A1-020-0016</v>
      </c>
      <c r="D85" s="63">
        <f>VLOOKUP(C85,'RAW DATA 2023'!E:BP,63,0)</f>
        <v>9</v>
      </c>
      <c r="E85" s="63" t="str">
        <f t="shared" si="7"/>
        <v>Petchburi59</v>
      </c>
      <c r="F85" s="63">
        <f>ROUND(VLOOKUP(C85,'RAW DATA 2023'!E:BO,23,0),0)</f>
        <v>31</v>
      </c>
      <c r="G85" s="120">
        <f>VLOOKUP(C85,'RAW DATA 2023'!E:BO,26,0)</f>
        <v>0.35113475199999999</v>
      </c>
      <c r="H85" s="101">
        <f>IFERROR(VLOOKUP(F85,STD!B:G,6,0),"")</f>
        <v>0.39</v>
      </c>
      <c r="I85" s="100">
        <f t="shared" si="8"/>
        <v>0.90034551794871787</v>
      </c>
      <c r="J85" s="249">
        <f t="shared" si="10"/>
        <v>8.0069103589743573</v>
      </c>
      <c r="K85" s="63">
        <f>VLOOKUP(C85,'RAW DATA 2023'!E:BO,20,0)</f>
        <v>141</v>
      </c>
      <c r="L85" s="322">
        <f t="shared" si="11"/>
        <v>1128.9743606153843</v>
      </c>
      <c r="M85" s="63"/>
      <c r="Y85" s="63" t="str">
        <f t="shared" si="9"/>
        <v>A1-020-00169</v>
      </c>
    </row>
    <row r="86" spans="1:25">
      <c r="A86" s="63" t="str">
        <f>'RAW DATA 2023'!B79</f>
        <v>Petchburi5</v>
      </c>
      <c r="B86" s="63" t="str">
        <f>'RAW DATA 2023'!D79</f>
        <v>A1-033-0009</v>
      </c>
      <c r="C86" s="63" t="str">
        <f t="shared" si="6"/>
        <v>Petchburi5A1-033-0009</v>
      </c>
      <c r="D86" s="63">
        <f>VLOOKUP(C86,'RAW DATA 2023'!E:BP,63,0)</f>
        <v>7</v>
      </c>
      <c r="E86" s="63" t="str">
        <f t="shared" si="7"/>
        <v>Petchburi57</v>
      </c>
      <c r="F86" s="63">
        <f>ROUND(VLOOKUP(C86,'RAW DATA 2023'!E:BO,23,0),0)</f>
        <v>34</v>
      </c>
      <c r="G86" s="120">
        <f>VLOOKUP(C86,'RAW DATA 2023'!E:BO,26,0)</f>
        <v>0.347768362</v>
      </c>
      <c r="H86" s="101">
        <f>IFERROR(VLOOKUP(F86,STD!B:G,6,0),"")</f>
        <v>0.38</v>
      </c>
      <c r="I86" s="100">
        <f t="shared" si="8"/>
        <v>0.91517989999999994</v>
      </c>
      <c r="J86" s="249">
        <f t="shared" si="10"/>
        <v>8.3035979999999991</v>
      </c>
      <c r="K86" s="63">
        <f>VLOOKUP(C86,'RAW DATA 2023'!E:BO,20,0)</f>
        <v>117.99999999999999</v>
      </c>
      <c r="L86" s="322">
        <f t="shared" si="11"/>
        <v>979.82456399999978</v>
      </c>
      <c r="M86" s="63"/>
      <c r="Y86" s="63" t="str">
        <f t="shared" si="9"/>
        <v>A1-033-00097</v>
      </c>
    </row>
    <row r="87" spans="1:25">
      <c r="A87" s="63" t="str">
        <f>'RAW DATA 2023'!B80</f>
        <v>Petchburi5</v>
      </c>
      <c r="B87" s="63" t="str">
        <f>'RAW DATA 2023'!D80</f>
        <v>A1-033-0010</v>
      </c>
      <c r="C87" s="63" t="str">
        <f t="shared" si="6"/>
        <v>Petchburi5A1-033-0010</v>
      </c>
      <c r="D87" s="63">
        <f>VLOOKUP(C87,'RAW DATA 2023'!E:BP,63,0)</f>
        <v>11</v>
      </c>
      <c r="E87" s="63" t="str">
        <f t="shared" si="7"/>
        <v>Petchburi511</v>
      </c>
      <c r="F87" s="63">
        <f>ROUND(VLOOKUP(C87,'RAW DATA 2023'!E:BO,23,0),0)</f>
        <v>37</v>
      </c>
      <c r="G87" s="120">
        <f>VLOOKUP(C87,'RAW DATA 2023'!E:BO,26,0)</f>
        <v>0.33268194099999998</v>
      </c>
      <c r="H87" s="101">
        <f>IFERROR(VLOOKUP(F87,STD!B:G,6,0),"")</f>
        <v>0.37</v>
      </c>
      <c r="I87" s="100">
        <f t="shared" si="8"/>
        <v>0.89914038108108107</v>
      </c>
      <c r="J87" s="249">
        <f t="shared" si="10"/>
        <v>7.9828076216216211</v>
      </c>
      <c r="K87" s="63">
        <f>VLOOKUP(C87,'RAW DATA 2023'!E:BO,20,0)</f>
        <v>106</v>
      </c>
      <c r="L87" s="322">
        <f t="shared" si="11"/>
        <v>846.17760789189185</v>
      </c>
      <c r="M87" s="63"/>
      <c r="Y87" s="63" t="str">
        <f t="shared" si="9"/>
        <v>A1-033-001011</v>
      </c>
    </row>
    <row r="88" spans="1:25">
      <c r="A88" s="63" t="str">
        <f>'RAW DATA 2023'!B81</f>
        <v>Petchburi5</v>
      </c>
      <c r="B88" s="63" t="str">
        <f>'RAW DATA 2023'!D81</f>
        <v>A1-020-0015</v>
      </c>
      <c r="C88" s="63" t="str">
        <f t="shared" si="6"/>
        <v>Petchburi5A1-020-0015</v>
      </c>
      <c r="D88" s="63">
        <f>VLOOKUP(C88,'RAW DATA 2023'!E:BP,63,0)</f>
        <v>4</v>
      </c>
      <c r="E88" s="63" t="str">
        <f t="shared" si="7"/>
        <v>Petchburi54</v>
      </c>
      <c r="F88" s="63">
        <f>ROUND(VLOOKUP(C88,'RAW DATA 2023'!E:BO,23,0),0)</f>
        <v>29</v>
      </c>
      <c r="G88" s="120">
        <f>VLOOKUP(C88,'RAW DATA 2023'!E:BO,26,0)</f>
        <v>0.32963733299999998</v>
      </c>
      <c r="H88" s="101">
        <f>IFERROR(VLOOKUP(F88,STD!B:G,6,0),"")</f>
        <v>0.4</v>
      </c>
      <c r="I88" s="100">
        <f t="shared" si="8"/>
        <v>0.82409333249999994</v>
      </c>
      <c r="J88" s="249">
        <f t="shared" si="10"/>
        <v>6.4818666499999988</v>
      </c>
      <c r="K88" s="63">
        <f>VLOOKUP(C88,'RAW DATA 2023'!E:BO,20,0)</f>
        <v>125.00000000000001</v>
      </c>
      <c r="L88" s="322">
        <f t="shared" si="11"/>
        <v>810.23333124999999</v>
      </c>
      <c r="M88" s="63"/>
      <c r="Y88" s="63" t="str">
        <f t="shared" si="9"/>
        <v>A1-020-00154</v>
      </c>
    </row>
    <row r="89" spans="1:25">
      <c r="A89" s="63" t="str">
        <f>'RAW DATA 2023'!B82</f>
        <v>Petchburi5</v>
      </c>
      <c r="B89" s="63" t="str">
        <f>'RAW DATA 2023'!D82</f>
        <v>A1-032-0008</v>
      </c>
      <c r="C89" s="63" t="str">
        <f t="shared" si="6"/>
        <v>Petchburi5A1-032-0008</v>
      </c>
      <c r="D89" s="63">
        <f>VLOOKUP(C89,'RAW DATA 2023'!E:BP,63,0)</f>
        <v>7</v>
      </c>
      <c r="E89" s="63" t="str">
        <f t="shared" si="7"/>
        <v>Petchburi57</v>
      </c>
      <c r="F89" s="63">
        <f>ROUND(VLOOKUP(C89,'RAW DATA 2023'!E:BO,23,0),0)</f>
        <v>31</v>
      </c>
      <c r="G89" s="120">
        <f>VLOOKUP(C89,'RAW DATA 2023'!E:BO,26,0)</f>
        <v>0.32777499999999998</v>
      </c>
      <c r="H89" s="101">
        <f>IFERROR(VLOOKUP(F89,STD!B:G,6,0),"")</f>
        <v>0.39</v>
      </c>
      <c r="I89" s="100">
        <f t="shared" si="8"/>
        <v>0.84044871794871789</v>
      </c>
      <c r="J89" s="249">
        <f t="shared" si="10"/>
        <v>6.8089743589743579</v>
      </c>
      <c r="K89" s="63">
        <f>VLOOKUP(C89,'RAW DATA 2023'!E:BO,20,0)</f>
        <v>120</v>
      </c>
      <c r="L89" s="322">
        <f t="shared" si="11"/>
        <v>817.07692307692298</v>
      </c>
      <c r="M89" s="63"/>
      <c r="Y89" s="63" t="str">
        <f t="shared" si="9"/>
        <v>A1-032-00087</v>
      </c>
    </row>
    <row r="90" spans="1:25">
      <c r="A90" s="63" t="str">
        <f>'RAW DATA 2023'!B83</f>
        <v>Petchburi5</v>
      </c>
      <c r="B90" s="63" t="str">
        <f>'RAW DATA 2023'!D83</f>
        <v>A1-033-0008</v>
      </c>
      <c r="C90" s="63" t="str">
        <f t="shared" si="6"/>
        <v>Petchburi5A1-033-0008</v>
      </c>
      <c r="D90" s="63">
        <f>VLOOKUP(C90,'RAW DATA 2023'!E:BP,63,0)</f>
        <v>3</v>
      </c>
      <c r="E90" s="63" t="str">
        <f t="shared" si="7"/>
        <v>Petchburi53</v>
      </c>
      <c r="F90" s="63">
        <f>ROUND(VLOOKUP(C90,'RAW DATA 2023'!E:BO,23,0),0)</f>
        <v>28</v>
      </c>
      <c r="G90" s="120">
        <f>VLOOKUP(C90,'RAW DATA 2023'!E:BO,26,0)</f>
        <v>0.31851119900000002</v>
      </c>
      <c r="H90" s="101">
        <f>IFERROR(VLOOKUP(F90,STD!B:G,6,0),"")</f>
        <v>0.41</v>
      </c>
      <c r="I90" s="100">
        <f t="shared" si="8"/>
        <v>0.77685658292682935</v>
      </c>
      <c r="J90" s="249">
        <f t="shared" si="10"/>
        <v>5.5371316585365875</v>
      </c>
      <c r="K90" s="63">
        <f>VLOOKUP(C90,'RAW DATA 2023'!E:BO,20,0)</f>
        <v>138</v>
      </c>
      <c r="L90" s="322">
        <f t="shared" si="11"/>
        <v>764.12416887804909</v>
      </c>
      <c r="M90" s="63"/>
      <c r="Y90" s="63" t="str">
        <f t="shared" si="9"/>
        <v>A1-033-00083</v>
      </c>
    </row>
    <row r="91" spans="1:25">
      <c r="A91" s="63" t="str">
        <f>'RAW DATA 2023'!B84</f>
        <v>Petchburi5</v>
      </c>
      <c r="B91" s="63" t="str">
        <f>'RAW DATA 2023'!D84</f>
        <v>A1-034-0009</v>
      </c>
      <c r="C91" s="63" t="str">
        <f t="shared" si="6"/>
        <v>Petchburi5A1-034-0009</v>
      </c>
      <c r="D91" s="63">
        <f>VLOOKUP(C91,'RAW DATA 2023'!E:BP,63,0)</f>
        <v>11</v>
      </c>
      <c r="E91" s="63" t="str">
        <f t="shared" si="7"/>
        <v>Petchburi511</v>
      </c>
      <c r="F91" s="63">
        <f>ROUND(VLOOKUP(C91,'RAW DATA 2023'!E:BO,23,0),0)</f>
        <v>34</v>
      </c>
      <c r="G91" s="120">
        <f>VLOOKUP(C91,'RAW DATA 2023'!E:BO,26,0)</f>
        <v>0.31430047799999999</v>
      </c>
      <c r="H91" s="101">
        <f>IFERROR(VLOOKUP(F91,STD!B:G,6,0),"")</f>
        <v>0.38</v>
      </c>
      <c r="I91" s="100">
        <f t="shared" si="8"/>
        <v>0.8271065210526316</v>
      </c>
      <c r="J91" s="249">
        <f t="shared" si="10"/>
        <v>6.5421304210526321</v>
      </c>
      <c r="K91" s="63">
        <f>VLOOKUP(C91,'RAW DATA 2023'!E:BO,20,0)</f>
        <v>165</v>
      </c>
      <c r="L91" s="322">
        <f t="shared" si="11"/>
        <v>1079.4515194736844</v>
      </c>
      <c r="M91" s="63"/>
      <c r="Y91" s="63" t="str">
        <f t="shared" si="9"/>
        <v>A1-034-000911</v>
      </c>
    </row>
    <row r="92" spans="1:25">
      <c r="A92" s="63" t="str">
        <f>'RAW DATA 2023'!B85</f>
        <v>Petchburi5</v>
      </c>
      <c r="B92" s="63" t="str">
        <f>'RAW DATA 2023'!D85</f>
        <v>A1-021-0019</v>
      </c>
      <c r="C92" s="63" t="str">
        <f t="shared" si="6"/>
        <v>Petchburi5A1-021-0019</v>
      </c>
      <c r="D92" s="63">
        <f>VLOOKUP(C92,'RAW DATA 2023'!E:BP,63,0)</f>
        <v>4</v>
      </c>
      <c r="E92" s="63" t="str">
        <f t="shared" si="7"/>
        <v>Petchburi54</v>
      </c>
      <c r="F92" s="63">
        <f>ROUND(VLOOKUP(C92,'RAW DATA 2023'!E:BO,23,0),0)</f>
        <v>28</v>
      </c>
      <c r="G92" s="120">
        <f>VLOOKUP(C92,'RAW DATA 2023'!E:BO,26,0)</f>
        <v>0.31165172899999999</v>
      </c>
      <c r="H92" s="101">
        <f>IFERROR(VLOOKUP(F92,STD!B:G,6,0),"")</f>
        <v>0.41</v>
      </c>
      <c r="I92" s="100">
        <f t="shared" si="8"/>
        <v>0.76012616829268298</v>
      </c>
      <c r="J92" s="249">
        <f t="shared" si="10"/>
        <v>5.2025233658536596</v>
      </c>
      <c r="K92" s="63">
        <f>VLOOKUP(C92,'RAW DATA 2023'!E:BO,20,0)</f>
        <v>142</v>
      </c>
      <c r="L92" s="322">
        <f t="shared" si="11"/>
        <v>738.75831795121962</v>
      </c>
      <c r="M92" s="63"/>
      <c r="Y92" s="63" t="str">
        <f t="shared" si="9"/>
        <v>A1-021-00194</v>
      </c>
    </row>
    <row r="93" spans="1:25">
      <c r="A93" s="63" t="str">
        <f>'RAW DATA 2023'!B86</f>
        <v>Petchburi5</v>
      </c>
      <c r="B93" s="63" t="str">
        <f>'RAW DATA 2023'!D86</f>
        <v>A1-035-0006</v>
      </c>
      <c r="C93" s="63" t="str">
        <f t="shared" si="6"/>
        <v>Petchburi5A1-035-0006</v>
      </c>
      <c r="D93" s="63">
        <f>VLOOKUP(C93,'RAW DATA 2023'!E:BP,63,0)</f>
        <v>4</v>
      </c>
      <c r="E93" s="63" t="str">
        <f t="shared" si="7"/>
        <v>Petchburi54</v>
      </c>
      <c r="F93" s="63">
        <f>ROUND(VLOOKUP(C93,'RAW DATA 2023'!E:BO,23,0),0)</f>
        <v>21</v>
      </c>
      <c r="G93" s="120">
        <f>VLOOKUP(C93,'RAW DATA 2023'!E:BO,26,0)</f>
        <v>0.30694733499999999</v>
      </c>
      <c r="H93" s="101">
        <f>IFERROR(VLOOKUP(F93,STD!B:G,6,0),"")</f>
        <v>0.38</v>
      </c>
      <c r="I93" s="100">
        <f t="shared" si="8"/>
        <v>0.8077561447368421</v>
      </c>
      <c r="J93" s="249">
        <f t="shared" si="10"/>
        <v>6.1551228947368415</v>
      </c>
      <c r="K93" s="63">
        <f>VLOOKUP(C93,'RAW DATA 2023'!E:BO,20,0)</f>
        <v>151</v>
      </c>
      <c r="L93" s="322">
        <f t="shared" si="11"/>
        <v>929.42355710526306</v>
      </c>
      <c r="M93" s="63"/>
      <c r="Y93" s="63" t="str">
        <f t="shared" si="9"/>
        <v>A1-035-00064</v>
      </c>
    </row>
    <row r="94" spans="1:25">
      <c r="A94" s="63" t="str">
        <f>'RAW DATA 2023'!B87</f>
        <v>Petchburi5</v>
      </c>
      <c r="B94" s="63" t="str">
        <f>'RAW DATA 2023'!D87</f>
        <v>A1-032-0007</v>
      </c>
      <c r="C94" s="63" t="str">
        <f t="shared" si="6"/>
        <v>Petchburi5A1-032-0007</v>
      </c>
      <c r="D94" s="63">
        <f>VLOOKUP(C94,'RAW DATA 2023'!E:BP,63,0)</f>
        <v>3</v>
      </c>
      <c r="E94" s="63" t="str">
        <f t="shared" si="7"/>
        <v>Petchburi53</v>
      </c>
      <c r="F94" s="63">
        <f>ROUND(VLOOKUP(C94,'RAW DATA 2023'!E:BO,23,0),0)</f>
        <v>28</v>
      </c>
      <c r="G94" s="120">
        <f>VLOOKUP(C94,'RAW DATA 2023'!E:BO,26,0)</f>
        <v>0.28973403000000003</v>
      </c>
      <c r="H94" s="101">
        <f>IFERROR(VLOOKUP(F94,STD!B:G,6,0),"")</f>
        <v>0.41</v>
      </c>
      <c r="I94" s="100">
        <f t="shared" si="8"/>
        <v>0.70666836585365866</v>
      </c>
      <c r="J94" s="249">
        <f t="shared" si="10"/>
        <v>4.1333673170731728</v>
      </c>
      <c r="K94" s="63">
        <f>VLOOKUP(C94,'RAW DATA 2023'!E:BO,20,0)</f>
        <v>123</v>
      </c>
      <c r="L94" s="322">
        <f t="shared" si="11"/>
        <v>508.40418000000028</v>
      </c>
      <c r="M94" s="63"/>
      <c r="Y94" s="63" t="str">
        <f t="shared" si="9"/>
        <v>A1-032-00073</v>
      </c>
    </row>
    <row r="95" spans="1:25">
      <c r="A95" s="63" t="str">
        <f>'RAW DATA 2023'!B88</f>
        <v>Petchburi5</v>
      </c>
      <c r="B95" s="63" t="str">
        <f>'RAW DATA 2023'!D88</f>
        <v>A1-034-0007</v>
      </c>
      <c r="C95" s="63" t="str">
        <f t="shared" si="6"/>
        <v>Petchburi5A1-034-0007</v>
      </c>
      <c r="D95" s="63">
        <f>VLOOKUP(C95,'RAW DATA 2023'!E:BP,63,0)</f>
        <v>1</v>
      </c>
      <c r="E95" s="63" t="str">
        <f t="shared" si="7"/>
        <v>Petchburi51</v>
      </c>
      <c r="F95" s="63">
        <f>ROUND(VLOOKUP(C95,'RAW DATA 2023'!E:BO,23,0),0)</f>
        <v>0</v>
      </c>
      <c r="G95" s="120">
        <f>VLOOKUP(C95,'RAW DATA 2023'!E:BO,26,0)</f>
        <v>0</v>
      </c>
      <c r="H95" s="101" t="str">
        <f>IFERROR(VLOOKUP(F95,STD!B:G,6,0),"")</f>
        <v/>
      </c>
      <c r="I95" s="100">
        <f t="shared" si="8"/>
        <v>0</v>
      </c>
      <c r="J95" s="249">
        <f t="shared" si="10"/>
        <v>0</v>
      </c>
      <c r="K95" s="63">
        <f>VLOOKUP(C95,'RAW DATA 2023'!E:BO,20,0)</f>
        <v>0</v>
      </c>
      <c r="L95" s="322">
        <f t="shared" si="11"/>
        <v>0</v>
      </c>
      <c r="M95" s="63"/>
      <c r="Y95" s="63" t="str">
        <f t="shared" si="9"/>
        <v>A1-034-00071</v>
      </c>
    </row>
    <row r="96" spans="1:25">
      <c r="A96" s="63" t="str">
        <f>'RAW DATA 2023'!B89</f>
        <v>Petchburi5</v>
      </c>
      <c r="B96" s="63" t="str">
        <f>'RAW DATA 2023'!D89</f>
        <v>AG-002-0014</v>
      </c>
      <c r="C96" s="63" t="str">
        <f t="shared" si="6"/>
        <v>Petchburi5AG-002-0014</v>
      </c>
      <c r="D96" s="63">
        <f>VLOOKUP(C96,'RAW DATA 2023'!E:BP,63,0)</f>
        <v>12</v>
      </c>
      <c r="E96" s="63" t="str">
        <f t="shared" si="7"/>
        <v>Petchburi512</v>
      </c>
      <c r="F96" s="63">
        <f>ROUND(VLOOKUP(C96,'RAW DATA 2023'!E:BO,23,0),0)</f>
        <v>33</v>
      </c>
      <c r="G96" s="120">
        <f>VLOOKUP(C96,'RAW DATA 2023'!E:BO,26,0)</f>
        <v>0.41963000900000003</v>
      </c>
      <c r="H96" s="101">
        <f>IFERROR(VLOOKUP(F96,STD!B:G,6,0),"")</f>
        <v>0.39</v>
      </c>
      <c r="I96" s="100">
        <f t="shared" si="8"/>
        <v>1.0759743820512822</v>
      </c>
      <c r="J96" s="249">
        <f t="shared" si="10"/>
        <v>11.519487641025643</v>
      </c>
      <c r="K96" s="63">
        <f>VLOOKUP(C96,'RAW DATA 2023'!E:BO,20,0)</f>
        <v>102</v>
      </c>
      <c r="L96" s="322">
        <f t="shared" si="11"/>
        <v>1174.9877393846157</v>
      </c>
      <c r="M96" s="63"/>
      <c r="Y96" s="63" t="str">
        <f t="shared" si="9"/>
        <v>AG-002-001412</v>
      </c>
    </row>
    <row r="97" spans="1:25">
      <c r="A97" s="63" t="str">
        <f>'RAW DATA 2023'!B90</f>
        <v>Petchburi5</v>
      </c>
      <c r="B97" s="63" t="str">
        <f>'RAW DATA 2023'!D90</f>
        <v>G1-G01-0002</v>
      </c>
      <c r="C97" s="63" t="str">
        <f t="shared" si="6"/>
        <v>Petchburi5G1-G01-0002</v>
      </c>
      <c r="D97" s="63">
        <f>VLOOKUP(C97,'RAW DATA 2023'!E:BP,63,0)</f>
        <v>1</v>
      </c>
      <c r="E97" s="63" t="str">
        <f t="shared" si="7"/>
        <v>Petchburi51</v>
      </c>
      <c r="F97" s="63">
        <f>ROUND(VLOOKUP(C97,'RAW DATA 2023'!E:BO,23,0),0)</f>
        <v>27</v>
      </c>
      <c r="G97" s="120">
        <f>VLOOKUP(C97,'RAW DATA 2023'!E:BO,26,0)</f>
        <v>0.36799699200000002</v>
      </c>
      <c r="H97" s="101">
        <f>IFERROR(VLOOKUP(F97,STD!B:G,6,0),"")</f>
        <v>0.39</v>
      </c>
      <c r="I97" s="100">
        <f t="shared" si="8"/>
        <v>0.94358203076923075</v>
      </c>
      <c r="J97" s="249">
        <f t="shared" si="10"/>
        <v>8.8716406153846155</v>
      </c>
      <c r="K97" s="63">
        <f>VLOOKUP(C97,'RAW DATA 2023'!E:BO,20,0)</f>
        <v>140</v>
      </c>
      <c r="L97" s="322">
        <f t="shared" si="11"/>
        <v>1242.0296861538461</v>
      </c>
      <c r="M97" s="63"/>
      <c r="Y97" s="63" t="str">
        <f t="shared" si="9"/>
        <v>G1-G01-00021</v>
      </c>
    </row>
    <row r="98" spans="1:25">
      <c r="A98" s="63" t="str">
        <f>'RAW DATA 2023'!B91</f>
        <v>Petchburi5</v>
      </c>
      <c r="B98" s="63" t="str">
        <f>'RAW DATA 2023'!D91</f>
        <v>G1-G02-0002</v>
      </c>
      <c r="C98" s="63" t="str">
        <f t="shared" si="6"/>
        <v>Petchburi5G1-G02-0002</v>
      </c>
      <c r="D98" s="63">
        <f>VLOOKUP(C98,'RAW DATA 2023'!E:BP,63,0)</f>
        <v>8</v>
      </c>
      <c r="E98" s="63" t="str">
        <f t="shared" si="7"/>
        <v>Petchburi58</v>
      </c>
      <c r="F98" s="63">
        <f>ROUND(VLOOKUP(C98,'RAW DATA 2023'!E:BO,23,0),0)</f>
        <v>45</v>
      </c>
      <c r="G98" s="120">
        <f>VLOOKUP(C98,'RAW DATA 2023'!E:BO,26,0)</f>
        <v>0.34112947700000001</v>
      </c>
      <c r="H98" s="101">
        <f>IFERROR(VLOOKUP(F98,STD!B:G,6,0),"")</f>
        <v>0.36</v>
      </c>
      <c r="I98" s="100">
        <f t="shared" si="8"/>
        <v>0.94758188055555559</v>
      </c>
      <c r="J98" s="249">
        <f t="shared" si="10"/>
        <v>8.9516376111111118</v>
      </c>
      <c r="K98" s="63">
        <f>VLOOKUP(C98,'RAW DATA 2023'!E:BO,20,0)</f>
        <v>121</v>
      </c>
      <c r="L98" s="322">
        <f t="shared" si="11"/>
        <v>1083.1481509444445</v>
      </c>
      <c r="M98" s="63"/>
      <c r="Y98" s="63" t="str">
        <f t="shared" si="9"/>
        <v>G1-G02-00028</v>
      </c>
    </row>
    <row r="99" spans="1:25">
      <c r="A99" s="63" t="str">
        <f>'RAW DATA 2023'!B92</f>
        <v>Petchburi5</v>
      </c>
      <c r="B99" s="63" t="str">
        <f>'RAW DATA 2023'!D92</f>
        <v>G1-G02-0001</v>
      </c>
      <c r="C99" s="63" t="str">
        <f t="shared" si="6"/>
        <v>Petchburi5G1-G02-0001</v>
      </c>
      <c r="D99" s="63">
        <f>VLOOKUP(C99,'RAW DATA 2023'!E:BP,63,0)</f>
        <v>4</v>
      </c>
      <c r="E99" s="63" t="str">
        <f t="shared" si="7"/>
        <v>Petchburi54</v>
      </c>
      <c r="F99" s="63">
        <f>ROUND(VLOOKUP(C99,'RAW DATA 2023'!E:BO,23,0),0)</f>
        <v>29</v>
      </c>
      <c r="G99" s="120">
        <f>VLOOKUP(C99,'RAW DATA 2023'!E:BO,26,0)</f>
        <v>0.320206718</v>
      </c>
      <c r="H99" s="101">
        <f>IFERROR(VLOOKUP(F99,STD!B:G,6,0),"")</f>
        <v>0.4</v>
      </c>
      <c r="I99" s="100">
        <f t="shared" si="8"/>
        <v>0.80051679499999995</v>
      </c>
      <c r="J99" s="249">
        <f t="shared" si="10"/>
        <v>6.0103358999999994</v>
      </c>
      <c r="K99" s="63">
        <f>VLOOKUP(C99,'RAW DATA 2023'!E:BO,20,0)</f>
        <v>129</v>
      </c>
      <c r="L99" s="322">
        <f t="shared" si="11"/>
        <v>775.3333310999999</v>
      </c>
      <c r="M99" s="63"/>
      <c r="Y99" s="63" t="str">
        <f t="shared" si="9"/>
        <v>G1-G02-00014</v>
      </c>
    </row>
    <row r="100" spans="1:25">
      <c r="A100" s="63" t="str">
        <f>'RAW DATA 2023'!B93</f>
        <v>Petchburi5</v>
      </c>
      <c r="B100" s="63" t="str">
        <f>'RAW DATA 2023'!D93</f>
        <v>G1-G01-0004</v>
      </c>
      <c r="C100" s="63" t="str">
        <f t="shared" si="6"/>
        <v>Petchburi5G1-G01-0004</v>
      </c>
      <c r="D100" s="63">
        <f>VLOOKUP(C100,'RAW DATA 2023'!E:BP,63,0)</f>
        <v>11</v>
      </c>
      <c r="E100" s="63" t="str">
        <f t="shared" si="7"/>
        <v>Petchburi511</v>
      </c>
      <c r="F100" s="63">
        <f>ROUND(VLOOKUP(C100,'RAW DATA 2023'!E:BO,23,0),0)</f>
        <v>34</v>
      </c>
      <c r="G100" s="120">
        <f>VLOOKUP(C100,'RAW DATA 2023'!E:BO,26,0)</f>
        <v>0.31194391900000001</v>
      </c>
      <c r="H100" s="101">
        <f>IFERROR(VLOOKUP(F100,STD!B:G,6,0),"")</f>
        <v>0.38</v>
      </c>
      <c r="I100" s="100">
        <f t="shared" si="8"/>
        <v>0.82090505000000003</v>
      </c>
      <c r="J100" s="249">
        <f t="shared" si="10"/>
        <v>6.4181010000000001</v>
      </c>
      <c r="K100" s="63">
        <f>VLOOKUP(C100,'RAW DATA 2023'!E:BO,20,0)</f>
        <v>138</v>
      </c>
      <c r="L100" s="322">
        <f t="shared" si="11"/>
        <v>885.69793800000002</v>
      </c>
      <c r="M100" s="63"/>
      <c r="Y100" s="63" t="str">
        <f t="shared" si="9"/>
        <v>G1-G01-000411</v>
      </c>
    </row>
    <row r="101" spans="1:25">
      <c r="A101" s="63" t="str">
        <f>'RAW DATA 2023'!B94</f>
        <v>Petchburi5</v>
      </c>
      <c r="B101" s="63" t="str">
        <f>'RAW DATA 2023'!D94</f>
        <v>G1-G01-0003</v>
      </c>
      <c r="C101" s="63" t="str">
        <f t="shared" si="6"/>
        <v>Petchburi5G1-G01-0003</v>
      </c>
      <c r="D101" s="63">
        <f>VLOOKUP(C101,'RAW DATA 2023'!E:BP,63,0)</f>
        <v>6</v>
      </c>
      <c r="E101" s="63" t="str">
        <f t="shared" si="7"/>
        <v>Petchburi56</v>
      </c>
      <c r="F101" s="63">
        <f>ROUND(VLOOKUP(C101,'RAW DATA 2023'!E:BO,23,0),0)</f>
        <v>47</v>
      </c>
      <c r="G101" s="120">
        <f>VLOOKUP(C101,'RAW DATA 2023'!E:BO,26,0)</f>
        <v>0.26595602000000002</v>
      </c>
      <c r="H101" s="101">
        <f>IFERROR(VLOOKUP(F101,STD!B:G,6,0),"")</f>
        <v>0.36</v>
      </c>
      <c r="I101" s="100">
        <f t="shared" si="8"/>
        <v>0.73876672222222228</v>
      </c>
      <c r="J101" s="249">
        <f t="shared" si="10"/>
        <v>4.7753344444444457</v>
      </c>
      <c r="K101" s="63">
        <f>VLOOKUP(C101,'RAW DATA 2023'!E:BO,20,0)</f>
        <v>113</v>
      </c>
      <c r="L101" s="322">
        <f t="shared" si="11"/>
        <v>539.61279222222231</v>
      </c>
      <c r="M101" s="63"/>
      <c r="Y101" s="63" t="str">
        <f t="shared" si="9"/>
        <v>G1-G01-00036</v>
      </c>
    </row>
    <row r="102" spans="1:25">
      <c r="A102" s="63" t="str">
        <f>'RAW DATA 2023'!B95</f>
        <v>Roiphet1</v>
      </c>
      <c r="B102" s="63" t="str">
        <f>'RAW DATA 2023'!D95</f>
        <v>A5-I09-0099</v>
      </c>
      <c r="C102" s="63" t="str">
        <f t="shared" si="6"/>
        <v>Roiphet1A5-I09-0099</v>
      </c>
      <c r="D102" s="63">
        <f>VLOOKUP(C102,'RAW DATA 2023'!E:BP,63,0)</f>
        <v>10</v>
      </c>
      <c r="E102" s="63" t="str">
        <f t="shared" si="7"/>
        <v>Roiphet110</v>
      </c>
      <c r="F102" s="63">
        <f>ROUND(VLOOKUP(C102,'RAW DATA 2023'!E:BO,23,0),0)</f>
        <v>29</v>
      </c>
      <c r="G102" s="120">
        <f>VLOOKUP(C102,'RAW DATA 2023'!E:BO,26,0)</f>
        <v>0.49460606099999999</v>
      </c>
      <c r="H102" s="101">
        <f>IFERROR(VLOOKUP(F102,STD!B:G,6,0),"")</f>
        <v>0.4</v>
      </c>
      <c r="I102" s="100">
        <f t="shared" si="8"/>
        <v>1.2365151525</v>
      </c>
      <c r="J102" s="249">
        <f t="shared" si="10"/>
        <v>14.73030305</v>
      </c>
      <c r="K102" s="63">
        <f>VLOOKUP(C102,'RAW DATA 2023'!E:BO,20,0)</f>
        <v>90</v>
      </c>
      <c r="L102" s="322">
        <f t="shared" si="11"/>
        <v>1325.7272745</v>
      </c>
      <c r="M102" s="63"/>
      <c r="Y102" s="63" t="str">
        <f t="shared" si="9"/>
        <v>A5-I09-009910</v>
      </c>
    </row>
    <row r="103" spans="1:25">
      <c r="A103" s="63" t="str">
        <f>'RAW DATA 2023'!B96</f>
        <v>Roiphet1</v>
      </c>
      <c r="B103" s="63" t="str">
        <f>'RAW DATA 2023'!D96</f>
        <v>A3-G05-0077</v>
      </c>
      <c r="C103" s="63" t="str">
        <f t="shared" si="6"/>
        <v>Roiphet1A3-G05-0077</v>
      </c>
      <c r="D103" s="63">
        <f>VLOOKUP(C103,'RAW DATA 2023'!E:BP,63,0)</f>
        <v>10</v>
      </c>
      <c r="E103" s="63" t="str">
        <f t="shared" si="7"/>
        <v>Roiphet110</v>
      </c>
      <c r="F103" s="63">
        <f>ROUND(VLOOKUP(C103,'RAW DATA 2023'!E:BO,23,0),0)</f>
        <v>41</v>
      </c>
      <c r="G103" s="120">
        <f>VLOOKUP(C103,'RAW DATA 2023'!E:BO,26,0)</f>
        <v>0.40469721800000003</v>
      </c>
      <c r="H103" s="101">
        <f>IFERROR(VLOOKUP(F103,STD!B:G,6,0),"")</f>
        <v>0.37</v>
      </c>
      <c r="I103" s="100">
        <f t="shared" si="8"/>
        <v>1.093776264864865</v>
      </c>
      <c r="J103" s="249">
        <f t="shared" si="10"/>
        <v>11.875525297297301</v>
      </c>
      <c r="K103" s="63">
        <f>VLOOKUP(C103,'RAW DATA 2023'!E:BO,20,0)</f>
        <v>94</v>
      </c>
      <c r="L103" s="322">
        <f t="shared" si="11"/>
        <v>1116.2993779459464</v>
      </c>
      <c r="M103" s="63"/>
      <c r="Y103" s="63" t="str">
        <f t="shared" si="9"/>
        <v>A3-G05-007710</v>
      </c>
    </row>
    <row r="104" spans="1:25">
      <c r="A104" s="63" t="str">
        <f>'RAW DATA 2023'!B97</f>
        <v>Roiphet1</v>
      </c>
      <c r="B104" s="63" t="str">
        <f>'RAW DATA 2023'!D97</f>
        <v>A5-G09-0084</v>
      </c>
      <c r="C104" s="63" t="str">
        <f t="shared" si="6"/>
        <v>Roiphet1A5-G09-0084</v>
      </c>
      <c r="D104" s="63">
        <f>VLOOKUP(C104,'RAW DATA 2023'!E:BP,63,0)</f>
        <v>10</v>
      </c>
      <c r="E104" s="63" t="str">
        <f t="shared" si="7"/>
        <v>Roiphet110</v>
      </c>
      <c r="F104" s="63">
        <f>ROUND(VLOOKUP(C104,'RAW DATA 2023'!E:BO,23,0),0)</f>
        <v>35</v>
      </c>
      <c r="G104" s="120">
        <f>VLOOKUP(C104,'RAW DATA 2023'!E:BO,26,0)</f>
        <v>0.399905815</v>
      </c>
      <c r="H104" s="101">
        <f>IFERROR(VLOOKUP(F104,STD!B:G,6,0),"")</f>
        <v>0.37</v>
      </c>
      <c r="I104" s="100">
        <f t="shared" si="8"/>
        <v>1.080826527027027</v>
      </c>
      <c r="J104" s="249">
        <f t="shared" si="10"/>
        <v>11.616530540540539</v>
      </c>
      <c r="K104" s="63">
        <f>VLOOKUP(C104,'RAW DATA 2023'!E:BO,20,0)</f>
        <v>111</v>
      </c>
      <c r="L104" s="322">
        <f t="shared" si="11"/>
        <v>1289.4348899999998</v>
      </c>
      <c r="M104" s="63"/>
      <c r="Y104" s="63" t="str">
        <f t="shared" si="9"/>
        <v>A5-G09-008410</v>
      </c>
    </row>
    <row r="105" spans="1:25">
      <c r="A105" s="63" t="str">
        <f>'RAW DATA 2023'!B98</f>
        <v>Roiphet1</v>
      </c>
      <c r="B105" s="63" t="str">
        <f>'RAW DATA 2023'!D98</f>
        <v>A5-I10-0095</v>
      </c>
      <c r="C105" s="63" t="str">
        <f t="shared" si="6"/>
        <v>Roiphet1A5-I10-0095</v>
      </c>
      <c r="D105" s="63">
        <f>VLOOKUP(C105,'RAW DATA 2023'!E:BP,63,0)</f>
        <v>10</v>
      </c>
      <c r="E105" s="63" t="str">
        <f t="shared" si="7"/>
        <v>Roiphet110</v>
      </c>
      <c r="F105" s="63">
        <f>ROUND(VLOOKUP(C105,'RAW DATA 2023'!E:BO,23,0),0)</f>
        <v>27</v>
      </c>
      <c r="G105" s="120">
        <f>VLOOKUP(C105,'RAW DATA 2023'!E:BO,26,0)</f>
        <v>0.39711987099999996</v>
      </c>
      <c r="H105" s="101">
        <f>IFERROR(VLOOKUP(F105,STD!B:G,6,0),"")</f>
        <v>0.39</v>
      </c>
      <c r="I105" s="100">
        <f t="shared" si="8"/>
        <v>1.0182560794871793</v>
      </c>
      <c r="J105" s="249">
        <f t="shared" si="10"/>
        <v>10.365121589743588</v>
      </c>
      <c r="K105" s="63">
        <f>VLOOKUP(C105,'RAW DATA 2023'!E:BO,20,0)</f>
        <v>113</v>
      </c>
      <c r="L105" s="322">
        <f t="shared" si="11"/>
        <v>1171.2587396410254</v>
      </c>
      <c r="M105" s="63"/>
      <c r="Y105" s="63" t="str">
        <f t="shared" si="9"/>
        <v>A5-I10-009510</v>
      </c>
    </row>
    <row r="106" spans="1:25">
      <c r="A106" s="63" t="str">
        <f>'RAW DATA 2023'!B99</f>
        <v>Roiphet1</v>
      </c>
      <c r="B106" s="63" t="str">
        <f>'RAW DATA 2023'!D99</f>
        <v>A3-I05-0085</v>
      </c>
      <c r="C106" s="63" t="str">
        <f t="shared" si="6"/>
        <v>Roiphet1A3-I05-0085</v>
      </c>
      <c r="D106" s="63">
        <f>VLOOKUP(C106,'RAW DATA 2023'!E:BP,63,0)</f>
        <v>10</v>
      </c>
      <c r="E106" s="63" t="str">
        <f t="shared" si="7"/>
        <v>Roiphet110</v>
      </c>
      <c r="F106" s="63">
        <f>ROUND(VLOOKUP(C106,'RAW DATA 2023'!E:BO,23,0),0)</f>
        <v>42</v>
      </c>
      <c r="G106" s="120">
        <f>VLOOKUP(C106,'RAW DATA 2023'!E:BO,26,0)</f>
        <v>0.39344125800000002</v>
      </c>
      <c r="H106" s="101">
        <f>IFERROR(VLOOKUP(F106,STD!B:G,6,0),"")</f>
        <v>0.37</v>
      </c>
      <c r="I106" s="100">
        <f t="shared" si="8"/>
        <v>1.0633547513513515</v>
      </c>
      <c r="J106" s="249">
        <f t="shared" si="10"/>
        <v>11.267095027027029</v>
      </c>
      <c r="K106" s="63">
        <f>VLOOKUP(C106,'RAW DATA 2023'!E:BO,20,0)</f>
        <v>92.999999999999986</v>
      </c>
      <c r="L106" s="322">
        <f t="shared" si="11"/>
        <v>1047.8398375135134</v>
      </c>
      <c r="M106" s="63"/>
      <c r="Y106" s="63" t="str">
        <f t="shared" si="9"/>
        <v>A3-I05-008510</v>
      </c>
    </row>
    <row r="107" spans="1:25">
      <c r="A107" s="63" t="str">
        <f>'RAW DATA 2023'!B100</f>
        <v>Roiphet1</v>
      </c>
      <c r="B107" s="63" t="str">
        <f>'RAW DATA 2023'!D100</f>
        <v>A6-I11-0102</v>
      </c>
      <c r="C107" s="63" t="str">
        <f t="shared" si="6"/>
        <v>Roiphet1A6-I11-0102</v>
      </c>
      <c r="D107" s="63">
        <f>VLOOKUP(C107,'RAW DATA 2023'!E:BP,63,0)</f>
        <v>10</v>
      </c>
      <c r="E107" s="63" t="str">
        <f t="shared" si="7"/>
        <v>Roiphet110</v>
      </c>
      <c r="F107" s="63">
        <f>ROUND(VLOOKUP(C107,'RAW DATA 2023'!E:BO,23,0),0)</f>
        <v>28</v>
      </c>
      <c r="G107" s="120">
        <f>VLOOKUP(C107,'RAW DATA 2023'!E:BO,26,0)</f>
        <v>0.39016753100000001</v>
      </c>
      <c r="H107" s="101">
        <f>IFERROR(VLOOKUP(F107,STD!B:G,6,0),"")</f>
        <v>0.41</v>
      </c>
      <c r="I107" s="100">
        <f t="shared" si="8"/>
        <v>0.95162812439024402</v>
      </c>
      <c r="J107" s="249">
        <f t="shared" si="10"/>
        <v>9.0325624878048814</v>
      </c>
      <c r="K107" s="63">
        <f>VLOOKUP(C107,'RAW DATA 2023'!E:BO,20,0)</f>
        <v>109.00000000000001</v>
      </c>
      <c r="L107" s="322">
        <f t="shared" si="11"/>
        <v>984.54931117073215</v>
      </c>
      <c r="M107" s="63"/>
      <c r="Y107" s="63" t="str">
        <f t="shared" si="9"/>
        <v>A6-I11-010210</v>
      </c>
    </row>
    <row r="108" spans="1:25">
      <c r="A108" s="63" t="str">
        <f>'RAW DATA 2023'!B101</f>
        <v>Roiphet1</v>
      </c>
      <c r="B108" s="63" t="str">
        <f>'RAW DATA 2023'!D101</f>
        <v>A5-G10-0069</v>
      </c>
      <c r="C108" s="63" t="str">
        <f t="shared" si="6"/>
        <v>Roiphet1A5-G10-0069</v>
      </c>
      <c r="D108" s="63">
        <f>VLOOKUP(C108,'RAW DATA 2023'!E:BP,63,0)</f>
        <v>10</v>
      </c>
      <c r="E108" s="63" t="str">
        <f t="shared" si="7"/>
        <v>Roiphet110</v>
      </c>
      <c r="F108" s="63">
        <f>ROUND(VLOOKUP(C108,'RAW DATA 2023'!E:BO,23,0),0)</f>
        <v>36</v>
      </c>
      <c r="G108" s="120">
        <f>VLOOKUP(C108,'RAW DATA 2023'!E:BO,26,0)</f>
        <v>0.37360226799999996</v>
      </c>
      <c r="H108" s="101">
        <f>IFERROR(VLOOKUP(F108,STD!B:G,6,0),"")</f>
        <v>0.36</v>
      </c>
      <c r="I108" s="100">
        <f t="shared" si="8"/>
        <v>1.0377840777777778</v>
      </c>
      <c r="J108" s="249">
        <f t="shared" si="10"/>
        <v>10.755681555555556</v>
      </c>
      <c r="K108" s="63">
        <f>VLOOKUP(C108,'RAW DATA 2023'!E:BO,20,0)</f>
        <v>114.99999999999999</v>
      </c>
      <c r="L108" s="322">
        <f t="shared" si="11"/>
        <v>1236.9033788888887</v>
      </c>
      <c r="M108" s="63"/>
      <c r="Y108" s="63" t="str">
        <f t="shared" si="9"/>
        <v>A5-G10-006910</v>
      </c>
    </row>
    <row r="109" spans="1:25">
      <c r="A109" s="63" t="str">
        <f>'RAW DATA 2023'!B102</f>
        <v>Roiphet1</v>
      </c>
      <c r="B109" s="63" t="str">
        <f>'RAW DATA 2023'!D102</f>
        <v>A6-G11-0092</v>
      </c>
      <c r="C109" s="63" t="str">
        <f t="shared" si="6"/>
        <v>Roiphet1A6-G11-0092</v>
      </c>
      <c r="D109" s="63">
        <f>VLOOKUP(C109,'RAW DATA 2023'!E:BP,63,0)</f>
        <v>10</v>
      </c>
      <c r="E109" s="63" t="str">
        <f t="shared" si="7"/>
        <v>Roiphet110</v>
      </c>
      <c r="F109" s="63">
        <f>ROUND(VLOOKUP(C109,'RAW DATA 2023'!E:BO,23,0),0)</f>
        <v>40</v>
      </c>
      <c r="G109" s="120">
        <f>VLOOKUP(C109,'RAW DATA 2023'!E:BO,26,0)</f>
        <v>0.36733556299999998</v>
      </c>
      <c r="H109" s="101">
        <f>IFERROR(VLOOKUP(F109,STD!B:G,6,0),"")</f>
        <v>0.37</v>
      </c>
      <c r="I109" s="100">
        <f t="shared" si="8"/>
        <v>0.99279881891891886</v>
      </c>
      <c r="J109" s="249">
        <f t="shared" si="10"/>
        <v>9.8559763783783776</v>
      </c>
      <c r="K109" s="63">
        <f>VLOOKUP(C109,'RAW DATA 2023'!E:BO,20,0)</f>
        <v>117</v>
      </c>
      <c r="L109" s="322">
        <f t="shared" si="11"/>
        <v>1153.1492362702702</v>
      </c>
      <c r="M109" s="63"/>
      <c r="Y109" s="63" t="str">
        <f t="shared" si="9"/>
        <v>A6-G11-009210</v>
      </c>
    </row>
    <row r="110" spans="1:25">
      <c r="A110" s="63" t="str">
        <f>'RAW DATA 2023'!B103</f>
        <v>Roiphet1</v>
      </c>
      <c r="B110" s="63" t="str">
        <f>'RAW DATA 2023'!D103</f>
        <v>A4-I07-0095</v>
      </c>
      <c r="C110" s="63" t="str">
        <f t="shared" si="6"/>
        <v>Roiphet1A4-I07-0095</v>
      </c>
      <c r="D110" s="63">
        <f>VLOOKUP(C110,'RAW DATA 2023'!E:BP,63,0)</f>
        <v>10</v>
      </c>
      <c r="E110" s="63" t="str">
        <f t="shared" si="7"/>
        <v>Roiphet110</v>
      </c>
      <c r="F110" s="63">
        <f>ROUND(VLOOKUP(C110,'RAW DATA 2023'!E:BO,23,0),0)</f>
        <v>36</v>
      </c>
      <c r="G110" s="120">
        <f>VLOOKUP(C110,'RAW DATA 2023'!E:BO,26,0)</f>
        <v>0.34017241399999998</v>
      </c>
      <c r="H110" s="101">
        <f>IFERROR(VLOOKUP(F110,STD!B:G,6,0),"")</f>
        <v>0.36</v>
      </c>
      <c r="I110" s="100">
        <f t="shared" si="8"/>
        <v>0.94492337222222222</v>
      </c>
      <c r="J110" s="249">
        <f t="shared" si="10"/>
        <v>8.898467444444444</v>
      </c>
      <c r="K110" s="63">
        <f>VLOOKUP(C110,'RAW DATA 2023'!E:BO,20,0)</f>
        <v>116</v>
      </c>
      <c r="L110" s="322">
        <f t="shared" si="11"/>
        <v>1032.2222235555555</v>
      </c>
      <c r="M110" s="63"/>
      <c r="Y110" s="63" t="str">
        <f t="shared" si="9"/>
        <v>A4-I07-009510</v>
      </c>
    </row>
    <row r="111" spans="1:25">
      <c r="A111" s="63" t="str">
        <f>'RAW DATA 2023'!B104</f>
        <v>Roiphet1</v>
      </c>
      <c r="B111" s="63" t="str">
        <f>'RAW DATA 2023'!D104</f>
        <v>A4-G07-0072</v>
      </c>
      <c r="C111" s="63" t="str">
        <f t="shared" si="6"/>
        <v>Roiphet1A4-G07-0072</v>
      </c>
      <c r="D111" s="63">
        <f>VLOOKUP(C111,'RAW DATA 2023'!E:BP,63,0)</f>
        <v>10</v>
      </c>
      <c r="E111" s="63" t="str">
        <f t="shared" si="7"/>
        <v>Roiphet110</v>
      </c>
      <c r="F111" s="63">
        <f>ROUND(VLOOKUP(C111,'RAW DATA 2023'!E:BO,23,0),0)</f>
        <v>37</v>
      </c>
      <c r="G111" s="120">
        <f>VLOOKUP(C111,'RAW DATA 2023'!E:BO,26,0)</f>
        <v>0.33723931600000001</v>
      </c>
      <c r="H111" s="101">
        <f>IFERROR(VLOOKUP(F111,STD!B:G,6,0),"")</f>
        <v>0.37</v>
      </c>
      <c r="I111" s="100">
        <f t="shared" si="8"/>
        <v>0.91145761081081089</v>
      </c>
      <c r="J111" s="249">
        <f t="shared" si="10"/>
        <v>8.2291522162162174</v>
      </c>
      <c r="K111" s="63">
        <f>VLOOKUP(C111,'RAW DATA 2023'!E:BO,20,0)</f>
        <v>117</v>
      </c>
      <c r="L111" s="322">
        <f t="shared" si="11"/>
        <v>962.8108092972974</v>
      </c>
      <c r="M111" s="63"/>
      <c r="Y111" s="63" t="str">
        <f t="shared" si="9"/>
        <v>A4-G07-007210</v>
      </c>
    </row>
    <row r="112" spans="1:25">
      <c r="A112" s="63" t="str">
        <f>'RAW DATA 2023'!B105</f>
        <v>Roiphet1</v>
      </c>
      <c r="B112" s="63" t="str">
        <f>'RAW DATA 2023'!D105</f>
        <v>D6-I12-0085</v>
      </c>
      <c r="C112" s="63" t="str">
        <f t="shared" si="6"/>
        <v>Roiphet1D6-I12-0085</v>
      </c>
      <c r="D112" s="63">
        <f>VLOOKUP(C112,'RAW DATA 2023'!E:BP,63,0)</f>
        <v>6</v>
      </c>
      <c r="E112" s="63" t="str">
        <f t="shared" si="7"/>
        <v>Roiphet16</v>
      </c>
      <c r="F112" s="63">
        <f>ROUND(VLOOKUP(C112,'RAW DATA 2023'!E:BO,23,0),0)</f>
        <v>30</v>
      </c>
      <c r="G112" s="120">
        <f>VLOOKUP(C112,'RAW DATA 2023'!E:BO,26,0)</f>
        <v>0.45890603099999999</v>
      </c>
      <c r="H112" s="101">
        <f>IFERROR(VLOOKUP(F112,STD!B:G,6,0),"")</f>
        <v>0.39</v>
      </c>
      <c r="I112" s="100">
        <f t="shared" si="8"/>
        <v>1.1766821307692308</v>
      </c>
      <c r="J112" s="249">
        <f t="shared" si="10"/>
        <v>13.533642615384615</v>
      </c>
      <c r="K112" s="63">
        <f>VLOOKUP(C112,'RAW DATA 2023'!E:BO,20,0)</f>
        <v>93.000000000000014</v>
      </c>
      <c r="L112" s="322">
        <f t="shared" si="11"/>
        <v>1258.6287632307694</v>
      </c>
      <c r="M112" s="63"/>
      <c r="Y112" s="63" t="str">
        <f t="shared" si="9"/>
        <v>D6-I12-00856</v>
      </c>
    </row>
    <row r="113" spans="1:25">
      <c r="A113" s="63" t="str">
        <f>'RAW DATA 2023'!B106</f>
        <v>Roiphet1</v>
      </c>
      <c r="B113" s="63" t="str">
        <f>'RAW DATA 2023'!D106</f>
        <v>D4-G08-0059</v>
      </c>
      <c r="C113" s="63" t="str">
        <f t="shared" si="6"/>
        <v>Roiphet1D4-G08-0059</v>
      </c>
      <c r="D113" s="63">
        <f>VLOOKUP(C113,'RAW DATA 2023'!E:BP,63,0)</f>
        <v>5</v>
      </c>
      <c r="E113" s="63" t="str">
        <f t="shared" si="7"/>
        <v>Roiphet15</v>
      </c>
      <c r="F113" s="63">
        <f>ROUND(VLOOKUP(C113,'RAW DATA 2023'!E:BO,23,0),0)</f>
        <v>35</v>
      </c>
      <c r="G113" s="120">
        <f>VLOOKUP(C113,'RAW DATA 2023'!E:BO,26,0)</f>
        <v>0.45444958400000002</v>
      </c>
      <c r="H113" s="101">
        <f>IFERROR(VLOOKUP(F113,STD!B:G,6,0),"")</f>
        <v>0.37</v>
      </c>
      <c r="I113" s="100">
        <f t="shared" si="8"/>
        <v>1.228242118918919</v>
      </c>
      <c r="J113" s="249">
        <f t="shared" si="10"/>
        <v>14.56484237837838</v>
      </c>
      <c r="K113" s="63">
        <f>VLOOKUP(C113,'RAW DATA 2023'!E:BO,20,0)</f>
        <v>94</v>
      </c>
      <c r="L113" s="322">
        <f t="shared" si="11"/>
        <v>1369.0951835675678</v>
      </c>
      <c r="M113" s="63"/>
      <c r="Y113" s="63" t="str">
        <f t="shared" si="9"/>
        <v>D4-G08-00595</v>
      </c>
    </row>
    <row r="114" spans="1:25">
      <c r="A114" s="63" t="str">
        <f>'RAW DATA 2023'!B107</f>
        <v>Roiphet1</v>
      </c>
      <c r="B114" s="63" t="str">
        <f>'RAW DATA 2023'!D107</f>
        <v>D4-I08-0071</v>
      </c>
      <c r="C114" s="63" t="str">
        <f t="shared" si="6"/>
        <v>Roiphet1D4-I08-0071</v>
      </c>
      <c r="D114" s="63">
        <f>VLOOKUP(C114,'RAW DATA 2023'!E:BP,63,0)</f>
        <v>5</v>
      </c>
      <c r="E114" s="63" t="str">
        <f t="shared" si="7"/>
        <v>Roiphet15</v>
      </c>
      <c r="F114" s="63">
        <f>ROUND(VLOOKUP(C114,'RAW DATA 2023'!E:BO,23,0),0)</f>
        <v>34</v>
      </c>
      <c r="G114" s="120">
        <f>VLOOKUP(C114,'RAW DATA 2023'!E:BO,26,0)</f>
        <v>0.45444958400000002</v>
      </c>
      <c r="H114" s="101">
        <f>IFERROR(VLOOKUP(F114,STD!B:G,6,0),"")</f>
        <v>0.38</v>
      </c>
      <c r="I114" s="100">
        <f t="shared" si="8"/>
        <v>1.1959199578947368</v>
      </c>
      <c r="J114" s="249">
        <f t="shared" si="10"/>
        <v>13.918399157894736</v>
      </c>
      <c r="K114" s="63">
        <f>VLOOKUP(C114,'RAW DATA 2023'!E:BO,20,0)</f>
        <v>94</v>
      </c>
      <c r="L114" s="322">
        <f t="shared" si="11"/>
        <v>1308.3295208421052</v>
      </c>
      <c r="M114" s="63"/>
      <c r="Y114" s="63" t="str">
        <f t="shared" si="9"/>
        <v>D4-I08-00715</v>
      </c>
    </row>
    <row r="115" spans="1:25">
      <c r="A115" s="63" t="str">
        <f>'RAW DATA 2023'!B108</f>
        <v>Roiphet1</v>
      </c>
      <c r="B115" s="63" t="str">
        <f>'RAW DATA 2023'!D108</f>
        <v>D6-G12-0079</v>
      </c>
      <c r="C115" s="63" t="str">
        <f t="shared" si="6"/>
        <v>Roiphet1D6-G12-0079</v>
      </c>
      <c r="D115" s="63">
        <f>VLOOKUP(C115,'RAW DATA 2023'!E:BP,63,0)</f>
        <v>6</v>
      </c>
      <c r="E115" s="63" t="str">
        <f t="shared" si="7"/>
        <v>Roiphet16</v>
      </c>
      <c r="F115" s="63">
        <f>ROUND(VLOOKUP(C115,'RAW DATA 2023'!E:BO,23,0),0)</f>
        <v>31</v>
      </c>
      <c r="G115" s="120">
        <f>VLOOKUP(C115,'RAW DATA 2023'!E:BO,26,0)</f>
        <v>0.43555555600000001</v>
      </c>
      <c r="H115" s="101">
        <f>IFERROR(VLOOKUP(F115,STD!B:G,6,0),"")</f>
        <v>0.39</v>
      </c>
      <c r="I115" s="100">
        <f t="shared" si="8"/>
        <v>1.1168091179487178</v>
      </c>
      <c r="J115" s="249">
        <f t="shared" si="10"/>
        <v>12.336182358974357</v>
      </c>
      <c r="K115" s="63">
        <f>VLOOKUP(C115,'RAW DATA 2023'!E:BO,20,0)</f>
        <v>90</v>
      </c>
      <c r="L115" s="322">
        <f t="shared" si="11"/>
        <v>1110.256412307692</v>
      </c>
      <c r="M115" s="63"/>
      <c r="Y115" s="63" t="str">
        <f t="shared" si="9"/>
        <v>D6-G12-00796</v>
      </c>
    </row>
    <row r="116" spans="1:25">
      <c r="A116" s="63" t="str">
        <f>'RAW DATA 2023'!B109</f>
        <v>Roiphet1</v>
      </c>
      <c r="B116" s="63" t="str">
        <f>'RAW DATA 2023'!D109</f>
        <v>D6-I11-0083</v>
      </c>
      <c r="C116" s="63" t="str">
        <f t="shared" si="6"/>
        <v>Roiphet1D6-I11-0083</v>
      </c>
      <c r="D116" s="63">
        <f>VLOOKUP(C116,'RAW DATA 2023'!E:BP,63,0)</f>
        <v>6</v>
      </c>
      <c r="E116" s="63" t="str">
        <f t="shared" si="7"/>
        <v>Roiphet16</v>
      </c>
      <c r="F116" s="63">
        <f>ROUND(VLOOKUP(C116,'RAW DATA 2023'!E:BO,23,0),0)</f>
        <v>30</v>
      </c>
      <c r="G116" s="120">
        <f>VLOOKUP(C116,'RAW DATA 2023'!E:BO,26,0)</f>
        <v>0.43131868099999998</v>
      </c>
      <c r="H116" s="101">
        <f>IFERROR(VLOOKUP(F116,STD!B:G,6,0),"")</f>
        <v>0.39</v>
      </c>
      <c r="I116" s="100">
        <f t="shared" si="8"/>
        <v>1.1059453358974358</v>
      </c>
      <c r="J116" s="249">
        <f t="shared" si="10"/>
        <v>12.118906717948716</v>
      </c>
      <c r="K116" s="63">
        <f>VLOOKUP(C116,'RAW DATA 2023'!E:BO,20,0)</f>
        <v>91</v>
      </c>
      <c r="L116" s="322">
        <f t="shared" si="11"/>
        <v>1102.8205113333331</v>
      </c>
      <c r="M116" s="63"/>
      <c r="Y116" s="63" t="str">
        <f t="shared" si="9"/>
        <v>D6-I11-00836</v>
      </c>
    </row>
    <row r="117" spans="1:25">
      <c r="A117" s="63" t="str">
        <f>'RAW DATA 2023'!B110</f>
        <v>Roiphet1</v>
      </c>
      <c r="B117" s="63" t="str">
        <f>'RAW DATA 2023'!D110</f>
        <v>D1-I02-0088</v>
      </c>
      <c r="C117" s="63" t="str">
        <f t="shared" si="6"/>
        <v>Roiphet1D1-I02-0088</v>
      </c>
      <c r="D117" s="63">
        <f>VLOOKUP(C117,'RAW DATA 2023'!E:BP,63,0)</f>
        <v>1</v>
      </c>
      <c r="E117" s="63" t="str">
        <f t="shared" si="7"/>
        <v>Roiphet11</v>
      </c>
      <c r="F117" s="63">
        <f>ROUND(VLOOKUP(C117,'RAW DATA 2023'!E:BO,23,0),0)</f>
        <v>40</v>
      </c>
      <c r="G117" s="120">
        <f>VLOOKUP(C117,'RAW DATA 2023'!E:BO,26,0)</f>
        <v>0.427777778</v>
      </c>
      <c r="H117" s="101">
        <f>IFERROR(VLOOKUP(F117,STD!B:G,6,0),"")</f>
        <v>0.37</v>
      </c>
      <c r="I117" s="100">
        <f t="shared" si="8"/>
        <v>1.1561561567567569</v>
      </c>
      <c r="J117" s="249">
        <f t="shared" si="10"/>
        <v>13.123123135135138</v>
      </c>
      <c r="K117" s="63">
        <f>VLOOKUP(C117,'RAW DATA 2023'!E:BO,20,0)</f>
        <v>64</v>
      </c>
      <c r="L117" s="322">
        <f t="shared" si="11"/>
        <v>839.87988064864885</v>
      </c>
      <c r="M117" s="63"/>
      <c r="Y117" s="63" t="str">
        <f t="shared" si="9"/>
        <v>D1-I02-00881</v>
      </c>
    </row>
    <row r="118" spans="1:25">
      <c r="A118" s="63" t="str">
        <f>'RAW DATA 2023'!B111</f>
        <v>Roiphet1</v>
      </c>
      <c r="B118" s="63" t="str">
        <f>'RAW DATA 2023'!D111</f>
        <v>D4-G07-0062</v>
      </c>
      <c r="C118" s="63" t="str">
        <f t="shared" si="6"/>
        <v>Roiphet1D4-G07-0062</v>
      </c>
      <c r="D118" s="63">
        <f>VLOOKUP(C118,'RAW DATA 2023'!E:BP,63,0)</f>
        <v>5</v>
      </c>
      <c r="E118" s="63" t="str">
        <f t="shared" si="7"/>
        <v>Roiphet15</v>
      </c>
      <c r="F118" s="63">
        <f>ROUND(VLOOKUP(C118,'RAW DATA 2023'!E:BO,23,0),0)</f>
        <v>38</v>
      </c>
      <c r="G118" s="120">
        <f>VLOOKUP(C118,'RAW DATA 2023'!E:BO,26,0)</f>
        <v>0.42631944400000005</v>
      </c>
      <c r="H118" s="101">
        <f>IFERROR(VLOOKUP(F118,STD!B:G,6,0),"")</f>
        <v>0.37</v>
      </c>
      <c r="I118" s="100">
        <f t="shared" si="8"/>
        <v>1.1522147135135137</v>
      </c>
      <c r="J118" s="249">
        <f t="shared" si="10"/>
        <v>13.044294270270274</v>
      </c>
      <c r="K118" s="63">
        <f>VLOOKUP(C118,'RAW DATA 2023'!E:BO,20,0)</f>
        <v>96</v>
      </c>
      <c r="L118" s="322">
        <f t="shared" si="11"/>
        <v>1252.2522499459465</v>
      </c>
      <c r="M118" s="63"/>
      <c r="Y118" s="63" t="str">
        <f t="shared" si="9"/>
        <v>D4-G07-00625</v>
      </c>
    </row>
    <row r="119" spans="1:25">
      <c r="A119" s="63" t="str">
        <f>'RAW DATA 2023'!B112</f>
        <v>Roiphet1</v>
      </c>
      <c r="B119" s="63" t="str">
        <f>'RAW DATA 2023'!D112</f>
        <v>D4-I07-0076</v>
      </c>
      <c r="C119" s="63" t="str">
        <f t="shared" si="6"/>
        <v>Roiphet1D4-I07-0076</v>
      </c>
      <c r="D119" s="63">
        <f>VLOOKUP(C119,'RAW DATA 2023'!E:BP,63,0)</f>
        <v>5</v>
      </c>
      <c r="E119" s="63" t="str">
        <f t="shared" si="7"/>
        <v>Roiphet15</v>
      </c>
      <c r="F119" s="63">
        <f>ROUND(VLOOKUP(C119,'RAW DATA 2023'!E:BO,23,0),0)</f>
        <v>37</v>
      </c>
      <c r="G119" s="120">
        <f>VLOOKUP(C119,'RAW DATA 2023'!E:BO,26,0)</f>
        <v>0.42631944399999999</v>
      </c>
      <c r="H119" s="101">
        <f>IFERROR(VLOOKUP(F119,STD!B:G,6,0),"")</f>
        <v>0.37</v>
      </c>
      <c r="I119" s="100">
        <f t="shared" si="8"/>
        <v>1.1522147135135135</v>
      </c>
      <c r="J119" s="249">
        <f t="shared" si="10"/>
        <v>13.044294270270269</v>
      </c>
      <c r="K119" s="63">
        <f>VLOOKUP(C119,'RAW DATA 2023'!E:BO,20,0)</f>
        <v>96</v>
      </c>
      <c r="L119" s="322">
        <f t="shared" si="11"/>
        <v>1252.2522499459458</v>
      </c>
      <c r="M119" s="63"/>
      <c r="Y119" s="63" t="str">
        <f t="shared" si="9"/>
        <v>D4-I07-00765</v>
      </c>
    </row>
    <row r="120" spans="1:25">
      <c r="A120" s="63" t="str">
        <f>'RAW DATA 2023'!B113</f>
        <v>Roiphet1</v>
      </c>
      <c r="B120" s="63" t="str">
        <f>'RAW DATA 2023'!D113</f>
        <v>D2-G03-0080</v>
      </c>
      <c r="C120" s="63" t="str">
        <f t="shared" si="6"/>
        <v>Roiphet1D2-G03-0080</v>
      </c>
      <c r="D120" s="63">
        <f>VLOOKUP(C120,'RAW DATA 2023'!E:BP,63,0)</f>
        <v>4</v>
      </c>
      <c r="E120" s="63" t="str">
        <f t="shared" si="7"/>
        <v>Roiphet14</v>
      </c>
      <c r="F120" s="63">
        <f>ROUND(VLOOKUP(C120,'RAW DATA 2023'!E:BO,23,0),0)</f>
        <v>35</v>
      </c>
      <c r="G120" s="120">
        <f>VLOOKUP(C120,'RAW DATA 2023'!E:BO,26,0)</f>
        <v>0.41114261900000004</v>
      </c>
      <c r="H120" s="101">
        <f>IFERROR(VLOOKUP(F120,STD!B:G,6,0),"")</f>
        <v>0.37</v>
      </c>
      <c r="I120" s="100">
        <f t="shared" si="8"/>
        <v>1.1111962675675677</v>
      </c>
      <c r="J120" s="249">
        <f t="shared" si="10"/>
        <v>12.223925351351355</v>
      </c>
      <c r="K120" s="63">
        <f>VLOOKUP(C120,'RAW DATA 2023'!E:BO,20,0)</f>
        <v>109</v>
      </c>
      <c r="L120" s="322">
        <f t="shared" si="11"/>
        <v>1332.4078632972976</v>
      </c>
      <c r="M120" s="63"/>
      <c r="Y120" s="63" t="str">
        <f t="shared" si="9"/>
        <v>D2-G03-00804</v>
      </c>
    </row>
    <row r="121" spans="1:25">
      <c r="A121" s="63" t="str">
        <f>'RAW DATA 2023'!B114</f>
        <v>Roiphet1</v>
      </c>
      <c r="B121" s="63" t="str">
        <f>'RAW DATA 2023'!D114</f>
        <v>D5-I09-0082</v>
      </c>
      <c r="C121" s="63" t="str">
        <f t="shared" si="6"/>
        <v>Roiphet1D5-I09-0082</v>
      </c>
      <c r="D121" s="63">
        <f>VLOOKUP(C121,'RAW DATA 2023'!E:BP,63,0)</f>
        <v>5</v>
      </c>
      <c r="E121" s="63" t="str">
        <f t="shared" si="7"/>
        <v>Roiphet15</v>
      </c>
      <c r="F121" s="63">
        <f>ROUND(VLOOKUP(C121,'RAW DATA 2023'!E:BO,23,0),0)</f>
        <v>36</v>
      </c>
      <c r="G121" s="120">
        <f>VLOOKUP(C121,'RAW DATA 2023'!E:BO,26,0)</f>
        <v>0.41074380199999999</v>
      </c>
      <c r="H121" s="101">
        <f>IFERROR(VLOOKUP(F121,STD!B:G,6,0),"")</f>
        <v>0.36</v>
      </c>
      <c r="I121" s="100">
        <f t="shared" si="8"/>
        <v>1.1409550055555555</v>
      </c>
      <c r="J121" s="249">
        <f t="shared" si="10"/>
        <v>12.81910011111111</v>
      </c>
      <c r="K121" s="63">
        <f>VLOOKUP(C121,'RAW DATA 2023'!E:BO,20,0)</f>
        <v>121.00000000000001</v>
      </c>
      <c r="L121" s="322">
        <f t="shared" si="11"/>
        <v>1551.1111134444445</v>
      </c>
      <c r="M121" s="63"/>
      <c r="Y121" s="63" t="str">
        <f t="shared" si="9"/>
        <v>D5-I09-00825</v>
      </c>
    </row>
    <row r="122" spans="1:25">
      <c r="A122" s="63" t="str">
        <f>'RAW DATA 2023'!B115</f>
        <v>Roiphet1</v>
      </c>
      <c r="B122" s="63" t="str">
        <f>'RAW DATA 2023'!D115</f>
        <v>D2-I04-0091</v>
      </c>
      <c r="C122" s="63" t="str">
        <f t="shared" si="6"/>
        <v>Roiphet1D2-I04-0091</v>
      </c>
      <c r="D122" s="63">
        <f>VLOOKUP(C122,'RAW DATA 2023'!E:BP,63,0)</f>
        <v>5</v>
      </c>
      <c r="E122" s="63" t="str">
        <f t="shared" si="7"/>
        <v>Roiphet15</v>
      </c>
      <c r="F122" s="63">
        <f>ROUND(VLOOKUP(C122,'RAW DATA 2023'!E:BO,23,0),0)</f>
        <v>35</v>
      </c>
      <c r="G122" s="120">
        <f>VLOOKUP(C122,'RAW DATA 2023'!E:BO,26,0)</f>
        <v>0.41025258799999997</v>
      </c>
      <c r="H122" s="101">
        <f>IFERROR(VLOOKUP(F122,STD!B:G,6,0),"")</f>
        <v>0.37</v>
      </c>
      <c r="I122" s="100">
        <f t="shared" si="8"/>
        <v>1.1087907783783784</v>
      </c>
      <c r="J122" s="249">
        <f t="shared" si="10"/>
        <v>12.175815567567568</v>
      </c>
      <c r="K122" s="63">
        <f>VLOOKUP(C122,'RAW DATA 2023'!E:BO,20,0)</f>
        <v>115</v>
      </c>
      <c r="L122" s="322">
        <f t="shared" si="11"/>
        <v>1400.2187902702703</v>
      </c>
      <c r="M122" s="63"/>
      <c r="Y122" s="63" t="str">
        <f t="shared" si="9"/>
        <v>D2-I04-00915</v>
      </c>
    </row>
    <row r="123" spans="1:25">
      <c r="A123" s="63" t="str">
        <f>'RAW DATA 2023'!B116</f>
        <v>Roiphet1</v>
      </c>
      <c r="B123" s="63" t="str">
        <f>'RAW DATA 2023'!D116</f>
        <v>D6-G11-0076</v>
      </c>
      <c r="C123" s="63" t="str">
        <f t="shared" si="6"/>
        <v>Roiphet1D6-G11-0076</v>
      </c>
      <c r="D123" s="63">
        <f>VLOOKUP(C123,'RAW DATA 2023'!E:BP,63,0)</f>
        <v>6</v>
      </c>
      <c r="E123" s="63" t="str">
        <f t="shared" si="7"/>
        <v>Roiphet16</v>
      </c>
      <c r="F123" s="63">
        <f>ROUND(VLOOKUP(C123,'RAW DATA 2023'!E:BO,23,0),0)</f>
        <v>32</v>
      </c>
      <c r="G123" s="120">
        <f>VLOOKUP(C123,'RAW DATA 2023'!E:BO,26,0)</f>
        <v>0.40572769400000003</v>
      </c>
      <c r="H123" s="101">
        <f>IFERROR(VLOOKUP(F123,STD!B:G,6,0),"")</f>
        <v>0.39</v>
      </c>
      <c r="I123" s="100">
        <f t="shared" si="8"/>
        <v>1.0403274205128206</v>
      </c>
      <c r="J123" s="249">
        <f t="shared" si="10"/>
        <v>10.806548410256411</v>
      </c>
      <c r="K123" s="63">
        <f>VLOOKUP(C123,'RAW DATA 2023'!E:BO,20,0)</f>
        <v>88</v>
      </c>
      <c r="L123" s="322">
        <f t="shared" si="11"/>
        <v>950.9762601025642</v>
      </c>
      <c r="M123" s="63"/>
      <c r="Y123" s="63" t="str">
        <f t="shared" si="9"/>
        <v>D6-G11-00766</v>
      </c>
    </row>
    <row r="124" spans="1:25">
      <c r="A124" s="63" t="str">
        <f>'RAW DATA 2023'!B117</f>
        <v>Roiphet1</v>
      </c>
      <c r="B124" s="63" t="str">
        <f>'RAW DATA 2023'!D117</f>
        <v>D2-I03-0085</v>
      </c>
      <c r="C124" s="63" t="str">
        <f t="shared" si="6"/>
        <v>Roiphet1D2-I03-0085</v>
      </c>
      <c r="D124" s="63">
        <f>VLOOKUP(C124,'RAW DATA 2023'!E:BP,63,0)</f>
        <v>4</v>
      </c>
      <c r="E124" s="63" t="str">
        <f t="shared" si="7"/>
        <v>Roiphet14</v>
      </c>
      <c r="F124" s="63">
        <f>ROUND(VLOOKUP(C124,'RAW DATA 2023'!E:BO,23,0),0)</f>
        <v>37</v>
      </c>
      <c r="G124" s="120">
        <f>VLOOKUP(C124,'RAW DATA 2023'!E:BO,26,0)</f>
        <v>0.40409500399999998</v>
      </c>
      <c r="H124" s="101">
        <f>IFERROR(VLOOKUP(F124,STD!B:G,6,0),"")</f>
        <v>0.37</v>
      </c>
      <c r="I124" s="100">
        <f t="shared" si="8"/>
        <v>1.0921486594594594</v>
      </c>
      <c r="J124" s="249">
        <f t="shared" si="10"/>
        <v>11.842973189189188</v>
      </c>
      <c r="K124" s="63">
        <f>VLOOKUP(C124,'RAW DATA 2023'!E:BO,20,0)</f>
        <v>111</v>
      </c>
      <c r="L124" s="322">
        <f t="shared" si="11"/>
        <v>1314.5700239999999</v>
      </c>
      <c r="M124" s="63"/>
      <c r="Y124" s="63" t="str">
        <f t="shared" si="9"/>
        <v>D2-I03-00854</v>
      </c>
    </row>
    <row r="125" spans="1:25">
      <c r="A125" s="63" t="str">
        <f>'RAW DATA 2023'!B118</f>
        <v>Roiphet1</v>
      </c>
      <c r="B125" s="63" t="str">
        <f>'RAW DATA 2023'!D118</f>
        <v>D5-I10-0074</v>
      </c>
      <c r="C125" s="63" t="str">
        <f t="shared" si="6"/>
        <v>Roiphet1D5-I10-0074</v>
      </c>
      <c r="D125" s="63">
        <f>VLOOKUP(C125,'RAW DATA 2023'!E:BP,63,0)</f>
        <v>5</v>
      </c>
      <c r="E125" s="63" t="str">
        <f t="shared" si="7"/>
        <v>Roiphet15</v>
      </c>
      <c r="F125" s="63">
        <f>ROUND(VLOOKUP(C125,'RAW DATA 2023'!E:BO,23,0),0)</f>
        <v>37</v>
      </c>
      <c r="G125" s="120">
        <f>VLOOKUP(C125,'RAW DATA 2023'!E:BO,26,0)</f>
        <v>0.39476386100000005</v>
      </c>
      <c r="H125" s="101">
        <f>IFERROR(VLOOKUP(F125,STD!B:G,6,0),"")</f>
        <v>0.37</v>
      </c>
      <c r="I125" s="100">
        <f t="shared" si="8"/>
        <v>1.0669293540540541</v>
      </c>
      <c r="J125" s="249">
        <f t="shared" si="10"/>
        <v>11.338587081081082</v>
      </c>
      <c r="K125" s="63">
        <f>VLOOKUP(C125,'RAW DATA 2023'!E:BO,20,0)</f>
        <v>109</v>
      </c>
      <c r="L125" s="322">
        <f t="shared" si="11"/>
        <v>1235.905991837838</v>
      </c>
      <c r="M125" s="63"/>
      <c r="Y125" s="63" t="str">
        <f t="shared" si="9"/>
        <v>D5-I10-00745</v>
      </c>
    </row>
    <row r="126" spans="1:25">
      <c r="A126" s="63" t="str">
        <f>'RAW DATA 2023'!B119</f>
        <v>Roiphet1</v>
      </c>
      <c r="B126" s="63" t="str">
        <f>'RAW DATA 2023'!D119</f>
        <v>D5-G10-0069</v>
      </c>
      <c r="C126" s="63" t="str">
        <f t="shared" si="6"/>
        <v>Roiphet1D5-G10-0069</v>
      </c>
      <c r="D126" s="63">
        <f>VLOOKUP(C126,'RAW DATA 2023'!E:BP,63,0)</f>
        <v>5</v>
      </c>
      <c r="E126" s="63" t="str">
        <f t="shared" si="7"/>
        <v>Roiphet15</v>
      </c>
      <c r="F126" s="63">
        <f>ROUND(VLOOKUP(C126,'RAW DATA 2023'!E:BO,23,0),0)</f>
        <v>34</v>
      </c>
      <c r="G126" s="120">
        <f>VLOOKUP(C126,'RAW DATA 2023'!E:BO,26,0)</f>
        <v>0.39475468699999999</v>
      </c>
      <c r="H126" s="101">
        <f>IFERROR(VLOOKUP(F126,STD!B:G,6,0),"")</f>
        <v>0.38</v>
      </c>
      <c r="I126" s="100">
        <f t="shared" si="8"/>
        <v>1.0388281236842105</v>
      </c>
      <c r="J126" s="249">
        <f t="shared" si="10"/>
        <v>10.77656247368421</v>
      </c>
      <c r="K126" s="63">
        <f>VLOOKUP(C126,'RAW DATA 2023'!E:BO,20,0)</f>
        <v>109.00000000000001</v>
      </c>
      <c r="L126" s="322">
        <f t="shared" si="11"/>
        <v>1174.645309631579</v>
      </c>
      <c r="M126" s="63"/>
      <c r="Y126" s="63" t="str">
        <f t="shared" si="9"/>
        <v>D5-G10-00695</v>
      </c>
    </row>
    <row r="127" spans="1:25">
      <c r="A127" s="63" t="str">
        <f>'RAW DATA 2023'!B120</f>
        <v>Roiphet1</v>
      </c>
      <c r="B127" s="63" t="str">
        <f>'RAW DATA 2023'!D120</f>
        <v>D2-G04-0079</v>
      </c>
      <c r="C127" s="63" t="str">
        <f t="shared" si="6"/>
        <v>Roiphet1D2-G04-0079</v>
      </c>
      <c r="D127" s="63">
        <f>VLOOKUP(C127,'RAW DATA 2023'!E:BP,63,0)</f>
        <v>5</v>
      </c>
      <c r="E127" s="63" t="str">
        <f t="shared" si="7"/>
        <v>Roiphet15</v>
      </c>
      <c r="F127" s="63">
        <f>ROUND(VLOOKUP(C127,'RAW DATA 2023'!E:BO,23,0),0)</f>
        <v>36</v>
      </c>
      <c r="G127" s="120">
        <f>VLOOKUP(C127,'RAW DATA 2023'!E:BO,26,0)</f>
        <v>0.39108300400000001</v>
      </c>
      <c r="H127" s="101">
        <f>IFERROR(VLOOKUP(F127,STD!B:G,6,0),"")</f>
        <v>0.36</v>
      </c>
      <c r="I127" s="100">
        <f t="shared" si="8"/>
        <v>1.0863416777777779</v>
      </c>
      <c r="J127" s="249">
        <f t="shared" si="10"/>
        <v>11.726833555555558</v>
      </c>
      <c r="K127" s="63">
        <f>VLOOKUP(C127,'RAW DATA 2023'!E:BO,20,0)</f>
        <v>115</v>
      </c>
      <c r="L127" s="322">
        <f t="shared" si="11"/>
        <v>1348.5858588888891</v>
      </c>
      <c r="M127" s="63"/>
      <c r="Y127" s="63" t="str">
        <f t="shared" si="9"/>
        <v>D2-G04-00795</v>
      </c>
    </row>
    <row r="128" spans="1:25">
      <c r="A128" s="63" t="str">
        <f>'RAW DATA 2023'!B121</f>
        <v>Roiphet1</v>
      </c>
      <c r="B128" s="63" t="str">
        <f>'RAW DATA 2023'!D121</f>
        <v>D6-I11-0082</v>
      </c>
      <c r="C128" s="63" t="str">
        <f t="shared" si="6"/>
        <v>Roiphet1D6-I11-0082</v>
      </c>
      <c r="D128" s="63">
        <f>VLOOKUP(C128,'RAW DATA 2023'!E:BP,63,0)</f>
        <v>2</v>
      </c>
      <c r="E128" s="63" t="str">
        <f t="shared" si="7"/>
        <v>Roiphet12</v>
      </c>
      <c r="F128" s="63">
        <f>ROUND(VLOOKUP(C128,'RAW DATA 2023'!E:BO,23,0),0)</f>
        <v>35</v>
      </c>
      <c r="G128" s="120">
        <f>VLOOKUP(C128,'RAW DATA 2023'!E:BO,26,0)</f>
        <v>0.38792156900000002</v>
      </c>
      <c r="H128" s="101">
        <f>IFERROR(VLOOKUP(F128,STD!B:G,6,0),"")</f>
        <v>0.37</v>
      </c>
      <c r="I128" s="100">
        <f t="shared" si="8"/>
        <v>1.048436672972973</v>
      </c>
      <c r="J128" s="249">
        <f t="shared" si="10"/>
        <v>10.968733459459461</v>
      </c>
      <c r="K128" s="63">
        <f>VLOOKUP(C128,'RAW DATA 2023'!E:BO,20,0)</f>
        <v>102</v>
      </c>
      <c r="L128" s="322">
        <f t="shared" si="11"/>
        <v>1118.8108128648651</v>
      </c>
      <c r="M128" s="63"/>
      <c r="Y128" s="63" t="str">
        <f t="shared" si="9"/>
        <v>D6-I11-00822</v>
      </c>
    </row>
    <row r="129" spans="1:25">
      <c r="A129" s="63" t="str">
        <f>'RAW DATA 2023'!B122</f>
        <v>Roiphet1</v>
      </c>
      <c r="B129" s="63" t="str">
        <f>'RAW DATA 2023'!D122</f>
        <v>D1-G02-0078</v>
      </c>
      <c r="C129" s="63" t="str">
        <f t="shared" si="6"/>
        <v>Roiphet1D1-G02-0078</v>
      </c>
      <c r="D129" s="63">
        <f>VLOOKUP(C129,'RAW DATA 2023'!E:BP,63,0)</f>
        <v>2</v>
      </c>
      <c r="E129" s="63" t="str">
        <f t="shared" si="7"/>
        <v>Roiphet12</v>
      </c>
      <c r="F129" s="63">
        <f>ROUND(VLOOKUP(C129,'RAW DATA 2023'!E:BO,23,0),0)</f>
        <v>36</v>
      </c>
      <c r="G129" s="120">
        <f>VLOOKUP(C129,'RAW DATA 2023'!E:BO,26,0)</f>
        <v>0.38492232999999998</v>
      </c>
      <c r="H129" s="101">
        <f>IFERROR(VLOOKUP(F129,STD!B:G,6,0),"")</f>
        <v>0.36</v>
      </c>
      <c r="I129" s="100">
        <f t="shared" si="8"/>
        <v>1.0692286944444445</v>
      </c>
      <c r="J129" s="249">
        <f t="shared" si="10"/>
        <v>11.384573888888889</v>
      </c>
      <c r="K129" s="63">
        <f>VLOOKUP(C129,'RAW DATA 2023'!E:BO,20,0)</f>
        <v>103</v>
      </c>
      <c r="L129" s="322">
        <f t="shared" si="11"/>
        <v>1172.6111105555556</v>
      </c>
      <c r="M129" s="63"/>
      <c r="Y129" s="63" t="str">
        <f t="shared" si="9"/>
        <v>D1-G02-00782</v>
      </c>
    </row>
    <row r="130" spans="1:25">
      <c r="A130" s="63" t="str">
        <f>'RAW DATA 2023'!B123</f>
        <v>Roiphet1</v>
      </c>
      <c r="B130" s="63" t="str">
        <f>'RAW DATA 2023'!D123</f>
        <v>D6-G11-0075</v>
      </c>
      <c r="C130" s="63" t="str">
        <f t="shared" si="6"/>
        <v>Roiphet1D6-G11-0075</v>
      </c>
      <c r="D130" s="63">
        <f>VLOOKUP(C130,'RAW DATA 2023'!E:BP,63,0)</f>
        <v>2</v>
      </c>
      <c r="E130" s="63" t="str">
        <f t="shared" si="7"/>
        <v>Roiphet12</v>
      </c>
      <c r="F130" s="63">
        <f>ROUND(VLOOKUP(C130,'RAW DATA 2023'!E:BO,23,0),0)</f>
        <v>36</v>
      </c>
      <c r="G130" s="120">
        <f>VLOOKUP(C130,'RAW DATA 2023'!E:BO,26,0)</f>
        <v>0.38045192300000003</v>
      </c>
      <c r="H130" s="101">
        <f>IFERROR(VLOOKUP(F130,STD!B:G,6,0),"")</f>
        <v>0.36</v>
      </c>
      <c r="I130" s="100">
        <f t="shared" si="8"/>
        <v>1.0568108972222223</v>
      </c>
      <c r="J130" s="249">
        <f t="shared" si="10"/>
        <v>11.136217944444446</v>
      </c>
      <c r="K130" s="63">
        <f>VLOOKUP(C130,'RAW DATA 2023'!E:BO,20,0)</f>
        <v>104</v>
      </c>
      <c r="L130" s="322">
        <f t="shared" si="11"/>
        <v>1158.1666662222224</v>
      </c>
      <c r="M130" s="63"/>
      <c r="Y130" s="63" t="str">
        <f t="shared" si="9"/>
        <v>D6-G11-00752</v>
      </c>
    </row>
    <row r="131" spans="1:25">
      <c r="A131" s="63" t="str">
        <f>'RAW DATA 2023'!B124</f>
        <v>Roiphet1</v>
      </c>
      <c r="B131" s="63" t="str">
        <f>'RAW DATA 2023'!D124</f>
        <v>D1-I01-0091</v>
      </c>
      <c r="C131" s="63" t="str">
        <f t="shared" si="6"/>
        <v>Roiphet1D1-I01-0091</v>
      </c>
      <c r="D131" s="63">
        <f>VLOOKUP(C131,'RAW DATA 2023'!E:BP,63,0)</f>
        <v>6</v>
      </c>
      <c r="E131" s="63" t="str">
        <f t="shared" si="7"/>
        <v>Roiphet16</v>
      </c>
      <c r="F131" s="63">
        <f>ROUND(VLOOKUP(C131,'RAW DATA 2023'!E:BO,23,0),0)</f>
        <v>38</v>
      </c>
      <c r="G131" s="120">
        <f>VLOOKUP(C131,'RAW DATA 2023'!E:BO,26,0)</f>
        <v>0.38020987699999997</v>
      </c>
      <c r="H131" s="101">
        <f>IFERROR(VLOOKUP(F131,STD!B:G,6,0),"")</f>
        <v>0.37</v>
      </c>
      <c r="I131" s="100">
        <f t="shared" si="8"/>
        <v>1.0275942621621621</v>
      </c>
      <c r="J131" s="249">
        <f t="shared" si="10"/>
        <v>10.551885243243241</v>
      </c>
      <c r="K131" s="63">
        <f>VLOOKUP(C131,'RAW DATA 2023'!E:BO,20,0)</f>
        <v>81</v>
      </c>
      <c r="L131" s="322">
        <f t="shared" si="11"/>
        <v>854.70270470270248</v>
      </c>
      <c r="M131" s="63"/>
      <c r="Y131" s="63" t="str">
        <f t="shared" si="9"/>
        <v>D1-I01-00916</v>
      </c>
    </row>
    <row r="132" spans="1:25">
      <c r="A132" s="63" t="str">
        <f>'RAW DATA 2023'!B125</f>
        <v>Roiphet1</v>
      </c>
      <c r="B132" s="63" t="str">
        <f>'RAW DATA 2023'!D125</f>
        <v>D6-G12-0078</v>
      </c>
      <c r="C132" s="63" t="str">
        <f t="shared" si="6"/>
        <v>Roiphet1D6-G12-0078</v>
      </c>
      <c r="D132" s="63">
        <f>VLOOKUP(C132,'RAW DATA 2023'!E:BP,63,0)</f>
        <v>2</v>
      </c>
      <c r="E132" s="63" t="str">
        <f t="shared" si="7"/>
        <v>Roiphet12</v>
      </c>
      <c r="F132" s="63">
        <f>ROUND(VLOOKUP(C132,'RAW DATA 2023'!E:BO,23,0),0)</f>
        <v>38</v>
      </c>
      <c r="G132" s="120">
        <f>VLOOKUP(C132,'RAW DATA 2023'!E:BO,26,0)</f>
        <v>0.38001538499999998</v>
      </c>
      <c r="H132" s="101">
        <f>IFERROR(VLOOKUP(F132,STD!B:G,6,0),"")</f>
        <v>0.37</v>
      </c>
      <c r="I132" s="100">
        <f t="shared" si="8"/>
        <v>1.0270686081081082</v>
      </c>
      <c r="J132" s="249">
        <f t="shared" si="10"/>
        <v>10.541372162162164</v>
      </c>
      <c r="K132" s="63">
        <f>VLOOKUP(C132,'RAW DATA 2023'!E:BO,20,0)</f>
        <v>100</v>
      </c>
      <c r="L132" s="322">
        <f t="shared" si="11"/>
        <v>1054.1372162162163</v>
      </c>
      <c r="M132" s="63"/>
      <c r="Y132" s="63" t="str">
        <f t="shared" si="9"/>
        <v>D6-G12-00782</v>
      </c>
    </row>
    <row r="133" spans="1:25">
      <c r="A133" s="63" t="str">
        <f>'RAW DATA 2023'!B126</f>
        <v>Roiphet1</v>
      </c>
      <c r="B133" s="63" t="str">
        <f>'RAW DATA 2023'!D126</f>
        <v>D3-G05-0080</v>
      </c>
      <c r="C133" s="63" t="str">
        <f t="shared" si="6"/>
        <v>Roiphet1D3-G05-0080</v>
      </c>
      <c r="D133" s="63">
        <f>VLOOKUP(C133,'RAW DATA 2023'!E:BP,63,0)</f>
        <v>4</v>
      </c>
      <c r="E133" s="63" t="str">
        <f t="shared" si="7"/>
        <v>Roiphet14</v>
      </c>
      <c r="F133" s="63">
        <f>ROUND(VLOOKUP(C133,'RAW DATA 2023'!E:BO,23,0),0)</f>
        <v>34</v>
      </c>
      <c r="G133" s="120">
        <f>VLOOKUP(C133,'RAW DATA 2023'!E:BO,26,0)</f>
        <v>0.37476190500000001</v>
      </c>
      <c r="H133" s="101">
        <f>IFERROR(VLOOKUP(F133,STD!B:G,6,0),"")</f>
        <v>0.38</v>
      </c>
      <c r="I133" s="100">
        <f t="shared" si="8"/>
        <v>0.98621553947368423</v>
      </c>
      <c r="J133" s="249">
        <f t="shared" si="10"/>
        <v>9.7243107894736838</v>
      </c>
      <c r="K133" s="63">
        <f>VLOOKUP(C133,'RAW DATA 2023'!E:BO,20,0)</f>
        <v>105</v>
      </c>
      <c r="L133" s="322">
        <f t="shared" si="11"/>
        <v>1021.0526328947368</v>
      </c>
      <c r="M133" s="63"/>
      <c r="Y133" s="63" t="str">
        <f t="shared" si="9"/>
        <v>D3-G05-00804</v>
      </c>
    </row>
    <row r="134" spans="1:25">
      <c r="A134" s="63" t="str">
        <f>'RAW DATA 2023'!B127</f>
        <v>Roiphet1</v>
      </c>
      <c r="B134" s="63" t="str">
        <f>'RAW DATA 2023'!D127</f>
        <v>D3-I06-0080</v>
      </c>
      <c r="C134" s="63" t="str">
        <f t="shared" si="6"/>
        <v>Roiphet1D3-I06-0080</v>
      </c>
      <c r="D134" s="63">
        <f>VLOOKUP(C134,'RAW DATA 2023'!E:BP,63,0)</f>
        <v>4</v>
      </c>
      <c r="E134" s="63" t="str">
        <f t="shared" si="7"/>
        <v>Roiphet14</v>
      </c>
      <c r="F134" s="63">
        <f>ROUND(VLOOKUP(C134,'RAW DATA 2023'!E:BO,23,0),0)</f>
        <v>38</v>
      </c>
      <c r="G134" s="120">
        <f>VLOOKUP(C134,'RAW DATA 2023'!E:BO,26,0)</f>
        <v>0.37337121200000001</v>
      </c>
      <c r="H134" s="101">
        <f>IFERROR(VLOOKUP(F134,STD!B:G,6,0),"")</f>
        <v>0.37</v>
      </c>
      <c r="I134" s="100">
        <f t="shared" si="8"/>
        <v>1.0091113837837837</v>
      </c>
      <c r="J134" s="249">
        <f t="shared" si="10"/>
        <v>10.182227675675675</v>
      </c>
      <c r="K134" s="63">
        <f>VLOOKUP(C134,'RAW DATA 2023'!E:BO,20,0)</f>
        <v>120</v>
      </c>
      <c r="L134" s="322">
        <f t="shared" si="11"/>
        <v>1221.8673210810809</v>
      </c>
      <c r="M134" s="63"/>
      <c r="Y134" s="63" t="str">
        <f t="shared" si="9"/>
        <v>D3-I06-00804</v>
      </c>
    </row>
    <row r="135" spans="1:25">
      <c r="A135" s="63" t="str">
        <f>'RAW DATA 2023'!B128</f>
        <v>Roiphet1</v>
      </c>
      <c r="B135" s="63" t="str">
        <f>'RAW DATA 2023'!D128</f>
        <v>D5-G09-0068</v>
      </c>
      <c r="C135" s="63" t="str">
        <f t="shared" si="6"/>
        <v>Roiphet1D5-G09-0068</v>
      </c>
      <c r="D135" s="63">
        <f>VLOOKUP(C135,'RAW DATA 2023'!E:BP,63,0)</f>
        <v>5</v>
      </c>
      <c r="E135" s="63" t="str">
        <f t="shared" si="7"/>
        <v>Roiphet15</v>
      </c>
      <c r="F135" s="63">
        <f>ROUND(VLOOKUP(C135,'RAW DATA 2023'!E:BO,23,0),0)</f>
        <v>35</v>
      </c>
      <c r="G135" s="120">
        <f>VLOOKUP(C135,'RAW DATA 2023'!E:BO,26,0)</f>
        <v>0.37317806199999998</v>
      </c>
      <c r="H135" s="101">
        <f>IFERROR(VLOOKUP(F135,STD!B:G,6,0),"")</f>
        <v>0.37</v>
      </c>
      <c r="I135" s="100">
        <f t="shared" si="8"/>
        <v>1.0085893567567568</v>
      </c>
      <c r="J135" s="249">
        <f t="shared" si="10"/>
        <v>10.171787135135135</v>
      </c>
      <c r="K135" s="63">
        <f>VLOOKUP(C135,'RAW DATA 2023'!E:BO,20,0)</f>
        <v>121</v>
      </c>
      <c r="L135" s="322">
        <f t="shared" si="11"/>
        <v>1230.7862433513515</v>
      </c>
      <c r="M135" s="63"/>
      <c r="Y135" s="63" t="str">
        <f t="shared" si="9"/>
        <v>D5-G09-00685</v>
      </c>
    </row>
    <row r="136" spans="1:25">
      <c r="A136" s="63" t="str">
        <f>'RAW DATA 2023'!B129</f>
        <v>Roiphet1</v>
      </c>
      <c r="B136" s="63" t="str">
        <f>'RAW DATA 2023'!D129</f>
        <v>D3-I05-0094</v>
      </c>
      <c r="C136" s="63" t="str">
        <f t="shared" si="6"/>
        <v>Roiphet1D3-I05-0094</v>
      </c>
      <c r="D136" s="63">
        <f>VLOOKUP(C136,'RAW DATA 2023'!E:BP,63,0)</f>
        <v>4</v>
      </c>
      <c r="E136" s="63" t="str">
        <f t="shared" si="7"/>
        <v>Roiphet14</v>
      </c>
      <c r="F136" s="63">
        <f>ROUND(VLOOKUP(C136,'RAW DATA 2023'!E:BO,23,0),0)</f>
        <v>35</v>
      </c>
      <c r="G136" s="120">
        <f>VLOOKUP(C136,'RAW DATA 2023'!E:BO,26,0)</f>
        <v>0.37122641499999998</v>
      </c>
      <c r="H136" s="101">
        <f>IFERROR(VLOOKUP(F136,STD!B:G,6,0),"")</f>
        <v>0.37</v>
      </c>
      <c r="I136" s="100">
        <f t="shared" si="8"/>
        <v>1.0033146351351352</v>
      </c>
      <c r="J136" s="249">
        <f t="shared" si="10"/>
        <v>10.066292702702704</v>
      </c>
      <c r="K136" s="63">
        <f>VLOOKUP(C136,'RAW DATA 2023'!E:BO,20,0)</f>
        <v>106</v>
      </c>
      <c r="L136" s="322">
        <f t="shared" si="11"/>
        <v>1067.0270264864866</v>
      </c>
      <c r="M136" s="63"/>
      <c r="Y136" s="63" t="str">
        <f t="shared" si="9"/>
        <v>D3-I05-00944</v>
      </c>
    </row>
    <row r="137" spans="1:25">
      <c r="A137" s="63" t="str">
        <f>'RAW DATA 2023'!B130</f>
        <v>Roiphet1</v>
      </c>
      <c r="B137" s="63" t="str">
        <f>'RAW DATA 2023'!D130</f>
        <v>D1-I01-0090</v>
      </c>
      <c r="C137" s="63" t="str">
        <f t="shared" si="6"/>
        <v>Roiphet1D1-I01-0090</v>
      </c>
      <c r="D137" s="63">
        <f>VLOOKUP(C137,'RAW DATA 2023'!E:BP,63,0)</f>
        <v>2</v>
      </c>
      <c r="E137" s="63" t="str">
        <f t="shared" si="7"/>
        <v>Roiphet12</v>
      </c>
      <c r="F137" s="63">
        <f>ROUND(VLOOKUP(C137,'RAW DATA 2023'!E:BO,23,0),0)</f>
        <v>39</v>
      </c>
      <c r="G137" s="120">
        <f>VLOOKUP(C137,'RAW DATA 2023'!E:BO,26,0)</f>
        <v>0.36188046600000001</v>
      </c>
      <c r="H137" s="101">
        <f>IFERROR(VLOOKUP(F137,STD!B:G,6,0),"")</f>
        <v>0.37</v>
      </c>
      <c r="I137" s="100">
        <f t="shared" si="8"/>
        <v>0.9780553135135136</v>
      </c>
      <c r="J137" s="249">
        <f t="shared" si="10"/>
        <v>9.5611062702702725</v>
      </c>
      <c r="K137" s="63">
        <f>VLOOKUP(C137,'RAW DATA 2023'!E:BO,20,0)</f>
        <v>98</v>
      </c>
      <c r="L137" s="322">
        <f t="shared" si="11"/>
        <v>936.9884144864867</v>
      </c>
      <c r="M137" s="63"/>
      <c r="Y137" s="63" t="str">
        <f t="shared" si="9"/>
        <v>D1-I01-00902</v>
      </c>
    </row>
    <row r="138" spans="1:25">
      <c r="A138" s="63" t="str">
        <f>'RAW DATA 2023'!B131</f>
        <v>Roiphet1</v>
      </c>
      <c r="B138" s="63" t="str">
        <f>'RAW DATA 2023'!D131</f>
        <v>D3-G06-0083</v>
      </c>
      <c r="C138" s="63" t="str">
        <f t="shared" ref="C138:C201" si="12">A138&amp;B138</f>
        <v>Roiphet1D3-G06-0083</v>
      </c>
      <c r="D138" s="63">
        <f>VLOOKUP(C138,'RAW DATA 2023'!E:BP,63,0)</f>
        <v>4</v>
      </c>
      <c r="E138" s="63" t="str">
        <f t="shared" ref="E138:E201" si="13">A138&amp;D138</f>
        <v>Roiphet14</v>
      </c>
      <c r="F138" s="63">
        <f>ROUND(VLOOKUP(C138,'RAW DATA 2023'!E:BO,23,0),0)</f>
        <v>33</v>
      </c>
      <c r="G138" s="120">
        <f>VLOOKUP(C138,'RAW DATA 2023'!E:BO,26,0)</f>
        <v>0.35990135200000001</v>
      </c>
      <c r="H138" s="101">
        <f>IFERROR(VLOOKUP(F138,STD!B:G,6,0),"")</f>
        <v>0.39</v>
      </c>
      <c r="I138" s="100">
        <f t="shared" ref="I138:I201" si="14">IFERROR(G138/H138,0)</f>
        <v>0.92282397948717942</v>
      </c>
      <c r="J138" s="249">
        <f t="shared" si="10"/>
        <v>8.4564795897435889</v>
      </c>
      <c r="K138" s="63">
        <f>VLOOKUP(C138,'RAW DATA 2023'!E:BO,20,0)</f>
        <v>119</v>
      </c>
      <c r="L138" s="322">
        <f t="shared" si="11"/>
        <v>1006.321071179487</v>
      </c>
      <c r="M138" s="63"/>
      <c r="Y138" s="63" t="str">
        <f t="shared" ref="Y138:Y201" si="15">B138&amp;D138</f>
        <v>D3-G06-00834</v>
      </c>
    </row>
    <row r="139" spans="1:25">
      <c r="A139" s="63" t="str">
        <f>'RAW DATA 2023'!B132</f>
        <v>Roiphet1</v>
      </c>
      <c r="B139" s="63" t="str">
        <f>'RAW DATA 2023'!D132</f>
        <v>D1-I02-0089</v>
      </c>
      <c r="C139" s="63" t="str">
        <f t="shared" si="12"/>
        <v>Roiphet1D1-I02-0089</v>
      </c>
      <c r="D139" s="63">
        <f>VLOOKUP(C139,'RAW DATA 2023'!E:BP,63,0)</f>
        <v>6</v>
      </c>
      <c r="E139" s="63" t="str">
        <f t="shared" si="13"/>
        <v>Roiphet16</v>
      </c>
      <c r="F139" s="63">
        <f>ROUND(VLOOKUP(C139,'RAW DATA 2023'!E:BO,23,0),0)</f>
        <v>40</v>
      </c>
      <c r="G139" s="120">
        <f>VLOOKUP(C139,'RAW DATA 2023'!E:BO,26,0)</f>
        <v>0.35190535699999997</v>
      </c>
      <c r="H139" s="101">
        <f>IFERROR(VLOOKUP(F139,STD!B:G,6,0),"")</f>
        <v>0.37</v>
      </c>
      <c r="I139" s="100">
        <f t="shared" si="14"/>
        <v>0.95109555945945945</v>
      </c>
      <c r="J139" s="249">
        <f t="shared" ref="J139:J202" si="16">IF(I139&gt;0.5,((I139-$B$4)*$B$7),0)</f>
        <v>9.0219111891891899</v>
      </c>
      <c r="K139" s="63">
        <f>VLOOKUP(C139,'RAW DATA 2023'!E:BO,20,0)</f>
        <v>80</v>
      </c>
      <c r="L139" s="322">
        <f t="shared" ref="L139:L202" si="17">J139*K139</f>
        <v>721.75289513513519</v>
      </c>
      <c r="M139" s="63"/>
      <c r="Y139" s="63" t="str">
        <f t="shared" si="15"/>
        <v>D1-I02-00896</v>
      </c>
    </row>
    <row r="140" spans="1:25">
      <c r="A140" s="63" t="str">
        <f>'RAW DATA 2023'!B133</f>
        <v>Roiphet1</v>
      </c>
      <c r="B140" s="63" t="str">
        <f>'RAW DATA 2023'!D133</f>
        <v>D1-G01-0076</v>
      </c>
      <c r="C140" s="63" t="str">
        <f t="shared" si="12"/>
        <v>Roiphet1D1-G01-0076</v>
      </c>
      <c r="D140" s="63">
        <f>VLOOKUP(C140,'RAW DATA 2023'!E:BP,63,0)</f>
        <v>2</v>
      </c>
      <c r="E140" s="63" t="str">
        <f t="shared" si="13"/>
        <v>Roiphet12</v>
      </c>
      <c r="F140" s="63">
        <f>ROUND(VLOOKUP(C140,'RAW DATA 2023'!E:BO,23,0),0)</f>
        <v>37</v>
      </c>
      <c r="G140" s="120">
        <f>VLOOKUP(C140,'RAW DATA 2023'!E:BO,26,0)</f>
        <v>0.35036225700000001</v>
      </c>
      <c r="H140" s="101">
        <f>IFERROR(VLOOKUP(F140,STD!B:G,6,0),"")</f>
        <v>0.37</v>
      </c>
      <c r="I140" s="100">
        <f t="shared" si="14"/>
        <v>0.946925018918919</v>
      </c>
      <c r="J140" s="249">
        <f t="shared" si="16"/>
        <v>8.9385003783783805</v>
      </c>
      <c r="K140" s="63">
        <f>VLOOKUP(C140,'RAW DATA 2023'!E:BO,20,0)</f>
        <v>105</v>
      </c>
      <c r="L140" s="322">
        <f t="shared" si="17"/>
        <v>938.54253972972992</v>
      </c>
      <c r="M140" s="63"/>
      <c r="Y140" s="63" t="str">
        <f t="shared" si="15"/>
        <v>D1-G01-00762</v>
      </c>
    </row>
    <row r="141" spans="1:25">
      <c r="A141" s="63" t="str">
        <f>'RAW DATA 2023'!B134</f>
        <v>Roiphet1</v>
      </c>
      <c r="B141" s="63" t="str">
        <f>'RAW DATA 2023'!D134</f>
        <v>D4-I08-0070</v>
      </c>
      <c r="C141" s="63" t="str">
        <f t="shared" si="12"/>
        <v>Roiphet1D4-I08-0070</v>
      </c>
      <c r="D141" s="63">
        <f>VLOOKUP(C141,'RAW DATA 2023'!E:BP,63,0)</f>
        <v>1</v>
      </c>
      <c r="E141" s="63" t="str">
        <f t="shared" si="13"/>
        <v>Roiphet11</v>
      </c>
      <c r="F141" s="63">
        <f>ROUND(VLOOKUP(C141,'RAW DATA 2023'!E:BO,23,0),0)</f>
        <v>38</v>
      </c>
      <c r="G141" s="120">
        <f>VLOOKUP(C141,'RAW DATA 2023'!E:BO,26,0)</f>
        <v>0.34409722199999998</v>
      </c>
      <c r="H141" s="101">
        <f>IFERROR(VLOOKUP(F141,STD!B:G,6,0),"")</f>
        <v>0.37</v>
      </c>
      <c r="I141" s="100">
        <f t="shared" si="14"/>
        <v>0.92999249189189181</v>
      </c>
      <c r="J141" s="249">
        <f t="shared" si="16"/>
        <v>8.5998498378378372</v>
      </c>
      <c r="K141" s="63">
        <f>VLOOKUP(C141,'RAW DATA 2023'!E:BO,20,0)</f>
        <v>96</v>
      </c>
      <c r="L141" s="322">
        <f t="shared" si="17"/>
        <v>825.58558443243237</v>
      </c>
      <c r="M141" s="63"/>
      <c r="Y141" s="63" t="str">
        <f t="shared" si="15"/>
        <v>D4-I08-00701</v>
      </c>
    </row>
    <row r="142" spans="1:25">
      <c r="A142" s="63" t="str">
        <f>'RAW DATA 2023'!B135</f>
        <v>Roiphet1</v>
      </c>
      <c r="B142" s="63" t="str">
        <f>'RAW DATA 2023'!D135</f>
        <v>D4-I07-0075</v>
      </c>
      <c r="C142" s="63" t="str">
        <f t="shared" si="12"/>
        <v>Roiphet1D4-I07-0075</v>
      </c>
      <c r="D142" s="63">
        <f>VLOOKUP(C142,'RAW DATA 2023'!E:BP,63,0)</f>
        <v>1</v>
      </c>
      <c r="E142" s="63" t="str">
        <f t="shared" si="13"/>
        <v>Roiphet11</v>
      </c>
      <c r="F142" s="63">
        <f>ROUND(VLOOKUP(C142,'RAW DATA 2023'!E:BO,23,0),0)</f>
        <v>39</v>
      </c>
      <c r="G142" s="120">
        <f>VLOOKUP(C142,'RAW DATA 2023'!E:BO,26,0)</f>
        <v>0.34202758599999999</v>
      </c>
      <c r="H142" s="101">
        <f>IFERROR(VLOOKUP(F142,STD!B:G,6,0),"")</f>
        <v>0.37</v>
      </c>
      <c r="I142" s="100">
        <f t="shared" si="14"/>
        <v>0.92439888108108104</v>
      </c>
      <c r="J142" s="249">
        <f t="shared" si="16"/>
        <v>8.4879776216216207</v>
      </c>
      <c r="K142" s="63">
        <f>VLOOKUP(C142,'RAW DATA 2023'!E:BO,20,0)</f>
        <v>100</v>
      </c>
      <c r="L142" s="322">
        <f t="shared" si="17"/>
        <v>848.79776216216203</v>
      </c>
      <c r="M142" s="63"/>
      <c r="Y142" s="63" t="str">
        <f t="shared" si="15"/>
        <v>D4-I07-00751</v>
      </c>
    </row>
    <row r="143" spans="1:25">
      <c r="A143" s="63" t="str">
        <f>'RAW DATA 2023'!B136</f>
        <v>Roiphet1</v>
      </c>
      <c r="B143" s="63" t="str">
        <f>'RAW DATA 2023'!D136</f>
        <v>D4-G08-0058</v>
      </c>
      <c r="C143" s="63" t="str">
        <f t="shared" si="12"/>
        <v>Roiphet1D4-G08-0058</v>
      </c>
      <c r="D143" s="63">
        <f>VLOOKUP(C143,'RAW DATA 2023'!E:BP,63,0)</f>
        <v>1</v>
      </c>
      <c r="E143" s="63" t="str">
        <f t="shared" si="13"/>
        <v>Roiphet11</v>
      </c>
      <c r="F143" s="63">
        <f>ROUND(VLOOKUP(C143,'RAW DATA 2023'!E:BO,23,0),0)</f>
        <v>49</v>
      </c>
      <c r="G143" s="120">
        <f>VLOOKUP(C143,'RAW DATA 2023'!E:BO,26,0)</f>
        <v>0.31021370199999998</v>
      </c>
      <c r="H143" s="101">
        <f>IFERROR(VLOOKUP(F143,STD!B:G,6,0),"")</f>
        <v>0.36</v>
      </c>
      <c r="I143" s="100">
        <f t="shared" si="14"/>
        <v>0.86170472777777773</v>
      </c>
      <c r="J143" s="249">
        <f t="shared" si="16"/>
        <v>7.2340945555555543</v>
      </c>
      <c r="K143" s="63">
        <f>VLOOKUP(C143,'RAW DATA 2023'!E:BO,20,0)</f>
        <v>74</v>
      </c>
      <c r="L143" s="322">
        <f t="shared" si="17"/>
        <v>535.32299711111102</v>
      </c>
      <c r="M143" s="63"/>
      <c r="Y143" s="63" t="str">
        <f t="shared" si="15"/>
        <v>D4-G08-00581</v>
      </c>
    </row>
    <row r="144" spans="1:25">
      <c r="A144" s="63" t="str">
        <f>'RAW DATA 2023'!B137</f>
        <v>Roiphet1</v>
      </c>
      <c r="B144" s="63" t="str">
        <f>'RAW DATA 2023'!D137</f>
        <v>D1-G02-0079</v>
      </c>
      <c r="C144" s="63" t="str">
        <f t="shared" si="12"/>
        <v>Roiphet1D1-G02-0079</v>
      </c>
      <c r="D144" s="63">
        <f>VLOOKUP(C144,'RAW DATA 2023'!E:BP,63,0)</f>
        <v>6</v>
      </c>
      <c r="E144" s="63" t="str">
        <f t="shared" si="13"/>
        <v>Roiphet16</v>
      </c>
      <c r="F144" s="63">
        <f>ROUND(VLOOKUP(C144,'RAW DATA 2023'!E:BO,23,0),0)</f>
        <v>44</v>
      </c>
      <c r="G144" s="120">
        <f>VLOOKUP(C144,'RAW DATA 2023'!E:BO,26,0)</f>
        <v>0.30308642000000002</v>
      </c>
      <c r="H144" s="101">
        <f>IFERROR(VLOOKUP(F144,STD!B:G,6,0),"")</f>
        <v>0.37</v>
      </c>
      <c r="I144" s="100">
        <f t="shared" si="14"/>
        <v>0.81915248648648653</v>
      </c>
      <c r="J144" s="249">
        <f t="shared" si="16"/>
        <v>6.3830497297297306</v>
      </c>
      <c r="K144" s="63">
        <f>VLOOKUP(C144,'RAW DATA 2023'!E:BO,20,0)</f>
        <v>81</v>
      </c>
      <c r="L144" s="322">
        <f t="shared" si="17"/>
        <v>517.0270281081082</v>
      </c>
      <c r="M144" s="63"/>
      <c r="Y144" s="63" t="str">
        <f t="shared" si="15"/>
        <v>D1-G02-00796</v>
      </c>
    </row>
    <row r="145" spans="1:25">
      <c r="A145" s="63" t="str">
        <f>'RAW DATA 2023'!B138</f>
        <v>Roiphet1</v>
      </c>
      <c r="B145" s="63" t="str">
        <f>'RAW DATA 2023'!D138</f>
        <v>D1-G01-0077</v>
      </c>
      <c r="C145" s="63" t="str">
        <f t="shared" si="12"/>
        <v>Roiphet1D1-G01-0077</v>
      </c>
      <c r="D145" s="63">
        <f>VLOOKUP(C145,'RAW DATA 2023'!E:BP,63,0)</f>
        <v>6</v>
      </c>
      <c r="E145" s="63" t="str">
        <f t="shared" si="13"/>
        <v>Roiphet16</v>
      </c>
      <c r="F145" s="63">
        <f>ROUND(VLOOKUP(C145,'RAW DATA 2023'!E:BO,23,0),0)</f>
        <v>46</v>
      </c>
      <c r="G145" s="120">
        <f>VLOOKUP(C145,'RAW DATA 2023'!E:BO,26,0)</f>
        <v>0.28835214599999998</v>
      </c>
      <c r="H145" s="101">
        <f>IFERROR(VLOOKUP(F145,STD!B:G,6,0),"")</f>
        <v>0.36</v>
      </c>
      <c r="I145" s="100">
        <f t="shared" si="14"/>
        <v>0.80097818333333326</v>
      </c>
      <c r="J145" s="249">
        <f t="shared" si="16"/>
        <v>6.0195636666666648</v>
      </c>
      <c r="K145" s="63">
        <f>VLOOKUP(C145,'RAW DATA 2023'!E:BO,20,0)</f>
        <v>81</v>
      </c>
      <c r="L145" s="322">
        <f t="shared" si="17"/>
        <v>487.58465699999982</v>
      </c>
      <c r="M145" s="63"/>
      <c r="Y145" s="63" t="str">
        <f t="shared" si="15"/>
        <v>D1-G01-00776</v>
      </c>
    </row>
    <row r="146" spans="1:25">
      <c r="A146" s="63" t="str">
        <f>'RAW DATA 2023'!B139</f>
        <v>Roiphet1</v>
      </c>
      <c r="B146" s="63" t="str">
        <f>'RAW DATA 2023'!D139</f>
        <v>A2-I04-0100</v>
      </c>
      <c r="C146" s="63" t="str">
        <f t="shared" si="12"/>
        <v>Roiphet1A2-I04-0100</v>
      </c>
      <c r="D146" s="63">
        <f>VLOOKUP(C146,'RAW DATA 2023'!E:BP,63,0)</f>
        <v>9</v>
      </c>
      <c r="E146" s="63" t="str">
        <f t="shared" si="13"/>
        <v>Roiphet19</v>
      </c>
      <c r="F146" s="63">
        <f>ROUND(VLOOKUP(C146,'RAW DATA 2023'!E:BO,23,0),0)</f>
        <v>33</v>
      </c>
      <c r="G146" s="120">
        <f>VLOOKUP(C146,'RAW DATA 2023'!E:BO,26,0)</f>
        <v>0.46065420600000001</v>
      </c>
      <c r="H146" s="101">
        <f>IFERROR(VLOOKUP(F146,STD!B:G,6,0),"")</f>
        <v>0.39</v>
      </c>
      <c r="I146" s="100">
        <f t="shared" si="14"/>
        <v>1.1811646307692307</v>
      </c>
      <c r="J146" s="249">
        <f t="shared" si="16"/>
        <v>13.623292615384614</v>
      </c>
      <c r="K146" s="63">
        <f>VLOOKUP(C146,'RAW DATA 2023'!E:BO,20,0)</f>
        <v>106.99999999999999</v>
      </c>
      <c r="L146" s="322">
        <f t="shared" si="17"/>
        <v>1457.6923098461534</v>
      </c>
      <c r="M146" s="63"/>
      <c r="Y146" s="63" t="str">
        <f t="shared" si="15"/>
        <v>A2-I04-01009</v>
      </c>
    </row>
    <row r="147" spans="1:25">
      <c r="A147" s="63" t="str">
        <f>'RAW DATA 2023'!B140</f>
        <v>Roiphet1</v>
      </c>
      <c r="B147" s="63" t="str">
        <f>'RAW DATA 2023'!D140</f>
        <v>A2-G03-0083</v>
      </c>
      <c r="C147" s="63" t="str">
        <f t="shared" si="12"/>
        <v>Roiphet1A2-G03-0083</v>
      </c>
      <c r="D147" s="63">
        <f>VLOOKUP(C147,'RAW DATA 2023'!E:BP,63,0)</f>
        <v>9</v>
      </c>
      <c r="E147" s="63" t="str">
        <f t="shared" si="13"/>
        <v>Roiphet19</v>
      </c>
      <c r="F147" s="63">
        <f>ROUND(VLOOKUP(C147,'RAW DATA 2023'!E:BO,23,0),0)</f>
        <v>37</v>
      </c>
      <c r="G147" s="120">
        <f>VLOOKUP(C147,'RAW DATA 2023'!E:BO,26,0)</f>
        <v>0.44359031800000004</v>
      </c>
      <c r="H147" s="101">
        <f>IFERROR(VLOOKUP(F147,STD!B:G,6,0),"")</f>
        <v>0.37</v>
      </c>
      <c r="I147" s="100">
        <f t="shared" si="14"/>
        <v>1.1988927513513514</v>
      </c>
      <c r="J147" s="249">
        <f t="shared" si="16"/>
        <v>13.977855027027029</v>
      </c>
      <c r="K147" s="63">
        <f>VLOOKUP(C147,'RAW DATA 2023'!E:BO,20,0)</f>
        <v>97</v>
      </c>
      <c r="L147" s="322">
        <f t="shared" si="17"/>
        <v>1355.8519376216218</v>
      </c>
      <c r="M147" s="63"/>
      <c r="Y147" s="63" t="str">
        <f t="shared" si="15"/>
        <v>A2-G03-00839</v>
      </c>
    </row>
    <row r="148" spans="1:25">
      <c r="A148" s="63" t="str">
        <f>'RAW DATA 2023'!B141</f>
        <v>Roiphet1</v>
      </c>
      <c r="B148" s="63" t="str">
        <f>'RAW DATA 2023'!D141</f>
        <v>A2-I03-0095</v>
      </c>
      <c r="C148" s="63" t="str">
        <f t="shared" si="12"/>
        <v>Roiphet1A2-I03-0095</v>
      </c>
      <c r="D148" s="63">
        <f>VLOOKUP(C148,'RAW DATA 2023'!E:BP,63,0)</f>
        <v>9</v>
      </c>
      <c r="E148" s="63" t="str">
        <f t="shared" si="13"/>
        <v>Roiphet19</v>
      </c>
      <c r="F148" s="63">
        <f>ROUND(VLOOKUP(C148,'RAW DATA 2023'!E:BO,23,0),0)</f>
        <v>35</v>
      </c>
      <c r="G148" s="120">
        <f>VLOOKUP(C148,'RAW DATA 2023'!E:BO,26,0)</f>
        <v>0.44359031799999998</v>
      </c>
      <c r="H148" s="101">
        <f>IFERROR(VLOOKUP(F148,STD!B:G,6,0),"")</f>
        <v>0.37</v>
      </c>
      <c r="I148" s="100">
        <f t="shared" si="14"/>
        <v>1.1988927513513514</v>
      </c>
      <c r="J148" s="249">
        <f t="shared" si="16"/>
        <v>13.977855027027029</v>
      </c>
      <c r="K148" s="63">
        <f>VLOOKUP(C148,'RAW DATA 2023'!E:BO,20,0)</f>
        <v>97.000000000000014</v>
      </c>
      <c r="L148" s="322">
        <f t="shared" si="17"/>
        <v>1355.851937621622</v>
      </c>
      <c r="M148" s="63"/>
      <c r="Y148" s="63" t="str">
        <f t="shared" si="15"/>
        <v>A2-I03-00959</v>
      </c>
    </row>
    <row r="149" spans="1:25">
      <c r="A149" s="63" t="str">
        <f>'RAW DATA 2023'!B142</f>
        <v>Roiphet1</v>
      </c>
      <c r="B149" s="63" t="str">
        <f>'RAW DATA 2023'!D142</f>
        <v>A2-G04-0082</v>
      </c>
      <c r="C149" s="63" t="str">
        <f t="shared" si="12"/>
        <v>Roiphet1A2-G04-0082</v>
      </c>
      <c r="D149" s="63">
        <f>VLOOKUP(C149,'RAW DATA 2023'!E:BP,63,0)</f>
        <v>9</v>
      </c>
      <c r="E149" s="63" t="str">
        <f t="shared" si="13"/>
        <v>Roiphet19</v>
      </c>
      <c r="F149" s="63">
        <f>ROUND(VLOOKUP(C149,'RAW DATA 2023'!E:BO,23,0),0)</f>
        <v>34</v>
      </c>
      <c r="G149" s="120">
        <f>VLOOKUP(C149,'RAW DATA 2023'!E:BO,26,0)</f>
        <v>0.43840231400000002</v>
      </c>
      <c r="H149" s="101">
        <f>IFERROR(VLOOKUP(F149,STD!B:G,6,0),"")</f>
        <v>0.38</v>
      </c>
      <c r="I149" s="100">
        <f t="shared" si="14"/>
        <v>1.1536903000000001</v>
      </c>
      <c r="J149" s="249">
        <f t="shared" si="16"/>
        <v>13.073806000000001</v>
      </c>
      <c r="K149" s="63">
        <f>VLOOKUP(C149,'RAW DATA 2023'!E:BO,20,0)</f>
        <v>107</v>
      </c>
      <c r="L149" s="322">
        <f t="shared" si="17"/>
        <v>1398.8972420000002</v>
      </c>
      <c r="M149" s="63"/>
      <c r="Y149" s="63" t="str">
        <f t="shared" si="15"/>
        <v>A2-G04-00829</v>
      </c>
    </row>
    <row r="150" spans="1:25">
      <c r="A150" s="63" t="str">
        <f>'RAW DATA 2023'!B143</f>
        <v>Roiphet1</v>
      </c>
      <c r="B150" s="63" t="str">
        <f>'RAW DATA 2023'!D143</f>
        <v>A1-I02-0095</v>
      </c>
      <c r="C150" s="63" t="str">
        <f t="shared" si="12"/>
        <v>Roiphet1A1-I02-0095</v>
      </c>
      <c r="D150" s="63">
        <f>VLOOKUP(C150,'RAW DATA 2023'!E:BP,63,0)</f>
        <v>9</v>
      </c>
      <c r="E150" s="63" t="str">
        <f t="shared" si="13"/>
        <v>Roiphet19</v>
      </c>
      <c r="F150" s="63">
        <f>ROUND(VLOOKUP(C150,'RAW DATA 2023'!E:BO,23,0),0)</f>
        <v>35</v>
      </c>
      <c r="G150" s="120">
        <f>VLOOKUP(C150,'RAW DATA 2023'!E:BO,26,0)</f>
        <v>0.41924731199999998</v>
      </c>
      <c r="H150" s="101">
        <f>IFERROR(VLOOKUP(F150,STD!B:G,6,0),"")</f>
        <v>0.37</v>
      </c>
      <c r="I150" s="100">
        <f t="shared" si="14"/>
        <v>1.1331008432432432</v>
      </c>
      <c r="J150" s="249">
        <f t="shared" si="16"/>
        <v>12.662016864864864</v>
      </c>
      <c r="K150" s="63">
        <f>VLOOKUP(C150,'RAW DATA 2023'!E:BO,20,0)</f>
        <v>92.999999999999986</v>
      </c>
      <c r="L150" s="322">
        <f t="shared" si="17"/>
        <v>1177.5675684324322</v>
      </c>
      <c r="M150" s="63"/>
      <c r="Y150" s="63" t="str">
        <f t="shared" si="15"/>
        <v>A1-I02-00959</v>
      </c>
    </row>
    <row r="151" spans="1:25">
      <c r="A151" s="63" t="str">
        <f>'RAW DATA 2023'!B144</f>
        <v>Roiphet1</v>
      </c>
      <c r="B151" s="63" t="str">
        <f>'RAW DATA 2023'!D144</f>
        <v>A1-G02-0075</v>
      </c>
      <c r="C151" s="63" t="str">
        <f t="shared" si="12"/>
        <v>Roiphet1A1-G02-0075</v>
      </c>
      <c r="D151" s="63">
        <f>VLOOKUP(C151,'RAW DATA 2023'!E:BP,63,0)</f>
        <v>9</v>
      </c>
      <c r="E151" s="63" t="str">
        <f t="shared" si="13"/>
        <v>Roiphet19</v>
      </c>
      <c r="F151" s="63">
        <f>ROUND(VLOOKUP(C151,'RAW DATA 2023'!E:BO,23,0),0)</f>
        <v>45</v>
      </c>
      <c r="G151" s="120">
        <f>VLOOKUP(C151,'RAW DATA 2023'!E:BO,26,0)</f>
        <v>0.414787234</v>
      </c>
      <c r="H151" s="101">
        <f>IFERROR(VLOOKUP(F151,STD!B:G,6,0),"")</f>
        <v>0.36</v>
      </c>
      <c r="I151" s="100">
        <f t="shared" si="14"/>
        <v>1.1521867611111112</v>
      </c>
      <c r="J151" s="249">
        <f t="shared" si="16"/>
        <v>13.043735222222224</v>
      </c>
      <c r="K151" s="63">
        <f>VLOOKUP(C151,'RAW DATA 2023'!E:BO,20,0)</f>
        <v>94</v>
      </c>
      <c r="L151" s="322">
        <f t="shared" si="17"/>
        <v>1226.111110888889</v>
      </c>
      <c r="M151" s="63"/>
      <c r="Y151" s="63" t="str">
        <f t="shared" si="15"/>
        <v>A1-G02-00759</v>
      </c>
    </row>
    <row r="152" spans="1:25">
      <c r="A152" s="63" t="str">
        <f>'RAW DATA 2023'!B145</f>
        <v>Roiphet1</v>
      </c>
      <c r="B152" s="63" t="str">
        <f>'RAW DATA 2023'!D145</f>
        <v>A1-I01-0089</v>
      </c>
      <c r="C152" s="63" t="str">
        <f t="shared" si="12"/>
        <v>Roiphet1A1-I01-0089</v>
      </c>
      <c r="D152" s="63">
        <f>VLOOKUP(C152,'RAW DATA 2023'!E:BP,63,0)</f>
        <v>9</v>
      </c>
      <c r="E152" s="63" t="str">
        <f t="shared" si="13"/>
        <v>Roiphet19</v>
      </c>
      <c r="F152" s="63">
        <f>ROUND(VLOOKUP(C152,'RAW DATA 2023'!E:BO,23,0),0)</f>
        <v>39</v>
      </c>
      <c r="G152" s="120">
        <f>VLOOKUP(C152,'RAW DATA 2023'!E:BO,26,0)</f>
        <v>0.40906577300000002</v>
      </c>
      <c r="H152" s="101">
        <f>IFERROR(VLOOKUP(F152,STD!B:G,6,0),"")</f>
        <v>0.37</v>
      </c>
      <c r="I152" s="100">
        <f t="shared" si="14"/>
        <v>1.1055831702702703</v>
      </c>
      <c r="J152" s="249">
        <f t="shared" si="16"/>
        <v>12.111663405405405</v>
      </c>
      <c r="K152" s="63">
        <f>VLOOKUP(C152,'RAW DATA 2023'!E:BO,20,0)</f>
        <v>77</v>
      </c>
      <c r="L152" s="322">
        <f t="shared" si="17"/>
        <v>932.5980822162162</v>
      </c>
      <c r="M152" s="63"/>
      <c r="Y152" s="63" t="str">
        <f t="shared" si="15"/>
        <v>A1-I01-00899</v>
      </c>
    </row>
    <row r="153" spans="1:25">
      <c r="A153" s="63" t="str">
        <f>'RAW DATA 2023'!B146</f>
        <v>Roiphet1</v>
      </c>
      <c r="B153" s="63" t="str">
        <f>'RAW DATA 2023'!D146</f>
        <v>A1-G01-0063</v>
      </c>
      <c r="C153" s="63" t="str">
        <f t="shared" si="12"/>
        <v>Roiphet1A1-G01-0063</v>
      </c>
      <c r="D153" s="63">
        <f>VLOOKUP(C153,'RAW DATA 2023'!E:BP,63,0)</f>
        <v>6</v>
      </c>
      <c r="E153" s="63" t="str">
        <f t="shared" si="13"/>
        <v>Roiphet16</v>
      </c>
      <c r="F153" s="63">
        <f>ROUND(VLOOKUP(C153,'RAW DATA 2023'!E:BO,23,0),0)</f>
        <v>35</v>
      </c>
      <c r="G153" s="120">
        <f>VLOOKUP(C153,'RAW DATA 2023'!E:BO,26,0)</f>
        <v>0.39931396299999999</v>
      </c>
      <c r="H153" s="101">
        <f>IFERROR(VLOOKUP(F153,STD!B:G,6,0),"")</f>
        <v>0.37</v>
      </c>
      <c r="I153" s="100">
        <f t="shared" si="14"/>
        <v>1.0792269270270269</v>
      </c>
      <c r="J153" s="249">
        <f t="shared" si="16"/>
        <v>11.584538540540539</v>
      </c>
      <c r="K153" s="63">
        <f>VLOOKUP(C153,'RAW DATA 2023'!E:BO,20,0)</f>
        <v>118</v>
      </c>
      <c r="L153" s="322">
        <f t="shared" si="17"/>
        <v>1366.9755477837837</v>
      </c>
      <c r="M153" s="63"/>
      <c r="Y153" s="63" t="str">
        <f t="shared" si="15"/>
        <v>A1-G01-00636</v>
      </c>
    </row>
    <row r="154" spans="1:25">
      <c r="A154" s="63" t="str">
        <f>'RAW DATA 2023'!B147</f>
        <v>Roiphet1</v>
      </c>
      <c r="B154" s="63" t="str">
        <f>'RAW DATA 2023'!D147</f>
        <v>A1-I01-0087</v>
      </c>
      <c r="C154" s="63" t="str">
        <f t="shared" si="12"/>
        <v>Roiphet1A1-I01-0087</v>
      </c>
      <c r="D154" s="63">
        <f>VLOOKUP(C154,'RAW DATA 2023'!E:BP,63,0)</f>
        <v>1</v>
      </c>
      <c r="E154" s="63" t="str">
        <f t="shared" si="13"/>
        <v>Roiphet11</v>
      </c>
      <c r="F154" s="63">
        <f>ROUND(VLOOKUP(C154,'RAW DATA 2023'!E:BO,23,0),0)</f>
        <v>37</v>
      </c>
      <c r="G154" s="120">
        <f>VLOOKUP(C154,'RAW DATA 2023'!E:BO,26,0)</f>
        <v>0.39646278299999999</v>
      </c>
      <c r="H154" s="101">
        <f>IFERROR(VLOOKUP(F154,STD!B:G,6,0),"")</f>
        <v>0.37</v>
      </c>
      <c r="I154" s="100">
        <f t="shared" si="14"/>
        <v>1.0715210351351352</v>
      </c>
      <c r="J154" s="249">
        <f t="shared" si="16"/>
        <v>11.430420702702705</v>
      </c>
      <c r="K154" s="63">
        <f>VLOOKUP(C154,'RAW DATA 2023'!E:BO,20,0)</f>
        <v>103</v>
      </c>
      <c r="L154" s="322">
        <f t="shared" si="17"/>
        <v>1177.3333323783786</v>
      </c>
      <c r="M154" s="63"/>
      <c r="Y154" s="63" t="str">
        <f t="shared" si="15"/>
        <v>A1-I01-00871</v>
      </c>
    </row>
    <row r="155" spans="1:25">
      <c r="A155" s="63" t="str">
        <f>'RAW DATA 2023'!B148</f>
        <v>Roiphet1</v>
      </c>
      <c r="B155" s="63" t="str">
        <f>'RAW DATA 2023'!D148</f>
        <v>A1-I01-0088</v>
      </c>
      <c r="C155" s="63" t="str">
        <f t="shared" si="12"/>
        <v>Roiphet1A1-I01-0088</v>
      </c>
      <c r="D155" s="63">
        <f>VLOOKUP(C155,'RAW DATA 2023'!E:BP,63,0)</f>
        <v>6</v>
      </c>
      <c r="E155" s="63" t="str">
        <f t="shared" si="13"/>
        <v>Roiphet16</v>
      </c>
      <c r="F155" s="63">
        <f>ROUND(VLOOKUP(C155,'RAW DATA 2023'!E:BO,23,0),0)</f>
        <v>33</v>
      </c>
      <c r="G155" s="120">
        <f>VLOOKUP(C155,'RAW DATA 2023'!E:BO,26,0)</f>
        <v>0.39598359300000002</v>
      </c>
      <c r="H155" s="101">
        <f>IFERROR(VLOOKUP(F155,STD!B:G,6,0),"")</f>
        <v>0.39</v>
      </c>
      <c r="I155" s="100">
        <f t="shared" si="14"/>
        <v>1.0153425461538461</v>
      </c>
      <c r="J155" s="249">
        <f t="shared" si="16"/>
        <v>10.306850923076922</v>
      </c>
      <c r="K155" s="63">
        <f>VLOOKUP(C155,'RAW DATA 2023'!E:BO,20,0)</f>
        <v>118.99999999999999</v>
      </c>
      <c r="L155" s="322">
        <f t="shared" si="17"/>
        <v>1226.5152598461536</v>
      </c>
      <c r="M155" s="63"/>
      <c r="Y155" s="63" t="str">
        <f t="shared" si="15"/>
        <v>A1-I01-00886</v>
      </c>
    </row>
    <row r="156" spans="1:25">
      <c r="A156" s="63" t="str">
        <f>'RAW DATA 2023'!B149</f>
        <v>Roiphet1</v>
      </c>
      <c r="B156" s="63" t="str">
        <f>'RAW DATA 2023'!D149</f>
        <v>A6-G11-0091</v>
      </c>
      <c r="C156" s="63" t="str">
        <f t="shared" si="12"/>
        <v>Roiphet1A6-G11-0091</v>
      </c>
      <c r="D156" s="63">
        <f>VLOOKUP(C156,'RAW DATA 2023'!E:BP,63,0)</f>
        <v>5</v>
      </c>
      <c r="E156" s="63" t="str">
        <f t="shared" si="13"/>
        <v>Roiphet15</v>
      </c>
      <c r="F156" s="63">
        <f>ROUND(VLOOKUP(C156,'RAW DATA 2023'!E:BO,23,0),0)</f>
        <v>30</v>
      </c>
      <c r="G156" s="120">
        <f>VLOOKUP(C156,'RAW DATA 2023'!E:BO,26,0)</f>
        <v>0.39238699399999999</v>
      </c>
      <c r="H156" s="101">
        <f>IFERROR(VLOOKUP(F156,STD!B:G,6,0),"")</f>
        <v>0.39</v>
      </c>
      <c r="I156" s="100">
        <f t="shared" si="14"/>
        <v>1.0061204974358973</v>
      </c>
      <c r="J156" s="249">
        <f t="shared" si="16"/>
        <v>10.122409948717944</v>
      </c>
      <c r="K156" s="63">
        <f>VLOOKUP(C156,'RAW DATA 2023'!E:BO,20,0)</f>
        <v>97</v>
      </c>
      <c r="L156" s="322">
        <f t="shared" si="17"/>
        <v>981.87376502564064</v>
      </c>
      <c r="M156" s="63"/>
      <c r="Y156" s="63" t="str">
        <f t="shared" si="15"/>
        <v>A6-G11-00915</v>
      </c>
    </row>
    <row r="157" spans="1:25">
      <c r="A157" s="63" t="str">
        <f>'RAW DATA 2023'!B150</f>
        <v>Roiphet1</v>
      </c>
      <c r="B157" s="63" t="str">
        <f>'RAW DATA 2023'!D150</f>
        <v>A6-I11-0101</v>
      </c>
      <c r="C157" s="63" t="str">
        <f t="shared" si="12"/>
        <v>Roiphet1A6-I11-0101</v>
      </c>
      <c r="D157" s="63">
        <f>VLOOKUP(C157,'RAW DATA 2023'!E:BP,63,0)</f>
        <v>5</v>
      </c>
      <c r="E157" s="63" t="str">
        <f t="shared" si="13"/>
        <v>Roiphet15</v>
      </c>
      <c r="F157" s="63">
        <f>ROUND(VLOOKUP(C157,'RAW DATA 2023'!E:BO,23,0),0)</f>
        <v>31</v>
      </c>
      <c r="G157" s="120">
        <f>VLOOKUP(C157,'RAW DATA 2023'!E:BO,26,0)</f>
        <v>0.39228390200000002</v>
      </c>
      <c r="H157" s="101">
        <f>IFERROR(VLOOKUP(F157,STD!B:G,6,0),"")</f>
        <v>0.39</v>
      </c>
      <c r="I157" s="100">
        <f t="shared" si="14"/>
        <v>1.0058561589743591</v>
      </c>
      <c r="J157" s="249">
        <f t="shared" si="16"/>
        <v>10.117123179487182</v>
      </c>
      <c r="K157" s="63">
        <f>VLOOKUP(C157,'RAW DATA 2023'!E:BO,20,0)</f>
        <v>97.000000000000014</v>
      </c>
      <c r="L157" s="322">
        <f t="shared" si="17"/>
        <v>981.36094841025681</v>
      </c>
      <c r="M157" s="63"/>
      <c r="Y157" s="63" t="str">
        <f t="shared" si="15"/>
        <v>A6-I11-01015</v>
      </c>
    </row>
    <row r="158" spans="1:25">
      <c r="A158" s="63" t="str">
        <f>'RAW DATA 2023'!B151</f>
        <v>Roiphet1</v>
      </c>
      <c r="B158" s="63" t="str">
        <f>'RAW DATA 2023'!D151</f>
        <v>A1-I02-0094</v>
      </c>
      <c r="C158" s="63" t="str">
        <f t="shared" si="12"/>
        <v>Roiphet1A1-I02-0094</v>
      </c>
      <c r="D158" s="63">
        <f>VLOOKUP(C158,'RAW DATA 2023'!E:BP,63,0)</f>
        <v>5</v>
      </c>
      <c r="E158" s="63" t="str">
        <f t="shared" si="13"/>
        <v>Roiphet15</v>
      </c>
      <c r="F158" s="63">
        <f>ROUND(VLOOKUP(C158,'RAW DATA 2023'!E:BO,23,0),0)</f>
        <v>31</v>
      </c>
      <c r="G158" s="120">
        <f>VLOOKUP(C158,'RAW DATA 2023'!E:BO,26,0)</f>
        <v>0.38373209400000002</v>
      </c>
      <c r="H158" s="101">
        <f>IFERROR(VLOOKUP(F158,STD!B:G,6,0),"")</f>
        <v>0.39</v>
      </c>
      <c r="I158" s="100">
        <f t="shared" si="14"/>
        <v>0.98392844615384623</v>
      </c>
      <c r="J158" s="249">
        <f t="shared" si="16"/>
        <v>9.6785689230769236</v>
      </c>
      <c r="K158" s="63">
        <f>VLOOKUP(C158,'RAW DATA 2023'!E:BO,20,0)</f>
        <v>123</v>
      </c>
      <c r="L158" s="322">
        <f t="shared" si="17"/>
        <v>1190.4639775384617</v>
      </c>
      <c r="M158" s="63"/>
      <c r="Y158" s="63" t="str">
        <f t="shared" si="15"/>
        <v>A1-I02-00945</v>
      </c>
    </row>
    <row r="159" spans="1:25">
      <c r="A159" s="63" t="str">
        <f>'RAW DATA 2023'!B152</f>
        <v>Roiphet1</v>
      </c>
      <c r="B159" s="63" t="str">
        <f>'RAW DATA 2023'!D152</f>
        <v>A2-I03-0094</v>
      </c>
      <c r="C159" s="63" t="str">
        <f t="shared" si="12"/>
        <v>Roiphet1A2-I03-0094</v>
      </c>
      <c r="D159" s="63">
        <f>VLOOKUP(C159,'RAW DATA 2023'!E:BP,63,0)</f>
        <v>4</v>
      </c>
      <c r="E159" s="63" t="str">
        <f t="shared" si="13"/>
        <v>Roiphet14</v>
      </c>
      <c r="F159" s="63">
        <f>ROUND(VLOOKUP(C159,'RAW DATA 2023'!E:BO,23,0),0)</f>
        <v>29</v>
      </c>
      <c r="G159" s="120">
        <f>VLOOKUP(C159,'RAW DATA 2023'!E:BO,26,0)</f>
        <v>0.38362745100000001</v>
      </c>
      <c r="H159" s="101">
        <f>IFERROR(VLOOKUP(F159,STD!B:G,6,0),"")</f>
        <v>0.4</v>
      </c>
      <c r="I159" s="100">
        <f t="shared" si="14"/>
        <v>0.95906862749999999</v>
      </c>
      <c r="J159" s="249">
        <f t="shared" si="16"/>
        <v>9.181372549999999</v>
      </c>
      <c r="K159" s="63">
        <f>VLOOKUP(C159,'RAW DATA 2023'!E:BO,20,0)</f>
        <v>102</v>
      </c>
      <c r="L159" s="322">
        <f t="shared" si="17"/>
        <v>936.50000009999985</v>
      </c>
      <c r="M159" s="63"/>
      <c r="Y159" s="63" t="str">
        <f t="shared" si="15"/>
        <v>A2-I03-00944</v>
      </c>
    </row>
    <row r="160" spans="1:25">
      <c r="A160" s="63" t="str">
        <f>'RAW DATA 2023'!B153</f>
        <v>Roiphet1</v>
      </c>
      <c r="B160" s="63" t="str">
        <f>'RAW DATA 2023'!D153</f>
        <v>A2-G03-0082</v>
      </c>
      <c r="C160" s="63" t="str">
        <f t="shared" si="12"/>
        <v>Roiphet1A2-G03-0082</v>
      </c>
      <c r="D160" s="63">
        <f>VLOOKUP(C160,'RAW DATA 2023'!E:BP,63,0)</f>
        <v>5</v>
      </c>
      <c r="E160" s="63" t="str">
        <f t="shared" si="13"/>
        <v>Roiphet15</v>
      </c>
      <c r="F160" s="63">
        <f>ROUND(VLOOKUP(C160,'RAW DATA 2023'!E:BO,23,0),0)</f>
        <v>28</v>
      </c>
      <c r="G160" s="120">
        <f>VLOOKUP(C160,'RAW DATA 2023'!E:BO,26,0)</f>
        <v>0.37706425500000001</v>
      </c>
      <c r="H160" s="101">
        <f>IFERROR(VLOOKUP(F160,STD!B:G,6,0),"")</f>
        <v>0.41</v>
      </c>
      <c r="I160" s="100">
        <f t="shared" si="14"/>
        <v>0.91966891463414646</v>
      </c>
      <c r="J160" s="249">
        <f t="shared" si="16"/>
        <v>8.3933782926829288</v>
      </c>
      <c r="K160" s="63">
        <f>VLOOKUP(C160,'RAW DATA 2023'!E:BO,20,0)</f>
        <v>113</v>
      </c>
      <c r="L160" s="322">
        <f t="shared" si="17"/>
        <v>948.45174707317096</v>
      </c>
      <c r="M160" s="63"/>
      <c r="Y160" s="63" t="str">
        <f t="shared" si="15"/>
        <v>A2-G03-00825</v>
      </c>
    </row>
    <row r="161" spans="1:25">
      <c r="A161" s="63" t="str">
        <f>'RAW DATA 2023'!B154</f>
        <v>Roiphet1</v>
      </c>
      <c r="B161" s="63" t="str">
        <f>'RAW DATA 2023'!D154</f>
        <v>A4-G07-0071</v>
      </c>
      <c r="C161" s="63" t="str">
        <f t="shared" si="12"/>
        <v>Roiphet1A4-G07-0071</v>
      </c>
      <c r="D161" s="63">
        <f>VLOOKUP(C161,'RAW DATA 2023'!E:BP,63,0)</f>
        <v>5</v>
      </c>
      <c r="E161" s="63" t="str">
        <f t="shared" si="13"/>
        <v>Roiphet15</v>
      </c>
      <c r="F161" s="63">
        <f>ROUND(VLOOKUP(C161,'RAW DATA 2023'!E:BO,23,0),0)</f>
        <v>31</v>
      </c>
      <c r="G161" s="120">
        <f>VLOOKUP(C161,'RAW DATA 2023'!E:BO,26,0)</f>
        <v>0.37516424799999998</v>
      </c>
      <c r="H161" s="101">
        <f>IFERROR(VLOOKUP(F161,STD!B:G,6,0),"")</f>
        <v>0.39</v>
      </c>
      <c r="I161" s="100">
        <f t="shared" si="14"/>
        <v>0.96195961025641019</v>
      </c>
      <c r="J161" s="249">
        <f t="shared" si="16"/>
        <v>9.2391922051282034</v>
      </c>
      <c r="K161" s="63">
        <f>VLOOKUP(C161,'RAW DATA 2023'!E:BO,20,0)</f>
        <v>119</v>
      </c>
      <c r="L161" s="322">
        <f t="shared" si="17"/>
        <v>1099.4638724102563</v>
      </c>
      <c r="M161" s="63"/>
      <c r="Y161" s="63" t="str">
        <f t="shared" si="15"/>
        <v>A4-G07-00715</v>
      </c>
    </row>
    <row r="162" spans="1:25">
      <c r="A162" s="63" t="str">
        <f>'RAW DATA 2023'!B155</f>
        <v>Roiphet1</v>
      </c>
      <c r="B162" s="63" t="str">
        <f>'RAW DATA 2023'!D155</f>
        <v>A3-G05-0076</v>
      </c>
      <c r="C162" s="63" t="str">
        <f t="shared" si="12"/>
        <v>Roiphet1A3-G05-0076</v>
      </c>
      <c r="D162" s="63">
        <f>VLOOKUP(C162,'RAW DATA 2023'!E:BP,63,0)</f>
        <v>6</v>
      </c>
      <c r="E162" s="63" t="str">
        <f t="shared" si="13"/>
        <v>Roiphet16</v>
      </c>
      <c r="F162" s="63">
        <f>ROUND(VLOOKUP(C162,'RAW DATA 2023'!E:BO,23,0),0)</f>
        <v>32</v>
      </c>
      <c r="G162" s="120">
        <f>VLOOKUP(C162,'RAW DATA 2023'!E:BO,26,0)</f>
        <v>0.37415879000000002</v>
      </c>
      <c r="H162" s="101">
        <f>IFERROR(VLOOKUP(F162,STD!B:G,6,0),"")</f>
        <v>0.39</v>
      </c>
      <c r="I162" s="100">
        <f t="shared" si="14"/>
        <v>0.95938151282051287</v>
      </c>
      <c r="J162" s="249">
        <f t="shared" si="16"/>
        <v>9.187630256410257</v>
      </c>
      <c r="K162" s="63">
        <f>VLOOKUP(C162,'RAW DATA 2023'!E:BO,20,0)</f>
        <v>115</v>
      </c>
      <c r="L162" s="322">
        <f t="shared" si="17"/>
        <v>1056.5774794871795</v>
      </c>
      <c r="M162" s="63"/>
      <c r="Y162" s="63" t="str">
        <f t="shared" si="15"/>
        <v>A3-G05-00766</v>
      </c>
    </row>
    <row r="163" spans="1:25">
      <c r="A163" s="63" t="str">
        <f>'RAW DATA 2023'!B156</f>
        <v>Roiphet1</v>
      </c>
      <c r="B163" s="63" t="str">
        <f>'RAW DATA 2023'!D156</f>
        <v>A2-I04-0099</v>
      </c>
      <c r="C163" s="63" t="str">
        <f t="shared" si="12"/>
        <v>Roiphet1A2-I04-0099</v>
      </c>
      <c r="D163" s="63">
        <f>VLOOKUP(C163,'RAW DATA 2023'!E:BP,63,0)</f>
        <v>5</v>
      </c>
      <c r="E163" s="63" t="str">
        <f t="shared" si="13"/>
        <v>Roiphet15</v>
      </c>
      <c r="F163" s="63">
        <f>ROUND(VLOOKUP(C163,'RAW DATA 2023'!E:BO,23,0),0)</f>
        <v>33</v>
      </c>
      <c r="G163" s="120">
        <f>VLOOKUP(C163,'RAW DATA 2023'!E:BO,26,0)</f>
        <v>0.37222638699999999</v>
      </c>
      <c r="H163" s="101">
        <f>IFERROR(VLOOKUP(F163,STD!B:G,6,0),"")</f>
        <v>0.39</v>
      </c>
      <c r="I163" s="100">
        <f t="shared" si="14"/>
        <v>0.95442663333333333</v>
      </c>
      <c r="J163" s="249">
        <f t="shared" si="16"/>
        <v>9.0885326666666657</v>
      </c>
      <c r="K163" s="63">
        <f>VLOOKUP(C163,'RAW DATA 2023'!E:BO,20,0)</f>
        <v>116</v>
      </c>
      <c r="L163" s="322">
        <f t="shared" si="17"/>
        <v>1054.2697893333332</v>
      </c>
      <c r="M163" s="63"/>
      <c r="Y163" s="63" t="str">
        <f t="shared" si="15"/>
        <v>A2-I04-00995</v>
      </c>
    </row>
    <row r="164" spans="1:25">
      <c r="A164" s="63" t="str">
        <f>'RAW DATA 2023'!B157</f>
        <v>Roiphet1</v>
      </c>
      <c r="B164" s="63" t="str">
        <f>'RAW DATA 2023'!D157</f>
        <v>A4-G08-0070</v>
      </c>
      <c r="C164" s="63" t="str">
        <f t="shared" si="12"/>
        <v>Roiphet1A4-G08-0070</v>
      </c>
      <c r="D164" s="63">
        <f>VLOOKUP(C164,'RAW DATA 2023'!E:BP,63,0)</f>
        <v>9</v>
      </c>
      <c r="E164" s="63" t="str">
        <f t="shared" si="13"/>
        <v>Roiphet19</v>
      </c>
      <c r="F164" s="63">
        <f>ROUND(VLOOKUP(C164,'RAW DATA 2023'!E:BO,23,0),0)</f>
        <v>39</v>
      </c>
      <c r="G164" s="120">
        <f>VLOOKUP(C164,'RAW DATA 2023'!E:BO,26,0)</f>
        <v>0.37221252399999999</v>
      </c>
      <c r="H164" s="101">
        <f>IFERROR(VLOOKUP(F164,STD!B:G,6,0),"")</f>
        <v>0.37</v>
      </c>
      <c r="I164" s="100">
        <f t="shared" si="14"/>
        <v>1.0059797945945945</v>
      </c>
      <c r="J164" s="249">
        <f t="shared" si="16"/>
        <v>10.11959589189189</v>
      </c>
      <c r="K164" s="63">
        <f>VLOOKUP(C164,'RAW DATA 2023'!E:BO,20,0)</f>
        <v>85</v>
      </c>
      <c r="L164" s="322">
        <f t="shared" si="17"/>
        <v>860.16565081081069</v>
      </c>
      <c r="M164" s="63"/>
      <c r="Y164" s="63" t="str">
        <f t="shared" si="15"/>
        <v>A4-G08-00709</v>
      </c>
    </row>
    <row r="165" spans="1:25">
      <c r="A165" s="63" t="str">
        <f>'RAW DATA 2023'!B158</f>
        <v>Roiphet1</v>
      </c>
      <c r="B165" s="63" t="str">
        <f>'RAW DATA 2023'!D158</f>
        <v>A5-I10-0094</v>
      </c>
      <c r="C165" s="63" t="str">
        <f t="shared" si="12"/>
        <v>Roiphet1A5-I10-0094</v>
      </c>
      <c r="D165" s="63">
        <f>VLOOKUP(C165,'RAW DATA 2023'!E:BP,63,0)</f>
        <v>5</v>
      </c>
      <c r="E165" s="63" t="str">
        <f t="shared" si="13"/>
        <v>Roiphet15</v>
      </c>
      <c r="F165" s="63">
        <f>ROUND(VLOOKUP(C165,'RAW DATA 2023'!E:BO,23,0),0)</f>
        <v>30</v>
      </c>
      <c r="G165" s="120">
        <f>VLOOKUP(C165,'RAW DATA 2023'!E:BO,26,0)</f>
        <v>0.36902906099999999</v>
      </c>
      <c r="H165" s="101">
        <f>IFERROR(VLOOKUP(F165,STD!B:G,6,0),"")</f>
        <v>0.39</v>
      </c>
      <c r="I165" s="100">
        <f t="shared" si="14"/>
        <v>0.94622836153846146</v>
      </c>
      <c r="J165" s="249">
        <f t="shared" si="16"/>
        <v>8.9245672307692292</v>
      </c>
      <c r="K165" s="63">
        <f>VLOOKUP(C165,'RAW DATA 2023'!E:BO,20,0)</f>
        <v>122</v>
      </c>
      <c r="L165" s="322">
        <f t="shared" si="17"/>
        <v>1088.797202153846</v>
      </c>
      <c r="M165" s="63"/>
      <c r="Y165" s="63" t="str">
        <f t="shared" si="15"/>
        <v>A5-I10-00945</v>
      </c>
    </row>
    <row r="166" spans="1:25">
      <c r="A166" s="63" t="str">
        <f>'RAW DATA 2023'!B159</f>
        <v>Roiphet1</v>
      </c>
      <c r="B166" s="63" t="str">
        <f>'RAW DATA 2023'!D159</f>
        <v>A2-G04-0081</v>
      </c>
      <c r="C166" s="63" t="str">
        <f t="shared" si="12"/>
        <v>Roiphet1A2-G04-0081</v>
      </c>
      <c r="D166" s="63">
        <f>VLOOKUP(C166,'RAW DATA 2023'!E:BP,63,0)</f>
        <v>5</v>
      </c>
      <c r="E166" s="63" t="str">
        <f t="shared" si="13"/>
        <v>Roiphet15</v>
      </c>
      <c r="F166" s="63">
        <f>ROUND(VLOOKUP(C166,'RAW DATA 2023'!E:BO,23,0),0)</f>
        <v>33</v>
      </c>
      <c r="G166" s="120">
        <f>VLOOKUP(C166,'RAW DATA 2023'!E:BO,26,0)</f>
        <v>0.36767744299999999</v>
      </c>
      <c r="H166" s="101">
        <f>IFERROR(VLOOKUP(F166,STD!B:G,6,0),"")</f>
        <v>0.39</v>
      </c>
      <c r="I166" s="100">
        <f t="shared" si="14"/>
        <v>0.94276267435897432</v>
      </c>
      <c r="J166" s="249">
        <f t="shared" si="16"/>
        <v>8.8552534871794855</v>
      </c>
      <c r="K166" s="63">
        <f>VLOOKUP(C166,'RAW DATA 2023'!E:BO,20,0)</f>
        <v>117</v>
      </c>
      <c r="L166" s="322">
        <f t="shared" si="17"/>
        <v>1036.0646579999998</v>
      </c>
      <c r="M166" s="63"/>
      <c r="Y166" s="63" t="str">
        <f t="shared" si="15"/>
        <v>A2-G04-00815</v>
      </c>
    </row>
    <row r="167" spans="1:25">
      <c r="A167" s="63" t="str">
        <f>'RAW DATA 2023'!B160</f>
        <v>Roiphet1</v>
      </c>
      <c r="B167" s="63" t="str">
        <f>'RAW DATA 2023'!D160</f>
        <v>A3-I05-0083</v>
      </c>
      <c r="C167" s="63" t="str">
        <f t="shared" si="12"/>
        <v>Roiphet1A3-I05-0083</v>
      </c>
      <c r="D167" s="63">
        <f>VLOOKUP(C167,'RAW DATA 2023'!E:BP,63,0)</f>
        <v>1</v>
      </c>
      <c r="E167" s="63" t="str">
        <f t="shared" si="13"/>
        <v>Roiphet11</v>
      </c>
      <c r="F167" s="63">
        <f>ROUND(VLOOKUP(C167,'RAW DATA 2023'!E:BO,23,0),0)</f>
        <v>39</v>
      </c>
      <c r="G167" s="120">
        <f>VLOOKUP(C167,'RAW DATA 2023'!E:BO,26,0)</f>
        <v>0.36639259299999999</v>
      </c>
      <c r="H167" s="101">
        <f>IFERROR(VLOOKUP(F167,STD!B:G,6,0),"")</f>
        <v>0.37</v>
      </c>
      <c r="I167" s="100">
        <f t="shared" si="14"/>
        <v>0.99025025135135136</v>
      </c>
      <c r="J167" s="249">
        <f t="shared" si="16"/>
        <v>9.8050050270270273</v>
      </c>
      <c r="K167" s="63">
        <f>VLOOKUP(C167,'RAW DATA 2023'!E:BO,20,0)</f>
        <v>90</v>
      </c>
      <c r="L167" s="322">
        <f t="shared" si="17"/>
        <v>882.45045243243248</v>
      </c>
      <c r="M167" s="63"/>
      <c r="Y167" s="63" t="str">
        <f t="shared" si="15"/>
        <v>A3-I05-00831</v>
      </c>
    </row>
    <row r="168" spans="1:25">
      <c r="A168" s="63" t="str">
        <f>'RAW DATA 2023'!B161</f>
        <v>Roiphet1</v>
      </c>
      <c r="B168" s="63" t="str">
        <f>'RAW DATA 2023'!D161</f>
        <v>A3-I06-0089</v>
      </c>
      <c r="C168" s="63" t="str">
        <f t="shared" si="12"/>
        <v>Roiphet1A3-I06-0089</v>
      </c>
      <c r="D168" s="63">
        <f>VLOOKUP(C168,'RAW DATA 2023'!E:BP,63,0)</f>
        <v>6</v>
      </c>
      <c r="E168" s="63" t="str">
        <f t="shared" si="13"/>
        <v>Roiphet16</v>
      </c>
      <c r="F168" s="63">
        <f>ROUND(VLOOKUP(C168,'RAW DATA 2023'!E:BO,23,0),0)</f>
        <v>26</v>
      </c>
      <c r="G168" s="120">
        <f>VLOOKUP(C168,'RAW DATA 2023'!E:BO,26,0)</f>
        <v>0.36629711799999992</v>
      </c>
      <c r="H168" s="101">
        <f>IFERROR(VLOOKUP(F168,STD!B:G,6,0),"")</f>
        <v>0.37</v>
      </c>
      <c r="I168" s="100">
        <f t="shared" si="14"/>
        <v>0.98999221081081057</v>
      </c>
      <c r="J168" s="249">
        <f t="shared" si="16"/>
        <v>9.7998442162162114</v>
      </c>
      <c r="K168" s="63">
        <f>VLOOKUP(C168,'RAW DATA 2023'!E:BO,20,0)</f>
        <v>123</v>
      </c>
      <c r="L168" s="322">
        <f t="shared" si="17"/>
        <v>1205.380838594594</v>
      </c>
      <c r="M168" s="63"/>
      <c r="Y168" s="63" t="str">
        <f t="shared" si="15"/>
        <v>A3-I06-00896</v>
      </c>
    </row>
    <row r="169" spans="1:25">
      <c r="A169" s="63" t="str">
        <f>'RAW DATA 2023'!B162</f>
        <v>Roiphet1</v>
      </c>
      <c r="B169" s="63" t="str">
        <f>'RAW DATA 2023'!D162</f>
        <v>A1-G02-0074</v>
      </c>
      <c r="C169" s="63" t="str">
        <f t="shared" si="12"/>
        <v>Roiphet1A1-G02-0074</v>
      </c>
      <c r="D169" s="63">
        <f>VLOOKUP(C169,'RAW DATA 2023'!E:BP,63,0)</f>
        <v>5</v>
      </c>
      <c r="E169" s="63" t="str">
        <f t="shared" si="13"/>
        <v>Roiphet15</v>
      </c>
      <c r="F169" s="63">
        <f>ROUND(VLOOKUP(C169,'RAW DATA 2023'!E:BO,23,0),0)</f>
        <v>31</v>
      </c>
      <c r="G169" s="120">
        <f>VLOOKUP(C169,'RAW DATA 2023'!E:BO,26,0)</f>
        <v>0.36613451600000002</v>
      </c>
      <c r="H169" s="101">
        <f>IFERROR(VLOOKUP(F169,STD!B:G,6,0),"")</f>
        <v>0.39</v>
      </c>
      <c r="I169" s="100">
        <f t="shared" si="14"/>
        <v>0.93880645128205131</v>
      </c>
      <c r="J169" s="249">
        <f t="shared" si="16"/>
        <v>8.7761290256410263</v>
      </c>
      <c r="K169" s="63">
        <f>VLOOKUP(C169,'RAW DATA 2023'!E:BO,20,0)</f>
        <v>123</v>
      </c>
      <c r="L169" s="322">
        <f t="shared" si="17"/>
        <v>1079.4638701538463</v>
      </c>
      <c r="M169" s="63"/>
      <c r="Y169" s="63" t="str">
        <f t="shared" si="15"/>
        <v>A1-G02-00745</v>
      </c>
    </row>
    <row r="170" spans="1:25">
      <c r="A170" s="63" t="str">
        <f>'RAW DATA 2023'!B163</f>
        <v>Roiphet1</v>
      </c>
      <c r="B170" s="63" t="str">
        <f>'RAW DATA 2023'!D163</f>
        <v>A5-I09-0098</v>
      </c>
      <c r="C170" s="63" t="str">
        <f t="shared" si="12"/>
        <v>Roiphet1A5-I09-0098</v>
      </c>
      <c r="D170" s="63">
        <f>VLOOKUP(C170,'RAW DATA 2023'!E:BP,63,0)</f>
        <v>6</v>
      </c>
      <c r="E170" s="63" t="str">
        <f t="shared" si="13"/>
        <v>Roiphet16</v>
      </c>
      <c r="F170" s="63">
        <f>ROUND(VLOOKUP(C170,'RAW DATA 2023'!E:BO,23,0),0)</f>
        <v>31</v>
      </c>
      <c r="G170" s="120">
        <f>VLOOKUP(C170,'RAW DATA 2023'!E:BO,26,0)</f>
        <v>0.36398498200000001</v>
      </c>
      <c r="H170" s="101">
        <f>IFERROR(VLOOKUP(F170,STD!B:G,6,0),"")</f>
        <v>0.39</v>
      </c>
      <c r="I170" s="100">
        <f t="shared" si="14"/>
        <v>0.93329482564102562</v>
      </c>
      <c r="J170" s="249">
        <f t="shared" si="16"/>
        <v>8.6658965128205132</v>
      </c>
      <c r="K170" s="63">
        <f>VLOOKUP(C170,'RAW DATA 2023'!E:BO,20,0)</f>
        <v>130</v>
      </c>
      <c r="L170" s="322">
        <f t="shared" si="17"/>
        <v>1126.5665466666667</v>
      </c>
      <c r="M170" s="63"/>
      <c r="Y170" s="63" t="str">
        <f t="shared" si="15"/>
        <v>A5-I09-00986</v>
      </c>
    </row>
    <row r="171" spans="1:25">
      <c r="A171" s="63" t="str">
        <f>'RAW DATA 2023'!B164</f>
        <v>Roiphet1</v>
      </c>
      <c r="B171" s="63" t="str">
        <f>'RAW DATA 2023'!D164</f>
        <v>A3-I05-0084</v>
      </c>
      <c r="C171" s="63" t="str">
        <f t="shared" si="12"/>
        <v>Roiphet1A3-I05-0084</v>
      </c>
      <c r="D171" s="63">
        <f>VLOOKUP(C171,'RAW DATA 2023'!E:BP,63,0)</f>
        <v>6</v>
      </c>
      <c r="E171" s="63" t="str">
        <f t="shared" si="13"/>
        <v>Roiphet16</v>
      </c>
      <c r="F171" s="63">
        <f>ROUND(VLOOKUP(C171,'RAW DATA 2023'!E:BO,23,0),0)</f>
        <v>32</v>
      </c>
      <c r="G171" s="120">
        <f>VLOOKUP(C171,'RAW DATA 2023'!E:BO,26,0)</f>
        <v>0.36154970800000003</v>
      </c>
      <c r="H171" s="101">
        <f>IFERROR(VLOOKUP(F171,STD!B:G,6,0),"")</f>
        <v>0.39</v>
      </c>
      <c r="I171" s="100">
        <f t="shared" si="14"/>
        <v>0.92705053333333332</v>
      </c>
      <c r="J171" s="249">
        <f t="shared" si="16"/>
        <v>8.5410106666666668</v>
      </c>
      <c r="K171" s="63">
        <f>VLOOKUP(C171,'RAW DATA 2023'!E:BO,20,0)</f>
        <v>114</v>
      </c>
      <c r="L171" s="322">
        <f t="shared" si="17"/>
        <v>973.67521599999998</v>
      </c>
      <c r="M171" s="63"/>
      <c r="Y171" s="63" t="str">
        <f t="shared" si="15"/>
        <v>A3-I05-00846</v>
      </c>
    </row>
    <row r="172" spans="1:25">
      <c r="A172" s="63" t="str">
        <f>'RAW DATA 2023'!B165</f>
        <v>Roiphet1</v>
      </c>
      <c r="B172" s="63" t="str">
        <f>'RAW DATA 2023'!D165</f>
        <v>A1-G01-0064</v>
      </c>
      <c r="C172" s="63" t="str">
        <f t="shared" si="12"/>
        <v>Roiphet1A1-G01-0064</v>
      </c>
      <c r="D172" s="63">
        <f>VLOOKUP(C172,'RAW DATA 2023'!E:BP,63,0)</f>
        <v>9</v>
      </c>
      <c r="E172" s="63" t="str">
        <f t="shared" si="13"/>
        <v>Roiphet19</v>
      </c>
      <c r="F172" s="63">
        <f>ROUND(VLOOKUP(C172,'RAW DATA 2023'!E:BO,23,0),0)</f>
        <v>44</v>
      </c>
      <c r="G172" s="120">
        <f>VLOOKUP(C172,'RAW DATA 2023'!E:BO,26,0)</f>
        <v>0.361187384</v>
      </c>
      <c r="H172" s="101">
        <f>IFERROR(VLOOKUP(F172,STD!B:G,6,0),"")</f>
        <v>0.37</v>
      </c>
      <c r="I172" s="100">
        <f t="shared" si="14"/>
        <v>0.97618211891891893</v>
      </c>
      <c r="J172" s="249">
        <f t="shared" si="16"/>
        <v>9.5236423783783781</v>
      </c>
      <c r="K172" s="63">
        <f>VLOOKUP(C172,'RAW DATA 2023'!E:BO,20,0)</f>
        <v>77</v>
      </c>
      <c r="L172" s="322">
        <f t="shared" si="17"/>
        <v>733.32046313513513</v>
      </c>
      <c r="M172" s="63"/>
      <c r="Y172" s="63" t="str">
        <f t="shared" si="15"/>
        <v>A1-G01-00649</v>
      </c>
    </row>
    <row r="173" spans="1:25">
      <c r="A173" s="63" t="str">
        <f>'RAW DATA 2023'!B166</f>
        <v>Roiphet1</v>
      </c>
      <c r="B173" s="63" t="str">
        <f>'RAW DATA 2023'!D166</f>
        <v>A4-I08-0100</v>
      </c>
      <c r="C173" s="63" t="str">
        <f t="shared" si="12"/>
        <v>Roiphet1A4-I08-0100</v>
      </c>
      <c r="D173" s="63">
        <f>VLOOKUP(C173,'RAW DATA 2023'!E:BP,63,0)</f>
        <v>9</v>
      </c>
      <c r="E173" s="63" t="str">
        <f t="shared" si="13"/>
        <v>Roiphet19</v>
      </c>
      <c r="F173" s="63">
        <f>ROUND(VLOOKUP(C173,'RAW DATA 2023'!E:BO,23,0),0)</f>
        <v>43</v>
      </c>
      <c r="G173" s="120">
        <f>VLOOKUP(C173,'RAW DATA 2023'!E:BO,26,0)</f>
        <v>0.36035294099999998</v>
      </c>
      <c r="H173" s="101">
        <f>IFERROR(VLOOKUP(F173,STD!B:G,6,0),"")</f>
        <v>0.37</v>
      </c>
      <c r="I173" s="100">
        <f t="shared" si="14"/>
        <v>0.97392686756756752</v>
      </c>
      <c r="J173" s="249">
        <f t="shared" si="16"/>
        <v>9.4785373513513509</v>
      </c>
      <c r="K173" s="63">
        <f>VLOOKUP(C173,'RAW DATA 2023'!E:BO,20,0)</f>
        <v>85</v>
      </c>
      <c r="L173" s="322">
        <f t="shared" si="17"/>
        <v>805.67567486486485</v>
      </c>
      <c r="M173" s="63"/>
      <c r="Y173" s="63" t="str">
        <f t="shared" si="15"/>
        <v>A4-I08-01009</v>
      </c>
    </row>
    <row r="174" spans="1:25">
      <c r="A174" s="63" t="str">
        <f>'RAW DATA 2023'!B167</f>
        <v>Roiphet1</v>
      </c>
      <c r="B174" s="63" t="str">
        <f>'RAW DATA 2023'!D167</f>
        <v>A4-I07-0094</v>
      </c>
      <c r="C174" s="63" t="str">
        <f t="shared" si="12"/>
        <v>Roiphet1A4-I07-0094</v>
      </c>
      <c r="D174" s="63">
        <f>VLOOKUP(C174,'RAW DATA 2023'!E:BP,63,0)</f>
        <v>5</v>
      </c>
      <c r="E174" s="63" t="str">
        <f t="shared" si="13"/>
        <v>Roiphet15</v>
      </c>
      <c r="F174" s="63">
        <f>ROUND(VLOOKUP(C174,'RAW DATA 2023'!E:BO,23,0),0)</f>
        <v>32</v>
      </c>
      <c r="G174" s="120">
        <f>VLOOKUP(C174,'RAW DATA 2023'!E:BO,26,0)</f>
        <v>0.358556814</v>
      </c>
      <c r="H174" s="101">
        <f>IFERROR(VLOOKUP(F174,STD!B:G,6,0),"")</f>
        <v>0.39</v>
      </c>
      <c r="I174" s="100">
        <f t="shared" si="14"/>
        <v>0.91937644615384617</v>
      </c>
      <c r="J174" s="249">
        <f t="shared" si="16"/>
        <v>8.387528923076923</v>
      </c>
      <c r="K174" s="63">
        <f>VLOOKUP(C174,'RAW DATA 2023'!E:BO,20,0)</f>
        <v>119</v>
      </c>
      <c r="L174" s="322">
        <f t="shared" si="17"/>
        <v>998.11594184615387</v>
      </c>
      <c r="M174" s="63"/>
      <c r="Y174" s="63" t="str">
        <f t="shared" si="15"/>
        <v>A4-I07-00945</v>
      </c>
    </row>
    <row r="175" spans="1:25">
      <c r="A175" s="63" t="str">
        <f>'RAW DATA 2023'!B168</f>
        <v>Roiphet1</v>
      </c>
      <c r="B175" s="63" t="str">
        <f>'RAW DATA 2023'!D168</f>
        <v>A1-G01-0062</v>
      </c>
      <c r="C175" s="63" t="str">
        <f t="shared" si="12"/>
        <v>Roiphet1A1-G01-0062</v>
      </c>
      <c r="D175" s="63">
        <f>VLOOKUP(C175,'RAW DATA 2023'!E:BP,63,0)</f>
        <v>1</v>
      </c>
      <c r="E175" s="63" t="str">
        <f t="shared" si="13"/>
        <v>Roiphet11</v>
      </c>
      <c r="F175" s="63">
        <f>ROUND(VLOOKUP(C175,'RAW DATA 2023'!E:BO,23,0),0)</f>
        <v>40</v>
      </c>
      <c r="G175" s="120">
        <f>VLOOKUP(C175,'RAW DATA 2023'!E:BO,26,0)</f>
        <v>0.35496114699999998</v>
      </c>
      <c r="H175" s="101">
        <f>IFERROR(VLOOKUP(F175,STD!B:G,6,0),"")</f>
        <v>0.37</v>
      </c>
      <c r="I175" s="100">
        <f t="shared" si="14"/>
        <v>0.95935445135135133</v>
      </c>
      <c r="J175" s="249">
        <f t="shared" si="16"/>
        <v>9.1870890270270262</v>
      </c>
      <c r="K175" s="63">
        <f>VLOOKUP(C175,'RAW DATA 2023'!E:BO,20,0)</f>
        <v>102.00000000000001</v>
      </c>
      <c r="L175" s="322">
        <f t="shared" si="17"/>
        <v>937.08308075675677</v>
      </c>
      <c r="M175" s="63"/>
      <c r="Y175" s="63" t="str">
        <f t="shared" si="15"/>
        <v>A1-G01-00621</v>
      </c>
    </row>
    <row r="176" spans="1:25">
      <c r="A176" s="63" t="str">
        <f>'RAW DATA 2023'!B169</f>
        <v>Roiphet1</v>
      </c>
      <c r="B176" s="63" t="str">
        <f>'RAW DATA 2023'!D169</f>
        <v>A5-G10-0068</v>
      </c>
      <c r="C176" s="63" t="str">
        <f t="shared" si="12"/>
        <v>Roiphet1A5-G10-0068</v>
      </c>
      <c r="D176" s="63">
        <f>VLOOKUP(C176,'RAW DATA 2023'!E:BP,63,0)</f>
        <v>5</v>
      </c>
      <c r="E176" s="63" t="str">
        <f t="shared" si="13"/>
        <v>Roiphet15</v>
      </c>
      <c r="F176" s="63">
        <f>ROUND(VLOOKUP(C176,'RAW DATA 2023'!E:BO,23,0),0)</f>
        <v>30</v>
      </c>
      <c r="G176" s="120">
        <f>VLOOKUP(C176,'RAW DATA 2023'!E:BO,26,0)</f>
        <v>0.35315787599999998</v>
      </c>
      <c r="H176" s="101">
        <f>IFERROR(VLOOKUP(F176,STD!B:G,6,0),"")</f>
        <v>0.39</v>
      </c>
      <c r="I176" s="100">
        <f t="shared" si="14"/>
        <v>0.90553301538461528</v>
      </c>
      <c r="J176" s="249">
        <f t="shared" si="16"/>
        <v>8.1106603076923065</v>
      </c>
      <c r="K176" s="63">
        <f>VLOOKUP(C176,'RAW DATA 2023'!E:BO,20,0)</f>
        <v>122</v>
      </c>
      <c r="L176" s="322">
        <f t="shared" si="17"/>
        <v>989.50055753846141</v>
      </c>
      <c r="M176" s="63"/>
      <c r="Y176" s="63" t="str">
        <f t="shared" si="15"/>
        <v>A5-G10-00685</v>
      </c>
    </row>
    <row r="177" spans="1:25">
      <c r="A177" s="63" t="str">
        <f>'RAW DATA 2023'!B170</f>
        <v>Roiphet1</v>
      </c>
      <c r="B177" s="63" t="str">
        <f>'RAW DATA 2023'!D170</f>
        <v>A3-G05-0075</v>
      </c>
      <c r="C177" s="63" t="str">
        <f t="shared" si="12"/>
        <v>Roiphet1A3-G05-0075</v>
      </c>
      <c r="D177" s="63">
        <f>VLOOKUP(C177,'RAW DATA 2023'!E:BP,63,0)</f>
        <v>1</v>
      </c>
      <c r="E177" s="63" t="str">
        <f t="shared" si="13"/>
        <v>Roiphet11</v>
      </c>
      <c r="F177" s="63">
        <f>ROUND(VLOOKUP(C177,'RAW DATA 2023'!E:BO,23,0),0)</f>
        <v>43</v>
      </c>
      <c r="G177" s="120">
        <f>VLOOKUP(C177,'RAW DATA 2023'!E:BO,26,0)</f>
        <v>0.34719101099999999</v>
      </c>
      <c r="H177" s="101">
        <f>IFERROR(VLOOKUP(F177,STD!B:G,6,0),"")</f>
        <v>0.37</v>
      </c>
      <c r="I177" s="100">
        <f t="shared" si="14"/>
        <v>0.93835408378378382</v>
      </c>
      <c r="J177" s="249">
        <f t="shared" si="16"/>
        <v>8.7670816756756764</v>
      </c>
      <c r="K177" s="63">
        <f>VLOOKUP(C177,'RAW DATA 2023'!E:BO,20,0)</f>
        <v>89</v>
      </c>
      <c r="L177" s="322">
        <f t="shared" si="17"/>
        <v>780.27026913513521</v>
      </c>
      <c r="M177" s="63"/>
      <c r="Y177" s="63" t="str">
        <f t="shared" si="15"/>
        <v>A3-G05-00751</v>
      </c>
    </row>
    <row r="178" spans="1:25">
      <c r="A178" s="63" t="str">
        <f>'RAW DATA 2023'!B171</f>
        <v>Roiphet1</v>
      </c>
      <c r="B178" s="63" t="str">
        <f>'RAW DATA 2023'!D171</f>
        <v>A4-G08-0069</v>
      </c>
      <c r="C178" s="63" t="str">
        <f t="shared" si="12"/>
        <v>Roiphet1A4-G08-0069</v>
      </c>
      <c r="D178" s="63">
        <f>VLOOKUP(C178,'RAW DATA 2023'!E:BP,63,0)</f>
        <v>6</v>
      </c>
      <c r="E178" s="63" t="str">
        <f t="shared" si="13"/>
        <v>Roiphet16</v>
      </c>
      <c r="F178" s="63">
        <f>ROUND(VLOOKUP(C178,'RAW DATA 2023'!E:BO,23,0),0)</f>
        <v>32</v>
      </c>
      <c r="G178" s="120">
        <f>VLOOKUP(C178,'RAW DATA 2023'!E:BO,26,0)</f>
        <v>0.33935748500000001</v>
      </c>
      <c r="H178" s="101">
        <f>IFERROR(VLOOKUP(F178,STD!B:G,6,0),"")</f>
        <v>0.39</v>
      </c>
      <c r="I178" s="100">
        <f t="shared" si="14"/>
        <v>0.87014739743589742</v>
      </c>
      <c r="J178" s="249">
        <f t="shared" si="16"/>
        <v>7.4029479487179479</v>
      </c>
      <c r="K178" s="63">
        <f>VLOOKUP(C178,'RAW DATA 2023'!E:BO,20,0)</f>
        <v>133</v>
      </c>
      <c r="L178" s="322">
        <f t="shared" si="17"/>
        <v>984.59207717948709</v>
      </c>
      <c r="M178" s="63"/>
      <c r="Y178" s="63" t="str">
        <f t="shared" si="15"/>
        <v>A4-G08-00696</v>
      </c>
    </row>
    <row r="179" spans="1:25">
      <c r="A179" s="63" t="str">
        <f>'RAW DATA 2023'!B172</f>
        <v>Roiphet1</v>
      </c>
      <c r="B179" s="63" t="str">
        <f>'RAW DATA 2023'!D172</f>
        <v>A5-G09-0083</v>
      </c>
      <c r="C179" s="63" t="str">
        <f t="shared" si="12"/>
        <v>Roiphet1A5-G09-0083</v>
      </c>
      <c r="D179" s="63">
        <f>VLOOKUP(C179,'RAW DATA 2023'!E:BP,63,0)</f>
        <v>6</v>
      </c>
      <c r="E179" s="63" t="str">
        <f t="shared" si="13"/>
        <v>Roiphet16</v>
      </c>
      <c r="F179" s="63">
        <f>ROUND(VLOOKUP(C179,'RAW DATA 2023'!E:BO,23,0),0)</f>
        <v>30</v>
      </c>
      <c r="G179" s="120">
        <f>VLOOKUP(C179,'RAW DATA 2023'!E:BO,26,0)</f>
        <v>0.33470744899999999</v>
      </c>
      <c r="H179" s="101">
        <f>IFERROR(VLOOKUP(F179,STD!B:G,6,0),"")</f>
        <v>0.39</v>
      </c>
      <c r="I179" s="100">
        <f t="shared" si="14"/>
        <v>0.85822422820512811</v>
      </c>
      <c r="J179" s="249">
        <f t="shared" si="16"/>
        <v>7.1644845641025618</v>
      </c>
      <c r="K179" s="63">
        <f>VLOOKUP(C179,'RAW DATA 2023'!E:BO,20,0)</f>
        <v>129</v>
      </c>
      <c r="L179" s="322">
        <f t="shared" si="17"/>
        <v>924.21850876923043</v>
      </c>
      <c r="M179" s="63"/>
      <c r="Y179" s="63" t="str">
        <f t="shared" si="15"/>
        <v>A5-G09-00836</v>
      </c>
    </row>
    <row r="180" spans="1:25">
      <c r="A180" s="63" t="str">
        <f>'RAW DATA 2023'!B173</f>
        <v>Roiphet1</v>
      </c>
      <c r="B180" s="63" t="str">
        <f>'RAW DATA 2023'!D173</f>
        <v>A4-I08-0099</v>
      </c>
      <c r="C180" s="63" t="str">
        <f t="shared" si="12"/>
        <v>Roiphet1A4-I08-0099</v>
      </c>
      <c r="D180" s="63">
        <f>VLOOKUP(C180,'RAW DATA 2023'!E:BP,63,0)</f>
        <v>6</v>
      </c>
      <c r="E180" s="63" t="str">
        <f t="shared" si="13"/>
        <v>Roiphet16</v>
      </c>
      <c r="F180" s="63">
        <f>ROUND(VLOOKUP(C180,'RAW DATA 2023'!E:BO,23,0),0)</f>
        <v>36</v>
      </c>
      <c r="G180" s="120">
        <f>VLOOKUP(C180,'RAW DATA 2023'!E:BO,26,0)</f>
        <v>0.322076574</v>
      </c>
      <c r="H180" s="101">
        <f>IFERROR(VLOOKUP(F180,STD!B:G,6,0),"")</f>
        <v>0.36</v>
      </c>
      <c r="I180" s="100">
        <f t="shared" si="14"/>
        <v>0.89465715000000001</v>
      </c>
      <c r="J180" s="249">
        <f t="shared" si="16"/>
        <v>7.8931430000000002</v>
      </c>
      <c r="K180" s="63">
        <f>VLOOKUP(C180,'RAW DATA 2023'!E:BO,20,0)</f>
        <v>134</v>
      </c>
      <c r="L180" s="322">
        <f t="shared" si="17"/>
        <v>1057.6811620000001</v>
      </c>
      <c r="M180" s="63"/>
      <c r="Y180" s="63" t="str">
        <f t="shared" si="15"/>
        <v>A4-I08-00996</v>
      </c>
    </row>
    <row r="181" spans="1:25">
      <c r="A181" s="63" t="str">
        <f>'RAW DATA 2023'!B174</f>
        <v>Roiphet1</v>
      </c>
      <c r="B181" s="63" t="str">
        <f>'RAW DATA 2023'!D174</f>
        <v>A3-G06-0081</v>
      </c>
      <c r="C181" s="63" t="str">
        <f t="shared" si="12"/>
        <v>Roiphet1A3-G06-0081</v>
      </c>
      <c r="D181" s="63">
        <f>VLOOKUP(C181,'RAW DATA 2023'!E:BP,63,0)</f>
        <v>6</v>
      </c>
      <c r="E181" s="63" t="str">
        <f t="shared" si="13"/>
        <v>Roiphet16</v>
      </c>
      <c r="F181" s="63">
        <f>ROUND(VLOOKUP(C181,'RAW DATA 2023'!E:BO,23,0),0)</f>
        <v>31</v>
      </c>
      <c r="G181" s="120">
        <f>VLOOKUP(C181,'RAW DATA 2023'!E:BO,26,0)</f>
        <v>0.309362101</v>
      </c>
      <c r="H181" s="101">
        <f>IFERROR(VLOOKUP(F181,STD!B:G,6,0),"")</f>
        <v>0.39</v>
      </c>
      <c r="I181" s="100">
        <f t="shared" si="14"/>
        <v>0.79323615641025635</v>
      </c>
      <c r="J181" s="249">
        <f t="shared" si="16"/>
        <v>5.8647231282051271</v>
      </c>
      <c r="K181" s="63">
        <f>VLOOKUP(C181,'RAW DATA 2023'!E:BO,20,0)</f>
        <v>123.00000000000001</v>
      </c>
      <c r="L181" s="322">
        <f t="shared" si="17"/>
        <v>721.36094476923074</v>
      </c>
      <c r="M181" s="63"/>
      <c r="Y181" s="63" t="str">
        <f t="shared" si="15"/>
        <v>A3-G06-00816</v>
      </c>
    </row>
    <row r="182" spans="1:25">
      <c r="A182" s="63" t="str">
        <f>'RAW DATA 2023'!B175</f>
        <v>Roiphet1</v>
      </c>
      <c r="B182" s="63" t="str">
        <f>'RAW DATA 2023'!D175</f>
        <v>D6-I12-0086</v>
      </c>
      <c r="C182" s="63" t="str">
        <f t="shared" si="12"/>
        <v>Roiphet1D6-I12-0086</v>
      </c>
      <c r="D182" s="63">
        <f>VLOOKUP(C182,'RAW DATA 2023'!E:BP,63,0)</f>
        <v>11</v>
      </c>
      <c r="E182" s="63" t="str">
        <f t="shared" si="13"/>
        <v>Roiphet111</v>
      </c>
      <c r="F182" s="63">
        <f>ROUND(VLOOKUP(C182,'RAW DATA 2023'!E:BO,23,0),0)</f>
        <v>37</v>
      </c>
      <c r="G182" s="120">
        <f>VLOOKUP(C182,'RAW DATA 2023'!E:BO,26,0)</f>
        <v>0.40618556700000003</v>
      </c>
      <c r="H182" s="101">
        <f>IFERROR(VLOOKUP(F182,STD!B:G,6,0),"")</f>
        <v>0.37</v>
      </c>
      <c r="I182" s="100">
        <f t="shared" si="14"/>
        <v>1.0977988297297299</v>
      </c>
      <c r="J182" s="249">
        <f t="shared" si="16"/>
        <v>11.955976594594597</v>
      </c>
      <c r="K182" s="63">
        <f>VLOOKUP(C182,'RAW DATA 2023'!E:BO,20,0)</f>
        <v>97</v>
      </c>
      <c r="L182" s="322">
        <f t="shared" si="17"/>
        <v>1159.729729675676</v>
      </c>
      <c r="M182" s="63"/>
      <c r="Y182" s="63" t="str">
        <f t="shared" si="15"/>
        <v>D6-I12-008611</v>
      </c>
    </row>
    <row r="183" spans="1:25">
      <c r="A183" s="63" t="str">
        <f>'RAW DATA 2023'!B176</f>
        <v>Roiphet1</v>
      </c>
      <c r="B183" s="63" t="str">
        <f>'RAW DATA 2023'!D176</f>
        <v>D6-I11-0084</v>
      </c>
      <c r="C183" s="63" t="str">
        <f t="shared" si="12"/>
        <v>Roiphet1D6-I11-0084</v>
      </c>
      <c r="D183" s="63">
        <f>VLOOKUP(C183,'RAW DATA 2023'!E:BP,63,0)</f>
        <v>11</v>
      </c>
      <c r="E183" s="63" t="str">
        <f t="shared" si="13"/>
        <v>Roiphet111</v>
      </c>
      <c r="F183" s="63">
        <f>ROUND(VLOOKUP(C183,'RAW DATA 2023'!E:BO,23,0),0)</f>
        <v>37</v>
      </c>
      <c r="G183" s="120">
        <f>VLOOKUP(C183,'RAW DATA 2023'!E:BO,26,0)</f>
        <v>0.38413957199999998</v>
      </c>
      <c r="H183" s="101">
        <f>IFERROR(VLOOKUP(F183,STD!B:G,6,0),"")</f>
        <v>0.37</v>
      </c>
      <c r="I183" s="100">
        <f t="shared" si="14"/>
        <v>1.0382150594594595</v>
      </c>
      <c r="J183" s="249">
        <f t="shared" si="16"/>
        <v>10.76430118918919</v>
      </c>
      <c r="K183" s="63">
        <f>VLOOKUP(C183,'RAW DATA 2023'!E:BO,20,0)</f>
        <v>97</v>
      </c>
      <c r="L183" s="322">
        <f t="shared" si="17"/>
        <v>1044.1372153513514</v>
      </c>
      <c r="M183" s="63"/>
      <c r="Y183" s="63" t="str">
        <f t="shared" si="15"/>
        <v>D6-I11-008411</v>
      </c>
    </row>
    <row r="184" spans="1:25">
      <c r="A184" s="63" t="str">
        <f>'RAW DATA 2023'!B177</f>
        <v>Roiphet1</v>
      </c>
      <c r="B184" s="63" t="str">
        <f>'RAW DATA 2023'!D177</f>
        <v>D6-G11-0077</v>
      </c>
      <c r="C184" s="63" t="str">
        <f t="shared" si="12"/>
        <v>Roiphet1D6-G11-0077</v>
      </c>
      <c r="D184" s="63">
        <f>VLOOKUP(C184,'RAW DATA 2023'!E:BP,63,0)</f>
        <v>11</v>
      </c>
      <c r="E184" s="63" t="str">
        <f t="shared" si="13"/>
        <v>Roiphet111</v>
      </c>
      <c r="F184" s="63">
        <f>ROUND(VLOOKUP(C184,'RAW DATA 2023'!E:BO,23,0),0)</f>
        <v>42</v>
      </c>
      <c r="G184" s="120">
        <f>VLOOKUP(C184,'RAW DATA 2023'!E:BO,26,0)</f>
        <v>0.37615502099999998</v>
      </c>
      <c r="H184" s="101">
        <f>IFERROR(VLOOKUP(F184,STD!B:G,6,0),"")</f>
        <v>0.37</v>
      </c>
      <c r="I184" s="100">
        <f t="shared" si="14"/>
        <v>1.0166351918918919</v>
      </c>
      <c r="J184" s="249">
        <f t="shared" si="16"/>
        <v>10.332703837837837</v>
      </c>
      <c r="K184" s="63">
        <f>VLOOKUP(C184,'RAW DATA 2023'!E:BO,20,0)</f>
        <v>97</v>
      </c>
      <c r="L184" s="322">
        <f t="shared" si="17"/>
        <v>1002.2722722702702</v>
      </c>
      <c r="M184" s="63"/>
      <c r="Y184" s="63" t="str">
        <f t="shared" si="15"/>
        <v>D6-G11-007711</v>
      </c>
    </row>
    <row r="185" spans="1:25">
      <c r="A185" s="63" t="str">
        <f>'RAW DATA 2023'!B178</f>
        <v>Roiphet1</v>
      </c>
      <c r="B185" s="63" t="str">
        <f>'RAW DATA 2023'!D178</f>
        <v>D6-G12-0080</v>
      </c>
      <c r="C185" s="63" t="str">
        <f t="shared" si="12"/>
        <v>Roiphet1D6-G12-0080</v>
      </c>
      <c r="D185" s="63">
        <f>VLOOKUP(C185,'RAW DATA 2023'!E:BP,63,0)</f>
        <v>11</v>
      </c>
      <c r="E185" s="63" t="str">
        <f t="shared" si="13"/>
        <v>Roiphet111</v>
      </c>
      <c r="F185" s="63">
        <f>ROUND(VLOOKUP(C185,'RAW DATA 2023'!E:BO,23,0),0)</f>
        <v>46</v>
      </c>
      <c r="G185" s="120">
        <f>VLOOKUP(C185,'RAW DATA 2023'!E:BO,26,0)</f>
        <v>0.36375552300000003</v>
      </c>
      <c r="H185" s="101">
        <f>IFERROR(VLOOKUP(F185,STD!B:G,6,0),"")</f>
        <v>0.36</v>
      </c>
      <c r="I185" s="100">
        <f t="shared" si="14"/>
        <v>1.0104320083333334</v>
      </c>
      <c r="J185" s="249">
        <f t="shared" si="16"/>
        <v>10.208640166666667</v>
      </c>
      <c r="K185" s="63">
        <f>VLOOKUP(C185,'RAW DATA 2023'!E:BO,20,0)</f>
        <v>97</v>
      </c>
      <c r="L185" s="322">
        <f t="shared" si="17"/>
        <v>990.23809616666665</v>
      </c>
      <c r="M185" s="63"/>
      <c r="Y185" s="63" t="str">
        <f t="shared" si="15"/>
        <v>D6-G12-008011</v>
      </c>
    </row>
    <row r="186" spans="1:25">
      <c r="A186" s="63" t="str">
        <f>'RAW DATA 2023'!B179</f>
        <v>Roiphet1</v>
      </c>
      <c r="B186" s="63" t="str">
        <f>'RAW DATA 2023'!D179</f>
        <v>D4-G08-0060</v>
      </c>
      <c r="C186" s="63" t="str">
        <f t="shared" si="12"/>
        <v>Roiphet1D4-G08-0060</v>
      </c>
      <c r="D186" s="63">
        <f>VLOOKUP(C186,'RAW DATA 2023'!E:BP,63,0)</f>
        <v>11</v>
      </c>
      <c r="E186" s="63" t="str">
        <f t="shared" si="13"/>
        <v>Roiphet111</v>
      </c>
      <c r="F186" s="63">
        <f>ROUND(VLOOKUP(C186,'RAW DATA 2023'!E:BO,23,0),0)</f>
        <v>36</v>
      </c>
      <c r="G186" s="120">
        <f>VLOOKUP(C186,'RAW DATA 2023'!E:BO,26,0)</f>
        <v>0.36284403700000001</v>
      </c>
      <c r="H186" s="101">
        <f>IFERROR(VLOOKUP(F186,STD!B:G,6,0),"")</f>
        <v>0.36</v>
      </c>
      <c r="I186" s="100">
        <f t="shared" si="14"/>
        <v>1.0079001027777779</v>
      </c>
      <c r="J186" s="249">
        <f t="shared" si="16"/>
        <v>10.158002055555556</v>
      </c>
      <c r="K186" s="63">
        <f>VLOOKUP(C186,'RAW DATA 2023'!E:BO,20,0)</f>
        <v>109</v>
      </c>
      <c r="L186" s="322">
        <f t="shared" si="17"/>
        <v>1107.2222240555557</v>
      </c>
      <c r="M186" s="63"/>
      <c r="Y186" s="63" t="str">
        <f t="shared" si="15"/>
        <v>D4-G08-006011</v>
      </c>
    </row>
    <row r="187" spans="1:25">
      <c r="A187" s="63" t="str">
        <f>'RAW DATA 2023'!B180</f>
        <v>Roiphet1</v>
      </c>
      <c r="B187" s="63" t="str">
        <f>'RAW DATA 2023'!D180</f>
        <v>D1-I02-0090</v>
      </c>
      <c r="C187" s="63" t="str">
        <f t="shared" si="12"/>
        <v>Roiphet1D1-I02-0090</v>
      </c>
      <c r="D187" s="63">
        <f>VLOOKUP(C187,'RAW DATA 2023'!E:BP,63,0)</f>
        <v>12</v>
      </c>
      <c r="E187" s="63" t="str">
        <f t="shared" si="13"/>
        <v>Roiphet112</v>
      </c>
      <c r="F187" s="63">
        <f>ROUND(VLOOKUP(C187,'RAW DATA 2023'!E:BO,23,0),0)</f>
        <v>51</v>
      </c>
      <c r="G187" s="120">
        <f>VLOOKUP(C187,'RAW DATA 2023'!E:BO,26,0)</f>
        <v>0.34978881800000006</v>
      </c>
      <c r="H187" s="101">
        <f>IFERROR(VLOOKUP(F187,STD!B:G,6,0),"")</f>
        <v>0.36</v>
      </c>
      <c r="I187" s="100">
        <f t="shared" si="14"/>
        <v>0.97163560555555573</v>
      </c>
      <c r="J187" s="249">
        <f t="shared" si="16"/>
        <v>9.4327121111111154</v>
      </c>
      <c r="K187" s="63">
        <f>VLOOKUP(C187,'RAW DATA 2023'!E:BO,20,0)</f>
        <v>104</v>
      </c>
      <c r="L187" s="322">
        <f t="shared" si="17"/>
        <v>981.002059555556</v>
      </c>
      <c r="M187" s="63"/>
      <c r="Y187" s="63" t="str">
        <f t="shared" si="15"/>
        <v>D1-I02-009012</v>
      </c>
    </row>
    <row r="188" spans="1:25">
      <c r="A188" s="63" t="str">
        <f>'RAW DATA 2023'!B181</f>
        <v>Roiphet1</v>
      </c>
      <c r="B188" s="63" t="str">
        <f>'RAW DATA 2023'!D181</f>
        <v>D1-I01-0092</v>
      </c>
      <c r="C188" s="63" t="str">
        <f t="shared" si="12"/>
        <v>Roiphet1D1-I01-0092</v>
      </c>
      <c r="D188" s="63">
        <f>VLOOKUP(C188,'RAW DATA 2023'!E:BP,63,0)</f>
        <v>12</v>
      </c>
      <c r="E188" s="63" t="str">
        <f t="shared" si="13"/>
        <v>Roiphet112</v>
      </c>
      <c r="F188" s="63">
        <f>ROUND(VLOOKUP(C188,'RAW DATA 2023'!E:BO,23,0),0)</f>
        <v>52</v>
      </c>
      <c r="G188" s="120">
        <f>VLOOKUP(C188,'RAW DATA 2023'!E:BO,26,0)</f>
        <v>0.34023578399999999</v>
      </c>
      <c r="H188" s="101">
        <f>IFERROR(VLOOKUP(F188,STD!B:G,6,0),"")</f>
        <v>0.36</v>
      </c>
      <c r="I188" s="100">
        <f t="shared" si="14"/>
        <v>0.94509940000000003</v>
      </c>
      <c r="J188" s="249">
        <f t="shared" si="16"/>
        <v>8.9019880000000011</v>
      </c>
      <c r="K188" s="63">
        <f>VLOOKUP(C188,'RAW DATA 2023'!E:BO,20,0)</f>
        <v>103</v>
      </c>
      <c r="L188" s="322">
        <f t="shared" si="17"/>
        <v>916.90476400000011</v>
      </c>
      <c r="M188" s="63"/>
      <c r="Y188" s="63" t="str">
        <f t="shared" si="15"/>
        <v>D1-I01-009212</v>
      </c>
    </row>
    <row r="189" spans="1:25">
      <c r="A189" s="63" t="str">
        <f>'RAW DATA 2023'!B182</f>
        <v>Roiphet1</v>
      </c>
      <c r="B189" s="63" t="str">
        <f>'RAW DATA 2023'!D182</f>
        <v>D1-G02-0080</v>
      </c>
      <c r="C189" s="63" t="str">
        <f t="shared" si="12"/>
        <v>Roiphet1D1-G02-0080</v>
      </c>
      <c r="D189" s="63">
        <f>VLOOKUP(C189,'RAW DATA 2023'!E:BP,63,0)</f>
        <v>12</v>
      </c>
      <c r="E189" s="63" t="str">
        <f t="shared" si="13"/>
        <v>Roiphet112</v>
      </c>
      <c r="F189" s="63">
        <f>ROUND(VLOOKUP(C189,'RAW DATA 2023'!E:BO,23,0),0)</f>
        <v>51</v>
      </c>
      <c r="G189" s="120">
        <f>VLOOKUP(C189,'RAW DATA 2023'!E:BO,26,0)</f>
        <v>0.33706044000000002</v>
      </c>
      <c r="H189" s="101">
        <f>IFERROR(VLOOKUP(F189,STD!B:G,6,0),"")</f>
        <v>0.36</v>
      </c>
      <c r="I189" s="100">
        <f t="shared" si="14"/>
        <v>0.93627900000000008</v>
      </c>
      <c r="J189" s="249">
        <f t="shared" si="16"/>
        <v>8.7255800000000008</v>
      </c>
      <c r="K189" s="63">
        <f>VLOOKUP(C189,'RAW DATA 2023'!E:BO,20,0)</f>
        <v>104</v>
      </c>
      <c r="L189" s="322">
        <f t="shared" si="17"/>
        <v>907.46032000000014</v>
      </c>
      <c r="M189" s="63"/>
      <c r="Y189" s="63" t="str">
        <f t="shared" si="15"/>
        <v>D1-G02-008012</v>
      </c>
    </row>
    <row r="190" spans="1:25">
      <c r="A190" s="63" t="str">
        <f>'RAW DATA 2023'!B183</f>
        <v>Roiphet1</v>
      </c>
      <c r="B190" s="63" t="str">
        <f>'RAW DATA 2023'!D183</f>
        <v>D1-G01-0078</v>
      </c>
      <c r="C190" s="63" t="str">
        <f t="shared" si="12"/>
        <v>Roiphet1D1-G01-0078</v>
      </c>
      <c r="D190" s="63">
        <f>VLOOKUP(C190,'RAW DATA 2023'!E:BP,63,0)</f>
        <v>12</v>
      </c>
      <c r="E190" s="63" t="str">
        <f t="shared" si="13"/>
        <v>Roiphet112</v>
      </c>
      <c r="F190" s="63">
        <f>ROUND(VLOOKUP(C190,'RAW DATA 2023'!E:BO,23,0),0)</f>
        <v>52</v>
      </c>
      <c r="G190" s="120">
        <f>VLOOKUP(C190,'RAW DATA 2023'!E:BO,26,0)</f>
        <v>0.32837629699999998</v>
      </c>
      <c r="H190" s="101">
        <f>IFERROR(VLOOKUP(F190,STD!B:G,6,0),"")</f>
        <v>0.36</v>
      </c>
      <c r="I190" s="100">
        <f t="shared" si="14"/>
        <v>0.91215638055555559</v>
      </c>
      <c r="J190" s="249">
        <f t="shared" si="16"/>
        <v>8.2431276111111114</v>
      </c>
      <c r="K190" s="63">
        <f>VLOOKUP(C190,'RAW DATA 2023'!E:BO,20,0)</f>
        <v>103</v>
      </c>
      <c r="L190" s="322">
        <f t="shared" si="17"/>
        <v>849.04214394444443</v>
      </c>
      <c r="M190" s="63"/>
      <c r="Y190" s="63" t="str">
        <f t="shared" si="15"/>
        <v>D1-G01-007812</v>
      </c>
    </row>
    <row r="191" spans="1:25">
      <c r="A191" s="63" t="str">
        <f>'RAW DATA 2023'!B184</f>
        <v>Roiphet1</v>
      </c>
      <c r="B191" s="63" t="str">
        <f>'RAW DATA 2023'!D184</f>
        <v>D4-G07-0063</v>
      </c>
      <c r="C191" s="63" t="str">
        <f t="shared" si="12"/>
        <v>Roiphet1D4-G07-0063</v>
      </c>
      <c r="D191" s="63">
        <f>VLOOKUP(C191,'RAW DATA 2023'!E:BP,63,0)</f>
        <v>11</v>
      </c>
      <c r="E191" s="63" t="str">
        <f t="shared" si="13"/>
        <v>Roiphet111</v>
      </c>
      <c r="F191" s="63">
        <f>ROUND(VLOOKUP(C191,'RAW DATA 2023'!E:BO,23,0),0)</f>
        <v>43</v>
      </c>
      <c r="G191" s="120">
        <f>VLOOKUP(C191,'RAW DATA 2023'!E:BO,26,0)</f>
        <v>0.32352555700000002</v>
      </c>
      <c r="H191" s="101">
        <f>IFERROR(VLOOKUP(F191,STD!B:G,6,0),"")</f>
        <v>0.37</v>
      </c>
      <c r="I191" s="100">
        <f t="shared" si="14"/>
        <v>0.87439339729729737</v>
      </c>
      <c r="J191" s="249">
        <f t="shared" si="16"/>
        <v>7.487867945945947</v>
      </c>
      <c r="K191" s="63">
        <f>VLOOKUP(C191,'RAW DATA 2023'!E:BO,20,0)</f>
        <v>109</v>
      </c>
      <c r="L191" s="322">
        <f t="shared" si="17"/>
        <v>816.17760610810819</v>
      </c>
      <c r="M191" s="63"/>
      <c r="Y191" s="63" t="str">
        <f t="shared" si="15"/>
        <v>D4-G07-006311</v>
      </c>
    </row>
    <row r="192" spans="1:25">
      <c r="A192" s="63" t="str">
        <f>'RAW DATA 2023'!B185</f>
        <v>Roiphet1</v>
      </c>
      <c r="B192" s="63" t="str">
        <f>'RAW DATA 2023'!D185</f>
        <v>B4-G08-0079</v>
      </c>
      <c r="C192" s="63" t="str">
        <f t="shared" si="12"/>
        <v>Roiphet1B4-G08-0079</v>
      </c>
      <c r="D192" s="63">
        <f>VLOOKUP(C192,'RAW DATA 2023'!E:BP,63,0)</f>
        <v>2</v>
      </c>
      <c r="E192" s="63" t="str">
        <f t="shared" si="13"/>
        <v>Roiphet12</v>
      </c>
      <c r="F192" s="63">
        <f>ROUND(VLOOKUP(C192,'RAW DATA 2023'!E:BO,23,0),0)</f>
        <v>37</v>
      </c>
      <c r="G192" s="120">
        <f>VLOOKUP(C192,'RAW DATA 2023'!E:BO,26,0)</f>
        <v>0.38520249200000001</v>
      </c>
      <c r="H192" s="101">
        <f>IFERROR(VLOOKUP(F192,STD!B:G,6,0),"")</f>
        <v>0.37</v>
      </c>
      <c r="I192" s="100">
        <f t="shared" si="14"/>
        <v>1.0410878162162163</v>
      </c>
      <c r="J192" s="249">
        <f t="shared" si="16"/>
        <v>10.821756324324326</v>
      </c>
      <c r="K192" s="63">
        <f>VLOOKUP(C192,'RAW DATA 2023'!E:BO,20,0)</f>
        <v>107</v>
      </c>
      <c r="L192" s="322">
        <f t="shared" si="17"/>
        <v>1157.927926702703</v>
      </c>
      <c r="M192" s="63"/>
      <c r="Y192" s="63" t="str">
        <f t="shared" si="15"/>
        <v>B4-G08-00792</v>
      </c>
    </row>
    <row r="193" spans="1:25">
      <c r="A193" s="63" t="str">
        <f>'RAW DATA 2023'!B186</f>
        <v>Roiphet1</v>
      </c>
      <c r="B193" s="63" t="str">
        <f>'RAW DATA 2023'!D186</f>
        <v>B2-I04-0097</v>
      </c>
      <c r="C193" s="63" t="str">
        <f t="shared" si="12"/>
        <v>Roiphet1B2-I04-0097</v>
      </c>
      <c r="D193" s="63">
        <f>VLOOKUP(C193,'RAW DATA 2023'!E:BP,63,0)</f>
        <v>2</v>
      </c>
      <c r="E193" s="63" t="str">
        <f t="shared" si="13"/>
        <v>Roiphet12</v>
      </c>
      <c r="F193" s="63">
        <f>ROUND(VLOOKUP(C193,'RAW DATA 2023'!E:BO,23,0),0)</f>
        <v>29</v>
      </c>
      <c r="G193" s="120">
        <f>VLOOKUP(C193,'RAW DATA 2023'!E:BO,26,0)</f>
        <v>0.37995416300000001</v>
      </c>
      <c r="H193" s="101">
        <f>IFERROR(VLOOKUP(F193,STD!B:G,6,0),"")</f>
        <v>0.4</v>
      </c>
      <c r="I193" s="100">
        <f t="shared" si="14"/>
        <v>0.94988540749999995</v>
      </c>
      <c r="J193" s="249">
        <f t="shared" si="16"/>
        <v>8.9977081499999993</v>
      </c>
      <c r="K193" s="63">
        <f>VLOOKUP(C193,'RAW DATA 2023'!E:BO,20,0)</f>
        <v>119</v>
      </c>
      <c r="L193" s="322">
        <f t="shared" si="17"/>
        <v>1070.7272698499999</v>
      </c>
      <c r="M193" s="63"/>
      <c r="Y193" s="63" t="str">
        <f t="shared" si="15"/>
        <v>B2-I04-00972</v>
      </c>
    </row>
    <row r="194" spans="1:25">
      <c r="A194" s="63" t="str">
        <f>'RAW DATA 2023'!B187</f>
        <v>Roiphet1</v>
      </c>
      <c r="B194" s="63" t="str">
        <f>'RAW DATA 2023'!D187</f>
        <v>B6-G12-0086</v>
      </c>
      <c r="C194" s="63" t="str">
        <f t="shared" si="12"/>
        <v>Roiphet1B6-G12-0086</v>
      </c>
      <c r="D194" s="63">
        <f>VLOOKUP(C194,'RAW DATA 2023'!E:BP,63,0)</f>
        <v>1</v>
      </c>
      <c r="E194" s="63" t="str">
        <f t="shared" si="13"/>
        <v>Roiphet11</v>
      </c>
      <c r="F194" s="63">
        <f>ROUND(VLOOKUP(C194,'RAW DATA 2023'!E:BO,23,0),0)</f>
        <v>36</v>
      </c>
      <c r="G194" s="120">
        <f>VLOOKUP(C194,'RAW DATA 2023'!E:BO,26,0)</f>
        <v>0.371771772</v>
      </c>
      <c r="H194" s="101">
        <f>IFERROR(VLOOKUP(F194,STD!B:G,6,0),"")</f>
        <v>0.36</v>
      </c>
      <c r="I194" s="100">
        <f t="shared" si="14"/>
        <v>1.0326993666666666</v>
      </c>
      <c r="J194" s="249">
        <f t="shared" si="16"/>
        <v>10.653987333333333</v>
      </c>
      <c r="K194" s="63">
        <f>VLOOKUP(C194,'RAW DATA 2023'!E:BO,20,0)</f>
        <v>111</v>
      </c>
      <c r="L194" s="322">
        <f t="shared" si="17"/>
        <v>1182.592594</v>
      </c>
      <c r="M194" s="63"/>
      <c r="Y194" s="63" t="str">
        <f t="shared" si="15"/>
        <v>B6-G12-00861</v>
      </c>
    </row>
    <row r="195" spans="1:25">
      <c r="A195" s="63" t="str">
        <f>'RAW DATA 2023'!B188</f>
        <v>Roiphet1</v>
      </c>
      <c r="B195" s="63" t="str">
        <f>'RAW DATA 2023'!D188</f>
        <v>B2-G03-0079</v>
      </c>
      <c r="C195" s="63" t="str">
        <f t="shared" si="12"/>
        <v>Roiphet1B2-G03-0079</v>
      </c>
      <c r="D195" s="63">
        <f>VLOOKUP(C195,'RAW DATA 2023'!E:BP,63,0)</f>
        <v>2</v>
      </c>
      <c r="E195" s="63" t="str">
        <f t="shared" si="13"/>
        <v>Roiphet12</v>
      </c>
      <c r="F195" s="63">
        <f>ROUND(VLOOKUP(C195,'RAW DATA 2023'!E:BO,23,0),0)</f>
        <v>33</v>
      </c>
      <c r="G195" s="120">
        <f>VLOOKUP(C195,'RAW DATA 2023'!E:BO,26,0)</f>
        <v>0.36558695699999999</v>
      </c>
      <c r="H195" s="101">
        <f>IFERROR(VLOOKUP(F195,STD!B:G,6,0),"")</f>
        <v>0.39</v>
      </c>
      <c r="I195" s="100">
        <f t="shared" si="14"/>
        <v>0.93740245384615384</v>
      </c>
      <c r="J195" s="249">
        <f t="shared" si="16"/>
        <v>8.7480490769230776</v>
      </c>
      <c r="K195" s="63">
        <f>VLOOKUP(C195,'RAW DATA 2023'!E:BO,20,0)</f>
        <v>118.00000000000001</v>
      </c>
      <c r="L195" s="322">
        <f t="shared" si="17"/>
        <v>1032.2697910769232</v>
      </c>
      <c r="M195" s="63"/>
      <c r="Y195" s="63" t="str">
        <f t="shared" si="15"/>
        <v>B2-G03-00792</v>
      </c>
    </row>
    <row r="196" spans="1:25">
      <c r="A196" s="63" t="str">
        <f>'RAW DATA 2023'!B189</f>
        <v>Roiphet1</v>
      </c>
      <c r="B196" s="63" t="str">
        <f>'RAW DATA 2023'!D189</f>
        <v>B2-I03-0094</v>
      </c>
      <c r="C196" s="63" t="str">
        <f t="shared" si="12"/>
        <v>Roiphet1B2-I03-0094</v>
      </c>
      <c r="D196" s="63">
        <f>VLOOKUP(C196,'RAW DATA 2023'!E:BP,63,0)</f>
        <v>2</v>
      </c>
      <c r="E196" s="63" t="str">
        <f t="shared" si="13"/>
        <v>Roiphet12</v>
      </c>
      <c r="F196" s="63">
        <f>ROUND(VLOOKUP(C196,'RAW DATA 2023'!E:BO,23,0),0)</f>
        <v>33</v>
      </c>
      <c r="G196" s="120">
        <f>VLOOKUP(C196,'RAW DATA 2023'!E:BO,26,0)</f>
        <v>0.36557848199999998</v>
      </c>
      <c r="H196" s="101">
        <f>IFERROR(VLOOKUP(F196,STD!B:G,6,0),"")</f>
        <v>0.39</v>
      </c>
      <c r="I196" s="100">
        <f t="shared" si="14"/>
        <v>0.93738072307692299</v>
      </c>
      <c r="J196" s="249">
        <f t="shared" si="16"/>
        <v>8.7476144615384595</v>
      </c>
      <c r="K196" s="63">
        <f>VLOOKUP(C196,'RAW DATA 2023'!E:BO,20,0)</f>
        <v>118</v>
      </c>
      <c r="L196" s="322">
        <f t="shared" si="17"/>
        <v>1032.2185064615383</v>
      </c>
      <c r="M196" s="63"/>
      <c r="Y196" s="63" t="str">
        <f t="shared" si="15"/>
        <v>B2-I03-00942</v>
      </c>
    </row>
    <row r="197" spans="1:25">
      <c r="A197" s="63" t="str">
        <f>'RAW DATA 2023'!B190</f>
        <v>Roiphet1</v>
      </c>
      <c r="B197" s="63" t="str">
        <f>'RAW DATA 2023'!D190</f>
        <v>B2-G04-0091</v>
      </c>
      <c r="C197" s="63" t="str">
        <f t="shared" si="12"/>
        <v>Roiphet1B2-G04-0091</v>
      </c>
      <c r="D197" s="63">
        <f>VLOOKUP(C197,'RAW DATA 2023'!E:BP,63,0)</f>
        <v>2</v>
      </c>
      <c r="E197" s="63" t="str">
        <f t="shared" si="13"/>
        <v>Roiphet12</v>
      </c>
      <c r="F197" s="63">
        <f>ROUND(VLOOKUP(C197,'RAW DATA 2023'!E:BO,23,0),0)</f>
        <v>34</v>
      </c>
      <c r="G197" s="120">
        <f>VLOOKUP(C197,'RAW DATA 2023'!E:BO,26,0)</f>
        <v>0.36477064199999998</v>
      </c>
      <c r="H197" s="101">
        <f>IFERROR(VLOOKUP(F197,STD!B:G,6,0),"")</f>
        <v>0.38</v>
      </c>
      <c r="I197" s="100">
        <f t="shared" si="14"/>
        <v>0.95992274210526307</v>
      </c>
      <c r="J197" s="249">
        <f t="shared" si="16"/>
        <v>9.1984548421052619</v>
      </c>
      <c r="K197" s="63">
        <f>VLOOKUP(C197,'RAW DATA 2023'!E:BO,20,0)</f>
        <v>109</v>
      </c>
      <c r="L197" s="322">
        <f t="shared" si="17"/>
        <v>1002.6315777894736</v>
      </c>
      <c r="M197" s="63"/>
      <c r="Y197" s="63" t="str">
        <f t="shared" si="15"/>
        <v>B2-G04-00912</v>
      </c>
    </row>
    <row r="198" spans="1:25">
      <c r="A198" s="63" t="str">
        <f>'RAW DATA 2023'!B191</f>
        <v>Roiphet1</v>
      </c>
      <c r="B198" s="63" t="str">
        <f>'RAW DATA 2023'!D191</f>
        <v>B1-G02-0087</v>
      </c>
      <c r="C198" s="63" t="str">
        <f t="shared" si="12"/>
        <v>Roiphet1B1-G02-0087</v>
      </c>
      <c r="D198" s="63">
        <f>VLOOKUP(C198,'RAW DATA 2023'!E:BP,63,0)</f>
        <v>2</v>
      </c>
      <c r="E198" s="63" t="str">
        <f t="shared" si="13"/>
        <v>Roiphet12</v>
      </c>
      <c r="F198" s="63">
        <f>ROUND(VLOOKUP(C198,'RAW DATA 2023'!E:BO,23,0),0)</f>
        <v>41</v>
      </c>
      <c r="G198" s="120">
        <f>VLOOKUP(C198,'RAW DATA 2023'!E:BO,26,0)</f>
        <v>0.36001451400000001</v>
      </c>
      <c r="H198" s="101">
        <f>IFERROR(VLOOKUP(F198,STD!B:G,6,0),"")</f>
        <v>0.37</v>
      </c>
      <c r="I198" s="100">
        <f t="shared" si="14"/>
        <v>0.97301219999999999</v>
      </c>
      <c r="J198" s="249">
        <f t="shared" si="16"/>
        <v>9.4602439999999994</v>
      </c>
      <c r="K198" s="63">
        <f>VLOOKUP(C198,'RAW DATA 2023'!E:BO,20,0)</f>
        <v>106</v>
      </c>
      <c r="L198" s="322">
        <f t="shared" si="17"/>
        <v>1002.7858639999999</v>
      </c>
      <c r="M198" s="63"/>
      <c r="Y198" s="63" t="str">
        <f t="shared" si="15"/>
        <v>B1-G02-00872</v>
      </c>
    </row>
    <row r="199" spans="1:25">
      <c r="A199" s="63" t="str">
        <f>'RAW DATA 2023'!B192</f>
        <v>Roiphet1</v>
      </c>
      <c r="B199" s="63" t="str">
        <f>'RAW DATA 2023'!D192</f>
        <v>B1-I02-0094</v>
      </c>
      <c r="C199" s="63" t="str">
        <f t="shared" si="12"/>
        <v>Roiphet1B1-I02-0094</v>
      </c>
      <c r="D199" s="63">
        <f>VLOOKUP(C199,'RAW DATA 2023'!E:BP,63,0)</f>
        <v>2</v>
      </c>
      <c r="E199" s="63" t="str">
        <f t="shared" si="13"/>
        <v>Roiphet12</v>
      </c>
      <c r="F199" s="63">
        <f>ROUND(VLOOKUP(C199,'RAW DATA 2023'!E:BO,23,0),0)</f>
        <v>37</v>
      </c>
      <c r="G199" s="120">
        <f>VLOOKUP(C199,'RAW DATA 2023'!E:BO,26,0)</f>
        <v>0.33771273000000002</v>
      </c>
      <c r="H199" s="101">
        <f>IFERROR(VLOOKUP(F199,STD!B:G,6,0),"")</f>
        <v>0.37</v>
      </c>
      <c r="I199" s="100">
        <f t="shared" si="14"/>
        <v>0.91273710810810815</v>
      </c>
      <c r="J199" s="249">
        <f t="shared" si="16"/>
        <v>8.2547421621621631</v>
      </c>
      <c r="K199" s="63">
        <f>VLOOKUP(C199,'RAW DATA 2023'!E:BO,20,0)</f>
        <v>113</v>
      </c>
      <c r="L199" s="322">
        <f t="shared" si="17"/>
        <v>932.78586432432439</v>
      </c>
      <c r="M199" s="63"/>
      <c r="Y199" s="63" t="str">
        <f t="shared" si="15"/>
        <v>B1-I02-00942</v>
      </c>
    </row>
    <row r="200" spans="1:25">
      <c r="A200" s="63" t="str">
        <f>'RAW DATA 2023'!B193</f>
        <v>Roiphet1</v>
      </c>
      <c r="B200" s="63" t="str">
        <f>'RAW DATA 2023'!D193</f>
        <v>B1-G01-0083</v>
      </c>
      <c r="C200" s="63" t="str">
        <f t="shared" si="12"/>
        <v>Roiphet1B1-G01-0083</v>
      </c>
      <c r="D200" s="63">
        <f>VLOOKUP(C200,'RAW DATA 2023'!E:BP,63,0)</f>
        <v>2</v>
      </c>
      <c r="E200" s="63" t="str">
        <f t="shared" si="13"/>
        <v>Roiphet12</v>
      </c>
      <c r="F200" s="63">
        <f>ROUND(VLOOKUP(C200,'RAW DATA 2023'!E:BO,23,0),0)</f>
        <v>47</v>
      </c>
      <c r="G200" s="120">
        <f>VLOOKUP(C200,'RAW DATA 2023'!E:BO,26,0)</f>
        <v>0.33097463300000002</v>
      </c>
      <c r="H200" s="101">
        <f>IFERROR(VLOOKUP(F200,STD!B:G,6,0),"")</f>
        <v>0.36</v>
      </c>
      <c r="I200" s="100">
        <f t="shared" si="14"/>
        <v>0.91937398055555564</v>
      </c>
      <c r="J200" s="249">
        <f t="shared" si="16"/>
        <v>8.3874796111111127</v>
      </c>
      <c r="K200" s="63">
        <f>VLOOKUP(C200,'RAW DATA 2023'!E:BO,20,0)</f>
        <v>107</v>
      </c>
      <c r="L200" s="322">
        <f t="shared" si="17"/>
        <v>897.46031838888905</v>
      </c>
      <c r="M200" s="63"/>
      <c r="Y200" s="63" t="str">
        <f t="shared" si="15"/>
        <v>B1-G01-00832</v>
      </c>
    </row>
    <row r="201" spans="1:25">
      <c r="A201" s="63" t="str">
        <f>'RAW DATA 2023'!B194</f>
        <v>Roiphet1</v>
      </c>
      <c r="B201" s="63" t="str">
        <f>'RAW DATA 2023'!D194</f>
        <v>B1-I01-0094</v>
      </c>
      <c r="C201" s="63" t="str">
        <f t="shared" si="12"/>
        <v>Roiphet1B1-I01-0094</v>
      </c>
      <c r="D201" s="63">
        <f>VLOOKUP(C201,'RAW DATA 2023'!E:BP,63,0)</f>
        <v>2</v>
      </c>
      <c r="E201" s="63" t="str">
        <f t="shared" si="13"/>
        <v>Roiphet12</v>
      </c>
      <c r="F201" s="63">
        <f>ROUND(VLOOKUP(C201,'RAW DATA 2023'!E:BO,23,0),0)</f>
        <v>45</v>
      </c>
      <c r="G201" s="120">
        <f>VLOOKUP(C201,'RAW DATA 2023'!E:BO,26,0)</f>
        <v>0.33097463300000002</v>
      </c>
      <c r="H201" s="101">
        <f>IFERROR(VLOOKUP(F201,STD!B:G,6,0),"")</f>
        <v>0.36</v>
      </c>
      <c r="I201" s="100">
        <f t="shared" si="14"/>
        <v>0.91937398055555564</v>
      </c>
      <c r="J201" s="249">
        <f t="shared" si="16"/>
        <v>8.3874796111111127</v>
      </c>
      <c r="K201" s="63">
        <f>VLOOKUP(C201,'RAW DATA 2023'!E:BO,20,0)</f>
        <v>107</v>
      </c>
      <c r="L201" s="322">
        <f t="shared" si="17"/>
        <v>897.46031838888905</v>
      </c>
      <c r="M201" s="63"/>
      <c r="Y201" s="63" t="str">
        <f t="shared" si="15"/>
        <v>B1-I01-00942</v>
      </c>
    </row>
    <row r="202" spans="1:25">
      <c r="A202" s="63" t="str">
        <f>'RAW DATA 2023'!B195</f>
        <v>Roiphet1</v>
      </c>
      <c r="B202" s="63" t="str">
        <f>'RAW DATA 2023'!D195</f>
        <v>B6-G11-0081</v>
      </c>
      <c r="C202" s="63" t="str">
        <f t="shared" ref="C202:C265" si="18">A202&amp;B202</f>
        <v>Roiphet1B6-G11-0081</v>
      </c>
      <c r="D202" s="63">
        <f>VLOOKUP(C202,'RAW DATA 2023'!E:BP,63,0)</f>
        <v>1</v>
      </c>
      <c r="E202" s="63" t="str">
        <f t="shared" ref="E202:E265" si="19">A202&amp;D202</f>
        <v>Roiphet11</v>
      </c>
      <c r="F202" s="63">
        <f>ROUND(VLOOKUP(C202,'RAW DATA 2023'!E:BO,23,0),0)</f>
        <v>42</v>
      </c>
      <c r="G202" s="120">
        <f>VLOOKUP(C202,'RAW DATA 2023'!E:BO,26,0)</f>
        <v>0.32697486799999997</v>
      </c>
      <c r="H202" s="101">
        <f>IFERROR(VLOOKUP(F202,STD!B:G,6,0),"")</f>
        <v>0.37</v>
      </c>
      <c r="I202" s="100">
        <f t="shared" ref="I202:I265" si="20">IFERROR(G202/H202,0)</f>
        <v>0.88371585945945941</v>
      </c>
      <c r="J202" s="249">
        <f t="shared" si="16"/>
        <v>7.6743171891891881</v>
      </c>
      <c r="K202" s="63">
        <f>VLOOKUP(C202,'RAW DATA 2023'!E:BO,20,0)</f>
        <v>108</v>
      </c>
      <c r="L202" s="322">
        <f t="shared" si="17"/>
        <v>828.82625643243227</v>
      </c>
      <c r="M202" s="63"/>
      <c r="Y202" s="63" t="str">
        <f t="shared" ref="Y202:Y265" si="21">B202&amp;D202</f>
        <v>B6-G11-00811</v>
      </c>
    </row>
    <row r="203" spans="1:25">
      <c r="A203" s="63" t="str">
        <f>'RAW DATA 2023'!B196</f>
        <v>Roiphet1</v>
      </c>
      <c r="B203" s="63" t="str">
        <f>'RAW DATA 2023'!D196</f>
        <v>B6-I12-0085</v>
      </c>
      <c r="C203" s="63" t="str">
        <f t="shared" si="18"/>
        <v>Roiphet1B6-I12-0085</v>
      </c>
      <c r="D203" s="63">
        <f>VLOOKUP(C203,'RAW DATA 2023'!E:BP,63,0)</f>
        <v>1</v>
      </c>
      <c r="E203" s="63" t="str">
        <f t="shared" si="19"/>
        <v>Roiphet11</v>
      </c>
      <c r="F203" s="63">
        <f>ROUND(VLOOKUP(C203,'RAW DATA 2023'!E:BO,23,0),0)</f>
        <v>40</v>
      </c>
      <c r="G203" s="120">
        <f>VLOOKUP(C203,'RAW DATA 2023'!E:BO,26,0)</f>
        <v>0.29018691600000002</v>
      </c>
      <c r="H203" s="101">
        <f>IFERROR(VLOOKUP(F203,STD!B:G,6,0),"")</f>
        <v>0.37</v>
      </c>
      <c r="I203" s="100">
        <f t="shared" si="20"/>
        <v>0.78428896216216226</v>
      </c>
      <c r="J203" s="249">
        <f t="shared" ref="J203:J266" si="22">IF(I203&gt;0.5,((I203-$B$4)*$B$7),0)</f>
        <v>5.6857792432432452</v>
      </c>
      <c r="K203" s="63">
        <f>VLOOKUP(C203,'RAW DATA 2023'!E:BO,20,0)</f>
        <v>107</v>
      </c>
      <c r="L203" s="322">
        <f t="shared" ref="L203:L266" si="23">J203*K203</f>
        <v>608.37837902702722</v>
      </c>
      <c r="M203" s="63"/>
      <c r="Y203" s="63" t="str">
        <f t="shared" si="21"/>
        <v>B6-I12-00851</v>
      </c>
    </row>
    <row r="204" spans="1:25">
      <c r="A204" s="63" t="str">
        <f>'RAW DATA 2023'!B197</f>
        <v>Roiphet1</v>
      </c>
      <c r="B204" s="63" t="str">
        <f>'RAW DATA 2023'!D197</f>
        <v>B6-I11-0082</v>
      </c>
      <c r="C204" s="63" t="str">
        <f t="shared" si="18"/>
        <v>Roiphet1B6-I11-0082</v>
      </c>
      <c r="D204" s="63">
        <f>VLOOKUP(C204,'RAW DATA 2023'!E:BP,63,0)</f>
        <v>1</v>
      </c>
      <c r="E204" s="63" t="str">
        <f t="shared" si="19"/>
        <v>Roiphet11</v>
      </c>
      <c r="F204" s="63">
        <f>ROUND(VLOOKUP(C204,'RAW DATA 2023'!E:BO,23,0),0)</f>
        <v>45</v>
      </c>
      <c r="G204" s="120">
        <f>VLOOKUP(C204,'RAW DATA 2023'!E:BO,26,0)</f>
        <v>0.27577777799999997</v>
      </c>
      <c r="H204" s="101">
        <f>IFERROR(VLOOKUP(F204,STD!B:G,6,0),"")</f>
        <v>0.36</v>
      </c>
      <c r="I204" s="100">
        <f t="shared" si="20"/>
        <v>0.76604938333333328</v>
      </c>
      <c r="J204" s="249">
        <f t="shared" si="22"/>
        <v>5.3209876666666656</v>
      </c>
      <c r="K204" s="63">
        <f>VLOOKUP(C204,'RAW DATA 2023'!E:BO,20,0)</f>
        <v>100</v>
      </c>
      <c r="L204" s="322">
        <f t="shared" si="23"/>
        <v>532.09876666666651</v>
      </c>
      <c r="M204" s="63"/>
      <c r="Y204" s="63" t="str">
        <f t="shared" si="21"/>
        <v>B6-I11-00821</v>
      </c>
    </row>
    <row r="205" spans="1:25">
      <c r="A205" s="63" t="str">
        <f>'RAW DATA 2023'!B198</f>
        <v>Roiphet1</v>
      </c>
      <c r="B205" s="63" t="str">
        <f>'RAW DATA 2023'!D198</f>
        <v>C2-I03-0060</v>
      </c>
      <c r="C205" s="63" t="str">
        <f t="shared" si="18"/>
        <v>Roiphet1C2-I03-0060</v>
      </c>
      <c r="D205" s="63">
        <f>VLOOKUP(C205,'RAW DATA 2023'!E:BP,63,0)</f>
        <v>10</v>
      </c>
      <c r="E205" s="63" t="str">
        <f t="shared" si="19"/>
        <v>Roiphet110</v>
      </c>
      <c r="F205" s="63">
        <f>ROUND(VLOOKUP(C205,'RAW DATA 2023'!E:BO,23,0),0)</f>
        <v>42</v>
      </c>
      <c r="G205" s="120">
        <f>VLOOKUP(C205,'RAW DATA 2023'!E:BO,26,0)</f>
        <v>0.48052580299999992</v>
      </c>
      <c r="H205" s="101">
        <f>IFERROR(VLOOKUP(F205,STD!B:G,6,0),"")</f>
        <v>0.37</v>
      </c>
      <c r="I205" s="100">
        <f t="shared" si="20"/>
        <v>1.2987183864864862</v>
      </c>
      <c r="J205" s="249">
        <f t="shared" si="22"/>
        <v>15.974367729729725</v>
      </c>
      <c r="K205" s="63">
        <f>VLOOKUP(C205,'RAW DATA 2023'!E:BO,20,0)</f>
        <v>79</v>
      </c>
      <c r="L205" s="322">
        <f t="shared" si="23"/>
        <v>1261.9750506486482</v>
      </c>
      <c r="M205" s="63"/>
      <c r="Y205" s="63" t="str">
        <f t="shared" si="21"/>
        <v>C2-I03-006010</v>
      </c>
    </row>
    <row r="206" spans="1:25">
      <c r="A206" s="63" t="str">
        <f>'RAW DATA 2023'!B199</f>
        <v>Roiphet1</v>
      </c>
      <c r="B206" s="63" t="str">
        <f>'RAW DATA 2023'!D199</f>
        <v>C6-I12-0062</v>
      </c>
      <c r="C206" s="63" t="str">
        <f t="shared" si="18"/>
        <v>Roiphet1C6-I12-0062</v>
      </c>
      <c r="D206" s="63">
        <f>VLOOKUP(C206,'RAW DATA 2023'!E:BP,63,0)</f>
        <v>7</v>
      </c>
      <c r="E206" s="63" t="str">
        <f t="shared" si="19"/>
        <v>Roiphet17</v>
      </c>
      <c r="F206" s="63">
        <f>ROUND(VLOOKUP(C206,'RAW DATA 2023'!E:BO,23,0),0)</f>
        <v>27</v>
      </c>
      <c r="G206" s="120">
        <f>VLOOKUP(C206,'RAW DATA 2023'!E:BO,26,0)</f>
        <v>0.473065134</v>
      </c>
      <c r="H206" s="101">
        <f>IFERROR(VLOOKUP(F206,STD!B:G,6,0),"")</f>
        <v>0.39</v>
      </c>
      <c r="I206" s="100">
        <f t="shared" si="20"/>
        <v>1.2129875230769229</v>
      </c>
      <c r="J206" s="249">
        <f t="shared" si="22"/>
        <v>14.259750461538459</v>
      </c>
      <c r="K206" s="63">
        <f>VLOOKUP(C206,'RAW DATA 2023'!E:BO,20,0)</f>
        <v>87</v>
      </c>
      <c r="L206" s="322">
        <f t="shared" si="23"/>
        <v>1240.5982901538459</v>
      </c>
      <c r="M206" s="63"/>
      <c r="Y206" s="63" t="str">
        <f t="shared" si="21"/>
        <v>C6-I12-00627</v>
      </c>
    </row>
    <row r="207" spans="1:25">
      <c r="A207" s="63" t="str">
        <f>'RAW DATA 2023'!B200</f>
        <v>Roiphet1</v>
      </c>
      <c r="B207" s="63" t="str">
        <f>'RAW DATA 2023'!D200</f>
        <v>C6-G11-0059</v>
      </c>
      <c r="C207" s="63" t="str">
        <f t="shared" si="18"/>
        <v>Roiphet1C6-G11-0059</v>
      </c>
      <c r="D207" s="63">
        <f>VLOOKUP(C207,'RAW DATA 2023'!E:BP,63,0)</f>
        <v>7</v>
      </c>
      <c r="E207" s="63" t="str">
        <f t="shared" si="19"/>
        <v>Roiphet17</v>
      </c>
      <c r="F207" s="63">
        <f>ROUND(VLOOKUP(C207,'RAW DATA 2023'!E:BO,23,0),0)</f>
        <v>30</v>
      </c>
      <c r="G207" s="120">
        <f>VLOOKUP(C207,'RAW DATA 2023'!E:BO,26,0)</f>
        <v>0.45390804600000001</v>
      </c>
      <c r="H207" s="101">
        <f>IFERROR(VLOOKUP(F207,STD!B:G,6,0),"")</f>
        <v>0.39</v>
      </c>
      <c r="I207" s="100">
        <f t="shared" si="20"/>
        <v>1.1638667846153845</v>
      </c>
      <c r="J207" s="249">
        <f t="shared" si="22"/>
        <v>13.277335692307691</v>
      </c>
      <c r="K207" s="63">
        <f>VLOOKUP(C207,'RAW DATA 2023'!E:BO,20,0)</f>
        <v>87</v>
      </c>
      <c r="L207" s="322">
        <f t="shared" si="23"/>
        <v>1155.128205230769</v>
      </c>
      <c r="M207" s="63"/>
      <c r="Y207" s="63" t="str">
        <f t="shared" si="21"/>
        <v>C6-G11-00597</v>
      </c>
    </row>
    <row r="208" spans="1:25">
      <c r="A208" s="63" t="str">
        <f>'RAW DATA 2023'!B201</f>
        <v>Roiphet1</v>
      </c>
      <c r="B208" s="63" t="str">
        <f>'RAW DATA 2023'!D201</f>
        <v>C6-I11-0065</v>
      </c>
      <c r="C208" s="63" t="str">
        <f t="shared" si="18"/>
        <v>Roiphet1C6-I11-0065</v>
      </c>
      <c r="D208" s="63">
        <f>VLOOKUP(C208,'RAW DATA 2023'!E:BP,63,0)</f>
        <v>7</v>
      </c>
      <c r="E208" s="63" t="str">
        <f t="shared" si="19"/>
        <v>Roiphet17</v>
      </c>
      <c r="F208" s="63">
        <f>ROUND(VLOOKUP(C208,'RAW DATA 2023'!E:BO,23,0),0)</f>
        <v>30</v>
      </c>
      <c r="G208" s="120">
        <f>VLOOKUP(C208,'RAW DATA 2023'!E:BO,26,0)</f>
        <v>0.45390804600000001</v>
      </c>
      <c r="H208" s="101">
        <f>IFERROR(VLOOKUP(F208,STD!B:G,6,0),"")</f>
        <v>0.39</v>
      </c>
      <c r="I208" s="100">
        <f t="shared" si="20"/>
        <v>1.1638667846153845</v>
      </c>
      <c r="J208" s="249">
        <f t="shared" si="22"/>
        <v>13.277335692307691</v>
      </c>
      <c r="K208" s="63">
        <f>VLOOKUP(C208,'RAW DATA 2023'!E:BO,20,0)</f>
        <v>87</v>
      </c>
      <c r="L208" s="322">
        <f t="shared" si="23"/>
        <v>1155.128205230769</v>
      </c>
      <c r="M208" s="63"/>
      <c r="Y208" s="63" t="str">
        <f t="shared" si="21"/>
        <v>C6-I11-00657</v>
      </c>
    </row>
    <row r="209" spans="1:25">
      <c r="A209" s="63" t="str">
        <f>'RAW DATA 2023'!B202</f>
        <v>Roiphet1</v>
      </c>
      <c r="B209" s="63" t="str">
        <f>'RAW DATA 2023'!D202</f>
        <v>C4-G08-0061</v>
      </c>
      <c r="C209" s="63" t="str">
        <f t="shared" si="18"/>
        <v>Roiphet1C4-G08-0061</v>
      </c>
      <c r="D209" s="63">
        <f>VLOOKUP(C209,'RAW DATA 2023'!E:BP,63,0)</f>
        <v>6</v>
      </c>
      <c r="E209" s="63" t="str">
        <f t="shared" si="19"/>
        <v>Roiphet16</v>
      </c>
      <c r="F209" s="63">
        <f>ROUND(VLOOKUP(C209,'RAW DATA 2023'!E:BO,23,0),0)</f>
        <v>25</v>
      </c>
      <c r="G209" s="120">
        <f>VLOOKUP(C209,'RAW DATA 2023'!E:BO,26,0)</f>
        <v>0.45164123900000008</v>
      </c>
      <c r="H209" s="101">
        <f>IFERROR(VLOOKUP(F209,STD!B:G,6,0),"")</f>
        <v>0.36</v>
      </c>
      <c r="I209" s="100">
        <f t="shared" si="20"/>
        <v>1.2545589972222224</v>
      </c>
      <c r="J209" s="249">
        <f t="shared" si="22"/>
        <v>15.091179944444448</v>
      </c>
      <c r="K209" s="63">
        <f>VLOOKUP(C209,'RAW DATA 2023'!E:BO,20,0)</f>
        <v>103</v>
      </c>
      <c r="L209" s="322">
        <f t="shared" si="23"/>
        <v>1554.3915342777782</v>
      </c>
      <c r="M209" s="63"/>
      <c r="Y209" s="63" t="str">
        <f t="shared" si="21"/>
        <v>C4-G08-00616</v>
      </c>
    </row>
    <row r="210" spans="1:25">
      <c r="A210" s="63" t="str">
        <f>'RAW DATA 2023'!B203</f>
        <v>Roiphet1</v>
      </c>
      <c r="B210" s="63" t="str">
        <f>'RAW DATA 2023'!D203</f>
        <v>C4-I08-0064</v>
      </c>
      <c r="C210" s="63" t="str">
        <f t="shared" si="18"/>
        <v>Roiphet1C4-I08-0064</v>
      </c>
      <c r="D210" s="63">
        <f>VLOOKUP(C210,'RAW DATA 2023'!E:BP,63,0)</f>
        <v>6</v>
      </c>
      <c r="E210" s="63" t="str">
        <f t="shared" si="19"/>
        <v>Roiphet16</v>
      </c>
      <c r="F210" s="63">
        <f>ROUND(VLOOKUP(C210,'RAW DATA 2023'!E:BO,23,0),0)</f>
        <v>24</v>
      </c>
      <c r="G210" s="120">
        <f>VLOOKUP(C210,'RAW DATA 2023'!E:BO,26,0)</f>
        <v>0.45125289000000002</v>
      </c>
      <c r="H210" s="101">
        <f>IFERROR(VLOOKUP(F210,STD!B:G,6,0),"")</f>
        <v>0.36</v>
      </c>
      <c r="I210" s="100">
        <f t="shared" si="20"/>
        <v>1.2534802500000002</v>
      </c>
      <c r="J210" s="249">
        <f t="shared" si="22"/>
        <v>15.069605000000003</v>
      </c>
      <c r="K210" s="63">
        <f>VLOOKUP(C210,'RAW DATA 2023'!E:BO,20,0)</f>
        <v>103</v>
      </c>
      <c r="L210" s="322">
        <f t="shared" si="23"/>
        <v>1552.1693150000003</v>
      </c>
      <c r="M210" s="63"/>
      <c r="Y210" s="63" t="str">
        <f t="shared" si="21"/>
        <v>C4-I08-00646</v>
      </c>
    </row>
    <row r="211" spans="1:25">
      <c r="A211" s="63" t="str">
        <f>'RAW DATA 2023'!B204</f>
        <v>Roiphet1</v>
      </c>
      <c r="B211" s="63" t="str">
        <f>'RAW DATA 2023'!D204</f>
        <v>C4-I07-0060</v>
      </c>
      <c r="C211" s="63" t="str">
        <f t="shared" si="18"/>
        <v>Roiphet1C4-I07-0060</v>
      </c>
      <c r="D211" s="63">
        <f>VLOOKUP(C211,'RAW DATA 2023'!E:BP,63,0)</f>
        <v>6</v>
      </c>
      <c r="E211" s="63" t="str">
        <f t="shared" si="19"/>
        <v>Roiphet16</v>
      </c>
      <c r="F211" s="63">
        <f>ROUND(VLOOKUP(C211,'RAW DATA 2023'!E:BO,23,0),0)</f>
        <v>25</v>
      </c>
      <c r="G211" s="120">
        <f>VLOOKUP(C211,'RAW DATA 2023'!E:BO,26,0)</f>
        <v>0.447298535</v>
      </c>
      <c r="H211" s="101">
        <f>IFERROR(VLOOKUP(F211,STD!B:G,6,0),"")</f>
        <v>0.36</v>
      </c>
      <c r="I211" s="100">
        <f t="shared" si="20"/>
        <v>1.2424959305555556</v>
      </c>
      <c r="J211" s="249">
        <f t="shared" si="22"/>
        <v>14.849918611111113</v>
      </c>
      <c r="K211" s="63">
        <f>VLOOKUP(C211,'RAW DATA 2023'!E:BO,20,0)</f>
        <v>104</v>
      </c>
      <c r="L211" s="322">
        <f t="shared" si="23"/>
        <v>1544.3915355555557</v>
      </c>
      <c r="M211" s="63"/>
      <c r="Y211" s="63" t="str">
        <f t="shared" si="21"/>
        <v>C4-I07-00606</v>
      </c>
    </row>
    <row r="212" spans="1:25">
      <c r="A212" s="63" t="str">
        <f>'RAW DATA 2023'!B205</f>
        <v>Roiphet1</v>
      </c>
      <c r="B212" s="63" t="str">
        <f>'RAW DATA 2023'!D205</f>
        <v>C4-G07-0057</v>
      </c>
      <c r="C212" s="63" t="str">
        <f t="shared" si="18"/>
        <v>Roiphet1C4-G07-0057</v>
      </c>
      <c r="D212" s="63">
        <f>VLOOKUP(C212,'RAW DATA 2023'!E:BP,63,0)</f>
        <v>6</v>
      </c>
      <c r="E212" s="63" t="str">
        <f t="shared" si="19"/>
        <v>Roiphet16</v>
      </c>
      <c r="F212" s="63">
        <f>ROUND(VLOOKUP(C212,'RAW DATA 2023'!E:BO,23,0),0)</f>
        <v>26</v>
      </c>
      <c r="G212" s="120">
        <f>VLOOKUP(C212,'RAW DATA 2023'!E:BO,26,0)</f>
        <v>0.42648601400000002</v>
      </c>
      <c r="H212" s="101">
        <f>IFERROR(VLOOKUP(F212,STD!B:G,6,0),"")</f>
        <v>0.37</v>
      </c>
      <c r="I212" s="100">
        <f t="shared" si="20"/>
        <v>1.1526649027027027</v>
      </c>
      <c r="J212" s="249">
        <f t="shared" si="22"/>
        <v>13.053298054054054</v>
      </c>
      <c r="K212" s="63">
        <f>VLOOKUP(C212,'RAW DATA 2023'!E:BO,20,0)</f>
        <v>104.00000000000001</v>
      </c>
      <c r="L212" s="322">
        <f t="shared" si="23"/>
        <v>1357.5429976216217</v>
      </c>
      <c r="M212" s="63"/>
      <c r="Y212" s="63" t="str">
        <f t="shared" si="21"/>
        <v>C4-G07-00576</v>
      </c>
    </row>
    <row r="213" spans="1:25">
      <c r="A213" s="63" t="str">
        <f>'RAW DATA 2023'!B206</f>
        <v>Roiphet1</v>
      </c>
      <c r="B213" s="63" t="str">
        <f>'RAW DATA 2023'!D206</f>
        <v>D5-G09-0069</v>
      </c>
      <c r="C213" s="63" t="str">
        <f t="shared" si="18"/>
        <v>Roiphet1D5-G09-0069</v>
      </c>
      <c r="D213" s="63">
        <f>VLOOKUP(C213,'RAW DATA 2023'!E:BP,63,0)</f>
        <v>10</v>
      </c>
      <c r="E213" s="63" t="str">
        <f t="shared" si="19"/>
        <v>Roiphet110</v>
      </c>
      <c r="F213" s="63">
        <f>ROUND(VLOOKUP(C213,'RAW DATA 2023'!E:BO,23,0),0)</f>
        <v>34</v>
      </c>
      <c r="G213" s="120">
        <f>VLOOKUP(C213,'RAW DATA 2023'!E:BO,26,0)</f>
        <v>0.42167832199999999</v>
      </c>
      <c r="H213" s="101">
        <f>IFERROR(VLOOKUP(F213,STD!B:G,6,0),"")</f>
        <v>0.38</v>
      </c>
      <c r="I213" s="100">
        <f t="shared" si="20"/>
        <v>1.109679794736842</v>
      </c>
      <c r="J213" s="249">
        <f t="shared" si="22"/>
        <v>12.193595894736839</v>
      </c>
      <c r="K213" s="63">
        <f>VLOOKUP(C213,'RAW DATA 2023'!E:BO,20,0)</f>
        <v>104</v>
      </c>
      <c r="L213" s="322">
        <f t="shared" si="23"/>
        <v>1268.1339730526313</v>
      </c>
      <c r="M213" s="63"/>
      <c r="Y213" s="63" t="str">
        <f t="shared" si="21"/>
        <v>D5-G09-006910</v>
      </c>
    </row>
    <row r="214" spans="1:25">
      <c r="A214" s="63" t="str">
        <f>'RAW DATA 2023'!B207</f>
        <v>Roiphet1</v>
      </c>
      <c r="B214" s="63" t="str">
        <f>'RAW DATA 2023'!D207</f>
        <v>C2-G03-0067</v>
      </c>
      <c r="C214" s="63" t="str">
        <f t="shared" si="18"/>
        <v>Roiphet1C2-G03-0067</v>
      </c>
      <c r="D214" s="63">
        <f>VLOOKUP(C214,'RAW DATA 2023'!E:BP,63,0)</f>
        <v>10</v>
      </c>
      <c r="E214" s="63" t="str">
        <f t="shared" si="19"/>
        <v>Roiphet110</v>
      </c>
      <c r="F214" s="63">
        <f>ROUND(VLOOKUP(C214,'RAW DATA 2023'!E:BO,23,0),0)</f>
        <v>52</v>
      </c>
      <c r="G214" s="120">
        <f>VLOOKUP(C214,'RAW DATA 2023'!E:BO,26,0)</f>
        <v>0.40894562099999998</v>
      </c>
      <c r="H214" s="101">
        <f>IFERROR(VLOOKUP(F214,STD!B:G,6,0),"")</f>
        <v>0.36</v>
      </c>
      <c r="I214" s="100">
        <f t="shared" si="20"/>
        <v>1.1359600583333334</v>
      </c>
      <c r="J214" s="249">
        <f t="shared" si="22"/>
        <v>12.719201166666668</v>
      </c>
      <c r="K214" s="63">
        <f>VLOOKUP(C214,'RAW DATA 2023'!E:BO,20,0)</f>
        <v>73</v>
      </c>
      <c r="L214" s="322">
        <f t="shared" si="23"/>
        <v>928.50168516666679</v>
      </c>
      <c r="M214" s="63"/>
      <c r="Y214" s="63" t="str">
        <f t="shared" si="21"/>
        <v>C2-G03-006710</v>
      </c>
    </row>
    <row r="215" spans="1:25">
      <c r="A215" s="63" t="str">
        <f>'RAW DATA 2023'!B208</f>
        <v>Roiphet1</v>
      </c>
      <c r="B215" s="63" t="str">
        <f>'RAW DATA 2023'!D208</f>
        <v>C2-G04-0065</v>
      </c>
      <c r="C215" s="63" t="str">
        <f t="shared" si="18"/>
        <v>Roiphet1C2-G04-0065</v>
      </c>
      <c r="D215" s="63">
        <f>VLOOKUP(C215,'RAW DATA 2023'!E:BP,63,0)</f>
        <v>10</v>
      </c>
      <c r="E215" s="63" t="str">
        <f t="shared" si="19"/>
        <v>Roiphet110</v>
      </c>
      <c r="F215" s="63">
        <f>ROUND(VLOOKUP(C215,'RAW DATA 2023'!E:BO,23,0),0)</f>
        <v>55</v>
      </c>
      <c r="G215" s="120">
        <f>VLOOKUP(C215,'RAW DATA 2023'!E:BO,26,0)</f>
        <v>0.40826068900000001</v>
      </c>
      <c r="H215" s="101">
        <f>IFERROR(VLOOKUP(F215,STD!B:G,6,0),"")</f>
        <v>0.36</v>
      </c>
      <c r="I215" s="100">
        <f t="shared" si="20"/>
        <v>1.1340574694444445</v>
      </c>
      <c r="J215" s="249">
        <f t="shared" si="22"/>
        <v>12.68114938888889</v>
      </c>
      <c r="K215" s="63">
        <f>VLOOKUP(C215,'RAW DATA 2023'!E:BO,20,0)</f>
        <v>73</v>
      </c>
      <c r="L215" s="322">
        <f t="shared" si="23"/>
        <v>925.72390538888897</v>
      </c>
      <c r="M215" s="63"/>
      <c r="Y215" s="63" t="str">
        <f t="shared" si="21"/>
        <v>C2-G04-006510</v>
      </c>
    </row>
    <row r="216" spans="1:25">
      <c r="A216" s="63" t="str">
        <f>'RAW DATA 2023'!B209</f>
        <v>Roiphet1</v>
      </c>
      <c r="B216" s="63" t="str">
        <f>'RAW DATA 2023'!D209</f>
        <v>C2-I04-0068</v>
      </c>
      <c r="C216" s="63" t="str">
        <f t="shared" si="18"/>
        <v>Roiphet1C2-I04-0068</v>
      </c>
      <c r="D216" s="63">
        <f>VLOOKUP(C216,'RAW DATA 2023'!E:BP,63,0)</f>
        <v>10</v>
      </c>
      <c r="E216" s="63" t="str">
        <f t="shared" si="19"/>
        <v>Roiphet110</v>
      </c>
      <c r="F216" s="63">
        <f>ROUND(VLOOKUP(C216,'RAW DATA 2023'!E:BO,23,0),0)</f>
        <v>50</v>
      </c>
      <c r="G216" s="120">
        <f>VLOOKUP(C216,'RAW DATA 2023'!E:BO,26,0)</f>
        <v>0.40722203800000001</v>
      </c>
      <c r="H216" s="101">
        <f>IFERROR(VLOOKUP(F216,STD!B:G,6,0),"")</f>
        <v>0.36</v>
      </c>
      <c r="I216" s="100">
        <f t="shared" si="20"/>
        <v>1.1311723277777779</v>
      </c>
      <c r="J216" s="249">
        <f t="shared" si="22"/>
        <v>12.623446555555557</v>
      </c>
      <c r="K216" s="63">
        <f>VLOOKUP(C216,'RAW DATA 2023'!E:BO,20,0)</f>
        <v>71</v>
      </c>
      <c r="L216" s="322">
        <f t="shared" si="23"/>
        <v>896.26470544444453</v>
      </c>
      <c r="M216" s="63"/>
      <c r="Y216" s="63" t="str">
        <f t="shared" si="21"/>
        <v>C2-I04-006810</v>
      </c>
    </row>
    <row r="217" spans="1:25">
      <c r="A217" s="63" t="str">
        <f>'RAW DATA 2023'!B210</f>
        <v>Roiphet1</v>
      </c>
      <c r="B217" s="63" t="str">
        <f>'RAW DATA 2023'!D210</f>
        <v>D2-I03-0086</v>
      </c>
      <c r="C217" s="63" t="str">
        <f t="shared" si="18"/>
        <v>Roiphet1D2-I03-0086</v>
      </c>
      <c r="D217" s="63">
        <f>VLOOKUP(C217,'RAW DATA 2023'!E:BP,63,0)</f>
        <v>9</v>
      </c>
      <c r="E217" s="63" t="str">
        <f t="shared" si="19"/>
        <v>Roiphet19</v>
      </c>
      <c r="F217" s="63">
        <f>ROUND(VLOOKUP(C217,'RAW DATA 2023'!E:BO,23,0),0)</f>
        <v>35</v>
      </c>
      <c r="G217" s="120">
        <f>VLOOKUP(C217,'RAW DATA 2023'!E:BO,26,0)</f>
        <v>0.40631405000000004</v>
      </c>
      <c r="H217" s="101">
        <f>IFERROR(VLOOKUP(F217,STD!B:G,6,0),"")</f>
        <v>0.37</v>
      </c>
      <c r="I217" s="100">
        <f t="shared" si="20"/>
        <v>1.0981460810810812</v>
      </c>
      <c r="J217" s="249">
        <f t="shared" si="22"/>
        <v>11.962921621621625</v>
      </c>
      <c r="K217" s="63">
        <f>VLOOKUP(C217,'RAW DATA 2023'!E:BO,20,0)</f>
        <v>109.99999999999999</v>
      </c>
      <c r="L217" s="322">
        <f t="shared" si="23"/>
        <v>1315.9213783783787</v>
      </c>
      <c r="M217" s="63"/>
      <c r="Y217" s="63" t="str">
        <f t="shared" si="21"/>
        <v>D2-I03-00869</v>
      </c>
    </row>
    <row r="218" spans="1:25">
      <c r="A218" s="63" t="str">
        <f>'RAW DATA 2023'!B211</f>
        <v>Roiphet1</v>
      </c>
      <c r="B218" s="63" t="str">
        <f>'RAW DATA 2023'!D211</f>
        <v>D2-G03-0081</v>
      </c>
      <c r="C218" s="63" t="str">
        <f t="shared" si="18"/>
        <v>Roiphet1D2-G03-0081</v>
      </c>
      <c r="D218" s="63">
        <f>VLOOKUP(C218,'RAW DATA 2023'!E:BP,63,0)</f>
        <v>9</v>
      </c>
      <c r="E218" s="63" t="str">
        <f t="shared" si="19"/>
        <v>Roiphet19</v>
      </c>
      <c r="F218" s="63">
        <f>ROUND(VLOOKUP(C218,'RAW DATA 2023'!E:BO,23,0),0)</f>
        <v>34</v>
      </c>
      <c r="G218" s="120">
        <f>VLOOKUP(C218,'RAW DATA 2023'!E:BO,26,0)</f>
        <v>0.40269586800000001</v>
      </c>
      <c r="H218" s="101">
        <f>IFERROR(VLOOKUP(F218,STD!B:G,6,0),"")</f>
        <v>0.38</v>
      </c>
      <c r="I218" s="100">
        <f t="shared" si="20"/>
        <v>1.0597259684210527</v>
      </c>
      <c r="J218" s="249">
        <f t="shared" si="22"/>
        <v>11.194519368421055</v>
      </c>
      <c r="K218" s="63">
        <f>VLOOKUP(C218,'RAW DATA 2023'!E:BO,20,0)</f>
        <v>110</v>
      </c>
      <c r="L218" s="322">
        <f t="shared" si="23"/>
        <v>1231.397130526316</v>
      </c>
      <c r="M218" s="63"/>
      <c r="Y218" s="63" t="str">
        <f t="shared" si="21"/>
        <v>D2-G03-00819</v>
      </c>
    </row>
    <row r="219" spans="1:25">
      <c r="A219" s="63" t="str">
        <f>'RAW DATA 2023'!B212</f>
        <v>Roiphet1</v>
      </c>
      <c r="B219" s="63" t="str">
        <f>'RAW DATA 2023'!D212</f>
        <v>C5-I09-0065</v>
      </c>
      <c r="C219" s="63" t="str">
        <f t="shared" si="18"/>
        <v>Roiphet1C5-I09-0065</v>
      </c>
      <c r="D219" s="63">
        <f>VLOOKUP(C219,'RAW DATA 2023'!E:BP,63,0)</f>
        <v>10</v>
      </c>
      <c r="E219" s="63" t="str">
        <f t="shared" si="19"/>
        <v>Roiphet110</v>
      </c>
      <c r="F219" s="63">
        <f>ROUND(VLOOKUP(C219,'RAW DATA 2023'!E:BO,23,0),0)</f>
        <v>34</v>
      </c>
      <c r="G219" s="120">
        <f>VLOOKUP(C219,'RAW DATA 2023'!E:BO,26,0)</f>
        <v>0.400858086</v>
      </c>
      <c r="H219" s="101">
        <f>IFERROR(VLOOKUP(F219,STD!B:G,6,0),"")</f>
        <v>0.38</v>
      </c>
      <c r="I219" s="100">
        <f t="shared" si="20"/>
        <v>1.0548896999999999</v>
      </c>
      <c r="J219" s="249">
        <f t="shared" si="22"/>
        <v>11.097793999999999</v>
      </c>
      <c r="K219" s="63">
        <f>VLOOKUP(C219,'RAW DATA 2023'!E:BO,20,0)</f>
        <v>101</v>
      </c>
      <c r="L219" s="322">
        <f t="shared" si="23"/>
        <v>1120.8771939999999</v>
      </c>
      <c r="M219" s="63"/>
      <c r="Y219" s="63" t="str">
        <f t="shared" si="21"/>
        <v>C5-I09-006510</v>
      </c>
    </row>
    <row r="220" spans="1:25">
      <c r="A220" s="63" t="str">
        <f>'RAW DATA 2023'!B213</f>
        <v>Roiphet1</v>
      </c>
      <c r="B220" s="63" t="str">
        <f>'RAW DATA 2023'!D213</f>
        <v>C6-G12-0060</v>
      </c>
      <c r="C220" s="63" t="str">
        <f t="shared" si="18"/>
        <v>Roiphet1C6-G12-0060</v>
      </c>
      <c r="D220" s="63">
        <f>VLOOKUP(C220,'RAW DATA 2023'!E:BP,63,0)</f>
        <v>6</v>
      </c>
      <c r="E220" s="63" t="str">
        <f t="shared" si="19"/>
        <v>Roiphet16</v>
      </c>
      <c r="F220" s="63">
        <f>ROUND(VLOOKUP(C220,'RAW DATA 2023'!E:BO,23,0),0)</f>
        <v>35</v>
      </c>
      <c r="G220" s="120">
        <f>VLOOKUP(C220,'RAW DATA 2023'!E:BO,26,0)</f>
        <v>0.39967951299999999</v>
      </c>
      <c r="H220" s="101">
        <f>IFERROR(VLOOKUP(F220,STD!B:G,6,0),"")</f>
        <v>0.37</v>
      </c>
      <c r="I220" s="100">
        <f t="shared" si="20"/>
        <v>1.0802148999999999</v>
      </c>
      <c r="J220" s="249">
        <f t="shared" si="22"/>
        <v>11.604297999999996</v>
      </c>
      <c r="K220" s="63">
        <f>VLOOKUP(C220,'RAW DATA 2023'!E:BO,20,0)</f>
        <v>85</v>
      </c>
      <c r="L220" s="322">
        <f t="shared" si="23"/>
        <v>986.36532999999974</v>
      </c>
      <c r="M220" s="63"/>
      <c r="Y220" s="63" t="str">
        <f t="shared" si="21"/>
        <v>C6-G12-00606</v>
      </c>
    </row>
    <row r="221" spans="1:25">
      <c r="A221" s="63" t="str">
        <f>'RAW DATA 2023'!B214</f>
        <v>Roiphet1</v>
      </c>
      <c r="B221" s="63" t="str">
        <f>'RAW DATA 2023'!D214</f>
        <v>D5-G10-0070</v>
      </c>
      <c r="C221" s="63" t="str">
        <f t="shared" si="18"/>
        <v>Roiphet1D5-G10-0070</v>
      </c>
      <c r="D221" s="63">
        <f>VLOOKUP(C221,'RAW DATA 2023'!E:BP,63,0)</f>
        <v>10</v>
      </c>
      <c r="E221" s="63" t="str">
        <f t="shared" si="19"/>
        <v>Roiphet110</v>
      </c>
      <c r="F221" s="63">
        <f>ROUND(VLOOKUP(C221,'RAW DATA 2023'!E:BO,23,0),0)</f>
        <v>36</v>
      </c>
      <c r="G221" s="120">
        <f>VLOOKUP(C221,'RAW DATA 2023'!E:BO,26,0)</f>
        <v>0.39035566199999999</v>
      </c>
      <c r="H221" s="101">
        <f>IFERROR(VLOOKUP(F221,STD!B:G,6,0),"")</f>
        <v>0.36</v>
      </c>
      <c r="I221" s="100">
        <f t="shared" si="20"/>
        <v>1.0843212833333333</v>
      </c>
      <c r="J221" s="249">
        <f t="shared" si="22"/>
        <v>11.686425666666667</v>
      </c>
      <c r="K221" s="63">
        <f>VLOOKUP(C221,'RAW DATA 2023'!E:BO,20,0)</f>
        <v>114.00000000000001</v>
      </c>
      <c r="L221" s="322">
        <f t="shared" si="23"/>
        <v>1332.2525260000002</v>
      </c>
      <c r="M221" s="63"/>
      <c r="Y221" s="63" t="str">
        <f t="shared" si="21"/>
        <v>D5-G10-007010</v>
      </c>
    </row>
    <row r="222" spans="1:25">
      <c r="A222" s="63" t="str">
        <f>'RAW DATA 2023'!B215</f>
        <v>Roiphet1</v>
      </c>
      <c r="B222" s="63" t="str">
        <f>'RAW DATA 2023'!D215</f>
        <v>C2-I04-0066</v>
      </c>
      <c r="C222" s="63" t="str">
        <f t="shared" si="18"/>
        <v>Roiphet1C2-I04-0066</v>
      </c>
      <c r="D222" s="63">
        <f>VLOOKUP(C222,'RAW DATA 2023'!E:BP,63,0)</f>
        <v>3</v>
      </c>
      <c r="E222" s="63" t="str">
        <f t="shared" si="19"/>
        <v>Roiphet13</v>
      </c>
      <c r="F222" s="63">
        <f>ROUND(VLOOKUP(C222,'RAW DATA 2023'!E:BO,23,0),0)</f>
        <v>33</v>
      </c>
      <c r="G222" s="120">
        <f>VLOOKUP(C222,'RAW DATA 2023'!E:BO,26,0)</f>
        <v>0.38873517800000001</v>
      </c>
      <c r="H222" s="101">
        <f>IFERROR(VLOOKUP(F222,STD!B:G,6,0),"")</f>
        <v>0.39</v>
      </c>
      <c r="I222" s="100">
        <f t="shared" si="20"/>
        <v>0.99675686666666663</v>
      </c>
      <c r="J222" s="249">
        <f t="shared" si="22"/>
        <v>9.9351373333333335</v>
      </c>
      <c r="K222" s="63">
        <f>VLOOKUP(C222,'RAW DATA 2023'!E:BO,20,0)</f>
        <v>114.99999999999999</v>
      </c>
      <c r="L222" s="322">
        <f t="shared" si="23"/>
        <v>1142.5407933333331</v>
      </c>
      <c r="M222" s="63"/>
      <c r="Y222" s="63" t="str">
        <f t="shared" si="21"/>
        <v>C2-I04-00663</v>
      </c>
    </row>
    <row r="223" spans="1:25">
      <c r="A223" s="63" t="str">
        <f>'RAW DATA 2023'!B216</f>
        <v>Roiphet1</v>
      </c>
      <c r="B223" s="63" t="str">
        <f>'RAW DATA 2023'!D216</f>
        <v>C5-G10-0065</v>
      </c>
      <c r="C223" s="63" t="str">
        <f t="shared" si="18"/>
        <v>Roiphet1C5-G10-0065</v>
      </c>
      <c r="D223" s="63">
        <f>VLOOKUP(C223,'RAW DATA 2023'!E:BP,63,0)</f>
        <v>10</v>
      </c>
      <c r="E223" s="63" t="str">
        <f t="shared" si="19"/>
        <v>Roiphet110</v>
      </c>
      <c r="F223" s="63">
        <f>ROUND(VLOOKUP(C223,'RAW DATA 2023'!E:BO,23,0),0)</f>
        <v>43</v>
      </c>
      <c r="G223" s="120">
        <f>VLOOKUP(C223,'RAW DATA 2023'!E:BO,26,0)</f>
        <v>0.38813725500000001</v>
      </c>
      <c r="H223" s="101">
        <f>IFERROR(VLOOKUP(F223,STD!B:G,6,0),"")</f>
        <v>0.37</v>
      </c>
      <c r="I223" s="100">
        <f t="shared" si="20"/>
        <v>1.0490196081081082</v>
      </c>
      <c r="J223" s="249">
        <f t="shared" si="22"/>
        <v>10.980392162162165</v>
      </c>
      <c r="K223" s="63">
        <f>VLOOKUP(C223,'RAW DATA 2023'!E:BO,20,0)</f>
        <v>102</v>
      </c>
      <c r="L223" s="322">
        <f t="shared" si="23"/>
        <v>1120.0000005405409</v>
      </c>
      <c r="M223" s="63"/>
      <c r="Y223" s="63" t="str">
        <f t="shared" si="21"/>
        <v>C5-G10-006510</v>
      </c>
    </row>
    <row r="224" spans="1:25">
      <c r="A224" s="63" t="str">
        <f>'RAW DATA 2023'!B217</f>
        <v>Roiphet1</v>
      </c>
      <c r="B224" s="63" t="str">
        <f>'RAW DATA 2023'!D217</f>
        <v>C5-G09-0058</v>
      </c>
      <c r="C224" s="63" t="str">
        <f t="shared" si="18"/>
        <v>Roiphet1C5-G09-0058</v>
      </c>
      <c r="D224" s="63">
        <f>VLOOKUP(C224,'RAW DATA 2023'!E:BP,63,0)</f>
        <v>10</v>
      </c>
      <c r="E224" s="63" t="str">
        <f t="shared" si="19"/>
        <v>Roiphet110</v>
      </c>
      <c r="F224" s="63">
        <f>ROUND(VLOOKUP(C224,'RAW DATA 2023'!E:BO,23,0),0)</f>
        <v>35</v>
      </c>
      <c r="G224" s="120">
        <f>VLOOKUP(C224,'RAW DATA 2023'!E:BO,26,0)</f>
        <v>0.38435643600000002</v>
      </c>
      <c r="H224" s="101">
        <f>IFERROR(VLOOKUP(F224,STD!B:G,6,0),"")</f>
        <v>0.37</v>
      </c>
      <c r="I224" s="100">
        <f t="shared" si="20"/>
        <v>1.0388011783783784</v>
      </c>
      <c r="J224" s="249">
        <f t="shared" si="22"/>
        <v>10.776023567567567</v>
      </c>
      <c r="K224" s="63">
        <f>VLOOKUP(C224,'RAW DATA 2023'!E:BO,20,0)</f>
        <v>101</v>
      </c>
      <c r="L224" s="322">
        <f t="shared" si="23"/>
        <v>1088.3783803243243</v>
      </c>
      <c r="M224" s="63"/>
      <c r="Y224" s="63" t="str">
        <f t="shared" si="21"/>
        <v>C5-G09-005810</v>
      </c>
    </row>
    <row r="225" spans="1:25">
      <c r="A225" s="63" t="str">
        <f>'RAW DATA 2023'!B218</f>
        <v>Roiphet1</v>
      </c>
      <c r="B225" s="63" t="str">
        <f>'RAW DATA 2023'!D218</f>
        <v>C5-I10-0066</v>
      </c>
      <c r="C225" s="63" t="str">
        <f t="shared" si="18"/>
        <v>Roiphet1C5-I10-0066</v>
      </c>
      <c r="D225" s="63">
        <f>VLOOKUP(C225,'RAW DATA 2023'!E:BP,63,0)</f>
        <v>10</v>
      </c>
      <c r="E225" s="63" t="str">
        <f t="shared" si="19"/>
        <v>Roiphet110</v>
      </c>
      <c r="F225" s="63">
        <f>ROUND(VLOOKUP(C225,'RAW DATA 2023'!E:BO,23,0),0)</f>
        <v>33</v>
      </c>
      <c r="G225" s="120">
        <f>VLOOKUP(C225,'RAW DATA 2023'!E:BO,26,0)</f>
        <v>0.380588235</v>
      </c>
      <c r="H225" s="101">
        <f>IFERROR(VLOOKUP(F225,STD!B:G,6,0),"")</f>
        <v>0.39</v>
      </c>
      <c r="I225" s="100">
        <f t="shared" si="20"/>
        <v>0.97586726923076916</v>
      </c>
      <c r="J225" s="249">
        <f t="shared" si="22"/>
        <v>9.5173453846153837</v>
      </c>
      <c r="K225" s="63">
        <f>VLOOKUP(C225,'RAW DATA 2023'!E:BO,20,0)</f>
        <v>102</v>
      </c>
      <c r="L225" s="322">
        <f t="shared" si="23"/>
        <v>970.76922923076916</v>
      </c>
      <c r="M225" s="63"/>
      <c r="Y225" s="63" t="str">
        <f t="shared" si="21"/>
        <v>C5-I10-006610</v>
      </c>
    </row>
    <row r="226" spans="1:25">
      <c r="A226" s="63" t="str">
        <f>'RAW DATA 2023'!B219</f>
        <v>Roiphet1</v>
      </c>
      <c r="B226" s="63" t="str">
        <f>'RAW DATA 2023'!D219</f>
        <v>D2-G04-0080</v>
      </c>
      <c r="C226" s="63" t="str">
        <f t="shared" si="18"/>
        <v>Roiphet1D2-G04-0080</v>
      </c>
      <c r="D226" s="63">
        <f>VLOOKUP(C226,'RAW DATA 2023'!E:BP,63,0)</f>
        <v>9</v>
      </c>
      <c r="E226" s="63" t="str">
        <f t="shared" si="19"/>
        <v>Roiphet19</v>
      </c>
      <c r="F226" s="63">
        <f>ROUND(VLOOKUP(C226,'RAW DATA 2023'!E:BO,23,0),0)</f>
        <v>35</v>
      </c>
      <c r="G226" s="120">
        <f>VLOOKUP(C226,'RAW DATA 2023'!E:BO,26,0)</f>
        <v>0.37858585900000002</v>
      </c>
      <c r="H226" s="101">
        <f>IFERROR(VLOOKUP(F226,STD!B:G,6,0),"")</f>
        <v>0.37</v>
      </c>
      <c r="I226" s="100">
        <f t="shared" si="20"/>
        <v>1.0232050243243245</v>
      </c>
      <c r="J226" s="249">
        <f t="shared" si="22"/>
        <v>10.46410048648649</v>
      </c>
      <c r="K226" s="63">
        <f>VLOOKUP(C226,'RAW DATA 2023'!E:BO,20,0)</f>
        <v>117</v>
      </c>
      <c r="L226" s="322">
        <f t="shared" si="23"/>
        <v>1224.2997569189195</v>
      </c>
      <c r="M226" s="63"/>
      <c r="Y226" s="63" t="str">
        <f t="shared" si="21"/>
        <v>D2-G04-00809</v>
      </c>
    </row>
    <row r="227" spans="1:25">
      <c r="A227" s="63" t="str">
        <f>'RAW DATA 2023'!B220</f>
        <v>Roiphet1</v>
      </c>
      <c r="B227" s="63" t="str">
        <f>'RAW DATA 2023'!D220</f>
        <v>C4-G08-0060</v>
      </c>
      <c r="C227" s="63" t="str">
        <f t="shared" si="18"/>
        <v>Roiphet1C4-G08-0060</v>
      </c>
      <c r="D227" s="63">
        <f>VLOOKUP(C227,'RAW DATA 2023'!E:BP,63,0)</f>
        <v>1</v>
      </c>
      <c r="E227" s="63" t="str">
        <f t="shared" si="19"/>
        <v>Roiphet11</v>
      </c>
      <c r="F227" s="63">
        <f>ROUND(VLOOKUP(C227,'RAW DATA 2023'!E:BO,23,0),0)</f>
        <v>38</v>
      </c>
      <c r="G227" s="120">
        <f>VLOOKUP(C227,'RAW DATA 2023'!E:BO,26,0)</f>
        <v>0.37597723</v>
      </c>
      <c r="H227" s="101">
        <f>IFERROR(VLOOKUP(F227,STD!B:G,6,0),"")</f>
        <v>0.37</v>
      </c>
      <c r="I227" s="100">
        <f t="shared" si="20"/>
        <v>1.0161546756756756</v>
      </c>
      <c r="J227" s="249">
        <f t="shared" si="22"/>
        <v>10.323093513513513</v>
      </c>
      <c r="K227" s="63">
        <f>VLOOKUP(C227,'RAW DATA 2023'!E:BO,20,0)</f>
        <v>85</v>
      </c>
      <c r="L227" s="322">
        <f t="shared" si="23"/>
        <v>877.46294864864853</v>
      </c>
      <c r="M227" s="63"/>
      <c r="Y227" s="63" t="str">
        <f t="shared" si="21"/>
        <v>C4-G08-00601</v>
      </c>
    </row>
    <row r="228" spans="1:25">
      <c r="A228" s="63" t="str">
        <f>'RAW DATA 2023'!B221</f>
        <v>Roiphet1</v>
      </c>
      <c r="B228" s="63" t="str">
        <f>'RAW DATA 2023'!D221</f>
        <v>D5-I10-0075</v>
      </c>
      <c r="C228" s="63" t="str">
        <f t="shared" si="18"/>
        <v>Roiphet1D5-I10-0075</v>
      </c>
      <c r="D228" s="63">
        <f>VLOOKUP(C228,'RAW DATA 2023'!E:BP,63,0)</f>
        <v>10</v>
      </c>
      <c r="E228" s="63" t="str">
        <f t="shared" si="19"/>
        <v>Roiphet110</v>
      </c>
      <c r="F228" s="63">
        <f>ROUND(VLOOKUP(C228,'RAW DATA 2023'!E:BO,23,0),0)</f>
        <v>36</v>
      </c>
      <c r="G228" s="120">
        <f>VLOOKUP(C228,'RAW DATA 2023'!E:BO,26,0)</f>
        <v>0.37305492000000001</v>
      </c>
      <c r="H228" s="101">
        <f>IFERROR(VLOOKUP(F228,STD!B:G,6,0),"")</f>
        <v>0.36</v>
      </c>
      <c r="I228" s="100">
        <f t="shared" si="20"/>
        <v>1.0362636666666667</v>
      </c>
      <c r="J228" s="249">
        <f t="shared" si="22"/>
        <v>10.725273333333334</v>
      </c>
      <c r="K228" s="63">
        <f>VLOOKUP(C228,'RAW DATA 2023'!E:BO,20,0)</f>
        <v>114</v>
      </c>
      <c r="L228" s="322">
        <f t="shared" si="23"/>
        <v>1222.6811600000001</v>
      </c>
      <c r="M228" s="63"/>
      <c r="Y228" s="63" t="str">
        <f t="shared" si="21"/>
        <v>D5-I10-007510</v>
      </c>
    </row>
    <row r="229" spans="1:25">
      <c r="A229" s="63" t="str">
        <f>'RAW DATA 2023'!B222</f>
        <v>Roiphet1</v>
      </c>
      <c r="B229" s="63" t="str">
        <f>'RAW DATA 2023'!D222</f>
        <v>C2-I03-0058</v>
      </c>
      <c r="C229" s="63" t="str">
        <f t="shared" si="18"/>
        <v>Roiphet1C2-I03-0058</v>
      </c>
      <c r="D229" s="63">
        <f>VLOOKUP(C229,'RAW DATA 2023'!E:BP,63,0)</f>
        <v>3</v>
      </c>
      <c r="E229" s="63" t="str">
        <f t="shared" si="19"/>
        <v>Roiphet13</v>
      </c>
      <c r="F229" s="63">
        <f>ROUND(VLOOKUP(C229,'RAW DATA 2023'!E:BO,23,0),0)</f>
        <v>34</v>
      </c>
      <c r="G229" s="120">
        <f>VLOOKUP(C229,'RAW DATA 2023'!E:BO,26,0)</f>
        <v>0.37155009500000002</v>
      </c>
      <c r="H229" s="101">
        <f>IFERROR(VLOOKUP(F229,STD!B:G,6,0),"")</f>
        <v>0.38</v>
      </c>
      <c r="I229" s="100">
        <f t="shared" si="20"/>
        <v>0.97776340789473692</v>
      </c>
      <c r="J229" s="249">
        <f t="shared" si="22"/>
        <v>9.5552681578947389</v>
      </c>
      <c r="K229" s="63">
        <f>VLOOKUP(C229,'RAW DATA 2023'!E:BO,20,0)</f>
        <v>115</v>
      </c>
      <c r="L229" s="322">
        <f t="shared" si="23"/>
        <v>1098.8558381578951</v>
      </c>
      <c r="M229" s="63"/>
      <c r="Y229" s="63" t="str">
        <f t="shared" si="21"/>
        <v>C2-I03-00583</v>
      </c>
    </row>
    <row r="230" spans="1:25">
      <c r="A230" s="63" t="str">
        <f>'RAW DATA 2023'!B223</f>
        <v>Roiphet1</v>
      </c>
      <c r="B230" s="63" t="str">
        <f>'RAW DATA 2023'!D223</f>
        <v>D5-I09-0083</v>
      </c>
      <c r="C230" s="63" t="str">
        <f t="shared" si="18"/>
        <v>Roiphet1D5-I09-0083</v>
      </c>
      <c r="D230" s="63">
        <f>VLOOKUP(C230,'RAW DATA 2023'!E:BP,63,0)</f>
        <v>10</v>
      </c>
      <c r="E230" s="63" t="str">
        <f t="shared" si="19"/>
        <v>Roiphet110</v>
      </c>
      <c r="F230" s="63">
        <f>ROUND(VLOOKUP(C230,'RAW DATA 2023'!E:BO,23,0),0)</f>
        <v>38</v>
      </c>
      <c r="G230" s="120">
        <f>VLOOKUP(C230,'RAW DATA 2023'!E:BO,26,0)</f>
        <v>0.36296296300000003</v>
      </c>
      <c r="H230" s="101">
        <f>IFERROR(VLOOKUP(F230,STD!B:G,6,0),"")</f>
        <v>0.37</v>
      </c>
      <c r="I230" s="100">
        <f t="shared" si="20"/>
        <v>0.98098098108108112</v>
      </c>
      <c r="J230" s="249">
        <f t="shared" si="22"/>
        <v>9.6196196216216219</v>
      </c>
      <c r="K230" s="63">
        <f>VLOOKUP(C230,'RAW DATA 2023'!E:BO,20,0)</f>
        <v>108</v>
      </c>
      <c r="L230" s="322">
        <f t="shared" si="23"/>
        <v>1038.9189191351352</v>
      </c>
      <c r="M230" s="63"/>
      <c r="Y230" s="63" t="str">
        <f t="shared" si="21"/>
        <v>D5-I09-008310</v>
      </c>
    </row>
    <row r="231" spans="1:25">
      <c r="A231" s="63" t="str">
        <f>'RAW DATA 2023'!B224</f>
        <v>Roiphet1</v>
      </c>
      <c r="B231" s="63" t="str">
        <f>'RAW DATA 2023'!D224</f>
        <v>C1-G02-0073</v>
      </c>
      <c r="C231" s="63" t="str">
        <f t="shared" si="18"/>
        <v>Roiphet1C1-G02-0073</v>
      </c>
      <c r="D231" s="63">
        <f>VLOOKUP(C231,'RAW DATA 2023'!E:BP,63,0)</f>
        <v>5</v>
      </c>
      <c r="E231" s="63" t="str">
        <f t="shared" si="19"/>
        <v>Roiphet15</v>
      </c>
      <c r="F231" s="63">
        <f>ROUND(VLOOKUP(C231,'RAW DATA 2023'!E:BO,23,0),0)</f>
        <v>33</v>
      </c>
      <c r="G231" s="120">
        <f>VLOOKUP(C231,'RAW DATA 2023'!E:BO,26,0)</f>
        <v>0.36009174300000002</v>
      </c>
      <c r="H231" s="101">
        <f>IFERROR(VLOOKUP(F231,STD!B:G,6,0),"")</f>
        <v>0.39</v>
      </c>
      <c r="I231" s="100">
        <f t="shared" si="20"/>
        <v>0.92331216153846152</v>
      </c>
      <c r="J231" s="249">
        <f t="shared" si="22"/>
        <v>8.4662432307692299</v>
      </c>
      <c r="K231" s="63">
        <f>VLOOKUP(C231,'RAW DATA 2023'!E:BO,20,0)</f>
        <v>109</v>
      </c>
      <c r="L231" s="322">
        <f t="shared" si="23"/>
        <v>922.82051215384604</v>
      </c>
      <c r="M231" s="63"/>
      <c r="Y231" s="63" t="str">
        <f t="shared" si="21"/>
        <v>C1-G02-00735</v>
      </c>
    </row>
    <row r="232" spans="1:25">
      <c r="A232" s="63" t="str">
        <f>'RAW DATA 2023'!B225</f>
        <v>Roiphet1</v>
      </c>
      <c r="B232" s="63" t="str">
        <f>'RAW DATA 2023'!D225</f>
        <v>D2-I04-0092</v>
      </c>
      <c r="C232" s="63" t="str">
        <f t="shared" si="18"/>
        <v>Roiphet1D2-I04-0092</v>
      </c>
      <c r="D232" s="63">
        <f>VLOOKUP(C232,'RAW DATA 2023'!E:BP,63,0)</f>
        <v>9</v>
      </c>
      <c r="E232" s="63" t="str">
        <f t="shared" si="19"/>
        <v>Roiphet19</v>
      </c>
      <c r="F232" s="63">
        <f>ROUND(VLOOKUP(C232,'RAW DATA 2023'!E:BO,23,0),0)</f>
        <v>30</v>
      </c>
      <c r="G232" s="120">
        <f>VLOOKUP(C232,'RAW DATA 2023'!E:BO,26,0)</f>
        <v>0.35941746499999999</v>
      </c>
      <c r="H232" s="101">
        <f>IFERROR(VLOOKUP(F232,STD!B:G,6,0),"")</f>
        <v>0.39</v>
      </c>
      <c r="I232" s="100">
        <f t="shared" si="20"/>
        <v>0.92158324358974353</v>
      </c>
      <c r="J232" s="249">
        <f t="shared" si="22"/>
        <v>8.4316648717948706</v>
      </c>
      <c r="K232" s="63">
        <f>VLOOKUP(C232,'RAW DATA 2023'!E:BO,20,0)</f>
        <v>118</v>
      </c>
      <c r="L232" s="322">
        <f t="shared" si="23"/>
        <v>994.93645487179469</v>
      </c>
      <c r="M232" s="63"/>
      <c r="Y232" s="63" t="str">
        <f t="shared" si="21"/>
        <v>D2-I04-00929</v>
      </c>
    </row>
    <row r="233" spans="1:25">
      <c r="A233" s="63" t="str">
        <f>'RAW DATA 2023'!B226</f>
        <v>Roiphet1</v>
      </c>
      <c r="B233" s="63" t="str">
        <f>'RAW DATA 2023'!D226</f>
        <v>C4-G07-0056</v>
      </c>
      <c r="C233" s="63" t="str">
        <f t="shared" si="18"/>
        <v>Roiphet1C4-G07-0056</v>
      </c>
      <c r="D233" s="63">
        <f>VLOOKUP(C233,'RAW DATA 2023'!E:BP,63,0)</f>
        <v>1</v>
      </c>
      <c r="E233" s="63" t="str">
        <f t="shared" si="19"/>
        <v>Roiphet11</v>
      </c>
      <c r="F233" s="63">
        <f>ROUND(VLOOKUP(C233,'RAW DATA 2023'!E:BO,23,0),0)</f>
        <v>39</v>
      </c>
      <c r="G233" s="120">
        <f>VLOOKUP(C233,'RAW DATA 2023'!E:BO,26,0)</f>
        <v>0.35872092999999999</v>
      </c>
      <c r="H233" s="101">
        <f>IFERROR(VLOOKUP(F233,STD!B:G,6,0),"")</f>
        <v>0.37</v>
      </c>
      <c r="I233" s="100">
        <f t="shared" si="20"/>
        <v>0.96951602702702699</v>
      </c>
      <c r="J233" s="249">
        <f t="shared" si="22"/>
        <v>9.3903205405405394</v>
      </c>
      <c r="K233" s="63">
        <f>VLOOKUP(C233,'RAW DATA 2023'!E:BO,20,0)</f>
        <v>86</v>
      </c>
      <c r="L233" s="322">
        <f t="shared" si="23"/>
        <v>807.56756648648638</v>
      </c>
      <c r="M233" s="63"/>
      <c r="Y233" s="63" t="str">
        <f t="shared" si="21"/>
        <v>C4-G07-00561</v>
      </c>
    </row>
    <row r="234" spans="1:25">
      <c r="A234" s="63" t="str">
        <f>'RAW DATA 2023'!B227</f>
        <v>Roiphet1</v>
      </c>
      <c r="B234" s="63" t="str">
        <f>'RAW DATA 2023'!D227</f>
        <v>D3-G05-0081</v>
      </c>
      <c r="C234" s="63" t="str">
        <f t="shared" si="18"/>
        <v>Roiphet1D3-G05-0081</v>
      </c>
      <c r="D234" s="63">
        <f>VLOOKUP(C234,'RAW DATA 2023'!E:BP,63,0)</f>
        <v>10</v>
      </c>
      <c r="E234" s="63" t="str">
        <f t="shared" si="19"/>
        <v>Roiphet110</v>
      </c>
      <c r="F234" s="63">
        <f>ROUND(VLOOKUP(C234,'RAW DATA 2023'!E:BO,23,0),0)</f>
        <v>39</v>
      </c>
      <c r="G234" s="120">
        <f>VLOOKUP(C234,'RAW DATA 2023'!E:BO,26,0)</f>
        <v>0.35863636399999999</v>
      </c>
      <c r="H234" s="101">
        <f>IFERROR(VLOOKUP(F234,STD!B:G,6,0),"")</f>
        <v>0.37</v>
      </c>
      <c r="I234" s="100">
        <f t="shared" si="20"/>
        <v>0.96928747027027029</v>
      </c>
      <c r="J234" s="249">
        <f t="shared" si="22"/>
        <v>9.3857494054054058</v>
      </c>
      <c r="K234" s="63">
        <f>VLOOKUP(C234,'RAW DATA 2023'!E:BO,20,0)</f>
        <v>110</v>
      </c>
      <c r="L234" s="322">
        <f t="shared" si="23"/>
        <v>1032.4324345945947</v>
      </c>
      <c r="M234" s="63"/>
      <c r="Y234" s="63" t="str">
        <f t="shared" si="21"/>
        <v>D3-G05-008110</v>
      </c>
    </row>
    <row r="235" spans="1:25">
      <c r="A235" s="63" t="str">
        <f>'RAW DATA 2023'!B228</f>
        <v>Roiphet1</v>
      </c>
      <c r="B235" s="63" t="str">
        <f>'RAW DATA 2023'!D228</f>
        <v>C2-G03-0065</v>
      </c>
      <c r="C235" s="63" t="str">
        <f t="shared" si="18"/>
        <v>Roiphet1C2-G03-0065</v>
      </c>
      <c r="D235" s="63">
        <f>VLOOKUP(C235,'RAW DATA 2023'!E:BP,63,0)</f>
        <v>4</v>
      </c>
      <c r="E235" s="63" t="str">
        <f t="shared" si="19"/>
        <v>Roiphet14</v>
      </c>
      <c r="F235" s="63">
        <f>ROUND(VLOOKUP(C235,'RAW DATA 2023'!E:BO,23,0),0)</f>
        <v>37</v>
      </c>
      <c r="G235" s="120">
        <f>VLOOKUP(C235,'RAW DATA 2023'!E:BO,26,0)</f>
        <v>0.35763636400000004</v>
      </c>
      <c r="H235" s="101">
        <f>IFERROR(VLOOKUP(F235,STD!B:G,6,0),"")</f>
        <v>0.37</v>
      </c>
      <c r="I235" s="100">
        <f t="shared" si="20"/>
        <v>0.96658476756756773</v>
      </c>
      <c r="J235" s="249">
        <f t="shared" si="22"/>
        <v>9.331695351351355</v>
      </c>
      <c r="K235" s="63">
        <f>VLOOKUP(C235,'RAW DATA 2023'!E:BO,20,0)</f>
        <v>125</v>
      </c>
      <c r="L235" s="322">
        <f t="shared" si="23"/>
        <v>1166.4619189189193</v>
      </c>
      <c r="M235" s="63"/>
      <c r="Y235" s="63" t="str">
        <f t="shared" si="21"/>
        <v>C2-G03-00654</v>
      </c>
    </row>
    <row r="236" spans="1:25">
      <c r="A236" s="63" t="str">
        <f>'RAW DATA 2023'!B229</f>
        <v>Roiphet1</v>
      </c>
      <c r="B236" s="63" t="str">
        <f>'RAW DATA 2023'!D229</f>
        <v>C1-I01-0079</v>
      </c>
      <c r="C236" s="63" t="str">
        <f t="shared" si="18"/>
        <v>Roiphet1C1-I01-0079</v>
      </c>
      <c r="D236" s="63">
        <f>VLOOKUP(C236,'RAW DATA 2023'!E:BP,63,0)</f>
        <v>5</v>
      </c>
      <c r="E236" s="63" t="str">
        <f t="shared" si="19"/>
        <v>Roiphet15</v>
      </c>
      <c r="F236" s="63">
        <f>ROUND(VLOOKUP(C236,'RAW DATA 2023'!E:BO,23,0),0)</f>
        <v>31</v>
      </c>
      <c r="G236" s="120">
        <f>VLOOKUP(C236,'RAW DATA 2023'!E:BO,26,0)</f>
        <v>0.35727272700000001</v>
      </c>
      <c r="H236" s="101">
        <f>IFERROR(VLOOKUP(F236,STD!B:G,6,0),"")</f>
        <v>0.39</v>
      </c>
      <c r="I236" s="100">
        <f t="shared" si="20"/>
        <v>0.91608391538461542</v>
      </c>
      <c r="J236" s="249">
        <f t="shared" si="22"/>
        <v>8.3216783076923093</v>
      </c>
      <c r="K236" s="63">
        <f>VLOOKUP(C236,'RAW DATA 2023'!E:BO,20,0)</f>
        <v>110</v>
      </c>
      <c r="L236" s="322">
        <f t="shared" si="23"/>
        <v>915.38461384615402</v>
      </c>
      <c r="M236" s="63"/>
      <c r="Y236" s="63" t="str">
        <f t="shared" si="21"/>
        <v>C1-I01-00795</v>
      </c>
    </row>
    <row r="237" spans="1:25">
      <c r="A237" s="63" t="str">
        <f>'RAW DATA 2023'!B230</f>
        <v>Roiphet1</v>
      </c>
      <c r="B237" s="63" t="str">
        <f>'RAW DATA 2023'!D230</f>
        <v>C1-I01-0080</v>
      </c>
      <c r="C237" s="63" t="str">
        <f t="shared" si="18"/>
        <v>Roiphet1C1-I01-0080</v>
      </c>
      <c r="D237" s="63">
        <f>VLOOKUP(C237,'RAW DATA 2023'!E:BP,63,0)</f>
        <v>9</v>
      </c>
      <c r="E237" s="63" t="str">
        <f t="shared" si="19"/>
        <v>Roiphet19</v>
      </c>
      <c r="F237" s="63">
        <f>ROUND(VLOOKUP(C237,'RAW DATA 2023'!E:BO,23,0),0)</f>
        <v>32</v>
      </c>
      <c r="G237" s="120">
        <f>VLOOKUP(C237,'RAW DATA 2023'!E:BO,26,0)</f>
        <v>0.356534301</v>
      </c>
      <c r="H237" s="101">
        <f>IFERROR(VLOOKUP(F237,STD!B:G,6,0),"")</f>
        <v>0.39</v>
      </c>
      <c r="I237" s="100">
        <f t="shared" si="20"/>
        <v>0.91419051538461538</v>
      </c>
      <c r="J237" s="249">
        <f t="shared" si="22"/>
        <v>8.283810307692308</v>
      </c>
      <c r="K237" s="63">
        <f>VLOOKUP(C237,'RAW DATA 2023'!E:BO,20,0)</f>
        <v>95.000000000000014</v>
      </c>
      <c r="L237" s="322">
        <f t="shared" si="23"/>
        <v>786.96197923076943</v>
      </c>
      <c r="M237" s="63"/>
      <c r="Y237" s="63" t="str">
        <f t="shared" si="21"/>
        <v>C1-I01-00809</v>
      </c>
    </row>
    <row r="238" spans="1:25">
      <c r="A238" s="63" t="str">
        <f>'RAW DATA 2023'!B231</f>
        <v>Roiphet1</v>
      </c>
      <c r="B238" s="63" t="str">
        <f>'RAW DATA 2023'!D231</f>
        <v>C1-G01-0073</v>
      </c>
      <c r="C238" s="63" t="str">
        <f t="shared" si="18"/>
        <v>Roiphet1C1-G01-0073</v>
      </c>
      <c r="D238" s="63">
        <f>VLOOKUP(C238,'RAW DATA 2023'!E:BP,63,0)</f>
        <v>9</v>
      </c>
      <c r="E238" s="63" t="str">
        <f t="shared" si="19"/>
        <v>Roiphet19</v>
      </c>
      <c r="F238" s="63">
        <f>ROUND(VLOOKUP(C238,'RAW DATA 2023'!E:BO,23,0),0)</f>
        <v>35</v>
      </c>
      <c r="G238" s="120">
        <f>VLOOKUP(C238,'RAW DATA 2023'!E:BO,26,0)</f>
        <v>0.35645009100000002</v>
      </c>
      <c r="H238" s="101">
        <f>IFERROR(VLOOKUP(F238,STD!B:G,6,0),"")</f>
        <v>0.37</v>
      </c>
      <c r="I238" s="100">
        <f t="shared" si="20"/>
        <v>0.96337862432432442</v>
      </c>
      <c r="J238" s="249">
        <f t="shared" si="22"/>
        <v>9.2675724864864879</v>
      </c>
      <c r="K238" s="63">
        <f>VLOOKUP(C238,'RAW DATA 2023'!E:BO,20,0)</f>
        <v>95.000000000000014</v>
      </c>
      <c r="L238" s="322">
        <f t="shared" si="23"/>
        <v>880.41938621621648</v>
      </c>
      <c r="M238" s="63"/>
      <c r="Y238" s="63" t="str">
        <f t="shared" si="21"/>
        <v>C1-G01-00739</v>
      </c>
    </row>
    <row r="239" spans="1:25">
      <c r="A239" s="63" t="str">
        <f>'RAW DATA 2023'!B232</f>
        <v>Roiphet1</v>
      </c>
      <c r="B239" s="63" t="str">
        <f>'RAW DATA 2023'!D232</f>
        <v>C1-G01-0072</v>
      </c>
      <c r="C239" s="63" t="str">
        <f t="shared" si="18"/>
        <v>Roiphet1C1-G01-0072</v>
      </c>
      <c r="D239" s="63">
        <f>VLOOKUP(C239,'RAW DATA 2023'!E:BP,63,0)</f>
        <v>5</v>
      </c>
      <c r="E239" s="63" t="str">
        <f t="shared" si="19"/>
        <v>Roiphet15</v>
      </c>
      <c r="F239" s="63">
        <f>ROUND(VLOOKUP(C239,'RAW DATA 2023'!E:BO,23,0),0)</f>
        <v>30</v>
      </c>
      <c r="G239" s="120">
        <f>VLOOKUP(C239,'RAW DATA 2023'!E:BO,26,0)</f>
        <v>0.34939458699999998</v>
      </c>
      <c r="H239" s="101">
        <f>IFERROR(VLOOKUP(F239,STD!B:G,6,0),"")</f>
        <v>0.39</v>
      </c>
      <c r="I239" s="100">
        <f t="shared" si="20"/>
        <v>0.8958835564102563</v>
      </c>
      <c r="J239" s="249">
        <f t="shared" si="22"/>
        <v>7.917671128205126</v>
      </c>
      <c r="K239" s="63">
        <f>VLOOKUP(C239,'RAW DATA 2023'!E:BO,20,0)</f>
        <v>103.99999999999999</v>
      </c>
      <c r="L239" s="322">
        <f t="shared" si="23"/>
        <v>823.43779733333304</v>
      </c>
      <c r="M239" s="63"/>
      <c r="Y239" s="63" t="str">
        <f t="shared" si="21"/>
        <v>C1-G01-00725</v>
      </c>
    </row>
    <row r="240" spans="1:25">
      <c r="A240" s="63" t="str">
        <f>'RAW DATA 2023'!B233</f>
        <v>Roiphet1</v>
      </c>
      <c r="B240" s="63" t="str">
        <f>'RAW DATA 2023'!D233</f>
        <v>C6-G12-0059</v>
      </c>
      <c r="C240" s="63" t="str">
        <f t="shared" si="18"/>
        <v>Roiphet1C6-G12-0059</v>
      </c>
      <c r="D240" s="63">
        <f>VLOOKUP(C240,'RAW DATA 2023'!E:BP,63,0)</f>
        <v>3</v>
      </c>
      <c r="E240" s="63" t="str">
        <f t="shared" si="19"/>
        <v>Roiphet13</v>
      </c>
      <c r="F240" s="63">
        <f>ROUND(VLOOKUP(C240,'RAW DATA 2023'!E:BO,23,0),0)</f>
        <v>31</v>
      </c>
      <c r="G240" s="120">
        <f>VLOOKUP(C240,'RAW DATA 2023'!E:BO,26,0)</f>
        <v>0.347727273</v>
      </c>
      <c r="H240" s="101">
        <f>IFERROR(VLOOKUP(F240,STD!B:G,6,0),"")</f>
        <v>0.39</v>
      </c>
      <c r="I240" s="100">
        <f t="shared" si="20"/>
        <v>0.89160839230769229</v>
      </c>
      <c r="J240" s="249">
        <f t="shared" si="22"/>
        <v>7.8321678461538458</v>
      </c>
      <c r="K240" s="63">
        <f>VLOOKUP(C240,'RAW DATA 2023'!E:BO,20,0)</f>
        <v>130</v>
      </c>
      <c r="L240" s="322">
        <f t="shared" si="23"/>
        <v>1018.1818199999999</v>
      </c>
      <c r="M240" s="63"/>
      <c r="Y240" s="63" t="str">
        <f t="shared" si="21"/>
        <v>C6-G12-00593</v>
      </c>
    </row>
    <row r="241" spans="1:25">
      <c r="A241" s="63" t="str">
        <f>'RAW DATA 2023'!B234</f>
        <v>Roiphet1</v>
      </c>
      <c r="B241" s="63" t="str">
        <f>'RAW DATA 2023'!D234</f>
        <v>C1-I02-0071</v>
      </c>
      <c r="C241" s="63" t="str">
        <f t="shared" si="18"/>
        <v>Roiphet1C1-I02-0071</v>
      </c>
      <c r="D241" s="63">
        <f>VLOOKUP(C241,'RAW DATA 2023'!E:BP,63,0)</f>
        <v>5</v>
      </c>
      <c r="E241" s="63" t="str">
        <f t="shared" si="19"/>
        <v>Roiphet15</v>
      </c>
      <c r="F241" s="63">
        <f>ROUND(VLOOKUP(C241,'RAW DATA 2023'!E:BO,23,0),0)</f>
        <v>32</v>
      </c>
      <c r="G241" s="120">
        <f>VLOOKUP(C241,'RAW DATA 2023'!E:BO,26,0)</f>
        <v>0.34597741700000001</v>
      </c>
      <c r="H241" s="101">
        <f>IFERROR(VLOOKUP(F241,STD!B:G,6,0),"")</f>
        <v>0.39</v>
      </c>
      <c r="I241" s="100">
        <f t="shared" si="20"/>
        <v>0.887121582051282</v>
      </c>
      <c r="J241" s="249">
        <f t="shared" si="22"/>
        <v>7.7424316410256395</v>
      </c>
      <c r="K241" s="63">
        <f>VLOOKUP(C241,'RAW DATA 2023'!E:BO,20,0)</f>
        <v>109</v>
      </c>
      <c r="L241" s="322">
        <f t="shared" si="23"/>
        <v>843.92504887179473</v>
      </c>
      <c r="M241" s="63"/>
      <c r="Y241" s="63" t="str">
        <f t="shared" si="21"/>
        <v>C1-I02-00715</v>
      </c>
    </row>
    <row r="242" spans="1:25">
      <c r="A242" s="63" t="str">
        <f>'RAW DATA 2023'!B235</f>
        <v>Roiphet1</v>
      </c>
      <c r="B242" s="63" t="str">
        <f>'RAW DATA 2023'!D235</f>
        <v>D3-G06-0084</v>
      </c>
      <c r="C242" s="63" t="str">
        <f t="shared" si="18"/>
        <v>Roiphet1D3-G06-0084</v>
      </c>
      <c r="D242" s="63">
        <f>VLOOKUP(C242,'RAW DATA 2023'!E:BP,63,0)</f>
        <v>10</v>
      </c>
      <c r="E242" s="63" t="str">
        <f t="shared" si="19"/>
        <v>Roiphet110</v>
      </c>
      <c r="F242" s="63">
        <f>ROUND(VLOOKUP(C242,'RAW DATA 2023'!E:BO,23,0),0)</f>
        <v>38</v>
      </c>
      <c r="G242" s="120">
        <f>VLOOKUP(C242,'RAW DATA 2023'!E:BO,26,0)</f>
        <v>0.34304347800000001</v>
      </c>
      <c r="H242" s="101">
        <f>IFERROR(VLOOKUP(F242,STD!B:G,6,0),"")</f>
        <v>0.37</v>
      </c>
      <c r="I242" s="100">
        <f t="shared" si="20"/>
        <v>0.92714453513513517</v>
      </c>
      <c r="J242" s="249">
        <f t="shared" si="22"/>
        <v>8.542890702702703</v>
      </c>
      <c r="K242" s="63">
        <f>VLOOKUP(C242,'RAW DATA 2023'!E:BO,20,0)</f>
        <v>115</v>
      </c>
      <c r="L242" s="322">
        <f t="shared" si="23"/>
        <v>982.43243081081084</v>
      </c>
      <c r="M242" s="63"/>
      <c r="Y242" s="63" t="str">
        <f t="shared" si="21"/>
        <v>D3-G06-008410</v>
      </c>
    </row>
    <row r="243" spans="1:25">
      <c r="A243" s="63" t="str">
        <f>'RAW DATA 2023'!B236</f>
        <v>Roiphet1</v>
      </c>
      <c r="B243" s="63" t="str">
        <f>'RAW DATA 2023'!D236</f>
        <v>C6-G11-0058</v>
      </c>
      <c r="C243" s="63" t="str">
        <f t="shared" si="18"/>
        <v>Roiphet1C6-G11-0058</v>
      </c>
      <c r="D243" s="63">
        <f>VLOOKUP(C243,'RAW DATA 2023'!E:BP,63,0)</f>
        <v>2</v>
      </c>
      <c r="E243" s="63" t="str">
        <f t="shared" si="19"/>
        <v>Roiphet12</v>
      </c>
      <c r="F243" s="63">
        <f>ROUND(VLOOKUP(C243,'RAW DATA 2023'!E:BO,23,0),0)</f>
        <v>34</v>
      </c>
      <c r="G243" s="120">
        <f>VLOOKUP(C243,'RAW DATA 2023'!E:BO,26,0)</f>
        <v>0.33948087399999999</v>
      </c>
      <c r="H243" s="101">
        <f>IFERROR(VLOOKUP(F243,STD!B:G,6,0),"")</f>
        <v>0.38</v>
      </c>
      <c r="I243" s="100">
        <f t="shared" si="20"/>
        <v>0.89337072105263149</v>
      </c>
      <c r="J243" s="249">
        <f t="shared" si="22"/>
        <v>7.8674144210526293</v>
      </c>
      <c r="K243" s="63">
        <f>VLOOKUP(C243,'RAW DATA 2023'!E:BO,20,0)</f>
        <v>122</v>
      </c>
      <c r="L243" s="322">
        <f t="shared" si="23"/>
        <v>959.82455936842075</v>
      </c>
      <c r="M243" s="63"/>
      <c r="Y243" s="63" t="str">
        <f t="shared" si="21"/>
        <v>C6-G11-00582</v>
      </c>
    </row>
    <row r="244" spans="1:25">
      <c r="A244" s="63" t="str">
        <f>'RAW DATA 2023'!B237</f>
        <v>Roiphet1</v>
      </c>
      <c r="B244" s="63" t="str">
        <f>'RAW DATA 2023'!D237</f>
        <v>C2-G04-0063</v>
      </c>
      <c r="C244" s="63" t="str">
        <f t="shared" si="18"/>
        <v>Roiphet1C2-G04-0063</v>
      </c>
      <c r="D244" s="63">
        <f>VLOOKUP(C244,'RAW DATA 2023'!E:BP,63,0)</f>
        <v>4</v>
      </c>
      <c r="E244" s="63" t="str">
        <f t="shared" si="19"/>
        <v>Roiphet14</v>
      </c>
      <c r="F244" s="63">
        <f>ROUND(VLOOKUP(C244,'RAW DATA 2023'!E:BO,23,0),0)</f>
        <v>39</v>
      </c>
      <c r="G244" s="120">
        <f>VLOOKUP(C244,'RAW DATA 2023'!E:BO,26,0)</f>
        <v>0.33911318200000001</v>
      </c>
      <c r="H244" s="101">
        <f>IFERROR(VLOOKUP(F244,STD!B:G,6,0),"")</f>
        <v>0.37</v>
      </c>
      <c r="I244" s="100">
        <f t="shared" si="20"/>
        <v>0.91652211351351354</v>
      </c>
      <c r="J244" s="249">
        <f t="shared" si="22"/>
        <v>8.3304422702702716</v>
      </c>
      <c r="K244" s="63">
        <f>VLOOKUP(C244,'RAW DATA 2023'!E:BO,20,0)</f>
        <v>126</v>
      </c>
      <c r="L244" s="322">
        <f t="shared" si="23"/>
        <v>1049.6357260540542</v>
      </c>
      <c r="M244" s="63"/>
      <c r="Y244" s="63" t="str">
        <f t="shared" si="21"/>
        <v>C2-G04-00634</v>
      </c>
    </row>
    <row r="245" spans="1:25">
      <c r="A245" s="63" t="str">
        <f>'RAW DATA 2023'!B238</f>
        <v>Roiphet1</v>
      </c>
      <c r="B245" s="63" t="str">
        <f>'RAW DATA 2023'!D238</f>
        <v>C4-I07-0059</v>
      </c>
      <c r="C245" s="63" t="str">
        <f t="shared" si="18"/>
        <v>Roiphet1C4-I07-0059</v>
      </c>
      <c r="D245" s="63">
        <f>VLOOKUP(C245,'RAW DATA 2023'!E:BP,63,0)</f>
        <v>2</v>
      </c>
      <c r="E245" s="63" t="str">
        <f t="shared" si="19"/>
        <v>Roiphet12</v>
      </c>
      <c r="F245" s="63">
        <f>ROUND(VLOOKUP(C245,'RAW DATA 2023'!E:BO,23,0),0)</f>
        <v>36</v>
      </c>
      <c r="G245" s="120">
        <f>VLOOKUP(C245,'RAW DATA 2023'!E:BO,26,0)</f>
        <v>0.33532608699999999</v>
      </c>
      <c r="H245" s="101">
        <f>IFERROR(VLOOKUP(F245,STD!B:G,6,0),"")</f>
        <v>0.36</v>
      </c>
      <c r="I245" s="100">
        <f t="shared" si="20"/>
        <v>0.93146135277777775</v>
      </c>
      <c r="J245" s="249">
        <f t="shared" si="22"/>
        <v>8.629227055555555</v>
      </c>
      <c r="K245" s="63">
        <f>VLOOKUP(C245,'RAW DATA 2023'!E:BO,20,0)</f>
        <v>92</v>
      </c>
      <c r="L245" s="322">
        <f t="shared" si="23"/>
        <v>793.8888891111111</v>
      </c>
      <c r="M245" s="63"/>
      <c r="Y245" s="63" t="str">
        <f t="shared" si="21"/>
        <v>C4-I07-00592</v>
      </c>
    </row>
    <row r="246" spans="1:25">
      <c r="A246" s="63" t="str">
        <f>'RAW DATA 2023'!B239</f>
        <v>Roiphet1</v>
      </c>
      <c r="B246" s="63" t="str">
        <f>'RAW DATA 2023'!D239</f>
        <v>C3-G05-0073</v>
      </c>
      <c r="C246" s="63" t="str">
        <f t="shared" si="18"/>
        <v>Roiphet1C3-G05-0073</v>
      </c>
      <c r="D246" s="63">
        <f>VLOOKUP(C246,'RAW DATA 2023'!E:BP,63,0)</f>
        <v>3</v>
      </c>
      <c r="E246" s="63" t="str">
        <f t="shared" si="19"/>
        <v>Roiphet13</v>
      </c>
      <c r="F246" s="63">
        <f>ROUND(VLOOKUP(C246,'RAW DATA 2023'!E:BO,23,0),0)</f>
        <v>49</v>
      </c>
      <c r="G246" s="120">
        <f>VLOOKUP(C246,'RAW DATA 2023'!E:BO,26,0)</f>
        <v>0.33381606000000003</v>
      </c>
      <c r="H246" s="101">
        <f>IFERROR(VLOOKUP(F246,STD!B:G,6,0),"")</f>
        <v>0.36</v>
      </c>
      <c r="I246" s="100">
        <f t="shared" si="20"/>
        <v>0.92726683333333348</v>
      </c>
      <c r="J246" s="249">
        <f t="shared" si="22"/>
        <v>8.5453366666666692</v>
      </c>
      <c r="K246" s="63">
        <f>VLOOKUP(C246,'RAW DATA 2023'!E:BO,20,0)</f>
        <v>61.999999999999993</v>
      </c>
      <c r="L246" s="322">
        <f t="shared" si="23"/>
        <v>529.81087333333346</v>
      </c>
      <c r="M246" s="63"/>
      <c r="Y246" s="63" t="str">
        <f t="shared" si="21"/>
        <v>C3-G05-00733</v>
      </c>
    </row>
    <row r="247" spans="1:25">
      <c r="A247" s="63" t="str">
        <f>'RAW DATA 2023'!B240</f>
        <v>Roiphet1</v>
      </c>
      <c r="B247" s="63" t="str">
        <f>'RAW DATA 2023'!D240</f>
        <v>C3-I06-0062</v>
      </c>
      <c r="C247" s="63" t="str">
        <f t="shared" si="18"/>
        <v>Roiphet1C3-I06-0062</v>
      </c>
      <c r="D247" s="63">
        <f>VLOOKUP(C247,'RAW DATA 2023'!E:BP,63,0)</f>
        <v>4</v>
      </c>
      <c r="E247" s="63" t="str">
        <f t="shared" si="19"/>
        <v>Roiphet14</v>
      </c>
      <c r="F247" s="63">
        <f>ROUND(VLOOKUP(C247,'RAW DATA 2023'!E:BO,23,0),0)</f>
        <v>43</v>
      </c>
      <c r="G247" s="120">
        <f>VLOOKUP(C247,'RAW DATA 2023'!E:BO,26,0)</f>
        <v>0.33265582700000002</v>
      </c>
      <c r="H247" s="101">
        <f>IFERROR(VLOOKUP(F247,STD!B:G,6,0),"")</f>
        <v>0.37</v>
      </c>
      <c r="I247" s="100">
        <f t="shared" si="20"/>
        <v>0.89906980270270276</v>
      </c>
      <c r="J247" s="249">
        <f t="shared" si="22"/>
        <v>7.9813960540540556</v>
      </c>
      <c r="K247" s="63">
        <f>VLOOKUP(C247,'RAW DATA 2023'!E:BO,20,0)</f>
        <v>82</v>
      </c>
      <c r="L247" s="322">
        <f t="shared" si="23"/>
        <v>654.47447643243254</v>
      </c>
      <c r="M247" s="63"/>
      <c r="Y247" s="63" t="str">
        <f t="shared" si="21"/>
        <v>C3-I06-00624</v>
      </c>
    </row>
    <row r="248" spans="1:25">
      <c r="A248" s="63" t="str">
        <f>'RAW DATA 2023'!B241</f>
        <v>Roiphet1</v>
      </c>
      <c r="B248" s="63" t="str">
        <f>'RAW DATA 2023'!D241</f>
        <v>C6-I12-0061</v>
      </c>
      <c r="C248" s="63" t="str">
        <f t="shared" si="18"/>
        <v>Roiphet1C6-I12-0061</v>
      </c>
      <c r="D248" s="63">
        <f>VLOOKUP(C248,'RAW DATA 2023'!E:BP,63,0)</f>
        <v>3</v>
      </c>
      <c r="E248" s="63" t="str">
        <f t="shared" si="19"/>
        <v>Roiphet13</v>
      </c>
      <c r="F248" s="63">
        <f>ROUND(VLOOKUP(C248,'RAW DATA 2023'!E:BO,23,0),0)</f>
        <v>33</v>
      </c>
      <c r="G248" s="120">
        <f>VLOOKUP(C248,'RAW DATA 2023'!E:BO,26,0)</f>
        <v>0.33252508400000003</v>
      </c>
      <c r="H248" s="101">
        <f>IFERROR(VLOOKUP(F248,STD!B:G,6,0),"")</f>
        <v>0.39</v>
      </c>
      <c r="I248" s="100">
        <f t="shared" si="20"/>
        <v>0.85262842051282051</v>
      </c>
      <c r="J248" s="249">
        <f t="shared" si="22"/>
        <v>7.0525684102564101</v>
      </c>
      <c r="K248" s="63">
        <f>VLOOKUP(C248,'RAW DATA 2023'!E:BO,20,0)</f>
        <v>130</v>
      </c>
      <c r="L248" s="322">
        <f t="shared" si="23"/>
        <v>916.83389333333332</v>
      </c>
      <c r="M248" s="63"/>
      <c r="Y248" s="63" t="str">
        <f t="shared" si="21"/>
        <v>C6-I12-00613</v>
      </c>
    </row>
    <row r="249" spans="1:25">
      <c r="A249" s="63" t="str">
        <f>'RAW DATA 2023'!B242</f>
        <v>Roiphet1</v>
      </c>
      <c r="B249" s="63" t="str">
        <f>'RAW DATA 2023'!D242</f>
        <v>C5-G09-0057</v>
      </c>
      <c r="C249" s="63" t="str">
        <f t="shared" si="18"/>
        <v>Roiphet1C5-G09-0057</v>
      </c>
      <c r="D249" s="63">
        <f>VLOOKUP(C249,'RAW DATA 2023'!E:BP,63,0)</f>
        <v>5</v>
      </c>
      <c r="E249" s="63" t="str">
        <f t="shared" si="19"/>
        <v>Roiphet15</v>
      </c>
      <c r="F249" s="63">
        <f>ROUND(VLOOKUP(C249,'RAW DATA 2023'!E:BO,23,0),0)</f>
        <v>33</v>
      </c>
      <c r="G249" s="120">
        <f>VLOOKUP(C249,'RAW DATA 2023'!E:BO,26,0)</f>
        <v>0.33067226900000002</v>
      </c>
      <c r="H249" s="101">
        <f>IFERROR(VLOOKUP(F249,STD!B:G,6,0),"")</f>
        <v>0.39</v>
      </c>
      <c r="I249" s="100">
        <f t="shared" si="20"/>
        <v>0.84787761282051288</v>
      </c>
      <c r="J249" s="249">
        <f t="shared" si="22"/>
        <v>6.9575522564102581</v>
      </c>
      <c r="K249" s="63">
        <f>VLOOKUP(C249,'RAW DATA 2023'!E:BO,20,0)</f>
        <v>119</v>
      </c>
      <c r="L249" s="322">
        <f t="shared" si="23"/>
        <v>827.94871851282073</v>
      </c>
      <c r="M249" s="63"/>
      <c r="Y249" s="63" t="str">
        <f t="shared" si="21"/>
        <v>C5-G09-00575</v>
      </c>
    </row>
    <row r="250" spans="1:25">
      <c r="A250" s="63" t="str">
        <f>'RAW DATA 2023'!B243</f>
        <v>Roiphet1</v>
      </c>
      <c r="B250" s="63" t="str">
        <f>'RAW DATA 2023'!D243</f>
        <v>C5-I09-0064</v>
      </c>
      <c r="C250" s="63" t="str">
        <f t="shared" si="18"/>
        <v>Roiphet1C5-I09-0064</v>
      </c>
      <c r="D250" s="63">
        <f>VLOOKUP(C250,'RAW DATA 2023'!E:BP,63,0)</f>
        <v>5</v>
      </c>
      <c r="E250" s="63" t="str">
        <f t="shared" si="19"/>
        <v>Roiphet15</v>
      </c>
      <c r="F250" s="63">
        <f>ROUND(VLOOKUP(C250,'RAW DATA 2023'!E:BO,23,0),0)</f>
        <v>34</v>
      </c>
      <c r="G250" s="120">
        <f>VLOOKUP(C250,'RAW DATA 2023'!E:BO,26,0)</f>
        <v>0.33067226900000002</v>
      </c>
      <c r="H250" s="101">
        <f>IFERROR(VLOOKUP(F250,STD!B:G,6,0),"")</f>
        <v>0.38</v>
      </c>
      <c r="I250" s="100">
        <f t="shared" si="20"/>
        <v>0.87019018157894745</v>
      </c>
      <c r="J250" s="249">
        <f t="shared" si="22"/>
        <v>7.4038036315789491</v>
      </c>
      <c r="K250" s="63">
        <f>VLOOKUP(C250,'RAW DATA 2023'!E:BO,20,0)</f>
        <v>119.00000000000001</v>
      </c>
      <c r="L250" s="322">
        <f t="shared" si="23"/>
        <v>881.052632157895</v>
      </c>
      <c r="M250" s="63"/>
      <c r="Y250" s="63" t="str">
        <f t="shared" si="21"/>
        <v>C5-I09-00645</v>
      </c>
    </row>
    <row r="251" spans="1:25">
      <c r="A251" s="63" t="str">
        <f>'RAW DATA 2023'!B244</f>
        <v>Roiphet1</v>
      </c>
      <c r="B251" s="63" t="str">
        <f>'RAW DATA 2023'!D244</f>
        <v>C1-I02-0072</v>
      </c>
      <c r="C251" s="63" t="str">
        <f t="shared" si="18"/>
        <v>Roiphet1C1-I02-0072</v>
      </c>
      <c r="D251" s="63">
        <f>VLOOKUP(C251,'RAW DATA 2023'!E:BP,63,0)</f>
        <v>9</v>
      </c>
      <c r="E251" s="63" t="str">
        <f t="shared" si="19"/>
        <v>Roiphet19</v>
      </c>
      <c r="F251" s="63">
        <f>ROUND(VLOOKUP(C251,'RAW DATA 2023'!E:BO,23,0),0)</f>
        <v>36</v>
      </c>
      <c r="G251" s="120">
        <f>VLOOKUP(C251,'RAW DATA 2023'!E:BO,26,0)</f>
        <v>0.33010752700000001</v>
      </c>
      <c r="H251" s="101">
        <f>IFERROR(VLOOKUP(F251,STD!B:G,6,0),"")</f>
        <v>0.36</v>
      </c>
      <c r="I251" s="100">
        <f t="shared" si="20"/>
        <v>0.9169653527777778</v>
      </c>
      <c r="J251" s="249">
        <f t="shared" si="22"/>
        <v>8.3393070555555564</v>
      </c>
      <c r="K251" s="63">
        <f>VLOOKUP(C251,'RAW DATA 2023'!E:BO,20,0)</f>
        <v>93</v>
      </c>
      <c r="L251" s="322">
        <f t="shared" si="23"/>
        <v>775.55555616666675</v>
      </c>
      <c r="M251" s="63"/>
      <c r="Y251" s="63" t="str">
        <f t="shared" si="21"/>
        <v>C1-I02-00729</v>
      </c>
    </row>
    <row r="252" spans="1:25">
      <c r="A252" s="63" t="str">
        <f>'RAW DATA 2023'!B245</f>
        <v>Roiphet1</v>
      </c>
      <c r="B252" s="63" t="str">
        <f>'RAW DATA 2023'!D245</f>
        <v>C5-G10-0064</v>
      </c>
      <c r="C252" s="63" t="str">
        <f t="shared" si="18"/>
        <v>Roiphet1C5-G10-0064</v>
      </c>
      <c r="D252" s="63">
        <f>VLOOKUP(C252,'RAW DATA 2023'!E:BP,63,0)</f>
        <v>5</v>
      </c>
      <c r="E252" s="63" t="str">
        <f t="shared" si="19"/>
        <v>Roiphet15</v>
      </c>
      <c r="F252" s="63">
        <f>ROUND(VLOOKUP(C252,'RAW DATA 2023'!E:BO,23,0),0)</f>
        <v>33</v>
      </c>
      <c r="G252" s="120">
        <f>VLOOKUP(C252,'RAW DATA 2023'!E:BO,26,0)</f>
        <v>0.330100334</v>
      </c>
      <c r="H252" s="101">
        <f>IFERROR(VLOOKUP(F252,STD!B:G,6,0),"")</f>
        <v>0.39</v>
      </c>
      <c r="I252" s="100">
        <f t="shared" si="20"/>
        <v>0.84641111282051273</v>
      </c>
      <c r="J252" s="249">
        <f t="shared" si="22"/>
        <v>6.9282222564102547</v>
      </c>
      <c r="K252" s="63">
        <f>VLOOKUP(C252,'RAW DATA 2023'!E:BO,20,0)</f>
        <v>115</v>
      </c>
      <c r="L252" s="322">
        <f t="shared" si="23"/>
        <v>796.74555948717932</v>
      </c>
      <c r="M252" s="63"/>
      <c r="Y252" s="63" t="str">
        <f t="shared" si="21"/>
        <v>C5-G10-00645</v>
      </c>
    </row>
    <row r="253" spans="1:25">
      <c r="A253" s="63" t="str">
        <f>'RAW DATA 2023'!B246</f>
        <v>Roiphet1</v>
      </c>
      <c r="B253" s="63" t="str">
        <f>'RAW DATA 2023'!D246</f>
        <v>C3-G05-0075</v>
      </c>
      <c r="C253" s="63" t="str">
        <f t="shared" si="18"/>
        <v>Roiphet1C3-G05-0075</v>
      </c>
      <c r="D253" s="63">
        <f>VLOOKUP(C253,'RAW DATA 2023'!E:BP,63,0)</f>
        <v>9</v>
      </c>
      <c r="E253" s="63" t="str">
        <f t="shared" si="19"/>
        <v>Roiphet19</v>
      </c>
      <c r="F253" s="63">
        <f>ROUND(VLOOKUP(C253,'RAW DATA 2023'!E:BO,23,0),0)</f>
        <v>75</v>
      </c>
      <c r="G253" s="120">
        <f>VLOOKUP(C253,'RAW DATA 2023'!E:BO,26,0)</f>
        <v>0.32665252700000003</v>
      </c>
      <c r="H253" s="101">
        <f>IFERROR(VLOOKUP(F253,STD!B:G,6,0),"")</f>
        <v>0.34</v>
      </c>
      <c r="I253" s="100">
        <f t="shared" si="20"/>
        <v>0.96074272647058823</v>
      </c>
      <c r="J253" s="249">
        <f t="shared" si="22"/>
        <v>9.214854529411765</v>
      </c>
      <c r="K253" s="63">
        <f>VLOOKUP(C253,'RAW DATA 2023'!E:BO,20,0)</f>
        <v>41</v>
      </c>
      <c r="L253" s="322">
        <f t="shared" si="23"/>
        <v>377.80903570588237</v>
      </c>
      <c r="M253" s="63"/>
      <c r="Y253" s="63" t="str">
        <f t="shared" si="21"/>
        <v>C3-G05-00759</v>
      </c>
    </row>
    <row r="254" spans="1:25">
      <c r="A254" s="63" t="str">
        <f>'RAW DATA 2023'!B247</f>
        <v>Roiphet1</v>
      </c>
      <c r="B254" s="63" t="str">
        <f>'RAW DATA 2023'!D247</f>
        <v>C6-I11-0064</v>
      </c>
      <c r="C254" s="63" t="str">
        <f t="shared" si="18"/>
        <v>Roiphet1C6-I11-0064</v>
      </c>
      <c r="D254" s="63">
        <f>VLOOKUP(C254,'RAW DATA 2023'!E:BP,63,0)</f>
        <v>2</v>
      </c>
      <c r="E254" s="63" t="str">
        <f t="shared" si="19"/>
        <v>Roiphet12</v>
      </c>
      <c r="F254" s="63">
        <f>ROUND(VLOOKUP(C254,'RAW DATA 2023'!E:BO,23,0),0)</f>
        <v>36</v>
      </c>
      <c r="G254" s="120">
        <f>VLOOKUP(C254,'RAW DATA 2023'!E:BO,26,0)</f>
        <v>0.325819672</v>
      </c>
      <c r="H254" s="101">
        <f>IFERROR(VLOOKUP(F254,STD!B:G,6,0),"")</f>
        <v>0.36</v>
      </c>
      <c r="I254" s="100">
        <f t="shared" si="20"/>
        <v>0.9050546444444445</v>
      </c>
      <c r="J254" s="249">
        <f t="shared" si="22"/>
        <v>8.1010928888888891</v>
      </c>
      <c r="K254" s="63">
        <f>VLOOKUP(C254,'RAW DATA 2023'!E:BO,20,0)</f>
        <v>121.99999999999999</v>
      </c>
      <c r="L254" s="322">
        <f t="shared" si="23"/>
        <v>988.33333244444441</v>
      </c>
      <c r="M254" s="63"/>
      <c r="Y254" s="63" t="str">
        <f t="shared" si="21"/>
        <v>C6-I11-00642</v>
      </c>
    </row>
    <row r="255" spans="1:25">
      <c r="A255" s="63" t="str">
        <f>'RAW DATA 2023'!B248</f>
        <v>Roiphet1</v>
      </c>
      <c r="B255" s="63" t="str">
        <f>'RAW DATA 2023'!D248</f>
        <v>C3-I05-0065</v>
      </c>
      <c r="C255" s="63" t="str">
        <f t="shared" si="18"/>
        <v>Roiphet1C3-I05-0065</v>
      </c>
      <c r="D255" s="63">
        <f>VLOOKUP(C255,'RAW DATA 2023'!E:BP,63,0)</f>
        <v>4</v>
      </c>
      <c r="E255" s="63" t="str">
        <f t="shared" si="19"/>
        <v>Roiphet14</v>
      </c>
      <c r="F255" s="63">
        <f>ROUND(VLOOKUP(C255,'RAW DATA 2023'!E:BO,23,0),0)</f>
        <v>43</v>
      </c>
      <c r="G255" s="120">
        <f>VLOOKUP(C255,'RAW DATA 2023'!E:BO,26,0)</f>
        <v>0.31863888000000001</v>
      </c>
      <c r="H255" s="101">
        <f>IFERROR(VLOOKUP(F255,STD!B:G,6,0),"")</f>
        <v>0.37</v>
      </c>
      <c r="I255" s="100">
        <f t="shared" si="20"/>
        <v>0.86118616216216226</v>
      </c>
      <c r="J255" s="249">
        <f t="shared" si="22"/>
        <v>7.2237232432432457</v>
      </c>
      <c r="K255" s="63">
        <f>VLOOKUP(C255,'RAW DATA 2023'!E:BO,20,0)</f>
        <v>83</v>
      </c>
      <c r="L255" s="322">
        <f t="shared" si="23"/>
        <v>599.56902918918934</v>
      </c>
      <c r="M255" s="63"/>
      <c r="Y255" s="63" t="str">
        <f t="shared" si="21"/>
        <v>C3-I05-00654</v>
      </c>
    </row>
    <row r="256" spans="1:25">
      <c r="A256" s="63" t="str">
        <f>'RAW DATA 2023'!B249</f>
        <v>Roiphet1</v>
      </c>
      <c r="B256" s="63" t="str">
        <f>'RAW DATA 2023'!D249</f>
        <v>C3-G06-0079</v>
      </c>
      <c r="C256" s="63" t="str">
        <f t="shared" si="18"/>
        <v>Roiphet1C3-G06-0079</v>
      </c>
      <c r="D256" s="63">
        <f>VLOOKUP(C256,'RAW DATA 2023'!E:BP,63,0)</f>
        <v>9</v>
      </c>
      <c r="E256" s="63" t="str">
        <f t="shared" si="19"/>
        <v>Roiphet19</v>
      </c>
      <c r="F256" s="63">
        <f>ROUND(VLOOKUP(C256,'RAW DATA 2023'!E:BO,23,0),0)</f>
        <v>77</v>
      </c>
      <c r="G256" s="120">
        <f>VLOOKUP(C256,'RAW DATA 2023'!E:BO,26,0)</f>
        <v>0.31669529400000002</v>
      </c>
      <c r="H256" s="101">
        <f>IFERROR(VLOOKUP(F256,STD!B:G,6,0),"")</f>
        <v>0.34</v>
      </c>
      <c r="I256" s="100">
        <f t="shared" si="20"/>
        <v>0.93145674705882353</v>
      </c>
      <c r="J256" s="249">
        <f t="shared" si="22"/>
        <v>8.6291349411764706</v>
      </c>
      <c r="K256" s="63">
        <f>VLOOKUP(C256,'RAW DATA 2023'!E:BO,20,0)</f>
        <v>41</v>
      </c>
      <c r="L256" s="322">
        <f t="shared" si="23"/>
        <v>353.79453258823531</v>
      </c>
      <c r="M256" s="63"/>
      <c r="Y256" s="63" t="str">
        <f t="shared" si="21"/>
        <v>C3-G06-00799</v>
      </c>
    </row>
    <row r="257" spans="1:25">
      <c r="A257" s="63" t="str">
        <f>'RAW DATA 2023'!B250</f>
        <v>Roiphet1</v>
      </c>
      <c r="B257" s="63" t="str">
        <f>'RAW DATA 2023'!D250</f>
        <v>C4-G08-0062</v>
      </c>
      <c r="C257" s="63" t="str">
        <f t="shared" si="18"/>
        <v>Roiphet1C4-G08-0062</v>
      </c>
      <c r="D257" s="63">
        <f>VLOOKUP(C257,'RAW DATA 2023'!E:BP,63,0)</f>
        <v>12</v>
      </c>
      <c r="E257" s="63" t="str">
        <f t="shared" si="19"/>
        <v>Roiphet112</v>
      </c>
      <c r="F257" s="63">
        <f>ROUND(VLOOKUP(C257,'RAW DATA 2023'!E:BO,23,0),0)</f>
        <v>49</v>
      </c>
      <c r="G257" s="120">
        <f>VLOOKUP(C257,'RAW DATA 2023'!E:BO,26,0)</f>
        <v>0.31541666699999998</v>
      </c>
      <c r="H257" s="101">
        <f>IFERROR(VLOOKUP(F257,STD!B:G,6,0),"")</f>
        <v>0.36</v>
      </c>
      <c r="I257" s="100">
        <f t="shared" si="20"/>
        <v>0.87615740833333333</v>
      </c>
      <c r="J257" s="249">
        <f t="shared" si="22"/>
        <v>7.5231481666666671</v>
      </c>
      <c r="K257" s="63">
        <f>VLOOKUP(C257,'RAW DATA 2023'!E:BO,20,0)</f>
        <v>104</v>
      </c>
      <c r="L257" s="322">
        <f t="shared" si="23"/>
        <v>782.40740933333336</v>
      </c>
      <c r="M257" s="63"/>
      <c r="Y257" s="63" t="str">
        <f t="shared" si="21"/>
        <v>C4-G08-006212</v>
      </c>
    </row>
    <row r="258" spans="1:25">
      <c r="A258" s="63" t="str">
        <f>'RAW DATA 2023'!B251</f>
        <v>Roiphet1</v>
      </c>
      <c r="B258" s="63" t="str">
        <f>'RAW DATA 2023'!D251</f>
        <v>C4-I07-0061</v>
      </c>
      <c r="C258" s="63" t="str">
        <f t="shared" si="18"/>
        <v>Roiphet1C4-I07-0061</v>
      </c>
      <c r="D258" s="63">
        <f>VLOOKUP(C258,'RAW DATA 2023'!E:BP,63,0)</f>
        <v>12</v>
      </c>
      <c r="E258" s="63" t="str">
        <f t="shared" si="19"/>
        <v>Roiphet112</v>
      </c>
      <c r="F258" s="63">
        <f>ROUND(VLOOKUP(C258,'RAW DATA 2023'!E:BO,23,0),0)</f>
        <v>46</v>
      </c>
      <c r="G258" s="120">
        <f>VLOOKUP(C258,'RAW DATA 2023'!E:BO,26,0)</f>
        <v>0.31241269799999999</v>
      </c>
      <c r="H258" s="101">
        <f>IFERROR(VLOOKUP(F258,STD!B:G,6,0),"")</f>
        <v>0.36</v>
      </c>
      <c r="I258" s="100">
        <f t="shared" si="20"/>
        <v>0.86781304999999997</v>
      </c>
      <c r="J258" s="249">
        <f t="shared" si="22"/>
        <v>7.3562609999999999</v>
      </c>
      <c r="K258" s="63">
        <f>VLOOKUP(C258,'RAW DATA 2023'!E:BO,20,0)</f>
        <v>105</v>
      </c>
      <c r="L258" s="322">
        <f t="shared" si="23"/>
        <v>772.40740500000004</v>
      </c>
      <c r="M258" s="63"/>
      <c r="Y258" s="63" t="str">
        <f t="shared" si="21"/>
        <v>C4-I07-006112</v>
      </c>
    </row>
    <row r="259" spans="1:25">
      <c r="A259" s="63" t="str">
        <f>'RAW DATA 2023'!B252</f>
        <v>Roiphet1</v>
      </c>
      <c r="B259" s="63" t="str">
        <f>'RAW DATA 2023'!D252</f>
        <v>C3-G06-0077</v>
      </c>
      <c r="C259" s="63" t="str">
        <f t="shared" si="18"/>
        <v>Roiphet1C3-G06-0077</v>
      </c>
      <c r="D259" s="63">
        <f>VLOOKUP(C259,'RAW DATA 2023'!E:BP,63,0)</f>
        <v>3</v>
      </c>
      <c r="E259" s="63" t="str">
        <f t="shared" si="19"/>
        <v>Roiphet13</v>
      </c>
      <c r="F259" s="63">
        <f>ROUND(VLOOKUP(C259,'RAW DATA 2023'!E:BO,23,0),0)</f>
        <v>48</v>
      </c>
      <c r="G259" s="120">
        <f>VLOOKUP(C259,'RAW DATA 2023'!E:BO,26,0)</f>
        <v>0.30272108800000003</v>
      </c>
      <c r="H259" s="101">
        <f>IFERROR(VLOOKUP(F259,STD!B:G,6,0),"")</f>
        <v>0.36</v>
      </c>
      <c r="I259" s="100">
        <f t="shared" si="20"/>
        <v>0.84089191111111117</v>
      </c>
      <c r="J259" s="249">
        <f t="shared" si="22"/>
        <v>6.8178382222222229</v>
      </c>
      <c r="K259" s="63">
        <f>VLOOKUP(C259,'RAW DATA 2023'!E:BO,20,0)</f>
        <v>77</v>
      </c>
      <c r="L259" s="322">
        <f t="shared" si="23"/>
        <v>524.97354311111121</v>
      </c>
      <c r="M259" s="63"/>
      <c r="Y259" s="63" t="str">
        <f t="shared" si="21"/>
        <v>C3-G06-00773</v>
      </c>
    </row>
    <row r="260" spans="1:25">
      <c r="A260" s="63" t="str">
        <f>'RAW DATA 2023'!B253</f>
        <v>Roiphet1</v>
      </c>
      <c r="B260" s="63" t="str">
        <f>'RAW DATA 2023'!D253</f>
        <v>C1-G02-0074</v>
      </c>
      <c r="C260" s="63" t="str">
        <f t="shared" si="18"/>
        <v>Roiphet1C1-G02-0074</v>
      </c>
      <c r="D260" s="63">
        <f>VLOOKUP(C260,'RAW DATA 2023'!E:BP,63,0)</f>
        <v>9</v>
      </c>
      <c r="E260" s="63" t="str">
        <f t="shared" si="19"/>
        <v>Roiphet19</v>
      </c>
      <c r="F260" s="63">
        <f>ROUND(VLOOKUP(C260,'RAW DATA 2023'!E:BO,23,0),0)</f>
        <v>42</v>
      </c>
      <c r="G260" s="120">
        <f>VLOOKUP(C260,'RAW DATA 2023'!E:BO,26,0)</f>
        <v>0.29595410599999999</v>
      </c>
      <c r="H260" s="101">
        <f>IFERROR(VLOOKUP(F260,STD!B:G,6,0),"")</f>
        <v>0.37</v>
      </c>
      <c r="I260" s="100">
        <f t="shared" si="20"/>
        <v>0.79987596216216217</v>
      </c>
      <c r="J260" s="249">
        <f t="shared" si="22"/>
        <v>5.9975192432432429</v>
      </c>
      <c r="K260" s="63">
        <f>VLOOKUP(C260,'RAW DATA 2023'!E:BO,20,0)</f>
        <v>92</v>
      </c>
      <c r="L260" s="322">
        <f t="shared" si="23"/>
        <v>551.77177037837839</v>
      </c>
      <c r="M260" s="63"/>
      <c r="Y260" s="63" t="str">
        <f t="shared" si="21"/>
        <v>C1-G02-00749</v>
      </c>
    </row>
    <row r="261" spans="1:25">
      <c r="A261" s="63" t="str">
        <f>'RAW DATA 2023'!B254</f>
        <v>Roiphet1</v>
      </c>
      <c r="B261" s="63" t="str">
        <f>'RAW DATA 2023'!D254</f>
        <v>C5-I10-0065</v>
      </c>
      <c r="C261" s="63" t="str">
        <f t="shared" si="18"/>
        <v>Roiphet1C5-I10-0065</v>
      </c>
      <c r="D261" s="63">
        <f>VLOOKUP(C261,'RAW DATA 2023'!E:BP,63,0)</f>
        <v>5</v>
      </c>
      <c r="E261" s="63" t="str">
        <f t="shared" si="19"/>
        <v>Roiphet15</v>
      </c>
      <c r="F261" s="63">
        <f>ROUND(VLOOKUP(C261,'RAW DATA 2023'!E:BO,23,0),0)</f>
        <v>36</v>
      </c>
      <c r="G261" s="120">
        <f>VLOOKUP(C261,'RAW DATA 2023'!E:BO,26,0)</f>
        <v>0.29550224899999999</v>
      </c>
      <c r="H261" s="101">
        <f>IFERROR(VLOOKUP(F261,STD!B:G,6,0),"")</f>
        <v>0.36</v>
      </c>
      <c r="I261" s="100">
        <f t="shared" si="20"/>
        <v>0.82083958055555561</v>
      </c>
      <c r="J261" s="249">
        <f t="shared" si="22"/>
        <v>6.4167916111111118</v>
      </c>
      <c r="K261" s="63">
        <f>VLOOKUP(C261,'RAW DATA 2023'!E:BO,20,0)</f>
        <v>115</v>
      </c>
      <c r="L261" s="322">
        <f t="shared" si="23"/>
        <v>737.93103527777782</v>
      </c>
      <c r="M261" s="63"/>
      <c r="Y261" s="63" t="str">
        <f t="shared" si="21"/>
        <v>C5-I10-00655</v>
      </c>
    </row>
    <row r="262" spans="1:25">
      <c r="A262" s="63" t="str">
        <f>'RAW DATA 2023'!B255</f>
        <v>Roiphet1</v>
      </c>
      <c r="B262" s="63" t="str">
        <f>'RAW DATA 2023'!D255</f>
        <v>C4-I08-0063</v>
      </c>
      <c r="C262" s="63" t="str">
        <f t="shared" si="18"/>
        <v>Roiphet1C4-I08-0063</v>
      </c>
      <c r="D262" s="63">
        <f>VLOOKUP(C262,'RAW DATA 2023'!E:BP,63,0)</f>
        <v>2</v>
      </c>
      <c r="E262" s="63" t="str">
        <f t="shared" si="19"/>
        <v>Roiphet12</v>
      </c>
      <c r="F262" s="63">
        <f>ROUND(VLOOKUP(C262,'RAW DATA 2023'!E:BO,23,0),0)</f>
        <v>41</v>
      </c>
      <c r="G262" s="120">
        <f>VLOOKUP(C262,'RAW DATA 2023'!E:BO,26,0)</f>
        <v>0.28996768499999998</v>
      </c>
      <c r="H262" s="101">
        <f>IFERROR(VLOOKUP(F262,STD!B:G,6,0),"")</f>
        <v>0.37</v>
      </c>
      <c r="I262" s="100">
        <f t="shared" si="20"/>
        <v>0.7836964459459459</v>
      </c>
      <c r="J262" s="249">
        <f t="shared" si="22"/>
        <v>5.6739289189189179</v>
      </c>
      <c r="K262" s="63">
        <f>VLOOKUP(C262,'RAW DATA 2023'!E:BO,20,0)</f>
        <v>92</v>
      </c>
      <c r="L262" s="322">
        <f t="shared" si="23"/>
        <v>522.00146054054039</v>
      </c>
      <c r="M262" s="63"/>
      <c r="Y262" s="63" t="str">
        <f t="shared" si="21"/>
        <v>C4-I08-00632</v>
      </c>
    </row>
    <row r="263" spans="1:25">
      <c r="A263" s="63" t="str">
        <f>'RAW DATA 2023'!B256</f>
        <v>Roiphet1</v>
      </c>
      <c r="B263" s="63" t="str">
        <f>'RAW DATA 2023'!D256</f>
        <v>C4-G07-0058</v>
      </c>
      <c r="C263" s="63" t="str">
        <f t="shared" si="18"/>
        <v>Roiphet1C4-G07-0058</v>
      </c>
      <c r="D263" s="63">
        <f>VLOOKUP(C263,'RAW DATA 2023'!E:BP,63,0)</f>
        <v>11</v>
      </c>
      <c r="E263" s="63" t="str">
        <f t="shared" si="19"/>
        <v>Roiphet111</v>
      </c>
      <c r="F263" s="63">
        <f>ROUND(VLOOKUP(C263,'RAW DATA 2023'!E:BO,23,0),0)</f>
        <v>55</v>
      </c>
      <c r="G263" s="120">
        <f>VLOOKUP(C263,'RAW DATA 2023'!E:BO,26,0)</f>
        <v>0.289058547</v>
      </c>
      <c r="H263" s="101">
        <f>IFERROR(VLOOKUP(F263,STD!B:G,6,0),"")</f>
        <v>0.36</v>
      </c>
      <c r="I263" s="100">
        <f t="shared" si="20"/>
        <v>0.80294040833333336</v>
      </c>
      <c r="J263" s="249">
        <f t="shared" si="22"/>
        <v>6.0588081666666671</v>
      </c>
      <c r="K263" s="63">
        <f>VLOOKUP(C263,'RAW DATA 2023'!E:BO,20,0)</f>
        <v>103</v>
      </c>
      <c r="L263" s="322">
        <f t="shared" si="23"/>
        <v>624.0572411666667</v>
      </c>
      <c r="M263" s="63"/>
      <c r="Y263" s="63" t="str">
        <f t="shared" si="21"/>
        <v>C4-G07-005811</v>
      </c>
    </row>
    <row r="264" spans="1:25">
      <c r="A264" s="63" t="str">
        <f>'RAW DATA 2023'!B257</f>
        <v>Roiphet1</v>
      </c>
      <c r="B264" s="63" t="str">
        <f>'RAW DATA 2023'!D257</f>
        <v>C4-I08-0065</v>
      </c>
      <c r="C264" s="63" t="str">
        <f t="shared" si="18"/>
        <v>Roiphet1C4-I08-0065</v>
      </c>
      <c r="D264" s="63">
        <f>VLOOKUP(C264,'RAW DATA 2023'!E:BP,63,0)</f>
        <v>12</v>
      </c>
      <c r="E264" s="63" t="str">
        <f t="shared" si="19"/>
        <v>Roiphet112</v>
      </c>
      <c r="F264" s="63">
        <f>ROUND(VLOOKUP(C264,'RAW DATA 2023'!E:BO,23,0),0)</f>
        <v>46</v>
      </c>
      <c r="G264" s="120">
        <f>VLOOKUP(C264,'RAW DATA 2023'!E:BO,26,0)</f>
        <v>0.28355267000000001</v>
      </c>
      <c r="H264" s="101">
        <f>IFERROR(VLOOKUP(F264,STD!B:G,6,0),"")</f>
        <v>0.36</v>
      </c>
      <c r="I264" s="100">
        <f t="shared" si="20"/>
        <v>0.78764630555555559</v>
      </c>
      <c r="J264" s="249">
        <f t="shared" si="22"/>
        <v>5.7529261111111119</v>
      </c>
      <c r="K264" s="63">
        <f>VLOOKUP(C264,'RAW DATA 2023'!E:BO,20,0)</f>
        <v>105</v>
      </c>
      <c r="L264" s="322">
        <f t="shared" si="23"/>
        <v>604.05724166666676</v>
      </c>
      <c r="M264" s="63"/>
      <c r="Y264" s="63" t="str">
        <f t="shared" si="21"/>
        <v>C4-I08-006512</v>
      </c>
    </row>
    <row r="265" spans="1:25">
      <c r="A265" s="63" t="str">
        <f>'RAW DATA 2023'!B258</f>
        <v>Roiphet1</v>
      </c>
      <c r="B265" s="63" t="str">
        <f>'RAW DATA 2023'!D258</f>
        <v>C3-I05-0066</v>
      </c>
      <c r="C265" s="63" t="str">
        <f t="shared" si="18"/>
        <v>Roiphet1C3-I05-0066</v>
      </c>
      <c r="D265" s="63">
        <f>VLOOKUP(C265,'RAW DATA 2023'!E:BP,63,0)</f>
        <v>5</v>
      </c>
      <c r="E265" s="63" t="str">
        <f t="shared" si="19"/>
        <v>Roiphet15</v>
      </c>
      <c r="F265" s="63">
        <f>ROUND(VLOOKUP(C265,'RAW DATA 2023'!E:BO,23,0),0)</f>
        <v>124</v>
      </c>
      <c r="G265" s="120">
        <f>VLOOKUP(C265,'RAW DATA 2023'!E:BO,26,0)</f>
        <v>0.28201911600000001</v>
      </c>
      <c r="H265" s="101">
        <f>IFERROR(VLOOKUP(F265,STD!B:G,6,0),"")</f>
        <v>0.31</v>
      </c>
      <c r="I265" s="100">
        <f t="shared" si="20"/>
        <v>0.9097390838709678</v>
      </c>
      <c r="J265" s="249">
        <f t="shared" si="22"/>
        <v>8.1947816774193569</v>
      </c>
      <c r="K265" s="63">
        <f>VLOOKUP(C265,'RAW DATA 2023'!E:BO,20,0)</f>
        <v>27.000000000000004</v>
      </c>
      <c r="L265" s="322">
        <f t="shared" si="23"/>
        <v>221.25910529032268</v>
      </c>
      <c r="M265" s="63"/>
      <c r="Y265" s="63" t="str">
        <f t="shared" si="21"/>
        <v>C3-I05-00665</v>
      </c>
    </row>
    <row r="266" spans="1:25">
      <c r="A266" s="63" t="str">
        <f>'RAW DATA 2023'!B259</f>
        <v>Roiphet1</v>
      </c>
      <c r="B266" s="63" t="str">
        <f>'RAW DATA 2023'!D259</f>
        <v>C3-I06-0063</v>
      </c>
      <c r="C266" s="63" t="str">
        <f t="shared" ref="C266:C329" si="24">A266&amp;B266</f>
        <v>Roiphet1C3-I06-0063</v>
      </c>
      <c r="D266" s="63">
        <f>VLOOKUP(C266,'RAW DATA 2023'!E:BP,63,0)</f>
        <v>5</v>
      </c>
      <c r="E266" s="63" t="str">
        <f t="shared" ref="E266:E329" si="25">A266&amp;D266</f>
        <v>Roiphet15</v>
      </c>
      <c r="F266" s="63">
        <f>ROUND(VLOOKUP(C266,'RAW DATA 2023'!E:BO,23,0),0)</f>
        <v>131</v>
      </c>
      <c r="G266" s="120">
        <f>VLOOKUP(C266,'RAW DATA 2023'!E:BO,26,0)</f>
        <v>0.27629183800000001</v>
      </c>
      <c r="H266" s="101">
        <f>IFERROR(VLOOKUP(F266,STD!B:G,6,0),"")</f>
        <v>0.3</v>
      </c>
      <c r="I266" s="100">
        <f t="shared" ref="I266:I329" si="26">IFERROR(G266/H266,0)</f>
        <v>0.92097279333333337</v>
      </c>
      <c r="J266" s="249">
        <f t="shared" si="22"/>
        <v>8.4194558666666666</v>
      </c>
      <c r="K266" s="63">
        <f>VLOOKUP(C266,'RAW DATA 2023'!E:BO,20,0)</f>
        <v>26.000000000000004</v>
      </c>
      <c r="L266" s="322">
        <f t="shared" si="23"/>
        <v>218.90585253333336</v>
      </c>
      <c r="M266" s="63"/>
      <c r="Y266" s="63" t="str">
        <f t="shared" ref="Y266:Y329" si="27">B266&amp;D266</f>
        <v>C3-I06-00635</v>
      </c>
    </row>
    <row r="267" spans="1:25">
      <c r="A267" s="63" t="str">
        <f>'RAW DATA 2023'!B260</f>
        <v>Roiphet1</v>
      </c>
      <c r="B267" s="63" t="str">
        <f>'RAW DATA 2023'!D260</f>
        <v>C2-I04-0067</v>
      </c>
      <c r="C267" s="63" t="str">
        <f t="shared" si="24"/>
        <v>Roiphet1C2-I04-0067</v>
      </c>
      <c r="D267" s="63">
        <f>VLOOKUP(C267,'RAW DATA 2023'!E:BP,63,0)</f>
        <v>6</v>
      </c>
      <c r="E267" s="63" t="str">
        <f t="shared" si="25"/>
        <v>Roiphet16</v>
      </c>
      <c r="F267" s="63">
        <f>ROUND(VLOOKUP(C267,'RAW DATA 2023'!E:BO,23,0),0)</f>
        <v>92</v>
      </c>
      <c r="G267" s="120">
        <f>VLOOKUP(C267,'RAW DATA 2023'!E:BO,26,0)</f>
        <v>0.27485311400000001</v>
      </c>
      <c r="H267" s="101">
        <f>IFERROR(VLOOKUP(F267,STD!B:G,6,0),"")</f>
        <v>0.32</v>
      </c>
      <c r="I267" s="100">
        <f t="shared" si="26"/>
        <v>0.85891598125000002</v>
      </c>
      <c r="J267" s="249">
        <f t="shared" ref="J267:J330" si="28">IF(I267&gt;0.5,((I267-$B$4)*$B$7),0)</f>
        <v>7.1783196250000003</v>
      </c>
      <c r="K267" s="63">
        <f>VLOOKUP(C267,'RAW DATA 2023'!E:BO,20,0)</f>
        <v>37</v>
      </c>
      <c r="L267" s="322">
        <f t="shared" ref="L267:L330" si="29">J267*K267</f>
        <v>265.59782612499998</v>
      </c>
      <c r="M267" s="63"/>
      <c r="Y267" s="63" t="str">
        <f t="shared" si="27"/>
        <v>C2-I04-00676</v>
      </c>
    </row>
    <row r="268" spans="1:25">
      <c r="A268" s="63" t="str">
        <f>'RAW DATA 2023'!B261</f>
        <v>Roiphet1</v>
      </c>
      <c r="B268" s="63" t="str">
        <f>'RAW DATA 2023'!D261</f>
        <v>C3-G05-0074</v>
      </c>
      <c r="C268" s="63" t="str">
        <f t="shared" si="24"/>
        <v>Roiphet1C3-G05-0074</v>
      </c>
      <c r="D268" s="63">
        <f>VLOOKUP(C268,'RAW DATA 2023'!E:BP,63,0)</f>
        <v>5</v>
      </c>
      <c r="E268" s="63" t="str">
        <f t="shared" si="25"/>
        <v>Roiphet15</v>
      </c>
      <c r="F268" s="63">
        <f>ROUND(VLOOKUP(C268,'RAW DATA 2023'!E:BO,23,0),0)</f>
        <v>129</v>
      </c>
      <c r="G268" s="120">
        <f>VLOOKUP(C268,'RAW DATA 2023'!E:BO,26,0)</f>
        <v>0.27044214799999999</v>
      </c>
      <c r="H268" s="101">
        <f>IFERROR(VLOOKUP(F268,STD!B:G,6,0),"")</f>
        <v>0.3</v>
      </c>
      <c r="I268" s="100">
        <f t="shared" si="26"/>
        <v>0.90147382666666664</v>
      </c>
      <c r="J268" s="249">
        <f t="shared" si="28"/>
        <v>8.0294765333333338</v>
      </c>
      <c r="K268" s="63">
        <f>VLOOKUP(C268,'RAW DATA 2023'!E:BO,20,0)</f>
        <v>27</v>
      </c>
      <c r="L268" s="322">
        <f t="shared" si="29"/>
        <v>216.79586640000002</v>
      </c>
      <c r="M268" s="63"/>
      <c r="Y268" s="63" t="str">
        <f t="shared" si="27"/>
        <v>C3-G05-00745</v>
      </c>
    </row>
    <row r="269" spans="1:25">
      <c r="A269" s="63" t="str">
        <f>'RAW DATA 2023'!B262</f>
        <v>Roiphet1</v>
      </c>
      <c r="B269" s="63" t="str">
        <f>'RAW DATA 2023'!D262</f>
        <v>C2-I03-0059</v>
      </c>
      <c r="C269" s="63" t="str">
        <f t="shared" si="24"/>
        <v>Roiphet1C2-I03-0059</v>
      </c>
      <c r="D269" s="63">
        <f>VLOOKUP(C269,'RAW DATA 2023'!E:BP,63,0)</f>
        <v>6</v>
      </c>
      <c r="E269" s="63" t="str">
        <f t="shared" si="25"/>
        <v>Roiphet16</v>
      </c>
      <c r="F269" s="63">
        <f>ROUND(VLOOKUP(C269,'RAW DATA 2023'!E:BO,23,0),0)</f>
        <v>92</v>
      </c>
      <c r="G269" s="120">
        <f>VLOOKUP(C269,'RAW DATA 2023'!E:BO,26,0)</f>
        <v>0.259476031</v>
      </c>
      <c r="H269" s="101">
        <f>IFERROR(VLOOKUP(F269,STD!B:G,6,0),"")</f>
        <v>0.32</v>
      </c>
      <c r="I269" s="100">
        <f t="shared" si="26"/>
        <v>0.81086259687499995</v>
      </c>
      <c r="J269" s="249">
        <f t="shared" si="28"/>
        <v>6.2172519374999986</v>
      </c>
      <c r="K269" s="63">
        <f>VLOOKUP(C269,'RAW DATA 2023'!E:BO,20,0)</f>
        <v>39</v>
      </c>
      <c r="L269" s="322">
        <f t="shared" si="29"/>
        <v>242.47282556249993</v>
      </c>
      <c r="M269" s="63"/>
      <c r="Y269" s="63" t="str">
        <f t="shared" si="27"/>
        <v>C2-I03-00596</v>
      </c>
    </row>
    <row r="270" spans="1:25">
      <c r="A270" s="63" t="str">
        <f>'RAW DATA 2023'!B263</f>
        <v>Roiphet1</v>
      </c>
      <c r="B270" s="63" t="str">
        <f>'RAW DATA 2023'!D263</f>
        <v>C3-G06-0078</v>
      </c>
      <c r="C270" s="63" t="str">
        <f t="shared" si="24"/>
        <v>Roiphet1C3-G06-0078</v>
      </c>
      <c r="D270" s="63">
        <f>VLOOKUP(C270,'RAW DATA 2023'!E:BP,63,0)</f>
        <v>5</v>
      </c>
      <c r="E270" s="63" t="str">
        <f t="shared" si="25"/>
        <v>Roiphet15</v>
      </c>
      <c r="F270" s="63">
        <f>ROUND(VLOOKUP(C270,'RAW DATA 2023'!E:BO,23,0),0)</f>
        <v>149</v>
      </c>
      <c r="G270" s="120">
        <f>VLOOKUP(C270,'RAW DATA 2023'!E:BO,26,0)</f>
        <v>0.240823438</v>
      </c>
      <c r="H270" s="101">
        <f>IFERROR(VLOOKUP(F270,STD!B:G,6,0),"")</f>
        <v>0.27</v>
      </c>
      <c r="I270" s="100">
        <f t="shared" si="26"/>
        <v>0.89193865925925919</v>
      </c>
      <c r="J270" s="249">
        <f t="shared" si="28"/>
        <v>7.8387731851851843</v>
      </c>
      <c r="K270" s="63">
        <f>VLOOKUP(C270,'RAW DATA 2023'!E:BO,20,0)</f>
        <v>26</v>
      </c>
      <c r="L270" s="322">
        <f t="shared" si="29"/>
        <v>203.80810281481479</v>
      </c>
      <c r="M270" s="63"/>
      <c r="Y270" s="63" t="str">
        <f t="shared" si="27"/>
        <v>C3-G06-00785</v>
      </c>
    </row>
    <row r="271" spans="1:25">
      <c r="A271" s="63" t="str">
        <f>'RAW DATA 2023'!B264</f>
        <v>Roiphet1</v>
      </c>
      <c r="B271" s="63" t="str">
        <f>'RAW DATA 2023'!D264</f>
        <v>C2-G03-0066</v>
      </c>
      <c r="C271" s="63" t="str">
        <f t="shared" si="24"/>
        <v>Roiphet1C2-G03-0066</v>
      </c>
      <c r="D271" s="63">
        <f>VLOOKUP(C271,'RAW DATA 2023'!E:BP,63,0)</f>
        <v>6</v>
      </c>
      <c r="E271" s="63" t="str">
        <f t="shared" si="25"/>
        <v>Roiphet16</v>
      </c>
      <c r="F271" s="63">
        <f>ROUND(VLOOKUP(C271,'RAW DATA 2023'!E:BO,23,0),0)</f>
        <v>136</v>
      </c>
      <c r="G271" s="120">
        <f>VLOOKUP(C271,'RAW DATA 2023'!E:BO,26,0)</f>
        <v>0.20634191199999999</v>
      </c>
      <c r="H271" s="101">
        <f>IFERROR(VLOOKUP(F271,STD!B:G,6,0),"")</f>
        <v>0.28999999999999998</v>
      </c>
      <c r="I271" s="100">
        <f t="shared" si="26"/>
        <v>0.71152383448275858</v>
      </c>
      <c r="J271" s="249">
        <f t="shared" si="28"/>
        <v>4.2304766896551715</v>
      </c>
      <c r="K271" s="63">
        <f>VLOOKUP(C271,'RAW DATA 2023'!E:BO,20,0)</f>
        <v>32</v>
      </c>
      <c r="L271" s="322">
        <f t="shared" si="29"/>
        <v>135.37525406896549</v>
      </c>
      <c r="M271" s="63"/>
      <c r="Y271" s="63" t="str">
        <f t="shared" si="27"/>
        <v>C2-G03-00666</v>
      </c>
    </row>
    <row r="272" spans="1:25">
      <c r="A272" s="63" t="str">
        <f>'RAW DATA 2023'!B265</f>
        <v>Roiphet1</v>
      </c>
      <c r="B272" s="63" t="str">
        <f>'RAW DATA 2023'!D265</f>
        <v>C2-G04-0064</v>
      </c>
      <c r="C272" s="63" t="str">
        <f t="shared" si="24"/>
        <v>Roiphet1C2-G04-0064</v>
      </c>
      <c r="D272" s="63">
        <f>VLOOKUP(C272,'RAW DATA 2023'!E:BP,63,0)</f>
        <v>6</v>
      </c>
      <c r="E272" s="63" t="str">
        <f t="shared" si="25"/>
        <v>Roiphet16</v>
      </c>
      <c r="F272" s="63">
        <f>ROUND(VLOOKUP(C272,'RAW DATA 2023'!E:BO,23,0),0)</f>
        <v>148</v>
      </c>
      <c r="G272" s="120">
        <f>VLOOKUP(C272,'RAW DATA 2023'!E:BO,26,0)</f>
        <v>0.18771114899999999</v>
      </c>
      <c r="H272" s="101">
        <f>IFERROR(VLOOKUP(F272,STD!B:G,6,0),"")</f>
        <v>0.27</v>
      </c>
      <c r="I272" s="100">
        <f t="shared" si="26"/>
        <v>0.69522647777777768</v>
      </c>
      <c r="J272" s="249">
        <f t="shared" si="28"/>
        <v>3.9045295555555537</v>
      </c>
      <c r="K272" s="63">
        <f>VLOOKUP(C272,'RAW DATA 2023'!E:BO,20,0)</f>
        <v>32</v>
      </c>
      <c r="L272" s="322">
        <f t="shared" si="29"/>
        <v>124.94494577777772</v>
      </c>
      <c r="M272" s="63"/>
      <c r="Y272" s="63" t="str">
        <f t="shared" si="27"/>
        <v>C2-G04-00646</v>
      </c>
    </row>
    <row r="273" spans="1:25">
      <c r="A273" s="63" t="str">
        <f>'RAW DATA 2023'!B266</f>
        <v>Roiphet1</v>
      </c>
      <c r="B273" s="63" t="str">
        <f>'RAW DATA 2023'!D266</f>
        <v>B3-I06-0095</v>
      </c>
      <c r="C273" s="63" t="str">
        <f t="shared" si="24"/>
        <v>Roiphet1B3-I06-0095</v>
      </c>
      <c r="D273" s="63">
        <f>VLOOKUP(C273,'RAW DATA 2023'!E:BP,63,0)</f>
        <v>8</v>
      </c>
      <c r="E273" s="63" t="str">
        <f t="shared" si="25"/>
        <v>Roiphet18</v>
      </c>
      <c r="F273" s="63">
        <f>ROUND(VLOOKUP(C273,'RAW DATA 2023'!E:BO,23,0),0)</f>
        <v>45</v>
      </c>
      <c r="G273" s="120">
        <f>VLOOKUP(C273,'RAW DATA 2023'!E:BO,26,0)</f>
        <v>0.45004728100000002</v>
      </c>
      <c r="H273" s="101">
        <f>IFERROR(VLOOKUP(F273,STD!B:G,6,0),"")</f>
        <v>0.36</v>
      </c>
      <c r="I273" s="100">
        <f t="shared" si="26"/>
        <v>1.2501313361111113</v>
      </c>
      <c r="J273" s="249">
        <f t="shared" si="28"/>
        <v>15.002626722222224</v>
      </c>
      <c r="K273" s="63">
        <f>VLOOKUP(C273,'RAW DATA 2023'!E:BO,20,0)</f>
        <v>47</v>
      </c>
      <c r="L273" s="322">
        <f t="shared" si="29"/>
        <v>705.12345594444457</v>
      </c>
      <c r="M273" s="63"/>
      <c r="Y273" s="63" t="str">
        <f t="shared" si="27"/>
        <v>B3-I06-00958</v>
      </c>
    </row>
    <row r="274" spans="1:25">
      <c r="A274" s="63" t="str">
        <f>'RAW DATA 2023'!B267</f>
        <v>Roiphet1</v>
      </c>
      <c r="B274" s="63" t="str">
        <f>'RAW DATA 2023'!D267</f>
        <v>B6-G12-0087</v>
      </c>
      <c r="C274" s="63" t="str">
        <f t="shared" si="24"/>
        <v>Roiphet1B6-G12-0087</v>
      </c>
      <c r="D274" s="63">
        <f>VLOOKUP(C274,'RAW DATA 2023'!E:BP,63,0)</f>
        <v>6</v>
      </c>
      <c r="E274" s="63" t="str">
        <f t="shared" si="25"/>
        <v>Roiphet16</v>
      </c>
      <c r="F274" s="63">
        <f>ROUND(VLOOKUP(C274,'RAW DATA 2023'!E:BO,23,0),0)</f>
        <v>32</v>
      </c>
      <c r="G274" s="120">
        <f>VLOOKUP(C274,'RAW DATA 2023'!E:BO,26,0)</f>
        <v>0.42387260900000001</v>
      </c>
      <c r="H274" s="101">
        <f>IFERROR(VLOOKUP(F274,STD!B:G,6,0),"")</f>
        <v>0.39</v>
      </c>
      <c r="I274" s="100">
        <f t="shared" si="26"/>
        <v>1.0868528435897435</v>
      </c>
      <c r="J274" s="249">
        <f t="shared" si="28"/>
        <v>11.73705687179487</v>
      </c>
      <c r="K274" s="63">
        <f>VLOOKUP(C274,'RAW DATA 2023'!E:BO,20,0)</f>
        <v>100</v>
      </c>
      <c r="L274" s="322">
        <f t="shared" si="29"/>
        <v>1173.7056871794871</v>
      </c>
      <c r="M274" s="63"/>
      <c r="Y274" s="63" t="str">
        <f t="shared" si="27"/>
        <v>B6-G12-00876</v>
      </c>
    </row>
    <row r="275" spans="1:25">
      <c r="A275" s="63" t="str">
        <f>'RAW DATA 2023'!B268</f>
        <v>Roiphet1</v>
      </c>
      <c r="B275" s="63" t="str">
        <f>'RAW DATA 2023'!D268</f>
        <v>B6-G11-0082</v>
      </c>
      <c r="C275" s="63" t="str">
        <f t="shared" si="24"/>
        <v>Roiphet1B6-G11-0082</v>
      </c>
      <c r="D275" s="63">
        <f>VLOOKUP(C275,'RAW DATA 2023'!E:BP,63,0)</f>
        <v>6</v>
      </c>
      <c r="E275" s="63" t="str">
        <f t="shared" si="25"/>
        <v>Roiphet16</v>
      </c>
      <c r="F275" s="63">
        <f>ROUND(VLOOKUP(C275,'RAW DATA 2023'!E:BO,23,0),0)</f>
        <v>31</v>
      </c>
      <c r="G275" s="120">
        <f>VLOOKUP(C275,'RAW DATA 2023'!E:BO,26,0)</f>
        <v>0.42318260899999999</v>
      </c>
      <c r="H275" s="101">
        <f>IFERROR(VLOOKUP(F275,STD!B:G,6,0),"")</f>
        <v>0.39</v>
      </c>
      <c r="I275" s="100">
        <f t="shared" si="26"/>
        <v>1.0850836128205128</v>
      </c>
      <c r="J275" s="249">
        <f t="shared" si="28"/>
        <v>11.701672256410255</v>
      </c>
      <c r="K275" s="63">
        <f>VLOOKUP(C275,'RAW DATA 2023'!E:BO,20,0)</f>
        <v>100</v>
      </c>
      <c r="L275" s="322">
        <f t="shared" si="29"/>
        <v>1170.1672256410254</v>
      </c>
      <c r="M275" s="63"/>
      <c r="Y275" s="63" t="str">
        <f t="shared" si="27"/>
        <v>B6-G11-00826</v>
      </c>
    </row>
    <row r="276" spans="1:25">
      <c r="A276" s="63" t="str">
        <f>'RAW DATA 2023'!B269</f>
        <v>Roiphet1</v>
      </c>
      <c r="B276" s="63" t="str">
        <f>'RAW DATA 2023'!D269</f>
        <v>B1-I02-0096</v>
      </c>
      <c r="C276" s="63" t="str">
        <f t="shared" si="24"/>
        <v>Roiphet1B1-I02-0096</v>
      </c>
      <c r="D276" s="63">
        <f>VLOOKUP(C276,'RAW DATA 2023'!E:BP,63,0)</f>
        <v>12</v>
      </c>
      <c r="E276" s="63" t="str">
        <f t="shared" si="25"/>
        <v>Roiphet112</v>
      </c>
      <c r="F276" s="63">
        <f>ROUND(VLOOKUP(C276,'RAW DATA 2023'!E:BO,23,0),0)</f>
        <v>41</v>
      </c>
      <c r="G276" s="120">
        <f>VLOOKUP(C276,'RAW DATA 2023'!E:BO,26,0)</f>
        <v>0.40512820499999996</v>
      </c>
      <c r="H276" s="101">
        <f>IFERROR(VLOOKUP(F276,STD!B:G,6,0),"")</f>
        <v>0.37</v>
      </c>
      <c r="I276" s="100">
        <f t="shared" si="26"/>
        <v>1.0949410945945945</v>
      </c>
      <c r="J276" s="249">
        <f t="shared" si="28"/>
        <v>11.898821891891892</v>
      </c>
      <c r="K276" s="63">
        <f>VLOOKUP(C276,'RAW DATA 2023'!E:BO,20,0)</f>
        <v>90</v>
      </c>
      <c r="L276" s="322">
        <f t="shared" si="29"/>
        <v>1070.8939702702703</v>
      </c>
      <c r="M276" s="63"/>
      <c r="Y276" s="63" t="str">
        <f t="shared" si="27"/>
        <v>B1-I02-009612</v>
      </c>
    </row>
    <row r="277" spans="1:25">
      <c r="A277" s="63" t="str">
        <f>'RAW DATA 2023'!B270</f>
        <v>Roiphet1</v>
      </c>
      <c r="B277" s="63" t="str">
        <f>'RAW DATA 2023'!D270</f>
        <v>B5-I10-0091</v>
      </c>
      <c r="C277" s="63" t="str">
        <f t="shared" si="24"/>
        <v>Roiphet1B5-I10-0091</v>
      </c>
      <c r="D277" s="63">
        <f>VLOOKUP(C277,'RAW DATA 2023'!E:BP,63,0)</f>
        <v>7</v>
      </c>
      <c r="E277" s="63" t="str">
        <f t="shared" si="25"/>
        <v>Roiphet17</v>
      </c>
      <c r="F277" s="63">
        <f>ROUND(VLOOKUP(C277,'RAW DATA 2023'!E:BO,23,0),0)</f>
        <v>48</v>
      </c>
      <c r="G277" s="120">
        <f>VLOOKUP(C277,'RAW DATA 2023'!E:BO,26,0)</f>
        <v>0.40438953500000002</v>
      </c>
      <c r="H277" s="101">
        <f>IFERROR(VLOOKUP(F277,STD!B:G,6,0),"")</f>
        <v>0.36</v>
      </c>
      <c r="I277" s="100">
        <f t="shared" si="26"/>
        <v>1.123304263888889</v>
      </c>
      <c r="J277" s="249">
        <f t="shared" si="28"/>
        <v>12.466085277777781</v>
      </c>
      <c r="K277" s="63">
        <f>VLOOKUP(C277,'RAW DATA 2023'!E:BO,20,0)</f>
        <v>56</v>
      </c>
      <c r="L277" s="322">
        <f t="shared" si="29"/>
        <v>698.10077555555574</v>
      </c>
      <c r="M277" s="63"/>
      <c r="Y277" s="63" t="str">
        <f t="shared" si="27"/>
        <v>B5-I10-00917</v>
      </c>
    </row>
    <row r="278" spans="1:25">
      <c r="A278" s="63" t="str">
        <f>'RAW DATA 2023'!B271</f>
        <v>Roiphet1</v>
      </c>
      <c r="B278" s="63" t="str">
        <f>'RAW DATA 2023'!D271</f>
        <v>B5-G10-0083</v>
      </c>
      <c r="C278" s="63" t="str">
        <f t="shared" si="24"/>
        <v>Roiphet1B5-G10-0083</v>
      </c>
      <c r="D278" s="63">
        <f>VLOOKUP(C278,'RAW DATA 2023'!E:BP,63,0)</f>
        <v>5</v>
      </c>
      <c r="E278" s="63" t="str">
        <f t="shared" si="25"/>
        <v>Roiphet15</v>
      </c>
      <c r="F278" s="63">
        <f>ROUND(VLOOKUP(C278,'RAW DATA 2023'!E:BO,23,0),0)</f>
        <v>32</v>
      </c>
      <c r="G278" s="120">
        <f>VLOOKUP(C278,'RAW DATA 2023'!E:BO,26,0)</f>
        <v>0.39319505399999999</v>
      </c>
      <c r="H278" s="101">
        <f>IFERROR(VLOOKUP(F278,STD!B:G,6,0),"")</f>
        <v>0.39</v>
      </c>
      <c r="I278" s="100">
        <f t="shared" si="26"/>
        <v>1.0081924461538461</v>
      </c>
      <c r="J278" s="249">
        <f t="shared" si="28"/>
        <v>10.163848923076921</v>
      </c>
      <c r="K278" s="63">
        <f>VLOOKUP(C278,'RAW DATA 2023'!E:BO,20,0)</f>
        <v>109</v>
      </c>
      <c r="L278" s="322">
        <f t="shared" si="29"/>
        <v>1107.8595326153845</v>
      </c>
      <c r="M278" s="63"/>
      <c r="Y278" s="63" t="str">
        <f t="shared" si="27"/>
        <v>B5-G10-00835</v>
      </c>
    </row>
    <row r="279" spans="1:25">
      <c r="A279" s="63" t="str">
        <f>'RAW DATA 2023'!B272</f>
        <v>Roiphet1</v>
      </c>
      <c r="B279" s="63" t="str">
        <f>'RAW DATA 2023'!D272</f>
        <v>B1-I01-0095</v>
      </c>
      <c r="C279" s="63" t="str">
        <f t="shared" si="24"/>
        <v>Roiphet1B1-I01-0095</v>
      </c>
      <c r="D279" s="63">
        <f>VLOOKUP(C279,'RAW DATA 2023'!E:BP,63,0)</f>
        <v>6</v>
      </c>
      <c r="E279" s="63" t="str">
        <f t="shared" si="25"/>
        <v>Roiphet16</v>
      </c>
      <c r="F279" s="63">
        <f>ROUND(VLOOKUP(C279,'RAW DATA 2023'!E:BO,23,0),0)</f>
        <v>34</v>
      </c>
      <c r="G279" s="120">
        <f>VLOOKUP(C279,'RAW DATA 2023'!E:BO,26,0)</f>
        <v>0.39300000000000002</v>
      </c>
      <c r="H279" s="101">
        <f>IFERROR(VLOOKUP(F279,STD!B:G,6,0),"")</f>
        <v>0.38</v>
      </c>
      <c r="I279" s="100">
        <f t="shared" si="26"/>
        <v>1.0342105263157895</v>
      </c>
      <c r="J279" s="249">
        <f t="shared" si="28"/>
        <v>10.684210526315789</v>
      </c>
      <c r="K279" s="63">
        <f>VLOOKUP(C279,'RAW DATA 2023'!E:BO,20,0)</f>
        <v>100</v>
      </c>
      <c r="L279" s="322">
        <f t="shared" si="29"/>
        <v>1068.421052631579</v>
      </c>
      <c r="M279" s="63"/>
      <c r="Y279" s="63" t="str">
        <f t="shared" si="27"/>
        <v>B1-I01-00956</v>
      </c>
    </row>
    <row r="280" spans="1:25">
      <c r="A280" s="63" t="str">
        <f>'RAW DATA 2023'!B273</f>
        <v>Roiphet1</v>
      </c>
      <c r="B280" s="63" t="str">
        <f>'RAW DATA 2023'!D273</f>
        <v>B6-I12-0086</v>
      </c>
      <c r="C280" s="63" t="str">
        <f t="shared" si="24"/>
        <v>Roiphet1B6-I12-0086</v>
      </c>
      <c r="D280" s="63">
        <f>VLOOKUP(C280,'RAW DATA 2023'!E:BP,63,0)</f>
        <v>6</v>
      </c>
      <c r="E280" s="63" t="str">
        <f t="shared" si="25"/>
        <v>Roiphet16</v>
      </c>
      <c r="F280" s="63">
        <f>ROUND(VLOOKUP(C280,'RAW DATA 2023'!E:BO,23,0),0)</f>
        <v>37</v>
      </c>
      <c r="G280" s="120">
        <f>VLOOKUP(C280,'RAW DATA 2023'!E:BO,26,0)</f>
        <v>0.391980198</v>
      </c>
      <c r="H280" s="101">
        <f>IFERROR(VLOOKUP(F280,STD!B:G,6,0),"")</f>
        <v>0.37</v>
      </c>
      <c r="I280" s="100">
        <f t="shared" si="26"/>
        <v>1.0594059405405405</v>
      </c>
      <c r="J280" s="249">
        <f t="shared" si="28"/>
        <v>11.18811881081081</v>
      </c>
      <c r="K280" s="63">
        <f>VLOOKUP(C280,'RAW DATA 2023'!E:BO,20,0)</f>
        <v>101</v>
      </c>
      <c r="L280" s="322">
        <f t="shared" si="29"/>
        <v>1129.9999998918918</v>
      </c>
      <c r="M280" s="63"/>
      <c r="Y280" s="63" t="str">
        <f t="shared" si="27"/>
        <v>B6-I12-00866</v>
      </c>
    </row>
    <row r="281" spans="1:25">
      <c r="A281" s="63" t="str">
        <f>'RAW DATA 2023'!B274</f>
        <v>Roiphet1</v>
      </c>
      <c r="B281" s="63" t="str">
        <f>'RAW DATA 2023'!D274</f>
        <v>B2-G04-0092</v>
      </c>
      <c r="C281" s="63" t="str">
        <f t="shared" si="24"/>
        <v>Roiphet1B2-G04-0092</v>
      </c>
      <c r="D281" s="63">
        <f>VLOOKUP(C281,'RAW DATA 2023'!E:BP,63,0)</f>
        <v>6</v>
      </c>
      <c r="E281" s="63" t="str">
        <f t="shared" si="25"/>
        <v>Roiphet16</v>
      </c>
      <c r="F281" s="63">
        <f>ROUND(VLOOKUP(C281,'RAW DATA 2023'!E:BO,23,0),0)</f>
        <v>40</v>
      </c>
      <c r="G281" s="120">
        <f>VLOOKUP(C281,'RAW DATA 2023'!E:BO,26,0)</f>
        <v>0.39170634900000001</v>
      </c>
      <c r="H281" s="101">
        <f>IFERROR(VLOOKUP(F281,STD!B:G,6,0),"")</f>
        <v>0.37</v>
      </c>
      <c r="I281" s="100">
        <f t="shared" si="26"/>
        <v>1.0586658081081082</v>
      </c>
      <c r="J281" s="249">
        <f t="shared" si="28"/>
        <v>11.173316162162163</v>
      </c>
      <c r="K281" s="63">
        <f>VLOOKUP(C281,'RAW DATA 2023'!E:BO,20,0)</f>
        <v>84</v>
      </c>
      <c r="L281" s="322">
        <f t="shared" si="29"/>
        <v>938.55855762162162</v>
      </c>
      <c r="M281" s="63"/>
      <c r="Y281" s="63" t="str">
        <f t="shared" si="27"/>
        <v>B2-G04-00926</v>
      </c>
    </row>
    <row r="282" spans="1:25">
      <c r="A282" s="63" t="str">
        <f>'RAW DATA 2023'!B275</f>
        <v>Roiphet1</v>
      </c>
      <c r="B282" s="63" t="str">
        <f>'RAW DATA 2023'!D275</f>
        <v>B5-I10-0090</v>
      </c>
      <c r="C282" s="63" t="str">
        <f t="shared" si="24"/>
        <v>Roiphet1B5-I10-0090</v>
      </c>
      <c r="D282" s="63">
        <f>VLOOKUP(C282,'RAW DATA 2023'!E:BP,63,0)</f>
        <v>5</v>
      </c>
      <c r="E282" s="63" t="str">
        <f t="shared" si="25"/>
        <v>Roiphet15</v>
      </c>
      <c r="F282" s="63">
        <f>ROUND(VLOOKUP(C282,'RAW DATA 2023'!E:BO,23,0),0)</f>
        <v>30</v>
      </c>
      <c r="G282" s="120">
        <f>VLOOKUP(C282,'RAW DATA 2023'!E:BO,26,0)</f>
        <v>0.38692126900000001</v>
      </c>
      <c r="H282" s="101">
        <f>IFERROR(VLOOKUP(F282,STD!B:G,6,0),"")</f>
        <v>0.39</v>
      </c>
      <c r="I282" s="100">
        <f t="shared" si="26"/>
        <v>0.99210581794871799</v>
      </c>
      <c r="J282" s="249">
        <f t="shared" si="28"/>
        <v>9.8421163589743603</v>
      </c>
      <c r="K282" s="63">
        <f>VLOOKUP(C282,'RAW DATA 2023'!E:BO,20,0)</f>
        <v>111</v>
      </c>
      <c r="L282" s="322">
        <f t="shared" si="29"/>
        <v>1092.4749158461541</v>
      </c>
      <c r="M282" s="63"/>
      <c r="Y282" s="63" t="str">
        <f t="shared" si="27"/>
        <v>B5-I10-00905</v>
      </c>
    </row>
    <row r="283" spans="1:25">
      <c r="A283" s="63" t="str">
        <f>'RAW DATA 2023'!B276</f>
        <v>Roiphet1</v>
      </c>
      <c r="B283" s="63" t="str">
        <f>'RAW DATA 2023'!D276</f>
        <v>B5-I09-0093</v>
      </c>
      <c r="C283" s="63" t="str">
        <f t="shared" si="24"/>
        <v>Roiphet1B5-I09-0093</v>
      </c>
      <c r="D283" s="63">
        <f>VLOOKUP(C283,'RAW DATA 2023'!E:BP,63,0)</f>
        <v>5</v>
      </c>
      <c r="E283" s="63" t="str">
        <f t="shared" si="25"/>
        <v>Roiphet15</v>
      </c>
      <c r="F283" s="63">
        <f>ROUND(VLOOKUP(C283,'RAW DATA 2023'!E:BO,23,0),0)</f>
        <v>32</v>
      </c>
      <c r="G283" s="120">
        <f>VLOOKUP(C283,'RAW DATA 2023'!E:BO,26,0)</f>
        <v>0.38346661500000001</v>
      </c>
      <c r="H283" s="101">
        <f>IFERROR(VLOOKUP(F283,STD!B:G,6,0),"")</f>
        <v>0.39</v>
      </c>
      <c r="I283" s="100">
        <f t="shared" si="26"/>
        <v>0.98324773076923078</v>
      </c>
      <c r="J283" s="249">
        <f t="shared" si="28"/>
        <v>9.664954615384616</v>
      </c>
      <c r="K283" s="63">
        <f>VLOOKUP(C283,'RAW DATA 2023'!E:BO,20,0)</f>
        <v>112</v>
      </c>
      <c r="L283" s="322">
        <f t="shared" si="29"/>
        <v>1082.474916923077</v>
      </c>
      <c r="M283" s="63"/>
      <c r="Y283" s="63" t="str">
        <f t="shared" si="27"/>
        <v>B5-I09-00935</v>
      </c>
    </row>
    <row r="284" spans="1:25">
      <c r="A284" s="63" t="str">
        <f>'RAW DATA 2023'!B277</f>
        <v>Roiphet1</v>
      </c>
      <c r="B284" s="63" t="str">
        <f>'RAW DATA 2023'!D277</f>
        <v>B4-G07-0076</v>
      </c>
      <c r="C284" s="63" t="str">
        <f t="shared" si="24"/>
        <v>Roiphet1B4-G07-0076</v>
      </c>
      <c r="D284" s="63">
        <f>VLOOKUP(C284,'RAW DATA 2023'!E:BP,63,0)</f>
        <v>3</v>
      </c>
      <c r="E284" s="63" t="str">
        <f t="shared" si="25"/>
        <v>Roiphet13</v>
      </c>
      <c r="F284" s="63">
        <f>ROUND(VLOOKUP(C284,'RAW DATA 2023'!E:BO,23,0),0)</f>
        <v>39</v>
      </c>
      <c r="G284" s="120">
        <f>VLOOKUP(C284,'RAW DATA 2023'!E:BO,26,0)</f>
        <v>0.37503787900000002</v>
      </c>
      <c r="H284" s="101">
        <f>IFERROR(VLOOKUP(F284,STD!B:G,6,0),"")</f>
        <v>0.37</v>
      </c>
      <c r="I284" s="100">
        <f t="shared" si="26"/>
        <v>1.0136158891891893</v>
      </c>
      <c r="J284" s="249">
        <f t="shared" si="28"/>
        <v>10.272317783783787</v>
      </c>
      <c r="K284" s="63">
        <f>VLOOKUP(C284,'RAW DATA 2023'!E:BO,20,0)</f>
        <v>120.00000000000001</v>
      </c>
      <c r="L284" s="322">
        <f t="shared" si="29"/>
        <v>1232.6781340540547</v>
      </c>
      <c r="M284" s="63"/>
      <c r="Y284" s="63" t="str">
        <f t="shared" si="27"/>
        <v>B4-G07-00763</v>
      </c>
    </row>
    <row r="285" spans="1:25">
      <c r="A285" s="63" t="str">
        <f>'RAW DATA 2023'!B278</f>
        <v>Roiphet1</v>
      </c>
      <c r="B285" s="63" t="str">
        <f>'RAW DATA 2023'!D278</f>
        <v>B1-G02-0089</v>
      </c>
      <c r="C285" s="63" t="str">
        <f t="shared" si="24"/>
        <v>Roiphet1B1-G02-0089</v>
      </c>
      <c r="D285" s="63">
        <f>VLOOKUP(C285,'RAW DATA 2023'!E:BP,63,0)</f>
        <v>12</v>
      </c>
      <c r="E285" s="63" t="str">
        <f t="shared" si="25"/>
        <v>Roiphet112</v>
      </c>
      <c r="F285" s="63">
        <f>ROUND(VLOOKUP(C285,'RAW DATA 2023'!E:BO,23,0),0)</f>
        <v>38</v>
      </c>
      <c r="G285" s="120">
        <f>VLOOKUP(C285,'RAW DATA 2023'!E:BO,26,0)</f>
        <v>0.37256671899999999</v>
      </c>
      <c r="H285" s="101">
        <f>IFERROR(VLOOKUP(F285,STD!B:G,6,0),"")</f>
        <v>0.37</v>
      </c>
      <c r="I285" s="100">
        <f t="shared" si="26"/>
        <v>1.0069370783783784</v>
      </c>
      <c r="J285" s="249">
        <f t="shared" si="28"/>
        <v>10.138741567567568</v>
      </c>
      <c r="K285" s="63">
        <f>VLOOKUP(C285,'RAW DATA 2023'!E:BO,20,0)</f>
        <v>98.000000000000014</v>
      </c>
      <c r="L285" s="322">
        <f t="shared" si="29"/>
        <v>993.59667362162179</v>
      </c>
      <c r="M285" s="63"/>
      <c r="Y285" s="63" t="str">
        <f t="shared" si="27"/>
        <v>B1-G02-008912</v>
      </c>
    </row>
    <row r="286" spans="1:25">
      <c r="A286" s="63" t="str">
        <f>'RAW DATA 2023'!B279</f>
        <v>Roiphet1</v>
      </c>
      <c r="B286" s="63" t="str">
        <f>'RAW DATA 2023'!D279</f>
        <v>B4-I08-0089</v>
      </c>
      <c r="C286" s="63" t="str">
        <f t="shared" si="24"/>
        <v>Roiphet1B4-I08-0089</v>
      </c>
      <c r="D286" s="63">
        <f>VLOOKUP(C286,'RAW DATA 2023'!E:BP,63,0)</f>
        <v>7</v>
      </c>
      <c r="E286" s="63" t="str">
        <f t="shared" si="25"/>
        <v>Roiphet17</v>
      </c>
      <c r="F286" s="63">
        <f>ROUND(VLOOKUP(C286,'RAW DATA 2023'!E:BO,23,0),0)</f>
        <v>37</v>
      </c>
      <c r="G286" s="120">
        <f>VLOOKUP(C286,'RAW DATA 2023'!E:BO,26,0)</f>
        <v>0.369158879</v>
      </c>
      <c r="H286" s="101">
        <f>IFERROR(VLOOKUP(F286,STD!B:G,6,0),"")</f>
        <v>0.37</v>
      </c>
      <c r="I286" s="100">
        <f t="shared" si="26"/>
        <v>0.99772669999999997</v>
      </c>
      <c r="J286" s="249">
        <f t="shared" si="28"/>
        <v>9.9545339999999989</v>
      </c>
      <c r="K286" s="63">
        <f>VLOOKUP(C286,'RAW DATA 2023'!E:BO,20,0)</f>
        <v>107.00000000000001</v>
      </c>
      <c r="L286" s="322">
        <f t="shared" si="29"/>
        <v>1065.1351380000001</v>
      </c>
      <c r="M286" s="63"/>
      <c r="Y286" s="63" t="str">
        <f t="shared" si="27"/>
        <v>B4-I08-00897</v>
      </c>
    </row>
    <row r="287" spans="1:25">
      <c r="A287" s="63" t="str">
        <f>'RAW DATA 2023'!B280</f>
        <v>Roiphet1</v>
      </c>
      <c r="B287" s="63" t="str">
        <f>'RAW DATA 2023'!D280</f>
        <v>B2-I04-0098</v>
      </c>
      <c r="C287" s="63" t="str">
        <f t="shared" si="24"/>
        <v>Roiphet1B2-I04-0098</v>
      </c>
      <c r="D287" s="63">
        <f>VLOOKUP(C287,'RAW DATA 2023'!E:BP,63,0)</f>
        <v>6</v>
      </c>
      <c r="E287" s="63" t="str">
        <f t="shared" si="25"/>
        <v>Roiphet16</v>
      </c>
      <c r="F287" s="63">
        <f>ROUND(VLOOKUP(C287,'RAW DATA 2023'!E:BO,23,0),0)</f>
        <v>41</v>
      </c>
      <c r="G287" s="120">
        <f>VLOOKUP(C287,'RAW DATA 2023'!E:BO,26,0)</f>
        <v>0.366904762</v>
      </c>
      <c r="H287" s="101">
        <f>IFERROR(VLOOKUP(F287,STD!B:G,6,0),"")</f>
        <v>0.37</v>
      </c>
      <c r="I287" s="100">
        <f t="shared" si="26"/>
        <v>0.9916344918918919</v>
      </c>
      <c r="J287" s="249">
        <f t="shared" si="28"/>
        <v>9.8326898378378385</v>
      </c>
      <c r="K287" s="63">
        <f>VLOOKUP(C287,'RAW DATA 2023'!E:BO,20,0)</f>
        <v>83.999999999999986</v>
      </c>
      <c r="L287" s="322">
        <f t="shared" si="29"/>
        <v>825.94594637837827</v>
      </c>
      <c r="M287" s="63"/>
      <c r="Y287" s="63" t="str">
        <f t="shared" si="27"/>
        <v>B2-I04-00986</v>
      </c>
    </row>
    <row r="288" spans="1:25">
      <c r="A288" s="63" t="str">
        <f>'RAW DATA 2023'!B281</f>
        <v>Roiphet1</v>
      </c>
      <c r="B288" s="63" t="str">
        <f>'RAW DATA 2023'!D281</f>
        <v>B4-I08-0088</v>
      </c>
      <c r="C288" s="63" t="str">
        <f t="shared" si="24"/>
        <v>Roiphet1B4-I08-0088</v>
      </c>
      <c r="D288" s="63">
        <f>VLOOKUP(C288,'RAW DATA 2023'!E:BP,63,0)</f>
        <v>3</v>
      </c>
      <c r="E288" s="63" t="str">
        <f t="shared" si="25"/>
        <v>Roiphet13</v>
      </c>
      <c r="F288" s="63">
        <f>ROUND(VLOOKUP(C288,'RAW DATA 2023'!E:BO,23,0),0)</f>
        <v>37</v>
      </c>
      <c r="G288" s="120">
        <f>VLOOKUP(C288,'RAW DATA 2023'!E:BO,26,0)</f>
        <v>0.36589061299999998</v>
      </c>
      <c r="H288" s="101">
        <f>IFERROR(VLOOKUP(F288,STD!B:G,6,0),"")</f>
        <v>0.37</v>
      </c>
      <c r="I288" s="100">
        <f t="shared" si="26"/>
        <v>0.98889354864864865</v>
      </c>
      <c r="J288" s="249">
        <f t="shared" si="28"/>
        <v>9.7778709729729734</v>
      </c>
      <c r="K288" s="63">
        <f>VLOOKUP(C288,'RAW DATA 2023'!E:BO,20,0)</f>
        <v>123</v>
      </c>
      <c r="L288" s="322">
        <f t="shared" si="29"/>
        <v>1202.6781296756758</v>
      </c>
      <c r="M288" s="63"/>
      <c r="Y288" s="63" t="str">
        <f t="shared" si="27"/>
        <v>B4-I08-00883</v>
      </c>
    </row>
    <row r="289" spans="1:25">
      <c r="A289" s="63" t="str">
        <f>'RAW DATA 2023'!B282</f>
        <v>Roiphet1</v>
      </c>
      <c r="B289" s="63" t="str">
        <f>'RAW DATA 2023'!D282</f>
        <v>B1-I01-0096</v>
      </c>
      <c r="C289" s="63" t="str">
        <f t="shared" si="24"/>
        <v>Roiphet1B1-I01-0096</v>
      </c>
      <c r="D289" s="63">
        <f>VLOOKUP(C289,'RAW DATA 2023'!E:BP,63,0)</f>
        <v>12</v>
      </c>
      <c r="E289" s="63" t="str">
        <f t="shared" si="25"/>
        <v>Roiphet112</v>
      </c>
      <c r="F289" s="63">
        <f>ROUND(VLOOKUP(C289,'RAW DATA 2023'!E:BO,23,0),0)</f>
        <v>40</v>
      </c>
      <c r="G289" s="120">
        <f>VLOOKUP(C289,'RAW DATA 2023'!E:BO,26,0)</f>
        <v>0.36120656699999998</v>
      </c>
      <c r="H289" s="101">
        <f>IFERROR(VLOOKUP(F289,STD!B:G,6,0),"")</f>
        <v>0.37</v>
      </c>
      <c r="I289" s="100">
        <f t="shared" si="26"/>
        <v>0.9762339648648648</v>
      </c>
      <c r="J289" s="249">
        <f t="shared" si="28"/>
        <v>9.5246792972972969</v>
      </c>
      <c r="K289" s="63">
        <f>VLOOKUP(C289,'RAW DATA 2023'!E:BO,20,0)</f>
        <v>97</v>
      </c>
      <c r="L289" s="322">
        <f t="shared" si="29"/>
        <v>923.89389183783783</v>
      </c>
      <c r="M289" s="63"/>
      <c r="Y289" s="63" t="str">
        <f t="shared" si="27"/>
        <v>B1-I01-009612</v>
      </c>
    </row>
    <row r="290" spans="1:25">
      <c r="A290" s="63" t="str">
        <f>'RAW DATA 2023'!B283</f>
        <v>Roiphet1</v>
      </c>
      <c r="B290" s="63" t="str">
        <f>'RAW DATA 2023'!D283</f>
        <v>B4-I07-0088</v>
      </c>
      <c r="C290" s="63" t="str">
        <f t="shared" si="24"/>
        <v>Roiphet1B4-I07-0088</v>
      </c>
      <c r="D290" s="63">
        <f>VLOOKUP(C290,'RAW DATA 2023'!E:BP,63,0)</f>
        <v>3</v>
      </c>
      <c r="E290" s="63" t="str">
        <f t="shared" si="25"/>
        <v>Roiphet13</v>
      </c>
      <c r="F290" s="63">
        <f>ROUND(VLOOKUP(C290,'RAW DATA 2023'!E:BO,23,0),0)</f>
        <v>36</v>
      </c>
      <c r="G290" s="120">
        <f>VLOOKUP(C290,'RAW DATA 2023'!E:BO,26,0)</f>
        <v>0.35560546199999998</v>
      </c>
      <c r="H290" s="101">
        <f>IFERROR(VLOOKUP(F290,STD!B:G,6,0),"")</f>
        <v>0.36</v>
      </c>
      <c r="I290" s="100">
        <f t="shared" si="26"/>
        <v>0.98779295</v>
      </c>
      <c r="J290" s="249">
        <f t="shared" si="28"/>
        <v>9.7558590000000009</v>
      </c>
      <c r="K290" s="63">
        <f>VLOOKUP(C290,'RAW DATA 2023'!E:BO,20,0)</f>
        <v>121</v>
      </c>
      <c r="L290" s="322">
        <f t="shared" si="29"/>
        <v>1180.4589390000001</v>
      </c>
      <c r="M290" s="63"/>
      <c r="Y290" s="63" t="str">
        <f t="shared" si="27"/>
        <v>B4-I07-00883</v>
      </c>
    </row>
    <row r="291" spans="1:25">
      <c r="A291" s="63" t="str">
        <f>'RAW DATA 2023'!B284</f>
        <v>Roiphet1</v>
      </c>
      <c r="B291" s="63" t="str">
        <f>'RAW DATA 2023'!D284</f>
        <v>B5-G09-0084</v>
      </c>
      <c r="C291" s="63" t="str">
        <f t="shared" si="24"/>
        <v>Roiphet1B5-G09-0084</v>
      </c>
      <c r="D291" s="63">
        <f>VLOOKUP(C291,'RAW DATA 2023'!E:BP,63,0)</f>
        <v>5</v>
      </c>
      <c r="E291" s="63" t="str">
        <f t="shared" si="25"/>
        <v>Roiphet15</v>
      </c>
      <c r="F291" s="63">
        <f>ROUND(VLOOKUP(C291,'RAW DATA 2023'!E:BO,23,0),0)</f>
        <v>35</v>
      </c>
      <c r="G291" s="120">
        <f>VLOOKUP(C291,'RAW DATA 2023'!E:BO,26,0)</f>
        <v>0.35474712600000002</v>
      </c>
      <c r="H291" s="101">
        <f>IFERROR(VLOOKUP(F291,STD!B:G,6,0),"")</f>
        <v>0.37</v>
      </c>
      <c r="I291" s="100">
        <f t="shared" si="26"/>
        <v>0.95877601621621633</v>
      </c>
      <c r="J291" s="249">
        <f t="shared" si="28"/>
        <v>9.1755203243243262</v>
      </c>
      <c r="K291" s="63">
        <f>VLOOKUP(C291,'RAW DATA 2023'!E:BO,20,0)</f>
        <v>116</v>
      </c>
      <c r="L291" s="322">
        <f t="shared" si="29"/>
        <v>1064.3603576216219</v>
      </c>
      <c r="M291" s="63"/>
      <c r="Y291" s="63" t="str">
        <f t="shared" si="27"/>
        <v>B5-G09-00845</v>
      </c>
    </row>
    <row r="292" spans="1:25">
      <c r="A292" s="63" t="str">
        <f>'RAW DATA 2023'!B285</f>
        <v>Roiphet1</v>
      </c>
      <c r="B292" s="63" t="str">
        <f>'RAW DATA 2023'!D285</f>
        <v>B1-G01-0085</v>
      </c>
      <c r="C292" s="63" t="str">
        <f t="shared" si="24"/>
        <v>Roiphet1B1-G01-0085</v>
      </c>
      <c r="D292" s="63">
        <f>VLOOKUP(C292,'RAW DATA 2023'!E:BP,63,0)</f>
        <v>12</v>
      </c>
      <c r="E292" s="63" t="str">
        <f t="shared" si="25"/>
        <v>Roiphet112</v>
      </c>
      <c r="F292" s="63">
        <f>ROUND(VLOOKUP(C292,'RAW DATA 2023'!E:BO,23,0),0)</f>
        <v>38</v>
      </c>
      <c r="G292" s="120">
        <f>VLOOKUP(C292,'RAW DATA 2023'!E:BO,26,0)</f>
        <v>0.35441451600000001</v>
      </c>
      <c r="H292" s="101">
        <f>IFERROR(VLOOKUP(F292,STD!B:G,6,0),"")</f>
        <v>0.37</v>
      </c>
      <c r="I292" s="100">
        <f t="shared" si="26"/>
        <v>0.95787707027027036</v>
      </c>
      <c r="J292" s="249">
        <f t="shared" si="28"/>
        <v>9.1575414054054072</v>
      </c>
      <c r="K292" s="63">
        <f>VLOOKUP(C292,'RAW DATA 2023'!E:BO,20,0)</f>
        <v>99</v>
      </c>
      <c r="L292" s="322">
        <f t="shared" si="29"/>
        <v>906.59659913513531</v>
      </c>
      <c r="M292" s="63"/>
      <c r="Y292" s="63" t="str">
        <f t="shared" si="27"/>
        <v>B1-G01-008512</v>
      </c>
    </row>
    <row r="293" spans="1:25">
      <c r="A293" s="63" t="str">
        <f>'RAW DATA 2023'!B286</f>
        <v>Roiphet1</v>
      </c>
      <c r="B293" s="63" t="str">
        <f>'RAW DATA 2023'!D286</f>
        <v>B6-I11-0083</v>
      </c>
      <c r="C293" s="63" t="str">
        <f t="shared" si="24"/>
        <v>Roiphet1B6-I11-0083</v>
      </c>
      <c r="D293" s="63">
        <f>VLOOKUP(C293,'RAW DATA 2023'!E:BP,63,0)</f>
        <v>6</v>
      </c>
      <c r="E293" s="63" t="str">
        <f t="shared" si="25"/>
        <v>Roiphet16</v>
      </c>
      <c r="F293" s="63">
        <f>ROUND(VLOOKUP(C293,'RAW DATA 2023'!E:BO,23,0),0)</f>
        <v>38</v>
      </c>
      <c r="G293" s="120">
        <f>VLOOKUP(C293,'RAW DATA 2023'!E:BO,26,0)</f>
        <v>0.34954738299999999</v>
      </c>
      <c r="H293" s="101">
        <f>IFERROR(VLOOKUP(F293,STD!B:G,6,0),"")</f>
        <v>0.37</v>
      </c>
      <c r="I293" s="100">
        <f t="shared" si="26"/>
        <v>0.94472265675675671</v>
      </c>
      <c r="J293" s="249">
        <f t="shared" si="28"/>
        <v>8.8944531351351337</v>
      </c>
      <c r="K293" s="63">
        <f>VLOOKUP(C293,'RAW DATA 2023'!E:BO,20,0)</f>
        <v>101</v>
      </c>
      <c r="L293" s="322">
        <f t="shared" si="29"/>
        <v>898.33976664864849</v>
      </c>
      <c r="M293" s="63"/>
      <c r="Y293" s="63" t="str">
        <f t="shared" si="27"/>
        <v>B6-I11-00836</v>
      </c>
    </row>
    <row r="294" spans="1:25">
      <c r="A294" s="63" t="str">
        <f>'RAW DATA 2023'!B287</f>
        <v>Roiphet1</v>
      </c>
      <c r="B294" s="63" t="str">
        <f>'RAW DATA 2023'!D287</f>
        <v>B5-I09-0094</v>
      </c>
      <c r="C294" s="63" t="str">
        <f t="shared" si="24"/>
        <v>Roiphet1B5-I09-0094</v>
      </c>
      <c r="D294" s="63">
        <f>VLOOKUP(C294,'RAW DATA 2023'!E:BP,63,0)</f>
        <v>7</v>
      </c>
      <c r="E294" s="63" t="str">
        <f t="shared" si="25"/>
        <v>Roiphet17</v>
      </c>
      <c r="F294" s="63">
        <f>ROUND(VLOOKUP(C294,'RAW DATA 2023'!E:BO,23,0),0)</f>
        <v>57</v>
      </c>
      <c r="G294" s="120">
        <f>VLOOKUP(C294,'RAW DATA 2023'!E:BO,26,0)</f>
        <v>0.34833333300000002</v>
      </c>
      <c r="H294" s="101">
        <f>IFERROR(VLOOKUP(F294,STD!B:G,6,0),"")</f>
        <v>0.36</v>
      </c>
      <c r="I294" s="100">
        <f t="shared" si="26"/>
        <v>0.96759259166666678</v>
      </c>
      <c r="J294" s="249">
        <f t="shared" si="28"/>
        <v>9.3518518333333347</v>
      </c>
      <c r="K294" s="63">
        <f>VLOOKUP(C294,'RAW DATA 2023'!E:BO,20,0)</f>
        <v>58</v>
      </c>
      <c r="L294" s="322">
        <f t="shared" si="29"/>
        <v>542.40740633333337</v>
      </c>
      <c r="M294" s="63"/>
      <c r="Y294" s="63" t="str">
        <f t="shared" si="27"/>
        <v>B5-I09-00947</v>
      </c>
    </row>
    <row r="295" spans="1:25">
      <c r="A295" s="63" t="str">
        <f>'RAW DATA 2023'!B288</f>
        <v>Roiphet1</v>
      </c>
      <c r="B295" s="63" t="str">
        <f>'RAW DATA 2023'!D288</f>
        <v>B5-G09-0085</v>
      </c>
      <c r="C295" s="63" t="str">
        <f t="shared" si="24"/>
        <v>Roiphet1B5-G09-0085</v>
      </c>
      <c r="D295" s="63">
        <f>VLOOKUP(C295,'RAW DATA 2023'!E:BP,63,0)</f>
        <v>7</v>
      </c>
      <c r="E295" s="63" t="str">
        <f t="shared" si="25"/>
        <v>Roiphet17</v>
      </c>
      <c r="F295" s="63">
        <f>ROUND(VLOOKUP(C295,'RAW DATA 2023'!E:BO,23,0),0)</f>
        <v>55</v>
      </c>
      <c r="G295" s="120">
        <f>VLOOKUP(C295,'RAW DATA 2023'!E:BO,26,0)</f>
        <v>0.345892857</v>
      </c>
      <c r="H295" s="101">
        <f>IFERROR(VLOOKUP(F295,STD!B:G,6,0),"")</f>
        <v>0.36</v>
      </c>
      <c r="I295" s="100">
        <f t="shared" si="26"/>
        <v>0.96081349166666674</v>
      </c>
      <c r="J295" s="249">
        <f t="shared" si="28"/>
        <v>9.2162698333333353</v>
      </c>
      <c r="K295" s="63">
        <f>VLOOKUP(C295,'RAW DATA 2023'!E:BO,20,0)</f>
        <v>56</v>
      </c>
      <c r="L295" s="322">
        <f t="shared" si="29"/>
        <v>516.11111066666672</v>
      </c>
      <c r="M295" s="63"/>
      <c r="Y295" s="63" t="str">
        <f t="shared" si="27"/>
        <v>B5-G09-00857</v>
      </c>
    </row>
    <row r="296" spans="1:25">
      <c r="A296" s="63" t="str">
        <f>'RAW DATA 2023'!B289</f>
        <v>Roiphet1</v>
      </c>
      <c r="B296" s="63" t="str">
        <f>'RAW DATA 2023'!D289</f>
        <v>B2-I03-0095</v>
      </c>
      <c r="C296" s="63" t="str">
        <f t="shared" si="24"/>
        <v>Roiphet1B2-I03-0095</v>
      </c>
      <c r="D296" s="63">
        <f>VLOOKUP(C296,'RAW DATA 2023'!E:BP,63,0)</f>
        <v>6</v>
      </c>
      <c r="E296" s="63" t="str">
        <f t="shared" si="25"/>
        <v>Roiphet16</v>
      </c>
      <c r="F296" s="63">
        <f>ROUND(VLOOKUP(C296,'RAW DATA 2023'!E:BO,23,0),0)</f>
        <v>42</v>
      </c>
      <c r="G296" s="120">
        <f>VLOOKUP(C296,'RAW DATA 2023'!E:BO,26,0)</f>
        <v>0.343188153</v>
      </c>
      <c r="H296" s="101">
        <f>IFERROR(VLOOKUP(F296,STD!B:G,6,0),"")</f>
        <v>0.37</v>
      </c>
      <c r="I296" s="100">
        <f t="shared" si="26"/>
        <v>0.92753554864864862</v>
      </c>
      <c r="J296" s="249">
        <f t="shared" si="28"/>
        <v>8.550710972972972</v>
      </c>
      <c r="K296" s="63">
        <f>VLOOKUP(C296,'RAW DATA 2023'!E:BO,20,0)</f>
        <v>82</v>
      </c>
      <c r="L296" s="322">
        <f t="shared" si="29"/>
        <v>701.15829978378372</v>
      </c>
      <c r="M296" s="63"/>
      <c r="Y296" s="63" t="str">
        <f t="shared" si="27"/>
        <v>B2-I03-00956</v>
      </c>
    </row>
    <row r="297" spans="1:25">
      <c r="A297" s="63" t="str">
        <f>'RAW DATA 2023'!B290</f>
        <v>Roiphet1</v>
      </c>
      <c r="B297" s="63" t="str">
        <f>'RAW DATA 2023'!D290</f>
        <v>B3-G05-0092</v>
      </c>
      <c r="C297" s="63" t="str">
        <f t="shared" si="24"/>
        <v>Roiphet1B3-G05-0092</v>
      </c>
      <c r="D297" s="63">
        <f>VLOOKUP(C297,'RAW DATA 2023'!E:BP,63,0)</f>
        <v>5</v>
      </c>
      <c r="E297" s="63" t="str">
        <f t="shared" si="25"/>
        <v>Roiphet15</v>
      </c>
      <c r="F297" s="63">
        <f>ROUND(VLOOKUP(C297,'RAW DATA 2023'!E:BO,23,0),0)</f>
        <v>32</v>
      </c>
      <c r="G297" s="120">
        <f>VLOOKUP(C297,'RAW DATA 2023'!E:BO,26,0)</f>
        <v>0.341873278</v>
      </c>
      <c r="H297" s="101">
        <f>IFERROR(VLOOKUP(F297,STD!B:G,6,0),"")</f>
        <v>0.39</v>
      </c>
      <c r="I297" s="100">
        <f t="shared" si="26"/>
        <v>0.87659814871794872</v>
      </c>
      <c r="J297" s="249">
        <f t="shared" si="28"/>
        <v>7.531962974358974</v>
      </c>
      <c r="K297" s="63">
        <f>VLOOKUP(C297,'RAW DATA 2023'!E:BO,20,0)</f>
        <v>121</v>
      </c>
      <c r="L297" s="322">
        <f t="shared" si="29"/>
        <v>911.36751989743584</v>
      </c>
      <c r="M297" s="63"/>
      <c r="Y297" s="63" t="str">
        <f t="shared" si="27"/>
        <v>B3-G05-00925</v>
      </c>
    </row>
    <row r="298" spans="1:25">
      <c r="A298" s="63" t="str">
        <f>'RAW DATA 2023'!B291</f>
        <v>Roiphet1</v>
      </c>
      <c r="B298" s="63" t="str">
        <f>'RAW DATA 2023'!D291</f>
        <v>B3-G06-0081</v>
      </c>
      <c r="C298" s="63" t="str">
        <f t="shared" si="24"/>
        <v>Roiphet1B3-G06-0081</v>
      </c>
      <c r="D298" s="63">
        <f>VLOOKUP(C298,'RAW DATA 2023'!E:BP,63,0)</f>
        <v>6</v>
      </c>
      <c r="E298" s="63" t="str">
        <f t="shared" si="25"/>
        <v>Roiphet16</v>
      </c>
      <c r="F298" s="63">
        <f>ROUND(VLOOKUP(C298,'RAW DATA 2023'!E:BO,23,0),0)</f>
        <v>37</v>
      </c>
      <c r="G298" s="120">
        <f>VLOOKUP(C298,'RAW DATA 2023'!E:BO,26,0)</f>
        <v>0.33214046800000002</v>
      </c>
      <c r="H298" s="101">
        <f>IFERROR(VLOOKUP(F298,STD!B:G,6,0),"")</f>
        <v>0.37</v>
      </c>
      <c r="I298" s="100">
        <f t="shared" si="26"/>
        <v>0.89767694054054059</v>
      </c>
      <c r="J298" s="249">
        <f t="shared" si="28"/>
        <v>7.9535388108108123</v>
      </c>
      <c r="K298" s="63">
        <f>VLOOKUP(C298,'RAW DATA 2023'!E:BO,20,0)</f>
        <v>130</v>
      </c>
      <c r="L298" s="322">
        <f t="shared" si="29"/>
        <v>1033.9600454054057</v>
      </c>
      <c r="M298" s="63"/>
      <c r="Y298" s="63" t="str">
        <f t="shared" si="27"/>
        <v>B3-G06-00816</v>
      </c>
    </row>
    <row r="299" spans="1:25">
      <c r="A299" s="63" t="str">
        <f>'RAW DATA 2023'!B292</f>
        <v>Roiphet1</v>
      </c>
      <c r="B299" s="63" t="str">
        <f>'RAW DATA 2023'!D292</f>
        <v>B4-G08-0080</v>
      </c>
      <c r="C299" s="63" t="str">
        <f t="shared" si="24"/>
        <v>Roiphet1B4-G08-0080</v>
      </c>
      <c r="D299" s="63">
        <f>VLOOKUP(C299,'RAW DATA 2023'!E:BP,63,0)</f>
        <v>7</v>
      </c>
      <c r="E299" s="63" t="str">
        <f t="shared" si="25"/>
        <v>Roiphet17</v>
      </c>
      <c r="F299" s="63">
        <f>ROUND(VLOOKUP(C299,'RAW DATA 2023'!E:BO,23,0),0)</f>
        <v>40</v>
      </c>
      <c r="G299" s="120">
        <f>VLOOKUP(C299,'RAW DATA 2023'!E:BO,26,0)</f>
        <v>0.32910547400000001</v>
      </c>
      <c r="H299" s="101">
        <f>IFERROR(VLOOKUP(F299,STD!B:G,6,0),"")</f>
        <v>0.37</v>
      </c>
      <c r="I299" s="100">
        <f t="shared" si="26"/>
        <v>0.88947425405405411</v>
      </c>
      <c r="J299" s="249">
        <f t="shared" si="28"/>
        <v>7.7894850810810823</v>
      </c>
      <c r="K299" s="63">
        <f>VLOOKUP(C299,'RAW DATA 2023'!E:BO,20,0)</f>
        <v>107</v>
      </c>
      <c r="L299" s="322">
        <f t="shared" si="29"/>
        <v>833.47490367567582</v>
      </c>
      <c r="M299" s="63"/>
      <c r="Y299" s="63" t="str">
        <f t="shared" si="27"/>
        <v>B4-G08-00807</v>
      </c>
    </row>
    <row r="300" spans="1:25">
      <c r="A300" s="63" t="str">
        <f>'RAW DATA 2023'!B293</f>
        <v>Roiphet1</v>
      </c>
      <c r="B300" s="63" t="str">
        <f>'RAW DATA 2023'!D293</f>
        <v>B4-I07-0089</v>
      </c>
      <c r="C300" s="63" t="str">
        <f t="shared" si="24"/>
        <v>Roiphet1B4-I07-0089</v>
      </c>
      <c r="D300" s="63">
        <f>VLOOKUP(C300,'RAW DATA 2023'!E:BP,63,0)</f>
        <v>7</v>
      </c>
      <c r="E300" s="63" t="str">
        <f t="shared" si="25"/>
        <v>Roiphet17</v>
      </c>
      <c r="F300" s="63">
        <f>ROUND(VLOOKUP(C300,'RAW DATA 2023'!E:BO,23,0),0)</f>
        <v>38</v>
      </c>
      <c r="G300" s="120">
        <f>VLOOKUP(C300,'RAW DATA 2023'!E:BO,26,0)</f>
        <v>0.32910547400000001</v>
      </c>
      <c r="H300" s="101">
        <f>IFERROR(VLOOKUP(F300,STD!B:G,6,0),"")</f>
        <v>0.37</v>
      </c>
      <c r="I300" s="100">
        <f t="shared" si="26"/>
        <v>0.88947425405405411</v>
      </c>
      <c r="J300" s="249">
        <f t="shared" si="28"/>
        <v>7.7894850810810823</v>
      </c>
      <c r="K300" s="63">
        <f>VLOOKUP(C300,'RAW DATA 2023'!E:BO,20,0)</f>
        <v>107</v>
      </c>
      <c r="L300" s="322">
        <f t="shared" si="29"/>
        <v>833.47490367567582</v>
      </c>
      <c r="M300" s="63"/>
      <c r="Y300" s="63" t="str">
        <f t="shared" si="27"/>
        <v>B4-I07-00897</v>
      </c>
    </row>
    <row r="301" spans="1:25">
      <c r="A301" s="63" t="str">
        <f>'RAW DATA 2023'!B294</f>
        <v>Roiphet1</v>
      </c>
      <c r="B301" s="63" t="str">
        <f>'RAW DATA 2023'!D294</f>
        <v>B3-I05-0092</v>
      </c>
      <c r="C301" s="63" t="str">
        <f t="shared" si="24"/>
        <v>Roiphet1B3-I05-0092</v>
      </c>
      <c r="D301" s="63">
        <f>VLOOKUP(C301,'RAW DATA 2023'!E:BP,63,0)</f>
        <v>5</v>
      </c>
      <c r="E301" s="63" t="str">
        <f t="shared" si="25"/>
        <v>Roiphet15</v>
      </c>
      <c r="F301" s="63">
        <f>ROUND(VLOOKUP(C301,'RAW DATA 2023'!E:BO,23,0),0)</f>
        <v>32</v>
      </c>
      <c r="G301" s="120">
        <f>VLOOKUP(C301,'RAW DATA 2023'!E:BO,26,0)</f>
        <v>0.31538461499999998</v>
      </c>
      <c r="H301" s="101">
        <f>IFERROR(VLOOKUP(F301,STD!B:G,6,0),"")</f>
        <v>0.39</v>
      </c>
      <c r="I301" s="100">
        <f t="shared" si="26"/>
        <v>0.80867849999999997</v>
      </c>
      <c r="J301" s="249">
        <f t="shared" si="28"/>
        <v>6.1735699999999998</v>
      </c>
      <c r="K301" s="63">
        <f>VLOOKUP(C301,'RAW DATA 2023'!E:BO,20,0)</f>
        <v>121</v>
      </c>
      <c r="L301" s="322">
        <f t="shared" si="29"/>
        <v>747.00197000000003</v>
      </c>
      <c r="M301" s="63"/>
      <c r="Y301" s="63" t="str">
        <f t="shared" si="27"/>
        <v>B3-I05-00925</v>
      </c>
    </row>
    <row r="302" spans="1:25">
      <c r="A302" s="63" t="str">
        <f>'RAW DATA 2023'!B295</f>
        <v>Roiphet1</v>
      </c>
      <c r="B302" s="63" t="str">
        <f>'RAW DATA 2023'!D295</f>
        <v>B4-G07-0077</v>
      </c>
      <c r="C302" s="63" t="str">
        <f t="shared" si="24"/>
        <v>Roiphet1B4-G07-0077</v>
      </c>
      <c r="D302" s="63">
        <f>VLOOKUP(C302,'RAW DATA 2023'!E:BP,63,0)</f>
        <v>7</v>
      </c>
      <c r="E302" s="63" t="str">
        <f t="shared" si="25"/>
        <v>Roiphet17</v>
      </c>
      <c r="F302" s="63">
        <f>ROUND(VLOOKUP(C302,'RAW DATA 2023'!E:BO,23,0),0)</f>
        <v>46</v>
      </c>
      <c r="G302" s="120">
        <f>VLOOKUP(C302,'RAW DATA 2023'!E:BO,26,0)</f>
        <v>0.31087919000000003</v>
      </c>
      <c r="H302" s="101">
        <f>IFERROR(VLOOKUP(F302,STD!B:G,6,0),"")</f>
        <v>0.36</v>
      </c>
      <c r="I302" s="100">
        <f t="shared" si="26"/>
        <v>0.86355330555555565</v>
      </c>
      <c r="J302" s="249">
        <f t="shared" si="28"/>
        <v>7.2710661111111126</v>
      </c>
      <c r="K302" s="63">
        <f>VLOOKUP(C302,'RAW DATA 2023'!E:BO,20,0)</f>
        <v>93.000000000000014</v>
      </c>
      <c r="L302" s="322">
        <f t="shared" si="29"/>
        <v>676.20914833333359</v>
      </c>
      <c r="M302" s="63"/>
      <c r="Y302" s="63" t="str">
        <f t="shared" si="27"/>
        <v>B4-G07-00777</v>
      </c>
    </row>
    <row r="303" spans="1:25">
      <c r="A303" s="63" t="str">
        <f>'RAW DATA 2023'!B296</f>
        <v>Roiphet1</v>
      </c>
      <c r="B303" s="63" t="str">
        <f>'RAW DATA 2023'!D296</f>
        <v>B6-I12-0087</v>
      </c>
      <c r="C303" s="63" t="str">
        <f t="shared" si="24"/>
        <v>Roiphet1B6-I12-0087</v>
      </c>
      <c r="D303" s="63">
        <f>VLOOKUP(C303,'RAW DATA 2023'!E:BP,63,0)</f>
        <v>8</v>
      </c>
      <c r="E303" s="63" t="str">
        <f t="shared" si="25"/>
        <v>Roiphet18</v>
      </c>
      <c r="F303" s="63">
        <f>ROUND(VLOOKUP(C303,'RAW DATA 2023'!E:BO,23,0),0)</f>
        <v>75</v>
      </c>
      <c r="G303" s="120">
        <f>VLOOKUP(C303,'RAW DATA 2023'!E:BO,26,0)</f>
        <v>0.30520325199999998</v>
      </c>
      <c r="H303" s="101">
        <f>IFERROR(VLOOKUP(F303,STD!B:G,6,0),"")</f>
        <v>0.34</v>
      </c>
      <c r="I303" s="100">
        <f t="shared" si="26"/>
        <v>0.89765662352941167</v>
      </c>
      <c r="J303" s="249">
        <f t="shared" si="28"/>
        <v>7.9531324705882334</v>
      </c>
      <c r="K303" s="63">
        <f>VLOOKUP(C303,'RAW DATA 2023'!E:BO,20,0)</f>
        <v>41</v>
      </c>
      <c r="L303" s="322">
        <f t="shared" si="29"/>
        <v>326.07843129411759</v>
      </c>
      <c r="M303" s="63"/>
      <c r="Y303" s="63" t="str">
        <f t="shared" si="27"/>
        <v>B6-I12-00878</v>
      </c>
    </row>
    <row r="304" spans="1:25">
      <c r="A304" s="63" t="str">
        <f>'RAW DATA 2023'!B297</f>
        <v>Roiphet1</v>
      </c>
      <c r="B304" s="63" t="str">
        <f>'RAW DATA 2023'!D297</f>
        <v>B1-I02-0095</v>
      </c>
      <c r="C304" s="63" t="str">
        <f t="shared" si="24"/>
        <v>Roiphet1B1-I02-0095</v>
      </c>
      <c r="D304" s="63">
        <f>VLOOKUP(C304,'RAW DATA 2023'!E:BP,63,0)</f>
        <v>6</v>
      </c>
      <c r="E304" s="63" t="str">
        <f t="shared" si="25"/>
        <v>Roiphet16</v>
      </c>
      <c r="F304" s="63">
        <f>ROUND(VLOOKUP(C304,'RAW DATA 2023'!E:BO,23,0),0)</f>
        <v>39</v>
      </c>
      <c r="G304" s="120">
        <f>VLOOKUP(C304,'RAW DATA 2023'!E:BO,26,0)</f>
        <v>0.30411255399999998</v>
      </c>
      <c r="H304" s="101">
        <f>IFERROR(VLOOKUP(F304,STD!B:G,6,0),"")</f>
        <v>0.37</v>
      </c>
      <c r="I304" s="100">
        <f t="shared" si="26"/>
        <v>0.82192582162162153</v>
      </c>
      <c r="J304" s="249">
        <f t="shared" si="28"/>
        <v>6.4385164324324311</v>
      </c>
      <c r="K304" s="63">
        <f>VLOOKUP(C304,'RAW DATA 2023'!E:BO,20,0)</f>
        <v>98</v>
      </c>
      <c r="L304" s="322">
        <f t="shared" si="29"/>
        <v>630.9746103783782</v>
      </c>
      <c r="M304" s="63"/>
      <c r="Y304" s="63" t="str">
        <f t="shared" si="27"/>
        <v>B1-I02-00956</v>
      </c>
    </row>
    <row r="305" spans="1:25">
      <c r="A305" s="63" t="str">
        <f>'RAW DATA 2023'!B298</f>
        <v>Roiphet1</v>
      </c>
      <c r="B305" s="63" t="str">
        <f>'RAW DATA 2023'!D298</f>
        <v>B1-G01-0084</v>
      </c>
      <c r="C305" s="63" t="str">
        <f t="shared" si="24"/>
        <v>Roiphet1B1-G01-0084</v>
      </c>
      <c r="D305" s="63">
        <f>VLOOKUP(C305,'RAW DATA 2023'!E:BP,63,0)</f>
        <v>6</v>
      </c>
      <c r="E305" s="63" t="str">
        <f t="shared" si="25"/>
        <v>Roiphet16</v>
      </c>
      <c r="F305" s="63">
        <f>ROUND(VLOOKUP(C305,'RAW DATA 2023'!E:BO,23,0),0)</f>
        <v>44</v>
      </c>
      <c r="G305" s="120">
        <f>VLOOKUP(C305,'RAW DATA 2023'!E:BO,26,0)</f>
        <v>0.29917076199999998</v>
      </c>
      <c r="H305" s="101">
        <f>IFERROR(VLOOKUP(F305,STD!B:G,6,0),"")</f>
        <v>0.37</v>
      </c>
      <c r="I305" s="100">
        <f t="shared" si="26"/>
        <v>0.80856962702702695</v>
      </c>
      <c r="J305" s="249">
        <f t="shared" si="28"/>
        <v>6.1713925405405394</v>
      </c>
      <c r="K305" s="63">
        <f>VLOOKUP(C305,'RAW DATA 2023'!E:BO,20,0)</f>
        <v>88</v>
      </c>
      <c r="L305" s="322">
        <f t="shared" si="29"/>
        <v>543.08254356756743</v>
      </c>
      <c r="M305" s="63"/>
      <c r="Y305" s="63" t="str">
        <f t="shared" si="27"/>
        <v>B1-G01-00846</v>
      </c>
    </row>
    <row r="306" spans="1:25">
      <c r="A306" s="63" t="str">
        <f>'RAW DATA 2023'!B299</f>
        <v>Roiphet1</v>
      </c>
      <c r="B306" s="63" t="str">
        <f>'RAW DATA 2023'!D299</f>
        <v>B3-I05-0093</v>
      </c>
      <c r="C306" s="63" t="str">
        <f t="shared" si="24"/>
        <v>Roiphet1B3-I05-0093</v>
      </c>
      <c r="D306" s="63">
        <f>VLOOKUP(C306,'RAW DATA 2023'!E:BP,63,0)</f>
        <v>8</v>
      </c>
      <c r="E306" s="63" t="str">
        <f t="shared" si="25"/>
        <v>Roiphet18</v>
      </c>
      <c r="F306" s="63">
        <f>ROUND(VLOOKUP(C306,'RAW DATA 2023'!E:BO,23,0),0)</f>
        <v>71</v>
      </c>
      <c r="G306" s="120">
        <f>VLOOKUP(C306,'RAW DATA 2023'!E:BO,26,0)</f>
        <v>0.29289999999999999</v>
      </c>
      <c r="H306" s="101">
        <f>IFERROR(VLOOKUP(F306,STD!B:G,6,0),"")</f>
        <v>0.35</v>
      </c>
      <c r="I306" s="100">
        <f t="shared" si="26"/>
        <v>0.83685714285714285</v>
      </c>
      <c r="J306" s="249">
        <f t="shared" si="28"/>
        <v>6.7371428571428567</v>
      </c>
      <c r="K306" s="63">
        <f>VLOOKUP(C306,'RAW DATA 2023'!E:BO,20,0)</f>
        <v>50</v>
      </c>
      <c r="L306" s="322">
        <f t="shared" si="29"/>
        <v>336.85714285714283</v>
      </c>
      <c r="M306" s="63"/>
      <c r="Y306" s="63" t="str">
        <f t="shared" si="27"/>
        <v>B3-I05-00938</v>
      </c>
    </row>
    <row r="307" spans="1:25">
      <c r="A307" s="63" t="str">
        <f>'RAW DATA 2023'!B300</f>
        <v>Roiphet1</v>
      </c>
      <c r="B307" s="63" t="str">
        <f>'RAW DATA 2023'!D300</f>
        <v>B5-G10-0084</v>
      </c>
      <c r="C307" s="63" t="str">
        <f t="shared" si="24"/>
        <v>Roiphet1B5-G10-0084</v>
      </c>
      <c r="D307" s="63">
        <f>VLOOKUP(C307,'RAW DATA 2023'!E:BP,63,0)</f>
        <v>7</v>
      </c>
      <c r="E307" s="63" t="str">
        <f t="shared" si="25"/>
        <v>Roiphet17</v>
      </c>
      <c r="F307" s="63">
        <f>ROUND(VLOOKUP(C307,'RAW DATA 2023'!E:BO,23,0),0)</f>
        <v>61</v>
      </c>
      <c r="G307" s="120">
        <f>VLOOKUP(C307,'RAW DATA 2023'!E:BO,26,0)</f>
        <v>0.29177058099999997</v>
      </c>
      <c r="H307" s="101">
        <f>IFERROR(VLOOKUP(F307,STD!B:G,6,0),"")</f>
        <v>0.36</v>
      </c>
      <c r="I307" s="100">
        <f t="shared" si="26"/>
        <v>0.81047383611111101</v>
      </c>
      <c r="J307" s="249">
        <f t="shared" si="28"/>
        <v>6.2094767222222202</v>
      </c>
      <c r="K307" s="63">
        <f>VLOOKUP(C307,'RAW DATA 2023'!E:BO,20,0)</f>
        <v>56.000000000000007</v>
      </c>
      <c r="L307" s="322">
        <f t="shared" si="29"/>
        <v>347.73069644444439</v>
      </c>
      <c r="M307" s="63"/>
      <c r="Y307" s="63" t="str">
        <f t="shared" si="27"/>
        <v>B5-G10-00847</v>
      </c>
    </row>
    <row r="308" spans="1:25">
      <c r="A308" s="63" t="str">
        <f>'RAW DATA 2023'!B301</f>
        <v>Roiphet1</v>
      </c>
      <c r="B308" s="63" t="str">
        <f>'RAW DATA 2023'!D301</f>
        <v>B6-I11-0084</v>
      </c>
      <c r="C308" s="63" t="str">
        <f t="shared" si="24"/>
        <v>Roiphet1B6-I11-0084</v>
      </c>
      <c r="D308" s="63">
        <f>VLOOKUP(C308,'RAW DATA 2023'!E:BP,63,0)</f>
        <v>8</v>
      </c>
      <c r="E308" s="63" t="str">
        <f t="shared" si="25"/>
        <v>Roiphet18</v>
      </c>
      <c r="F308" s="63">
        <f>ROUND(VLOOKUP(C308,'RAW DATA 2023'!E:BO,23,0),0)</f>
        <v>78</v>
      </c>
      <c r="G308" s="120">
        <f>VLOOKUP(C308,'RAW DATA 2023'!E:BO,26,0)</f>
        <v>0.285726496</v>
      </c>
      <c r="H308" s="101">
        <f>IFERROR(VLOOKUP(F308,STD!B:G,6,0),"")</f>
        <v>0.34</v>
      </c>
      <c r="I308" s="100">
        <f t="shared" si="26"/>
        <v>0.84037204705882351</v>
      </c>
      <c r="J308" s="249">
        <f t="shared" si="28"/>
        <v>6.8074409411764698</v>
      </c>
      <c r="K308" s="63">
        <f>VLOOKUP(C308,'RAW DATA 2023'!E:BO,20,0)</f>
        <v>42</v>
      </c>
      <c r="L308" s="322">
        <f t="shared" si="29"/>
        <v>285.91251952941172</v>
      </c>
      <c r="M308" s="63"/>
      <c r="Y308" s="63" t="str">
        <f t="shared" si="27"/>
        <v>B6-I11-00848</v>
      </c>
    </row>
    <row r="309" spans="1:25">
      <c r="A309" s="63" t="str">
        <f>'RAW DATA 2023'!B302</f>
        <v>Roiphet1</v>
      </c>
      <c r="B309" s="63" t="str">
        <f>'RAW DATA 2023'!D302</f>
        <v>B3-G06-0082</v>
      </c>
      <c r="C309" s="63" t="str">
        <f t="shared" si="24"/>
        <v>Roiphet1B3-G06-0082</v>
      </c>
      <c r="D309" s="63">
        <f>VLOOKUP(C309,'RAW DATA 2023'!E:BP,63,0)</f>
        <v>8</v>
      </c>
      <c r="E309" s="63" t="str">
        <f t="shared" si="25"/>
        <v>Roiphet18</v>
      </c>
      <c r="F309" s="63">
        <f>ROUND(VLOOKUP(C309,'RAW DATA 2023'!E:BO,23,0),0)</f>
        <v>72</v>
      </c>
      <c r="G309" s="120">
        <f>VLOOKUP(C309,'RAW DATA 2023'!E:BO,26,0)</f>
        <v>0.28114045599999998</v>
      </c>
      <c r="H309" s="101">
        <f>IFERROR(VLOOKUP(F309,STD!B:G,6,0),"")</f>
        <v>0.35</v>
      </c>
      <c r="I309" s="100">
        <f t="shared" si="26"/>
        <v>0.80325844571428573</v>
      </c>
      <c r="J309" s="249">
        <f t="shared" si="28"/>
        <v>6.0651689142857146</v>
      </c>
      <c r="K309" s="63">
        <f>VLOOKUP(C309,'RAW DATA 2023'!E:BO,20,0)</f>
        <v>49</v>
      </c>
      <c r="L309" s="322">
        <f t="shared" si="29"/>
        <v>297.19327680000004</v>
      </c>
      <c r="M309" s="63"/>
      <c r="Y309" s="63" t="str">
        <f t="shared" si="27"/>
        <v>B3-G06-00828</v>
      </c>
    </row>
    <row r="310" spans="1:25">
      <c r="A310" s="63" t="str">
        <f>'RAW DATA 2023'!B303</f>
        <v>Roiphet1</v>
      </c>
      <c r="B310" s="63" t="str">
        <f>'RAW DATA 2023'!D303</f>
        <v>B2-G03-0080</v>
      </c>
      <c r="C310" s="63" t="str">
        <f t="shared" si="24"/>
        <v>Roiphet1B2-G03-0080</v>
      </c>
      <c r="D310" s="63">
        <f>VLOOKUP(C310,'RAW DATA 2023'!E:BP,63,0)</f>
        <v>6</v>
      </c>
      <c r="E310" s="63" t="str">
        <f t="shared" si="25"/>
        <v>Roiphet16</v>
      </c>
      <c r="F310" s="63">
        <f>ROUND(VLOOKUP(C310,'RAW DATA 2023'!E:BO,23,0),0)</f>
        <v>50</v>
      </c>
      <c r="G310" s="120">
        <f>VLOOKUP(C310,'RAW DATA 2023'!E:BO,26,0)</f>
        <v>0.27836358500000002</v>
      </c>
      <c r="H310" s="101">
        <f>IFERROR(VLOOKUP(F310,STD!B:G,6,0),"")</f>
        <v>0.36</v>
      </c>
      <c r="I310" s="100">
        <f t="shared" si="26"/>
        <v>0.77323218055555565</v>
      </c>
      <c r="J310" s="249">
        <f t="shared" si="28"/>
        <v>5.4646436111111125</v>
      </c>
      <c r="K310" s="63">
        <f>VLOOKUP(C310,'RAW DATA 2023'!E:BO,20,0)</f>
        <v>82</v>
      </c>
      <c r="L310" s="322">
        <f t="shared" si="29"/>
        <v>448.1007761111112</v>
      </c>
      <c r="M310" s="63"/>
      <c r="Y310" s="63" t="str">
        <f t="shared" si="27"/>
        <v>B2-G03-00806</v>
      </c>
    </row>
    <row r="311" spans="1:25">
      <c r="A311" s="63" t="str">
        <f>'RAW DATA 2023'!B304</f>
        <v>Roiphet1</v>
      </c>
      <c r="B311" s="63" t="str">
        <f>'RAW DATA 2023'!D304</f>
        <v>B3-I06-0094</v>
      </c>
      <c r="C311" s="63" t="str">
        <f t="shared" si="24"/>
        <v>Roiphet1B3-I06-0094</v>
      </c>
      <c r="D311" s="63">
        <f>VLOOKUP(C311,'RAW DATA 2023'!E:BP,63,0)</f>
        <v>6</v>
      </c>
      <c r="E311" s="63" t="str">
        <f t="shared" si="25"/>
        <v>Roiphet16</v>
      </c>
      <c r="F311" s="63">
        <f>ROUND(VLOOKUP(C311,'RAW DATA 2023'!E:BO,23,0),0)</f>
        <v>36</v>
      </c>
      <c r="G311" s="120">
        <f>VLOOKUP(C311,'RAW DATA 2023'!E:BO,26,0)</f>
        <v>0.276674107</v>
      </c>
      <c r="H311" s="101">
        <f>IFERROR(VLOOKUP(F311,STD!B:G,6,0),"")</f>
        <v>0.36</v>
      </c>
      <c r="I311" s="100">
        <f t="shared" si="26"/>
        <v>0.76853918611111116</v>
      </c>
      <c r="J311" s="249">
        <f t="shared" si="28"/>
        <v>5.3707837222222228</v>
      </c>
      <c r="K311" s="63">
        <f>VLOOKUP(C311,'RAW DATA 2023'!E:BO,20,0)</f>
        <v>128</v>
      </c>
      <c r="L311" s="322">
        <f t="shared" si="29"/>
        <v>687.46031644444452</v>
      </c>
      <c r="M311" s="63"/>
      <c r="Y311" s="63" t="str">
        <f t="shared" si="27"/>
        <v>B3-I06-00946</v>
      </c>
    </row>
    <row r="312" spans="1:25">
      <c r="A312" s="63" t="str">
        <f>'RAW DATA 2023'!B305</f>
        <v>Roiphet1</v>
      </c>
      <c r="B312" s="63" t="str">
        <f>'RAW DATA 2023'!D305</f>
        <v>B5-I09-0095</v>
      </c>
      <c r="C312" s="63" t="str">
        <f t="shared" si="24"/>
        <v>Roiphet1B5-I09-0095</v>
      </c>
      <c r="D312" s="63">
        <f>VLOOKUP(C312,'RAW DATA 2023'!E:BP,63,0)</f>
        <v>11</v>
      </c>
      <c r="E312" s="63" t="str">
        <f t="shared" si="25"/>
        <v>Roiphet111</v>
      </c>
      <c r="F312" s="63">
        <f>ROUND(VLOOKUP(C312,'RAW DATA 2023'!E:BO,23,0),0)</f>
        <v>71</v>
      </c>
      <c r="G312" s="120">
        <f>VLOOKUP(C312,'RAW DATA 2023'!E:BO,26,0)</f>
        <v>0.24747162</v>
      </c>
      <c r="H312" s="101">
        <f>IFERROR(VLOOKUP(F312,STD!B:G,6,0),"")</f>
        <v>0.35</v>
      </c>
      <c r="I312" s="100">
        <f t="shared" si="26"/>
        <v>0.70706177142857152</v>
      </c>
      <c r="J312" s="249">
        <f t="shared" si="28"/>
        <v>4.1412354285714308</v>
      </c>
      <c r="K312" s="63">
        <f>VLOOKUP(C312,'RAW DATA 2023'!E:BO,20,0)</f>
        <v>57</v>
      </c>
      <c r="L312" s="322">
        <f t="shared" si="29"/>
        <v>236.05041942857156</v>
      </c>
      <c r="M312" s="63"/>
      <c r="Y312" s="63" t="str">
        <f t="shared" si="27"/>
        <v>B5-I09-009511</v>
      </c>
    </row>
    <row r="313" spans="1:25">
      <c r="A313" s="63" t="str">
        <f>'RAW DATA 2023'!B306</f>
        <v>Roiphet1</v>
      </c>
      <c r="B313" s="63" t="str">
        <f>'RAW DATA 2023'!D306</f>
        <v>B1-G02-0088</v>
      </c>
      <c r="C313" s="63" t="str">
        <f t="shared" si="24"/>
        <v>Roiphet1B1-G02-0088</v>
      </c>
      <c r="D313" s="63">
        <f>VLOOKUP(C313,'RAW DATA 2023'!E:BP,63,0)</f>
        <v>6</v>
      </c>
      <c r="E313" s="63" t="str">
        <f t="shared" si="25"/>
        <v>Roiphet16</v>
      </c>
      <c r="F313" s="63">
        <f>ROUND(VLOOKUP(C313,'RAW DATA 2023'!E:BO,23,0),0)</f>
        <v>47</v>
      </c>
      <c r="G313" s="120">
        <f>VLOOKUP(C313,'RAW DATA 2023'!E:BO,26,0)</f>
        <v>0.24377799899999997</v>
      </c>
      <c r="H313" s="101">
        <f>IFERROR(VLOOKUP(F313,STD!B:G,6,0),"")</f>
        <v>0.36</v>
      </c>
      <c r="I313" s="100">
        <f t="shared" si="26"/>
        <v>0.67716110833333332</v>
      </c>
      <c r="J313" s="249">
        <f t="shared" si="28"/>
        <v>3.5432221666666663</v>
      </c>
      <c r="K313" s="63">
        <f>VLOOKUP(C313,'RAW DATA 2023'!E:BO,20,0)</f>
        <v>98</v>
      </c>
      <c r="L313" s="322">
        <f t="shared" si="29"/>
        <v>347.23577233333333</v>
      </c>
      <c r="M313" s="63"/>
      <c r="Y313" s="63" t="str">
        <f t="shared" si="27"/>
        <v>B1-G02-00886</v>
      </c>
    </row>
    <row r="314" spans="1:25">
      <c r="A314" s="63" t="str">
        <f>'RAW DATA 2023'!B307</f>
        <v>Roiphet1</v>
      </c>
      <c r="B314" s="63" t="str">
        <f>'RAW DATA 2023'!D307</f>
        <v>B6-G12-0088</v>
      </c>
      <c r="C314" s="63" t="str">
        <f t="shared" si="24"/>
        <v>Roiphet1B6-G12-0088</v>
      </c>
      <c r="D314" s="63">
        <f>VLOOKUP(C314,'RAW DATA 2023'!E:BP,63,0)</f>
        <v>8</v>
      </c>
      <c r="E314" s="63" t="str">
        <f t="shared" si="25"/>
        <v>Roiphet18</v>
      </c>
      <c r="F314" s="63">
        <f>ROUND(VLOOKUP(C314,'RAW DATA 2023'!E:BO,23,0),0)</f>
        <v>102</v>
      </c>
      <c r="G314" s="120">
        <f>VLOOKUP(C314,'RAW DATA 2023'!E:BO,26,0)</f>
        <v>0.23957688299999999</v>
      </c>
      <c r="H314" s="101">
        <f>IFERROR(VLOOKUP(F314,STD!B:G,6,0),"")</f>
        <v>0.32</v>
      </c>
      <c r="I314" s="100">
        <f t="shared" si="26"/>
        <v>0.74867775937499992</v>
      </c>
      <c r="J314" s="249">
        <f t="shared" si="28"/>
        <v>4.9735551874999988</v>
      </c>
      <c r="K314" s="63">
        <f>VLOOKUP(C314,'RAW DATA 2023'!E:BO,20,0)</f>
        <v>38</v>
      </c>
      <c r="L314" s="322">
        <f t="shared" si="29"/>
        <v>188.99509712499994</v>
      </c>
      <c r="M314" s="63"/>
      <c r="Y314" s="63" t="str">
        <f t="shared" si="27"/>
        <v>B6-G12-00888</v>
      </c>
    </row>
    <row r="315" spans="1:25">
      <c r="A315" s="63" t="str">
        <f>'RAW DATA 2023'!B308</f>
        <v>Roiphet1</v>
      </c>
      <c r="B315" s="63" t="str">
        <f>'RAW DATA 2023'!D308</f>
        <v>B6-G11-0083</v>
      </c>
      <c r="C315" s="63" t="str">
        <f t="shared" si="24"/>
        <v>Roiphet1B6-G11-0083</v>
      </c>
      <c r="D315" s="63">
        <f>VLOOKUP(C315,'RAW DATA 2023'!E:BP,63,0)</f>
        <v>8</v>
      </c>
      <c r="E315" s="63" t="str">
        <f t="shared" si="25"/>
        <v>Roiphet18</v>
      </c>
      <c r="F315" s="63">
        <f>ROUND(VLOOKUP(C315,'RAW DATA 2023'!E:BO,23,0),0)</f>
        <v>92</v>
      </c>
      <c r="G315" s="120">
        <f>VLOOKUP(C315,'RAW DATA 2023'!E:BO,26,0)</f>
        <v>0.23932298099999999</v>
      </c>
      <c r="H315" s="101">
        <f>IFERROR(VLOOKUP(F315,STD!B:G,6,0),"")</f>
        <v>0.32</v>
      </c>
      <c r="I315" s="100">
        <f t="shared" si="26"/>
        <v>0.74788431562499991</v>
      </c>
      <c r="J315" s="249">
        <f t="shared" si="28"/>
        <v>4.9576863124999981</v>
      </c>
      <c r="K315" s="63">
        <f>VLOOKUP(C315,'RAW DATA 2023'!E:BO,20,0)</f>
        <v>42</v>
      </c>
      <c r="L315" s="322">
        <f t="shared" si="29"/>
        <v>208.22282512499993</v>
      </c>
      <c r="M315" s="63"/>
      <c r="Y315" s="63" t="str">
        <f t="shared" si="27"/>
        <v>B6-G11-00838</v>
      </c>
    </row>
    <row r="316" spans="1:25">
      <c r="A316" s="63" t="str">
        <f>'RAW DATA 2023'!B309</f>
        <v>Roiphet1</v>
      </c>
      <c r="B316" s="63" t="str">
        <f>'RAW DATA 2023'!D309</f>
        <v>B5-G09-0086</v>
      </c>
      <c r="C316" s="63" t="str">
        <f t="shared" si="24"/>
        <v>Roiphet1B5-G09-0086</v>
      </c>
      <c r="D316" s="63">
        <f>VLOOKUP(C316,'RAW DATA 2023'!E:BP,63,0)</f>
        <v>11</v>
      </c>
      <c r="E316" s="63" t="str">
        <f t="shared" si="25"/>
        <v>Roiphet111</v>
      </c>
      <c r="F316" s="63">
        <f>ROUND(VLOOKUP(C316,'RAW DATA 2023'!E:BO,23,0),0)</f>
        <v>79</v>
      </c>
      <c r="G316" s="120">
        <f>VLOOKUP(C316,'RAW DATA 2023'!E:BO,26,0)</f>
        <v>0.227380952</v>
      </c>
      <c r="H316" s="101">
        <f>IFERROR(VLOOKUP(F316,STD!B:G,6,0),"")</f>
        <v>0.34</v>
      </c>
      <c r="I316" s="100">
        <f t="shared" si="26"/>
        <v>0.6687675058823529</v>
      </c>
      <c r="J316" s="249">
        <f t="shared" si="28"/>
        <v>3.3753501176470579</v>
      </c>
      <c r="K316" s="63">
        <f>VLOOKUP(C316,'RAW DATA 2023'!E:BO,20,0)</f>
        <v>56</v>
      </c>
      <c r="L316" s="322">
        <f t="shared" si="29"/>
        <v>189.01960658823523</v>
      </c>
      <c r="M316" s="63"/>
      <c r="Y316" s="63" t="str">
        <f t="shared" si="27"/>
        <v>B5-G09-008611</v>
      </c>
    </row>
    <row r="317" spans="1:25">
      <c r="A317" s="63" t="str">
        <f>'RAW DATA 2023'!B310</f>
        <v>Roiphet1</v>
      </c>
      <c r="B317" s="63" t="str">
        <f>'RAW DATA 2023'!D310</f>
        <v>B5-G10-0085</v>
      </c>
      <c r="C317" s="63" t="str">
        <f t="shared" si="24"/>
        <v>Roiphet1B5-G10-0085</v>
      </c>
      <c r="D317" s="63">
        <f>VLOOKUP(C317,'RAW DATA 2023'!E:BP,63,0)</f>
        <v>11</v>
      </c>
      <c r="E317" s="63" t="str">
        <f t="shared" si="25"/>
        <v>Roiphet111</v>
      </c>
      <c r="F317" s="63">
        <f>ROUND(VLOOKUP(C317,'RAW DATA 2023'!E:BO,23,0),0)</f>
        <v>86</v>
      </c>
      <c r="G317" s="120">
        <f>VLOOKUP(C317,'RAW DATA 2023'!E:BO,26,0)</f>
        <v>0.225059326</v>
      </c>
      <c r="H317" s="101">
        <f>IFERROR(VLOOKUP(F317,STD!B:G,6,0),"")</f>
        <v>0.33</v>
      </c>
      <c r="I317" s="100">
        <f t="shared" si="26"/>
        <v>0.68199795757575754</v>
      </c>
      <c r="J317" s="249">
        <f t="shared" si="28"/>
        <v>3.6399591515151508</v>
      </c>
      <c r="K317" s="63">
        <f>VLOOKUP(C317,'RAW DATA 2023'!E:BO,20,0)</f>
        <v>49</v>
      </c>
      <c r="L317" s="322">
        <f t="shared" si="29"/>
        <v>178.3579984242424</v>
      </c>
      <c r="M317" s="63"/>
      <c r="Y317" s="63" t="str">
        <f t="shared" si="27"/>
        <v>B5-G10-008511</v>
      </c>
    </row>
    <row r="318" spans="1:25">
      <c r="A318" s="63" t="str">
        <f>'RAW DATA 2023'!B311</f>
        <v>Roiphet1</v>
      </c>
      <c r="B318" s="63" t="str">
        <f>'RAW DATA 2023'!D311</f>
        <v>B3-G05-0093</v>
      </c>
      <c r="C318" s="63" t="str">
        <f t="shared" si="24"/>
        <v>Roiphet1B3-G05-0093</v>
      </c>
      <c r="D318" s="63">
        <f>VLOOKUP(C318,'RAW DATA 2023'!E:BP,63,0)</f>
        <v>8</v>
      </c>
      <c r="E318" s="63" t="str">
        <f t="shared" si="25"/>
        <v>Roiphet18</v>
      </c>
      <c r="F318" s="63">
        <f>ROUND(VLOOKUP(C318,'RAW DATA 2023'!E:BO,23,0),0)</f>
        <v>116</v>
      </c>
      <c r="G318" s="120">
        <f>VLOOKUP(C318,'RAW DATA 2023'!E:BO,26,0)</f>
        <v>0.190016821</v>
      </c>
      <c r="H318" s="101">
        <f>IFERROR(VLOOKUP(F318,STD!B:G,6,0),"")</f>
        <v>0.31</v>
      </c>
      <c r="I318" s="100">
        <f t="shared" si="26"/>
        <v>0.61295748709677422</v>
      </c>
      <c r="J318" s="249">
        <f t="shared" si="28"/>
        <v>2.2591497419354845</v>
      </c>
      <c r="K318" s="63">
        <f>VLOOKUP(C318,'RAW DATA 2023'!E:BO,20,0)</f>
        <v>41</v>
      </c>
      <c r="L318" s="322">
        <f t="shared" si="29"/>
        <v>92.625139419354866</v>
      </c>
      <c r="M318" s="63"/>
      <c r="Y318" s="63" t="str">
        <f t="shared" si="27"/>
        <v>B3-G05-00938</v>
      </c>
    </row>
    <row r="319" spans="1:25">
      <c r="A319" s="63" t="str">
        <f>'RAW DATA 2023'!B312</f>
        <v>Roiphet1</v>
      </c>
      <c r="B319" s="63" t="str">
        <f>'RAW DATA 2023'!D312</f>
        <v>B5-I10-0092</v>
      </c>
      <c r="C319" s="63" t="str">
        <f t="shared" si="24"/>
        <v>Roiphet1B5-I10-0092</v>
      </c>
      <c r="D319" s="63">
        <f>VLOOKUP(C319,'RAW DATA 2023'!E:BP,63,0)</f>
        <v>11</v>
      </c>
      <c r="E319" s="63" t="str">
        <f t="shared" si="25"/>
        <v>Roiphet111</v>
      </c>
      <c r="F319" s="63">
        <f>ROUND(VLOOKUP(C319,'RAW DATA 2023'!E:BO,23,0),0)</f>
        <v>136</v>
      </c>
      <c r="G319" s="120">
        <f>VLOOKUP(C319,'RAW DATA 2023'!E:BO,26,0)</f>
        <v>0.15347593600000001</v>
      </c>
      <c r="H319" s="101">
        <f>IFERROR(VLOOKUP(F319,STD!B:G,6,0),"")</f>
        <v>0.28999999999999998</v>
      </c>
      <c r="I319" s="100">
        <f t="shared" si="26"/>
        <v>0.52922736551724148</v>
      </c>
      <c r="J319" s="249">
        <f t="shared" si="28"/>
        <v>0.58454731034482954</v>
      </c>
      <c r="K319" s="63">
        <f>VLOOKUP(C319,'RAW DATA 2023'!E:BO,20,0)</f>
        <v>44</v>
      </c>
      <c r="L319" s="322">
        <f t="shared" si="29"/>
        <v>25.7200816551725</v>
      </c>
      <c r="M319" s="63"/>
      <c r="Y319" s="63" t="str">
        <f t="shared" si="27"/>
        <v>B5-I10-009211</v>
      </c>
    </row>
    <row r="320" spans="1:25">
      <c r="A320" s="63" t="str">
        <f>'RAW DATA 2023'!B313</f>
        <v>Choknavy</v>
      </c>
      <c r="B320" s="63" t="str">
        <f>'RAW DATA 2023'!D313</f>
        <v>A1-003-0037</v>
      </c>
      <c r="C320" s="63" t="str">
        <f t="shared" si="24"/>
        <v>ChoknavyA1-003-0037</v>
      </c>
      <c r="D320" s="63">
        <f>VLOOKUP(C320,'RAW DATA 2023'!E:BP,63,0)</f>
        <v>11</v>
      </c>
      <c r="E320" s="63" t="str">
        <f t="shared" si="25"/>
        <v>Choknavy11</v>
      </c>
      <c r="F320" s="63">
        <f>ROUND(VLOOKUP(C320,'RAW DATA 2023'!E:BO,23,0),0)</f>
        <v>29</v>
      </c>
      <c r="G320" s="120">
        <f>VLOOKUP(C320,'RAW DATA 2023'!E:BO,26,0)</f>
        <v>0.41483748399999998</v>
      </c>
      <c r="H320" s="101">
        <f>IFERROR(VLOOKUP(F320,STD!B:G,6,0),"")</f>
        <v>0.4</v>
      </c>
      <c r="I320" s="100">
        <f t="shared" si="26"/>
        <v>1.0370937099999999</v>
      </c>
      <c r="J320" s="249">
        <f t="shared" si="28"/>
        <v>10.741874199999998</v>
      </c>
      <c r="K320" s="63">
        <f>VLOOKUP(C320,'RAW DATA 2023'!E:BO,20,0)</f>
        <v>103</v>
      </c>
      <c r="L320" s="322">
        <f t="shared" si="29"/>
        <v>1106.4130425999997</v>
      </c>
      <c r="M320" s="63"/>
      <c r="Y320" s="63" t="str">
        <f t="shared" si="27"/>
        <v>A1-003-003711</v>
      </c>
    </row>
    <row r="321" spans="1:25">
      <c r="A321" s="63" t="str">
        <f>'RAW DATA 2023'!B314</f>
        <v>Choknavy</v>
      </c>
      <c r="B321" s="63" t="str">
        <f>'RAW DATA 2023'!D314</f>
        <v>A1-006-0032</v>
      </c>
      <c r="C321" s="63" t="str">
        <f t="shared" si="24"/>
        <v>ChoknavyA1-006-0032</v>
      </c>
      <c r="D321" s="63">
        <f>VLOOKUP(C321,'RAW DATA 2023'!E:BP,63,0)</f>
        <v>7</v>
      </c>
      <c r="E321" s="63" t="str">
        <f t="shared" si="25"/>
        <v>Choknavy7</v>
      </c>
      <c r="F321" s="63">
        <f>ROUND(VLOOKUP(C321,'RAW DATA 2023'!E:BO,23,0),0)</f>
        <v>33</v>
      </c>
      <c r="G321" s="120">
        <f>VLOOKUP(C321,'RAW DATA 2023'!E:BO,26,0)</f>
        <v>0.374421173</v>
      </c>
      <c r="H321" s="101">
        <f>IFERROR(VLOOKUP(F321,STD!B:G,6,0),"")</f>
        <v>0.39</v>
      </c>
      <c r="I321" s="100">
        <f t="shared" si="26"/>
        <v>0.96005428974358975</v>
      </c>
      <c r="J321" s="249">
        <f t="shared" si="28"/>
        <v>9.2010857948717941</v>
      </c>
      <c r="K321" s="63">
        <f>VLOOKUP(C321,'RAW DATA 2023'!E:BO,20,0)</f>
        <v>101</v>
      </c>
      <c r="L321" s="322">
        <f t="shared" si="29"/>
        <v>929.30966528205124</v>
      </c>
      <c r="M321" s="63"/>
      <c r="Y321" s="63" t="str">
        <f t="shared" si="27"/>
        <v>A1-006-00327</v>
      </c>
    </row>
    <row r="322" spans="1:25">
      <c r="A322" s="63" t="str">
        <f>'RAW DATA 2023'!B315</f>
        <v>Choknavy</v>
      </c>
      <c r="B322" s="63" t="str">
        <f>'RAW DATA 2023'!D315</f>
        <v>A1-003-0036</v>
      </c>
      <c r="C322" s="63" t="str">
        <f t="shared" si="24"/>
        <v>ChoknavyA1-003-0036</v>
      </c>
      <c r="D322" s="63">
        <f>VLOOKUP(C322,'RAW DATA 2023'!E:BP,63,0)</f>
        <v>7</v>
      </c>
      <c r="E322" s="63" t="str">
        <f t="shared" si="25"/>
        <v>Choknavy7</v>
      </c>
      <c r="F322" s="63">
        <f>ROUND(VLOOKUP(C322,'RAW DATA 2023'!E:BO,23,0),0)</f>
        <v>28</v>
      </c>
      <c r="G322" s="120">
        <f>VLOOKUP(C322,'RAW DATA 2023'!E:BO,26,0)</f>
        <v>0.358374409</v>
      </c>
      <c r="H322" s="101">
        <f>IFERROR(VLOOKUP(F322,STD!B:G,6,0),"")</f>
        <v>0.41</v>
      </c>
      <c r="I322" s="100">
        <f t="shared" si="26"/>
        <v>0.87408392439024396</v>
      </c>
      <c r="J322" s="249">
        <f t="shared" si="28"/>
        <v>7.4816784878048797</v>
      </c>
      <c r="K322" s="63">
        <f>VLOOKUP(C322,'RAW DATA 2023'!E:BO,20,0)</f>
        <v>131</v>
      </c>
      <c r="L322" s="322">
        <f t="shared" si="29"/>
        <v>980.09988190243928</v>
      </c>
      <c r="M322" s="63"/>
      <c r="Y322" s="63" t="str">
        <f t="shared" si="27"/>
        <v>A1-003-00367</v>
      </c>
    </row>
    <row r="323" spans="1:25">
      <c r="A323" s="63" t="str">
        <f>'RAW DATA 2023'!B316</f>
        <v>Choknavy</v>
      </c>
      <c r="B323" s="63" t="str">
        <f>'RAW DATA 2023'!D316</f>
        <v>A1-005-0006</v>
      </c>
      <c r="C323" s="63" t="str">
        <f t="shared" si="24"/>
        <v>ChoknavyA1-005-0006</v>
      </c>
      <c r="D323" s="63">
        <f>VLOOKUP(C323,'RAW DATA 2023'!E:BP,63,0)</f>
        <v>8</v>
      </c>
      <c r="E323" s="63" t="str">
        <f t="shared" si="25"/>
        <v>Choknavy8</v>
      </c>
      <c r="F323" s="63">
        <f>ROUND(VLOOKUP(C323,'RAW DATA 2023'!E:BO,23,0),0)</f>
        <v>30</v>
      </c>
      <c r="G323" s="120">
        <f>VLOOKUP(C323,'RAW DATA 2023'!E:BO,26,0)</f>
        <v>0.356089145</v>
      </c>
      <c r="H323" s="101">
        <f>IFERROR(VLOOKUP(F323,STD!B:G,6,0),"")</f>
        <v>0.39</v>
      </c>
      <c r="I323" s="100">
        <f t="shared" si="26"/>
        <v>0.91304908974358967</v>
      </c>
      <c r="J323" s="249">
        <f t="shared" si="28"/>
        <v>8.2609817948717925</v>
      </c>
      <c r="K323" s="63">
        <f>VLOOKUP(C323,'RAW DATA 2023'!E:BO,20,0)</f>
        <v>107</v>
      </c>
      <c r="L323" s="322">
        <f t="shared" si="29"/>
        <v>883.9250520512818</v>
      </c>
      <c r="M323" s="63"/>
      <c r="Y323" s="63" t="str">
        <f t="shared" si="27"/>
        <v>A1-005-00068</v>
      </c>
    </row>
    <row r="324" spans="1:25">
      <c r="A324" s="63" t="str">
        <f>'RAW DATA 2023'!B317</f>
        <v>Choknavy</v>
      </c>
      <c r="B324" s="63" t="str">
        <f>'RAW DATA 2023'!D317</f>
        <v>A1-001-0041</v>
      </c>
      <c r="C324" s="63" t="str">
        <f t="shared" si="24"/>
        <v>ChoknavyA1-001-0041</v>
      </c>
      <c r="D324" s="63">
        <f>VLOOKUP(C324,'RAW DATA 2023'!E:BP,63,0)</f>
        <v>9</v>
      </c>
      <c r="E324" s="63" t="str">
        <f t="shared" si="25"/>
        <v>Choknavy9</v>
      </c>
      <c r="F324" s="63">
        <f>ROUND(VLOOKUP(C324,'RAW DATA 2023'!E:BO,23,0),0)</f>
        <v>30</v>
      </c>
      <c r="G324" s="120">
        <f>VLOOKUP(C324,'RAW DATA 2023'!E:BO,26,0)</f>
        <v>0.350457405</v>
      </c>
      <c r="H324" s="101">
        <f>IFERROR(VLOOKUP(F324,STD!B:G,6,0),"")</f>
        <v>0.39</v>
      </c>
      <c r="I324" s="100">
        <f t="shared" si="26"/>
        <v>0.89860873076923076</v>
      </c>
      <c r="J324" s="249">
        <f t="shared" si="28"/>
        <v>7.9721746153846151</v>
      </c>
      <c r="K324" s="63">
        <f>VLOOKUP(C324,'RAW DATA 2023'!E:BO,20,0)</f>
        <v>123</v>
      </c>
      <c r="L324" s="322">
        <f t="shared" si="29"/>
        <v>980.57747769230764</v>
      </c>
      <c r="M324" s="63"/>
      <c r="Y324" s="63" t="str">
        <f t="shared" si="27"/>
        <v>A1-001-00419</v>
      </c>
    </row>
    <row r="325" spans="1:25">
      <c r="A325" s="63" t="str">
        <f>'RAW DATA 2023'!B318</f>
        <v>Choknavy</v>
      </c>
      <c r="B325" s="63" t="str">
        <f>'RAW DATA 2023'!D318</f>
        <v>A1-002-0037</v>
      </c>
      <c r="C325" s="63" t="str">
        <f t="shared" si="24"/>
        <v>ChoknavyA1-002-0037</v>
      </c>
      <c r="D325" s="63">
        <f>VLOOKUP(C325,'RAW DATA 2023'!E:BP,63,0)</f>
        <v>10</v>
      </c>
      <c r="E325" s="63" t="str">
        <f t="shared" si="25"/>
        <v>Choknavy10</v>
      </c>
      <c r="F325" s="63">
        <f>ROUND(VLOOKUP(C325,'RAW DATA 2023'!E:BO,23,0),0)</f>
        <v>30</v>
      </c>
      <c r="G325" s="120">
        <f>VLOOKUP(C325,'RAW DATA 2023'!E:BO,26,0)</f>
        <v>0.34449808700000001</v>
      </c>
      <c r="H325" s="101">
        <f>IFERROR(VLOOKUP(F325,STD!B:G,6,0),"")</f>
        <v>0.39</v>
      </c>
      <c r="I325" s="100">
        <f t="shared" si="26"/>
        <v>0.88332842820512825</v>
      </c>
      <c r="J325" s="249">
        <f t="shared" si="28"/>
        <v>7.6665685641025654</v>
      </c>
      <c r="K325" s="63">
        <f>VLOOKUP(C325,'RAW DATA 2023'!E:BO,20,0)</f>
        <v>124.99999999999999</v>
      </c>
      <c r="L325" s="322">
        <f t="shared" si="29"/>
        <v>958.3210705128206</v>
      </c>
      <c r="M325" s="63"/>
      <c r="Y325" s="63" t="str">
        <f t="shared" si="27"/>
        <v>A1-002-003710</v>
      </c>
    </row>
    <row r="326" spans="1:25">
      <c r="A326" s="63" t="str">
        <f>'RAW DATA 2023'!B319</f>
        <v>Choknavy</v>
      </c>
      <c r="B326" s="63" t="str">
        <f>'RAW DATA 2023'!D319</f>
        <v>G1-G01-0001</v>
      </c>
      <c r="C326" s="63" t="str">
        <f t="shared" si="24"/>
        <v>ChoknavyG1-G01-0001</v>
      </c>
      <c r="D326" s="63">
        <f>VLOOKUP(C326,'RAW DATA 2023'!E:BP,63,0)</f>
        <v>5</v>
      </c>
      <c r="E326" s="63" t="str">
        <f t="shared" si="25"/>
        <v>Choknavy5</v>
      </c>
      <c r="F326" s="63">
        <f>ROUND(VLOOKUP(C326,'RAW DATA 2023'!E:BO,23,0),0)</f>
        <v>35</v>
      </c>
      <c r="G326" s="120">
        <f>VLOOKUP(C326,'RAW DATA 2023'!E:BO,26,0)</f>
        <v>0.34139200600000003</v>
      </c>
      <c r="H326" s="101">
        <f>IFERROR(VLOOKUP(F326,STD!B:G,6,0),"")</f>
        <v>0.37</v>
      </c>
      <c r="I326" s="100">
        <f t="shared" si="26"/>
        <v>0.92268109729729741</v>
      </c>
      <c r="J326" s="249">
        <f t="shared" si="28"/>
        <v>8.4536219459459474</v>
      </c>
      <c r="K326" s="63">
        <f>VLOOKUP(C326,'RAW DATA 2023'!E:BO,20,0)</f>
        <v>92</v>
      </c>
      <c r="L326" s="322">
        <f t="shared" si="29"/>
        <v>777.73321902702719</v>
      </c>
      <c r="M326" s="63"/>
      <c r="Y326" s="63" t="str">
        <f t="shared" si="27"/>
        <v>G1-G01-00015</v>
      </c>
    </row>
    <row r="327" spans="1:25">
      <c r="A327" s="63" t="str">
        <f>'RAW DATA 2023'!B320</f>
        <v>Choknavy</v>
      </c>
      <c r="B327" s="63" t="str">
        <f>'RAW DATA 2023'!D320</f>
        <v>A1-002-0036</v>
      </c>
      <c r="C327" s="63" t="str">
        <f t="shared" si="24"/>
        <v>ChoknavyA1-002-0036</v>
      </c>
      <c r="D327" s="63">
        <f>VLOOKUP(C327,'RAW DATA 2023'!E:BP,63,0)</f>
        <v>4</v>
      </c>
      <c r="E327" s="63" t="str">
        <f t="shared" si="25"/>
        <v>Choknavy4</v>
      </c>
      <c r="F327" s="63">
        <f>ROUND(VLOOKUP(C327,'RAW DATA 2023'!E:BO,23,0),0)</f>
        <v>25</v>
      </c>
      <c r="G327" s="120">
        <f>VLOOKUP(C327,'RAW DATA 2023'!E:BO,26,0)</f>
        <v>0.27628472199999998</v>
      </c>
      <c r="H327" s="101">
        <f>IFERROR(VLOOKUP(F327,STD!B:G,6,0),"")</f>
        <v>0.36</v>
      </c>
      <c r="I327" s="100">
        <f t="shared" si="26"/>
        <v>0.76745756111111108</v>
      </c>
      <c r="J327" s="249">
        <f t="shared" si="28"/>
        <v>5.3491512222222219</v>
      </c>
      <c r="K327" s="63">
        <f>VLOOKUP(C327,'RAW DATA 2023'!E:BO,20,0)</f>
        <v>144</v>
      </c>
      <c r="L327" s="322">
        <f t="shared" si="29"/>
        <v>770.2777759999999</v>
      </c>
      <c r="M327" s="63"/>
      <c r="Y327" s="63" t="str">
        <f t="shared" si="27"/>
        <v>A1-002-00364</v>
      </c>
    </row>
    <row r="328" spans="1:25">
      <c r="A328" s="63" t="str">
        <f>'RAW DATA 2023'!B321</f>
        <v>Choknavy</v>
      </c>
      <c r="B328" s="63" t="str">
        <f>'RAW DATA 2023'!D321</f>
        <v>A1-001-0040</v>
      </c>
      <c r="C328" s="63" t="str">
        <f t="shared" si="24"/>
        <v>ChoknavyA1-001-0040</v>
      </c>
      <c r="D328" s="63">
        <f>VLOOKUP(C328,'RAW DATA 2023'!E:BP,63,0)</f>
        <v>4</v>
      </c>
      <c r="E328" s="63" t="str">
        <f t="shared" si="25"/>
        <v>Choknavy4</v>
      </c>
      <c r="F328" s="63">
        <f>ROUND(VLOOKUP(C328,'RAW DATA 2023'!E:BO,23,0),0)</f>
        <v>27</v>
      </c>
      <c r="G328" s="120">
        <f>VLOOKUP(C328,'RAW DATA 2023'!E:BO,26,0)</f>
        <v>0.27015167899999998</v>
      </c>
      <c r="H328" s="101">
        <f>IFERROR(VLOOKUP(F328,STD!B:G,6,0),"")</f>
        <v>0.39</v>
      </c>
      <c r="I328" s="100">
        <f t="shared" si="26"/>
        <v>0.69269661282051276</v>
      </c>
      <c r="J328" s="249">
        <f t="shared" si="28"/>
        <v>3.8539322564102552</v>
      </c>
      <c r="K328" s="63">
        <f>VLOOKUP(C328,'RAW DATA 2023'!E:BO,20,0)</f>
        <v>142</v>
      </c>
      <c r="L328" s="322">
        <f t="shared" si="29"/>
        <v>547.25838041025622</v>
      </c>
      <c r="M328" s="63"/>
      <c r="Y328" s="63" t="str">
        <f t="shared" si="27"/>
        <v>A1-001-00404</v>
      </c>
    </row>
    <row r="329" spans="1:25">
      <c r="A329" s="63" t="str">
        <f>'RAW DATA 2023'!B322</f>
        <v>Choknavy</v>
      </c>
      <c r="B329" s="63" t="str">
        <f>'RAW DATA 2023'!D322</f>
        <v>A1-006-0031</v>
      </c>
      <c r="C329" s="63" t="str">
        <f t="shared" si="24"/>
        <v>ChoknavyA1-006-0031</v>
      </c>
      <c r="D329" s="63">
        <f>VLOOKUP(C329,'RAW DATA 2023'!E:BP,63,0)</f>
        <v>3</v>
      </c>
      <c r="E329" s="63" t="str">
        <f t="shared" si="25"/>
        <v>Choknavy3</v>
      </c>
      <c r="F329" s="63">
        <f>ROUND(VLOOKUP(C329,'RAW DATA 2023'!E:BO,23,0),0)</f>
        <v>27</v>
      </c>
      <c r="G329" s="120">
        <f>VLOOKUP(C329,'RAW DATA 2023'!E:BO,26,0)</f>
        <v>0.26475027099999998</v>
      </c>
      <c r="H329" s="101">
        <f>IFERROR(VLOOKUP(F329,STD!B:G,6,0),"")</f>
        <v>0.39</v>
      </c>
      <c r="I329" s="100">
        <f t="shared" si="26"/>
        <v>0.67884684871794865</v>
      </c>
      <c r="J329" s="249">
        <f t="shared" si="28"/>
        <v>3.576936974358973</v>
      </c>
      <c r="K329" s="63">
        <f>VLOOKUP(C329,'RAW DATA 2023'!E:BO,20,0)</f>
        <v>142</v>
      </c>
      <c r="L329" s="322">
        <f t="shared" si="29"/>
        <v>507.92505035897415</v>
      </c>
      <c r="M329" s="63"/>
      <c r="Y329" s="63" t="str">
        <f t="shared" si="27"/>
        <v>A1-006-00313</v>
      </c>
    </row>
    <row r="330" spans="1:25">
      <c r="A330" s="63" t="str">
        <f>'RAW DATA 2023'!B323</f>
        <v>Choknavy</v>
      </c>
      <c r="B330" s="63" t="str">
        <f>'RAW DATA 2023'!D323</f>
        <v>A1-003-0035</v>
      </c>
      <c r="C330" s="63" t="str">
        <f t="shared" ref="C330:C393" si="30">A330&amp;B330</f>
        <v>ChoknavyA1-003-0035</v>
      </c>
      <c r="D330" s="63">
        <f>VLOOKUP(C330,'RAW DATA 2023'!E:BP,63,0)</f>
        <v>1</v>
      </c>
      <c r="E330" s="63" t="str">
        <f t="shared" ref="E330:E393" si="31">A330&amp;D330</f>
        <v>Choknavy1</v>
      </c>
      <c r="F330" s="63">
        <f>ROUND(VLOOKUP(C330,'RAW DATA 2023'!E:BO,23,0),0)</f>
        <v>0</v>
      </c>
      <c r="G330" s="120">
        <f>VLOOKUP(C330,'RAW DATA 2023'!E:BO,26,0)</f>
        <v>0</v>
      </c>
      <c r="H330" s="101" t="str">
        <f>IFERROR(VLOOKUP(F330,STD!B:G,6,0),"")</f>
        <v/>
      </c>
      <c r="I330" s="100">
        <f t="shared" ref="I330:I393" si="32">IFERROR(G330/H330,0)</f>
        <v>0</v>
      </c>
      <c r="J330" s="249">
        <f t="shared" si="28"/>
        <v>0</v>
      </c>
      <c r="K330" s="63">
        <f>VLOOKUP(C330,'RAW DATA 2023'!E:BO,20,0)</f>
        <v>0</v>
      </c>
      <c r="L330" s="322">
        <f t="shared" si="29"/>
        <v>0</v>
      </c>
      <c r="M330" s="63"/>
      <c r="Y330" s="63" t="str">
        <f t="shared" ref="Y330:Y393" si="33">B330&amp;D330</f>
        <v>A1-003-00351</v>
      </c>
    </row>
    <row r="331" spans="1:25">
      <c r="A331" s="63" t="str">
        <f>'RAW DATA 2023'!B324</f>
        <v>Maeklong1</v>
      </c>
      <c r="B331" s="63" t="str">
        <f>'RAW DATA 2023'!D324</f>
        <v>A1-017-0031</v>
      </c>
      <c r="C331" s="63" t="str">
        <f t="shared" si="30"/>
        <v>Maeklong1A1-017-0031</v>
      </c>
      <c r="D331" s="63">
        <f>VLOOKUP(C331,'RAW DATA 2023'!E:BP,63,0)</f>
        <v>8</v>
      </c>
      <c r="E331" s="63" t="str">
        <f t="shared" si="31"/>
        <v>Maeklong18</v>
      </c>
      <c r="F331" s="63">
        <f>ROUND(VLOOKUP(C331,'RAW DATA 2023'!E:BO,23,0),0)</f>
        <v>35</v>
      </c>
      <c r="G331" s="120">
        <f>VLOOKUP(C331,'RAW DATA 2023'!E:BO,26,0)</f>
        <v>0.41813845500000002</v>
      </c>
      <c r="H331" s="101">
        <f>IFERROR(VLOOKUP(F331,STD!B:G,6,0),"")</f>
        <v>0.37</v>
      </c>
      <c r="I331" s="100">
        <f t="shared" si="32"/>
        <v>1.1301039324324325</v>
      </c>
      <c r="J331" s="249">
        <f t="shared" ref="J331:J394" si="34">IF(I331&gt;0.5,((I331-$B$4)*$B$7),0)</f>
        <v>12.60207864864865</v>
      </c>
      <c r="K331" s="63">
        <f>VLOOKUP(C331,'RAW DATA 2023'!E:BO,20,0)</f>
        <v>103</v>
      </c>
      <c r="L331" s="322">
        <f t="shared" ref="L331:L394" si="35">J331*K331</f>
        <v>1298.014100810811</v>
      </c>
      <c r="M331" s="63"/>
      <c r="Y331" s="63" t="str">
        <f t="shared" si="33"/>
        <v>A1-017-00318</v>
      </c>
    </row>
    <row r="332" spans="1:25">
      <c r="A332" s="63" t="str">
        <f>'RAW DATA 2023'!B325</f>
        <v>Maeklong1</v>
      </c>
      <c r="B332" s="63" t="str">
        <f>'RAW DATA 2023'!D325</f>
        <v>A1-015-0036</v>
      </c>
      <c r="C332" s="63" t="str">
        <f t="shared" si="30"/>
        <v>Maeklong1A1-015-0036</v>
      </c>
      <c r="D332" s="63">
        <f>VLOOKUP(C332,'RAW DATA 2023'!E:BP,63,0)</f>
        <v>6</v>
      </c>
      <c r="E332" s="63" t="str">
        <f t="shared" si="31"/>
        <v>Maeklong16</v>
      </c>
      <c r="F332" s="63">
        <f>ROUND(VLOOKUP(C332,'RAW DATA 2023'!E:BO,23,0),0)</f>
        <v>34</v>
      </c>
      <c r="G332" s="120">
        <f>VLOOKUP(C332,'RAW DATA 2023'!E:BO,26,0)</f>
        <v>0.39803245399999998</v>
      </c>
      <c r="H332" s="101">
        <f>IFERROR(VLOOKUP(F332,STD!B:G,6,0),"")</f>
        <v>0.38</v>
      </c>
      <c r="I332" s="100">
        <f t="shared" si="32"/>
        <v>1.0474538263157893</v>
      </c>
      <c r="J332" s="249">
        <f t="shared" si="34"/>
        <v>10.949076526315785</v>
      </c>
      <c r="K332" s="63">
        <f>VLOOKUP(C332,'RAW DATA 2023'!E:BO,20,0)</f>
        <v>85</v>
      </c>
      <c r="L332" s="322">
        <f t="shared" si="35"/>
        <v>930.67150473684171</v>
      </c>
      <c r="M332" s="63"/>
      <c r="Y332" s="63" t="str">
        <f t="shared" si="33"/>
        <v>A1-015-00366</v>
      </c>
    </row>
    <row r="333" spans="1:25">
      <c r="A333" s="63" t="str">
        <f>'RAW DATA 2023'!B326</f>
        <v>Maeklong1</v>
      </c>
      <c r="B333" s="63" t="str">
        <f>'RAW DATA 2023'!D326</f>
        <v>A1-021-0025</v>
      </c>
      <c r="C333" s="63" t="str">
        <f t="shared" si="30"/>
        <v>Maeklong1A1-021-0025</v>
      </c>
      <c r="D333" s="63">
        <f>VLOOKUP(C333,'RAW DATA 2023'!E:BP,63,0)</f>
        <v>8</v>
      </c>
      <c r="E333" s="63" t="str">
        <f t="shared" si="31"/>
        <v>Maeklong18</v>
      </c>
      <c r="F333" s="63">
        <f>ROUND(VLOOKUP(C333,'RAW DATA 2023'!E:BO,23,0),0)</f>
        <v>31</v>
      </c>
      <c r="G333" s="120">
        <f>VLOOKUP(C333,'RAW DATA 2023'!E:BO,26,0)</f>
        <v>0.38203804299999999</v>
      </c>
      <c r="H333" s="101">
        <f>IFERROR(VLOOKUP(F333,STD!B:G,6,0),"")</f>
        <v>0.39</v>
      </c>
      <c r="I333" s="100">
        <f t="shared" si="32"/>
        <v>0.97958472564102561</v>
      </c>
      <c r="J333" s="249">
        <f t="shared" si="34"/>
        <v>9.5916945128205118</v>
      </c>
      <c r="K333" s="63">
        <f>VLOOKUP(C333,'RAW DATA 2023'!E:BO,20,0)</f>
        <v>111.99999999999999</v>
      </c>
      <c r="L333" s="322">
        <f t="shared" si="35"/>
        <v>1074.2697854358971</v>
      </c>
      <c r="M333" s="63"/>
      <c r="Y333" s="63" t="str">
        <f t="shared" si="33"/>
        <v>A1-021-00258</v>
      </c>
    </row>
    <row r="334" spans="1:25">
      <c r="A334" s="63" t="str">
        <f>'RAW DATA 2023'!B327</f>
        <v>Maeklong1</v>
      </c>
      <c r="B334" s="63" t="str">
        <f>'RAW DATA 2023'!D327</f>
        <v>A1-024-0012</v>
      </c>
      <c r="C334" s="63" t="str">
        <f t="shared" si="30"/>
        <v>Maeklong1A1-024-0012</v>
      </c>
      <c r="D334" s="63">
        <f>VLOOKUP(C334,'RAW DATA 2023'!E:BP,63,0)</f>
        <v>10</v>
      </c>
      <c r="E334" s="63" t="str">
        <f t="shared" si="31"/>
        <v>Maeklong110</v>
      </c>
      <c r="F334" s="63">
        <f>ROUND(VLOOKUP(C334,'RAW DATA 2023'!E:BO,23,0),0)</f>
        <v>33</v>
      </c>
      <c r="G334" s="120">
        <f>VLOOKUP(C334,'RAW DATA 2023'!E:BO,26,0)</f>
        <v>0.35457590900000002</v>
      </c>
      <c r="H334" s="101">
        <f>IFERROR(VLOOKUP(F334,STD!B:G,6,0),"")</f>
        <v>0.39</v>
      </c>
      <c r="I334" s="100">
        <f t="shared" si="32"/>
        <v>0.90916899743589741</v>
      </c>
      <c r="J334" s="249">
        <f t="shared" si="34"/>
        <v>8.183379948717949</v>
      </c>
      <c r="K334" s="63">
        <f>VLOOKUP(C334,'RAW DATA 2023'!E:BO,20,0)</f>
        <v>122</v>
      </c>
      <c r="L334" s="322">
        <f t="shared" si="35"/>
        <v>998.37235374358977</v>
      </c>
      <c r="M334" s="63"/>
      <c r="Y334" s="63" t="str">
        <f t="shared" si="33"/>
        <v>A1-024-001210</v>
      </c>
    </row>
    <row r="335" spans="1:25">
      <c r="A335" s="63" t="str">
        <f>'RAW DATA 2023'!B328</f>
        <v>Maeklong1</v>
      </c>
      <c r="B335" s="63" t="str">
        <f>'RAW DATA 2023'!D328</f>
        <v>A1-019-0024</v>
      </c>
      <c r="C335" s="63" t="str">
        <f t="shared" si="30"/>
        <v>Maeklong1A1-019-0024</v>
      </c>
      <c r="D335" s="63">
        <f>VLOOKUP(C335,'RAW DATA 2023'!E:BP,63,0)</f>
        <v>10</v>
      </c>
      <c r="E335" s="63" t="str">
        <f t="shared" si="31"/>
        <v>Maeklong110</v>
      </c>
      <c r="F335" s="63">
        <f>ROUND(VLOOKUP(C335,'RAW DATA 2023'!E:BO,23,0),0)</f>
        <v>32</v>
      </c>
      <c r="G335" s="120">
        <f>VLOOKUP(C335,'RAW DATA 2023'!E:BO,26,0)</f>
        <v>0.35159544199999998</v>
      </c>
      <c r="H335" s="101">
        <f>IFERROR(VLOOKUP(F335,STD!B:G,6,0),"")</f>
        <v>0.39</v>
      </c>
      <c r="I335" s="100">
        <f t="shared" si="32"/>
        <v>0.90152677435897433</v>
      </c>
      <c r="J335" s="249">
        <f t="shared" si="34"/>
        <v>8.0305354871794865</v>
      </c>
      <c r="K335" s="63">
        <f>VLOOKUP(C335,'RAW DATA 2023'!E:BO,20,0)</f>
        <v>117</v>
      </c>
      <c r="L335" s="322">
        <f t="shared" si="35"/>
        <v>939.57265199999995</v>
      </c>
      <c r="M335" s="63"/>
      <c r="Y335" s="63" t="str">
        <f t="shared" si="33"/>
        <v>A1-019-002410</v>
      </c>
    </row>
    <row r="336" spans="1:25">
      <c r="A336" s="63" t="str">
        <f>'RAW DATA 2023'!B329</f>
        <v>Maeklong1</v>
      </c>
      <c r="B336" s="63" t="str">
        <f>'RAW DATA 2023'!D329</f>
        <v>A1-015-0037</v>
      </c>
      <c r="C336" s="63" t="str">
        <f t="shared" si="30"/>
        <v>Maeklong1A1-015-0037</v>
      </c>
      <c r="D336" s="63">
        <f>VLOOKUP(C336,'RAW DATA 2023'!E:BP,63,0)</f>
        <v>10</v>
      </c>
      <c r="E336" s="63" t="str">
        <f t="shared" si="31"/>
        <v>Maeklong110</v>
      </c>
      <c r="F336" s="63">
        <f>ROUND(VLOOKUP(C336,'RAW DATA 2023'!E:BO,23,0),0)</f>
        <v>41</v>
      </c>
      <c r="G336" s="120">
        <f>VLOOKUP(C336,'RAW DATA 2023'!E:BO,26,0)</f>
        <v>0.34831818199999998</v>
      </c>
      <c r="H336" s="101">
        <f>IFERROR(VLOOKUP(F336,STD!B:G,6,0),"")</f>
        <v>0.37</v>
      </c>
      <c r="I336" s="100">
        <f t="shared" si="32"/>
        <v>0.94140049189189179</v>
      </c>
      <c r="J336" s="249">
        <f t="shared" si="34"/>
        <v>8.8280098378378362</v>
      </c>
      <c r="K336" s="63">
        <f>VLOOKUP(C336,'RAW DATA 2023'!E:BO,20,0)</f>
        <v>88</v>
      </c>
      <c r="L336" s="322">
        <f t="shared" si="35"/>
        <v>776.86486572972956</v>
      </c>
      <c r="M336" s="63"/>
      <c r="Y336" s="63" t="str">
        <f t="shared" si="33"/>
        <v>A1-015-003710</v>
      </c>
    </row>
    <row r="337" spans="1:25">
      <c r="A337" s="63" t="str">
        <f>'RAW DATA 2023'!B330</f>
        <v>Maeklong1</v>
      </c>
      <c r="B337" s="63" t="str">
        <f>'RAW DATA 2023'!D330</f>
        <v>A1-023-0016</v>
      </c>
      <c r="C337" s="63" t="str">
        <f t="shared" si="30"/>
        <v>Maeklong1A1-023-0016</v>
      </c>
      <c r="D337" s="63">
        <f>VLOOKUP(C337,'RAW DATA 2023'!E:BP,63,0)</f>
        <v>3</v>
      </c>
      <c r="E337" s="63" t="str">
        <f t="shared" si="31"/>
        <v>Maeklong13</v>
      </c>
      <c r="F337" s="63">
        <f>ROUND(VLOOKUP(C337,'RAW DATA 2023'!E:BO,23,0),0)</f>
        <v>27</v>
      </c>
      <c r="G337" s="120">
        <f>VLOOKUP(C337,'RAW DATA 2023'!E:BO,26,0)</f>
        <v>0.34296296300000001</v>
      </c>
      <c r="H337" s="101">
        <f>IFERROR(VLOOKUP(F337,STD!B:G,6,0),"")</f>
        <v>0.39</v>
      </c>
      <c r="I337" s="100">
        <f t="shared" si="32"/>
        <v>0.87939221282051283</v>
      </c>
      <c r="J337" s="249">
        <f t="shared" si="34"/>
        <v>7.5878442564102571</v>
      </c>
      <c r="K337" s="63">
        <f>VLOOKUP(C337,'RAW DATA 2023'!E:BO,20,0)</f>
        <v>107</v>
      </c>
      <c r="L337" s="322">
        <f t="shared" si="35"/>
        <v>811.89933543589746</v>
      </c>
      <c r="M337" s="63"/>
      <c r="Y337" s="63" t="str">
        <f t="shared" si="33"/>
        <v>A1-023-00163</v>
      </c>
    </row>
    <row r="338" spans="1:25">
      <c r="A338" s="63" t="str">
        <f>'RAW DATA 2023'!B331</f>
        <v>Maeklong1</v>
      </c>
      <c r="B338" s="63" t="str">
        <f>'RAW DATA 2023'!D331</f>
        <v>A1-021-0026</v>
      </c>
      <c r="C338" s="63" t="str">
        <f t="shared" si="30"/>
        <v>Maeklong1A1-021-0026</v>
      </c>
      <c r="D338" s="63">
        <f>VLOOKUP(C338,'RAW DATA 2023'!E:BP,63,0)</f>
        <v>12</v>
      </c>
      <c r="E338" s="63" t="str">
        <f t="shared" si="31"/>
        <v>Maeklong112</v>
      </c>
      <c r="F338" s="63">
        <f>ROUND(VLOOKUP(C338,'RAW DATA 2023'!E:BO,23,0),0)</f>
        <v>33</v>
      </c>
      <c r="G338" s="120">
        <f>VLOOKUP(C338,'RAW DATA 2023'!E:BO,26,0)</f>
        <v>0.34013736300000003</v>
      </c>
      <c r="H338" s="101">
        <f>IFERROR(VLOOKUP(F338,STD!B:G,6,0),"")</f>
        <v>0.39</v>
      </c>
      <c r="I338" s="100">
        <f t="shared" si="32"/>
        <v>0.8721470846153847</v>
      </c>
      <c r="J338" s="249">
        <f t="shared" si="34"/>
        <v>7.4429416923076941</v>
      </c>
      <c r="K338" s="63">
        <f>VLOOKUP(C338,'RAW DATA 2023'!E:BO,20,0)</f>
        <v>104</v>
      </c>
      <c r="L338" s="322">
        <f t="shared" si="35"/>
        <v>774.06593600000019</v>
      </c>
      <c r="M338" s="63"/>
      <c r="Y338" s="63" t="str">
        <f t="shared" si="33"/>
        <v>A1-021-002612</v>
      </c>
    </row>
    <row r="339" spans="1:25">
      <c r="A339" s="63" t="str">
        <f>'RAW DATA 2023'!B332</f>
        <v>Maeklong1</v>
      </c>
      <c r="B339" s="63" t="str">
        <f>'RAW DATA 2023'!D332</f>
        <v>A1-023-0017</v>
      </c>
      <c r="C339" s="63" t="str">
        <f t="shared" si="30"/>
        <v>Maeklong1A1-023-0017</v>
      </c>
      <c r="D339" s="63">
        <f>VLOOKUP(C339,'RAW DATA 2023'!E:BP,63,0)</f>
        <v>8</v>
      </c>
      <c r="E339" s="63" t="str">
        <f t="shared" si="31"/>
        <v>Maeklong18</v>
      </c>
      <c r="F339" s="63">
        <f>ROUND(VLOOKUP(C339,'RAW DATA 2023'!E:BO,23,0),0)</f>
        <v>32</v>
      </c>
      <c r="G339" s="120">
        <f>VLOOKUP(C339,'RAW DATA 2023'!E:BO,26,0)</f>
        <v>0.32905685600000001</v>
      </c>
      <c r="H339" s="101">
        <f>IFERROR(VLOOKUP(F339,STD!B:G,6,0),"")</f>
        <v>0.39</v>
      </c>
      <c r="I339" s="100">
        <f t="shared" si="32"/>
        <v>0.8437355282051282</v>
      </c>
      <c r="J339" s="249">
        <f t="shared" si="34"/>
        <v>6.8747105641025641</v>
      </c>
      <c r="K339" s="63">
        <f>VLOOKUP(C339,'RAW DATA 2023'!E:BO,20,0)</f>
        <v>115</v>
      </c>
      <c r="L339" s="322">
        <f t="shared" si="35"/>
        <v>790.59171487179492</v>
      </c>
      <c r="M339" s="63"/>
      <c r="Y339" s="63" t="str">
        <f t="shared" si="33"/>
        <v>A1-023-00178</v>
      </c>
    </row>
    <row r="340" spans="1:25">
      <c r="A340" s="63" t="str">
        <f>'RAW DATA 2023'!B333</f>
        <v>Maeklong1</v>
      </c>
      <c r="B340" s="63" t="str">
        <f>'RAW DATA 2023'!D333</f>
        <v>A1-024-0011</v>
      </c>
      <c r="C340" s="63" t="str">
        <f t="shared" si="30"/>
        <v>Maeklong1A1-024-0011</v>
      </c>
      <c r="D340" s="63">
        <f>VLOOKUP(C340,'RAW DATA 2023'!E:BP,63,0)</f>
        <v>5</v>
      </c>
      <c r="E340" s="63" t="str">
        <f t="shared" si="31"/>
        <v>Maeklong15</v>
      </c>
      <c r="F340" s="63">
        <f>ROUND(VLOOKUP(C340,'RAW DATA 2023'!E:BO,23,0),0)</f>
        <v>31</v>
      </c>
      <c r="G340" s="120">
        <f>VLOOKUP(C340,'RAW DATA 2023'!E:BO,26,0)</f>
        <v>0.29175555600000003</v>
      </c>
      <c r="H340" s="101">
        <f>IFERROR(VLOOKUP(F340,STD!B:G,6,0),"")</f>
        <v>0.39</v>
      </c>
      <c r="I340" s="100">
        <f t="shared" si="32"/>
        <v>0.74809116923076924</v>
      </c>
      <c r="J340" s="249">
        <f t="shared" si="34"/>
        <v>4.9618233846153847</v>
      </c>
      <c r="K340" s="63">
        <f>VLOOKUP(C340,'RAW DATA 2023'!E:BO,20,0)</f>
        <v>135</v>
      </c>
      <c r="L340" s="322">
        <f t="shared" si="35"/>
        <v>669.84615692307693</v>
      </c>
      <c r="M340" s="63"/>
      <c r="Y340" s="63" t="str">
        <f t="shared" si="33"/>
        <v>A1-024-00115</v>
      </c>
    </row>
    <row r="341" spans="1:25">
      <c r="A341" s="63" t="str">
        <f>'RAW DATA 2023'!B334</f>
        <v>Maeklong1</v>
      </c>
      <c r="B341" s="63" t="str">
        <f>'RAW DATA 2023'!D334</f>
        <v>A1-021-0024</v>
      </c>
      <c r="C341" s="63" t="str">
        <f t="shared" si="30"/>
        <v>Maeklong1A1-021-0024</v>
      </c>
      <c r="D341" s="63">
        <f>VLOOKUP(C341,'RAW DATA 2023'!E:BP,63,0)</f>
        <v>3</v>
      </c>
      <c r="E341" s="63" t="str">
        <f t="shared" si="31"/>
        <v>Maeklong13</v>
      </c>
      <c r="F341" s="63">
        <f>ROUND(VLOOKUP(C341,'RAW DATA 2023'!E:BO,23,0),0)</f>
        <v>35</v>
      </c>
      <c r="G341" s="120">
        <f>VLOOKUP(C341,'RAW DATA 2023'!E:BO,26,0)</f>
        <v>0.28431457399999999</v>
      </c>
      <c r="H341" s="101">
        <f>IFERROR(VLOOKUP(F341,STD!B:G,6,0),"")</f>
        <v>0.37</v>
      </c>
      <c r="I341" s="100">
        <f t="shared" si="32"/>
        <v>0.76841776756756752</v>
      </c>
      <c r="J341" s="249">
        <f t="shared" si="34"/>
        <v>5.3683553513513509</v>
      </c>
      <c r="K341" s="63">
        <f>VLOOKUP(C341,'RAW DATA 2023'!E:BO,20,0)</f>
        <v>105</v>
      </c>
      <c r="L341" s="322">
        <f t="shared" si="35"/>
        <v>563.6773118918918</v>
      </c>
      <c r="M341" s="63"/>
      <c r="Y341" s="63" t="str">
        <f t="shared" si="33"/>
        <v>A1-021-00243</v>
      </c>
    </row>
    <row r="342" spans="1:25">
      <c r="A342" s="63" t="str">
        <f>'RAW DATA 2023'!B335</f>
        <v>Maeklong1</v>
      </c>
      <c r="B342" s="63" t="str">
        <f>'RAW DATA 2023'!D335</f>
        <v>A1-023-0018</v>
      </c>
      <c r="C342" s="63" t="str">
        <f t="shared" si="30"/>
        <v>Maeklong1A1-023-0018</v>
      </c>
      <c r="D342" s="63">
        <f>VLOOKUP(C342,'RAW DATA 2023'!E:BP,63,0)</f>
        <v>10</v>
      </c>
      <c r="E342" s="63" t="str">
        <f t="shared" si="31"/>
        <v>Maeklong110</v>
      </c>
      <c r="F342" s="63">
        <f>ROUND(VLOOKUP(C342,'RAW DATA 2023'!E:BO,23,0),0)</f>
        <v>71</v>
      </c>
      <c r="G342" s="120">
        <f>VLOOKUP(C342,'RAW DATA 2023'!E:BO,26,0)</f>
        <v>0.28280222999999999</v>
      </c>
      <c r="H342" s="101">
        <f>IFERROR(VLOOKUP(F342,STD!B:G,6,0),"")</f>
        <v>0.35</v>
      </c>
      <c r="I342" s="100">
        <f t="shared" si="32"/>
        <v>0.80800637142857146</v>
      </c>
      <c r="J342" s="249">
        <f t="shared" si="34"/>
        <v>6.1601274285714291</v>
      </c>
      <c r="K342" s="63">
        <f>VLOOKUP(C342,'RAW DATA 2023'!E:BO,20,0)</f>
        <v>48</v>
      </c>
      <c r="L342" s="322">
        <f t="shared" si="35"/>
        <v>295.68611657142861</v>
      </c>
      <c r="M342" s="63"/>
      <c r="Y342" s="63" t="str">
        <f t="shared" si="33"/>
        <v>A1-023-001810</v>
      </c>
    </row>
    <row r="343" spans="1:25">
      <c r="A343" s="63" t="str">
        <f>'RAW DATA 2023'!B336</f>
        <v>Maeklong1</v>
      </c>
      <c r="B343" s="63" t="str">
        <f>'RAW DATA 2023'!D336</f>
        <v>A1-019-0023</v>
      </c>
      <c r="C343" s="63" t="str">
        <f t="shared" si="30"/>
        <v>Maeklong1A1-019-0023</v>
      </c>
      <c r="D343" s="63">
        <f>VLOOKUP(C343,'RAW DATA 2023'!E:BP,63,0)</f>
        <v>5</v>
      </c>
      <c r="E343" s="63" t="str">
        <f t="shared" si="31"/>
        <v>Maeklong15</v>
      </c>
      <c r="F343" s="63">
        <f>ROUND(VLOOKUP(C343,'RAW DATA 2023'!E:BO,23,0),0)</f>
        <v>34</v>
      </c>
      <c r="G343" s="120">
        <f>VLOOKUP(C343,'RAW DATA 2023'!E:BO,26,0)</f>
        <v>0.28152693099999998</v>
      </c>
      <c r="H343" s="101">
        <f>IFERROR(VLOOKUP(F343,STD!B:G,6,0),"")</f>
        <v>0.38</v>
      </c>
      <c r="I343" s="100">
        <f t="shared" si="32"/>
        <v>0.74086034473684204</v>
      </c>
      <c r="J343" s="249">
        <f t="shared" si="34"/>
        <v>4.8172068947368407</v>
      </c>
      <c r="K343" s="63">
        <f>VLOOKUP(C343,'RAW DATA 2023'!E:BO,20,0)</f>
        <v>121</v>
      </c>
      <c r="L343" s="322">
        <f t="shared" si="35"/>
        <v>582.88203426315772</v>
      </c>
      <c r="M343" s="63"/>
      <c r="Y343" s="63" t="str">
        <f t="shared" si="33"/>
        <v>A1-019-00235</v>
      </c>
    </row>
    <row r="344" spans="1:25">
      <c r="A344" s="63" t="str">
        <f>'RAW DATA 2023'!B337</f>
        <v>Maeklong1</v>
      </c>
      <c r="B344" s="63" t="str">
        <f>'RAW DATA 2023'!D337</f>
        <v>A1-015-0035</v>
      </c>
      <c r="C344" s="63" t="str">
        <f t="shared" si="30"/>
        <v>Maeklong1A1-015-0035</v>
      </c>
      <c r="D344" s="63">
        <f>VLOOKUP(C344,'RAW DATA 2023'!E:BP,63,0)</f>
        <v>3</v>
      </c>
      <c r="E344" s="63" t="str">
        <f t="shared" si="31"/>
        <v>Maeklong13</v>
      </c>
      <c r="F344" s="63">
        <f>ROUND(VLOOKUP(C344,'RAW DATA 2023'!E:BO,23,0),0)</f>
        <v>38</v>
      </c>
      <c r="G344" s="120">
        <f>VLOOKUP(C344,'RAW DATA 2023'!E:BO,26,0)</f>
        <v>0.271698736</v>
      </c>
      <c r="H344" s="101">
        <f>IFERROR(VLOOKUP(F344,STD!B:G,6,0),"")</f>
        <v>0.37</v>
      </c>
      <c r="I344" s="100">
        <f t="shared" si="32"/>
        <v>0.73432090810810813</v>
      </c>
      <c r="J344" s="249">
        <f t="shared" si="34"/>
        <v>4.6864181621621626</v>
      </c>
      <c r="K344" s="63">
        <f>VLOOKUP(C344,'RAW DATA 2023'!E:BO,20,0)</f>
        <v>107</v>
      </c>
      <c r="L344" s="322">
        <f t="shared" si="35"/>
        <v>501.44674335135142</v>
      </c>
      <c r="M344" s="63"/>
      <c r="Y344" s="63" t="str">
        <f t="shared" si="33"/>
        <v>A1-015-00353</v>
      </c>
    </row>
    <row r="345" spans="1:25">
      <c r="A345" s="63" t="str">
        <f>'RAW DATA 2023'!B338</f>
        <v>Maeklong1</v>
      </c>
      <c r="B345" s="63" t="str">
        <f>'RAW DATA 2023'!D338</f>
        <v>A1-017-0029</v>
      </c>
      <c r="C345" s="63" t="str">
        <f t="shared" si="30"/>
        <v>Maeklong1A1-017-0029</v>
      </c>
      <c r="D345" s="63">
        <f>VLOOKUP(C345,'RAW DATA 2023'!E:BP,63,0)</f>
        <v>2</v>
      </c>
      <c r="E345" s="63" t="str">
        <f t="shared" si="31"/>
        <v>Maeklong12</v>
      </c>
      <c r="F345" s="63">
        <f>ROUND(VLOOKUP(C345,'RAW DATA 2023'!E:BO,23,0),0)</f>
        <v>51</v>
      </c>
      <c r="G345" s="120">
        <f>VLOOKUP(C345,'RAW DATA 2023'!E:BO,26,0)</f>
        <v>0.2461875</v>
      </c>
      <c r="H345" s="101">
        <f>IFERROR(VLOOKUP(F345,STD!B:G,6,0),"")</f>
        <v>0.36</v>
      </c>
      <c r="I345" s="100">
        <f t="shared" si="32"/>
        <v>0.68385416666666665</v>
      </c>
      <c r="J345" s="249">
        <f t="shared" si="34"/>
        <v>3.677083333333333</v>
      </c>
      <c r="K345" s="63">
        <f>VLOOKUP(C345,'RAW DATA 2023'!E:BO,20,0)</f>
        <v>80</v>
      </c>
      <c r="L345" s="322">
        <f t="shared" si="35"/>
        <v>294.16666666666663</v>
      </c>
      <c r="M345" s="63"/>
      <c r="Y345" s="63" t="str">
        <f t="shared" si="33"/>
        <v>A1-017-00292</v>
      </c>
    </row>
    <row r="346" spans="1:25">
      <c r="A346" s="63" t="str">
        <f>'RAW DATA 2023'!B339</f>
        <v>Maeklong1</v>
      </c>
      <c r="B346" s="63" t="str">
        <f>'RAW DATA 2023'!D339</f>
        <v>A1-017-0030</v>
      </c>
      <c r="C346" s="63" t="str">
        <f t="shared" si="30"/>
        <v>Maeklong1A1-017-0030</v>
      </c>
      <c r="D346" s="63">
        <f>VLOOKUP(C346,'RAW DATA 2023'!E:BP,63,0)</f>
        <v>3</v>
      </c>
      <c r="E346" s="63" t="str">
        <f t="shared" si="31"/>
        <v>Maeklong13</v>
      </c>
      <c r="F346" s="63">
        <f>ROUND(VLOOKUP(C346,'RAW DATA 2023'!E:BO,23,0),0)</f>
        <v>0</v>
      </c>
      <c r="G346" s="120">
        <f>VLOOKUP(C346,'RAW DATA 2023'!E:BO,26,0)</f>
        <v>0</v>
      </c>
      <c r="H346" s="101" t="str">
        <f>IFERROR(VLOOKUP(F346,STD!B:G,6,0),"")</f>
        <v/>
      </c>
      <c r="I346" s="100">
        <f t="shared" si="32"/>
        <v>0</v>
      </c>
      <c r="J346" s="249">
        <f t="shared" si="34"/>
        <v>0</v>
      </c>
      <c r="K346" s="63">
        <f>VLOOKUP(C346,'RAW DATA 2023'!E:BO,20,0)</f>
        <v>0</v>
      </c>
      <c r="L346" s="322">
        <f t="shared" si="35"/>
        <v>0</v>
      </c>
      <c r="M346" s="63"/>
      <c r="Y346" s="63" t="str">
        <f t="shared" si="33"/>
        <v>A1-017-00303</v>
      </c>
    </row>
    <row r="347" spans="1:25">
      <c r="A347" s="63" t="str">
        <f>'RAW DATA 2023'!B340</f>
        <v>Maeklong1</v>
      </c>
      <c r="B347" s="63" t="str">
        <f>'RAW DATA 2023'!D340</f>
        <v>A1-017-0032</v>
      </c>
      <c r="C347" s="63" t="str">
        <f t="shared" si="30"/>
        <v>Maeklong1A1-017-0032</v>
      </c>
      <c r="D347" s="63">
        <f>VLOOKUP(C347,'RAW DATA 2023'!E:BP,63,0)</f>
        <v>10</v>
      </c>
      <c r="E347" s="63" t="str">
        <f t="shared" si="31"/>
        <v>Maeklong110</v>
      </c>
      <c r="F347" s="63">
        <f>ROUND(VLOOKUP(C347,'RAW DATA 2023'!E:BO,23,0),0)</f>
        <v>0</v>
      </c>
      <c r="G347" s="120">
        <f>VLOOKUP(C347,'RAW DATA 2023'!E:BO,26,0)</f>
        <v>0</v>
      </c>
      <c r="H347" s="101" t="str">
        <f>IFERROR(VLOOKUP(F347,STD!B:G,6,0),"")</f>
        <v/>
      </c>
      <c r="I347" s="100">
        <f t="shared" si="32"/>
        <v>0</v>
      </c>
      <c r="J347" s="249">
        <f t="shared" si="34"/>
        <v>0</v>
      </c>
      <c r="K347" s="63">
        <f>VLOOKUP(C347,'RAW DATA 2023'!E:BO,20,0)</f>
        <v>0</v>
      </c>
      <c r="L347" s="322">
        <f t="shared" si="35"/>
        <v>0</v>
      </c>
      <c r="M347" s="63"/>
      <c r="Y347" s="63" t="str">
        <f t="shared" si="33"/>
        <v>A1-017-003210</v>
      </c>
    </row>
    <row r="348" spans="1:25">
      <c r="A348" s="63" t="str">
        <f>'RAW DATA 2023'!B341</f>
        <v>Maeklong1</v>
      </c>
      <c r="B348" s="63" t="str">
        <f>'RAW DATA 2023'!D341</f>
        <v>A1-029-0014</v>
      </c>
      <c r="C348" s="63" t="str">
        <f t="shared" si="30"/>
        <v>Maeklong1A1-029-0014</v>
      </c>
      <c r="D348" s="63">
        <f>VLOOKUP(C348,'RAW DATA 2023'!E:BP,63,0)</f>
        <v>9</v>
      </c>
      <c r="E348" s="63" t="str">
        <f t="shared" si="31"/>
        <v>Maeklong19</v>
      </c>
      <c r="F348" s="63">
        <f>ROUND(VLOOKUP(C348,'RAW DATA 2023'!E:BO,23,0),0)</f>
        <v>35</v>
      </c>
      <c r="G348" s="120">
        <f>VLOOKUP(C348,'RAW DATA 2023'!E:BO,26,0)</f>
        <v>0.44908046000000007</v>
      </c>
      <c r="H348" s="101">
        <f>IFERROR(VLOOKUP(F348,STD!B:G,6,0),"")</f>
        <v>0.37</v>
      </c>
      <c r="I348" s="100">
        <f t="shared" si="32"/>
        <v>1.2137309729729733</v>
      </c>
      <c r="J348" s="249">
        <f t="shared" si="34"/>
        <v>14.274619459459466</v>
      </c>
      <c r="K348" s="63">
        <f>VLOOKUP(C348,'RAW DATA 2023'!E:BO,20,0)</f>
        <v>87</v>
      </c>
      <c r="L348" s="322">
        <f t="shared" si="35"/>
        <v>1241.8918929729734</v>
      </c>
      <c r="M348" s="63"/>
      <c r="Y348" s="63" t="str">
        <f t="shared" si="33"/>
        <v>A1-029-00149</v>
      </c>
    </row>
    <row r="349" spans="1:25">
      <c r="A349" s="63" t="str">
        <f>'RAW DATA 2023'!B342</f>
        <v>Maeklong1</v>
      </c>
      <c r="B349" s="63" t="str">
        <f>'RAW DATA 2023'!D342</f>
        <v>A1-002-0034</v>
      </c>
      <c r="C349" s="63" t="str">
        <f t="shared" si="30"/>
        <v>Maeklong1A1-002-0034</v>
      </c>
      <c r="D349" s="63">
        <f>VLOOKUP(C349,'RAW DATA 2023'!E:BP,63,0)</f>
        <v>7</v>
      </c>
      <c r="E349" s="63" t="str">
        <f t="shared" si="31"/>
        <v>Maeklong17</v>
      </c>
      <c r="F349" s="63">
        <f>ROUND(VLOOKUP(C349,'RAW DATA 2023'!E:BO,23,0),0)</f>
        <v>27</v>
      </c>
      <c r="G349" s="120">
        <f>VLOOKUP(C349,'RAW DATA 2023'!E:BO,26,0)</f>
        <v>0.42244187</v>
      </c>
      <c r="H349" s="101">
        <f>IFERROR(VLOOKUP(F349,STD!B:G,6,0),"")</f>
        <v>0.39</v>
      </c>
      <c r="I349" s="100">
        <f t="shared" si="32"/>
        <v>1.083184282051282</v>
      </c>
      <c r="J349" s="249">
        <f t="shared" si="34"/>
        <v>11.663685641025641</v>
      </c>
      <c r="K349" s="63">
        <f>VLOOKUP(C349,'RAW DATA 2023'!E:BO,20,0)</f>
        <v>111.00000000000001</v>
      </c>
      <c r="L349" s="322">
        <f t="shared" si="35"/>
        <v>1294.6691061538463</v>
      </c>
      <c r="M349" s="63"/>
      <c r="Y349" s="63" t="str">
        <f t="shared" si="33"/>
        <v>A1-002-00347</v>
      </c>
    </row>
    <row r="350" spans="1:25">
      <c r="A350" s="63" t="str">
        <f>'RAW DATA 2023'!B343</f>
        <v>Maeklong1</v>
      </c>
      <c r="B350" s="63" t="str">
        <f>'RAW DATA 2023'!D343</f>
        <v>A1-005-0044</v>
      </c>
      <c r="C350" s="63" t="str">
        <f t="shared" si="30"/>
        <v>Maeklong1A1-005-0044</v>
      </c>
      <c r="D350" s="63">
        <f>VLOOKUP(C350,'RAW DATA 2023'!E:BP,63,0)</f>
        <v>9</v>
      </c>
      <c r="E350" s="63" t="str">
        <f t="shared" si="31"/>
        <v>Maeklong19</v>
      </c>
      <c r="F350" s="63">
        <f>ROUND(VLOOKUP(C350,'RAW DATA 2023'!E:BO,23,0),0)</f>
        <v>26</v>
      </c>
      <c r="G350" s="120">
        <f>VLOOKUP(C350,'RAW DATA 2023'!E:BO,26,0)</f>
        <v>0.41413850600000002</v>
      </c>
      <c r="H350" s="101">
        <f>IFERROR(VLOOKUP(F350,STD!B:G,6,0),"")</f>
        <v>0.37</v>
      </c>
      <c r="I350" s="100">
        <f t="shared" si="32"/>
        <v>1.1192932594594596</v>
      </c>
      <c r="J350" s="249">
        <f t="shared" si="34"/>
        <v>12.385865189189191</v>
      </c>
      <c r="K350" s="63">
        <f>VLOOKUP(C350,'RAW DATA 2023'!E:BO,20,0)</f>
        <v>141</v>
      </c>
      <c r="L350" s="322">
        <f t="shared" si="35"/>
        <v>1746.406991675676</v>
      </c>
      <c r="M350" s="63"/>
      <c r="Y350" s="63" t="str">
        <f t="shared" si="33"/>
        <v>A1-005-00449</v>
      </c>
    </row>
    <row r="351" spans="1:25">
      <c r="A351" s="63" t="str">
        <f>'RAW DATA 2023'!B344</f>
        <v>Maeklong1</v>
      </c>
      <c r="B351" s="63" t="str">
        <f>'RAW DATA 2023'!D344</f>
        <v>A1-006-0042</v>
      </c>
      <c r="C351" s="63" t="str">
        <f t="shared" si="30"/>
        <v>Maeklong1A1-006-0042</v>
      </c>
      <c r="D351" s="63">
        <f>VLOOKUP(C351,'RAW DATA 2023'!E:BP,63,0)</f>
        <v>9</v>
      </c>
      <c r="E351" s="63" t="str">
        <f t="shared" si="31"/>
        <v>Maeklong19</v>
      </c>
      <c r="F351" s="63">
        <f>ROUND(VLOOKUP(C351,'RAW DATA 2023'!E:BO,23,0),0)</f>
        <v>27</v>
      </c>
      <c r="G351" s="120">
        <f>VLOOKUP(C351,'RAW DATA 2023'!E:BO,26,0)</f>
        <v>0.37454799700000002</v>
      </c>
      <c r="H351" s="101">
        <f>IFERROR(VLOOKUP(F351,STD!B:G,6,0),"")</f>
        <v>0.39</v>
      </c>
      <c r="I351" s="100">
        <f t="shared" si="32"/>
        <v>0.9603794794871795</v>
      </c>
      <c r="J351" s="249">
        <f t="shared" si="34"/>
        <v>9.2075895897435895</v>
      </c>
      <c r="K351" s="63">
        <f>VLOOKUP(C351,'RAW DATA 2023'!E:BO,20,0)</f>
        <v>126</v>
      </c>
      <c r="L351" s="322">
        <f t="shared" si="35"/>
        <v>1160.1562883076922</v>
      </c>
      <c r="M351" s="63"/>
      <c r="Y351" s="63" t="str">
        <f t="shared" si="33"/>
        <v>A1-006-00429</v>
      </c>
    </row>
    <row r="352" spans="1:25">
      <c r="A352" s="63" t="str">
        <f>'RAW DATA 2023'!B345</f>
        <v>Maeklong1</v>
      </c>
      <c r="B352" s="63" t="str">
        <f>'RAW DATA 2023'!D345</f>
        <v>A1-030-0007</v>
      </c>
      <c r="C352" s="63" t="str">
        <f t="shared" si="30"/>
        <v>Maeklong1A1-030-0007</v>
      </c>
      <c r="D352" s="63">
        <f>VLOOKUP(C352,'RAW DATA 2023'!E:BP,63,0)</f>
        <v>8</v>
      </c>
      <c r="E352" s="63" t="str">
        <f t="shared" si="31"/>
        <v>Maeklong18</v>
      </c>
      <c r="F352" s="63">
        <f>ROUND(VLOOKUP(C352,'RAW DATA 2023'!E:BO,23,0),0)</f>
        <v>32</v>
      </c>
      <c r="G352" s="120">
        <f>VLOOKUP(C352,'RAW DATA 2023'!E:BO,26,0)</f>
        <v>0.36542825400000001</v>
      </c>
      <c r="H352" s="101">
        <f>IFERROR(VLOOKUP(F352,STD!B:G,6,0),"")</f>
        <v>0.39</v>
      </c>
      <c r="I352" s="100">
        <f t="shared" si="32"/>
        <v>0.93699552307692302</v>
      </c>
      <c r="J352" s="249">
        <f t="shared" si="34"/>
        <v>8.7399104615384609</v>
      </c>
      <c r="K352" s="63">
        <f>VLOOKUP(C352,'RAW DATA 2023'!E:BO,20,0)</f>
        <v>104</v>
      </c>
      <c r="L352" s="322">
        <f t="shared" si="35"/>
        <v>908.9506879999999</v>
      </c>
      <c r="M352" s="63"/>
      <c r="Y352" s="63" t="str">
        <f t="shared" si="33"/>
        <v>A1-030-00078</v>
      </c>
    </row>
    <row r="353" spans="1:25">
      <c r="A353" s="63" t="str">
        <f>'RAW DATA 2023'!B346</f>
        <v>Maeklong1</v>
      </c>
      <c r="B353" s="63" t="str">
        <f>'RAW DATA 2023'!D346</f>
        <v>A1-009-0043</v>
      </c>
      <c r="C353" s="63" t="str">
        <f t="shared" si="30"/>
        <v>Maeklong1A1-009-0043</v>
      </c>
      <c r="D353" s="63">
        <f>VLOOKUP(C353,'RAW DATA 2023'!E:BP,63,0)</f>
        <v>10</v>
      </c>
      <c r="E353" s="63" t="str">
        <f t="shared" si="31"/>
        <v>Maeklong110</v>
      </c>
      <c r="F353" s="63">
        <f>ROUND(VLOOKUP(C353,'RAW DATA 2023'!E:BO,23,0),0)</f>
        <v>32</v>
      </c>
      <c r="G353" s="120">
        <f>VLOOKUP(C353,'RAW DATA 2023'!E:BO,26,0)</f>
        <v>0.356906475</v>
      </c>
      <c r="H353" s="101">
        <f>IFERROR(VLOOKUP(F353,STD!B:G,6,0),"")</f>
        <v>0.39</v>
      </c>
      <c r="I353" s="100">
        <f t="shared" si="32"/>
        <v>0.91514480769230766</v>
      </c>
      <c r="J353" s="249">
        <f t="shared" si="34"/>
        <v>8.3028961538461523</v>
      </c>
      <c r="K353" s="63">
        <f>VLOOKUP(C353,'RAW DATA 2023'!E:BO,20,0)</f>
        <v>139</v>
      </c>
      <c r="L353" s="322">
        <f t="shared" si="35"/>
        <v>1154.1025653846152</v>
      </c>
      <c r="M353" s="63"/>
      <c r="Y353" s="63" t="str">
        <f t="shared" si="33"/>
        <v>A1-009-004310</v>
      </c>
    </row>
    <row r="354" spans="1:25">
      <c r="A354" s="63" t="str">
        <f>'RAW DATA 2023'!B347</f>
        <v>Maeklong1</v>
      </c>
      <c r="B354" s="63" t="str">
        <f>'RAW DATA 2023'!D347</f>
        <v>A1-029-0013</v>
      </c>
      <c r="C354" s="63" t="str">
        <f t="shared" si="30"/>
        <v>Maeklong1A1-029-0013</v>
      </c>
      <c r="D354" s="63">
        <f>VLOOKUP(C354,'RAW DATA 2023'!E:BP,63,0)</f>
        <v>5</v>
      </c>
      <c r="E354" s="63" t="str">
        <f t="shared" si="31"/>
        <v>Maeklong15</v>
      </c>
      <c r="F354" s="63">
        <f>ROUND(VLOOKUP(C354,'RAW DATA 2023'!E:BO,23,0),0)</f>
        <v>36</v>
      </c>
      <c r="G354" s="120">
        <f>VLOOKUP(C354,'RAW DATA 2023'!E:BO,26,0)</f>
        <v>0.352841236</v>
      </c>
      <c r="H354" s="101">
        <f>IFERROR(VLOOKUP(F354,STD!B:G,6,0),"")</f>
        <v>0.36</v>
      </c>
      <c r="I354" s="100">
        <f t="shared" si="32"/>
        <v>0.98011454444444446</v>
      </c>
      <c r="J354" s="249">
        <f t="shared" si="34"/>
        <v>9.6022908888888896</v>
      </c>
      <c r="K354" s="63">
        <f>VLOOKUP(C354,'RAW DATA 2023'!E:BO,20,0)</f>
        <v>96</v>
      </c>
      <c r="L354" s="322">
        <f t="shared" si="35"/>
        <v>921.81992533333346</v>
      </c>
      <c r="M354" s="63"/>
      <c r="Y354" s="63" t="str">
        <f t="shared" si="33"/>
        <v>A1-029-00135</v>
      </c>
    </row>
    <row r="355" spans="1:25">
      <c r="A355" s="63" t="str">
        <f>'RAW DATA 2023'!B348</f>
        <v>Maeklong1</v>
      </c>
      <c r="B355" s="63" t="str">
        <f>'RAW DATA 2023'!D348</f>
        <v>A1-030-0008</v>
      </c>
      <c r="C355" s="63" t="str">
        <f t="shared" si="30"/>
        <v>Maeklong1A1-030-0008</v>
      </c>
      <c r="D355" s="63">
        <f>VLOOKUP(C355,'RAW DATA 2023'!E:BP,63,0)</f>
        <v>12</v>
      </c>
      <c r="E355" s="63" t="str">
        <f t="shared" si="31"/>
        <v>Maeklong112</v>
      </c>
      <c r="F355" s="63">
        <f>ROUND(VLOOKUP(C355,'RAW DATA 2023'!E:BO,23,0),0)</f>
        <v>41</v>
      </c>
      <c r="G355" s="120">
        <f>VLOOKUP(C355,'RAW DATA 2023'!E:BO,26,0)</f>
        <v>0.338138408</v>
      </c>
      <c r="H355" s="101">
        <f>IFERROR(VLOOKUP(F355,STD!B:G,6,0),"")</f>
        <v>0.37</v>
      </c>
      <c r="I355" s="100">
        <f t="shared" si="32"/>
        <v>0.91388758918918922</v>
      </c>
      <c r="J355" s="249">
        <f t="shared" si="34"/>
        <v>8.2777517837837848</v>
      </c>
      <c r="K355" s="63">
        <f>VLOOKUP(C355,'RAW DATA 2023'!E:BO,20,0)</f>
        <v>85</v>
      </c>
      <c r="L355" s="322">
        <f t="shared" si="35"/>
        <v>703.60890162162173</v>
      </c>
      <c r="M355" s="63"/>
      <c r="Y355" s="63" t="str">
        <f t="shared" si="33"/>
        <v>A1-030-000812</v>
      </c>
    </row>
    <row r="356" spans="1:25">
      <c r="A356" s="63" t="str">
        <f>'RAW DATA 2023'!B349</f>
        <v>Maeklong1</v>
      </c>
      <c r="B356" s="63" t="str">
        <f>'RAW DATA 2023'!D349</f>
        <v>A1-002-0035</v>
      </c>
      <c r="C356" s="63" t="str">
        <f t="shared" si="30"/>
        <v>Maeklong1A1-002-0035</v>
      </c>
      <c r="D356" s="63">
        <f>VLOOKUP(C356,'RAW DATA 2023'!E:BP,63,0)</f>
        <v>10</v>
      </c>
      <c r="E356" s="63" t="str">
        <f t="shared" si="31"/>
        <v>Maeklong110</v>
      </c>
      <c r="F356" s="63">
        <f>ROUND(VLOOKUP(C356,'RAW DATA 2023'!E:BO,23,0),0)</f>
        <v>45</v>
      </c>
      <c r="G356" s="120">
        <f>VLOOKUP(C356,'RAW DATA 2023'!E:BO,26,0)</f>
        <v>0.33082488199999999</v>
      </c>
      <c r="H356" s="101">
        <f>IFERROR(VLOOKUP(F356,STD!B:G,6,0),"")</f>
        <v>0.36</v>
      </c>
      <c r="I356" s="100">
        <f t="shared" si="32"/>
        <v>0.91895800555555551</v>
      </c>
      <c r="J356" s="249">
        <f t="shared" si="34"/>
        <v>8.3791601111111103</v>
      </c>
      <c r="K356" s="63">
        <f>VLOOKUP(C356,'RAW DATA 2023'!E:BO,20,0)</f>
        <v>58</v>
      </c>
      <c r="L356" s="322">
        <f t="shared" si="35"/>
        <v>485.99128644444437</v>
      </c>
      <c r="M356" s="63"/>
      <c r="Y356" s="63" t="str">
        <f t="shared" si="33"/>
        <v>A1-002-003510</v>
      </c>
    </row>
    <row r="357" spans="1:25">
      <c r="A357" s="63" t="str">
        <f>'RAW DATA 2023'!B350</f>
        <v>Maeklong1</v>
      </c>
      <c r="B357" s="63" t="str">
        <f>'RAW DATA 2023'!D350</f>
        <v>A1-029-0012</v>
      </c>
      <c r="C357" s="63" t="str">
        <f t="shared" si="30"/>
        <v>Maeklong1A1-029-0012</v>
      </c>
      <c r="D357" s="63">
        <f>VLOOKUP(C357,'RAW DATA 2023'!E:BP,63,0)</f>
        <v>1</v>
      </c>
      <c r="E357" s="63" t="str">
        <f t="shared" si="31"/>
        <v>Maeklong11</v>
      </c>
      <c r="F357" s="63">
        <f>ROUND(VLOOKUP(C357,'RAW DATA 2023'!E:BO,23,0),0)</f>
        <v>44</v>
      </c>
      <c r="G357" s="120">
        <f>VLOOKUP(C357,'RAW DATA 2023'!E:BO,26,0)</f>
        <v>0.31410872299999998</v>
      </c>
      <c r="H357" s="101">
        <f>IFERROR(VLOOKUP(F357,STD!B:G,6,0),"")</f>
        <v>0.37</v>
      </c>
      <c r="I357" s="100">
        <f t="shared" si="32"/>
        <v>0.84894249459459459</v>
      </c>
      <c r="J357" s="249">
        <f t="shared" si="34"/>
        <v>6.9788498918918922</v>
      </c>
      <c r="K357" s="63">
        <f>VLOOKUP(C357,'RAW DATA 2023'!E:BO,20,0)</f>
        <v>113</v>
      </c>
      <c r="L357" s="322">
        <f t="shared" si="35"/>
        <v>788.61003778378381</v>
      </c>
      <c r="M357" s="63"/>
      <c r="Y357" s="63" t="str">
        <f t="shared" si="33"/>
        <v>A1-029-00121</v>
      </c>
    </row>
    <row r="358" spans="1:25">
      <c r="A358" s="63" t="str">
        <f>'RAW DATA 2023'!B351</f>
        <v>Maeklong1</v>
      </c>
      <c r="B358" s="63" t="str">
        <f>'RAW DATA 2023'!D351</f>
        <v>A1-029-0015</v>
      </c>
      <c r="C358" s="63" t="str">
        <f t="shared" si="30"/>
        <v>Maeklong1A1-029-0015</v>
      </c>
      <c r="D358" s="63">
        <f>VLOOKUP(C358,'RAW DATA 2023'!E:BP,63,0)</f>
        <v>12</v>
      </c>
      <c r="E358" s="63" t="str">
        <f t="shared" si="31"/>
        <v>Maeklong112</v>
      </c>
      <c r="F358" s="63">
        <f>ROUND(VLOOKUP(C358,'RAW DATA 2023'!E:BO,23,0),0)</f>
        <v>64</v>
      </c>
      <c r="G358" s="120">
        <f>VLOOKUP(C358,'RAW DATA 2023'!E:BO,26,0)</f>
        <v>0.30718954199999998</v>
      </c>
      <c r="H358" s="101">
        <f>IFERROR(VLOOKUP(F358,STD!B:G,6,0),"")</f>
        <v>0.36</v>
      </c>
      <c r="I358" s="100">
        <f t="shared" si="32"/>
        <v>0.8533042833333333</v>
      </c>
      <c r="J358" s="249">
        <f t="shared" si="34"/>
        <v>7.066085666666666</v>
      </c>
      <c r="K358" s="63">
        <f>VLOOKUP(C358,'RAW DATA 2023'!E:BO,20,0)</f>
        <v>51</v>
      </c>
      <c r="L358" s="322">
        <f t="shared" si="35"/>
        <v>360.37036899999998</v>
      </c>
      <c r="M358" s="63"/>
      <c r="Y358" s="63" t="str">
        <f t="shared" si="33"/>
        <v>A1-029-001512</v>
      </c>
    </row>
    <row r="359" spans="1:25">
      <c r="A359" s="63" t="str">
        <f>'RAW DATA 2023'!B352</f>
        <v>Maeklong1</v>
      </c>
      <c r="B359" s="63" t="str">
        <f>'RAW DATA 2023'!D352</f>
        <v>A1-006-0043</v>
      </c>
      <c r="C359" s="63" t="str">
        <f t="shared" si="30"/>
        <v>Maeklong1A1-006-0043</v>
      </c>
      <c r="D359" s="63">
        <f>VLOOKUP(C359,'RAW DATA 2023'!E:BP,63,0)</f>
        <v>12</v>
      </c>
      <c r="E359" s="63" t="str">
        <f t="shared" si="31"/>
        <v>Maeklong112</v>
      </c>
      <c r="F359" s="63">
        <f>ROUND(VLOOKUP(C359,'RAW DATA 2023'!E:BO,23,0),0)</f>
        <v>52</v>
      </c>
      <c r="G359" s="120">
        <f>VLOOKUP(C359,'RAW DATA 2023'!E:BO,26,0)</f>
        <v>0.30539062500000003</v>
      </c>
      <c r="H359" s="101">
        <f>IFERROR(VLOOKUP(F359,STD!B:G,6,0),"")</f>
        <v>0.36</v>
      </c>
      <c r="I359" s="100">
        <f t="shared" si="32"/>
        <v>0.84830729166666674</v>
      </c>
      <c r="J359" s="249">
        <f t="shared" si="34"/>
        <v>6.9661458333333348</v>
      </c>
      <c r="K359" s="63">
        <f>VLOOKUP(C359,'RAW DATA 2023'!E:BO,20,0)</f>
        <v>64</v>
      </c>
      <c r="L359" s="322">
        <f t="shared" si="35"/>
        <v>445.83333333333343</v>
      </c>
      <c r="M359" s="63"/>
      <c r="Y359" s="63" t="str">
        <f t="shared" si="33"/>
        <v>A1-006-004312</v>
      </c>
    </row>
    <row r="360" spans="1:25">
      <c r="A360" s="63" t="str">
        <f>'RAW DATA 2023'!B353</f>
        <v>Maeklong1</v>
      </c>
      <c r="B360" s="63" t="str">
        <f>'RAW DATA 2023'!D353</f>
        <v>A1-009-0044</v>
      </c>
      <c r="C360" s="63" t="str">
        <f t="shared" si="30"/>
        <v>Maeklong1A1-009-0044</v>
      </c>
      <c r="D360" s="63">
        <f>VLOOKUP(C360,'RAW DATA 2023'!E:BP,63,0)</f>
        <v>12</v>
      </c>
      <c r="E360" s="63" t="str">
        <f t="shared" si="31"/>
        <v>Maeklong112</v>
      </c>
      <c r="F360" s="63">
        <f>ROUND(VLOOKUP(C360,'RAW DATA 2023'!E:BO,23,0),0)</f>
        <v>84</v>
      </c>
      <c r="G360" s="120">
        <f>VLOOKUP(C360,'RAW DATA 2023'!E:BO,26,0)</f>
        <v>0.29596560799999999</v>
      </c>
      <c r="H360" s="101">
        <f>IFERROR(VLOOKUP(F360,STD!B:G,6,0),"")</f>
        <v>0.33</v>
      </c>
      <c r="I360" s="100">
        <f t="shared" si="32"/>
        <v>0.8968654787878787</v>
      </c>
      <c r="J360" s="249">
        <f t="shared" si="34"/>
        <v>7.937309575757574</v>
      </c>
      <c r="K360" s="63">
        <f>VLOOKUP(C360,'RAW DATA 2023'!E:BO,20,0)</f>
        <v>36</v>
      </c>
      <c r="L360" s="322">
        <f t="shared" si="35"/>
        <v>285.74314472727269</v>
      </c>
      <c r="M360" s="63"/>
      <c r="Y360" s="63" t="str">
        <f t="shared" si="33"/>
        <v>A1-009-004412</v>
      </c>
    </row>
    <row r="361" spans="1:25">
      <c r="A361" s="63" t="str">
        <f>'RAW DATA 2023'!B354</f>
        <v>Maeklong1</v>
      </c>
      <c r="B361" s="63" t="str">
        <f>'RAW DATA 2023'!D354</f>
        <v>A1-006-0041</v>
      </c>
      <c r="C361" s="63" t="str">
        <f t="shared" si="30"/>
        <v>Maeklong1A1-006-0041</v>
      </c>
      <c r="D361" s="63">
        <f>VLOOKUP(C361,'RAW DATA 2023'!E:BP,63,0)</f>
        <v>3</v>
      </c>
      <c r="E361" s="63" t="str">
        <f t="shared" si="31"/>
        <v>Maeklong13</v>
      </c>
      <c r="F361" s="63">
        <f>ROUND(VLOOKUP(C361,'RAW DATA 2023'!E:BO,23,0),0)</f>
        <v>42</v>
      </c>
      <c r="G361" s="120">
        <f>VLOOKUP(C361,'RAW DATA 2023'!E:BO,26,0)</f>
        <v>0.27715909100000002</v>
      </c>
      <c r="H361" s="101">
        <f>IFERROR(VLOOKUP(F361,STD!B:G,6,0),"")</f>
        <v>0.37</v>
      </c>
      <c r="I361" s="100">
        <f t="shared" si="32"/>
        <v>0.74907862432432437</v>
      </c>
      <c r="J361" s="249">
        <f t="shared" si="34"/>
        <v>4.9815724864864874</v>
      </c>
      <c r="K361" s="63">
        <f>VLOOKUP(C361,'RAW DATA 2023'!E:BO,20,0)</f>
        <v>88</v>
      </c>
      <c r="L361" s="322">
        <f t="shared" si="35"/>
        <v>438.37837881081089</v>
      </c>
      <c r="M361" s="63"/>
      <c r="Y361" s="63" t="str">
        <f t="shared" si="33"/>
        <v>A1-006-00413</v>
      </c>
    </row>
    <row r="362" spans="1:25">
      <c r="A362" s="63" t="str">
        <f>'RAW DATA 2023'!B355</f>
        <v>Maeklong1</v>
      </c>
      <c r="B362" s="63" t="str">
        <f>'RAW DATA 2023'!D355</f>
        <v>A1-030-0006</v>
      </c>
      <c r="C362" s="63" t="str">
        <f t="shared" si="30"/>
        <v>Maeklong1A1-030-0006</v>
      </c>
      <c r="D362" s="63">
        <f>VLOOKUP(C362,'RAW DATA 2023'!E:BP,63,0)</f>
        <v>3</v>
      </c>
      <c r="E362" s="63" t="str">
        <f t="shared" si="31"/>
        <v>Maeklong13</v>
      </c>
      <c r="F362" s="63">
        <f>ROUND(VLOOKUP(C362,'RAW DATA 2023'!E:BO,23,0),0)</f>
        <v>40</v>
      </c>
      <c r="G362" s="120">
        <f>VLOOKUP(C362,'RAW DATA 2023'!E:BO,26,0)</f>
        <v>0.24311567000000003</v>
      </c>
      <c r="H362" s="101">
        <f>IFERROR(VLOOKUP(F362,STD!B:G,6,0),"")</f>
        <v>0.37</v>
      </c>
      <c r="I362" s="100">
        <f t="shared" si="32"/>
        <v>0.65706937837837853</v>
      </c>
      <c r="J362" s="249">
        <f t="shared" si="34"/>
        <v>3.1413875675675706</v>
      </c>
      <c r="K362" s="63">
        <f>VLOOKUP(C362,'RAW DATA 2023'!E:BO,20,0)</f>
        <v>118.99999999999999</v>
      </c>
      <c r="L362" s="322">
        <f t="shared" si="35"/>
        <v>373.82512054054087</v>
      </c>
      <c r="M362" s="63"/>
      <c r="Y362" s="63" t="str">
        <f t="shared" si="33"/>
        <v>A1-030-00063</v>
      </c>
    </row>
    <row r="363" spans="1:25">
      <c r="A363" s="63" t="str">
        <f>'RAW DATA 2023'!B356</f>
        <v>Maeklong1</v>
      </c>
      <c r="B363" s="63" t="str">
        <f>'RAW DATA 2023'!D356</f>
        <v>A1-005-0042</v>
      </c>
      <c r="C363" s="63" t="str">
        <f t="shared" si="30"/>
        <v>Maeklong1A1-005-0042</v>
      </c>
      <c r="D363" s="63">
        <f>VLOOKUP(C363,'RAW DATA 2023'!E:BP,63,0)</f>
        <v>1</v>
      </c>
      <c r="E363" s="63" t="str">
        <f t="shared" si="31"/>
        <v>Maeklong11</v>
      </c>
      <c r="F363" s="63">
        <f>ROUND(VLOOKUP(C363,'RAW DATA 2023'!E:BO,23,0),0)</f>
        <v>78</v>
      </c>
      <c r="G363" s="120">
        <f>VLOOKUP(C363,'RAW DATA 2023'!E:BO,26,0)</f>
        <v>0.233405902</v>
      </c>
      <c r="H363" s="101">
        <f>IFERROR(VLOOKUP(F363,STD!B:G,6,0),"")</f>
        <v>0.34</v>
      </c>
      <c r="I363" s="100">
        <f t="shared" si="32"/>
        <v>0.68648794705882343</v>
      </c>
      <c r="J363" s="249">
        <f t="shared" si="34"/>
        <v>3.7297589411764687</v>
      </c>
      <c r="K363" s="63">
        <f>VLOOKUP(C363,'RAW DATA 2023'!E:BO,20,0)</f>
        <v>53</v>
      </c>
      <c r="L363" s="322">
        <f t="shared" si="35"/>
        <v>197.67722388235285</v>
      </c>
      <c r="M363" s="63"/>
      <c r="Y363" s="63" t="str">
        <f t="shared" si="33"/>
        <v>A1-005-00421</v>
      </c>
    </row>
    <row r="364" spans="1:25">
      <c r="A364" s="63" t="str">
        <f>'RAW DATA 2023'!B357</f>
        <v>Maeklong1</v>
      </c>
      <c r="B364" s="63" t="str">
        <f>'RAW DATA 2023'!D357</f>
        <v>A1-009-0042</v>
      </c>
      <c r="C364" s="63" t="str">
        <f t="shared" si="30"/>
        <v>Maeklong1A1-009-0042</v>
      </c>
      <c r="D364" s="63">
        <f>VLOOKUP(C364,'RAW DATA 2023'!E:BP,63,0)</f>
        <v>4</v>
      </c>
      <c r="E364" s="63" t="str">
        <f t="shared" si="31"/>
        <v>Maeklong14</v>
      </c>
      <c r="F364" s="63">
        <f>ROUND(VLOOKUP(C364,'RAW DATA 2023'!E:BO,23,0),0)</f>
        <v>67</v>
      </c>
      <c r="G364" s="120">
        <f>VLOOKUP(C364,'RAW DATA 2023'!E:BO,26,0)</f>
        <v>0.18290584100000001</v>
      </c>
      <c r="H364" s="101">
        <f>IFERROR(VLOOKUP(F364,STD!B:G,6,0),"")</f>
        <v>0.36</v>
      </c>
      <c r="I364" s="100">
        <f t="shared" si="32"/>
        <v>0.50807178055555557</v>
      </c>
      <c r="J364" s="249">
        <f t="shared" si="34"/>
        <v>0.16143561111111149</v>
      </c>
      <c r="K364" s="63">
        <f>VLOOKUP(C364,'RAW DATA 2023'!E:BO,20,0)</f>
        <v>81</v>
      </c>
      <c r="L364" s="322">
        <f t="shared" si="35"/>
        <v>13.07628450000003</v>
      </c>
      <c r="M364" s="63"/>
      <c r="Y364" s="63" t="str">
        <f t="shared" si="33"/>
        <v>A1-009-00424</v>
      </c>
    </row>
    <row r="365" spans="1:25">
      <c r="A365" s="63" t="str">
        <f>'RAW DATA 2023'!B358</f>
        <v>Maeklong1</v>
      </c>
      <c r="B365" s="63" t="str">
        <f>'RAW DATA 2023'!D358</f>
        <v>A1-002-0033</v>
      </c>
      <c r="C365" s="63" t="str">
        <f t="shared" si="30"/>
        <v>Maeklong1A1-002-0033</v>
      </c>
      <c r="D365" s="63">
        <f>VLOOKUP(C365,'RAW DATA 2023'!E:BP,63,0)</f>
        <v>2</v>
      </c>
      <c r="E365" s="63" t="str">
        <f t="shared" si="31"/>
        <v>Maeklong12</v>
      </c>
      <c r="F365" s="63">
        <f>ROUND(VLOOKUP(C365,'RAW DATA 2023'!E:BO,23,0),0)</f>
        <v>74</v>
      </c>
      <c r="G365" s="120">
        <f>VLOOKUP(C365,'RAW DATA 2023'!E:BO,26,0)</f>
        <v>0.18136824300000001</v>
      </c>
      <c r="H365" s="101">
        <f>IFERROR(VLOOKUP(F365,STD!B:G,6,0),"")</f>
        <v>0.35</v>
      </c>
      <c r="I365" s="100">
        <f t="shared" si="32"/>
        <v>0.51819498000000008</v>
      </c>
      <c r="J365" s="249">
        <f t="shared" si="34"/>
        <v>0.36389960000000166</v>
      </c>
      <c r="K365" s="63">
        <f>VLOOKUP(C365,'RAW DATA 2023'!E:BO,20,0)</f>
        <v>72</v>
      </c>
      <c r="L365" s="322">
        <f t="shared" si="35"/>
        <v>26.200771200000119</v>
      </c>
      <c r="M365" s="63"/>
      <c r="Y365" s="63" t="str">
        <f t="shared" si="33"/>
        <v>A1-002-00332</v>
      </c>
    </row>
    <row r="366" spans="1:25">
      <c r="A366" s="63" t="str">
        <f>'RAW DATA 2023'!B359</f>
        <v>Maeklong1</v>
      </c>
      <c r="B366" s="63" t="str">
        <f>'RAW DATA 2023'!D359</f>
        <v>A1-005-0043</v>
      </c>
      <c r="C366" s="63" t="str">
        <f t="shared" si="30"/>
        <v>Maeklong1A1-005-0043</v>
      </c>
      <c r="D366" s="63">
        <f>VLOOKUP(C366,'RAW DATA 2023'!E:BP,63,0)</f>
        <v>3</v>
      </c>
      <c r="E366" s="63" t="str">
        <f t="shared" si="31"/>
        <v>Maeklong13</v>
      </c>
      <c r="F366" s="63">
        <f>ROUND(VLOOKUP(C366,'RAW DATA 2023'!E:BO,23,0),0)</f>
        <v>0</v>
      </c>
      <c r="G366" s="120">
        <f>VLOOKUP(C366,'RAW DATA 2023'!E:BO,26,0)</f>
        <v>0</v>
      </c>
      <c r="H366" s="101" t="str">
        <f>IFERROR(VLOOKUP(F366,STD!B:G,6,0),"")</f>
        <v/>
      </c>
      <c r="I366" s="100">
        <f t="shared" si="32"/>
        <v>0</v>
      </c>
      <c r="J366" s="249">
        <f t="shared" si="34"/>
        <v>0</v>
      </c>
      <c r="K366" s="63">
        <f>VLOOKUP(C366,'RAW DATA 2023'!E:BO,20,0)</f>
        <v>0</v>
      </c>
      <c r="L366" s="322">
        <f t="shared" si="35"/>
        <v>0</v>
      </c>
      <c r="M366" s="63"/>
      <c r="Y366" s="63" t="str">
        <f t="shared" si="33"/>
        <v>A1-005-00433</v>
      </c>
    </row>
    <row r="367" spans="1:25">
      <c r="A367" s="63" t="str">
        <f>'RAW DATA 2023'!B360</f>
        <v>PB5</v>
      </c>
      <c r="B367" s="63" t="str">
        <f>'RAW DATA 2023'!D360</f>
        <v>A1-009-0048</v>
      </c>
      <c r="C367" s="63" t="str">
        <f t="shared" si="30"/>
        <v>PB5A1-009-0048</v>
      </c>
      <c r="D367" s="63">
        <f>VLOOKUP(C367,'RAW DATA 2023'!E:BP,63,0)</f>
        <v>8</v>
      </c>
      <c r="E367" s="63" t="str">
        <f t="shared" si="31"/>
        <v>PB58</v>
      </c>
      <c r="F367" s="63">
        <f>ROUND(VLOOKUP(C367,'RAW DATA 2023'!E:BO,23,0),0)</f>
        <v>29</v>
      </c>
      <c r="G367" s="120">
        <f>VLOOKUP(C367,'RAW DATA 2023'!E:BO,26,0)</f>
        <v>0.39268104500000001</v>
      </c>
      <c r="H367" s="101">
        <f>IFERROR(VLOOKUP(F367,STD!B:G,6,0),"")</f>
        <v>0.4</v>
      </c>
      <c r="I367" s="100">
        <f t="shared" si="32"/>
        <v>0.98170261250000002</v>
      </c>
      <c r="J367" s="249">
        <f t="shared" si="34"/>
        <v>9.6340522499999999</v>
      </c>
      <c r="K367" s="63">
        <f>VLOOKUP(C367,'RAW DATA 2023'!E:BO,20,0)</f>
        <v>133</v>
      </c>
      <c r="L367" s="322">
        <f t="shared" si="35"/>
        <v>1281.3289492500001</v>
      </c>
      <c r="M367" s="63"/>
      <c r="Y367" s="63" t="str">
        <f t="shared" si="33"/>
        <v>A1-009-00488</v>
      </c>
    </row>
    <row r="368" spans="1:25">
      <c r="A368" s="63" t="str">
        <f>'RAW DATA 2023'!B361</f>
        <v>PB5</v>
      </c>
      <c r="B368" s="63" t="str">
        <f>'RAW DATA 2023'!D361</f>
        <v>A1-011-0047</v>
      </c>
      <c r="C368" s="63" t="str">
        <f t="shared" si="30"/>
        <v>PB5A1-011-0047</v>
      </c>
      <c r="D368" s="63">
        <f>VLOOKUP(C368,'RAW DATA 2023'!E:BP,63,0)</f>
        <v>8</v>
      </c>
      <c r="E368" s="63" t="str">
        <f t="shared" si="31"/>
        <v>PB58</v>
      </c>
      <c r="F368" s="63">
        <f>ROUND(VLOOKUP(C368,'RAW DATA 2023'!E:BO,23,0),0)</f>
        <v>32</v>
      </c>
      <c r="G368" s="120">
        <f>VLOOKUP(C368,'RAW DATA 2023'!E:BO,26,0)</f>
        <v>0.35465449300000002</v>
      </c>
      <c r="H368" s="101">
        <f>IFERROR(VLOOKUP(F368,STD!B:G,6,0),"")</f>
        <v>0.39</v>
      </c>
      <c r="I368" s="100">
        <f t="shared" si="32"/>
        <v>0.90937049487179489</v>
      </c>
      <c r="J368" s="249">
        <f t="shared" si="34"/>
        <v>8.1874098974358986</v>
      </c>
      <c r="K368" s="63">
        <f>VLOOKUP(C368,'RAW DATA 2023'!E:BO,20,0)</f>
        <v>133</v>
      </c>
      <c r="L368" s="322">
        <f t="shared" si="35"/>
        <v>1088.9255163589746</v>
      </c>
      <c r="M368" s="63"/>
      <c r="Y368" s="63" t="str">
        <f t="shared" si="33"/>
        <v>A1-011-00478</v>
      </c>
    </row>
    <row r="369" spans="1:25">
      <c r="A369" s="63" t="str">
        <f>'RAW DATA 2023'!B362</f>
        <v>PB5</v>
      </c>
      <c r="B369" s="63" t="str">
        <f>'RAW DATA 2023'!D362</f>
        <v>B1-021-0048</v>
      </c>
      <c r="C369" s="63" t="str">
        <f t="shared" si="30"/>
        <v>PB5B1-021-0048</v>
      </c>
      <c r="D369" s="63">
        <f>VLOOKUP(C369,'RAW DATA 2023'!E:BP,63,0)</f>
        <v>11</v>
      </c>
      <c r="E369" s="63" t="str">
        <f t="shared" si="31"/>
        <v>PB511</v>
      </c>
      <c r="F369" s="63">
        <f>ROUND(VLOOKUP(C369,'RAW DATA 2023'!E:BO,23,0),0)</f>
        <v>36</v>
      </c>
      <c r="G369" s="120">
        <f>VLOOKUP(C369,'RAW DATA 2023'!E:BO,26,0)</f>
        <v>0.34326300999999998</v>
      </c>
      <c r="H369" s="101">
        <f>IFERROR(VLOOKUP(F369,STD!B:G,6,0),"")</f>
        <v>0.36</v>
      </c>
      <c r="I369" s="100">
        <f t="shared" si="32"/>
        <v>0.95350836111111104</v>
      </c>
      <c r="J369" s="249">
        <f t="shared" si="34"/>
        <v>9.0701672222222207</v>
      </c>
      <c r="K369" s="63">
        <f>VLOOKUP(C369,'RAW DATA 2023'!E:BO,20,0)</f>
        <v>79</v>
      </c>
      <c r="L369" s="322">
        <f t="shared" si="35"/>
        <v>716.54321055555545</v>
      </c>
      <c r="M369" s="63"/>
      <c r="Y369" s="63" t="str">
        <f t="shared" si="33"/>
        <v>B1-021-004811</v>
      </c>
    </row>
    <row r="370" spans="1:25">
      <c r="A370" s="63" t="str">
        <f>'RAW DATA 2023'!B363</f>
        <v>PB5</v>
      </c>
      <c r="B370" s="63" t="str">
        <f>'RAW DATA 2023'!D363</f>
        <v>B1-023-0050</v>
      </c>
      <c r="C370" s="63" t="str">
        <f t="shared" si="30"/>
        <v>PB5B1-023-0050</v>
      </c>
      <c r="D370" s="63">
        <f>VLOOKUP(C370,'RAW DATA 2023'!E:BP,63,0)</f>
        <v>11</v>
      </c>
      <c r="E370" s="63" t="str">
        <f t="shared" si="31"/>
        <v>PB511</v>
      </c>
      <c r="F370" s="63">
        <f>ROUND(VLOOKUP(C370,'RAW DATA 2023'!E:BO,23,0),0)</f>
        <v>36</v>
      </c>
      <c r="G370" s="120">
        <f>VLOOKUP(C370,'RAW DATA 2023'!E:BO,26,0)</f>
        <v>0.34000969199999997</v>
      </c>
      <c r="H370" s="101">
        <f>IFERROR(VLOOKUP(F370,STD!B:G,6,0),"")</f>
        <v>0.36</v>
      </c>
      <c r="I370" s="100">
        <f t="shared" si="32"/>
        <v>0.94447136666666665</v>
      </c>
      <c r="J370" s="249">
        <f t="shared" si="34"/>
        <v>8.8894273333333338</v>
      </c>
      <c r="K370" s="63">
        <f>VLOOKUP(C370,'RAW DATA 2023'!E:BO,20,0)</f>
        <v>107.00000000000001</v>
      </c>
      <c r="L370" s="322">
        <f t="shared" si="35"/>
        <v>951.16872466666689</v>
      </c>
      <c r="M370" s="63"/>
      <c r="Y370" s="63" t="str">
        <f t="shared" si="33"/>
        <v>B1-023-005011</v>
      </c>
    </row>
    <row r="371" spans="1:25">
      <c r="A371" s="63" t="str">
        <f>'RAW DATA 2023'!B364</f>
        <v>PB5</v>
      </c>
      <c r="B371" s="63" t="str">
        <f>'RAW DATA 2023'!D364</f>
        <v>B1-021-0047</v>
      </c>
      <c r="C371" s="63" t="str">
        <f t="shared" si="30"/>
        <v>PB5B1-021-0047</v>
      </c>
      <c r="D371" s="63">
        <f>VLOOKUP(C371,'RAW DATA 2023'!E:BP,63,0)</f>
        <v>7</v>
      </c>
      <c r="E371" s="63" t="str">
        <f t="shared" si="31"/>
        <v>PB57</v>
      </c>
      <c r="F371" s="63">
        <f>ROUND(VLOOKUP(C371,'RAW DATA 2023'!E:BO,23,0),0)</f>
        <v>29</v>
      </c>
      <c r="G371" s="120">
        <f>VLOOKUP(C371,'RAW DATA 2023'!E:BO,26,0)</f>
        <v>0.31989221400000001</v>
      </c>
      <c r="H371" s="101">
        <f>IFERROR(VLOOKUP(F371,STD!B:G,6,0),"")</f>
        <v>0.4</v>
      </c>
      <c r="I371" s="100">
        <f t="shared" si="32"/>
        <v>0.79973053500000002</v>
      </c>
      <c r="J371" s="249">
        <f t="shared" si="34"/>
        <v>5.9946107000000008</v>
      </c>
      <c r="K371" s="63">
        <f>VLOOKUP(C371,'RAW DATA 2023'!E:BO,20,0)</f>
        <v>147.99999999999997</v>
      </c>
      <c r="L371" s="322">
        <f t="shared" si="35"/>
        <v>887.20238359999996</v>
      </c>
      <c r="M371" s="63"/>
      <c r="Y371" s="63" t="str">
        <f t="shared" si="33"/>
        <v>B1-021-00477</v>
      </c>
    </row>
    <row r="372" spans="1:25">
      <c r="A372" s="63" t="str">
        <f>'RAW DATA 2023'!B365</f>
        <v>PB5</v>
      </c>
      <c r="B372" s="63" t="str">
        <f>'RAW DATA 2023'!D365</f>
        <v>B1-022-0051</v>
      </c>
      <c r="C372" s="63" t="str">
        <f t="shared" si="30"/>
        <v>PB5B1-022-0051</v>
      </c>
      <c r="D372" s="63">
        <f>VLOOKUP(C372,'RAW DATA 2023'!E:BP,63,0)</f>
        <v>11</v>
      </c>
      <c r="E372" s="63" t="str">
        <f t="shared" si="31"/>
        <v>PB511</v>
      </c>
      <c r="F372" s="63">
        <f>ROUND(VLOOKUP(C372,'RAW DATA 2023'!E:BO,23,0),0)</f>
        <v>35</v>
      </c>
      <c r="G372" s="120">
        <f>VLOOKUP(C372,'RAW DATA 2023'!E:BO,26,0)</f>
        <v>0.31797423499999999</v>
      </c>
      <c r="H372" s="101">
        <f>IFERROR(VLOOKUP(F372,STD!B:G,6,0),"")</f>
        <v>0.37</v>
      </c>
      <c r="I372" s="100">
        <f t="shared" si="32"/>
        <v>0.85938982432432431</v>
      </c>
      <c r="J372" s="249">
        <f t="shared" si="34"/>
        <v>7.1877964864864863</v>
      </c>
      <c r="K372" s="63">
        <f>VLOOKUP(C372,'RAW DATA 2023'!E:BO,20,0)</f>
        <v>114.99999999999999</v>
      </c>
      <c r="L372" s="322">
        <f t="shared" si="35"/>
        <v>826.59659594594586</v>
      </c>
      <c r="M372" s="63"/>
      <c r="Y372" s="63" t="str">
        <f t="shared" si="33"/>
        <v>B1-022-005111</v>
      </c>
    </row>
    <row r="373" spans="1:25">
      <c r="A373" s="63" t="str">
        <f>'RAW DATA 2023'!B366</f>
        <v>PB5</v>
      </c>
      <c r="B373" s="63" t="str">
        <f>'RAW DATA 2023'!D366</f>
        <v>B1-022-0050</v>
      </c>
      <c r="C373" s="63" t="str">
        <f t="shared" si="30"/>
        <v>PB5B1-022-0050</v>
      </c>
      <c r="D373" s="63">
        <f>VLOOKUP(C373,'RAW DATA 2023'!E:BP,63,0)</f>
        <v>6</v>
      </c>
      <c r="E373" s="63" t="str">
        <f t="shared" si="31"/>
        <v>PB56</v>
      </c>
      <c r="F373" s="63">
        <f>ROUND(VLOOKUP(C373,'RAW DATA 2023'!E:BO,23,0),0)</f>
        <v>43</v>
      </c>
      <c r="G373" s="120">
        <f>VLOOKUP(C373,'RAW DATA 2023'!E:BO,26,0)</f>
        <v>0.313184986</v>
      </c>
      <c r="H373" s="101">
        <f>IFERROR(VLOOKUP(F373,STD!B:G,6,0),"")</f>
        <v>0.37</v>
      </c>
      <c r="I373" s="100">
        <f t="shared" si="32"/>
        <v>0.84644590810810816</v>
      </c>
      <c r="J373" s="249">
        <f t="shared" si="34"/>
        <v>6.9289181621621632</v>
      </c>
      <c r="K373" s="63">
        <f>VLOOKUP(C373,'RAW DATA 2023'!E:BO,20,0)</f>
        <v>77</v>
      </c>
      <c r="L373" s="322">
        <f t="shared" si="35"/>
        <v>533.52669848648657</v>
      </c>
      <c r="M373" s="63"/>
      <c r="Y373" s="63" t="str">
        <f t="shared" si="33"/>
        <v>B1-022-00506</v>
      </c>
    </row>
    <row r="374" spans="1:25">
      <c r="A374" s="63" t="str">
        <f>'RAW DATA 2023'!B367</f>
        <v>PB5</v>
      </c>
      <c r="B374" s="63" t="str">
        <f>'RAW DATA 2023'!D367</f>
        <v>B1-021-0046</v>
      </c>
      <c r="C374" s="63" t="str">
        <f t="shared" si="30"/>
        <v>PB5B1-021-0046</v>
      </c>
      <c r="D374" s="63">
        <f>VLOOKUP(C374,'RAW DATA 2023'!E:BP,63,0)</f>
        <v>2</v>
      </c>
      <c r="E374" s="63" t="str">
        <f t="shared" si="31"/>
        <v>PB52</v>
      </c>
      <c r="F374" s="63">
        <f>ROUND(VLOOKUP(C374,'RAW DATA 2023'!E:BO,23,0),0)</f>
        <v>31</v>
      </c>
      <c r="G374" s="120">
        <f>VLOOKUP(C374,'RAW DATA 2023'!E:BO,26,0)</f>
        <v>0.29436320199999999</v>
      </c>
      <c r="H374" s="101">
        <f>IFERROR(VLOOKUP(F374,STD!B:G,6,0),"")</f>
        <v>0.39</v>
      </c>
      <c r="I374" s="100">
        <f t="shared" si="32"/>
        <v>0.75477744102564093</v>
      </c>
      <c r="J374" s="249">
        <f t="shared" si="34"/>
        <v>5.0955488205128185</v>
      </c>
      <c r="K374" s="63">
        <f>VLOOKUP(C374,'RAW DATA 2023'!E:BO,20,0)</f>
        <v>124</v>
      </c>
      <c r="L374" s="322">
        <f t="shared" si="35"/>
        <v>631.8480537435895</v>
      </c>
      <c r="M374" s="63"/>
      <c r="Y374" s="63" t="str">
        <f t="shared" si="33"/>
        <v>B1-021-00462</v>
      </c>
    </row>
    <row r="375" spans="1:25">
      <c r="A375" s="63" t="str">
        <f>'RAW DATA 2023'!B368</f>
        <v>PB5</v>
      </c>
      <c r="B375" s="63" t="str">
        <f>'RAW DATA 2023'!D368</f>
        <v>A1-009-0049</v>
      </c>
      <c r="C375" s="63" t="str">
        <f t="shared" si="30"/>
        <v>PB5A1-009-0049</v>
      </c>
      <c r="D375" s="63">
        <f>VLOOKUP(C375,'RAW DATA 2023'!E:BP,63,0)</f>
        <v>11</v>
      </c>
      <c r="E375" s="63" t="str">
        <f t="shared" si="31"/>
        <v>PB511</v>
      </c>
      <c r="F375" s="63">
        <f>ROUND(VLOOKUP(C375,'RAW DATA 2023'!E:BO,23,0),0)</f>
        <v>60</v>
      </c>
      <c r="G375" s="120">
        <f>VLOOKUP(C375,'RAW DATA 2023'!E:BO,26,0)</f>
        <v>0.28274853799999999</v>
      </c>
      <c r="H375" s="101">
        <f>IFERROR(VLOOKUP(F375,STD!B:G,6,0),"")</f>
        <v>0.36</v>
      </c>
      <c r="I375" s="100">
        <f t="shared" si="32"/>
        <v>0.78541260555555559</v>
      </c>
      <c r="J375" s="249">
        <f t="shared" si="34"/>
        <v>5.7082521111111113</v>
      </c>
      <c r="K375" s="63">
        <f>VLOOKUP(C375,'RAW DATA 2023'!E:BO,20,0)</f>
        <v>57</v>
      </c>
      <c r="L375" s="322">
        <f t="shared" si="35"/>
        <v>325.37037033333337</v>
      </c>
      <c r="M375" s="63"/>
      <c r="Y375" s="63" t="str">
        <f t="shared" si="33"/>
        <v>A1-009-004911</v>
      </c>
    </row>
    <row r="376" spans="1:25">
      <c r="A376" s="63" t="str">
        <f>'RAW DATA 2023'!B369</f>
        <v>PB5</v>
      </c>
      <c r="B376" s="63" t="str">
        <f>'RAW DATA 2023'!D369</f>
        <v>A1-011-0046</v>
      </c>
      <c r="C376" s="63" t="str">
        <f t="shared" si="30"/>
        <v>PB5A1-011-0046</v>
      </c>
      <c r="D376" s="63">
        <f>VLOOKUP(C376,'RAW DATA 2023'!E:BP,63,0)</f>
        <v>4</v>
      </c>
      <c r="E376" s="63" t="str">
        <f t="shared" si="31"/>
        <v>PB54</v>
      </c>
      <c r="F376" s="63">
        <f>ROUND(VLOOKUP(C376,'RAW DATA 2023'!E:BO,23,0),0)</f>
        <v>34</v>
      </c>
      <c r="G376" s="120">
        <f>VLOOKUP(C376,'RAW DATA 2023'!E:BO,26,0)</f>
        <v>0.28052601799999999</v>
      </c>
      <c r="H376" s="101">
        <f>IFERROR(VLOOKUP(F376,STD!B:G,6,0),"")</f>
        <v>0.38</v>
      </c>
      <c r="I376" s="100">
        <f t="shared" si="32"/>
        <v>0.73822636315789469</v>
      </c>
      <c r="J376" s="249">
        <f t="shared" si="34"/>
        <v>4.7645272631578939</v>
      </c>
      <c r="K376" s="63">
        <f>VLOOKUP(C376,'RAW DATA 2023'!E:BO,20,0)</f>
        <v>136</v>
      </c>
      <c r="L376" s="322">
        <f t="shared" si="35"/>
        <v>647.97570778947352</v>
      </c>
      <c r="M376" s="63"/>
      <c r="Y376" s="63" t="str">
        <f t="shared" si="33"/>
        <v>A1-011-00464</v>
      </c>
    </row>
    <row r="377" spans="1:25">
      <c r="A377" s="63" t="str">
        <f>'RAW DATA 2023'!B370</f>
        <v>PB5</v>
      </c>
      <c r="B377" s="63" t="str">
        <f>'RAW DATA 2023'!D370</f>
        <v>A1-005-0053</v>
      </c>
      <c r="C377" s="63" t="str">
        <f t="shared" si="30"/>
        <v>PB5A1-005-0053</v>
      </c>
      <c r="D377" s="63">
        <f>VLOOKUP(C377,'RAW DATA 2023'!E:BP,63,0)</f>
        <v>11</v>
      </c>
      <c r="E377" s="63" t="str">
        <f t="shared" si="31"/>
        <v>PB511</v>
      </c>
      <c r="F377" s="63">
        <f>ROUND(VLOOKUP(C377,'RAW DATA 2023'!E:BO,23,0),0)</f>
        <v>41</v>
      </c>
      <c r="G377" s="120">
        <f>VLOOKUP(C377,'RAW DATA 2023'!E:BO,26,0)</f>
        <v>0.27712018100000002</v>
      </c>
      <c r="H377" s="101">
        <f>IFERROR(VLOOKUP(F377,STD!B:G,6,0),"")</f>
        <v>0.37</v>
      </c>
      <c r="I377" s="100">
        <f t="shared" si="32"/>
        <v>0.74897346216216221</v>
      </c>
      <c r="J377" s="249">
        <f t="shared" si="34"/>
        <v>4.9794692432432441</v>
      </c>
      <c r="K377" s="63">
        <f>VLOOKUP(C377,'RAW DATA 2023'!E:BO,20,0)</f>
        <v>98</v>
      </c>
      <c r="L377" s="322">
        <f t="shared" si="35"/>
        <v>487.98798583783793</v>
      </c>
      <c r="M377" s="63"/>
      <c r="Y377" s="63" t="str">
        <f t="shared" si="33"/>
        <v>A1-005-005311</v>
      </c>
    </row>
    <row r="378" spans="1:25">
      <c r="A378" s="63" t="str">
        <f>'RAW DATA 2023'!B371</f>
        <v>PB5</v>
      </c>
      <c r="B378" s="63" t="str">
        <f>'RAW DATA 2023'!D371</f>
        <v>A1-007-0050</v>
      </c>
      <c r="C378" s="63" t="str">
        <f t="shared" si="30"/>
        <v>PB5A1-007-0050</v>
      </c>
      <c r="D378" s="63">
        <f>VLOOKUP(C378,'RAW DATA 2023'!E:BP,63,0)</f>
        <v>3</v>
      </c>
      <c r="E378" s="63" t="str">
        <f t="shared" si="31"/>
        <v>PB53</v>
      </c>
      <c r="F378" s="63">
        <f>ROUND(VLOOKUP(C378,'RAW DATA 2023'!E:BO,23,0),0)</f>
        <v>26</v>
      </c>
      <c r="G378" s="120">
        <f>VLOOKUP(C378,'RAW DATA 2023'!E:BO,26,0)</f>
        <v>0.275880713</v>
      </c>
      <c r="H378" s="101">
        <f>IFERROR(VLOOKUP(F378,STD!B:G,6,0),"")</f>
        <v>0.37</v>
      </c>
      <c r="I378" s="100">
        <f t="shared" si="32"/>
        <v>0.74562354864864866</v>
      </c>
      <c r="J378" s="249">
        <f t="shared" si="34"/>
        <v>4.9124709729729732</v>
      </c>
      <c r="K378" s="63">
        <f>VLOOKUP(C378,'RAW DATA 2023'!E:BO,20,0)</f>
        <v>138</v>
      </c>
      <c r="L378" s="322">
        <f t="shared" si="35"/>
        <v>677.92099427027028</v>
      </c>
      <c r="M378" s="63"/>
      <c r="Y378" s="63" t="str">
        <f t="shared" si="33"/>
        <v>A1-007-00503</v>
      </c>
    </row>
    <row r="379" spans="1:25">
      <c r="A379" s="63" t="str">
        <f>'RAW DATA 2023'!B372</f>
        <v>PB5</v>
      </c>
      <c r="B379" s="63" t="str">
        <f>'RAW DATA 2023'!D372</f>
        <v>A1-005-0052</v>
      </c>
      <c r="C379" s="63" t="str">
        <f t="shared" si="30"/>
        <v>PB5A1-005-0052</v>
      </c>
      <c r="D379" s="63">
        <f>VLOOKUP(C379,'RAW DATA 2023'!E:BP,63,0)</f>
        <v>7</v>
      </c>
      <c r="E379" s="63" t="str">
        <f t="shared" si="31"/>
        <v>PB57</v>
      </c>
      <c r="F379" s="63">
        <f>ROUND(VLOOKUP(C379,'RAW DATA 2023'!E:BO,23,0),0)</f>
        <v>35</v>
      </c>
      <c r="G379" s="120">
        <f>VLOOKUP(C379,'RAW DATA 2023'!E:BO,26,0)</f>
        <v>0.27302357799999999</v>
      </c>
      <c r="H379" s="101">
        <f>IFERROR(VLOOKUP(F379,STD!B:G,6,0),"")</f>
        <v>0.37</v>
      </c>
      <c r="I379" s="100">
        <f t="shared" si="32"/>
        <v>0.73790156216216218</v>
      </c>
      <c r="J379" s="249">
        <f t="shared" si="34"/>
        <v>4.7580312432432432</v>
      </c>
      <c r="K379" s="63">
        <f>VLOOKUP(C379,'RAW DATA 2023'!E:BO,20,0)</f>
        <v>103</v>
      </c>
      <c r="L379" s="322">
        <f t="shared" si="35"/>
        <v>490.07721805405407</v>
      </c>
      <c r="M379" s="63"/>
      <c r="Y379" s="63" t="str">
        <f t="shared" si="33"/>
        <v>A1-005-00527</v>
      </c>
    </row>
    <row r="380" spans="1:25">
      <c r="A380" s="63" t="str">
        <f>'RAW DATA 2023'!B373</f>
        <v>PB5</v>
      </c>
      <c r="B380" s="63" t="str">
        <f>'RAW DATA 2023'!D373</f>
        <v>B1-023-0048</v>
      </c>
      <c r="C380" s="63" t="str">
        <f t="shared" si="30"/>
        <v>PB5B1-023-0048</v>
      </c>
      <c r="D380" s="63">
        <f>VLOOKUP(C380,'RAW DATA 2023'!E:BP,63,0)</f>
        <v>4</v>
      </c>
      <c r="E380" s="63" t="str">
        <f t="shared" si="31"/>
        <v>PB54</v>
      </c>
      <c r="F380" s="63">
        <f>ROUND(VLOOKUP(C380,'RAW DATA 2023'!E:BO,23,0),0)</f>
        <v>29</v>
      </c>
      <c r="G380" s="120">
        <f>VLOOKUP(C380,'RAW DATA 2023'!E:BO,26,0)</f>
        <v>0.26463660500000002</v>
      </c>
      <c r="H380" s="101">
        <f>IFERROR(VLOOKUP(F380,STD!B:G,6,0),"")</f>
        <v>0.4</v>
      </c>
      <c r="I380" s="100">
        <f t="shared" si="32"/>
        <v>0.66159151250000003</v>
      </c>
      <c r="J380" s="249">
        <f t="shared" si="34"/>
        <v>3.2318302500000007</v>
      </c>
      <c r="K380" s="63">
        <f>VLOOKUP(C380,'RAW DATA 2023'!E:BO,20,0)</f>
        <v>130</v>
      </c>
      <c r="L380" s="322">
        <f t="shared" si="35"/>
        <v>420.13793250000009</v>
      </c>
      <c r="M380" s="63"/>
      <c r="Y380" s="63" t="str">
        <f t="shared" si="33"/>
        <v>B1-023-00484</v>
      </c>
    </row>
    <row r="381" spans="1:25">
      <c r="A381" s="63" t="str">
        <f>'RAW DATA 2023'!B374</f>
        <v>PB5</v>
      </c>
      <c r="B381" s="63" t="str">
        <f>'RAW DATA 2023'!D374</f>
        <v>A1-009-0047</v>
      </c>
      <c r="C381" s="63" t="str">
        <f t="shared" si="30"/>
        <v>PB5A1-009-0047</v>
      </c>
      <c r="D381" s="63">
        <f>VLOOKUP(C381,'RAW DATA 2023'!E:BP,63,0)</f>
        <v>3</v>
      </c>
      <c r="E381" s="63" t="str">
        <f t="shared" si="31"/>
        <v>PB53</v>
      </c>
      <c r="F381" s="63">
        <f>ROUND(VLOOKUP(C381,'RAW DATA 2023'!E:BO,23,0),0)</f>
        <v>28</v>
      </c>
      <c r="G381" s="120">
        <f>VLOOKUP(C381,'RAW DATA 2023'!E:BO,26,0)</f>
        <v>0.26185064899999999</v>
      </c>
      <c r="H381" s="101">
        <f>IFERROR(VLOOKUP(F381,STD!B:G,6,0),"")</f>
        <v>0.41</v>
      </c>
      <c r="I381" s="100">
        <f t="shared" si="32"/>
        <v>0.63866011951219515</v>
      </c>
      <c r="J381" s="249">
        <f t="shared" si="34"/>
        <v>2.7732023902439029</v>
      </c>
      <c r="K381" s="63">
        <f>VLOOKUP(C381,'RAW DATA 2023'!E:BO,20,0)</f>
        <v>132</v>
      </c>
      <c r="L381" s="322">
        <f t="shared" si="35"/>
        <v>366.06271551219521</v>
      </c>
      <c r="M381" s="63"/>
      <c r="Y381" s="63" t="str">
        <f t="shared" si="33"/>
        <v>A1-009-00473</v>
      </c>
    </row>
    <row r="382" spans="1:25">
      <c r="A382" s="63" t="str">
        <f>'RAW DATA 2023'!B375</f>
        <v>PB5</v>
      </c>
      <c r="B382" s="63" t="str">
        <f>'RAW DATA 2023'!D375</f>
        <v>A1-005-0051</v>
      </c>
      <c r="C382" s="63" t="str">
        <f t="shared" si="30"/>
        <v>PB5A1-005-0051</v>
      </c>
      <c r="D382" s="63">
        <f>VLOOKUP(C382,'RAW DATA 2023'!E:BP,63,0)</f>
        <v>2</v>
      </c>
      <c r="E382" s="63" t="str">
        <f t="shared" si="31"/>
        <v>PB52</v>
      </c>
      <c r="F382" s="63">
        <f>ROUND(VLOOKUP(C382,'RAW DATA 2023'!E:BO,23,0),0)</f>
        <v>27</v>
      </c>
      <c r="G382" s="120">
        <f>VLOOKUP(C382,'RAW DATA 2023'!E:BO,26,0)</f>
        <v>0.254423868</v>
      </c>
      <c r="H382" s="101">
        <f>IFERROR(VLOOKUP(F382,STD!B:G,6,0),"")</f>
        <v>0.39</v>
      </c>
      <c r="I382" s="100">
        <f t="shared" si="32"/>
        <v>0.65236889230769224</v>
      </c>
      <c r="J382" s="249">
        <f t="shared" si="34"/>
        <v>3.0473778461538448</v>
      </c>
      <c r="K382" s="63">
        <f>VLOOKUP(C382,'RAW DATA 2023'!E:BO,20,0)</f>
        <v>144</v>
      </c>
      <c r="L382" s="322">
        <f t="shared" si="35"/>
        <v>438.82240984615362</v>
      </c>
      <c r="M382" s="63"/>
      <c r="Y382" s="63" t="str">
        <f t="shared" si="33"/>
        <v>A1-005-00512</v>
      </c>
    </row>
    <row r="383" spans="1:25">
      <c r="A383" s="63" t="str">
        <f>'RAW DATA 2023'!B376</f>
        <v>PB5</v>
      </c>
      <c r="B383" s="63" t="str">
        <f>'RAW DATA 2023'!D376</f>
        <v>A1-007-0051</v>
      </c>
      <c r="C383" s="63" t="str">
        <f t="shared" si="30"/>
        <v>PB5A1-007-0051</v>
      </c>
      <c r="D383" s="63">
        <f>VLOOKUP(C383,'RAW DATA 2023'!E:BP,63,0)</f>
        <v>6</v>
      </c>
      <c r="E383" s="63" t="str">
        <f t="shared" si="31"/>
        <v>PB56</v>
      </c>
      <c r="F383" s="63">
        <f>ROUND(VLOOKUP(C383,'RAW DATA 2023'!E:BO,23,0),0)</f>
        <v>60</v>
      </c>
      <c r="G383" s="120">
        <f>VLOOKUP(C383,'RAW DATA 2023'!E:BO,26,0)</f>
        <v>0.25102564100000002</v>
      </c>
      <c r="H383" s="101">
        <f>IFERROR(VLOOKUP(F383,STD!B:G,6,0),"")</f>
        <v>0.36</v>
      </c>
      <c r="I383" s="100">
        <f t="shared" si="32"/>
        <v>0.69729344722222231</v>
      </c>
      <c r="J383" s="249">
        <f t="shared" si="34"/>
        <v>3.9458689444444461</v>
      </c>
      <c r="K383" s="63">
        <f>VLOOKUP(C383,'RAW DATA 2023'!E:BO,20,0)</f>
        <v>65</v>
      </c>
      <c r="L383" s="322">
        <f t="shared" si="35"/>
        <v>256.48148138888899</v>
      </c>
      <c r="M383" s="63"/>
      <c r="Y383" s="63" t="str">
        <f t="shared" si="33"/>
        <v>A1-007-00516</v>
      </c>
    </row>
    <row r="384" spans="1:25">
      <c r="A384" s="63" t="str">
        <f>'RAW DATA 2023'!B377</f>
        <v>PB5</v>
      </c>
      <c r="B384" s="63" t="str">
        <f>'RAW DATA 2023'!D377</f>
        <v>B1-022-0049</v>
      </c>
      <c r="C384" s="63" t="str">
        <f t="shared" si="30"/>
        <v>PB5B1-022-0049</v>
      </c>
      <c r="D384" s="63">
        <f>VLOOKUP(C384,'RAW DATA 2023'!E:BP,63,0)</f>
        <v>3</v>
      </c>
      <c r="E384" s="63" t="str">
        <f t="shared" si="31"/>
        <v>PB53</v>
      </c>
      <c r="F384" s="63">
        <f>ROUND(VLOOKUP(C384,'RAW DATA 2023'!E:BO,23,0),0)</f>
        <v>28</v>
      </c>
      <c r="G384" s="120">
        <f>VLOOKUP(C384,'RAW DATA 2023'!E:BO,26,0)</f>
        <v>0.24380619400000003</v>
      </c>
      <c r="H384" s="101">
        <f>IFERROR(VLOOKUP(F384,STD!B:G,6,0),"")</f>
        <v>0.41</v>
      </c>
      <c r="I384" s="100">
        <f t="shared" si="32"/>
        <v>0.59464925365853671</v>
      </c>
      <c r="J384" s="249">
        <f t="shared" si="34"/>
        <v>1.8929850731707343</v>
      </c>
      <c r="K384" s="63">
        <f>VLOOKUP(C384,'RAW DATA 2023'!E:BO,20,0)</f>
        <v>143</v>
      </c>
      <c r="L384" s="322">
        <f t="shared" si="35"/>
        <v>270.69686546341501</v>
      </c>
      <c r="M384" s="63"/>
      <c r="Y384" s="63" t="str">
        <f t="shared" si="33"/>
        <v>B1-022-00493</v>
      </c>
    </row>
    <row r="385" spans="1:25">
      <c r="A385" s="63" t="str">
        <f>'RAW DATA 2023'!B378</f>
        <v>PB5</v>
      </c>
      <c r="B385" s="63" t="str">
        <f>'RAW DATA 2023'!D378</f>
        <v>B1-023-0049</v>
      </c>
      <c r="C385" s="63" t="str">
        <f t="shared" si="30"/>
        <v>PB5B1-023-0049</v>
      </c>
      <c r="D385" s="63">
        <f>VLOOKUP(C385,'RAW DATA 2023'!E:BP,63,0)</f>
        <v>6</v>
      </c>
      <c r="E385" s="63" t="str">
        <f t="shared" si="31"/>
        <v>PB56</v>
      </c>
      <c r="F385" s="63">
        <f>ROUND(VLOOKUP(C385,'RAW DATA 2023'!E:BO,23,0),0)</f>
        <v>171</v>
      </c>
      <c r="G385" s="120">
        <f>VLOOKUP(C385,'RAW DATA 2023'!E:BO,26,0)</f>
        <v>0.145472453</v>
      </c>
      <c r="H385" s="101">
        <f>IFERROR(VLOOKUP(F385,STD!B:G,6,0),"")</f>
        <v>0.25</v>
      </c>
      <c r="I385" s="100">
        <f t="shared" si="32"/>
        <v>0.58188981200000001</v>
      </c>
      <c r="J385" s="249">
        <f t="shared" si="34"/>
        <v>1.6377962400000001</v>
      </c>
      <c r="K385" s="63">
        <f>VLOOKUP(C385,'RAW DATA 2023'!E:BO,20,0)</f>
        <v>38</v>
      </c>
      <c r="L385" s="322">
        <f t="shared" si="35"/>
        <v>62.236257120000005</v>
      </c>
      <c r="M385" s="63"/>
      <c r="Y385" s="63" t="str">
        <f t="shared" si="33"/>
        <v>B1-023-00496</v>
      </c>
    </row>
    <row r="386" spans="1:25">
      <c r="A386" s="63" t="str">
        <f>'RAW DATA 2023'!B379</f>
        <v>PB5</v>
      </c>
      <c r="B386" s="63" t="str">
        <f>'RAW DATA 2023'!D379</f>
        <v>A1-011-0048</v>
      </c>
      <c r="C386" s="63" t="str">
        <f t="shared" si="30"/>
        <v>PB5A1-011-0048</v>
      </c>
      <c r="D386" s="63">
        <f>VLOOKUP(C386,'RAW DATA 2023'!E:BP,63,0)</f>
        <v>10</v>
      </c>
      <c r="E386" s="63" t="str">
        <f t="shared" si="31"/>
        <v>PB510</v>
      </c>
      <c r="F386" s="63">
        <f>ROUND(VLOOKUP(C386,'RAW DATA 2023'!E:BO,23,0),0)</f>
        <v>0</v>
      </c>
      <c r="G386" s="120">
        <f>VLOOKUP(C386,'RAW DATA 2023'!E:BO,26,0)</f>
        <v>0</v>
      </c>
      <c r="H386" s="101" t="str">
        <f>IFERROR(VLOOKUP(F386,STD!B:G,6,0),"")</f>
        <v/>
      </c>
      <c r="I386" s="100">
        <f t="shared" si="32"/>
        <v>0</v>
      </c>
      <c r="J386" s="249">
        <f t="shared" si="34"/>
        <v>0</v>
      </c>
      <c r="K386" s="63">
        <f>VLOOKUP(C386,'RAW DATA 2023'!E:BO,20,0)</f>
        <v>0</v>
      </c>
      <c r="L386" s="322">
        <f t="shared" si="35"/>
        <v>0</v>
      </c>
      <c r="M386" s="63"/>
      <c r="Y386" s="63" t="str">
        <f t="shared" si="33"/>
        <v>A1-011-004810</v>
      </c>
    </row>
    <row r="387" spans="1:25">
      <c r="A387" s="63" t="str">
        <f>'RAW DATA 2023'!B380</f>
        <v>Roiphet2</v>
      </c>
      <c r="B387" s="63" t="str">
        <f>'RAW DATA 2023'!D380</f>
        <v>A1-007-0050</v>
      </c>
      <c r="C387" s="63" t="str">
        <f t="shared" si="30"/>
        <v>Roiphet2A1-007-0050</v>
      </c>
      <c r="D387" s="63">
        <f>VLOOKUP(C387,'RAW DATA 2023'!E:BP,63,0)</f>
        <v>4</v>
      </c>
      <c r="E387" s="63" t="str">
        <f t="shared" si="31"/>
        <v>Roiphet24</v>
      </c>
      <c r="F387" s="63">
        <f>ROUND(VLOOKUP(C387,'RAW DATA 2023'!E:BO,23,0),0)</f>
        <v>39</v>
      </c>
      <c r="G387" s="120">
        <f>VLOOKUP(C387,'RAW DATA 2023'!E:BO,26,0)</f>
        <v>0.34286950500000002</v>
      </c>
      <c r="H387" s="101">
        <f>IFERROR(VLOOKUP(F387,STD!B:G,6,0),"")</f>
        <v>0.37</v>
      </c>
      <c r="I387" s="100">
        <f t="shared" si="32"/>
        <v>0.92667433783783792</v>
      </c>
      <c r="J387" s="249">
        <f t="shared" si="34"/>
        <v>8.5334867567567585</v>
      </c>
      <c r="K387" s="63">
        <f>VLOOKUP(C387,'RAW DATA 2023'!E:BO,20,0)</f>
        <v>106.99999999999999</v>
      </c>
      <c r="L387" s="322">
        <f t="shared" si="35"/>
        <v>913.08308297297299</v>
      </c>
      <c r="M387" s="63"/>
      <c r="Y387" s="63" t="str">
        <f t="shared" si="33"/>
        <v>A1-007-00504</v>
      </c>
    </row>
    <row r="388" spans="1:25">
      <c r="A388" s="63" t="str">
        <f>'RAW DATA 2023'!B381</f>
        <v>Roiphet2</v>
      </c>
      <c r="B388" s="63" t="str">
        <f>'RAW DATA 2023'!D381</f>
        <v>A1-006-0045</v>
      </c>
      <c r="C388" s="63" t="str">
        <f t="shared" si="30"/>
        <v>Roiphet2A1-006-0045</v>
      </c>
      <c r="D388" s="63">
        <f>VLOOKUP(C388,'RAW DATA 2023'!E:BP,63,0)</f>
        <v>5</v>
      </c>
      <c r="E388" s="63" t="str">
        <f t="shared" si="31"/>
        <v>Roiphet25</v>
      </c>
      <c r="F388" s="63">
        <f>ROUND(VLOOKUP(C388,'RAW DATA 2023'!E:BO,23,0),0)</f>
        <v>32</v>
      </c>
      <c r="G388" s="120">
        <f>VLOOKUP(C388,'RAW DATA 2023'!E:BO,26,0)</f>
        <v>0.324550687</v>
      </c>
      <c r="H388" s="101">
        <f>IFERROR(VLOOKUP(F388,STD!B:G,6,0),"")</f>
        <v>0.39</v>
      </c>
      <c r="I388" s="100">
        <f t="shared" si="32"/>
        <v>0.83218124871794874</v>
      </c>
      <c r="J388" s="249">
        <f t="shared" si="34"/>
        <v>6.6436249743589748</v>
      </c>
      <c r="K388" s="63">
        <f>VLOOKUP(C388,'RAW DATA 2023'!E:BO,20,0)</f>
        <v>139</v>
      </c>
      <c r="L388" s="322">
        <f t="shared" si="35"/>
        <v>923.46387143589754</v>
      </c>
      <c r="M388" s="63"/>
      <c r="Y388" s="63" t="str">
        <f t="shared" si="33"/>
        <v>A1-006-00455</v>
      </c>
    </row>
    <row r="389" spans="1:25">
      <c r="A389" s="63" t="str">
        <f>'RAW DATA 2023'!B382</f>
        <v>Roiphet2</v>
      </c>
      <c r="B389" s="63" t="str">
        <f>'RAW DATA 2023'!D382</f>
        <v>A1-002-0048</v>
      </c>
      <c r="C389" s="63" t="str">
        <f t="shared" si="30"/>
        <v>Roiphet2A1-002-0048</v>
      </c>
      <c r="D389" s="63">
        <f>VLOOKUP(C389,'RAW DATA 2023'!E:BP,63,0)</f>
        <v>5</v>
      </c>
      <c r="E389" s="63" t="str">
        <f t="shared" si="31"/>
        <v>Roiphet25</v>
      </c>
      <c r="F389" s="63">
        <f>ROUND(VLOOKUP(C389,'RAW DATA 2023'!E:BO,23,0),0)</f>
        <v>34</v>
      </c>
      <c r="G389" s="120">
        <f>VLOOKUP(C389,'RAW DATA 2023'!E:BO,26,0)</f>
        <v>0.32297914</v>
      </c>
      <c r="H389" s="101">
        <f>IFERROR(VLOOKUP(F389,STD!B:G,6,0),"")</f>
        <v>0.38</v>
      </c>
      <c r="I389" s="100">
        <f t="shared" si="32"/>
        <v>0.84994510526315792</v>
      </c>
      <c r="J389" s="249">
        <f t="shared" si="34"/>
        <v>6.9989021052631584</v>
      </c>
      <c r="K389" s="63">
        <f>VLOOKUP(C389,'RAW DATA 2023'!E:BO,20,0)</f>
        <v>118</v>
      </c>
      <c r="L389" s="322">
        <f t="shared" si="35"/>
        <v>825.87044842105274</v>
      </c>
      <c r="M389" s="63"/>
      <c r="Y389" s="63" t="str">
        <f t="shared" si="33"/>
        <v>A1-002-00485</v>
      </c>
    </row>
    <row r="390" spans="1:25">
      <c r="A390" s="63" t="str">
        <f>'RAW DATA 2023'!B383</f>
        <v>Roiphet2</v>
      </c>
      <c r="B390" s="63" t="str">
        <f>'RAW DATA 2023'!D383</f>
        <v>B1-013-0036</v>
      </c>
      <c r="C390" s="63" t="str">
        <f t="shared" si="30"/>
        <v>Roiphet2B1-013-0036</v>
      </c>
      <c r="D390" s="63">
        <f>VLOOKUP(C390,'RAW DATA 2023'!E:BP,63,0)</f>
        <v>5</v>
      </c>
      <c r="E390" s="63" t="str">
        <f t="shared" si="31"/>
        <v>Roiphet25</v>
      </c>
      <c r="F390" s="63">
        <f>ROUND(VLOOKUP(C390,'RAW DATA 2023'!E:BO,23,0),0)</f>
        <v>86</v>
      </c>
      <c r="G390" s="120">
        <f>VLOOKUP(C390,'RAW DATA 2023'!E:BO,26,0)</f>
        <v>0.30651162799999998</v>
      </c>
      <c r="H390" s="101">
        <f>IFERROR(VLOOKUP(F390,STD!B:G,6,0),"")</f>
        <v>0.33</v>
      </c>
      <c r="I390" s="100">
        <f t="shared" si="32"/>
        <v>0.92882311515151506</v>
      </c>
      <c r="J390" s="249">
        <f t="shared" si="34"/>
        <v>8.5764623030303007</v>
      </c>
      <c r="K390" s="63">
        <f>VLOOKUP(C390,'RAW DATA 2023'!E:BO,20,0)</f>
        <v>35</v>
      </c>
      <c r="L390" s="322">
        <f t="shared" si="35"/>
        <v>300.17618060606054</v>
      </c>
      <c r="M390" s="63"/>
      <c r="Y390" s="63" t="str">
        <f t="shared" si="33"/>
        <v>B1-013-00365</v>
      </c>
    </row>
    <row r="391" spans="1:25">
      <c r="A391" s="63" t="str">
        <f>'RAW DATA 2023'!B384</f>
        <v>Roiphet2</v>
      </c>
      <c r="B391" s="63" t="str">
        <f>'RAW DATA 2023'!D384</f>
        <v>A1-001-0031</v>
      </c>
      <c r="C391" s="63" t="str">
        <f t="shared" si="30"/>
        <v>Roiphet2A1-001-0031</v>
      </c>
      <c r="D391" s="63">
        <f>VLOOKUP(C391,'RAW DATA 2023'!E:BP,63,0)</f>
        <v>5</v>
      </c>
      <c r="E391" s="63" t="str">
        <f t="shared" si="31"/>
        <v>Roiphet25</v>
      </c>
      <c r="F391" s="63">
        <f>ROUND(VLOOKUP(C391,'RAW DATA 2023'!E:BO,23,0),0)</f>
        <v>28</v>
      </c>
      <c r="G391" s="120">
        <f>VLOOKUP(C391,'RAW DATA 2023'!E:BO,26,0)</f>
        <v>0.29739328500000001</v>
      </c>
      <c r="H391" s="101">
        <f>IFERROR(VLOOKUP(F391,STD!B:G,6,0),"")</f>
        <v>0.41</v>
      </c>
      <c r="I391" s="100">
        <f t="shared" si="32"/>
        <v>0.72534947560975616</v>
      </c>
      <c r="J391" s="249">
        <f t="shared" si="34"/>
        <v>4.5069895121951227</v>
      </c>
      <c r="K391" s="63">
        <f>VLOOKUP(C391,'RAW DATA 2023'!E:BO,20,0)</f>
        <v>139</v>
      </c>
      <c r="L391" s="322">
        <f t="shared" si="35"/>
        <v>626.47154219512208</v>
      </c>
      <c r="M391" s="63"/>
      <c r="Y391" s="63" t="str">
        <f t="shared" si="33"/>
        <v>A1-001-00315</v>
      </c>
    </row>
    <row r="392" spans="1:25">
      <c r="A392" s="63" t="str">
        <f>'RAW DATA 2023'!B385</f>
        <v>Roiphet2</v>
      </c>
      <c r="B392" s="63" t="str">
        <f>'RAW DATA 2023'!D385</f>
        <v>B1-009-0042</v>
      </c>
      <c r="C392" s="63" t="str">
        <f t="shared" si="30"/>
        <v>Roiphet2B1-009-0042</v>
      </c>
      <c r="D392" s="63">
        <f>VLOOKUP(C392,'RAW DATA 2023'!E:BP,63,0)</f>
        <v>3</v>
      </c>
      <c r="E392" s="63" t="str">
        <f t="shared" si="31"/>
        <v>Roiphet23</v>
      </c>
      <c r="F392" s="63">
        <f>ROUND(VLOOKUP(C392,'RAW DATA 2023'!E:BO,23,0),0)</f>
        <v>31</v>
      </c>
      <c r="G392" s="120">
        <f>VLOOKUP(C392,'RAW DATA 2023'!E:BO,26,0)</f>
        <v>0.276819176</v>
      </c>
      <c r="H392" s="101">
        <f>IFERROR(VLOOKUP(F392,STD!B:G,6,0),"")</f>
        <v>0.39</v>
      </c>
      <c r="I392" s="100">
        <f t="shared" si="32"/>
        <v>0.70979275897435889</v>
      </c>
      <c r="J392" s="249">
        <f t="shared" si="34"/>
        <v>4.1958551794871779</v>
      </c>
      <c r="K392" s="63">
        <f>VLOOKUP(C392,'RAW DATA 2023'!E:BO,20,0)</f>
        <v>123.00000000000001</v>
      </c>
      <c r="L392" s="322">
        <f t="shared" si="35"/>
        <v>516.09018707692292</v>
      </c>
      <c r="M392" s="63"/>
      <c r="Y392" s="63" t="str">
        <f t="shared" si="33"/>
        <v>B1-009-00423</v>
      </c>
    </row>
    <row r="393" spans="1:25">
      <c r="A393" s="63" t="str">
        <f>'RAW DATA 2023'!B386</f>
        <v>Roiphet2</v>
      </c>
      <c r="B393" s="63" t="str">
        <f>'RAW DATA 2023'!D386</f>
        <v>B1-014-0044</v>
      </c>
      <c r="C393" s="63" t="str">
        <f t="shared" si="30"/>
        <v>Roiphet2B1-014-0044</v>
      </c>
      <c r="D393" s="63">
        <f>VLOOKUP(C393,'RAW DATA 2023'!E:BP,63,0)</f>
        <v>5</v>
      </c>
      <c r="E393" s="63" t="str">
        <f t="shared" si="31"/>
        <v>Roiphet25</v>
      </c>
      <c r="F393" s="63">
        <f>ROUND(VLOOKUP(C393,'RAW DATA 2023'!E:BO,23,0),0)</f>
        <v>39</v>
      </c>
      <c r="G393" s="120">
        <f>VLOOKUP(C393,'RAW DATA 2023'!E:BO,26,0)</f>
        <v>0.26131876799999998</v>
      </c>
      <c r="H393" s="101">
        <f>IFERROR(VLOOKUP(F393,STD!B:G,6,0),"")</f>
        <v>0.37</v>
      </c>
      <c r="I393" s="100">
        <f t="shared" si="32"/>
        <v>0.70626694054054051</v>
      </c>
      <c r="J393" s="249">
        <f t="shared" si="34"/>
        <v>4.1253388108108098</v>
      </c>
      <c r="K393" s="63">
        <f>VLOOKUP(C393,'RAW DATA 2023'!E:BO,20,0)</f>
        <v>131</v>
      </c>
      <c r="L393" s="322">
        <f t="shared" si="35"/>
        <v>540.41938421621603</v>
      </c>
      <c r="M393" s="63"/>
      <c r="Y393" s="63" t="str">
        <f t="shared" si="33"/>
        <v>B1-014-00445</v>
      </c>
    </row>
    <row r="394" spans="1:25">
      <c r="A394" s="63" t="str">
        <f>'RAW DATA 2023'!B387</f>
        <v>Roiphet2</v>
      </c>
      <c r="B394" s="63" t="str">
        <f>'RAW DATA 2023'!D387</f>
        <v>A1-008-0034</v>
      </c>
      <c r="C394" s="63" t="str">
        <f t="shared" ref="C394:C457" si="36">A394&amp;B394</f>
        <v>Roiphet2A1-008-0034</v>
      </c>
      <c r="D394" s="63">
        <f>VLOOKUP(C394,'RAW DATA 2023'!E:BP,63,0)</f>
        <v>5</v>
      </c>
      <c r="E394" s="63" t="str">
        <f t="shared" ref="E394:E457" si="37">A394&amp;D394</f>
        <v>Roiphet25</v>
      </c>
      <c r="F394" s="63">
        <f>ROUND(VLOOKUP(C394,'RAW DATA 2023'!E:BO,23,0),0)</f>
        <v>39</v>
      </c>
      <c r="G394" s="120">
        <f>VLOOKUP(C394,'RAW DATA 2023'!E:BO,26,0)</f>
        <v>0.25960230200000001</v>
      </c>
      <c r="H394" s="101">
        <f>IFERROR(VLOOKUP(F394,STD!B:G,6,0),"")</f>
        <v>0.37</v>
      </c>
      <c r="I394" s="100">
        <f t="shared" ref="I394:I457" si="38">IFERROR(G394/H394,0)</f>
        <v>0.70162784324324323</v>
      </c>
      <c r="J394" s="249">
        <f t="shared" si="34"/>
        <v>4.0325568648648646</v>
      </c>
      <c r="K394" s="63">
        <f>VLOOKUP(C394,'RAW DATA 2023'!E:BO,20,0)</f>
        <v>147</v>
      </c>
      <c r="L394" s="322">
        <f t="shared" si="35"/>
        <v>592.78585913513507</v>
      </c>
      <c r="M394" s="63"/>
      <c r="Y394" s="63" t="str">
        <f t="shared" ref="Y394:Y457" si="39">B394&amp;D394</f>
        <v>A1-008-00345</v>
      </c>
    </row>
    <row r="395" spans="1:25">
      <c r="A395" s="63" t="str">
        <f>'RAW DATA 2023'!B388</f>
        <v>Roiphet2</v>
      </c>
      <c r="B395" s="63" t="str">
        <f>'RAW DATA 2023'!D388</f>
        <v>B1-013-0035</v>
      </c>
      <c r="C395" s="63" t="str">
        <f t="shared" si="36"/>
        <v>Roiphet2B1-013-0035</v>
      </c>
      <c r="D395" s="63">
        <f>VLOOKUP(C395,'RAW DATA 2023'!E:BP,63,0)</f>
        <v>3</v>
      </c>
      <c r="E395" s="63" t="str">
        <f t="shared" si="37"/>
        <v>Roiphet23</v>
      </c>
      <c r="F395" s="63">
        <f>ROUND(VLOOKUP(C395,'RAW DATA 2023'!E:BO,23,0),0)</f>
        <v>50</v>
      </c>
      <c r="G395" s="120">
        <f>VLOOKUP(C395,'RAW DATA 2023'!E:BO,26,0)</f>
        <v>0.20666315799999999</v>
      </c>
      <c r="H395" s="101">
        <f>IFERROR(VLOOKUP(F395,STD!B:G,6,0),"")</f>
        <v>0.36</v>
      </c>
      <c r="I395" s="100">
        <f t="shared" si="38"/>
        <v>0.57406432777777772</v>
      </c>
      <c r="J395" s="249">
        <f t="shared" ref="J395:J458" si="40">IF(I395&gt;0.5,((I395-$B$4)*$B$7),0)</f>
        <v>1.4812865555555543</v>
      </c>
      <c r="K395" s="63">
        <f>VLOOKUP(C395,'RAW DATA 2023'!E:BO,20,0)</f>
        <v>95</v>
      </c>
      <c r="L395" s="322">
        <f t="shared" ref="L395:L458" si="41">J395*K395</f>
        <v>140.72222277777766</v>
      </c>
      <c r="M395" s="63"/>
      <c r="Y395" s="63" t="str">
        <f t="shared" si="39"/>
        <v>B1-013-00353</v>
      </c>
    </row>
    <row r="396" spans="1:25">
      <c r="A396" s="63" t="str">
        <f>'RAW DATA 2023'!B389</f>
        <v>Roiphet2</v>
      </c>
      <c r="B396" s="63" t="str">
        <f>'RAW DATA 2023'!D389</f>
        <v>B1-009-0044</v>
      </c>
      <c r="C396" s="63" t="str">
        <f t="shared" si="36"/>
        <v>Roiphet2B1-009-0044</v>
      </c>
      <c r="D396" s="63">
        <f>VLOOKUP(C396,'RAW DATA 2023'!E:BP,63,0)</f>
        <v>9</v>
      </c>
      <c r="E396" s="63" t="str">
        <f t="shared" si="37"/>
        <v>Roiphet29</v>
      </c>
      <c r="F396" s="63">
        <f>ROUND(VLOOKUP(C396,'RAW DATA 2023'!E:BO,23,0),0)</f>
        <v>61</v>
      </c>
      <c r="G396" s="120">
        <f>VLOOKUP(C396,'RAW DATA 2023'!E:BO,26,0)</f>
        <v>0.26721579499999998</v>
      </c>
      <c r="H396" s="101">
        <f>IFERROR(VLOOKUP(F396,STD!B:G,6,0),"")</f>
        <v>0.36</v>
      </c>
      <c r="I396" s="100">
        <f t="shared" si="38"/>
        <v>0.74226609722222214</v>
      </c>
      <c r="J396" s="249">
        <f t="shared" si="40"/>
        <v>4.8453219444444429</v>
      </c>
      <c r="K396" s="63">
        <f>VLOOKUP(C396,'RAW DATA 2023'!E:BO,20,0)</f>
        <v>62</v>
      </c>
      <c r="L396" s="322">
        <f t="shared" si="41"/>
        <v>300.40996055555547</v>
      </c>
      <c r="M396" s="63"/>
      <c r="Y396" s="63" t="str">
        <f t="shared" si="39"/>
        <v>B1-009-00449</v>
      </c>
    </row>
    <row r="397" spans="1:25">
      <c r="A397" s="63" t="str">
        <f>'RAW DATA 2023'!B390</f>
        <v>Roiphet2</v>
      </c>
      <c r="B397" s="63" t="str">
        <f>'RAW DATA 2023'!D390</f>
        <v>B1-014-0046</v>
      </c>
      <c r="C397" s="63" t="str">
        <f t="shared" si="36"/>
        <v>Roiphet2B1-014-0046</v>
      </c>
      <c r="D397" s="63">
        <f>VLOOKUP(C397,'RAW DATA 2023'!E:BP,63,0)</f>
        <v>10</v>
      </c>
      <c r="E397" s="63" t="str">
        <f t="shared" si="37"/>
        <v>Roiphet210</v>
      </c>
      <c r="F397" s="63">
        <f>ROUND(VLOOKUP(C397,'RAW DATA 2023'!E:BO,23,0),0)</f>
        <v>64</v>
      </c>
      <c r="G397" s="120">
        <f>VLOOKUP(C397,'RAW DATA 2023'!E:BO,26,0)</f>
        <v>0.25720365899999997</v>
      </c>
      <c r="H397" s="101">
        <f>IFERROR(VLOOKUP(F397,STD!B:G,6,0),"")</f>
        <v>0.36</v>
      </c>
      <c r="I397" s="100">
        <f t="shared" si="38"/>
        <v>0.7144546083333333</v>
      </c>
      <c r="J397" s="249">
        <f t="shared" si="40"/>
        <v>4.2890921666666664</v>
      </c>
      <c r="K397" s="63">
        <f>VLOOKUP(C397,'RAW DATA 2023'!E:BO,20,0)</f>
        <v>59</v>
      </c>
      <c r="L397" s="322">
        <f t="shared" si="41"/>
        <v>253.05643783333332</v>
      </c>
      <c r="M397" s="63"/>
      <c r="Y397" s="63" t="str">
        <f t="shared" si="39"/>
        <v>B1-014-004610</v>
      </c>
    </row>
    <row r="398" spans="1:25">
      <c r="A398" s="63" t="str">
        <f>'RAW DATA 2023'!B391</f>
        <v>Lamlaung</v>
      </c>
      <c r="B398" s="63" t="str">
        <f>'RAW DATA 2023'!D391</f>
        <v>A1-003-0044</v>
      </c>
      <c r="C398" s="63" t="str">
        <f t="shared" si="36"/>
        <v>LamlaungA1-003-0044</v>
      </c>
      <c r="D398" s="63">
        <f>VLOOKUP(C398,'RAW DATA 2023'!E:BP,63,0)</f>
        <v>8</v>
      </c>
      <c r="E398" s="63" t="str">
        <f t="shared" si="37"/>
        <v>Lamlaung8</v>
      </c>
      <c r="F398" s="63">
        <f>ROUND(VLOOKUP(C398,'RAW DATA 2023'!E:BO,23,0),0)</f>
        <v>32</v>
      </c>
      <c r="G398" s="120">
        <f>VLOOKUP(C398,'RAW DATA 2023'!E:BO,26,0)</f>
        <v>0.40533333300000002</v>
      </c>
      <c r="H398" s="101">
        <f>IFERROR(VLOOKUP(F398,STD!B:G,6,0),"")</f>
        <v>0.39</v>
      </c>
      <c r="I398" s="100">
        <f t="shared" si="38"/>
        <v>1.0393162384615384</v>
      </c>
      <c r="J398" s="249">
        <f t="shared" si="40"/>
        <v>10.786324769230768</v>
      </c>
      <c r="K398" s="63">
        <f>VLOOKUP(C398,'RAW DATA 2023'!E:BO,20,0)</f>
        <v>101.00000000000001</v>
      </c>
      <c r="L398" s="322">
        <f t="shared" si="41"/>
        <v>1089.4188016923079</v>
      </c>
      <c r="M398" s="63"/>
      <c r="Y398" s="63" t="str">
        <f t="shared" si="39"/>
        <v>A1-003-00448</v>
      </c>
    </row>
    <row r="399" spans="1:25">
      <c r="A399" s="63" t="str">
        <f>'RAW DATA 2023'!B392</f>
        <v>Lamlaung</v>
      </c>
      <c r="B399" s="63" t="str">
        <f>'RAW DATA 2023'!D392</f>
        <v>A1-004-0046</v>
      </c>
      <c r="C399" s="63" t="str">
        <f t="shared" si="36"/>
        <v>LamlaungA1-004-0046</v>
      </c>
      <c r="D399" s="63">
        <f>VLOOKUP(C399,'RAW DATA 2023'!E:BP,63,0)</f>
        <v>9</v>
      </c>
      <c r="E399" s="63" t="str">
        <f t="shared" si="37"/>
        <v>Lamlaung9</v>
      </c>
      <c r="F399" s="63">
        <f>ROUND(VLOOKUP(C399,'RAW DATA 2023'!E:BO,23,0),0)</f>
        <v>25</v>
      </c>
      <c r="G399" s="120">
        <f>VLOOKUP(C399,'RAW DATA 2023'!E:BO,26,0)</f>
        <v>0.36737339400000002</v>
      </c>
      <c r="H399" s="101">
        <f>IFERROR(VLOOKUP(F399,STD!B:G,6,0),"")</f>
        <v>0.36</v>
      </c>
      <c r="I399" s="100">
        <f t="shared" si="38"/>
        <v>1.02048165</v>
      </c>
      <c r="J399" s="249">
        <f t="shared" si="40"/>
        <v>10.409632999999999</v>
      </c>
      <c r="K399" s="63">
        <f>VLOOKUP(C399,'RAW DATA 2023'!E:BO,20,0)</f>
        <v>126.00000000000001</v>
      </c>
      <c r="L399" s="322">
        <f t="shared" si="41"/>
        <v>1311.6137580000002</v>
      </c>
      <c r="M399" s="63"/>
      <c r="Y399" s="63" t="str">
        <f t="shared" si="39"/>
        <v>A1-004-00469</v>
      </c>
    </row>
    <row r="400" spans="1:25">
      <c r="A400" s="63" t="str">
        <f>'RAW DATA 2023'!B393</f>
        <v>Lamlaung</v>
      </c>
      <c r="B400" s="63" t="str">
        <f>'RAW DATA 2023'!D393</f>
        <v>B1-111-0008</v>
      </c>
      <c r="C400" s="63" t="str">
        <f t="shared" si="36"/>
        <v>LamlaungB1-111-0008</v>
      </c>
      <c r="D400" s="63">
        <f>VLOOKUP(C400,'RAW DATA 2023'!E:BP,63,0)</f>
        <v>9</v>
      </c>
      <c r="E400" s="63" t="str">
        <f t="shared" si="37"/>
        <v>Lamlaung9</v>
      </c>
      <c r="F400" s="63">
        <f>ROUND(VLOOKUP(C400,'RAW DATA 2023'!E:BO,23,0),0)</f>
        <v>26</v>
      </c>
      <c r="G400" s="120">
        <f>VLOOKUP(C400,'RAW DATA 2023'!E:BO,26,0)</f>
        <v>0.36007697900000002</v>
      </c>
      <c r="H400" s="101">
        <f>IFERROR(VLOOKUP(F400,STD!B:G,6,0),"")</f>
        <v>0.37</v>
      </c>
      <c r="I400" s="100">
        <f t="shared" si="38"/>
        <v>0.97318102432432441</v>
      </c>
      <c r="J400" s="249">
        <f t="shared" si="40"/>
        <v>9.4636204864864872</v>
      </c>
      <c r="K400" s="63">
        <f>VLOOKUP(C400,'RAW DATA 2023'!E:BO,20,0)</f>
        <v>124</v>
      </c>
      <c r="L400" s="322">
        <f t="shared" si="41"/>
        <v>1173.4889403243244</v>
      </c>
      <c r="M400" s="63"/>
      <c r="Y400" s="63" t="str">
        <f t="shared" si="39"/>
        <v>B1-111-00089</v>
      </c>
    </row>
    <row r="401" spans="1:25">
      <c r="A401" s="63" t="str">
        <f>'RAW DATA 2023'!B394</f>
        <v>Lamlaung</v>
      </c>
      <c r="B401" s="63" t="str">
        <f>'RAW DATA 2023'!D394</f>
        <v>A1-002-0046</v>
      </c>
      <c r="C401" s="63" t="str">
        <f t="shared" si="36"/>
        <v>LamlaungA1-002-0046</v>
      </c>
      <c r="D401" s="63">
        <f>VLOOKUP(C401,'RAW DATA 2023'!E:BP,63,0)</f>
        <v>10</v>
      </c>
      <c r="E401" s="63" t="str">
        <f t="shared" si="37"/>
        <v>Lamlaung10</v>
      </c>
      <c r="F401" s="63">
        <f>ROUND(VLOOKUP(C401,'RAW DATA 2023'!E:BO,23,0),0)</f>
        <v>29</v>
      </c>
      <c r="G401" s="120">
        <f>VLOOKUP(C401,'RAW DATA 2023'!E:BO,26,0)</f>
        <v>0.356459005</v>
      </c>
      <c r="H401" s="101">
        <f>IFERROR(VLOOKUP(F401,STD!B:G,6,0),"")</f>
        <v>0.4</v>
      </c>
      <c r="I401" s="100">
        <f t="shared" si="38"/>
        <v>0.89114751249999991</v>
      </c>
      <c r="J401" s="249">
        <f t="shared" si="40"/>
        <v>7.8229502499999981</v>
      </c>
      <c r="K401" s="63">
        <f>VLOOKUP(C401,'RAW DATA 2023'!E:BO,20,0)</f>
        <v>133</v>
      </c>
      <c r="L401" s="322">
        <f t="shared" si="41"/>
        <v>1040.4523832499997</v>
      </c>
      <c r="M401" s="63"/>
      <c r="Y401" s="63" t="str">
        <f t="shared" si="39"/>
        <v>A1-002-004610</v>
      </c>
    </row>
    <row r="402" spans="1:25">
      <c r="A402" s="63" t="str">
        <f>'RAW DATA 2023'!B395</f>
        <v>Lamlaung</v>
      </c>
      <c r="B402" s="63" t="str">
        <f>'RAW DATA 2023'!D395</f>
        <v>B1-112-0006</v>
      </c>
      <c r="C402" s="63" t="str">
        <f t="shared" si="36"/>
        <v>LamlaungB1-112-0006</v>
      </c>
      <c r="D402" s="63">
        <f>VLOOKUP(C402,'RAW DATA 2023'!E:BP,63,0)</f>
        <v>7</v>
      </c>
      <c r="E402" s="63" t="str">
        <f t="shared" si="37"/>
        <v>Lamlaung7</v>
      </c>
      <c r="F402" s="63">
        <f>ROUND(VLOOKUP(C402,'RAW DATA 2023'!E:BO,23,0),0)</f>
        <v>32</v>
      </c>
      <c r="G402" s="120">
        <f>VLOOKUP(C402,'RAW DATA 2023'!E:BO,26,0)</f>
        <v>0.33559808600000002</v>
      </c>
      <c r="H402" s="101">
        <f>IFERROR(VLOOKUP(F402,STD!B:G,6,0),"")</f>
        <v>0.39</v>
      </c>
      <c r="I402" s="100">
        <f t="shared" si="38"/>
        <v>0.86050791282051287</v>
      </c>
      <c r="J402" s="249">
        <f t="shared" si="40"/>
        <v>7.2101582564102573</v>
      </c>
      <c r="K402" s="63">
        <f>VLOOKUP(C402,'RAW DATA 2023'!E:BO,20,0)</f>
        <v>133</v>
      </c>
      <c r="L402" s="322">
        <f t="shared" si="41"/>
        <v>958.95104810256419</v>
      </c>
      <c r="M402" s="63"/>
      <c r="Y402" s="63" t="str">
        <f t="shared" si="39"/>
        <v>B1-112-00067</v>
      </c>
    </row>
    <row r="403" spans="1:25">
      <c r="A403" s="63" t="str">
        <f>'RAW DATA 2023'!B396</f>
        <v>Lamlaung</v>
      </c>
      <c r="B403" s="63" t="str">
        <f>'RAW DATA 2023'!D396</f>
        <v>A1-005-0008</v>
      </c>
      <c r="C403" s="63" t="str">
        <f t="shared" si="36"/>
        <v>LamlaungA1-005-0008</v>
      </c>
      <c r="D403" s="63">
        <f>VLOOKUP(C403,'RAW DATA 2023'!E:BP,63,0)</f>
        <v>9</v>
      </c>
      <c r="E403" s="63" t="str">
        <f t="shared" si="37"/>
        <v>Lamlaung9</v>
      </c>
      <c r="F403" s="63">
        <f>ROUND(VLOOKUP(C403,'RAW DATA 2023'!E:BO,23,0),0)</f>
        <v>31</v>
      </c>
      <c r="G403" s="120">
        <f>VLOOKUP(C403,'RAW DATA 2023'!E:BO,26,0)</f>
        <v>0.33558922600000002</v>
      </c>
      <c r="H403" s="101">
        <f>IFERROR(VLOOKUP(F403,STD!B:G,6,0),"")</f>
        <v>0.39</v>
      </c>
      <c r="I403" s="100">
        <f t="shared" si="38"/>
        <v>0.86048519487179487</v>
      </c>
      <c r="J403" s="249">
        <f t="shared" si="40"/>
        <v>7.2097038974358973</v>
      </c>
      <c r="K403" s="63">
        <f>VLOOKUP(C403,'RAW DATA 2023'!E:BO,20,0)</f>
        <v>135</v>
      </c>
      <c r="L403" s="322">
        <f t="shared" si="41"/>
        <v>973.31002615384614</v>
      </c>
      <c r="M403" s="63"/>
      <c r="Y403" s="63" t="str">
        <f t="shared" si="39"/>
        <v>A1-005-00089</v>
      </c>
    </row>
    <row r="404" spans="1:25">
      <c r="A404" s="63" t="str">
        <f>'RAW DATA 2023'!B397</f>
        <v>Lamlaung</v>
      </c>
      <c r="B404" s="63" t="str">
        <f>'RAW DATA 2023'!D397</f>
        <v>B1-111-0007</v>
      </c>
      <c r="C404" s="63" t="str">
        <f t="shared" si="36"/>
        <v>LamlaungB1-111-0007</v>
      </c>
      <c r="D404" s="63">
        <f>VLOOKUP(C404,'RAW DATA 2023'!E:BP,63,0)</f>
        <v>4</v>
      </c>
      <c r="E404" s="63" t="str">
        <f t="shared" si="37"/>
        <v>Lamlaung4</v>
      </c>
      <c r="F404" s="63">
        <f>ROUND(VLOOKUP(C404,'RAW DATA 2023'!E:BO,23,0),0)</f>
        <v>35</v>
      </c>
      <c r="G404" s="120">
        <f>VLOOKUP(C404,'RAW DATA 2023'!E:BO,26,0)</f>
        <v>0.28054404799999999</v>
      </c>
      <c r="H404" s="101">
        <f>IFERROR(VLOOKUP(F404,STD!B:G,6,0),"")</f>
        <v>0.37</v>
      </c>
      <c r="I404" s="100">
        <f t="shared" si="38"/>
        <v>0.75822715675675678</v>
      </c>
      <c r="J404" s="249">
        <f t="shared" si="40"/>
        <v>5.1645431351351352</v>
      </c>
      <c r="K404" s="63">
        <f>VLOOKUP(C404,'RAW DATA 2023'!E:BO,20,0)</f>
        <v>120</v>
      </c>
      <c r="L404" s="322">
        <f t="shared" si="41"/>
        <v>619.74517621621624</v>
      </c>
      <c r="M404" s="63"/>
      <c r="Y404" s="63" t="str">
        <f t="shared" si="39"/>
        <v>B1-111-00074</v>
      </c>
    </row>
    <row r="405" spans="1:25">
      <c r="A405" s="63" t="str">
        <f>'RAW DATA 2023'!B398</f>
        <v>Lamlaung</v>
      </c>
      <c r="B405" s="63" t="str">
        <f>'RAW DATA 2023'!D398</f>
        <v>A1-003-0045</v>
      </c>
      <c r="C405" s="63" t="str">
        <f t="shared" si="36"/>
        <v>LamlaungA1-003-0045</v>
      </c>
      <c r="D405" s="63">
        <f>VLOOKUP(C405,'RAW DATA 2023'!E:BP,63,0)</f>
        <v>10</v>
      </c>
      <c r="E405" s="63" t="str">
        <f t="shared" si="37"/>
        <v>Lamlaung10</v>
      </c>
      <c r="F405" s="63">
        <f>ROUND(VLOOKUP(C405,'RAW DATA 2023'!E:BO,23,0),0)</f>
        <v>68</v>
      </c>
      <c r="G405" s="120">
        <f>VLOOKUP(C405,'RAW DATA 2023'!E:BO,26,0)</f>
        <v>0.27948788899999999</v>
      </c>
      <c r="H405" s="101">
        <f>IFERROR(VLOOKUP(F405,STD!B:G,6,0),"")</f>
        <v>0.36</v>
      </c>
      <c r="I405" s="100">
        <f t="shared" si="38"/>
        <v>0.77635524722222227</v>
      </c>
      <c r="J405" s="249">
        <f t="shared" si="40"/>
        <v>5.5271049444444458</v>
      </c>
      <c r="K405" s="63">
        <f>VLOOKUP(C405,'RAW DATA 2023'!E:BO,20,0)</f>
        <v>51</v>
      </c>
      <c r="L405" s="322">
        <f t="shared" si="41"/>
        <v>281.88235216666675</v>
      </c>
      <c r="M405" s="63"/>
      <c r="Y405" s="63" t="str">
        <f t="shared" si="39"/>
        <v>A1-003-004510</v>
      </c>
    </row>
    <row r="406" spans="1:25">
      <c r="A406" s="63" t="str">
        <f>'RAW DATA 2023'!B399</f>
        <v>Lamlaung</v>
      </c>
      <c r="B406" s="63" t="str">
        <f>'RAW DATA 2023'!D399</f>
        <v>B1-112-0007</v>
      </c>
      <c r="C406" s="63" t="str">
        <f t="shared" si="36"/>
        <v>LamlaungB1-112-0007</v>
      </c>
      <c r="D406" s="63">
        <f>VLOOKUP(C406,'RAW DATA 2023'!E:BP,63,0)</f>
        <v>9</v>
      </c>
      <c r="E406" s="63" t="str">
        <f t="shared" si="37"/>
        <v>Lamlaung9</v>
      </c>
      <c r="F406" s="63">
        <f>ROUND(VLOOKUP(C406,'RAW DATA 2023'!E:BO,23,0),0)</f>
        <v>79</v>
      </c>
      <c r="G406" s="120">
        <f>VLOOKUP(C406,'RAW DATA 2023'!E:BO,26,0)</f>
        <v>0.269144834</v>
      </c>
      <c r="H406" s="101">
        <f>IFERROR(VLOOKUP(F406,STD!B:G,6,0),"")</f>
        <v>0.34</v>
      </c>
      <c r="I406" s="100">
        <f t="shared" si="38"/>
        <v>0.79160245294117637</v>
      </c>
      <c r="J406" s="249">
        <f t="shared" si="40"/>
        <v>5.832049058823527</v>
      </c>
      <c r="K406" s="63">
        <f>VLOOKUP(C406,'RAW DATA 2023'!E:BO,20,0)</f>
        <v>42.999999999999993</v>
      </c>
      <c r="L406" s="322">
        <f t="shared" si="41"/>
        <v>250.77810952941161</v>
      </c>
      <c r="M406" s="63"/>
      <c r="Y406" s="63" t="str">
        <f t="shared" si="39"/>
        <v>B1-112-00079</v>
      </c>
    </row>
    <row r="407" spans="1:25">
      <c r="A407" s="63" t="str">
        <f>'RAW DATA 2023'!B400</f>
        <v>Lamlaung</v>
      </c>
      <c r="B407" s="63" t="str">
        <f>'RAW DATA 2023'!D400</f>
        <v>A1-002-0045</v>
      </c>
      <c r="C407" s="63" t="str">
        <f t="shared" si="36"/>
        <v>LamlaungA1-002-0045</v>
      </c>
      <c r="D407" s="63">
        <f>VLOOKUP(C407,'RAW DATA 2023'!E:BP,63,0)</f>
        <v>4</v>
      </c>
      <c r="E407" s="63" t="str">
        <f t="shared" si="37"/>
        <v>Lamlaung4</v>
      </c>
      <c r="F407" s="63">
        <f>ROUND(VLOOKUP(C407,'RAW DATA 2023'!E:BO,23,0),0)</f>
        <v>58</v>
      </c>
      <c r="G407" s="120">
        <f>VLOOKUP(C407,'RAW DATA 2023'!E:BO,26,0)</f>
        <v>0.20642760900000001</v>
      </c>
      <c r="H407" s="101">
        <f>IFERROR(VLOOKUP(F407,STD!B:G,6,0),"")</f>
        <v>0.36</v>
      </c>
      <c r="I407" s="100">
        <f t="shared" si="38"/>
        <v>0.57341002500000005</v>
      </c>
      <c r="J407" s="249">
        <f t="shared" si="40"/>
        <v>1.4682005000000009</v>
      </c>
      <c r="K407" s="63">
        <f>VLOOKUP(C407,'RAW DATA 2023'!E:BO,20,0)</f>
        <v>99</v>
      </c>
      <c r="L407" s="322">
        <f t="shared" si="41"/>
        <v>145.3518495000001</v>
      </c>
      <c r="M407" s="63"/>
      <c r="Y407" s="63" t="str">
        <f t="shared" si="39"/>
        <v>A1-002-00454</v>
      </c>
    </row>
    <row r="408" spans="1:25">
      <c r="A408" s="63" t="str">
        <f>'RAW DATA 2023'!B401</f>
        <v>Lamlaung</v>
      </c>
      <c r="B408" s="63" t="str">
        <f>'RAW DATA 2023'!D401</f>
        <v>B1-110-0005</v>
      </c>
      <c r="C408" s="63" t="str">
        <f t="shared" si="36"/>
        <v>LamlaungB1-110-0005</v>
      </c>
      <c r="D408" s="63">
        <f>VLOOKUP(C408,'RAW DATA 2023'!E:BP,63,0)</f>
        <v>1</v>
      </c>
      <c r="E408" s="63" t="str">
        <f t="shared" si="37"/>
        <v>Lamlaung1</v>
      </c>
      <c r="F408" s="63">
        <f>ROUND(VLOOKUP(C408,'RAW DATA 2023'!E:BO,23,0),0)</f>
        <v>86</v>
      </c>
      <c r="G408" s="120">
        <f>VLOOKUP(C408,'RAW DATA 2023'!E:BO,26,0)</f>
        <v>0.19055585200000003</v>
      </c>
      <c r="H408" s="101">
        <f>IFERROR(VLOOKUP(F408,STD!B:G,6,0),"")</f>
        <v>0.33</v>
      </c>
      <c r="I408" s="100">
        <f t="shared" si="38"/>
        <v>0.57744197575757583</v>
      </c>
      <c r="J408" s="249">
        <f t="shared" si="40"/>
        <v>1.5488395151515166</v>
      </c>
      <c r="K408" s="63">
        <f>VLOOKUP(C408,'RAW DATA 2023'!E:BO,20,0)</f>
        <v>60.999999999999993</v>
      </c>
      <c r="L408" s="322">
        <f t="shared" si="41"/>
        <v>94.47921042424251</v>
      </c>
      <c r="M408" s="63"/>
      <c r="Y408" s="63" t="str">
        <f t="shared" si="39"/>
        <v>B1-110-00051</v>
      </c>
    </row>
    <row r="409" spans="1:25">
      <c r="A409" s="63" t="str">
        <f>'RAW DATA 2023'!B402</f>
        <v>Lamlaung</v>
      </c>
      <c r="B409" s="63" t="str">
        <f>'RAW DATA 2023'!D402</f>
        <v>A1-004-0045</v>
      </c>
      <c r="C409" s="63" t="str">
        <f t="shared" si="36"/>
        <v>LamlaungA1-004-0045</v>
      </c>
      <c r="D409" s="63">
        <f>VLOOKUP(C409,'RAW DATA 2023'!E:BP,63,0)</f>
        <v>4</v>
      </c>
      <c r="E409" s="63" t="str">
        <f t="shared" si="37"/>
        <v>Lamlaung4</v>
      </c>
      <c r="F409" s="63">
        <f>ROUND(VLOOKUP(C409,'RAW DATA 2023'!E:BO,23,0),0)</f>
        <v>57</v>
      </c>
      <c r="G409" s="120">
        <f>VLOOKUP(C409,'RAW DATA 2023'!E:BO,26,0)</f>
        <v>0.16812173899999999</v>
      </c>
      <c r="H409" s="101">
        <f>IFERROR(VLOOKUP(F409,STD!B:G,6,0),"")</f>
        <v>0.36</v>
      </c>
      <c r="I409" s="100">
        <f t="shared" si="38"/>
        <v>0.46700483055555553</v>
      </c>
      <c r="J409" s="249">
        <f t="shared" si="40"/>
        <v>0</v>
      </c>
      <c r="K409" s="63">
        <f>VLOOKUP(C409,'RAW DATA 2023'!E:BO,20,0)</f>
        <v>115</v>
      </c>
      <c r="L409" s="322">
        <f t="shared" si="41"/>
        <v>0</v>
      </c>
      <c r="M409" s="63"/>
      <c r="Y409" s="63" t="str">
        <f t="shared" si="39"/>
        <v>A1-004-00454</v>
      </c>
    </row>
    <row r="410" spans="1:25">
      <c r="A410" s="63" t="str">
        <f>'RAW DATA 2023'!B403</f>
        <v>Lamlaung</v>
      </c>
      <c r="B410" s="63" t="str">
        <f>'RAW DATA 2023'!D403</f>
        <v>A1-001-0019</v>
      </c>
      <c r="C410" s="63" t="str">
        <f t="shared" si="36"/>
        <v>LamlaungA1-001-0019</v>
      </c>
      <c r="D410" s="63">
        <f>VLOOKUP(C410,'RAW DATA 2023'!E:BP,63,0)</f>
        <v>3</v>
      </c>
      <c r="E410" s="63" t="str">
        <f t="shared" si="37"/>
        <v>Lamlaung3</v>
      </c>
      <c r="F410" s="63">
        <f>ROUND(VLOOKUP(C410,'RAW DATA 2023'!E:BO,23,0),0)</f>
        <v>148</v>
      </c>
      <c r="G410" s="120">
        <f>VLOOKUP(C410,'RAW DATA 2023'!E:BO,26,0)</f>
        <v>0.14759899400000001</v>
      </c>
      <c r="H410" s="101">
        <f>IFERROR(VLOOKUP(F410,STD!B:G,6,0),"")</f>
        <v>0.27</v>
      </c>
      <c r="I410" s="100">
        <f t="shared" si="38"/>
        <v>0.54666294074074073</v>
      </c>
      <c r="J410" s="249">
        <f t="shared" si="40"/>
        <v>0.93325881481481465</v>
      </c>
      <c r="K410" s="63">
        <f>VLOOKUP(C410,'RAW DATA 2023'!E:BO,20,0)</f>
        <v>43</v>
      </c>
      <c r="L410" s="322">
        <f t="shared" si="41"/>
        <v>40.13012903703703</v>
      </c>
      <c r="M410" s="63"/>
      <c r="Y410" s="63" t="str">
        <f t="shared" si="39"/>
        <v>A1-001-00193</v>
      </c>
    </row>
    <row r="411" spans="1:25">
      <c r="A411" s="63" t="str">
        <f>'RAW DATA 2023'!B404</f>
        <v>CS4</v>
      </c>
      <c r="B411" s="63" t="str">
        <f>'RAW DATA 2023'!D404</f>
        <v>A1-011-0046</v>
      </c>
      <c r="C411" s="63" t="str">
        <f t="shared" si="36"/>
        <v>CS4A1-011-0046</v>
      </c>
      <c r="D411" s="63">
        <f>VLOOKUP(C411,'RAW DATA 2023'!E:BP,63,0)</f>
        <v>9</v>
      </c>
      <c r="E411" s="63" t="str">
        <f t="shared" si="37"/>
        <v>CS49</v>
      </c>
      <c r="F411" s="63">
        <f>ROUND(VLOOKUP(C411,'RAW DATA 2023'!E:BO,23,0),0)</f>
        <v>46</v>
      </c>
      <c r="G411" s="120">
        <f>VLOOKUP(C411,'RAW DATA 2023'!E:BO,26,0)</f>
        <v>0.41468883200000001</v>
      </c>
      <c r="H411" s="101">
        <f>IFERROR(VLOOKUP(F411,STD!B:G,6,0),"")</f>
        <v>0.36</v>
      </c>
      <c r="I411" s="100">
        <f t="shared" si="38"/>
        <v>1.1519134222222223</v>
      </c>
      <c r="J411" s="249">
        <f t="shared" si="40"/>
        <v>13.038268444444444</v>
      </c>
      <c r="K411" s="63">
        <f>VLOOKUP(C411,'RAW DATA 2023'!E:BO,20,0)</f>
        <v>51</v>
      </c>
      <c r="L411" s="322">
        <f t="shared" si="41"/>
        <v>664.95169066666665</v>
      </c>
      <c r="M411" s="63"/>
      <c r="Y411" s="63" t="str">
        <f t="shared" si="39"/>
        <v>A1-011-00469</v>
      </c>
    </row>
    <row r="412" spans="1:25">
      <c r="A412" s="63" t="str">
        <f>'RAW DATA 2023'!B405</f>
        <v>CS4</v>
      </c>
      <c r="B412" s="63" t="str">
        <f>'RAW DATA 2023'!D405</f>
        <v>A1-011-0045</v>
      </c>
      <c r="C412" s="63" t="str">
        <f t="shared" si="36"/>
        <v>CS4A1-011-0045</v>
      </c>
      <c r="D412" s="63">
        <f>VLOOKUP(C412,'RAW DATA 2023'!E:BP,63,0)</f>
        <v>5</v>
      </c>
      <c r="E412" s="63" t="str">
        <f t="shared" si="37"/>
        <v>CS45</v>
      </c>
      <c r="F412" s="63">
        <f>ROUND(VLOOKUP(C412,'RAW DATA 2023'!E:BO,23,0),0)</f>
        <v>40</v>
      </c>
      <c r="G412" s="120">
        <f>VLOOKUP(C412,'RAW DATA 2023'!E:BO,26,0)</f>
        <v>0.36993985000000001</v>
      </c>
      <c r="H412" s="101">
        <f>IFERROR(VLOOKUP(F412,STD!B:G,6,0),"")</f>
        <v>0.37</v>
      </c>
      <c r="I412" s="100">
        <f t="shared" si="38"/>
        <v>0.9998374324324325</v>
      </c>
      <c r="J412" s="249">
        <f t="shared" si="40"/>
        <v>9.9967486486486496</v>
      </c>
      <c r="K412" s="63">
        <f>VLOOKUP(C412,'RAW DATA 2023'!E:BO,20,0)</f>
        <v>70</v>
      </c>
      <c r="L412" s="322">
        <f t="shared" si="41"/>
        <v>699.77240540540549</v>
      </c>
      <c r="M412" s="63"/>
      <c r="Y412" s="63" t="str">
        <f t="shared" si="39"/>
        <v>A1-011-00455</v>
      </c>
    </row>
    <row r="413" spans="1:25">
      <c r="A413" s="63" t="str">
        <f>'RAW DATA 2023'!B406</f>
        <v>CS4</v>
      </c>
      <c r="B413" s="63" t="str">
        <f>'RAW DATA 2023'!D406</f>
        <v>A1-025-0017</v>
      </c>
      <c r="C413" s="63" t="str">
        <f t="shared" si="36"/>
        <v>CS4A1-025-0017</v>
      </c>
      <c r="D413" s="63">
        <f>VLOOKUP(C413,'RAW DATA 2023'!E:BP,63,0)</f>
        <v>5</v>
      </c>
      <c r="E413" s="63" t="str">
        <f t="shared" si="37"/>
        <v>CS45</v>
      </c>
      <c r="F413" s="63">
        <f>ROUND(VLOOKUP(C413,'RAW DATA 2023'!E:BO,23,0),0)</f>
        <v>30</v>
      </c>
      <c r="G413" s="120">
        <f>VLOOKUP(C413,'RAW DATA 2023'!E:BO,26,0)</f>
        <v>0.35021594900000003</v>
      </c>
      <c r="H413" s="101">
        <f>IFERROR(VLOOKUP(F413,STD!B:G,6,0),"")</f>
        <v>0.39</v>
      </c>
      <c r="I413" s="100">
        <f t="shared" si="38"/>
        <v>0.89798961282051282</v>
      </c>
      <c r="J413" s="249">
        <f t="shared" si="40"/>
        <v>7.9597922564102568</v>
      </c>
      <c r="K413" s="63">
        <f>VLOOKUP(C413,'RAW DATA 2023'!E:BO,20,0)</f>
        <v>109</v>
      </c>
      <c r="L413" s="322">
        <f t="shared" si="41"/>
        <v>867.617355948718</v>
      </c>
      <c r="M413" s="63"/>
      <c r="Y413" s="63" t="str">
        <f t="shared" si="39"/>
        <v>A1-025-00175</v>
      </c>
    </row>
    <row r="414" spans="1:25">
      <c r="A414" s="63" t="str">
        <f>'RAW DATA 2023'!B407</f>
        <v>CS4</v>
      </c>
      <c r="B414" s="63" t="str">
        <f>'RAW DATA 2023'!D407</f>
        <v>A1-026-0015</v>
      </c>
      <c r="C414" s="63" t="str">
        <f t="shared" si="36"/>
        <v>CS4A1-026-0015</v>
      </c>
      <c r="D414" s="63">
        <f>VLOOKUP(C414,'RAW DATA 2023'!E:BP,63,0)</f>
        <v>6</v>
      </c>
      <c r="E414" s="63" t="str">
        <f t="shared" si="37"/>
        <v>CS46</v>
      </c>
      <c r="F414" s="63">
        <f>ROUND(VLOOKUP(C414,'RAW DATA 2023'!E:BO,23,0),0)</f>
        <v>126</v>
      </c>
      <c r="G414" s="120">
        <f>VLOOKUP(C414,'RAW DATA 2023'!E:BO,26,0)</f>
        <v>0.25612528299999998</v>
      </c>
      <c r="H414" s="101">
        <f>IFERROR(VLOOKUP(F414,STD!B:G,6,0),"")</f>
        <v>0.31</v>
      </c>
      <c r="I414" s="100">
        <f t="shared" si="38"/>
        <v>0.8262105903225806</v>
      </c>
      <c r="J414" s="249">
        <f t="shared" si="40"/>
        <v>6.5242118064516124</v>
      </c>
      <c r="K414" s="63">
        <f>VLOOKUP(C414,'RAW DATA 2023'!E:BO,20,0)</f>
        <v>28</v>
      </c>
      <c r="L414" s="322">
        <f t="shared" si="41"/>
        <v>182.67793058064515</v>
      </c>
      <c r="M414" s="63"/>
      <c r="Y414" s="63" t="str">
        <f t="shared" si="39"/>
        <v>A1-026-00156</v>
      </c>
    </row>
    <row r="415" spans="1:25">
      <c r="A415" s="63" t="str">
        <f>'RAW DATA 2023'!B408</f>
        <v>CS4</v>
      </c>
      <c r="B415" s="63" t="str">
        <f>'RAW DATA 2023'!D408</f>
        <v>A1-023-0009</v>
      </c>
      <c r="C415" s="63" t="str">
        <f t="shared" si="36"/>
        <v>CS4A1-023-0009</v>
      </c>
      <c r="D415" s="63">
        <f>VLOOKUP(C415,'RAW DATA 2023'!E:BP,63,0)</f>
        <v>5</v>
      </c>
      <c r="E415" s="63" t="str">
        <f t="shared" si="37"/>
        <v>CS45</v>
      </c>
      <c r="F415" s="63">
        <f>ROUND(VLOOKUP(C415,'RAW DATA 2023'!E:BO,23,0),0)</f>
        <v>110</v>
      </c>
      <c r="G415" s="120">
        <f>VLOOKUP(C415,'RAW DATA 2023'!E:BO,26,0)</f>
        <v>0.25156883099999999</v>
      </c>
      <c r="H415" s="101">
        <f>IFERROR(VLOOKUP(F415,STD!B:G,6,0),"")</f>
        <v>0.32</v>
      </c>
      <c r="I415" s="100">
        <f t="shared" si="38"/>
        <v>0.78615259687499994</v>
      </c>
      <c r="J415" s="249">
        <f t="shared" si="40"/>
        <v>5.7230519374999993</v>
      </c>
      <c r="K415" s="63">
        <f>VLOOKUP(C415,'RAW DATA 2023'!E:BO,20,0)</f>
        <v>35</v>
      </c>
      <c r="L415" s="322">
        <f t="shared" si="41"/>
        <v>200.30681781249999</v>
      </c>
      <c r="M415" s="63"/>
      <c r="Y415" s="63" t="str">
        <f t="shared" si="39"/>
        <v>A1-023-00095</v>
      </c>
    </row>
    <row r="416" spans="1:25">
      <c r="A416" s="63" t="str">
        <f>'RAW DATA 2023'!B409</f>
        <v>CS4</v>
      </c>
      <c r="B416" s="63" t="str">
        <f>'RAW DATA 2023'!D409</f>
        <v>A1-003-0037</v>
      </c>
      <c r="C416" s="63" t="str">
        <f t="shared" si="36"/>
        <v>CS4A1-003-0037</v>
      </c>
      <c r="D416" s="63">
        <f>VLOOKUP(C416,'RAW DATA 2023'!E:BP,63,0)</f>
        <v>4</v>
      </c>
      <c r="E416" s="63" t="str">
        <f t="shared" si="37"/>
        <v>CS44</v>
      </c>
      <c r="F416" s="63">
        <f>ROUND(VLOOKUP(C416,'RAW DATA 2023'!E:BO,23,0),0)</f>
        <v>34</v>
      </c>
      <c r="G416" s="120">
        <f>VLOOKUP(C416,'RAW DATA 2023'!E:BO,26,0)</f>
        <v>0.23355811800000001</v>
      </c>
      <c r="H416" s="101">
        <f>IFERROR(VLOOKUP(F416,STD!B:G,6,0),"")</f>
        <v>0.38</v>
      </c>
      <c r="I416" s="100">
        <f t="shared" si="38"/>
        <v>0.61462662631578946</v>
      </c>
      <c r="J416" s="249">
        <f t="shared" si="40"/>
        <v>2.2925325263157892</v>
      </c>
      <c r="K416" s="63">
        <f>VLOOKUP(C416,'RAW DATA 2023'!E:BO,20,0)</f>
        <v>125</v>
      </c>
      <c r="L416" s="322">
        <f t="shared" si="41"/>
        <v>286.56656578947366</v>
      </c>
      <c r="M416" s="63"/>
      <c r="Y416" s="63" t="str">
        <f t="shared" si="39"/>
        <v>A1-003-00374</v>
      </c>
    </row>
    <row r="417" spans="1:25">
      <c r="A417" s="63" t="str">
        <f>'RAW DATA 2023'!B410</f>
        <v>CS4</v>
      </c>
      <c r="B417" s="63" t="str">
        <f>'RAW DATA 2023'!D410</f>
        <v>A1-002-0047</v>
      </c>
      <c r="C417" s="63" t="str">
        <f t="shared" si="36"/>
        <v>CS4A1-002-0047</v>
      </c>
      <c r="D417" s="63">
        <f>VLOOKUP(C417,'RAW DATA 2023'!E:BP,63,0)</f>
        <v>5</v>
      </c>
      <c r="E417" s="63" t="str">
        <f t="shared" si="37"/>
        <v>CS45</v>
      </c>
      <c r="F417" s="63">
        <f>ROUND(VLOOKUP(C417,'RAW DATA 2023'!E:BO,23,0),0)</f>
        <v>183</v>
      </c>
      <c r="G417" s="120">
        <f>VLOOKUP(C417,'RAW DATA 2023'!E:BO,26,0)</f>
        <v>0.12918246</v>
      </c>
      <c r="H417" s="101">
        <f>IFERROR(VLOOKUP(F417,STD!B:G,6,0),"")</f>
        <v>0.25</v>
      </c>
      <c r="I417" s="100">
        <f t="shared" si="38"/>
        <v>0.51672984</v>
      </c>
      <c r="J417" s="249">
        <f t="shared" si="40"/>
        <v>0.33459679999999992</v>
      </c>
      <c r="K417" s="63">
        <f>VLOOKUP(C417,'RAW DATA 2023'!E:BO,20,0)</f>
        <v>41</v>
      </c>
      <c r="L417" s="322">
        <f t="shared" si="41"/>
        <v>13.718468799999997</v>
      </c>
      <c r="M417" s="63"/>
      <c r="Y417" s="63" t="str">
        <f t="shared" si="39"/>
        <v>A1-002-00475</v>
      </c>
    </row>
    <row r="418" spans="1:25">
      <c r="A418" s="63" t="str">
        <f>'RAW DATA 2023'!B411</f>
        <v>CS4</v>
      </c>
      <c r="B418" s="63" t="str">
        <f>'RAW DATA 2023'!D411</f>
        <v>A1-002-0048</v>
      </c>
      <c r="C418" s="63" t="str">
        <f t="shared" si="36"/>
        <v>CS4A1-002-0048</v>
      </c>
      <c r="D418" s="63">
        <f>VLOOKUP(C418,'RAW DATA 2023'!E:BP,63,0)</f>
        <v>9</v>
      </c>
      <c r="E418" s="63" t="str">
        <f t="shared" si="37"/>
        <v>CS49</v>
      </c>
      <c r="F418" s="63">
        <f>ROUND(VLOOKUP(C418,'RAW DATA 2023'!E:BO,23,0),0)</f>
        <v>0</v>
      </c>
      <c r="G418" s="120">
        <f>VLOOKUP(C418,'RAW DATA 2023'!E:BO,26,0)</f>
        <v>0</v>
      </c>
      <c r="H418" s="101" t="str">
        <f>IFERROR(VLOOKUP(F418,STD!B:G,6,0),"")</f>
        <v/>
      </c>
      <c r="I418" s="100">
        <f t="shared" si="38"/>
        <v>0</v>
      </c>
      <c r="J418" s="249">
        <f t="shared" si="40"/>
        <v>0</v>
      </c>
      <c r="K418" s="63">
        <f>VLOOKUP(C418,'RAW DATA 2023'!E:BO,20,0)</f>
        <v>0</v>
      </c>
      <c r="L418" s="322">
        <f t="shared" si="41"/>
        <v>0</v>
      </c>
      <c r="M418" s="63"/>
      <c r="Y418" s="63" t="str">
        <f t="shared" si="39"/>
        <v>A1-002-00489</v>
      </c>
    </row>
    <row r="419" spans="1:25">
      <c r="A419" s="63" t="str">
        <f>'RAW DATA 2023'!B412</f>
        <v>CS4</v>
      </c>
      <c r="B419" s="63" t="str">
        <f>'RAW DATA 2023'!D412</f>
        <v>A1-002-0046</v>
      </c>
      <c r="C419" s="63" t="str">
        <f t="shared" si="36"/>
        <v>CS4A1-002-0046</v>
      </c>
      <c r="D419" s="63">
        <f>VLOOKUP(C419,'RAW DATA 2023'!E:BP,63,0)</f>
        <v>2</v>
      </c>
      <c r="E419" s="63" t="str">
        <f t="shared" si="37"/>
        <v>CS42</v>
      </c>
      <c r="F419" s="63">
        <f>ROUND(VLOOKUP(C419,'RAW DATA 2023'!E:BO,23,0),0)</f>
        <v>53</v>
      </c>
      <c r="G419" s="120">
        <f>VLOOKUP(C419,'RAW DATA 2023'!E:BO,26,0)</f>
        <v>0.269245283</v>
      </c>
      <c r="H419" s="101">
        <f>IFERROR(VLOOKUP(F419,STD!B:G,6,0),"")</f>
        <v>0.36</v>
      </c>
      <c r="I419" s="100">
        <f t="shared" si="38"/>
        <v>0.7479035638888889</v>
      </c>
      <c r="J419" s="249">
        <f t="shared" si="40"/>
        <v>4.958071277777778</v>
      </c>
      <c r="K419" s="63">
        <f>VLOOKUP(C419,'RAW DATA 2023'!E:BO,20,0)</f>
        <v>69</v>
      </c>
      <c r="L419" s="322">
        <f t="shared" si="41"/>
        <v>342.10691816666667</v>
      </c>
      <c r="M419" s="63"/>
      <c r="Y419" s="63" t="str">
        <f t="shared" si="39"/>
        <v>A1-002-00462</v>
      </c>
    </row>
    <row r="420" spans="1:25">
      <c r="A420" s="63" t="str">
        <f>'RAW DATA 2023'!B413</f>
        <v>CS4</v>
      </c>
      <c r="B420" s="63" t="str">
        <f>'RAW DATA 2023'!D413</f>
        <v>A1-023-0008</v>
      </c>
      <c r="C420" s="63" t="str">
        <f t="shared" si="36"/>
        <v>CS4A1-023-0008</v>
      </c>
      <c r="D420" s="63">
        <f>VLOOKUP(C420,'RAW DATA 2023'!E:BP,63,0)</f>
        <v>3</v>
      </c>
      <c r="E420" s="63" t="str">
        <f t="shared" si="37"/>
        <v>CS43</v>
      </c>
      <c r="F420" s="63">
        <f>ROUND(VLOOKUP(C420,'RAW DATA 2023'!E:BO,23,0),0)</f>
        <v>87</v>
      </c>
      <c r="G420" s="120">
        <f>VLOOKUP(C420,'RAW DATA 2023'!E:BO,26,0)</f>
        <v>0.23346360199999996</v>
      </c>
      <c r="H420" s="101">
        <f>IFERROR(VLOOKUP(F420,STD!B:G,6,0),"")</f>
        <v>0.33</v>
      </c>
      <c r="I420" s="100">
        <f t="shared" si="38"/>
        <v>0.70746546060606041</v>
      </c>
      <c r="J420" s="249">
        <f t="shared" si="40"/>
        <v>4.1493092121212083</v>
      </c>
      <c r="K420" s="63">
        <f>VLOOKUP(C420,'RAW DATA 2023'!E:BO,20,0)</f>
        <v>48</v>
      </c>
      <c r="L420" s="322">
        <f t="shared" si="41"/>
        <v>199.166842181818</v>
      </c>
      <c r="M420" s="63"/>
      <c r="Y420" s="63" t="str">
        <f t="shared" si="39"/>
        <v>A1-023-00083</v>
      </c>
    </row>
    <row r="421" spans="1:25">
      <c r="A421" s="63" t="str">
        <f>'RAW DATA 2023'!B414</f>
        <v>CS4</v>
      </c>
      <c r="B421" s="63" t="str">
        <f>'RAW DATA 2023'!D414</f>
        <v>A1-026-0014</v>
      </c>
      <c r="C421" s="63" t="str">
        <f t="shared" si="36"/>
        <v>CS4A1-026-0014</v>
      </c>
      <c r="D421" s="63">
        <f>VLOOKUP(C421,'RAW DATA 2023'!E:BP,63,0)</f>
        <v>4</v>
      </c>
      <c r="E421" s="63" t="str">
        <f t="shared" si="37"/>
        <v>CS44</v>
      </c>
      <c r="F421" s="63">
        <f>ROUND(VLOOKUP(C421,'RAW DATA 2023'!E:BO,23,0),0)</f>
        <v>99</v>
      </c>
      <c r="G421" s="120">
        <f>VLOOKUP(C421,'RAW DATA 2023'!E:BO,26,0)</f>
        <v>0.223604886</v>
      </c>
      <c r="H421" s="101">
        <f>IFERROR(VLOOKUP(F421,STD!B:G,6,0),"")</f>
        <v>0.32</v>
      </c>
      <c r="I421" s="100">
        <f t="shared" si="38"/>
        <v>0.69876526875</v>
      </c>
      <c r="J421" s="249">
        <f t="shared" si="40"/>
        <v>3.975305375</v>
      </c>
      <c r="K421" s="63">
        <f>VLOOKUP(C421,'RAW DATA 2023'!E:BO,20,0)</f>
        <v>43</v>
      </c>
      <c r="L421" s="322">
        <f t="shared" si="41"/>
        <v>170.93813112500001</v>
      </c>
      <c r="M421" s="63"/>
      <c r="Y421" s="63" t="str">
        <f t="shared" si="39"/>
        <v>A1-026-00144</v>
      </c>
    </row>
    <row r="422" spans="1:25">
      <c r="A422" s="63" t="str">
        <f>'RAW DATA 2023'!B415</f>
        <v>CS1</v>
      </c>
      <c r="B422" s="63" t="str">
        <f>'RAW DATA 2023'!D415</f>
        <v>A1-007-0050</v>
      </c>
      <c r="C422" s="63" t="str">
        <f t="shared" si="36"/>
        <v>CS1A1-007-0050</v>
      </c>
      <c r="D422" s="63">
        <f>VLOOKUP(C422,'RAW DATA 2023'!E:BP,63,0)</f>
        <v>10</v>
      </c>
      <c r="E422" s="63" t="str">
        <f t="shared" si="37"/>
        <v>CS110</v>
      </c>
      <c r="F422" s="63">
        <f>ROUND(VLOOKUP(C422,'RAW DATA 2023'!E:BO,23,0),0)</f>
        <v>26</v>
      </c>
      <c r="G422" s="120">
        <f>VLOOKUP(C422,'RAW DATA 2023'!E:BO,26,0)</f>
        <v>0.38596600800000003</v>
      </c>
      <c r="H422" s="101">
        <f>IFERROR(VLOOKUP(F422,STD!B:G,6,0),"")</f>
        <v>0.37</v>
      </c>
      <c r="I422" s="100">
        <f t="shared" si="38"/>
        <v>1.0431513729729731</v>
      </c>
      <c r="J422" s="249">
        <f t="shared" si="40"/>
        <v>10.863027459459463</v>
      </c>
      <c r="K422" s="63">
        <f>VLOOKUP(C422,'RAW DATA 2023'!E:BO,20,0)</f>
        <v>110</v>
      </c>
      <c r="L422" s="322">
        <f t="shared" si="41"/>
        <v>1194.9330205405408</v>
      </c>
      <c r="M422" s="63"/>
      <c r="Y422" s="63" t="str">
        <f t="shared" si="39"/>
        <v>A1-007-005010</v>
      </c>
    </row>
    <row r="423" spans="1:25">
      <c r="A423" s="63" t="str">
        <f>'RAW DATA 2023'!B416</f>
        <v>CS1</v>
      </c>
      <c r="B423" s="63" t="str">
        <f>'RAW DATA 2023'!D416</f>
        <v>A1-010-0051</v>
      </c>
      <c r="C423" s="63" t="str">
        <f t="shared" si="36"/>
        <v>CS1A1-010-0051</v>
      </c>
      <c r="D423" s="63">
        <f>VLOOKUP(C423,'RAW DATA 2023'!E:BP,63,0)</f>
        <v>10</v>
      </c>
      <c r="E423" s="63" t="str">
        <f t="shared" si="37"/>
        <v>CS110</v>
      </c>
      <c r="F423" s="63">
        <f>ROUND(VLOOKUP(C423,'RAW DATA 2023'!E:BO,23,0),0)</f>
        <v>32</v>
      </c>
      <c r="G423" s="120">
        <f>VLOOKUP(C423,'RAW DATA 2023'!E:BO,26,0)</f>
        <v>0.34930128199999999</v>
      </c>
      <c r="H423" s="101">
        <f>IFERROR(VLOOKUP(F423,STD!B:G,6,0),"")</f>
        <v>0.39</v>
      </c>
      <c r="I423" s="100">
        <f t="shared" si="38"/>
        <v>0.89564431282051271</v>
      </c>
      <c r="J423" s="249">
        <f t="shared" si="40"/>
        <v>7.9128862564102542</v>
      </c>
      <c r="K423" s="63">
        <f>VLOOKUP(C423,'RAW DATA 2023'!E:BO,20,0)</f>
        <v>108</v>
      </c>
      <c r="L423" s="322">
        <f t="shared" si="41"/>
        <v>854.5917156923075</v>
      </c>
      <c r="M423" s="63"/>
      <c r="Y423" s="63" t="str">
        <f t="shared" si="39"/>
        <v>A1-010-005110</v>
      </c>
    </row>
    <row r="424" spans="1:25">
      <c r="A424" s="63" t="str">
        <f>'RAW DATA 2023'!B417</f>
        <v>CS1</v>
      </c>
      <c r="B424" s="63" t="str">
        <f>'RAW DATA 2023'!D417</f>
        <v>A1-004-0040</v>
      </c>
      <c r="C424" s="63" t="str">
        <f t="shared" si="36"/>
        <v>CS1A1-004-0040</v>
      </c>
      <c r="D424" s="63">
        <f>VLOOKUP(C424,'RAW DATA 2023'!E:BP,63,0)</f>
        <v>2</v>
      </c>
      <c r="E424" s="63" t="str">
        <f t="shared" si="37"/>
        <v>CS12</v>
      </c>
      <c r="F424" s="63">
        <f>ROUND(VLOOKUP(C424,'RAW DATA 2023'!E:BO,23,0),0)</f>
        <v>24</v>
      </c>
      <c r="G424" s="120">
        <f>VLOOKUP(C424,'RAW DATA 2023'!E:BO,26,0)</f>
        <v>0.350509972</v>
      </c>
      <c r="H424" s="101">
        <f>IFERROR(VLOOKUP(F424,STD!B:G,6,0),"")</f>
        <v>0.36</v>
      </c>
      <c r="I424" s="100">
        <f t="shared" si="38"/>
        <v>0.97363881111111117</v>
      </c>
      <c r="J424" s="249">
        <f t="shared" si="40"/>
        <v>9.4727762222222225</v>
      </c>
      <c r="K424" s="63">
        <f>VLOOKUP(C424,'RAW DATA 2023'!E:BO,20,0)</f>
        <v>117</v>
      </c>
      <c r="L424" s="322">
        <f t="shared" si="41"/>
        <v>1108.3148180000001</v>
      </c>
      <c r="M424" s="63"/>
      <c r="Y424" s="63" t="str">
        <f t="shared" si="39"/>
        <v>A1-004-00402</v>
      </c>
    </row>
    <row r="425" spans="1:25">
      <c r="A425" s="63" t="str">
        <f>'RAW DATA 2023'!B418</f>
        <v>CS1</v>
      </c>
      <c r="B425" s="63" t="str">
        <f>'RAW DATA 2023'!D418</f>
        <v>A1-096-0028</v>
      </c>
      <c r="C425" s="63" t="str">
        <f t="shared" si="36"/>
        <v>CS1A1-096-0028</v>
      </c>
      <c r="D425" s="63">
        <f>VLOOKUP(C425,'RAW DATA 2023'!E:BP,63,0)</f>
        <v>5</v>
      </c>
      <c r="E425" s="63" t="str">
        <f t="shared" si="37"/>
        <v>CS15</v>
      </c>
      <c r="F425" s="63">
        <f>ROUND(VLOOKUP(C425,'RAW DATA 2023'!E:BO,23,0),0)</f>
        <v>45</v>
      </c>
      <c r="G425" s="120">
        <f>VLOOKUP(C425,'RAW DATA 2023'!E:BO,26,0)</f>
        <v>0.34900213800000002</v>
      </c>
      <c r="H425" s="101">
        <f>IFERROR(VLOOKUP(F425,STD!B:G,6,0),"")</f>
        <v>0.36</v>
      </c>
      <c r="I425" s="100">
        <f t="shared" si="38"/>
        <v>0.96945038333333344</v>
      </c>
      <c r="J425" s="249">
        <f t="shared" si="40"/>
        <v>9.389007666666668</v>
      </c>
      <c r="K425" s="63">
        <f>VLOOKUP(C425,'RAW DATA 2023'!E:BO,20,0)</f>
        <v>61</v>
      </c>
      <c r="L425" s="322">
        <f t="shared" si="41"/>
        <v>572.72946766666678</v>
      </c>
      <c r="M425" s="63"/>
      <c r="Y425" s="63" t="str">
        <f t="shared" si="39"/>
        <v>A1-096-00285</v>
      </c>
    </row>
    <row r="426" spans="1:25">
      <c r="A426" s="63" t="str">
        <f>'RAW DATA 2023'!B419</f>
        <v>CS1</v>
      </c>
      <c r="B426" s="63" t="str">
        <f>'RAW DATA 2023'!D419</f>
        <v>A1-014-0045</v>
      </c>
      <c r="C426" s="63" t="str">
        <f t="shared" si="36"/>
        <v>CS1A1-014-0045</v>
      </c>
      <c r="D426" s="63">
        <f>VLOOKUP(C426,'RAW DATA 2023'!E:BP,63,0)</f>
        <v>3</v>
      </c>
      <c r="E426" s="63" t="str">
        <f t="shared" si="37"/>
        <v>CS13</v>
      </c>
      <c r="F426" s="63">
        <f>ROUND(VLOOKUP(C426,'RAW DATA 2023'!E:BO,23,0),0)</f>
        <v>42</v>
      </c>
      <c r="G426" s="120">
        <f>VLOOKUP(C426,'RAW DATA 2023'!E:BO,26,0)</f>
        <v>0.32652116399999997</v>
      </c>
      <c r="H426" s="101">
        <f>IFERROR(VLOOKUP(F426,STD!B:G,6,0),"")</f>
        <v>0.37</v>
      </c>
      <c r="I426" s="100">
        <f t="shared" si="38"/>
        <v>0.88248963243243239</v>
      </c>
      <c r="J426" s="249">
        <f t="shared" si="40"/>
        <v>7.6497926486486474</v>
      </c>
      <c r="K426" s="63">
        <f>VLOOKUP(C426,'RAW DATA 2023'!E:BO,20,0)</f>
        <v>72</v>
      </c>
      <c r="L426" s="322">
        <f t="shared" si="41"/>
        <v>550.78507070270257</v>
      </c>
      <c r="M426" s="63"/>
      <c r="Y426" s="63" t="str">
        <f t="shared" si="39"/>
        <v>A1-014-00453</v>
      </c>
    </row>
    <row r="427" spans="1:25">
      <c r="A427" s="63" t="str">
        <f>'RAW DATA 2023'!B420</f>
        <v>CS1</v>
      </c>
      <c r="B427" s="63" t="str">
        <f>'RAW DATA 2023'!D420</f>
        <v>A1-096-0027</v>
      </c>
      <c r="C427" s="63" t="str">
        <f t="shared" si="36"/>
        <v>CS1A1-096-0027</v>
      </c>
      <c r="D427" s="63">
        <f>VLOOKUP(C427,'RAW DATA 2023'!E:BP,63,0)</f>
        <v>2</v>
      </c>
      <c r="E427" s="63" t="str">
        <f t="shared" si="37"/>
        <v>CS12</v>
      </c>
      <c r="F427" s="63">
        <f>ROUND(VLOOKUP(C427,'RAW DATA 2023'!E:BO,23,0),0)</f>
        <v>26</v>
      </c>
      <c r="G427" s="120">
        <f>VLOOKUP(C427,'RAW DATA 2023'!E:BO,26,0)</f>
        <v>0.29957729500000002</v>
      </c>
      <c r="H427" s="101">
        <f>IFERROR(VLOOKUP(F427,STD!B:G,6,0),"")</f>
        <v>0.37</v>
      </c>
      <c r="I427" s="100">
        <f t="shared" si="38"/>
        <v>0.80966836486486493</v>
      </c>
      <c r="J427" s="249">
        <f t="shared" si="40"/>
        <v>6.1933672972972982</v>
      </c>
      <c r="K427" s="63">
        <f>VLOOKUP(C427,'RAW DATA 2023'!E:BO,20,0)</f>
        <v>138</v>
      </c>
      <c r="L427" s="322">
        <f t="shared" si="41"/>
        <v>854.68468702702717</v>
      </c>
      <c r="M427" s="63"/>
      <c r="Y427" s="63" t="str">
        <f t="shared" si="39"/>
        <v>A1-096-00272</v>
      </c>
    </row>
    <row r="428" spans="1:25">
      <c r="A428" s="63" t="str">
        <f>'RAW DATA 2023'!B421</f>
        <v>CS1</v>
      </c>
      <c r="B428" s="63" t="str">
        <f>'RAW DATA 2023'!D421</f>
        <v>A1-010-0049</v>
      </c>
      <c r="C428" s="63" t="str">
        <f t="shared" si="36"/>
        <v>CS1A1-010-0049</v>
      </c>
      <c r="D428" s="63">
        <f>VLOOKUP(C428,'RAW DATA 2023'!E:BP,63,0)</f>
        <v>2</v>
      </c>
      <c r="E428" s="63" t="str">
        <f t="shared" si="37"/>
        <v>CS12</v>
      </c>
      <c r="F428" s="63">
        <f>ROUND(VLOOKUP(C428,'RAW DATA 2023'!E:BO,23,0),0)</f>
        <v>26</v>
      </c>
      <c r="G428" s="120">
        <f>VLOOKUP(C428,'RAW DATA 2023'!E:BO,26,0)</f>
        <v>0.295344253</v>
      </c>
      <c r="H428" s="101">
        <f>IFERROR(VLOOKUP(F428,STD!B:G,6,0),"")</f>
        <v>0.37</v>
      </c>
      <c r="I428" s="100">
        <f t="shared" si="38"/>
        <v>0.79822771081081079</v>
      </c>
      <c r="J428" s="249">
        <f t="shared" si="40"/>
        <v>5.9645542162162162</v>
      </c>
      <c r="K428" s="63">
        <f>VLOOKUP(C428,'RAW DATA 2023'!E:BO,20,0)</f>
        <v>146</v>
      </c>
      <c r="L428" s="322">
        <f t="shared" si="41"/>
        <v>870.82491556756759</v>
      </c>
      <c r="M428" s="63"/>
      <c r="Y428" s="63" t="str">
        <f t="shared" si="39"/>
        <v>A1-010-00492</v>
      </c>
    </row>
    <row r="429" spans="1:25">
      <c r="A429" s="63" t="str">
        <f>'RAW DATA 2023'!B422</f>
        <v>CS1</v>
      </c>
      <c r="B429" s="63" t="str">
        <f>'RAW DATA 2023'!D422</f>
        <v>A1-007-0048</v>
      </c>
      <c r="C429" s="63" t="str">
        <f t="shared" si="36"/>
        <v>CS1A1-007-0048</v>
      </c>
      <c r="D429" s="63">
        <f>VLOOKUP(C429,'RAW DATA 2023'!E:BP,63,0)</f>
        <v>2</v>
      </c>
      <c r="E429" s="63" t="str">
        <f t="shared" si="37"/>
        <v>CS12</v>
      </c>
      <c r="F429" s="63">
        <f>ROUND(VLOOKUP(C429,'RAW DATA 2023'!E:BO,23,0),0)</f>
        <v>29</v>
      </c>
      <c r="G429" s="120">
        <f>VLOOKUP(C429,'RAW DATA 2023'!E:BO,26,0)</f>
        <v>0.29316567999999998</v>
      </c>
      <c r="H429" s="101">
        <f>IFERROR(VLOOKUP(F429,STD!B:G,6,0),"")</f>
        <v>0.4</v>
      </c>
      <c r="I429" s="100">
        <f t="shared" si="38"/>
        <v>0.73291419999999996</v>
      </c>
      <c r="J429" s="249">
        <f t="shared" si="40"/>
        <v>4.6582839999999992</v>
      </c>
      <c r="K429" s="63">
        <f>VLOOKUP(C429,'RAW DATA 2023'!E:BO,20,0)</f>
        <v>130</v>
      </c>
      <c r="L429" s="322">
        <f t="shared" si="41"/>
        <v>605.57691999999986</v>
      </c>
      <c r="M429" s="63"/>
      <c r="Y429" s="63" t="str">
        <f t="shared" si="39"/>
        <v>A1-007-00482</v>
      </c>
    </row>
    <row r="430" spans="1:25">
      <c r="A430" s="63" t="str">
        <f>'RAW DATA 2023'!B423</f>
        <v>CS1</v>
      </c>
      <c r="B430" s="63" t="str">
        <f>'RAW DATA 2023'!D423</f>
        <v>A1-008-0030</v>
      </c>
      <c r="C430" s="63" t="str">
        <f t="shared" si="36"/>
        <v>CS1A1-008-0030</v>
      </c>
      <c r="D430" s="63">
        <f>VLOOKUP(C430,'RAW DATA 2023'!E:BP,63,0)</f>
        <v>3</v>
      </c>
      <c r="E430" s="63" t="str">
        <f t="shared" si="37"/>
        <v>CS13</v>
      </c>
      <c r="F430" s="63">
        <f>ROUND(VLOOKUP(C430,'RAW DATA 2023'!E:BO,23,0),0)</f>
        <v>29</v>
      </c>
      <c r="G430" s="120">
        <f>VLOOKUP(C430,'RAW DATA 2023'!E:BO,26,0)</f>
        <v>0.27932748899999998</v>
      </c>
      <c r="H430" s="101">
        <f>IFERROR(VLOOKUP(F430,STD!B:G,6,0),"")</f>
        <v>0.4</v>
      </c>
      <c r="I430" s="100">
        <f t="shared" si="38"/>
        <v>0.69831872249999993</v>
      </c>
      <c r="J430" s="249">
        <f t="shared" si="40"/>
        <v>3.9663744499999987</v>
      </c>
      <c r="K430" s="63">
        <f>VLOOKUP(C430,'RAW DATA 2023'!E:BO,20,0)</f>
        <v>136</v>
      </c>
      <c r="L430" s="322">
        <f t="shared" si="41"/>
        <v>539.4269251999998</v>
      </c>
      <c r="M430" s="63"/>
      <c r="Y430" s="63" t="str">
        <f t="shared" si="39"/>
        <v>A1-008-00303</v>
      </c>
    </row>
    <row r="431" spans="1:25">
      <c r="A431" s="63" t="str">
        <f>'RAW DATA 2023'!B424</f>
        <v>CS1</v>
      </c>
      <c r="B431" s="63" t="str">
        <f>'RAW DATA 2023'!D424</f>
        <v>A1-007-0049</v>
      </c>
      <c r="C431" s="63" t="str">
        <f t="shared" si="36"/>
        <v>CS1A1-007-0049</v>
      </c>
      <c r="D431" s="63">
        <f>VLOOKUP(C431,'RAW DATA 2023'!E:BP,63,0)</f>
        <v>4</v>
      </c>
      <c r="E431" s="63" t="str">
        <f t="shared" si="37"/>
        <v>CS14</v>
      </c>
      <c r="F431" s="63">
        <f>ROUND(VLOOKUP(C431,'RAW DATA 2023'!E:BO,23,0),0)</f>
        <v>105</v>
      </c>
      <c r="G431" s="120">
        <f>VLOOKUP(C431,'RAW DATA 2023'!E:BO,26,0)</f>
        <v>0.248021879</v>
      </c>
      <c r="H431" s="101">
        <f>IFERROR(VLOOKUP(F431,STD!B:G,6,0),"")</f>
        <v>0.32</v>
      </c>
      <c r="I431" s="100">
        <f t="shared" si="38"/>
        <v>0.775068371875</v>
      </c>
      <c r="J431" s="249">
        <f t="shared" si="40"/>
        <v>5.5013674374999999</v>
      </c>
      <c r="K431" s="63">
        <f>VLOOKUP(C431,'RAW DATA 2023'!E:BO,20,0)</f>
        <v>37</v>
      </c>
      <c r="L431" s="322">
        <f t="shared" si="41"/>
        <v>203.55059518749999</v>
      </c>
      <c r="M431" s="63"/>
      <c r="Y431" s="63" t="str">
        <f t="shared" si="39"/>
        <v>A1-007-00494</v>
      </c>
    </row>
    <row r="432" spans="1:25">
      <c r="A432" s="63" t="str">
        <f>'RAW DATA 2023'!B425</f>
        <v>CS1</v>
      </c>
      <c r="B432" s="63" t="str">
        <f>'RAW DATA 2023'!D425</f>
        <v>A1-008-0031</v>
      </c>
      <c r="C432" s="63" t="str">
        <f t="shared" si="36"/>
        <v>CS1A1-008-0031</v>
      </c>
      <c r="D432" s="63">
        <f>VLOOKUP(C432,'RAW DATA 2023'!E:BP,63,0)</f>
        <v>5</v>
      </c>
      <c r="E432" s="63" t="str">
        <f t="shared" si="37"/>
        <v>CS15</v>
      </c>
      <c r="F432" s="63">
        <f>ROUND(VLOOKUP(C432,'RAW DATA 2023'!E:BO,23,0),0)</f>
        <v>80</v>
      </c>
      <c r="G432" s="120">
        <f>VLOOKUP(C432,'RAW DATA 2023'!E:BO,26,0)</f>
        <v>0.24249999999999999</v>
      </c>
      <c r="H432" s="101">
        <f>IFERROR(VLOOKUP(F432,STD!B:G,6,0),"")</f>
        <v>0.34</v>
      </c>
      <c r="I432" s="100">
        <f t="shared" si="38"/>
        <v>0.71323529411764697</v>
      </c>
      <c r="J432" s="249">
        <f t="shared" si="40"/>
        <v>4.2647058823529393</v>
      </c>
      <c r="K432" s="63">
        <f>VLOOKUP(C432,'RAW DATA 2023'!E:BO,20,0)</f>
        <v>50</v>
      </c>
      <c r="L432" s="322">
        <f t="shared" si="41"/>
        <v>213.23529411764696</v>
      </c>
      <c r="M432" s="63"/>
      <c r="Y432" s="63" t="str">
        <f t="shared" si="39"/>
        <v>A1-008-00315</v>
      </c>
    </row>
    <row r="433" spans="1:25">
      <c r="A433" s="63" t="str">
        <f>'RAW DATA 2023'!B426</f>
        <v>CS1</v>
      </c>
      <c r="B433" s="63" t="str">
        <f>'RAW DATA 2023'!D426</f>
        <v>A1-010-0050</v>
      </c>
      <c r="C433" s="63" t="str">
        <f t="shared" si="36"/>
        <v>CS1A1-010-0050</v>
      </c>
      <c r="D433" s="63">
        <f>VLOOKUP(C433,'RAW DATA 2023'!E:BP,63,0)</f>
        <v>4</v>
      </c>
      <c r="E433" s="63" t="str">
        <f t="shared" si="37"/>
        <v>CS14</v>
      </c>
      <c r="F433" s="63">
        <f>ROUND(VLOOKUP(C433,'RAW DATA 2023'!E:BO,23,0),0)</f>
        <v>141</v>
      </c>
      <c r="G433" s="120">
        <f>VLOOKUP(C433,'RAW DATA 2023'!E:BO,26,0)</f>
        <v>0.169492271</v>
      </c>
      <c r="H433" s="101">
        <f>IFERROR(VLOOKUP(F433,STD!B:G,6,0),"")</f>
        <v>0.28000000000000003</v>
      </c>
      <c r="I433" s="100">
        <f t="shared" si="38"/>
        <v>0.6053295392857142</v>
      </c>
      <c r="J433" s="249">
        <f t="shared" si="40"/>
        <v>2.106590785714284</v>
      </c>
      <c r="K433" s="63">
        <f>VLOOKUP(C433,'RAW DATA 2023'!E:BO,20,0)</f>
        <v>39</v>
      </c>
      <c r="L433" s="322">
        <f t="shared" si="41"/>
        <v>82.157040642857083</v>
      </c>
      <c r="M433" s="63"/>
      <c r="Y433" s="63" t="str">
        <f t="shared" si="39"/>
        <v>A1-010-00504</v>
      </c>
    </row>
    <row r="434" spans="1:25">
      <c r="A434" s="63" t="str">
        <f>'RAW DATA 2023'!B427</f>
        <v>CS1</v>
      </c>
      <c r="B434" s="63" t="str">
        <f>'RAW DATA 2023'!D427</f>
        <v>C1-080-0017</v>
      </c>
      <c r="C434" s="63" t="str">
        <f t="shared" si="36"/>
        <v>CS1C1-080-0017</v>
      </c>
      <c r="D434" s="63">
        <f>VLOOKUP(C434,'RAW DATA 2023'!E:BP,63,0)</f>
        <v>2</v>
      </c>
      <c r="E434" s="63" t="str">
        <f t="shared" si="37"/>
        <v>CS12</v>
      </c>
      <c r="F434" s="63">
        <f>ROUND(VLOOKUP(C434,'RAW DATA 2023'!E:BO,23,0),0)</f>
        <v>23</v>
      </c>
      <c r="G434" s="120">
        <f>VLOOKUP(C434,'RAW DATA 2023'!E:BO,26,0)</f>
        <v>0.31308017700000002</v>
      </c>
      <c r="H434" s="101">
        <f>IFERROR(VLOOKUP(F434,STD!B:G,6,0),"")</f>
        <v>0.36</v>
      </c>
      <c r="I434" s="100">
        <f t="shared" si="38"/>
        <v>0.86966715833333341</v>
      </c>
      <c r="J434" s="249">
        <f t="shared" si="40"/>
        <v>7.3933431666666678</v>
      </c>
      <c r="K434" s="63">
        <f>VLOOKUP(C434,'RAW DATA 2023'!E:BO,20,0)</f>
        <v>144</v>
      </c>
      <c r="L434" s="322">
        <f t="shared" si="41"/>
        <v>1064.6414160000002</v>
      </c>
      <c r="M434" s="63"/>
      <c r="Y434" s="63" t="str">
        <f t="shared" si="39"/>
        <v>C1-080-00172</v>
      </c>
    </row>
    <row r="435" spans="1:25">
      <c r="A435" s="63" t="str">
        <f>'RAW DATA 2023'!B428</f>
        <v>CS1</v>
      </c>
      <c r="B435" s="63" t="str">
        <f>'RAW DATA 2023'!D428</f>
        <v>C1-084-0018</v>
      </c>
      <c r="C435" s="63" t="str">
        <f t="shared" si="36"/>
        <v>CS1C1-084-0018</v>
      </c>
      <c r="D435" s="63">
        <f>VLOOKUP(C435,'RAW DATA 2023'!E:BP,63,0)</f>
        <v>2</v>
      </c>
      <c r="E435" s="63" t="str">
        <f t="shared" si="37"/>
        <v>CS12</v>
      </c>
      <c r="F435" s="63">
        <f>ROUND(VLOOKUP(C435,'RAW DATA 2023'!E:BO,23,0),0)</f>
        <v>24</v>
      </c>
      <c r="G435" s="120">
        <f>VLOOKUP(C435,'RAW DATA 2023'!E:BO,26,0)</f>
        <v>0.30722329199999998</v>
      </c>
      <c r="H435" s="101">
        <f>IFERROR(VLOOKUP(F435,STD!B:G,6,0),"")</f>
        <v>0.36</v>
      </c>
      <c r="I435" s="100">
        <f t="shared" si="38"/>
        <v>0.85339803333333331</v>
      </c>
      <c r="J435" s="249">
        <f t="shared" si="40"/>
        <v>7.0679606666666661</v>
      </c>
      <c r="K435" s="63">
        <f>VLOOKUP(C435,'RAW DATA 2023'!E:BO,20,0)</f>
        <v>140</v>
      </c>
      <c r="L435" s="322">
        <f t="shared" si="41"/>
        <v>989.51449333333323</v>
      </c>
      <c r="M435" s="63"/>
      <c r="Y435" s="63" t="str">
        <f t="shared" si="39"/>
        <v>C1-084-00182</v>
      </c>
    </row>
    <row r="436" spans="1:25">
      <c r="A436" s="63" t="str">
        <f>'RAW DATA 2023'!B429</f>
        <v>CS1</v>
      </c>
      <c r="B436" s="63" t="str">
        <f>'RAW DATA 2023'!D429</f>
        <v>C1-085-0019</v>
      </c>
      <c r="C436" s="63" t="str">
        <f t="shared" si="36"/>
        <v>CS1C1-085-0019</v>
      </c>
      <c r="D436" s="63">
        <f>VLOOKUP(C436,'RAW DATA 2023'!E:BP,63,0)</f>
        <v>3</v>
      </c>
      <c r="E436" s="63" t="str">
        <f t="shared" si="37"/>
        <v>CS13</v>
      </c>
      <c r="F436" s="63">
        <f>ROUND(VLOOKUP(C436,'RAW DATA 2023'!E:BO,23,0),0)</f>
        <v>27</v>
      </c>
      <c r="G436" s="120">
        <f>VLOOKUP(C436,'RAW DATA 2023'!E:BO,26,0)</f>
        <v>0.29531481500000001</v>
      </c>
      <c r="H436" s="101">
        <f>IFERROR(VLOOKUP(F436,STD!B:G,6,0),"")</f>
        <v>0.39</v>
      </c>
      <c r="I436" s="100">
        <f t="shared" si="38"/>
        <v>0.75721747435897435</v>
      </c>
      <c r="J436" s="249">
        <f t="shared" si="40"/>
        <v>5.144349487179487</v>
      </c>
      <c r="K436" s="63">
        <f>VLOOKUP(C436,'RAW DATA 2023'!E:BO,20,0)</f>
        <v>124</v>
      </c>
      <c r="L436" s="322">
        <f t="shared" si="41"/>
        <v>637.89933641025641</v>
      </c>
      <c r="M436" s="63"/>
      <c r="Y436" s="63" t="str">
        <f t="shared" si="39"/>
        <v>C1-085-00193</v>
      </c>
    </row>
    <row r="437" spans="1:25">
      <c r="A437" s="63" t="str">
        <f>'RAW DATA 2023'!B430</f>
        <v>CS1</v>
      </c>
      <c r="B437" s="63" t="str">
        <f>'RAW DATA 2023'!D430</f>
        <v>C1-083-0019</v>
      </c>
      <c r="C437" s="63" t="str">
        <f t="shared" si="36"/>
        <v>CS1C1-083-0019</v>
      </c>
      <c r="D437" s="63">
        <f>VLOOKUP(C437,'RAW DATA 2023'!E:BP,63,0)</f>
        <v>2</v>
      </c>
      <c r="E437" s="63" t="str">
        <f t="shared" si="37"/>
        <v>CS12</v>
      </c>
      <c r="F437" s="63">
        <f>ROUND(VLOOKUP(C437,'RAW DATA 2023'!E:BO,23,0),0)</f>
        <v>24</v>
      </c>
      <c r="G437" s="120">
        <f>VLOOKUP(C437,'RAW DATA 2023'!E:BO,26,0)</f>
        <v>0.284687356</v>
      </c>
      <c r="H437" s="101">
        <f>IFERROR(VLOOKUP(F437,STD!B:G,6,0),"")</f>
        <v>0.36</v>
      </c>
      <c r="I437" s="100">
        <f t="shared" si="38"/>
        <v>0.79079821111111115</v>
      </c>
      <c r="J437" s="249">
        <f t="shared" si="40"/>
        <v>5.815964222222223</v>
      </c>
      <c r="K437" s="63">
        <f>VLOOKUP(C437,'RAW DATA 2023'!E:BO,20,0)</f>
        <v>145</v>
      </c>
      <c r="L437" s="322">
        <f t="shared" si="41"/>
        <v>843.31481222222237</v>
      </c>
      <c r="M437" s="63"/>
      <c r="Y437" s="63" t="str">
        <f t="shared" si="39"/>
        <v>C1-083-00192</v>
      </c>
    </row>
    <row r="438" spans="1:25">
      <c r="A438" s="63" t="str">
        <f>'RAW DATA 2023'!B431</f>
        <v>CS1</v>
      </c>
      <c r="B438" s="63" t="str">
        <f>'RAW DATA 2023'!D431</f>
        <v>C1-080-0018</v>
      </c>
      <c r="C438" s="63" t="str">
        <f t="shared" si="36"/>
        <v>CS1C1-080-0018</v>
      </c>
      <c r="D438" s="63">
        <f>VLOOKUP(C438,'RAW DATA 2023'!E:BP,63,0)</f>
        <v>5</v>
      </c>
      <c r="E438" s="63" t="str">
        <f t="shared" si="37"/>
        <v>CS15</v>
      </c>
      <c r="F438" s="63">
        <f>ROUND(VLOOKUP(C438,'RAW DATA 2023'!E:BO,23,0),0)</f>
        <v>61</v>
      </c>
      <c r="G438" s="120">
        <f>VLOOKUP(C438,'RAW DATA 2023'!E:BO,26,0)</f>
        <v>0.27730073500000002</v>
      </c>
      <c r="H438" s="101">
        <f>IFERROR(VLOOKUP(F438,STD!B:G,6,0),"")</f>
        <v>0.36</v>
      </c>
      <c r="I438" s="100">
        <f t="shared" si="38"/>
        <v>0.77027981944444457</v>
      </c>
      <c r="J438" s="249">
        <f t="shared" si="40"/>
        <v>5.4055963888888918</v>
      </c>
      <c r="K438" s="63">
        <f>VLOOKUP(C438,'RAW DATA 2023'!E:BO,20,0)</f>
        <v>58</v>
      </c>
      <c r="L438" s="322">
        <f t="shared" si="41"/>
        <v>313.52459055555573</v>
      </c>
      <c r="M438" s="63"/>
      <c r="Y438" s="63" t="str">
        <f t="shared" si="39"/>
        <v>C1-080-00185</v>
      </c>
    </row>
    <row r="439" spans="1:25">
      <c r="A439" s="63" t="str">
        <f>'RAW DATA 2023'!B432</f>
        <v>CS1</v>
      </c>
      <c r="B439" s="63" t="str">
        <f>'RAW DATA 2023'!D432</f>
        <v>C1-062-0020</v>
      </c>
      <c r="C439" s="63" t="str">
        <f t="shared" si="36"/>
        <v>CS1C1-062-0020</v>
      </c>
      <c r="D439" s="63">
        <f>VLOOKUP(C439,'RAW DATA 2023'!E:BP,63,0)</f>
        <v>5</v>
      </c>
      <c r="E439" s="63" t="str">
        <f t="shared" si="37"/>
        <v>CS15</v>
      </c>
      <c r="F439" s="63">
        <f>ROUND(VLOOKUP(C439,'RAW DATA 2023'!E:BO,23,0),0)</f>
        <v>70</v>
      </c>
      <c r="G439" s="120">
        <f>VLOOKUP(C439,'RAW DATA 2023'!E:BO,26,0)</f>
        <v>0.27075910399999997</v>
      </c>
      <c r="H439" s="101">
        <f>IFERROR(VLOOKUP(F439,STD!B:G,6,0),"")</f>
        <v>0.35</v>
      </c>
      <c r="I439" s="100">
        <f t="shared" si="38"/>
        <v>0.77359743999999997</v>
      </c>
      <c r="J439" s="249">
        <f t="shared" si="40"/>
        <v>5.4719487999999998</v>
      </c>
      <c r="K439" s="63">
        <f>VLOOKUP(C439,'RAW DATA 2023'!E:BO,20,0)</f>
        <v>51</v>
      </c>
      <c r="L439" s="322">
        <f t="shared" si="41"/>
        <v>279.06938880000001</v>
      </c>
      <c r="M439" s="63"/>
      <c r="Y439" s="63" t="str">
        <f t="shared" si="39"/>
        <v>C1-062-00205</v>
      </c>
    </row>
    <row r="440" spans="1:25">
      <c r="A440" s="63" t="str">
        <f>'RAW DATA 2023'!B433</f>
        <v>CS1</v>
      </c>
      <c r="B440" s="63" t="str">
        <f>'RAW DATA 2023'!D433</f>
        <v>C1-084-0019</v>
      </c>
      <c r="C440" s="63" t="str">
        <f t="shared" si="36"/>
        <v>CS1C1-084-0019</v>
      </c>
      <c r="D440" s="63">
        <f>VLOOKUP(C440,'RAW DATA 2023'!E:BP,63,0)</f>
        <v>5</v>
      </c>
      <c r="E440" s="63" t="str">
        <f t="shared" si="37"/>
        <v>CS15</v>
      </c>
      <c r="F440" s="63">
        <f>ROUND(VLOOKUP(C440,'RAW DATA 2023'!E:BO,23,0),0)</f>
        <v>67</v>
      </c>
      <c r="G440" s="120">
        <f>VLOOKUP(C440,'RAW DATA 2023'!E:BO,26,0)</f>
        <v>0.26072094899999998</v>
      </c>
      <c r="H440" s="101">
        <f>IFERROR(VLOOKUP(F440,STD!B:G,6,0),"")</f>
        <v>0.36</v>
      </c>
      <c r="I440" s="100">
        <f t="shared" si="38"/>
        <v>0.72422485833333328</v>
      </c>
      <c r="J440" s="249">
        <f t="shared" si="40"/>
        <v>4.4844971666666655</v>
      </c>
      <c r="K440" s="63">
        <f>VLOOKUP(C440,'RAW DATA 2023'!E:BO,20,0)</f>
        <v>56.000000000000007</v>
      </c>
      <c r="L440" s="322">
        <f t="shared" si="41"/>
        <v>251.13184133333331</v>
      </c>
      <c r="M440" s="63"/>
      <c r="Y440" s="63" t="str">
        <f t="shared" si="39"/>
        <v>C1-084-00195</v>
      </c>
    </row>
    <row r="441" spans="1:25">
      <c r="A441" s="63" t="str">
        <f>'RAW DATA 2023'!B434</f>
        <v>CS1</v>
      </c>
      <c r="B441" s="63" t="str">
        <f>'RAW DATA 2023'!D434</f>
        <v>C1-062-0019</v>
      </c>
      <c r="C441" s="63" t="str">
        <f t="shared" si="36"/>
        <v>CS1C1-062-0019</v>
      </c>
      <c r="D441" s="63">
        <f>VLOOKUP(C441,'RAW DATA 2023'!E:BP,63,0)</f>
        <v>2</v>
      </c>
      <c r="E441" s="63" t="str">
        <f t="shared" si="37"/>
        <v>CS12</v>
      </c>
      <c r="F441" s="63">
        <f>ROUND(VLOOKUP(C441,'RAW DATA 2023'!E:BO,23,0),0)</f>
        <v>55</v>
      </c>
      <c r="G441" s="120">
        <f>VLOOKUP(C441,'RAW DATA 2023'!E:BO,26,0)</f>
        <v>0.19777323799999999</v>
      </c>
      <c r="H441" s="101">
        <f>IFERROR(VLOOKUP(F441,STD!B:G,6,0),"")</f>
        <v>0.36</v>
      </c>
      <c r="I441" s="100">
        <f t="shared" si="38"/>
        <v>0.54937010555555554</v>
      </c>
      <c r="J441" s="249">
        <f t="shared" si="40"/>
        <v>0.98740211111111087</v>
      </c>
      <c r="K441" s="63">
        <f>VLOOKUP(C441,'RAW DATA 2023'!E:BO,20,0)</f>
        <v>89</v>
      </c>
      <c r="L441" s="322">
        <f t="shared" si="41"/>
        <v>87.878787888888866</v>
      </c>
      <c r="M441" s="63"/>
      <c r="Y441" s="63" t="str">
        <f t="shared" si="39"/>
        <v>C1-062-00192</v>
      </c>
    </row>
    <row r="442" spans="1:25">
      <c r="A442" s="63" t="str">
        <f>'RAW DATA 2023'!B435</f>
        <v>CS1</v>
      </c>
      <c r="B442" s="63" t="str">
        <f>'RAW DATA 2023'!D435</f>
        <v>C1-0B4-0017</v>
      </c>
      <c r="C442" s="63" t="str">
        <f t="shared" si="36"/>
        <v>CS1C1-0B4-0017</v>
      </c>
      <c r="D442" s="63">
        <f>VLOOKUP(C442,'RAW DATA 2023'!E:BP,63,0)</f>
        <v>3</v>
      </c>
      <c r="E442" s="63" t="str">
        <f t="shared" si="37"/>
        <v>CS13</v>
      </c>
      <c r="F442" s="63">
        <f>ROUND(VLOOKUP(C442,'RAW DATA 2023'!E:BO,23,0),0)</f>
        <v>112</v>
      </c>
      <c r="G442" s="120">
        <f>VLOOKUP(C442,'RAW DATA 2023'!E:BO,26,0)</f>
        <v>0.194194805</v>
      </c>
      <c r="H442" s="101">
        <f>IFERROR(VLOOKUP(F442,STD!B:G,6,0),"")</f>
        <v>0.32</v>
      </c>
      <c r="I442" s="100">
        <f t="shared" si="38"/>
        <v>0.60685876562499996</v>
      </c>
      <c r="J442" s="249">
        <f t="shared" si="40"/>
        <v>2.1371753124999993</v>
      </c>
      <c r="K442" s="63">
        <f>VLOOKUP(C442,'RAW DATA 2023'!E:BO,20,0)</f>
        <v>44</v>
      </c>
      <c r="L442" s="322">
        <f t="shared" si="41"/>
        <v>94.035713749999971</v>
      </c>
      <c r="M442" s="63"/>
      <c r="Y442" s="63" t="str">
        <f t="shared" si="39"/>
        <v>C1-0B4-00173</v>
      </c>
    </row>
    <row r="443" spans="1:25">
      <c r="A443" s="63" t="str">
        <f>'RAW DATA 2023'!B436</f>
        <v>CS1</v>
      </c>
      <c r="B443" s="63" t="str">
        <f>'RAW DATA 2023'!D436</f>
        <v>C1-083-0020</v>
      </c>
      <c r="C443" s="63" t="str">
        <f t="shared" si="36"/>
        <v>CS1C1-083-0020</v>
      </c>
      <c r="D443" s="63">
        <f>VLOOKUP(C443,'RAW DATA 2023'!E:BP,63,0)</f>
        <v>5</v>
      </c>
      <c r="E443" s="63" t="str">
        <f t="shared" si="37"/>
        <v>CS15</v>
      </c>
      <c r="F443" s="63">
        <f>ROUND(VLOOKUP(C443,'RAW DATA 2023'!E:BO,23,0),0)</f>
        <v>146</v>
      </c>
      <c r="G443" s="120">
        <f>VLOOKUP(C443,'RAW DATA 2023'!E:BO,26,0)</f>
        <v>0.159732877</v>
      </c>
      <c r="H443" s="101">
        <f>IFERROR(VLOOKUP(F443,STD!B:G,6,0),"")</f>
        <v>0.28000000000000003</v>
      </c>
      <c r="I443" s="100">
        <f t="shared" si="38"/>
        <v>0.57047456071428559</v>
      </c>
      <c r="J443" s="249">
        <f t="shared" si="40"/>
        <v>1.4094912142857119</v>
      </c>
      <c r="K443" s="63">
        <f>VLOOKUP(C443,'RAW DATA 2023'!E:BO,20,0)</f>
        <v>40</v>
      </c>
      <c r="L443" s="322">
        <f t="shared" si="41"/>
        <v>56.379648571428476</v>
      </c>
      <c r="M443" s="63"/>
      <c r="Y443" s="63" t="str">
        <f t="shared" si="39"/>
        <v>C1-083-00205</v>
      </c>
    </row>
    <row r="444" spans="1:25">
      <c r="A444" s="63" t="str">
        <f>'RAW DATA 2023'!B437</f>
        <v>CS1</v>
      </c>
      <c r="B444" s="63" t="str">
        <f>'RAW DATA 2023'!D437</f>
        <v>C1-063-0019</v>
      </c>
      <c r="C444" s="63" t="str">
        <f t="shared" si="36"/>
        <v>CS1C1-063-0019</v>
      </c>
      <c r="D444" s="63">
        <f>VLOOKUP(C444,'RAW DATA 2023'!E:BP,63,0)</f>
        <v>2</v>
      </c>
      <c r="E444" s="63" t="str">
        <f t="shared" si="37"/>
        <v>CS12</v>
      </c>
      <c r="F444" s="63">
        <f>ROUND(VLOOKUP(C444,'RAW DATA 2023'!E:BO,23,0),0)</f>
        <v>79</v>
      </c>
      <c r="G444" s="120">
        <f>VLOOKUP(C444,'RAW DATA 2023'!E:BO,26,0)</f>
        <v>0.147520817</v>
      </c>
      <c r="H444" s="101">
        <f>IFERROR(VLOOKUP(F444,STD!B:G,6,0),"")</f>
        <v>0.34</v>
      </c>
      <c r="I444" s="100">
        <f t="shared" si="38"/>
        <v>0.43388475588235292</v>
      </c>
      <c r="J444" s="249">
        <f t="shared" si="40"/>
        <v>0</v>
      </c>
      <c r="K444" s="63">
        <f>VLOOKUP(C444,'RAW DATA 2023'!E:BO,20,0)</f>
        <v>83</v>
      </c>
      <c r="L444" s="322">
        <f t="shared" si="41"/>
        <v>0</v>
      </c>
      <c r="M444" s="63"/>
      <c r="Y444" s="63" t="str">
        <f t="shared" si="39"/>
        <v>C1-063-00192</v>
      </c>
    </row>
    <row r="445" spans="1:25">
      <c r="A445" s="63" t="str">
        <f>'RAW DATA 2023'!B438</f>
        <v>CS1</v>
      </c>
      <c r="B445" s="63" t="str">
        <f>'RAW DATA 2023'!D438</f>
        <v>C1-056-0019</v>
      </c>
      <c r="C445" s="63" t="str">
        <f t="shared" si="36"/>
        <v>CS1C1-056-0019</v>
      </c>
      <c r="D445" s="63">
        <f>VLOOKUP(C445,'RAW DATA 2023'!E:BP,63,0)</f>
        <v>5</v>
      </c>
      <c r="E445" s="63" t="str">
        <f t="shared" si="37"/>
        <v>CS15</v>
      </c>
      <c r="F445" s="63">
        <f>ROUND(VLOOKUP(C445,'RAW DATA 2023'!E:BO,23,0),0)</f>
        <v>167</v>
      </c>
      <c r="G445" s="120">
        <f>VLOOKUP(C445,'RAW DATA 2023'!E:BO,26,0)</f>
        <v>0.14247676100000001</v>
      </c>
      <c r="H445" s="101">
        <f>IFERROR(VLOOKUP(F445,STD!B:G,6,0),"")</f>
        <v>0.26</v>
      </c>
      <c r="I445" s="100">
        <f t="shared" si="38"/>
        <v>0.54798754230769231</v>
      </c>
      <c r="J445" s="249">
        <f t="shared" si="40"/>
        <v>0.9597508461538462</v>
      </c>
      <c r="K445" s="63">
        <f>VLOOKUP(C445,'RAW DATA 2023'!E:BO,20,0)</f>
        <v>42</v>
      </c>
      <c r="L445" s="322">
        <f t="shared" si="41"/>
        <v>40.309535538461539</v>
      </c>
      <c r="M445" s="63"/>
      <c r="Y445" s="63" t="str">
        <f t="shared" si="39"/>
        <v>C1-056-00195</v>
      </c>
    </row>
    <row r="446" spans="1:25">
      <c r="A446" s="63" t="str">
        <f>'RAW DATA 2023'!B439</f>
        <v>CS1</v>
      </c>
      <c r="B446" s="63" t="str">
        <f>'RAW DATA 2023'!D439</f>
        <v>C1-063-0020</v>
      </c>
      <c r="C446" s="63" t="str">
        <f t="shared" si="36"/>
        <v>CS1C1-063-0020</v>
      </c>
      <c r="D446" s="63">
        <f>VLOOKUP(C446,'RAW DATA 2023'!E:BP,63,0)</f>
        <v>5</v>
      </c>
      <c r="E446" s="63" t="str">
        <f t="shared" si="37"/>
        <v>CS15</v>
      </c>
      <c r="F446" s="63">
        <f>ROUND(VLOOKUP(C446,'RAW DATA 2023'!E:BO,23,0),0)</f>
        <v>208</v>
      </c>
      <c r="G446" s="120">
        <f>VLOOKUP(C446,'RAW DATA 2023'!E:BO,26,0)</f>
        <v>0.123852564</v>
      </c>
      <c r="H446" s="101">
        <f>IFERROR(VLOOKUP(F446,STD!B:G,6,0),"")</f>
        <v>0.25</v>
      </c>
      <c r="I446" s="100">
        <f t="shared" si="38"/>
        <v>0.49541025599999999</v>
      </c>
      <c r="J446" s="249">
        <f t="shared" si="40"/>
        <v>0</v>
      </c>
      <c r="K446" s="63">
        <f>VLOOKUP(C446,'RAW DATA 2023'!E:BO,20,0)</f>
        <v>36</v>
      </c>
      <c r="L446" s="322">
        <f t="shared" si="41"/>
        <v>0</v>
      </c>
      <c r="M446" s="63"/>
      <c r="Y446" s="63" t="str">
        <f t="shared" si="39"/>
        <v>C1-063-00205</v>
      </c>
    </row>
    <row r="447" spans="1:25">
      <c r="A447" s="63" t="str">
        <f>'RAW DATA 2023'!B440</f>
        <v>CS1</v>
      </c>
      <c r="B447" s="63" t="str">
        <f>'RAW DATA 2023'!D440</f>
        <v>C1-085-0020</v>
      </c>
      <c r="C447" s="63" t="str">
        <f t="shared" si="36"/>
        <v>CS1C1-085-0020</v>
      </c>
      <c r="D447" s="63">
        <f>VLOOKUP(C447,'RAW DATA 2023'!E:BP,63,0)</f>
        <v>9</v>
      </c>
      <c r="E447" s="63" t="str">
        <f t="shared" si="37"/>
        <v>CS19</v>
      </c>
      <c r="F447" s="63">
        <f>ROUND(VLOOKUP(C447,'RAW DATA 2023'!E:BO,23,0),0)</f>
        <v>73</v>
      </c>
      <c r="G447" s="120">
        <f>VLOOKUP(C447,'RAW DATA 2023'!E:BO,26,0)</f>
        <v>0.29516955900000003</v>
      </c>
      <c r="H447" s="101">
        <f>IFERROR(VLOOKUP(F447,STD!B:G,6,0),"")</f>
        <v>0.35</v>
      </c>
      <c r="I447" s="100">
        <f t="shared" si="38"/>
        <v>0.84334159714285728</v>
      </c>
      <c r="J447" s="249">
        <f t="shared" si="40"/>
        <v>6.8668319428571456</v>
      </c>
      <c r="K447" s="63">
        <f>VLOOKUP(C447,'RAW DATA 2023'!E:BO,20,0)</f>
        <v>45</v>
      </c>
      <c r="L447" s="322">
        <f t="shared" si="41"/>
        <v>309.00743742857156</v>
      </c>
      <c r="M447" s="63"/>
      <c r="Y447" s="63" t="str">
        <f t="shared" si="39"/>
        <v>C1-085-00209</v>
      </c>
    </row>
    <row r="448" spans="1:25">
      <c r="A448" s="63" t="str">
        <f>'RAW DATA 2023'!B441</f>
        <v>CS1</v>
      </c>
      <c r="B448" s="63" t="str">
        <f>'RAW DATA 2023'!D441</f>
        <v>C1-084-0020</v>
      </c>
      <c r="C448" s="63" t="str">
        <f t="shared" si="36"/>
        <v>CS1C1-084-0020</v>
      </c>
      <c r="D448" s="63">
        <f>VLOOKUP(C448,'RAW DATA 2023'!E:BP,63,0)</f>
        <v>8</v>
      </c>
      <c r="E448" s="63" t="str">
        <f t="shared" si="37"/>
        <v>CS18</v>
      </c>
      <c r="F448" s="63">
        <f>ROUND(VLOOKUP(C448,'RAW DATA 2023'!E:BO,23,0),0)</f>
        <v>168</v>
      </c>
      <c r="G448" s="120">
        <f>VLOOKUP(C448,'RAW DATA 2023'!E:BO,26,0)</f>
        <v>0.141855922</v>
      </c>
      <c r="H448" s="101">
        <f>IFERROR(VLOOKUP(F448,STD!B:G,6,0),"")</f>
        <v>0.26</v>
      </c>
      <c r="I448" s="100">
        <f t="shared" si="38"/>
        <v>0.54559969999999991</v>
      </c>
      <c r="J448" s="249">
        <f t="shared" si="40"/>
        <v>0.91199399999999819</v>
      </c>
      <c r="K448" s="63">
        <f>VLOOKUP(C448,'RAW DATA 2023'!E:BO,20,0)</f>
        <v>39</v>
      </c>
      <c r="L448" s="322">
        <f t="shared" si="41"/>
        <v>35.567765999999928</v>
      </c>
      <c r="M448" s="63"/>
      <c r="Y448" s="63" t="str">
        <f t="shared" si="39"/>
        <v>C1-084-00208</v>
      </c>
    </row>
    <row r="449" spans="1:25">
      <c r="A449" s="63" t="str">
        <f>'RAW DATA 2023'!B442</f>
        <v>Roiphet3</v>
      </c>
      <c r="B449" s="63" t="str">
        <f>'RAW DATA 2023'!D442</f>
        <v>A1-008-0023</v>
      </c>
      <c r="C449" s="63" t="str">
        <f t="shared" si="36"/>
        <v>Roiphet3A1-008-0023</v>
      </c>
      <c r="D449" s="63">
        <f>VLOOKUP(C449,'RAW DATA 2023'!E:BP,63,0)</f>
        <v>9</v>
      </c>
      <c r="E449" s="63" t="str">
        <f t="shared" si="37"/>
        <v>Roiphet39</v>
      </c>
      <c r="F449" s="63">
        <f>ROUND(VLOOKUP(C449,'RAW DATA 2023'!E:BO,23,0),0)</f>
        <v>34</v>
      </c>
      <c r="G449" s="120">
        <f>VLOOKUP(C449,'RAW DATA 2023'!E:BO,26,0)</f>
        <v>0.45207684999999997</v>
      </c>
      <c r="H449" s="101">
        <f>IFERROR(VLOOKUP(F449,STD!B:G,6,0),"")</f>
        <v>0.38</v>
      </c>
      <c r="I449" s="100">
        <f t="shared" si="38"/>
        <v>1.1896759210526315</v>
      </c>
      <c r="J449" s="249">
        <f t="shared" si="40"/>
        <v>13.793518421052632</v>
      </c>
      <c r="K449" s="63">
        <f>VLOOKUP(C449,'RAW DATA 2023'!E:BO,20,0)</f>
        <v>61.999999999999993</v>
      </c>
      <c r="L449" s="322">
        <f t="shared" si="41"/>
        <v>855.19814210526306</v>
      </c>
      <c r="M449" s="63"/>
      <c r="Y449" s="63" t="str">
        <f t="shared" si="39"/>
        <v>A1-008-00239</v>
      </c>
    </row>
    <row r="450" spans="1:25">
      <c r="A450" s="63" t="str">
        <f>'RAW DATA 2023'!B443</f>
        <v>Roiphet3</v>
      </c>
      <c r="B450" s="63" t="str">
        <f>'RAW DATA 2023'!D443</f>
        <v>A1-016-0031</v>
      </c>
      <c r="C450" s="63" t="str">
        <f t="shared" si="36"/>
        <v>Roiphet3A1-016-0031</v>
      </c>
      <c r="D450" s="63">
        <f>VLOOKUP(C450,'RAW DATA 2023'!E:BP,63,0)</f>
        <v>10</v>
      </c>
      <c r="E450" s="63" t="str">
        <f t="shared" si="37"/>
        <v>Roiphet310</v>
      </c>
      <c r="F450" s="63">
        <f>ROUND(VLOOKUP(C450,'RAW DATA 2023'!E:BO,23,0),0)</f>
        <v>96</v>
      </c>
      <c r="G450" s="120">
        <f>VLOOKUP(C450,'RAW DATA 2023'!E:BO,26,0)</f>
        <v>0.25827619000000002</v>
      </c>
      <c r="H450" s="101">
        <f>IFERROR(VLOOKUP(F450,STD!B:G,6,0),"")</f>
        <v>0.32</v>
      </c>
      <c r="I450" s="100">
        <f t="shared" si="38"/>
        <v>0.80711309375000007</v>
      </c>
      <c r="J450" s="249">
        <f t="shared" si="40"/>
        <v>6.1422618750000009</v>
      </c>
      <c r="K450" s="63">
        <f>VLOOKUP(C450,'RAW DATA 2023'!E:BO,20,0)</f>
        <v>35</v>
      </c>
      <c r="L450" s="322">
        <f t="shared" si="41"/>
        <v>214.97916562500004</v>
      </c>
      <c r="M450" s="63"/>
      <c r="Y450" s="63" t="str">
        <f t="shared" si="39"/>
        <v>A1-016-003110</v>
      </c>
    </row>
    <row r="451" spans="1:25">
      <c r="A451" s="63" t="str">
        <f>'RAW DATA 2023'!B444</f>
        <v>Roiphet3</v>
      </c>
      <c r="B451" s="63" t="str">
        <f>'RAW DATA 2023'!D444</f>
        <v>A1-016-0029</v>
      </c>
      <c r="C451" s="63" t="str">
        <f t="shared" si="36"/>
        <v>Roiphet3A1-016-0029</v>
      </c>
      <c r="D451" s="63">
        <f>VLOOKUP(C451,'RAW DATA 2023'!E:BP,63,0)</f>
        <v>3</v>
      </c>
      <c r="E451" s="63" t="str">
        <f t="shared" si="37"/>
        <v>Roiphet33</v>
      </c>
      <c r="F451" s="63">
        <f>ROUND(VLOOKUP(C451,'RAW DATA 2023'!E:BO,23,0),0)</f>
        <v>29</v>
      </c>
      <c r="G451" s="120">
        <f>VLOOKUP(C451,'RAW DATA 2023'!E:BO,26,0)</f>
        <v>0.33060200700000003</v>
      </c>
      <c r="H451" s="101">
        <f>IFERROR(VLOOKUP(F451,STD!B:G,6,0),"")</f>
        <v>0.4</v>
      </c>
      <c r="I451" s="100">
        <f t="shared" si="38"/>
        <v>0.82650501750000005</v>
      </c>
      <c r="J451" s="249">
        <f t="shared" si="40"/>
        <v>6.5301003500000014</v>
      </c>
      <c r="K451" s="63">
        <f>VLOOKUP(C451,'RAW DATA 2023'!E:BO,20,0)</f>
        <v>130</v>
      </c>
      <c r="L451" s="322">
        <f t="shared" si="41"/>
        <v>848.91304550000018</v>
      </c>
      <c r="M451" s="63"/>
      <c r="Y451" s="63" t="str">
        <f t="shared" si="39"/>
        <v>A1-016-00293</v>
      </c>
    </row>
    <row r="452" spans="1:25">
      <c r="A452" s="63" t="str">
        <f>'RAW DATA 2023'!B445</f>
        <v>Roiphet3</v>
      </c>
      <c r="B452" s="63" t="str">
        <f>'RAW DATA 2023'!D445</f>
        <v>A1-008-0022</v>
      </c>
      <c r="C452" s="63" t="str">
        <f t="shared" si="36"/>
        <v>Roiphet3A1-008-0022</v>
      </c>
      <c r="D452" s="63">
        <f>VLOOKUP(C452,'RAW DATA 2023'!E:BP,63,0)</f>
        <v>3</v>
      </c>
      <c r="E452" s="63" t="str">
        <f t="shared" si="37"/>
        <v>Roiphet33</v>
      </c>
      <c r="F452" s="63">
        <f>ROUND(VLOOKUP(C452,'RAW DATA 2023'!E:BO,23,0),0)</f>
        <v>28</v>
      </c>
      <c r="G452" s="120">
        <f>VLOOKUP(C452,'RAW DATA 2023'!E:BO,26,0)</f>
        <v>0.31554707399999998</v>
      </c>
      <c r="H452" s="101">
        <f>IFERROR(VLOOKUP(F452,STD!B:G,6,0),"")</f>
        <v>0.41</v>
      </c>
      <c r="I452" s="100">
        <f t="shared" si="38"/>
        <v>0.76962700975609755</v>
      </c>
      <c r="J452" s="249">
        <f t="shared" si="40"/>
        <v>5.3925401951219509</v>
      </c>
      <c r="K452" s="63">
        <f>VLOOKUP(C452,'RAW DATA 2023'!E:BO,20,0)</f>
        <v>131</v>
      </c>
      <c r="L452" s="322">
        <f t="shared" si="41"/>
        <v>706.42276556097556</v>
      </c>
      <c r="M452" s="63"/>
      <c r="Y452" s="63" t="str">
        <f t="shared" si="39"/>
        <v>A1-008-00223</v>
      </c>
    </row>
    <row r="453" spans="1:25">
      <c r="A453" s="63" t="str">
        <f>'RAW DATA 2023'!B446</f>
        <v>Roiphet3</v>
      </c>
      <c r="B453" s="63" t="str">
        <f>'RAW DATA 2023'!D446</f>
        <v>A1-006-0011</v>
      </c>
      <c r="C453" s="63" t="str">
        <f t="shared" si="36"/>
        <v>Roiphet3A1-006-0011</v>
      </c>
      <c r="D453" s="63">
        <f>VLOOKUP(C453,'RAW DATA 2023'!E:BP,63,0)</f>
        <v>3</v>
      </c>
      <c r="E453" s="63" t="str">
        <f t="shared" si="37"/>
        <v>Roiphet33</v>
      </c>
      <c r="F453" s="63">
        <f>ROUND(VLOOKUP(C453,'RAW DATA 2023'!E:BO,23,0),0)</f>
        <v>39</v>
      </c>
      <c r="G453" s="120">
        <f>VLOOKUP(C453,'RAW DATA 2023'!E:BO,26,0)</f>
        <v>0.28986842899999998</v>
      </c>
      <c r="H453" s="101">
        <f>IFERROR(VLOOKUP(F453,STD!B:G,6,0),"")</f>
        <v>0.37</v>
      </c>
      <c r="I453" s="100">
        <f t="shared" si="38"/>
        <v>0.78342818648648649</v>
      </c>
      <c r="J453" s="249">
        <f t="shared" si="40"/>
        <v>5.6685637297297298</v>
      </c>
      <c r="K453" s="63">
        <f>VLOOKUP(C453,'RAW DATA 2023'!E:BO,20,0)</f>
        <v>91</v>
      </c>
      <c r="L453" s="322">
        <f t="shared" si="41"/>
        <v>515.83929940540543</v>
      </c>
      <c r="M453" s="63"/>
      <c r="Y453" s="63" t="str">
        <f t="shared" si="39"/>
        <v>A1-006-00113</v>
      </c>
    </row>
    <row r="454" spans="1:25">
      <c r="A454" s="63" t="str">
        <f>'RAW DATA 2023'!B447</f>
        <v>Roiphet3</v>
      </c>
      <c r="B454" s="63" t="str">
        <f>'RAW DATA 2023'!D447</f>
        <v>A1-027-0027</v>
      </c>
      <c r="C454" s="63" t="str">
        <f t="shared" si="36"/>
        <v>Roiphet3A1-027-0027</v>
      </c>
      <c r="D454" s="63">
        <f>VLOOKUP(C454,'RAW DATA 2023'!E:BP,63,0)</f>
        <v>5</v>
      </c>
      <c r="E454" s="63" t="str">
        <f t="shared" si="37"/>
        <v>Roiphet35</v>
      </c>
      <c r="F454" s="63">
        <f>ROUND(VLOOKUP(C454,'RAW DATA 2023'!E:BO,23,0),0)</f>
        <v>65</v>
      </c>
      <c r="G454" s="120">
        <f>VLOOKUP(C454,'RAW DATA 2023'!E:BO,26,0)</f>
        <v>0.26722527499999998</v>
      </c>
      <c r="H454" s="101">
        <f>IFERROR(VLOOKUP(F454,STD!B:G,6,0),"")</f>
        <v>0.36</v>
      </c>
      <c r="I454" s="100">
        <f t="shared" si="38"/>
        <v>0.74229243055555549</v>
      </c>
      <c r="J454" s="249">
        <f t="shared" si="40"/>
        <v>4.8458486111111103</v>
      </c>
      <c r="K454" s="63">
        <f>VLOOKUP(C454,'RAW DATA 2023'!E:BO,20,0)</f>
        <v>56</v>
      </c>
      <c r="L454" s="322">
        <f t="shared" si="41"/>
        <v>271.36752222222219</v>
      </c>
      <c r="M454" s="63"/>
      <c r="Y454" s="63" t="str">
        <f t="shared" si="39"/>
        <v>A1-027-00275</v>
      </c>
    </row>
    <row r="455" spans="1:25">
      <c r="A455" s="63" t="str">
        <f>'RAW DATA 2023'!B448</f>
        <v>Roiphet3</v>
      </c>
      <c r="B455" s="63" t="str">
        <f>'RAW DATA 2023'!D448</f>
        <v>A1-006-0012</v>
      </c>
      <c r="C455" s="63" t="str">
        <f t="shared" si="36"/>
        <v>Roiphet3A1-006-0012</v>
      </c>
      <c r="D455" s="63">
        <f>VLOOKUP(C455,'RAW DATA 2023'!E:BP,63,0)</f>
        <v>8</v>
      </c>
      <c r="E455" s="63" t="str">
        <f t="shared" si="37"/>
        <v>Roiphet38</v>
      </c>
      <c r="F455" s="63">
        <f>ROUND(VLOOKUP(C455,'RAW DATA 2023'!E:BO,23,0),0)</f>
        <v>93</v>
      </c>
      <c r="G455" s="120">
        <f>VLOOKUP(C455,'RAW DATA 2023'!E:BO,26,0)</f>
        <v>0.24648019899999998</v>
      </c>
      <c r="H455" s="101">
        <f>IFERROR(VLOOKUP(F455,STD!B:G,6,0),"")</f>
        <v>0.32</v>
      </c>
      <c r="I455" s="100">
        <f t="shared" si="38"/>
        <v>0.77025062187499993</v>
      </c>
      <c r="J455" s="249">
        <f t="shared" si="40"/>
        <v>5.4050124374999982</v>
      </c>
      <c r="K455" s="63">
        <f>VLOOKUP(C455,'RAW DATA 2023'!E:BO,20,0)</f>
        <v>41</v>
      </c>
      <c r="L455" s="322">
        <f t="shared" si="41"/>
        <v>221.60550993749993</v>
      </c>
      <c r="M455" s="63"/>
      <c r="Y455" s="63" t="str">
        <f t="shared" si="39"/>
        <v>A1-006-00128</v>
      </c>
    </row>
    <row r="456" spans="1:25">
      <c r="A456" s="63" t="str">
        <f>'RAW DATA 2023'!B449</f>
        <v>Roiphet3</v>
      </c>
      <c r="B456" s="63" t="str">
        <f>'RAW DATA 2023'!D449</f>
        <v>A1-026-0022</v>
      </c>
      <c r="C456" s="63" t="str">
        <f t="shared" si="36"/>
        <v>Roiphet3A1-026-0022</v>
      </c>
      <c r="D456" s="63">
        <f>VLOOKUP(C456,'RAW DATA 2023'!E:BP,63,0)</f>
        <v>5</v>
      </c>
      <c r="E456" s="63" t="str">
        <f t="shared" si="37"/>
        <v>Roiphet35</v>
      </c>
      <c r="F456" s="63">
        <f>ROUND(VLOOKUP(C456,'RAW DATA 2023'!E:BO,23,0),0)</f>
        <v>100</v>
      </c>
      <c r="G456" s="120">
        <f>VLOOKUP(C456,'RAW DATA 2023'!E:BO,26,0)</f>
        <v>0.217522727</v>
      </c>
      <c r="H456" s="101">
        <f>IFERROR(VLOOKUP(F456,STD!B:G,6,0),"")</f>
        <v>0.32</v>
      </c>
      <c r="I456" s="100">
        <f t="shared" si="38"/>
        <v>0.67975852187499997</v>
      </c>
      <c r="J456" s="249">
        <f t="shared" si="40"/>
        <v>3.5951704374999993</v>
      </c>
      <c r="K456" s="63">
        <f>VLOOKUP(C456,'RAW DATA 2023'!E:BO,20,0)</f>
        <v>44</v>
      </c>
      <c r="L456" s="322">
        <f t="shared" si="41"/>
        <v>158.18749924999997</v>
      </c>
      <c r="M456" s="63"/>
      <c r="Y456" s="63" t="str">
        <f t="shared" si="39"/>
        <v>A1-026-00225</v>
      </c>
    </row>
    <row r="457" spans="1:25">
      <c r="A457" s="63" t="str">
        <f>'RAW DATA 2023'!B450</f>
        <v>Roiphet3</v>
      </c>
      <c r="B457" s="63" t="str">
        <f>'RAW DATA 2023'!D450</f>
        <v>A1-024-0032</v>
      </c>
      <c r="C457" s="63" t="str">
        <f t="shared" si="36"/>
        <v>Roiphet3A1-024-0032</v>
      </c>
      <c r="D457" s="63">
        <f>VLOOKUP(C457,'RAW DATA 2023'!E:BP,63,0)</f>
        <v>5</v>
      </c>
      <c r="E457" s="63" t="str">
        <f t="shared" si="37"/>
        <v>Roiphet35</v>
      </c>
      <c r="F457" s="63">
        <f>ROUND(VLOOKUP(C457,'RAW DATA 2023'!E:BO,23,0),0)</f>
        <v>86</v>
      </c>
      <c r="G457" s="120">
        <f>VLOOKUP(C457,'RAW DATA 2023'!E:BO,26,0)</f>
        <v>0.20699827700000001</v>
      </c>
      <c r="H457" s="101">
        <f>IFERROR(VLOOKUP(F457,STD!B:G,6,0),"")</f>
        <v>0.33</v>
      </c>
      <c r="I457" s="100">
        <f t="shared" si="38"/>
        <v>0.62726750606060611</v>
      </c>
      <c r="J457" s="249">
        <f t="shared" si="40"/>
        <v>2.5453501212121221</v>
      </c>
      <c r="K457" s="63">
        <f>VLOOKUP(C457,'RAW DATA 2023'!E:BO,20,0)</f>
        <v>53.999999999999993</v>
      </c>
      <c r="L457" s="322">
        <f t="shared" si="41"/>
        <v>137.44890654545458</v>
      </c>
      <c r="M457" s="63"/>
      <c r="Y457" s="63" t="str">
        <f t="shared" si="39"/>
        <v>A1-024-00325</v>
      </c>
    </row>
    <row r="458" spans="1:25">
      <c r="A458" s="63" t="str">
        <f>'RAW DATA 2023'!B451</f>
        <v>Roiphet3</v>
      </c>
      <c r="B458" s="63" t="str">
        <f>'RAW DATA 2023'!D451</f>
        <v>A1-007-0012</v>
      </c>
      <c r="C458" s="63" t="str">
        <f t="shared" ref="C458:C521" si="42">A458&amp;B458</f>
        <v>Roiphet3A1-007-0012</v>
      </c>
      <c r="D458" s="63">
        <f>VLOOKUP(C458,'RAW DATA 2023'!E:BP,63,0)</f>
        <v>2</v>
      </c>
      <c r="E458" s="63" t="str">
        <f t="shared" ref="E458:E521" si="43">A458&amp;D458</f>
        <v>Roiphet32</v>
      </c>
      <c r="F458" s="63">
        <f>ROUND(VLOOKUP(C458,'RAW DATA 2023'!E:BO,23,0),0)</f>
        <v>75</v>
      </c>
      <c r="G458" s="120">
        <f>VLOOKUP(C458,'RAW DATA 2023'!E:BO,26,0)</f>
        <v>0.19897435899999999</v>
      </c>
      <c r="H458" s="101">
        <f>IFERROR(VLOOKUP(F458,STD!B:G,6,0),"")</f>
        <v>0.34</v>
      </c>
      <c r="I458" s="100">
        <f t="shared" ref="I458:I503" si="44">IFERROR(G458/H458,0)</f>
        <v>0.58521870294117639</v>
      </c>
      <c r="J458" s="249">
        <f t="shared" si="40"/>
        <v>1.7043740588235279</v>
      </c>
      <c r="K458" s="63">
        <f>VLOOKUP(C458,'RAW DATA 2023'!E:BO,20,0)</f>
        <v>65</v>
      </c>
      <c r="L458" s="322">
        <f t="shared" si="41"/>
        <v>110.78431382352932</v>
      </c>
      <c r="M458" s="63"/>
      <c r="Y458" s="63" t="str">
        <f t="shared" ref="Y458:Y521" si="45">B458&amp;D458</f>
        <v>A1-007-00122</v>
      </c>
    </row>
    <row r="459" spans="1:25">
      <c r="A459" s="63" t="str">
        <f>'RAW DATA 2023'!B452</f>
        <v>Roiphet3</v>
      </c>
      <c r="B459" s="63" t="str">
        <f>'RAW DATA 2023'!D452</f>
        <v>A1-023-0016</v>
      </c>
      <c r="C459" s="63" t="str">
        <f t="shared" si="42"/>
        <v>Roiphet3A1-023-0016</v>
      </c>
      <c r="D459" s="63">
        <f>VLOOKUP(C459,'RAW DATA 2023'!E:BP,63,0)</f>
        <v>4</v>
      </c>
      <c r="E459" s="63" t="str">
        <f t="shared" si="43"/>
        <v>Roiphet34</v>
      </c>
      <c r="F459" s="63">
        <f>ROUND(VLOOKUP(C459,'RAW DATA 2023'!E:BO,23,0),0)</f>
        <v>90</v>
      </c>
      <c r="G459" s="120">
        <f>VLOOKUP(C459,'RAW DATA 2023'!E:BO,26,0)</f>
        <v>0.18135185200000001</v>
      </c>
      <c r="H459" s="101">
        <f>IFERROR(VLOOKUP(F459,STD!B:G,6,0),"")</f>
        <v>0.33</v>
      </c>
      <c r="I459" s="100">
        <f t="shared" si="44"/>
        <v>0.54955106666666664</v>
      </c>
      <c r="J459" s="249">
        <f t="shared" ref="J459:J522" si="46">IF(I459&gt;0.5,((I459-$B$4)*$B$7),0)</f>
        <v>0.99102133333333287</v>
      </c>
      <c r="K459" s="63">
        <f>VLOOKUP(C459,'RAW DATA 2023'!E:BO,20,0)</f>
        <v>60</v>
      </c>
      <c r="L459" s="322">
        <f t="shared" ref="L459:L522" si="47">J459*K459</f>
        <v>59.461279999999974</v>
      </c>
      <c r="M459" s="63"/>
      <c r="Y459" s="63" t="str">
        <f t="shared" si="45"/>
        <v>A1-023-00164</v>
      </c>
    </row>
    <row r="460" spans="1:25">
      <c r="A460" s="63" t="str">
        <f>'RAW DATA 2023'!B453</f>
        <v>Roiphet3</v>
      </c>
      <c r="B460" s="63" t="str">
        <f>'RAW DATA 2023'!D453</f>
        <v>C1-046-0004</v>
      </c>
      <c r="C460" s="63" t="str">
        <f t="shared" si="42"/>
        <v>Roiphet3C1-046-0004</v>
      </c>
      <c r="D460" s="63">
        <f>VLOOKUP(C460,'RAW DATA 2023'!E:BP,63,0)</f>
        <v>4</v>
      </c>
      <c r="E460" s="63" t="str">
        <f t="shared" si="43"/>
        <v>Roiphet34</v>
      </c>
      <c r="F460" s="63">
        <f>ROUND(VLOOKUP(C460,'RAW DATA 2023'!E:BO,23,0),0)</f>
        <v>32</v>
      </c>
      <c r="G460" s="120">
        <f>VLOOKUP(C460,'RAW DATA 2023'!E:BO,26,0)</f>
        <v>0.33474422599999998</v>
      </c>
      <c r="H460" s="101">
        <f>IFERROR(VLOOKUP(F460,STD!B:G,6,0),"")</f>
        <v>0.39</v>
      </c>
      <c r="I460" s="100">
        <f t="shared" si="44"/>
        <v>0.85831852820512811</v>
      </c>
      <c r="J460" s="249">
        <f t="shared" si="46"/>
        <v>7.1663705641025626</v>
      </c>
      <c r="K460" s="63">
        <f>VLOOKUP(C460,'RAW DATA 2023'!E:BO,20,0)</f>
        <v>128</v>
      </c>
      <c r="L460" s="322">
        <f t="shared" si="47"/>
        <v>917.29543220512801</v>
      </c>
      <c r="M460" s="63"/>
      <c r="Y460" s="63" t="str">
        <f t="shared" si="45"/>
        <v>C1-046-00044</v>
      </c>
    </row>
    <row r="461" spans="1:25">
      <c r="A461" s="63" t="str">
        <f>'RAW DATA 2023'!B454</f>
        <v>Roiphet3</v>
      </c>
      <c r="B461" s="63" t="str">
        <f>'RAW DATA 2023'!D454</f>
        <v>C1-054-0007</v>
      </c>
      <c r="C461" s="63" t="str">
        <f t="shared" si="42"/>
        <v>Roiphet3C1-054-0007</v>
      </c>
      <c r="D461" s="63">
        <f>VLOOKUP(C461,'RAW DATA 2023'!E:BP,63,0)</f>
        <v>4</v>
      </c>
      <c r="E461" s="63" t="str">
        <f t="shared" si="43"/>
        <v>Roiphet34</v>
      </c>
      <c r="F461" s="63">
        <f>ROUND(VLOOKUP(C461,'RAW DATA 2023'!E:BO,23,0),0)</f>
        <v>38</v>
      </c>
      <c r="G461" s="120">
        <f>VLOOKUP(C461,'RAW DATA 2023'!E:BO,26,0)</f>
        <v>0.32783068799999993</v>
      </c>
      <c r="H461" s="101">
        <f>IFERROR(VLOOKUP(F461,STD!B:G,6,0),"")</f>
        <v>0.37</v>
      </c>
      <c r="I461" s="100">
        <f t="shared" si="44"/>
        <v>0.88602888648648626</v>
      </c>
      <c r="J461" s="249">
        <f t="shared" si="46"/>
        <v>7.7205777297297251</v>
      </c>
      <c r="K461" s="63">
        <f>VLOOKUP(C461,'RAW DATA 2023'!E:BO,20,0)</f>
        <v>112</v>
      </c>
      <c r="L461" s="322">
        <f t="shared" si="47"/>
        <v>864.7047057297292</v>
      </c>
      <c r="M461" s="63"/>
      <c r="Y461" s="63" t="str">
        <f t="shared" si="45"/>
        <v>C1-054-00074</v>
      </c>
    </row>
    <row r="462" spans="1:25">
      <c r="A462" s="63" t="str">
        <f>'RAW DATA 2023'!B455</f>
        <v>Roiphet3</v>
      </c>
      <c r="B462" s="63" t="str">
        <f>'RAW DATA 2023'!D455</f>
        <v>C1-047-0011</v>
      </c>
      <c r="C462" s="63" t="str">
        <f t="shared" si="42"/>
        <v>Roiphet3C1-047-0011</v>
      </c>
      <c r="D462" s="63">
        <f>VLOOKUP(C462,'RAW DATA 2023'!E:BP,63,0)</f>
        <v>4</v>
      </c>
      <c r="E462" s="63" t="str">
        <f t="shared" si="43"/>
        <v>Roiphet34</v>
      </c>
      <c r="F462" s="63">
        <f>ROUND(VLOOKUP(C462,'RAW DATA 2023'!E:BO,23,0),0)</f>
        <v>35</v>
      </c>
      <c r="G462" s="120">
        <f>VLOOKUP(C462,'RAW DATA 2023'!E:BO,26,0)</f>
        <v>0.32172131100000001</v>
      </c>
      <c r="H462" s="101">
        <f>IFERROR(VLOOKUP(F462,STD!B:G,6,0),"")</f>
        <v>0.37</v>
      </c>
      <c r="I462" s="100">
        <f t="shared" si="44"/>
        <v>0.86951705675675683</v>
      </c>
      <c r="J462" s="249">
        <f t="shared" si="46"/>
        <v>7.3903411351351362</v>
      </c>
      <c r="K462" s="63">
        <f>VLOOKUP(C462,'RAW DATA 2023'!E:BO,20,0)</f>
        <v>122.00000000000001</v>
      </c>
      <c r="L462" s="322">
        <f t="shared" si="47"/>
        <v>901.62161848648668</v>
      </c>
      <c r="M462" s="63"/>
      <c r="Y462" s="63" t="str">
        <f t="shared" si="45"/>
        <v>C1-047-00114</v>
      </c>
    </row>
    <row r="463" spans="1:25">
      <c r="A463" s="63" t="str">
        <f>'RAW DATA 2023'!B456</f>
        <v>Roiphet3</v>
      </c>
      <c r="B463" s="63" t="str">
        <f>'RAW DATA 2023'!D456</f>
        <v>C1-048-0021</v>
      </c>
      <c r="C463" s="63" t="str">
        <f t="shared" si="42"/>
        <v>Roiphet3C1-048-0021</v>
      </c>
      <c r="D463" s="63">
        <f>VLOOKUP(C463,'RAW DATA 2023'!E:BP,63,0)</f>
        <v>4</v>
      </c>
      <c r="E463" s="63" t="str">
        <f t="shared" si="43"/>
        <v>Roiphet34</v>
      </c>
      <c r="F463" s="63">
        <f>ROUND(VLOOKUP(C463,'RAW DATA 2023'!E:BO,23,0),0)</f>
        <v>45</v>
      </c>
      <c r="G463" s="120">
        <f>VLOOKUP(C463,'RAW DATA 2023'!E:BO,26,0)</f>
        <v>0.32136586900000003</v>
      </c>
      <c r="H463" s="101">
        <f>IFERROR(VLOOKUP(F463,STD!B:G,6,0),"")</f>
        <v>0.36</v>
      </c>
      <c r="I463" s="100">
        <f t="shared" si="44"/>
        <v>0.89268296944444459</v>
      </c>
      <c r="J463" s="249">
        <f t="shared" si="46"/>
        <v>7.8536593888888913</v>
      </c>
      <c r="K463" s="63">
        <f>VLOOKUP(C463,'RAW DATA 2023'!E:BO,20,0)</f>
        <v>119</v>
      </c>
      <c r="L463" s="322">
        <f t="shared" si="47"/>
        <v>934.58546727777809</v>
      </c>
      <c r="M463" s="63"/>
      <c r="Y463" s="63" t="str">
        <f t="shared" si="45"/>
        <v>C1-048-00214</v>
      </c>
    </row>
    <row r="464" spans="1:25">
      <c r="A464" s="63" t="str">
        <f>'RAW DATA 2023'!B457</f>
        <v>Roiphet3</v>
      </c>
      <c r="B464" s="63" t="str">
        <f>'RAW DATA 2023'!D457</f>
        <v>C1-057-0017</v>
      </c>
      <c r="C464" s="63" t="str">
        <f t="shared" si="42"/>
        <v>Roiphet3C1-057-0017</v>
      </c>
      <c r="D464" s="63">
        <f>VLOOKUP(C464,'RAW DATA 2023'!E:BP,63,0)</f>
        <v>4</v>
      </c>
      <c r="E464" s="63" t="str">
        <f t="shared" si="43"/>
        <v>Roiphet34</v>
      </c>
      <c r="F464" s="63">
        <f>ROUND(VLOOKUP(C464,'RAW DATA 2023'!E:BO,23,0),0)</f>
        <v>41</v>
      </c>
      <c r="G464" s="120">
        <f>VLOOKUP(C464,'RAW DATA 2023'!E:BO,26,0)</f>
        <v>0.31540816300000002</v>
      </c>
      <c r="H464" s="101">
        <f>IFERROR(VLOOKUP(F464,STD!B:G,6,0),"")</f>
        <v>0.37</v>
      </c>
      <c r="I464" s="100">
        <f t="shared" si="44"/>
        <v>0.85245449459459466</v>
      </c>
      <c r="J464" s="249">
        <f t="shared" si="46"/>
        <v>7.0490898918918932</v>
      </c>
      <c r="K464" s="63">
        <f>VLOOKUP(C464,'RAW DATA 2023'!E:BO,20,0)</f>
        <v>98</v>
      </c>
      <c r="L464" s="322">
        <f t="shared" si="47"/>
        <v>690.81080940540551</v>
      </c>
      <c r="M464" s="63"/>
      <c r="Y464" s="63" t="str">
        <f t="shared" si="45"/>
        <v>C1-057-00174</v>
      </c>
    </row>
    <row r="465" spans="1:25">
      <c r="A465" s="63" t="str">
        <f>'RAW DATA 2023'!B458</f>
        <v>Roiphet3</v>
      </c>
      <c r="B465" s="63" t="str">
        <f>'RAW DATA 2023'!D458</f>
        <v>C1-045-0025</v>
      </c>
      <c r="C465" s="63" t="str">
        <f t="shared" si="42"/>
        <v>Roiphet3C1-045-0025</v>
      </c>
      <c r="D465" s="63">
        <f>VLOOKUP(C465,'RAW DATA 2023'!E:BP,63,0)</f>
        <v>4</v>
      </c>
      <c r="E465" s="63" t="str">
        <f t="shared" si="43"/>
        <v>Roiphet34</v>
      </c>
      <c r="F465" s="63">
        <f>ROUND(VLOOKUP(C465,'RAW DATA 2023'!E:BO,23,0),0)</f>
        <v>35</v>
      </c>
      <c r="G465" s="120">
        <f>VLOOKUP(C465,'RAW DATA 2023'!E:BO,26,0)</f>
        <v>0.30853421199999997</v>
      </c>
      <c r="H465" s="101">
        <f>IFERROR(VLOOKUP(F465,STD!B:G,6,0),"")</f>
        <v>0.37</v>
      </c>
      <c r="I465" s="100">
        <f t="shared" si="44"/>
        <v>0.83387624864864862</v>
      </c>
      <c r="J465" s="249">
        <f t="shared" si="46"/>
        <v>6.6775249729729724</v>
      </c>
      <c r="K465" s="63">
        <f>VLOOKUP(C465,'RAW DATA 2023'!E:BO,20,0)</f>
        <v>118</v>
      </c>
      <c r="L465" s="322">
        <f t="shared" si="47"/>
        <v>787.94794681081078</v>
      </c>
      <c r="M465" s="63"/>
      <c r="Y465" s="63" t="str">
        <f t="shared" si="45"/>
        <v>C1-045-00254</v>
      </c>
    </row>
    <row r="466" spans="1:25">
      <c r="A466" s="63" t="str">
        <f>'RAW DATA 2023'!B459</f>
        <v>Roiphet3</v>
      </c>
      <c r="B466" s="63" t="str">
        <f>'RAW DATA 2023'!D459</f>
        <v>C1-051-0025</v>
      </c>
      <c r="C466" s="63" t="str">
        <f t="shared" si="42"/>
        <v>Roiphet3C1-051-0025</v>
      </c>
      <c r="D466" s="63">
        <f>VLOOKUP(C466,'RAW DATA 2023'!E:BP,63,0)</f>
        <v>4</v>
      </c>
      <c r="E466" s="63" t="str">
        <f t="shared" si="43"/>
        <v>Roiphet34</v>
      </c>
      <c r="F466" s="63">
        <f>ROUND(VLOOKUP(C466,'RAW DATA 2023'!E:BO,23,0),0)</f>
        <v>40</v>
      </c>
      <c r="G466" s="120">
        <f>VLOOKUP(C466,'RAW DATA 2023'!E:BO,26,0)</f>
        <v>0.305725309</v>
      </c>
      <c r="H466" s="101">
        <f>IFERROR(VLOOKUP(F466,STD!B:G,6,0),"")</f>
        <v>0.37</v>
      </c>
      <c r="I466" s="100">
        <f t="shared" si="44"/>
        <v>0.82628461891891891</v>
      </c>
      <c r="J466" s="249">
        <f t="shared" si="46"/>
        <v>6.5256923783783787</v>
      </c>
      <c r="K466" s="63">
        <f>VLOOKUP(C466,'RAW DATA 2023'!E:BO,20,0)</f>
        <v>120</v>
      </c>
      <c r="L466" s="322">
        <f t="shared" si="47"/>
        <v>783.08308540540543</v>
      </c>
      <c r="M466" s="63"/>
      <c r="Y466" s="63" t="str">
        <f t="shared" si="45"/>
        <v>C1-051-00254</v>
      </c>
    </row>
    <row r="467" spans="1:25">
      <c r="A467" s="63" t="str">
        <f>'RAW DATA 2023'!B460</f>
        <v>Roiphet3</v>
      </c>
      <c r="B467" s="63" t="str">
        <f>'RAW DATA 2023'!D460</f>
        <v>C1-043-0025</v>
      </c>
      <c r="C467" s="63" t="str">
        <f t="shared" si="42"/>
        <v>Roiphet3C1-043-0025</v>
      </c>
      <c r="D467" s="63">
        <f>VLOOKUP(C467,'RAW DATA 2023'!E:BP,63,0)</f>
        <v>4</v>
      </c>
      <c r="E467" s="63" t="str">
        <f t="shared" si="43"/>
        <v>Roiphet34</v>
      </c>
      <c r="F467" s="63">
        <f>ROUND(VLOOKUP(C467,'RAW DATA 2023'!E:BO,23,0),0)</f>
        <v>34</v>
      </c>
      <c r="G467" s="120">
        <f>VLOOKUP(C467,'RAW DATA 2023'!E:BO,26,0)</f>
        <v>0.29316567999999998</v>
      </c>
      <c r="H467" s="101">
        <f>IFERROR(VLOOKUP(F467,STD!B:G,6,0),"")</f>
        <v>0.38</v>
      </c>
      <c r="I467" s="100">
        <f t="shared" si="44"/>
        <v>0.77148863157894731</v>
      </c>
      <c r="J467" s="249">
        <f t="shared" si="46"/>
        <v>5.4297726315789463</v>
      </c>
      <c r="K467" s="63">
        <f>VLOOKUP(C467,'RAW DATA 2023'!E:BO,20,0)</f>
        <v>130</v>
      </c>
      <c r="L467" s="322">
        <f t="shared" si="47"/>
        <v>705.87044210526301</v>
      </c>
      <c r="M467" s="63"/>
      <c r="Y467" s="63" t="str">
        <f t="shared" si="45"/>
        <v>C1-043-00254</v>
      </c>
    </row>
    <row r="468" spans="1:25">
      <c r="A468" s="63" t="str">
        <f>'RAW DATA 2023'!B461</f>
        <v>Roiphet3</v>
      </c>
      <c r="B468" s="63" t="str">
        <f>'RAW DATA 2023'!D461</f>
        <v>C1-044-0017</v>
      </c>
      <c r="C468" s="63" t="str">
        <f t="shared" si="42"/>
        <v>Roiphet3C1-044-0017</v>
      </c>
      <c r="D468" s="63">
        <f>VLOOKUP(C468,'RAW DATA 2023'!E:BP,63,0)</f>
        <v>3</v>
      </c>
      <c r="E468" s="63" t="str">
        <f t="shared" si="43"/>
        <v>Roiphet33</v>
      </c>
      <c r="F468" s="63">
        <f>ROUND(VLOOKUP(C468,'RAW DATA 2023'!E:BO,23,0),0)</f>
        <v>33</v>
      </c>
      <c r="G468" s="120">
        <f>VLOOKUP(C468,'RAW DATA 2023'!E:BO,26,0)</f>
        <v>0.29199409700000001</v>
      </c>
      <c r="H468" s="101">
        <f>IFERROR(VLOOKUP(F468,STD!B:G,6,0),"")</f>
        <v>0.39</v>
      </c>
      <c r="I468" s="100">
        <f t="shared" si="44"/>
        <v>0.74870281282051276</v>
      </c>
      <c r="J468" s="249">
        <f t="shared" si="46"/>
        <v>4.9740562564102557</v>
      </c>
      <c r="K468" s="63">
        <f>VLOOKUP(C468,'RAW DATA 2023'!E:BO,20,0)</f>
        <v>121</v>
      </c>
      <c r="L468" s="322">
        <f t="shared" si="47"/>
        <v>601.86080702564095</v>
      </c>
      <c r="M468" s="63"/>
      <c r="Y468" s="63" t="str">
        <f t="shared" si="45"/>
        <v>C1-044-00173</v>
      </c>
    </row>
    <row r="469" spans="1:25">
      <c r="A469" s="63" t="str">
        <f>'RAW DATA 2023'!B462</f>
        <v>Roiphet3</v>
      </c>
      <c r="B469" s="63" t="str">
        <f>'RAW DATA 2023'!D462</f>
        <v>C1-042-0015</v>
      </c>
      <c r="C469" s="63" t="str">
        <f t="shared" si="42"/>
        <v>Roiphet3C1-042-0015</v>
      </c>
      <c r="D469" s="63">
        <f>VLOOKUP(C469,'RAW DATA 2023'!E:BP,63,0)</f>
        <v>4</v>
      </c>
      <c r="E469" s="63" t="str">
        <f t="shared" si="43"/>
        <v>Roiphet34</v>
      </c>
      <c r="F469" s="63">
        <f>ROUND(VLOOKUP(C469,'RAW DATA 2023'!E:BO,23,0),0)</f>
        <v>35</v>
      </c>
      <c r="G469" s="120">
        <f>VLOOKUP(C469,'RAW DATA 2023'!E:BO,26,0)</f>
        <v>0.27912895900000001</v>
      </c>
      <c r="H469" s="101">
        <f>IFERROR(VLOOKUP(F469,STD!B:G,6,0),"")</f>
        <v>0.37</v>
      </c>
      <c r="I469" s="100">
        <f t="shared" si="44"/>
        <v>0.75440259189189196</v>
      </c>
      <c r="J469" s="249">
        <f t="shared" si="46"/>
        <v>5.0880518378378392</v>
      </c>
      <c r="K469" s="63">
        <f>VLOOKUP(C469,'RAW DATA 2023'!E:BO,20,0)</f>
        <v>136</v>
      </c>
      <c r="L469" s="322">
        <f t="shared" si="47"/>
        <v>691.97504994594613</v>
      </c>
      <c r="M469" s="63"/>
      <c r="Y469" s="63" t="str">
        <f t="shared" si="45"/>
        <v>C1-042-00154</v>
      </c>
    </row>
    <row r="470" spans="1:25">
      <c r="A470" s="63" t="str">
        <f>'RAW DATA 2023'!B463</f>
        <v>Roiphet3</v>
      </c>
      <c r="B470" s="63" t="str">
        <f>'RAW DATA 2023'!D463</f>
        <v>C1-041-0005</v>
      </c>
      <c r="C470" s="63" t="str">
        <f t="shared" si="42"/>
        <v>Roiphet3C1-041-0005</v>
      </c>
      <c r="D470" s="63">
        <f>VLOOKUP(C470,'RAW DATA 2023'!E:BP,63,0)</f>
        <v>3</v>
      </c>
      <c r="E470" s="63" t="str">
        <f t="shared" si="43"/>
        <v>Roiphet33</v>
      </c>
      <c r="F470" s="63">
        <f>ROUND(VLOOKUP(C470,'RAW DATA 2023'!E:BO,23,0),0)</f>
        <v>35</v>
      </c>
      <c r="G470" s="120">
        <f>VLOOKUP(C470,'RAW DATA 2023'!E:BO,26,0)</f>
        <v>0.26914339900000001</v>
      </c>
      <c r="H470" s="101">
        <f>IFERROR(VLOOKUP(F470,STD!B:G,6,0),"")</f>
        <v>0.37</v>
      </c>
      <c r="I470" s="100">
        <f t="shared" si="44"/>
        <v>0.72741459189189195</v>
      </c>
      <c r="J470" s="249">
        <f t="shared" si="46"/>
        <v>4.548291837837839</v>
      </c>
      <c r="K470" s="63">
        <f>VLOOKUP(C470,'RAW DATA 2023'!E:BO,20,0)</f>
        <v>119</v>
      </c>
      <c r="L470" s="322">
        <f t="shared" si="47"/>
        <v>541.24672870270285</v>
      </c>
      <c r="M470" s="63"/>
      <c r="Y470" s="63" t="str">
        <f t="shared" si="45"/>
        <v>C1-041-00053</v>
      </c>
    </row>
    <row r="471" spans="1:25">
      <c r="A471" s="63" t="str">
        <f>'RAW DATA 2023'!B464</f>
        <v>Roiphet3</v>
      </c>
      <c r="B471" s="63" t="str">
        <f>'RAW DATA 2023'!D464</f>
        <v>C1-044-0018</v>
      </c>
      <c r="C471" s="63" t="str">
        <f t="shared" si="42"/>
        <v>Roiphet3C1-044-0018</v>
      </c>
      <c r="D471" s="63">
        <f>VLOOKUP(C471,'RAW DATA 2023'!E:BP,63,0)</f>
        <v>7</v>
      </c>
      <c r="E471" s="63" t="str">
        <f t="shared" si="43"/>
        <v>Roiphet37</v>
      </c>
      <c r="F471" s="63">
        <f>ROUND(VLOOKUP(C471,'RAW DATA 2023'!E:BO,23,0),0)</f>
        <v>105</v>
      </c>
      <c r="G471" s="120">
        <f>VLOOKUP(C471,'RAW DATA 2023'!E:BO,26,0)</f>
        <v>0.222095238</v>
      </c>
      <c r="H471" s="101">
        <f>IFERROR(VLOOKUP(F471,STD!B:G,6,0),"")</f>
        <v>0.32</v>
      </c>
      <c r="I471" s="100">
        <f t="shared" si="44"/>
        <v>0.69404761874999998</v>
      </c>
      <c r="J471" s="249">
        <f t="shared" si="46"/>
        <v>3.8809523749999997</v>
      </c>
      <c r="K471" s="63">
        <f>VLOOKUP(C471,'RAW DATA 2023'!E:BO,20,0)</f>
        <v>40</v>
      </c>
      <c r="L471" s="322">
        <f t="shared" si="47"/>
        <v>155.23809499999999</v>
      </c>
      <c r="M471" s="63"/>
      <c r="Y471" s="63" t="str">
        <f t="shared" si="45"/>
        <v>C1-044-00187</v>
      </c>
    </row>
    <row r="472" spans="1:25">
      <c r="A472" s="63" t="str">
        <f>'RAW DATA 2023'!B465</f>
        <v>Roiphet3</v>
      </c>
      <c r="B472" s="63" t="str">
        <f>'RAW DATA 2023'!D465</f>
        <v>C1-043-0028</v>
      </c>
      <c r="C472" s="63" t="str">
        <f t="shared" si="42"/>
        <v>Roiphet3C1-043-0028</v>
      </c>
      <c r="D472" s="63">
        <f>VLOOKUP(C472,'RAW DATA 2023'!E:BP,63,0)</f>
        <v>12</v>
      </c>
      <c r="E472" s="63" t="str">
        <f t="shared" si="43"/>
        <v>Roiphet312</v>
      </c>
      <c r="F472" s="63">
        <f>ROUND(VLOOKUP(C472,'RAW DATA 2023'!E:BO,23,0),0)</f>
        <v>93</v>
      </c>
      <c r="G472" s="120">
        <f>VLOOKUP(C472,'RAW DATA 2023'!E:BO,26,0)</f>
        <v>0.21463933700000001</v>
      </c>
      <c r="H472" s="101">
        <f>IFERROR(VLOOKUP(F472,STD!B:G,6,0),"")</f>
        <v>0.32</v>
      </c>
      <c r="I472" s="100">
        <f t="shared" si="44"/>
        <v>0.67074792812500006</v>
      </c>
      <c r="J472" s="249">
        <f t="shared" si="46"/>
        <v>3.4149585625000012</v>
      </c>
      <c r="K472" s="63">
        <f>VLOOKUP(C472,'RAW DATA 2023'!E:BO,20,0)</f>
        <v>48</v>
      </c>
      <c r="L472" s="322">
        <f t="shared" si="47"/>
        <v>163.91801100000006</v>
      </c>
      <c r="M472" s="63"/>
      <c r="Y472" s="63" t="str">
        <f t="shared" si="45"/>
        <v>C1-043-002812</v>
      </c>
    </row>
    <row r="473" spans="1:25">
      <c r="A473" s="63" t="str">
        <f>'RAW DATA 2023'!B466</f>
        <v>Roiphet3</v>
      </c>
      <c r="B473" s="63" t="str">
        <f>'RAW DATA 2023'!D466</f>
        <v>C1-043-0026</v>
      </c>
      <c r="C473" s="63" t="str">
        <f t="shared" si="42"/>
        <v>Roiphet3C1-043-0026</v>
      </c>
      <c r="D473" s="63">
        <f>VLOOKUP(C473,'RAW DATA 2023'!E:BP,63,0)</f>
        <v>7</v>
      </c>
      <c r="E473" s="63" t="str">
        <f t="shared" si="43"/>
        <v>Roiphet37</v>
      </c>
      <c r="F473" s="63">
        <f>ROUND(VLOOKUP(C473,'RAW DATA 2023'!E:BO,23,0),0)</f>
        <v>92</v>
      </c>
      <c r="G473" s="120">
        <f>VLOOKUP(C473,'RAW DATA 2023'!E:BO,26,0)</f>
        <v>0.200971867</v>
      </c>
      <c r="H473" s="101">
        <f>IFERROR(VLOOKUP(F473,STD!B:G,6,0),"")</f>
        <v>0.32</v>
      </c>
      <c r="I473" s="100">
        <f t="shared" si="44"/>
        <v>0.62803708437499994</v>
      </c>
      <c r="J473" s="249">
        <f t="shared" si="46"/>
        <v>2.5607416874999989</v>
      </c>
      <c r="K473" s="63">
        <f>VLOOKUP(C473,'RAW DATA 2023'!E:BO,20,0)</f>
        <v>51</v>
      </c>
      <c r="L473" s="322">
        <f t="shared" si="47"/>
        <v>130.59782606249993</v>
      </c>
      <c r="M473" s="63"/>
      <c r="Y473" s="63" t="str">
        <f t="shared" si="45"/>
        <v>C1-043-00267</v>
      </c>
    </row>
    <row r="474" spans="1:25">
      <c r="A474" s="63" t="str">
        <f>'RAW DATA 2023'!B467</f>
        <v>Roiphet3</v>
      </c>
      <c r="B474" s="63" t="str">
        <f>'RAW DATA 2023'!D467</f>
        <v>C1-051-0026</v>
      </c>
      <c r="C474" s="63" t="str">
        <f t="shared" si="42"/>
        <v>Roiphet3C1-051-0026</v>
      </c>
      <c r="D474" s="63">
        <f>VLOOKUP(C474,'RAW DATA 2023'!E:BP,63,0)</f>
        <v>7</v>
      </c>
      <c r="E474" s="63" t="str">
        <f t="shared" si="43"/>
        <v>Roiphet37</v>
      </c>
      <c r="F474" s="63">
        <f>ROUND(VLOOKUP(C474,'RAW DATA 2023'!E:BO,23,0),0)</f>
        <v>88</v>
      </c>
      <c r="G474" s="120">
        <f>VLOOKUP(C474,'RAW DATA 2023'!E:BO,26,0)</f>
        <v>0.19837049699999998</v>
      </c>
      <c r="H474" s="101">
        <f>IFERROR(VLOOKUP(F474,STD!B:G,6,0),"")</f>
        <v>0.33</v>
      </c>
      <c r="I474" s="100">
        <f t="shared" si="44"/>
        <v>0.60112271818181806</v>
      </c>
      <c r="J474" s="249">
        <f t="shared" si="46"/>
        <v>2.0224543636363612</v>
      </c>
      <c r="K474" s="63">
        <f>VLOOKUP(C474,'RAW DATA 2023'!E:BO,20,0)</f>
        <v>53</v>
      </c>
      <c r="L474" s="322">
        <f t="shared" si="47"/>
        <v>107.19008127272714</v>
      </c>
      <c r="M474" s="63"/>
      <c r="Y474" s="63" t="str">
        <f t="shared" si="45"/>
        <v>C1-051-00267</v>
      </c>
    </row>
    <row r="475" spans="1:25">
      <c r="A475" s="63" t="str">
        <f>'RAW DATA 2023'!B468</f>
        <v>Roiphet3</v>
      </c>
      <c r="B475" s="63" t="str">
        <f>'RAW DATA 2023'!D468</f>
        <v>C1-046-0005</v>
      </c>
      <c r="C475" s="63" t="str">
        <f t="shared" si="42"/>
        <v>Roiphet3C1-046-0005</v>
      </c>
      <c r="D475" s="63">
        <f>VLOOKUP(C475,'RAW DATA 2023'!E:BP,63,0)</f>
        <v>7</v>
      </c>
      <c r="E475" s="63" t="str">
        <f t="shared" si="43"/>
        <v>Roiphet37</v>
      </c>
      <c r="F475" s="63">
        <f>ROUND(VLOOKUP(C475,'RAW DATA 2023'!E:BO,23,0),0)</f>
        <v>87</v>
      </c>
      <c r="G475" s="120">
        <f>VLOOKUP(C475,'RAW DATA 2023'!E:BO,26,0)</f>
        <v>0.19479338800000001</v>
      </c>
      <c r="H475" s="101">
        <f>IFERROR(VLOOKUP(F475,STD!B:G,6,0),"")</f>
        <v>0.33</v>
      </c>
      <c r="I475" s="100">
        <f t="shared" si="44"/>
        <v>0.59028299393939399</v>
      </c>
      <c r="J475" s="249">
        <f t="shared" si="46"/>
        <v>1.8056598787878797</v>
      </c>
      <c r="K475" s="63">
        <f>VLOOKUP(C475,'RAW DATA 2023'!E:BO,20,0)</f>
        <v>55</v>
      </c>
      <c r="L475" s="322">
        <f t="shared" si="47"/>
        <v>99.311293333333381</v>
      </c>
      <c r="M475" s="63"/>
      <c r="Y475" s="63" t="str">
        <f t="shared" si="45"/>
        <v>C1-046-00057</v>
      </c>
    </row>
    <row r="476" spans="1:25">
      <c r="A476" s="63" t="str">
        <f>'RAW DATA 2023'!B469</f>
        <v>Roiphet3</v>
      </c>
      <c r="B476" s="63" t="str">
        <f>'RAW DATA 2023'!D469</f>
        <v>C1-057-0018</v>
      </c>
      <c r="C476" s="63" t="str">
        <f t="shared" si="42"/>
        <v>Roiphet3C1-057-0018</v>
      </c>
      <c r="D476" s="63">
        <f>VLOOKUP(C476,'RAW DATA 2023'!E:BP,63,0)</f>
        <v>7</v>
      </c>
      <c r="E476" s="63" t="str">
        <f t="shared" si="43"/>
        <v>Roiphet37</v>
      </c>
      <c r="F476" s="63">
        <f>ROUND(VLOOKUP(C476,'RAW DATA 2023'!E:BO,23,0),0)</f>
        <v>84</v>
      </c>
      <c r="G476" s="120">
        <f>VLOOKUP(C476,'RAW DATA 2023'!E:BO,26,0)</f>
        <v>0.18548698200000002</v>
      </c>
      <c r="H476" s="101">
        <f>IFERROR(VLOOKUP(F476,STD!B:G,6,0),"")</f>
        <v>0.33</v>
      </c>
      <c r="I476" s="100">
        <f t="shared" si="44"/>
        <v>0.56208176363636364</v>
      </c>
      <c r="J476" s="249">
        <f t="shared" si="46"/>
        <v>1.2416352727272728</v>
      </c>
      <c r="K476" s="63">
        <f>VLOOKUP(C476,'RAW DATA 2023'!E:BO,20,0)</f>
        <v>61</v>
      </c>
      <c r="L476" s="322">
        <f t="shared" si="47"/>
        <v>75.739751636363636</v>
      </c>
      <c r="M476" s="63"/>
      <c r="Y476" s="63" t="str">
        <f t="shared" si="45"/>
        <v>C1-057-00187</v>
      </c>
    </row>
    <row r="477" spans="1:25">
      <c r="A477" s="63" t="str">
        <f>'RAW DATA 2023'!B470</f>
        <v>Roiphet3</v>
      </c>
      <c r="B477" s="63" t="str">
        <f>'RAW DATA 2023'!D470</f>
        <v>C1-054-0008</v>
      </c>
      <c r="C477" s="63" t="str">
        <f t="shared" si="42"/>
        <v>Roiphet3C1-054-0008</v>
      </c>
      <c r="D477" s="63">
        <f>VLOOKUP(C477,'RAW DATA 2023'!E:BP,63,0)</f>
        <v>7</v>
      </c>
      <c r="E477" s="63" t="str">
        <f t="shared" si="43"/>
        <v>Roiphet37</v>
      </c>
      <c r="F477" s="63">
        <f>ROUND(VLOOKUP(C477,'RAW DATA 2023'!E:BO,23,0),0)</f>
        <v>97</v>
      </c>
      <c r="G477" s="120">
        <f>VLOOKUP(C477,'RAW DATA 2023'!E:BO,26,0)</f>
        <v>0.17925960599999999</v>
      </c>
      <c r="H477" s="101">
        <f>IFERROR(VLOOKUP(F477,STD!B:G,6,0),"")</f>
        <v>0.32</v>
      </c>
      <c r="I477" s="100">
        <f t="shared" si="44"/>
        <v>0.56018626874999999</v>
      </c>
      <c r="J477" s="249">
        <f t="shared" si="46"/>
        <v>1.2037253749999999</v>
      </c>
      <c r="K477" s="63">
        <f>VLOOKUP(C477,'RAW DATA 2023'!E:BO,20,0)</f>
        <v>55</v>
      </c>
      <c r="L477" s="322">
        <f t="shared" si="47"/>
        <v>66.204895624999992</v>
      </c>
      <c r="M477" s="63"/>
      <c r="Y477" s="63" t="str">
        <f t="shared" si="45"/>
        <v>C1-054-00087</v>
      </c>
    </row>
    <row r="478" spans="1:25">
      <c r="A478" s="63" t="str">
        <f>'RAW DATA 2023'!B471</f>
        <v>Roiphet3</v>
      </c>
      <c r="B478" s="63" t="str">
        <f>'RAW DATA 2023'!D471</f>
        <v>C1-042-0016</v>
      </c>
      <c r="C478" s="63" t="str">
        <f t="shared" si="42"/>
        <v>Roiphet3C1-042-0016</v>
      </c>
      <c r="D478" s="63">
        <f>VLOOKUP(C478,'RAW DATA 2023'!E:BP,63,0)</f>
        <v>7</v>
      </c>
      <c r="E478" s="63" t="str">
        <f t="shared" si="43"/>
        <v>Roiphet37</v>
      </c>
      <c r="F478" s="63">
        <f>ROUND(VLOOKUP(C478,'RAW DATA 2023'!E:BO,23,0),0)</f>
        <v>100</v>
      </c>
      <c r="G478" s="120">
        <f>VLOOKUP(C478,'RAW DATA 2023'!E:BO,26,0)</f>
        <v>0.17363636399999999</v>
      </c>
      <c r="H478" s="101">
        <f>IFERROR(VLOOKUP(F478,STD!B:G,6,0),"")</f>
        <v>0.32</v>
      </c>
      <c r="I478" s="100">
        <f t="shared" si="44"/>
        <v>0.54261363749999991</v>
      </c>
      <c r="J478" s="249">
        <f t="shared" si="46"/>
        <v>0.85227274999999825</v>
      </c>
      <c r="K478" s="63">
        <f>VLOOKUP(C478,'RAW DATA 2023'!E:BO,20,0)</f>
        <v>55</v>
      </c>
      <c r="L478" s="322">
        <f t="shared" si="47"/>
        <v>46.875001249999904</v>
      </c>
      <c r="M478" s="63"/>
      <c r="Y478" s="63" t="str">
        <f t="shared" si="45"/>
        <v>C1-042-00167</v>
      </c>
    </row>
    <row r="479" spans="1:25">
      <c r="A479" s="63" t="str">
        <f>'RAW DATA 2023'!B472</f>
        <v>Roiphet3</v>
      </c>
      <c r="B479" s="63" t="str">
        <f>'RAW DATA 2023'!D472</f>
        <v>C1-045-0026</v>
      </c>
      <c r="C479" s="63" t="str">
        <f t="shared" si="42"/>
        <v>Roiphet3C1-045-0026</v>
      </c>
      <c r="D479" s="63">
        <f>VLOOKUP(C479,'RAW DATA 2023'!E:BP,63,0)</f>
        <v>7</v>
      </c>
      <c r="E479" s="63" t="str">
        <f t="shared" si="43"/>
        <v>Roiphet37</v>
      </c>
      <c r="F479" s="63">
        <f>ROUND(VLOOKUP(C479,'RAW DATA 2023'!E:BO,23,0),0)</f>
        <v>114</v>
      </c>
      <c r="G479" s="120">
        <f>VLOOKUP(C479,'RAW DATA 2023'!E:BO,26,0)</f>
        <v>0.17337353800000002</v>
      </c>
      <c r="H479" s="101">
        <f>IFERROR(VLOOKUP(F479,STD!B:G,6,0),"")</f>
        <v>0.32</v>
      </c>
      <c r="I479" s="100">
        <f t="shared" si="44"/>
        <v>0.54179230625000008</v>
      </c>
      <c r="J479" s="249">
        <f t="shared" si="46"/>
        <v>0.83584612500000155</v>
      </c>
      <c r="K479" s="63">
        <f>VLOOKUP(C479,'RAW DATA 2023'!E:BO,20,0)</f>
        <v>48.000000000000007</v>
      </c>
      <c r="L479" s="322">
        <f t="shared" si="47"/>
        <v>40.120614000000081</v>
      </c>
      <c r="M479" s="63"/>
      <c r="Y479" s="63" t="str">
        <f t="shared" si="45"/>
        <v>C1-045-00267</v>
      </c>
    </row>
    <row r="480" spans="1:25">
      <c r="A480" s="63" t="str">
        <f>'RAW DATA 2023'!B473</f>
        <v>Roiphet3</v>
      </c>
      <c r="B480" s="63" t="str">
        <f>'RAW DATA 2023'!D473</f>
        <v>C1-041-0006</v>
      </c>
      <c r="C480" s="63" t="str">
        <f t="shared" si="42"/>
        <v>Roiphet3C1-041-0006</v>
      </c>
      <c r="D480" s="68">
        <f>VLOOKUP(C480,'RAW DATA 2023'!E:BP,63,0)</f>
        <v>6</v>
      </c>
      <c r="E480" s="63" t="str">
        <f t="shared" si="43"/>
        <v>Roiphet36</v>
      </c>
      <c r="F480" s="63">
        <f>ROUND(VLOOKUP(C480,'RAW DATA 2023'!E:BO,23,0),0)</f>
        <v>146</v>
      </c>
      <c r="G480" s="120">
        <f>VLOOKUP(C480,'RAW DATA 2023'!E:BO,26,0)</f>
        <v>0.17250875199999999</v>
      </c>
      <c r="H480" s="101">
        <f>IFERROR(VLOOKUP(F480,STD!B:G,6,0),"")</f>
        <v>0.28000000000000003</v>
      </c>
      <c r="I480" s="100">
        <f t="shared" si="44"/>
        <v>0.61610268571428561</v>
      </c>
      <c r="J480" s="249">
        <f t="shared" si="46"/>
        <v>2.3220537142857123</v>
      </c>
      <c r="K480" s="63">
        <f>VLOOKUP(C480,'RAW DATA 2023'!E:BO,20,0)</f>
        <v>36</v>
      </c>
      <c r="L480" s="322">
        <f t="shared" si="47"/>
        <v>83.59393371428564</v>
      </c>
      <c r="M480" s="63"/>
      <c r="Y480" s="63" t="str">
        <f t="shared" si="45"/>
        <v>C1-041-00066</v>
      </c>
    </row>
    <row r="481" spans="1:25">
      <c r="A481" s="63" t="str">
        <f>'RAW DATA 2023'!B474</f>
        <v>Roiphet3</v>
      </c>
      <c r="B481" s="63" t="str">
        <f>'RAW DATA 2023'!D474</f>
        <v>C1-044-0020</v>
      </c>
      <c r="C481" s="63" t="str">
        <f t="shared" si="42"/>
        <v>Roiphet3C1-044-0020</v>
      </c>
      <c r="D481" s="68">
        <f>VLOOKUP(C481,'RAW DATA 2023'!E:BP,63,0)</f>
        <v>12</v>
      </c>
      <c r="E481" s="63" t="str">
        <f t="shared" si="43"/>
        <v>Roiphet312</v>
      </c>
      <c r="F481" s="63">
        <f>ROUND(VLOOKUP(C481,'RAW DATA 2023'!E:BO,23,0),0)</f>
        <v>215</v>
      </c>
      <c r="G481" s="120">
        <f>VLOOKUP(C481,'RAW DATA 2023'!E:BO,26,0)</f>
        <v>0.136166542</v>
      </c>
      <c r="H481" s="101">
        <f>IFERROR(VLOOKUP(F481,STD!B:G,6,0),"")</f>
        <v>0.25</v>
      </c>
      <c r="I481" s="100">
        <f t="shared" si="44"/>
        <v>0.54466616800000001</v>
      </c>
      <c r="J481" s="249">
        <f t="shared" si="46"/>
        <v>0.89332336000000012</v>
      </c>
      <c r="K481" s="63">
        <f>VLOOKUP(C481,'RAW DATA 2023'!E:BO,20,0)</f>
        <v>31</v>
      </c>
      <c r="L481" s="322">
        <f t="shared" si="47"/>
        <v>27.693024160000004</v>
      </c>
      <c r="M481" s="63"/>
      <c r="Y481" s="63" t="str">
        <f t="shared" si="45"/>
        <v>C1-044-002012</v>
      </c>
    </row>
    <row r="482" spans="1:25">
      <c r="A482" s="63" t="str">
        <f>'RAW DATA 2023'!B475</f>
        <v>Bangkachai1</v>
      </c>
      <c r="B482" s="63" t="str">
        <f>'RAW DATA 2023'!D475</f>
        <v>BG-045-0013</v>
      </c>
      <c r="C482" s="63" t="str">
        <f t="shared" si="42"/>
        <v>Bangkachai1BG-045-0013</v>
      </c>
      <c r="D482" s="68">
        <f>VLOOKUP(C482,'RAW DATA 2023'!E:BP,63,0)</f>
        <v>10</v>
      </c>
      <c r="E482" s="63" t="str">
        <f t="shared" si="43"/>
        <v>Bangkachai110</v>
      </c>
      <c r="F482" s="63">
        <f>ROUND(VLOOKUP(C482,'RAW DATA 2023'!E:BO,23,0),0)</f>
        <v>35</v>
      </c>
      <c r="G482" s="120">
        <f>VLOOKUP(C482,'RAW DATA 2023'!E:BO,26,0)</f>
        <v>0.403096801</v>
      </c>
      <c r="H482" s="101">
        <f>IFERROR(VLOOKUP(F482,STD!B:G,6,0),"")</f>
        <v>0.37</v>
      </c>
      <c r="I482" s="100">
        <f t="shared" si="44"/>
        <v>1.0894508135135135</v>
      </c>
      <c r="J482" s="249">
        <f t="shared" si="46"/>
        <v>11.78901627027027</v>
      </c>
      <c r="K482" s="63">
        <f>VLOOKUP(C482,'RAW DATA 2023'!E:BO,20,0)</f>
        <v>106.00000000000001</v>
      </c>
      <c r="L482" s="322">
        <f t="shared" si="47"/>
        <v>1249.6357246486489</v>
      </c>
      <c r="M482" s="63"/>
      <c r="Y482" s="63" t="str">
        <f t="shared" si="45"/>
        <v>BG-045-001310</v>
      </c>
    </row>
    <row r="483" spans="1:25">
      <c r="A483" s="63" t="str">
        <f>'RAW DATA 2023'!B476</f>
        <v>Bangkachai1</v>
      </c>
      <c r="B483" s="63" t="str">
        <f>'RAW DATA 2023'!D476</f>
        <v>BG-044-0010</v>
      </c>
      <c r="C483" s="63" t="str">
        <f t="shared" si="42"/>
        <v>Bangkachai1BG-044-0010</v>
      </c>
      <c r="D483" s="68">
        <f>VLOOKUP(C483,'RAW DATA 2023'!E:BP,63,0)</f>
        <v>8</v>
      </c>
      <c r="E483" s="63" t="str">
        <f t="shared" si="43"/>
        <v>Bangkachai18</v>
      </c>
      <c r="F483" s="63">
        <f>ROUND(VLOOKUP(C483,'RAW DATA 2023'!E:BO,23,0),0)</f>
        <v>39</v>
      </c>
      <c r="G483" s="120">
        <f>VLOOKUP(C483,'RAW DATA 2023'!E:BO,26,0)</f>
        <v>0.403089431</v>
      </c>
      <c r="H483" s="101">
        <f>IFERROR(VLOOKUP(F483,STD!B:G,6,0),"")</f>
        <v>0.37</v>
      </c>
      <c r="I483" s="100">
        <f t="shared" si="44"/>
        <v>1.0894308945945945</v>
      </c>
      <c r="J483" s="249">
        <f t="shared" si="46"/>
        <v>11.78861789189189</v>
      </c>
      <c r="K483" s="63">
        <f>VLOOKUP(C483,'RAW DATA 2023'!E:BO,20,0)</f>
        <v>123.00000000000001</v>
      </c>
      <c r="L483" s="322">
        <f t="shared" si="47"/>
        <v>1450.0000007027027</v>
      </c>
      <c r="M483" s="63"/>
      <c r="Y483" s="63" t="str">
        <f t="shared" si="45"/>
        <v>BG-044-00108</v>
      </c>
    </row>
    <row r="484" spans="1:25">
      <c r="A484" s="63" t="str">
        <f>'RAW DATA 2023'!B477</f>
        <v>Bangkachai1</v>
      </c>
      <c r="B484" s="63" t="str">
        <f>'RAW DATA 2023'!D477</f>
        <v>BG-045-0012</v>
      </c>
      <c r="C484" s="63" t="str">
        <f t="shared" si="42"/>
        <v>Bangkachai1BG-045-0012</v>
      </c>
      <c r="D484" s="68">
        <f>VLOOKUP(C484,'RAW DATA 2023'!E:BP,63,0)</f>
        <v>5</v>
      </c>
      <c r="E484" s="63" t="str">
        <f t="shared" si="43"/>
        <v>Bangkachai15</v>
      </c>
      <c r="F484" s="63">
        <f>ROUND(VLOOKUP(C484,'RAW DATA 2023'!E:BO,23,0),0)</f>
        <v>32</v>
      </c>
      <c r="G484" s="120">
        <f>VLOOKUP(C484,'RAW DATA 2023'!E:BO,26,0)</f>
        <v>0.39688197799999997</v>
      </c>
      <c r="H484" s="101">
        <f>IFERROR(VLOOKUP(F484,STD!B:G,6,0),"")</f>
        <v>0.39</v>
      </c>
      <c r="I484" s="100">
        <f t="shared" si="44"/>
        <v>1.0176460974358974</v>
      </c>
      <c r="J484" s="249">
        <f t="shared" si="46"/>
        <v>10.352921948717949</v>
      </c>
      <c r="K484" s="63">
        <f>VLOOKUP(C484,'RAW DATA 2023'!E:BO,20,0)</f>
        <v>114.00000000000001</v>
      </c>
      <c r="L484" s="322">
        <f t="shared" si="47"/>
        <v>1180.2331021538464</v>
      </c>
      <c r="M484" s="63"/>
      <c r="Y484" s="63" t="str">
        <f t="shared" si="45"/>
        <v>BG-045-00125</v>
      </c>
    </row>
    <row r="485" spans="1:25">
      <c r="A485" s="63" t="str">
        <f>'RAW DATA 2023'!B478</f>
        <v>Bangkachai1</v>
      </c>
      <c r="B485" s="63" t="str">
        <f>'RAW DATA 2023'!D478</f>
        <v>A1-047-0010</v>
      </c>
      <c r="C485" s="63" t="str">
        <f t="shared" si="42"/>
        <v>Bangkachai1A1-047-0010</v>
      </c>
      <c r="D485" s="68">
        <f>VLOOKUP(C485,'RAW DATA 2023'!E:BP,63,0)</f>
        <v>8</v>
      </c>
      <c r="E485" s="63" t="str">
        <f t="shared" si="43"/>
        <v>Bangkachai18</v>
      </c>
      <c r="F485" s="63">
        <f>ROUND(VLOOKUP(C485,'RAW DATA 2023'!E:BO,23,0),0)</f>
        <v>39</v>
      </c>
      <c r="G485" s="120">
        <f>VLOOKUP(C485,'RAW DATA 2023'!E:BO,26,0)</f>
        <v>0.39478191299999998</v>
      </c>
      <c r="H485" s="101">
        <f>IFERROR(VLOOKUP(F485,STD!B:G,6,0),"")</f>
        <v>0.37</v>
      </c>
      <c r="I485" s="100">
        <f t="shared" si="44"/>
        <v>1.0669781432432432</v>
      </c>
      <c r="J485" s="249">
        <f t="shared" si="46"/>
        <v>11.339562864864865</v>
      </c>
      <c r="K485" s="63">
        <f>VLOOKUP(C485,'RAW DATA 2023'!E:BO,20,0)</f>
        <v>119</v>
      </c>
      <c r="L485" s="322">
        <f t="shared" si="47"/>
        <v>1349.4079809189188</v>
      </c>
      <c r="M485" s="63"/>
      <c r="Y485" s="63" t="str">
        <f t="shared" si="45"/>
        <v>A1-047-00108</v>
      </c>
    </row>
    <row r="486" spans="1:25">
      <c r="A486" s="63" t="str">
        <f>'RAW DATA 2023'!B479</f>
        <v>Bangkachai1</v>
      </c>
      <c r="B486" s="63" t="str">
        <f>'RAW DATA 2023'!D479</f>
        <v>A1-061-0007</v>
      </c>
      <c r="C486" s="63" t="str">
        <f t="shared" si="42"/>
        <v>Bangkachai1A1-061-0007</v>
      </c>
      <c r="D486" s="68">
        <f>VLOOKUP(C486,'RAW DATA 2023'!E:BP,63,0)</f>
        <v>10</v>
      </c>
      <c r="E486" s="63" t="str">
        <f t="shared" si="43"/>
        <v>Bangkachai110</v>
      </c>
      <c r="F486" s="63">
        <f>ROUND(VLOOKUP(C486,'RAW DATA 2023'!E:BO,23,0),0)</f>
        <v>28</v>
      </c>
      <c r="G486" s="120">
        <f>VLOOKUP(C486,'RAW DATA 2023'!E:BO,26,0)</f>
        <v>0.35010783600000001</v>
      </c>
      <c r="H486" s="101">
        <f>IFERROR(VLOOKUP(F486,STD!B:G,6,0),"")</f>
        <v>0.41</v>
      </c>
      <c r="I486" s="100">
        <f t="shared" si="44"/>
        <v>0.8539215512195123</v>
      </c>
      <c r="J486" s="249">
        <f t="shared" si="46"/>
        <v>7.0784310243902464</v>
      </c>
      <c r="K486" s="63">
        <f>VLOOKUP(C486,'RAW DATA 2023'!E:BO,20,0)</f>
        <v>107</v>
      </c>
      <c r="L486" s="322">
        <f t="shared" si="47"/>
        <v>757.39211960975638</v>
      </c>
      <c r="M486" s="63"/>
      <c r="Y486" s="63" t="str">
        <f t="shared" si="45"/>
        <v>A1-061-000710</v>
      </c>
    </row>
    <row r="487" spans="1:25">
      <c r="A487" s="63" t="str">
        <f>'RAW DATA 2023'!B480</f>
        <v>Bangkachai1</v>
      </c>
      <c r="B487" s="63" t="str">
        <f>'RAW DATA 2023'!D480</f>
        <v>A1-060-0006</v>
      </c>
      <c r="C487" s="63" t="str">
        <f t="shared" si="42"/>
        <v>Bangkachai1A1-060-0006</v>
      </c>
      <c r="D487" s="68">
        <f>VLOOKUP(C487,'RAW DATA 2023'!E:BP,63,0)</f>
        <v>10</v>
      </c>
      <c r="E487" s="63" t="str">
        <f t="shared" si="43"/>
        <v>Bangkachai110</v>
      </c>
      <c r="F487" s="63">
        <f>ROUND(VLOOKUP(C487,'RAW DATA 2023'!E:BO,23,0),0)</f>
        <v>29</v>
      </c>
      <c r="G487" s="120">
        <f>VLOOKUP(C487,'RAW DATA 2023'!E:BO,26,0)</f>
        <v>0.34019403999999998</v>
      </c>
      <c r="H487" s="101">
        <f>IFERROR(VLOOKUP(F487,STD!B:G,6,0),"")</f>
        <v>0.4</v>
      </c>
      <c r="I487" s="100">
        <f t="shared" si="44"/>
        <v>0.85048509999999988</v>
      </c>
      <c r="J487" s="249">
        <f t="shared" si="46"/>
        <v>7.0097019999999972</v>
      </c>
      <c r="K487" s="63">
        <f>VLOOKUP(C487,'RAW DATA 2023'!E:BO,20,0)</f>
        <v>111</v>
      </c>
      <c r="L487" s="322">
        <f t="shared" si="47"/>
        <v>778.07692199999974</v>
      </c>
      <c r="M487" s="63"/>
      <c r="Y487" s="63" t="str">
        <f t="shared" si="45"/>
        <v>A1-060-000610</v>
      </c>
    </row>
    <row r="488" spans="1:25">
      <c r="A488" s="63" t="str">
        <f>'RAW DATA 2023'!B481</f>
        <v>Bangkachai1</v>
      </c>
      <c r="B488" s="63" t="str">
        <f>'RAW DATA 2023'!D481</f>
        <v>BG-044-0009</v>
      </c>
      <c r="C488" s="63" t="str">
        <f t="shared" si="42"/>
        <v>Bangkachai1BG-044-0009</v>
      </c>
      <c r="D488" s="68">
        <f>VLOOKUP(C488,'RAW DATA 2023'!E:BP,63,0)</f>
        <v>3</v>
      </c>
      <c r="E488" s="63" t="str">
        <f t="shared" si="43"/>
        <v>Bangkachai13</v>
      </c>
      <c r="F488" s="63">
        <f>ROUND(VLOOKUP(C488,'RAW DATA 2023'!E:BO,23,0),0)</f>
        <v>35</v>
      </c>
      <c r="G488" s="120">
        <f>VLOOKUP(C488,'RAW DATA 2023'!E:BO,26,0)</f>
        <v>0.33727891199999999</v>
      </c>
      <c r="H488" s="101">
        <f>IFERROR(VLOOKUP(F488,STD!B:G,6,0),"")</f>
        <v>0.37</v>
      </c>
      <c r="I488" s="100">
        <f t="shared" si="44"/>
        <v>0.91156462702702701</v>
      </c>
      <c r="J488" s="249">
        <f t="shared" si="46"/>
        <v>8.2312925405405402</v>
      </c>
      <c r="K488" s="63">
        <f>VLOOKUP(C488,'RAW DATA 2023'!E:BO,20,0)</f>
        <v>105</v>
      </c>
      <c r="L488" s="322">
        <f t="shared" si="47"/>
        <v>864.28571675675676</v>
      </c>
      <c r="M488" s="63"/>
      <c r="Y488" s="63" t="str">
        <f t="shared" si="45"/>
        <v>BG-044-00093</v>
      </c>
    </row>
    <row r="489" spans="1:25">
      <c r="A489" s="63" t="str">
        <f>'RAW DATA 2023'!B482</f>
        <v>Bangkachai1</v>
      </c>
      <c r="B489" s="63" t="str">
        <f>'RAW DATA 2023'!D482</f>
        <v>A1-061-0006</v>
      </c>
      <c r="C489" s="63" t="str">
        <f t="shared" si="42"/>
        <v>Bangkachai1A1-061-0006</v>
      </c>
      <c r="D489" s="68">
        <f>VLOOKUP(C489,'RAW DATA 2023'!E:BP,63,0)</f>
        <v>5</v>
      </c>
      <c r="E489" s="63" t="str">
        <f t="shared" si="43"/>
        <v>Bangkachai15</v>
      </c>
      <c r="F489" s="63">
        <f>ROUND(VLOOKUP(C489,'RAW DATA 2023'!E:BO,23,0),0)</f>
        <v>37</v>
      </c>
      <c r="G489" s="120">
        <f>VLOOKUP(C489,'RAW DATA 2023'!E:BO,26,0)</f>
        <v>0.318912484</v>
      </c>
      <c r="H489" s="101">
        <f>IFERROR(VLOOKUP(F489,STD!B:G,6,0),"")</f>
        <v>0.37</v>
      </c>
      <c r="I489" s="100">
        <f t="shared" si="44"/>
        <v>0.86192563243243248</v>
      </c>
      <c r="J489" s="249">
        <f t="shared" si="46"/>
        <v>7.2385126486486495</v>
      </c>
      <c r="K489" s="63">
        <f>VLOOKUP(C489,'RAW DATA 2023'!E:BO,20,0)</f>
        <v>111</v>
      </c>
      <c r="L489" s="322">
        <f t="shared" si="47"/>
        <v>803.47490400000015</v>
      </c>
      <c r="M489" s="63"/>
      <c r="Y489" s="63" t="str">
        <f t="shared" si="45"/>
        <v>A1-061-00065</v>
      </c>
    </row>
    <row r="490" spans="1:25">
      <c r="A490" s="63" t="str">
        <f>'RAW DATA 2023'!B483</f>
        <v>Bangkachai1</v>
      </c>
      <c r="B490" s="63" t="str">
        <f>'RAW DATA 2023'!D483</f>
        <v>A1-060-0005</v>
      </c>
      <c r="C490" s="63" t="str">
        <f t="shared" si="42"/>
        <v>Bangkachai1A1-060-0005</v>
      </c>
      <c r="D490" s="68">
        <f>VLOOKUP(C490,'RAW DATA 2023'!E:BP,63,0)</f>
        <v>5</v>
      </c>
      <c r="E490" s="63" t="str">
        <f t="shared" si="43"/>
        <v>Bangkachai15</v>
      </c>
      <c r="F490" s="63">
        <f>ROUND(VLOOKUP(C490,'RAW DATA 2023'!E:BO,23,0),0)</f>
        <v>42</v>
      </c>
      <c r="G490" s="120">
        <f>VLOOKUP(C490,'RAW DATA 2023'!E:BO,26,0)</f>
        <v>0.28210676600000001</v>
      </c>
      <c r="H490" s="101">
        <f>IFERROR(VLOOKUP(F490,STD!B:G,6,0),"")</f>
        <v>0.37</v>
      </c>
      <c r="I490" s="100">
        <f t="shared" si="44"/>
        <v>0.76245071891891891</v>
      </c>
      <c r="J490" s="249">
        <f t="shared" si="46"/>
        <v>5.2490143783783783</v>
      </c>
      <c r="K490" s="63">
        <f>VLOOKUP(C490,'RAW DATA 2023'!E:BO,20,0)</f>
        <v>113</v>
      </c>
      <c r="L490" s="322">
        <f t="shared" si="47"/>
        <v>593.13862475675671</v>
      </c>
      <c r="M490" s="63"/>
      <c r="Y490" s="63" t="str">
        <f t="shared" si="45"/>
        <v>A1-060-00055</v>
      </c>
    </row>
    <row r="491" spans="1:25">
      <c r="A491" s="63" t="str">
        <f>'RAW DATA 2023'!B484</f>
        <v>Bangkachai1</v>
      </c>
      <c r="B491" s="63" t="str">
        <f>'RAW DATA 2023'!D484</f>
        <v>A1-047-0009</v>
      </c>
      <c r="C491" s="63" t="str">
        <f t="shared" si="42"/>
        <v>Bangkachai1A1-047-0009</v>
      </c>
      <c r="D491" s="68">
        <f>VLOOKUP(C491,'RAW DATA 2023'!E:BP,63,0)</f>
        <v>3</v>
      </c>
      <c r="E491" s="63" t="str">
        <f t="shared" si="43"/>
        <v>Bangkachai13</v>
      </c>
      <c r="F491" s="63">
        <f>ROUND(VLOOKUP(C491,'RAW DATA 2023'!E:BO,23,0),0)</f>
        <v>34</v>
      </c>
      <c r="G491" s="120">
        <f>VLOOKUP(C491,'RAW DATA 2023'!E:BO,26,0)</f>
        <v>0.26137566099999998</v>
      </c>
      <c r="H491" s="101">
        <f>IFERROR(VLOOKUP(F491,STD!B:G,6,0),"")</f>
        <v>0.38</v>
      </c>
      <c r="I491" s="100">
        <f t="shared" si="44"/>
        <v>0.68783068684210524</v>
      </c>
      <c r="J491" s="249">
        <f t="shared" si="46"/>
        <v>3.7566137368421049</v>
      </c>
      <c r="K491" s="63">
        <f>VLOOKUP(C491,'RAW DATA 2023'!E:BO,20,0)</f>
        <v>125.99999999999999</v>
      </c>
      <c r="L491" s="322">
        <f t="shared" si="47"/>
        <v>473.33333084210517</v>
      </c>
      <c r="M491" s="63"/>
      <c r="Y491" s="63" t="str">
        <f t="shared" si="45"/>
        <v>A1-047-00093</v>
      </c>
    </row>
    <row r="492" spans="1:25">
      <c r="A492" s="63" t="str">
        <f>'RAW DATA 2023'!B485</f>
        <v>Bo Thong</v>
      </c>
      <c r="B492" s="63" t="str">
        <f>'RAW DATA 2023'!D485</f>
        <v>BG-002-0014</v>
      </c>
      <c r="C492" s="63" t="str">
        <f t="shared" si="42"/>
        <v>Bo ThongBG-002-0014</v>
      </c>
      <c r="D492" s="68">
        <f>VLOOKUP(C492,'RAW DATA 2023'!E:BP,63,0)</f>
        <v>6</v>
      </c>
      <c r="E492" s="63" t="str">
        <f t="shared" si="43"/>
        <v>Bo Thong6</v>
      </c>
      <c r="F492" s="63">
        <f>ROUND(VLOOKUP(C492,'RAW DATA 2023'!E:BO,23,0),0)</f>
        <v>45</v>
      </c>
      <c r="G492" s="120">
        <f>VLOOKUP(C492,'RAW DATA 2023'!E:BO,26,0)</f>
        <v>0.37362009899999998</v>
      </c>
      <c r="H492" s="101">
        <f>IFERROR(VLOOKUP(F492,STD!B:G,6,0),"")</f>
        <v>0.36</v>
      </c>
      <c r="I492" s="100">
        <f t="shared" si="44"/>
        <v>1.0378336083333333</v>
      </c>
      <c r="J492" s="249">
        <f t="shared" si="46"/>
        <v>10.756672166666664</v>
      </c>
      <c r="K492" s="63">
        <f>VLOOKUP(C492,'RAW DATA 2023'!E:BO,20,0)</f>
        <v>71</v>
      </c>
      <c r="L492" s="322">
        <f t="shared" si="47"/>
        <v>763.72372383333322</v>
      </c>
      <c r="M492" s="63"/>
      <c r="Y492" s="63" t="str">
        <f t="shared" si="45"/>
        <v>BG-002-00146</v>
      </c>
    </row>
    <row r="493" spans="1:25">
      <c r="A493" s="63" t="str">
        <f>'RAW DATA 2023'!B486</f>
        <v>Bo Thong</v>
      </c>
      <c r="B493" s="63" t="str">
        <f>'RAW DATA 2023'!D486</f>
        <v>BG-002-0013</v>
      </c>
      <c r="C493" s="63" t="str">
        <f t="shared" si="42"/>
        <v>Bo ThongBG-002-0013</v>
      </c>
      <c r="D493" s="68">
        <f>VLOOKUP(C493,'RAW DATA 2023'!E:BP,63,0)</f>
        <v>2</v>
      </c>
      <c r="E493" s="63" t="str">
        <f t="shared" si="43"/>
        <v>Bo Thong2</v>
      </c>
      <c r="F493" s="63">
        <f>ROUND(VLOOKUP(C493,'RAW DATA 2023'!E:BO,23,0),0)</f>
        <v>34</v>
      </c>
      <c r="G493" s="120">
        <f>VLOOKUP(C493,'RAW DATA 2023'!E:BO,26,0)</f>
        <v>0.36798665200000003</v>
      </c>
      <c r="H493" s="101">
        <f>IFERROR(VLOOKUP(F493,STD!B:G,6,0),"")</f>
        <v>0.38</v>
      </c>
      <c r="I493" s="100">
        <f t="shared" si="44"/>
        <v>0.96838592631578957</v>
      </c>
      <c r="J493" s="249">
        <f t="shared" si="46"/>
        <v>9.3677185263157909</v>
      </c>
      <c r="K493" s="63">
        <f>VLOOKUP(C493,'RAW DATA 2023'!E:BO,20,0)</f>
        <v>93</v>
      </c>
      <c r="L493" s="322">
        <f t="shared" si="47"/>
        <v>871.19782294736854</v>
      </c>
      <c r="M493" s="63"/>
      <c r="Y493" s="63" t="str">
        <f t="shared" si="45"/>
        <v>BG-002-00132</v>
      </c>
    </row>
    <row r="494" spans="1:25">
      <c r="A494" s="63" t="str">
        <f>'RAW DATA 2023'!B487</f>
        <v>Bo Thong</v>
      </c>
      <c r="B494" s="63" t="str">
        <f>'RAW DATA 2023'!D487</f>
        <v>BG-002-0015</v>
      </c>
      <c r="C494" s="63" t="str">
        <f t="shared" si="42"/>
        <v>Bo ThongBG-002-0015</v>
      </c>
      <c r="D494" s="68">
        <f>VLOOKUP(C494,'RAW DATA 2023'!E:BP,63,0)</f>
        <v>7</v>
      </c>
      <c r="E494" s="63" t="str">
        <f t="shared" si="43"/>
        <v>Bo Thong7</v>
      </c>
      <c r="F494" s="63">
        <f>ROUND(VLOOKUP(C494,'RAW DATA 2023'!E:BO,23,0),0)</f>
        <v>0</v>
      </c>
      <c r="G494" s="120">
        <f>VLOOKUP(C494,'RAW DATA 2023'!E:BO,26,0)</f>
        <v>0</v>
      </c>
      <c r="H494" s="101" t="str">
        <f>IFERROR(VLOOKUP(F494,STD!B:G,6,0),"")</f>
        <v/>
      </c>
      <c r="I494" s="100">
        <f t="shared" si="44"/>
        <v>0</v>
      </c>
      <c r="J494" s="249">
        <f t="shared" si="46"/>
        <v>0</v>
      </c>
      <c r="K494" s="63">
        <f>VLOOKUP(C494,'RAW DATA 2023'!E:BO,20,0)</f>
        <v>0</v>
      </c>
      <c r="L494" s="322">
        <f t="shared" si="47"/>
        <v>0</v>
      </c>
      <c r="M494" s="63"/>
      <c r="Y494" s="63" t="str">
        <f t="shared" si="45"/>
        <v>BG-002-00157</v>
      </c>
    </row>
    <row r="495" spans="1:25">
      <c r="A495" s="63" t="str">
        <f>'RAW DATA 2023'!B488</f>
        <v>Bo Thong</v>
      </c>
      <c r="B495" s="63" t="str">
        <f>'RAW DATA 2023'!D488</f>
        <v>BG-002-0016</v>
      </c>
      <c r="C495" s="63" t="str">
        <f t="shared" si="42"/>
        <v>Bo ThongBG-002-0016</v>
      </c>
      <c r="D495" s="68">
        <f>VLOOKUP(C495,'RAW DATA 2023'!E:BP,63,0)</f>
        <v>12</v>
      </c>
      <c r="E495" s="63" t="str">
        <f t="shared" si="43"/>
        <v>Bo Thong12</v>
      </c>
      <c r="F495" s="63">
        <f>ROUND(VLOOKUP(C495,'RAW DATA 2023'!E:BO,23,0),0)</f>
        <v>39</v>
      </c>
      <c r="G495" s="120">
        <f>VLOOKUP(C495,'RAW DATA 2023'!E:BO,26,0)</f>
        <v>0.41252100800000002</v>
      </c>
      <c r="H495" s="101">
        <f>IFERROR(VLOOKUP(F495,STD!B:G,6,0),"")</f>
        <v>0.37</v>
      </c>
      <c r="I495" s="100">
        <f t="shared" si="44"/>
        <v>1.1149216432432434</v>
      </c>
      <c r="J495" s="249">
        <f t="shared" si="46"/>
        <v>12.298432864864868</v>
      </c>
      <c r="K495" s="63">
        <f>VLOOKUP(C495,'RAW DATA 2023'!E:BO,20,0)</f>
        <v>85</v>
      </c>
      <c r="L495" s="322">
        <f t="shared" si="47"/>
        <v>1045.3667935135138</v>
      </c>
      <c r="M495" s="63"/>
      <c r="Y495" s="63" t="str">
        <f t="shared" si="45"/>
        <v>BG-002-001612</v>
      </c>
    </row>
    <row r="496" spans="1:25">
      <c r="A496" s="63" t="str">
        <f>'RAW DATA 2023'!B489</f>
        <v>Bo Thong</v>
      </c>
      <c r="B496" s="63" t="str">
        <f>'RAW DATA 2023'!D489</f>
        <v>B1-014-0013</v>
      </c>
      <c r="C496" s="63" t="str">
        <f t="shared" si="42"/>
        <v>Bo ThongB1-014-0013</v>
      </c>
      <c r="D496" s="68">
        <f>VLOOKUP(C496,'RAW DATA 2023'!E:BP,63,0)</f>
        <v>11</v>
      </c>
      <c r="E496" s="63" t="str">
        <f t="shared" si="43"/>
        <v>Bo Thong11</v>
      </c>
      <c r="F496" s="63">
        <f>ROUND(VLOOKUP(C496,'RAW DATA 2023'!E:BO,23,0),0)</f>
        <v>36</v>
      </c>
      <c r="G496" s="120">
        <f>VLOOKUP(C496,'RAW DATA 2023'!E:BO,26,0)</f>
        <v>0.40594719499999998</v>
      </c>
      <c r="H496" s="101">
        <f>IFERROR(VLOOKUP(F496,STD!B:G,6,0),"")</f>
        <v>0.36</v>
      </c>
      <c r="I496" s="100">
        <f t="shared" si="44"/>
        <v>1.1276310972222223</v>
      </c>
      <c r="J496" s="249">
        <f t="shared" si="46"/>
        <v>12.552621944444446</v>
      </c>
      <c r="K496" s="63">
        <f>VLOOKUP(C496,'RAW DATA 2023'!E:BO,20,0)</f>
        <v>101</v>
      </c>
      <c r="L496" s="322">
        <f t="shared" si="47"/>
        <v>1267.8148163888891</v>
      </c>
      <c r="M496" s="63"/>
      <c r="Y496" s="63" t="str">
        <f t="shared" si="45"/>
        <v>B1-014-001311</v>
      </c>
    </row>
    <row r="497" spans="1:25">
      <c r="A497" s="63" t="str">
        <f>'RAW DATA 2023'!B490</f>
        <v>Bo Thong</v>
      </c>
      <c r="B497" s="63" t="str">
        <f>'RAW DATA 2023'!D490</f>
        <v>B1-015-0014</v>
      </c>
      <c r="C497" s="63" t="str">
        <f t="shared" si="42"/>
        <v>Bo ThongB1-015-0014</v>
      </c>
      <c r="D497" s="68">
        <f>VLOOKUP(C497,'RAW DATA 2023'!E:BP,63,0)</f>
        <v>11</v>
      </c>
      <c r="E497" s="63" t="str">
        <f t="shared" si="43"/>
        <v>Bo Thong11</v>
      </c>
      <c r="F497" s="63">
        <f>ROUND(VLOOKUP(C497,'RAW DATA 2023'!E:BO,23,0),0)</f>
        <v>72</v>
      </c>
      <c r="G497" s="120">
        <f>VLOOKUP(C497,'RAW DATA 2023'!E:BO,26,0)</f>
        <v>0.28206018500000002</v>
      </c>
      <c r="H497" s="101">
        <f>IFERROR(VLOOKUP(F497,STD!B:G,6,0),"")</f>
        <v>0.35</v>
      </c>
      <c r="I497" s="100">
        <f t="shared" si="44"/>
        <v>0.80588624285714294</v>
      </c>
      <c r="J497" s="249">
        <f t="shared" si="46"/>
        <v>6.1177248571428589</v>
      </c>
      <c r="K497" s="63">
        <f>VLOOKUP(C497,'RAW DATA 2023'!E:BO,20,0)</f>
        <v>48</v>
      </c>
      <c r="L497" s="322">
        <f t="shared" si="47"/>
        <v>293.6507931428572</v>
      </c>
      <c r="M497" s="63"/>
      <c r="Y497" s="63" t="str">
        <f t="shared" si="45"/>
        <v>B1-015-001411</v>
      </c>
    </row>
    <row r="498" spans="1:25">
      <c r="A498" s="63" t="str">
        <f>'RAW DATA 2023'!B491</f>
        <v>Bo Thong</v>
      </c>
      <c r="B498" s="63" t="str">
        <f>'RAW DATA 2023'!D491</f>
        <v>B1-015-0013</v>
      </c>
      <c r="C498" s="63" t="str">
        <f t="shared" si="42"/>
        <v>Bo ThongB1-015-0013</v>
      </c>
      <c r="D498" s="68">
        <f>VLOOKUP(C498,'RAW DATA 2023'!E:BP,63,0)</f>
        <v>7</v>
      </c>
      <c r="E498" s="63" t="str">
        <f t="shared" si="43"/>
        <v>Bo Thong7</v>
      </c>
      <c r="F498" s="63">
        <f>ROUND(VLOOKUP(C498,'RAW DATA 2023'!E:BO,23,0),0)</f>
        <v>40</v>
      </c>
      <c r="G498" s="120">
        <f>VLOOKUP(C498,'RAW DATA 2023'!E:BO,26,0)</f>
        <v>0.38330745300000002</v>
      </c>
      <c r="H498" s="101">
        <f>IFERROR(VLOOKUP(F498,STD!B:G,6,0),"")</f>
        <v>0.37</v>
      </c>
      <c r="I498" s="100">
        <f t="shared" si="44"/>
        <v>1.0359660891891893</v>
      </c>
      <c r="J498" s="249">
        <f t="shared" si="46"/>
        <v>10.719321783783787</v>
      </c>
      <c r="K498" s="63">
        <f>VLOOKUP(C498,'RAW DATA 2023'!E:BO,20,0)</f>
        <v>92</v>
      </c>
      <c r="L498" s="322">
        <f t="shared" si="47"/>
        <v>986.17760410810843</v>
      </c>
      <c r="M498" s="63"/>
      <c r="Y498" s="63" t="str">
        <f t="shared" si="45"/>
        <v>B1-015-00137</v>
      </c>
    </row>
    <row r="499" spans="1:25">
      <c r="A499" s="63" t="str">
        <f>'RAW DATA 2023'!B492</f>
        <v>Bo Thong</v>
      </c>
      <c r="B499" s="63" t="str">
        <f>'RAW DATA 2023'!D492</f>
        <v>B1-014-0012</v>
      </c>
      <c r="C499" s="63" t="str">
        <f t="shared" si="42"/>
        <v>Bo ThongB1-014-0012</v>
      </c>
      <c r="D499" s="68">
        <f>VLOOKUP(C499,'RAW DATA 2023'!E:BP,63,0)</f>
        <v>6</v>
      </c>
      <c r="E499" s="63" t="str">
        <f t="shared" si="43"/>
        <v>Bo Thong6</v>
      </c>
      <c r="F499" s="63">
        <f>ROUND(VLOOKUP(C499,'RAW DATA 2023'!E:BO,23,0),0)</f>
        <v>39</v>
      </c>
      <c r="G499" s="120">
        <f>VLOOKUP(C499,'RAW DATA 2023'!E:BO,26,0)</f>
        <v>0.380617284</v>
      </c>
      <c r="H499" s="101">
        <f>IFERROR(VLOOKUP(F499,STD!B:G,6,0),"")</f>
        <v>0.37</v>
      </c>
      <c r="I499" s="100">
        <f t="shared" si="44"/>
        <v>1.0286953621621622</v>
      </c>
      <c r="J499" s="249">
        <f t="shared" si="46"/>
        <v>10.573907243243244</v>
      </c>
      <c r="K499" s="63">
        <f>VLOOKUP(C499,'RAW DATA 2023'!E:BO,20,0)</f>
        <v>81.000000000000014</v>
      </c>
      <c r="L499" s="322">
        <f t="shared" si="47"/>
        <v>856.4864867027029</v>
      </c>
      <c r="M499" s="63"/>
      <c r="Y499" s="63" t="str">
        <f t="shared" si="45"/>
        <v>B1-014-00126</v>
      </c>
    </row>
    <row r="500" spans="1:25">
      <c r="A500" s="63" t="str">
        <f>'RAW DATA 2023'!B493</f>
        <v>Bo Thong</v>
      </c>
      <c r="B500" s="63" t="str">
        <f>'RAW DATA 2023'!D493</f>
        <v>B1-013-0013</v>
      </c>
      <c r="C500" s="63" t="str">
        <f t="shared" si="42"/>
        <v>Bo ThongB1-013-0013</v>
      </c>
      <c r="D500" s="68">
        <f>VLOOKUP(C500,'RAW DATA 2023'!E:BP,63,0)</f>
        <v>6</v>
      </c>
      <c r="E500" s="63" t="str">
        <f t="shared" si="43"/>
        <v>Bo Thong6</v>
      </c>
      <c r="F500" s="63">
        <f>ROUND(VLOOKUP(C500,'RAW DATA 2023'!E:BO,23,0),0)</f>
        <v>45</v>
      </c>
      <c r="G500" s="120">
        <f>VLOOKUP(C500,'RAW DATA 2023'!E:BO,26,0)</f>
        <v>0.35733918100000001</v>
      </c>
      <c r="H500" s="101">
        <f>IFERROR(VLOOKUP(F500,STD!B:G,6,0),"")</f>
        <v>0.36</v>
      </c>
      <c r="I500" s="100">
        <f t="shared" si="44"/>
        <v>0.99260883611111117</v>
      </c>
      <c r="J500" s="249">
        <f t="shared" si="46"/>
        <v>9.8521767222222234</v>
      </c>
      <c r="K500" s="63">
        <f>VLOOKUP(C500,'RAW DATA 2023'!E:BO,20,0)</f>
        <v>76</v>
      </c>
      <c r="L500" s="322">
        <f t="shared" si="47"/>
        <v>748.765430888889</v>
      </c>
      <c r="M500" s="63"/>
      <c r="Y500" s="63" t="str">
        <f t="shared" si="45"/>
        <v>B1-013-00136</v>
      </c>
    </row>
    <row r="501" spans="1:25">
      <c r="A501" s="63" t="str">
        <f>'RAW DATA 2023'!B494</f>
        <v>Bo Thong</v>
      </c>
      <c r="B501" s="63" t="str">
        <f>'RAW DATA 2023'!D494</f>
        <v>B1-014-0011</v>
      </c>
      <c r="C501" s="63" t="str">
        <f t="shared" si="42"/>
        <v>Bo ThongB1-014-0011</v>
      </c>
      <c r="D501" s="68">
        <f>VLOOKUP(C501,'RAW DATA 2023'!E:BP,63,0)</f>
        <v>3</v>
      </c>
      <c r="E501" s="63" t="str">
        <f t="shared" si="43"/>
        <v>Bo Thong3</v>
      </c>
      <c r="F501" s="63">
        <f>ROUND(VLOOKUP(C501,'RAW DATA 2023'!E:BO,23,0),0)</f>
        <v>24</v>
      </c>
      <c r="G501" s="120">
        <f>VLOOKUP(C501,'RAW DATA 2023'!E:BO,26,0)</f>
        <v>0.34749650399999998</v>
      </c>
      <c r="H501" s="101">
        <f>IFERROR(VLOOKUP(F501,STD!B:G,6,0),"")</f>
        <v>0.36</v>
      </c>
      <c r="I501" s="100">
        <f t="shared" si="44"/>
        <v>0.96526806666666665</v>
      </c>
      <c r="J501" s="249">
        <f t="shared" si="46"/>
        <v>9.3053613333333338</v>
      </c>
      <c r="K501" s="63">
        <f>VLOOKUP(C501,'RAW DATA 2023'!E:BO,20,0)</f>
        <v>130</v>
      </c>
      <c r="L501" s="322">
        <f t="shared" si="47"/>
        <v>1209.6969733333333</v>
      </c>
      <c r="M501" s="63"/>
      <c r="Y501" s="63" t="str">
        <f t="shared" si="45"/>
        <v>B1-014-00113</v>
      </c>
    </row>
    <row r="502" spans="1:25">
      <c r="A502" s="63" t="str">
        <f>'RAW DATA 2023'!B495</f>
        <v>Bo Thong</v>
      </c>
      <c r="B502" s="63" t="str">
        <f>'RAW DATA 2023'!D495</f>
        <v>B1-010-0010</v>
      </c>
      <c r="C502" s="63" t="str">
        <f t="shared" si="42"/>
        <v>Bo ThongB1-010-0010</v>
      </c>
      <c r="D502" s="68">
        <f>VLOOKUP(C502,'RAW DATA 2023'!E:BP,63,0)</f>
        <v>4</v>
      </c>
      <c r="E502" s="63" t="str">
        <f t="shared" si="43"/>
        <v>Bo Thong4</v>
      </c>
      <c r="F502" s="63">
        <f>ROUND(VLOOKUP(C502,'RAW DATA 2023'!E:BO,23,0),0)</f>
        <v>33</v>
      </c>
      <c r="G502" s="120">
        <f>VLOOKUP(C502,'RAW DATA 2023'!E:BO,26,0)</f>
        <v>0.34401398599999999</v>
      </c>
      <c r="H502" s="101">
        <f>IFERROR(VLOOKUP(F502,STD!B:G,6,0),"")</f>
        <v>0.39</v>
      </c>
      <c r="I502" s="100">
        <f t="shared" si="44"/>
        <v>0.88208714358974349</v>
      </c>
      <c r="J502" s="249">
        <f t="shared" si="46"/>
        <v>7.6417428717948699</v>
      </c>
      <c r="K502" s="63">
        <f>VLOOKUP(C502,'RAW DATA 2023'!E:BO,20,0)</f>
        <v>110</v>
      </c>
      <c r="L502" s="322">
        <f t="shared" si="47"/>
        <v>840.59171589743573</v>
      </c>
      <c r="M502" s="63"/>
      <c r="Y502" s="63" t="str">
        <f t="shared" si="45"/>
        <v>B1-010-00104</v>
      </c>
    </row>
    <row r="503" spans="1:25">
      <c r="A503" s="63" t="str">
        <f>'RAW DATA 2023'!B496</f>
        <v>Bo Thong</v>
      </c>
      <c r="B503" s="63" t="str">
        <f>'RAW DATA 2023'!D496</f>
        <v>B1-015-0012</v>
      </c>
      <c r="C503" s="63" t="str">
        <f t="shared" si="42"/>
        <v>Bo ThongB1-015-0012</v>
      </c>
      <c r="D503" s="68">
        <f>VLOOKUP(C503,'RAW DATA 2023'!E:BP,63,0)</f>
        <v>3</v>
      </c>
      <c r="E503" s="63" t="str">
        <f t="shared" si="43"/>
        <v>Bo Thong3</v>
      </c>
      <c r="F503" s="63">
        <f>ROUND(VLOOKUP(C503,'RAW DATA 2023'!E:BO,23,0),0)</f>
        <v>25</v>
      </c>
      <c r="G503" s="120">
        <f>VLOOKUP(C503,'RAW DATA 2023'!E:BO,26,0)</f>
        <v>0.33282508399999999</v>
      </c>
      <c r="H503" s="101">
        <f>IFERROR(VLOOKUP(F503,STD!B:G,6,0),"")</f>
        <v>0.36</v>
      </c>
      <c r="I503" s="100">
        <f t="shared" si="44"/>
        <v>0.92451412222222229</v>
      </c>
      <c r="J503" s="249">
        <f t="shared" si="46"/>
        <v>8.4902824444444462</v>
      </c>
      <c r="K503" s="63">
        <f>VLOOKUP(C503,'RAW DATA 2023'!E:BO,20,0)</f>
        <v>130</v>
      </c>
      <c r="L503" s="322">
        <f t="shared" si="47"/>
        <v>1103.736717777778</v>
      </c>
      <c r="M503" s="63"/>
      <c r="Y503" s="63" t="str">
        <f t="shared" si="45"/>
        <v>B1-015-00123</v>
      </c>
    </row>
    <row r="504" spans="1:25">
      <c r="A504" s="63" t="str">
        <f>'RAW DATA 2023'!B497</f>
        <v>Bo Thong</v>
      </c>
      <c r="B504" s="63" t="str">
        <f>'RAW DATA 2023'!D497</f>
        <v>B1-011-0012</v>
      </c>
      <c r="C504" s="63" t="str">
        <f t="shared" si="42"/>
        <v>Bo ThongB1-011-0012</v>
      </c>
      <c r="D504" s="68">
        <f>VLOOKUP(C504,'RAW DATA 2023'!E:BP,63,0)</f>
        <v>3</v>
      </c>
      <c r="E504" s="63" t="str">
        <f t="shared" si="43"/>
        <v>Bo Thong3</v>
      </c>
      <c r="F504" s="63">
        <f>ROUND(VLOOKUP(C504,'RAW DATA 2023'!E:BO,23,0),0)</f>
        <v>32</v>
      </c>
      <c r="G504" s="120">
        <f>VLOOKUP(C504,'RAW DATA 2023'!E:BO,26,0)</f>
        <v>0.30229007600000002</v>
      </c>
      <c r="H504" s="101">
        <f>IFERROR(VLOOKUP(F504,STD!B:G,6,0),"")</f>
        <v>0.39</v>
      </c>
      <c r="I504" s="100">
        <f t="shared" ref="I504:I521" si="48">IFERROR(G504/H504,0)</f>
        <v>0.77510275897435899</v>
      </c>
      <c r="J504" s="249">
        <f t="shared" si="46"/>
        <v>5.5020551794871793</v>
      </c>
      <c r="K504" s="63">
        <f>VLOOKUP(C504,'RAW DATA 2023'!E:BO,20,0)</f>
        <v>131</v>
      </c>
      <c r="L504" s="322">
        <f t="shared" si="47"/>
        <v>720.76922851282052</v>
      </c>
      <c r="M504" s="63"/>
      <c r="Y504" s="63" t="str">
        <f t="shared" si="45"/>
        <v>B1-011-00123</v>
      </c>
    </row>
    <row r="505" spans="1:25">
      <c r="A505" s="63" t="str">
        <f>'RAW DATA 2023'!B498</f>
        <v>Bo Thong</v>
      </c>
      <c r="B505" s="63" t="str">
        <f>'RAW DATA 2023'!D498</f>
        <v>B1-010-0011</v>
      </c>
      <c r="C505" s="63" t="str">
        <f t="shared" si="42"/>
        <v>Bo ThongB1-010-0011</v>
      </c>
      <c r="D505" s="68">
        <f>VLOOKUP(C505,'RAW DATA 2023'!E:BP,63,0)</f>
        <v>7</v>
      </c>
      <c r="E505" s="63" t="str">
        <f t="shared" si="43"/>
        <v>Bo Thong7</v>
      </c>
      <c r="F505" s="63">
        <f>ROUND(VLOOKUP(C505,'RAW DATA 2023'!E:BO,23,0),0)</f>
        <v>57</v>
      </c>
      <c r="G505" s="120">
        <f>VLOOKUP(C505,'RAW DATA 2023'!E:BO,26,0)</f>
        <v>0.29068554400000002</v>
      </c>
      <c r="H505" s="101">
        <f>IFERROR(VLOOKUP(F505,STD!B:G,6,0),"")</f>
        <v>0.36</v>
      </c>
      <c r="I505" s="100">
        <f t="shared" si="48"/>
        <v>0.80745984444444452</v>
      </c>
      <c r="J505" s="249">
        <f t="shared" si="46"/>
        <v>6.1491968888888904</v>
      </c>
      <c r="K505" s="63">
        <f>VLOOKUP(C505,'RAW DATA 2023'!E:BO,20,0)</f>
        <v>61</v>
      </c>
      <c r="L505" s="322">
        <f t="shared" si="47"/>
        <v>375.10101022222233</v>
      </c>
      <c r="M505" s="63"/>
      <c r="Y505" s="63" t="str">
        <f t="shared" si="45"/>
        <v>B1-010-00117</v>
      </c>
    </row>
    <row r="506" spans="1:25">
      <c r="A506" s="63" t="str">
        <f>'RAW DATA 2023'!B499</f>
        <v>Bo Thong</v>
      </c>
      <c r="B506" s="63" t="str">
        <f>'RAW DATA 2023'!D499</f>
        <v>B1-013-0012</v>
      </c>
      <c r="C506" s="63" t="str">
        <f t="shared" si="42"/>
        <v>Bo ThongB1-013-0012</v>
      </c>
      <c r="D506" s="68">
        <f>VLOOKUP(C506,'RAW DATA 2023'!E:BP,63,0)</f>
        <v>3</v>
      </c>
      <c r="E506" s="63" t="str">
        <f t="shared" si="43"/>
        <v>Bo Thong3</v>
      </c>
      <c r="F506" s="63">
        <f>ROUND(VLOOKUP(C506,'RAW DATA 2023'!E:BO,23,0),0)</f>
        <v>38</v>
      </c>
      <c r="G506" s="120">
        <f>VLOOKUP(C506,'RAW DATA 2023'!E:BO,26,0)</f>
        <v>0.285339862</v>
      </c>
      <c r="H506" s="101">
        <f>IFERROR(VLOOKUP(F506,STD!B:G,6,0),"")</f>
        <v>0.37</v>
      </c>
      <c r="I506" s="100">
        <f t="shared" si="48"/>
        <v>0.77118881621621627</v>
      </c>
      <c r="J506" s="249">
        <f t="shared" si="46"/>
        <v>5.4237763243243258</v>
      </c>
      <c r="K506" s="63">
        <f>VLOOKUP(C506,'RAW DATA 2023'!E:BO,20,0)</f>
        <v>112</v>
      </c>
      <c r="L506" s="322">
        <f t="shared" si="47"/>
        <v>607.46294832432454</v>
      </c>
      <c r="M506" s="63"/>
      <c r="Y506" s="63" t="str">
        <f t="shared" si="45"/>
        <v>B1-013-00123</v>
      </c>
    </row>
    <row r="507" spans="1:25">
      <c r="A507" s="63" t="str">
        <f>'RAW DATA 2023'!B500</f>
        <v>Bo Thong</v>
      </c>
      <c r="B507" s="63" t="str">
        <f>'RAW DATA 2023'!D500</f>
        <v>B1-011-0013</v>
      </c>
      <c r="C507" s="63" t="str">
        <f t="shared" si="42"/>
        <v>Bo ThongB1-011-0013</v>
      </c>
      <c r="D507" s="68">
        <f>VLOOKUP(C507,'RAW DATA 2023'!E:BP,63,0)</f>
        <v>7</v>
      </c>
      <c r="E507" s="63" t="str">
        <f t="shared" si="43"/>
        <v>Bo Thong7</v>
      </c>
      <c r="F507" s="63">
        <f>ROUND(VLOOKUP(C507,'RAW DATA 2023'!E:BO,23,0),0)</f>
        <v>52</v>
      </c>
      <c r="G507" s="120">
        <f>VLOOKUP(C507,'RAW DATA 2023'!E:BO,26,0)</f>
        <v>0.28000000000000003</v>
      </c>
      <c r="H507" s="101">
        <f>IFERROR(VLOOKUP(F507,STD!B:G,6,0),"")</f>
        <v>0.36</v>
      </c>
      <c r="I507" s="100">
        <f t="shared" si="48"/>
        <v>0.7777777777777779</v>
      </c>
      <c r="J507" s="249">
        <f t="shared" si="46"/>
        <v>5.555555555555558</v>
      </c>
      <c r="K507" s="63">
        <f>VLOOKUP(C507,'RAW DATA 2023'!E:BO,20,0)</f>
        <v>70</v>
      </c>
      <c r="L507" s="322">
        <f t="shared" si="47"/>
        <v>388.88888888888908</v>
      </c>
      <c r="M507" s="63"/>
      <c r="Y507" s="63" t="str">
        <f t="shared" si="45"/>
        <v>B1-011-00137</v>
      </c>
    </row>
    <row r="508" spans="1:25">
      <c r="A508" s="63" t="str">
        <f>'RAW DATA 2023'!B501</f>
        <v>Bo Thong</v>
      </c>
      <c r="B508" s="63" t="str">
        <f>'RAW DATA 2023'!D501</f>
        <v>BG-001-0012</v>
      </c>
      <c r="C508" s="63" t="str">
        <f t="shared" si="42"/>
        <v>Bo ThongBG-001-0012</v>
      </c>
      <c r="D508" s="68">
        <f>VLOOKUP(C508,'RAW DATA 2023'!E:BP,63,0)</f>
        <v>7</v>
      </c>
      <c r="E508" s="63" t="str">
        <f t="shared" si="43"/>
        <v>Bo Thong7</v>
      </c>
      <c r="F508" s="63">
        <f>ROUND(VLOOKUP(C508,'RAW DATA 2023'!E:BO,23,0),0)</f>
        <v>71</v>
      </c>
      <c r="G508" s="120">
        <f>VLOOKUP(C508,'RAW DATA 2023'!E:BO,26,0)</f>
        <v>0.29012158100000002</v>
      </c>
      <c r="H508" s="101">
        <f>IFERROR(VLOOKUP(F508,STD!B:G,6,0),"")</f>
        <v>0.35</v>
      </c>
      <c r="I508" s="100">
        <f t="shared" si="48"/>
        <v>0.82891880285714292</v>
      </c>
      <c r="J508" s="249">
        <f t="shared" si="46"/>
        <v>6.578376057142858</v>
      </c>
      <c r="K508" s="63">
        <f>VLOOKUP(C508,'RAW DATA 2023'!E:BO,20,0)</f>
        <v>47</v>
      </c>
      <c r="L508" s="322">
        <f t="shared" si="47"/>
        <v>309.18367468571432</v>
      </c>
      <c r="M508" s="63"/>
      <c r="Y508" s="63" t="str">
        <f t="shared" si="45"/>
        <v>BG-001-00127</v>
      </c>
    </row>
    <row r="509" spans="1:25">
      <c r="A509" s="63" t="str">
        <f>'RAW DATA 2023'!B502</f>
        <v>Bangsakao</v>
      </c>
      <c r="B509" s="63" t="str">
        <f>'RAW DATA 2023'!D502</f>
        <v>DG-005-0025</v>
      </c>
      <c r="C509" s="63" t="str">
        <f t="shared" si="42"/>
        <v>BangsakaoDG-005-0025</v>
      </c>
      <c r="D509" s="68">
        <f>VLOOKUP(C509,'RAW DATA 2023'!E:BP,63,0)</f>
        <v>5</v>
      </c>
      <c r="E509" s="63" t="str">
        <f t="shared" si="43"/>
        <v>Bangsakao5</v>
      </c>
      <c r="F509" s="63">
        <f>ROUND(VLOOKUP(C509,'RAW DATA 2023'!E:BO,23,0),0)</f>
        <v>27</v>
      </c>
      <c r="G509" s="120">
        <f>VLOOKUP(C509,'RAW DATA 2023'!E:BO,26,0)</f>
        <v>0.44827664400000006</v>
      </c>
      <c r="H509" s="101">
        <f>IFERROR(VLOOKUP(F509,STD!B:G,6,0),"")</f>
        <v>0.39</v>
      </c>
      <c r="I509" s="100">
        <f t="shared" si="48"/>
        <v>1.1494272923076925</v>
      </c>
      <c r="J509" s="249">
        <f t="shared" si="46"/>
        <v>12.988545846153849</v>
      </c>
      <c r="K509" s="63">
        <f>VLOOKUP(C509,'RAW DATA 2023'!E:BO,20,0)</f>
        <v>105</v>
      </c>
      <c r="L509" s="322">
        <f t="shared" si="47"/>
        <v>1363.7973138461541</v>
      </c>
      <c r="M509" s="63"/>
      <c r="Y509" s="63" t="str">
        <f t="shared" si="45"/>
        <v>DG-005-00255</v>
      </c>
    </row>
    <row r="510" spans="1:25">
      <c r="A510" s="63" t="str">
        <f>'RAW DATA 2023'!B503</f>
        <v>Bangsakao</v>
      </c>
      <c r="B510" s="63" t="str">
        <f>'RAW DATA 2023'!D503</f>
        <v>DG-002-0025</v>
      </c>
      <c r="C510" s="63" t="str">
        <f t="shared" si="42"/>
        <v>BangsakaoDG-002-0025</v>
      </c>
      <c r="D510" s="68">
        <f>VLOOKUP(C510,'RAW DATA 2023'!E:BP,63,0)</f>
        <v>8</v>
      </c>
      <c r="E510" s="63" t="str">
        <f t="shared" si="43"/>
        <v>Bangsakao8</v>
      </c>
      <c r="F510" s="63">
        <f>ROUND(VLOOKUP(C510,'RAW DATA 2023'!E:BO,23,0),0)</f>
        <v>30</v>
      </c>
      <c r="G510" s="120">
        <f>VLOOKUP(C510,'RAW DATA 2023'!E:BO,26,0)</f>
        <v>0.41125</v>
      </c>
      <c r="H510" s="101">
        <f>IFERROR(VLOOKUP(F510,STD!B:G,6,0),"")</f>
        <v>0.39</v>
      </c>
      <c r="I510" s="100">
        <f t="shared" si="48"/>
        <v>1.0544871794871795</v>
      </c>
      <c r="J510" s="249">
        <f t="shared" si="46"/>
        <v>11.089743589743591</v>
      </c>
      <c r="K510" s="63">
        <f>VLOOKUP(C510,'RAW DATA 2023'!E:BO,20,0)</f>
        <v>120.00000000000001</v>
      </c>
      <c r="L510" s="322">
        <f t="shared" si="47"/>
        <v>1330.7692307692312</v>
      </c>
      <c r="M510" s="63"/>
      <c r="Y510" s="63" t="str">
        <f t="shared" si="45"/>
        <v>DG-002-00258</v>
      </c>
    </row>
    <row r="511" spans="1:25">
      <c r="A511" s="63" t="str">
        <f>'RAW DATA 2023'!B504</f>
        <v>Bangsakao</v>
      </c>
      <c r="B511" s="63" t="str">
        <f>'RAW DATA 2023'!D504</f>
        <v>DG-004-0023</v>
      </c>
      <c r="C511" s="63" t="str">
        <f t="shared" si="42"/>
        <v>BangsakaoDG-004-0023</v>
      </c>
      <c r="D511" s="68">
        <f>VLOOKUP(C511,'RAW DATA 2023'!E:BP,63,0)</f>
        <v>6</v>
      </c>
      <c r="E511" s="63" t="str">
        <f t="shared" si="43"/>
        <v>Bangsakao6</v>
      </c>
      <c r="F511" s="63">
        <f>ROUND(VLOOKUP(C511,'RAW DATA 2023'!E:BO,23,0),0)</f>
        <v>31</v>
      </c>
      <c r="G511" s="120">
        <f>VLOOKUP(C511,'RAW DATA 2023'!E:BO,26,0)</f>
        <v>0.40049594199999999</v>
      </c>
      <c r="H511" s="101">
        <f>IFERROR(VLOOKUP(F511,STD!B:G,6,0),"")</f>
        <v>0.39</v>
      </c>
      <c r="I511" s="100">
        <f t="shared" si="48"/>
        <v>1.0269126717948718</v>
      </c>
      <c r="J511" s="249">
        <f t="shared" si="46"/>
        <v>10.538253435897435</v>
      </c>
      <c r="K511" s="63">
        <f>VLOOKUP(C511,'RAW DATA 2023'!E:BO,20,0)</f>
        <v>111.99999999999999</v>
      </c>
      <c r="L511" s="322">
        <f t="shared" si="47"/>
        <v>1180.2843848205125</v>
      </c>
      <c r="M511" s="63"/>
      <c r="Y511" s="63" t="str">
        <f t="shared" si="45"/>
        <v>DG-004-00236</v>
      </c>
    </row>
    <row r="512" spans="1:25">
      <c r="A512" s="63" t="str">
        <f>'RAW DATA 2023'!B505</f>
        <v>Bangsakao</v>
      </c>
      <c r="B512" s="63" t="str">
        <f>'RAW DATA 2023'!D505</f>
        <v>DG-003-0025</v>
      </c>
      <c r="C512" s="63" t="str">
        <f t="shared" si="42"/>
        <v>BangsakaoDG-003-0025</v>
      </c>
      <c r="D512" s="68">
        <f>VLOOKUP(C512,'RAW DATA 2023'!E:BP,63,0)</f>
        <v>7</v>
      </c>
      <c r="E512" s="63" t="str">
        <f t="shared" si="43"/>
        <v>Bangsakao7</v>
      </c>
      <c r="F512" s="63">
        <f>ROUND(VLOOKUP(C512,'RAW DATA 2023'!E:BO,23,0),0)</f>
        <v>32</v>
      </c>
      <c r="G512" s="120">
        <f>VLOOKUP(C512,'RAW DATA 2023'!E:BO,26,0)</f>
        <v>0.37958909400000002</v>
      </c>
      <c r="H512" s="101">
        <f>IFERROR(VLOOKUP(F512,STD!B:G,6,0),"")</f>
        <v>0.39</v>
      </c>
      <c r="I512" s="100">
        <f t="shared" si="48"/>
        <v>0.97330536923076927</v>
      </c>
      <c r="J512" s="249">
        <f t="shared" si="46"/>
        <v>9.4661073846153858</v>
      </c>
      <c r="K512" s="63">
        <f>VLOOKUP(C512,'RAW DATA 2023'!E:BO,20,0)</f>
        <v>123.99999999999999</v>
      </c>
      <c r="L512" s="322">
        <f t="shared" si="47"/>
        <v>1173.7973156923076</v>
      </c>
      <c r="M512" s="63"/>
      <c r="Y512" s="63" t="str">
        <f t="shared" si="45"/>
        <v>DG-003-00257</v>
      </c>
    </row>
    <row r="513" spans="1:25">
      <c r="A513" s="63" t="str">
        <f>'RAW DATA 2023'!B506</f>
        <v>Bangsakao</v>
      </c>
      <c r="B513" s="63" t="str">
        <f>'RAW DATA 2023'!D506</f>
        <v>DG-005-0024</v>
      </c>
      <c r="C513" s="63" t="str">
        <f t="shared" si="42"/>
        <v>BangsakaoDG-005-0024</v>
      </c>
      <c r="D513" s="68">
        <f>VLOOKUP(C513,'RAW DATA 2023'!E:BP,63,0)</f>
        <v>1</v>
      </c>
      <c r="E513" s="63" t="str">
        <f t="shared" si="43"/>
        <v>Bangsakao1</v>
      </c>
      <c r="F513" s="63">
        <f>ROUND(VLOOKUP(C513,'RAW DATA 2023'!E:BO,23,0),0)</f>
        <v>32</v>
      </c>
      <c r="G513" s="120">
        <f>VLOOKUP(C513,'RAW DATA 2023'!E:BO,26,0)</f>
        <v>0.37700228800000002</v>
      </c>
      <c r="H513" s="101">
        <f>IFERROR(VLOOKUP(F513,STD!B:G,6,0),"")</f>
        <v>0.39</v>
      </c>
      <c r="I513" s="100">
        <f t="shared" si="48"/>
        <v>0.96667253333333336</v>
      </c>
      <c r="J513" s="249">
        <f t="shared" si="46"/>
        <v>9.3334506666666677</v>
      </c>
      <c r="K513" s="63">
        <f>VLOOKUP(C513,'RAW DATA 2023'!E:BO,20,0)</f>
        <v>114</v>
      </c>
      <c r="L513" s="322">
        <f t="shared" si="47"/>
        <v>1064.0133760000001</v>
      </c>
      <c r="M513" s="63"/>
      <c r="Y513" s="63" t="str">
        <f t="shared" si="45"/>
        <v>DG-005-00241</v>
      </c>
    </row>
    <row r="514" spans="1:25">
      <c r="A514" s="63" t="str">
        <f>'RAW DATA 2023'!B507</f>
        <v>Bangsakao</v>
      </c>
      <c r="B514" s="63" t="str">
        <f>'RAW DATA 2023'!D507</f>
        <v>DG-006-0026</v>
      </c>
      <c r="C514" s="63" t="str">
        <f t="shared" si="42"/>
        <v>BangsakaoDG-006-0026</v>
      </c>
      <c r="D514" s="68">
        <f>VLOOKUP(C514,'RAW DATA 2023'!E:BP,63,0)</f>
        <v>6</v>
      </c>
      <c r="E514" s="63" t="str">
        <f t="shared" si="43"/>
        <v>Bangsakao6</v>
      </c>
      <c r="F514" s="63">
        <f>ROUND(VLOOKUP(C514,'RAW DATA 2023'!E:BO,23,0),0)</f>
        <v>42</v>
      </c>
      <c r="G514" s="120">
        <f>VLOOKUP(C514,'RAW DATA 2023'!E:BO,26,0)</f>
        <v>0.36912537499999998</v>
      </c>
      <c r="H514" s="101">
        <f>IFERROR(VLOOKUP(F514,STD!B:G,6,0),"")</f>
        <v>0.37</v>
      </c>
      <c r="I514" s="100">
        <f t="shared" si="48"/>
        <v>0.99763614864864858</v>
      </c>
      <c r="J514" s="249">
        <f t="shared" si="46"/>
        <v>9.9527229729729711</v>
      </c>
      <c r="K514" s="63">
        <f>VLOOKUP(C514,'RAW DATA 2023'!E:BO,20,0)</f>
        <v>72</v>
      </c>
      <c r="L514" s="322">
        <f t="shared" si="47"/>
        <v>716.59605405405387</v>
      </c>
      <c r="M514" s="63"/>
      <c r="Y514" s="63" t="str">
        <f t="shared" si="45"/>
        <v>DG-006-00266</v>
      </c>
    </row>
    <row r="515" spans="1:25">
      <c r="A515" s="63" t="str">
        <f>'RAW DATA 2023'!B508</f>
        <v>Bangsakao</v>
      </c>
      <c r="B515" s="63" t="str">
        <f>'RAW DATA 2023'!D508</f>
        <v>DG-004-0022</v>
      </c>
      <c r="C515" s="63" t="str">
        <f t="shared" si="42"/>
        <v>BangsakaoDG-004-0022</v>
      </c>
      <c r="D515" s="68">
        <f>VLOOKUP(C515,'RAW DATA 2023'!E:BP,63,0)</f>
        <v>2</v>
      </c>
      <c r="E515" s="63" t="str">
        <f t="shared" si="43"/>
        <v>Bangsakao2</v>
      </c>
      <c r="F515" s="63">
        <f>ROUND(VLOOKUP(C515,'RAW DATA 2023'!E:BO,23,0),0)</f>
        <v>32</v>
      </c>
      <c r="G515" s="120">
        <f>VLOOKUP(C515,'RAW DATA 2023'!E:BO,26,0)</f>
        <v>0.363262696</v>
      </c>
      <c r="H515" s="101">
        <f>IFERROR(VLOOKUP(F515,STD!B:G,6,0),"")</f>
        <v>0.39</v>
      </c>
      <c r="I515" s="100">
        <f t="shared" si="48"/>
        <v>0.93144281025641018</v>
      </c>
      <c r="J515" s="249">
        <f t="shared" si="46"/>
        <v>8.6288562051282032</v>
      </c>
      <c r="K515" s="63">
        <f>VLOOKUP(C515,'RAW DATA 2023'!E:BO,20,0)</f>
        <v>119</v>
      </c>
      <c r="L515" s="322">
        <f t="shared" si="47"/>
        <v>1026.8338884102561</v>
      </c>
      <c r="M515" s="63"/>
      <c r="Y515" s="63" t="str">
        <f t="shared" si="45"/>
        <v>DG-004-00222</v>
      </c>
    </row>
    <row r="516" spans="1:25">
      <c r="A516" s="63" t="str">
        <f>'RAW DATA 2023'!B509</f>
        <v>Bangsakao</v>
      </c>
      <c r="B516" s="63" t="str">
        <f>'RAW DATA 2023'!D509</f>
        <v>DG-006-0025</v>
      </c>
      <c r="C516" s="63" t="str">
        <f t="shared" si="42"/>
        <v>BangsakaoDG-006-0025</v>
      </c>
      <c r="D516" s="68">
        <f>VLOOKUP(C516,'RAW DATA 2023'!E:BP,63,0)</f>
        <v>3</v>
      </c>
      <c r="E516" s="63" t="str">
        <f t="shared" si="43"/>
        <v>Bangsakao3</v>
      </c>
      <c r="F516" s="63">
        <f>ROUND(VLOOKUP(C516,'RAW DATA 2023'!E:BO,23,0),0)</f>
        <v>32</v>
      </c>
      <c r="G516" s="120">
        <f>VLOOKUP(C516,'RAW DATA 2023'!E:BO,26,0)</f>
        <v>0.36116185600000006</v>
      </c>
      <c r="H516" s="101">
        <f>IFERROR(VLOOKUP(F516,STD!B:G,6,0),"")</f>
        <v>0.39</v>
      </c>
      <c r="I516" s="100">
        <f t="shared" si="48"/>
        <v>0.9260560410256411</v>
      </c>
      <c r="J516" s="249">
        <f t="shared" si="46"/>
        <v>8.5211208205128219</v>
      </c>
      <c r="K516" s="63">
        <f>VLOOKUP(C516,'RAW DATA 2023'!E:BO,20,0)</f>
        <v>119</v>
      </c>
      <c r="L516" s="322">
        <f t="shared" si="47"/>
        <v>1014.0133776410258</v>
      </c>
      <c r="M516" s="63"/>
      <c r="Y516" s="63" t="str">
        <f t="shared" si="45"/>
        <v>DG-006-00253</v>
      </c>
    </row>
    <row r="517" spans="1:25">
      <c r="A517" s="63" t="str">
        <f>'RAW DATA 2023'!B510</f>
        <v>Bangsakao</v>
      </c>
      <c r="B517" s="63" t="str">
        <f>'RAW DATA 2023'!D510</f>
        <v>DG-001-0026</v>
      </c>
      <c r="C517" s="63" t="str">
        <f t="shared" si="42"/>
        <v>BangsakaoDG-001-0026</v>
      </c>
      <c r="D517" s="68">
        <f>VLOOKUP(C517,'RAW DATA 2023'!E:BP,63,0)</f>
        <v>1</v>
      </c>
      <c r="E517" s="63" t="str">
        <f t="shared" si="43"/>
        <v>Bangsakao1</v>
      </c>
      <c r="F517" s="63">
        <f>ROUND(VLOOKUP(C517,'RAW DATA 2023'!E:BO,23,0),0)</f>
        <v>34</v>
      </c>
      <c r="G517" s="120">
        <f>VLOOKUP(C517,'RAW DATA 2023'!E:BO,26,0)</f>
        <v>0.35747747699999999</v>
      </c>
      <c r="H517" s="101">
        <f>IFERROR(VLOOKUP(F517,STD!B:G,6,0),"")</f>
        <v>0.38</v>
      </c>
      <c r="I517" s="100">
        <f t="shared" si="48"/>
        <v>0.94073020263157892</v>
      </c>
      <c r="J517" s="249">
        <f t="shared" si="46"/>
        <v>8.8146040526315783</v>
      </c>
      <c r="K517" s="63">
        <f>VLOOKUP(C517,'RAW DATA 2023'!E:BO,20,0)</f>
        <v>110.99999999999999</v>
      </c>
      <c r="L517" s="322">
        <f t="shared" si="47"/>
        <v>978.42104984210505</v>
      </c>
      <c r="M517" s="63"/>
      <c r="Y517" s="63" t="str">
        <f t="shared" si="45"/>
        <v>DG-001-00261</v>
      </c>
    </row>
    <row r="518" spans="1:25">
      <c r="A518" s="63" t="str">
        <f>'RAW DATA 2023'!B511</f>
        <v>Bangsakao</v>
      </c>
      <c r="B518" s="63" t="str">
        <f>'RAW DATA 2023'!D511</f>
        <v>DG-003-0024</v>
      </c>
      <c r="C518" s="63" t="str">
        <f t="shared" si="42"/>
        <v>BangsakaoDG-003-0024</v>
      </c>
      <c r="D518" s="68">
        <f>VLOOKUP(C518,'RAW DATA 2023'!E:BP,63,0)</f>
        <v>2</v>
      </c>
      <c r="E518" s="63" t="str">
        <f t="shared" si="43"/>
        <v>Bangsakao2</v>
      </c>
      <c r="F518" s="63">
        <f>ROUND(VLOOKUP(C518,'RAW DATA 2023'!E:BO,23,0),0)</f>
        <v>32</v>
      </c>
      <c r="G518" s="120">
        <f>VLOOKUP(C518,'RAW DATA 2023'!E:BO,26,0)</f>
        <v>0.35265486699999998</v>
      </c>
      <c r="H518" s="101">
        <f>IFERROR(VLOOKUP(F518,STD!B:G,6,0),"")</f>
        <v>0.39</v>
      </c>
      <c r="I518" s="100">
        <f t="shared" si="48"/>
        <v>0.90424324871794859</v>
      </c>
      <c r="J518" s="249">
        <f t="shared" si="46"/>
        <v>8.0848649743589718</v>
      </c>
      <c r="K518" s="63">
        <f>VLOOKUP(C518,'RAW DATA 2023'!E:BO,20,0)</f>
        <v>113</v>
      </c>
      <c r="L518" s="322">
        <f t="shared" si="47"/>
        <v>913.58974210256383</v>
      </c>
      <c r="M518" s="63"/>
      <c r="Y518" s="63" t="str">
        <f t="shared" si="45"/>
        <v>DG-003-00242</v>
      </c>
    </row>
    <row r="519" spans="1:25">
      <c r="A519" s="63" t="str">
        <f>'RAW DATA 2023'!B512</f>
        <v>Bangsakao</v>
      </c>
      <c r="B519" s="63" t="str">
        <f>'RAW DATA 2023'!D512</f>
        <v>DG-002-0024</v>
      </c>
      <c r="C519" s="63" t="str">
        <f t="shared" si="42"/>
        <v>BangsakaoDG-002-0024</v>
      </c>
      <c r="D519" s="68">
        <f>VLOOKUP(C519,'RAW DATA 2023'!E:BP,63,0)</f>
        <v>3</v>
      </c>
      <c r="E519" s="63" t="str">
        <f t="shared" si="43"/>
        <v>Bangsakao3</v>
      </c>
      <c r="F519" s="63">
        <f>ROUND(VLOOKUP(C519,'RAW DATA 2023'!E:BO,23,0),0)</f>
        <v>31</v>
      </c>
      <c r="G519" s="120">
        <f>VLOOKUP(C519,'RAW DATA 2023'!E:BO,26,0)</f>
        <v>0.34740533000000001</v>
      </c>
      <c r="H519" s="101">
        <f>IFERROR(VLOOKUP(F519,STD!B:G,6,0),"")</f>
        <v>0.39</v>
      </c>
      <c r="I519" s="100">
        <f t="shared" si="48"/>
        <v>0.89078289743589745</v>
      </c>
      <c r="J519" s="249">
        <f t="shared" si="46"/>
        <v>7.8156579487179485</v>
      </c>
      <c r="K519" s="63">
        <f>VLOOKUP(C519,'RAW DATA 2023'!E:BO,20,0)</f>
        <v>124</v>
      </c>
      <c r="L519" s="322">
        <f t="shared" si="47"/>
        <v>969.14158564102559</v>
      </c>
      <c r="M519" s="63"/>
      <c r="Y519" s="63" t="str">
        <f t="shared" si="45"/>
        <v>DG-002-00243</v>
      </c>
    </row>
    <row r="520" spans="1:25">
      <c r="A520" s="63" t="str">
        <f>'RAW DATA 2023'!B513</f>
        <v>Bangsakao</v>
      </c>
      <c r="B520" s="63" t="str">
        <f>'RAW DATA 2023'!D513</f>
        <v>DG-001-0027</v>
      </c>
      <c r="C520" s="63" t="str">
        <f t="shared" si="42"/>
        <v>BangsakaoDG-001-0027</v>
      </c>
      <c r="D520" s="68">
        <f>VLOOKUP(C520,'RAW DATA 2023'!E:BP,63,0)</f>
        <v>6</v>
      </c>
      <c r="E520" s="63" t="str">
        <f t="shared" si="43"/>
        <v>Bangsakao6</v>
      </c>
      <c r="F520" s="63">
        <f>ROUND(VLOOKUP(C520,'RAW DATA 2023'!E:BO,23,0),0)</f>
        <v>28</v>
      </c>
      <c r="G520" s="120">
        <f>VLOOKUP(C520,'RAW DATA 2023'!E:BO,26,0)</f>
        <v>0.33912983899999999</v>
      </c>
      <c r="H520" s="101">
        <f>IFERROR(VLOOKUP(F520,STD!B:G,6,0),"")</f>
        <v>0.41</v>
      </c>
      <c r="I520" s="100">
        <f t="shared" si="48"/>
        <v>0.82714594878048786</v>
      </c>
      <c r="J520" s="249">
        <f t="shared" si="46"/>
        <v>6.5429189756097568</v>
      </c>
      <c r="K520" s="63">
        <f>VLOOKUP(C520,'RAW DATA 2023'!E:BO,20,0)</f>
        <v>139</v>
      </c>
      <c r="L520" s="322">
        <f t="shared" si="47"/>
        <v>909.46573760975616</v>
      </c>
      <c r="M520" s="63"/>
      <c r="Y520" s="63" t="str">
        <f t="shared" si="45"/>
        <v>DG-001-00276</v>
      </c>
    </row>
    <row r="521" spans="1:25">
      <c r="A521" s="63" t="str">
        <f>'RAW DATA 2023'!B514</f>
        <v>Bangsakao</v>
      </c>
      <c r="B521" s="63" t="str">
        <f>'RAW DATA 2023'!D514</f>
        <v>CG-009-0024</v>
      </c>
      <c r="C521" s="63" t="str">
        <f t="shared" si="42"/>
        <v>BangsakaoCG-009-0024</v>
      </c>
      <c r="D521" s="68">
        <f>VLOOKUP(C521,'RAW DATA 2023'!E:BP,63,0)</f>
        <v>1</v>
      </c>
      <c r="E521" s="63" t="str">
        <f t="shared" si="43"/>
        <v>Bangsakao1</v>
      </c>
      <c r="F521" s="63">
        <f>ROUND(VLOOKUP(C521,'RAW DATA 2023'!E:BO,23,0),0)</f>
        <v>35</v>
      </c>
      <c r="G521" s="120">
        <f>VLOOKUP(C521,'RAW DATA 2023'!E:BO,26,0)</f>
        <v>0.408757178</v>
      </c>
      <c r="H521" s="101">
        <f>IFERROR(VLOOKUP(F521,STD!B:G,6,0),"")</f>
        <v>0.37</v>
      </c>
      <c r="I521" s="100">
        <f t="shared" si="48"/>
        <v>1.1047491297297298</v>
      </c>
      <c r="J521" s="249">
        <f t="shared" si="46"/>
        <v>12.094982594594597</v>
      </c>
      <c r="K521" s="63">
        <f>VLOOKUP(C521,'RAW DATA 2023'!E:BO,20,0)</f>
        <v>106</v>
      </c>
      <c r="L521" s="322">
        <f t="shared" si="47"/>
        <v>1282.0681550270274</v>
      </c>
      <c r="M521" s="63"/>
      <c r="Y521" s="63" t="str">
        <f t="shared" si="45"/>
        <v>CG-009-00241</v>
      </c>
    </row>
    <row r="522" spans="1:25">
      <c r="A522" s="63" t="str">
        <f>'RAW DATA 2023'!B515</f>
        <v>Bangsakao</v>
      </c>
      <c r="B522" s="63" t="str">
        <f>'RAW DATA 2023'!D515</f>
        <v>CG-008-0029</v>
      </c>
      <c r="C522" s="63" t="str">
        <f t="shared" ref="C522:C585" si="49">A522&amp;B522</f>
        <v>BangsakaoCG-008-0029</v>
      </c>
      <c r="D522" s="68">
        <f>VLOOKUP(C522,'RAW DATA 2023'!E:BP,63,0)</f>
        <v>6</v>
      </c>
      <c r="E522" s="63" t="str">
        <f t="shared" ref="E522:E585" si="50">A522&amp;D522</f>
        <v>Bangsakao6</v>
      </c>
      <c r="F522" s="63">
        <f>ROUND(VLOOKUP(C522,'RAW DATA 2023'!E:BO,23,0),0)</f>
        <v>49</v>
      </c>
      <c r="G522" s="120">
        <f>VLOOKUP(C522,'RAW DATA 2023'!E:BO,26,0)</f>
        <v>0.39571603399999999</v>
      </c>
      <c r="H522" s="101">
        <f>IFERROR(VLOOKUP(F522,STD!B:G,6,0),"")</f>
        <v>0.36</v>
      </c>
      <c r="I522" s="100">
        <f t="shared" ref="I522:I585" si="51">IFERROR(G522/H522,0)</f>
        <v>1.0992112055555556</v>
      </c>
      <c r="J522" s="249">
        <f t="shared" si="46"/>
        <v>11.984224111111113</v>
      </c>
      <c r="K522" s="63">
        <f>VLOOKUP(C522,'RAW DATA 2023'!E:BO,20,0)</f>
        <v>57</v>
      </c>
      <c r="L522" s="322">
        <f t="shared" si="47"/>
        <v>683.10077433333345</v>
      </c>
      <c r="M522" s="63"/>
      <c r="Y522" s="63" t="str">
        <f t="shared" ref="Y522:Y585" si="52">B522&amp;D522</f>
        <v>CG-008-00296</v>
      </c>
    </row>
    <row r="523" spans="1:25">
      <c r="A523" s="63" t="str">
        <f>'RAW DATA 2023'!B516</f>
        <v>Bangsakao</v>
      </c>
      <c r="B523" s="63" t="str">
        <f>'RAW DATA 2023'!D516</f>
        <v>CG-004-0025</v>
      </c>
      <c r="C523" s="63" t="str">
        <f t="shared" si="49"/>
        <v>BangsakaoCG-004-0025</v>
      </c>
      <c r="D523" s="68">
        <f>VLOOKUP(C523,'RAW DATA 2023'!E:BP,63,0)</f>
        <v>4</v>
      </c>
      <c r="E523" s="63" t="str">
        <f t="shared" si="50"/>
        <v>Bangsakao4</v>
      </c>
      <c r="F523" s="63">
        <f>ROUND(VLOOKUP(C523,'RAW DATA 2023'!E:BO,23,0),0)</f>
        <v>43</v>
      </c>
      <c r="G523" s="120">
        <f>VLOOKUP(C523,'RAW DATA 2023'!E:BO,26,0)</f>
        <v>0.38001930499999997</v>
      </c>
      <c r="H523" s="101">
        <f>IFERROR(VLOOKUP(F523,STD!B:G,6,0),"")</f>
        <v>0.37</v>
      </c>
      <c r="I523" s="100">
        <f t="shared" si="51"/>
        <v>1.0270792027027027</v>
      </c>
      <c r="J523" s="249">
        <f t="shared" ref="J523:J586" si="53">IF(I523&gt;0.5,((I523-$B$4)*$B$7),0)</f>
        <v>10.541584054054054</v>
      </c>
      <c r="K523" s="63">
        <f>VLOOKUP(C523,'RAW DATA 2023'!E:BO,20,0)</f>
        <v>74</v>
      </c>
      <c r="L523" s="322">
        <f t="shared" ref="L523:L586" si="54">J523*K523</f>
        <v>780.07722000000001</v>
      </c>
      <c r="M523" s="63"/>
      <c r="Y523" s="63" t="str">
        <f t="shared" si="52"/>
        <v>CG-004-00254</v>
      </c>
    </row>
    <row r="524" spans="1:25">
      <c r="A524" s="63" t="str">
        <f>'RAW DATA 2023'!B517</f>
        <v>Bangsakao</v>
      </c>
      <c r="B524" s="63" t="str">
        <f>'RAW DATA 2023'!D517</f>
        <v>CG-009-0025</v>
      </c>
      <c r="C524" s="63" t="str">
        <f t="shared" si="49"/>
        <v>BangsakaoCG-009-0025</v>
      </c>
      <c r="D524" s="68">
        <f>VLOOKUP(C524,'RAW DATA 2023'!E:BP,63,0)</f>
        <v>6</v>
      </c>
      <c r="E524" s="63" t="str">
        <f t="shared" si="50"/>
        <v>Bangsakao6</v>
      </c>
      <c r="F524" s="63">
        <f>ROUND(VLOOKUP(C524,'RAW DATA 2023'!E:BO,23,0),0)</f>
        <v>34</v>
      </c>
      <c r="G524" s="120">
        <f>VLOOKUP(C524,'RAW DATA 2023'!E:BO,26,0)</f>
        <v>0.37615238099999998</v>
      </c>
      <c r="H524" s="101">
        <f>IFERROR(VLOOKUP(F524,STD!B:G,6,0),"")</f>
        <v>0.38</v>
      </c>
      <c r="I524" s="100">
        <f t="shared" si="51"/>
        <v>0.98987468684210522</v>
      </c>
      <c r="J524" s="249">
        <f t="shared" si="53"/>
        <v>9.7974937368421049</v>
      </c>
      <c r="K524" s="63">
        <f>VLOOKUP(C524,'RAW DATA 2023'!E:BO,20,0)</f>
        <v>125</v>
      </c>
      <c r="L524" s="322">
        <f t="shared" si="54"/>
        <v>1224.6867171052631</v>
      </c>
      <c r="M524" s="63"/>
      <c r="Y524" s="63" t="str">
        <f t="shared" si="52"/>
        <v>CG-009-00256</v>
      </c>
    </row>
    <row r="525" spans="1:25">
      <c r="A525" s="63" t="str">
        <f>'RAW DATA 2023'!B518</f>
        <v>Bangsakao</v>
      </c>
      <c r="B525" s="63" t="str">
        <f>'RAW DATA 2023'!D518</f>
        <v>CG-008-0030</v>
      </c>
      <c r="C525" s="63" t="str">
        <f t="shared" si="49"/>
        <v>BangsakaoCG-008-0030</v>
      </c>
      <c r="D525" s="68">
        <f>VLOOKUP(C525,'RAW DATA 2023'!E:BP,63,0)</f>
        <v>12</v>
      </c>
      <c r="E525" s="63" t="str">
        <f t="shared" si="50"/>
        <v>Bangsakao12</v>
      </c>
      <c r="F525" s="63">
        <f>ROUND(VLOOKUP(C525,'RAW DATA 2023'!E:BO,23,0),0)</f>
        <v>36</v>
      </c>
      <c r="G525" s="120">
        <f>VLOOKUP(C525,'RAW DATA 2023'!E:BO,26,0)</f>
        <v>0.37236802400000002</v>
      </c>
      <c r="H525" s="101">
        <f>IFERROR(VLOOKUP(F525,STD!B:G,6,0),"")</f>
        <v>0.36</v>
      </c>
      <c r="I525" s="100">
        <f t="shared" si="51"/>
        <v>1.0343556222222223</v>
      </c>
      <c r="J525" s="249">
        <f t="shared" si="53"/>
        <v>10.687112444444447</v>
      </c>
      <c r="K525" s="63">
        <f>VLOOKUP(C525,'RAW DATA 2023'!E:BO,20,0)</f>
        <v>102</v>
      </c>
      <c r="L525" s="322">
        <f t="shared" si="54"/>
        <v>1090.0854693333335</v>
      </c>
      <c r="M525" s="63"/>
      <c r="Y525" s="63" t="str">
        <f t="shared" si="52"/>
        <v>CG-008-003012</v>
      </c>
    </row>
    <row r="526" spans="1:25">
      <c r="A526" s="63" t="str">
        <f>'RAW DATA 2023'!B519</f>
        <v>Bangsakao</v>
      </c>
      <c r="B526" s="63" t="str">
        <f>'RAW DATA 2023'!D519</f>
        <v>CG-002-0028</v>
      </c>
      <c r="C526" s="63" t="str">
        <f t="shared" si="49"/>
        <v>BangsakaoCG-002-0028</v>
      </c>
      <c r="D526" s="68">
        <f>VLOOKUP(C526,'RAW DATA 2023'!E:BP,63,0)</f>
        <v>6</v>
      </c>
      <c r="E526" s="63" t="str">
        <f t="shared" si="50"/>
        <v>Bangsakao6</v>
      </c>
      <c r="F526" s="63">
        <f>ROUND(VLOOKUP(C526,'RAW DATA 2023'!E:BO,23,0),0)</f>
        <v>41</v>
      </c>
      <c r="G526" s="120">
        <f>VLOOKUP(C526,'RAW DATA 2023'!E:BO,26,0)</f>
        <v>0.36170370400000001</v>
      </c>
      <c r="H526" s="101">
        <f>IFERROR(VLOOKUP(F526,STD!B:G,6,0),"")</f>
        <v>0.37</v>
      </c>
      <c r="I526" s="100">
        <f t="shared" si="51"/>
        <v>0.97757757837837844</v>
      </c>
      <c r="J526" s="249">
        <f t="shared" si="53"/>
        <v>9.551551567567568</v>
      </c>
      <c r="K526" s="63">
        <f>VLOOKUP(C526,'RAW DATA 2023'!E:BO,20,0)</f>
        <v>75</v>
      </c>
      <c r="L526" s="322">
        <f t="shared" si="54"/>
        <v>716.36636756756764</v>
      </c>
      <c r="M526" s="63"/>
      <c r="Y526" s="63" t="str">
        <f t="shared" si="52"/>
        <v>CG-002-00286</v>
      </c>
    </row>
    <row r="527" spans="1:25">
      <c r="A527" s="63" t="str">
        <f>'RAW DATA 2023'!B520</f>
        <v>Bangsakao</v>
      </c>
      <c r="B527" s="63" t="str">
        <f>'RAW DATA 2023'!D520</f>
        <v>CG-003-0025</v>
      </c>
      <c r="C527" s="63" t="str">
        <f t="shared" si="49"/>
        <v>BangsakaoCG-003-0025</v>
      </c>
      <c r="D527" s="68">
        <f>VLOOKUP(C527,'RAW DATA 2023'!E:BP,63,0)</f>
        <v>1</v>
      </c>
      <c r="E527" s="63" t="str">
        <f t="shared" si="50"/>
        <v>Bangsakao1</v>
      </c>
      <c r="F527" s="63">
        <f>ROUND(VLOOKUP(C527,'RAW DATA 2023'!E:BO,23,0),0)</f>
        <v>40</v>
      </c>
      <c r="G527" s="120">
        <f>VLOOKUP(C527,'RAW DATA 2023'!E:BO,26,0)</f>
        <v>0.348729711</v>
      </c>
      <c r="H527" s="101">
        <f>IFERROR(VLOOKUP(F527,STD!B:G,6,0),"")</f>
        <v>0.37</v>
      </c>
      <c r="I527" s="100">
        <f t="shared" si="51"/>
        <v>0.94251273243243239</v>
      </c>
      <c r="J527" s="249">
        <f t="shared" si="53"/>
        <v>8.8502546486486473</v>
      </c>
      <c r="K527" s="63">
        <f>VLOOKUP(C527,'RAW DATA 2023'!E:BO,20,0)</f>
        <v>109</v>
      </c>
      <c r="L527" s="322">
        <f t="shared" si="54"/>
        <v>964.6777567027026</v>
      </c>
      <c r="M527" s="63"/>
      <c r="Y527" s="63" t="str">
        <f t="shared" si="52"/>
        <v>CG-003-00251</v>
      </c>
    </row>
    <row r="528" spans="1:25">
      <c r="A528" s="63" t="str">
        <f>'RAW DATA 2023'!B521</f>
        <v>Bangsakao</v>
      </c>
      <c r="B528" s="63" t="str">
        <f>'RAW DATA 2023'!D521</f>
        <v>CG-006-0028</v>
      </c>
      <c r="C528" s="63" t="str">
        <f t="shared" si="49"/>
        <v>BangsakaoCG-006-0028</v>
      </c>
      <c r="D528" s="68">
        <f>VLOOKUP(C528,'RAW DATA 2023'!E:BP,63,0)</f>
        <v>2</v>
      </c>
      <c r="E528" s="63" t="str">
        <f t="shared" si="50"/>
        <v>Bangsakao2</v>
      </c>
      <c r="F528" s="63">
        <f>ROUND(VLOOKUP(C528,'RAW DATA 2023'!E:BO,23,0),0)</f>
        <v>39</v>
      </c>
      <c r="G528" s="120">
        <f>VLOOKUP(C528,'RAW DATA 2023'!E:BO,26,0)</f>
        <v>0.34780701800000002</v>
      </c>
      <c r="H528" s="101">
        <f>IFERROR(VLOOKUP(F528,STD!B:G,6,0),"")</f>
        <v>0.37</v>
      </c>
      <c r="I528" s="100">
        <f t="shared" si="51"/>
        <v>0.94001896756756764</v>
      </c>
      <c r="J528" s="249">
        <f t="shared" si="53"/>
        <v>8.8003793513513529</v>
      </c>
      <c r="K528" s="63">
        <f>VLOOKUP(C528,'RAW DATA 2023'!E:BO,20,0)</f>
        <v>114.00000000000001</v>
      </c>
      <c r="L528" s="322">
        <f t="shared" si="54"/>
        <v>1003.2432460540543</v>
      </c>
      <c r="M528" s="63"/>
      <c r="Y528" s="63" t="str">
        <f t="shared" si="52"/>
        <v>CG-006-00282</v>
      </c>
    </row>
    <row r="529" spans="1:25">
      <c r="A529" s="63" t="str">
        <f>'RAW DATA 2023'!B522</f>
        <v>Bangsakao</v>
      </c>
      <c r="B529" s="63" t="str">
        <f>'RAW DATA 2023'!D522</f>
        <v>CG-003-0026</v>
      </c>
      <c r="C529" s="63" t="str">
        <f t="shared" si="49"/>
        <v>BangsakaoCG-003-0026</v>
      </c>
      <c r="D529" s="68">
        <f>VLOOKUP(C529,'RAW DATA 2023'!E:BP,63,0)</f>
        <v>4</v>
      </c>
      <c r="E529" s="63" t="str">
        <f t="shared" si="50"/>
        <v>Bangsakao4</v>
      </c>
      <c r="F529" s="63">
        <f>ROUND(VLOOKUP(C529,'RAW DATA 2023'!E:BO,23,0),0)</f>
        <v>55</v>
      </c>
      <c r="G529" s="120">
        <f>VLOOKUP(C529,'RAW DATA 2023'!E:BO,26,0)</f>
        <v>0.34768270899999998</v>
      </c>
      <c r="H529" s="101">
        <f>IFERROR(VLOOKUP(F529,STD!B:G,6,0),"")</f>
        <v>0.36</v>
      </c>
      <c r="I529" s="100">
        <f t="shared" si="51"/>
        <v>0.96578530277777774</v>
      </c>
      <c r="J529" s="249">
        <f t="shared" si="53"/>
        <v>9.3157060555555553</v>
      </c>
      <c r="K529" s="63">
        <f>VLOOKUP(C529,'RAW DATA 2023'!E:BO,20,0)</f>
        <v>51</v>
      </c>
      <c r="L529" s="322">
        <f t="shared" si="54"/>
        <v>475.10100883333331</v>
      </c>
      <c r="M529" s="63"/>
      <c r="Y529" s="63" t="str">
        <f t="shared" si="52"/>
        <v>CG-003-00264</v>
      </c>
    </row>
    <row r="530" spans="1:25">
      <c r="A530" s="63" t="str">
        <f>'RAW DATA 2023'!B523</f>
        <v>Bangsakao</v>
      </c>
      <c r="B530" s="63" t="str">
        <f>'RAW DATA 2023'!D523</f>
        <v>DG-001-0028</v>
      </c>
      <c r="C530" s="63" t="str">
        <f t="shared" si="49"/>
        <v>BangsakaoDG-001-0028</v>
      </c>
      <c r="D530" s="68">
        <f>VLOOKUP(C530,'RAW DATA 2023'!E:BP,63,0)</f>
        <v>11</v>
      </c>
      <c r="E530" s="63" t="str">
        <f t="shared" si="50"/>
        <v>Bangsakao11</v>
      </c>
      <c r="F530" s="63">
        <f>ROUND(VLOOKUP(C530,'RAW DATA 2023'!E:BO,23,0),0)</f>
        <v>36</v>
      </c>
      <c r="G530" s="120">
        <f>VLOOKUP(C530,'RAW DATA 2023'!E:BO,26,0)</f>
        <v>0.337156593</v>
      </c>
      <c r="H530" s="101">
        <f>IFERROR(VLOOKUP(F530,STD!B:G,6,0),"")</f>
        <v>0.36</v>
      </c>
      <c r="I530" s="100">
        <f t="shared" si="51"/>
        <v>0.93654609166666669</v>
      </c>
      <c r="J530" s="249">
        <f t="shared" si="53"/>
        <v>8.7309218333333334</v>
      </c>
      <c r="K530" s="63">
        <f>VLOOKUP(C530,'RAW DATA 2023'!E:BO,20,0)</f>
        <v>112</v>
      </c>
      <c r="L530" s="322">
        <f t="shared" si="54"/>
        <v>977.86324533333334</v>
      </c>
      <c r="M530" s="63"/>
      <c r="Y530" s="63" t="str">
        <f t="shared" si="52"/>
        <v>DG-001-002811</v>
      </c>
    </row>
    <row r="531" spans="1:25">
      <c r="A531" s="63" t="str">
        <f>'RAW DATA 2023'!B524</f>
        <v>Bangsakao</v>
      </c>
      <c r="B531" s="63" t="str">
        <f>'RAW DATA 2023'!D524</f>
        <v>DG-005-0026</v>
      </c>
      <c r="C531" s="63" t="str">
        <f t="shared" si="49"/>
        <v>BangsakaoDG-005-0026</v>
      </c>
      <c r="D531" s="68">
        <f>VLOOKUP(C531,'RAW DATA 2023'!E:BP,63,0)</f>
        <v>11</v>
      </c>
      <c r="E531" s="63" t="str">
        <f t="shared" si="50"/>
        <v>Bangsakao11</v>
      </c>
      <c r="F531" s="63">
        <f>ROUND(VLOOKUP(C531,'RAW DATA 2023'!E:BO,23,0),0)</f>
        <v>36</v>
      </c>
      <c r="G531" s="120">
        <f>VLOOKUP(C531,'RAW DATA 2023'!E:BO,26,0)</f>
        <v>0.33193277300000001</v>
      </c>
      <c r="H531" s="101">
        <f>IFERROR(VLOOKUP(F531,STD!B:G,6,0),"")</f>
        <v>0.36</v>
      </c>
      <c r="I531" s="100">
        <f t="shared" si="51"/>
        <v>0.92203548055555562</v>
      </c>
      <c r="J531" s="249">
        <f t="shared" si="53"/>
        <v>8.440709611111112</v>
      </c>
      <c r="K531" s="63">
        <f>VLOOKUP(C531,'RAW DATA 2023'!E:BO,20,0)</f>
        <v>119</v>
      </c>
      <c r="L531" s="322">
        <f t="shared" si="54"/>
        <v>1004.4444437222223</v>
      </c>
      <c r="M531" s="63"/>
      <c r="Y531" s="63" t="str">
        <f t="shared" si="52"/>
        <v>DG-005-002611</v>
      </c>
    </row>
    <row r="532" spans="1:25">
      <c r="A532" s="63" t="str">
        <f>'RAW DATA 2023'!B525</f>
        <v>Bangsakao</v>
      </c>
      <c r="B532" s="63" t="str">
        <f>'RAW DATA 2023'!D525</f>
        <v>DG-002-0026</v>
      </c>
      <c r="C532" s="63" t="str">
        <f t="shared" si="49"/>
        <v>BangsakaoDG-002-0026</v>
      </c>
      <c r="D532" s="68">
        <f>VLOOKUP(C532,'RAW DATA 2023'!E:BP,63,0)</f>
        <v>12</v>
      </c>
      <c r="E532" s="63" t="str">
        <f t="shared" si="50"/>
        <v>Bangsakao12</v>
      </c>
      <c r="F532" s="63">
        <f>ROUND(VLOOKUP(C532,'RAW DATA 2023'!E:BO,23,0),0)</f>
        <v>38</v>
      </c>
      <c r="G532" s="120">
        <f>VLOOKUP(C532,'RAW DATA 2023'!E:BO,26,0)</f>
        <v>0.32988321700000001</v>
      </c>
      <c r="H532" s="101">
        <f>IFERROR(VLOOKUP(F532,STD!B:G,6,0),"")</f>
        <v>0.37</v>
      </c>
      <c r="I532" s="100">
        <f t="shared" si="51"/>
        <v>0.89157626216216224</v>
      </c>
      <c r="J532" s="249">
        <f t="shared" si="53"/>
        <v>7.8315252432432452</v>
      </c>
      <c r="K532" s="63">
        <f>VLOOKUP(C532,'RAW DATA 2023'!E:BO,20,0)</f>
        <v>111</v>
      </c>
      <c r="L532" s="322">
        <f t="shared" si="54"/>
        <v>869.29930200000024</v>
      </c>
      <c r="M532" s="63"/>
      <c r="Y532" s="63" t="str">
        <f t="shared" si="52"/>
        <v>DG-002-002612</v>
      </c>
    </row>
    <row r="533" spans="1:25">
      <c r="A533" s="63" t="str">
        <f>'RAW DATA 2023'!B526</f>
        <v>Bangsakao</v>
      </c>
      <c r="B533" s="63" t="str">
        <f>'RAW DATA 2023'!D526</f>
        <v>DG-006-0027</v>
      </c>
      <c r="C533" s="63" t="str">
        <f t="shared" si="49"/>
        <v>BangsakaoDG-006-0027</v>
      </c>
      <c r="D533" s="68">
        <f>VLOOKUP(C533,'RAW DATA 2023'!E:BP,63,0)</f>
        <v>11</v>
      </c>
      <c r="E533" s="63" t="str">
        <f t="shared" si="50"/>
        <v>Bangsakao11</v>
      </c>
      <c r="F533" s="63">
        <f>ROUND(VLOOKUP(C533,'RAW DATA 2023'!E:BO,23,0),0)</f>
        <v>35</v>
      </c>
      <c r="G533" s="120">
        <f>VLOOKUP(C533,'RAW DATA 2023'!E:BO,26,0)</f>
        <v>0.32750000000000001</v>
      </c>
      <c r="H533" s="101">
        <f>IFERROR(VLOOKUP(F533,STD!B:G,6,0),"")</f>
        <v>0.37</v>
      </c>
      <c r="I533" s="100">
        <f t="shared" si="51"/>
        <v>0.8851351351351352</v>
      </c>
      <c r="J533" s="249">
        <f t="shared" si="53"/>
        <v>7.7027027027027035</v>
      </c>
      <c r="K533" s="63">
        <f>VLOOKUP(C533,'RAW DATA 2023'!E:BO,20,0)</f>
        <v>120</v>
      </c>
      <c r="L533" s="322">
        <f t="shared" si="54"/>
        <v>924.32432432432438</v>
      </c>
      <c r="M533" s="63"/>
      <c r="Y533" s="63" t="str">
        <f t="shared" si="52"/>
        <v>DG-006-002711</v>
      </c>
    </row>
    <row r="534" spans="1:25">
      <c r="A534" s="63" t="str">
        <f>'RAW DATA 2023'!B527</f>
        <v>Bangsakao</v>
      </c>
      <c r="B534" s="63" t="str">
        <f>'RAW DATA 2023'!D527</f>
        <v>CG-006-0031</v>
      </c>
      <c r="C534" s="63" t="str">
        <f t="shared" si="49"/>
        <v>BangsakaoCG-006-0031</v>
      </c>
      <c r="D534" s="68">
        <f>VLOOKUP(C534,'RAW DATA 2023'!E:BP,63,0)</f>
        <v>12</v>
      </c>
      <c r="E534" s="63" t="str">
        <f t="shared" si="50"/>
        <v>Bangsakao12</v>
      </c>
      <c r="F534" s="63">
        <f>ROUND(VLOOKUP(C534,'RAW DATA 2023'!E:BO,23,0),0)</f>
        <v>44</v>
      </c>
      <c r="G534" s="120">
        <f>VLOOKUP(C534,'RAW DATA 2023'!E:BO,26,0)</f>
        <v>0.32239583300000002</v>
      </c>
      <c r="H534" s="101">
        <f>IFERROR(VLOOKUP(F534,STD!B:G,6,0),"")</f>
        <v>0.37</v>
      </c>
      <c r="I534" s="100">
        <f t="shared" si="51"/>
        <v>0.87134008918918926</v>
      </c>
      <c r="J534" s="249">
        <f t="shared" si="53"/>
        <v>7.4268017837837856</v>
      </c>
      <c r="K534" s="63">
        <f>VLOOKUP(C534,'RAW DATA 2023'!E:BO,20,0)</f>
        <v>96</v>
      </c>
      <c r="L534" s="322">
        <f t="shared" si="54"/>
        <v>712.97297124324336</v>
      </c>
      <c r="M534" s="63"/>
      <c r="Y534" s="63" t="str">
        <f t="shared" si="52"/>
        <v>CG-006-003112</v>
      </c>
    </row>
    <row r="535" spans="1:25">
      <c r="A535" s="63" t="str">
        <f>'RAW DATA 2023'!B528</f>
        <v>Bangsakao</v>
      </c>
      <c r="B535" s="63" t="str">
        <f>'RAW DATA 2023'!D528</f>
        <v>CG-008-0028</v>
      </c>
      <c r="C535" s="63" t="str">
        <f t="shared" si="49"/>
        <v>BangsakaoCG-008-0028</v>
      </c>
      <c r="D535" s="68">
        <f>VLOOKUP(C535,'RAW DATA 2023'!E:BP,63,0)</f>
        <v>4</v>
      </c>
      <c r="E535" s="63" t="str">
        <f t="shared" si="50"/>
        <v>Bangsakao4</v>
      </c>
      <c r="F535" s="63">
        <f>ROUND(VLOOKUP(C535,'RAW DATA 2023'!E:BO,23,0),0)</f>
        <v>33</v>
      </c>
      <c r="G535" s="120">
        <f>VLOOKUP(C535,'RAW DATA 2023'!E:BO,26,0)</f>
        <v>0.31675191800000002</v>
      </c>
      <c r="H535" s="101">
        <f>IFERROR(VLOOKUP(F535,STD!B:G,6,0),"")</f>
        <v>0.39</v>
      </c>
      <c r="I535" s="100">
        <f t="shared" si="51"/>
        <v>0.81218440512820511</v>
      </c>
      <c r="J535" s="249">
        <f t="shared" si="53"/>
        <v>6.2436881025641018</v>
      </c>
      <c r="K535" s="63">
        <f>VLOOKUP(C535,'RAW DATA 2023'!E:BO,20,0)</f>
        <v>136</v>
      </c>
      <c r="L535" s="322">
        <f t="shared" si="54"/>
        <v>849.14158194871789</v>
      </c>
      <c r="M535" s="63"/>
      <c r="Y535" s="63" t="str">
        <f t="shared" si="52"/>
        <v>CG-008-00284</v>
      </c>
    </row>
    <row r="536" spans="1:25">
      <c r="A536" s="63" t="str">
        <f>'RAW DATA 2023'!B529</f>
        <v>Bangsakao</v>
      </c>
      <c r="B536" s="63" t="str">
        <f>'RAW DATA 2023'!D529</f>
        <v>CG-002-0027</v>
      </c>
      <c r="C536" s="63" t="str">
        <f t="shared" si="49"/>
        <v>BangsakaoCG-002-0027</v>
      </c>
      <c r="D536" s="68">
        <f>VLOOKUP(C536,'RAW DATA 2023'!E:BP,63,0)</f>
        <v>3</v>
      </c>
      <c r="E536" s="63" t="str">
        <f t="shared" si="50"/>
        <v>Bangsakao3</v>
      </c>
      <c r="F536" s="63">
        <f>ROUND(VLOOKUP(C536,'RAW DATA 2023'!E:BO,23,0),0)</f>
        <v>36</v>
      </c>
      <c r="G536" s="120">
        <f>VLOOKUP(C536,'RAW DATA 2023'!E:BO,26,0)</f>
        <v>0.30984990600000001</v>
      </c>
      <c r="H536" s="101">
        <f>IFERROR(VLOOKUP(F536,STD!B:G,6,0),"")</f>
        <v>0.36</v>
      </c>
      <c r="I536" s="100">
        <f t="shared" si="51"/>
        <v>0.86069418333333336</v>
      </c>
      <c r="J536" s="249">
        <f t="shared" si="53"/>
        <v>7.2138836666666677</v>
      </c>
      <c r="K536" s="63">
        <f>VLOOKUP(C536,'RAW DATA 2023'!E:BO,20,0)</f>
        <v>123</v>
      </c>
      <c r="L536" s="322">
        <f t="shared" si="54"/>
        <v>887.30769100000009</v>
      </c>
      <c r="M536" s="63"/>
      <c r="Y536" s="63" t="str">
        <f t="shared" si="52"/>
        <v>CG-002-00273</v>
      </c>
    </row>
    <row r="537" spans="1:25">
      <c r="A537" s="63" t="str">
        <f>'RAW DATA 2023'!B530</f>
        <v>Bangsakao</v>
      </c>
      <c r="B537" s="63" t="str">
        <f>'RAW DATA 2023'!D530</f>
        <v>CG-007-0024</v>
      </c>
      <c r="C537" s="63" t="str">
        <f t="shared" si="49"/>
        <v>BangsakaoCG-007-0024</v>
      </c>
      <c r="D537" s="68">
        <f>VLOOKUP(C537,'RAW DATA 2023'!E:BP,63,0)</f>
        <v>3</v>
      </c>
      <c r="E537" s="63" t="str">
        <f t="shared" si="50"/>
        <v>Bangsakao3</v>
      </c>
      <c r="F537" s="63">
        <f>ROUND(VLOOKUP(C537,'RAW DATA 2023'!E:BO,23,0),0)</f>
        <v>36</v>
      </c>
      <c r="G537" s="120">
        <f>VLOOKUP(C537,'RAW DATA 2023'!E:BO,26,0)</f>
        <v>0.309</v>
      </c>
      <c r="H537" s="101">
        <f>IFERROR(VLOOKUP(F537,STD!B:G,6,0),"")</f>
        <v>0.36</v>
      </c>
      <c r="I537" s="100">
        <f t="shared" si="51"/>
        <v>0.85833333333333339</v>
      </c>
      <c r="J537" s="249">
        <f t="shared" si="53"/>
        <v>7.1666666666666679</v>
      </c>
      <c r="K537" s="63">
        <f>VLOOKUP(C537,'RAW DATA 2023'!E:BO,20,0)</f>
        <v>100</v>
      </c>
      <c r="L537" s="322">
        <f t="shared" si="54"/>
        <v>716.66666666666674</v>
      </c>
      <c r="M537" s="63"/>
      <c r="Y537" s="63" t="str">
        <f t="shared" si="52"/>
        <v>CG-007-00243</v>
      </c>
    </row>
    <row r="538" spans="1:25">
      <c r="A538" s="63" t="str">
        <f>'RAW DATA 2023'!B531</f>
        <v>Bangsakao</v>
      </c>
      <c r="B538" s="63" t="str">
        <f>'RAW DATA 2023'!D531</f>
        <v>CG-007-0025</v>
      </c>
      <c r="C538" s="63" t="str">
        <f t="shared" si="49"/>
        <v>BangsakaoCG-007-0025</v>
      </c>
      <c r="D538" s="68">
        <f>VLOOKUP(C538,'RAW DATA 2023'!E:BP,63,0)</f>
        <v>6</v>
      </c>
      <c r="E538" s="63" t="str">
        <f t="shared" si="50"/>
        <v>Bangsakao6</v>
      </c>
      <c r="F538" s="63">
        <f>ROUND(VLOOKUP(C538,'RAW DATA 2023'!E:BO,23,0),0)</f>
        <v>73</v>
      </c>
      <c r="G538" s="120">
        <f>VLOOKUP(C538,'RAW DATA 2023'!E:BO,26,0)</f>
        <v>0.308107678</v>
      </c>
      <c r="H538" s="101">
        <f>IFERROR(VLOOKUP(F538,STD!B:G,6,0),"")</f>
        <v>0.35</v>
      </c>
      <c r="I538" s="100">
        <f t="shared" si="51"/>
        <v>0.88030765142857148</v>
      </c>
      <c r="J538" s="249">
        <f t="shared" si="53"/>
        <v>7.6061530285714296</v>
      </c>
      <c r="K538" s="63">
        <f>VLOOKUP(C538,'RAW DATA 2023'!E:BO,20,0)</f>
        <v>42.999999999999993</v>
      </c>
      <c r="L538" s="322">
        <f t="shared" si="54"/>
        <v>327.0645802285714</v>
      </c>
      <c r="M538" s="63"/>
      <c r="Y538" s="63" t="str">
        <f t="shared" si="52"/>
        <v>CG-007-00256</v>
      </c>
    </row>
    <row r="539" spans="1:25">
      <c r="A539" s="63" t="str">
        <f>'RAW DATA 2023'!B532</f>
        <v>Bangsakao</v>
      </c>
      <c r="B539" s="63" t="str">
        <f>'RAW DATA 2023'!D532</f>
        <v>DG-004-0024</v>
      </c>
      <c r="C539" s="63" t="str">
        <f t="shared" si="49"/>
        <v>BangsakaoDG-004-0024</v>
      </c>
      <c r="D539" s="68">
        <f>VLOOKUP(C539,'RAW DATA 2023'!E:BP,63,0)</f>
        <v>12</v>
      </c>
      <c r="E539" s="63" t="str">
        <f t="shared" si="50"/>
        <v>Bangsakao12</v>
      </c>
      <c r="F539" s="63">
        <f>ROUND(VLOOKUP(C539,'RAW DATA 2023'!E:BO,23,0),0)</f>
        <v>40</v>
      </c>
      <c r="G539" s="120">
        <f>VLOOKUP(C539,'RAW DATA 2023'!E:BO,26,0)</f>
        <v>0.29236904800000002</v>
      </c>
      <c r="H539" s="101">
        <f>IFERROR(VLOOKUP(F539,STD!B:G,6,0),"")</f>
        <v>0.37</v>
      </c>
      <c r="I539" s="100">
        <f t="shared" si="51"/>
        <v>0.79018661621621633</v>
      </c>
      <c r="J539" s="249">
        <f t="shared" si="53"/>
        <v>5.8037323243243266</v>
      </c>
      <c r="K539" s="63">
        <f>VLOOKUP(C539,'RAW DATA 2023'!E:BO,20,0)</f>
        <v>120</v>
      </c>
      <c r="L539" s="322">
        <f t="shared" si="54"/>
        <v>696.44787891891917</v>
      </c>
      <c r="M539" s="63"/>
      <c r="Y539" s="63" t="str">
        <f t="shared" si="52"/>
        <v>DG-004-002412</v>
      </c>
    </row>
    <row r="540" spans="1:25">
      <c r="A540" s="63" t="str">
        <f>'RAW DATA 2023'!B533</f>
        <v>Bangsakao</v>
      </c>
      <c r="B540" s="63" t="str">
        <f>'RAW DATA 2023'!D533</f>
        <v>DG-003-0026</v>
      </c>
      <c r="C540" s="63" t="str">
        <f t="shared" si="49"/>
        <v>BangsakaoDG-003-0026</v>
      </c>
      <c r="D540" s="68">
        <f>VLOOKUP(C540,'RAW DATA 2023'!E:BP,63,0)</f>
        <v>12</v>
      </c>
      <c r="E540" s="63" t="str">
        <f t="shared" si="50"/>
        <v>Bangsakao12</v>
      </c>
      <c r="F540" s="63">
        <f>ROUND(VLOOKUP(C540,'RAW DATA 2023'!E:BO,23,0),0)</f>
        <v>42</v>
      </c>
      <c r="G540" s="120">
        <f>VLOOKUP(C540,'RAW DATA 2023'!E:BO,26,0)</f>
        <v>0.29095238099999998</v>
      </c>
      <c r="H540" s="101">
        <f>IFERROR(VLOOKUP(F540,STD!B:G,6,0),"")</f>
        <v>0.37</v>
      </c>
      <c r="I540" s="100">
        <f t="shared" si="51"/>
        <v>0.78635778648648647</v>
      </c>
      <c r="J540" s="249">
        <f t="shared" si="53"/>
        <v>5.7271557297297289</v>
      </c>
      <c r="K540" s="63">
        <f>VLOOKUP(C540,'RAW DATA 2023'!E:BO,20,0)</f>
        <v>105</v>
      </c>
      <c r="L540" s="322">
        <f t="shared" si="54"/>
        <v>601.35135162162157</v>
      </c>
      <c r="M540" s="63"/>
      <c r="Y540" s="63" t="str">
        <f t="shared" si="52"/>
        <v>DG-003-002612</v>
      </c>
    </row>
    <row r="541" spans="1:25">
      <c r="A541" s="63" t="str">
        <f>'RAW DATA 2023'!B534</f>
        <v>Bangsakao</v>
      </c>
      <c r="B541" s="63" t="str">
        <f>'RAW DATA 2023'!D534</f>
        <v>CG-006-0029</v>
      </c>
      <c r="C541" s="63" t="str">
        <f t="shared" si="49"/>
        <v>BangsakaoCG-006-0029</v>
      </c>
      <c r="D541" s="68">
        <f>VLOOKUP(C541,'RAW DATA 2023'!E:BP,63,0)</f>
        <v>5</v>
      </c>
      <c r="E541" s="63" t="str">
        <f t="shared" si="50"/>
        <v>Bangsakao5</v>
      </c>
      <c r="F541" s="63">
        <f>ROUND(VLOOKUP(C541,'RAW DATA 2023'!E:BO,23,0),0)</f>
        <v>61</v>
      </c>
      <c r="G541" s="120">
        <f>VLOOKUP(C541,'RAW DATA 2023'!E:BO,26,0)</f>
        <v>0.28939393899999999</v>
      </c>
      <c r="H541" s="101">
        <f>IFERROR(VLOOKUP(F541,STD!B:G,6,0),"")</f>
        <v>0.36</v>
      </c>
      <c r="I541" s="100">
        <f t="shared" si="51"/>
        <v>0.80387205277777773</v>
      </c>
      <c r="J541" s="249">
        <f t="shared" si="53"/>
        <v>6.0774410555555551</v>
      </c>
      <c r="K541" s="63">
        <f>VLOOKUP(C541,'RAW DATA 2023'!E:BO,20,0)</f>
        <v>55</v>
      </c>
      <c r="L541" s="322">
        <f t="shared" si="54"/>
        <v>334.25925805555551</v>
      </c>
      <c r="M541" s="63"/>
      <c r="Y541" s="63" t="str">
        <f t="shared" si="52"/>
        <v>CG-006-00295</v>
      </c>
    </row>
    <row r="542" spans="1:25">
      <c r="A542" s="63" t="str">
        <f>'RAW DATA 2023'!B535</f>
        <v>Bangsakao</v>
      </c>
      <c r="B542" s="63" t="str">
        <f>'RAW DATA 2023'!D535</f>
        <v>CG-009-0026</v>
      </c>
      <c r="C542" s="63" t="str">
        <f t="shared" si="49"/>
        <v>BangsakaoCG-009-0026</v>
      </c>
      <c r="D542" s="68">
        <f>VLOOKUP(C542,'RAW DATA 2023'!E:BP,63,0)</f>
        <v>12</v>
      </c>
      <c r="E542" s="63" t="str">
        <f t="shared" si="50"/>
        <v>Bangsakao12</v>
      </c>
      <c r="F542" s="63">
        <f>ROUND(VLOOKUP(C542,'RAW DATA 2023'!E:BO,23,0),0)</f>
        <v>47</v>
      </c>
      <c r="G542" s="120">
        <f>VLOOKUP(C542,'RAW DATA 2023'!E:BO,26,0)</f>
        <v>0.28304523199999998</v>
      </c>
      <c r="H542" s="101">
        <f>IFERROR(VLOOKUP(F542,STD!B:G,6,0),"")</f>
        <v>0.36</v>
      </c>
      <c r="I542" s="100">
        <f t="shared" si="51"/>
        <v>0.7862367555555555</v>
      </c>
      <c r="J542" s="249">
        <f t="shared" si="53"/>
        <v>5.7247351111111104</v>
      </c>
      <c r="K542" s="63">
        <f>VLOOKUP(C542,'RAW DATA 2023'!E:BO,20,0)</f>
        <v>89</v>
      </c>
      <c r="L542" s="322">
        <f t="shared" si="54"/>
        <v>509.50142488888883</v>
      </c>
      <c r="M542" s="63"/>
      <c r="Y542" s="63" t="str">
        <f t="shared" si="52"/>
        <v>CG-009-002612</v>
      </c>
    </row>
    <row r="543" spans="1:25">
      <c r="A543" s="63" t="str">
        <f>'RAW DATA 2023'!B536</f>
        <v>Bangsakao</v>
      </c>
      <c r="B543" s="63" t="str">
        <f>'RAW DATA 2023'!D536</f>
        <v>CG-004-0026</v>
      </c>
      <c r="C543" s="63" t="str">
        <f t="shared" si="49"/>
        <v>BangsakaoCG-004-0026</v>
      </c>
      <c r="D543" s="68">
        <f>VLOOKUP(C543,'RAW DATA 2023'!E:BP,63,0)</f>
        <v>7</v>
      </c>
      <c r="E543" s="63" t="str">
        <f t="shared" si="50"/>
        <v>Bangsakao7</v>
      </c>
      <c r="F543" s="63">
        <f>ROUND(VLOOKUP(C543,'RAW DATA 2023'!E:BO,23,0),0)</f>
        <v>139</v>
      </c>
      <c r="G543" s="120">
        <f>VLOOKUP(C543,'RAW DATA 2023'!E:BO,26,0)</f>
        <v>0.21433047099999997</v>
      </c>
      <c r="H543" s="101">
        <f>IFERROR(VLOOKUP(F543,STD!B:G,6,0),"")</f>
        <v>0.28999999999999998</v>
      </c>
      <c r="I543" s="100">
        <f t="shared" si="51"/>
        <v>0.73907058965517236</v>
      </c>
      <c r="J543" s="249">
        <f t="shared" si="53"/>
        <v>4.7814117931034472</v>
      </c>
      <c r="K543" s="63">
        <f>VLOOKUP(C543,'RAW DATA 2023'!E:BO,20,0)</f>
        <v>31</v>
      </c>
      <c r="L543" s="322">
        <f t="shared" si="54"/>
        <v>148.22376558620687</v>
      </c>
      <c r="M543" s="63"/>
      <c r="Y543" s="63" t="str">
        <f t="shared" si="52"/>
        <v>CG-004-00267</v>
      </c>
    </row>
    <row r="544" spans="1:25">
      <c r="A544" s="63" t="str">
        <f>'RAW DATA 2023'!B537</f>
        <v>Bangsakao</v>
      </c>
      <c r="B544" s="63" t="str">
        <f>'RAW DATA 2023'!D537</f>
        <v>CG-003-0027</v>
      </c>
      <c r="C544" s="63" t="str">
        <f t="shared" si="49"/>
        <v>BangsakaoCG-003-0027</v>
      </c>
      <c r="D544" s="68">
        <f>VLOOKUP(C544,'RAW DATA 2023'!E:BP,63,0)</f>
        <v>7</v>
      </c>
      <c r="E544" s="63" t="str">
        <f t="shared" si="50"/>
        <v>Bangsakao7</v>
      </c>
      <c r="F544" s="63">
        <f>ROUND(VLOOKUP(C544,'RAW DATA 2023'!E:BO,23,0),0)</f>
        <v>139</v>
      </c>
      <c r="G544" s="120">
        <f>VLOOKUP(C544,'RAW DATA 2023'!E:BO,26,0)</f>
        <v>0.21138264400000001</v>
      </c>
      <c r="H544" s="101">
        <f>IFERROR(VLOOKUP(F544,STD!B:G,6,0),"")</f>
        <v>0.28999999999999998</v>
      </c>
      <c r="I544" s="100">
        <f t="shared" si="51"/>
        <v>0.72890566896551734</v>
      </c>
      <c r="J544" s="249">
        <f t="shared" si="53"/>
        <v>4.5781133793103468</v>
      </c>
      <c r="K544" s="63">
        <f>VLOOKUP(C544,'RAW DATA 2023'!E:BO,20,0)</f>
        <v>32</v>
      </c>
      <c r="L544" s="322">
        <f t="shared" si="54"/>
        <v>146.4996281379311</v>
      </c>
      <c r="M544" s="63"/>
      <c r="Y544" s="63" t="str">
        <f t="shared" si="52"/>
        <v>CG-003-00277</v>
      </c>
    </row>
    <row r="545" spans="1:25">
      <c r="A545" s="63" t="str">
        <f>'RAW DATA 2023'!B538</f>
        <v>Bangsakao</v>
      </c>
      <c r="B545" s="63" t="str">
        <f>'RAW DATA 2023'!D538</f>
        <v>B1-006-0013</v>
      </c>
      <c r="C545" s="63" t="str">
        <f t="shared" si="49"/>
        <v>BangsakaoB1-006-0013</v>
      </c>
      <c r="D545" s="68">
        <f>VLOOKUP(C545,'RAW DATA 2023'!E:BP,63,0)</f>
        <v>6</v>
      </c>
      <c r="E545" s="63" t="str">
        <f t="shared" si="50"/>
        <v>Bangsakao6</v>
      </c>
      <c r="F545" s="63">
        <f>ROUND(VLOOKUP(C545,'RAW DATA 2023'!E:BO,23,0),0)</f>
        <v>55</v>
      </c>
      <c r="G545" s="120">
        <f>VLOOKUP(C545,'RAW DATA 2023'!E:BO,26,0)</f>
        <v>0.35208998499999999</v>
      </c>
      <c r="H545" s="101">
        <f>IFERROR(VLOOKUP(F545,STD!B:G,6,0),"")</f>
        <v>0.36</v>
      </c>
      <c r="I545" s="100">
        <f t="shared" si="51"/>
        <v>0.97802773611111116</v>
      </c>
      <c r="J545" s="249">
        <f t="shared" si="53"/>
        <v>9.5605547222222231</v>
      </c>
      <c r="K545" s="63">
        <f>VLOOKUP(C545,'RAW DATA 2023'!E:BO,20,0)</f>
        <v>53</v>
      </c>
      <c r="L545" s="322">
        <f t="shared" si="54"/>
        <v>506.70940027777783</v>
      </c>
      <c r="M545" s="63"/>
      <c r="Y545" s="63" t="str">
        <f t="shared" si="52"/>
        <v>B1-006-00136</v>
      </c>
    </row>
    <row r="546" spans="1:25">
      <c r="A546" s="63" t="str">
        <f>'RAW DATA 2023'!B539</f>
        <v>Bangsakao</v>
      </c>
      <c r="B546" s="63" t="str">
        <f>'RAW DATA 2023'!D539</f>
        <v>B1-003-0010</v>
      </c>
      <c r="C546" s="63" t="str">
        <f t="shared" si="49"/>
        <v>BangsakaoB1-003-0010</v>
      </c>
      <c r="D546" s="68">
        <f>VLOOKUP(C546,'RAW DATA 2023'!E:BP,63,0)</f>
        <v>3</v>
      </c>
      <c r="E546" s="63" t="str">
        <f t="shared" si="50"/>
        <v>Bangsakao3</v>
      </c>
      <c r="F546" s="63">
        <f>ROUND(VLOOKUP(C546,'RAW DATA 2023'!E:BO,23,0),0)</f>
        <v>93</v>
      </c>
      <c r="G546" s="120">
        <f>VLOOKUP(C546,'RAW DATA 2023'!E:BO,26,0)</f>
        <v>0.25981251700000002</v>
      </c>
      <c r="H546" s="101">
        <f>IFERROR(VLOOKUP(F546,STD!B:G,6,0),"")</f>
        <v>0.32</v>
      </c>
      <c r="I546" s="100">
        <f t="shared" si="51"/>
        <v>0.81191411562500004</v>
      </c>
      <c r="J546" s="249">
        <f t="shared" si="53"/>
        <v>6.2382823125000009</v>
      </c>
      <c r="K546" s="63">
        <f>VLOOKUP(C546,'RAW DATA 2023'!E:BO,20,0)</f>
        <v>39</v>
      </c>
      <c r="L546" s="322">
        <f t="shared" si="54"/>
        <v>243.29301018750004</v>
      </c>
      <c r="M546" s="63"/>
      <c r="Y546" s="63" t="str">
        <f t="shared" si="52"/>
        <v>B1-003-00103</v>
      </c>
    </row>
    <row r="547" spans="1:25">
      <c r="A547" s="63" t="str">
        <f>'RAW DATA 2023'!B540</f>
        <v>Bangsakao</v>
      </c>
      <c r="B547" s="63" t="str">
        <f>'RAW DATA 2023'!D540</f>
        <v>B1-003-0009</v>
      </c>
      <c r="C547" s="63" t="str">
        <f t="shared" si="49"/>
        <v>BangsakaoB1-003-0009</v>
      </c>
      <c r="D547" s="68">
        <f>VLOOKUP(C547,'RAW DATA 2023'!E:BP,63,0)</f>
        <v>1</v>
      </c>
      <c r="E547" s="63" t="str">
        <f t="shared" si="50"/>
        <v>Bangsakao1</v>
      </c>
      <c r="F547" s="63">
        <f>ROUND(VLOOKUP(C547,'RAW DATA 2023'!E:BO,23,0),0)</f>
        <v>89</v>
      </c>
      <c r="G547" s="120">
        <f>VLOOKUP(C547,'RAW DATA 2023'!E:BO,26,0)</f>
        <v>0.206338775</v>
      </c>
      <c r="H547" s="101">
        <f>IFERROR(VLOOKUP(F547,STD!B:G,6,0),"")</f>
        <v>0.33</v>
      </c>
      <c r="I547" s="100">
        <f t="shared" si="51"/>
        <v>0.62526901515151512</v>
      </c>
      <c r="J547" s="249">
        <f t="shared" si="53"/>
        <v>2.5053803030303023</v>
      </c>
      <c r="K547" s="63">
        <f>VLOOKUP(C547,'RAW DATA 2023'!E:BO,20,0)</f>
        <v>52.999999999999993</v>
      </c>
      <c r="L547" s="322">
        <f t="shared" si="54"/>
        <v>132.785156060606</v>
      </c>
      <c r="M547" s="63"/>
      <c r="Y547" s="63" t="str">
        <f t="shared" si="52"/>
        <v>B1-003-00091</v>
      </c>
    </row>
    <row r="548" spans="1:25">
      <c r="A548" s="63" t="str">
        <f>'RAW DATA 2023'!B541</f>
        <v>Bangsakao</v>
      </c>
      <c r="B548" s="63" t="str">
        <f>'RAW DATA 2023'!D541</f>
        <v>B1-006-0015</v>
      </c>
      <c r="C548" s="63" t="str">
        <f t="shared" si="49"/>
        <v>BangsakaoB1-006-0015</v>
      </c>
      <c r="D548" s="68">
        <f>VLOOKUP(C548,'RAW DATA 2023'!E:BP,63,0)</f>
        <v>9</v>
      </c>
      <c r="E548" s="63" t="str">
        <f t="shared" si="50"/>
        <v>Bangsakao9</v>
      </c>
      <c r="F548" s="63">
        <f>ROUND(VLOOKUP(C548,'RAW DATA 2023'!E:BO,23,0),0)</f>
        <v>0</v>
      </c>
      <c r="G548" s="120">
        <f>VLOOKUP(C548,'RAW DATA 2023'!E:BO,26,0)</f>
        <v>0</v>
      </c>
      <c r="H548" s="101" t="str">
        <f>IFERROR(VLOOKUP(F548,STD!B:G,6,0),"")</f>
        <v/>
      </c>
      <c r="I548" s="100">
        <f t="shared" si="51"/>
        <v>0</v>
      </c>
      <c r="J548" s="249">
        <f t="shared" si="53"/>
        <v>0</v>
      </c>
      <c r="K548" s="63">
        <f>VLOOKUP(C548,'RAW DATA 2023'!E:BO,20,0)</f>
        <v>0</v>
      </c>
      <c r="L548" s="322">
        <f t="shared" si="54"/>
        <v>0</v>
      </c>
      <c r="M548" s="63"/>
      <c r="Y548" s="63" t="str">
        <f t="shared" si="52"/>
        <v>B1-006-00159</v>
      </c>
    </row>
    <row r="549" spans="1:25">
      <c r="A549" s="63" t="str">
        <f>'RAW DATA 2023'!B542</f>
        <v>Rayong3</v>
      </c>
      <c r="B549" s="63" t="str">
        <f>'RAW DATA 2023'!D542</f>
        <v>D1-030-0017</v>
      </c>
      <c r="C549" s="63" t="str">
        <f t="shared" si="49"/>
        <v>Rayong3D1-030-0017</v>
      </c>
      <c r="D549" s="68">
        <f>VLOOKUP(C549,'RAW DATA 2023'!E:BP,63,0)</f>
        <v>8</v>
      </c>
      <c r="E549" s="63" t="str">
        <f t="shared" si="50"/>
        <v>Rayong38</v>
      </c>
      <c r="F549" s="63">
        <f>ROUND(VLOOKUP(C549,'RAW DATA 2023'!E:BO,23,0),0)</f>
        <v>29</v>
      </c>
      <c r="G549" s="120">
        <f>VLOOKUP(C549,'RAW DATA 2023'!E:BO,26,0)</f>
        <v>0.55270980400000003</v>
      </c>
      <c r="H549" s="101">
        <f>IFERROR(VLOOKUP(F549,STD!B:G,6,0),"")</f>
        <v>0.4</v>
      </c>
      <c r="I549" s="100">
        <f t="shared" si="51"/>
        <v>1.3817745100000001</v>
      </c>
      <c r="J549" s="249">
        <f t="shared" si="53"/>
        <v>17.6354902</v>
      </c>
      <c r="K549" s="63">
        <f>VLOOKUP(C549,'RAW DATA 2023'!E:BO,20,0)</f>
        <v>105</v>
      </c>
      <c r="L549" s="322">
        <f t="shared" si="54"/>
        <v>1851.7264709999999</v>
      </c>
      <c r="M549" s="63"/>
      <c r="Y549" s="63" t="str">
        <f t="shared" si="52"/>
        <v>D1-030-00178</v>
      </c>
    </row>
    <row r="550" spans="1:25">
      <c r="A550" s="63" t="str">
        <f>'RAW DATA 2023'!B543</f>
        <v>Rayong3</v>
      </c>
      <c r="B550" s="63" t="str">
        <f>'RAW DATA 2023'!D543</f>
        <v>D1-031-0041</v>
      </c>
      <c r="C550" s="63" t="str">
        <f t="shared" si="49"/>
        <v>Rayong3D1-031-0041</v>
      </c>
      <c r="D550" s="68">
        <f>VLOOKUP(C550,'RAW DATA 2023'!E:BP,63,0)</f>
        <v>4</v>
      </c>
      <c r="E550" s="63" t="str">
        <f t="shared" si="50"/>
        <v>Rayong34</v>
      </c>
      <c r="F550" s="63">
        <f>ROUND(VLOOKUP(C550,'RAW DATA 2023'!E:BO,23,0),0)</f>
        <v>26</v>
      </c>
      <c r="G550" s="120">
        <f>VLOOKUP(C550,'RAW DATA 2023'!E:BO,26,0)</f>
        <v>0.31234406599999998</v>
      </c>
      <c r="H550" s="101">
        <f>IFERROR(VLOOKUP(F550,STD!B:G,6,0),"")</f>
        <v>0.37</v>
      </c>
      <c r="I550" s="100">
        <f t="shared" si="51"/>
        <v>0.84417315135135129</v>
      </c>
      <c r="J550" s="249">
        <f t="shared" si="53"/>
        <v>6.8834630270270258</v>
      </c>
      <c r="K550" s="63">
        <f>VLOOKUP(C550,'RAW DATA 2023'!E:BO,20,0)</f>
        <v>144</v>
      </c>
      <c r="L550" s="322">
        <f t="shared" si="54"/>
        <v>991.21867589189173</v>
      </c>
      <c r="M550" s="63"/>
      <c r="Y550" s="63" t="str">
        <f t="shared" si="52"/>
        <v>D1-031-00414</v>
      </c>
    </row>
    <row r="551" spans="1:25">
      <c r="A551" s="63" t="str">
        <f>'RAW DATA 2023'!B544</f>
        <v>Rayong3</v>
      </c>
      <c r="B551" s="63" t="str">
        <f>'RAW DATA 2023'!D544</f>
        <v>D1-047-0011</v>
      </c>
      <c r="C551" s="63" t="str">
        <f t="shared" si="49"/>
        <v>Rayong3D1-047-0011</v>
      </c>
      <c r="D551" s="68">
        <f>VLOOKUP(C551,'RAW DATA 2023'!E:BP,63,0)</f>
        <v>2</v>
      </c>
      <c r="E551" s="63" t="str">
        <f t="shared" si="50"/>
        <v>Rayong32</v>
      </c>
      <c r="F551" s="63">
        <f>ROUND(VLOOKUP(C551,'RAW DATA 2023'!E:BO,23,0),0)</f>
        <v>31</v>
      </c>
      <c r="G551" s="120">
        <f>VLOOKUP(C551,'RAW DATA 2023'!E:BO,26,0)</f>
        <v>0.28968439499999998</v>
      </c>
      <c r="H551" s="101">
        <f>IFERROR(VLOOKUP(F551,STD!B:G,6,0),"")</f>
        <v>0.39</v>
      </c>
      <c r="I551" s="100">
        <f t="shared" si="51"/>
        <v>0.74278049999999995</v>
      </c>
      <c r="J551" s="249">
        <f t="shared" si="53"/>
        <v>4.8556099999999986</v>
      </c>
      <c r="K551" s="63">
        <f>VLOOKUP(C551,'RAW DATA 2023'!E:BO,20,0)</f>
        <v>117.99999999999999</v>
      </c>
      <c r="L551" s="322">
        <f t="shared" si="54"/>
        <v>572.96197999999981</v>
      </c>
      <c r="M551" s="63"/>
      <c r="Y551" s="63" t="str">
        <f t="shared" si="52"/>
        <v>D1-047-00112</v>
      </c>
    </row>
    <row r="552" spans="1:25">
      <c r="A552" s="63" t="str">
        <f>'RAW DATA 2023'!B545</f>
        <v>Rayong3</v>
      </c>
      <c r="B552" s="63" t="str">
        <f>'RAW DATA 2023'!D545</f>
        <v>D1-046-0011</v>
      </c>
      <c r="C552" s="63" t="str">
        <f t="shared" si="49"/>
        <v>Rayong3D1-046-0011</v>
      </c>
      <c r="D552" s="68">
        <f>VLOOKUP(C552,'RAW DATA 2023'!E:BP,63,0)</f>
        <v>3</v>
      </c>
      <c r="E552" s="63" t="str">
        <f t="shared" si="50"/>
        <v>Rayong33</v>
      </c>
      <c r="F552" s="63">
        <f>ROUND(VLOOKUP(C552,'RAW DATA 2023'!E:BO,23,0),0)</f>
        <v>29</v>
      </c>
      <c r="G552" s="120">
        <f>VLOOKUP(C552,'RAW DATA 2023'!E:BO,26,0)</f>
        <v>0.28692886099999998</v>
      </c>
      <c r="H552" s="101">
        <f>IFERROR(VLOOKUP(F552,STD!B:G,6,0),"")</f>
        <v>0.4</v>
      </c>
      <c r="I552" s="100">
        <f t="shared" si="51"/>
        <v>0.71732215249999987</v>
      </c>
      <c r="J552" s="249">
        <f t="shared" si="53"/>
        <v>4.3464430499999978</v>
      </c>
      <c r="K552" s="63">
        <f>VLOOKUP(C552,'RAW DATA 2023'!E:BO,20,0)</f>
        <v>133</v>
      </c>
      <c r="L552" s="322">
        <f t="shared" si="54"/>
        <v>578.07692564999968</v>
      </c>
      <c r="M552" s="63"/>
      <c r="Y552" s="63" t="str">
        <f t="shared" si="52"/>
        <v>D1-046-00113</v>
      </c>
    </row>
    <row r="553" spans="1:25">
      <c r="A553" s="63" t="str">
        <f>'RAW DATA 2023'!B546</f>
        <v>Rayong3</v>
      </c>
      <c r="B553" s="63" t="str">
        <f>'RAW DATA 2023'!D546</f>
        <v>D1-030-0016</v>
      </c>
      <c r="C553" s="63" t="str">
        <f t="shared" si="49"/>
        <v>Rayong3D1-030-0016</v>
      </c>
      <c r="D553" s="68">
        <f>VLOOKUP(C553,'RAW DATA 2023'!E:BP,63,0)</f>
        <v>3</v>
      </c>
      <c r="E553" s="63" t="str">
        <f t="shared" si="50"/>
        <v>Rayong33</v>
      </c>
      <c r="F553" s="63">
        <f>ROUND(VLOOKUP(C553,'RAW DATA 2023'!E:BO,23,0),0)</f>
        <v>27</v>
      </c>
      <c r="G553" s="120">
        <f>VLOOKUP(C553,'RAW DATA 2023'!E:BO,26,0)</f>
        <v>0.28363086700000001</v>
      </c>
      <c r="H553" s="101">
        <f>IFERROR(VLOOKUP(F553,STD!B:G,6,0),"")</f>
        <v>0.39</v>
      </c>
      <c r="I553" s="100">
        <f t="shared" si="51"/>
        <v>0.72725863333333329</v>
      </c>
      <c r="J553" s="249">
        <f t="shared" si="53"/>
        <v>4.5451726666666659</v>
      </c>
      <c r="K553" s="63">
        <f>VLOOKUP(C553,'RAW DATA 2023'!E:BO,20,0)</f>
        <v>151</v>
      </c>
      <c r="L553" s="322">
        <f t="shared" si="54"/>
        <v>686.32107266666651</v>
      </c>
      <c r="M553" s="63"/>
      <c r="Y553" s="63" t="str">
        <f t="shared" si="52"/>
        <v>D1-030-00163</v>
      </c>
    </row>
    <row r="554" spans="1:25">
      <c r="A554" s="63" t="str">
        <f>'RAW DATA 2023'!B547</f>
        <v>Rayong3</v>
      </c>
      <c r="B554" s="63" t="str">
        <f>'RAW DATA 2023'!D547</f>
        <v>D1-031-0042</v>
      </c>
      <c r="C554" s="63" t="str">
        <f t="shared" si="49"/>
        <v>Rayong3D1-031-0042</v>
      </c>
      <c r="D554" s="68">
        <f>VLOOKUP(C554,'RAW DATA 2023'!E:BP,63,0)</f>
        <v>8</v>
      </c>
      <c r="E554" s="63" t="str">
        <f t="shared" si="50"/>
        <v>Rayong38</v>
      </c>
      <c r="F554" s="63">
        <f>ROUND(VLOOKUP(C554,'RAW DATA 2023'!E:BO,23,0),0)</f>
        <v>124</v>
      </c>
      <c r="G554" s="120">
        <f>VLOOKUP(C554,'RAW DATA 2023'!E:BO,26,0)</f>
        <v>0.22319745799999999</v>
      </c>
      <c r="H554" s="101">
        <f>IFERROR(VLOOKUP(F554,STD!B:G,6,0),"")</f>
        <v>0.31</v>
      </c>
      <c r="I554" s="100">
        <f t="shared" si="51"/>
        <v>0.71999179999999996</v>
      </c>
      <c r="J554" s="249">
        <f t="shared" si="53"/>
        <v>4.3998359999999987</v>
      </c>
      <c r="K554" s="63">
        <f>VLOOKUP(C554,'RAW DATA 2023'!E:BO,20,0)</f>
        <v>33</v>
      </c>
      <c r="L554" s="322">
        <f t="shared" si="54"/>
        <v>145.19458799999995</v>
      </c>
      <c r="M554" s="63"/>
      <c r="Y554" s="63" t="str">
        <f t="shared" si="52"/>
        <v>D1-031-00428</v>
      </c>
    </row>
    <row r="555" spans="1:25">
      <c r="A555" s="63" t="str">
        <f>'RAW DATA 2023'!B548</f>
        <v>Rayong3</v>
      </c>
      <c r="B555" s="63" t="str">
        <f>'RAW DATA 2023'!D548</f>
        <v>C1-016-0037</v>
      </c>
      <c r="C555" s="63" t="str">
        <f t="shared" si="49"/>
        <v>Rayong3C1-016-0037</v>
      </c>
      <c r="D555" s="68">
        <f>VLOOKUP(C555,'RAW DATA 2023'!E:BP,63,0)</f>
        <v>5</v>
      </c>
      <c r="E555" s="63" t="str">
        <f t="shared" si="50"/>
        <v>Rayong35</v>
      </c>
      <c r="F555" s="63">
        <f>ROUND(VLOOKUP(C555,'RAW DATA 2023'!E:BO,23,0),0)</f>
        <v>33</v>
      </c>
      <c r="G555" s="120">
        <f>VLOOKUP(C555,'RAW DATA 2023'!E:BO,26,0)</f>
        <v>0.41575263400000001</v>
      </c>
      <c r="H555" s="101">
        <f>IFERROR(VLOOKUP(F555,STD!B:G,6,0),"")</f>
        <v>0.39</v>
      </c>
      <c r="I555" s="100">
        <f t="shared" si="51"/>
        <v>1.0660323948717949</v>
      </c>
      <c r="J555" s="249">
        <f t="shared" si="53"/>
        <v>11.320647897435897</v>
      </c>
      <c r="K555" s="63">
        <f>VLOOKUP(C555,'RAW DATA 2023'!E:BO,20,0)</f>
        <v>113</v>
      </c>
      <c r="L555" s="322">
        <f t="shared" si="54"/>
        <v>1279.2332124102563</v>
      </c>
      <c r="M555" s="63"/>
      <c r="Y555" s="63" t="str">
        <f t="shared" si="52"/>
        <v>C1-016-00375</v>
      </c>
    </row>
    <row r="556" spans="1:25">
      <c r="A556" s="63" t="str">
        <f>'RAW DATA 2023'!B549</f>
        <v>Rayong3</v>
      </c>
      <c r="B556" s="63" t="str">
        <f>'RAW DATA 2023'!D549</f>
        <v>C1-005-0001</v>
      </c>
      <c r="C556" s="63" t="str">
        <f t="shared" si="49"/>
        <v>Rayong3C1-005-0001</v>
      </c>
      <c r="D556" s="68">
        <f>VLOOKUP(C556,'RAW DATA 2023'!E:BP,63,0)</f>
        <v>12</v>
      </c>
      <c r="E556" s="63" t="str">
        <f t="shared" si="50"/>
        <v>Rayong312</v>
      </c>
      <c r="F556" s="63">
        <f>ROUND(VLOOKUP(C556,'RAW DATA 2023'!E:BO,23,0),0)</f>
        <v>90</v>
      </c>
      <c r="G556" s="120">
        <f>VLOOKUP(C556,'RAW DATA 2023'!E:BO,26,0)</f>
        <v>0.26869515700000002</v>
      </c>
      <c r="H556" s="101">
        <f>IFERROR(VLOOKUP(F556,STD!B:G,6,0),"")</f>
        <v>0.33</v>
      </c>
      <c r="I556" s="100">
        <f t="shared" si="51"/>
        <v>0.81422774848484847</v>
      </c>
      <c r="J556" s="249">
        <f t="shared" si="53"/>
        <v>6.2845549696969698</v>
      </c>
      <c r="K556" s="63">
        <f>VLOOKUP(C556,'RAW DATA 2023'!E:BO,20,0)</f>
        <v>39</v>
      </c>
      <c r="L556" s="322">
        <f t="shared" si="54"/>
        <v>245.09764381818184</v>
      </c>
      <c r="M556" s="63"/>
      <c r="Y556" s="63" t="str">
        <f t="shared" si="52"/>
        <v>C1-005-000112</v>
      </c>
    </row>
    <row r="557" spans="1:25">
      <c r="A557" s="63" t="str">
        <f>'RAW DATA 2023'!B550</f>
        <v>Rayong3</v>
      </c>
      <c r="B557" s="63" t="str">
        <f>'RAW DATA 2023'!D550</f>
        <v>C1-016-0038</v>
      </c>
      <c r="C557" s="63" t="str">
        <f t="shared" si="49"/>
        <v>Rayong3C1-016-0038</v>
      </c>
      <c r="D557" s="68">
        <f>VLOOKUP(C557,'RAW DATA 2023'!E:BP,63,0)</f>
        <v>8</v>
      </c>
      <c r="E557" s="63" t="str">
        <f t="shared" si="50"/>
        <v>Rayong38</v>
      </c>
      <c r="F557" s="63">
        <f>ROUND(VLOOKUP(C557,'RAW DATA 2023'!E:BO,23,0),0)</f>
        <v>97</v>
      </c>
      <c r="G557" s="120">
        <f>VLOOKUP(C557,'RAW DATA 2023'!E:BO,26,0)</f>
        <v>0.254191536</v>
      </c>
      <c r="H557" s="101">
        <f>IFERROR(VLOOKUP(F557,STD!B:G,6,0),"")</f>
        <v>0.32</v>
      </c>
      <c r="I557" s="100">
        <f t="shared" si="51"/>
        <v>0.79434854999999993</v>
      </c>
      <c r="J557" s="249">
        <f t="shared" si="53"/>
        <v>5.8869709999999991</v>
      </c>
      <c r="K557" s="63">
        <f>VLOOKUP(C557,'RAW DATA 2023'!E:BO,20,0)</f>
        <v>38</v>
      </c>
      <c r="L557" s="322">
        <f t="shared" si="54"/>
        <v>223.70489799999996</v>
      </c>
      <c r="M557" s="63"/>
      <c r="Y557" s="63" t="str">
        <f t="shared" si="52"/>
        <v>C1-016-00388</v>
      </c>
    </row>
    <row r="558" spans="1:25">
      <c r="A558" s="63" t="str">
        <f>'RAW DATA 2023'!B551</f>
        <v>Rayong3</v>
      </c>
      <c r="B558" s="63" t="str">
        <f>'RAW DATA 2023'!D551</f>
        <v>A1-042-0009</v>
      </c>
      <c r="C558" s="63" t="str">
        <f t="shared" si="49"/>
        <v>Rayong3A1-042-0009</v>
      </c>
      <c r="D558" s="68">
        <f>VLOOKUP(C558,'RAW DATA 2023'!E:BP,63,0)</f>
        <v>8</v>
      </c>
      <c r="E558" s="63" t="str">
        <f t="shared" si="50"/>
        <v>Rayong38</v>
      </c>
      <c r="F558" s="63">
        <f>ROUND(VLOOKUP(C558,'RAW DATA 2023'!E:BO,23,0),0)</f>
        <v>33</v>
      </c>
      <c r="G558" s="120">
        <f>VLOOKUP(C558,'RAW DATA 2023'!E:BO,26,0)</f>
        <v>0.53324338900000001</v>
      </c>
      <c r="H558" s="101">
        <f>IFERROR(VLOOKUP(F558,STD!B:G,6,0),"")</f>
        <v>0.39</v>
      </c>
      <c r="I558" s="100">
        <f t="shared" si="51"/>
        <v>1.367290741025641</v>
      </c>
      <c r="J558" s="249">
        <f t="shared" si="53"/>
        <v>17.345814820512821</v>
      </c>
      <c r="K558" s="63">
        <f>VLOOKUP(C558,'RAW DATA 2023'!E:BO,20,0)</f>
        <v>109.00000000000001</v>
      </c>
      <c r="L558" s="322">
        <f t="shared" si="54"/>
        <v>1890.6938154358977</v>
      </c>
      <c r="M558" s="63"/>
      <c r="Y558" s="63" t="str">
        <f t="shared" si="52"/>
        <v>A1-042-00098</v>
      </c>
    </row>
    <row r="559" spans="1:25">
      <c r="A559" s="63" t="str">
        <f>'RAW DATA 2023'!B552</f>
        <v>Rayong3</v>
      </c>
      <c r="B559" s="63" t="str">
        <f>'RAW DATA 2023'!D552</f>
        <v>A1-005-0028</v>
      </c>
      <c r="C559" s="63" t="str">
        <f t="shared" si="49"/>
        <v>Rayong3A1-005-0028</v>
      </c>
      <c r="D559" s="68">
        <f>VLOOKUP(C559,'RAW DATA 2023'!E:BP,63,0)</f>
        <v>8</v>
      </c>
      <c r="E559" s="63" t="str">
        <f t="shared" si="50"/>
        <v>Rayong38</v>
      </c>
      <c r="F559" s="63">
        <f>ROUND(VLOOKUP(C559,'RAW DATA 2023'!E:BO,23,0),0)</f>
        <v>90</v>
      </c>
      <c r="G559" s="120">
        <f>VLOOKUP(C559,'RAW DATA 2023'!E:BO,26,0)</f>
        <v>0.26303991100000002</v>
      </c>
      <c r="H559" s="101">
        <f>IFERROR(VLOOKUP(F559,STD!B:G,6,0),"")</f>
        <v>0.33</v>
      </c>
      <c r="I559" s="100">
        <f t="shared" si="51"/>
        <v>0.79709063939393943</v>
      </c>
      <c r="J559" s="249">
        <f t="shared" si="53"/>
        <v>5.9418127878787885</v>
      </c>
      <c r="K559" s="63">
        <f>VLOOKUP(C559,'RAW DATA 2023'!E:BO,20,0)</f>
        <v>41</v>
      </c>
      <c r="L559" s="322">
        <f t="shared" si="54"/>
        <v>243.61432430303034</v>
      </c>
      <c r="M559" s="63"/>
      <c r="Y559" s="63" t="str">
        <f t="shared" si="52"/>
        <v>A1-005-00288</v>
      </c>
    </row>
    <row r="560" spans="1:25">
      <c r="A560" s="63" t="str">
        <f>'RAW DATA 2023'!B553</f>
        <v>Rayong3</v>
      </c>
      <c r="B560" s="63" t="str">
        <f>'RAW DATA 2023'!D553</f>
        <v>A1-023-0031</v>
      </c>
      <c r="C560" s="63" t="str">
        <f t="shared" si="49"/>
        <v>Rayong3A1-023-0031</v>
      </c>
      <c r="D560" s="68">
        <f>VLOOKUP(C560,'RAW DATA 2023'!E:BP,63,0)</f>
        <v>4</v>
      </c>
      <c r="E560" s="63" t="str">
        <f t="shared" si="50"/>
        <v>Rayong34</v>
      </c>
      <c r="F560" s="63">
        <f>ROUND(VLOOKUP(C560,'RAW DATA 2023'!E:BO,23,0),0)</f>
        <v>24</v>
      </c>
      <c r="G560" s="120">
        <f>VLOOKUP(C560,'RAW DATA 2023'!E:BO,26,0)</f>
        <v>0.314860317</v>
      </c>
      <c r="H560" s="101">
        <f>IFERROR(VLOOKUP(F560,STD!B:G,6,0),"")</f>
        <v>0.36</v>
      </c>
      <c r="I560" s="100">
        <f t="shared" si="51"/>
        <v>0.8746119916666667</v>
      </c>
      <c r="J560" s="249">
        <f t="shared" si="53"/>
        <v>7.4922398333333344</v>
      </c>
      <c r="K560" s="63">
        <f>VLOOKUP(C560,'RAW DATA 2023'!E:BO,20,0)</f>
        <v>150</v>
      </c>
      <c r="L560" s="322">
        <f t="shared" si="54"/>
        <v>1123.8359750000002</v>
      </c>
      <c r="M560" s="63"/>
      <c r="Y560" s="63" t="str">
        <f t="shared" si="52"/>
        <v>A1-023-00314</v>
      </c>
    </row>
    <row r="561" spans="1:25">
      <c r="A561" s="63" t="str">
        <f>'RAW DATA 2023'!B554</f>
        <v>Rayong3</v>
      </c>
      <c r="B561" s="63" t="str">
        <f>'RAW DATA 2023'!D554</f>
        <v>A1-044-0012</v>
      </c>
      <c r="C561" s="63" t="str">
        <f t="shared" si="49"/>
        <v>Rayong3A1-044-0012</v>
      </c>
      <c r="D561" s="68">
        <f>VLOOKUP(C561,'RAW DATA 2023'!E:BP,63,0)</f>
        <v>3</v>
      </c>
      <c r="E561" s="63" t="str">
        <f t="shared" si="50"/>
        <v>Rayong33</v>
      </c>
      <c r="F561" s="63">
        <f>ROUND(VLOOKUP(C561,'RAW DATA 2023'!E:BO,23,0),0)</f>
        <v>25</v>
      </c>
      <c r="G561" s="120">
        <f>VLOOKUP(C561,'RAW DATA 2023'!E:BO,26,0)</f>
        <v>0.311309524</v>
      </c>
      <c r="H561" s="101">
        <f>IFERROR(VLOOKUP(F561,STD!B:G,6,0),"")</f>
        <v>0.36</v>
      </c>
      <c r="I561" s="100">
        <f t="shared" si="51"/>
        <v>0.86474867777777786</v>
      </c>
      <c r="J561" s="249">
        <f t="shared" si="53"/>
        <v>7.2949735555555577</v>
      </c>
      <c r="K561" s="63">
        <f>VLOOKUP(C561,'RAW DATA 2023'!E:BO,20,0)</f>
        <v>152</v>
      </c>
      <c r="L561" s="322">
        <f t="shared" si="54"/>
        <v>1108.8359804444449</v>
      </c>
      <c r="M561" s="63"/>
      <c r="Y561" s="63" t="str">
        <f t="shared" si="52"/>
        <v>A1-044-00123</v>
      </c>
    </row>
    <row r="562" spans="1:25">
      <c r="A562" s="63" t="str">
        <f>'RAW DATA 2023'!B555</f>
        <v>Rayong3</v>
      </c>
      <c r="B562" s="63" t="str">
        <f>'RAW DATA 2023'!D555</f>
        <v>A1-045-0009</v>
      </c>
      <c r="C562" s="63" t="str">
        <f t="shared" si="49"/>
        <v>Rayong3A1-045-0009</v>
      </c>
      <c r="D562" s="68">
        <f>VLOOKUP(C562,'RAW DATA 2023'!E:BP,63,0)</f>
        <v>4</v>
      </c>
      <c r="E562" s="63" t="str">
        <f t="shared" si="50"/>
        <v>Rayong34</v>
      </c>
      <c r="F562" s="63">
        <f>ROUND(VLOOKUP(C562,'RAW DATA 2023'!E:BO,23,0),0)</f>
        <v>25</v>
      </c>
      <c r="G562" s="120">
        <f>VLOOKUP(C562,'RAW DATA 2023'!E:BO,26,0)</f>
        <v>0.28364699199999999</v>
      </c>
      <c r="H562" s="101">
        <f>IFERROR(VLOOKUP(F562,STD!B:G,6,0),"")</f>
        <v>0.36</v>
      </c>
      <c r="I562" s="100">
        <f t="shared" si="51"/>
        <v>0.78790831111111115</v>
      </c>
      <c r="J562" s="249">
        <f t="shared" si="53"/>
        <v>5.758166222222223</v>
      </c>
      <c r="K562" s="63">
        <f>VLOOKUP(C562,'RAW DATA 2023'!E:BO,20,0)</f>
        <v>167</v>
      </c>
      <c r="L562" s="322">
        <f t="shared" si="54"/>
        <v>961.61375911111122</v>
      </c>
      <c r="M562" s="63"/>
      <c r="Y562" s="63" t="str">
        <f t="shared" si="52"/>
        <v>A1-045-00094</v>
      </c>
    </row>
    <row r="563" spans="1:25">
      <c r="A563" s="63" t="str">
        <f>'RAW DATA 2023'!B556</f>
        <v>Rayong3</v>
      </c>
      <c r="B563" s="63" t="str">
        <f>'RAW DATA 2023'!D556</f>
        <v>A1-043-0009</v>
      </c>
      <c r="C563" s="63" t="str">
        <f t="shared" si="49"/>
        <v>Rayong3A1-043-0009</v>
      </c>
      <c r="D563" s="68">
        <f>VLOOKUP(C563,'RAW DATA 2023'!E:BP,63,0)</f>
        <v>3</v>
      </c>
      <c r="E563" s="63" t="str">
        <f t="shared" si="50"/>
        <v>Rayong33</v>
      </c>
      <c r="F563" s="63">
        <f>ROUND(VLOOKUP(C563,'RAW DATA 2023'!E:BO,23,0),0)</f>
        <v>25</v>
      </c>
      <c r="G563" s="120">
        <f>VLOOKUP(C563,'RAW DATA 2023'!E:BO,26,0)</f>
        <v>0.28037831699999999</v>
      </c>
      <c r="H563" s="101">
        <f>IFERROR(VLOOKUP(F563,STD!B:G,6,0),"")</f>
        <v>0.36</v>
      </c>
      <c r="I563" s="100">
        <f t="shared" si="51"/>
        <v>0.77882865833333337</v>
      </c>
      <c r="J563" s="249">
        <f t="shared" si="53"/>
        <v>5.5765731666666678</v>
      </c>
      <c r="K563" s="63">
        <f>VLOOKUP(C563,'RAW DATA 2023'!E:BO,20,0)</f>
        <v>154</v>
      </c>
      <c r="L563" s="322">
        <f t="shared" si="54"/>
        <v>858.79226766666682</v>
      </c>
      <c r="M563" s="63"/>
      <c r="Y563" s="63" t="str">
        <f t="shared" si="52"/>
        <v>A1-043-00093</v>
      </c>
    </row>
    <row r="564" spans="1:25">
      <c r="A564" s="63" t="str">
        <f>'RAW DATA 2023'!B557</f>
        <v>Lucky2</v>
      </c>
      <c r="B564" s="63" t="str">
        <f>'RAW DATA 2023'!D557</f>
        <v>AC-001-0010</v>
      </c>
      <c r="C564" s="63" t="str">
        <f t="shared" si="49"/>
        <v>Lucky2AC-001-0010</v>
      </c>
      <c r="D564" s="68">
        <f>VLOOKUP(C564,'RAW DATA 2023'!E:BP,63,0)</f>
        <v>7</v>
      </c>
      <c r="E564" s="63" t="str">
        <f t="shared" si="50"/>
        <v>Lucky27</v>
      </c>
      <c r="F564" s="63">
        <f>ROUND(VLOOKUP(C564,'RAW DATA 2023'!E:BO,23,0),0)</f>
        <v>45</v>
      </c>
      <c r="G564" s="120">
        <f>VLOOKUP(C564,'RAW DATA 2023'!E:BO,26,0)</f>
        <v>0.41087963</v>
      </c>
      <c r="H564" s="101">
        <f>IFERROR(VLOOKUP(F564,STD!B:G,6,0),"")</f>
        <v>0.36</v>
      </c>
      <c r="I564" s="100">
        <f t="shared" si="51"/>
        <v>1.1413323055555555</v>
      </c>
      <c r="J564" s="249">
        <f t="shared" si="53"/>
        <v>12.82664611111111</v>
      </c>
      <c r="K564" s="63">
        <f>VLOOKUP(C564,'RAW DATA 2023'!E:BO,20,0)</f>
        <v>48.000000000000007</v>
      </c>
      <c r="L564" s="322">
        <f t="shared" si="54"/>
        <v>615.67901333333339</v>
      </c>
      <c r="M564" s="63"/>
      <c r="Y564" s="63" t="str">
        <f t="shared" si="52"/>
        <v>AC-001-00107</v>
      </c>
    </row>
    <row r="565" spans="1:25">
      <c r="A565" s="63" t="str">
        <f>'RAW DATA 2023'!B558</f>
        <v>Lucky2</v>
      </c>
      <c r="B565" s="63" t="str">
        <f>'RAW DATA 2023'!D558</f>
        <v>AC-001-0009</v>
      </c>
      <c r="C565" s="63" t="str">
        <f t="shared" si="49"/>
        <v>Lucky2AC-001-0009</v>
      </c>
      <c r="D565" s="68">
        <f>VLOOKUP(C565,'RAW DATA 2023'!E:BP,63,0)</f>
        <v>5</v>
      </c>
      <c r="E565" s="63" t="str">
        <f t="shared" si="50"/>
        <v>Lucky25</v>
      </c>
      <c r="F565" s="63">
        <f>ROUND(VLOOKUP(C565,'RAW DATA 2023'!E:BO,23,0),0)</f>
        <v>56</v>
      </c>
      <c r="G565" s="120">
        <f>VLOOKUP(C565,'RAW DATA 2023'!E:BO,26,0)</f>
        <v>0.37036474200000002</v>
      </c>
      <c r="H565" s="101">
        <f>IFERROR(VLOOKUP(F565,STD!B:G,6,0),"")</f>
        <v>0.36</v>
      </c>
      <c r="I565" s="100">
        <f t="shared" si="51"/>
        <v>1.0287909500000001</v>
      </c>
      <c r="J565" s="249">
        <f t="shared" si="53"/>
        <v>10.575819000000003</v>
      </c>
      <c r="K565" s="63">
        <f>VLOOKUP(C565,'RAW DATA 2023'!E:BO,20,0)</f>
        <v>47</v>
      </c>
      <c r="L565" s="322">
        <f t="shared" si="54"/>
        <v>497.06349300000011</v>
      </c>
      <c r="M565" s="63"/>
      <c r="Y565" s="63" t="str">
        <f t="shared" si="52"/>
        <v>AC-001-00095</v>
      </c>
    </row>
    <row r="566" spans="1:25">
      <c r="A566" s="63" t="str">
        <f>'RAW DATA 2023'!B559</f>
        <v>Lucky2</v>
      </c>
      <c r="B566" s="63" t="str">
        <f>'RAW DATA 2023'!D559</f>
        <v>AC-002-0010</v>
      </c>
      <c r="C566" s="63" t="str">
        <f t="shared" si="49"/>
        <v>Lucky2AC-002-0010</v>
      </c>
      <c r="D566" s="68">
        <f>VLOOKUP(C566,'RAW DATA 2023'!E:BP,63,0)</f>
        <v>7</v>
      </c>
      <c r="E566" s="63" t="str">
        <f t="shared" si="50"/>
        <v>Lucky27</v>
      </c>
      <c r="F566" s="63">
        <f>ROUND(VLOOKUP(C566,'RAW DATA 2023'!E:BO,23,0),0)</f>
        <v>53</v>
      </c>
      <c r="G566" s="120">
        <f>VLOOKUP(C566,'RAW DATA 2023'!E:BO,26,0)</f>
        <v>0.35721420599999998</v>
      </c>
      <c r="H566" s="101">
        <f>IFERROR(VLOOKUP(F566,STD!B:G,6,0),"")</f>
        <v>0.36</v>
      </c>
      <c r="I566" s="100">
        <f t="shared" si="51"/>
        <v>0.99226168333333331</v>
      </c>
      <c r="J566" s="249">
        <f t="shared" si="53"/>
        <v>9.8452336666666653</v>
      </c>
      <c r="K566" s="63">
        <f>VLOOKUP(C566,'RAW DATA 2023'!E:BO,20,0)</f>
        <v>51</v>
      </c>
      <c r="L566" s="322">
        <f t="shared" si="54"/>
        <v>502.10691699999995</v>
      </c>
      <c r="M566" s="63"/>
      <c r="Y566" s="63" t="str">
        <f t="shared" si="52"/>
        <v>AC-002-00107</v>
      </c>
    </row>
    <row r="567" spans="1:25">
      <c r="A567" s="63" t="str">
        <f>'RAW DATA 2023'!B560</f>
        <v>Lucky2</v>
      </c>
      <c r="B567" s="63" t="str">
        <f>'RAW DATA 2023'!D560</f>
        <v>AC-004-0009</v>
      </c>
      <c r="C567" s="63" t="str">
        <f t="shared" si="49"/>
        <v>Lucky2AC-004-0009</v>
      </c>
      <c r="D567" s="68">
        <f>VLOOKUP(C567,'RAW DATA 2023'!E:BP,63,0)</f>
        <v>5</v>
      </c>
      <c r="E567" s="63" t="str">
        <f t="shared" si="50"/>
        <v>Lucky25</v>
      </c>
      <c r="F567" s="63">
        <f>ROUND(VLOOKUP(C567,'RAW DATA 2023'!E:BO,23,0),0)</f>
        <v>55</v>
      </c>
      <c r="G567" s="120">
        <f>VLOOKUP(C567,'RAW DATA 2023'!E:BO,26,0)</f>
        <v>0.34721212099999998</v>
      </c>
      <c r="H567" s="101">
        <f>IFERROR(VLOOKUP(F567,STD!B:G,6,0),"")</f>
        <v>0.36</v>
      </c>
      <c r="I567" s="100">
        <f t="shared" si="51"/>
        <v>0.96447811388888893</v>
      </c>
      <c r="J567" s="249">
        <f t="shared" si="53"/>
        <v>9.2895622777777795</v>
      </c>
      <c r="K567" s="63">
        <f>VLOOKUP(C567,'RAW DATA 2023'!E:BO,20,0)</f>
        <v>51</v>
      </c>
      <c r="L567" s="322">
        <f t="shared" si="54"/>
        <v>473.76767616666677</v>
      </c>
      <c r="M567" s="63"/>
      <c r="Y567" s="63" t="str">
        <f t="shared" si="52"/>
        <v>AC-004-00095</v>
      </c>
    </row>
    <row r="568" spans="1:25">
      <c r="A568" s="63" t="str">
        <f>'RAW DATA 2023'!B561</f>
        <v>Lucky2</v>
      </c>
      <c r="B568" s="63" t="str">
        <f>'RAW DATA 2023'!D561</f>
        <v>AC-004-0008</v>
      </c>
      <c r="C568" s="63" t="str">
        <f t="shared" si="49"/>
        <v>Lucky2AC-004-0008</v>
      </c>
      <c r="D568" s="68">
        <f>VLOOKUP(C568,'RAW DATA 2023'!E:BP,63,0)</f>
        <v>2</v>
      </c>
      <c r="E568" s="63" t="str">
        <f t="shared" si="50"/>
        <v>Lucky22</v>
      </c>
      <c r="F568" s="63">
        <f>ROUND(VLOOKUP(C568,'RAW DATA 2023'!E:BO,23,0),0)</f>
        <v>23</v>
      </c>
      <c r="G568" s="120">
        <f>VLOOKUP(C568,'RAW DATA 2023'!E:BO,26,0)</f>
        <v>0.32862318800000007</v>
      </c>
      <c r="H568" s="101">
        <f>IFERROR(VLOOKUP(F568,STD!B:G,6,0),"")</f>
        <v>0.36</v>
      </c>
      <c r="I568" s="100">
        <f t="shared" si="51"/>
        <v>0.91284218888888913</v>
      </c>
      <c r="J568" s="249">
        <f t="shared" si="53"/>
        <v>8.2568437777777817</v>
      </c>
      <c r="K568" s="63">
        <f>VLOOKUP(C568,'RAW DATA 2023'!E:BO,20,0)</f>
        <v>132</v>
      </c>
      <c r="L568" s="322">
        <f t="shared" si="54"/>
        <v>1089.9033786666671</v>
      </c>
      <c r="M568" s="63"/>
      <c r="Y568" s="63" t="str">
        <f t="shared" si="52"/>
        <v>AC-004-00082</v>
      </c>
    </row>
    <row r="569" spans="1:25">
      <c r="A569" s="63" t="str">
        <f>'RAW DATA 2023'!B562</f>
        <v>Lucky2</v>
      </c>
      <c r="B569" s="63" t="str">
        <f>'RAW DATA 2023'!D562</f>
        <v>AC-005-0008</v>
      </c>
      <c r="C569" s="63" t="str">
        <f t="shared" si="49"/>
        <v>Lucky2AC-005-0008</v>
      </c>
      <c r="D569" s="68">
        <f>VLOOKUP(C569,'RAW DATA 2023'!E:BP,63,0)</f>
        <v>2</v>
      </c>
      <c r="E569" s="63" t="str">
        <f t="shared" si="50"/>
        <v>Lucky22</v>
      </c>
      <c r="F569" s="63">
        <f>ROUND(VLOOKUP(C569,'RAW DATA 2023'!E:BO,23,0),0)</f>
        <v>40</v>
      </c>
      <c r="G569" s="120">
        <f>VLOOKUP(C569,'RAW DATA 2023'!E:BO,26,0)</f>
        <v>0.32862318800000001</v>
      </c>
      <c r="H569" s="101">
        <f>IFERROR(VLOOKUP(F569,STD!B:G,6,0),"")</f>
        <v>0.37</v>
      </c>
      <c r="I569" s="100">
        <f t="shared" si="51"/>
        <v>0.88817077837837843</v>
      </c>
      <c r="J569" s="249">
        <f t="shared" si="53"/>
        <v>7.7634155675675682</v>
      </c>
      <c r="K569" s="63">
        <f>VLOOKUP(C569,'RAW DATA 2023'!E:BO,20,0)</f>
        <v>132</v>
      </c>
      <c r="L569" s="322">
        <f t="shared" si="54"/>
        <v>1024.770854918919</v>
      </c>
      <c r="M569" s="63"/>
      <c r="Y569" s="63" t="str">
        <f t="shared" si="52"/>
        <v>AC-005-00082</v>
      </c>
    </row>
    <row r="570" spans="1:25">
      <c r="A570" s="63" t="str">
        <f>'RAW DATA 2023'!B563</f>
        <v>Lucky2</v>
      </c>
      <c r="B570" s="63" t="str">
        <f>'RAW DATA 2023'!D563</f>
        <v>AC-005-0009</v>
      </c>
      <c r="C570" s="63" t="str">
        <f t="shared" si="49"/>
        <v>Lucky2AC-005-0009</v>
      </c>
      <c r="D570" s="68">
        <f>VLOOKUP(C570,'RAW DATA 2023'!E:BP,63,0)</f>
        <v>5</v>
      </c>
      <c r="E570" s="63" t="str">
        <f t="shared" si="50"/>
        <v>Lucky25</v>
      </c>
      <c r="F570" s="63">
        <f>ROUND(VLOOKUP(C570,'RAW DATA 2023'!E:BO,23,0),0)</f>
        <v>55</v>
      </c>
      <c r="G570" s="120">
        <f>VLOOKUP(C570,'RAW DATA 2023'!E:BO,26,0)</f>
        <v>0.32822298500000002</v>
      </c>
      <c r="H570" s="101">
        <f>IFERROR(VLOOKUP(F570,STD!B:G,6,0),"")</f>
        <v>0.36</v>
      </c>
      <c r="I570" s="100">
        <f t="shared" si="51"/>
        <v>0.91173051388888904</v>
      </c>
      <c r="J570" s="249">
        <f t="shared" si="53"/>
        <v>8.2346102777777812</v>
      </c>
      <c r="K570" s="63">
        <f>VLOOKUP(C570,'RAW DATA 2023'!E:BO,20,0)</f>
        <v>52.999999999999993</v>
      </c>
      <c r="L570" s="322">
        <f t="shared" si="54"/>
        <v>436.43434472222236</v>
      </c>
      <c r="M570" s="63"/>
      <c r="Y570" s="63" t="str">
        <f t="shared" si="52"/>
        <v>AC-005-00095</v>
      </c>
    </row>
    <row r="571" spans="1:25">
      <c r="A571" s="63" t="str">
        <f>'RAW DATA 2023'!B564</f>
        <v>Lucky2</v>
      </c>
      <c r="B571" s="63" t="str">
        <f>'RAW DATA 2023'!D564</f>
        <v>AC-001-0008</v>
      </c>
      <c r="C571" s="63" t="str">
        <f t="shared" si="49"/>
        <v>Lucky2AC-001-0008</v>
      </c>
      <c r="D571" s="68">
        <f>VLOOKUP(C571,'RAW DATA 2023'!E:BP,63,0)</f>
        <v>2</v>
      </c>
      <c r="E571" s="63" t="str">
        <f t="shared" si="50"/>
        <v>Lucky22</v>
      </c>
      <c r="F571" s="63">
        <f>ROUND(VLOOKUP(C571,'RAW DATA 2023'!E:BO,23,0),0)</f>
        <v>42</v>
      </c>
      <c r="G571" s="120">
        <f>VLOOKUP(C571,'RAW DATA 2023'!E:BO,26,0)</f>
        <v>0.32371836500000001</v>
      </c>
      <c r="H571" s="101">
        <f>IFERROR(VLOOKUP(F571,STD!B:G,6,0),"")</f>
        <v>0.37</v>
      </c>
      <c r="I571" s="100">
        <f t="shared" si="51"/>
        <v>0.87491450000000004</v>
      </c>
      <c r="J571" s="249">
        <f t="shared" si="53"/>
        <v>7.4982900000000008</v>
      </c>
      <c r="K571" s="63">
        <f>VLOOKUP(C571,'RAW DATA 2023'!E:BO,20,0)</f>
        <v>134</v>
      </c>
      <c r="L571" s="322">
        <f t="shared" si="54"/>
        <v>1004.7708600000001</v>
      </c>
      <c r="M571" s="63"/>
      <c r="Y571" s="63" t="str">
        <f t="shared" si="52"/>
        <v>AC-001-00082</v>
      </c>
    </row>
    <row r="572" spans="1:25">
      <c r="A572" s="63" t="str">
        <f>'RAW DATA 2023'!B565</f>
        <v>Lucky2</v>
      </c>
      <c r="B572" s="63" t="str">
        <f>'RAW DATA 2023'!D565</f>
        <v>AC-002-0009</v>
      </c>
      <c r="C572" s="63" t="str">
        <f t="shared" si="49"/>
        <v>Lucky2AC-002-0009</v>
      </c>
      <c r="D572" s="68">
        <f>VLOOKUP(C572,'RAW DATA 2023'!E:BP,63,0)</f>
        <v>5</v>
      </c>
      <c r="E572" s="63" t="str">
        <f t="shared" si="50"/>
        <v>Lucky25</v>
      </c>
      <c r="F572" s="63">
        <f>ROUND(VLOOKUP(C572,'RAW DATA 2023'!E:BO,23,0),0)</f>
        <v>63</v>
      </c>
      <c r="G572" s="120">
        <f>VLOOKUP(C572,'RAW DATA 2023'!E:BO,26,0)</f>
        <v>0.32131283100000002</v>
      </c>
      <c r="H572" s="101">
        <f>IFERROR(VLOOKUP(F572,STD!B:G,6,0),"")</f>
        <v>0.36</v>
      </c>
      <c r="I572" s="100">
        <f t="shared" si="51"/>
        <v>0.89253564166666677</v>
      </c>
      <c r="J572" s="249">
        <f t="shared" si="53"/>
        <v>7.8507128333333354</v>
      </c>
      <c r="K572" s="63">
        <f>VLOOKUP(C572,'RAW DATA 2023'!E:BO,20,0)</f>
        <v>48</v>
      </c>
      <c r="L572" s="322">
        <f t="shared" si="54"/>
        <v>376.83421600000008</v>
      </c>
      <c r="M572" s="63"/>
      <c r="Y572" s="63" t="str">
        <f t="shared" si="52"/>
        <v>AC-002-00095</v>
      </c>
    </row>
    <row r="573" spans="1:25">
      <c r="A573" s="63" t="str">
        <f>'RAW DATA 2023'!B566</f>
        <v>Lucky2</v>
      </c>
      <c r="B573" s="63" t="str">
        <f>'RAW DATA 2023'!D566</f>
        <v>A1-045-0003</v>
      </c>
      <c r="C573" s="63" t="str">
        <f t="shared" si="49"/>
        <v>Lucky2A1-045-0003</v>
      </c>
      <c r="D573" s="68">
        <f>VLOOKUP(C573,'RAW DATA 2023'!E:BP,63,0)</f>
        <v>3</v>
      </c>
      <c r="E573" s="63" t="str">
        <f t="shared" si="50"/>
        <v>Lucky23</v>
      </c>
      <c r="F573" s="63">
        <f>ROUND(VLOOKUP(C573,'RAW DATA 2023'!E:BO,23,0),0)</f>
        <v>27</v>
      </c>
      <c r="G573" s="120">
        <f>VLOOKUP(C573,'RAW DATA 2023'!E:BO,26,0)</f>
        <v>0.31101562500000002</v>
      </c>
      <c r="H573" s="101">
        <f>IFERROR(VLOOKUP(F573,STD!B:G,6,0),"")</f>
        <v>0.39</v>
      </c>
      <c r="I573" s="100">
        <f t="shared" si="51"/>
        <v>0.79747596153846156</v>
      </c>
      <c r="J573" s="249">
        <f t="shared" si="53"/>
        <v>5.9495192307692317</v>
      </c>
      <c r="K573" s="63">
        <f>VLOOKUP(C573,'RAW DATA 2023'!E:BO,20,0)</f>
        <v>128</v>
      </c>
      <c r="L573" s="322">
        <f t="shared" si="54"/>
        <v>761.53846153846166</v>
      </c>
      <c r="M573" s="63"/>
      <c r="Y573" s="63" t="str">
        <f t="shared" si="52"/>
        <v>A1-045-00033</v>
      </c>
    </row>
    <row r="574" spans="1:25">
      <c r="A574" s="63" t="str">
        <f>'RAW DATA 2023'!B567</f>
        <v>Lucky2</v>
      </c>
      <c r="B574" s="63" t="str">
        <f>'RAW DATA 2023'!D567</f>
        <v>AC-002-0008</v>
      </c>
      <c r="C574" s="63" t="str">
        <f t="shared" si="49"/>
        <v>Lucky2AC-002-0008</v>
      </c>
      <c r="D574" s="68">
        <f>VLOOKUP(C574,'RAW DATA 2023'!E:BP,63,0)</f>
        <v>2</v>
      </c>
      <c r="E574" s="63" t="str">
        <f t="shared" si="50"/>
        <v>Lucky22</v>
      </c>
      <c r="F574" s="63">
        <f>ROUND(VLOOKUP(C574,'RAW DATA 2023'!E:BO,23,0),0)</f>
        <v>46</v>
      </c>
      <c r="G574" s="120">
        <f>VLOOKUP(C574,'RAW DATA 2023'!E:BO,26,0)</f>
        <v>0.31019900500000003</v>
      </c>
      <c r="H574" s="101">
        <f>IFERROR(VLOOKUP(F574,STD!B:G,6,0),"")</f>
        <v>0.36</v>
      </c>
      <c r="I574" s="100">
        <f t="shared" si="51"/>
        <v>0.86166390277777793</v>
      </c>
      <c r="J574" s="249">
        <f t="shared" si="53"/>
        <v>7.2332780555555587</v>
      </c>
      <c r="K574" s="63">
        <f>VLOOKUP(C574,'RAW DATA 2023'!E:BO,20,0)</f>
        <v>134</v>
      </c>
      <c r="L574" s="322">
        <f t="shared" si="54"/>
        <v>969.25925944444487</v>
      </c>
      <c r="M574" s="63"/>
      <c r="Y574" s="63" t="str">
        <f t="shared" si="52"/>
        <v>AC-002-00082</v>
      </c>
    </row>
    <row r="575" spans="1:25">
      <c r="A575" s="63" t="str">
        <f>'RAW DATA 2023'!B568</f>
        <v>Lucky2</v>
      </c>
      <c r="B575" s="63" t="str">
        <f>'RAW DATA 2023'!D568</f>
        <v>A1-045-0004</v>
      </c>
      <c r="C575" s="63" t="str">
        <f t="shared" si="49"/>
        <v>Lucky2A1-045-0004</v>
      </c>
      <c r="D575" s="68">
        <f>VLOOKUP(C575,'RAW DATA 2023'!E:BP,63,0)</f>
        <v>6</v>
      </c>
      <c r="E575" s="63" t="str">
        <f t="shared" si="50"/>
        <v>Lucky26</v>
      </c>
      <c r="F575" s="63">
        <f>ROUND(VLOOKUP(C575,'RAW DATA 2023'!E:BO,23,0),0)</f>
        <v>59</v>
      </c>
      <c r="G575" s="120">
        <f>VLOOKUP(C575,'RAW DATA 2023'!E:BO,26,0)</f>
        <v>0.30819220899999999</v>
      </c>
      <c r="H575" s="101">
        <f>IFERROR(VLOOKUP(F575,STD!B:G,6,0),"")</f>
        <v>0.36</v>
      </c>
      <c r="I575" s="100">
        <f t="shared" si="51"/>
        <v>0.85608946944444442</v>
      </c>
      <c r="J575" s="249">
        <f t="shared" si="53"/>
        <v>7.1217893888888888</v>
      </c>
      <c r="K575" s="63">
        <f>VLOOKUP(C575,'RAW DATA 2023'!E:BO,20,0)</f>
        <v>54</v>
      </c>
      <c r="L575" s="322">
        <f t="shared" si="54"/>
        <v>384.57662699999997</v>
      </c>
      <c r="M575" s="63"/>
      <c r="Y575" s="63" t="str">
        <f t="shared" si="52"/>
        <v>A1-045-00046</v>
      </c>
    </row>
    <row r="576" spans="1:25">
      <c r="A576" s="63" t="str">
        <f>'RAW DATA 2023'!B569</f>
        <v>Lucky2</v>
      </c>
      <c r="B576" s="63" t="str">
        <f>'RAW DATA 2023'!D569</f>
        <v>AC-003-0008</v>
      </c>
      <c r="C576" s="63" t="str">
        <f t="shared" si="49"/>
        <v>Lucky2AC-003-0008</v>
      </c>
      <c r="D576" s="68">
        <f>VLOOKUP(C576,'RAW DATA 2023'!E:BP,63,0)</f>
        <v>3</v>
      </c>
      <c r="E576" s="63" t="str">
        <f t="shared" si="50"/>
        <v>Lucky23</v>
      </c>
      <c r="F576" s="63">
        <f>ROUND(VLOOKUP(C576,'RAW DATA 2023'!E:BO,23,0),0)</f>
        <v>51</v>
      </c>
      <c r="G576" s="120">
        <f>VLOOKUP(C576,'RAW DATA 2023'!E:BO,26,0)</f>
        <v>0.30334448200000003</v>
      </c>
      <c r="H576" s="101">
        <f>IFERROR(VLOOKUP(F576,STD!B:G,6,0),"")</f>
        <v>0.36</v>
      </c>
      <c r="I576" s="100">
        <f t="shared" si="51"/>
        <v>0.84262356111111125</v>
      </c>
      <c r="J576" s="249">
        <f t="shared" si="53"/>
        <v>6.852471222222225</v>
      </c>
      <c r="K576" s="63">
        <f>VLOOKUP(C576,'RAW DATA 2023'!E:BO,20,0)</f>
        <v>143</v>
      </c>
      <c r="L576" s="322">
        <f t="shared" si="54"/>
        <v>979.90338477777823</v>
      </c>
      <c r="M576" s="63"/>
      <c r="Y576" s="63" t="str">
        <f t="shared" si="52"/>
        <v>AC-003-00083</v>
      </c>
    </row>
    <row r="577" spans="1:25">
      <c r="A577" s="63" t="str">
        <f>'RAW DATA 2023'!B570</f>
        <v>Lucky2</v>
      </c>
      <c r="B577" s="63" t="str">
        <f>'RAW DATA 2023'!D570</f>
        <v>A1-045-0005</v>
      </c>
      <c r="C577" s="63" t="str">
        <f t="shared" si="49"/>
        <v>Lucky2A1-045-0005</v>
      </c>
      <c r="D577" s="68">
        <f>VLOOKUP(C577,'RAW DATA 2023'!E:BP,63,0)</f>
        <v>9</v>
      </c>
      <c r="E577" s="63" t="str">
        <f t="shared" si="50"/>
        <v>Lucky29</v>
      </c>
      <c r="F577" s="63">
        <f>ROUND(VLOOKUP(C577,'RAW DATA 2023'!E:BO,23,0),0)</f>
        <v>88</v>
      </c>
      <c r="G577" s="120">
        <f>VLOOKUP(C577,'RAW DATA 2023'!E:BO,26,0)</f>
        <v>0.27470862499999998</v>
      </c>
      <c r="H577" s="101">
        <f>IFERROR(VLOOKUP(F577,STD!B:G,6,0),"")</f>
        <v>0.33</v>
      </c>
      <c r="I577" s="100">
        <f t="shared" si="51"/>
        <v>0.83245037878787875</v>
      </c>
      <c r="J577" s="249">
        <f t="shared" si="53"/>
        <v>6.6490075757575751</v>
      </c>
      <c r="K577" s="63">
        <f>VLOOKUP(C577,'RAW DATA 2023'!E:BO,20,0)</f>
        <v>39</v>
      </c>
      <c r="L577" s="322">
        <f t="shared" si="54"/>
        <v>259.31129545454542</v>
      </c>
      <c r="M577" s="63"/>
      <c r="Y577" s="63" t="str">
        <f t="shared" si="52"/>
        <v>A1-045-00059</v>
      </c>
    </row>
    <row r="578" spans="1:25">
      <c r="A578" s="63" t="str">
        <f>'RAW DATA 2023'!B571</f>
        <v>Lucky2</v>
      </c>
      <c r="B578" s="63" t="str">
        <f>'RAW DATA 2023'!D571</f>
        <v>AC-004-0010</v>
      </c>
      <c r="C578" s="63" t="str">
        <f t="shared" si="49"/>
        <v>Lucky2AC-004-0010</v>
      </c>
      <c r="D578" s="68">
        <f>VLOOKUP(C578,'RAW DATA 2023'!E:BP,63,0)</f>
        <v>7</v>
      </c>
      <c r="E578" s="63" t="str">
        <f t="shared" si="50"/>
        <v>Lucky27</v>
      </c>
      <c r="F578" s="63">
        <f>ROUND(VLOOKUP(C578,'RAW DATA 2023'!E:BO,23,0),0)</f>
        <v>73</v>
      </c>
      <c r="G578" s="120">
        <f>VLOOKUP(C578,'RAW DATA 2023'!E:BO,26,0)</f>
        <v>0.26997204400000002</v>
      </c>
      <c r="H578" s="101">
        <f>IFERROR(VLOOKUP(F578,STD!B:G,6,0),"")</f>
        <v>0.35</v>
      </c>
      <c r="I578" s="100">
        <f t="shared" si="51"/>
        <v>0.77134869714285725</v>
      </c>
      <c r="J578" s="249">
        <f t="shared" si="53"/>
        <v>5.4269739428571455</v>
      </c>
      <c r="K578" s="63">
        <f>VLOOKUP(C578,'RAW DATA 2023'!E:BO,20,0)</f>
        <v>49</v>
      </c>
      <c r="L578" s="322">
        <f t="shared" si="54"/>
        <v>265.92172320000014</v>
      </c>
      <c r="M578" s="63"/>
      <c r="Y578" s="63" t="str">
        <f t="shared" si="52"/>
        <v>AC-004-00107</v>
      </c>
    </row>
    <row r="579" spans="1:25">
      <c r="A579" s="63" t="str">
        <f>'RAW DATA 2023'!B572</f>
        <v>Lucky2</v>
      </c>
      <c r="B579" s="63" t="str">
        <f>'RAW DATA 2023'!D572</f>
        <v>AC-005-0010</v>
      </c>
      <c r="C579" s="63" t="str">
        <f t="shared" si="49"/>
        <v>Lucky2AC-005-0010</v>
      </c>
      <c r="D579" s="68">
        <f>VLOOKUP(C579,'RAW DATA 2023'!E:BP,63,0)</f>
        <v>7</v>
      </c>
      <c r="E579" s="63" t="str">
        <f t="shared" si="50"/>
        <v>Lucky27</v>
      </c>
      <c r="F579" s="63">
        <f>ROUND(VLOOKUP(C579,'RAW DATA 2023'!E:BO,23,0),0)</f>
        <v>72</v>
      </c>
      <c r="G579" s="120">
        <f>VLOOKUP(C579,'RAW DATA 2023'!E:BO,26,0)</f>
        <v>0.26311546800000002</v>
      </c>
      <c r="H579" s="101">
        <f>IFERROR(VLOOKUP(F579,STD!B:G,6,0),"")</f>
        <v>0.35</v>
      </c>
      <c r="I579" s="100">
        <f t="shared" si="51"/>
        <v>0.75175848000000012</v>
      </c>
      <c r="J579" s="249">
        <f t="shared" si="53"/>
        <v>5.0351696000000024</v>
      </c>
      <c r="K579" s="63">
        <f>VLOOKUP(C579,'RAW DATA 2023'!E:BO,20,0)</f>
        <v>51</v>
      </c>
      <c r="L579" s="322">
        <f t="shared" si="54"/>
        <v>256.79364960000009</v>
      </c>
      <c r="M579" s="63"/>
      <c r="Y579" s="63" t="str">
        <f t="shared" si="52"/>
        <v>AC-005-00107</v>
      </c>
    </row>
    <row r="580" spans="1:25">
      <c r="A580" s="63" t="str">
        <f>'RAW DATA 2023'!B573</f>
        <v>Lucky2</v>
      </c>
      <c r="B580" s="63" t="str">
        <f>'RAW DATA 2023'!D573</f>
        <v>AC-003-0009</v>
      </c>
      <c r="C580" s="63" t="str">
        <f t="shared" si="49"/>
        <v>Lucky2AC-003-0009</v>
      </c>
      <c r="D580" s="68">
        <f>VLOOKUP(C580,'RAW DATA 2023'!E:BP,63,0)</f>
        <v>7</v>
      </c>
      <c r="E580" s="63" t="str">
        <f t="shared" si="50"/>
        <v>Lucky27</v>
      </c>
      <c r="F580" s="63">
        <f>ROUND(VLOOKUP(C580,'RAW DATA 2023'!E:BO,23,0),0)</f>
        <v>72</v>
      </c>
      <c r="G580" s="120">
        <f>VLOOKUP(C580,'RAW DATA 2023'!E:BO,26,0)</f>
        <v>0.24886831300000001</v>
      </c>
      <c r="H580" s="101">
        <f>IFERROR(VLOOKUP(F580,STD!B:G,6,0),"")</f>
        <v>0.35</v>
      </c>
      <c r="I580" s="100">
        <f t="shared" si="51"/>
        <v>0.71105232285714293</v>
      </c>
      <c r="J580" s="249">
        <f t="shared" si="53"/>
        <v>4.2210464571428581</v>
      </c>
      <c r="K580" s="63">
        <f>VLOOKUP(C580,'RAW DATA 2023'!E:BO,20,0)</f>
        <v>54.000000000000007</v>
      </c>
      <c r="L580" s="322">
        <f t="shared" si="54"/>
        <v>227.93650868571436</v>
      </c>
      <c r="M580" s="63"/>
      <c r="Y580" s="63" t="str">
        <f t="shared" si="52"/>
        <v>AC-003-00097</v>
      </c>
    </row>
    <row r="581" spans="1:25">
      <c r="A581" s="63" t="str">
        <f>'RAW DATA 2023'!B574</f>
        <v>Laemsing</v>
      </c>
      <c r="B581" s="63" t="str">
        <f>'RAW DATA 2023'!D574</f>
        <v>A1-002-0038</v>
      </c>
      <c r="C581" s="63" t="str">
        <f t="shared" si="49"/>
        <v>LaemsingA1-002-0038</v>
      </c>
      <c r="D581" s="68">
        <f>VLOOKUP(C581,'RAW DATA 2023'!E:BP,63,0)</f>
        <v>8</v>
      </c>
      <c r="E581" s="63" t="str">
        <f t="shared" si="50"/>
        <v>Laemsing8</v>
      </c>
      <c r="F581" s="63">
        <f>ROUND(VLOOKUP(C581,'RAW DATA 2023'!E:BO,23,0),0)</f>
        <v>23</v>
      </c>
      <c r="G581" s="120">
        <f>VLOOKUP(C581,'RAW DATA 2023'!E:BO,26,0)</f>
        <v>0.42771551699999999</v>
      </c>
      <c r="H581" s="101">
        <f>IFERROR(VLOOKUP(F581,STD!B:G,6,0),"")</f>
        <v>0.36</v>
      </c>
      <c r="I581" s="100">
        <f t="shared" si="51"/>
        <v>1.1880986583333333</v>
      </c>
      <c r="J581" s="249">
        <f t="shared" si="53"/>
        <v>13.761973166666666</v>
      </c>
      <c r="K581" s="63">
        <f>VLOOKUP(C581,'RAW DATA 2023'!E:BO,20,0)</f>
        <v>116</v>
      </c>
      <c r="L581" s="322">
        <f t="shared" si="54"/>
        <v>1596.3888873333333</v>
      </c>
      <c r="M581" s="63"/>
      <c r="Y581" s="63" t="str">
        <f t="shared" si="52"/>
        <v>A1-002-00388</v>
      </c>
    </row>
    <row r="582" spans="1:25">
      <c r="A582" s="63" t="str">
        <f>'RAW DATA 2023'!B575</f>
        <v>Laemsing</v>
      </c>
      <c r="B582" s="63" t="str">
        <f>'RAW DATA 2023'!D575</f>
        <v>A1-026-0016</v>
      </c>
      <c r="C582" s="63" t="str">
        <f t="shared" si="49"/>
        <v>LaemsingA1-026-0016</v>
      </c>
      <c r="D582" s="68">
        <f>VLOOKUP(C582,'RAW DATA 2023'!E:BP,63,0)</f>
        <v>8</v>
      </c>
      <c r="E582" s="63" t="str">
        <f t="shared" si="50"/>
        <v>Laemsing8</v>
      </c>
      <c r="F582" s="63">
        <f>ROUND(VLOOKUP(C582,'RAW DATA 2023'!E:BO,23,0),0)</f>
        <v>36</v>
      </c>
      <c r="G582" s="120">
        <f>VLOOKUP(C582,'RAW DATA 2023'!E:BO,26,0)</f>
        <v>0.33376909999999999</v>
      </c>
      <c r="H582" s="101">
        <f>IFERROR(VLOOKUP(F582,STD!B:G,6,0),"")</f>
        <v>0.36</v>
      </c>
      <c r="I582" s="100">
        <f t="shared" si="51"/>
        <v>0.92713638888888883</v>
      </c>
      <c r="J582" s="249">
        <f t="shared" si="53"/>
        <v>8.5427277777777775</v>
      </c>
      <c r="K582" s="63">
        <f>VLOOKUP(C582,'RAW DATA 2023'!E:BO,20,0)</f>
        <v>95</v>
      </c>
      <c r="L582" s="322">
        <f t="shared" si="54"/>
        <v>811.55913888888881</v>
      </c>
      <c r="M582" s="63"/>
      <c r="Y582" s="63" t="str">
        <f t="shared" si="52"/>
        <v>A1-026-00168</v>
      </c>
    </row>
    <row r="583" spans="1:25">
      <c r="A583" s="63" t="str">
        <f>'RAW DATA 2023'!B576</f>
        <v>Laemsing</v>
      </c>
      <c r="B583" s="63" t="str">
        <f>'RAW DATA 2023'!D576</f>
        <v>A1-002-0037</v>
      </c>
      <c r="C583" s="63" t="str">
        <f t="shared" si="49"/>
        <v>LaemsingA1-002-0037</v>
      </c>
      <c r="D583" s="68">
        <f>VLOOKUP(C583,'RAW DATA 2023'!E:BP,63,0)</f>
        <v>3</v>
      </c>
      <c r="E583" s="63" t="str">
        <f t="shared" si="50"/>
        <v>Laemsing3</v>
      </c>
      <c r="F583" s="63">
        <f>ROUND(VLOOKUP(C583,'RAW DATA 2023'!E:BO,23,0),0)</f>
        <v>30</v>
      </c>
      <c r="G583" s="120">
        <f>VLOOKUP(C583,'RAW DATA 2023'!E:BO,26,0)</f>
        <v>0.33051384700000003</v>
      </c>
      <c r="H583" s="101">
        <f>IFERROR(VLOOKUP(F583,STD!B:G,6,0),"")</f>
        <v>0.39</v>
      </c>
      <c r="I583" s="100">
        <f t="shared" si="51"/>
        <v>0.84747140256410258</v>
      </c>
      <c r="J583" s="249">
        <f t="shared" si="53"/>
        <v>6.9494280512820517</v>
      </c>
      <c r="K583" s="63">
        <f>VLOOKUP(C583,'RAW DATA 2023'!E:BO,20,0)</f>
        <v>111</v>
      </c>
      <c r="L583" s="322">
        <f t="shared" si="54"/>
        <v>771.38651369230774</v>
      </c>
      <c r="M583" s="63"/>
      <c r="Y583" s="63" t="str">
        <f t="shared" si="52"/>
        <v>A1-002-00373</v>
      </c>
    </row>
    <row r="584" spans="1:25">
      <c r="A584" s="63" t="str">
        <f>'RAW DATA 2023'!B577</f>
        <v>Laemsing</v>
      </c>
      <c r="B584" s="63" t="str">
        <f>'RAW DATA 2023'!D577</f>
        <v>A1-025-0014</v>
      </c>
      <c r="C584" s="63" t="str">
        <f t="shared" si="49"/>
        <v>LaemsingA1-025-0014</v>
      </c>
      <c r="D584" s="68">
        <f>VLOOKUP(C584,'RAW DATA 2023'!E:BP,63,0)</f>
        <v>7</v>
      </c>
      <c r="E584" s="63" t="str">
        <f t="shared" si="50"/>
        <v>Laemsing7</v>
      </c>
      <c r="F584" s="63">
        <f>ROUND(VLOOKUP(C584,'RAW DATA 2023'!E:BO,23,0),0)</f>
        <v>48</v>
      </c>
      <c r="G584" s="120">
        <f>VLOOKUP(C584,'RAW DATA 2023'!E:BO,26,0)</f>
        <v>0.32140974999999999</v>
      </c>
      <c r="H584" s="101">
        <f>IFERROR(VLOOKUP(F584,STD!B:G,6,0),"")</f>
        <v>0.36</v>
      </c>
      <c r="I584" s="100">
        <f t="shared" si="51"/>
        <v>0.89280486111111113</v>
      </c>
      <c r="J584" s="249">
        <f t="shared" si="53"/>
        <v>7.856097222222223</v>
      </c>
      <c r="K584" s="63">
        <f>VLOOKUP(C584,'RAW DATA 2023'!E:BO,20,0)</f>
        <v>69</v>
      </c>
      <c r="L584" s="322">
        <f t="shared" si="54"/>
        <v>542.07070833333341</v>
      </c>
      <c r="M584" s="63"/>
      <c r="Y584" s="63" t="str">
        <f t="shared" si="52"/>
        <v>A1-025-00147</v>
      </c>
    </row>
    <row r="585" spans="1:25">
      <c r="A585" s="63" t="str">
        <f>'RAW DATA 2023'!B578</f>
        <v>Laemsing</v>
      </c>
      <c r="B585" s="63" t="str">
        <f>'RAW DATA 2023'!D578</f>
        <v>A1-019-0029</v>
      </c>
      <c r="C585" s="63" t="str">
        <f t="shared" si="49"/>
        <v>LaemsingA1-019-0029</v>
      </c>
      <c r="D585" s="68">
        <f>VLOOKUP(C585,'RAW DATA 2023'!E:BP,63,0)</f>
        <v>7</v>
      </c>
      <c r="E585" s="63" t="str">
        <f t="shared" si="50"/>
        <v>Laemsing7</v>
      </c>
      <c r="F585" s="63">
        <f>ROUND(VLOOKUP(C585,'RAW DATA 2023'!E:BO,23,0),0)</f>
        <v>53</v>
      </c>
      <c r="G585" s="120">
        <f>VLOOKUP(C585,'RAW DATA 2023'!E:BO,26,0)</f>
        <v>0.31979055899999997</v>
      </c>
      <c r="H585" s="101">
        <f>IFERROR(VLOOKUP(F585,STD!B:G,6,0),"")</f>
        <v>0.36</v>
      </c>
      <c r="I585" s="100">
        <f t="shared" si="51"/>
        <v>0.88830710833333326</v>
      </c>
      <c r="J585" s="249">
        <f t="shared" si="53"/>
        <v>7.7661421666666648</v>
      </c>
      <c r="K585" s="63">
        <f>VLOOKUP(C585,'RAW DATA 2023'!E:BO,20,0)</f>
        <v>64</v>
      </c>
      <c r="L585" s="322">
        <f t="shared" si="54"/>
        <v>497.03309866666655</v>
      </c>
      <c r="M585" s="63"/>
      <c r="Y585" s="63" t="str">
        <f t="shared" si="52"/>
        <v>A1-019-00297</v>
      </c>
    </row>
    <row r="586" spans="1:25">
      <c r="A586" s="63" t="str">
        <f>'RAW DATA 2023'!B579</f>
        <v>Laemsing</v>
      </c>
      <c r="B586" s="63" t="str">
        <f>'RAW DATA 2023'!D579</f>
        <v>A1-019-0028</v>
      </c>
      <c r="C586" s="63" t="str">
        <f t="shared" ref="C586:C649" si="55">A586&amp;B586</f>
        <v>LaemsingA1-019-0028</v>
      </c>
      <c r="D586" s="68">
        <f>VLOOKUP(C586,'RAW DATA 2023'!E:BP,63,0)</f>
        <v>4</v>
      </c>
      <c r="E586" s="63" t="str">
        <f t="shared" ref="E586:E649" si="56">A586&amp;D586</f>
        <v>Laemsing4</v>
      </c>
      <c r="F586" s="63">
        <f>ROUND(VLOOKUP(C586,'RAW DATA 2023'!E:BO,23,0),0)</f>
        <v>31</v>
      </c>
      <c r="G586" s="120">
        <f>VLOOKUP(C586,'RAW DATA 2023'!E:BO,26,0)</f>
        <v>0.30815756799999999</v>
      </c>
      <c r="H586" s="101">
        <f>IFERROR(VLOOKUP(F586,STD!B:G,6,0),"")</f>
        <v>0.39</v>
      </c>
      <c r="I586" s="100">
        <f t="shared" ref="I586:I649" si="57">IFERROR(G586/H586,0)</f>
        <v>0.79014761025641023</v>
      </c>
      <c r="J586" s="249">
        <f t="shared" si="53"/>
        <v>5.8029522051282045</v>
      </c>
      <c r="K586" s="63">
        <f>VLOOKUP(C586,'RAW DATA 2023'!E:BO,20,0)</f>
        <v>124</v>
      </c>
      <c r="L586" s="322">
        <f t="shared" si="54"/>
        <v>719.56607343589735</v>
      </c>
      <c r="M586" s="63"/>
      <c r="Y586" s="63" t="str">
        <f t="shared" ref="Y586:Y649" si="58">B586&amp;D586</f>
        <v>A1-019-00284</v>
      </c>
    </row>
    <row r="587" spans="1:25">
      <c r="A587" s="63" t="str">
        <f>'RAW DATA 2023'!B580</f>
        <v>Laemsing</v>
      </c>
      <c r="B587" s="63" t="str">
        <f>'RAW DATA 2023'!D580</f>
        <v>A1-025-0013</v>
      </c>
      <c r="C587" s="63" t="str">
        <f t="shared" si="55"/>
        <v>LaemsingA1-025-0013</v>
      </c>
      <c r="D587" s="68">
        <f>VLOOKUP(C587,'RAW DATA 2023'!E:BP,63,0)</f>
        <v>4</v>
      </c>
      <c r="E587" s="63" t="str">
        <f t="shared" si="56"/>
        <v>Laemsing4</v>
      </c>
      <c r="F587" s="63">
        <f>ROUND(VLOOKUP(C587,'RAW DATA 2023'!E:BO,23,0),0)</f>
        <v>30</v>
      </c>
      <c r="G587" s="120">
        <f>VLOOKUP(C587,'RAW DATA 2023'!E:BO,26,0)</f>
        <v>0.28460493799999997</v>
      </c>
      <c r="H587" s="101">
        <f>IFERROR(VLOOKUP(F587,STD!B:G,6,0),"")</f>
        <v>0.39</v>
      </c>
      <c r="I587" s="100">
        <f t="shared" si="57"/>
        <v>0.72975625128205124</v>
      </c>
      <c r="J587" s="249">
        <f t="shared" ref="J587:J650" si="59">IF(I587&gt;0.5,((I587-$B$4)*$B$7),0)</f>
        <v>4.5951250256410248</v>
      </c>
      <c r="K587" s="63">
        <f>VLOOKUP(C587,'RAW DATA 2023'!E:BO,20,0)</f>
        <v>129</v>
      </c>
      <c r="L587" s="322">
        <f t="shared" ref="L587:L650" si="60">J587*K587</f>
        <v>592.77112830769215</v>
      </c>
      <c r="M587" s="63"/>
      <c r="Y587" s="63" t="str">
        <f t="shared" si="58"/>
        <v>A1-025-00134</v>
      </c>
    </row>
    <row r="588" spans="1:25">
      <c r="A588" s="63" t="str">
        <f>'RAW DATA 2023'!B581</f>
        <v>Laemsing</v>
      </c>
      <c r="B588" s="63" t="str">
        <f>'RAW DATA 2023'!D581</f>
        <v>A1-018-0026</v>
      </c>
      <c r="C588" s="63" t="str">
        <f t="shared" si="55"/>
        <v>LaemsingA1-018-0026</v>
      </c>
      <c r="D588" s="68">
        <f>VLOOKUP(C588,'RAW DATA 2023'!E:BP,63,0)</f>
        <v>6</v>
      </c>
      <c r="E588" s="63" t="str">
        <f t="shared" si="56"/>
        <v>Laemsing6</v>
      </c>
      <c r="F588" s="63">
        <f>ROUND(VLOOKUP(C588,'RAW DATA 2023'!E:BO,23,0),0)</f>
        <v>33</v>
      </c>
      <c r="G588" s="120">
        <f>VLOOKUP(C588,'RAW DATA 2023'!E:BO,26,0)</f>
        <v>0.28307142899999999</v>
      </c>
      <c r="H588" s="101">
        <f>IFERROR(VLOOKUP(F588,STD!B:G,6,0),"")</f>
        <v>0.39</v>
      </c>
      <c r="I588" s="100">
        <f t="shared" si="57"/>
        <v>0.72582417692307688</v>
      </c>
      <c r="J588" s="249">
        <f t="shared" si="59"/>
        <v>4.5164835384615376</v>
      </c>
      <c r="K588" s="63">
        <f>VLOOKUP(C588,'RAW DATA 2023'!E:BO,20,0)</f>
        <v>140</v>
      </c>
      <c r="L588" s="322">
        <f t="shared" si="60"/>
        <v>632.30769538461527</v>
      </c>
      <c r="M588" s="63"/>
      <c r="Y588" s="63" t="str">
        <f t="shared" si="58"/>
        <v>A1-018-00266</v>
      </c>
    </row>
    <row r="589" spans="1:25">
      <c r="A589" s="63" t="str">
        <f>'RAW DATA 2023'!B582</f>
        <v>Laemsing</v>
      </c>
      <c r="B589" s="63" t="str">
        <f>'RAW DATA 2023'!D582</f>
        <v>A1-026-0015</v>
      </c>
      <c r="C589" s="63" t="str">
        <f t="shared" si="55"/>
        <v>LaemsingA1-026-0015</v>
      </c>
      <c r="D589" s="68">
        <f>VLOOKUP(C589,'RAW DATA 2023'!E:BP,63,0)</f>
        <v>4</v>
      </c>
      <c r="E589" s="63" t="str">
        <f t="shared" si="56"/>
        <v>Laemsing4</v>
      </c>
      <c r="F589" s="63">
        <f>ROUND(VLOOKUP(C589,'RAW DATA 2023'!E:BO,23,0),0)</f>
        <v>31</v>
      </c>
      <c r="G589" s="120">
        <f>VLOOKUP(C589,'RAW DATA 2023'!E:BO,26,0)</f>
        <v>0.282514286</v>
      </c>
      <c r="H589" s="101">
        <f>IFERROR(VLOOKUP(F589,STD!B:G,6,0),"")</f>
        <v>0.39</v>
      </c>
      <c r="I589" s="100">
        <f t="shared" si="57"/>
        <v>0.72439560512820511</v>
      </c>
      <c r="J589" s="249">
        <f t="shared" si="59"/>
        <v>4.4879121025641027</v>
      </c>
      <c r="K589" s="63">
        <f>VLOOKUP(C589,'RAW DATA 2023'!E:BO,20,0)</f>
        <v>125.00000000000001</v>
      </c>
      <c r="L589" s="322">
        <f t="shared" si="60"/>
        <v>560.98901282051293</v>
      </c>
      <c r="M589" s="63"/>
      <c r="Y589" s="63" t="str">
        <f t="shared" si="58"/>
        <v>A1-026-00154</v>
      </c>
    </row>
    <row r="590" spans="1:25">
      <c r="A590" s="63" t="str">
        <f>'RAW DATA 2023'!B583</f>
        <v>Laemsing</v>
      </c>
      <c r="B590" s="63" t="str">
        <f>'RAW DATA 2023'!D583</f>
        <v>A1-018-0025</v>
      </c>
      <c r="C590" s="63" t="str">
        <f t="shared" si="55"/>
        <v>LaemsingA1-018-0025</v>
      </c>
      <c r="D590" s="68">
        <f>VLOOKUP(C590,'RAW DATA 2023'!E:BP,63,0)</f>
        <v>1</v>
      </c>
      <c r="E590" s="63" t="str">
        <f t="shared" si="56"/>
        <v>Laemsing1</v>
      </c>
      <c r="F590" s="63">
        <f>ROUND(VLOOKUP(C590,'RAW DATA 2023'!E:BO,23,0),0)</f>
        <v>0</v>
      </c>
      <c r="G590" s="120">
        <f>VLOOKUP(C590,'RAW DATA 2023'!E:BO,26,0)</f>
        <v>0</v>
      </c>
      <c r="H590" s="101" t="str">
        <f>IFERROR(VLOOKUP(F590,STD!B:G,6,0),"")</f>
        <v/>
      </c>
      <c r="I590" s="100">
        <f t="shared" si="57"/>
        <v>0</v>
      </c>
      <c r="J590" s="249">
        <f t="shared" si="59"/>
        <v>0</v>
      </c>
      <c r="K590" s="63">
        <f>VLOOKUP(C590,'RAW DATA 2023'!E:BO,20,0)</f>
        <v>0</v>
      </c>
      <c r="L590" s="322">
        <f t="shared" si="60"/>
        <v>0</v>
      </c>
      <c r="M590" s="63"/>
      <c r="Y590" s="63" t="str">
        <f t="shared" si="58"/>
        <v>A1-018-00251</v>
      </c>
    </row>
    <row r="591" spans="1:25">
      <c r="A591" s="63" t="str">
        <f>'RAW DATA 2023'!B584</f>
        <v>Laemsing</v>
      </c>
      <c r="B591" s="63" t="str">
        <f>'RAW DATA 2023'!D584</f>
        <v>B1-028-0014</v>
      </c>
      <c r="C591" s="63" t="str">
        <f t="shared" si="55"/>
        <v>LaemsingB1-028-0014</v>
      </c>
      <c r="D591" s="68">
        <f>VLOOKUP(C591,'RAW DATA 2023'!E:BP,63,0)</f>
        <v>6</v>
      </c>
      <c r="E591" s="63" t="str">
        <f t="shared" si="56"/>
        <v>Laemsing6</v>
      </c>
      <c r="F591" s="63">
        <f>ROUND(VLOOKUP(C591,'RAW DATA 2023'!E:BO,23,0),0)</f>
        <v>26</v>
      </c>
      <c r="G591" s="120">
        <f>VLOOKUP(C591,'RAW DATA 2023'!E:BO,26,0)</f>
        <v>0.36807004500000001</v>
      </c>
      <c r="H591" s="101">
        <f>IFERROR(VLOOKUP(F591,STD!B:G,6,0),"")</f>
        <v>0.37</v>
      </c>
      <c r="I591" s="100">
        <f t="shared" si="57"/>
        <v>0.9947839054054054</v>
      </c>
      <c r="J591" s="249">
        <f t="shared" si="59"/>
        <v>9.8956781081081076</v>
      </c>
      <c r="K591" s="63">
        <f>VLOOKUP(C591,'RAW DATA 2023'!E:BO,20,0)</f>
        <v>122</v>
      </c>
      <c r="L591" s="322">
        <f t="shared" si="60"/>
        <v>1207.272729189189</v>
      </c>
      <c r="M591" s="63"/>
      <c r="Y591" s="63" t="str">
        <f t="shared" si="58"/>
        <v>B1-028-00146</v>
      </c>
    </row>
    <row r="592" spans="1:25">
      <c r="A592" s="63" t="str">
        <f>'RAW DATA 2023'!B585</f>
        <v>Laemsing</v>
      </c>
      <c r="B592" s="63" t="str">
        <f>'RAW DATA 2023'!D585</f>
        <v>B1-013-0033</v>
      </c>
      <c r="C592" s="63" t="str">
        <f t="shared" si="55"/>
        <v>LaemsingB1-013-0033</v>
      </c>
      <c r="D592" s="68">
        <f>VLOOKUP(C592,'RAW DATA 2023'!E:BP,63,0)</f>
        <v>7</v>
      </c>
      <c r="E592" s="63" t="str">
        <f t="shared" si="56"/>
        <v>Laemsing7</v>
      </c>
      <c r="F592" s="63">
        <f>ROUND(VLOOKUP(C592,'RAW DATA 2023'!E:BO,23,0),0)</f>
        <v>41</v>
      </c>
      <c r="G592" s="120">
        <f>VLOOKUP(C592,'RAW DATA 2023'!E:BO,26,0)</f>
        <v>0.351693694</v>
      </c>
      <c r="H592" s="101">
        <f>IFERROR(VLOOKUP(F592,STD!B:G,6,0),"")</f>
        <v>0.37</v>
      </c>
      <c r="I592" s="100">
        <f t="shared" si="57"/>
        <v>0.95052349729729735</v>
      </c>
      <c r="J592" s="249">
        <f t="shared" si="59"/>
        <v>9.0104699459459461</v>
      </c>
      <c r="K592" s="63">
        <f>VLOOKUP(C592,'RAW DATA 2023'!E:BO,20,0)</f>
        <v>75</v>
      </c>
      <c r="L592" s="322">
        <f t="shared" si="60"/>
        <v>675.78524594594592</v>
      </c>
      <c r="M592" s="63"/>
      <c r="Y592" s="63" t="str">
        <f t="shared" si="58"/>
        <v>B1-013-00337</v>
      </c>
    </row>
    <row r="593" spans="1:25">
      <c r="A593" s="63" t="str">
        <f>'RAW DATA 2023'!B586</f>
        <v>Laemsing</v>
      </c>
      <c r="B593" s="63" t="str">
        <f>'RAW DATA 2023'!D586</f>
        <v>B1-027-0015</v>
      </c>
      <c r="C593" s="63" t="str">
        <f t="shared" si="55"/>
        <v>LaemsingB1-027-0015</v>
      </c>
      <c r="D593" s="68">
        <f>VLOOKUP(C593,'RAW DATA 2023'!E:BP,63,0)</f>
        <v>7</v>
      </c>
      <c r="E593" s="63" t="str">
        <f t="shared" si="56"/>
        <v>Laemsing7</v>
      </c>
      <c r="F593" s="63">
        <f>ROUND(VLOOKUP(C593,'RAW DATA 2023'!E:BO,23,0),0)</f>
        <v>41</v>
      </c>
      <c r="G593" s="120">
        <f>VLOOKUP(C593,'RAW DATA 2023'!E:BO,26,0)</f>
        <v>0.344957193</v>
      </c>
      <c r="H593" s="101">
        <f>IFERROR(VLOOKUP(F593,STD!B:G,6,0),"")</f>
        <v>0.37</v>
      </c>
      <c r="I593" s="100">
        <f t="shared" si="57"/>
        <v>0.93231673783783786</v>
      </c>
      <c r="J593" s="249">
        <f t="shared" si="59"/>
        <v>8.6463347567567581</v>
      </c>
      <c r="K593" s="63">
        <f>VLOOKUP(C593,'RAW DATA 2023'!E:BO,20,0)</f>
        <v>75</v>
      </c>
      <c r="L593" s="322">
        <f t="shared" si="60"/>
        <v>648.47510675675687</v>
      </c>
      <c r="M593" s="63"/>
      <c r="Y593" s="63" t="str">
        <f t="shared" si="58"/>
        <v>B1-027-00157</v>
      </c>
    </row>
    <row r="594" spans="1:25">
      <c r="A594" s="63" t="str">
        <f>'RAW DATA 2023'!B587</f>
        <v>Laemsing</v>
      </c>
      <c r="B594" s="63" t="str">
        <f>'RAW DATA 2023'!D587</f>
        <v>B1-006-0040</v>
      </c>
      <c r="C594" s="63" t="str">
        <f t="shared" si="55"/>
        <v>LaemsingB1-006-0040</v>
      </c>
      <c r="D594" s="68">
        <f>VLOOKUP(C594,'RAW DATA 2023'!E:BP,63,0)</f>
        <v>3</v>
      </c>
      <c r="E594" s="63" t="str">
        <f t="shared" si="56"/>
        <v>Laemsing3</v>
      </c>
      <c r="F594" s="63">
        <f>ROUND(VLOOKUP(C594,'RAW DATA 2023'!E:BO,23,0),0)</f>
        <v>32</v>
      </c>
      <c r="G594" s="120">
        <f>VLOOKUP(C594,'RAW DATA 2023'!E:BO,26,0)</f>
        <v>0.304362519</v>
      </c>
      <c r="H594" s="101">
        <f>IFERROR(VLOOKUP(F594,STD!B:G,6,0),"")</f>
        <v>0.39</v>
      </c>
      <c r="I594" s="100">
        <f t="shared" si="57"/>
        <v>0.78041671538461532</v>
      </c>
      <c r="J594" s="249">
        <f t="shared" si="59"/>
        <v>5.6083343076923065</v>
      </c>
      <c r="K594" s="63">
        <f>VLOOKUP(C594,'RAW DATA 2023'!E:BO,20,0)</f>
        <v>105</v>
      </c>
      <c r="L594" s="322">
        <f t="shared" si="60"/>
        <v>588.87510230769215</v>
      </c>
      <c r="M594" s="63"/>
      <c r="Y594" s="63" t="str">
        <f t="shared" si="58"/>
        <v>B1-006-00403</v>
      </c>
    </row>
    <row r="595" spans="1:25">
      <c r="A595" s="63" t="str">
        <f>'RAW DATA 2023'!B588</f>
        <v>Laemsing</v>
      </c>
      <c r="B595" s="63" t="str">
        <f>'RAW DATA 2023'!D588</f>
        <v>B1-027-0014</v>
      </c>
      <c r="C595" s="63" t="str">
        <f t="shared" si="55"/>
        <v>LaemsingB1-027-0014</v>
      </c>
      <c r="D595" s="68">
        <f>VLOOKUP(C595,'RAW DATA 2023'!E:BP,63,0)</f>
        <v>4</v>
      </c>
      <c r="E595" s="63" t="str">
        <f t="shared" si="56"/>
        <v>Laemsing4</v>
      </c>
      <c r="F595" s="63">
        <f>ROUND(VLOOKUP(C595,'RAW DATA 2023'!E:BO,23,0),0)</f>
        <v>29</v>
      </c>
      <c r="G595" s="120">
        <f>VLOOKUP(C595,'RAW DATA 2023'!E:BO,26,0)</f>
        <v>0.30037878800000001</v>
      </c>
      <c r="H595" s="101">
        <f>IFERROR(VLOOKUP(F595,STD!B:G,6,0),"")</f>
        <v>0.4</v>
      </c>
      <c r="I595" s="100">
        <f t="shared" si="57"/>
        <v>0.75094696999999999</v>
      </c>
      <c r="J595" s="249">
        <f t="shared" si="59"/>
        <v>5.0189393999999998</v>
      </c>
      <c r="K595" s="63">
        <f>VLOOKUP(C595,'RAW DATA 2023'!E:BO,20,0)</f>
        <v>132</v>
      </c>
      <c r="L595" s="322">
        <f t="shared" si="60"/>
        <v>662.50000079999995</v>
      </c>
      <c r="M595" s="63"/>
      <c r="Y595" s="63" t="str">
        <f t="shared" si="58"/>
        <v>B1-027-00144</v>
      </c>
    </row>
    <row r="596" spans="1:25">
      <c r="A596" s="63" t="str">
        <f>'RAW DATA 2023'!B589</f>
        <v>Laemsing</v>
      </c>
      <c r="B596" s="63" t="str">
        <f>'RAW DATA 2023'!D589</f>
        <v>B1-012-0030</v>
      </c>
      <c r="C596" s="63" t="str">
        <f t="shared" si="55"/>
        <v>LaemsingB1-012-0030</v>
      </c>
      <c r="D596" s="68">
        <f>VLOOKUP(C596,'RAW DATA 2023'!E:BP,63,0)</f>
        <v>6</v>
      </c>
      <c r="E596" s="63" t="str">
        <f t="shared" si="56"/>
        <v>Laemsing6</v>
      </c>
      <c r="F596" s="63">
        <f>ROUND(VLOOKUP(C596,'RAW DATA 2023'!E:BO,23,0),0)</f>
        <v>38</v>
      </c>
      <c r="G596" s="120">
        <f>VLOOKUP(C596,'RAW DATA 2023'!E:BO,26,0)</f>
        <v>0.28934731899999999</v>
      </c>
      <c r="H596" s="101">
        <f>IFERROR(VLOOKUP(F596,STD!B:G,6,0),"")</f>
        <v>0.37</v>
      </c>
      <c r="I596" s="100">
        <f t="shared" si="57"/>
        <v>0.78201978108108106</v>
      </c>
      <c r="J596" s="249">
        <f t="shared" si="59"/>
        <v>5.6403956216216216</v>
      </c>
      <c r="K596" s="63">
        <f>VLOOKUP(C596,'RAW DATA 2023'!E:BO,20,0)</f>
        <v>143</v>
      </c>
      <c r="L596" s="322">
        <f t="shared" si="60"/>
        <v>806.57657389189194</v>
      </c>
      <c r="M596" s="63"/>
      <c r="Y596" s="63" t="str">
        <f t="shared" si="58"/>
        <v>B1-012-00306</v>
      </c>
    </row>
    <row r="597" spans="1:25">
      <c r="A597" s="63" t="str">
        <f>'RAW DATA 2023'!B590</f>
        <v>Laemsing</v>
      </c>
      <c r="B597" s="63" t="str">
        <f>'RAW DATA 2023'!D590</f>
        <v>B1-013-0032</v>
      </c>
      <c r="C597" s="63" t="str">
        <f t="shared" si="55"/>
        <v>LaemsingB1-013-0032</v>
      </c>
      <c r="D597" s="68">
        <f>VLOOKUP(C597,'RAW DATA 2023'!E:BP,63,0)</f>
        <v>4</v>
      </c>
      <c r="E597" s="63" t="str">
        <f t="shared" si="56"/>
        <v>Laemsing4</v>
      </c>
      <c r="F597" s="63">
        <f>ROUND(VLOOKUP(C597,'RAW DATA 2023'!E:BO,23,0),0)</f>
        <v>28</v>
      </c>
      <c r="G597" s="120">
        <f>VLOOKUP(C597,'RAW DATA 2023'!E:BO,26,0)</f>
        <v>0.275842384</v>
      </c>
      <c r="H597" s="101">
        <f>IFERROR(VLOOKUP(F597,STD!B:G,6,0),"")</f>
        <v>0.41</v>
      </c>
      <c r="I597" s="100">
        <f t="shared" si="57"/>
        <v>0.67278630243902438</v>
      </c>
      <c r="J597" s="249">
        <f t="shared" si="59"/>
        <v>3.4557260487804875</v>
      </c>
      <c r="K597" s="63">
        <f>VLOOKUP(C597,'RAW DATA 2023'!E:BO,20,0)</f>
        <v>133</v>
      </c>
      <c r="L597" s="322">
        <f t="shared" si="60"/>
        <v>459.61156448780486</v>
      </c>
      <c r="M597" s="63"/>
      <c r="Y597" s="63" t="str">
        <f t="shared" si="58"/>
        <v>B1-013-00324</v>
      </c>
    </row>
    <row r="598" spans="1:25">
      <c r="A598" s="63" t="str">
        <f>'RAW DATA 2023'!B591</f>
        <v>Laemsing</v>
      </c>
      <c r="B598" s="63" t="str">
        <f>'RAW DATA 2023'!D591</f>
        <v>B1-028-0013</v>
      </c>
      <c r="C598" s="63" t="str">
        <f t="shared" si="55"/>
        <v>LaemsingB1-028-0013</v>
      </c>
      <c r="D598" s="68">
        <f>VLOOKUP(C598,'RAW DATA 2023'!E:BP,63,0)</f>
        <v>1</v>
      </c>
      <c r="E598" s="63" t="str">
        <f t="shared" si="56"/>
        <v>Laemsing1</v>
      </c>
      <c r="F598" s="63">
        <f>ROUND(VLOOKUP(C598,'RAW DATA 2023'!E:BO,23,0),0)</f>
        <v>72</v>
      </c>
      <c r="G598" s="120">
        <f>VLOOKUP(C598,'RAW DATA 2023'!E:BO,26,0)</f>
        <v>0.22614814799999999</v>
      </c>
      <c r="H598" s="101">
        <f>IFERROR(VLOOKUP(F598,STD!B:G,6,0),"")</f>
        <v>0.35</v>
      </c>
      <c r="I598" s="100">
        <f t="shared" si="57"/>
        <v>0.64613756571428571</v>
      </c>
      <c r="J598" s="249">
        <f t="shared" si="59"/>
        <v>2.9227513142857142</v>
      </c>
      <c r="K598" s="63">
        <f>VLOOKUP(C598,'RAW DATA 2023'!E:BO,20,0)</f>
        <v>60.000000000000007</v>
      </c>
      <c r="L598" s="322">
        <f t="shared" si="60"/>
        <v>175.36507885714286</v>
      </c>
      <c r="M598" s="63"/>
      <c r="Y598" s="63" t="str">
        <f t="shared" si="58"/>
        <v>B1-028-00131</v>
      </c>
    </row>
    <row r="599" spans="1:25">
      <c r="A599" s="63" t="str">
        <f>'RAW DATA 2023'!B592</f>
        <v>Laemsing</v>
      </c>
      <c r="B599" s="63" t="str">
        <f>'RAW DATA 2023'!D592</f>
        <v>B1-012-0031</v>
      </c>
      <c r="C599" s="63" t="str">
        <f t="shared" si="55"/>
        <v>LaemsingB1-012-0031</v>
      </c>
      <c r="D599" s="68">
        <f>VLOOKUP(C599,'RAW DATA 2023'!E:BP,63,0)</f>
        <v>7</v>
      </c>
      <c r="E599" s="63" t="str">
        <f t="shared" si="56"/>
        <v>Laemsing7</v>
      </c>
      <c r="F599" s="63">
        <f>ROUND(VLOOKUP(C599,'RAW DATA 2023'!E:BO,23,0),0)</f>
        <v>156</v>
      </c>
      <c r="G599" s="120">
        <f>VLOOKUP(C599,'RAW DATA 2023'!E:BO,26,0)</f>
        <v>0.20659504900000003</v>
      </c>
      <c r="H599" s="101">
        <f>IFERROR(VLOOKUP(F599,STD!B:G,6,0),"")</f>
        <v>0.26</v>
      </c>
      <c r="I599" s="100">
        <f t="shared" si="57"/>
        <v>0.79459634230769238</v>
      </c>
      <c r="J599" s="249">
        <f t="shared" si="59"/>
        <v>5.8919268461538472</v>
      </c>
      <c r="K599" s="63">
        <f>VLOOKUP(C599,'RAW DATA 2023'!E:BO,20,0)</f>
        <v>29</v>
      </c>
      <c r="L599" s="322">
        <f t="shared" si="60"/>
        <v>170.86587853846157</v>
      </c>
      <c r="M599" s="63"/>
      <c r="Y599" s="63" t="str">
        <f t="shared" si="58"/>
        <v>B1-012-00317</v>
      </c>
    </row>
    <row r="600" spans="1:25">
      <c r="A600" s="63" t="str">
        <f>'RAW DATA 2023'!B593</f>
        <v>Laemsing</v>
      </c>
      <c r="B600" s="63" t="str">
        <f>'RAW DATA 2023'!D593</f>
        <v>B1-006-0041</v>
      </c>
      <c r="C600" s="63" t="str">
        <f t="shared" si="55"/>
        <v>LaemsingB1-006-0041</v>
      </c>
      <c r="D600" s="68">
        <f>VLOOKUP(C600,'RAW DATA 2023'!E:BP,63,0)</f>
        <v>8</v>
      </c>
      <c r="E600" s="63" t="str">
        <f t="shared" si="56"/>
        <v>Laemsing8</v>
      </c>
      <c r="F600" s="63">
        <f>ROUND(VLOOKUP(C600,'RAW DATA 2023'!E:BO,23,0),0)</f>
        <v>28</v>
      </c>
      <c r="G600" s="120">
        <f>VLOOKUP(C600,'RAW DATA 2023'!E:BO,26,0)</f>
        <v>0.361725146</v>
      </c>
      <c r="H600" s="101">
        <f>IFERROR(VLOOKUP(F600,STD!B:G,6,0),"")</f>
        <v>0.41</v>
      </c>
      <c r="I600" s="100">
        <f t="shared" si="57"/>
        <v>0.88225645365853667</v>
      </c>
      <c r="J600" s="249">
        <f t="shared" si="59"/>
        <v>7.6451290731707333</v>
      </c>
      <c r="K600" s="63">
        <f>VLOOKUP(C600,'RAW DATA 2023'!E:BO,20,0)</f>
        <v>114</v>
      </c>
      <c r="L600" s="322">
        <f t="shared" si="60"/>
        <v>871.54471434146365</v>
      </c>
      <c r="M600" s="63"/>
      <c r="Y600" s="63" t="str">
        <f t="shared" si="58"/>
        <v>B1-006-00418</v>
      </c>
    </row>
    <row r="601" spans="1:25">
      <c r="A601" s="63" t="str">
        <f>'RAW DATA 2023'!B594</f>
        <v>Laemsing</v>
      </c>
      <c r="B601" s="63" t="str">
        <f>'RAW DATA 2023'!D594</f>
        <v>B1-028-0016</v>
      </c>
      <c r="C601" s="63" t="str">
        <f t="shared" si="55"/>
        <v>LaemsingB1-028-0016</v>
      </c>
      <c r="D601" s="68">
        <f>VLOOKUP(C601,'RAW DATA 2023'!E:BP,63,0)</f>
        <v>11</v>
      </c>
      <c r="E601" s="63" t="str">
        <f t="shared" si="56"/>
        <v>Laemsing11</v>
      </c>
      <c r="F601" s="63">
        <f>ROUND(VLOOKUP(C601,'RAW DATA 2023'!E:BO,23,0),0)</f>
        <v>64</v>
      </c>
      <c r="G601" s="120">
        <f>VLOOKUP(C601,'RAW DATA 2023'!E:BO,26,0)</f>
        <v>0.28287036999999998</v>
      </c>
      <c r="H601" s="101">
        <f>IFERROR(VLOOKUP(F601,STD!B:G,6,0),"")</f>
        <v>0.36</v>
      </c>
      <c r="I601" s="100">
        <f t="shared" si="57"/>
        <v>0.78575102777777772</v>
      </c>
      <c r="J601" s="249">
        <f t="shared" si="59"/>
        <v>5.7150205555555544</v>
      </c>
      <c r="K601" s="63">
        <f>VLOOKUP(C601,'RAW DATA 2023'!E:BO,20,0)</f>
        <v>54</v>
      </c>
      <c r="L601" s="322">
        <f t="shared" si="60"/>
        <v>308.61110999999994</v>
      </c>
      <c r="M601" s="63"/>
      <c r="Y601" s="63" t="str">
        <f t="shared" si="58"/>
        <v>B1-028-001611</v>
      </c>
    </row>
    <row r="602" spans="1:25">
      <c r="A602" s="63" t="str">
        <f>'RAW DATA 2023'!B595</f>
        <v>Laemsing</v>
      </c>
      <c r="B602" s="63" t="str">
        <f>'RAW DATA 2023'!D595</f>
        <v>B1-013-0034</v>
      </c>
      <c r="C602" s="63" t="str">
        <f t="shared" si="55"/>
        <v>LaemsingB1-013-0034</v>
      </c>
      <c r="D602" s="68">
        <f>VLOOKUP(C602,'RAW DATA 2023'!E:BP,63,0)</f>
        <v>12</v>
      </c>
      <c r="E602" s="63" t="str">
        <f t="shared" si="56"/>
        <v>Laemsing12</v>
      </c>
      <c r="F602" s="63">
        <f>ROUND(VLOOKUP(C602,'RAW DATA 2023'!E:BO,23,0),0)</f>
        <v>75</v>
      </c>
      <c r="G602" s="120">
        <f>VLOOKUP(C602,'RAW DATA 2023'!E:BO,26,0)</f>
        <v>0.23606060600000001</v>
      </c>
      <c r="H602" s="101">
        <f>IFERROR(VLOOKUP(F602,STD!B:G,6,0),"")</f>
        <v>0.34</v>
      </c>
      <c r="I602" s="100">
        <f t="shared" si="57"/>
        <v>0.69429589999999997</v>
      </c>
      <c r="J602" s="249">
        <f t="shared" si="59"/>
        <v>3.8859179999999993</v>
      </c>
      <c r="K602" s="63">
        <f>VLOOKUP(C602,'RAW DATA 2023'!E:BO,20,0)</f>
        <v>55</v>
      </c>
      <c r="L602" s="322">
        <f t="shared" si="60"/>
        <v>213.72548999999995</v>
      </c>
      <c r="M602" s="63"/>
      <c r="Y602" s="63" t="str">
        <f t="shared" si="58"/>
        <v>B1-013-003412</v>
      </c>
    </row>
    <row r="603" spans="1:25">
      <c r="A603" s="63" t="str">
        <f>'RAW DATA 2023'!B596</f>
        <v>Lucky1</v>
      </c>
      <c r="B603" s="63" t="str">
        <f>'RAW DATA 2023'!D596</f>
        <v>BG-026-0012</v>
      </c>
      <c r="C603" s="63" t="str">
        <f t="shared" si="55"/>
        <v>Lucky1BG-026-0012</v>
      </c>
      <c r="D603" s="68">
        <f>VLOOKUP(C603,'RAW DATA 2023'!E:BP,63,0)</f>
        <v>5</v>
      </c>
      <c r="E603" s="63" t="str">
        <f t="shared" si="56"/>
        <v>Lucky15</v>
      </c>
      <c r="F603" s="63">
        <f>ROUND(VLOOKUP(C603,'RAW DATA 2023'!E:BO,23,0),0)</f>
        <v>47</v>
      </c>
      <c r="G603" s="120">
        <f>VLOOKUP(C603,'RAW DATA 2023'!E:BO,26,0)</f>
        <v>0.40051145700000002</v>
      </c>
      <c r="H603" s="101">
        <f>IFERROR(VLOOKUP(F603,STD!B:G,6,0),"")</f>
        <v>0.36</v>
      </c>
      <c r="I603" s="100">
        <f t="shared" si="57"/>
        <v>1.112531825</v>
      </c>
      <c r="J603" s="249">
        <f t="shared" si="59"/>
        <v>12.250636500000001</v>
      </c>
      <c r="K603" s="63">
        <f>VLOOKUP(C603,'RAW DATA 2023'!E:BO,20,0)</f>
        <v>52</v>
      </c>
      <c r="L603" s="322">
        <f t="shared" si="60"/>
        <v>637.033098</v>
      </c>
      <c r="M603" s="63"/>
      <c r="Y603" s="63" t="str">
        <f t="shared" si="58"/>
        <v>BG-026-00125</v>
      </c>
    </row>
    <row r="604" spans="1:25">
      <c r="A604" s="63" t="str">
        <f>'RAW DATA 2023'!B597</f>
        <v>Lucky1</v>
      </c>
      <c r="B604" s="63" t="str">
        <f>'RAW DATA 2023'!D597</f>
        <v>BG-028-0012</v>
      </c>
      <c r="C604" s="63" t="str">
        <f t="shared" si="55"/>
        <v>Lucky1BG-028-0012</v>
      </c>
      <c r="D604" s="68">
        <f>VLOOKUP(C604,'RAW DATA 2023'!E:BP,63,0)</f>
        <v>6</v>
      </c>
      <c r="E604" s="63" t="str">
        <f t="shared" si="56"/>
        <v>Lucky16</v>
      </c>
      <c r="F604" s="63">
        <f>ROUND(VLOOKUP(C604,'RAW DATA 2023'!E:BO,23,0),0)</f>
        <v>30</v>
      </c>
      <c r="G604" s="120">
        <f>VLOOKUP(C604,'RAW DATA 2023'!E:BO,26,0)</f>
        <v>0.36453402400000001</v>
      </c>
      <c r="H604" s="101">
        <f>IFERROR(VLOOKUP(F604,STD!B:G,6,0),"")</f>
        <v>0.39</v>
      </c>
      <c r="I604" s="100">
        <f t="shared" si="57"/>
        <v>0.93470262564102569</v>
      </c>
      <c r="J604" s="249">
        <f t="shared" si="59"/>
        <v>8.6940525128205142</v>
      </c>
      <c r="K604" s="63">
        <f>VLOOKUP(C604,'RAW DATA 2023'!E:BO,20,0)</f>
        <v>104</v>
      </c>
      <c r="L604" s="322">
        <f t="shared" si="60"/>
        <v>904.18146133333346</v>
      </c>
      <c r="M604" s="63"/>
      <c r="Y604" s="63" t="str">
        <f t="shared" si="58"/>
        <v>BG-028-00126</v>
      </c>
    </row>
    <row r="605" spans="1:25">
      <c r="A605" s="63" t="str">
        <f>'RAW DATA 2023'!B598</f>
        <v>Lucky1</v>
      </c>
      <c r="B605" s="63" t="str">
        <f>'RAW DATA 2023'!D598</f>
        <v>BG-027-0012</v>
      </c>
      <c r="C605" s="63" t="str">
        <f t="shared" si="55"/>
        <v>Lucky1BG-027-0012</v>
      </c>
      <c r="D605" s="68">
        <f>VLOOKUP(C605,'RAW DATA 2023'!E:BP,63,0)</f>
        <v>10</v>
      </c>
      <c r="E605" s="63" t="str">
        <f t="shared" si="56"/>
        <v>Lucky110</v>
      </c>
      <c r="F605" s="63">
        <f>ROUND(VLOOKUP(C605,'RAW DATA 2023'!E:BO,23,0),0)</f>
        <v>35</v>
      </c>
      <c r="G605" s="120">
        <f>VLOOKUP(C605,'RAW DATA 2023'!E:BO,26,0)</f>
        <v>0.35560798500000002</v>
      </c>
      <c r="H605" s="101">
        <f>IFERROR(VLOOKUP(F605,STD!B:G,6,0),"")</f>
        <v>0.37</v>
      </c>
      <c r="I605" s="100">
        <f t="shared" si="57"/>
        <v>0.96110266216216222</v>
      </c>
      <c r="J605" s="249">
        <f t="shared" si="59"/>
        <v>9.2220532432432449</v>
      </c>
      <c r="K605" s="63">
        <f>VLOOKUP(C605,'RAW DATA 2023'!E:BO,20,0)</f>
        <v>95</v>
      </c>
      <c r="L605" s="322">
        <f t="shared" si="60"/>
        <v>876.09505810810822</v>
      </c>
      <c r="M605" s="63"/>
      <c r="Y605" s="63" t="str">
        <f t="shared" si="58"/>
        <v>BG-027-001210</v>
      </c>
    </row>
    <row r="606" spans="1:25">
      <c r="A606" s="63" t="str">
        <f>'RAW DATA 2023'!B599</f>
        <v>Lucky1</v>
      </c>
      <c r="B606" s="63" t="str">
        <f>'RAW DATA 2023'!D599</f>
        <v>BG-025-0010</v>
      </c>
      <c r="C606" s="63" t="str">
        <f t="shared" si="55"/>
        <v>Lucky1BG-025-0010</v>
      </c>
      <c r="D606" s="68">
        <f>VLOOKUP(C606,'RAW DATA 2023'!E:BP,63,0)</f>
        <v>8</v>
      </c>
      <c r="E606" s="63" t="str">
        <f t="shared" si="56"/>
        <v>Lucky18</v>
      </c>
      <c r="F606" s="63">
        <f>ROUND(VLOOKUP(C606,'RAW DATA 2023'!E:BO,23,0),0)</f>
        <v>25</v>
      </c>
      <c r="G606" s="120">
        <f>VLOOKUP(C606,'RAW DATA 2023'!E:BO,26,0)</f>
        <v>0.348136428</v>
      </c>
      <c r="H606" s="101">
        <f>IFERROR(VLOOKUP(F606,STD!B:G,6,0),"")</f>
        <v>0.36</v>
      </c>
      <c r="I606" s="100">
        <f t="shared" si="57"/>
        <v>0.96704563333333338</v>
      </c>
      <c r="J606" s="249">
        <f t="shared" si="59"/>
        <v>9.340912666666668</v>
      </c>
      <c r="K606" s="63">
        <f>VLOOKUP(C606,'RAW DATA 2023'!E:BO,20,0)</f>
        <v>158</v>
      </c>
      <c r="L606" s="322">
        <f t="shared" si="60"/>
        <v>1475.8642013333335</v>
      </c>
      <c r="M606" s="63"/>
      <c r="Y606" s="63" t="str">
        <f t="shared" si="58"/>
        <v>BG-025-00108</v>
      </c>
    </row>
    <row r="607" spans="1:25">
      <c r="A607" s="63" t="str">
        <f>'RAW DATA 2023'!B600</f>
        <v>Lucky1</v>
      </c>
      <c r="B607" s="63" t="str">
        <f>'RAW DATA 2023'!D600</f>
        <v>BG-026-0011</v>
      </c>
      <c r="C607" s="63" t="str">
        <f t="shared" si="55"/>
        <v>Lucky1BG-026-0011</v>
      </c>
      <c r="D607" s="68">
        <f>VLOOKUP(C607,'RAW DATA 2023'!E:BP,63,0)</f>
        <v>2</v>
      </c>
      <c r="E607" s="63" t="str">
        <f t="shared" si="56"/>
        <v>Lucky12</v>
      </c>
      <c r="F607" s="63">
        <f>ROUND(VLOOKUP(C607,'RAW DATA 2023'!E:BO,23,0),0)</f>
        <v>26</v>
      </c>
      <c r="G607" s="120">
        <f>VLOOKUP(C607,'RAW DATA 2023'!E:BO,26,0)</f>
        <v>0.33753387499999998</v>
      </c>
      <c r="H607" s="101">
        <f>IFERROR(VLOOKUP(F607,STD!B:G,6,0),"")</f>
        <v>0.37</v>
      </c>
      <c r="I607" s="100">
        <f t="shared" si="57"/>
        <v>0.9122537162162162</v>
      </c>
      <c r="J607" s="249">
        <f t="shared" si="59"/>
        <v>8.2450743243243245</v>
      </c>
      <c r="K607" s="63">
        <f>VLOOKUP(C607,'RAW DATA 2023'!E:BO,20,0)</f>
        <v>123</v>
      </c>
      <c r="L607" s="322">
        <f t="shared" si="60"/>
        <v>1014.1441418918919</v>
      </c>
      <c r="M607" s="63"/>
      <c r="Y607" s="63" t="str">
        <f t="shared" si="58"/>
        <v>BG-026-00112</v>
      </c>
    </row>
    <row r="608" spans="1:25">
      <c r="A608" s="63" t="str">
        <f>'RAW DATA 2023'!B601</f>
        <v>Lucky1</v>
      </c>
      <c r="B608" s="63" t="str">
        <f>'RAW DATA 2023'!D601</f>
        <v>BG-026-0013</v>
      </c>
      <c r="C608" s="63" t="str">
        <f t="shared" si="55"/>
        <v>Lucky1BG-026-0013</v>
      </c>
      <c r="D608" s="68">
        <f>VLOOKUP(C608,'RAW DATA 2023'!E:BP,63,0)</f>
        <v>8</v>
      </c>
      <c r="E608" s="63" t="str">
        <f t="shared" si="56"/>
        <v>Lucky18</v>
      </c>
      <c r="F608" s="63">
        <f>ROUND(VLOOKUP(C608,'RAW DATA 2023'!E:BO,23,0),0)</f>
        <v>59</v>
      </c>
      <c r="G608" s="120">
        <f>VLOOKUP(C608,'RAW DATA 2023'!E:BO,26,0)</f>
        <v>0.33227401099999998</v>
      </c>
      <c r="H608" s="101">
        <f>IFERROR(VLOOKUP(F608,STD!B:G,6,0),"")</f>
        <v>0.36</v>
      </c>
      <c r="I608" s="100">
        <f t="shared" si="57"/>
        <v>0.92298336388888891</v>
      </c>
      <c r="J608" s="249">
        <f t="shared" si="59"/>
        <v>8.459667277777779</v>
      </c>
      <c r="K608" s="63">
        <f>VLOOKUP(C608,'RAW DATA 2023'!E:BO,20,0)</f>
        <v>48</v>
      </c>
      <c r="L608" s="322">
        <f t="shared" si="60"/>
        <v>406.06402933333339</v>
      </c>
      <c r="M608" s="63"/>
      <c r="Y608" s="63" t="str">
        <f t="shared" si="58"/>
        <v>BG-026-00138</v>
      </c>
    </row>
    <row r="609" spans="1:25">
      <c r="A609" s="63" t="str">
        <f>'RAW DATA 2023'!B602</f>
        <v>Lucky1</v>
      </c>
      <c r="B609" s="63" t="str">
        <f>'RAW DATA 2023'!D602</f>
        <v>BG-025-0009</v>
      </c>
      <c r="C609" s="63" t="str">
        <f t="shared" si="55"/>
        <v>Lucky1BG-025-0009</v>
      </c>
      <c r="D609" s="68">
        <f>VLOOKUP(C609,'RAW DATA 2023'!E:BP,63,0)</f>
        <v>2</v>
      </c>
      <c r="E609" s="63" t="str">
        <f t="shared" si="56"/>
        <v>Lucky12</v>
      </c>
      <c r="F609" s="63">
        <f>ROUND(VLOOKUP(C609,'RAW DATA 2023'!E:BO,23,0),0)</f>
        <v>28</v>
      </c>
      <c r="G609" s="120">
        <f>VLOOKUP(C609,'RAW DATA 2023'!E:BO,26,0)</f>
        <v>0.33224999999999999</v>
      </c>
      <c r="H609" s="101">
        <f>IFERROR(VLOOKUP(F609,STD!B:G,6,0),"")</f>
        <v>0.41</v>
      </c>
      <c r="I609" s="100">
        <f t="shared" si="57"/>
        <v>0.81036585365853664</v>
      </c>
      <c r="J609" s="249">
        <f t="shared" si="59"/>
        <v>6.2073170731707332</v>
      </c>
      <c r="K609" s="63">
        <f>VLOOKUP(C609,'RAW DATA 2023'!E:BO,20,0)</f>
        <v>120</v>
      </c>
      <c r="L609" s="322">
        <f t="shared" si="60"/>
        <v>744.87804878048803</v>
      </c>
      <c r="M609" s="63"/>
      <c r="Y609" s="63" t="str">
        <f t="shared" si="58"/>
        <v>BG-025-00092</v>
      </c>
    </row>
    <row r="610" spans="1:25">
      <c r="A610" s="63" t="str">
        <f>'RAW DATA 2023'!B603</f>
        <v>Lucky1</v>
      </c>
      <c r="B610" s="63" t="str">
        <f>'RAW DATA 2023'!D603</f>
        <v>BG-027-0011</v>
      </c>
      <c r="C610" s="63" t="str">
        <f t="shared" si="55"/>
        <v>Lucky1BG-027-0011</v>
      </c>
      <c r="D610" s="68">
        <f>VLOOKUP(C610,'RAW DATA 2023'!E:BP,63,0)</f>
        <v>6</v>
      </c>
      <c r="E610" s="63" t="str">
        <f t="shared" si="56"/>
        <v>Lucky16</v>
      </c>
      <c r="F610" s="63">
        <f>ROUND(VLOOKUP(C610,'RAW DATA 2023'!E:BO,23,0),0)</f>
        <v>52</v>
      </c>
      <c r="G610" s="120">
        <f>VLOOKUP(C610,'RAW DATA 2023'!E:BO,26,0)</f>
        <v>0.331514537</v>
      </c>
      <c r="H610" s="101">
        <f>IFERROR(VLOOKUP(F610,STD!B:G,6,0),"")</f>
        <v>0.36</v>
      </c>
      <c r="I610" s="100">
        <f t="shared" si="57"/>
        <v>0.92087371388888895</v>
      </c>
      <c r="J610" s="249">
        <f t="shared" si="59"/>
        <v>8.417474277777778</v>
      </c>
      <c r="K610" s="63">
        <f>VLOOKUP(C610,'RAW DATA 2023'!E:BO,20,0)</f>
        <v>58</v>
      </c>
      <c r="L610" s="322">
        <f t="shared" si="60"/>
        <v>488.21350811111114</v>
      </c>
      <c r="M610" s="63"/>
      <c r="Y610" s="63" t="str">
        <f t="shared" si="58"/>
        <v>BG-027-00116</v>
      </c>
    </row>
    <row r="611" spans="1:25">
      <c r="A611" s="63" t="str">
        <f>'RAW DATA 2023'!B604</f>
        <v>Lucky1</v>
      </c>
      <c r="B611" s="63" t="str">
        <f>'RAW DATA 2023'!D604</f>
        <v>BG-028-0011</v>
      </c>
      <c r="C611" s="63" t="str">
        <f t="shared" si="55"/>
        <v>Lucky1BG-028-0011</v>
      </c>
      <c r="D611" s="68">
        <f>VLOOKUP(C611,'RAW DATA 2023'!E:BP,63,0)</f>
        <v>2</v>
      </c>
      <c r="E611" s="63" t="str">
        <f t="shared" si="56"/>
        <v>Lucky12</v>
      </c>
      <c r="F611" s="63">
        <f>ROUND(VLOOKUP(C611,'RAW DATA 2023'!E:BO,23,0),0)</f>
        <v>29</v>
      </c>
      <c r="G611" s="120">
        <f>VLOOKUP(C611,'RAW DATA 2023'!E:BO,26,0)</f>
        <v>0.326803279</v>
      </c>
      <c r="H611" s="101">
        <f>IFERROR(VLOOKUP(F611,STD!B:G,6,0),"")</f>
        <v>0.4</v>
      </c>
      <c r="I611" s="100">
        <f t="shared" si="57"/>
        <v>0.81700819749999998</v>
      </c>
      <c r="J611" s="249">
        <f t="shared" si="59"/>
        <v>6.3401639499999991</v>
      </c>
      <c r="K611" s="63">
        <f>VLOOKUP(C611,'RAW DATA 2023'!E:BO,20,0)</f>
        <v>122</v>
      </c>
      <c r="L611" s="322">
        <f t="shared" si="60"/>
        <v>773.50000189999992</v>
      </c>
      <c r="M611" s="63"/>
      <c r="Y611" s="63" t="str">
        <f t="shared" si="58"/>
        <v>BG-028-00112</v>
      </c>
    </row>
    <row r="612" spans="1:25">
      <c r="A612" s="63" t="str">
        <f>'RAW DATA 2023'!B605</f>
        <v>Lucky1</v>
      </c>
      <c r="B612" s="63" t="str">
        <f>'RAW DATA 2023'!D605</f>
        <v>BG-027-0010</v>
      </c>
      <c r="C612" s="63" t="str">
        <f t="shared" si="55"/>
        <v>Lucky1BG-027-0010</v>
      </c>
      <c r="D612" s="68">
        <f>VLOOKUP(C612,'RAW DATA 2023'!E:BP,63,0)</f>
        <v>2</v>
      </c>
      <c r="E612" s="63" t="str">
        <f t="shared" si="56"/>
        <v>Lucky12</v>
      </c>
      <c r="F612" s="63">
        <f>ROUND(VLOOKUP(C612,'RAW DATA 2023'!E:BO,23,0),0)</f>
        <v>27</v>
      </c>
      <c r="G612" s="120">
        <f>VLOOKUP(C612,'RAW DATA 2023'!E:BO,26,0)</f>
        <v>0.325819672</v>
      </c>
      <c r="H612" s="101">
        <f>IFERROR(VLOOKUP(F612,STD!B:G,6,0),"")</f>
        <v>0.39</v>
      </c>
      <c r="I612" s="100">
        <f t="shared" si="57"/>
        <v>0.83543505641025639</v>
      </c>
      <c r="J612" s="249">
        <f t="shared" si="59"/>
        <v>6.7087011282051279</v>
      </c>
      <c r="K612" s="63">
        <f>VLOOKUP(C612,'RAW DATA 2023'!E:BO,20,0)</f>
        <v>122</v>
      </c>
      <c r="L612" s="322">
        <f t="shared" si="60"/>
        <v>818.46153764102564</v>
      </c>
      <c r="M612" s="63"/>
      <c r="Y612" s="63" t="str">
        <f t="shared" si="58"/>
        <v>BG-027-00102</v>
      </c>
    </row>
    <row r="613" spans="1:25">
      <c r="A613" s="63" t="str">
        <f>'RAW DATA 2023'!B606</f>
        <v>Lucky1</v>
      </c>
      <c r="B613" s="63" t="str">
        <f>'RAW DATA 2023'!D606</f>
        <v>BG-028-0013</v>
      </c>
      <c r="C613" s="63" t="str">
        <f t="shared" si="55"/>
        <v>Lucky1BG-028-0013</v>
      </c>
      <c r="D613" s="68">
        <f>VLOOKUP(C613,'RAW DATA 2023'!E:BP,63,0)</f>
        <v>9</v>
      </c>
      <c r="E613" s="63" t="str">
        <f t="shared" si="56"/>
        <v>Lucky19</v>
      </c>
      <c r="F613" s="63">
        <f>ROUND(VLOOKUP(C613,'RAW DATA 2023'!E:BO,23,0),0)</f>
        <v>68</v>
      </c>
      <c r="G613" s="120">
        <f>VLOOKUP(C613,'RAW DATA 2023'!E:BO,26,0)</f>
        <v>0.28148788899999999</v>
      </c>
      <c r="H613" s="101">
        <f>IFERROR(VLOOKUP(F613,STD!B:G,6,0),"")</f>
        <v>0.36</v>
      </c>
      <c r="I613" s="100">
        <f t="shared" si="57"/>
        <v>0.7819108027777778</v>
      </c>
      <c r="J613" s="249">
        <f t="shared" si="59"/>
        <v>5.6382160555555565</v>
      </c>
      <c r="K613" s="63">
        <f>VLOOKUP(C613,'RAW DATA 2023'!E:BO,20,0)</f>
        <v>51</v>
      </c>
      <c r="L613" s="322">
        <f t="shared" si="60"/>
        <v>287.54901883333338</v>
      </c>
      <c r="M613" s="63"/>
      <c r="Y613" s="63" t="str">
        <f t="shared" si="58"/>
        <v>BG-028-00139</v>
      </c>
    </row>
    <row r="614" spans="1:25">
      <c r="A614" s="63" t="str">
        <f>'RAW DATA 2023'!B607</f>
        <v>Lucky1</v>
      </c>
      <c r="B614" s="63" t="str">
        <f>'RAW DATA 2023'!D607</f>
        <v>B1-015-0007</v>
      </c>
      <c r="C614" s="63" t="str">
        <f t="shared" si="55"/>
        <v>Lucky1B1-015-0007</v>
      </c>
      <c r="D614" s="68">
        <f>VLOOKUP(C614,'RAW DATA 2023'!E:BP,63,0)</f>
        <v>5</v>
      </c>
      <c r="E614" s="63" t="str">
        <f t="shared" si="56"/>
        <v>Lucky15</v>
      </c>
      <c r="F614" s="63">
        <f>ROUND(VLOOKUP(C614,'RAW DATA 2023'!E:BO,23,0),0)</f>
        <v>39</v>
      </c>
      <c r="G614" s="120">
        <f>VLOOKUP(C614,'RAW DATA 2023'!E:BO,26,0)</f>
        <v>0.35914901399999999</v>
      </c>
      <c r="H614" s="101">
        <f>IFERROR(VLOOKUP(F614,STD!B:G,6,0),"")</f>
        <v>0.37</v>
      </c>
      <c r="I614" s="100">
        <f t="shared" si="57"/>
        <v>0.97067301081081081</v>
      </c>
      <c r="J614" s="249">
        <f t="shared" si="59"/>
        <v>9.4134602162162153</v>
      </c>
      <c r="K614" s="63">
        <f>VLOOKUP(C614,'RAW DATA 2023'!E:BO,20,0)</f>
        <v>74</v>
      </c>
      <c r="L614" s="322">
        <f t="shared" si="60"/>
        <v>696.59605599999998</v>
      </c>
      <c r="M614" s="63"/>
      <c r="Y614" s="63" t="str">
        <f t="shared" si="58"/>
        <v>B1-015-00075</v>
      </c>
    </row>
    <row r="615" spans="1:25">
      <c r="A615" s="63" t="str">
        <f>'RAW DATA 2023'!B608</f>
        <v>Lucky1</v>
      </c>
      <c r="B615" s="63" t="str">
        <f>'RAW DATA 2023'!D608</f>
        <v>B1-017-0013</v>
      </c>
      <c r="C615" s="63" t="str">
        <f t="shared" si="55"/>
        <v>Lucky1B1-017-0013</v>
      </c>
      <c r="D615" s="68">
        <f>VLOOKUP(C615,'RAW DATA 2023'!E:BP,63,0)</f>
        <v>5</v>
      </c>
      <c r="E615" s="63" t="str">
        <f t="shared" si="56"/>
        <v>Lucky15</v>
      </c>
      <c r="F615" s="63">
        <f>ROUND(VLOOKUP(C615,'RAW DATA 2023'!E:BO,23,0),0)</f>
        <v>39</v>
      </c>
      <c r="G615" s="120">
        <f>VLOOKUP(C615,'RAW DATA 2023'!E:BO,26,0)</f>
        <v>0.35236035999999998</v>
      </c>
      <c r="H615" s="101">
        <f>IFERROR(VLOOKUP(F615,STD!B:G,6,0),"")</f>
        <v>0.37</v>
      </c>
      <c r="I615" s="100">
        <f t="shared" si="57"/>
        <v>0.95232529729729731</v>
      </c>
      <c r="J615" s="249">
        <f t="shared" si="59"/>
        <v>9.0465059459459454</v>
      </c>
      <c r="K615" s="63">
        <f>VLOOKUP(C615,'RAW DATA 2023'!E:BO,20,0)</f>
        <v>75</v>
      </c>
      <c r="L615" s="322">
        <f t="shared" si="60"/>
        <v>678.48794594594585</v>
      </c>
      <c r="M615" s="63"/>
      <c r="Y615" s="63" t="str">
        <f t="shared" si="58"/>
        <v>B1-017-00135</v>
      </c>
    </row>
    <row r="616" spans="1:25">
      <c r="A616" s="63" t="str">
        <f>'RAW DATA 2023'!B609</f>
        <v>Lucky1</v>
      </c>
      <c r="B616" s="63" t="str">
        <f>'RAW DATA 2023'!D609</f>
        <v>B1-020-0010</v>
      </c>
      <c r="C616" s="63" t="str">
        <f t="shared" si="55"/>
        <v>Lucky1B1-020-0010</v>
      </c>
      <c r="D616" s="68">
        <f>VLOOKUP(C616,'RAW DATA 2023'!E:BP,63,0)</f>
        <v>2</v>
      </c>
      <c r="E616" s="63" t="str">
        <f t="shared" si="56"/>
        <v>Lucky12</v>
      </c>
      <c r="F616" s="63">
        <f>ROUND(VLOOKUP(C616,'RAW DATA 2023'!E:BO,23,0),0)</f>
        <v>31</v>
      </c>
      <c r="G616" s="120">
        <f>VLOOKUP(C616,'RAW DATA 2023'!E:BO,26,0)</f>
        <v>0.33809523800000002</v>
      </c>
      <c r="H616" s="101">
        <f>IFERROR(VLOOKUP(F616,STD!B:G,6,0),"")</f>
        <v>0.39</v>
      </c>
      <c r="I616" s="100">
        <f t="shared" si="57"/>
        <v>0.86691086666666672</v>
      </c>
      <c r="J616" s="249">
        <f t="shared" si="59"/>
        <v>7.3382173333333345</v>
      </c>
      <c r="K616" s="63">
        <f>VLOOKUP(C616,'RAW DATA 2023'!E:BO,20,0)</f>
        <v>98</v>
      </c>
      <c r="L616" s="322">
        <f t="shared" si="60"/>
        <v>719.1452986666668</v>
      </c>
      <c r="M616" s="63"/>
      <c r="Y616" s="63" t="str">
        <f t="shared" si="58"/>
        <v>B1-020-00102</v>
      </c>
    </row>
    <row r="617" spans="1:25">
      <c r="A617" s="63" t="str">
        <f>'RAW DATA 2023'!B610</f>
        <v>Lucky1</v>
      </c>
      <c r="B617" s="63" t="str">
        <f>'RAW DATA 2023'!D610</f>
        <v>B1-019-0012</v>
      </c>
      <c r="C617" s="63" t="str">
        <f t="shared" si="55"/>
        <v>Lucky1B1-019-0012</v>
      </c>
      <c r="D617" s="68">
        <f>VLOOKUP(C617,'RAW DATA 2023'!E:BP,63,0)</f>
        <v>2</v>
      </c>
      <c r="E617" s="63" t="str">
        <f t="shared" si="56"/>
        <v>Lucky12</v>
      </c>
      <c r="F617" s="63">
        <f>ROUND(VLOOKUP(C617,'RAW DATA 2023'!E:BO,23,0),0)</f>
        <v>33</v>
      </c>
      <c r="G617" s="120">
        <f>VLOOKUP(C617,'RAW DATA 2023'!E:BO,26,0)</f>
        <v>0.31059999999999999</v>
      </c>
      <c r="H617" s="101">
        <f>IFERROR(VLOOKUP(F617,STD!B:G,6,0),"")</f>
        <v>0.39</v>
      </c>
      <c r="I617" s="100">
        <f t="shared" si="57"/>
        <v>0.79641025641025631</v>
      </c>
      <c r="J617" s="249">
        <f t="shared" si="59"/>
        <v>5.9282051282051267</v>
      </c>
      <c r="K617" s="63">
        <f>VLOOKUP(C617,'RAW DATA 2023'!E:BO,20,0)</f>
        <v>100</v>
      </c>
      <c r="L617" s="322">
        <f t="shared" si="60"/>
        <v>592.8205128205127</v>
      </c>
      <c r="M617" s="63"/>
      <c r="Y617" s="63" t="str">
        <f t="shared" si="58"/>
        <v>B1-019-00122</v>
      </c>
    </row>
    <row r="618" spans="1:25">
      <c r="A618" s="63" t="str">
        <f>'RAW DATA 2023'!B611</f>
        <v>Lucky1</v>
      </c>
      <c r="B618" s="63" t="str">
        <f>'RAW DATA 2023'!D611</f>
        <v>B1-021-0013</v>
      </c>
      <c r="C618" s="63" t="str">
        <f t="shared" si="55"/>
        <v>Lucky1B1-021-0013</v>
      </c>
      <c r="D618" s="68">
        <f>VLOOKUP(C618,'RAW DATA 2023'!E:BP,63,0)</f>
        <v>2</v>
      </c>
      <c r="E618" s="63" t="str">
        <f t="shared" si="56"/>
        <v>Lucky12</v>
      </c>
      <c r="F618" s="63">
        <f>ROUND(VLOOKUP(C618,'RAW DATA 2023'!E:BO,23,0),0)</f>
        <v>28</v>
      </c>
      <c r="G618" s="120">
        <f>VLOOKUP(C618,'RAW DATA 2023'!E:BO,26,0)</f>
        <v>0.306172308</v>
      </c>
      <c r="H618" s="101">
        <f>IFERROR(VLOOKUP(F618,STD!B:G,6,0),"")</f>
        <v>0.41</v>
      </c>
      <c r="I618" s="100">
        <f t="shared" si="57"/>
        <v>0.74676172682926834</v>
      </c>
      <c r="J618" s="249">
        <f t="shared" si="59"/>
        <v>4.9352345365853667</v>
      </c>
      <c r="K618" s="63">
        <f>VLOOKUP(C618,'RAW DATA 2023'!E:BO,20,0)</f>
        <v>125.00000000000001</v>
      </c>
      <c r="L618" s="322">
        <f t="shared" si="60"/>
        <v>616.90431707317089</v>
      </c>
      <c r="M618" s="63"/>
      <c r="Y618" s="63" t="str">
        <f t="shared" si="58"/>
        <v>B1-021-00132</v>
      </c>
    </row>
    <row r="619" spans="1:25">
      <c r="A619" s="63" t="str">
        <f>'RAW DATA 2023'!B612</f>
        <v>Lucky1</v>
      </c>
      <c r="B619" s="63" t="str">
        <f>'RAW DATA 2023'!D612</f>
        <v>B1-018-0011</v>
      </c>
      <c r="C619" s="63" t="str">
        <f t="shared" si="55"/>
        <v>Lucky1B1-018-0011</v>
      </c>
      <c r="D619" s="68">
        <f>VLOOKUP(C619,'RAW DATA 2023'!E:BP,63,0)</f>
        <v>2</v>
      </c>
      <c r="E619" s="63" t="str">
        <f t="shared" si="56"/>
        <v>Lucky12</v>
      </c>
      <c r="F619" s="63">
        <f>ROUND(VLOOKUP(C619,'RAW DATA 2023'!E:BO,23,0),0)</f>
        <v>32</v>
      </c>
      <c r="G619" s="120">
        <f>VLOOKUP(C619,'RAW DATA 2023'!E:BO,26,0)</f>
        <v>0.29914078999999999</v>
      </c>
      <c r="H619" s="101">
        <f>IFERROR(VLOOKUP(F619,STD!B:G,6,0),"")</f>
        <v>0.39</v>
      </c>
      <c r="I619" s="100">
        <f t="shared" si="57"/>
        <v>0.76702766666666666</v>
      </c>
      <c r="J619" s="249">
        <f t="shared" si="59"/>
        <v>5.3405533333333333</v>
      </c>
      <c r="K619" s="63">
        <f>VLOOKUP(C619,'RAW DATA 2023'!E:BO,20,0)</f>
        <v>107</v>
      </c>
      <c r="L619" s="322">
        <f t="shared" si="60"/>
        <v>571.43920666666668</v>
      </c>
      <c r="M619" s="63"/>
      <c r="Y619" s="63" t="str">
        <f t="shared" si="58"/>
        <v>B1-018-00112</v>
      </c>
    </row>
    <row r="620" spans="1:25">
      <c r="A620" s="63" t="str">
        <f>'RAW DATA 2023'!B613</f>
        <v>Lucky1</v>
      </c>
      <c r="B620" s="63" t="str">
        <f>'RAW DATA 2023'!D613</f>
        <v>B1-016-0004</v>
      </c>
      <c r="C620" s="63" t="str">
        <f t="shared" si="55"/>
        <v>Lucky1B1-016-0004</v>
      </c>
      <c r="D620" s="68">
        <f>VLOOKUP(C620,'RAW DATA 2023'!E:BP,63,0)</f>
        <v>5</v>
      </c>
      <c r="E620" s="63" t="str">
        <f t="shared" si="56"/>
        <v>Lucky15</v>
      </c>
      <c r="F620" s="63">
        <f>ROUND(VLOOKUP(C620,'RAW DATA 2023'!E:BO,23,0),0)</f>
        <v>57</v>
      </c>
      <c r="G620" s="120">
        <f>VLOOKUP(C620,'RAW DATA 2023'!E:BO,26,0)</f>
        <v>0.289726435</v>
      </c>
      <c r="H620" s="101">
        <f>IFERROR(VLOOKUP(F620,STD!B:G,6,0),"")</f>
        <v>0.36</v>
      </c>
      <c r="I620" s="100">
        <f t="shared" si="57"/>
        <v>0.80479565277777787</v>
      </c>
      <c r="J620" s="249">
        <f t="shared" si="59"/>
        <v>6.0959130555555578</v>
      </c>
      <c r="K620" s="63">
        <f>VLOOKUP(C620,'RAW DATA 2023'!E:BO,20,0)</f>
        <v>59</v>
      </c>
      <c r="L620" s="322">
        <f t="shared" si="60"/>
        <v>359.65887027777791</v>
      </c>
      <c r="M620" s="63"/>
      <c r="Y620" s="63" t="str">
        <f t="shared" si="58"/>
        <v>B1-016-00045</v>
      </c>
    </row>
    <row r="621" spans="1:25">
      <c r="A621" s="63" t="str">
        <f>'RAW DATA 2023'!B614</f>
        <v>Lucky1</v>
      </c>
      <c r="B621" s="63" t="str">
        <f>'RAW DATA 2023'!D614</f>
        <v>B1-022-0010</v>
      </c>
      <c r="C621" s="63" t="str">
        <f t="shared" si="55"/>
        <v>Lucky1B1-022-0010</v>
      </c>
      <c r="D621" s="68">
        <f>VLOOKUP(C621,'RAW DATA 2023'!E:BP,63,0)</f>
        <v>2</v>
      </c>
      <c r="E621" s="63" t="str">
        <f t="shared" si="56"/>
        <v>Lucky12</v>
      </c>
      <c r="F621" s="63">
        <f>ROUND(VLOOKUP(C621,'RAW DATA 2023'!E:BO,23,0),0)</f>
        <v>40</v>
      </c>
      <c r="G621" s="120">
        <f>VLOOKUP(C621,'RAW DATA 2023'!E:BO,26,0)</f>
        <v>0.28278917399999992</v>
      </c>
      <c r="H621" s="101">
        <f>IFERROR(VLOOKUP(F621,STD!B:G,6,0),"")</f>
        <v>0.37</v>
      </c>
      <c r="I621" s="100">
        <f t="shared" si="57"/>
        <v>0.76429506486486465</v>
      </c>
      <c r="J621" s="249">
        <f t="shared" si="59"/>
        <v>5.2859012972972934</v>
      </c>
      <c r="K621" s="63">
        <f>VLOOKUP(C621,'RAW DATA 2023'!E:BO,20,0)</f>
        <v>89.999999999999986</v>
      </c>
      <c r="L621" s="322">
        <f t="shared" si="60"/>
        <v>475.73111675675631</v>
      </c>
      <c r="M621" s="63"/>
      <c r="Y621" s="63" t="str">
        <f t="shared" si="58"/>
        <v>B1-022-00102</v>
      </c>
    </row>
    <row r="622" spans="1:25">
      <c r="A622" s="63" t="str">
        <f>'RAW DATA 2023'!B615</f>
        <v>Lucky1</v>
      </c>
      <c r="B622" s="63" t="str">
        <f>'RAW DATA 2023'!D615</f>
        <v>B1-017-0012</v>
      </c>
      <c r="C622" s="63" t="str">
        <f t="shared" si="55"/>
        <v>Lucky1B1-017-0012</v>
      </c>
      <c r="D622" s="68">
        <f>VLOOKUP(C622,'RAW DATA 2023'!E:BP,63,0)</f>
        <v>1</v>
      </c>
      <c r="E622" s="63" t="str">
        <f t="shared" si="56"/>
        <v>Lucky11</v>
      </c>
      <c r="F622" s="63">
        <f>ROUND(VLOOKUP(C622,'RAW DATA 2023'!E:BO,23,0),0)</f>
        <v>44</v>
      </c>
      <c r="G622" s="120">
        <f>VLOOKUP(C622,'RAW DATA 2023'!E:BO,26,0)</f>
        <v>0.28096590900000001</v>
      </c>
      <c r="H622" s="101">
        <f>IFERROR(VLOOKUP(F622,STD!B:G,6,0),"")</f>
        <v>0.37</v>
      </c>
      <c r="I622" s="100">
        <f t="shared" si="57"/>
        <v>0.75936732162162168</v>
      </c>
      <c r="J622" s="249">
        <f t="shared" si="59"/>
        <v>5.1873464324324337</v>
      </c>
      <c r="K622" s="63">
        <f>VLOOKUP(C622,'RAW DATA 2023'!E:BO,20,0)</f>
        <v>80</v>
      </c>
      <c r="L622" s="322">
        <f t="shared" si="60"/>
        <v>414.98771459459471</v>
      </c>
      <c r="M622" s="63"/>
      <c r="Y622" s="63" t="str">
        <f t="shared" si="58"/>
        <v>B1-017-00121</v>
      </c>
    </row>
    <row r="623" spans="1:25">
      <c r="A623" s="63" t="str">
        <f>'RAW DATA 2023'!B616</f>
        <v>Lucky1</v>
      </c>
      <c r="B623" s="63" t="str">
        <f>'RAW DATA 2023'!D616</f>
        <v>B1-024-0011</v>
      </c>
      <c r="C623" s="63" t="str">
        <f t="shared" si="55"/>
        <v>Lucky1B1-024-0011</v>
      </c>
      <c r="D623" s="68">
        <f>VLOOKUP(C623,'RAW DATA 2023'!E:BP,63,0)</f>
        <v>1</v>
      </c>
      <c r="E623" s="63" t="str">
        <f t="shared" si="56"/>
        <v>Lucky11</v>
      </c>
      <c r="F623" s="63">
        <f>ROUND(VLOOKUP(C623,'RAW DATA 2023'!E:BO,23,0),0)</f>
        <v>48</v>
      </c>
      <c r="G623" s="120">
        <f>VLOOKUP(C623,'RAW DATA 2023'!E:BO,26,0)</f>
        <v>0.26244725699999999</v>
      </c>
      <c r="H623" s="101">
        <f>IFERROR(VLOOKUP(F623,STD!B:G,6,0),"")</f>
        <v>0.36</v>
      </c>
      <c r="I623" s="100">
        <f t="shared" si="57"/>
        <v>0.72902015833333333</v>
      </c>
      <c r="J623" s="249">
        <f t="shared" si="59"/>
        <v>4.5804031666666667</v>
      </c>
      <c r="K623" s="63">
        <f>VLOOKUP(C623,'RAW DATA 2023'!E:BO,20,0)</f>
        <v>79</v>
      </c>
      <c r="L623" s="322">
        <f t="shared" si="60"/>
        <v>361.85185016666668</v>
      </c>
      <c r="M623" s="63"/>
      <c r="Y623" s="63" t="str">
        <f t="shared" si="58"/>
        <v>B1-024-00111</v>
      </c>
    </row>
    <row r="624" spans="1:25">
      <c r="A624" s="63" t="str">
        <f>'RAW DATA 2023'!B617</f>
        <v>Lucky1</v>
      </c>
      <c r="B624" s="63" t="str">
        <f>'RAW DATA 2023'!D617</f>
        <v>B1-021-0015</v>
      </c>
      <c r="C624" s="63" t="str">
        <f t="shared" si="55"/>
        <v>Lucky1B1-021-0015</v>
      </c>
      <c r="D624" s="68">
        <f>VLOOKUP(C624,'RAW DATA 2023'!E:BP,63,0)</f>
        <v>8</v>
      </c>
      <c r="E624" s="63" t="str">
        <f t="shared" si="56"/>
        <v>Lucky18</v>
      </c>
      <c r="F624" s="63">
        <f>ROUND(VLOOKUP(C624,'RAW DATA 2023'!E:BO,23,0),0)</f>
        <v>103</v>
      </c>
      <c r="G624" s="120">
        <f>VLOOKUP(C624,'RAW DATA 2023'!E:BO,26,0)</f>
        <v>0.248749632</v>
      </c>
      <c r="H624" s="101">
        <f>IFERROR(VLOOKUP(F624,STD!B:G,6,0),"")</f>
        <v>0.32</v>
      </c>
      <c r="I624" s="100">
        <f t="shared" si="57"/>
        <v>0.77734259999999999</v>
      </c>
      <c r="J624" s="249">
        <f t="shared" si="59"/>
        <v>5.5468519999999994</v>
      </c>
      <c r="K624" s="63">
        <f>VLOOKUP(C624,'RAW DATA 2023'!E:BO,20,0)</f>
        <v>33</v>
      </c>
      <c r="L624" s="322">
        <f t="shared" si="60"/>
        <v>183.04611599999998</v>
      </c>
      <c r="M624" s="63"/>
      <c r="Y624" s="63" t="str">
        <f t="shared" si="58"/>
        <v>B1-021-00158</v>
      </c>
    </row>
    <row r="625" spans="1:25">
      <c r="A625" s="63" t="str">
        <f>'RAW DATA 2023'!B618</f>
        <v>Lucky1</v>
      </c>
      <c r="B625" s="63" t="str">
        <f>'RAW DATA 2023'!D618</f>
        <v>B1-017-0014</v>
      </c>
      <c r="C625" s="63" t="str">
        <f t="shared" si="55"/>
        <v>Lucky1B1-017-0014</v>
      </c>
      <c r="D625" s="68">
        <f>VLOOKUP(C625,'RAW DATA 2023'!E:BP,63,0)</f>
        <v>9</v>
      </c>
      <c r="E625" s="63" t="str">
        <f t="shared" si="56"/>
        <v>Lucky19</v>
      </c>
      <c r="F625" s="63">
        <f>ROUND(VLOOKUP(C625,'RAW DATA 2023'!E:BO,23,0),0)</f>
        <v>90</v>
      </c>
      <c r="G625" s="120">
        <f>VLOOKUP(C625,'RAW DATA 2023'!E:BO,26,0)</f>
        <v>0.244570707</v>
      </c>
      <c r="H625" s="101">
        <f>IFERROR(VLOOKUP(F625,STD!B:G,6,0),"")</f>
        <v>0.33</v>
      </c>
      <c r="I625" s="100">
        <f t="shared" si="57"/>
        <v>0.74112335454545453</v>
      </c>
      <c r="J625" s="249">
        <f t="shared" si="59"/>
        <v>4.8224670909090905</v>
      </c>
      <c r="K625" s="63">
        <f>VLOOKUP(C625,'RAW DATA 2023'!E:BO,20,0)</f>
        <v>44</v>
      </c>
      <c r="L625" s="322">
        <f t="shared" si="60"/>
        <v>212.18855199999999</v>
      </c>
      <c r="M625" s="63"/>
      <c r="Y625" s="63" t="str">
        <f t="shared" si="58"/>
        <v>B1-017-00149</v>
      </c>
    </row>
    <row r="626" spans="1:25">
      <c r="A626" s="63" t="str">
        <f>'RAW DATA 2023'!B619</f>
        <v>Lucky1</v>
      </c>
      <c r="B626" s="63" t="str">
        <f>'RAW DATA 2023'!D619</f>
        <v>B1-023-0013</v>
      </c>
      <c r="C626" s="63" t="str">
        <f t="shared" si="55"/>
        <v>Lucky1B1-023-0013</v>
      </c>
      <c r="D626" s="68">
        <f>VLOOKUP(C626,'RAW DATA 2023'!E:BP,63,0)</f>
        <v>1</v>
      </c>
      <c r="E626" s="63" t="str">
        <f t="shared" si="56"/>
        <v>Lucky11</v>
      </c>
      <c r="F626" s="63">
        <f>ROUND(VLOOKUP(C626,'RAW DATA 2023'!E:BO,23,0),0)</f>
        <v>76</v>
      </c>
      <c r="G626" s="120">
        <f>VLOOKUP(C626,'RAW DATA 2023'!E:BO,26,0)</f>
        <v>0.22733148699999997</v>
      </c>
      <c r="H626" s="101">
        <f>IFERROR(VLOOKUP(F626,STD!B:G,6,0),"")</f>
        <v>0.34</v>
      </c>
      <c r="I626" s="100">
        <f t="shared" si="57"/>
        <v>0.66862202058823517</v>
      </c>
      <c r="J626" s="249">
        <f t="shared" si="59"/>
        <v>3.3724404117647033</v>
      </c>
      <c r="K626" s="63">
        <f>VLOOKUP(C626,'RAW DATA 2023'!E:BO,20,0)</f>
        <v>57</v>
      </c>
      <c r="L626" s="322">
        <f t="shared" si="60"/>
        <v>192.22910347058809</v>
      </c>
      <c r="M626" s="63"/>
      <c r="Y626" s="63" t="str">
        <f t="shared" si="58"/>
        <v>B1-023-00131</v>
      </c>
    </row>
    <row r="627" spans="1:25">
      <c r="A627" s="63" t="str">
        <f>'RAW DATA 2023'!B620</f>
        <v>Lucky1</v>
      </c>
      <c r="B627" s="63" t="str">
        <f>'RAW DATA 2023'!D620</f>
        <v>B1-019-0013</v>
      </c>
      <c r="C627" s="63" t="str">
        <f t="shared" si="55"/>
        <v>Lucky1B1-019-0013</v>
      </c>
      <c r="D627" s="68">
        <f>VLOOKUP(C627,'RAW DATA 2023'!E:BP,63,0)</f>
        <v>6</v>
      </c>
      <c r="E627" s="63" t="str">
        <f t="shared" si="56"/>
        <v>Lucky16</v>
      </c>
      <c r="F627" s="63">
        <f>ROUND(VLOOKUP(C627,'RAW DATA 2023'!E:BO,23,0),0)</f>
        <v>140</v>
      </c>
      <c r="G627" s="120">
        <f>VLOOKUP(C627,'RAW DATA 2023'!E:BO,26,0)</f>
        <v>0.21636904800000001</v>
      </c>
      <c r="H627" s="101">
        <f>IFERROR(VLOOKUP(F627,STD!B:G,6,0),"")</f>
        <v>0.28999999999999998</v>
      </c>
      <c r="I627" s="100">
        <f t="shared" si="57"/>
        <v>0.74610016551724145</v>
      </c>
      <c r="J627" s="249">
        <f t="shared" si="59"/>
        <v>4.9220033103448291</v>
      </c>
      <c r="K627" s="63">
        <f>VLOOKUP(C627,'RAW DATA 2023'!E:BO,20,0)</f>
        <v>24</v>
      </c>
      <c r="L627" s="322">
        <f t="shared" si="60"/>
        <v>118.1280794482759</v>
      </c>
      <c r="M627" s="63"/>
      <c r="Y627" s="63" t="str">
        <f t="shared" si="58"/>
        <v>B1-019-00136</v>
      </c>
    </row>
    <row r="628" spans="1:25">
      <c r="A628" s="63" t="str">
        <f>'RAW DATA 2023'!B621</f>
        <v>Lucky1</v>
      </c>
      <c r="B628" s="63" t="str">
        <f>'RAW DATA 2023'!D621</f>
        <v>B1-021-0014</v>
      </c>
      <c r="C628" s="63" t="str">
        <f t="shared" si="55"/>
        <v>Lucky1B1-021-0014</v>
      </c>
      <c r="D628" s="68">
        <f>VLOOKUP(C628,'RAW DATA 2023'!E:BP,63,0)</f>
        <v>4</v>
      </c>
      <c r="E628" s="63" t="str">
        <f t="shared" si="56"/>
        <v>Lucky14</v>
      </c>
      <c r="F628" s="63">
        <f>ROUND(VLOOKUP(C628,'RAW DATA 2023'!E:BO,23,0),0)</f>
        <v>137</v>
      </c>
      <c r="G628" s="120">
        <f>VLOOKUP(C628,'RAW DATA 2023'!E:BO,26,0)</f>
        <v>0.20144911999999998</v>
      </c>
      <c r="H628" s="101">
        <f>IFERROR(VLOOKUP(F628,STD!B:G,6,0),"")</f>
        <v>0.28999999999999998</v>
      </c>
      <c r="I628" s="100">
        <f t="shared" si="57"/>
        <v>0.69465213793103442</v>
      </c>
      <c r="J628" s="249">
        <f t="shared" si="59"/>
        <v>3.8930427586206884</v>
      </c>
      <c r="K628" s="63">
        <f>VLOOKUP(C628,'RAW DATA 2023'!E:BO,20,0)</f>
        <v>34</v>
      </c>
      <c r="L628" s="322">
        <f t="shared" si="60"/>
        <v>132.36345379310342</v>
      </c>
      <c r="M628" s="63"/>
      <c r="Y628" s="63" t="str">
        <f t="shared" si="58"/>
        <v>B1-021-00144</v>
      </c>
    </row>
    <row r="629" spans="1:25">
      <c r="A629" s="63" t="str">
        <f>'RAW DATA 2023'!B622</f>
        <v>Lucky1</v>
      </c>
      <c r="B629" s="63" t="str">
        <f>'RAW DATA 2023'!D622</f>
        <v>B1-020-0011</v>
      </c>
      <c r="C629" s="63" t="str">
        <f t="shared" si="55"/>
        <v>Lucky1B1-020-0011</v>
      </c>
      <c r="D629" s="68">
        <f>VLOOKUP(C629,'RAW DATA 2023'!E:BP,63,0)</f>
        <v>6</v>
      </c>
      <c r="E629" s="63" t="str">
        <f t="shared" si="56"/>
        <v>Lucky16</v>
      </c>
      <c r="F629" s="63">
        <f>ROUND(VLOOKUP(C629,'RAW DATA 2023'!E:BO,23,0),0)</f>
        <v>142</v>
      </c>
      <c r="G629" s="120">
        <f>VLOOKUP(C629,'RAW DATA 2023'!E:BO,26,0)</f>
        <v>0.19491140400000001</v>
      </c>
      <c r="H629" s="101">
        <f>IFERROR(VLOOKUP(F629,STD!B:G,6,0),"")</f>
        <v>0.28000000000000003</v>
      </c>
      <c r="I629" s="100">
        <f t="shared" si="57"/>
        <v>0.69611215714285712</v>
      </c>
      <c r="J629" s="249">
        <f t="shared" si="59"/>
        <v>3.9222431428571425</v>
      </c>
      <c r="K629" s="63">
        <f>VLOOKUP(C629,'RAW DATA 2023'!E:BO,20,0)</f>
        <v>31</v>
      </c>
      <c r="L629" s="322">
        <f t="shared" si="60"/>
        <v>121.58953742857142</v>
      </c>
      <c r="M629" s="63"/>
      <c r="Y629" s="63" t="str">
        <f t="shared" si="58"/>
        <v>B1-020-00116</v>
      </c>
    </row>
    <row r="630" spans="1:25">
      <c r="A630" s="63" t="str">
        <f>'RAW DATA 2023'!B623</f>
        <v>Lucky1</v>
      </c>
      <c r="B630" s="63" t="str">
        <f>'RAW DATA 2023'!D623</f>
        <v>B1-018-0012</v>
      </c>
      <c r="C630" s="63" t="str">
        <f t="shared" si="55"/>
        <v>Lucky1B1-018-0012</v>
      </c>
      <c r="D630" s="68">
        <f>VLOOKUP(C630,'RAW DATA 2023'!E:BP,63,0)</f>
        <v>5</v>
      </c>
      <c r="E630" s="63" t="str">
        <f t="shared" si="56"/>
        <v>Lucky15</v>
      </c>
      <c r="F630" s="63">
        <f>ROUND(VLOOKUP(C630,'RAW DATA 2023'!E:BO,23,0),0)</f>
        <v>0</v>
      </c>
      <c r="G630" s="120">
        <f>VLOOKUP(C630,'RAW DATA 2023'!E:BO,26,0)</f>
        <v>0</v>
      </c>
      <c r="H630" s="101" t="str">
        <f>IFERROR(VLOOKUP(F630,STD!B:G,6,0),"")</f>
        <v/>
      </c>
      <c r="I630" s="100">
        <f t="shared" si="57"/>
        <v>0</v>
      </c>
      <c r="J630" s="249">
        <f t="shared" si="59"/>
        <v>0</v>
      </c>
      <c r="K630" s="63">
        <f>VLOOKUP(C630,'RAW DATA 2023'!E:BO,20,0)</f>
        <v>0</v>
      </c>
      <c r="L630" s="322">
        <f t="shared" si="60"/>
        <v>0</v>
      </c>
      <c r="M630" s="63"/>
      <c r="Y630" s="63" t="str">
        <f t="shared" si="58"/>
        <v>B1-018-00125</v>
      </c>
    </row>
    <row r="631" spans="1:25">
      <c r="A631" s="63" t="str">
        <f>'RAW DATA 2023'!B624</f>
        <v>Kamong</v>
      </c>
      <c r="B631" s="63" t="str">
        <f>'RAW DATA 2023'!D624</f>
        <v>AG-031-0013</v>
      </c>
      <c r="C631" s="63" t="str">
        <f t="shared" si="55"/>
        <v>KamongAG-031-0013</v>
      </c>
      <c r="D631" s="68">
        <f>VLOOKUP(C631,'RAW DATA 2023'!E:BP,63,0)</f>
        <v>9</v>
      </c>
      <c r="E631" s="63" t="str">
        <f t="shared" si="56"/>
        <v>Kamong9</v>
      </c>
      <c r="F631" s="63">
        <f>ROUND(VLOOKUP(C631,'RAW DATA 2023'!E:BO,23,0),0)</f>
        <v>38</v>
      </c>
      <c r="G631" s="120">
        <f>VLOOKUP(C631,'RAW DATA 2023'!E:BO,26,0)</f>
        <v>0.44434751099999997</v>
      </c>
      <c r="H631" s="101">
        <f>IFERROR(VLOOKUP(F631,STD!B:G,6,0),"")</f>
        <v>0.37</v>
      </c>
      <c r="I631" s="100">
        <f t="shared" si="57"/>
        <v>1.2009392189189187</v>
      </c>
      <c r="J631" s="249">
        <f t="shared" si="59"/>
        <v>14.018784378378374</v>
      </c>
      <c r="K631" s="63">
        <f>VLOOKUP(C631,'RAW DATA 2023'!E:BO,20,0)</f>
        <v>85</v>
      </c>
      <c r="L631" s="322">
        <f t="shared" si="60"/>
        <v>1191.5966721621619</v>
      </c>
      <c r="M631" s="63"/>
      <c r="Y631" s="63" t="str">
        <f t="shared" si="58"/>
        <v>AG-031-00139</v>
      </c>
    </row>
    <row r="632" spans="1:25">
      <c r="A632" s="63" t="str">
        <f>'RAW DATA 2023'!B625</f>
        <v>Kamong</v>
      </c>
      <c r="B632" s="63" t="str">
        <f>'RAW DATA 2023'!D625</f>
        <v>AG-011-0009</v>
      </c>
      <c r="C632" s="63" t="str">
        <f t="shared" si="55"/>
        <v>KamongAG-011-0009</v>
      </c>
      <c r="D632" s="68">
        <f>VLOOKUP(C632,'RAW DATA 2023'!E:BP,63,0)</f>
        <v>9</v>
      </c>
      <c r="E632" s="63" t="str">
        <f t="shared" si="56"/>
        <v>Kamong9</v>
      </c>
      <c r="F632" s="63">
        <f>ROUND(VLOOKUP(C632,'RAW DATA 2023'!E:BO,23,0),0)</f>
        <v>40</v>
      </c>
      <c r="G632" s="120">
        <f>VLOOKUP(C632,'RAW DATA 2023'!E:BO,26,0)</f>
        <v>0.37334285699999992</v>
      </c>
      <c r="H632" s="101">
        <f>IFERROR(VLOOKUP(F632,STD!B:G,6,0),"")</f>
        <v>0.37</v>
      </c>
      <c r="I632" s="100">
        <f t="shared" si="57"/>
        <v>1.0090347486486484</v>
      </c>
      <c r="J632" s="249">
        <f t="shared" si="59"/>
        <v>10.180694972972969</v>
      </c>
      <c r="K632" s="63">
        <f>VLOOKUP(C632,'RAW DATA 2023'!E:BO,20,0)</f>
        <v>105</v>
      </c>
      <c r="L632" s="322">
        <f t="shared" si="60"/>
        <v>1068.9729721621618</v>
      </c>
      <c r="M632" s="63"/>
      <c r="Y632" s="63" t="str">
        <f t="shared" si="58"/>
        <v>AG-011-00099</v>
      </c>
    </row>
    <row r="633" spans="1:25">
      <c r="A633" s="63" t="str">
        <f>'RAW DATA 2023'!B626</f>
        <v>Kamong</v>
      </c>
      <c r="B633" s="63" t="str">
        <f>'RAW DATA 2023'!D626</f>
        <v>AG-031-0012</v>
      </c>
      <c r="C633" s="63" t="str">
        <f t="shared" si="55"/>
        <v>KamongAG-031-0012</v>
      </c>
      <c r="D633" s="68">
        <f>VLOOKUP(C633,'RAW DATA 2023'!E:BP,63,0)</f>
        <v>6</v>
      </c>
      <c r="E633" s="63" t="str">
        <f t="shared" si="56"/>
        <v>Kamong6</v>
      </c>
      <c r="F633" s="63">
        <f>ROUND(VLOOKUP(C633,'RAW DATA 2023'!E:BO,23,0),0)</f>
        <v>37</v>
      </c>
      <c r="G633" s="120">
        <f>VLOOKUP(C633,'RAW DATA 2023'!E:BO,26,0)</f>
        <v>0.369289435</v>
      </c>
      <c r="H633" s="101">
        <f>IFERROR(VLOOKUP(F633,STD!B:G,6,0),"")</f>
        <v>0.37</v>
      </c>
      <c r="I633" s="100">
        <f t="shared" si="57"/>
        <v>0.99807955405405402</v>
      </c>
      <c r="J633" s="249">
        <f t="shared" si="59"/>
        <v>9.9615910810810799</v>
      </c>
      <c r="K633" s="63">
        <f>VLOOKUP(C633,'RAW DATA 2023'!E:BO,20,0)</f>
        <v>128</v>
      </c>
      <c r="L633" s="322">
        <f t="shared" si="60"/>
        <v>1275.0836583783782</v>
      </c>
      <c r="M633" s="63"/>
      <c r="Y633" s="63" t="str">
        <f t="shared" si="58"/>
        <v>AG-031-00126</v>
      </c>
    </row>
    <row r="634" spans="1:25">
      <c r="A634" s="63" t="str">
        <f>'RAW DATA 2023'!B627</f>
        <v>Kamong</v>
      </c>
      <c r="B634" s="63" t="str">
        <f>'RAW DATA 2023'!D627</f>
        <v>C1-006-0031</v>
      </c>
      <c r="C634" s="63" t="str">
        <f t="shared" si="55"/>
        <v>KamongC1-006-0031</v>
      </c>
      <c r="D634" s="68">
        <f>VLOOKUP(C634,'RAW DATA 2023'!E:BP,63,0)</f>
        <v>8</v>
      </c>
      <c r="E634" s="63" t="str">
        <f t="shared" si="56"/>
        <v>Kamong8</v>
      </c>
      <c r="F634" s="63">
        <f>ROUND(VLOOKUP(C634,'RAW DATA 2023'!E:BO,23,0),0)</f>
        <v>32</v>
      </c>
      <c r="G634" s="120">
        <f>VLOOKUP(C634,'RAW DATA 2023'!E:BO,26,0)</f>
        <v>0.36322713899999998</v>
      </c>
      <c r="H634" s="101">
        <f>IFERROR(VLOOKUP(F634,STD!B:G,6,0),"")</f>
        <v>0.39</v>
      </c>
      <c r="I634" s="100">
        <f t="shared" si="57"/>
        <v>0.93135163846153834</v>
      </c>
      <c r="J634" s="249">
        <f t="shared" si="59"/>
        <v>8.627032769230766</v>
      </c>
      <c r="K634" s="63">
        <f>VLOOKUP(C634,'RAW DATA 2023'!E:BO,20,0)</f>
        <v>113</v>
      </c>
      <c r="L634" s="322">
        <f t="shared" si="60"/>
        <v>974.8547029230765</v>
      </c>
      <c r="M634" s="63"/>
      <c r="Y634" s="63" t="str">
        <f t="shared" si="58"/>
        <v>C1-006-00318</v>
      </c>
    </row>
    <row r="635" spans="1:25">
      <c r="A635" s="63" t="str">
        <f>'RAW DATA 2023'!B628</f>
        <v>Kamong</v>
      </c>
      <c r="B635" s="63" t="str">
        <f>'RAW DATA 2023'!D628</f>
        <v>C1-026-0043</v>
      </c>
      <c r="C635" s="63" t="str">
        <f t="shared" si="55"/>
        <v>KamongC1-026-0043</v>
      </c>
      <c r="D635" s="68">
        <f>VLOOKUP(C635,'RAW DATA 2023'!E:BP,63,0)</f>
        <v>12</v>
      </c>
      <c r="E635" s="63" t="str">
        <f t="shared" si="56"/>
        <v>Kamong12</v>
      </c>
      <c r="F635" s="63">
        <f>ROUND(VLOOKUP(C635,'RAW DATA 2023'!E:BO,23,0),0)</f>
        <v>34</v>
      </c>
      <c r="G635" s="120">
        <f>VLOOKUP(C635,'RAW DATA 2023'!E:BO,26,0)</f>
        <v>0.30104070999999999</v>
      </c>
      <c r="H635" s="101">
        <f>IFERROR(VLOOKUP(F635,STD!B:G,6,0),"")</f>
        <v>0.38</v>
      </c>
      <c r="I635" s="100">
        <f t="shared" si="57"/>
        <v>0.79221239473684202</v>
      </c>
      <c r="J635" s="249">
        <f t="shared" si="59"/>
        <v>5.8442478947368404</v>
      </c>
      <c r="K635" s="63">
        <f>VLOOKUP(C635,'RAW DATA 2023'!E:BO,20,0)</f>
        <v>99</v>
      </c>
      <c r="L635" s="322">
        <f t="shared" si="60"/>
        <v>578.58054157894719</v>
      </c>
      <c r="M635" s="63"/>
      <c r="Y635" s="63" t="str">
        <f t="shared" si="58"/>
        <v>C1-026-004312</v>
      </c>
    </row>
    <row r="636" spans="1:25">
      <c r="A636" s="63" t="str">
        <f>'RAW DATA 2023'!B629</f>
        <v>Kamong</v>
      </c>
      <c r="B636" s="63" t="str">
        <f>'RAW DATA 2023'!D629</f>
        <v>C1-018-0018</v>
      </c>
      <c r="C636" s="63" t="str">
        <f t="shared" si="55"/>
        <v>KamongC1-018-0018</v>
      </c>
      <c r="D636" s="68">
        <f>VLOOKUP(C636,'RAW DATA 2023'!E:BP,63,0)</f>
        <v>5</v>
      </c>
      <c r="E636" s="63" t="str">
        <f t="shared" si="56"/>
        <v>Kamong5</v>
      </c>
      <c r="F636" s="63">
        <f>ROUND(VLOOKUP(C636,'RAW DATA 2023'!E:BO,23,0),0)</f>
        <v>43</v>
      </c>
      <c r="G636" s="120">
        <f>VLOOKUP(C636,'RAW DATA 2023'!E:BO,26,0)</f>
        <v>0.28804827799999999</v>
      </c>
      <c r="H636" s="101">
        <f>IFERROR(VLOOKUP(F636,STD!B:G,6,0),"")</f>
        <v>0.37</v>
      </c>
      <c r="I636" s="100">
        <f t="shared" si="57"/>
        <v>0.77850885945945947</v>
      </c>
      <c r="J636" s="249">
        <f t="shared" si="59"/>
        <v>5.5701771891891898</v>
      </c>
      <c r="K636" s="63">
        <f>VLOOKUP(C636,'RAW DATA 2023'!E:BO,20,0)</f>
        <v>79</v>
      </c>
      <c r="L636" s="322">
        <f t="shared" si="60"/>
        <v>440.04399794594599</v>
      </c>
      <c r="M636" s="63"/>
      <c r="Y636" s="63" t="str">
        <f t="shared" si="58"/>
        <v>C1-018-00185</v>
      </c>
    </row>
    <row r="637" spans="1:25">
      <c r="A637" s="63" t="str">
        <f>'RAW DATA 2023'!B630</f>
        <v>Kamong</v>
      </c>
      <c r="B637" s="63" t="str">
        <f>'RAW DATA 2023'!D630</f>
        <v>C1-006-0030</v>
      </c>
      <c r="C637" s="63" t="str">
        <f t="shared" si="55"/>
        <v>KamongC1-006-0030</v>
      </c>
      <c r="D637" s="68">
        <f>VLOOKUP(C637,'RAW DATA 2023'!E:BP,63,0)</f>
        <v>4</v>
      </c>
      <c r="E637" s="63" t="str">
        <f t="shared" si="56"/>
        <v>Kamong4</v>
      </c>
      <c r="F637" s="63">
        <f>ROUND(VLOOKUP(C637,'RAW DATA 2023'!E:BO,23,0),0)</f>
        <v>38</v>
      </c>
      <c r="G637" s="120">
        <f>VLOOKUP(C637,'RAW DATA 2023'!E:BO,26,0)</f>
        <v>0.25366666700000001</v>
      </c>
      <c r="H637" s="101">
        <f>IFERROR(VLOOKUP(F637,STD!B:G,6,0),"")</f>
        <v>0.37</v>
      </c>
      <c r="I637" s="100">
        <f t="shared" si="57"/>
        <v>0.68558558648648649</v>
      </c>
      <c r="J637" s="249">
        <f t="shared" si="59"/>
        <v>3.7117117297297297</v>
      </c>
      <c r="K637" s="63">
        <f>VLOOKUP(C637,'RAW DATA 2023'!E:BO,20,0)</f>
        <v>131</v>
      </c>
      <c r="L637" s="322">
        <f t="shared" si="60"/>
        <v>486.23423659459462</v>
      </c>
      <c r="M637" s="63"/>
      <c r="Y637" s="63" t="str">
        <f t="shared" si="58"/>
        <v>C1-006-00304</v>
      </c>
    </row>
    <row r="638" spans="1:25">
      <c r="A638" s="63" t="str">
        <f>'RAW DATA 2023'!B631</f>
        <v>Kamong</v>
      </c>
      <c r="B638" s="63" t="str">
        <f>'RAW DATA 2023'!D631</f>
        <v>C1-024-0042</v>
      </c>
      <c r="C638" s="63" t="str">
        <f t="shared" si="55"/>
        <v>KamongC1-024-0042</v>
      </c>
      <c r="D638" s="68">
        <f>VLOOKUP(C638,'RAW DATA 2023'!E:BP,63,0)</f>
        <v>5</v>
      </c>
      <c r="E638" s="63" t="str">
        <f t="shared" si="56"/>
        <v>Kamong5</v>
      </c>
      <c r="F638" s="63">
        <f>ROUND(VLOOKUP(C638,'RAW DATA 2023'!E:BO,23,0),0)</f>
        <v>70</v>
      </c>
      <c r="G638" s="120">
        <f>VLOOKUP(C638,'RAW DATA 2023'!E:BO,26,0)</f>
        <v>0.20379861299999999</v>
      </c>
      <c r="H638" s="101">
        <f>IFERROR(VLOOKUP(F638,STD!B:G,6,0),"")</f>
        <v>0.35</v>
      </c>
      <c r="I638" s="100">
        <f t="shared" si="57"/>
        <v>0.58228175142857141</v>
      </c>
      <c r="J638" s="249">
        <f t="shared" si="59"/>
        <v>1.6456350285714283</v>
      </c>
      <c r="K638" s="63">
        <f>VLOOKUP(C638,'RAW DATA 2023'!E:BO,20,0)</f>
        <v>67</v>
      </c>
      <c r="L638" s="322">
        <f t="shared" si="60"/>
        <v>110.2575469142857</v>
      </c>
      <c r="M638" s="63"/>
      <c r="Y638" s="63" t="str">
        <f t="shared" si="58"/>
        <v>C1-024-00425</v>
      </c>
    </row>
    <row r="639" spans="1:25">
      <c r="A639" s="63" t="str">
        <f>'RAW DATA 2023'!B632</f>
        <v>Kamong</v>
      </c>
      <c r="B639" s="63" t="str">
        <f>'RAW DATA 2023'!D632</f>
        <v>AG-011-0008</v>
      </c>
      <c r="C639" s="63" t="str">
        <f t="shared" si="55"/>
        <v>KamongAG-011-0008</v>
      </c>
      <c r="D639" s="68">
        <f>VLOOKUP(C639,'RAW DATA 2023'!E:BP,63,0)</f>
        <v>4</v>
      </c>
      <c r="E639" s="63" t="str">
        <f t="shared" si="56"/>
        <v>Kamong4</v>
      </c>
      <c r="F639" s="63">
        <f>ROUND(VLOOKUP(C639,'RAW DATA 2023'!E:BO,23,0),0)</f>
        <v>43</v>
      </c>
      <c r="G639" s="120">
        <f>VLOOKUP(C639,'RAW DATA 2023'!E:BO,26,0)</f>
        <v>0.27339823000000002</v>
      </c>
      <c r="H639" s="101">
        <f>IFERROR(VLOOKUP(F639,STD!B:G,6,0),"")</f>
        <v>0.37</v>
      </c>
      <c r="I639" s="100">
        <f t="shared" si="57"/>
        <v>0.73891413513513515</v>
      </c>
      <c r="J639" s="249">
        <f t="shared" si="59"/>
        <v>4.7782827027027031</v>
      </c>
      <c r="K639" s="63">
        <f>VLOOKUP(C639,'RAW DATA 2023'!E:BO,20,0)</f>
        <v>113</v>
      </c>
      <c r="L639" s="322">
        <f t="shared" si="60"/>
        <v>539.9459454054055</v>
      </c>
      <c r="M639" s="63"/>
      <c r="Y639" s="63" t="str">
        <f t="shared" si="58"/>
        <v>AG-011-00084</v>
      </c>
    </row>
    <row r="640" spans="1:25">
      <c r="A640" s="63" t="str">
        <f>'RAW DATA 2023'!B633</f>
        <v>Kamong</v>
      </c>
      <c r="B640" s="63" t="str">
        <f>'RAW DATA 2023'!D633</f>
        <v>D1-032-0010</v>
      </c>
      <c r="C640" s="63" t="str">
        <f t="shared" si="55"/>
        <v>KamongD1-032-0010</v>
      </c>
      <c r="D640" s="68">
        <f>VLOOKUP(C640,'RAW DATA 2023'!E:BP,63,0)</f>
        <v>8</v>
      </c>
      <c r="E640" s="63" t="str">
        <f t="shared" si="56"/>
        <v>Kamong8</v>
      </c>
      <c r="F640" s="63">
        <f>ROUND(VLOOKUP(C640,'RAW DATA 2023'!E:BO,23,0),0)</f>
        <v>110</v>
      </c>
      <c r="G640" s="120">
        <f>VLOOKUP(C640,'RAW DATA 2023'!E:BO,26,0)</f>
        <v>0.24287967899999996</v>
      </c>
      <c r="H640" s="101">
        <f>IFERROR(VLOOKUP(F640,STD!B:G,6,0),"")</f>
        <v>0.32</v>
      </c>
      <c r="I640" s="100">
        <f t="shared" si="57"/>
        <v>0.75899899687499983</v>
      </c>
      <c r="J640" s="249">
        <f t="shared" si="59"/>
        <v>5.1799799374999971</v>
      </c>
      <c r="K640" s="63">
        <f>VLOOKUP(C640,'RAW DATA 2023'!E:BO,20,0)</f>
        <v>34</v>
      </c>
      <c r="L640" s="322">
        <f t="shared" si="60"/>
        <v>176.11931787499989</v>
      </c>
      <c r="M640" s="63"/>
      <c r="Y640" s="63" t="str">
        <f t="shared" si="58"/>
        <v>D1-032-00108</v>
      </c>
    </row>
    <row r="641" spans="1:25">
      <c r="A641" s="63" t="str">
        <f>'RAW DATA 2023'!B634</f>
        <v>Kamong</v>
      </c>
      <c r="B641" s="63" t="str">
        <f>'RAW DATA 2023'!D634</f>
        <v>D1-022-0038</v>
      </c>
      <c r="C641" s="63" t="str">
        <f t="shared" si="55"/>
        <v>KamongD1-022-0038</v>
      </c>
      <c r="D641" s="68">
        <f>VLOOKUP(C641,'RAW DATA 2023'!E:BP,63,0)</f>
        <v>2</v>
      </c>
      <c r="E641" s="63" t="str">
        <f t="shared" si="56"/>
        <v>Kamong2</v>
      </c>
      <c r="F641" s="63">
        <f>ROUND(VLOOKUP(C641,'RAW DATA 2023'!E:BO,23,0),0)</f>
        <v>36</v>
      </c>
      <c r="G641" s="120">
        <f>VLOOKUP(C641,'RAW DATA 2023'!E:BO,26,0)</f>
        <v>0.30284313699999998</v>
      </c>
      <c r="H641" s="101">
        <f>IFERROR(VLOOKUP(F641,STD!B:G,6,0),"")</f>
        <v>0.36</v>
      </c>
      <c r="I641" s="100">
        <f t="shared" si="57"/>
        <v>0.84123093611111111</v>
      </c>
      <c r="J641" s="249">
        <f t="shared" si="59"/>
        <v>6.8246187222222225</v>
      </c>
      <c r="K641" s="63">
        <f>VLOOKUP(C641,'RAW DATA 2023'!E:BO,20,0)</f>
        <v>102</v>
      </c>
      <c r="L641" s="322">
        <f t="shared" si="60"/>
        <v>696.11110966666672</v>
      </c>
      <c r="M641" s="63"/>
      <c r="Y641" s="63" t="str">
        <f t="shared" si="58"/>
        <v>D1-022-00382</v>
      </c>
    </row>
    <row r="642" spans="1:25">
      <c r="A642" s="63" t="str">
        <f>'RAW DATA 2023'!B635</f>
        <v>Kamong</v>
      </c>
      <c r="B642" s="63" t="str">
        <f>'RAW DATA 2023'!D635</f>
        <v>D1-032-0008</v>
      </c>
      <c r="C642" s="63" t="str">
        <f t="shared" si="55"/>
        <v>KamongD1-032-0008</v>
      </c>
      <c r="D642" s="68">
        <f>VLOOKUP(C642,'RAW DATA 2023'!E:BP,63,0)</f>
        <v>3</v>
      </c>
      <c r="E642" s="63" t="str">
        <f t="shared" si="56"/>
        <v>Kamong3</v>
      </c>
      <c r="F642" s="63">
        <f>ROUND(VLOOKUP(C642,'RAW DATA 2023'!E:BO,23,0),0)</f>
        <v>34</v>
      </c>
      <c r="G642" s="120">
        <f>VLOOKUP(C642,'RAW DATA 2023'!E:BO,26,0)</f>
        <v>0.289461358</v>
      </c>
      <c r="H642" s="101">
        <f>IFERROR(VLOOKUP(F642,STD!B:G,6,0),"")</f>
        <v>0.38</v>
      </c>
      <c r="I642" s="100">
        <f t="shared" si="57"/>
        <v>0.76174041578947371</v>
      </c>
      <c r="J642" s="249">
        <f t="shared" si="59"/>
        <v>5.2348083157894738</v>
      </c>
      <c r="K642" s="63">
        <f>VLOOKUP(C642,'RAW DATA 2023'!E:BO,20,0)</f>
        <v>122</v>
      </c>
      <c r="L642" s="322">
        <f t="shared" si="60"/>
        <v>638.64661452631583</v>
      </c>
      <c r="M642" s="63"/>
      <c r="Y642" s="63" t="str">
        <f t="shared" si="58"/>
        <v>D1-032-00083</v>
      </c>
    </row>
    <row r="643" spans="1:25">
      <c r="A643" s="63" t="str">
        <f>'RAW DATA 2023'!B636</f>
        <v>Kamong</v>
      </c>
      <c r="B643" s="63" t="str">
        <f>'RAW DATA 2023'!D636</f>
        <v>D1-022-0040</v>
      </c>
      <c r="C643" s="63" t="str">
        <f t="shared" si="55"/>
        <v>KamongD1-022-0040</v>
      </c>
      <c r="D643" s="68">
        <f>VLOOKUP(C643,'RAW DATA 2023'!E:BP,63,0)</f>
        <v>7</v>
      </c>
      <c r="E643" s="63" t="str">
        <f t="shared" si="56"/>
        <v>Kamong7</v>
      </c>
      <c r="F643" s="63">
        <f>ROUND(VLOOKUP(C643,'RAW DATA 2023'!E:BO,23,0),0)</f>
        <v>111</v>
      </c>
      <c r="G643" s="120">
        <f>VLOOKUP(C643,'RAW DATA 2023'!E:BO,26,0)</f>
        <v>0.25996803299999999</v>
      </c>
      <c r="H643" s="101">
        <f>IFERROR(VLOOKUP(F643,STD!B:G,6,0),"")</f>
        <v>0.32</v>
      </c>
      <c r="I643" s="100">
        <f t="shared" si="57"/>
        <v>0.81240010312499999</v>
      </c>
      <c r="J643" s="249">
        <f t="shared" si="59"/>
        <v>6.2480020624999995</v>
      </c>
      <c r="K643" s="63">
        <f>VLOOKUP(C643,'RAW DATA 2023'!E:BO,20,0)</f>
        <v>30.999999999999996</v>
      </c>
      <c r="L643" s="322">
        <f t="shared" si="60"/>
        <v>193.68806393749995</v>
      </c>
      <c r="M643" s="63"/>
      <c r="Y643" s="63" t="str">
        <f t="shared" si="58"/>
        <v>D1-022-00407</v>
      </c>
    </row>
    <row r="644" spans="1:25">
      <c r="A644" s="63" t="str">
        <f>'RAW DATA 2023'!B637</f>
        <v>Kamong</v>
      </c>
      <c r="B644" s="63" t="str">
        <f>'RAW DATA 2023'!D637</f>
        <v>D1-027-0001</v>
      </c>
      <c r="C644" s="63" t="str">
        <f t="shared" si="55"/>
        <v>KamongD1-027-0001</v>
      </c>
      <c r="D644" s="68">
        <f>VLOOKUP(C644,'RAW DATA 2023'!E:BP,63,0)</f>
        <v>4</v>
      </c>
      <c r="E644" s="63" t="str">
        <f t="shared" si="56"/>
        <v>Kamong4</v>
      </c>
      <c r="F644" s="63">
        <f>ROUND(VLOOKUP(C644,'RAW DATA 2023'!E:BO,23,0),0)</f>
        <v>52</v>
      </c>
      <c r="G644" s="120">
        <f>VLOOKUP(C644,'RAW DATA 2023'!E:BO,26,0)</f>
        <v>0.25202584</v>
      </c>
      <c r="H644" s="101">
        <f>IFERROR(VLOOKUP(F644,STD!B:G,6,0),"")</f>
        <v>0.36</v>
      </c>
      <c r="I644" s="100">
        <f t="shared" si="57"/>
        <v>0.70007177777777785</v>
      </c>
      <c r="J644" s="249">
        <f t="shared" si="59"/>
        <v>4.001435555555557</v>
      </c>
      <c r="K644" s="63">
        <f>VLOOKUP(C644,'RAW DATA 2023'!E:BO,20,0)</f>
        <v>86</v>
      </c>
      <c r="L644" s="322">
        <f t="shared" si="60"/>
        <v>344.1234577777779</v>
      </c>
      <c r="M644" s="63"/>
      <c r="Y644" s="63" t="str">
        <f t="shared" si="58"/>
        <v>D1-027-00014</v>
      </c>
    </row>
    <row r="645" spans="1:25">
      <c r="A645" s="63" t="str">
        <f>'RAW DATA 2023'!B638</f>
        <v>Kamong</v>
      </c>
      <c r="B645" s="63" t="str">
        <f>'RAW DATA 2023'!D638</f>
        <v>D1-027-0002</v>
      </c>
      <c r="C645" s="63" t="str">
        <f t="shared" si="55"/>
        <v>KamongD1-027-0002</v>
      </c>
      <c r="D645" s="68">
        <f>VLOOKUP(C645,'RAW DATA 2023'!E:BP,63,0)</f>
        <v>7</v>
      </c>
      <c r="E645" s="63" t="str">
        <f t="shared" si="56"/>
        <v>Kamong7</v>
      </c>
      <c r="F645" s="63">
        <f>ROUND(VLOOKUP(C645,'RAW DATA 2023'!E:BO,23,0),0)</f>
        <v>105</v>
      </c>
      <c r="G645" s="120">
        <f>VLOOKUP(C645,'RAW DATA 2023'!E:BO,26,0)</f>
        <v>0.24899470899999998</v>
      </c>
      <c r="H645" s="101">
        <f>IFERROR(VLOOKUP(F645,STD!B:G,6,0),"")</f>
        <v>0.32</v>
      </c>
      <c r="I645" s="100">
        <f t="shared" si="57"/>
        <v>0.77810846562499991</v>
      </c>
      <c r="J645" s="249">
        <f t="shared" si="59"/>
        <v>5.5621693124999982</v>
      </c>
      <c r="K645" s="63">
        <f>VLOOKUP(C645,'RAW DATA 2023'!E:BO,20,0)</f>
        <v>36</v>
      </c>
      <c r="L645" s="322">
        <f t="shared" si="60"/>
        <v>200.23809524999993</v>
      </c>
      <c r="M645" s="63"/>
      <c r="Y645" s="63" t="str">
        <f t="shared" si="58"/>
        <v>D1-027-00027</v>
      </c>
    </row>
    <row r="646" spans="1:25">
      <c r="A646" s="63" t="str">
        <f>'RAW DATA 2023'!B639</f>
        <v>Kamong</v>
      </c>
      <c r="B646" s="63" t="str">
        <f>'RAW DATA 2023'!D639</f>
        <v>D1-022-0039</v>
      </c>
      <c r="C646" s="63" t="str">
        <f t="shared" si="55"/>
        <v>KamongD1-022-0039</v>
      </c>
      <c r="D646" s="68">
        <f>VLOOKUP(C646,'RAW DATA 2023'!E:BP,63,0)</f>
        <v>4</v>
      </c>
      <c r="E646" s="63" t="str">
        <f t="shared" si="56"/>
        <v>Kamong4</v>
      </c>
      <c r="F646" s="63">
        <f>ROUND(VLOOKUP(C646,'RAW DATA 2023'!E:BO,23,0),0)</f>
        <v>175</v>
      </c>
      <c r="G646" s="120">
        <f>VLOOKUP(C646,'RAW DATA 2023'!E:BO,26,0)</f>
        <v>0.15040816300000001</v>
      </c>
      <c r="H646" s="101">
        <f>IFERROR(VLOOKUP(F646,STD!B:G,6,0),"")</f>
        <v>0.25</v>
      </c>
      <c r="I646" s="100">
        <f t="shared" si="57"/>
        <v>0.60163265200000005</v>
      </c>
      <c r="J646" s="249">
        <f t="shared" si="59"/>
        <v>2.0326530400000009</v>
      </c>
      <c r="K646" s="63">
        <f>VLOOKUP(C646,'RAW DATA 2023'!E:BO,20,0)</f>
        <v>35</v>
      </c>
      <c r="L646" s="322">
        <f t="shared" si="60"/>
        <v>71.142856400000028</v>
      </c>
      <c r="M646" s="63"/>
      <c r="Y646" s="63" t="str">
        <f t="shared" si="58"/>
        <v>D1-022-00394</v>
      </c>
    </row>
    <row r="647" spans="1:25">
      <c r="A647" s="63" t="str">
        <f>'RAW DATA 2023'!B640</f>
        <v>Kamong</v>
      </c>
      <c r="B647" s="63" t="str">
        <f>'RAW DATA 2023'!D640</f>
        <v>D1-032-0009</v>
      </c>
      <c r="C647" s="63" t="str">
        <f t="shared" si="55"/>
        <v>KamongD1-032-0009</v>
      </c>
      <c r="D647" s="68">
        <f>VLOOKUP(C647,'RAW DATA 2023'!E:BP,63,0)</f>
        <v>5</v>
      </c>
      <c r="E647" s="63" t="str">
        <f t="shared" si="56"/>
        <v>Kamong5</v>
      </c>
      <c r="F647" s="63">
        <f>ROUND(VLOOKUP(C647,'RAW DATA 2023'!E:BO,23,0),0)</f>
        <v>0</v>
      </c>
      <c r="G647" s="120">
        <f>VLOOKUP(C647,'RAW DATA 2023'!E:BO,26,0)</f>
        <v>0</v>
      </c>
      <c r="H647" s="101" t="str">
        <f>IFERROR(VLOOKUP(F647,STD!B:G,6,0),"")</f>
        <v/>
      </c>
      <c r="I647" s="100">
        <f t="shared" si="57"/>
        <v>0</v>
      </c>
      <c r="J647" s="249">
        <f t="shared" si="59"/>
        <v>0</v>
      </c>
      <c r="K647" s="63">
        <f>VLOOKUP(C647,'RAW DATA 2023'!E:BO,20,0)</f>
        <v>0</v>
      </c>
      <c r="L647" s="322">
        <f t="shared" si="60"/>
        <v>0</v>
      </c>
      <c r="M647" s="63"/>
      <c r="Y647" s="63" t="str">
        <f t="shared" si="58"/>
        <v>D1-032-00095</v>
      </c>
    </row>
    <row r="648" spans="1:25">
      <c r="A648" s="63" t="str">
        <f>'RAW DATA 2023'!B641</f>
        <v>Talaytong</v>
      </c>
      <c r="B648" s="63" t="str">
        <f>'RAW DATA 2023'!D641</f>
        <v>A1-039-0007</v>
      </c>
      <c r="C648" s="63" t="str">
        <f t="shared" si="55"/>
        <v>TalaytongA1-039-0007</v>
      </c>
      <c r="D648" s="68">
        <f>VLOOKUP(C648,'RAW DATA 2023'!E:BP,63,0)</f>
        <v>8</v>
      </c>
      <c r="E648" s="63" t="str">
        <f t="shared" si="56"/>
        <v>Talaytong8</v>
      </c>
      <c r="F648" s="63">
        <f>ROUND(VLOOKUP(C648,'RAW DATA 2023'!E:BO,23,0),0)</f>
        <v>45</v>
      </c>
      <c r="G648" s="120">
        <f>VLOOKUP(C648,'RAW DATA 2023'!E:BO,26,0)</f>
        <v>0.43165898000000003</v>
      </c>
      <c r="H648" s="101">
        <f>IFERROR(VLOOKUP(F648,STD!B:G,6,0),"")</f>
        <v>0.36</v>
      </c>
      <c r="I648" s="100">
        <f t="shared" si="57"/>
        <v>1.1990527222222223</v>
      </c>
      <c r="J648" s="249">
        <f t="shared" si="59"/>
        <v>13.981054444444446</v>
      </c>
      <c r="K648" s="63">
        <f>VLOOKUP(C648,'RAW DATA 2023'!E:BO,20,0)</f>
        <v>54.999999999999993</v>
      </c>
      <c r="L648" s="322">
        <f t="shared" si="60"/>
        <v>768.95799444444447</v>
      </c>
      <c r="M648" s="63"/>
      <c r="Y648" s="63" t="str">
        <f t="shared" si="58"/>
        <v>A1-039-00078</v>
      </c>
    </row>
    <row r="649" spans="1:25">
      <c r="A649" s="63" t="str">
        <f>'RAW DATA 2023'!B642</f>
        <v>Talaytong</v>
      </c>
      <c r="B649" s="63" t="str">
        <f>'RAW DATA 2023'!D642</f>
        <v>A1-038-0010</v>
      </c>
      <c r="C649" s="63" t="str">
        <f t="shared" si="55"/>
        <v>TalaytongA1-038-0010</v>
      </c>
      <c r="D649" s="68">
        <f>VLOOKUP(C649,'RAW DATA 2023'!E:BP,63,0)</f>
        <v>10</v>
      </c>
      <c r="E649" s="63" t="str">
        <f t="shared" si="56"/>
        <v>Talaytong10</v>
      </c>
      <c r="F649" s="63">
        <f>ROUND(VLOOKUP(C649,'RAW DATA 2023'!E:BO,23,0),0)</f>
        <v>67</v>
      </c>
      <c r="G649" s="120">
        <f>VLOOKUP(C649,'RAW DATA 2023'!E:BO,26,0)</f>
        <v>0.289704142</v>
      </c>
      <c r="H649" s="101">
        <f>IFERROR(VLOOKUP(F649,STD!B:G,6,0),"")</f>
        <v>0.36</v>
      </c>
      <c r="I649" s="100">
        <f t="shared" si="57"/>
        <v>0.80473372777777785</v>
      </c>
      <c r="J649" s="249">
        <f t="shared" si="59"/>
        <v>6.0946745555555566</v>
      </c>
      <c r="K649" s="63">
        <f>VLOOKUP(C649,'RAW DATA 2023'!E:BO,20,0)</f>
        <v>52</v>
      </c>
      <c r="L649" s="322">
        <f t="shared" si="60"/>
        <v>316.92307688888894</v>
      </c>
      <c r="M649" s="63"/>
      <c r="Y649" s="63" t="str">
        <f t="shared" si="58"/>
        <v>A1-038-001010</v>
      </c>
    </row>
    <row r="650" spans="1:25">
      <c r="A650" s="63" t="str">
        <f>'RAW DATA 2023'!B643</f>
        <v>Talaytong</v>
      </c>
      <c r="B650" s="63" t="str">
        <f>'RAW DATA 2023'!D643</f>
        <v>A1-038-0008</v>
      </c>
      <c r="C650" s="63" t="str">
        <f t="shared" ref="C650:C713" si="61">A650&amp;B650</f>
        <v>TalaytongA1-038-0008</v>
      </c>
      <c r="D650" s="68">
        <f>VLOOKUP(C650,'RAW DATA 2023'!E:BP,63,0)</f>
        <v>5</v>
      </c>
      <c r="E650" s="63" t="str">
        <f t="shared" ref="E650:E713" si="62">A650&amp;D650</f>
        <v>Talaytong5</v>
      </c>
      <c r="F650" s="63">
        <f>ROUND(VLOOKUP(C650,'RAW DATA 2023'!E:BO,23,0),0)</f>
        <v>48</v>
      </c>
      <c r="G650" s="120">
        <f>VLOOKUP(C650,'RAW DATA 2023'!E:BO,26,0)</f>
        <v>0.26766937699999999</v>
      </c>
      <c r="H650" s="101">
        <f>IFERROR(VLOOKUP(F650,STD!B:G,6,0),"")</f>
        <v>0.36</v>
      </c>
      <c r="I650" s="100">
        <f t="shared" ref="I650:I713" si="63">IFERROR(G650/H650,0)</f>
        <v>0.74352604722222226</v>
      </c>
      <c r="J650" s="249">
        <f t="shared" si="59"/>
        <v>4.8705209444444453</v>
      </c>
      <c r="K650" s="63">
        <f>VLOOKUP(C650,'RAW DATA 2023'!E:BO,20,0)</f>
        <v>90</v>
      </c>
      <c r="L650" s="322">
        <f t="shared" si="60"/>
        <v>438.3468850000001</v>
      </c>
      <c r="M650" s="63"/>
      <c r="Y650" s="63" t="str">
        <f t="shared" ref="Y650:Y713" si="64">B650&amp;D650</f>
        <v>A1-038-00085</v>
      </c>
    </row>
    <row r="651" spans="1:25">
      <c r="A651" s="63" t="str">
        <f>'RAW DATA 2023'!B644</f>
        <v>Talaytong</v>
      </c>
      <c r="B651" s="63" t="str">
        <f>'RAW DATA 2023'!D644</f>
        <v>A1-039-0006</v>
      </c>
      <c r="C651" s="63" t="str">
        <f t="shared" si="61"/>
        <v>TalaytongA1-039-0006</v>
      </c>
      <c r="D651" s="68">
        <f>VLOOKUP(C651,'RAW DATA 2023'!E:BP,63,0)</f>
        <v>4</v>
      </c>
      <c r="E651" s="63" t="str">
        <f t="shared" si="62"/>
        <v>Talaytong4</v>
      </c>
      <c r="F651" s="63">
        <f>ROUND(VLOOKUP(C651,'RAW DATA 2023'!E:BO,23,0),0)</f>
        <v>77</v>
      </c>
      <c r="G651" s="120">
        <f>VLOOKUP(C651,'RAW DATA 2023'!E:BO,26,0)</f>
        <v>0.18517410100000001</v>
      </c>
      <c r="H651" s="101">
        <f>IFERROR(VLOOKUP(F651,STD!B:G,6,0),"")</f>
        <v>0.34</v>
      </c>
      <c r="I651" s="100">
        <f t="shared" si="63"/>
        <v>0.54462970882352935</v>
      </c>
      <c r="J651" s="249">
        <f t="shared" ref="J651:J714" si="65">IF(I651&gt;0.5,((I651-$B$4)*$B$7),0)</f>
        <v>0.89259417647058692</v>
      </c>
      <c r="K651" s="63">
        <f>VLOOKUP(C651,'RAW DATA 2023'!E:BO,20,0)</f>
        <v>69</v>
      </c>
      <c r="L651" s="322">
        <f t="shared" ref="L651:L714" si="66">J651*K651</f>
        <v>61.588998176470497</v>
      </c>
      <c r="M651" s="63"/>
      <c r="Y651" s="63" t="str">
        <f t="shared" si="64"/>
        <v>A1-039-00064</v>
      </c>
    </row>
    <row r="652" spans="1:25">
      <c r="A652" s="63" t="str">
        <f>'RAW DATA 2023'!B645</f>
        <v>Talaytong</v>
      </c>
      <c r="B652" s="63" t="str">
        <f>'RAW DATA 2023'!D645</f>
        <v>B1-032-0008</v>
      </c>
      <c r="C652" s="63" t="str">
        <f t="shared" si="61"/>
        <v>TalaytongB1-032-0008</v>
      </c>
      <c r="D652" s="68">
        <f>VLOOKUP(C652,'RAW DATA 2023'!E:BP,63,0)</f>
        <v>1</v>
      </c>
      <c r="E652" s="63" t="str">
        <f t="shared" si="62"/>
        <v>Talaytong1</v>
      </c>
      <c r="F652" s="63">
        <f>ROUND(VLOOKUP(C652,'RAW DATA 2023'!E:BO,23,0),0)</f>
        <v>147</v>
      </c>
      <c r="G652" s="120">
        <f>VLOOKUP(C652,'RAW DATA 2023'!E:BO,26,0)</f>
        <v>0.15616392900000001</v>
      </c>
      <c r="H652" s="101">
        <f>IFERROR(VLOOKUP(F652,STD!B:G,6,0),"")</f>
        <v>0.28000000000000003</v>
      </c>
      <c r="I652" s="100">
        <f t="shared" si="63"/>
        <v>0.55772831785714283</v>
      </c>
      <c r="J652" s="249">
        <f t="shared" si="65"/>
        <v>1.1545663571428566</v>
      </c>
      <c r="K652" s="63">
        <f>VLOOKUP(C652,'RAW DATA 2023'!E:BO,20,0)</f>
        <v>41</v>
      </c>
      <c r="L652" s="322">
        <f t="shared" si="66"/>
        <v>47.337220642857119</v>
      </c>
      <c r="M652" s="63"/>
      <c r="Y652" s="63" t="str">
        <f t="shared" si="64"/>
        <v>B1-032-00081</v>
      </c>
    </row>
    <row r="653" spans="1:25">
      <c r="A653" s="63" t="str">
        <f>'RAW DATA 2023'!B646</f>
        <v>Talaytong</v>
      </c>
      <c r="B653" s="63" t="str">
        <f>'RAW DATA 2023'!D646</f>
        <v>A1-034-0008</v>
      </c>
      <c r="C653" s="63" t="str">
        <f t="shared" si="61"/>
        <v>TalaytongA1-034-0008</v>
      </c>
      <c r="D653" s="68">
        <f>VLOOKUP(C653,'RAW DATA 2023'!E:BP,63,0)</f>
        <v>5</v>
      </c>
      <c r="E653" s="63" t="str">
        <f t="shared" si="62"/>
        <v>Talaytong5</v>
      </c>
      <c r="F653" s="63">
        <f>ROUND(VLOOKUP(C653,'RAW DATA 2023'!E:BO,23,0),0)</f>
        <v>104</v>
      </c>
      <c r="G653" s="120">
        <f>VLOOKUP(C653,'RAW DATA 2023'!E:BO,26,0)</f>
        <v>0.23251012100000001</v>
      </c>
      <c r="H653" s="101">
        <f>IFERROR(VLOOKUP(F653,STD!B:G,6,0),"")</f>
        <v>0.32</v>
      </c>
      <c r="I653" s="100">
        <f t="shared" si="63"/>
        <v>0.72659412812500002</v>
      </c>
      <c r="J653" s="249">
        <f t="shared" si="65"/>
        <v>4.5318825624999999</v>
      </c>
      <c r="K653" s="63">
        <f>VLOOKUP(C653,'RAW DATA 2023'!E:BO,20,0)</f>
        <v>38</v>
      </c>
      <c r="L653" s="322">
        <f t="shared" si="66"/>
        <v>172.21153737500001</v>
      </c>
      <c r="M653" s="63"/>
      <c r="Y653" s="63" t="str">
        <f t="shared" si="64"/>
        <v>A1-034-00085</v>
      </c>
    </row>
    <row r="654" spans="1:25">
      <c r="A654" s="63" t="str">
        <f>'RAW DATA 2023'!B647</f>
        <v>CHBR1</v>
      </c>
      <c r="B654" s="63" t="str">
        <f>'RAW DATA 2023'!D647</f>
        <v>A1-015-0019</v>
      </c>
      <c r="C654" s="63" t="str">
        <f t="shared" si="61"/>
        <v>CHBR1A1-015-0019</v>
      </c>
      <c r="D654" s="68">
        <f>VLOOKUP(C654,'RAW DATA 2023'!E:BP,63,0)</f>
        <v>12</v>
      </c>
      <c r="E654" s="63" t="str">
        <f t="shared" si="62"/>
        <v>CHBR112</v>
      </c>
      <c r="F654" s="63">
        <f>ROUND(VLOOKUP(C654,'RAW DATA 2023'!E:BO,23,0),0)</f>
        <v>39</v>
      </c>
      <c r="G654" s="120">
        <f>VLOOKUP(C654,'RAW DATA 2023'!E:BO,26,0)</f>
        <v>0.28233684799999997</v>
      </c>
      <c r="H654" s="101">
        <f>IFERROR(VLOOKUP(F654,STD!B:G,6,0),"")</f>
        <v>0.37</v>
      </c>
      <c r="I654" s="100">
        <f t="shared" si="63"/>
        <v>0.76307256216216213</v>
      </c>
      <c r="J654" s="249">
        <f t="shared" si="65"/>
        <v>5.2614512432432425</v>
      </c>
      <c r="K654" s="63">
        <f>VLOOKUP(C654,'RAW DATA 2023'!E:BO,20,0)</f>
        <v>121</v>
      </c>
      <c r="L654" s="322">
        <f t="shared" si="66"/>
        <v>636.6356004324324</v>
      </c>
      <c r="M654" s="63"/>
      <c r="Y654" s="63" t="str">
        <f t="shared" si="64"/>
        <v>A1-015-001912</v>
      </c>
    </row>
    <row r="655" spans="1:25">
      <c r="A655" s="63" t="str">
        <f>'RAW DATA 2023'!B648</f>
        <v>CHBR1</v>
      </c>
      <c r="B655" s="63" t="str">
        <f>'RAW DATA 2023'!D648</f>
        <v>A1-019-0005</v>
      </c>
      <c r="C655" s="63" t="str">
        <f t="shared" si="61"/>
        <v>CHBR1A1-019-0005</v>
      </c>
      <c r="D655" s="68">
        <f>VLOOKUP(C655,'RAW DATA 2023'!E:BP,63,0)</f>
        <v>7</v>
      </c>
      <c r="E655" s="63" t="str">
        <f t="shared" si="62"/>
        <v>CHBR17</v>
      </c>
      <c r="F655" s="63">
        <f>ROUND(VLOOKUP(C655,'RAW DATA 2023'!E:BO,23,0),0)</f>
        <v>36</v>
      </c>
      <c r="G655" s="120">
        <f>VLOOKUP(C655,'RAW DATA 2023'!E:BO,26,0)</f>
        <v>0.34585613999999998</v>
      </c>
      <c r="H655" s="101">
        <f>IFERROR(VLOOKUP(F655,STD!B:G,6,0),"")</f>
        <v>0.36</v>
      </c>
      <c r="I655" s="100">
        <f t="shared" si="63"/>
        <v>0.96071149999999994</v>
      </c>
      <c r="J655" s="249">
        <f t="shared" si="65"/>
        <v>9.2142299999999988</v>
      </c>
      <c r="K655" s="63">
        <f>VLOOKUP(C655,'RAW DATA 2023'!E:BO,20,0)</f>
        <v>95</v>
      </c>
      <c r="L655" s="322">
        <f t="shared" si="66"/>
        <v>875.3518499999999</v>
      </c>
      <c r="M655" s="63"/>
      <c r="Y655" s="63" t="str">
        <f t="shared" si="64"/>
        <v>A1-019-00057</v>
      </c>
    </row>
    <row r="656" spans="1:25">
      <c r="A656" s="63" t="str">
        <f>'RAW DATA 2023'!B649</f>
        <v>CHBR1</v>
      </c>
      <c r="B656" s="63" t="str">
        <f>'RAW DATA 2023'!D649</f>
        <v>A1-016-0013</v>
      </c>
      <c r="C656" s="63" t="str">
        <f t="shared" si="61"/>
        <v>CHBR1A1-016-0013</v>
      </c>
      <c r="D656" s="68">
        <f>VLOOKUP(C656,'RAW DATA 2023'!E:BP,63,0)</f>
        <v>6</v>
      </c>
      <c r="E656" s="63" t="str">
        <f t="shared" si="62"/>
        <v>CHBR16</v>
      </c>
      <c r="F656" s="63">
        <f>ROUND(VLOOKUP(C656,'RAW DATA 2023'!E:BO,23,0),0)</f>
        <v>47</v>
      </c>
      <c r="G656" s="120">
        <f>VLOOKUP(C656,'RAW DATA 2023'!E:BO,26,0)</f>
        <v>0.33646295700000001</v>
      </c>
      <c r="H656" s="101">
        <f>IFERROR(VLOOKUP(F656,STD!B:G,6,0),"")</f>
        <v>0.36</v>
      </c>
      <c r="I656" s="100">
        <f t="shared" si="63"/>
        <v>0.934619325</v>
      </c>
      <c r="J656" s="249">
        <f t="shared" si="65"/>
        <v>8.6923864999999996</v>
      </c>
      <c r="K656" s="63">
        <f>VLOOKUP(C656,'RAW DATA 2023'!E:BO,20,0)</f>
        <v>101</v>
      </c>
      <c r="L656" s="322">
        <f t="shared" si="66"/>
        <v>877.9310365</v>
      </c>
      <c r="M656" s="63"/>
      <c r="Y656" s="63" t="str">
        <f t="shared" si="64"/>
        <v>A1-016-00136</v>
      </c>
    </row>
    <row r="657" spans="1:25">
      <c r="A657" s="63" t="str">
        <f>'RAW DATA 2023'!B650</f>
        <v>CHBR1</v>
      </c>
      <c r="B657" s="63" t="str">
        <f>'RAW DATA 2023'!D650</f>
        <v>A1-011-0014</v>
      </c>
      <c r="C657" s="63" t="str">
        <f t="shared" si="61"/>
        <v>CHBR1A1-011-0014</v>
      </c>
      <c r="D657" s="68">
        <f>VLOOKUP(C657,'RAW DATA 2023'!E:BP,63,0)</f>
        <v>7</v>
      </c>
      <c r="E657" s="63" t="str">
        <f t="shared" si="62"/>
        <v>CHBR17</v>
      </c>
      <c r="F657" s="63">
        <f>ROUND(VLOOKUP(C657,'RAW DATA 2023'!E:BO,23,0),0)</f>
        <v>40</v>
      </c>
      <c r="G657" s="120">
        <f>VLOOKUP(C657,'RAW DATA 2023'!E:BO,26,0)</f>
        <v>0.33053511699999999</v>
      </c>
      <c r="H657" s="101">
        <f>IFERROR(VLOOKUP(F657,STD!B:G,6,0),"")</f>
        <v>0.37</v>
      </c>
      <c r="I657" s="100">
        <f t="shared" si="63"/>
        <v>0.89333815405405403</v>
      </c>
      <c r="J657" s="249">
        <f t="shared" si="65"/>
        <v>7.8667630810810802</v>
      </c>
      <c r="K657" s="63">
        <f>VLOOKUP(C657,'RAW DATA 2023'!E:BO,20,0)</f>
        <v>115</v>
      </c>
      <c r="L657" s="322">
        <f t="shared" si="66"/>
        <v>904.67775432432427</v>
      </c>
      <c r="M657" s="63"/>
      <c r="Y657" s="63" t="str">
        <f t="shared" si="64"/>
        <v>A1-011-00147</v>
      </c>
    </row>
    <row r="658" spans="1:25">
      <c r="A658" s="63" t="str">
        <f>'RAW DATA 2023'!B651</f>
        <v>CHBR1</v>
      </c>
      <c r="B658" s="63" t="str">
        <f>'RAW DATA 2023'!D651</f>
        <v>A1-018-0013</v>
      </c>
      <c r="C658" s="63" t="str">
        <f t="shared" si="61"/>
        <v>CHBR1A1-018-0013</v>
      </c>
      <c r="D658" s="68">
        <f>VLOOKUP(C658,'RAW DATA 2023'!E:BP,63,0)</f>
        <v>7</v>
      </c>
      <c r="E658" s="63" t="str">
        <f t="shared" si="62"/>
        <v>CHBR17</v>
      </c>
      <c r="F658" s="63">
        <f>ROUND(VLOOKUP(C658,'RAW DATA 2023'!E:BO,23,0),0)</f>
        <v>40</v>
      </c>
      <c r="G658" s="120">
        <f>VLOOKUP(C658,'RAW DATA 2023'!E:BO,26,0)</f>
        <v>0.31870071100000003</v>
      </c>
      <c r="H658" s="101">
        <f>IFERROR(VLOOKUP(F658,STD!B:G,6,0),"")</f>
        <v>0.37</v>
      </c>
      <c r="I658" s="100">
        <f t="shared" si="63"/>
        <v>0.86135327297297304</v>
      </c>
      <c r="J658" s="249">
        <f t="shared" si="65"/>
        <v>7.2270654594594603</v>
      </c>
      <c r="K658" s="63">
        <f>VLOOKUP(C658,'RAW DATA 2023'!E:BO,20,0)</f>
        <v>91</v>
      </c>
      <c r="L658" s="322">
        <f t="shared" si="66"/>
        <v>657.6629568108109</v>
      </c>
      <c r="M658" s="63"/>
      <c r="Y658" s="63" t="str">
        <f t="shared" si="64"/>
        <v>A1-018-00137</v>
      </c>
    </row>
    <row r="659" spans="1:25">
      <c r="A659" s="63" t="str">
        <f>'RAW DATA 2023'!B652</f>
        <v>CHBR1</v>
      </c>
      <c r="B659" s="63" t="str">
        <f>'RAW DATA 2023'!D652</f>
        <v>A1-009-0033</v>
      </c>
      <c r="C659" s="63" t="str">
        <f t="shared" si="61"/>
        <v>CHBR1A1-009-0033</v>
      </c>
      <c r="D659" s="68">
        <f>VLOOKUP(C659,'RAW DATA 2023'!E:BP,63,0)</f>
        <v>5</v>
      </c>
      <c r="E659" s="63" t="str">
        <f t="shared" si="62"/>
        <v>CHBR15</v>
      </c>
      <c r="F659" s="63">
        <f>ROUND(VLOOKUP(C659,'RAW DATA 2023'!E:BO,23,0),0)</f>
        <v>42</v>
      </c>
      <c r="G659" s="120">
        <f>VLOOKUP(C659,'RAW DATA 2023'!E:BO,26,0)</f>
        <v>0.31459183699999999</v>
      </c>
      <c r="H659" s="101">
        <f>IFERROR(VLOOKUP(F659,STD!B:G,6,0),"")</f>
        <v>0.37</v>
      </c>
      <c r="I659" s="100">
        <f t="shared" si="63"/>
        <v>0.85024820810810808</v>
      </c>
      <c r="J659" s="249">
        <f t="shared" si="65"/>
        <v>7.0049641621621621</v>
      </c>
      <c r="K659" s="63">
        <f>VLOOKUP(C659,'RAW DATA 2023'!E:BO,20,0)</f>
        <v>98</v>
      </c>
      <c r="L659" s="322">
        <f t="shared" si="66"/>
        <v>686.4864878918919</v>
      </c>
      <c r="M659" s="63"/>
      <c r="Y659" s="63" t="str">
        <f t="shared" si="64"/>
        <v>A1-009-00335</v>
      </c>
    </row>
    <row r="660" spans="1:25">
      <c r="A660" s="63" t="str">
        <f>'RAW DATA 2023'!B653</f>
        <v>CHBR1</v>
      </c>
      <c r="B660" s="63" t="str">
        <f>'RAW DATA 2023'!D653</f>
        <v>A1-012-0039</v>
      </c>
      <c r="C660" s="63" t="str">
        <f t="shared" si="61"/>
        <v>CHBR1A1-012-0039</v>
      </c>
      <c r="D660" s="68">
        <f>VLOOKUP(C660,'RAW DATA 2023'!E:BP,63,0)</f>
        <v>5</v>
      </c>
      <c r="E660" s="63" t="str">
        <f t="shared" si="62"/>
        <v>CHBR15</v>
      </c>
      <c r="F660" s="63">
        <f>ROUND(VLOOKUP(C660,'RAW DATA 2023'!E:BO,23,0),0)</f>
        <v>45</v>
      </c>
      <c r="G660" s="120">
        <f>VLOOKUP(C660,'RAW DATA 2023'!E:BO,26,0)</f>
        <v>0.28797660800000002</v>
      </c>
      <c r="H660" s="101">
        <f>IFERROR(VLOOKUP(F660,STD!B:G,6,0),"")</f>
        <v>0.36</v>
      </c>
      <c r="I660" s="100">
        <f t="shared" si="63"/>
        <v>0.79993502222222235</v>
      </c>
      <c r="J660" s="249">
        <f t="shared" si="65"/>
        <v>5.9987004444444469</v>
      </c>
      <c r="K660" s="63">
        <f>VLOOKUP(C660,'RAW DATA 2023'!E:BO,20,0)</f>
        <v>95</v>
      </c>
      <c r="L660" s="322">
        <f t="shared" si="66"/>
        <v>569.8765422222225</v>
      </c>
      <c r="M660" s="63"/>
      <c r="Y660" s="63" t="str">
        <f t="shared" si="64"/>
        <v>A1-012-00395</v>
      </c>
    </row>
    <row r="661" spans="1:25">
      <c r="A661" s="63" t="str">
        <f>'RAW DATA 2023'!B654</f>
        <v>CHBR1</v>
      </c>
      <c r="B661" s="63" t="str">
        <f>'RAW DATA 2023'!D654</f>
        <v>A1-017-0014</v>
      </c>
      <c r="C661" s="63" t="str">
        <f t="shared" si="61"/>
        <v>CHBR1A1-017-0014</v>
      </c>
      <c r="D661" s="68">
        <f>VLOOKUP(C661,'RAW DATA 2023'!E:BP,63,0)</f>
        <v>7</v>
      </c>
      <c r="E661" s="63" t="str">
        <f t="shared" si="62"/>
        <v>CHBR17</v>
      </c>
      <c r="F661" s="63">
        <f>ROUND(VLOOKUP(C661,'RAW DATA 2023'!E:BO,23,0),0)</f>
        <v>36</v>
      </c>
      <c r="G661" s="120">
        <f>VLOOKUP(C661,'RAW DATA 2023'!E:BO,26,0)</f>
        <v>0.286811594</v>
      </c>
      <c r="H661" s="101">
        <f>IFERROR(VLOOKUP(F661,STD!B:G,6,0),"")</f>
        <v>0.36</v>
      </c>
      <c r="I661" s="100">
        <f t="shared" si="63"/>
        <v>0.79669887222222224</v>
      </c>
      <c r="J661" s="249">
        <f t="shared" si="65"/>
        <v>5.9339774444444444</v>
      </c>
      <c r="K661" s="63">
        <f>VLOOKUP(C661,'RAW DATA 2023'!E:BO,20,0)</f>
        <v>115</v>
      </c>
      <c r="L661" s="322">
        <f t="shared" si="66"/>
        <v>682.40740611111107</v>
      </c>
      <c r="M661" s="63"/>
      <c r="Y661" s="63" t="str">
        <f t="shared" si="64"/>
        <v>A1-017-00147</v>
      </c>
    </row>
    <row r="662" spans="1:25">
      <c r="A662" s="63" t="str">
        <f>'RAW DATA 2023'!B655</f>
        <v>CHBR1</v>
      </c>
      <c r="B662" s="63" t="str">
        <f>'RAW DATA 2023'!D655</f>
        <v>A1-012-0040</v>
      </c>
      <c r="C662" s="63" t="str">
        <f t="shared" si="61"/>
        <v>CHBR1A1-012-0040</v>
      </c>
      <c r="D662" s="68">
        <f>VLOOKUP(C662,'RAW DATA 2023'!E:BP,63,0)</f>
        <v>7</v>
      </c>
      <c r="E662" s="63" t="str">
        <f t="shared" si="62"/>
        <v>CHBR17</v>
      </c>
      <c r="F662" s="63">
        <f>ROUND(VLOOKUP(C662,'RAW DATA 2023'!E:BO,23,0),0)</f>
        <v>73</v>
      </c>
      <c r="G662" s="120">
        <f>VLOOKUP(C662,'RAW DATA 2023'!E:BO,26,0)</f>
        <v>0.28552511400000002</v>
      </c>
      <c r="H662" s="101">
        <f>IFERROR(VLOOKUP(F662,STD!B:G,6,0),"")</f>
        <v>0.35</v>
      </c>
      <c r="I662" s="100">
        <f t="shared" si="63"/>
        <v>0.8157860400000001</v>
      </c>
      <c r="J662" s="249">
        <f t="shared" si="65"/>
        <v>6.315720800000002</v>
      </c>
      <c r="K662" s="63">
        <f>VLOOKUP(C662,'RAW DATA 2023'!E:BO,20,0)</f>
        <v>45</v>
      </c>
      <c r="L662" s="322">
        <f t="shared" si="66"/>
        <v>284.20743600000009</v>
      </c>
      <c r="M662" s="63"/>
      <c r="Y662" s="63" t="str">
        <f t="shared" si="64"/>
        <v>A1-012-00407</v>
      </c>
    </row>
    <row r="663" spans="1:25">
      <c r="A663" s="63" t="str">
        <f>'RAW DATA 2023'!B656</f>
        <v>CHBR1</v>
      </c>
      <c r="B663" s="63" t="str">
        <f>'RAW DATA 2023'!D656</f>
        <v>A1-016-0012</v>
      </c>
      <c r="C663" s="63" t="str">
        <f t="shared" si="61"/>
        <v>CHBR1A1-016-0012</v>
      </c>
      <c r="D663" s="68">
        <f>VLOOKUP(C663,'RAW DATA 2023'!E:BP,63,0)</f>
        <v>2</v>
      </c>
      <c r="E663" s="63" t="str">
        <f t="shared" si="62"/>
        <v>CHBR12</v>
      </c>
      <c r="F663" s="63">
        <f>ROUND(VLOOKUP(C663,'RAW DATA 2023'!E:BO,23,0),0)</f>
        <v>39</v>
      </c>
      <c r="G663" s="120">
        <f>VLOOKUP(C663,'RAW DATA 2023'!E:BO,26,0)</f>
        <v>0.27435897399999998</v>
      </c>
      <c r="H663" s="101">
        <f>IFERROR(VLOOKUP(F663,STD!B:G,6,0),"")</f>
        <v>0.37</v>
      </c>
      <c r="I663" s="100">
        <f t="shared" si="63"/>
        <v>0.74151074054054045</v>
      </c>
      <c r="J663" s="249">
        <f t="shared" si="65"/>
        <v>4.8302148108108085</v>
      </c>
      <c r="K663" s="63">
        <f>VLOOKUP(C663,'RAW DATA 2023'!E:BO,20,0)</f>
        <v>92</v>
      </c>
      <c r="L663" s="322">
        <f t="shared" si="66"/>
        <v>444.37976259459435</v>
      </c>
      <c r="M663" s="63"/>
      <c r="Y663" s="63" t="str">
        <f t="shared" si="64"/>
        <v>A1-016-00122</v>
      </c>
    </row>
    <row r="664" spans="1:25">
      <c r="A664" s="63" t="str">
        <f>'RAW DATA 2023'!B657</f>
        <v>CHBR1</v>
      </c>
      <c r="B664" s="63" t="str">
        <f>'RAW DATA 2023'!D657</f>
        <v>A1-011-0013</v>
      </c>
      <c r="C664" s="63" t="str">
        <f t="shared" si="61"/>
        <v>CHBR1A1-011-0013</v>
      </c>
      <c r="D664" s="68">
        <f>VLOOKUP(C664,'RAW DATA 2023'!E:BP,63,0)</f>
        <v>2</v>
      </c>
      <c r="E664" s="63" t="str">
        <f t="shared" si="62"/>
        <v>CHBR12</v>
      </c>
      <c r="F664" s="63">
        <f>ROUND(VLOOKUP(C664,'RAW DATA 2023'!E:BO,23,0),0)</f>
        <v>42</v>
      </c>
      <c r="G664" s="120">
        <f>VLOOKUP(C664,'RAW DATA 2023'!E:BO,26,0)</f>
        <v>0.26302835699999999</v>
      </c>
      <c r="H664" s="101">
        <f>IFERROR(VLOOKUP(F664,STD!B:G,6,0),"")</f>
        <v>0.37</v>
      </c>
      <c r="I664" s="100">
        <f t="shared" si="63"/>
        <v>0.71088745135135134</v>
      </c>
      <c r="J664" s="249">
        <f t="shared" si="65"/>
        <v>4.2177490270270273</v>
      </c>
      <c r="K664" s="63">
        <f>VLOOKUP(C664,'RAW DATA 2023'!E:BO,20,0)</f>
        <v>89</v>
      </c>
      <c r="L664" s="322">
        <f t="shared" si="66"/>
        <v>375.37966340540544</v>
      </c>
      <c r="M664" s="63"/>
      <c r="Y664" s="63" t="str">
        <f t="shared" si="64"/>
        <v>A1-011-00132</v>
      </c>
    </row>
    <row r="665" spans="1:25">
      <c r="A665" s="63" t="str">
        <f>'RAW DATA 2023'!B658</f>
        <v>CHBR1</v>
      </c>
      <c r="B665" s="63" t="str">
        <f>'RAW DATA 2023'!D658</f>
        <v>A1-015-0018</v>
      </c>
      <c r="C665" s="63" t="str">
        <f t="shared" si="61"/>
        <v>CHBR1A1-015-0018</v>
      </c>
      <c r="D665" s="68">
        <f>VLOOKUP(C665,'RAW DATA 2023'!E:BP,63,0)</f>
        <v>7</v>
      </c>
      <c r="E665" s="63" t="str">
        <f t="shared" si="62"/>
        <v>CHBR17</v>
      </c>
      <c r="F665" s="63">
        <f>ROUND(VLOOKUP(C665,'RAW DATA 2023'!E:BO,23,0),0)</f>
        <v>39</v>
      </c>
      <c r="G665" s="120">
        <f>VLOOKUP(C665,'RAW DATA 2023'!E:BO,26,0)</f>
        <v>0.26143009</v>
      </c>
      <c r="H665" s="101">
        <f>IFERROR(VLOOKUP(F665,STD!B:G,6,0),"")</f>
        <v>0.37</v>
      </c>
      <c r="I665" s="100">
        <f t="shared" si="63"/>
        <v>0.70656781081081088</v>
      </c>
      <c r="J665" s="249">
        <f t="shared" si="65"/>
        <v>4.1313562162162176</v>
      </c>
      <c r="K665" s="63">
        <f>VLOOKUP(C665,'RAW DATA 2023'!E:BO,20,0)</f>
        <v>114</v>
      </c>
      <c r="L665" s="322">
        <f t="shared" si="66"/>
        <v>470.97460864864883</v>
      </c>
      <c r="M665" s="63"/>
      <c r="Y665" s="63" t="str">
        <f t="shared" si="64"/>
        <v>A1-015-00187</v>
      </c>
    </row>
    <row r="666" spans="1:25">
      <c r="A666" s="63" t="str">
        <f>'RAW DATA 2023'!B659</f>
        <v>CHBR1</v>
      </c>
      <c r="B666" s="63" t="str">
        <f>'RAW DATA 2023'!D659</f>
        <v>A1-018-0012</v>
      </c>
      <c r="C666" s="63" t="str">
        <f t="shared" si="61"/>
        <v>CHBR1A1-018-0012</v>
      </c>
      <c r="D666" s="68">
        <f>VLOOKUP(C666,'RAW DATA 2023'!E:BP,63,0)</f>
        <v>3</v>
      </c>
      <c r="E666" s="63" t="str">
        <f t="shared" si="62"/>
        <v>CHBR13</v>
      </c>
      <c r="F666" s="63">
        <f>ROUND(VLOOKUP(C666,'RAW DATA 2023'!E:BO,23,0),0)</f>
        <v>39</v>
      </c>
      <c r="G666" s="120">
        <f>VLOOKUP(C666,'RAW DATA 2023'!E:BO,26,0)</f>
        <v>0.24867617600000003</v>
      </c>
      <c r="H666" s="101">
        <f>IFERROR(VLOOKUP(F666,STD!B:G,6,0),"")</f>
        <v>0.37</v>
      </c>
      <c r="I666" s="100">
        <f t="shared" si="63"/>
        <v>0.67209777297297302</v>
      </c>
      <c r="J666" s="249">
        <f t="shared" si="65"/>
        <v>3.4419554594594604</v>
      </c>
      <c r="K666" s="63">
        <f>VLOOKUP(C666,'RAW DATA 2023'!E:BO,20,0)</f>
        <v>108</v>
      </c>
      <c r="L666" s="322">
        <f t="shared" si="66"/>
        <v>371.7311896216217</v>
      </c>
      <c r="M666" s="63"/>
      <c r="Y666" s="63" t="str">
        <f t="shared" si="64"/>
        <v>A1-018-00123</v>
      </c>
    </row>
    <row r="667" spans="1:25">
      <c r="A667" s="63" t="str">
        <f>'RAW DATA 2023'!B660</f>
        <v>CHBR1</v>
      </c>
      <c r="B667" s="63" t="str">
        <f>'RAW DATA 2023'!D660</f>
        <v>A1-009-0034</v>
      </c>
      <c r="C667" s="63" t="str">
        <f t="shared" si="61"/>
        <v>CHBR1A1-009-0034</v>
      </c>
      <c r="D667" s="68">
        <f>VLOOKUP(C667,'RAW DATA 2023'!E:BP,63,0)</f>
        <v>7</v>
      </c>
      <c r="E667" s="63" t="str">
        <f t="shared" si="62"/>
        <v>CHBR17</v>
      </c>
      <c r="F667" s="63">
        <f>ROUND(VLOOKUP(C667,'RAW DATA 2023'!E:BO,23,0),0)</f>
        <v>112</v>
      </c>
      <c r="G667" s="120">
        <f>VLOOKUP(C667,'RAW DATA 2023'!E:BO,26,0)</f>
        <v>0.229960317</v>
      </c>
      <c r="H667" s="101">
        <f>IFERROR(VLOOKUP(F667,STD!B:G,6,0),"")</f>
        <v>0.32</v>
      </c>
      <c r="I667" s="100">
        <f t="shared" si="63"/>
        <v>0.71862599062499999</v>
      </c>
      <c r="J667" s="249">
        <f t="shared" si="65"/>
        <v>4.3725198125000002</v>
      </c>
      <c r="K667" s="63">
        <f>VLOOKUP(C667,'RAW DATA 2023'!E:BO,20,0)</f>
        <v>36</v>
      </c>
      <c r="L667" s="322">
        <f t="shared" si="66"/>
        <v>157.41071325000001</v>
      </c>
      <c r="M667" s="63"/>
      <c r="Y667" s="63" t="str">
        <f t="shared" si="64"/>
        <v>A1-009-00347</v>
      </c>
    </row>
    <row r="668" spans="1:25">
      <c r="A668" s="63" t="str">
        <f>'RAW DATA 2023'!B661</f>
        <v>CHBR1</v>
      </c>
      <c r="B668" s="63" t="str">
        <f>'RAW DATA 2023'!D661</f>
        <v>A1-019-0004</v>
      </c>
      <c r="C668" s="63" t="str">
        <f t="shared" si="61"/>
        <v>CHBR1A1-019-0004</v>
      </c>
      <c r="D668" s="68">
        <f>VLOOKUP(C668,'RAW DATA 2023'!E:BP,63,0)</f>
        <v>3</v>
      </c>
      <c r="E668" s="63" t="str">
        <f t="shared" si="62"/>
        <v>CHBR13</v>
      </c>
      <c r="F668" s="63">
        <f>ROUND(VLOOKUP(C668,'RAW DATA 2023'!E:BO,23,0),0)</f>
        <v>45</v>
      </c>
      <c r="G668" s="120">
        <f>VLOOKUP(C668,'RAW DATA 2023'!E:BO,26,0)</f>
        <v>0.215755271</v>
      </c>
      <c r="H668" s="101">
        <f>IFERROR(VLOOKUP(F668,STD!B:G,6,0),"")</f>
        <v>0.36</v>
      </c>
      <c r="I668" s="100">
        <f t="shared" si="63"/>
        <v>0.5993201972222223</v>
      </c>
      <c r="J668" s="249">
        <f t="shared" si="65"/>
        <v>1.9864039444444459</v>
      </c>
      <c r="K668" s="63">
        <f>VLOOKUP(C668,'RAW DATA 2023'!E:BO,20,0)</f>
        <v>107</v>
      </c>
      <c r="L668" s="322">
        <f t="shared" si="66"/>
        <v>212.54522205555571</v>
      </c>
      <c r="M668" s="63"/>
      <c r="Y668" s="63" t="str">
        <f t="shared" si="64"/>
        <v>A1-019-00043</v>
      </c>
    </row>
    <row r="669" spans="1:25">
      <c r="A669" s="63" t="str">
        <f>'RAW DATA 2023'!B662</f>
        <v>CHBR1</v>
      </c>
      <c r="B669" s="63" t="str">
        <f>'RAW DATA 2023'!D662</f>
        <v>A1-017-0013</v>
      </c>
      <c r="C669" s="63" t="str">
        <f t="shared" si="61"/>
        <v>CHBR1A1-017-0013</v>
      </c>
      <c r="D669" s="68">
        <f>VLOOKUP(C669,'RAW DATA 2023'!E:BP,63,0)</f>
        <v>2</v>
      </c>
      <c r="E669" s="63" t="str">
        <f t="shared" si="62"/>
        <v>CHBR12</v>
      </c>
      <c r="F669" s="63">
        <f>ROUND(VLOOKUP(C669,'RAW DATA 2023'!E:BO,23,0),0)</f>
        <v>47</v>
      </c>
      <c r="G669" s="120">
        <f>VLOOKUP(C669,'RAW DATA 2023'!E:BO,26,0)</f>
        <v>0.21404689499999999</v>
      </c>
      <c r="H669" s="101">
        <f>IFERROR(VLOOKUP(F669,STD!B:G,6,0),"")</f>
        <v>0.36</v>
      </c>
      <c r="I669" s="100">
        <f t="shared" si="63"/>
        <v>0.59457470833333337</v>
      </c>
      <c r="J669" s="249">
        <f t="shared" si="65"/>
        <v>1.8914941666666674</v>
      </c>
      <c r="K669" s="63">
        <f>VLOOKUP(C669,'RAW DATA 2023'!E:BO,20,0)</f>
        <v>97.999999999999986</v>
      </c>
      <c r="L669" s="322">
        <f t="shared" si="66"/>
        <v>185.36642833333337</v>
      </c>
      <c r="M669" s="63"/>
      <c r="Y669" s="63" t="str">
        <f t="shared" si="64"/>
        <v>A1-017-00132</v>
      </c>
    </row>
    <row r="670" spans="1:25">
      <c r="A670" s="63" t="str">
        <f>'RAW DATA 2023'!B663</f>
        <v>CHBR1</v>
      </c>
      <c r="B670" s="63" t="str">
        <f>'RAW DATA 2023'!D663</f>
        <v>A1-015-0017</v>
      </c>
      <c r="C670" s="63" t="str">
        <f t="shared" si="61"/>
        <v>CHBR1A1-015-0017</v>
      </c>
      <c r="D670" s="68">
        <f>VLOOKUP(C670,'RAW DATA 2023'!E:BP,63,0)</f>
        <v>2</v>
      </c>
      <c r="E670" s="63" t="str">
        <f t="shared" si="62"/>
        <v>CHBR12</v>
      </c>
      <c r="F670" s="63">
        <f>ROUND(VLOOKUP(C670,'RAW DATA 2023'!E:BO,23,0),0)</f>
        <v>52</v>
      </c>
      <c r="G670" s="120">
        <f>VLOOKUP(C670,'RAW DATA 2023'!E:BO,26,0)</f>
        <v>0.18842345799999999</v>
      </c>
      <c r="H670" s="101">
        <f>IFERROR(VLOOKUP(F670,STD!B:G,6,0),"")</f>
        <v>0.36</v>
      </c>
      <c r="I670" s="100">
        <f t="shared" si="63"/>
        <v>0.52339849444444442</v>
      </c>
      <c r="J670" s="249">
        <f t="shared" si="65"/>
        <v>0.46796988888888835</v>
      </c>
      <c r="K670" s="63">
        <f>VLOOKUP(C670,'RAW DATA 2023'!E:BO,20,0)</f>
        <v>101</v>
      </c>
      <c r="L670" s="322">
        <f t="shared" si="66"/>
        <v>47.264958777777721</v>
      </c>
      <c r="M670" s="63"/>
      <c r="Y670" s="63" t="str">
        <f t="shared" si="64"/>
        <v>A1-015-00172</v>
      </c>
    </row>
    <row r="671" spans="1:25">
      <c r="A671" s="63" t="str">
        <f>'RAW DATA 2023'!B664</f>
        <v>Tamai2</v>
      </c>
      <c r="B671" s="63" t="str">
        <f>'RAW DATA 2023'!D664</f>
        <v>D1-068-0004</v>
      </c>
      <c r="C671" s="63" t="str">
        <f t="shared" si="61"/>
        <v>Tamai2D1-068-0004</v>
      </c>
      <c r="D671" s="68">
        <f>VLOOKUP(C671,'RAW DATA 2023'!E:BP,63,0)</f>
        <v>7</v>
      </c>
      <c r="E671" s="63" t="str">
        <f t="shared" si="62"/>
        <v>Tamai27</v>
      </c>
      <c r="F671" s="63">
        <f>ROUND(VLOOKUP(C671,'RAW DATA 2023'!E:BO,23,0),0)</f>
        <v>39</v>
      </c>
      <c r="G671" s="120">
        <f>VLOOKUP(C671,'RAW DATA 2023'!E:BO,26,0)</f>
        <v>0.367857143</v>
      </c>
      <c r="H671" s="101">
        <f>IFERROR(VLOOKUP(F671,STD!B:G,6,0),"")</f>
        <v>0.37</v>
      </c>
      <c r="I671" s="100">
        <f t="shared" si="63"/>
        <v>0.99420849459459459</v>
      </c>
      <c r="J671" s="249">
        <f t="shared" si="65"/>
        <v>9.8841698918918919</v>
      </c>
      <c r="K671" s="63">
        <f>VLOOKUP(C671,'RAW DATA 2023'!E:BO,20,0)</f>
        <v>96</v>
      </c>
      <c r="L671" s="322">
        <f t="shared" si="66"/>
        <v>948.88030962162156</v>
      </c>
      <c r="M671" s="63"/>
      <c r="Y671" s="63" t="str">
        <f t="shared" si="64"/>
        <v>D1-068-00047</v>
      </c>
    </row>
    <row r="672" spans="1:25">
      <c r="A672" s="63" t="str">
        <f>'RAW DATA 2023'!B665</f>
        <v>Tamai2</v>
      </c>
      <c r="B672" s="63" t="str">
        <f>'RAW DATA 2023'!D665</f>
        <v>D1-073-0009</v>
      </c>
      <c r="C672" s="63" t="str">
        <f t="shared" si="61"/>
        <v>Tamai2D1-073-0009</v>
      </c>
      <c r="D672" s="68">
        <f>VLOOKUP(C672,'RAW DATA 2023'!E:BP,63,0)</f>
        <v>5</v>
      </c>
      <c r="E672" s="63" t="str">
        <f t="shared" si="62"/>
        <v>Tamai25</v>
      </c>
      <c r="F672" s="63">
        <f>ROUND(VLOOKUP(C672,'RAW DATA 2023'!E:BO,23,0),0)</f>
        <v>38</v>
      </c>
      <c r="G672" s="120">
        <f>VLOOKUP(C672,'RAW DATA 2023'!E:BO,26,0)</f>
        <v>0.34740533000000001</v>
      </c>
      <c r="H672" s="101">
        <f>IFERROR(VLOOKUP(F672,STD!B:G,6,0),"")</f>
        <v>0.37</v>
      </c>
      <c r="I672" s="100">
        <f t="shared" si="63"/>
        <v>0.93893332432432441</v>
      </c>
      <c r="J672" s="249">
        <f t="shared" si="65"/>
        <v>8.7786664864864878</v>
      </c>
      <c r="K672" s="63">
        <f>VLOOKUP(C672,'RAW DATA 2023'!E:BO,20,0)</f>
        <v>124</v>
      </c>
      <c r="L672" s="322">
        <f t="shared" si="66"/>
        <v>1088.5546443243245</v>
      </c>
      <c r="M672" s="63"/>
      <c r="Y672" s="63" t="str">
        <f t="shared" si="64"/>
        <v>D1-073-00095</v>
      </c>
    </row>
    <row r="673" spans="1:25">
      <c r="A673" s="63" t="str">
        <f>'RAW DATA 2023'!B666</f>
        <v>Tamai2</v>
      </c>
      <c r="B673" s="63" t="str">
        <f>'RAW DATA 2023'!D666</f>
        <v>D1-068-0005</v>
      </c>
      <c r="C673" s="63" t="str">
        <f t="shared" si="61"/>
        <v>Tamai2D1-068-0005</v>
      </c>
      <c r="D673" s="68">
        <f>VLOOKUP(C673,'RAW DATA 2023'!E:BP,63,0)</f>
        <v>12</v>
      </c>
      <c r="E673" s="63" t="str">
        <f t="shared" si="62"/>
        <v>Tamai212</v>
      </c>
      <c r="F673" s="63">
        <f>ROUND(VLOOKUP(C673,'RAW DATA 2023'!E:BO,23,0),0)</f>
        <v>58</v>
      </c>
      <c r="G673" s="120">
        <f>VLOOKUP(C673,'RAW DATA 2023'!E:BO,26,0)</f>
        <v>0.25864067400000001</v>
      </c>
      <c r="H673" s="101">
        <f>IFERROR(VLOOKUP(F673,STD!B:G,6,0),"")</f>
        <v>0.36</v>
      </c>
      <c r="I673" s="100">
        <f t="shared" si="63"/>
        <v>0.7184463166666667</v>
      </c>
      <c r="J673" s="249">
        <f t="shared" si="65"/>
        <v>4.3689263333333344</v>
      </c>
      <c r="K673" s="63">
        <f>VLOOKUP(C673,'RAW DATA 2023'!E:BO,20,0)</f>
        <v>73</v>
      </c>
      <c r="L673" s="322">
        <f t="shared" si="66"/>
        <v>318.93162233333339</v>
      </c>
      <c r="M673" s="63"/>
      <c r="Y673" s="63" t="str">
        <f t="shared" si="64"/>
        <v>D1-068-000512</v>
      </c>
    </row>
    <row r="674" spans="1:25">
      <c r="A674" s="63" t="str">
        <f>'RAW DATA 2023'!B667</f>
        <v>Tamai2</v>
      </c>
      <c r="B674" s="63" t="str">
        <f>'RAW DATA 2023'!D667</f>
        <v>D1-039-0028</v>
      </c>
      <c r="C674" s="63" t="str">
        <f t="shared" si="61"/>
        <v>Tamai2D1-039-0028</v>
      </c>
      <c r="D674" s="68">
        <f>VLOOKUP(C674,'RAW DATA 2023'!E:BP,63,0)</f>
        <v>6</v>
      </c>
      <c r="E674" s="63" t="str">
        <f t="shared" si="62"/>
        <v>Tamai26</v>
      </c>
      <c r="F674" s="63">
        <f>ROUND(VLOOKUP(C674,'RAW DATA 2023'!E:BO,23,0),0)</f>
        <v>58</v>
      </c>
      <c r="G674" s="120">
        <f>VLOOKUP(C674,'RAW DATA 2023'!E:BO,26,0)</f>
        <v>0.25721786800000002</v>
      </c>
      <c r="H674" s="101">
        <f>IFERROR(VLOOKUP(F674,STD!B:G,6,0),"")</f>
        <v>0.36</v>
      </c>
      <c r="I674" s="100">
        <f t="shared" si="63"/>
        <v>0.71449407777777785</v>
      </c>
      <c r="J674" s="249">
        <f t="shared" si="65"/>
        <v>4.2898815555555565</v>
      </c>
      <c r="K674" s="63">
        <f>VLOOKUP(C674,'RAW DATA 2023'!E:BO,20,0)</f>
        <v>66</v>
      </c>
      <c r="L674" s="322">
        <f t="shared" si="66"/>
        <v>283.13218266666672</v>
      </c>
      <c r="M674" s="63"/>
      <c r="Y674" s="63" t="str">
        <f t="shared" si="64"/>
        <v>D1-039-00286</v>
      </c>
    </row>
    <row r="675" spans="1:25">
      <c r="A675" s="63" t="str">
        <f>'RAW DATA 2023'!B668</f>
        <v>Tamai2</v>
      </c>
      <c r="B675" s="63" t="str">
        <f>'RAW DATA 2023'!D668</f>
        <v>C1-058-0011</v>
      </c>
      <c r="C675" s="63" t="str">
        <f t="shared" si="61"/>
        <v>Tamai2C1-058-0011</v>
      </c>
      <c r="D675" s="68">
        <f>VLOOKUP(C675,'RAW DATA 2023'!E:BP,63,0)</f>
        <v>8</v>
      </c>
      <c r="E675" s="63" t="str">
        <f t="shared" si="62"/>
        <v>Tamai28</v>
      </c>
      <c r="F675" s="63">
        <f>ROUND(VLOOKUP(C675,'RAW DATA 2023'!E:BO,23,0),0)</f>
        <v>124</v>
      </c>
      <c r="G675" s="120">
        <f>VLOOKUP(C675,'RAW DATA 2023'!E:BO,26,0)</f>
        <v>0.24601779800000001</v>
      </c>
      <c r="H675" s="101">
        <f>IFERROR(VLOOKUP(F675,STD!B:G,6,0),"")</f>
        <v>0.31</v>
      </c>
      <c r="I675" s="100">
        <f t="shared" si="63"/>
        <v>0.79360580000000003</v>
      </c>
      <c r="J675" s="249">
        <f t="shared" si="65"/>
        <v>5.8721160000000001</v>
      </c>
      <c r="K675" s="63">
        <f>VLOOKUP(C675,'RAW DATA 2023'!E:BO,20,0)</f>
        <v>29</v>
      </c>
      <c r="L675" s="322">
        <f t="shared" si="66"/>
        <v>170.29136400000002</v>
      </c>
      <c r="M675" s="63"/>
      <c r="Y675" s="63" t="str">
        <f t="shared" si="64"/>
        <v>C1-058-00118</v>
      </c>
    </row>
    <row r="676" spans="1:25">
      <c r="A676" s="63" t="str">
        <f>'RAW DATA 2023'!B669</f>
        <v>Tamai2</v>
      </c>
      <c r="B676" s="63" t="str">
        <f>'RAW DATA 2023'!D669</f>
        <v>D1-040-0028</v>
      </c>
      <c r="C676" s="63" t="str">
        <f t="shared" si="61"/>
        <v>Tamai2D1-040-0028</v>
      </c>
      <c r="D676" s="68">
        <f>VLOOKUP(C676,'RAW DATA 2023'!E:BP,63,0)</f>
        <v>6</v>
      </c>
      <c r="E676" s="63" t="str">
        <f t="shared" si="62"/>
        <v>Tamai26</v>
      </c>
      <c r="F676" s="63">
        <f>ROUND(VLOOKUP(C676,'RAW DATA 2023'!E:BO,23,0),0)</f>
        <v>67</v>
      </c>
      <c r="G676" s="120">
        <f>VLOOKUP(C676,'RAW DATA 2023'!E:BO,26,0)</f>
        <v>0.242483855</v>
      </c>
      <c r="H676" s="101">
        <f>IFERROR(VLOOKUP(F676,STD!B:G,6,0),"")</f>
        <v>0.36</v>
      </c>
      <c r="I676" s="100">
        <f t="shared" si="63"/>
        <v>0.67356626388888896</v>
      </c>
      <c r="J676" s="249">
        <f t="shared" si="65"/>
        <v>3.4713252777777792</v>
      </c>
      <c r="K676" s="63">
        <f>VLOOKUP(C676,'RAW DATA 2023'!E:BO,20,0)</f>
        <v>61.000000000000007</v>
      </c>
      <c r="L676" s="322">
        <f t="shared" si="66"/>
        <v>211.75084194444455</v>
      </c>
      <c r="M676" s="63"/>
      <c r="Y676" s="63" t="str">
        <f t="shared" si="64"/>
        <v>D1-040-00286</v>
      </c>
    </row>
    <row r="677" spans="1:25">
      <c r="A677" s="63" t="str">
        <f>'RAW DATA 2023'!B670</f>
        <v>Tamai2</v>
      </c>
      <c r="B677" s="63" t="str">
        <f>'RAW DATA 2023'!D670</f>
        <v>D1-073-0010</v>
      </c>
      <c r="C677" s="63" t="str">
        <f t="shared" si="61"/>
        <v>Tamai2D1-073-0010</v>
      </c>
      <c r="D677" s="68">
        <f>VLOOKUP(C677,'RAW DATA 2023'!E:BP,63,0)</f>
        <v>8</v>
      </c>
      <c r="E677" s="63" t="str">
        <f t="shared" si="62"/>
        <v>Tamai28</v>
      </c>
      <c r="F677" s="63">
        <f>ROUND(VLOOKUP(C677,'RAW DATA 2023'!E:BO,23,0),0)</f>
        <v>119</v>
      </c>
      <c r="G677" s="120">
        <f>VLOOKUP(C677,'RAW DATA 2023'!E:BO,26,0)</f>
        <v>0.20008618799999997</v>
      </c>
      <c r="H677" s="101">
        <f>IFERROR(VLOOKUP(F677,STD!B:G,6,0),"")</f>
        <v>0.31</v>
      </c>
      <c r="I677" s="100">
        <f t="shared" si="63"/>
        <v>0.64543931612903216</v>
      </c>
      <c r="J677" s="249">
        <f t="shared" si="65"/>
        <v>2.9087863225806432</v>
      </c>
      <c r="K677" s="63">
        <f>VLOOKUP(C677,'RAW DATA 2023'!E:BO,20,0)</f>
        <v>39</v>
      </c>
      <c r="L677" s="322">
        <f t="shared" si="66"/>
        <v>113.44266658064508</v>
      </c>
      <c r="M677" s="63"/>
      <c r="Y677" s="63" t="str">
        <f t="shared" si="64"/>
        <v>D1-073-00108</v>
      </c>
    </row>
    <row r="678" spans="1:25">
      <c r="A678" s="63" t="str">
        <f>'RAW DATA 2023'!B671</f>
        <v>Tamai2</v>
      </c>
      <c r="B678" s="63" t="str">
        <f>'RAW DATA 2023'!D671</f>
        <v>D1-068-0003</v>
      </c>
      <c r="C678" s="63" t="str">
        <f t="shared" si="61"/>
        <v>Tamai2D1-068-0003</v>
      </c>
      <c r="D678" s="68">
        <f>VLOOKUP(C678,'RAW DATA 2023'!E:BP,63,0)</f>
        <v>3</v>
      </c>
      <c r="E678" s="63" t="str">
        <f t="shared" si="62"/>
        <v>Tamai23</v>
      </c>
      <c r="F678" s="63">
        <f>ROUND(VLOOKUP(C678,'RAW DATA 2023'!E:BO,23,0),0)</f>
        <v>0</v>
      </c>
      <c r="G678" s="120">
        <f>VLOOKUP(C678,'RAW DATA 2023'!E:BO,26,0)</f>
        <v>0</v>
      </c>
      <c r="H678" s="101" t="str">
        <f>IFERROR(VLOOKUP(F678,STD!B:G,6,0),"")</f>
        <v/>
      </c>
      <c r="I678" s="100">
        <f t="shared" si="63"/>
        <v>0</v>
      </c>
      <c r="J678" s="249">
        <f t="shared" si="65"/>
        <v>0</v>
      </c>
      <c r="K678" s="63">
        <f>VLOOKUP(C678,'RAW DATA 2023'!E:BO,20,0)</f>
        <v>0</v>
      </c>
      <c r="L678" s="322">
        <f t="shared" si="66"/>
        <v>0</v>
      </c>
      <c r="M678" s="63"/>
      <c r="Y678" s="63" t="str">
        <f t="shared" si="64"/>
        <v>D1-068-00033</v>
      </c>
    </row>
    <row r="679" spans="1:25">
      <c r="A679" s="63" t="str">
        <f>'RAW DATA 2023'!B672</f>
        <v>Tamai2</v>
      </c>
      <c r="B679" s="63" t="str">
        <f>'RAW DATA 2023'!D672</f>
        <v>A1-006-0026</v>
      </c>
      <c r="C679" s="63" t="str">
        <f t="shared" si="61"/>
        <v>Tamai2A1-006-0026</v>
      </c>
      <c r="D679" s="68">
        <f>VLOOKUP(C679,'RAW DATA 2023'!E:BP,63,0)</f>
        <v>6</v>
      </c>
      <c r="E679" s="63" t="str">
        <f t="shared" si="62"/>
        <v>Tamai26</v>
      </c>
      <c r="F679" s="63">
        <f>ROUND(VLOOKUP(C679,'RAW DATA 2023'!E:BO,23,0),0)</f>
        <v>30</v>
      </c>
      <c r="G679" s="120">
        <f>VLOOKUP(C679,'RAW DATA 2023'!E:BO,26,0)</f>
        <v>0.35476020000000003</v>
      </c>
      <c r="H679" s="101">
        <f>IFERROR(VLOOKUP(F679,STD!B:G,6,0),"")</f>
        <v>0.39</v>
      </c>
      <c r="I679" s="100">
        <f t="shared" si="63"/>
        <v>0.9096415384615385</v>
      </c>
      <c r="J679" s="249">
        <f t="shared" si="65"/>
        <v>8.1928307692307705</v>
      </c>
      <c r="K679" s="63">
        <f>VLOOKUP(C679,'RAW DATA 2023'!E:BO,20,0)</f>
        <v>126.99999999999999</v>
      </c>
      <c r="L679" s="322">
        <f t="shared" si="66"/>
        <v>1040.4895076923078</v>
      </c>
      <c r="M679" s="63"/>
      <c r="Y679" s="63" t="str">
        <f t="shared" si="64"/>
        <v>A1-006-00266</v>
      </c>
    </row>
    <row r="680" spans="1:25">
      <c r="A680" s="63" t="str">
        <f>'RAW DATA 2023'!B673</f>
        <v>Tamai2</v>
      </c>
      <c r="B680" s="63" t="str">
        <f>'RAW DATA 2023'!D673</f>
        <v>E1-027-0035</v>
      </c>
      <c r="C680" s="63" t="str">
        <f t="shared" si="61"/>
        <v>Tamai2E1-027-0035</v>
      </c>
      <c r="D680" s="68">
        <f>VLOOKUP(C680,'RAW DATA 2023'!E:BP,63,0)</f>
        <v>5</v>
      </c>
      <c r="E680" s="63" t="str">
        <f t="shared" si="62"/>
        <v>Tamai25</v>
      </c>
      <c r="F680" s="63">
        <f>ROUND(VLOOKUP(C680,'RAW DATA 2023'!E:BO,23,0),0)</f>
        <v>28</v>
      </c>
      <c r="G680" s="120">
        <f>VLOOKUP(C680,'RAW DATA 2023'!E:BO,26,0)</f>
        <v>0.33096989999999998</v>
      </c>
      <c r="H680" s="101">
        <f>IFERROR(VLOOKUP(F680,STD!B:G,6,0),"")</f>
        <v>0.41</v>
      </c>
      <c r="I680" s="100">
        <f t="shared" si="63"/>
        <v>0.80724365853658542</v>
      </c>
      <c r="J680" s="249">
        <f t="shared" si="65"/>
        <v>6.1448731707317084</v>
      </c>
      <c r="K680" s="63">
        <f>VLOOKUP(C680,'RAW DATA 2023'!E:BO,20,0)</f>
        <v>114.99999999999999</v>
      </c>
      <c r="L680" s="322">
        <f t="shared" si="66"/>
        <v>706.66041463414638</v>
      </c>
      <c r="M680" s="63"/>
      <c r="Y680" s="63" t="str">
        <f t="shared" si="64"/>
        <v>E1-027-00355</v>
      </c>
    </row>
    <row r="681" spans="1:25">
      <c r="A681" s="63" t="str">
        <f>'RAW DATA 2023'!B674</f>
        <v>Tamai2</v>
      </c>
      <c r="B681" s="63" t="str">
        <f>'RAW DATA 2023'!D674</f>
        <v>C1-057-0009</v>
      </c>
      <c r="C681" s="63" t="str">
        <f t="shared" si="61"/>
        <v>Tamai2C1-057-0009</v>
      </c>
      <c r="D681" s="68">
        <f>VLOOKUP(C681,'RAW DATA 2023'!E:BP,63,0)</f>
        <v>4</v>
      </c>
      <c r="E681" s="63" t="str">
        <f t="shared" si="62"/>
        <v>Tamai24</v>
      </c>
      <c r="F681" s="63">
        <f>ROUND(VLOOKUP(C681,'RAW DATA 2023'!E:BO,23,0),0)</f>
        <v>30</v>
      </c>
      <c r="G681" s="120">
        <f>VLOOKUP(C681,'RAW DATA 2023'!E:BO,26,0)</f>
        <v>0.31428571399999999</v>
      </c>
      <c r="H681" s="101">
        <f>IFERROR(VLOOKUP(F681,STD!B:G,6,0),"")</f>
        <v>0.39</v>
      </c>
      <c r="I681" s="100">
        <f t="shared" si="63"/>
        <v>0.80586080512820513</v>
      </c>
      <c r="J681" s="249">
        <f t="shared" si="65"/>
        <v>6.1172161025641021</v>
      </c>
      <c r="K681" s="63">
        <f>VLOOKUP(C681,'RAW DATA 2023'!E:BO,20,0)</f>
        <v>126</v>
      </c>
      <c r="L681" s="322">
        <f t="shared" si="66"/>
        <v>770.76922892307687</v>
      </c>
      <c r="M681" s="63"/>
      <c r="Y681" s="63" t="str">
        <f t="shared" si="64"/>
        <v>C1-057-00094</v>
      </c>
    </row>
    <row r="682" spans="1:25">
      <c r="A682" s="63" t="str">
        <f>'RAW DATA 2023'!B675</f>
        <v>Tamai2</v>
      </c>
      <c r="B682" s="63" t="str">
        <f>'RAW DATA 2023'!D675</f>
        <v>E1-032-0036</v>
      </c>
      <c r="C682" s="63" t="str">
        <f t="shared" si="61"/>
        <v>Tamai2E1-032-0036</v>
      </c>
      <c r="D682" s="63">
        <f>VLOOKUP(C682,'RAW DATA 2023'!E:BP,63,0)</f>
        <v>3</v>
      </c>
      <c r="E682" s="63" t="str">
        <f t="shared" si="62"/>
        <v>Tamai23</v>
      </c>
      <c r="F682" s="63">
        <f>ROUND(VLOOKUP(C682,'RAW DATA 2023'!E:BO,23,0),0)</f>
        <v>31</v>
      </c>
      <c r="G682" s="120">
        <f>VLOOKUP(C682,'RAW DATA 2023'!E:BO,26,0)</f>
        <v>0.29428571399999998</v>
      </c>
      <c r="H682" s="101">
        <f>IFERROR(VLOOKUP(F682,STD!B:G,6,0),"")</f>
        <v>0.39</v>
      </c>
      <c r="I682" s="100">
        <f t="shared" si="63"/>
        <v>0.7545787538461538</v>
      </c>
      <c r="J682" s="249">
        <f t="shared" si="65"/>
        <v>5.0915750769230765</v>
      </c>
      <c r="K682" s="63">
        <f>VLOOKUP(C682,'RAW DATA 2023'!E:BO,20,0)</f>
        <v>120.00000000000001</v>
      </c>
      <c r="L682" s="322">
        <f t="shared" si="66"/>
        <v>610.98900923076928</v>
      </c>
      <c r="Y682" s="63" t="str">
        <f t="shared" si="64"/>
        <v>E1-032-00363</v>
      </c>
    </row>
    <row r="683" spans="1:25">
      <c r="A683" s="63" t="str">
        <f>'RAW DATA 2023'!B676</f>
        <v>Tamai2</v>
      </c>
      <c r="B683" s="63" t="str">
        <f>'RAW DATA 2023'!D676</f>
        <v>C1-057-0011</v>
      </c>
      <c r="C683" s="63" t="str">
        <f t="shared" si="61"/>
        <v>Tamai2C1-057-0011</v>
      </c>
      <c r="D683" s="63">
        <f>VLOOKUP(C683,'RAW DATA 2023'!E:BP,63,0)</f>
        <v>8</v>
      </c>
      <c r="E683" s="63" t="str">
        <f t="shared" si="62"/>
        <v>Tamai28</v>
      </c>
      <c r="F683" s="63">
        <f>ROUND(VLOOKUP(C683,'RAW DATA 2023'!E:BO,23,0),0)</f>
        <v>102</v>
      </c>
      <c r="G683" s="120">
        <f>VLOOKUP(C683,'RAW DATA 2023'!E:BO,26,0)</f>
        <v>0.26129181099999998</v>
      </c>
      <c r="H683" s="101">
        <f>IFERROR(VLOOKUP(F683,STD!B:G,6,0),"")</f>
        <v>0.32</v>
      </c>
      <c r="I683" s="100">
        <f t="shared" si="63"/>
        <v>0.8165369093749999</v>
      </c>
      <c r="J683" s="249">
        <f t="shared" si="65"/>
        <v>6.3307381874999979</v>
      </c>
      <c r="K683" s="63">
        <f>VLOOKUP(C683,'RAW DATA 2023'!E:BO,20,0)</f>
        <v>34</v>
      </c>
      <c r="L683" s="322">
        <f t="shared" si="66"/>
        <v>215.24509837499994</v>
      </c>
      <c r="Y683" s="63" t="str">
        <f t="shared" si="64"/>
        <v>C1-057-00118</v>
      </c>
    </row>
    <row r="684" spans="1:25">
      <c r="A684" s="63" t="str">
        <f>'RAW DATA 2023'!B677</f>
        <v>Tamai2</v>
      </c>
      <c r="B684" s="63" t="str">
        <f>'RAW DATA 2023'!D677</f>
        <v>A1-082-0008</v>
      </c>
      <c r="C684" s="63" t="str">
        <f t="shared" si="61"/>
        <v>Tamai2A1-082-0008</v>
      </c>
      <c r="D684" s="63">
        <f>VLOOKUP(C684,'RAW DATA 2023'!E:BP,63,0)</f>
        <v>5</v>
      </c>
      <c r="E684" s="63" t="str">
        <f t="shared" si="62"/>
        <v>Tamai25</v>
      </c>
      <c r="F684" s="63">
        <f>ROUND(VLOOKUP(C684,'RAW DATA 2023'!E:BO,23,0),0)</f>
        <v>46</v>
      </c>
      <c r="G684" s="120">
        <f>VLOOKUP(C684,'RAW DATA 2023'!E:BO,26,0)</f>
        <v>0.25773574999999999</v>
      </c>
      <c r="H684" s="101">
        <f>IFERROR(VLOOKUP(F684,STD!B:G,6,0),"")</f>
        <v>0.36</v>
      </c>
      <c r="I684" s="100">
        <f t="shared" si="63"/>
        <v>0.71593263888888892</v>
      </c>
      <c r="J684" s="249">
        <f t="shared" si="65"/>
        <v>4.3186527777777783</v>
      </c>
      <c r="K684" s="63">
        <f>VLOOKUP(C684,'RAW DATA 2023'!E:BO,20,0)</f>
        <v>81</v>
      </c>
      <c r="L684" s="322">
        <f t="shared" si="66"/>
        <v>349.81087500000007</v>
      </c>
      <c r="Y684" s="63" t="str">
        <f t="shared" si="64"/>
        <v>A1-082-00085</v>
      </c>
    </row>
    <row r="685" spans="1:25">
      <c r="A685" s="63" t="str">
        <f>'RAW DATA 2023'!B678</f>
        <v>Tamai2</v>
      </c>
      <c r="B685" s="63" t="str">
        <f>'RAW DATA 2023'!D678</f>
        <v>E1-032-0037</v>
      </c>
      <c r="C685" s="63" t="str">
        <f t="shared" si="61"/>
        <v>Tamai2E1-032-0037</v>
      </c>
      <c r="D685" s="63">
        <f>VLOOKUP(C685,'RAW DATA 2023'!E:BP,63,0)</f>
        <v>7</v>
      </c>
      <c r="E685" s="63" t="str">
        <f t="shared" si="62"/>
        <v>Tamai27</v>
      </c>
      <c r="F685" s="63">
        <f>ROUND(VLOOKUP(C685,'RAW DATA 2023'!E:BO,23,0),0)</f>
        <v>97</v>
      </c>
      <c r="G685" s="120">
        <f>VLOOKUP(C685,'RAW DATA 2023'!E:BO,26,0)</f>
        <v>0.24754559900000001</v>
      </c>
      <c r="H685" s="101">
        <f>IFERROR(VLOOKUP(F685,STD!B:G,6,0),"")</f>
        <v>0.32</v>
      </c>
      <c r="I685" s="100">
        <f t="shared" si="63"/>
        <v>0.77357999687500001</v>
      </c>
      <c r="J685" s="249">
        <f t="shared" si="65"/>
        <v>5.4715999375000006</v>
      </c>
      <c r="K685" s="63">
        <f>VLOOKUP(C685,'RAW DATA 2023'!E:BO,20,0)</f>
        <v>39</v>
      </c>
      <c r="L685" s="322">
        <f t="shared" si="66"/>
        <v>213.39239756250004</v>
      </c>
      <c r="Y685" s="63" t="str">
        <f t="shared" si="64"/>
        <v>E1-032-00377</v>
      </c>
    </row>
    <row r="686" spans="1:25">
      <c r="A686" s="63" t="str">
        <f>'RAW DATA 2023'!B679</f>
        <v>Tamai2</v>
      </c>
      <c r="B686" s="63" t="str">
        <f>'RAW DATA 2023'!D679</f>
        <v>C1-058-0010</v>
      </c>
      <c r="C686" s="63" t="str">
        <f t="shared" si="61"/>
        <v>Tamai2C1-058-0010</v>
      </c>
      <c r="D686" s="63">
        <f>VLOOKUP(C686,'RAW DATA 2023'!E:BP,63,0)</f>
        <v>4</v>
      </c>
      <c r="E686" s="63" t="str">
        <f t="shared" si="62"/>
        <v>Tamai24</v>
      </c>
      <c r="F686" s="63">
        <f>ROUND(VLOOKUP(C686,'RAW DATA 2023'!E:BO,23,0),0)</f>
        <v>118</v>
      </c>
      <c r="G686" s="120">
        <f>VLOOKUP(C686,'RAW DATA 2023'!E:BO,26,0)</f>
        <v>0.22429378499999997</v>
      </c>
      <c r="H686" s="101">
        <f>IFERROR(VLOOKUP(F686,STD!B:G,6,0),"")</f>
        <v>0.31</v>
      </c>
      <c r="I686" s="100">
        <f t="shared" si="63"/>
        <v>0.72352833870967737</v>
      </c>
      <c r="J686" s="249">
        <f t="shared" si="65"/>
        <v>4.4705667741935473</v>
      </c>
      <c r="K686" s="63">
        <f>VLOOKUP(C686,'RAW DATA 2023'!E:BO,20,0)</f>
        <v>36</v>
      </c>
      <c r="L686" s="322">
        <f t="shared" si="66"/>
        <v>160.94040387096771</v>
      </c>
      <c r="Y686" s="63" t="str">
        <f t="shared" si="64"/>
        <v>C1-058-00104</v>
      </c>
    </row>
    <row r="687" spans="1:25">
      <c r="A687" s="63" t="str">
        <f>'RAW DATA 2023'!B680</f>
        <v>Tamai2</v>
      </c>
      <c r="B687" s="63" t="str">
        <f>'RAW DATA 2023'!D680</f>
        <v>C1-093-0008</v>
      </c>
      <c r="C687" s="63" t="str">
        <f t="shared" si="61"/>
        <v>Tamai2C1-093-0008</v>
      </c>
      <c r="D687" s="63">
        <f>VLOOKUP(C687,'RAW DATA 2023'!E:BP,63,0)</f>
        <v>6</v>
      </c>
      <c r="E687" s="63" t="str">
        <f t="shared" si="62"/>
        <v>Tamai26</v>
      </c>
      <c r="F687" s="63">
        <f>ROUND(VLOOKUP(C687,'RAW DATA 2023'!E:BO,23,0),0)</f>
        <v>107</v>
      </c>
      <c r="G687" s="120">
        <f>VLOOKUP(C687,'RAW DATA 2023'!E:BO,26,0)</f>
        <v>0.19875098699999999</v>
      </c>
      <c r="H687" s="101">
        <f>IFERROR(VLOOKUP(F687,STD!B:G,6,0),"")</f>
        <v>0.32</v>
      </c>
      <c r="I687" s="100">
        <f t="shared" si="63"/>
        <v>0.62109683437499996</v>
      </c>
      <c r="J687" s="249">
        <f t="shared" si="65"/>
        <v>2.4219366874999992</v>
      </c>
      <c r="K687" s="63">
        <f>VLOOKUP(C687,'RAW DATA 2023'!E:BO,20,0)</f>
        <v>45</v>
      </c>
      <c r="L687" s="322">
        <f t="shared" si="66"/>
        <v>108.98715093749996</v>
      </c>
      <c r="Y687" s="63" t="str">
        <f t="shared" si="64"/>
        <v>C1-093-00086</v>
      </c>
    </row>
    <row r="688" spans="1:25">
      <c r="A688" s="63" t="str">
        <f>'RAW DATA 2023'!B681</f>
        <v>Tamai2</v>
      </c>
      <c r="B688" s="63" t="str">
        <f>'RAW DATA 2023'!D681</f>
        <v>C1-057-0010</v>
      </c>
      <c r="C688" s="63" t="str">
        <f t="shared" si="61"/>
        <v>Tamai2C1-057-0010</v>
      </c>
      <c r="D688" s="63">
        <f>VLOOKUP(C688,'RAW DATA 2023'!E:BP,63,0)</f>
        <v>6</v>
      </c>
      <c r="E688" s="63" t="str">
        <f t="shared" si="62"/>
        <v>Tamai26</v>
      </c>
      <c r="F688" s="63">
        <f>ROUND(VLOOKUP(C688,'RAW DATA 2023'!E:BO,23,0),0)</f>
        <v>155</v>
      </c>
      <c r="G688" s="120">
        <f>VLOOKUP(C688,'RAW DATA 2023'!E:BO,26,0)</f>
        <v>0.18338220899999999</v>
      </c>
      <c r="H688" s="101">
        <f>IFERROR(VLOOKUP(F688,STD!B:G,6,0),"")</f>
        <v>0.26</v>
      </c>
      <c r="I688" s="100">
        <f t="shared" si="63"/>
        <v>0.70531618846153843</v>
      </c>
      <c r="J688" s="249">
        <f t="shared" si="65"/>
        <v>4.1063237692307686</v>
      </c>
      <c r="K688" s="63">
        <f>VLOOKUP(C688,'RAW DATA 2023'!E:BO,20,0)</f>
        <v>33</v>
      </c>
      <c r="L688" s="322">
        <f t="shared" si="66"/>
        <v>135.50868438461535</v>
      </c>
      <c r="M688" s="63"/>
      <c r="Y688" s="63" t="str">
        <f t="shared" si="64"/>
        <v>C1-057-00106</v>
      </c>
    </row>
    <row r="689" spans="1:25">
      <c r="A689" s="63" t="str">
        <f>'RAW DATA 2023'!B682</f>
        <v>Tamai2</v>
      </c>
      <c r="B689" s="63" t="str">
        <f>'RAW DATA 2023'!D682</f>
        <v>A1-006-0027</v>
      </c>
      <c r="C689" s="63" t="str">
        <f t="shared" si="61"/>
        <v>Tamai2A1-006-0027</v>
      </c>
      <c r="D689" s="63">
        <f>VLOOKUP(C689,'RAW DATA 2023'!E:BP,63,0)</f>
        <v>7</v>
      </c>
      <c r="E689" s="63" t="str">
        <f t="shared" si="62"/>
        <v>Tamai27</v>
      </c>
      <c r="F689" s="63">
        <f>ROUND(VLOOKUP(C689,'RAW DATA 2023'!E:BO,23,0),0)</f>
        <v>0</v>
      </c>
      <c r="G689" s="120">
        <f>VLOOKUP(C689,'RAW DATA 2023'!E:BO,26,0)</f>
        <v>0</v>
      </c>
      <c r="H689" s="101" t="str">
        <f>IFERROR(VLOOKUP(F689,STD!B:G,6,0),"")</f>
        <v/>
      </c>
      <c r="I689" s="100">
        <f t="shared" si="63"/>
        <v>0</v>
      </c>
      <c r="J689" s="249">
        <f t="shared" si="65"/>
        <v>0</v>
      </c>
      <c r="K689" s="63">
        <f>VLOOKUP(C689,'RAW DATA 2023'!E:BO,20,0)</f>
        <v>0</v>
      </c>
      <c r="L689" s="322">
        <f t="shared" si="66"/>
        <v>0</v>
      </c>
      <c r="Y689" s="63" t="str">
        <f t="shared" si="64"/>
        <v>A1-006-00277</v>
      </c>
    </row>
    <row r="690" spans="1:25">
      <c r="A690" s="63" t="str">
        <f>'RAW DATA 2023'!B683</f>
        <v>Tamai2</v>
      </c>
      <c r="B690" s="63" t="str">
        <f>'RAW DATA 2023'!D683</f>
        <v>A1-032-0033</v>
      </c>
      <c r="C690" s="63" t="str">
        <f t="shared" si="61"/>
        <v>Tamai2A1-032-0033</v>
      </c>
      <c r="D690" s="63">
        <f>VLOOKUP(C690,'RAW DATA 2023'!E:BP,63,0)</f>
        <v>10</v>
      </c>
      <c r="E690" s="63" t="str">
        <f t="shared" si="62"/>
        <v>Tamai210</v>
      </c>
      <c r="F690" s="63">
        <f>ROUND(VLOOKUP(C690,'RAW DATA 2023'!E:BO,23,0),0)</f>
        <v>0</v>
      </c>
      <c r="G690" s="120">
        <f>VLOOKUP(C690,'RAW DATA 2023'!E:BO,26,0)</f>
        <v>0</v>
      </c>
      <c r="H690" s="101" t="str">
        <f>IFERROR(VLOOKUP(F690,STD!B:G,6,0),"")</f>
        <v/>
      </c>
      <c r="I690" s="100">
        <f t="shared" si="63"/>
        <v>0</v>
      </c>
      <c r="J690" s="249">
        <f t="shared" si="65"/>
        <v>0</v>
      </c>
      <c r="K690" s="63">
        <f>VLOOKUP(C690,'RAW DATA 2023'!E:BO,20,0)</f>
        <v>0</v>
      </c>
      <c r="L690" s="322">
        <f t="shared" si="66"/>
        <v>0</v>
      </c>
      <c r="M690" s="63"/>
      <c r="Y690" s="63" t="str">
        <f t="shared" si="64"/>
        <v>A1-032-003310</v>
      </c>
    </row>
    <row r="691" spans="1:25">
      <c r="A691" s="63" t="str">
        <f>'RAW DATA 2023'!B684</f>
        <v>Chantaburi3</v>
      </c>
      <c r="B691" s="63" t="str">
        <f>'RAW DATA 2023'!D684</f>
        <v>B1-023-0029</v>
      </c>
      <c r="C691" s="63" t="str">
        <f t="shared" si="61"/>
        <v>Chantaburi3B1-023-0029</v>
      </c>
      <c r="D691" s="63">
        <f>VLOOKUP(C691,'RAW DATA 2023'!E:BP,63,0)</f>
        <v>8</v>
      </c>
      <c r="E691" s="63" t="str">
        <f t="shared" si="62"/>
        <v>Chantaburi38</v>
      </c>
      <c r="F691" s="63">
        <f>ROUND(VLOOKUP(C691,'RAW DATA 2023'!E:BO,23,0),0)</f>
        <v>46</v>
      </c>
      <c r="G691" s="120">
        <f>VLOOKUP(C691,'RAW DATA 2023'!E:BO,26,0)</f>
        <v>0.33237847199999998</v>
      </c>
      <c r="H691" s="101">
        <f>IFERROR(VLOOKUP(F691,STD!B:G,6,0),"")</f>
        <v>0.36</v>
      </c>
      <c r="I691" s="100">
        <f t="shared" si="63"/>
        <v>0.92327353333333329</v>
      </c>
      <c r="J691" s="249">
        <f t="shared" si="65"/>
        <v>8.4654706666666648</v>
      </c>
      <c r="K691" s="63">
        <f>VLOOKUP(C691,'RAW DATA 2023'!E:BO,20,0)</f>
        <v>64</v>
      </c>
      <c r="L691" s="322">
        <f t="shared" si="66"/>
        <v>541.79012266666655</v>
      </c>
      <c r="Y691" s="63" t="str">
        <f t="shared" si="64"/>
        <v>B1-023-00298</v>
      </c>
    </row>
    <row r="692" spans="1:25">
      <c r="A692" s="63" t="str">
        <f>'RAW DATA 2023'!B685</f>
        <v>Chantaburi3</v>
      </c>
      <c r="B692" s="63" t="str">
        <f>'RAW DATA 2023'!D685</f>
        <v>A1-008-0045</v>
      </c>
      <c r="C692" s="63" t="str">
        <f t="shared" si="61"/>
        <v>Chantaburi3A1-008-0045</v>
      </c>
      <c r="D692" s="63">
        <f>VLOOKUP(C692,'RAW DATA 2023'!E:BP,63,0)</f>
        <v>11</v>
      </c>
      <c r="E692" s="63" t="str">
        <f t="shared" si="62"/>
        <v>Chantaburi311</v>
      </c>
      <c r="F692" s="63">
        <f>ROUND(VLOOKUP(C692,'RAW DATA 2023'!E:BO,23,0),0)</f>
        <v>64</v>
      </c>
      <c r="G692" s="120">
        <f>VLOOKUP(C692,'RAW DATA 2023'!E:BO,26,0)</f>
        <v>0.253210198</v>
      </c>
      <c r="H692" s="101">
        <f>IFERROR(VLOOKUP(F692,STD!B:G,6,0),"")</f>
        <v>0.36</v>
      </c>
      <c r="I692" s="100">
        <f t="shared" si="63"/>
        <v>0.70336166111111109</v>
      </c>
      <c r="J692" s="249">
        <f t="shared" si="65"/>
        <v>4.0672332222222218</v>
      </c>
      <c r="K692" s="63">
        <f>VLOOKUP(C692,'RAW DATA 2023'!E:BO,20,0)</f>
        <v>61.999999999999993</v>
      </c>
      <c r="L692" s="322">
        <f t="shared" si="66"/>
        <v>252.16845977777771</v>
      </c>
      <c r="M692" s="63"/>
      <c r="Y692" s="63" t="str">
        <f t="shared" si="64"/>
        <v>A1-008-004511</v>
      </c>
    </row>
    <row r="693" spans="1:25">
      <c r="A693" s="63" t="str">
        <f>'RAW DATA 2023'!B686</f>
        <v>Chantaburi3</v>
      </c>
      <c r="B693" s="63" t="str">
        <f>'RAW DATA 2023'!D686</f>
        <v>B1-024-0042</v>
      </c>
      <c r="C693" s="63" t="str">
        <f t="shared" si="61"/>
        <v>Chantaburi3B1-024-0042</v>
      </c>
      <c r="D693" s="63">
        <f>VLOOKUP(C693,'RAW DATA 2023'!E:BP,63,0)</f>
        <v>7</v>
      </c>
      <c r="E693" s="63" t="str">
        <f t="shared" si="62"/>
        <v>Chantaburi37</v>
      </c>
      <c r="F693" s="63">
        <f>ROUND(VLOOKUP(C693,'RAW DATA 2023'!E:BO,23,0),0)</f>
        <v>36</v>
      </c>
      <c r="G693" s="120">
        <f>VLOOKUP(C693,'RAW DATA 2023'!E:BO,26,0)</f>
        <v>0.35478073300000001</v>
      </c>
      <c r="H693" s="101">
        <f>IFERROR(VLOOKUP(F693,STD!B:G,6,0),"")</f>
        <v>0.36</v>
      </c>
      <c r="I693" s="100">
        <f t="shared" si="63"/>
        <v>0.9855020361111112</v>
      </c>
      <c r="J693" s="249">
        <f t="shared" si="65"/>
        <v>9.7100407222222245</v>
      </c>
      <c r="K693" s="63">
        <f>VLOOKUP(C693,'RAW DATA 2023'!E:BO,20,0)</f>
        <v>107</v>
      </c>
      <c r="L693" s="322">
        <f t="shared" si="66"/>
        <v>1038.9743572777779</v>
      </c>
      <c r="Y693" s="63" t="str">
        <f t="shared" si="64"/>
        <v>B1-024-00427</v>
      </c>
    </row>
    <row r="694" spans="1:25">
      <c r="A694" s="63" t="str">
        <f>'RAW DATA 2023'!B687</f>
        <v>Chantaburi3</v>
      </c>
      <c r="B694" s="63" t="str">
        <f>'RAW DATA 2023'!D687</f>
        <v>A1-011-0043</v>
      </c>
      <c r="C694" s="63" t="str">
        <f t="shared" si="61"/>
        <v>Chantaburi3A1-011-0043</v>
      </c>
      <c r="D694" s="63">
        <f>VLOOKUP(C694,'RAW DATA 2023'!E:BP,63,0)</f>
        <v>4</v>
      </c>
      <c r="E694" s="63" t="str">
        <f t="shared" si="62"/>
        <v>Chantaburi34</v>
      </c>
      <c r="F694" s="63">
        <f>ROUND(VLOOKUP(C694,'RAW DATA 2023'!E:BO,23,0),0)</f>
        <v>51</v>
      </c>
      <c r="G694" s="120">
        <f>VLOOKUP(C694,'RAW DATA 2023'!E:BO,26,0)</f>
        <v>0.31376756099999997</v>
      </c>
      <c r="H694" s="101">
        <f>IFERROR(VLOOKUP(F694,STD!B:G,6,0),"")</f>
        <v>0.36</v>
      </c>
      <c r="I694" s="100">
        <f t="shared" si="63"/>
        <v>0.87157655833333325</v>
      </c>
      <c r="J694" s="249">
        <f t="shared" si="65"/>
        <v>7.431531166666665</v>
      </c>
      <c r="K694" s="63">
        <f>VLOOKUP(C694,'RAW DATA 2023'!E:BO,20,0)</f>
        <v>87</v>
      </c>
      <c r="L694" s="322">
        <f t="shared" si="66"/>
        <v>646.54321149999987</v>
      </c>
      <c r="Y694" s="63" t="str">
        <f t="shared" si="64"/>
        <v>A1-011-00434</v>
      </c>
    </row>
    <row r="695" spans="1:25">
      <c r="A695" s="63" t="str">
        <f>'RAW DATA 2023'!B688</f>
        <v>Chantaburi3</v>
      </c>
      <c r="B695" s="63" t="str">
        <f>'RAW DATA 2023'!D688</f>
        <v>B1-023-0027</v>
      </c>
      <c r="C695" s="63" t="str">
        <f t="shared" si="61"/>
        <v>Chantaburi3B1-023-0027</v>
      </c>
      <c r="D695" s="63">
        <f>VLOOKUP(C695,'RAW DATA 2023'!E:BP,63,0)</f>
        <v>3</v>
      </c>
      <c r="E695" s="63" t="str">
        <f t="shared" si="62"/>
        <v>Chantaburi33</v>
      </c>
      <c r="F695" s="63">
        <f>ROUND(VLOOKUP(C695,'RAW DATA 2023'!E:BO,23,0),0)</f>
        <v>52</v>
      </c>
      <c r="G695" s="120">
        <f>VLOOKUP(C695,'RAW DATA 2023'!E:BO,26,0)</f>
        <v>0.26692806899999999</v>
      </c>
      <c r="H695" s="101">
        <f>IFERROR(VLOOKUP(F695,STD!B:G,6,0),"")</f>
        <v>0.36</v>
      </c>
      <c r="I695" s="100">
        <f t="shared" si="63"/>
        <v>0.74146685833333337</v>
      </c>
      <c r="J695" s="249">
        <f t="shared" si="65"/>
        <v>4.8293371666666669</v>
      </c>
      <c r="K695" s="63">
        <f>VLOOKUP(C695,'RAW DATA 2023'!E:BO,20,0)</f>
        <v>86</v>
      </c>
      <c r="L695" s="322">
        <f t="shared" si="66"/>
        <v>415.32299633333338</v>
      </c>
      <c r="Y695" s="63" t="str">
        <f t="shared" si="64"/>
        <v>B1-023-00273</v>
      </c>
    </row>
    <row r="696" spans="1:25">
      <c r="A696" s="63" t="str">
        <f>'RAW DATA 2023'!B689</f>
        <v>Chantaburi3</v>
      </c>
      <c r="B696" s="63" t="str">
        <f>'RAW DATA 2023'!D689</f>
        <v>A1-009-0042</v>
      </c>
      <c r="C696" s="63" t="str">
        <f t="shared" si="61"/>
        <v>Chantaburi3A1-009-0042</v>
      </c>
      <c r="D696" s="63">
        <f>VLOOKUP(C696,'RAW DATA 2023'!E:BP,63,0)</f>
        <v>5</v>
      </c>
      <c r="E696" s="63" t="str">
        <f t="shared" si="62"/>
        <v>Chantaburi35</v>
      </c>
      <c r="F696" s="63">
        <f>ROUND(VLOOKUP(C696,'RAW DATA 2023'!E:BO,23,0),0)</f>
        <v>54</v>
      </c>
      <c r="G696" s="120">
        <f>VLOOKUP(C696,'RAW DATA 2023'!E:BO,26,0)</f>
        <v>0.252634146</v>
      </c>
      <c r="H696" s="101">
        <f>IFERROR(VLOOKUP(F696,STD!B:G,6,0),"")</f>
        <v>0.36</v>
      </c>
      <c r="I696" s="100">
        <f t="shared" si="63"/>
        <v>0.70176151666666675</v>
      </c>
      <c r="J696" s="249">
        <f t="shared" si="65"/>
        <v>4.0352303333333346</v>
      </c>
      <c r="K696" s="63">
        <f>VLOOKUP(C696,'RAW DATA 2023'!E:BO,20,0)</f>
        <v>95</v>
      </c>
      <c r="L696" s="322">
        <f t="shared" si="66"/>
        <v>383.34688166666677</v>
      </c>
      <c r="Y696" s="63" t="str">
        <f t="shared" si="64"/>
        <v>A1-009-00425</v>
      </c>
    </row>
    <row r="697" spans="1:25">
      <c r="A697" s="63" t="str">
        <f>'RAW DATA 2023'!B690</f>
        <v>Chantaburi3</v>
      </c>
      <c r="B697" s="63" t="str">
        <f>'RAW DATA 2023'!D690</f>
        <v>A1-010-0047</v>
      </c>
      <c r="C697" s="63" t="str">
        <f t="shared" si="61"/>
        <v>Chantaburi3A1-010-0047</v>
      </c>
      <c r="D697" s="63">
        <f>VLOOKUP(C697,'RAW DATA 2023'!E:BP,63,0)</f>
        <v>7</v>
      </c>
      <c r="E697" s="63" t="str">
        <f t="shared" si="62"/>
        <v>Chantaburi37</v>
      </c>
      <c r="F697" s="63">
        <f>ROUND(VLOOKUP(C697,'RAW DATA 2023'!E:BO,23,0),0)</f>
        <v>75</v>
      </c>
      <c r="G697" s="120">
        <f>VLOOKUP(C697,'RAW DATA 2023'!E:BO,26,0)</f>
        <v>0.25128666700000002</v>
      </c>
      <c r="H697" s="101">
        <f>IFERROR(VLOOKUP(F697,STD!B:G,6,0),"")</f>
        <v>0.34</v>
      </c>
      <c r="I697" s="100">
        <f t="shared" si="63"/>
        <v>0.73907843235294113</v>
      </c>
      <c r="J697" s="249">
        <f t="shared" si="65"/>
        <v>4.7815686470588226</v>
      </c>
      <c r="K697" s="63">
        <f>VLOOKUP(C697,'RAW DATA 2023'!E:BO,20,0)</f>
        <v>50</v>
      </c>
      <c r="L697" s="322">
        <f t="shared" si="66"/>
        <v>239.07843235294112</v>
      </c>
      <c r="Y697" s="63" t="str">
        <f t="shared" si="64"/>
        <v>A1-010-00477</v>
      </c>
    </row>
    <row r="698" spans="1:25">
      <c r="A698" s="63" t="str">
        <f>'RAW DATA 2023'!B691</f>
        <v>Chantaburi3</v>
      </c>
      <c r="B698" s="63" t="str">
        <f>'RAW DATA 2023'!D691</f>
        <v>A1-011-0044</v>
      </c>
      <c r="C698" s="63" t="str">
        <f t="shared" si="61"/>
        <v>Chantaburi3A1-011-0044</v>
      </c>
      <c r="D698" s="63">
        <f>VLOOKUP(C698,'RAW DATA 2023'!E:BP,63,0)</f>
        <v>7</v>
      </c>
      <c r="E698" s="63" t="str">
        <f t="shared" si="62"/>
        <v>Chantaburi37</v>
      </c>
      <c r="F698" s="63">
        <f>ROUND(VLOOKUP(C698,'RAW DATA 2023'!E:BO,23,0),0)</f>
        <v>90</v>
      </c>
      <c r="G698" s="120">
        <f>VLOOKUP(C698,'RAW DATA 2023'!E:BO,26,0)</f>
        <v>0.23775252499999999</v>
      </c>
      <c r="H698" s="101">
        <f>IFERROR(VLOOKUP(F698,STD!B:G,6,0),"")</f>
        <v>0.33</v>
      </c>
      <c r="I698" s="100">
        <f t="shared" si="63"/>
        <v>0.72046219696969693</v>
      </c>
      <c r="J698" s="249">
        <f t="shared" si="65"/>
        <v>4.4092439393939387</v>
      </c>
      <c r="K698" s="63">
        <f>VLOOKUP(C698,'RAW DATA 2023'!E:BO,20,0)</f>
        <v>44</v>
      </c>
      <c r="L698" s="322">
        <f t="shared" si="66"/>
        <v>194.0067333333333</v>
      </c>
      <c r="Y698" s="63" t="str">
        <f t="shared" si="64"/>
        <v>A1-011-00447</v>
      </c>
    </row>
    <row r="699" spans="1:25">
      <c r="A699" s="63" t="str">
        <f>'RAW DATA 2023'!B692</f>
        <v>Chantaburi3</v>
      </c>
      <c r="B699" s="63" t="str">
        <f>'RAW DATA 2023'!D692</f>
        <v>B1-024-0041</v>
      </c>
      <c r="C699" s="63" t="str">
        <f t="shared" si="61"/>
        <v>Chantaburi3B1-024-0041</v>
      </c>
      <c r="D699" s="63">
        <f>VLOOKUP(C699,'RAW DATA 2023'!E:BP,63,0)</f>
        <v>2</v>
      </c>
      <c r="E699" s="63" t="str">
        <f t="shared" si="62"/>
        <v>Chantaburi32</v>
      </c>
      <c r="F699" s="63">
        <f>ROUND(VLOOKUP(C699,'RAW DATA 2023'!E:BO,23,0),0)</f>
        <v>98</v>
      </c>
      <c r="G699" s="120">
        <f>VLOOKUP(C699,'RAW DATA 2023'!E:BO,26,0)</f>
        <v>0.222365492</v>
      </c>
      <c r="H699" s="101">
        <f>IFERROR(VLOOKUP(F699,STD!B:G,6,0),"")</f>
        <v>0.32</v>
      </c>
      <c r="I699" s="100">
        <f t="shared" si="63"/>
        <v>0.69489216249999997</v>
      </c>
      <c r="J699" s="249">
        <f t="shared" si="65"/>
        <v>3.8978432499999993</v>
      </c>
      <c r="K699" s="63">
        <f>VLOOKUP(C699,'RAW DATA 2023'!E:BO,20,0)</f>
        <v>44</v>
      </c>
      <c r="L699" s="322">
        <f t="shared" si="66"/>
        <v>171.50510299999996</v>
      </c>
      <c r="Y699" s="63" t="str">
        <f t="shared" si="64"/>
        <v>B1-024-00412</v>
      </c>
    </row>
    <row r="700" spans="1:25">
      <c r="A700" s="63" t="str">
        <f>'RAW DATA 2023'!B693</f>
        <v>Chantaburi3</v>
      </c>
      <c r="B700" s="63" t="str">
        <f>'RAW DATA 2023'!D693</f>
        <v>A1-009-0043</v>
      </c>
      <c r="C700" s="63" t="str">
        <f t="shared" si="61"/>
        <v>Chantaburi3A1-009-0043</v>
      </c>
      <c r="D700" s="63">
        <f>VLOOKUP(C700,'RAW DATA 2023'!E:BP,63,0)</f>
        <v>7</v>
      </c>
      <c r="E700" s="63" t="str">
        <f t="shared" si="62"/>
        <v>Chantaburi37</v>
      </c>
      <c r="F700" s="63">
        <f>ROUND(VLOOKUP(C700,'RAW DATA 2023'!E:BO,23,0),0)</f>
        <v>120</v>
      </c>
      <c r="G700" s="120">
        <f>VLOOKUP(C700,'RAW DATA 2023'!E:BO,26,0)</f>
        <v>0.213603604</v>
      </c>
      <c r="H700" s="101">
        <f>IFERROR(VLOOKUP(F700,STD!B:G,6,0),"")</f>
        <v>0.31</v>
      </c>
      <c r="I700" s="100">
        <f t="shared" si="63"/>
        <v>0.68904388387096771</v>
      </c>
      <c r="J700" s="249">
        <f t="shared" si="65"/>
        <v>3.7808776774193542</v>
      </c>
      <c r="K700" s="63">
        <f>VLOOKUP(C700,'RAW DATA 2023'!E:BO,20,0)</f>
        <v>37</v>
      </c>
      <c r="L700" s="322">
        <f t="shared" si="66"/>
        <v>139.89247406451611</v>
      </c>
      <c r="Y700" s="63" t="str">
        <f t="shared" si="64"/>
        <v>A1-009-00437</v>
      </c>
    </row>
    <row r="701" spans="1:25">
      <c r="A701" s="63" t="str">
        <f>'RAW DATA 2023'!B694</f>
        <v>Chantaburi3</v>
      </c>
      <c r="B701" s="63" t="str">
        <f>'RAW DATA 2023'!D694</f>
        <v>A1-010-0046</v>
      </c>
      <c r="C701" s="63" t="str">
        <f t="shared" si="61"/>
        <v>Chantaburi3A1-010-0046</v>
      </c>
      <c r="D701" s="63">
        <f>VLOOKUP(C701,'RAW DATA 2023'!E:BP,63,0)</f>
        <v>4</v>
      </c>
      <c r="E701" s="63" t="str">
        <f t="shared" si="62"/>
        <v>Chantaburi34</v>
      </c>
      <c r="F701" s="63">
        <f>ROUND(VLOOKUP(C701,'RAW DATA 2023'!E:BO,23,0),0)</f>
        <v>71</v>
      </c>
      <c r="G701" s="120">
        <f>VLOOKUP(C701,'RAW DATA 2023'!E:BO,26,0)</f>
        <v>0.212847222</v>
      </c>
      <c r="H701" s="101">
        <f>IFERROR(VLOOKUP(F701,STD!B:G,6,0),"")</f>
        <v>0.35</v>
      </c>
      <c r="I701" s="100">
        <f t="shared" si="63"/>
        <v>0.60813492000000002</v>
      </c>
      <c r="J701" s="249">
        <f t="shared" si="65"/>
        <v>2.1626984000000005</v>
      </c>
      <c r="K701" s="63">
        <f>VLOOKUP(C701,'RAW DATA 2023'!E:BO,20,0)</f>
        <v>72</v>
      </c>
      <c r="L701" s="322">
        <f t="shared" si="66"/>
        <v>155.71428480000003</v>
      </c>
      <c r="Y701" s="63" t="str">
        <f t="shared" si="64"/>
        <v>A1-010-00464</v>
      </c>
    </row>
    <row r="702" spans="1:25">
      <c r="A702" s="63" t="str">
        <f>'RAW DATA 2023'!B695</f>
        <v>Chantaburi3</v>
      </c>
      <c r="B702" s="63" t="str">
        <f>'RAW DATA 2023'!D695</f>
        <v>B1-023-0028</v>
      </c>
      <c r="C702" s="63" t="str">
        <f t="shared" si="61"/>
        <v>Chantaburi3B1-023-0028</v>
      </c>
      <c r="D702" s="63">
        <f>VLOOKUP(C702,'RAW DATA 2023'!E:BP,63,0)</f>
        <v>5</v>
      </c>
      <c r="E702" s="63" t="str">
        <f t="shared" si="62"/>
        <v>Chantaburi35</v>
      </c>
      <c r="F702" s="63">
        <f>ROUND(VLOOKUP(C702,'RAW DATA 2023'!E:BO,23,0),0)</f>
        <v>0</v>
      </c>
      <c r="G702" s="120">
        <f>VLOOKUP(C702,'RAW DATA 2023'!E:BO,26,0)</f>
        <v>0</v>
      </c>
      <c r="H702" s="101" t="str">
        <f>IFERROR(VLOOKUP(F702,STD!B:G,6,0),"")</f>
        <v/>
      </c>
      <c r="I702" s="100">
        <f t="shared" si="63"/>
        <v>0</v>
      </c>
      <c r="J702" s="249">
        <f t="shared" si="65"/>
        <v>0</v>
      </c>
      <c r="K702" s="63">
        <f>VLOOKUP(C702,'RAW DATA 2023'!E:BO,20,0)</f>
        <v>0</v>
      </c>
      <c r="L702" s="322">
        <f t="shared" si="66"/>
        <v>0</v>
      </c>
      <c r="Y702" s="63" t="str">
        <f t="shared" si="64"/>
        <v>B1-023-00285</v>
      </c>
    </row>
    <row r="703" spans="1:25">
      <c r="A703" s="63" t="str">
        <f>'RAW DATA 2023'!B696</f>
        <v>Lucky3</v>
      </c>
      <c r="B703" s="63" t="str">
        <f>'RAW DATA 2023'!D696</f>
        <v>B1-025-0010</v>
      </c>
      <c r="C703" s="63" t="str">
        <f t="shared" si="61"/>
        <v>Lucky3B1-025-0010</v>
      </c>
      <c r="D703" s="63">
        <f>VLOOKUP(C703,'RAW DATA 2023'!E:BP,63,0)</f>
        <v>5</v>
      </c>
      <c r="E703" s="63" t="str">
        <f t="shared" si="62"/>
        <v>Lucky35</v>
      </c>
      <c r="F703" s="63">
        <f>ROUND(VLOOKUP(C703,'RAW DATA 2023'!E:BO,23,0),0)</f>
        <v>31</v>
      </c>
      <c r="G703" s="120">
        <f>VLOOKUP(C703,'RAW DATA 2023'!E:BO,26,0)</f>
        <v>0.32708222799999992</v>
      </c>
      <c r="H703" s="101">
        <f>IFERROR(VLOOKUP(F703,STD!B:G,6,0),"")</f>
        <v>0.39</v>
      </c>
      <c r="I703" s="100">
        <f t="shared" si="63"/>
        <v>0.83867237948717921</v>
      </c>
      <c r="J703" s="249">
        <f t="shared" si="65"/>
        <v>6.7734475897435846</v>
      </c>
      <c r="K703" s="63">
        <f>VLOOKUP(C703,'RAW DATA 2023'!E:BO,20,0)</f>
        <v>116</v>
      </c>
      <c r="L703" s="322">
        <f t="shared" si="66"/>
        <v>785.71992041025578</v>
      </c>
      <c r="Y703" s="63" t="str">
        <f t="shared" si="64"/>
        <v>B1-025-00105</v>
      </c>
    </row>
    <row r="704" spans="1:25">
      <c r="A704" s="63" t="str">
        <f>'RAW DATA 2023'!B697</f>
        <v>Lucky3</v>
      </c>
      <c r="B704" s="63" t="str">
        <f>'RAW DATA 2023'!D697</f>
        <v>B1-024-0009</v>
      </c>
      <c r="C704" s="63" t="str">
        <f t="shared" si="61"/>
        <v>Lucky3B1-024-0009</v>
      </c>
      <c r="D704" s="63">
        <f>VLOOKUP(C704,'RAW DATA 2023'!E:BP,63,0)</f>
        <v>5</v>
      </c>
      <c r="E704" s="63" t="str">
        <f t="shared" si="62"/>
        <v>Lucky35</v>
      </c>
      <c r="F704" s="63">
        <f>ROUND(VLOOKUP(C704,'RAW DATA 2023'!E:BO,23,0),0)</f>
        <v>33</v>
      </c>
      <c r="G704" s="120">
        <f>VLOOKUP(C704,'RAW DATA 2023'!E:BO,26,0)</f>
        <v>0.31145385599999997</v>
      </c>
      <c r="H704" s="101">
        <f>IFERROR(VLOOKUP(F704,STD!B:G,6,0),"")</f>
        <v>0.39</v>
      </c>
      <c r="I704" s="100">
        <f t="shared" si="63"/>
        <v>0.79859963076923068</v>
      </c>
      <c r="J704" s="249">
        <f t="shared" si="65"/>
        <v>5.9719926153846137</v>
      </c>
      <c r="K704" s="63">
        <f>VLOOKUP(C704,'RAW DATA 2023'!E:BO,20,0)</f>
        <v>113.00000000000001</v>
      </c>
      <c r="L704" s="322">
        <f t="shared" si="66"/>
        <v>674.83516553846141</v>
      </c>
      <c r="Y704" s="63" t="str">
        <f t="shared" si="64"/>
        <v>B1-024-00095</v>
      </c>
    </row>
    <row r="705" spans="1:25">
      <c r="A705" s="63" t="str">
        <f>'RAW DATA 2023'!B698</f>
        <v>Lucky3</v>
      </c>
      <c r="B705" s="63" t="str">
        <f>'RAW DATA 2023'!D698</f>
        <v>B1-011-0028</v>
      </c>
      <c r="C705" s="63" t="str">
        <f t="shared" si="61"/>
        <v>Lucky3B1-011-0028</v>
      </c>
      <c r="D705" s="63">
        <f>VLOOKUP(C705,'RAW DATA 2023'!E:BP,63,0)</f>
        <v>6</v>
      </c>
      <c r="E705" s="63" t="str">
        <f t="shared" si="62"/>
        <v>Lucky36</v>
      </c>
      <c r="F705" s="63">
        <f>ROUND(VLOOKUP(C705,'RAW DATA 2023'!E:BO,23,0),0)</f>
        <v>49</v>
      </c>
      <c r="G705" s="120">
        <f>VLOOKUP(C705,'RAW DATA 2023'!E:BO,26,0)</f>
        <v>0.295921875</v>
      </c>
      <c r="H705" s="101">
        <f>IFERROR(VLOOKUP(F705,STD!B:G,6,0),"")</f>
        <v>0.36</v>
      </c>
      <c r="I705" s="100">
        <f t="shared" si="63"/>
        <v>0.82200520833333335</v>
      </c>
      <c r="J705" s="249">
        <f t="shared" si="65"/>
        <v>6.440104166666667</v>
      </c>
      <c r="K705" s="63">
        <f>VLOOKUP(C705,'RAW DATA 2023'!E:BO,20,0)</f>
        <v>64</v>
      </c>
      <c r="L705" s="322">
        <f t="shared" si="66"/>
        <v>412.16666666666669</v>
      </c>
      <c r="Y705" s="63" t="str">
        <f t="shared" si="64"/>
        <v>B1-011-00286</v>
      </c>
    </row>
    <row r="706" spans="1:25">
      <c r="A706" s="63" t="str">
        <f>'RAW DATA 2023'!B699</f>
        <v>Lucky3</v>
      </c>
      <c r="B706" s="63" t="str">
        <f>'RAW DATA 2023'!D699</f>
        <v>B1-023-0012</v>
      </c>
      <c r="C706" s="63" t="str">
        <f t="shared" si="61"/>
        <v>Lucky3B1-023-0012</v>
      </c>
      <c r="D706" s="63">
        <f>VLOOKUP(C706,'RAW DATA 2023'!E:BP,63,0)</f>
        <v>5</v>
      </c>
      <c r="E706" s="63" t="str">
        <f t="shared" si="62"/>
        <v>Lucky35</v>
      </c>
      <c r="F706" s="63">
        <f>ROUND(VLOOKUP(C706,'RAW DATA 2023'!E:BO,23,0),0)</f>
        <v>82</v>
      </c>
      <c r="G706" s="120">
        <f>VLOOKUP(C706,'RAW DATA 2023'!E:BO,26,0)</f>
        <v>0.27987804900000002</v>
      </c>
      <c r="H706" s="101">
        <f>IFERROR(VLOOKUP(F706,STD!B:G,6,0),"")</f>
        <v>0.34</v>
      </c>
      <c r="I706" s="100">
        <f t="shared" si="63"/>
        <v>0.82317073235294114</v>
      </c>
      <c r="J706" s="249">
        <f t="shared" si="65"/>
        <v>6.4634146470588227</v>
      </c>
      <c r="K706" s="63">
        <f>VLOOKUP(C706,'RAW DATA 2023'!E:BO,20,0)</f>
        <v>40</v>
      </c>
      <c r="L706" s="322">
        <f t="shared" si="66"/>
        <v>258.53658588235294</v>
      </c>
      <c r="Y706" s="63" t="str">
        <f t="shared" si="64"/>
        <v>B1-023-00125</v>
      </c>
    </row>
    <row r="707" spans="1:25">
      <c r="A707" s="63" t="str">
        <f>'RAW DATA 2023'!B700</f>
        <v>Lucky3</v>
      </c>
      <c r="B707" s="63" t="str">
        <f>'RAW DATA 2023'!D700</f>
        <v>B1-011-0027</v>
      </c>
      <c r="C707" s="63" t="str">
        <f t="shared" si="61"/>
        <v>Lucky3B1-011-0027</v>
      </c>
      <c r="D707" s="63">
        <f>VLOOKUP(C707,'RAW DATA 2023'!E:BP,63,0)</f>
        <v>3</v>
      </c>
      <c r="E707" s="63" t="str">
        <f t="shared" si="62"/>
        <v>Lucky33</v>
      </c>
      <c r="F707" s="63">
        <f>ROUND(VLOOKUP(C707,'RAW DATA 2023'!E:BO,23,0),0)</f>
        <v>29</v>
      </c>
      <c r="G707" s="120">
        <f>VLOOKUP(C707,'RAW DATA 2023'!E:BO,26,0)</f>
        <v>0.27171303899999999</v>
      </c>
      <c r="H707" s="101">
        <f>IFERROR(VLOOKUP(F707,STD!B:G,6,0),"")</f>
        <v>0.4</v>
      </c>
      <c r="I707" s="100">
        <f t="shared" si="63"/>
        <v>0.67928259749999997</v>
      </c>
      <c r="J707" s="249">
        <f t="shared" si="65"/>
        <v>3.5856519499999995</v>
      </c>
      <c r="K707" s="63">
        <f>VLOOKUP(C707,'RAW DATA 2023'!E:BO,20,0)</f>
        <v>141</v>
      </c>
      <c r="L707" s="322">
        <f t="shared" si="66"/>
        <v>505.57692494999992</v>
      </c>
      <c r="Y707" s="63" t="str">
        <f t="shared" si="64"/>
        <v>B1-011-00273</v>
      </c>
    </row>
    <row r="708" spans="1:25">
      <c r="A708" s="63" t="str">
        <f>'RAW DATA 2023'!B701</f>
        <v>Lucky3</v>
      </c>
      <c r="B708" s="63" t="str">
        <f>'RAW DATA 2023'!D701</f>
        <v>BG-027-0011</v>
      </c>
      <c r="C708" s="63" t="str">
        <f t="shared" si="61"/>
        <v>Lucky3BG-027-0011</v>
      </c>
      <c r="D708" s="63">
        <f>VLOOKUP(C708,'RAW DATA 2023'!E:BP,63,0)</f>
        <v>5</v>
      </c>
      <c r="E708" s="63" t="str">
        <f t="shared" si="62"/>
        <v>Lucky35</v>
      </c>
      <c r="F708" s="63">
        <f>ROUND(VLOOKUP(C708,'RAW DATA 2023'!E:BO,23,0),0)</f>
        <v>87</v>
      </c>
      <c r="G708" s="120">
        <f>VLOOKUP(C708,'RAW DATA 2023'!E:BO,26,0)</f>
        <v>0.26840632199999997</v>
      </c>
      <c r="H708" s="101">
        <f>IFERROR(VLOOKUP(F708,STD!B:G,6,0),"")</f>
        <v>0.33</v>
      </c>
      <c r="I708" s="100">
        <f t="shared" si="63"/>
        <v>0.81335249090909079</v>
      </c>
      <c r="J708" s="249">
        <f t="shared" si="65"/>
        <v>6.2670498181818157</v>
      </c>
      <c r="K708" s="63">
        <f>VLOOKUP(C708,'RAW DATA 2023'!E:BO,20,0)</f>
        <v>40</v>
      </c>
      <c r="L708" s="322">
        <f t="shared" si="66"/>
        <v>250.68199272727264</v>
      </c>
      <c r="Y708" s="63" t="str">
        <f t="shared" si="64"/>
        <v>BG-027-00115</v>
      </c>
    </row>
    <row r="709" spans="1:25">
      <c r="A709" s="63" t="str">
        <f>'RAW DATA 2023'!B702</f>
        <v>Lucky3</v>
      </c>
      <c r="B709" s="63" t="str">
        <f>'RAW DATA 2023'!D702</f>
        <v>B1-022-0011</v>
      </c>
      <c r="C709" s="63" t="str">
        <f t="shared" si="61"/>
        <v>Lucky3B1-022-0011</v>
      </c>
      <c r="D709" s="63">
        <f>VLOOKUP(C709,'RAW DATA 2023'!E:BP,63,0)</f>
        <v>3</v>
      </c>
      <c r="E709" s="63" t="str">
        <f t="shared" si="62"/>
        <v>Lucky33</v>
      </c>
      <c r="F709" s="63">
        <f>ROUND(VLOOKUP(C709,'RAW DATA 2023'!E:BO,23,0),0)</f>
        <v>36</v>
      </c>
      <c r="G709" s="120">
        <f>VLOOKUP(C709,'RAW DATA 2023'!E:BO,26,0)</f>
        <v>0.262542373</v>
      </c>
      <c r="H709" s="101">
        <f>IFERROR(VLOOKUP(F709,STD!B:G,6,0),"")</f>
        <v>0.36</v>
      </c>
      <c r="I709" s="100">
        <f t="shared" si="63"/>
        <v>0.72928436944444441</v>
      </c>
      <c r="J709" s="249">
        <f t="shared" si="65"/>
        <v>4.5856873888888883</v>
      </c>
      <c r="K709" s="63">
        <f>VLOOKUP(C709,'RAW DATA 2023'!E:BO,20,0)</f>
        <v>118</v>
      </c>
      <c r="L709" s="322">
        <f t="shared" si="66"/>
        <v>541.11111188888879</v>
      </c>
      <c r="Y709" s="63" t="str">
        <f t="shared" si="64"/>
        <v>B1-022-00113</v>
      </c>
    </row>
    <row r="710" spans="1:25">
      <c r="A710" s="63" t="str">
        <f>'RAW DATA 2023'!B703</f>
        <v>Lucky3</v>
      </c>
      <c r="B710" s="63" t="str">
        <f>'RAW DATA 2023'!D703</f>
        <v>B1-022-0012</v>
      </c>
      <c r="C710" s="63" t="str">
        <f t="shared" si="61"/>
        <v>Lucky3B1-022-0012</v>
      </c>
      <c r="D710" s="63">
        <f>VLOOKUP(C710,'RAW DATA 2023'!E:BP,63,0)</f>
        <v>5</v>
      </c>
      <c r="E710" s="63" t="str">
        <f t="shared" si="62"/>
        <v>Lucky35</v>
      </c>
      <c r="F710" s="63">
        <f>ROUND(VLOOKUP(C710,'RAW DATA 2023'!E:BO,23,0),0)</f>
        <v>91</v>
      </c>
      <c r="G710" s="120">
        <f>VLOOKUP(C710,'RAW DATA 2023'!E:BO,26,0)</f>
        <v>0.24397527499999999</v>
      </c>
      <c r="H710" s="101">
        <f>IFERROR(VLOOKUP(F710,STD!B:G,6,0),"")</f>
        <v>0.32</v>
      </c>
      <c r="I710" s="100">
        <f t="shared" si="63"/>
        <v>0.76242273437499997</v>
      </c>
      <c r="J710" s="249">
        <f t="shared" si="65"/>
        <v>5.2484546874999989</v>
      </c>
      <c r="K710" s="63">
        <f>VLOOKUP(C710,'RAW DATA 2023'!E:BO,20,0)</f>
        <v>40</v>
      </c>
      <c r="L710" s="322">
        <f t="shared" si="66"/>
        <v>209.93818749999997</v>
      </c>
      <c r="Y710" s="63" t="str">
        <f t="shared" si="64"/>
        <v>B1-022-00125</v>
      </c>
    </row>
    <row r="711" spans="1:25">
      <c r="A711" s="63" t="str">
        <f>'RAW DATA 2023'!B704</f>
        <v>Lucky3</v>
      </c>
      <c r="B711" s="63" t="str">
        <f>'RAW DATA 2023'!D704</f>
        <v>BG-026-0010</v>
      </c>
      <c r="C711" s="63" t="str">
        <f t="shared" si="61"/>
        <v>Lucky3BG-026-0010</v>
      </c>
      <c r="D711" s="63">
        <f>VLOOKUP(C711,'RAW DATA 2023'!E:BP,63,0)</f>
        <v>3</v>
      </c>
      <c r="E711" s="63" t="str">
        <f t="shared" si="62"/>
        <v>Lucky33</v>
      </c>
      <c r="F711" s="63">
        <f>ROUND(VLOOKUP(C711,'RAW DATA 2023'!E:BO,23,0),0)</f>
        <v>31</v>
      </c>
      <c r="G711" s="120">
        <f>VLOOKUP(C711,'RAW DATA 2023'!E:BO,26,0)</f>
        <v>0.24321105400000004</v>
      </c>
      <c r="H711" s="101">
        <f>IFERROR(VLOOKUP(F711,STD!B:G,6,0),"")</f>
        <v>0.39</v>
      </c>
      <c r="I711" s="100">
        <f t="shared" si="63"/>
        <v>0.6236180871794873</v>
      </c>
      <c r="J711" s="249">
        <f t="shared" si="65"/>
        <v>2.472361743589746</v>
      </c>
      <c r="K711" s="63">
        <f>VLOOKUP(C711,'RAW DATA 2023'!E:BO,20,0)</f>
        <v>141</v>
      </c>
      <c r="L711" s="322">
        <f t="shared" si="66"/>
        <v>348.60300584615419</v>
      </c>
      <c r="Y711" s="63" t="str">
        <f t="shared" si="64"/>
        <v>BG-026-00103</v>
      </c>
    </row>
    <row r="712" spans="1:25">
      <c r="A712" s="63" t="str">
        <f>'RAW DATA 2023'!B705</f>
        <v>Lucky3</v>
      </c>
      <c r="B712" s="63" t="str">
        <f>'RAW DATA 2023'!D705</f>
        <v>BG-027-0010</v>
      </c>
      <c r="C712" s="63" t="str">
        <f t="shared" si="61"/>
        <v>Lucky3BG-027-0010</v>
      </c>
      <c r="D712" s="63">
        <f>VLOOKUP(C712,'RAW DATA 2023'!E:BP,63,0)</f>
        <v>3</v>
      </c>
      <c r="E712" s="63" t="str">
        <f t="shared" si="62"/>
        <v>Lucky33</v>
      </c>
      <c r="F712" s="63">
        <f>ROUND(VLOOKUP(C712,'RAW DATA 2023'!E:BO,23,0),0)</f>
        <v>36</v>
      </c>
      <c r="G712" s="120">
        <f>VLOOKUP(C712,'RAW DATA 2023'!E:BO,26,0)</f>
        <v>0.2414983</v>
      </c>
      <c r="H712" s="101">
        <f>IFERROR(VLOOKUP(F712,STD!B:G,6,0),"")</f>
        <v>0.36</v>
      </c>
      <c r="I712" s="100">
        <f t="shared" si="63"/>
        <v>0.67082861111111114</v>
      </c>
      <c r="J712" s="249">
        <f t="shared" si="65"/>
        <v>3.4165722222222228</v>
      </c>
      <c r="K712" s="63">
        <f>VLOOKUP(C712,'RAW DATA 2023'!E:BO,20,0)</f>
        <v>142</v>
      </c>
      <c r="L712" s="322">
        <f t="shared" si="66"/>
        <v>485.15325555555563</v>
      </c>
      <c r="Y712" s="63" t="str">
        <f t="shared" si="64"/>
        <v>BG-027-00103</v>
      </c>
    </row>
    <row r="713" spans="1:25">
      <c r="A713" s="63" t="str">
        <f>'RAW DATA 2023'!B706</f>
        <v>Lucky3</v>
      </c>
      <c r="B713" s="63" t="str">
        <f>'RAW DATA 2023'!D706</f>
        <v>BG-026-0011</v>
      </c>
      <c r="C713" s="63" t="str">
        <f t="shared" si="61"/>
        <v>Lucky3BG-026-0011</v>
      </c>
      <c r="D713" s="63">
        <f>VLOOKUP(C713,'RAW DATA 2023'!E:BP,63,0)</f>
        <v>5</v>
      </c>
      <c r="E713" s="63" t="str">
        <f t="shared" si="62"/>
        <v>Lucky35</v>
      </c>
      <c r="F713" s="63">
        <f>ROUND(VLOOKUP(C713,'RAW DATA 2023'!E:BO,23,0),0)</f>
        <v>97</v>
      </c>
      <c r="G713" s="120">
        <f>VLOOKUP(C713,'RAW DATA 2023'!E:BO,26,0)</f>
        <v>0.23878195900000002</v>
      </c>
      <c r="H713" s="101">
        <f>IFERROR(VLOOKUP(F713,STD!B:G,6,0),"")</f>
        <v>0.32</v>
      </c>
      <c r="I713" s="100">
        <f t="shared" si="63"/>
        <v>0.74619362187500005</v>
      </c>
      <c r="J713" s="249">
        <f t="shared" si="65"/>
        <v>4.9238724375000009</v>
      </c>
      <c r="K713" s="63">
        <f>VLOOKUP(C713,'RAW DATA 2023'!E:BO,20,0)</f>
        <v>40</v>
      </c>
      <c r="L713" s="322">
        <f t="shared" si="66"/>
        <v>196.95489750000004</v>
      </c>
      <c r="Y713" s="63" t="str">
        <f t="shared" si="64"/>
        <v>BG-026-00115</v>
      </c>
    </row>
    <row r="714" spans="1:25">
      <c r="A714" s="63" t="str">
        <f>'RAW DATA 2023'!B707</f>
        <v>Lucky3</v>
      </c>
      <c r="B714" s="63" t="str">
        <f>'RAW DATA 2023'!D707</f>
        <v>B1-024-0010</v>
      </c>
      <c r="C714" s="63" t="str">
        <f t="shared" ref="C714:C777" si="67">A714&amp;B714</f>
        <v>Lucky3B1-024-0010</v>
      </c>
      <c r="D714" s="63">
        <f>VLOOKUP(C714,'RAW DATA 2023'!E:BP,63,0)</f>
        <v>8</v>
      </c>
      <c r="E714" s="63" t="str">
        <f t="shared" ref="E714:E777" si="68">A714&amp;D714</f>
        <v>Lucky38</v>
      </c>
      <c r="F714" s="63">
        <f>ROUND(VLOOKUP(C714,'RAW DATA 2023'!E:BO,23,0),0)</f>
        <v>161</v>
      </c>
      <c r="G714" s="120">
        <f>VLOOKUP(C714,'RAW DATA 2023'!E:BO,26,0)</f>
        <v>0.23046583900000001</v>
      </c>
      <c r="H714" s="101">
        <f>IFERROR(VLOOKUP(F714,STD!B:G,6,0),"")</f>
        <v>0.26</v>
      </c>
      <c r="I714" s="100">
        <f t="shared" ref="I714:I777" si="69">IFERROR(G714/H714,0)</f>
        <v>0.88640707307692301</v>
      </c>
      <c r="J714" s="249">
        <f t="shared" si="65"/>
        <v>7.7281414615384598</v>
      </c>
      <c r="K714" s="63">
        <f>VLOOKUP(C714,'RAW DATA 2023'!E:BO,20,0)</f>
        <v>24</v>
      </c>
      <c r="L714" s="322">
        <f t="shared" si="66"/>
        <v>185.47539507692304</v>
      </c>
      <c r="Y714" s="63" t="str">
        <f t="shared" ref="Y714:Y777" si="70">B714&amp;D714</f>
        <v>B1-024-00108</v>
      </c>
    </row>
    <row r="715" spans="1:25">
      <c r="A715" s="63" t="str">
        <f>'RAW DATA 2023'!B708</f>
        <v>Lucky3</v>
      </c>
      <c r="B715" s="63" t="str">
        <f>'RAW DATA 2023'!D708</f>
        <v>B1-023-0011</v>
      </c>
      <c r="C715" s="63" t="str">
        <f t="shared" si="67"/>
        <v>Lucky3B1-023-0011</v>
      </c>
      <c r="D715" s="63">
        <f>VLOOKUP(C715,'RAW DATA 2023'!E:BP,63,0)</f>
        <v>3</v>
      </c>
      <c r="E715" s="63" t="str">
        <f t="shared" si="68"/>
        <v>Lucky33</v>
      </c>
      <c r="F715" s="63">
        <f>ROUND(VLOOKUP(C715,'RAW DATA 2023'!E:BO,23,0),0)</f>
        <v>42</v>
      </c>
      <c r="G715" s="120">
        <f>VLOOKUP(C715,'RAW DATA 2023'!E:BO,26,0)</f>
        <v>0.228692539</v>
      </c>
      <c r="H715" s="101">
        <f>IFERROR(VLOOKUP(F715,STD!B:G,6,0),"")</f>
        <v>0.37</v>
      </c>
      <c r="I715" s="100">
        <f t="shared" si="69"/>
        <v>0.61808794324324323</v>
      </c>
      <c r="J715" s="249">
        <f t="shared" ref="J715:J778" si="71">IF(I715&gt;0.5,((I715-$B$4)*$B$7),0)</f>
        <v>2.3617588648648646</v>
      </c>
      <c r="K715" s="63">
        <f>VLOOKUP(C715,'RAW DATA 2023'!E:BO,20,0)</f>
        <v>117</v>
      </c>
      <c r="L715" s="322">
        <f t="shared" ref="L715:L778" si="72">J715*K715</f>
        <v>276.32578718918916</v>
      </c>
      <c r="Y715" s="63" t="str">
        <f t="shared" si="70"/>
        <v>B1-023-00113</v>
      </c>
    </row>
    <row r="716" spans="1:25">
      <c r="A716" s="63" t="str">
        <f>'RAW DATA 2023'!B709</f>
        <v>Lucky3</v>
      </c>
      <c r="B716" s="63" t="str">
        <f>'RAW DATA 2023'!D709</f>
        <v>BG-027-0012</v>
      </c>
      <c r="C716" s="63" t="str">
        <f t="shared" si="67"/>
        <v>Lucky3BG-027-0012</v>
      </c>
      <c r="D716" s="63">
        <f>VLOOKUP(C716,'RAW DATA 2023'!E:BP,63,0)</f>
        <v>7</v>
      </c>
      <c r="E716" s="63" t="str">
        <f t="shared" si="68"/>
        <v>Lucky37</v>
      </c>
      <c r="F716" s="63">
        <f>ROUND(VLOOKUP(C716,'RAW DATA 2023'!E:BO,23,0),0)</f>
        <v>172</v>
      </c>
      <c r="G716" s="120">
        <f>VLOOKUP(C716,'RAW DATA 2023'!E:BO,26,0)</f>
        <v>0.18385012900000003</v>
      </c>
      <c r="H716" s="101">
        <f>IFERROR(VLOOKUP(F716,STD!B:G,6,0),"")</f>
        <v>0.25</v>
      </c>
      <c r="I716" s="100">
        <f t="shared" si="69"/>
        <v>0.73540051600000012</v>
      </c>
      <c r="J716" s="249">
        <f t="shared" si="71"/>
        <v>4.7080103200000023</v>
      </c>
      <c r="K716" s="63">
        <f>VLOOKUP(C716,'RAW DATA 2023'!E:BO,20,0)</f>
        <v>27</v>
      </c>
      <c r="L716" s="322">
        <f t="shared" si="72"/>
        <v>127.11627864000006</v>
      </c>
      <c r="Y716" s="63" t="str">
        <f t="shared" si="70"/>
        <v>BG-027-00127</v>
      </c>
    </row>
    <row r="717" spans="1:25">
      <c r="A717" s="63" t="str">
        <f>'RAW DATA 2023'!B710</f>
        <v>Lucky3</v>
      </c>
      <c r="B717" s="63" t="str">
        <f>'RAW DATA 2023'!D710</f>
        <v>B1-025-0011</v>
      </c>
      <c r="C717" s="63" t="str">
        <f t="shared" si="67"/>
        <v>Lucky3B1-025-0011</v>
      </c>
      <c r="D717" s="63">
        <f>VLOOKUP(C717,'RAW DATA 2023'!E:BP,63,0)</f>
        <v>8</v>
      </c>
      <c r="E717" s="63" t="str">
        <f t="shared" si="68"/>
        <v>Lucky38</v>
      </c>
      <c r="F717" s="63">
        <f>ROUND(VLOOKUP(C717,'RAW DATA 2023'!E:BO,23,0),0)</f>
        <v>0</v>
      </c>
      <c r="G717" s="120">
        <f>VLOOKUP(C717,'RAW DATA 2023'!E:BO,26,0)</f>
        <v>0</v>
      </c>
      <c r="H717" s="101" t="str">
        <f>IFERROR(VLOOKUP(F717,STD!B:G,6,0),"")</f>
        <v/>
      </c>
      <c r="I717" s="100">
        <f t="shared" si="69"/>
        <v>0</v>
      </c>
      <c r="J717" s="249">
        <f t="shared" si="71"/>
        <v>0</v>
      </c>
      <c r="K717" s="63">
        <f>VLOOKUP(C717,'RAW DATA 2023'!E:BO,20,0)</f>
        <v>0</v>
      </c>
      <c r="L717" s="322">
        <f t="shared" si="72"/>
        <v>0</v>
      </c>
      <c r="Y717" s="63" t="str">
        <f t="shared" si="70"/>
        <v>B1-025-00118</v>
      </c>
    </row>
    <row r="718" spans="1:25">
      <c r="A718" s="63" t="str">
        <f>'RAW DATA 2023'!B711</f>
        <v>Tachalab</v>
      </c>
      <c r="B718" s="63" t="str">
        <f>'RAW DATA 2023'!D711</f>
        <v>A1-012-0017</v>
      </c>
      <c r="C718" s="63" t="str">
        <f t="shared" si="67"/>
        <v>TachalabA1-012-0017</v>
      </c>
      <c r="D718" s="63">
        <f>VLOOKUP(C718,'RAW DATA 2023'!E:BP,63,0)</f>
        <v>8</v>
      </c>
      <c r="E718" s="63" t="str">
        <f t="shared" si="68"/>
        <v>Tachalab8</v>
      </c>
      <c r="F718" s="63">
        <f>ROUND(VLOOKUP(C718,'RAW DATA 2023'!E:BO,23,0),0)</f>
        <v>30</v>
      </c>
      <c r="G718" s="120">
        <f>VLOOKUP(C718,'RAW DATA 2023'!E:BO,26,0)</f>
        <v>0.366666667</v>
      </c>
      <c r="H718" s="101">
        <f>IFERROR(VLOOKUP(F718,STD!B:G,6,0),"")</f>
        <v>0.39</v>
      </c>
      <c r="I718" s="100">
        <f t="shared" si="69"/>
        <v>0.94017094102564103</v>
      </c>
      <c r="J718" s="249">
        <f t="shared" si="71"/>
        <v>8.803418820512821</v>
      </c>
      <c r="K718" s="63">
        <f>VLOOKUP(C718,'RAW DATA 2023'!E:BO,20,0)</f>
        <v>112</v>
      </c>
      <c r="L718" s="322">
        <f t="shared" si="72"/>
        <v>985.98290789743601</v>
      </c>
      <c r="Y718" s="63" t="str">
        <f t="shared" si="70"/>
        <v>A1-012-00178</v>
      </c>
    </row>
    <row r="719" spans="1:25">
      <c r="A719" s="63" t="str">
        <f>'RAW DATA 2023'!B712</f>
        <v>Tachalab</v>
      </c>
      <c r="B719" s="63" t="str">
        <f>'RAW DATA 2023'!D712</f>
        <v>A1-013-0012</v>
      </c>
      <c r="C719" s="63" t="str">
        <f t="shared" si="67"/>
        <v>TachalabA1-013-0012</v>
      </c>
      <c r="D719" s="63">
        <f>VLOOKUP(C719,'RAW DATA 2023'!E:BP,63,0)</f>
        <v>7</v>
      </c>
      <c r="E719" s="63" t="str">
        <f t="shared" si="68"/>
        <v>Tachalab7</v>
      </c>
      <c r="F719" s="63">
        <f>ROUND(VLOOKUP(C719,'RAW DATA 2023'!E:BO,23,0),0)</f>
        <v>33</v>
      </c>
      <c r="G719" s="120">
        <f>VLOOKUP(C719,'RAW DATA 2023'!E:BO,26,0)</f>
        <v>0.35151905100000003</v>
      </c>
      <c r="H719" s="101">
        <f>IFERROR(VLOOKUP(F719,STD!B:G,6,0),"")</f>
        <v>0.39</v>
      </c>
      <c r="I719" s="100">
        <f t="shared" si="69"/>
        <v>0.90133090000000005</v>
      </c>
      <c r="J719" s="249">
        <f t="shared" si="71"/>
        <v>8.0266180000000009</v>
      </c>
      <c r="K719" s="63">
        <f>VLOOKUP(C719,'RAW DATA 2023'!E:BO,20,0)</f>
        <v>107</v>
      </c>
      <c r="L719" s="322">
        <f t="shared" si="72"/>
        <v>858.84812600000009</v>
      </c>
      <c r="Y719" s="63" t="str">
        <f t="shared" si="70"/>
        <v>A1-013-00127</v>
      </c>
    </row>
    <row r="720" spans="1:25">
      <c r="A720" s="63" t="str">
        <f>'RAW DATA 2023'!B713</f>
        <v>Tachalab</v>
      </c>
      <c r="B720" s="63" t="str">
        <f>'RAW DATA 2023'!D713</f>
        <v>A1-011-0018</v>
      </c>
      <c r="C720" s="63" t="str">
        <f t="shared" si="67"/>
        <v>TachalabA1-011-0018</v>
      </c>
      <c r="D720" s="63">
        <f>VLOOKUP(C720,'RAW DATA 2023'!E:BP,63,0)</f>
        <v>8</v>
      </c>
      <c r="E720" s="63" t="str">
        <f t="shared" si="68"/>
        <v>Tachalab8</v>
      </c>
      <c r="F720" s="63">
        <f>ROUND(VLOOKUP(C720,'RAW DATA 2023'!E:BO,23,0),0)</f>
        <v>32</v>
      </c>
      <c r="G720" s="120">
        <f>VLOOKUP(C720,'RAW DATA 2023'!E:BO,26,0)</f>
        <v>0.34222222200000002</v>
      </c>
      <c r="H720" s="101">
        <f>IFERROR(VLOOKUP(F720,STD!B:G,6,0),"")</f>
        <v>0.39</v>
      </c>
      <c r="I720" s="100">
        <f t="shared" si="69"/>
        <v>0.87749287692307698</v>
      </c>
      <c r="J720" s="249">
        <f t="shared" si="71"/>
        <v>7.5498575384615396</v>
      </c>
      <c r="K720" s="63">
        <f>VLOOKUP(C720,'RAW DATA 2023'!E:BO,20,0)</f>
        <v>120</v>
      </c>
      <c r="L720" s="322">
        <f t="shared" si="72"/>
        <v>905.98290461538477</v>
      </c>
      <c r="Y720" s="63" t="str">
        <f t="shared" si="70"/>
        <v>A1-011-00188</v>
      </c>
    </row>
    <row r="721" spans="1:25">
      <c r="A721" s="63" t="str">
        <f>'RAW DATA 2023'!B714</f>
        <v>Tachalab</v>
      </c>
      <c r="B721" s="63" t="str">
        <f>'RAW DATA 2023'!D714</f>
        <v>A1-005-0024</v>
      </c>
      <c r="C721" s="63" t="str">
        <f t="shared" si="67"/>
        <v>TachalabA1-005-0024</v>
      </c>
      <c r="D721" s="63">
        <f>VLOOKUP(C721,'RAW DATA 2023'!E:BP,63,0)</f>
        <v>7</v>
      </c>
      <c r="E721" s="63" t="str">
        <f t="shared" si="68"/>
        <v>Tachalab7</v>
      </c>
      <c r="F721" s="63">
        <f>ROUND(VLOOKUP(C721,'RAW DATA 2023'!E:BO,23,0),0)</f>
        <v>36</v>
      </c>
      <c r="G721" s="120">
        <f>VLOOKUP(C721,'RAW DATA 2023'!E:BO,26,0)</f>
        <v>0.29405615299999999</v>
      </c>
      <c r="H721" s="101">
        <f>IFERROR(VLOOKUP(F721,STD!B:G,6,0),"")</f>
        <v>0.36</v>
      </c>
      <c r="I721" s="100">
        <f t="shared" si="69"/>
        <v>0.8168226472222222</v>
      </c>
      <c r="J721" s="249">
        <f t="shared" si="71"/>
        <v>6.336452944444444</v>
      </c>
      <c r="K721" s="63">
        <f>VLOOKUP(C721,'RAW DATA 2023'!E:BO,20,0)</f>
        <v>108</v>
      </c>
      <c r="L721" s="322">
        <f t="shared" si="72"/>
        <v>684.33691799999997</v>
      </c>
      <c r="Y721" s="63" t="str">
        <f t="shared" si="70"/>
        <v>A1-005-00247</v>
      </c>
    </row>
    <row r="722" spans="1:25">
      <c r="A722" s="63" t="str">
        <f>'RAW DATA 2023'!B715</f>
        <v>Tachalab</v>
      </c>
      <c r="B722" s="63" t="str">
        <f>'RAW DATA 2023'!D715</f>
        <v>B1-025-0015</v>
      </c>
      <c r="C722" s="63" t="str">
        <f t="shared" si="67"/>
        <v>TachalabB1-025-0015</v>
      </c>
      <c r="D722" s="63">
        <f>VLOOKUP(C722,'RAW DATA 2023'!E:BP,63,0)</f>
        <v>6</v>
      </c>
      <c r="E722" s="63" t="str">
        <f t="shared" si="68"/>
        <v>Tachalab6</v>
      </c>
      <c r="F722" s="63">
        <f>ROUND(VLOOKUP(C722,'RAW DATA 2023'!E:BO,23,0),0)</f>
        <v>46</v>
      </c>
      <c r="G722" s="120">
        <f>VLOOKUP(C722,'RAW DATA 2023'!E:BO,26,0)</f>
        <v>0.272198832</v>
      </c>
      <c r="H722" s="101">
        <f>IFERROR(VLOOKUP(F722,STD!B:G,6,0),"")</f>
        <v>0.36</v>
      </c>
      <c r="I722" s="100">
        <f t="shared" si="69"/>
        <v>0.75610786666666674</v>
      </c>
      <c r="J722" s="249">
        <f t="shared" si="71"/>
        <v>5.1221573333333348</v>
      </c>
      <c r="K722" s="63">
        <f>VLOOKUP(C722,'RAW DATA 2023'!E:BO,20,0)</f>
        <v>116</v>
      </c>
      <c r="L722" s="322">
        <f t="shared" si="72"/>
        <v>594.17025066666679</v>
      </c>
      <c r="Y722" s="63" t="str">
        <f t="shared" si="70"/>
        <v>B1-025-00156</v>
      </c>
    </row>
    <row r="723" spans="1:25">
      <c r="A723" s="63" t="str">
        <f>'RAW DATA 2023'!B716</f>
        <v>Tachalab</v>
      </c>
      <c r="B723" s="63" t="str">
        <f>'RAW DATA 2023'!D716</f>
        <v>A1-006-0017</v>
      </c>
      <c r="C723" s="63" t="str">
        <f t="shared" si="67"/>
        <v>TachalabA1-006-0017</v>
      </c>
      <c r="D723" s="63">
        <f>VLOOKUP(C723,'RAW DATA 2023'!E:BP,63,0)</f>
        <v>12</v>
      </c>
      <c r="E723" s="63" t="str">
        <f t="shared" si="68"/>
        <v>Tachalab12</v>
      </c>
      <c r="F723" s="63">
        <f>ROUND(VLOOKUP(C723,'RAW DATA 2023'!E:BO,23,0),0)</f>
        <v>56</v>
      </c>
      <c r="G723" s="120">
        <f>VLOOKUP(C723,'RAW DATA 2023'!E:BO,26,0)</f>
        <v>0.24688012000000001</v>
      </c>
      <c r="H723" s="101">
        <f>IFERROR(VLOOKUP(F723,STD!B:G,6,0),"")</f>
        <v>0.36</v>
      </c>
      <c r="I723" s="100">
        <f t="shared" si="69"/>
        <v>0.6857781111111112</v>
      </c>
      <c r="J723" s="249">
        <f t="shared" si="71"/>
        <v>3.715562222222224</v>
      </c>
      <c r="K723" s="63">
        <f>VLOOKUP(C723,'RAW DATA 2023'!E:BO,20,0)</f>
        <v>77</v>
      </c>
      <c r="L723" s="322">
        <f t="shared" si="72"/>
        <v>286.09829111111122</v>
      </c>
      <c r="Y723" s="63" t="str">
        <f t="shared" si="70"/>
        <v>A1-006-001712</v>
      </c>
    </row>
    <row r="724" spans="1:25">
      <c r="A724" s="63" t="str">
        <f>'RAW DATA 2023'!B717</f>
        <v>Tachalab</v>
      </c>
      <c r="B724" s="63" t="str">
        <f>'RAW DATA 2023'!D717</f>
        <v>B1-023-0012</v>
      </c>
      <c r="C724" s="63" t="str">
        <f t="shared" si="67"/>
        <v>TachalabB1-023-0012</v>
      </c>
      <c r="D724" s="63">
        <f>VLOOKUP(C724,'RAW DATA 2023'!E:BP,63,0)</f>
        <v>2</v>
      </c>
      <c r="E724" s="63" t="str">
        <f t="shared" si="68"/>
        <v>Tachalab2</v>
      </c>
      <c r="F724" s="63">
        <f>ROUND(VLOOKUP(C724,'RAW DATA 2023'!E:BO,23,0),0)</f>
        <v>35</v>
      </c>
      <c r="G724" s="120">
        <f>VLOOKUP(C724,'RAW DATA 2023'!E:BO,26,0)</f>
        <v>0.24075024400000003</v>
      </c>
      <c r="H724" s="101">
        <f>IFERROR(VLOOKUP(F724,STD!B:G,6,0),"")</f>
        <v>0.37</v>
      </c>
      <c r="I724" s="100">
        <f t="shared" si="69"/>
        <v>0.65067633513513523</v>
      </c>
      <c r="J724" s="249">
        <f t="shared" si="71"/>
        <v>3.0135267027027046</v>
      </c>
      <c r="K724" s="63">
        <f>VLOOKUP(C724,'RAW DATA 2023'!E:BO,20,0)</f>
        <v>124.00000000000001</v>
      </c>
      <c r="L724" s="322">
        <f t="shared" si="72"/>
        <v>373.67731113513543</v>
      </c>
      <c r="Y724" s="63" t="str">
        <f t="shared" si="70"/>
        <v>B1-023-00122</v>
      </c>
    </row>
    <row r="725" spans="1:25">
      <c r="A725" s="63" t="str">
        <f>'RAW DATA 2023'!B718</f>
        <v>Tachalab</v>
      </c>
      <c r="B725" s="63" t="str">
        <f>'RAW DATA 2023'!D718</f>
        <v>A1-003-0023</v>
      </c>
      <c r="C725" s="63" t="str">
        <f t="shared" si="67"/>
        <v>TachalabA1-003-0023</v>
      </c>
      <c r="D725" s="63">
        <f>VLOOKUP(C725,'RAW DATA 2023'!E:BP,63,0)</f>
        <v>3</v>
      </c>
      <c r="E725" s="63" t="str">
        <f t="shared" si="68"/>
        <v>Tachalab3</v>
      </c>
      <c r="F725" s="63">
        <f>ROUND(VLOOKUP(C725,'RAW DATA 2023'!E:BO,23,0),0)</f>
        <v>38</v>
      </c>
      <c r="G725" s="120">
        <f>VLOOKUP(C725,'RAW DATA 2023'!E:BO,26,0)</f>
        <v>0.220198222</v>
      </c>
      <c r="H725" s="101">
        <f>IFERROR(VLOOKUP(F725,STD!B:G,6,0),"")</f>
        <v>0.37</v>
      </c>
      <c r="I725" s="100">
        <f t="shared" si="69"/>
        <v>0.59513032972972968</v>
      </c>
      <c r="J725" s="249">
        <f t="shared" si="71"/>
        <v>1.9026065945945936</v>
      </c>
      <c r="K725" s="63">
        <f>VLOOKUP(C725,'RAW DATA 2023'!E:BO,20,0)</f>
        <v>125</v>
      </c>
      <c r="L725" s="322">
        <f t="shared" si="72"/>
        <v>237.8258243243242</v>
      </c>
      <c r="Y725" s="63" t="str">
        <f t="shared" si="70"/>
        <v>A1-003-00233</v>
      </c>
    </row>
    <row r="726" spans="1:25">
      <c r="A726" s="63" t="str">
        <f>'RAW DATA 2023'!B719</f>
        <v>Tachalab</v>
      </c>
      <c r="B726" s="63" t="str">
        <f>'RAW DATA 2023'!D719</f>
        <v>A1-013-0011</v>
      </c>
      <c r="C726" s="63" t="str">
        <f t="shared" si="67"/>
        <v>TachalabA1-013-0011</v>
      </c>
      <c r="D726" s="63">
        <f>VLOOKUP(C726,'RAW DATA 2023'!E:BP,63,0)</f>
        <v>3</v>
      </c>
      <c r="E726" s="63" t="str">
        <f t="shared" si="68"/>
        <v>Tachalab3</v>
      </c>
      <c r="F726" s="63">
        <f>ROUND(VLOOKUP(C726,'RAW DATA 2023'!E:BO,23,0),0)</f>
        <v>41</v>
      </c>
      <c r="G726" s="120">
        <f>VLOOKUP(C726,'RAW DATA 2023'!E:BO,26,0)</f>
        <v>0.211175214</v>
      </c>
      <c r="H726" s="101">
        <f>IFERROR(VLOOKUP(F726,STD!B:G,6,0),"")</f>
        <v>0.37</v>
      </c>
      <c r="I726" s="100">
        <f t="shared" si="69"/>
        <v>0.57074382162162163</v>
      </c>
      <c r="J726" s="249">
        <f t="shared" si="71"/>
        <v>1.4148764324324326</v>
      </c>
      <c r="K726" s="63">
        <f>VLOOKUP(C726,'RAW DATA 2023'!E:BO,20,0)</f>
        <v>120</v>
      </c>
      <c r="L726" s="322">
        <f t="shared" si="72"/>
        <v>169.78517189189191</v>
      </c>
      <c r="Y726" s="63" t="str">
        <f t="shared" si="70"/>
        <v>A1-013-00113</v>
      </c>
    </row>
    <row r="727" spans="1:25">
      <c r="A727" s="63" t="str">
        <f>'RAW DATA 2023'!B720</f>
        <v>Tachalab</v>
      </c>
      <c r="B727" s="63" t="str">
        <f>'RAW DATA 2023'!D720</f>
        <v>A1-006-0016</v>
      </c>
      <c r="C727" s="63" t="str">
        <f t="shared" si="67"/>
        <v>TachalabA1-006-0016</v>
      </c>
      <c r="D727" s="63">
        <f>VLOOKUP(C727,'RAW DATA 2023'!E:BP,63,0)</f>
        <v>3</v>
      </c>
      <c r="E727" s="63" t="str">
        <f t="shared" si="68"/>
        <v>Tachalab3</v>
      </c>
      <c r="F727" s="63">
        <f>ROUND(VLOOKUP(C727,'RAW DATA 2023'!E:BO,23,0),0)</f>
        <v>42</v>
      </c>
      <c r="G727" s="120">
        <f>VLOOKUP(C727,'RAW DATA 2023'!E:BO,26,0)</f>
        <v>0.20243902400000002</v>
      </c>
      <c r="H727" s="101">
        <f>IFERROR(VLOOKUP(F727,STD!B:G,6,0),"")</f>
        <v>0.37</v>
      </c>
      <c r="I727" s="100">
        <f t="shared" si="69"/>
        <v>0.5471324972972974</v>
      </c>
      <c r="J727" s="249">
        <f t="shared" si="71"/>
        <v>0.94264994594594809</v>
      </c>
      <c r="K727" s="63">
        <f>VLOOKUP(C727,'RAW DATA 2023'!E:BO,20,0)</f>
        <v>119</v>
      </c>
      <c r="L727" s="322">
        <f t="shared" si="72"/>
        <v>112.17534356756782</v>
      </c>
      <c r="Y727" s="63" t="str">
        <f t="shared" si="70"/>
        <v>A1-006-00163</v>
      </c>
    </row>
    <row r="728" spans="1:25">
      <c r="A728" s="63" t="str">
        <f>'RAW DATA 2023'!B721</f>
        <v>Tachalab</v>
      </c>
      <c r="B728" s="63" t="str">
        <f>'RAW DATA 2023'!D721</f>
        <v>A1-011-0017</v>
      </c>
      <c r="C728" s="63" t="str">
        <f t="shared" si="67"/>
        <v>TachalabA1-011-0017</v>
      </c>
      <c r="D728" s="63">
        <f>VLOOKUP(C728,'RAW DATA 2023'!E:BP,63,0)</f>
        <v>3</v>
      </c>
      <c r="E728" s="63" t="str">
        <f t="shared" si="68"/>
        <v>Tachalab3</v>
      </c>
      <c r="F728" s="63">
        <f>ROUND(VLOOKUP(C728,'RAW DATA 2023'!E:BO,23,0),0)</f>
        <v>47</v>
      </c>
      <c r="G728" s="120">
        <f>VLOOKUP(C728,'RAW DATA 2023'!E:BO,26,0)</f>
        <v>0.19836411100000001</v>
      </c>
      <c r="H728" s="101">
        <f>IFERROR(VLOOKUP(F728,STD!B:G,6,0),"")</f>
        <v>0.36</v>
      </c>
      <c r="I728" s="100">
        <f t="shared" si="69"/>
        <v>0.55101141944444454</v>
      </c>
      <c r="J728" s="249">
        <f t="shared" si="71"/>
        <v>1.0202283888888908</v>
      </c>
      <c r="K728" s="63">
        <f>VLOOKUP(C728,'RAW DATA 2023'!E:BO,20,0)</f>
        <v>106</v>
      </c>
      <c r="L728" s="322">
        <f t="shared" si="72"/>
        <v>108.14420922222243</v>
      </c>
      <c r="Y728" s="63" t="str">
        <f t="shared" si="70"/>
        <v>A1-011-00173</v>
      </c>
    </row>
    <row r="729" spans="1:25">
      <c r="A729" s="63" t="str">
        <f>'RAW DATA 2023'!B722</f>
        <v>Tachalab</v>
      </c>
      <c r="B729" s="63" t="str">
        <f>'RAW DATA 2023'!D722</f>
        <v>B1-025-0014</v>
      </c>
      <c r="C729" s="63" t="str">
        <f t="shared" si="67"/>
        <v>TachalabB1-025-0014</v>
      </c>
      <c r="D729" s="63">
        <f>VLOOKUP(C729,'RAW DATA 2023'!E:BP,63,0)</f>
        <v>2</v>
      </c>
      <c r="E729" s="63" t="str">
        <f t="shared" si="68"/>
        <v>Tachalab2</v>
      </c>
      <c r="F729" s="63">
        <f>ROUND(VLOOKUP(C729,'RAW DATA 2023'!E:BO,23,0),0)</f>
        <v>44</v>
      </c>
      <c r="G729" s="120">
        <f>VLOOKUP(C729,'RAW DATA 2023'!E:BO,26,0)</f>
        <v>0.174814631</v>
      </c>
      <c r="H729" s="101">
        <f>IFERROR(VLOOKUP(F729,STD!B:G,6,0),"")</f>
        <v>0.37</v>
      </c>
      <c r="I729" s="100">
        <f t="shared" si="69"/>
        <v>0.47247197567567567</v>
      </c>
      <c r="J729" s="249">
        <f t="shared" si="71"/>
        <v>0</v>
      </c>
      <c r="K729" s="63">
        <f>VLOOKUP(C729,'RAW DATA 2023'!E:BO,20,0)</f>
        <v>128</v>
      </c>
      <c r="L729" s="322">
        <f t="shared" si="72"/>
        <v>0</v>
      </c>
      <c r="Y729" s="63" t="str">
        <f t="shared" si="70"/>
        <v>B1-025-00142</v>
      </c>
    </row>
    <row r="730" spans="1:25">
      <c r="A730" s="63" t="str">
        <f>'RAW DATA 2023'!B723</f>
        <v>Tachalab</v>
      </c>
      <c r="B730" s="63" t="str">
        <f>'RAW DATA 2023'!D723</f>
        <v>A1-012-0016</v>
      </c>
      <c r="C730" s="63" t="str">
        <f t="shared" si="67"/>
        <v>TachalabA1-012-0016</v>
      </c>
      <c r="D730" s="63">
        <f>VLOOKUP(C730,'RAW DATA 2023'!E:BP,63,0)</f>
        <v>3</v>
      </c>
      <c r="E730" s="63" t="str">
        <f t="shared" si="68"/>
        <v>Tachalab3</v>
      </c>
      <c r="F730" s="63">
        <f>ROUND(VLOOKUP(C730,'RAW DATA 2023'!E:BO,23,0),0)</f>
        <v>77</v>
      </c>
      <c r="G730" s="120">
        <f>VLOOKUP(C730,'RAW DATA 2023'!E:BO,26,0)</f>
        <v>0.15463523400000001</v>
      </c>
      <c r="H730" s="101">
        <f>IFERROR(VLOOKUP(F730,STD!B:G,6,0),"")</f>
        <v>0.34</v>
      </c>
      <c r="I730" s="100">
        <f t="shared" si="69"/>
        <v>0.45480951176470585</v>
      </c>
      <c r="J730" s="249">
        <f t="shared" si="71"/>
        <v>0</v>
      </c>
      <c r="K730" s="63">
        <f>VLOOKUP(C730,'RAW DATA 2023'!E:BO,20,0)</f>
        <v>86</v>
      </c>
      <c r="L730" s="322">
        <f t="shared" si="72"/>
        <v>0</v>
      </c>
      <c r="Y730" s="63" t="str">
        <f t="shared" si="70"/>
        <v>A1-012-00163</v>
      </c>
    </row>
    <row r="731" spans="1:25">
      <c r="A731" s="63" t="str">
        <f>'RAW DATA 2023'!B724</f>
        <v>Andaman</v>
      </c>
      <c r="B731" s="63" t="str">
        <f>'RAW DATA 2023'!D724</f>
        <v>A1-014-0018</v>
      </c>
      <c r="C731" s="63" t="str">
        <f t="shared" si="67"/>
        <v>AndamanA1-014-0018</v>
      </c>
      <c r="D731" s="63">
        <f>VLOOKUP(C731,'RAW DATA 2023'!E:BP,63,0)</f>
        <v>5</v>
      </c>
      <c r="E731" s="63" t="str">
        <f t="shared" si="68"/>
        <v>Andaman5</v>
      </c>
      <c r="F731" s="63">
        <f>ROUND(VLOOKUP(C731,'RAW DATA 2023'!E:BO,23,0),0)</f>
        <v>31</v>
      </c>
      <c r="G731" s="120">
        <f>VLOOKUP(C731,'RAW DATA 2023'!E:BO,26,0)</f>
        <v>0.40468883200000005</v>
      </c>
      <c r="H731" s="101">
        <f>IFERROR(VLOOKUP(F731,STD!B:G,6,0),"")</f>
        <v>0.39</v>
      </c>
      <c r="I731" s="100">
        <f t="shared" si="69"/>
        <v>1.037663671794872</v>
      </c>
      <c r="J731" s="249">
        <f t="shared" si="71"/>
        <v>10.753273435897439</v>
      </c>
      <c r="K731" s="63">
        <f>VLOOKUP(C731,'RAW DATA 2023'!E:BO,20,0)</f>
        <v>102</v>
      </c>
      <c r="L731" s="322">
        <f t="shared" si="72"/>
        <v>1096.8338904615389</v>
      </c>
      <c r="Y731" s="63" t="str">
        <f t="shared" si="70"/>
        <v>A1-014-00185</v>
      </c>
    </row>
    <row r="732" spans="1:25">
      <c r="A732" s="63" t="str">
        <f>'RAW DATA 2023'!B725</f>
        <v>Andaman</v>
      </c>
      <c r="B732" s="63" t="str">
        <f>'RAW DATA 2023'!D725</f>
        <v>A1-013-0018</v>
      </c>
      <c r="C732" s="63" t="str">
        <f t="shared" si="67"/>
        <v>AndamanA1-013-0018</v>
      </c>
      <c r="D732" s="63">
        <f>VLOOKUP(C732,'RAW DATA 2023'!E:BP,63,0)</f>
        <v>6</v>
      </c>
      <c r="E732" s="63" t="str">
        <f t="shared" si="68"/>
        <v>Andaman6</v>
      </c>
      <c r="F732" s="63">
        <f>ROUND(VLOOKUP(C732,'RAW DATA 2023'!E:BO,23,0),0)</f>
        <v>28</v>
      </c>
      <c r="G732" s="120">
        <f>VLOOKUP(C732,'RAW DATA 2023'!E:BO,26,0)</f>
        <v>0.40337171100000002</v>
      </c>
      <c r="H732" s="101">
        <f>IFERROR(VLOOKUP(F732,STD!B:G,6,0),"")</f>
        <v>0.41</v>
      </c>
      <c r="I732" s="100">
        <f t="shared" si="69"/>
        <v>0.98383344146341478</v>
      </c>
      <c r="J732" s="249">
        <f t="shared" si="71"/>
        <v>9.6766688292682961</v>
      </c>
      <c r="K732" s="63">
        <f>VLOOKUP(C732,'RAW DATA 2023'!E:BO,20,0)</f>
        <v>128</v>
      </c>
      <c r="L732" s="322">
        <f t="shared" si="72"/>
        <v>1238.6136101463419</v>
      </c>
      <c r="Y732" s="63" t="str">
        <f t="shared" si="70"/>
        <v>A1-013-00186</v>
      </c>
    </row>
    <row r="733" spans="1:25">
      <c r="A733" s="63" t="str">
        <f>'RAW DATA 2023'!B726</f>
        <v>Andaman</v>
      </c>
      <c r="B733" s="63" t="str">
        <f>'RAW DATA 2023'!D726</f>
        <v>A1-009-0046</v>
      </c>
      <c r="C733" s="63" t="str">
        <f t="shared" si="67"/>
        <v>AndamanA1-009-0046</v>
      </c>
      <c r="D733" s="63">
        <f>VLOOKUP(C733,'RAW DATA 2023'!E:BP,63,0)</f>
        <v>3</v>
      </c>
      <c r="E733" s="63" t="str">
        <f t="shared" si="68"/>
        <v>Andaman3</v>
      </c>
      <c r="F733" s="63">
        <f>ROUND(VLOOKUP(C733,'RAW DATA 2023'!E:BO,23,0),0)</f>
        <v>26</v>
      </c>
      <c r="G733" s="120">
        <f>VLOOKUP(C733,'RAW DATA 2023'!E:BO,26,0)</f>
        <v>0.38792223100000001</v>
      </c>
      <c r="H733" s="101">
        <f>IFERROR(VLOOKUP(F733,STD!B:G,6,0),"")</f>
        <v>0.37</v>
      </c>
      <c r="I733" s="100">
        <f t="shared" si="69"/>
        <v>1.0484384621621623</v>
      </c>
      <c r="J733" s="249">
        <f t="shared" si="71"/>
        <v>10.968769243243246</v>
      </c>
      <c r="K733" s="63">
        <f>VLOOKUP(C733,'RAW DATA 2023'!E:BO,20,0)</f>
        <v>134</v>
      </c>
      <c r="L733" s="322">
        <f t="shared" si="72"/>
        <v>1469.815078594595</v>
      </c>
      <c r="Y733" s="63" t="str">
        <f t="shared" si="70"/>
        <v>A1-009-00463</v>
      </c>
    </row>
    <row r="734" spans="1:25">
      <c r="A734" s="63" t="str">
        <f>'RAW DATA 2023'!B727</f>
        <v>Andaman</v>
      </c>
      <c r="B734" s="63" t="str">
        <f>'RAW DATA 2023'!D727</f>
        <v>A1-016-0015</v>
      </c>
      <c r="C734" s="63" t="str">
        <f t="shared" si="67"/>
        <v>AndamanA1-016-0015</v>
      </c>
      <c r="D734" s="63">
        <f>VLOOKUP(C734,'RAW DATA 2023'!E:BP,63,0)</f>
        <v>9</v>
      </c>
      <c r="E734" s="63" t="str">
        <f t="shared" si="68"/>
        <v>Andaman9</v>
      </c>
      <c r="F734" s="63">
        <f>ROUND(VLOOKUP(C734,'RAW DATA 2023'!E:BO,23,0),0)</f>
        <v>31</v>
      </c>
      <c r="G734" s="120">
        <f>VLOOKUP(C734,'RAW DATA 2023'!E:BO,26,0)</f>
        <v>0.37459561600000002</v>
      </c>
      <c r="H734" s="101">
        <f>IFERROR(VLOOKUP(F734,STD!B:G,6,0),"")</f>
        <v>0.39</v>
      </c>
      <c r="I734" s="100">
        <f t="shared" si="69"/>
        <v>0.96050157948717951</v>
      </c>
      <c r="J734" s="249">
        <f t="shared" si="71"/>
        <v>9.2100315897435898</v>
      </c>
      <c r="K734" s="63">
        <f>VLOOKUP(C734,'RAW DATA 2023'!E:BO,20,0)</f>
        <v>126</v>
      </c>
      <c r="L734" s="322">
        <f t="shared" si="72"/>
        <v>1160.4639803076923</v>
      </c>
      <c r="Y734" s="63" t="str">
        <f t="shared" si="70"/>
        <v>A1-016-00159</v>
      </c>
    </row>
    <row r="735" spans="1:25">
      <c r="A735" s="63" t="str">
        <f>'RAW DATA 2023'!B728</f>
        <v>Andaman</v>
      </c>
      <c r="B735" s="63" t="str">
        <f>'RAW DATA 2023'!D728</f>
        <v>A1-009-0047</v>
      </c>
      <c r="C735" s="63" t="str">
        <f t="shared" si="67"/>
        <v>AndamanA1-009-0047</v>
      </c>
      <c r="D735" s="63">
        <f>VLOOKUP(C735,'RAW DATA 2023'!E:BP,63,0)</f>
        <v>8</v>
      </c>
      <c r="E735" s="63" t="str">
        <f t="shared" si="68"/>
        <v>Andaman8</v>
      </c>
      <c r="F735" s="63">
        <f>ROUND(VLOOKUP(C735,'RAW DATA 2023'!E:BO,23,0),0)</f>
        <v>31</v>
      </c>
      <c r="G735" s="120">
        <f>VLOOKUP(C735,'RAW DATA 2023'!E:BO,26,0)</f>
        <v>0.357372364</v>
      </c>
      <c r="H735" s="101">
        <f>IFERROR(VLOOKUP(F735,STD!B:G,6,0),"")</f>
        <v>0.39</v>
      </c>
      <c r="I735" s="100">
        <f t="shared" si="69"/>
        <v>0.91633939487179483</v>
      </c>
      <c r="J735" s="249">
        <f t="shared" si="71"/>
        <v>8.3267878974358958</v>
      </c>
      <c r="K735" s="63">
        <f>VLOOKUP(C735,'RAW DATA 2023'!E:BO,20,0)</f>
        <v>125</v>
      </c>
      <c r="L735" s="322">
        <f t="shared" si="72"/>
        <v>1040.8484871794869</v>
      </c>
      <c r="Y735" s="63" t="str">
        <f t="shared" si="70"/>
        <v>A1-009-00478</v>
      </c>
    </row>
    <row r="736" spans="1:25">
      <c r="A736" s="63" t="str">
        <f>'RAW DATA 2023'!B729</f>
        <v>Andaman</v>
      </c>
      <c r="B736" s="63" t="str">
        <f>'RAW DATA 2023'!D729</f>
        <v>A1-014-0019</v>
      </c>
      <c r="C736" s="63" t="str">
        <f t="shared" si="67"/>
        <v>AndamanA1-014-0019</v>
      </c>
      <c r="D736" s="63">
        <f>VLOOKUP(C736,'RAW DATA 2023'!E:BP,63,0)</f>
        <v>9</v>
      </c>
      <c r="E736" s="63" t="str">
        <f t="shared" si="68"/>
        <v>Andaman9</v>
      </c>
      <c r="F736" s="63">
        <f>ROUND(VLOOKUP(C736,'RAW DATA 2023'!E:BO,23,0),0)</f>
        <v>46</v>
      </c>
      <c r="G736" s="120">
        <f>VLOOKUP(C736,'RAW DATA 2023'!E:BO,26,0)</f>
        <v>0.34406150600000002</v>
      </c>
      <c r="H736" s="101">
        <f>IFERROR(VLOOKUP(F736,STD!B:G,6,0),"")</f>
        <v>0.36</v>
      </c>
      <c r="I736" s="100">
        <f t="shared" si="69"/>
        <v>0.95572640555555566</v>
      </c>
      <c r="J736" s="249">
        <f t="shared" si="71"/>
        <v>9.1145281111111132</v>
      </c>
      <c r="K736" s="63">
        <f>VLOOKUP(C736,'RAW DATA 2023'!E:BO,20,0)</f>
        <v>69</v>
      </c>
      <c r="L736" s="322">
        <f t="shared" si="72"/>
        <v>628.90243966666685</v>
      </c>
      <c r="Y736" s="63" t="str">
        <f t="shared" si="70"/>
        <v>A1-014-00199</v>
      </c>
    </row>
    <row r="737" spans="1:25">
      <c r="A737" s="63" t="str">
        <f>'RAW DATA 2023'!B730</f>
        <v>Andaman</v>
      </c>
      <c r="B737" s="63" t="str">
        <f>'RAW DATA 2023'!D730</f>
        <v>A1-012-0022</v>
      </c>
      <c r="C737" s="63" t="str">
        <f t="shared" si="67"/>
        <v>AndamanA1-012-0022</v>
      </c>
      <c r="D737" s="63">
        <f>VLOOKUP(C737,'RAW DATA 2023'!E:BP,63,0)</f>
        <v>3</v>
      </c>
      <c r="E737" s="63" t="str">
        <f t="shared" si="68"/>
        <v>Andaman3</v>
      </c>
      <c r="F737" s="63">
        <f>ROUND(VLOOKUP(C737,'RAW DATA 2023'!E:BO,23,0),0)</f>
        <v>29</v>
      </c>
      <c r="G737" s="120">
        <f>VLOOKUP(C737,'RAW DATA 2023'!E:BO,26,0)</f>
        <v>0.338013699</v>
      </c>
      <c r="H737" s="101">
        <f>IFERROR(VLOOKUP(F737,STD!B:G,6,0),"")</f>
        <v>0.4</v>
      </c>
      <c r="I737" s="100">
        <f t="shared" si="69"/>
        <v>0.8450342475</v>
      </c>
      <c r="J737" s="249">
        <f t="shared" si="71"/>
        <v>6.9006849500000005</v>
      </c>
      <c r="K737" s="63">
        <f>VLOOKUP(C737,'RAW DATA 2023'!E:BO,20,0)</f>
        <v>146</v>
      </c>
      <c r="L737" s="322">
        <f t="shared" si="72"/>
        <v>1007.5000027000001</v>
      </c>
      <c r="Y737" s="63" t="str">
        <f t="shared" si="70"/>
        <v>A1-012-00223</v>
      </c>
    </row>
    <row r="738" spans="1:25">
      <c r="A738" s="63" t="str">
        <f>'RAW DATA 2023'!B731</f>
        <v>Andaman</v>
      </c>
      <c r="B738" s="63" t="str">
        <f>'RAW DATA 2023'!D731</f>
        <v>A1-012-0023</v>
      </c>
      <c r="C738" s="63" t="str">
        <f t="shared" si="67"/>
        <v>AndamanA1-012-0023</v>
      </c>
      <c r="D738" s="63">
        <f>VLOOKUP(C738,'RAW DATA 2023'!E:BP,63,0)</f>
        <v>7</v>
      </c>
      <c r="E738" s="63" t="str">
        <f t="shared" si="68"/>
        <v>Andaman7</v>
      </c>
      <c r="F738" s="63">
        <f>ROUND(VLOOKUP(C738,'RAW DATA 2023'!E:BO,23,0),0)</f>
        <v>38</v>
      </c>
      <c r="G738" s="120">
        <f>VLOOKUP(C738,'RAW DATA 2023'!E:BO,26,0)</f>
        <v>0.33519269800000001</v>
      </c>
      <c r="H738" s="101">
        <f>IFERROR(VLOOKUP(F738,STD!B:G,6,0),"")</f>
        <v>0.37</v>
      </c>
      <c r="I738" s="100">
        <f t="shared" si="69"/>
        <v>0.90592621081081082</v>
      </c>
      <c r="J738" s="249">
        <f t="shared" si="71"/>
        <v>8.1185242162162155</v>
      </c>
      <c r="K738" s="63">
        <f>VLOOKUP(C738,'RAW DATA 2023'!E:BO,20,0)</f>
        <v>87</v>
      </c>
      <c r="L738" s="322">
        <f t="shared" si="72"/>
        <v>706.31160681081076</v>
      </c>
      <c r="Y738" s="63" t="str">
        <f t="shared" si="70"/>
        <v>A1-012-00237</v>
      </c>
    </row>
    <row r="739" spans="1:25">
      <c r="A739" s="63" t="str">
        <f>'RAW DATA 2023'!B732</f>
        <v>Andaman</v>
      </c>
      <c r="B739" s="63" t="str">
        <f>'RAW DATA 2023'!D732</f>
        <v>A1-004-0047</v>
      </c>
      <c r="C739" s="63" t="str">
        <f t="shared" si="67"/>
        <v>AndamanA1-004-0047</v>
      </c>
      <c r="D739" s="63">
        <f>VLOOKUP(C739,'RAW DATA 2023'!E:BP,63,0)</f>
        <v>4</v>
      </c>
      <c r="E739" s="63" t="str">
        <f t="shared" si="68"/>
        <v>Andaman4</v>
      </c>
      <c r="F739" s="63">
        <f>ROUND(VLOOKUP(C739,'RAW DATA 2023'!E:BO,23,0),0)</f>
        <v>35</v>
      </c>
      <c r="G739" s="120">
        <f>VLOOKUP(C739,'RAW DATA 2023'!E:BO,26,0)</f>
        <v>0.324313725</v>
      </c>
      <c r="H739" s="101">
        <f>IFERROR(VLOOKUP(F739,STD!B:G,6,0),"")</f>
        <v>0.37</v>
      </c>
      <c r="I739" s="100">
        <f t="shared" si="69"/>
        <v>0.87652358108108108</v>
      </c>
      <c r="J739" s="249">
        <f t="shared" si="71"/>
        <v>7.5304716216216221</v>
      </c>
      <c r="K739" s="63">
        <f>VLOOKUP(C739,'RAW DATA 2023'!E:BO,20,0)</f>
        <v>153</v>
      </c>
      <c r="L739" s="322">
        <f t="shared" si="72"/>
        <v>1152.1621581081081</v>
      </c>
      <c r="Y739" s="63" t="str">
        <f t="shared" si="70"/>
        <v>A1-004-00474</v>
      </c>
    </row>
    <row r="740" spans="1:25">
      <c r="A740" s="63" t="str">
        <f>'RAW DATA 2023'!B733</f>
        <v>Andaman</v>
      </c>
      <c r="B740" s="63" t="str">
        <f>'RAW DATA 2023'!D733</f>
        <v>A1-008-0045</v>
      </c>
      <c r="C740" s="63" t="str">
        <f t="shared" si="67"/>
        <v>AndamanA1-008-0045</v>
      </c>
      <c r="D740" s="63">
        <f>VLOOKUP(C740,'RAW DATA 2023'!E:BP,63,0)</f>
        <v>3</v>
      </c>
      <c r="E740" s="63" t="str">
        <f t="shared" si="68"/>
        <v>Andaman3</v>
      </c>
      <c r="F740" s="63">
        <f>ROUND(VLOOKUP(C740,'RAW DATA 2023'!E:BO,23,0),0)</f>
        <v>34</v>
      </c>
      <c r="G740" s="120">
        <f>VLOOKUP(C740,'RAW DATA 2023'!E:BO,26,0)</f>
        <v>0.312385827</v>
      </c>
      <c r="H740" s="101">
        <f>IFERROR(VLOOKUP(F740,STD!B:G,6,0),"")</f>
        <v>0.38</v>
      </c>
      <c r="I740" s="100">
        <f t="shared" si="69"/>
        <v>0.82206796578947372</v>
      </c>
      <c r="J740" s="249">
        <f t="shared" si="71"/>
        <v>6.4413593157894748</v>
      </c>
      <c r="K740" s="63">
        <f>VLOOKUP(C740,'RAW DATA 2023'!E:BO,20,0)</f>
        <v>127</v>
      </c>
      <c r="L740" s="322">
        <f t="shared" si="72"/>
        <v>818.05263310526334</v>
      </c>
      <c r="Y740" s="63" t="str">
        <f t="shared" si="70"/>
        <v>A1-008-00453</v>
      </c>
    </row>
    <row r="741" spans="1:25">
      <c r="A741" s="63" t="str">
        <f>'RAW DATA 2023'!B734</f>
        <v>Andaman</v>
      </c>
      <c r="B741" s="63" t="str">
        <f>'RAW DATA 2023'!D734</f>
        <v>A1-016-0014</v>
      </c>
      <c r="C741" s="63" t="str">
        <f t="shared" si="67"/>
        <v>AndamanA1-016-0014</v>
      </c>
      <c r="D741" s="63">
        <f>VLOOKUP(C741,'RAW DATA 2023'!E:BP,63,0)</f>
        <v>4</v>
      </c>
      <c r="E741" s="63" t="str">
        <f t="shared" si="68"/>
        <v>Andaman4</v>
      </c>
      <c r="F741" s="63">
        <f>ROUND(VLOOKUP(C741,'RAW DATA 2023'!E:BO,23,0),0)</f>
        <v>39</v>
      </c>
      <c r="G741" s="120">
        <f>VLOOKUP(C741,'RAW DATA 2023'!E:BO,26,0)</f>
        <v>0.29648929800000001</v>
      </c>
      <c r="H741" s="101">
        <f>IFERROR(VLOOKUP(F741,STD!B:G,6,0),"")</f>
        <v>0.37</v>
      </c>
      <c r="I741" s="100">
        <f t="shared" si="69"/>
        <v>0.80132242702702705</v>
      </c>
      <c r="J741" s="249">
        <f t="shared" si="71"/>
        <v>6.0264485405405406</v>
      </c>
      <c r="K741" s="63">
        <f>VLOOKUP(C741,'RAW DATA 2023'!E:BO,20,0)</f>
        <v>116</v>
      </c>
      <c r="L741" s="322">
        <f t="shared" si="72"/>
        <v>699.06803070270269</v>
      </c>
      <c r="Y741" s="63" t="str">
        <f t="shared" si="70"/>
        <v>A1-016-00144</v>
      </c>
    </row>
    <row r="742" spans="1:25">
      <c r="A742" s="63" t="str">
        <f>'RAW DATA 2023'!B735</f>
        <v>Andaman</v>
      </c>
      <c r="B742" s="63" t="str">
        <f>'RAW DATA 2023'!D735</f>
        <v>A1-008-0046</v>
      </c>
      <c r="C742" s="63" t="str">
        <f t="shared" si="67"/>
        <v>AndamanA1-008-0046</v>
      </c>
      <c r="D742" s="63">
        <f>VLOOKUP(C742,'RAW DATA 2023'!E:BP,63,0)</f>
        <v>8</v>
      </c>
      <c r="E742" s="63" t="str">
        <f t="shared" si="68"/>
        <v>Andaman8</v>
      </c>
      <c r="F742" s="63">
        <f>ROUND(VLOOKUP(C742,'RAW DATA 2023'!E:BO,23,0),0)</f>
        <v>38</v>
      </c>
      <c r="G742" s="120">
        <f>VLOOKUP(C742,'RAW DATA 2023'!E:BO,26,0)</f>
        <v>0.27773109200000001</v>
      </c>
      <c r="H742" s="101">
        <f>IFERROR(VLOOKUP(F742,STD!B:G,6,0),"")</f>
        <v>0.37</v>
      </c>
      <c r="I742" s="100">
        <f t="shared" si="69"/>
        <v>0.75062457297297303</v>
      </c>
      <c r="J742" s="249">
        <f t="shared" si="71"/>
        <v>5.0124914594594605</v>
      </c>
      <c r="K742" s="63">
        <f>VLOOKUP(C742,'RAW DATA 2023'!E:BO,20,0)</f>
        <v>104.99999999999999</v>
      </c>
      <c r="L742" s="322">
        <f t="shared" si="72"/>
        <v>526.31160324324333</v>
      </c>
      <c r="Y742" s="63" t="str">
        <f t="shared" si="70"/>
        <v>A1-008-00468</v>
      </c>
    </row>
    <row r="743" spans="1:25">
      <c r="A743" s="63" t="str">
        <f>'RAW DATA 2023'!B736</f>
        <v>Andaman</v>
      </c>
      <c r="B743" s="63" t="str">
        <f>'RAW DATA 2023'!D736</f>
        <v>A1-004-0048</v>
      </c>
      <c r="C743" s="63" t="str">
        <f t="shared" si="67"/>
        <v>AndamanA1-004-0048</v>
      </c>
      <c r="D743" s="63">
        <f>VLOOKUP(C743,'RAW DATA 2023'!E:BP,63,0)</f>
        <v>8</v>
      </c>
      <c r="E743" s="63" t="str">
        <f t="shared" si="68"/>
        <v>Andaman8</v>
      </c>
      <c r="F743" s="63">
        <f>ROUND(VLOOKUP(C743,'RAW DATA 2023'!E:BO,23,0),0)</f>
        <v>47</v>
      </c>
      <c r="G743" s="120">
        <f>VLOOKUP(C743,'RAW DATA 2023'!E:BO,26,0)</f>
        <v>0.27272065000000001</v>
      </c>
      <c r="H743" s="101">
        <f>IFERROR(VLOOKUP(F743,STD!B:G,6,0),"")</f>
        <v>0.36</v>
      </c>
      <c r="I743" s="100">
        <f t="shared" si="69"/>
        <v>0.75755736111111116</v>
      </c>
      <c r="J743" s="249">
        <f t="shared" si="71"/>
        <v>5.1511472222222228</v>
      </c>
      <c r="K743" s="63">
        <f>VLOOKUP(C743,'RAW DATA 2023'!E:BO,20,0)</f>
        <v>83</v>
      </c>
      <c r="L743" s="322">
        <f t="shared" si="72"/>
        <v>427.54521944444451</v>
      </c>
      <c r="Y743" s="63" t="str">
        <f t="shared" si="70"/>
        <v>A1-004-00488</v>
      </c>
    </row>
    <row r="744" spans="1:25">
      <c r="A744" s="63" t="str">
        <f>'RAW DATA 2023'!B737</f>
        <v>Andaman</v>
      </c>
      <c r="B744" s="63" t="str">
        <f>'RAW DATA 2023'!D737</f>
        <v>A1-013-0019</v>
      </c>
      <c r="C744" s="63" t="str">
        <f t="shared" si="67"/>
        <v>AndamanA1-013-0019</v>
      </c>
      <c r="D744" s="63">
        <f>VLOOKUP(C744,'RAW DATA 2023'!E:BP,63,0)</f>
        <v>8</v>
      </c>
      <c r="E744" s="63" t="str">
        <f t="shared" si="68"/>
        <v>Andaman8</v>
      </c>
      <c r="F744" s="63">
        <f>ROUND(VLOOKUP(C744,'RAW DATA 2023'!E:BO,23,0),0)</f>
        <v>86</v>
      </c>
      <c r="G744" s="120">
        <f>VLOOKUP(C744,'RAW DATA 2023'!E:BO,26,0)</f>
        <v>0.24563424900000003</v>
      </c>
      <c r="H744" s="101">
        <f>IFERROR(VLOOKUP(F744,STD!B:G,6,0),"")</f>
        <v>0.33</v>
      </c>
      <c r="I744" s="100">
        <f t="shared" si="69"/>
        <v>0.74434620909090909</v>
      </c>
      <c r="J744" s="249">
        <f t="shared" si="71"/>
        <v>4.8869241818181823</v>
      </c>
      <c r="K744" s="63">
        <f>VLOOKUP(C744,'RAW DATA 2023'!E:BO,20,0)</f>
        <v>44</v>
      </c>
      <c r="L744" s="322">
        <f t="shared" si="72"/>
        <v>215.02466400000003</v>
      </c>
      <c r="Y744" s="63" t="str">
        <f t="shared" si="70"/>
        <v>A1-013-00198</v>
      </c>
    </row>
    <row r="745" spans="1:25">
      <c r="A745" s="63" t="str">
        <f>'RAW DATA 2023'!B738</f>
        <v>SR4</v>
      </c>
      <c r="B745" s="63" t="str">
        <f>'RAW DATA 2023'!D738</f>
        <v>H1-048-0014</v>
      </c>
      <c r="C745" s="63" t="str">
        <f t="shared" si="67"/>
        <v>SR4H1-048-0014</v>
      </c>
      <c r="D745" s="63">
        <f>VLOOKUP(C745,'RAW DATA 2023'!E:BP,63,0)</f>
        <v>9</v>
      </c>
      <c r="E745" s="63" t="str">
        <f t="shared" si="68"/>
        <v>SR49</v>
      </c>
      <c r="F745" s="63">
        <f>ROUND(VLOOKUP(C745,'RAW DATA 2023'!E:BO,23,0),0)</f>
        <v>25</v>
      </c>
      <c r="G745" s="120">
        <f>VLOOKUP(C745,'RAW DATA 2023'!E:BO,26,0)</f>
        <v>0.39614832500000002</v>
      </c>
      <c r="H745" s="101">
        <f>IFERROR(VLOOKUP(F745,STD!B:G,6,0),"")</f>
        <v>0.36</v>
      </c>
      <c r="I745" s="100">
        <f t="shared" si="69"/>
        <v>1.1004120138888891</v>
      </c>
      <c r="J745" s="249">
        <f t="shared" si="71"/>
        <v>12.008240277777782</v>
      </c>
      <c r="K745" s="63">
        <f>VLOOKUP(C745,'RAW DATA 2023'!E:BO,20,0)</f>
        <v>132</v>
      </c>
      <c r="L745" s="322">
        <f t="shared" si="72"/>
        <v>1585.0877166666671</v>
      </c>
      <c r="Y745" s="63" t="str">
        <f t="shared" si="70"/>
        <v>H1-048-00149</v>
      </c>
    </row>
    <row r="746" spans="1:25">
      <c r="A746" s="63" t="str">
        <f>'RAW DATA 2023'!B739</f>
        <v>SR4</v>
      </c>
      <c r="B746" s="63" t="str">
        <f>'RAW DATA 2023'!D739</f>
        <v>H1-047-0012</v>
      </c>
      <c r="C746" s="63" t="str">
        <f t="shared" si="67"/>
        <v>SR4H1-047-0012</v>
      </c>
      <c r="D746" s="63">
        <f>VLOOKUP(C746,'RAW DATA 2023'!E:BP,63,0)</f>
        <v>10</v>
      </c>
      <c r="E746" s="63" t="str">
        <f t="shared" si="68"/>
        <v>SR410</v>
      </c>
      <c r="F746" s="63">
        <f>ROUND(VLOOKUP(C746,'RAW DATA 2023'!E:BO,23,0),0)</f>
        <v>43</v>
      </c>
      <c r="G746" s="120">
        <f>VLOOKUP(C746,'RAW DATA 2023'!E:BO,26,0)</f>
        <v>0.340384403</v>
      </c>
      <c r="H746" s="101">
        <f>IFERROR(VLOOKUP(F746,STD!B:G,6,0),"")</f>
        <v>0.37</v>
      </c>
      <c r="I746" s="100">
        <f t="shared" si="69"/>
        <v>0.91995784594594598</v>
      </c>
      <c r="J746" s="249">
        <f t="shared" si="71"/>
        <v>8.3991569189189192</v>
      </c>
      <c r="K746" s="63">
        <f>VLOOKUP(C746,'RAW DATA 2023'!E:BO,20,0)</f>
        <v>69</v>
      </c>
      <c r="L746" s="322">
        <f t="shared" si="72"/>
        <v>579.54182740540546</v>
      </c>
      <c r="Y746" s="63" t="str">
        <f t="shared" si="70"/>
        <v>H1-047-001210</v>
      </c>
    </row>
    <row r="747" spans="1:25">
      <c r="A747" s="63" t="str">
        <f>'RAW DATA 2023'!B740</f>
        <v>SR4</v>
      </c>
      <c r="B747" s="63" t="str">
        <f>'RAW DATA 2023'!D740</f>
        <v>G2-058-0007</v>
      </c>
      <c r="C747" s="63" t="str">
        <f t="shared" si="67"/>
        <v>SR4G2-058-0007</v>
      </c>
      <c r="D747" s="63">
        <f>VLOOKUP(C747,'RAW DATA 2023'!E:BP,63,0)</f>
        <v>7</v>
      </c>
      <c r="E747" s="63" t="str">
        <f t="shared" si="68"/>
        <v>SR47</v>
      </c>
      <c r="F747" s="63">
        <f>ROUND(VLOOKUP(C747,'RAW DATA 2023'!E:BO,23,0),0)</f>
        <v>19</v>
      </c>
      <c r="G747" s="120">
        <f>VLOOKUP(C747,'RAW DATA 2023'!E:BO,26,0)</f>
        <v>0.49635635600000005</v>
      </c>
      <c r="H747" s="101">
        <f>IFERROR(VLOOKUP(F747,STD!B:G,6,0),"")</f>
        <v>0.38</v>
      </c>
      <c r="I747" s="100">
        <f t="shared" si="69"/>
        <v>1.3062009368421055</v>
      </c>
      <c r="J747" s="249">
        <f t="shared" si="71"/>
        <v>16.12401873684211</v>
      </c>
      <c r="K747" s="63">
        <f>VLOOKUP(C747,'RAW DATA 2023'!E:BO,20,0)</f>
        <v>111</v>
      </c>
      <c r="L747" s="322">
        <f t="shared" si="72"/>
        <v>1789.7660797894744</v>
      </c>
      <c r="Y747" s="63" t="str">
        <f t="shared" si="70"/>
        <v>G2-058-00077</v>
      </c>
    </row>
    <row r="748" spans="1:25">
      <c r="A748" s="63" t="str">
        <f>'RAW DATA 2023'!B741</f>
        <v>SR4</v>
      </c>
      <c r="B748" s="63" t="str">
        <f>'RAW DATA 2023'!D741</f>
        <v>G2-059-0011</v>
      </c>
      <c r="C748" s="63" t="str">
        <f t="shared" si="67"/>
        <v>SR4G2-059-0011</v>
      </c>
      <c r="D748" s="63">
        <f>VLOOKUP(C748,'RAW DATA 2023'!E:BP,63,0)</f>
        <v>8</v>
      </c>
      <c r="E748" s="63" t="str">
        <f t="shared" si="68"/>
        <v>SR48</v>
      </c>
      <c r="F748" s="63">
        <f>ROUND(VLOOKUP(C748,'RAW DATA 2023'!E:BO,23,0),0)</f>
        <v>24</v>
      </c>
      <c r="G748" s="120">
        <f>VLOOKUP(C748,'RAW DATA 2023'!E:BO,26,0)</f>
        <v>0.44966878399999999</v>
      </c>
      <c r="H748" s="101">
        <f>IFERROR(VLOOKUP(F748,STD!B:G,6,0),"")</f>
        <v>0.36</v>
      </c>
      <c r="I748" s="100">
        <f t="shared" si="69"/>
        <v>1.2490799555555556</v>
      </c>
      <c r="J748" s="249">
        <f t="shared" si="71"/>
        <v>14.981599111111112</v>
      </c>
      <c r="K748" s="63">
        <f>VLOOKUP(C748,'RAW DATA 2023'!E:BO,20,0)</f>
        <v>116</v>
      </c>
      <c r="L748" s="322">
        <f t="shared" si="72"/>
        <v>1737.8654968888891</v>
      </c>
      <c r="Y748" s="63" t="str">
        <f t="shared" si="70"/>
        <v>G2-059-00118</v>
      </c>
    </row>
    <row r="749" spans="1:25">
      <c r="A749" s="63" t="str">
        <f>'RAW DATA 2023'!B742</f>
        <v>SR4</v>
      </c>
      <c r="B749" s="63" t="str">
        <f>'RAW DATA 2023'!D742</f>
        <v>G1-052-0012</v>
      </c>
      <c r="C749" s="63" t="str">
        <f t="shared" si="67"/>
        <v>SR4G1-052-0012</v>
      </c>
      <c r="D749" s="63">
        <f>VLOOKUP(C749,'RAW DATA 2023'!E:BP,63,0)</f>
        <v>11</v>
      </c>
      <c r="E749" s="63" t="str">
        <f t="shared" si="68"/>
        <v>SR411</v>
      </c>
      <c r="F749" s="63">
        <f>ROUND(VLOOKUP(C749,'RAW DATA 2023'!E:BO,23,0),0)</f>
        <v>23</v>
      </c>
      <c r="G749" s="120">
        <f>VLOOKUP(C749,'RAW DATA 2023'!E:BO,26,0)</f>
        <v>0.44908256899999999</v>
      </c>
      <c r="H749" s="101">
        <f>IFERROR(VLOOKUP(F749,STD!B:G,6,0),"")</f>
        <v>0.36</v>
      </c>
      <c r="I749" s="100">
        <f t="shared" si="69"/>
        <v>1.2474515805555555</v>
      </c>
      <c r="J749" s="249">
        <f t="shared" si="71"/>
        <v>14.94903161111111</v>
      </c>
      <c r="K749" s="63">
        <f>VLOOKUP(C749,'RAW DATA 2023'!E:BO,20,0)</f>
        <v>109</v>
      </c>
      <c r="L749" s="322">
        <f t="shared" si="72"/>
        <v>1629.444445611111</v>
      </c>
      <c r="Y749" s="63" t="str">
        <f t="shared" si="70"/>
        <v>G1-052-001211</v>
      </c>
    </row>
    <row r="750" spans="1:25">
      <c r="A750" s="63" t="str">
        <f>'RAW DATA 2023'!B743</f>
        <v>SR4</v>
      </c>
      <c r="B750" s="63" t="str">
        <f>'RAW DATA 2023'!D743</f>
        <v>G1-053-0009</v>
      </c>
      <c r="C750" s="63" t="str">
        <f t="shared" si="67"/>
        <v>SR4G1-053-0009</v>
      </c>
      <c r="D750" s="63">
        <f>VLOOKUP(C750,'RAW DATA 2023'!E:BP,63,0)</f>
        <v>10</v>
      </c>
      <c r="E750" s="63" t="str">
        <f t="shared" si="68"/>
        <v>SR410</v>
      </c>
      <c r="F750" s="63">
        <f>ROUND(VLOOKUP(C750,'RAW DATA 2023'!E:BO,23,0),0)</f>
        <v>22</v>
      </c>
      <c r="G750" s="120">
        <f>VLOOKUP(C750,'RAW DATA 2023'!E:BO,26,0)</f>
        <v>0.44642375200000001</v>
      </c>
      <c r="H750" s="101">
        <f>IFERROR(VLOOKUP(F750,STD!B:G,6,0),"")</f>
        <v>0.37</v>
      </c>
      <c r="I750" s="100">
        <f t="shared" si="69"/>
        <v>1.2065506810810811</v>
      </c>
      <c r="J750" s="249">
        <f t="shared" si="71"/>
        <v>14.131013621621623</v>
      </c>
      <c r="K750" s="63">
        <f>VLOOKUP(C750,'RAW DATA 2023'!E:BO,20,0)</f>
        <v>117</v>
      </c>
      <c r="L750" s="322">
        <f t="shared" si="72"/>
        <v>1653.3285937297298</v>
      </c>
      <c r="Y750" s="63" t="str">
        <f t="shared" si="70"/>
        <v>G1-053-000910</v>
      </c>
    </row>
    <row r="751" spans="1:25">
      <c r="A751" s="63" t="str">
        <f>'RAW DATA 2023'!B744</f>
        <v>SR4</v>
      </c>
      <c r="B751" s="63" t="str">
        <f>'RAW DATA 2023'!D744</f>
        <v>G1-051-0010</v>
      </c>
      <c r="C751" s="63" t="str">
        <f t="shared" si="67"/>
        <v>SR4G1-051-0010</v>
      </c>
      <c r="D751" s="63">
        <f>VLOOKUP(C751,'RAW DATA 2023'!E:BP,63,0)</f>
        <v>10</v>
      </c>
      <c r="E751" s="63" t="str">
        <f t="shared" si="68"/>
        <v>SR410</v>
      </c>
      <c r="F751" s="63">
        <f>ROUND(VLOOKUP(C751,'RAW DATA 2023'!E:BO,23,0),0)</f>
        <v>24</v>
      </c>
      <c r="G751" s="120">
        <f>VLOOKUP(C751,'RAW DATA 2023'!E:BO,26,0)</f>
        <v>0.43052173900000001</v>
      </c>
      <c r="H751" s="101">
        <f>IFERROR(VLOOKUP(F751,STD!B:G,6,0),"")</f>
        <v>0.36</v>
      </c>
      <c r="I751" s="100">
        <f t="shared" si="69"/>
        <v>1.1958937194444446</v>
      </c>
      <c r="J751" s="249">
        <f t="shared" si="71"/>
        <v>13.91787438888889</v>
      </c>
      <c r="K751" s="63">
        <f>VLOOKUP(C751,'RAW DATA 2023'!E:BO,20,0)</f>
        <v>115.00000000000001</v>
      </c>
      <c r="L751" s="322">
        <f t="shared" si="72"/>
        <v>1600.5555547222225</v>
      </c>
      <c r="Y751" s="63" t="str">
        <f t="shared" si="70"/>
        <v>G1-051-001010</v>
      </c>
    </row>
    <row r="752" spans="1:25">
      <c r="A752" s="63" t="str">
        <f>'RAW DATA 2023'!B745</f>
        <v>SR4</v>
      </c>
      <c r="B752" s="63" t="str">
        <f>'RAW DATA 2023'!D745</f>
        <v>G2-058-0008</v>
      </c>
      <c r="C752" s="63" t="str">
        <f t="shared" si="67"/>
        <v>SR4G2-058-0008</v>
      </c>
      <c r="D752" s="63">
        <f>VLOOKUP(C752,'RAW DATA 2023'!E:BP,63,0)</f>
        <v>12</v>
      </c>
      <c r="E752" s="63" t="str">
        <f t="shared" si="68"/>
        <v>SR412</v>
      </c>
      <c r="F752" s="63">
        <f>ROUND(VLOOKUP(C752,'RAW DATA 2023'!E:BO,23,0),0)</f>
        <v>34</v>
      </c>
      <c r="G752" s="120">
        <f>VLOOKUP(C752,'RAW DATA 2023'!E:BO,26,0)</f>
        <v>0.38293209900000003</v>
      </c>
      <c r="H752" s="101">
        <f>IFERROR(VLOOKUP(F752,STD!B:G,6,0),"")</f>
        <v>0.38</v>
      </c>
      <c r="I752" s="100">
        <f t="shared" si="69"/>
        <v>1.00771605</v>
      </c>
      <c r="J752" s="249">
        <f t="shared" si="71"/>
        <v>10.154320999999999</v>
      </c>
      <c r="K752" s="63">
        <f>VLOOKUP(C752,'RAW DATA 2023'!E:BO,20,0)</f>
        <v>108</v>
      </c>
      <c r="L752" s="322">
        <f t="shared" si="72"/>
        <v>1096.6666679999998</v>
      </c>
      <c r="Y752" s="63" t="str">
        <f t="shared" si="70"/>
        <v>G2-058-000812</v>
      </c>
    </row>
    <row r="753" spans="1:25">
      <c r="A753" s="63" t="str">
        <f>'RAW DATA 2023'!B746</f>
        <v>SR4</v>
      </c>
      <c r="B753" s="63" t="str">
        <f>'RAW DATA 2023'!D746</f>
        <v>G1-052-0011</v>
      </c>
      <c r="C753" s="63" t="str">
        <f t="shared" si="67"/>
        <v>SR4G1-052-0011</v>
      </c>
      <c r="D753" s="63">
        <f>VLOOKUP(C753,'RAW DATA 2023'!E:BP,63,0)</f>
        <v>6</v>
      </c>
      <c r="E753" s="63" t="str">
        <f t="shared" si="68"/>
        <v>SR46</v>
      </c>
      <c r="F753" s="63">
        <f>ROUND(VLOOKUP(C753,'RAW DATA 2023'!E:BO,23,0),0)</f>
        <v>28</v>
      </c>
      <c r="G753" s="120">
        <f>VLOOKUP(C753,'RAW DATA 2023'!E:BO,26,0)</f>
        <v>0.37202538299999999</v>
      </c>
      <c r="H753" s="101">
        <f>IFERROR(VLOOKUP(F753,STD!B:G,6,0),"")</f>
        <v>0.41</v>
      </c>
      <c r="I753" s="100">
        <f t="shared" si="69"/>
        <v>0.90737898292682928</v>
      </c>
      <c r="J753" s="249">
        <f t="shared" si="71"/>
        <v>8.1475796585365856</v>
      </c>
      <c r="K753" s="63">
        <f>VLOOKUP(C753,'RAW DATA 2023'!E:BO,20,0)</f>
        <v>141</v>
      </c>
      <c r="L753" s="322">
        <f t="shared" si="72"/>
        <v>1148.8087318536586</v>
      </c>
      <c r="Y753" s="63" t="str">
        <f t="shared" si="70"/>
        <v>G1-052-00116</v>
      </c>
    </row>
    <row r="754" spans="1:25">
      <c r="A754" s="63" t="str">
        <f>'RAW DATA 2023'!B747</f>
        <v>SR4</v>
      </c>
      <c r="B754" s="63" t="str">
        <f>'RAW DATA 2023'!D747</f>
        <v>G2-057-0010</v>
      </c>
      <c r="C754" s="63" t="str">
        <f t="shared" si="67"/>
        <v>SR4G2-057-0010</v>
      </c>
      <c r="D754" s="63">
        <f>VLOOKUP(C754,'RAW DATA 2023'!E:BP,63,0)</f>
        <v>9</v>
      </c>
      <c r="E754" s="63" t="str">
        <f t="shared" si="68"/>
        <v>SR49</v>
      </c>
      <c r="F754" s="63">
        <f>ROUND(VLOOKUP(C754,'RAW DATA 2023'!E:BO,23,0),0)</f>
        <v>26</v>
      </c>
      <c r="G754" s="120">
        <f>VLOOKUP(C754,'RAW DATA 2023'!E:BO,26,0)</f>
        <v>0.36101449299999994</v>
      </c>
      <c r="H754" s="101">
        <f>IFERROR(VLOOKUP(F754,STD!B:G,6,0),"")</f>
        <v>0.37</v>
      </c>
      <c r="I754" s="100">
        <f t="shared" si="69"/>
        <v>0.97571484594594582</v>
      </c>
      <c r="J754" s="249">
        <f t="shared" si="71"/>
        <v>9.5142969189189159</v>
      </c>
      <c r="K754" s="63">
        <f>VLOOKUP(C754,'RAW DATA 2023'!E:BO,20,0)</f>
        <v>138</v>
      </c>
      <c r="L754" s="322">
        <f t="shared" si="72"/>
        <v>1312.9729748108105</v>
      </c>
      <c r="Y754" s="63" t="str">
        <f t="shared" si="70"/>
        <v>G2-057-00109</v>
      </c>
    </row>
    <row r="755" spans="1:25">
      <c r="A755" s="63" t="str">
        <f>'RAW DATA 2023'!B748</f>
        <v>SR4</v>
      </c>
      <c r="B755" s="63" t="str">
        <f>'RAW DATA 2023'!D748</f>
        <v>G1-053-0008</v>
      </c>
      <c r="C755" s="63" t="str">
        <f t="shared" si="67"/>
        <v>SR4G1-053-0008</v>
      </c>
      <c r="D755" s="63">
        <f>VLOOKUP(C755,'RAW DATA 2023'!E:BP,63,0)</f>
        <v>5</v>
      </c>
      <c r="E755" s="63" t="str">
        <f t="shared" si="68"/>
        <v>SR45</v>
      </c>
      <c r="F755" s="63">
        <f>ROUND(VLOOKUP(C755,'RAW DATA 2023'!E:BO,23,0),0)</f>
        <v>34</v>
      </c>
      <c r="G755" s="120">
        <f>VLOOKUP(C755,'RAW DATA 2023'!E:BO,26,0)</f>
        <v>0.35313390299999997</v>
      </c>
      <c r="H755" s="101">
        <f>IFERROR(VLOOKUP(F755,STD!B:G,6,0),"")</f>
        <v>0.38</v>
      </c>
      <c r="I755" s="100">
        <f t="shared" si="69"/>
        <v>0.92929974473684207</v>
      </c>
      <c r="J755" s="249">
        <f t="shared" si="71"/>
        <v>8.5859948947368423</v>
      </c>
      <c r="K755" s="63">
        <f>VLOOKUP(C755,'RAW DATA 2023'!E:BO,20,0)</f>
        <v>117.00000000000001</v>
      </c>
      <c r="L755" s="322">
        <f t="shared" si="72"/>
        <v>1004.5614026842106</v>
      </c>
      <c r="Y755" s="63" t="str">
        <f t="shared" si="70"/>
        <v>G1-053-00085</v>
      </c>
    </row>
    <row r="756" spans="1:25">
      <c r="A756" s="63" t="str">
        <f>'RAW DATA 2023'!B749</f>
        <v>SR4</v>
      </c>
      <c r="B756" s="63" t="str">
        <f>'RAW DATA 2023'!D749</f>
        <v>G1-051-0009</v>
      </c>
      <c r="C756" s="63" t="str">
        <f t="shared" si="67"/>
        <v>SR4G1-051-0009</v>
      </c>
      <c r="D756" s="63">
        <f>VLOOKUP(C756,'RAW DATA 2023'!E:BP,63,0)</f>
        <v>5</v>
      </c>
      <c r="E756" s="63" t="str">
        <f t="shared" si="68"/>
        <v>SR45</v>
      </c>
      <c r="F756" s="63">
        <f>ROUND(VLOOKUP(C756,'RAW DATA 2023'!E:BO,23,0),0)</f>
        <v>28</v>
      </c>
      <c r="G756" s="120">
        <f>VLOOKUP(C756,'RAW DATA 2023'!E:BO,26,0)</f>
        <v>0.34108866799999998</v>
      </c>
      <c r="H756" s="101">
        <f>IFERROR(VLOOKUP(F756,STD!B:G,6,0),"")</f>
        <v>0.41</v>
      </c>
      <c r="I756" s="100">
        <f t="shared" si="69"/>
        <v>0.8319235804878049</v>
      </c>
      <c r="J756" s="249">
        <f t="shared" si="71"/>
        <v>6.6384716097560981</v>
      </c>
      <c r="K756" s="63">
        <f>VLOOKUP(C756,'RAW DATA 2023'!E:BO,20,0)</f>
        <v>127</v>
      </c>
      <c r="L756" s="322">
        <f t="shared" si="72"/>
        <v>843.0858944390244</v>
      </c>
      <c r="Y756" s="63" t="str">
        <f t="shared" si="70"/>
        <v>G1-051-00095</v>
      </c>
    </row>
    <row r="757" spans="1:25">
      <c r="A757" s="63" t="str">
        <f>'RAW DATA 2023'!B750</f>
        <v>SR4</v>
      </c>
      <c r="B757" s="63" t="str">
        <f>'RAW DATA 2023'!D750</f>
        <v>G2-059-0012</v>
      </c>
      <c r="C757" s="63" t="str">
        <f t="shared" si="67"/>
        <v>SR4G2-059-0012</v>
      </c>
      <c r="D757" s="63">
        <f>VLOOKUP(C757,'RAW DATA 2023'!E:BP,63,0)</f>
        <v>12</v>
      </c>
      <c r="E757" s="63" t="str">
        <f t="shared" si="68"/>
        <v>SR412</v>
      </c>
      <c r="F757" s="63">
        <f>ROUND(VLOOKUP(C757,'RAW DATA 2023'!E:BO,23,0),0)</f>
        <v>40</v>
      </c>
      <c r="G757" s="120">
        <f>VLOOKUP(C757,'RAW DATA 2023'!E:BO,26,0)</f>
        <v>0.32515032700000002</v>
      </c>
      <c r="H757" s="101">
        <f>IFERROR(VLOOKUP(F757,STD!B:G,6,0),"")</f>
        <v>0.37</v>
      </c>
      <c r="I757" s="100">
        <f t="shared" si="69"/>
        <v>0.87878466756756768</v>
      </c>
      <c r="J757" s="249">
        <f t="shared" si="71"/>
        <v>7.5756933513513536</v>
      </c>
      <c r="K757" s="63">
        <f>VLOOKUP(C757,'RAW DATA 2023'!E:BO,20,0)</f>
        <v>85</v>
      </c>
      <c r="L757" s="322">
        <f t="shared" si="72"/>
        <v>643.93393486486502</v>
      </c>
      <c r="Y757" s="63" t="str">
        <f t="shared" si="70"/>
        <v>G2-059-001212</v>
      </c>
    </row>
    <row r="758" spans="1:25">
      <c r="A758" s="63" t="str">
        <f>'RAW DATA 2023'!B751</f>
        <v>SR4</v>
      </c>
      <c r="B758" s="63" t="str">
        <f>'RAW DATA 2023'!D751</f>
        <v>G2-059-0010</v>
      </c>
      <c r="C758" s="63" t="str">
        <f t="shared" si="67"/>
        <v>SR4G2-059-0010</v>
      </c>
      <c r="D758" s="63">
        <f>VLOOKUP(C758,'RAW DATA 2023'!E:BP,63,0)</f>
        <v>4</v>
      </c>
      <c r="E758" s="63" t="str">
        <f t="shared" si="68"/>
        <v>SR44</v>
      </c>
      <c r="F758" s="63">
        <f>ROUND(VLOOKUP(C758,'RAW DATA 2023'!E:BO,23,0),0)</f>
        <v>40</v>
      </c>
      <c r="G758" s="120">
        <f>VLOOKUP(C758,'RAW DATA 2023'!E:BO,26,0)</f>
        <v>0.29981529200000001</v>
      </c>
      <c r="H758" s="101">
        <f>IFERROR(VLOOKUP(F758,STD!B:G,6,0),"")</f>
        <v>0.37</v>
      </c>
      <c r="I758" s="100">
        <f t="shared" si="69"/>
        <v>0.81031160000000002</v>
      </c>
      <c r="J758" s="249">
        <f t="shared" si="71"/>
        <v>6.206232</v>
      </c>
      <c r="K758" s="63">
        <f>VLOOKUP(C758,'RAW DATA 2023'!E:BO,20,0)</f>
        <v>115</v>
      </c>
      <c r="L758" s="322">
        <f t="shared" si="72"/>
        <v>713.71668</v>
      </c>
      <c r="Y758" s="63" t="str">
        <f t="shared" si="70"/>
        <v>G2-059-00104</v>
      </c>
    </row>
    <row r="759" spans="1:25">
      <c r="A759" s="63" t="str">
        <f>'RAW DATA 2023'!B752</f>
        <v>SR4</v>
      </c>
      <c r="B759" s="63" t="str">
        <f>'RAW DATA 2023'!D752</f>
        <v>G2-058-0006</v>
      </c>
      <c r="C759" s="63" t="str">
        <f t="shared" si="67"/>
        <v>SR4G2-058-0006</v>
      </c>
      <c r="D759" s="63">
        <f>VLOOKUP(C759,'RAW DATA 2023'!E:BP,63,0)</f>
        <v>2</v>
      </c>
      <c r="E759" s="63" t="str">
        <f t="shared" si="68"/>
        <v>SR42</v>
      </c>
      <c r="F759" s="63">
        <f>ROUND(VLOOKUP(C759,'RAW DATA 2023'!E:BO,23,0),0)</f>
        <v>124</v>
      </c>
      <c r="G759" s="120">
        <f>VLOOKUP(C759,'RAW DATA 2023'!E:BO,26,0)</f>
        <v>0.169663394</v>
      </c>
      <c r="H759" s="101">
        <f>IFERROR(VLOOKUP(F759,STD!B:G,6,0),"")</f>
        <v>0.31</v>
      </c>
      <c r="I759" s="100">
        <f t="shared" si="69"/>
        <v>0.54730127096774195</v>
      </c>
      <c r="J759" s="249">
        <f t="shared" si="71"/>
        <v>0.94602541935483897</v>
      </c>
      <c r="K759" s="63">
        <f>VLOOKUP(C759,'RAW DATA 2023'!E:BO,20,0)</f>
        <v>46</v>
      </c>
      <c r="L759" s="322">
        <f t="shared" si="72"/>
        <v>43.517169290322592</v>
      </c>
      <c r="Y759" s="63" t="str">
        <f t="shared" si="70"/>
        <v>G2-058-00062</v>
      </c>
    </row>
    <row r="760" spans="1:25">
      <c r="A760" s="63" t="str">
        <f>'RAW DATA 2023'!B753</f>
        <v>SR4</v>
      </c>
      <c r="B760" s="63" t="str">
        <f>'RAW DATA 2023'!D753</f>
        <v>G2-057-0008</v>
      </c>
      <c r="C760" s="63" t="str">
        <f t="shared" si="67"/>
        <v>SR4G2-057-0008</v>
      </c>
      <c r="D760" s="63">
        <f>VLOOKUP(C760,'RAW DATA 2023'!E:BP,63,0)</f>
        <v>1</v>
      </c>
      <c r="E760" s="63" t="str">
        <f t="shared" si="68"/>
        <v>SR41</v>
      </c>
      <c r="F760" s="63">
        <f>ROUND(VLOOKUP(C760,'RAW DATA 2023'!E:BO,23,0),0)</f>
        <v>183</v>
      </c>
      <c r="G760" s="120">
        <f>VLOOKUP(C760,'RAW DATA 2023'!E:BO,26,0)</f>
        <v>0.111438385</v>
      </c>
      <c r="H760" s="101">
        <f>IFERROR(VLOOKUP(F760,STD!B:G,6,0),"")</f>
        <v>0.25</v>
      </c>
      <c r="I760" s="100">
        <f t="shared" si="69"/>
        <v>0.44575354</v>
      </c>
      <c r="J760" s="249">
        <f t="shared" si="71"/>
        <v>0</v>
      </c>
      <c r="K760" s="63">
        <f>VLOOKUP(C760,'RAW DATA 2023'!E:BO,20,0)</f>
        <v>49</v>
      </c>
      <c r="L760" s="322">
        <f t="shared" si="72"/>
        <v>0</v>
      </c>
      <c r="Y760" s="63" t="str">
        <f t="shared" si="70"/>
        <v>G2-057-00081</v>
      </c>
    </row>
    <row r="761" spans="1:25">
      <c r="A761" s="63" t="str">
        <f>'RAW DATA 2023'!B754</f>
        <v>SR4</v>
      </c>
      <c r="B761" s="63" t="str">
        <f>'RAW DATA 2023'!D754</f>
        <v>G2-057-0009</v>
      </c>
      <c r="C761" s="63" t="str">
        <f t="shared" si="67"/>
        <v>SR4G2-057-0009</v>
      </c>
      <c r="D761" s="63">
        <f>VLOOKUP(C761,'RAW DATA 2023'!E:BP,63,0)</f>
        <v>3</v>
      </c>
      <c r="E761" s="63" t="str">
        <f t="shared" si="68"/>
        <v>SR43</v>
      </c>
      <c r="F761" s="63">
        <f>ROUND(VLOOKUP(C761,'RAW DATA 2023'!E:BO,23,0),0)</f>
        <v>0</v>
      </c>
      <c r="G761" s="120">
        <f>VLOOKUP(C761,'RAW DATA 2023'!E:BO,26,0)</f>
        <v>0</v>
      </c>
      <c r="H761" s="101" t="str">
        <f>IFERROR(VLOOKUP(F761,STD!B:G,6,0),"")</f>
        <v/>
      </c>
      <c r="I761" s="100">
        <f t="shared" si="69"/>
        <v>0</v>
      </c>
      <c r="J761" s="249">
        <f t="shared" si="71"/>
        <v>0</v>
      </c>
      <c r="K761" s="63">
        <f>VLOOKUP(C761,'RAW DATA 2023'!E:BO,20,0)</f>
        <v>0</v>
      </c>
      <c r="L761" s="322">
        <f t="shared" si="72"/>
        <v>0</v>
      </c>
      <c r="Y761" s="63" t="str">
        <f t="shared" si="70"/>
        <v>G2-057-00093</v>
      </c>
    </row>
    <row r="762" spans="1:25">
      <c r="A762" s="63" t="str">
        <f>'RAW DATA 2023'!B755</f>
        <v>SR4</v>
      </c>
      <c r="B762" s="63" t="str">
        <f>'RAW DATA 2023'!D755</f>
        <v>F1-022-0003</v>
      </c>
      <c r="C762" s="63" t="str">
        <f t="shared" si="67"/>
        <v>SR4F1-022-0003</v>
      </c>
      <c r="D762" s="63">
        <f>VLOOKUP(C762,'RAW DATA 2023'!E:BP,63,0)</f>
        <v>7</v>
      </c>
      <c r="E762" s="63" t="str">
        <f t="shared" si="68"/>
        <v>SR47</v>
      </c>
      <c r="F762" s="63">
        <f>ROUND(VLOOKUP(C762,'RAW DATA 2023'!E:BO,23,0),0)</f>
        <v>38</v>
      </c>
      <c r="G762" s="120">
        <f>VLOOKUP(C762,'RAW DATA 2023'!E:BO,26,0)</f>
        <v>0.318580645</v>
      </c>
      <c r="H762" s="101">
        <f>IFERROR(VLOOKUP(F762,STD!B:G,6,0),"")</f>
        <v>0.37</v>
      </c>
      <c r="I762" s="100">
        <f t="shared" si="69"/>
        <v>0.86102877027027025</v>
      </c>
      <c r="J762" s="249">
        <f t="shared" si="71"/>
        <v>7.2205754054054054</v>
      </c>
      <c r="K762" s="63">
        <f>VLOOKUP(C762,'RAW DATA 2023'!E:BO,20,0)</f>
        <v>100</v>
      </c>
      <c r="L762" s="322">
        <f t="shared" si="72"/>
        <v>722.05754054054057</v>
      </c>
      <c r="Y762" s="63" t="str">
        <f t="shared" si="70"/>
        <v>F1-022-00037</v>
      </c>
    </row>
    <row r="763" spans="1:25">
      <c r="A763" s="63" t="str">
        <f>'RAW DATA 2023'!B756</f>
        <v>SR4</v>
      </c>
      <c r="B763" s="63" t="str">
        <f>'RAW DATA 2023'!D756</f>
        <v>B1-066-0008</v>
      </c>
      <c r="C763" s="63" t="str">
        <f t="shared" si="67"/>
        <v>SR4B1-066-0008</v>
      </c>
      <c r="D763" s="63">
        <f>VLOOKUP(C763,'RAW DATA 2023'!E:BP,63,0)</f>
        <v>7</v>
      </c>
      <c r="E763" s="63" t="str">
        <f t="shared" si="68"/>
        <v>SR47</v>
      </c>
      <c r="F763" s="63">
        <f>ROUND(VLOOKUP(C763,'RAW DATA 2023'!E:BO,23,0),0)</f>
        <v>23</v>
      </c>
      <c r="G763" s="120">
        <f>VLOOKUP(C763,'RAW DATA 2023'!E:BO,26,0)</f>
        <v>0.41638655499999999</v>
      </c>
      <c r="H763" s="101">
        <f>IFERROR(VLOOKUP(F763,STD!B:G,6,0),"")</f>
        <v>0.36</v>
      </c>
      <c r="I763" s="100">
        <f t="shared" si="69"/>
        <v>1.1566293194444444</v>
      </c>
      <c r="J763" s="249">
        <f t="shared" si="71"/>
        <v>13.132586388888887</v>
      </c>
      <c r="K763" s="63">
        <f>VLOOKUP(C763,'RAW DATA 2023'!E:BO,20,0)</f>
        <v>119</v>
      </c>
      <c r="L763" s="322">
        <f t="shared" si="72"/>
        <v>1562.7777802777775</v>
      </c>
      <c r="Y763" s="63" t="str">
        <f t="shared" si="70"/>
        <v>B1-066-00087</v>
      </c>
    </row>
    <row r="764" spans="1:25">
      <c r="A764" s="63" t="str">
        <f>'RAW DATA 2023'!B757</f>
        <v>SR4</v>
      </c>
      <c r="B764" s="63" t="str">
        <f>'RAW DATA 2023'!D757</f>
        <v>B1-063-0009</v>
      </c>
      <c r="C764" s="63" t="str">
        <f t="shared" si="67"/>
        <v>SR4B1-063-0009</v>
      </c>
      <c r="D764" s="63">
        <f>VLOOKUP(C764,'RAW DATA 2023'!E:BP,63,0)</f>
        <v>10</v>
      </c>
      <c r="E764" s="63" t="str">
        <f t="shared" si="68"/>
        <v>SR410</v>
      </c>
      <c r="F764" s="63">
        <f>ROUND(VLOOKUP(C764,'RAW DATA 2023'!E:BO,23,0),0)</f>
        <v>27</v>
      </c>
      <c r="G764" s="120">
        <f>VLOOKUP(C764,'RAW DATA 2023'!E:BO,26,0)</f>
        <v>0.37366842099999992</v>
      </c>
      <c r="H764" s="101">
        <f>IFERROR(VLOOKUP(F764,STD!B:G,6,0),"")</f>
        <v>0.39</v>
      </c>
      <c r="I764" s="100">
        <f t="shared" si="69"/>
        <v>0.95812415641025617</v>
      </c>
      <c r="J764" s="249">
        <f t="shared" si="71"/>
        <v>9.1624831282051229</v>
      </c>
      <c r="K764" s="63">
        <f>VLOOKUP(C764,'RAW DATA 2023'!E:BO,20,0)</f>
        <v>140</v>
      </c>
      <c r="L764" s="322">
        <f t="shared" si="72"/>
        <v>1282.7476379487173</v>
      </c>
      <c r="Y764" s="63" t="str">
        <f t="shared" si="70"/>
        <v>B1-063-000910</v>
      </c>
    </row>
    <row r="765" spans="1:25">
      <c r="A765" s="63" t="str">
        <f>'RAW DATA 2023'!B758</f>
        <v>SR4</v>
      </c>
      <c r="B765" s="63" t="str">
        <f>'RAW DATA 2023'!D758</f>
        <v>B1-068-0003</v>
      </c>
      <c r="C765" s="63" t="str">
        <f t="shared" si="67"/>
        <v>SR4B1-068-0003</v>
      </c>
      <c r="D765" s="63">
        <f>VLOOKUP(C765,'RAW DATA 2023'!E:BP,63,0)</f>
        <v>6</v>
      </c>
      <c r="E765" s="63" t="str">
        <f t="shared" si="68"/>
        <v>SR46</v>
      </c>
      <c r="F765" s="63">
        <f>ROUND(VLOOKUP(C765,'RAW DATA 2023'!E:BO,23,0),0)</f>
        <v>27</v>
      </c>
      <c r="G765" s="120">
        <f>VLOOKUP(C765,'RAW DATA 2023'!E:BO,26,0)</f>
        <v>0.36083636400000002</v>
      </c>
      <c r="H765" s="101">
        <f>IFERROR(VLOOKUP(F765,STD!B:G,6,0),"")</f>
        <v>0.39</v>
      </c>
      <c r="I765" s="100">
        <f t="shared" si="69"/>
        <v>0.92522144615384616</v>
      </c>
      <c r="J765" s="249">
        <f t="shared" si="71"/>
        <v>8.5044289230769223</v>
      </c>
      <c r="K765" s="63">
        <f>VLOOKUP(C765,'RAW DATA 2023'!E:BO,20,0)</f>
        <v>125</v>
      </c>
      <c r="L765" s="322">
        <f t="shared" si="72"/>
        <v>1063.0536153846153</v>
      </c>
      <c r="Y765" s="63" t="str">
        <f t="shared" si="70"/>
        <v>B1-068-00036</v>
      </c>
    </row>
    <row r="766" spans="1:25">
      <c r="A766" s="63" t="str">
        <f>'RAW DATA 2023'!B759</f>
        <v>SR4</v>
      </c>
      <c r="B766" s="63" t="str">
        <f>'RAW DATA 2023'!D759</f>
        <v>B1-065-0002</v>
      </c>
      <c r="C766" s="63" t="str">
        <f t="shared" si="67"/>
        <v>SR4B1-065-0002</v>
      </c>
      <c r="D766" s="63">
        <f>VLOOKUP(C766,'RAW DATA 2023'!E:BP,63,0)</f>
        <v>6</v>
      </c>
      <c r="E766" s="63" t="str">
        <f t="shared" si="68"/>
        <v>SR46</v>
      </c>
      <c r="F766" s="63">
        <f>ROUND(VLOOKUP(C766,'RAW DATA 2023'!E:BO,23,0),0)</f>
        <v>25</v>
      </c>
      <c r="G766" s="120">
        <f>VLOOKUP(C766,'RAW DATA 2023'!E:BO,26,0)</f>
        <v>0.35885642099999998</v>
      </c>
      <c r="H766" s="101">
        <f>IFERROR(VLOOKUP(F766,STD!B:G,6,0),"")</f>
        <v>0.36</v>
      </c>
      <c r="I766" s="100">
        <f t="shared" si="69"/>
        <v>0.99682339166666667</v>
      </c>
      <c r="J766" s="249">
        <f t="shared" si="71"/>
        <v>9.9364678333333334</v>
      </c>
      <c r="K766" s="63">
        <f>VLOOKUP(C766,'RAW DATA 2023'!E:BO,20,0)</f>
        <v>132</v>
      </c>
      <c r="L766" s="322">
        <f t="shared" si="72"/>
        <v>1311.613754</v>
      </c>
      <c r="Y766" s="63" t="str">
        <f t="shared" si="70"/>
        <v>B1-065-00026</v>
      </c>
    </row>
    <row r="767" spans="1:25">
      <c r="A767" s="63" t="str">
        <f>'RAW DATA 2023'!B760</f>
        <v>SR4</v>
      </c>
      <c r="B767" s="63" t="str">
        <f>'RAW DATA 2023'!D760</f>
        <v>B1-064-0008</v>
      </c>
      <c r="C767" s="63" t="str">
        <f t="shared" si="67"/>
        <v>SR4B1-064-0008</v>
      </c>
      <c r="D767" s="63">
        <f>VLOOKUP(C767,'RAW DATA 2023'!E:BP,63,0)</f>
        <v>10</v>
      </c>
      <c r="E767" s="63" t="str">
        <f t="shared" si="68"/>
        <v>SR410</v>
      </c>
      <c r="F767" s="63">
        <f>ROUND(VLOOKUP(C767,'RAW DATA 2023'!E:BO,23,0),0)</f>
        <v>29</v>
      </c>
      <c r="G767" s="120">
        <f>VLOOKUP(C767,'RAW DATA 2023'!E:BO,26,0)</f>
        <v>0.33422818799999998</v>
      </c>
      <c r="H767" s="101">
        <f>IFERROR(VLOOKUP(F767,STD!B:G,6,0),"")</f>
        <v>0.4</v>
      </c>
      <c r="I767" s="100">
        <f t="shared" si="69"/>
        <v>0.83557046999999995</v>
      </c>
      <c r="J767" s="249">
        <f t="shared" si="71"/>
        <v>6.7114093999999991</v>
      </c>
      <c r="K767" s="63">
        <f>VLOOKUP(C767,'RAW DATA 2023'!E:BO,20,0)</f>
        <v>149</v>
      </c>
      <c r="L767" s="322">
        <f t="shared" si="72"/>
        <v>1000.0000005999999</v>
      </c>
      <c r="Y767" s="63" t="str">
        <f t="shared" si="70"/>
        <v>B1-064-000810</v>
      </c>
    </row>
    <row r="768" spans="1:25">
      <c r="A768" s="63" t="str">
        <f>'RAW DATA 2023'!B761</f>
        <v>SR4</v>
      </c>
      <c r="B768" s="63" t="str">
        <f>'RAW DATA 2023'!D761</f>
        <v>B1-067-0010</v>
      </c>
      <c r="C768" s="63" t="str">
        <f t="shared" si="67"/>
        <v>SR4B1-067-0010</v>
      </c>
      <c r="D768" s="63">
        <f>VLOOKUP(C768,'RAW DATA 2023'!E:BP,63,0)</f>
        <v>6</v>
      </c>
      <c r="E768" s="63" t="str">
        <f t="shared" si="68"/>
        <v>SR46</v>
      </c>
      <c r="F768" s="63">
        <f>ROUND(VLOOKUP(C768,'RAW DATA 2023'!E:BO,23,0),0)</f>
        <v>29</v>
      </c>
      <c r="G768" s="120">
        <f>VLOOKUP(C768,'RAW DATA 2023'!E:BO,26,0)</f>
        <v>0.33410774399999998</v>
      </c>
      <c r="H768" s="101">
        <f>IFERROR(VLOOKUP(F768,STD!B:G,6,0),"")</f>
        <v>0.4</v>
      </c>
      <c r="I768" s="100">
        <f t="shared" si="69"/>
        <v>0.83526935999999996</v>
      </c>
      <c r="J768" s="249">
        <f t="shared" si="71"/>
        <v>6.7053871999999988</v>
      </c>
      <c r="K768" s="63">
        <f>VLOOKUP(C768,'RAW DATA 2023'!E:BO,20,0)</f>
        <v>135</v>
      </c>
      <c r="L768" s="322">
        <f t="shared" si="72"/>
        <v>905.22727199999986</v>
      </c>
      <c r="Y768" s="63" t="str">
        <f t="shared" si="70"/>
        <v>B1-067-00106</v>
      </c>
    </row>
    <row r="769" spans="1:25">
      <c r="A769" s="63" t="str">
        <f>'RAW DATA 2023'!B762</f>
        <v>SR4</v>
      </c>
      <c r="B769" s="63" t="str">
        <f>'RAW DATA 2023'!D762</f>
        <v>B1-067-0011</v>
      </c>
      <c r="C769" s="63" t="str">
        <f t="shared" si="67"/>
        <v>SR4B1-067-0011</v>
      </c>
      <c r="D769" s="63">
        <f>VLOOKUP(C769,'RAW DATA 2023'!E:BP,63,0)</f>
        <v>10</v>
      </c>
      <c r="E769" s="63" t="str">
        <f t="shared" si="68"/>
        <v>SR410</v>
      </c>
      <c r="F769" s="63">
        <f>ROUND(VLOOKUP(C769,'RAW DATA 2023'!E:BO,23,0),0)</f>
        <v>48</v>
      </c>
      <c r="G769" s="120">
        <f>VLOOKUP(C769,'RAW DATA 2023'!E:BO,26,0)</f>
        <v>0.30488698400000003</v>
      </c>
      <c r="H769" s="101">
        <f>IFERROR(VLOOKUP(F769,STD!B:G,6,0),"")</f>
        <v>0.36</v>
      </c>
      <c r="I769" s="100">
        <f t="shared" si="69"/>
        <v>0.84690828888888903</v>
      </c>
      <c r="J769" s="249">
        <f t="shared" si="71"/>
        <v>6.9381657777777805</v>
      </c>
      <c r="K769" s="63">
        <f>VLOOKUP(C769,'RAW DATA 2023'!E:BO,20,0)</f>
        <v>75</v>
      </c>
      <c r="L769" s="322">
        <f t="shared" si="72"/>
        <v>520.36243333333357</v>
      </c>
      <c r="Y769" s="63" t="str">
        <f t="shared" si="70"/>
        <v>B1-067-001110</v>
      </c>
    </row>
    <row r="770" spans="1:25">
      <c r="A770" s="63" t="str">
        <f>'RAW DATA 2023'!B763</f>
        <v>SR4</v>
      </c>
      <c r="B770" s="63" t="str">
        <f>'RAW DATA 2023'!D763</f>
        <v>B1-066-0009</v>
      </c>
      <c r="C770" s="63" t="str">
        <f t="shared" si="67"/>
        <v>SR4B1-066-0009</v>
      </c>
      <c r="D770" s="63">
        <f>VLOOKUP(C770,'RAW DATA 2023'!E:BP,63,0)</f>
        <v>10</v>
      </c>
      <c r="E770" s="63" t="str">
        <f t="shared" si="68"/>
        <v>SR410</v>
      </c>
      <c r="F770" s="63">
        <f>ROUND(VLOOKUP(C770,'RAW DATA 2023'!E:BO,23,0),0)</f>
        <v>53</v>
      </c>
      <c r="G770" s="120">
        <f>VLOOKUP(C770,'RAW DATA 2023'!E:BO,26,0)</f>
        <v>0.299393939</v>
      </c>
      <c r="H770" s="101">
        <f>IFERROR(VLOOKUP(F770,STD!B:G,6,0),"")</f>
        <v>0.36</v>
      </c>
      <c r="I770" s="100">
        <f t="shared" si="69"/>
        <v>0.83164983055555552</v>
      </c>
      <c r="J770" s="249">
        <f t="shared" si="71"/>
        <v>6.6329966111111105</v>
      </c>
      <c r="K770" s="63">
        <f>VLOOKUP(C770,'RAW DATA 2023'!E:BO,20,0)</f>
        <v>66</v>
      </c>
      <c r="L770" s="322">
        <f t="shared" si="72"/>
        <v>437.77777633333329</v>
      </c>
      <c r="Y770" s="63" t="str">
        <f t="shared" si="70"/>
        <v>B1-066-000910</v>
      </c>
    </row>
    <row r="771" spans="1:25">
      <c r="A771" s="63" t="str">
        <f>'RAW DATA 2023'!B764</f>
        <v>SR4</v>
      </c>
      <c r="B771" s="63" t="str">
        <f>'RAW DATA 2023'!D764</f>
        <v>A1-085-0008</v>
      </c>
      <c r="C771" s="63" t="str">
        <f t="shared" si="67"/>
        <v>SR4A1-085-0008</v>
      </c>
      <c r="D771" s="63">
        <f>VLOOKUP(C771,'RAW DATA 2023'!E:BP,63,0)</f>
        <v>1</v>
      </c>
      <c r="E771" s="63" t="str">
        <f t="shared" si="68"/>
        <v>SR41</v>
      </c>
      <c r="F771" s="63">
        <f>ROUND(VLOOKUP(C771,'RAW DATA 2023'!E:BO,23,0),0)</f>
        <v>68</v>
      </c>
      <c r="G771" s="120">
        <f>VLOOKUP(C771,'RAW DATA 2023'!E:BO,26,0)</f>
        <v>0.20139564900000001</v>
      </c>
      <c r="H771" s="101">
        <f>IFERROR(VLOOKUP(F771,STD!B:G,6,0),"")</f>
        <v>0.36</v>
      </c>
      <c r="I771" s="100">
        <f t="shared" si="69"/>
        <v>0.55943235833333338</v>
      </c>
      <c r="J771" s="249">
        <f t="shared" si="71"/>
        <v>1.1886471666666676</v>
      </c>
      <c r="K771" s="63">
        <f>VLOOKUP(C771,'RAW DATA 2023'!E:BO,20,0)</f>
        <v>73</v>
      </c>
      <c r="L771" s="322">
        <f t="shared" si="72"/>
        <v>86.771243166666736</v>
      </c>
      <c r="Y771" s="63" t="str">
        <f t="shared" si="70"/>
        <v>A1-085-00081</v>
      </c>
    </row>
    <row r="772" spans="1:25">
      <c r="A772" s="63" t="str">
        <f>'RAW DATA 2023'!B765</f>
        <v>SR4</v>
      </c>
      <c r="B772" s="63" t="str">
        <f>'RAW DATA 2023'!D765</f>
        <v>B1-067-0009</v>
      </c>
      <c r="C772" s="63" t="str">
        <f t="shared" si="67"/>
        <v>SR4B1-067-0009</v>
      </c>
      <c r="D772" s="63">
        <f>VLOOKUP(C772,'RAW DATA 2023'!E:BP,63,0)</f>
        <v>1</v>
      </c>
      <c r="E772" s="63" t="str">
        <f t="shared" si="68"/>
        <v>SR41</v>
      </c>
      <c r="F772" s="63">
        <f>ROUND(VLOOKUP(C772,'RAW DATA 2023'!E:BO,23,0),0)</f>
        <v>114</v>
      </c>
      <c r="G772" s="120">
        <f>VLOOKUP(C772,'RAW DATA 2023'!E:BO,26,0)</f>
        <v>0.168614035</v>
      </c>
      <c r="H772" s="101">
        <f>IFERROR(VLOOKUP(F772,STD!B:G,6,0),"")</f>
        <v>0.32</v>
      </c>
      <c r="I772" s="100">
        <f t="shared" si="69"/>
        <v>0.52691885937499994</v>
      </c>
      <c r="J772" s="249">
        <f t="shared" si="71"/>
        <v>0.53837718749999874</v>
      </c>
      <c r="K772" s="63">
        <f>VLOOKUP(C772,'RAW DATA 2023'!E:BO,20,0)</f>
        <v>52</v>
      </c>
      <c r="L772" s="322">
        <f t="shared" si="72"/>
        <v>27.995613749999933</v>
      </c>
      <c r="Y772" s="63" t="str">
        <f t="shared" si="70"/>
        <v>B1-067-00091</v>
      </c>
    </row>
    <row r="773" spans="1:25">
      <c r="A773" s="63" t="str">
        <f>'RAW DATA 2023'!B766</f>
        <v>SR4</v>
      </c>
      <c r="B773" s="63" t="str">
        <f>'RAW DATA 2023'!D766</f>
        <v>A1-082-0008</v>
      </c>
      <c r="C773" s="63" t="str">
        <f t="shared" si="67"/>
        <v>SR4A1-082-0008</v>
      </c>
      <c r="D773" s="63">
        <f>VLOOKUP(C773,'RAW DATA 2023'!E:BP,63,0)</f>
        <v>1</v>
      </c>
      <c r="E773" s="63" t="str">
        <f t="shared" si="68"/>
        <v>SR41</v>
      </c>
      <c r="F773" s="63">
        <f>ROUND(VLOOKUP(C773,'RAW DATA 2023'!E:BO,23,0),0)</f>
        <v>139</v>
      </c>
      <c r="G773" s="120">
        <f>VLOOKUP(C773,'RAW DATA 2023'!E:BO,26,0)</f>
        <v>0.13566499300000001</v>
      </c>
      <c r="H773" s="101">
        <f>IFERROR(VLOOKUP(F773,STD!B:G,6,0),"")</f>
        <v>0.28999999999999998</v>
      </c>
      <c r="I773" s="100">
        <f t="shared" si="69"/>
        <v>0.46781032068965522</v>
      </c>
      <c r="J773" s="249">
        <f t="shared" si="71"/>
        <v>0</v>
      </c>
      <c r="K773" s="63">
        <f>VLOOKUP(C773,'RAW DATA 2023'!E:BO,20,0)</f>
        <v>53</v>
      </c>
      <c r="L773" s="322">
        <f t="shared" si="72"/>
        <v>0</v>
      </c>
      <c r="Y773" s="63" t="str">
        <f t="shared" si="70"/>
        <v>A1-082-00081</v>
      </c>
    </row>
    <row r="774" spans="1:25">
      <c r="A774" s="63" t="str">
        <f>'RAW DATA 2023'!B767</f>
        <v>Kanchanadit</v>
      </c>
      <c r="B774" s="63" t="str">
        <f>'RAW DATA 2023'!D767</f>
        <v>D1-051-0006</v>
      </c>
      <c r="C774" s="63" t="str">
        <f t="shared" si="67"/>
        <v>KanchanaditD1-051-0006</v>
      </c>
      <c r="D774" s="63">
        <f>VLOOKUP(C774,'RAW DATA 2023'!E:BP,63,0)</f>
        <v>8</v>
      </c>
      <c r="E774" s="63" t="str">
        <f t="shared" si="68"/>
        <v>Kanchanadit8</v>
      </c>
      <c r="F774" s="63">
        <f>ROUND(VLOOKUP(C774,'RAW DATA 2023'!E:BO,23,0),0)</f>
        <v>24</v>
      </c>
      <c r="G774" s="120">
        <f>VLOOKUP(C774,'RAW DATA 2023'!E:BO,26,0)</f>
        <v>0.44504480300000004</v>
      </c>
      <c r="H774" s="101">
        <f>IFERROR(VLOOKUP(F774,STD!B:G,6,0),"")</f>
        <v>0.36</v>
      </c>
      <c r="I774" s="100">
        <f t="shared" si="69"/>
        <v>1.2362355638888891</v>
      </c>
      <c r="J774" s="249">
        <f t="shared" si="71"/>
        <v>14.724711277777782</v>
      </c>
      <c r="K774" s="63">
        <f>VLOOKUP(C774,'RAW DATA 2023'!E:BO,20,0)</f>
        <v>124.00000000000001</v>
      </c>
      <c r="L774" s="322">
        <f t="shared" si="72"/>
        <v>1825.8641984444453</v>
      </c>
      <c r="Y774" s="63" t="str">
        <f t="shared" si="70"/>
        <v>D1-051-00068</v>
      </c>
    </row>
    <row r="775" spans="1:25">
      <c r="A775" s="63" t="str">
        <f>'RAW DATA 2023'!B768</f>
        <v>Kanchanadit</v>
      </c>
      <c r="B775" s="63" t="str">
        <f>'RAW DATA 2023'!D768</f>
        <v>D1-052-0013</v>
      </c>
      <c r="C775" s="63" t="str">
        <f t="shared" si="67"/>
        <v>KanchanaditD1-052-0013</v>
      </c>
      <c r="D775" s="63">
        <f>VLOOKUP(C775,'RAW DATA 2023'!E:BP,63,0)</f>
        <v>8</v>
      </c>
      <c r="E775" s="63" t="str">
        <f t="shared" si="68"/>
        <v>Kanchanadit8</v>
      </c>
      <c r="F775" s="63">
        <f>ROUND(VLOOKUP(C775,'RAW DATA 2023'!E:BO,23,0),0)</f>
        <v>30</v>
      </c>
      <c r="G775" s="120">
        <f>VLOOKUP(C775,'RAW DATA 2023'!E:BO,26,0)</f>
        <v>0.40194108200000001</v>
      </c>
      <c r="H775" s="101">
        <f>IFERROR(VLOOKUP(F775,STD!B:G,6,0),"")</f>
        <v>0.39</v>
      </c>
      <c r="I775" s="100">
        <f t="shared" si="69"/>
        <v>1.030618158974359</v>
      </c>
      <c r="J775" s="249">
        <f t="shared" si="71"/>
        <v>10.612363179487181</v>
      </c>
      <c r="K775" s="63">
        <f>VLOOKUP(C775,'RAW DATA 2023'!E:BO,20,0)</f>
        <v>118</v>
      </c>
      <c r="L775" s="322">
        <f t="shared" si="72"/>
        <v>1252.2588551794875</v>
      </c>
      <c r="Y775" s="63" t="str">
        <f t="shared" si="70"/>
        <v>D1-052-00138</v>
      </c>
    </row>
    <row r="776" spans="1:25">
      <c r="A776" s="63" t="str">
        <f>'RAW DATA 2023'!B769</f>
        <v>Kanchanadit</v>
      </c>
      <c r="B776" s="63" t="str">
        <f>'RAW DATA 2023'!D769</f>
        <v>C1-043-0014</v>
      </c>
      <c r="C776" s="63" t="str">
        <f t="shared" si="67"/>
        <v>KanchanaditC1-043-0014</v>
      </c>
      <c r="D776" s="63">
        <f>VLOOKUP(C776,'RAW DATA 2023'!E:BP,63,0)</f>
        <v>7</v>
      </c>
      <c r="E776" s="63" t="str">
        <f t="shared" si="68"/>
        <v>Kanchanadit7</v>
      </c>
      <c r="F776" s="63">
        <f>ROUND(VLOOKUP(C776,'RAW DATA 2023'!E:BO,23,0),0)</f>
        <v>28</v>
      </c>
      <c r="G776" s="120">
        <f>VLOOKUP(C776,'RAW DATA 2023'!E:BO,26,0)</f>
        <v>0.38112135199999997</v>
      </c>
      <c r="H776" s="101">
        <f>IFERROR(VLOOKUP(F776,STD!B:G,6,0),"")</f>
        <v>0.41</v>
      </c>
      <c r="I776" s="100">
        <f t="shared" si="69"/>
        <v>0.92956427317073165</v>
      </c>
      <c r="J776" s="249">
        <f t="shared" si="71"/>
        <v>8.5912854634146321</v>
      </c>
      <c r="K776" s="63">
        <f>VLOOKUP(C776,'RAW DATA 2023'!E:BO,20,0)</f>
        <v>124</v>
      </c>
      <c r="L776" s="322">
        <f t="shared" si="72"/>
        <v>1065.3193974634144</v>
      </c>
      <c r="Y776" s="63" t="str">
        <f t="shared" si="70"/>
        <v>C1-043-00147</v>
      </c>
    </row>
    <row r="777" spans="1:25">
      <c r="A777" s="63" t="str">
        <f>'RAW DATA 2023'!B770</f>
        <v>Kanchanadit</v>
      </c>
      <c r="B777" s="63" t="str">
        <f>'RAW DATA 2023'!D770</f>
        <v>D1-053-0006</v>
      </c>
      <c r="C777" s="63" t="str">
        <f t="shared" si="67"/>
        <v>KanchanaditD1-053-0006</v>
      </c>
      <c r="D777" s="63">
        <f>VLOOKUP(C777,'RAW DATA 2023'!E:BP,63,0)</f>
        <v>8</v>
      </c>
      <c r="E777" s="63" t="str">
        <f t="shared" si="68"/>
        <v>Kanchanadit8</v>
      </c>
      <c r="F777" s="63">
        <f>ROUND(VLOOKUP(C777,'RAW DATA 2023'!E:BO,23,0),0)</f>
        <v>23</v>
      </c>
      <c r="G777" s="120">
        <f>VLOOKUP(C777,'RAW DATA 2023'!E:BO,26,0)</f>
        <v>0.38088743800000002</v>
      </c>
      <c r="H777" s="101">
        <f>IFERROR(VLOOKUP(F777,STD!B:G,6,0),"")</f>
        <v>0.36</v>
      </c>
      <c r="I777" s="100">
        <f t="shared" si="69"/>
        <v>1.0580206611111111</v>
      </c>
      <c r="J777" s="249">
        <f t="shared" si="71"/>
        <v>11.160413222222223</v>
      </c>
      <c r="K777" s="63">
        <f>VLOOKUP(C777,'RAW DATA 2023'!E:BO,20,0)</f>
        <v>137</v>
      </c>
      <c r="L777" s="322">
        <f t="shared" si="72"/>
        <v>1528.9766114444446</v>
      </c>
      <c r="Y777" s="63" t="str">
        <f t="shared" si="70"/>
        <v>D1-053-00068</v>
      </c>
    </row>
    <row r="778" spans="1:25">
      <c r="A778" s="63" t="str">
        <f>'RAW DATA 2023'!B771</f>
        <v>Kanchanadit</v>
      </c>
      <c r="B778" s="63" t="str">
        <f>'RAW DATA 2023'!D771</f>
        <v>C1-044-0016</v>
      </c>
      <c r="C778" s="63" t="str">
        <f t="shared" ref="C778:C841" si="73">A778&amp;B778</f>
        <v>KanchanaditC1-044-0016</v>
      </c>
      <c r="D778" s="63">
        <f>VLOOKUP(C778,'RAW DATA 2023'!E:BP,63,0)</f>
        <v>12</v>
      </c>
      <c r="E778" s="63" t="str">
        <f t="shared" ref="E778:E841" si="74">A778&amp;D778</f>
        <v>Kanchanadit12</v>
      </c>
      <c r="F778" s="63">
        <f>ROUND(VLOOKUP(C778,'RAW DATA 2023'!E:BO,23,0),0)</f>
        <v>33</v>
      </c>
      <c r="G778" s="120">
        <f>VLOOKUP(C778,'RAW DATA 2023'!E:BO,26,0)</f>
        <v>0.36737037</v>
      </c>
      <c r="H778" s="101">
        <f>IFERROR(VLOOKUP(F778,STD!B:G,6,0),"")</f>
        <v>0.39</v>
      </c>
      <c r="I778" s="100">
        <f t="shared" ref="I778:I841" si="75">IFERROR(G778/H778,0)</f>
        <v>0.94197530769230764</v>
      </c>
      <c r="J778" s="249">
        <f t="shared" si="71"/>
        <v>8.8395061538461519</v>
      </c>
      <c r="K778" s="63">
        <f>VLOOKUP(C778,'RAW DATA 2023'!E:BO,20,0)</f>
        <v>100</v>
      </c>
      <c r="L778" s="322">
        <f t="shared" si="72"/>
        <v>883.95061538461516</v>
      </c>
      <c r="Y778" s="63" t="str">
        <f t="shared" ref="Y778:Y821" si="76">B778&amp;D778</f>
        <v>C1-044-001612</v>
      </c>
    </row>
    <row r="779" spans="1:25">
      <c r="A779" s="63" t="str">
        <f>'RAW DATA 2023'!B772</f>
        <v>Kanchanadit</v>
      </c>
      <c r="B779" s="63" t="str">
        <f>'RAW DATA 2023'!D772</f>
        <v>C1-041-0015</v>
      </c>
      <c r="C779" s="63" t="str">
        <f t="shared" si="73"/>
        <v>KanchanaditC1-041-0015</v>
      </c>
      <c r="D779" s="63">
        <f>VLOOKUP(C779,'RAW DATA 2023'!E:BP,63,0)</f>
        <v>8</v>
      </c>
      <c r="E779" s="63" t="str">
        <f t="shared" si="74"/>
        <v>Kanchanadit8</v>
      </c>
      <c r="F779" s="63">
        <f>ROUND(VLOOKUP(C779,'RAW DATA 2023'!E:BO,23,0),0)</f>
        <v>27</v>
      </c>
      <c r="G779" s="120">
        <f>VLOOKUP(C779,'RAW DATA 2023'!E:BO,26,0)</f>
        <v>0.360424682</v>
      </c>
      <c r="H779" s="101">
        <f>IFERROR(VLOOKUP(F779,STD!B:G,6,0),"")</f>
        <v>0.39</v>
      </c>
      <c r="I779" s="100">
        <f t="shared" si="75"/>
        <v>0.9241658512820512</v>
      </c>
      <c r="J779" s="249">
        <f t="shared" ref="J779:J842" si="77">IF(I779&gt;0.5,((I779-$B$4)*$B$7),0)</f>
        <v>8.4833170256410249</v>
      </c>
      <c r="K779" s="63">
        <f>VLOOKUP(C779,'RAW DATA 2023'!E:BO,20,0)</f>
        <v>145</v>
      </c>
      <c r="L779" s="322">
        <f t="shared" ref="L779:L842" si="78">J779*K779</f>
        <v>1230.0809687179485</v>
      </c>
      <c r="Y779" s="63" t="str">
        <f t="shared" si="76"/>
        <v>C1-041-00158</v>
      </c>
    </row>
    <row r="780" spans="1:25">
      <c r="A780" s="63" t="str">
        <f>'RAW DATA 2023'!B773</f>
        <v>Kanchanadit</v>
      </c>
      <c r="B780" s="63" t="str">
        <f>'RAW DATA 2023'!D773</f>
        <v>C1-047-0008</v>
      </c>
      <c r="C780" s="63" t="str">
        <f t="shared" si="73"/>
        <v>KanchanaditC1-047-0008</v>
      </c>
      <c r="D780" s="63">
        <f>VLOOKUP(C780,'RAW DATA 2023'!E:BP,63,0)</f>
        <v>11</v>
      </c>
      <c r="E780" s="63" t="str">
        <f t="shared" si="74"/>
        <v>Kanchanadit11</v>
      </c>
      <c r="F780" s="63">
        <f>ROUND(VLOOKUP(C780,'RAW DATA 2023'!E:BO,23,0),0)</f>
        <v>29</v>
      </c>
      <c r="G780" s="120">
        <f>VLOOKUP(C780,'RAW DATA 2023'!E:BO,26,0)</f>
        <v>0.35957879399999998</v>
      </c>
      <c r="H780" s="101">
        <f>IFERROR(VLOOKUP(F780,STD!B:G,6,0),"")</f>
        <v>0.4</v>
      </c>
      <c r="I780" s="100">
        <f t="shared" si="75"/>
        <v>0.89894698499999992</v>
      </c>
      <c r="J780" s="249">
        <f t="shared" si="77"/>
        <v>7.978939699999998</v>
      </c>
      <c r="K780" s="63">
        <f>VLOOKUP(C780,'RAW DATA 2023'!E:BO,20,0)</f>
        <v>102</v>
      </c>
      <c r="L780" s="322">
        <f t="shared" si="78"/>
        <v>813.85184939999976</v>
      </c>
      <c r="Y780" s="63" t="str">
        <f t="shared" si="76"/>
        <v>C1-047-000811</v>
      </c>
    </row>
    <row r="781" spans="1:25">
      <c r="A781" s="63" t="str">
        <f>'RAW DATA 2023'!B774</f>
        <v>Kanchanadit</v>
      </c>
      <c r="B781" s="63" t="str">
        <f>'RAW DATA 2023'!D774</f>
        <v>D1-050-0013</v>
      </c>
      <c r="C781" s="63" t="str">
        <f t="shared" si="73"/>
        <v>KanchanaditD1-050-0013</v>
      </c>
      <c r="D781" s="63">
        <f>VLOOKUP(C781,'RAW DATA 2023'!E:BP,63,0)</f>
        <v>8</v>
      </c>
      <c r="E781" s="63" t="str">
        <f t="shared" si="74"/>
        <v>Kanchanadit8</v>
      </c>
      <c r="F781" s="63">
        <f>ROUND(VLOOKUP(C781,'RAW DATA 2023'!E:BO,23,0),0)</f>
        <v>25</v>
      </c>
      <c r="G781" s="120">
        <f>VLOOKUP(C781,'RAW DATA 2023'!E:BO,26,0)</f>
        <v>0.35436448300000001</v>
      </c>
      <c r="H781" s="101">
        <f>IFERROR(VLOOKUP(F781,STD!B:G,6,0),"")</f>
        <v>0.36</v>
      </c>
      <c r="I781" s="100">
        <f t="shared" si="75"/>
        <v>0.98434578611111112</v>
      </c>
      <c r="J781" s="249">
        <f t="shared" si="77"/>
        <v>9.6869157222222224</v>
      </c>
      <c r="K781" s="63">
        <f>VLOOKUP(C781,'RAW DATA 2023'!E:BO,20,0)</f>
        <v>147</v>
      </c>
      <c r="L781" s="322">
        <f t="shared" si="78"/>
        <v>1423.9766111666668</v>
      </c>
      <c r="Y781" s="63" t="str">
        <f t="shared" si="76"/>
        <v>D1-050-00138</v>
      </c>
    </row>
    <row r="782" spans="1:25">
      <c r="A782" s="63" t="str">
        <f>'RAW DATA 2023'!B775</f>
        <v>Kanchanadit</v>
      </c>
      <c r="B782" s="63" t="str">
        <f>'RAW DATA 2023'!D775</f>
        <v>D1-049-0012</v>
      </c>
      <c r="C782" s="63" t="str">
        <f t="shared" si="73"/>
        <v>KanchanaditD1-049-0012</v>
      </c>
      <c r="D782" s="63">
        <f>VLOOKUP(C782,'RAW DATA 2023'!E:BP,63,0)</f>
        <v>12</v>
      </c>
      <c r="E782" s="63" t="str">
        <f t="shared" si="74"/>
        <v>Kanchanadit12</v>
      </c>
      <c r="F782" s="63">
        <f>ROUND(VLOOKUP(C782,'RAW DATA 2023'!E:BO,23,0),0)</f>
        <v>34</v>
      </c>
      <c r="G782" s="120">
        <f>VLOOKUP(C782,'RAW DATA 2023'!E:BO,26,0)</f>
        <v>0.353183048</v>
      </c>
      <c r="H782" s="101">
        <f>IFERROR(VLOOKUP(F782,STD!B:G,6,0),"")</f>
        <v>0.38</v>
      </c>
      <c r="I782" s="100">
        <f t="shared" si="75"/>
        <v>0.92942907368421046</v>
      </c>
      <c r="J782" s="249">
        <f t="shared" si="77"/>
        <v>8.5885814736842097</v>
      </c>
      <c r="K782" s="63">
        <f>VLOOKUP(C782,'RAW DATA 2023'!E:BO,20,0)</f>
        <v>104</v>
      </c>
      <c r="L782" s="322">
        <f t="shared" si="78"/>
        <v>893.21247326315779</v>
      </c>
      <c r="Y782" s="63" t="str">
        <f t="shared" si="76"/>
        <v>D1-049-001212</v>
      </c>
    </row>
    <row r="783" spans="1:25">
      <c r="A783" s="63" t="str">
        <f>'RAW DATA 2023'!B776</f>
        <v>Kanchanadit</v>
      </c>
      <c r="B783" s="63" t="str">
        <f>'RAW DATA 2023'!D776</f>
        <v>C1-042-0005</v>
      </c>
      <c r="C783" s="63" t="str">
        <f t="shared" si="73"/>
        <v>KanchanaditC1-042-0005</v>
      </c>
      <c r="D783" s="63">
        <f>VLOOKUP(C783,'RAW DATA 2023'!E:BP,63,0)</f>
        <v>8</v>
      </c>
      <c r="E783" s="63" t="str">
        <f t="shared" si="74"/>
        <v>Kanchanadit8</v>
      </c>
      <c r="F783" s="63">
        <f>ROUND(VLOOKUP(C783,'RAW DATA 2023'!E:BO,23,0),0)</f>
        <v>30</v>
      </c>
      <c r="G783" s="120">
        <f>VLOOKUP(C783,'RAW DATA 2023'!E:BO,26,0)</f>
        <v>0.349957717</v>
      </c>
      <c r="H783" s="101">
        <f>IFERROR(VLOOKUP(F783,STD!B:G,6,0),"")</f>
        <v>0.39</v>
      </c>
      <c r="I783" s="100">
        <f t="shared" si="75"/>
        <v>0.8973274794871795</v>
      </c>
      <c r="J783" s="249">
        <f t="shared" si="77"/>
        <v>7.94654958974359</v>
      </c>
      <c r="K783" s="63">
        <f>VLOOKUP(C783,'RAW DATA 2023'!E:BO,20,0)</f>
        <v>129</v>
      </c>
      <c r="L783" s="322">
        <f t="shared" si="78"/>
        <v>1025.1048970769232</v>
      </c>
      <c r="Y783" s="63" t="str">
        <f t="shared" si="76"/>
        <v>C1-042-00058</v>
      </c>
    </row>
    <row r="784" spans="1:25">
      <c r="A784" s="63" t="str">
        <f>'RAW DATA 2023'!B777</f>
        <v>Kanchanadit</v>
      </c>
      <c r="B784" s="63" t="str">
        <f>'RAW DATA 2023'!D777</f>
        <v>C1-046-0013</v>
      </c>
      <c r="C784" s="63" t="str">
        <f t="shared" si="73"/>
        <v>KanchanaditC1-046-0013</v>
      </c>
      <c r="D784" s="63">
        <f>VLOOKUP(C784,'RAW DATA 2023'!E:BP,63,0)</f>
        <v>11</v>
      </c>
      <c r="E784" s="63" t="str">
        <f t="shared" si="74"/>
        <v>Kanchanadit11</v>
      </c>
      <c r="F784" s="63">
        <f>ROUND(VLOOKUP(C784,'RAW DATA 2023'!E:BO,23,0),0)</f>
        <v>31</v>
      </c>
      <c r="G784" s="120">
        <f>VLOOKUP(C784,'RAW DATA 2023'!E:BO,26,0)</f>
        <v>0.33532116299999998</v>
      </c>
      <c r="H784" s="101">
        <f>IFERROR(VLOOKUP(F784,STD!B:G,6,0),"")</f>
        <v>0.39</v>
      </c>
      <c r="I784" s="100">
        <f t="shared" si="75"/>
        <v>0.85979785384615381</v>
      </c>
      <c r="J784" s="249">
        <f t="shared" si="77"/>
        <v>7.1959570769230758</v>
      </c>
      <c r="K784" s="63">
        <f>VLOOKUP(C784,'RAW DATA 2023'!E:BO,20,0)</f>
        <v>102.00000000000001</v>
      </c>
      <c r="L784" s="322">
        <f t="shared" si="78"/>
        <v>733.98762184615384</v>
      </c>
      <c r="Y784" s="63" t="str">
        <f t="shared" si="76"/>
        <v>C1-046-001311</v>
      </c>
    </row>
    <row r="785" spans="1:25">
      <c r="A785" s="63" t="str">
        <f>'RAW DATA 2023'!B778</f>
        <v>Kanchanadit</v>
      </c>
      <c r="B785" s="63" t="str">
        <f>'RAW DATA 2023'!D778</f>
        <v>C1-045-0012</v>
      </c>
      <c r="C785" s="63" t="str">
        <f t="shared" si="73"/>
        <v>KanchanaditC1-045-0012</v>
      </c>
      <c r="D785" s="63">
        <f>VLOOKUP(C785,'RAW DATA 2023'!E:BP,63,0)</f>
        <v>12</v>
      </c>
      <c r="E785" s="63" t="str">
        <f t="shared" si="74"/>
        <v>Kanchanadit12</v>
      </c>
      <c r="F785" s="63">
        <f>ROUND(VLOOKUP(C785,'RAW DATA 2023'!E:BO,23,0),0)</f>
        <v>30</v>
      </c>
      <c r="G785" s="120">
        <f>VLOOKUP(C785,'RAW DATA 2023'!E:BO,26,0)</f>
        <v>0.334247978</v>
      </c>
      <c r="H785" s="101">
        <f>IFERROR(VLOOKUP(F785,STD!B:G,6,0),"")</f>
        <v>0.39</v>
      </c>
      <c r="I785" s="100">
        <f t="shared" si="75"/>
        <v>0.85704609743589744</v>
      </c>
      <c r="J785" s="249">
        <f t="shared" si="77"/>
        <v>7.1409219487179492</v>
      </c>
      <c r="K785" s="63">
        <f>VLOOKUP(C785,'RAW DATA 2023'!E:BO,20,0)</f>
        <v>106</v>
      </c>
      <c r="L785" s="322">
        <f t="shared" si="78"/>
        <v>756.9377265641026</v>
      </c>
      <c r="Y785" s="63" t="str">
        <f t="shared" si="76"/>
        <v>C1-045-001212</v>
      </c>
    </row>
    <row r="786" spans="1:25">
      <c r="A786" s="63" t="str">
        <f>'RAW DATA 2023'!B779</f>
        <v>Kanchanadit</v>
      </c>
      <c r="B786" s="63" t="str">
        <f>'RAW DATA 2023'!D779</f>
        <v>C1-045-0011</v>
      </c>
      <c r="C786" s="63" t="str">
        <f t="shared" si="73"/>
        <v>KanchanaditC1-045-0011</v>
      </c>
      <c r="D786" s="63">
        <f>VLOOKUP(C786,'RAW DATA 2023'!E:BP,63,0)</f>
        <v>6</v>
      </c>
      <c r="E786" s="63" t="str">
        <f t="shared" si="74"/>
        <v>Kanchanadit6</v>
      </c>
      <c r="F786" s="63">
        <f>ROUND(VLOOKUP(C786,'RAW DATA 2023'!E:BO,23,0),0)</f>
        <v>26</v>
      </c>
      <c r="G786" s="120">
        <f>VLOOKUP(C786,'RAW DATA 2023'!E:BO,26,0)</f>
        <v>0.33278922599999999</v>
      </c>
      <c r="H786" s="101">
        <f>IFERROR(VLOOKUP(F786,STD!B:G,6,0),"")</f>
        <v>0.37</v>
      </c>
      <c r="I786" s="100">
        <f t="shared" si="75"/>
        <v>0.8994303405405405</v>
      </c>
      <c r="J786" s="249">
        <f t="shared" si="77"/>
        <v>7.9886068108108095</v>
      </c>
      <c r="K786" s="63">
        <f>VLOOKUP(C786,'RAW DATA 2023'!E:BO,20,0)</f>
        <v>135</v>
      </c>
      <c r="L786" s="322">
        <f t="shared" si="78"/>
        <v>1078.4619194594593</v>
      </c>
      <c r="Y786" s="63" t="str">
        <f t="shared" si="76"/>
        <v>C1-045-00116</v>
      </c>
    </row>
    <row r="787" spans="1:25">
      <c r="A787" s="63" t="str">
        <f>'RAW DATA 2023'!B780</f>
        <v>Kanchanadit</v>
      </c>
      <c r="B787" s="63" t="str">
        <f>'RAW DATA 2023'!D780</f>
        <v>D1-048-0013</v>
      </c>
      <c r="C787" s="63" t="str">
        <f t="shared" si="73"/>
        <v>KanchanaditD1-048-0013</v>
      </c>
      <c r="D787" s="63">
        <f>VLOOKUP(C787,'RAW DATA 2023'!E:BP,63,0)</f>
        <v>12</v>
      </c>
      <c r="E787" s="63" t="str">
        <f t="shared" si="74"/>
        <v>Kanchanadit12</v>
      </c>
      <c r="F787" s="63">
        <f>ROUND(VLOOKUP(C787,'RAW DATA 2023'!E:BO,23,0),0)</f>
        <v>34</v>
      </c>
      <c r="G787" s="120">
        <f>VLOOKUP(C787,'RAW DATA 2023'!E:BO,26,0)</f>
        <v>0.33153538100000002</v>
      </c>
      <c r="H787" s="101">
        <f>IFERROR(VLOOKUP(F787,STD!B:G,6,0),"")</f>
        <v>0.38</v>
      </c>
      <c r="I787" s="100">
        <f t="shared" si="75"/>
        <v>0.8724615289473685</v>
      </c>
      <c r="J787" s="249">
        <f t="shared" si="77"/>
        <v>7.4492305789473701</v>
      </c>
      <c r="K787" s="63">
        <f>VLOOKUP(C787,'RAW DATA 2023'!E:BO,20,0)</f>
        <v>107</v>
      </c>
      <c r="L787" s="322">
        <f t="shared" si="78"/>
        <v>797.06767194736858</v>
      </c>
      <c r="Y787" s="63" t="str">
        <f t="shared" si="76"/>
        <v>D1-048-001312</v>
      </c>
    </row>
    <row r="788" spans="1:25">
      <c r="A788" s="63" t="str">
        <f>'RAW DATA 2023'!B781</f>
        <v>Kanchanadit</v>
      </c>
      <c r="B788" s="63" t="str">
        <f>'RAW DATA 2023'!D781</f>
        <v>C1-040-0015</v>
      </c>
      <c r="C788" s="63" t="str">
        <f t="shared" si="73"/>
        <v>KanchanaditC1-040-0015</v>
      </c>
      <c r="D788" s="63">
        <f>VLOOKUP(C788,'RAW DATA 2023'!E:BP,63,0)</f>
        <v>7</v>
      </c>
      <c r="E788" s="63" t="str">
        <f t="shared" si="74"/>
        <v>Kanchanadit7</v>
      </c>
      <c r="F788" s="63">
        <f>ROUND(VLOOKUP(C788,'RAW DATA 2023'!E:BO,23,0),0)</f>
        <v>27</v>
      </c>
      <c r="G788" s="120">
        <f>VLOOKUP(C788,'RAW DATA 2023'!E:BO,26,0)</f>
        <v>0.32453947399999999</v>
      </c>
      <c r="H788" s="101">
        <f>IFERROR(VLOOKUP(F788,STD!B:G,6,0),"")</f>
        <v>0.39</v>
      </c>
      <c r="I788" s="100">
        <f t="shared" si="75"/>
        <v>0.83215249743589736</v>
      </c>
      <c r="J788" s="249">
        <f t="shared" si="77"/>
        <v>6.6430499487179473</v>
      </c>
      <c r="K788" s="63">
        <f>VLOOKUP(C788,'RAW DATA 2023'!E:BO,20,0)</f>
        <v>152</v>
      </c>
      <c r="L788" s="322">
        <f t="shared" si="78"/>
        <v>1009.743592205128</v>
      </c>
      <c r="Y788" s="63" t="str">
        <f t="shared" si="76"/>
        <v>C1-040-00157</v>
      </c>
    </row>
    <row r="789" spans="1:25">
      <c r="A789" s="63" t="str">
        <f>'RAW DATA 2023'!B782</f>
        <v>Kanchanadit</v>
      </c>
      <c r="B789" s="63" t="str">
        <f>'RAW DATA 2023'!D782</f>
        <v>C1-047-0006</v>
      </c>
      <c r="C789" s="63" t="str">
        <f t="shared" si="73"/>
        <v>KanchanaditC1-047-0006</v>
      </c>
      <c r="D789" s="63">
        <f>VLOOKUP(C789,'RAW DATA 2023'!E:BP,63,0)</f>
        <v>6</v>
      </c>
      <c r="E789" s="63" t="str">
        <f t="shared" si="74"/>
        <v>Kanchanadit6</v>
      </c>
      <c r="F789" s="63">
        <f>ROUND(VLOOKUP(C789,'RAW DATA 2023'!E:BO,23,0),0)</f>
        <v>26</v>
      </c>
      <c r="G789" s="120">
        <f>VLOOKUP(C789,'RAW DATA 2023'!E:BO,26,0)</f>
        <v>0.31154858899999999</v>
      </c>
      <c r="H789" s="101">
        <f>IFERROR(VLOOKUP(F789,STD!B:G,6,0),"")</f>
        <v>0.37</v>
      </c>
      <c r="I789" s="100">
        <f t="shared" si="75"/>
        <v>0.8420232135135135</v>
      </c>
      <c r="J789" s="249">
        <f t="shared" si="77"/>
        <v>6.84046427027027</v>
      </c>
      <c r="K789" s="63">
        <f>VLOOKUP(C789,'RAW DATA 2023'!E:BO,20,0)</f>
        <v>145</v>
      </c>
      <c r="L789" s="322">
        <f t="shared" si="78"/>
        <v>991.86731918918917</v>
      </c>
      <c r="Y789" s="63" t="str">
        <f t="shared" si="76"/>
        <v>C1-047-00066</v>
      </c>
    </row>
    <row r="790" spans="1:25">
      <c r="A790" s="63" t="str">
        <f>'RAW DATA 2023'!B783</f>
        <v>Kanchanadit</v>
      </c>
      <c r="B790" s="63" t="str">
        <f>'RAW DATA 2023'!D783</f>
        <v>C1-044-0014</v>
      </c>
      <c r="C790" s="63" t="str">
        <f t="shared" si="73"/>
        <v>KanchanaditC1-044-0014</v>
      </c>
      <c r="D790" s="63">
        <f>VLOOKUP(C790,'RAW DATA 2023'!E:BP,63,0)</f>
        <v>6</v>
      </c>
      <c r="E790" s="63" t="str">
        <f t="shared" si="74"/>
        <v>Kanchanadit6</v>
      </c>
      <c r="F790" s="63">
        <f>ROUND(VLOOKUP(C790,'RAW DATA 2023'!E:BO,23,0),0)</f>
        <v>27</v>
      </c>
      <c r="G790" s="120">
        <f>VLOOKUP(C790,'RAW DATA 2023'!E:BO,26,0)</f>
        <v>0.29068075100000001</v>
      </c>
      <c r="H790" s="101">
        <f>IFERROR(VLOOKUP(F790,STD!B:G,6,0),"")</f>
        <v>0.39</v>
      </c>
      <c r="I790" s="100">
        <f t="shared" si="75"/>
        <v>0.74533525897435904</v>
      </c>
      <c r="J790" s="249">
        <f t="shared" si="77"/>
        <v>4.9067051794871812</v>
      </c>
      <c r="K790" s="63">
        <f>VLOOKUP(C790,'RAW DATA 2023'!E:BO,20,0)</f>
        <v>142</v>
      </c>
      <c r="L790" s="322">
        <f t="shared" si="78"/>
        <v>696.75213548717977</v>
      </c>
      <c r="Y790" s="63" t="str">
        <f t="shared" si="76"/>
        <v>C1-044-00146</v>
      </c>
    </row>
    <row r="791" spans="1:25">
      <c r="A791" s="63" t="str">
        <f>'RAW DATA 2023'!B784</f>
        <v>Kanchanadit</v>
      </c>
      <c r="B791" s="63" t="str">
        <f>'RAW DATA 2023'!D784</f>
        <v>C1-046-0012</v>
      </c>
      <c r="C791" s="63" t="str">
        <f t="shared" si="73"/>
        <v>KanchanaditC1-046-0012</v>
      </c>
      <c r="D791" s="63">
        <f>VLOOKUP(C791,'RAW DATA 2023'!E:BP,63,0)</f>
        <v>4</v>
      </c>
      <c r="E791" s="63" t="str">
        <f t="shared" si="74"/>
        <v>Kanchanadit4</v>
      </c>
      <c r="F791" s="63">
        <f>ROUND(VLOOKUP(C791,'RAW DATA 2023'!E:BO,23,0),0)</f>
        <v>25</v>
      </c>
      <c r="G791" s="120">
        <f>VLOOKUP(C791,'RAW DATA 2023'!E:BO,26,0)</f>
        <v>0.26629251700000001</v>
      </c>
      <c r="H791" s="101">
        <f>IFERROR(VLOOKUP(F791,STD!B:G,6,0),"")</f>
        <v>0.36</v>
      </c>
      <c r="I791" s="100">
        <f t="shared" si="75"/>
        <v>0.73970143611111117</v>
      </c>
      <c r="J791" s="249">
        <f t="shared" si="77"/>
        <v>4.7940287222222233</v>
      </c>
      <c r="K791" s="63">
        <f>VLOOKUP(C791,'RAW DATA 2023'!E:BO,20,0)</f>
        <v>147</v>
      </c>
      <c r="L791" s="322">
        <f t="shared" si="78"/>
        <v>704.72222216666682</v>
      </c>
      <c r="Y791" s="63" t="str">
        <f t="shared" si="76"/>
        <v>C1-046-00124</v>
      </c>
    </row>
    <row r="792" spans="1:25">
      <c r="A792" s="63" t="str">
        <f>'RAW DATA 2023'!B785</f>
        <v>Kanchanadit</v>
      </c>
      <c r="B792" s="63" t="str">
        <f>'RAW DATA 2023'!D785</f>
        <v>C1-043-0013</v>
      </c>
      <c r="C792" s="63" t="str">
        <f t="shared" si="73"/>
        <v>KanchanaditC1-043-0013</v>
      </c>
      <c r="D792" s="63">
        <f>VLOOKUP(C792,'RAW DATA 2023'!E:BP,63,0)</f>
        <v>1</v>
      </c>
      <c r="E792" s="63" t="str">
        <f t="shared" si="74"/>
        <v>Kanchanadit1</v>
      </c>
      <c r="F792" s="63">
        <f>ROUND(VLOOKUP(C792,'RAW DATA 2023'!E:BO,23,0),0)</f>
        <v>81</v>
      </c>
      <c r="G792" s="120">
        <f>VLOOKUP(C792,'RAW DATA 2023'!E:BO,26,0)</f>
        <v>0.205787569</v>
      </c>
      <c r="H792" s="101">
        <f>IFERROR(VLOOKUP(F792,STD!B:G,6,0),"")</f>
        <v>0.34</v>
      </c>
      <c r="I792" s="100">
        <f t="shared" si="75"/>
        <v>0.60525755588235286</v>
      </c>
      <c r="J792" s="249">
        <f t="shared" si="77"/>
        <v>2.1051511176470572</v>
      </c>
      <c r="K792" s="63">
        <f>VLOOKUP(C792,'RAW DATA 2023'!E:BO,20,0)</f>
        <v>58.000000000000007</v>
      </c>
      <c r="L792" s="322">
        <f t="shared" si="78"/>
        <v>122.09876482352934</v>
      </c>
      <c r="Y792" s="63" t="str">
        <f t="shared" si="76"/>
        <v>C1-043-00131</v>
      </c>
    </row>
    <row r="793" spans="1:25">
      <c r="A793" s="63" t="str">
        <f>'RAW DATA 2023'!B786</f>
        <v>Kanchanadit</v>
      </c>
      <c r="B793" s="63" t="str">
        <f>'RAW DATA 2023'!D786</f>
        <v>C1-040-0016</v>
      </c>
      <c r="C793" s="63" t="str">
        <f t="shared" si="73"/>
        <v>KanchanaditC1-040-0016</v>
      </c>
      <c r="D793" s="63">
        <f>VLOOKUP(C793,'RAW DATA 2023'!E:BP,63,0)</f>
        <v>12</v>
      </c>
      <c r="E793" s="63" t="str">
        <f t="shared" si="74"/>
        <v>Kanchanadit12</v>
      </c>
      <c r="F793" s="63">
        <f>ROUND(VLOOKUP(C793,'RAW DATA 2023'!E:BO,23,0),0)</f>
        <v>125</v>
      </c>
      <c r="G793" s="120">
        <f>VLOOKUP(C793,'RAW DATA 2023'!E:BO,26,0)</f>
        <v>0.18975</v>
      </c>
      <c r="H793" s="101">
        <f>IFERROR(VLOOKUP(F793,STD!B:G,6,0),"")</f>
        <v>0.31</v>
      </c>
      <c r="I793" s="100">
        <f t="shared" si="75"/>
        <v>0.61209677419354835</v>
      </c>
      <c r="J793" s="249">
        <f t="shared" si="77"/>
        <v>2.2419354838709671</v>
      </c>
      <c r="K793" s="63">
        <f>VLOOKUP(C793,'RAW DATA 2023'!E:BO,20,0)</f>
        <v>40</v>
      </c>
      <c r="L793" s="322">
        <f t="shared" si="78"/>
        <v>89.67741935483869</v>
      </c>
      <c r="Y793" s="63" t="str">
        <f t="shared" si="76"/>
        <v>C1-040-001612</v>
      </c>
    </row>
    <row r="794" spans="1:25">
      <c r="A794" s="63" t="str">
        <f>'RAW DATA 2023'!B787</f>
        <v>Kanchanadit</v>
      </c>
      <c r="B794" s="63" t="str">
        <f>'RAW DATA 2023'!D787</f>
        <v>D1-049-0011</v>
      </c>
      <c r="C794" s="63" t="str">
        <f t="shared" si="73"/>
        <v>KanchanaditD1-049-0011</v>
      </c>
      <c r="D794" s="63">
        <f>VLOOKUP(C794,'RAW DATA 2023'!E:BP,63,0)</f>
        <v>7</v>
      </c>
      <c r="E794" s="63" t="str">
        <f t="shared" si="74"/>
        <v>Kanchanadit7</v>
      </c>
      <c r="F794" s="63">
        <f>ROUND(VLOOKUP(C794,'RAW DATA 2023'!E:BO,23,0),0)</f>
        <v>28</v>
      </c>
      <c r="G794" s="120">
        <f>VLOOKUP(C794,'RAW DATA 2023'!E:BO,26,0)</f>
        <v>0.35480486900000002</v>
      </c>
      <c r="H794" s="101">
        <f>IFERROR(VLOOKUP(F794,STD!B:G,6,0),"")</f>
        <v>0.41</v>
      </c>
      <c r="I794" s="100">
        <f t="shared" si="75"/>
        <v>0.86537772926829282</v>
      </c>
      <c r="J794" s="249">
        <f t="shared" si="77"/>
        <v>7.3075545853658568</v>
      </c>
      <c r="K794" s="63">
        <f>VLOOKUP(C794,'RAW DATA 2023'!E:BO,20,0)</f>
        <v>133</v>
      </c>
      <c r="L794" s="322">
        <f t="shared" si="78"/>
        <v>971.9047598536589</v>
      </c>
      <c r="Y794" s="63" t="str">
        <f t="shared" si="76"/>
        <v>D1-049-00117</v>
      </c>
    </row>
    <row r="795" spans="1:25">
      <c r="A795" s="63" t="str">
        <f>'RAW DATA 2023'!B788</f>
        <v>Kanchanadit</v>
      </c>
      <c r="B795" s="63" t="str">
        <f>'RAW DATA 2023'!D788</f>
        <v>D1-048-0012</v>
      </c>
      <c r="C795" s="63" t="str">
        <f t="shared" si="73"/>
        <v>KanchanaditD1-048-0012</v>
      </c>
      <c r="D795" s="63">
        <f>VLOOKUP(C795,'RAW DATA 2023'!E:BP,63,0)</f>
        <v>7</v>
      </c>
      <c r="E795" s="63" t="str">
        <f t="shared" si="74"/>
        <v>Kanchanadit7</v>
      </c>
      <c r="F795" s="63">
        <f>ROUND(VLOOKUP(C795,'RAW DATA 2023'!E:BO,23,0),0)</f>
        <v>30</v>
      </c>
      <c r="G795" s="120">
        <f>VLOOKUP(C795,'RAW DATA 2023'!E:BO,26,0)</f>
        <v>0.35213468399999998</v>
      </c>
      <c r="H795" s="101">
        <f>IFERROR(VLOOKUP(F795,STD!B:G,6,0),"")</f>
        <v>0.39</v>
      </c>
      <c r="I795" s="100">
        <f t="shared" si="75"/>
        <v>0.90290944615384605</v>
      </c>
      <c r="J795" s="249">
        <f t="shared" si="77"/>
        <v>8.058188923076921</v>
      </c>
      <c r="K795" s="63">
        <f>VLOOKUP(C795,'RAW DATA 2023'!E:BO,20,0)</f>
        <v>134</v>
      </c>
      <c r="L795" s="322">
        <f t="shared" si="78"/>
        <v>1079.7973156923074</v>
      </c>
      <c r="Y795" s="63" t="str">
        <f t="shared" si="76"/>
        <v>D1-048-00127</v>
      </c>
    </row>
    <row r="796" spans="1:25">
      <c r="A796" s="63" t="str">
        <f>'RAW DATA 2023'!B789</f>
        <v>Kanchanadit</v>
      </c>
      <c r="B796" s="63" t="str">
        <f>'RAW DATA 2023'!D789</f>
        <v>D1-050-0012</v>
      </c>
      <c r="C796" s="63" t="str">
        <f t="shared" si="73"/>
        <v>KanchanaditD1-050-0012</v>
      </c>
      <c r="D796" s="63">
        <f>VLOOKUP(C796,'RAW DATA 2023'!E:BP,63,0)</f>
        <v>1</v>
      </c>
      <c r="E796" s="63" t="str">
        <f t="shared" si="74"/>
        <v>Kanchanadit1</v>
      </c>
      <c r="F796" s="63">
        <f>ROUND(VLOOKUP(C796,'RAW DATA 2023'!E:BO,23,0),0)</f>
        <v>35</v>
      </c>
      <c r="G796" s="120">
        <f>VLOOKUP(C796,'RAW DATA 2023'!E:BO,26,0)</f>
        <v>0.30732087200000002</v>
      </c>
      <c r="H796" s="101">
        <f>IFERROR(VLOOKUP(F796,STD!B:G,6,0),"")</f>
        <v>0.37</v>
      </c>
      <c r="I796" s="100">
        <f t="shared" si="75"/>
        <v>0.83059695135135148</v>
      </c>
      <c r="J796" s="249">
        <f t="shared" si="77"/>
        <v>6.6119390270270291</v>
      </c>
      <c r="K796" s="63">
        <f>VLOOKUP(C796,'RAW DATA 2023'!E:BO,20,0)</f>
        <v>107.00000000000001</v>
      </c>
      <c r="L796" s="322">
        <f t="shared" si="78"/>
        <v>707.47747589189225</v>
      </c>
      <c r="Y796" s="63" t="str">
        <f t="shared" si="76"/>
        <v>D1-050-00121</v>
      </c>
    </row>
    <row r="797" spans="1:25">
      <c r="A797" s="63" t="str">
        <f>'RAW DATA 2023'!B790</f>
        <v>Kanchanadit</v>
      </c>
      <c r="B797" s="63" t="str">
        <f>'RAW DATA 2023'!D790</f>
        <v>D1-053-0005</v>
      </c>
      <c r="C797" s="63" t="str">
        <f t="shared" si="73"/>
        <v>KanchanaditD1-053-0005</v>
      </c>
      <c r="D797" s="63">
        <f>VLOOKUP(C797,'RAW DATA 2023'!E:BP,63,0)</f>
        <v>1</v>
      </c>
      <c r="E797" s="63" t="str">
        <f t="shared" si="74"/>
        <v>Kanchanadit1</v>
      </c>
      <c r="F797" s="63">
        <f>ROUND(VLOOKUP(C797,'RAW DATA 2023'!E:BO,23,0),0)</f>
        <v>46</v>
      </c>
      <c r="G797" s="120">
        <f>VLOOKUP(C797,'RAW DATA 2023'!E:BO,26,0)</f>
        <v>0.26998899300000001</v>
      </c>
      <c r="H797" s="101">
        <f>IFERROR(VLOOKUP(F797,STD!B:G,6,0),"")</f>
        <v>0.36</v>
      </c>
      <c r="I797" s="100">
        <f t="shared" si="75"/>
        <v>0.74996942500000008</v>
      </c>
      <c r="J797" s="249">
        <f t="shared" si="77"/>
        <v>4.999388500000002</v>
      </c>
      <c r="K797" s="63">
        <f>VLOOKUP(C797,'RAW DATA 2023'!E:BO,20,0)</f>
        <v>79</v>
      </c>
      <c r="L797" s="322">
        <f t="shared" si="78"/>
        <v>394.95169150000015</v>
      </c>
      <c r="Y797" s="63" t="str">
        <f t="shared" si="76"/>
        <v>D1-053-00051</v>
      </c>
    </row>
    <row r="798" spans="1:25">
      <c r="A798" s="63" t="str">
        <f>'RAW DATA 2023'!B791</f>
        <v>Kanchanadit</v>
      </c>
      <c r="B798" s="63" t="str">
        <f>'RAW DATA 2023'!D791</f>
        <v>D1-048-0011</v>
      </c>
      <c r="C798" s="63" t="str">
        <f t="shared" si="73"/>
        <v>KanchanaditD1-048-0011</v>
      </c>
      <c r="D798" s="63">
        <f>VLOOKUP(C798,'RAW DATA 2023'!E:BP,63,0)</f>
        <v>1</v>
      </c>
      <c r="E798" s="63" t="str">
        <f t="shared" si="74"/>
        <v>Kanchanadit1</v>
      </c>
      <c r="F798" s="63">
        <f>ROUND(VLOOKUP(C798,'RAW DATA 2023'!E:BO,23,0),0)</f>
        <v>58</v>
      </c>
      <c r="G798" s="120">
        <f>VLOOKUP(C798,'RAW DATA 2023'!E:BO,26,0)</f>
        <v>0.237202525</v>
      </c>
      <c r="H798" s="101">
        <f>IFERROR(VLOOKUP(F798,STD!B:G,6,0),"")</f>
        <v>0.36</v>
      </c>
      <c r="I798" s="100">
        <f t="shared" si="75"/>
        <v>0.65889590277777776</v>
      </c>
      <c r="J798" s="249">
        <f t="shared" si="77"/>
        <v>3.1779180555555553</v>
      </c>
      <c r="K798" s="63">
        <f>VLOOKUP(C798,'RAW DATA 2023'!E:BO,20,0)</f>
        <v>71</v>
      </c>
      <c r="L798" s="322">
        <f t="shared" si="78"/>
        <v>225.63218194444443</v>
      </c>
      <c r="Y798" s="63" t="str">
        <f t="shared" si="76"/>
        <v>D1-048-00111</v>
      </c>
    </row>
    <row r="799" spans="1:25">
      <c r="A799" s="63" t="str">
        <f>'RAW DATA 2023'!B792</f>
        <v>Kanchanadit</v>
      </c>
      <c r="B799" s="63" t="str">
        <f>'RAW DATA 2023'!D792</f>
        <v>D1-052-0011</v>
      </c>
      <c r="C799" s="63" t="str">
        <f t="shared" si="73"/>
        <v>KanchanaditD1-052-0011</v>
      </c>
      <c r="D799" s="63">
        <f>VLOOKUP(C799,'RAW DATA 2023'!E:BP,63,0)</f>
        <v>1</v>
      </c>
      <c r="E799" s="63" t="str">
        <f t="shared" si="74"/>
        <v>Kanchanadit1</v>
      </c>
      <c r="F799" s="63">
        <f>ROUND(VLOOKUP(C799,'RAW DATA 2023'!E:BO,23,0),0)</f>
        <v>59</v>
      </c>
      <c r="G799" s="120">
        <f>VLOOKUP(C799,'RAW DATA 2023'!E:BO,26,0)</f>
        <v>0.22065536699999999</v>
      </c>
      <c r="H799" s="101">
        <f>IFERROR(VLOOKUP(F799,STD!B:G,6,0),"")</f>
        <v>0.36</v>
      </c>
      <c r="I799" s="100">
        <f t="shared" si="75"/>
        <v>0.61293157499999995</v>
      </c>
      <c r="J799" s="249">
        <f t="shared" si="77"/>
        <v>2.258631499999999</v>
      </c>
      <c r="K799" s="63">
        <f>VLOOKUP(C799,'RAW DATA 2023'!E:BO,20,0)</f>
        <v>75</v>
      </c>
      <c r="L799" s="322">
        <f t="shared" si="78"/>
        <v>169.39736249999993</v>
      </c>
      <c r="Y799" s="63" t="str">
        <f t="shared" si="76"/>
        <v>D1-052-00111</v>
      </c>
    </row>
    <row r="800" spans="1:25">
      <c r="A800" s="63" t="str">
        <f>'RAW DATA 2023'!B793</f>
        <v>Kanchanadit</v>
      </c>
      <c r="B800" s="63" t="str">
        <f>'RAW DATA 2023'!D793</f>
        <v>D1-051-0005</v>
      </c>
      <c r="C800" s="63" t="str">
        <f t="shared" si="73"/>
        <v>KanchanaditD1-051-0005</v>
      </c>
      <c r="D800" s="63">
        <f>VLOOKUP(C800,'RAW DATA 2023'!E:BP,63,0)</f>
        <v>1</v>
      </c>
      <c r="E800" s="63" t="str">
        <f t="shared" si="74"/>
        <v>Kanchanadit1</v>
      </c>
      <c r="F800" s="63">
        <f>ROUND(VLOOKUP(C800,'RAW DATA 2023'!E:BO,23,0),0)</f>
        <v>102</v>
      </c>
      <c r="G800" s="120">
        <f>VLOOKUP(C800,'RAW DATA 2023'!E:BO,26,0)</f>
        <v>0.18148002899999999</v>
      </c>
      <c r="H800" s="101">
        <f>IFERROR(VLOOKUP(F800,STD!B:G,6,0),"")</f>
        <v>0.32</v>
      </c>
      <c r="I800" s="100">
        <f t="shared" si="75"/>
        <v>0.56712509062499994</v>
      </c>
      <c r="J800" s="249">
        <f t="shared" si="77"/>
        <v>1.3425018124999988</v>
      </c>
      <c r="K800" s="63">
        <f>VLOOKUP(C800,'RAW DATA 2023'!E:BO,20,0)</f>
        <v>54</v>
      </c>
      <c r="L800" s="322">
        <f t="shared" si="78"/>
        <v>72.495097874999928</v>
      </c>
      <c r="Y800" s="63" t="str">
        <f t="shared" si="76"/>
        <v>D1-051-00051</v>
      </c>
    </row>
    <row r="801" spans="1:25">
      <c r="A801" s="63" t="str">
        <f>'RAW DATA 2023'!B794</f>
        <v>Kanchanadit</v>
      </c>
      <c r="B801" s="63" t="str">
        <f>'RAW DATA 2023'!D794</f>
        <v>D1-052-0012</v>
      </c>
      <c r="C801" s="63" t="str">
        <f t="shared" si="73"/>
        <v>KanchanaditD1-052-0012</v>
      </c>
      <c r="D801" s="63">
        <f>VLOOKUP(C801,'RAW DATA 2023'!E:BP,63,0)</f>
        <v>3</v>
      </c>
      <c r="E801" s="63" t="str">
        <f t="shared" si="74"/>
        <v>Kanchanadit3</v>
      </c>
      <c r="F801" s="63">
        <f>ROUND(VLOOKUP(C801,'RAW DATA 2023'!E:BO,23,0),0)</f>
        <v>0</v>
      </c>
      <c r="G801" s="120">
        <f>VLOOKUP(C801,'RAW DATA 2023'!E:BO,26,0)</f>
        <v>0</v>
      </c>
      <c r="H801" s="101" t="str">
        <f>IFERROR(VLOOKUP(F801,STD!B:G,6,0),"")</f>
        <v/>
      </c>
      <c r="I801" s="100">
        <f t="shared" si="75"/>
        <v>0</v>
      </c>
      <c r="J801" s="249">
        <f t="shared" si="77"/>
        <v>0</v>
      </c>
      <c r="K801" s="63">
        <f>VLOOKUP(C801,'RAW DATA 2023'!E:BO,20,0)</f>
        <v>0</v>
      </c>
      <c r="L801" s="322">
        <f t="shared" si="78"/>
        <v>0</v>
      </c>
      <c r="Y801" s="63" t="str">
        <f t="shared" si="76"/>
        <v>D1-052-00123</v>
      </c>
    </row>
    <row r="802" spans="1:25">
      <c r="A802" s="63" t="str">
        <f>'RAW DATA 2023'!B795</f>
        <v>Pakpanang1</v>
      </c>
      <c r="B802" s="63" t="str">
        <f>'RAW DATA 2023'!D795</f>
        <v>C1-139-0010</v>
      </c>
      <c r="C802" s="63" t="str">
        <f t="shared" si="73"/>
        <v>Pakpanang1C1-139-0010</v>
      </c>
      <c r="D802" s="63">
        <f>VLOOKUP(C802,'RAW DATA 2023'!E:BP,63,0)</f>
        <v>11</v>
      </c>
      <c r="E802" s="63" t="str">
        <f t="shared" si="74"/>
        <v>Pakpanang111</v>
      </c>
      <c r="F802" s="63">
        <f>ROUND(VLOOKUP(C802,'RAW DATA 2023'!E:BO,23,0),0)</f>
        <v>22</v>
      </c>
      <c r="G802" s="120">
        <f>VLOOKUP(C802,'RAW DATA 2023'!E:BO,26,0)</f>
        <v>0.50132352899999999</v>
      </c>
      <c r="H802" s="101">
        <f>IFERROR(VLOOKUP(F802,STD!B:G,6,0),"")</f>
        <v>0.37</v>
      </c>
      <c r="I802" s="100">
        <f t="shared" si="75"/>
        <v>1.3549284567567568</v>
      </c>
      <c r="J802" s="249">
        <f t="shared" si="77"/>
        <v>17.098569135135136</v>
      </c>
      <c r="K802" s="63">
        <f>VLOOKUP(C802,'RAW DATA 2023'!E:BO,20,0)</f>
        <v>116</v>
      </c>
      <c r="L802" s="322">
        <f t="shared" si="78"/>
        <v>1983.4340196756757</v>
      </c>
      <c r="Y802" s="63" t="str">
        <f t="shared" si="76"/>
        <v>C1-139-001011</v>
      </c>
    </row>
    <row r="803" spans="1:25">
      <c r="A803" s="63" t="str">
        <f>'RAW DATA 2023'!B796</f>
        <v>Pakpanang1</v>
      </c>
      <c r="B803" s="63" t="str">
        <f>'RAW DATA 2023'!D796</f>
        <v>C1-138-0011</v>
      </c>
      <c r="C803" s="63" t="str">
        <f t="shared" si="73"/>
        <v>Pakpanang1C1-138-0011</v>
      </c>
      <c r="D803" s="63">
        <f>VLOOKUP(C803,'RAW DATA 2023'!E:BP,63,0)</f>
        <v>11</v>
      </c>
      <c r="E803" s="63" t="str">
        <f t="shared" si="74"/>
        <v>Pakpanang111</v>
      </c>
      <c r="F803" s="63">
        <f>ROUND(VLOOKUP(C803,'RAW DATA 2023'!E:BO,23,0),0)</f>
        <v>33</v>
      </c>
      <c r="G803" s="120">
        <f>VLOOKUP(C803,'RAW DATA 2023'!E:BO,26,0)</f>
        <v>0.46789320400000001</v>
      </c>
      <c r="H803" s="101">
        <f>IFERROR(VLOOKUP(F803,STD!B:G,6,0),"")</f>
        <v>0.39</v>
      </c>
      <c r="I803" s="100">
        <f t="shared" si="75"/>
        <v>1.1997261641025641</v>
      </c>
      <c r="J803" s="249">
        <f t="shared" si="77"/>
        <v>13.994523282051281</v>
      </c>
      <c r="K803" s="63">
        <f>VLOOKUP(C803,'RAW DATA 2023'!E:BO,20,0)</f>
        <v>103</v>
      </c>
      <c r="L803" s="322">
        <f t="shared" si="78"/>
        <v>1441.435898051282</v>
      </c>
      <c r="Y803" s="63" t="str">
        <f t="shared" si="76"/>
        <v>C1-138-001111</v>
      </c>
    </row>
    <row r="804" spans="1:25">
      <c r="A804" s="63" t="str">
        <f>'RAW DATA 2023'!B797</f>
        <v>Pakpanang1</v>
      </c>
      <c r="B804" s="63" t="str">
        <f>'RAW DATA 2023'!D797</f>
        <v>D1-174-0009</v>
      </c>
      <c r="C804" s="63" t="str">
        <f t="shared" si="73"/>
        <v>Pakpanang1D1-174-0009</v>
      </c>
      <c r="D804" s="63">
        <f>VLOOKUP(C804,'RAW DATA 2023'!E:BP,63,0)</f>
        <v>11</v>
      </c>
      <c r="E804" s="63" t="str">
        <f t="shared" si="74"/>
        <v>Pakpanang111</v>
      </c>
      <c r="F804" s="63">
        <f>ROUND(VLOOKUP(C804,'RAW DATA 2023'!E:BO,23,0),0)</f>
        <v>26</v>
      </c>
      <c r="G804" s="120">
        <f>VLOOKUP(C804,'RAW DATA 2023'!E:BO,26,0)</f>
        <v>0.45041495699999995</v>
      </c>
      <c r="H804" s="101">
        <f>IFERROR(VLOOKUP(F804,STD!B:G,6,0),"")</f>
        <v>0.37</v>
      </c>
      <c r="I804" s="100">
        <f t="shared" si="75"/>
        <v>1.2173377216216215</v>
      </c>
      <c r="J804" s="249">
        <f t="shared" si="77"/>
        <v>14.34675443243243</v>
      </c>
      <c r="K804" s="63">
        <f>VLOOKUP(C804,'RAW DATA 2023'!E:BO,20,0)</f>
        <v>129</v>
      </c>
      <c r="L804" s="322">
        <f t="shared" si="78"/>
        <v>1850.7313217837834</v>
      </c>
      <c r="Y804" s="63" t="str">
        <f t="shared" si="76"/>
        <v>D1-174-000911</v>
      </c>
    </row>
    <row r="805" spans="1:25">
      <c r="A805" s="63" t="str">
        <f>'RAW DATA 2023'!B798</f>
        <v>Pakpanang1</v>
      </c>
      <c r="B805" s="63" t="str">
        <f>'RAW DATA 2023'!D798</f>
        <v>C1-140-0010</v>
      </c>
      <c r="C805" s="63" t="str">
        <f t="shared" si="73"/>
        <v>Pakpanang1C1-140-0010</v>
      </c>
      <c r="D805" s="63">
        <f>VLOOKUP(C805,'RAW DATA 2023'!E:BP,63,0)</f>
        <v>11</v>
      </c>
      <c r="E805" s="63" t="str">
        <f t="shared" si="74"/>
        <v>Pakpanang111</v>
      </c>
      <c r="F805" s="63">
        <f>ROUND(VLOOKUP(C805,'RAW DATA 2023'!E:BO,23,0),0)</f>
        <v>34</v>
      </c>
      <c r="G805" s="120">
        <f>VLOOKUP(C805,'RAW DATA 2023'!E:BO,26,0)</f>
        <v>0.42645161300000001</v>
      </c>
      <c r="H805" s="101">
        <f>IFERROR(VLOOKUP(F805,STD!B:G,6,0),"")</f>
        <v>0.38</v>
      </c>
      <c r="I805" s="100">
        <f t="shared" si="75"/>
        <v>1.1222410868421053</v>
      </c>
      <c r="J805" s="249">
        <f t="shared" si="77"/>
        <v>12.444821736842107</v>
      </c>
      <c r="K805" s="63">
        <f>VLOOKUP(C805,'RAW DATA 2023'!E:BO,20,0)</f>
        <v>93</v>
      </c>
      <c r="L805" s="322">
        <f t="shared" si="78"/>
        <v>1157.3684215263158</v>
      </c>
      <c r="Y805" s="63" t="str">
        <f t="shared" si="76"/>
        <v>C1-140-001011</v>
      </c>
    </row>
    <row r="806" spans="1:25">
      <c r="A806" s="63" t="str">
        <f>'RAW DATA 2023'!B799</f>
        <v>Pakpanang1</v>
      </c>
      <c r="B806" s="63" t="str">
        <f>'RAW DATA 2023'!D799</f>
        <v>D1-173-0009</v>
      </c>
      <c r="C806" s="63" t="str">
        <f t="shared" si="73"/>
        <v>Pakpanang1D1-173-0009</v>
      </c>
      <c r="D806" s="63">
        <f>VLOOKUP(C806,'RAW DATA 2023'!E:BP,63,0)</f>
        <v>10</v>
      </c>
      <c r="E806" s="63" t="str">
        <f t="shared" si="74"/>
        <v>Pakpanang110</v>
      </c>
      <c r="F806" s="63">
        <f>ROUND(VLOOKUP(C806,'RAW DATA 2023'!E:BO,23,0),0)</f>
        <v>29</v>
      </c>
      <c r="G806" s="120">
        <f>VLOOKUP(C806,'RAW DATA 2023'!E:BO,26,0)</f>
        <v>0.42430107500000003</v>
      </c>
      <c r="H806" s="101">
        <f>IFERROR(VLOOKUP(F806,STD!B:G,6,0),"")</f>
        <v>0.4</v>
      </c>
      <c r="I806" s="100">
        <f t="shared" si="75"/>
        <v>1.0607526875</v>
      </c>
      <c r="J806" s="249">
        <f t="shared" si="77"/>
        <v>11.215053749999999</v>
      </c>
      <c r="K806" s="63">
        <f>VLOOKUP(C806,'RAW DATA 2023'!E:BO,20,0)</f>
        <v>93</v>
      </c>
      <c r="L806" s="322">
        <f t="shared" si="78"/>
        <v>1042.99999875</v>
      </c>
      <c r="Y806" s="63" t="str">
        <f t="shared" si="76"/>
        <v>D1-173-000910</v>
      </c>
    </row>
    <row r="807" spans="1:25">
      <c r="A807" s="63" t="str">
        <f>'RAW DATA 2023'!B800</f>
        <v>Pakpanang1</v>
      </c>
      <c r="B807" s="63" t="str">
        <f>'RAW DATA 2023'!D800</f>
        <v>A1-183-0011</v>
      </c>
      <c r="C807" s="63" t="str">
        <f t="shared" si="73"/>
        <v>Pakpanang1A1-183-0011</v>
      </c>
      <c r="D807" s="63">
        <f>VLOOKUP(C807,'RAW DATA 2023'!E:BP,63,0)</f>
        <v>11</v>
      </c>
      <c r="E807" s="63" t="str">
        <f t="shared" si="74"/>
        <v>Pakpanang111</v>
      </c>
      <c r="F807" s="63">
        <f>ROUND(VLOOKUP(C807,'RAW DATA 2023'!E:BO,23,0),0)</f>
        <v>28</v>
      </c>
      <c r="G807" s="120">
        <f>VLOOKUP(C807,'RAW DATA 2023'!E:BO,26,0)</f>
        <v>0.39334920600000001</v>
      </c>
      <c r="H807" s="101">
        <f>IFERROR(VLOOKUP(F807,STD!B:G,6,0),"")</f>
        <v>0.41</v>
      </c>
      <c r="I807" s="100">
        <f t="shared" si="75"/>
        <v>0.95938830731707325</v>
      </c>
      <c r="J807" s="249">
        <f t="shared" si="77"/>
        <v>9.187766146341465</v>
      </c>
      <c r="K807" s="63">
        <f>VLOOKUP(C807,'RAW DATA 2023'!E:BO,20,0)</f>
        <v>126</v>
      </c>
      <c r="L807" s="322">
        <f t="shared" si="78"/>
        <v>1157.6585344390246</v>
      </c>
      <c r="Y807" s="63" t="str">
        <f t="shared" si="76"/>
        <v>A1-183-001111</v>
      </c>
    </row>
    <row r="808" spans="1:25">
      <c r="A808" s="63" t="str">
        <f>'RAW DATA 2023'!B801</f>
        <v>Pakpanang1</v>
      </c>
      <c r="B808" s="63" t="str">
        <f>'RAW DATA 2023'!D801</f>
        <v>C1-137-0010</v>
      </c>
      <c r="C808" s="63" t="str">
        <f t="shared" si="73"/>
        <v>Pakpanang1C1-137-0010</v>
      </c>
      <c r="D808" s="63">
        <f>VLOOKUP(C808,'RAW DATA 2023'!E:BP,63,0)</f>
        <v>5</v>
      </c>
      <c r="E808" s="63" t="str">
        <f t="shared" si="74"/>
        <v>Pakpanang15</v>
      </c>
      <c r="F808" s="63">
        <f>ROUND(VLOOKUP(C808,'RAW DATA 2023'!E:BO,23,0),0)</f>
        <v>28</v>
      </c>
      <c r="G808" s="120">
        <f>VLOOKUP(C808,'RAW DATA 2023'!E:BO,26,0)</f>
        <v>0.33823485399999997</v>
      </c>
      <c r="H808" s="101">
        <f>IFERROR(VLOOKUP(F808,STD!B:G,6,0),"")</f>
        <v>0.41</v>
      </c>
      <c r="I808" s="100">
        <f t="shared" si="75"/>
        <v>0.82496305853658536</v>
      </c>
      <c r="J808" s="249">
        <f t="shared" si="77"/>
        <v>6.4992611707317067</v>
      </c>
      <c r="K808" s="63">
        <f>VLOOKUP(C808,'RAW DATA 2023'!E:BO,20,0)</f>
        <v>112.99999999999999</v>
      </c>
      <c r="L808" s="322">
        <f t="shared" si="78"/>
        <v>734.4165122926828</v>
      </c>
      <c r="Y808" s="63" t="str">
        <f t="shared" si="76"/>
        <v>C1-137-00105</v>
      </c>
    </row>
    <row r="809" spans="1:25">
      <c r="A809" s="63" t="str">
        <f>'RAW DATA 2023'!B802</f>
        <v>Pakpanang1</v>
      </c>
      <c r="B809" s="63" t="str">
        <f>'RAW DATA 2023'!D802</f>
        <v>C1-136-0009</v>
      </c>
      <c r="C809" s="63" t="str">
        <f t="shared" si="73"/>
        <v>Pakpanang1C1-136-0009</v>
      </c>
      <c r="D809" s="63">
        <f>VLOOKUP(C809,'RAW DATA 2023'!E:BP,63,0)</f>
        <v>5</v>
      </c>
      <c r="E809" s="63" t="str">
        <f t="shared" si="74"/>
        <v>Pakpanang15</v>
      </c>
      <c r="F809" s="63">
        <f>ROUND(VLOOKUP(C809,'RAW DATA 2023'!E:BO,23,0),0)</f>
        <v>29</v>
      </c>
      <c r="G809" s="120">
        <f>VLOOKUP(C809,'RAW DATA 2023'!E:BO,26,0)</f>
        <v>0.33235250799999999</v>
      </c>
      <c r="H809" s="101">
        <f>IFERROR(VLOOKUP(F809,STD!B:G,6,0),"")</f>
        <v>0.4</v>
      </c>
      <c r="I809" s="100">
        <f t="shared" si="75"/>
        <v>0.83088126999999989</v>
      </c>
      <c r="J809" s="249">
        <f t="shared" si="77"/>
        <v>6.6176253999999979</v>
      </c>
      <c r="K809" s="63">
        <f>VLOOKUP(C809,'RAW DATA 2023'!E:BO,20,0)</f>
        <v>115</v>
      </c>
      <c r="L809" s="322">
        <f t="shared" si="78"/>
        <v>761.02692099999979</v>
      </c>
      <c r="Y809" s="63" t="str">
        <f t="shared" si="76"/>
        <v>C1-136-00095</v>
      </c>
    </row>
    <row r="810" spans="1:25">
      <c r="A810" s="63" t="str">
        <f>'RAW DATA 2023'!B803</f>
        <v>Pakpanang1</v>
      </c>
      <c r="B810" s="63" t="str">
        <f>'RAW DATA 2023'!D803</f>
        <v>D1-171-0009</v>
      </c>
      <c r="C810" s="63" t="str">
        <f t="shared" si="73"/>
        <v>Pakpanang1D1-171-0009</v>
      </c>
      <c r="D810" s="63">
        <f>VLOOKUP(C810,'RAW DATA 2023'!E:BP,63,0)</f>
        <v>5</v>
      </c>
      <c r="E810" s="63" t="str">
        <f t="shared" si="74"/>
        <v>Pakpanang15</v>
      </c>
      <c r="F810" s="63">
        <f>ROUND(VLOOKUP(C810,'RAW DATA 2023'!E:BO,23,0),0)</f>
        <v>30</v>
      </c>
      <c r="G810" s="120">
        <f>VLOOKUP(C810,'RAW DATA 2023'!E:BO,26,0)</f>
        <v>0.32274593899999998</v>
      </c>
      <c r="H810" s="101">
        <f>IFERROR(VLOOKUP(F810,STD!B:G,6,0),"")</f>
        <v>0.39</v>
      </c>
      <c r="I810" s="100">
        <f t="shared" si="75"/>
        <v>0.82755368974358967</v>
      </c>
      <c r="J810" s="249">
        <f t="shared" si="77"/>
        <v>6.5510737948717939</v>
      </c>
      <c r="K810" s="63">
        <f>VLOOKUP(C810,'RAW DATA 2023'!E:BO,20,0)</f>
        <v>114</v>
      </c>
      <c r="L810" s="322">
        <f t="shared" si="78"/>
        <v>746.82241261538445</v>
      </c>
      <c r="Y810" s="63" t="str">
        <f t="shared" si="76"/>
        <v>D1-171-00095</v>
      </c>
    </row>
    <row r="811" spans="1:25">
      <c r="A811" s="63" t="str">
        <f>'RAW DATA 2023'!B804</f>
        <v>Pakpanang1</v>
      </c>
      <c r="B811" s="63" t="str">
        <f>'RAW DATA 2023'!D804</f>
        <v>A1-184-0010</v>
      </c>
      <c r="C811" s="63" t="str">
        <f t="shared" si="73"/>
        <v>Pakpanang1A1-184-0010</v>
      </c>
      <c r="D811" s="63">
        <f>VLOOKUP(C811,'RAW DATA 2023'!E:BP,63,0)</f>
        <v>5</v>
      </c>
      <c r="E811" s="63" t="str">
        <f t="shared" si="74"/>
        <v>Pakpanang15</v>
      </c>
      <c r="F811" s="63">
        <f>ROUND(VLOOKUP(C811,'RAW DATA 2023'!E:BO,23,0),0)</f>
        <v>34</v>
      </c>
      <c r="G811" s="120">
        <f>VLOOKUP(C811,'RAW DATA 2023'!E:BO,26,0)</f>
        <v>0.31006</v>
      </c>
      <c r="H811" s="101">
        <f>IFERROR(VLOOKUP(F811,STD!B:G,6,0),"")</f>
        <v>0.38</v>
      </c>
      <c r="I811" s="100">
        <f t="shared" si="75"/>
        <v>0.81594736842105264</v>
      </c>
      <c r="J811" s="249">
        <f t="shared" si="77"/>
        <v>6.3189473684210533</v>
      </c>
      <c r="K811" s="63">
        <f>VLOOKUP(C811,'RAW DATA 2023'!E:BO,20,0)</f>
        <v>100</v>
      </c>
      <c r="L811" s="322">
        <f t="shared" si="78"/>
        <v>631.89473684210532</v>
      </c>
      <c r="Y811" s="63" t="str">
        <f t="shared" si="76"/>
        <v>A1-184-00105</v>
      </c>
    </row>
    <row r="812" spans="1:25">
      <c r="A812" s="63" t="str">
        <f>'RAW DATA 2023'!B805</f>
        <v>Pakpanang1</v>
      </c>
      <c r="B812" s="63" t="str">
        <f>'RAW DATA 2023'!D805</f>
        <v>D1-172-0008</v>
      </c>
      <c r="C812" s="63" t="str">
        <f t="shared" si="73"/>
        <v>Pakpanang1D1-172-0008</v>
      </c>
      <c r="D812" s="63">
        <f>VLOOKUP(C812,'RAW DATA 2023'!E:BP,63,0)</f>
        <v>5</v>
      </c>
      <c r="E812" s="63" t="str">
        <f t="shared" si="74"/>
        <v>Pakpanang15</v>
      </c>
      <c r="F812" s="63">
        <f>ROUND(VLOOKUP(C812,'RAW DATA 2023'!E:BO,23,0),0)</f>
        <v>45</v>
      </c>
      <c r="G812" s="120">
        <f>VLOOKUP(C812,'RAW DATA 2023'!E:BO,26,0)</f>
        <v>0.29180622000000001</v>
      </c>
      <c r="H812" s="101">
        <f>IFERROR(VLOOKUP(F812,STD!B:G,6,0),"")</f>
        <v>0.36</v>
      </c>
      <c r="I812" s="100">
        <f t="shared" si="75"/>
        <v>0.81057283333333341</v>
      </c>
      <c r="J812" s="249">
        <f t="shared" si="77"/>
        <v>6.2114566666666686</v>
      </c>
      <c r="K812" s="63">
        <f>VLOOKUP(C812,'RAW DATA 2023'!E:BO,20,0)</f>
        <v>76</v>
      </c>
      <c r="L812" s="322">
        <f t="shared" si="78"/>
        <v>472.07070666666681</v>
      </c>
      <c r="Y812" s="63" t="str">
        <f t="shared" si="76"/>
        <v>D1-172-00085</v>
      </c>
    </row>
    <row r="813" spans="1:25">
      <c r="A813" s="63" t="str">
        <f>'RAW DATA 2023'!B806</f>
        <v>Pakpanang1</v>
      </c>
      <c r="B813" s="63" t="str">
        <f>'RAW DATA 2023'!D806</f>
        <v>C1-138-0010</v>
      </c>
      <c r="C813" s="63" t="str">
        <f t="shared" si="73"/>
        <v>Pakpanang1C1-138-0010</v>
      </c>
      <c r="D813" s="63">
        <f>VLOOKUP(C813,'RAW DATA 2023'!E:BP,63,0)</f>
        <v>5</v>
      </c>
      <c r="E813" s="63" t="str">
        <f t="shared" si="74"/>
        <v>Pakpanang15</v>
      </c>
      <c r="F813" s="63">
        <f>ROUND(VLOOKUP(C813,'RAW DATA 2023'!E:BO,23,0),0)</f>
        <v>36</v>
      </c>
      <c r="G813" s="120">
        <f>VLOOKUP(C813,'RAW DATA 2023'!E:BO,26,0)</f>
        <v>0.28717233399999997</v>
      </c>
      <c r="H813" s="101">
        <f>IFERROR(VLOOKUP(F813,STD!B:G,6,0),"")</f>
        <v>0.36</v>
      </c>
      <c r="I813" s="100">
        <f t="shared" si="75"/>
        <v>0.79770092777777768</v>
      </c>
      <c r="J813" s="249">
        <f t="shared" si="77"/>
        <v>5.9540185555555531</v>
      </c>
      <c r="K813" s="63">
        <f>VLOOKUP(C813,'RAW DATA 2023'!E:BO,20,0)</f>
        <v>93</v>
      </c>
      <c r="L813" s="322">
        <f t="shared" si="78"/>
        <v>553.7237256666665</v>
      </c>
      <c r="Y813" s="63" t="str">
        <f t="shared" si="76"/>
        <v>C1-138-00105</v>
      </c>
    </row>
    <row r="814" spans="1:25">
      <c r="A814" s="63" t="str">
        <f>'RAW DATA 2023'!B807</f>
        <v>Pakpanang1</v>
      </c>
      <c r="B814" s="63" t="str">
        <f>'RAW DATA 2023'!D807</f>
        <v>A1-183-0010</v>
      </c>
      <c r="C814" s="63" t="str">
        <f t="shared" si="73"/>
        <v>Pakpanang1A1-183-0010</v>
      </c>
      <c r="D814" s="63">
        <f>VLOOKUP(C814,'RAW DATA 2023'!E:BP,63,0)</f>
        <v>5</v>
      </c>
      <c r="E814" s="63" t="str">
        <f t="shared" si="74"/>
        <v>Pakpanang15</v>
      </c>
      <c r="F814" s="63">
        <f>ROUND(VLOOKUP(C814,'RAW DATA 2023'!E:BO,23,0),0)</f>
        <v>42</v>
      </c>
      <c r="G814" s="120">
        <f>VLOOKUP(C814,'RAW DATA 2023'!E:BO,26,0)</f>
        <v>0.28300631100000001</v>
      </c>
      <c r="H814" s="101">
        <f>IFERROR(VLOOKUP(F814,STD!B:G,6,0),"")</f>
        <v>0.37</v>
      </c>
      <c r="I814" s="100">
        <f t="shared" si="75"/>
        <v>0.76488192162162161</v>
      </c>
      <c r="J814" s="249">
        <f t="shared" si="77"/>
        <v>5.2976384324324322</v>
      </c>
      <c r="K814" s="63">
        <f>VLOOKUP(C814,'RAW DATA 2023'!E:BO,20,0)</f>
        <v>83</v>
      </c>
      <c r="L814" s="322">
        <f t="shared" si="78"/>
        <v>439.70398989189187</v>
      </c>
      <c r="Y814" s="63" t="str">
        <f t="shared" si="76"/>
        <v>A1-183-00105</v>
      </c>
    </row>
    <row r="815" spans="1:25">
      <c r="A815" s="63" t="str">
        <f>'RAW DATA 2023'!B808</f>
        <v>Pakpanang1</v>
      </c>
      <c r="B815" s="63" t="str">
        <f>'RAW DATA 2023'!D808</f>
        <v>A1-181-0008</v>
      </c>
      <c r="C815" s="63" t="str">
        <f t="shared" si="73"/>
        <v>Pakpanang1A1-181-0008</v>
      </c>
      <c r="D815" s="63">
        <f>VLOOKUP(C815,'RAW DATA 2023'!E:BP,63,0)</f>
        <v>4</v>
      </c>
      <c r="E815" s="63" t="str">
        <f t="shared" si="74"/>
        <v>Pakpanang14</v>
      </c>
      <c r="F815" s="63">
        <f>ROUND(VLOOKUP(C815,'RAW DATA 2023'!E:BO,23,0),0)</f>
        <v>75</v>
      </c>
      <c r="G815" s="120">
        <f>VLOOKUP(C815,'RAW DATA 2023'!E:BO,26,0)</f>
        <v>0.27111111100000002</v>
      </c>
      <c r="H815" s="101">
        <f>IFERROR(VLOOKUP(F815,STD!B:G,6,0),"")</f>
        <v>0.34</v>
      </c>
      <c r="I815" s="100">
        <f t="shared" si="75"/>
        <v>0.79738562058823526</v>
      </c>
      <c r="J815" s="249">
        <f t="shared" si="77"/>
        <v>5.9477124117647051</v>
      </c>
      <c r="K815" s="63">
        <f>VLOOKUP(C815,'RAW DATA 2023'!E:BO,20,0)</f>
        <v>48</v>
      </c>
      <c r="L815" s="322">
        <f t="shared" si="78"/>
        <v>285.49019576470585</v>
      </c>
      <c r="Y815" s="63" t="str">
        <f t="shared" si="76"/>
        <v>A1-181-00084</v>
      </c>
    </row>
    <row r="816" spans="1:25">
      <c r="A816" s="63" t="str">
        <f>'RAW DATA 2023'!B809</f>
        <v>Pakpanang1</v>
      </c>
      <c r="B816" s="63" t="str">
        <f>'RAW DATA 2023'!D809</f>
        <v>A1-192-0009</v>
      </c>
      <c r="C816" s="63" t="str">
        <f t="shared" si="73"/>
        <v>Pakpanang1A1-192-0009</v>
      </c>
      <c r="D816" s="63">
        <f>VLOOKUP(C816,'RAW DATA 2023'!E:BP,63,0)</f>
        <v>5</v>
      </c>
      <c r="E816" s="63" t="str">
        <f t="shared" si="74"/>
        <v>Pakpanang15</v>
      </c>
      <c r="F816" s="63">
        <f>ROUND(VLOOKUP(C816,'RAW DATA 2023'!E:BO,23,0),0)</f>
        <v>54</v>
      </c>
      <c r="G816" s="120">
        <f>VLOOKUP(C816,'RAW DATA 2023'!E:BO,26,0)</f>
        <v>0.25589462699999999</v>
      </c>
      <c r="H816" s="101">
        <f>IFERROR(VLOOKUP(F816,STD!B:G,6,0),"")</f>
        <v>0.36</v>
      </c>
      <c r="I816" s="100">
        <f t="shared" si="75"/>
        <v>0.71081840833333332</v>
      </c>
      <c r="J816" s="249">
        <f t="shared" si="77"/>
        <v>4.2163681666666664</v>
      </c>
      <c r="K816" s="63">
        <f>VLOOKUP(C816,'RAW DATA 2023'!E:BO,20,0)</f>
        <v>71</v>
      </c>
      <c r="L816" s="322">
        <f t="shared" si="78"/>
        <v>299.36213983333329</v>
      </c>
      <c r="Y816" s="63" t="str">
        <f t="shared" si="76"/>
        <v>A1-192-00095</v>
      </c>
    </row>
    <row r="817" spans="1:25">
      <c r="A817" s="63" t="str">
        <f>'RAW DATA 2023'!B810</f>
        <v>Pakpanang1</v>
      </c>
      <c r="B817" s="63" t="str">
        <f>'RAW DATA 2023'!D810</f>
        <v>D1-173-0008</v>
      </c>
      <c r="C817" s="63" t="str">
        <f t="shared" si="73"/>
        <v>Pakpanang1D1-173-0008</v>
      </c>
      <c r="D817" s="63">
        <f>VLOOKUP(C817,'RAW DATA 2023'!E:BP,63,0)</f>
        <v>5</v>
      </c>
      <c r="E817" s="63" t="str">
        <f t="shared" si="74"/>
        <v>Pakpanang15</v>
      </c>
      <c r="F817" s="63">
        <f>ROUND(VLOOKUP(C817,'RAW DATA 2023'!E:BO,23,0),0)</f>
        <v>56</v>
      </c>
      <c r="G817" s="120">
        <f>VLOOKUP(C817,'RAW DATA 2023'!E:BO,26,0)</f>
        <v>0.25436974800000001</v>
      </c>
      <c r="H817" s="101">
        <f>IFERROR(VLOOKUP(F817,STD!B:G,6,0),"")</f>
        <v>0.36</v>
      </c>
      <c r="I817" s="100">
        <f t="shared" si="75"/>
        <v>0.70658263333333338</v>
      </c>
      <c r="J817" s="249">
        <f t="shared" si="77"/>
        <v>4.1316526666666675</v>
      </c>
      <c r="K817" s="63">
        <f>VLOOKUP(C817,'RAW DATA 2023'!E:BO,20,0)</f>
        <v>68</v>
      </c>
      <c r="L817" s="322">
        <f t="shared" si="78"/>
        <v>280.95238133333339</v>
      </c>
      <c r="Y817" s="63" t="str">
        <f t="shared" si="76"/>
        <v>D1-173-00085</v>
      </c>
    </row>
    <row r="818" spans="1:25">
      <c r="A818" s="63" t="str">
        <f>'RAW DATA 2023'!B811</f>
        <v>Pakpanang1</v>
      </c>
      <c r="B818" s="63" t="str">
        <f>'RAW DATA 2023'!D811</f>
        <v>C1-139-0009</v>
      </c>
      <c r="C818" s="63" t="str">
        <f t="shared" si="73"/>
        <v>Pakpanang1C1-139-0009</v>
      </c>
      <c r="D818" s="63">
        <f>VLOOKUP(C818,'RAW DATA 2023'!E:BP,63,0)</f>
        <v>5</v>
      </c>
      <c r="E818" s="63" t="str">
        <f t="shared" si="74"/>
        <v>Pakpanang15</v>
      </c>
      <c r="F818" s="63">
        <f>ROUND(VLOOKUP(C818,'RAW DATA 2023'!E:BO,23,0),0)</f>
        <v>54</v>
      </c>
      <c r="G818" s="120">
        <f>VLOOKUP(C818,'RAW DATA 2023'!E:BO,26,0)</f>
        <v>0.25136831300000001</v>
      </c>
      <c r="H818" s="101">
        <f>IFERROR(VLOOKUP(F818,STD!B:G,6,0),"")</f>
        <v>0.36</v>
      </c>
      <c r="I818" s="100">
        <f t="shared" si="75"/>
        <v>0.698245313888889</v>
      </c>
      <c r="J818" s="249">
        <f t="shared" si="77"/>
        <v>3.9649062777777799</v>
      </c>
      <c r="K818" s="63">
        <f>VLOOKUP(C818,'RAW DATA 2023'!E:BO,20,0)</f>
        <v>72</v>
      </c>
      <c r="L818" s="322">
        <f t="shared" si="78"/>
        <v>285.47325200000017</v>
      </c>
      <c r="Y818" s="63" t="str">
        <f t="shared" si="76"/>
        <v>C1-139-00095</v>
      </c>
    </row>
    <row r="819" spans="1:25">
      <c r="A819" s="63" t="str">
        <f>'RAW DATA 2023'!B812</f>
        <v>Pakpanang1</v>
      </c>
      <c r="B819" s="63" t="str">
        <f>'RAW DATA 2023'!D812</f>
        <v>C1-140-0009</v>
      </c>
      <c r="C819" s="63" t="str">
        <f t="shared" si="73"/>
        <v>Pakpanang1C1-140-0009</v>
      </c>
      <c r="D819" s="63">
        <f>VLOOKUP(C819,'RAW DATA 2023'!E:BP,63,0)</f>
        <v>4</v>
      </c>
      <c r="E819" s="63" t="str">
        <f t="shared" si="74"/>
        <v>Pakpanang14</v>
      </c>
      <c r="F819" s="63">
        <f>ROUND(VLOOKUP(C819,'RAW DATA 2023'!E:BO,23,0),0)</f>
        <v>87</v>
      </c>
      <c r="G819" s="120">
        <f>VLOOKUP(C819,'RAW DATA 2023'!E:BO,26,0)</f>
        <v>0.25077847399999997</v>
      </c>
      <c r="H819" s="101">
        <f>IFERROR(VLOOKUP(F819,STD!B:G,6,0),"")</f>
        <v>0.33</v>
      </c>
      <c r="I819" s="100">
        <f t="shared" si="75"/>
        <v>0.7599347696969696</v>
      </c>
      <c r="J819" s="249">
        <f t="shared" si="77"/>
        <v>5.1986953939393921</v>
      </c>
      <c r="K819" s="63">
        <f>VLOOKUP(C819,'RAW DATA 2023'!E:BO,20,0)</f>
        <v>44</v>
      </c>
      <c r="L819" s="322">
        <f t="shared" si="78"/>
        <v>228.74259733333326</v>
      </c>
      <c r="Y819" s="63" t="str">
        <f t="shared" si="76"/>
        <v>C1-140-00094</v>
      </c>
    </row>
    <row r="820" spans="1:25">
      <c r="A820" s="63" t="str">
        <f>'RAW DATA 2023'!B813</f>
        <v>Pakpanang1</v>
      </c>
      <c r="B820" s="63" t="str">
        <f>'RAW DATA 2023'!D813</f>
        <v>C1-141-0009</v>
      </c>
      <c r="C820" s="63" t="str">
        <f t="shared" si="73"/>
        <v>Pakpanang1C1-141-0009</v>
      </c>
      <c r="D820" s="63">
        <f>VLOOKUP(C820,'RAW DATA 2023'!E:BP,63,0)</f>
        <v>5</v>
      </c>
      <c r="E820" s="63" t="str">
        <f t="shared" si="74"/>
        <v>Pakpanang15</v>
      </c>
      <c r="F820" s="63">
        <f>ROUND(VLOOKUP(C820,'RAW DATA 2023'!E:BO,23,0),0)</f>
        <v>80</v>
      </c>
      <c r="G820" s="120">
        <f>VLOOKUP(C820,'RAW DATA 2023'!E:BO,26,0)</f>
        <v>0.230960784</v>
      </c>
      <c r="H820" s="101">
        <f>IFERROR(VLOOKUP(F820,STD!B:G,6,0),"")</f>
        <v>0.34</v>
      </c>
      <c r="I820" s="100">
        <f t="shared" si="75"/>
        <v>0.67929642352941177</v>
      </c>
      <c r="J820" s="249">
        <f t="shared" si="77"/>
        <v>3.5859284705882355</v>
      </c>
      <c r="K820" s="63">
        <f>VLOOKUP(C820,'RAW DATA 2023'!E:BO,20,0)</f>
        <v>51</v>
      </c>
      <c r="L820" s="322">
        <f t="shared" si="78"/>
        <v>182.882352</v>
      </c>
      <c r="Y820" s="63" t="str">
        <f t="shared" si="76"/>
        <v>C1-141-00095</v>
      </c>
    </row>
    <row r="821" spans="1:25">
      <c r="A821" s="63" t="str">
        <f>'RAW DATA 2023'!B814</f>
        <v>Pakpanang1</v>
      </c>
      <c r="B821" s="63" t="str">
        <f>'RAW DATA 2023'!D814</f>
        <v>A1-004-0020</v>
      </c>
      <c r="C821" s="63" t="str">
        <f t="shared" si="73"/>
        <v>Pakpanang1A1-004-0020</v>
      </c>
      <c r="D821" s="63">
        <f>VLOOKUP(C821,'RAW DATA 2023'!E:BP,63,0)</f>
        <v>11</v>
      </c>
      <c r="E821" s="63" t="str">
        <f t="shared" si="74"/>
        <v>Pakpanang111</v>
      </c>
      <c r="F821" s="63">
        <f>ROUND(VLOOKUP(C821,'RAW DATA 2023'!E:BO,23,0),0)</f>
        <v>74</v>
      </c>
      <c r="G821" s="120">
        <f>VLOOKUP(C821,'RAW DATA 2023'!E:BO,26,0)</f>
        <v>0.21532522500000004</v>
      </c>
      <c r="H821" s="101">
        <f>IFERROR(VLOOKUP(F821,STD!B:G,6,0),"")</f>
        <v>0.35</v>
      </c>
      <c r="I821" s="100">
        <f t="shared" si="75"/>
        <v>0.61521492857142868</v>
      </c>
      <c r="J821" s="249">
        <f t="shared" si="77"/>
        <v>2.3042985714285735</v>
      </c>
      <c r="K821" s="63">
        <f>VLOOKUP(C821,'RAW DATA 2023'!E:BO,20,0)</f>
        <v>60</v>
      </c>
      <c r="L821" s="322">
        <f t="shared" si="78"/>
        <v>138.25791428571441</v>
      </c>
      <c r="Y821" s="63" t="str">
        <f t="shared" si="76"/>
        <v>A1-004-002011</v>
      </c>
    </row>
    <row r="822" spans="1:25">
      <c r="A822" s="63" t="str">
        <f>'RAW DATA 2023'!B815</f>
        <v>Pakpanang1</v>
      </c>
      <c r="B822" s="63" t="str">
        <f>'RAW DATA 2023'!D815</f>
        <v>D1-171-0011</v>
      </c>
      <c r="C822" s="63" t="str">
        <f t="shared" si="73"/>
        <v>Pakpanang1D1-171-0011</v>
      </c>
      <c r="D822" s="63">
        <f>VLOOKUP(C822,'RAW DATA 2023'!E:BP,63,0)</f>
        <v>11</v>
      </c>
      <c r="E822" s="63" t="str">
        <f t="shared" si="74"/>
        <v>Pakpanang111</v>
      </c>
      <c r="F822" s="63">
        <f>ROUND(VLOOKUP(C822,'RAW DATA 2023'!E:BO,23,0),0)</f>
        <v>105</v>
      </c>
      <c r="G822" s="120">
        <f>VLOOKUP(C822,'RAW DATA 2023'!E:BO,26,0)</f>
        <v>0.206519274</v>
      </c>
      <c r="H822" s="101">
        <f>IFERROR(VLOOKUP(F822,STD!B:G,6,0),"")</f>
        <v>0.32</v>
      </c>
      <c r="I822" s="100">
        <f t="shared" si="75"/>
        <v>0.64537273124999994</v>
      </c>
      <c r="J822" s="249">
        <f t="shared" si="77"/>
        <v>2.9074546249999988</v>
      </c>
      <c r="K822" s="63">
        <f>VLOOKUP(C822,'RAW DATA 2023'!E:BO,20,0)</f>
        <v>42</v>
      </c>
      <c r="L822" s="322">
        <f t="shared" si="78"/>
        <v>122.11309424999995</v>
      </c>
      <c r="M822" s="63"/>
    </row>
    <row r="823" spans="1:25">
      <c r="A823" s="63" t="str">
        <f>'RAW DATA 2023'!B816</f>
        <v>Pakpanang1</v>
      </c>
      <c r="B823" s="63" t="str">
        <f>'RAW DATA 2023'!D816</f>
        <v>D1-174-0008</v>
      </c>
      <c r="C823" s="63" t="str">
        <f t="shared" si="73"/>
        <v>Pakpanang1D1-174-0008</v>
      </c>
      <c r="D823" s="63">
        <f>VLOOKUP(C823,'RAW DATA 2023'!E:BP,63,0)</f>
        <v>4</v>
      </c>
      <c r="E823" s="63" t="str">
        <f t="shared" si="74"/>
        <v>Pakpanang14</v>
      </c>
      <c r="F823" s="63">
        <f>ROUND(VLOOKUP(C823,'RAW DATA 2023'!E:BO,23,0),0)</f>
        <v>82</v>
      </c>
      <c r="G823" s="120">
        <f>VLOOKUP(C823,'RAW DATA 2023'!E:BO,26,0)</f>
        <v>0.20414249000000001</v>
      </c>
      <c r="H823" s="101">
        <f>IFERROR(VLOOKUP(F823,STD!B:G,6,0),"")</f>
        <v>0.34</v>
      </c>
      <c r="I823" s="100">
        <f t="shared" si="75"/>
        <v>0.60041908823529411</v>
      </c>
      <c r="J823" s="249">
        <f t="shared" si="77"/>
        <v>2.0083817647058821</v>
      </c>
      <c r="K823" s="63">
        <f>VLOOKUP(C823,'RAW DATA 2023'!E:BO,20,0)</f>
        <v>57</v>
      </c>
      <c r="L823" s="322">
        <f t="shared" si="78"/>
        <v>114.47776058823528</v>
      </c>
      <c r="M823" s="63"/>
    </row>
    <row r="824" spans="1:25">
      <c r="A824" s="63" t="str">
        <f>'RAW DATA 2023'!B817</f>
        <v>Pakpanang1</v>
      </c>
      <c r="B824" s="63" t="str">
        <f>'RAW DATA 2023'!D817</f>
        <v>D1-177-0009</v>
      </c>
      <c r="C824" s="63" t="str">
        <f t="shared" si="73"/>
        <v>Pakpanang1D1-177-0009</v>
      </c>
      <c r="D824" s="63">
        <f>VLOOKUP(C824,'RAW DATA 2023'!E:BP,63,0)</f>
        <v>4</v>
      </c>
      <c r="E824" s="63" t="str">
        <f t="shared" si="74"/>
        <v>Pakpanang14</v>
      </c>
      <c r="F824" s="63">
        <f>ROUND(VLOOKUP(C824,'RAW DATA 2023'!E:BO,23,0),0)</f>
        <v>81</v>
      </c>
      <c r="G824" s="120">
        <f>VLOOKUP(C824,'RAW DATA 2023'!E:BO,26,0)</f>
        <v>0.17714233800000001</v>
      </c>
      <c r="H824" s="101">
        <f>IFERROR(VLOOKUP(F824,STD!B:G,6,0),"")</f>
        <v>0.34</v>
      </c>
      <c r="I824" s="100">
        <f t="shared" si="75"/>
        <v>0.52100687647058819</v>
      </c>
      <c r="J824" s="249">
        <f t="shared" si="77"/>
        <v>0.42013752941176374</v>
      </c>
      <c r="K824" s="63">
        <f>VLOOKUP(C824,'RAW DATA 2023'!E:BO,20,0)</f>
        <v>68</v>
      </c>
      <c r="L824" s="322">
        <f t="shared" si="78"/>
        <v>28.569351999999935</v>
      </c>
      <c r="M824" s="63"/>
    </row>
    <row r="825" spans="1:25">
      <c r="A825" s="63" t="str">
        <f>'RAW DATA 2023'!B818</f>
        <v>Pakpanang1</v>
      </c>
      <c r="B825" s="63" t="str">
        <f>'RAW DATA 2023'!D818</f>
        <v>D1-172-0010</v>
      </c>
      <c r="C825" s="63" t="str">
        <f t="shared" si="73"/>
        <v>Pakpanang1D1-172-0010</v>
      </c>
      <c r="D825" s="63">
        <f>VLOOKUP(C825,'RAW DATA 2023'!E:BP,63,0)</f>
        <v>11</v>
      </c>
      <c r="E825" s="63" t="str">
        <f t="shared" si="74"/>
        <v>Pakpanang111</v>
      </c>
      <c r="F825" s="63">
        <f>ROUND(VLOOKUP(C825,'RAW DATA 2023'!E:BO,23,0),0)</f>
        <v>173</v>
      </c>
      <c r="G825" s="120">
        <f>VLOOKUP(C825,'RAW DATA 2023'!E:BO,26,0)</f>
        <v>0.17101156100000001</v>
      </c>
      <c r="H825" s="101">
        <f>IFERROR(VLOOKUP(F825,STD!B:G,6,0),"")</f>
        <v>0.25</v>
      </c>
      <c r="I825" s="100">
        <f t="shared" si="75"/>
        <v>0.68404624400000003</v>
      </c>
      <c r="J825" s="249">
        <f t="shared" si="77"/>
        <v>3.6809248800000005</v>
      </c>
      <c r="K825" s="63">
        <f>VLOOKUP(C825,'RAW DATA 2023'!E:BO,20,0)</f>
        <v>30</v>
      </c>
      <c r="L825" s="322">
        <f t="shared" si="78"/>
        <v>110.42774640000002</v>
      </c>
      <c r="M825" s="63"/>
    </row>
    <row r="826" spans="1:25">
      <c r="A826" s="63" t="str">
        <f>'RAW DATA 2023'!B819</f>
        <v>Pakpanang1</v>
      </c>
      <c r="B826" s="63" t="str">
        <f>'RAW DATA 2023'!D819</f>
        <v>A1-180-0009</v>
      </c>
      <c r="C826" s="63" t="str">
        <f t="shared" si="73"/>
        <v>Pakpanang1A1-180-0009</v>
      </c>
      <c r="D826" s="63">
        <f>VLOOKUP(C826,'RAW DATA 2023'!E:BP,63,0)</f>
        <v>5</v>
      </c>
      <c r="E826" s="63" t="str">
        <f t="shared" si="74"/>
        <v>Pakpanang15</v>
      </c>
      <c r="F826" s="63">
        <f>ROUND(VLOOKUP(C826,'RAW DATA 2023'!E:BO,23,0),0)</f>
        <v>116</v>
      </c>
      <c r="G826" s="120">
        <f>VLOOKUP(C826,'RAW DATA 2023'!E:BO,26,0)</f>
        <v>0.14562613399999999</v>
      </c>
      <c r="H826" s="101">
        <f>IFERROR(VLOOKUP(F826,STD!B:G,6,0),"")</f>
        <v>0.31</v>
      </c>
      <c r="I826" s="100">
        <f t="shared" si="75"/>
        <v>0.46976172258064514</v>
      </c>
      <c r="J826" s="249">
        <f t="shared" si="77"/>
        <v>0</v>
      </c>
      <c r="K826" s="63">
        <f>VLOOKUP(C826,'RAW DATA 2023'!E:BO,20,0)</f>
        <v>57</v>
      </c>
      <c r="L826" s="322">
        <f t="shared" si="78"/>
        <v>0</v>
      </c>
      <c r="M826" s="63"/>
    </row>
    <row r="827" spans="1:25">
      <c r="A827" s="63" t="str">
        <f>'RAW DATA 2023'!B820</f>
        <v>SR1</v>
      </c>
      <c r="B827" s="63" t="str">
        <f>'RAW DATA 2023'!D820</f>
        <v>A1-028-0037</v>
      </c>
      <c r="C827" s="63" t="str">
        <f t="shared" si="73"/>
        <v>SR1A1-028-0037</v>
      </c>
      <c r="D827" s="63">
        <f>VLOOKUP(C827,'RAW DATA 2023'!E:BP,63,0)</f>
        <v>10</v>
      </c>
      <c r="E827" s="63" t="str">
        <f t="shared" si="74"/>
        <v>SR110</v>
      </c>
      <c r="F827" s="63">
        <f>ROUND(VLOOKUP(C827,'RAW DATA 2023'!E:BO,23,0),0)</f>
        <v>35</v>
      </c>
      <c r="G827" s="120">
        <f>VLOOKUP(C827,'RAW DATA 2023'!E:BO,26,0)</f>
        <v>0.36258241800000002</v>
      </c>
      <c r="H827" s="101">
        <f>IFERROR(VLOOKUP(F827,STD!B:G,6,0),"")</f>
        <v>0.37</v>
      </c>
      <c r="I827" s="100">
        <f t="shared" si="75"/>
        <v>0.97995248108108113</v>
      </c>
      <c r="J827" s="249">
        <f t="shared" si="77"/>
        <v>9.5990496216216226</v>
      </c>
      <c r="K827" s="63">
        <f>VLOOKUP(C827,'RAW DATA 2023'!E:BO,20,0)</f>
        <v>78</v>
      </c>
      <c r="L827" s="322">
        <f t="shared" si="78"/>
        <v>748.72587048648654</v>
      </c>
      <c r="M827" s="63"/>
    </row>
    <row r="828" spans="1:25">
      <c r="A828" s="63" t="str">
        <f>'RAW DATA 2023'!B821</f>
        <v>SR1</v>
      </c>
      <c r="B828" s="63" t="str">
        <f>'RAW DATA 2023'!D821</f>
        <v>A1-027-0032</v>
      </c>
      <c r="C828" s="63" t="str">
        <f t="shared" si="73"/>
        <v>SR1A1-027-0032</v>
      </c>
      <c r="D828" s="63">
        <f>VLOOKUP(C828,'RAW DATA 2023'!E:BP,63,0)</f>
        <v>9</v>
      </c>
      <c r="E828" s="63" t="str">
        <f t="shared" si="74"/>
        <v>SR19</v>
      </c>
      <c r="F828" s="63">
        <f>ROUND(VLOOKUP(C828,'RAW DATA 2023'!E:BO,23,0),0)</f>
        <v>25</v>
      </c>
      <c r="G828" s="120">
        <f>VLOOKUP(C828,'RAW DATA 2023'!E:BO,26,0)</f>
        <v>0.32420580599999993</v>
      </c>
      <c r="H828" s="101">
        <f>IFERROR(VLOOKUP(F828,STD!B:G,6,0),"")</f>
        <v>0.36</v>
      </c>
      <c r="I828" s="100">
        <f t="shared" si="75"/>
        <v>0.90057168333333315</v>
      </c>
      <c r="J828" s="249">
        <f t="shared" si="77"/>
        <v>8.0114336666666635</v>
      </c>
      <c r="K828" s="63">
        <f>VLOOKUP(C828,'RAW DATA 2023'!E:BO,20,0)</f>
        <v>146</v>
      </c>
      <c r="L828" s="322">
        <f t="shared" si="78"/>
        <v>1169.6693153333329</v>
      </c>
      <c r="M828" s="63"/>
    </row>
    <row r="829" spans="1:25">
      <c r="A829" s="63" t="str">
        <f>'RAW DATA 2023'!B822</f>
        <v>SR1</v>
      </c>
      <c r="B829" s="63" t="str">
        <f>'RAW DATA 2023'!D822</f>
        <v>A1-026-0028</v>
      </c>
      <c r="C829" s="63" t="str">
        <f t="shared" si="73"/>
        <v>SR1A1-026-0028</v>
      </c>
      <c r="D829" s="63">
        <f>VLOOKUP(C829,'RAW DATA 2023'!E:BP,63,0)</f>
        <v>9</v>
      </c>
      <c r="E829" s="63" t="str">
        <f t="shared" si="74"/>
        <v>SR19</v>
      </c>
      <c r="F829" s="63">
        <f>ROUND(VLOOKUP(C829,'RAW DATA 2023'!E:BO,23,0),0)</f>
        <v>24</v>
      </c>
      <c r="G829" s="120">
        <f>VLOOKUP(C829,'RAW DATA 2023'!E:BO,26,0)</f>
        <v>0.316597448</v>
      </c>
      <c r="H829" s="101">
        <f>IFERROR(VLOOKUP(F829,STD!B:G,6,0),"")</f>
        <v>0.36</v>
      </c>
      <c r="I829" s="100">
        <f t="shared" si="75"/>
        <v>0.87943735555555558</v>
      </c>
      <c r="J829" s="249">
        <f t="shared" si="77"/>
        <v>7.5887471111111111</v>
      </c>
      <c r="K829" s="63">
        <f>VLOOKUP(C829,'RAW DATA 2023'!E:BO,20,0)</f>
        <v>165.00000000000003</v>
      </c>
      <c r="L829" s="322">
        <f t="shared" si="78"/>
        <v>1252.1432733333336</v>
      </c>
      <c r="M829" s="63"/>
    </row>
    <row r="830" spans="1:25">
      <c r="A830" s="63" t="str">
        <f>'RAW DATA 2023'!B823</f>
        <v>SR1</v>
      </c>
      <c r="B830" s="63" t="str">
        <f>'RAW DATA 2023'!D823</f>
        <v>A1-026-0029</v>
      </c>
      <c r="C830" s="63" t="str">
        <f t="shared" si="73"/>
        <v>SR1A1-026-0029</v>
      </c>
      <c r="D830" s="63">
        <f>VLOOKUP(C830,'RAW DATA 2023'!E:BP,63,0)</f>
        <v>12</v>
      </c>
      <c r="E830" s="63" t="str">
        <f t="shared" si="74"/>
        <v>SR112</v>
      </c>
      <c r="F830" s="63">
        <f>ROUND(VLOOKUP(C830,'RAW DATA 2023'!E:BO,23,0),0)</f>
        <v>89</v>
      </c>
      <c r="G830" s="120">
        <f>VLOOKUP(C830,'RAW DATA 2023'!E:BO,26,0)</f>
        <v>0.254570144</v>
      </c>
      <c r="H830" s="101">
        <f>IFERROR(VLOOKUP(F830,STD!B:G,6,0),"")</f>
        <v>0.33</v>
      </c>
      <c r="I830" s="100">
        <f t="shared" si="75"/>
        <v>0.77142467878787879</v>
      </c>
      <c r="J830" s="249">
        <f t="shared" si="77"/>
        <v>5.4284935757575763</v>
      </c>
      <c r="K830" s="63">
        <f>VLOOKUP(C830,'RAW DATA 2023'!E:BO,20,0)</f>
        <v>35</v>
      </c>
      <c r="L830" s="322">
        <f t="shared" si="78"/>
        <v>189.99727515151517</v>
      </c>
      <c r="M830" s="63"/>
    </row>
    <row r="831" spans="1:25">
      <c r="A831" s="63" t="str">
        <f>'RAW DATA 2023'!B824</f>
        <v>SR1</v>
      </c>
      <c r="B831" s="63" t="str">
        <f>'RAW DATA 2023'!D824</f>
        <v>C1-050-0015</v>
      </c>
      <c r="C831" s="63" t="str">
        <f t="shared" si="73"/>
        <v>SR1C1-050-0015</v>
      </c>
      <c r="D831" s="63">
        <f>VLOOKUP(C831,'RAW DATA 2023'!E:BP,63,0)</f>
        <v>6</v>
      </c>
      <c r="E831" s="63" t="str">
        <f t="shared" si="74"/>
        <v>SR16</v>
      </c>
      <c r="F831" s="63">
        <f>ROUND(VLOOKUP(C831,'RAW DATA 2023'!E:BO,23,0),0)</f>
        <v>29</v>
      </c>
      <c r="G831" s="120">
        <f>VLOOKUP(C831,'RAW DATA 2023'!E:BO,26,0)</f>
        <v>0.50463793099999998</v>
      </c>
      <c r="H831" s="101">
        <f>IFERROR(VLOOKUP(F831,STD!B:G,6,0),"")</f>
        <v>0.4</v>
      </c>
      <c r="I831" s="100">
        <f t="shared" si="75"/>
        <v>1.2615948275</v>
      </c>
      <c r="J831" s="249">
        <f t="shared" si="77"/>
        <v>15.231896549999998</v>
      </c>
      <c r="K831" s="63">
        <f>VLOOKUP(C831,'RAW DATA 2023'!E:BO,20,0)</f>
        <v>20</v>
      </c>
      <c r="L831" s="322">
        <f t="shared" si="78"/>
        <v>304.63793099999998</v>
      </c>
      <c r="M831" s="63"/>
    </row>
    <row r="832" spans="1:25">
      <c r="A832" s="63" t="str">
        <f>'RAW DATA 2023'!B825</f>
        <v>SR1</v>
      </c>
      <c r="B832" s="63" t="str">
        <f>'RAW DATA 2023'!D825</f>
        <v>C1-050-0016</v>
      </c>
      <c r="C832" s="63" t="str">
        <f t="shared" si="73"/>
        <v>SR1C1-050-0016</v>
      </c>
      <c r="D832" s="63">
        <f>VLOOKUP(C832,'RAW DATA 2023'!E:BP,63,0)</f>
        <v>9</v>
      </c>
      <c r="E832" s="63" t="str">
        <f t="shared" si="74"/>
        <v>SR19</v>
      </c>
      <c r="F832" s="63">
        <f>ROUND(VLOOKUP(C832,'RAW DATA 2023'!E:BO,23,0),0)</f>
        <v>22</v>
      </c>
      <c r="G832" s="120">
        <f>VLOOKUP(C832,'RAW DATA 2023'!E:BO,26,0)</f>
        <v>0.39526086999999999</v>
      </c>
      <c r="H832" s="101">
        <f>IFERROR(VLOOKUP(F832,STD!B:G,6,0),"")</f>
        <v>0.37</v>
      </c>
      <c r="I832" s="100">
        <f t="shared" si="75"/>
        <v>1.0682726216216216</v>
      </c>
      <c r="J832" s="249">
        <f t="shared" si="77"/>
        <v>11.365452432432432</v>
      </c>
      <c r="K832" s="63">
        <f>VLOOKUP(C832,'RAW DATA 2023'!E:BO,20,0)</f>
        <v>69</v>
      </c>
      <c r="L832" s="322">
        <f t="shared" si="78"/>
        <v>784.2162178378378</v>
      </c>
      <c r="M832" s="63"/>
    </row>
    <row r="833" spans="1:12" s="63" customFormat="1">
      <c r="A833" s="63" t="str">
        <f>'RAW DATA 2023'!B826</f>
        <v>SR1</v>
      </c>
      <c r="B833" s="63" t="str">
        <f>'RAW DATA 2023'!D826</f>
        <v>C1-061-0039</v>
      </c>
      <c r="C833" s="63" t="str">
        <f t="shared" si="73"/>
        <v>SR1C1-061-0039</v>
      </c>
      <c r="D833" s="63">
        <f>VLOOKUP(C833,'RAW DATA 2023'!E:BP,63,0)</f>
        <v>9</v>
      </c>
      <c r="E833" s="63" t="str">
        <f t="shared" si="74"/>
        <v>SR19</v>
      </c>
      <c r="F833" s="63">
        <f>ROUND(VLOOKUP(C833,'RAW DATA 2023'!E:BO,23,0),0)</f>
        <v>25</v>
      </c>
      <c r="G833" s="120">
        <f>VLOOKUP(C833,'RAW DATA 2023'!E:BO,26,0)</f>
        <v>0.38845614000000001</v>
      </c>
      <c r="H833" s="101">
        <f>IFERROR(VLOOKUP(F833,STD!B:G,6,0),"")</f>
        <v>0.36</v>
      </c>
      <c r="I833" s="100">
        <f t="shared" si="75"/>
        <v>1.0790448333333333</v>
      </c>
      <c r="J833" s="249">
        <f t="shared" si="77"/>
        <v>11.580896666666668</v>
      </c>
      <c r="K833" s="63">
        <f>VLOOKUP(C833,'RAW DATA 2023'!E:BO,20,0)</f>
        <v>135</v>
      </c>
      <c r="L833" s="322">
        <f t="shared" si="78"/>
        <v>1563.4210500000002</v>
      </c>
    </row>
    <row r="834" spans="1:12" s="63" customFormat="1">
      <c r="A834" s="63" t="str">
        <f>'RAW DATA 2023'!B827</f>
        <v>SR1</v>
      </c>
      <c r="B834" s="63" t="str">
        <f>'RAW DATA 2023'!D827</f>
        <v>C1-059-0036</v>
      </c>
      <c r="C834" s="63" t="str">
        <f t="shared" si="73"/>
        <v>SR1C1-059-0036</v>
      </c>
      <c r="D834" s="63">
        <f>VLOOKUP(C834,'RAW DATA 2023'!E:BP,63,0)</f>
        <v>7</v>
      </c>
      <c r="E834" s="63" t="str">
        <f t="shared" si="74"/>
        <v>SR17</v>
      </c>
      <c r="F834" s="63">
        <f>ROUND(VLOOKUP(C834,'RAW DATA 2023'!E:BO,23,0),0)</f>
        <v>29</v>
      </c>
      <c r="G834" s="120">
        <f>VLOOKUP(C834,'RAW DATA 2023'!E:BO,26,0)</f>
        <v>0.37101086999999999</v>
      </c>
      <c r="H834" s="101">
        <f>IFERROR(VLOOKUP(F834,STD!B:G,6,0),"")</f>
        <v>0.4</v>
      </c>
      <c r="I834" s="100">
        <f t="shared" si="75"/>
        <v>0.92752717499999993</v>
      </c>
      <c r="J834" s="249">
        <f t="shared" si="77"/>
        <v>8.5505434999999981</v>
      </c>
      <c r="K834" s="63">
        <f>VLOOKUP(C834,'RAW DATA 2023'!E:BO,20,0)</f>
        <v>116</v>
      </c>
      <c r="L834" s="322">
        <f t="shared" si="78"/>
        <v>991.86304599999983</v>
      </c>
    </row>
    <row r="835" spans="1:12" s="63" customFormat="1">
      <c r="A835" s="63" t="str">
        <f>'RAW DATA 2023'!B828</f>
        <v>SR1</v>
      </c>
      <c r="B835" s="63" t="str">
        <f>'RAW DATA 2023'!D828</f>
        <v>D1-068-0006</v>
      </c>
      <c r="C835" s="63" t="str">
        <f t="shared" si="73"/>
        <v>SR1D1-068-0006</v>
      </c>
      <c r="D835" s="63">
        <f>VLOOKUP(C835,'RAW DATA 2023'!E:BP,63,0)</f>
        <v>9</v>
      </c>
      <c r="E835" s="63" t="str">
        <f t="shared" si="74"/>
        <v>SR19</v>
      </c>
      <c r="F835" s="63">
        <f>ROUND(VLOOKUP(C835,'RAW DATA 2023'!E:BO,23,0),0)</f>
        <v>26</v>
      </c>
      <c r="G835" s="120">
        <f>VLOOKUP(C835,'RAW DATA 2023'!E:BO,26,0)</f>
        <v>0.364247076</v>
      </c>
      <c r="H835" s="101">
        <f>IFERROR(VLOOKUP(F835,STD!B:G,6,0),"")</f>
        <v>0.37</v>
      </c>
      <c r="I835" s="100">
        <f t="shared" si="75"/>
        <v>0.98445155675675677</v>
      </c>
      <c r="J835" s="249">
        <f t="shared" si="77"/>
        <v>9.689031135135135</v>
      </c>
      <c r="K835" s="63">
        <f>VLOOKUP(C835,'RAW DATA 2023'!E:BO,20,0)</f>
        <v>152</v>
      </c>
      <c r="L835" s="322">
        <f t="shared" si="78"/>
        <v>1472.7327325405406</v>
      </c>
    </row>
    <row r="836" spans="1:12" s="63" customFormat="1">
      <c r="A836" s="63" t="str">
        <f>'RAW DATA 2023'!B829</f>
        <v>SR1</v>
      </c>
      <c r="B836" s="63" t="str">
        <f>'RAW DATA 2023'!D829</f>
        <v>D1-067-0005</v>
      </c>
      <c r="C836" s="63" t="str">
        <f t="shared" si="73"/>
        <v>SR1D1-067-0005</v>
      </c>
      <c r="D836" s="63">
        <f>VLOOKUP(C836,'RAW DATA 2023'!E:BP,63,0)</f>
        <v>9</v>
      </c>
      <c r="E836" s="63" t="str">
        <f t="shared" si="74"/>
        <v>SR19</v>
      </c>
      <c r="F836" s="63">
        <f>ROUND(VLOOKUP(C836,'RAW DATA 2023'!E:BO,23,0),0)</f>
        <v>31</v>
      </c>
      <c r="G836" s="120">
        <f>VLOOKUP(C836,'RAW DATA 2023'!E:BO,26,0)</f>
        <v>0.36396170799999999</v>
      </c>
      <c r="H836" s="101">
        <f>IFERROR(VLOOKUP(F836,STD!B:G,6,0),"")</f>
        <v>0.39</v>
      </c>
      <c r="I836" s="100">
        <f t="shared" si="75"/>
        <v>0.93323514871794866</v>
      </c>
      <c r="J836" s="249">
        <f t="shared" si="77"/>
        <v>8.6647029743589741</v>
      </c>
      <c r="K836" s="63">
        <f>VLOOKUP(C836,'RAW DATA 2023'!E:BO,20,0)</f>
        <v>97</v>
      </c>
      <c r="L836" s="322">
        <f t="shared" si="78"/>
        <v>840.4761885128205</v>
      </c>
    </row>
    <row r="837" spans="1:12" s="63" customFormat="1">
      <c r="A837" s="63" t="str">
        <f>'RAW DATA 2023'!B830</f>
        <v>SR1</v>
      </c>
      <c r="B837" s="63" t="str">
        <f>'RAW DATA 2023'!D830</f>
        <v>C1-051-0032</v>
      </c>
      <c r="C837" s="63" t="str">
        <f t="shared" si="73"/>
        <v>SR1C1-051-0032</v>
      </c>
      <c r="D837" s="63">
        <f>VLOOKUP(C837,'RAW DATA 2023'!E:BP,63,0)</f>
        <v>8</v>
      </c>
      <c r="E837" s="63" t="str">
        <f t="shared" si="74"/>
        <v>SR18</v>
      </c>
      <c r="F837" s="63">
        <f>ROUND(VLOOKUP(C837,'RAW DATA 2023'!E:BO,23,0),0)</f>
        <v>32</v>
      </c>
      <c r="G837" s="120">
        <f>VLOOKUP(C837,'RAW DATA 2023'!E:BO,26,0)</f>
        <v>0.337535739</v>
      </c>
      <c r="H837" s="101">
        <f>IFERROR(VLOOKUP(F837,STD!B:G,6,0),"")</f>
        <v>0.39</v>
      </c>
      <c r="I837" s="100">
        <f t="shared" si="75"/>
        <v>0.86547625384615379</v>
      </c>
      <c r="J837" s="249">
        <f t="shared" si="77"/>
        <v>7.3095250769230757</v>
      </c>
      <c r="K837" s="63">
        <f>VLOOKUP(C837,'RAW DATA 2023'!E:BO,20,0)</f>
        <v>113</v>
      </c>
      <c r="L837" s="322">
        <f t="shared" si="78"/>
        <v>825.97633369230755</v>
      </c>
    </row>
    <row r="838" spans="1:12" s="63" customFormat="1">
      <c r="A838" s="63" t="str">
        <f>'RAW DATA 2023'!B831</f>
        <v>SR1</v>
      </c>
      <c r="B838" s="63" t="str">
        <f>'RAW DATA 2023'!D831</f>
        <v>C1-060-0035</v>
      </c>
      <c r="C838" s="63" t="str">
        <f t="shared" si="73"/>
        <v>SR1C1-060-0035</v>
      </c>
      <c r="D838" s="63">
        <f>VLOOKUP(C838,'RAW DATA 2023'!E:BP,63,0)</f>
        <v>2</v>
      </c>
      <c r="E838" s="63" t="str">
        <f t="shared" si="74"/>
        <v>SR12</v>
      </c>
      <c r="F838" s="63">
        <f>ROUND(VLOOKUP(C838,'RAW DATA 2023'!E:BO,23,0),0)</f>
        <v>26</v>
      </c>
      <c r="G838" s="120">
        <f>VLOOKUP(C838,'RAW DATA 2023'!E:BO,26,0)</f>
        <v>0.32025409799999999</v>
      </c>
      <c r="H838" s="101">
        <f>IFERROR(VLOOKUP(F838,STD!B:G,6,0),"")</f>
        <v>0.37</v>
      </c>
      <c r="I838" s="100">
        <f t="shared" si="75"/>
        <v>0.86555161621621624</v>
      </c>
      <c r="J838" s="249">
        <f t="shared" si="77"/>
        <v>7.3110323243243247</v>
      </c>
      <c r="K838" s="63">
        <f>VLOOKUP(C838,'RAW DATA 2023'!E:BO,20,0)</f>
        <v>122</v>
      </c>
      <c r="L838" s="322">
        <f t="shared" si="78"/>
        <v>891.94594356756761</v>
      </c>
    </row>
    <row r="839" spans="1:12" s="63" customFormat="1">
      <c r="A839" s="63" t="str">
        <f>'RAW DATA 2023'!B832</f>
        <v>SR1</v>
      </c>
      <c r="B839" s="63" t="str">
        <f>'RAW DATA 2023'!D832</f>
        <v>C1-060-0036</v>
      </c>
      <c r="C839" s="63" t="str">
        <f t="shared" si="73"/>
        <v>SR1C1-060-0036</v>
      </c>
      <c r="D839" s="63">
        <f>VLOOKUP(C839,'RAW DATA 2023'!E:BP,63,0)</f>
        <v>12</v>
      </c>
      <c r="E839" s="63" t="str">
        <f t="shared" si="74"/>
        <v>SR112</v>
      </c>
      <c r="F839" s="63">
        <f>ROUND(VLOOKUP(C839,'RAW DATA 2023'!E:BO,23,0),0)</f>
        <v>34</v>
      </c>
      <c r="G839" s="120">
        <f>VLOOKUP(C839,'RAW DATA 2023'!E:BO,26,0)</f>
        <v>0.31323631800000001</v>
      </c>
      <c r="H839" s="101">
        <f>IFERROR(VLOOKUP(F839,STD!B:G,6,0),"")</f>
        <v>0.38</v>
      </c>
      <c r="I839" s="100">
        <f t="shared" si="75"/>
        <v>0.82430610000000004</v>
      </c>
      <c r="J839" s="249">
        <f t="shared" si="77"/>
        <v>6.4861220000000008</v>
      </c>
      <c r="K839" s="63">
        <f>VLOOKUP(C839,'RAW DATA 2023'!E:BO,20,0)</f>
        <v>108.99999999999999</v>
      </c>
      <c r="L839" s="322">
        <f t="shared" si="78"/>
        <v>706.98729800000001</v>
      </c>
    </row>
    <row r="840" spans="1:12" s="63" customFormat="1">
      <c r="A840" s="63" t="str">
        <f>'RAW DATA 2023'!B833</f>
        <v>SR1</v>
      </c>
      <c r="B840" s="63" t="str">
        <f>'RAW DATA 2023'!D833</f>
        <v>D1-067-0004</v>
      </c>
      <c r="C840" s="63" t="str">
        <f t="shared" si="73"/>
        <v>SR1D1-067-0004</v>
      </c>
      <c r="D840" s="63">
        <f>VLOOKUP(C840,'RAW DATA 2023'!E:BP,63,0)</f>
        <v>3</v>
      </c>
      <c r="E840" s="63" t="str">
        <f t="shared" si="74"/>
        <v>SR13</v>
      </c>
      <c r="F840" s="63">
        <f>ROUND(VLOOKUP(C840,'RAW DATA 2023'!E:BO,23,0),0)</f>
        <v>30</v>
      </c>
      <c r="G840" s="120">
        <f>VLOOKUP(C840,'RAW DATA 2023'!E:BO,26,0)</f>
        <v>0.31239820699999998</v>
      </c>
      <c r="H840" s="101">
        <f>IFERROR(VLOOKUP(F840,STD!B:G,6,0),"")</f>
        <v>0.39</v>
      </c>
      <c r="I840" s="100">
        <f t="shared" si="75"/>
        <v>0.80102104358974346</v>
      </c>
      <c r="J840" s="249">
        <f t="shared" si="77"/>
        <v>6.0204208717948688</v>
      </c>
      <c r="K840" s="63">
        <f>VLOOKUP(C840,'RAW DATA 2023'!E:BO,20,0)</f>
        <v>142</v>
      </c>
      <c r="L840" s="322">
        <f t="shared" si="78"/>
        <v>854.89976379487143</v>
      </c>
    </row>
    <row r="841" spans="1:12" s="63" customFormat="1">
      <c r="A841" s="63" t="str">
        <f>'RAW DATA 2023'!B834</f>
        <v>SR1</v>
      </c>
      <c r="B841" s="63" t="str">
        <f>'RAW DATA 2023'!D834</f>
        <v>D1-062-0038</v>
      </c>
      <c r="C841" s="63" t="str">
        <f t="shared" si="73"/>
        <v>SR1D1-062-0038</v>
      </c>
      <c r="D841" s="63">
        <f>VLOOKUP(C841,'RAW DATA 2023'!E:BP,63,0)</f>
        <v>12</v>
      </c>
      <c r="E841" s="63" t="str">
        <f t="shared" si="74"/>
        <v>SR112</v>
      </c>
      <c r="F841" s="63">
        <f>ROUND(VLOOKUP(C841,'RAW DATA 2023'!E:BO,23,0),0)</f>
        <v>42</v>
      </c>
      <c r="G841" s="120">
        <f>VLOOKUP(C841,'RAW DATA 2023'!E:BO,26,0)</f>
        <v>0.31168741999999999</v>
      </c>
      <c r="H841" s="101">
        <f>IFERROR(VLOOKUP(F841,STD!B:G,6,0),"")</f>
        <v>0.37</v>
      </c>
      <c r="I841" s="100">
        <f t="shared" si="75"/>
        <v>0.8423984324324324</v>
      </c>
      <c r="J841" s="249">
        <f t="shared" si="77"/>
        <v>6.8479686486486475</v>
      </c>
      <c r="K841" s="63">
        <f>VLOOKUP(C841,'RAW DATA 2023'!E:BO,20,0)</f>
        <v>76</v>
      </c>
      <c r="L841" s="322">
        <f t="shared" si="78"/>
        <v>520.44561729729719</v>
      </c>
    </row>
    <row r="842" spans="1:12" s="63" customFormat="1">
      <c r="A842" s="63" t="str">
        <f>'RAW DATA 2023'!B835</f>
        <v>SR1</v>
      </c>
      <c r="B842" s="63" t="str">
        <f>'RAW DATA 2023'!D835</f>
        <v>C1-061-0038</v>
      </c>
      <c r="C842" s="63" t="str">
        <f t="shared" ref="C842:C905" si="79">A842&amp;B842</f>
        <v>SR1C1-061-0038</v>
      </c>
      <c r="D842" s="63">
        <f>VLOOKUP(C842,'RAW DATA 2023'!E:BP,63,0)</f>
        <v>1</v>
      </c>
      <c r="E842" s="63" t="str">
        <f t="shared" ref="E842:E905" si="80">A842&amp;D842</f>
        <v>SR11</v>
      </c>
      <c r="F842" s="63">
        <f>ROUND(VLOOKUP(C842,'RAW DATA 2023'!E:BO,23,0),0)</f>
        <v>48</v>
      </c>
      <c r="G842" s="120">
        <f>VLOOKUP(C842,'RAW DATA 2023'!E:BO,26,0)</f>
        <v>0.25728632499999998</v>
      </c>
      <c r="H842" s="101">
        <f>IFERROR(VLOOKUP(F842,STD!B:G,6,0),"")</f>
        <v>0.36</v>
      </c>
      <c r="I842" s="100">
        <f t="shared" ref="I842:I905" si="81">IFERROR(G842/H842,0)</f>
        <v>0.71468423611111109</v>
      </c>
      <c r="J842" s="249">
        <f t="shared" si="77"/>
        <v>4.2936847222222223</v>
      </c>
      <c r="K842" s="63">
        <f>VLOOKUP(C842,'RAW DATA 2023'!E:BO,20,0)</f>
        <v>78</v>
      </c>
      <c r="L842" s="322">
        <f t="shared" si="78"/>
        <v>334.90740833333336</v>
      </c>
    </row>
    <row r="843" spans="1:12" s="63" customFormat="1">
      <c r="A843" s="63" t="str">
        <f>'RAW DATA 2023'!B836</f>
        <v>SR1</v>
      </c>
      <c r="B843" s="63" t="str">
        <f>'RAW DATA 2023'!D836</f>
        <v>C1-062-0037</v>
      </c>
      <c r="C843" s="63" t="str">
        <f t="shared" si="79"/>
        <v>SR1C1-062-0037</v>
      </c>
      <c r="D843" s="63">
        <f>VLOOKUP(C843,'RAW DATA 2023'!E:BP,63,0)</f>
        <v>2</v>
      </c>
      <c r="E843" s="63" t="str">
        <f t="shared" si="80"/>
        <v>SR12</v>
      </c>
      <c r="F843" s="63">
        <f>ROUND(VLOOKUP(C843,'RAW DATA 2023'!E:BO,23,0),0)</f>
        <v>43</v>
      </c>
      <c r="G843" s="120">
        <f>VLOOKUP(C843,'RAW DATA 2023'!E:BO,26,0)</f>
        <v>0.23923462300000001</v>
      </c>
      <c r="H843" s="101">
        <f>IFERROR(VLOOKUP(F843,STD!B:G,6,0),"")</f>
        <v>0.37</v>
      </c>
      <c r="I843" s="100">
        <f t="shared" si="81"/>
        <v>0.64658006216216224</v>
      </c>
      <c r="J843" s="249">
        <f t="shared" ref="J843:J906" si="82">IF(I843&gt;0.5,((I843-$B$4)*$B$7),0)</f>
        <v>2.9316012432432448</v>
      </c>
      <c r="K843" s="63">
        <f>VLOOKUP(C843,'RAW DATA 2023'!E:BO,20,0)</f>
        <v>96</v>
      </c>
      <c r="L843" s="322">
        <f t="shared" ref="L843:L906" si="83">J843*K843</f>
        <v>281.4337193513515</v>
      </c>
    </row>
    <row r="844" spans="1:12" s="63" customFormat="1">
      <c r="A844" s="63" t="str">
        <f>'RAW DATA 2023'!B837</f>
        <v>SR1</v>
      </c>
      <c r="B844" s="63" t="str">
        <f>'RAW DATA 2023'!D837</f>
        <v>D1-066-0037</v>
      </c>
      <c r="C844" s="63" t="str">
        <f t="shared" si="79"/>
        <v>SR1D1-066-0037</v>
      </c>
      <c r="D844" s="63">
        <f>VLOOKUP(C844,'RAW DATA 2023'!E:BP,63,0)</f>
        <v>3</v>
      </c>
      <c r="E844" s="63" t="str">
        <f t="shared" si="80"/>
        <v>SR13</v>
      </c>
      <c r="F844" s="63">
        <f>ROUND(VLOOKUP(C844,'RAW DATA 2023'!E:BO,23,0),0)</f>
        <v>54</v>
      </c>
      <c r="G844" s="120">
        <f>VLOOKUP(C844,'RAW DATA 2023'!E:BO,26,0)</f>
        <v>0.17467160500000001</v>
      </c>
      <c r="H844" s="101">
        <f>IFERROR(VLOOKUP(F844,STD!B:G,6,0),"")</f>
        <v>0.36</v>
      </c>
      <c r="I844" s="100">
        <f t="shared" si="81"/>
        <v>0.48519890277777783</v>
      </c>
      <c r="J844" s="249">
        <f t="shared" si="82"/>
        <v>0</v>
      </c>
      <c r="K844" s="63">
        <f>VLOOKUP(C844,'RAW DATA 2023'!E:BO,20,0)</f>
        <v>105</v>
      </c>
      <c r="L844" s="322">
        <f t="shared" si="83"/>
        <v>0</v>
      </c>
    </row>
    <row r="845" spans="1:12" s="63" customFormat="1">
      <c r="A845" s="63" t="str">
        <f>'RAW DATA 2023'!B838</f>
        <v>SR1</v>
      </c>
      <c r="B845" s="63" t="str">
        <f>'RAW DATA 2023'!D838</f>
        <v>A1-027-0031</v>
      </c>
      <c r="C845" s="63" t="str">
        <f t="shared" si="79"/>
        <v>SR1A1-027-0031</v>
      </c>
      <c r="D845" s="63">
        <f>VLOOKUP(C845,'RAW DATA 2023'!E:BP,63,0)</f>
        <v>1</v>
      </c>
      <c r="E845" s="63" t="str">
        <f t="shared" si="80"/>
        <v>SR11</v>
      </c>
      <c r="F845" s="63">
        <f>ROUND(VLOOKUP(C845,'RAW DATA 2023'!E:BO,23,0),0)</f>
        <v>136</v>
      </c>
      <c r="G845" s="120">
        <f>VLOOKUP(C845,'RAW DATA 2023'!E:BO,26,0)</f>
        <v>0.171025437</v>
      </c>
      <c r="H845" s="101">
        <f>IFERROR(VLOOKUP(F845,STD!B:G,6,0),"")</f>
        <v>0.28999999999999998</v>
      </c>
      <c r="I845" s="100">
        <f t="shared" si="81"/>
        <v>0.58974288620689663</v>
      </c>
      <c r="J845" s="249">
        <f t="shared" si="82"/>
        <v>1.7948577241379327</v>
      </c>
      <c r="K845" s="63">
        <f>VLOOKUP(C845,'RAW DATA 2023'!E:BO,20,0)</f>
        <v>37</v>
      </c>
      <c r="L845" s="322">
        <f t="shared" si="83"/>
        <v>66.409735793103508</v>
      </c>
    </row>
    <row r="846" spans="1:12" s="63" customFormat="1">
      <c r="A846" s="63" t="str">
        <f>'RAW DATA 2023'!B839</f>
        <v>SR1</v>
      </c>
      <c r="B846" s="63" t="str">
        <f>'RAW DATA 2023'!D839</f>
        <v>C1-063-0004</v>
      </c>
      <c r="C846" s="63" t="str">
        <f t="shared" si="79"/>
        <v>SR1C1-063-0004</v>
      </c>
      <c r="D846" s="63">
        <f>VLOOKUP(C846,'RAW DATA 2023'!E:BP,63,0)</f>
        <v>3</v>
      </c>
      <c r="E846" s="63" t="str">
        <f t="shared" si="80"/>
        <v>SR13</v>
      </c>
      <c r="F846" s="63">
        <f>ROUND(VLOOKUP(C846,'RAW DATA 2023'!E:BO,23,0),0)</f>
        <v>163</v>
      </c>
      <c r="G846" s="120">
        <f>VLOOKUP(C846,'RAW DATA 2023'!E:BO,26,0)</f>
        <v>0.17016030100000001</v>
      </c>
      <c r="H846" s="101">
        <f>IFERROR(VLOOKUP(F846,STD!B:G,6,0),"")</f>
        <v>0.26</v>
      </c>
      <c r="I846" s="100">
        <f t="shared" si="81"/>
        <v>0.65446269615384622</v>
      </c>
      <c r="J846" s="249">
        <f t="shared" si="82"/>
        <v>3.0892539230769245</v>
      </c>
      <c r="K846" s="63">
        <f>VLOOKUP(C846,'RAW DATA 2023'!E:BO,20,0)</f>
        <v>31</v>
      </c>
      <c r="L846" s="322">
        <f t="shared" si="83"/>
        <v>95.766871615384659</v>
      </c>
    </row>
    <row r="847" spans="1:12" s="63" customFormat="1">
      <c r="A847" s="63" t="str">
        <f>'RAW DATA 2023'!B840</f>
        <v>SR1</v>
      </c>
      <c r="B847" s="63" t="str">
        <f>'RAW DATA 2023'!D840</f>
        <v>C1-050-0014</v>
      </c>
      <c r="C847" s="63" t="str">
        <f t="shared" si="79"/>
        <v>SR1C1-050-0014</v>
      </c>
      <c r="D847" s="63">
        <f>VLOOKUP(C847,'RAW DATA 2023'!E:BP,63,0)</f>
        <v>2</v>
      </c>
      <c r="E847" s="63" t="str">
        <f t="shared" si="80"/>
        <v>SR12</v>
      </c>
      <c r="F847" s="63">
        <f>ROUND(VLOOKUP(C847,'RAW DATA 2023'!E:BO,23,0),0)</f>
        <v>181</v>
      </c>
      <c r="G847" s="120">
        <f>VLOOKUP(C847,'RAW DATA 2023'!E:BO,26,0)</f>
        <v>0.11761049699999999</v>
      </c>
      <c r="H847" s="101">
        <f>IFERROR(VLOOKUP(F847,STD!B:G,6,0),"")</f>
        <v>0.25</v>
      </c>
      <c r="I847" s="100">
        <f t="shared" si="81"/>
        <v>0.47044198799999998</v>
      </c>
      <c r="J847" s="249">
        <f t="shared" si="82"/>
        <v>0</v>
      </c>
      <c r="K847" s="63">
        <f>VLOOKUP(C847,'RAW DATA 2023'!E:BO,20,0)</f>
        <v>44</v>
      </c>
      <c r="L847" s="322">
        <f t="shared" si="83"/>
        <v>0</v>
      </c>
    </row>
    <row r="848" spans="1:12" s="63" customFormat="1">
      <c r="A848" s="63" t="str">
        <f>'RAW DATA 2023'!B841</f>
        <v>SR1</v>
      </c>
      <c r="B848" s="63" t="str">
        <f>'RAW DATA 2023'!D841</f>
        <v>G1-130-0009</v>
      </c>
      <c r="C848" s="63" t="str">
        <f t="shared" si="79"/>
        <v>SR1G1-130-0009</v>
      </c>
      <c r="D848" s="63">
        <f>VLOOKUP(C848,'RAW DATA 2023'!E:BP,63,0)</f>
        <v>7</v>
      </c>
      <c r="E848" s="63" t="str">
        <f t="shared" si="80"/>
        <v>SR17</v>
      </c>
      <c r="F848" s="63">
        <f>ROUND(VLOOKUP(C848,'RAW DATA 2023'!E:BO,23,0),0)</f>
        <v>29</v>
      </c>
      <c r="G848" s="120">
        <f>VLOOKUP(C848,'RAW DATA 2023'!E:BO,26,0)</f>
        <v>0.40717569799999997</v>
      </c>
      <c r="H848" s="101">
        <f>IFERROR(VLOOKUP(F848,STD!B:G,6,0),"")</f>
        <v>0.4</v>
      </c>
      <c r="I848" s="100">
        <f t="shared" si="81"/>
        <v>1.0179392449999998</v>
      </c>
      <c r="J848" s="249">
        <f t="shared" si="82"/>
        <v>10.358784899999996</v>
      </c>
      <c r="K848" s="63">
        <f>VLOOKUP(C848,'RAW DATA 2023'!E:BO,20,0)</f>
        <v>87</v>
      </c>
      <c r="L848" s="322">
        <f t="shared" si="83"/>
        <v>901.21428629999969</v>
      </c>
    </row>
    <row r="849" spans="1:12" s="63" customFormat="1">
      <c r="A849" s="63" t="str">
        <f>'RAW DATA 2023'!B842</f>
        <v>SR1</v>
      </c>
      <c r="B849" s="63" t="str">
        <f>'RAW DATA 2023'!D842</f>
        <v>G1-128-0006</v>
      </c>
      <c r="C849" s="63" t="str">
        <f t="shared" si="79"/>
        <v>SR1G1-128-0006</v>
      </c>
      <c r="D849" s="63">
        <f>VLOOKUP(C849,'RAW DATA 2023'!E:BP,63,0)</f>
        <v>11</v>
      </c>
      <c r="E849" s="63" t="str">
        <f t="shared" si="80"/>
        <v>SR111</v>
      </c>
      <c r="F849" s="63">
        <f>ROUND(VLOOKUP(C849,'RAW DATA 2023'!E:BO,23,0),0)</f>
        <v>24</v>
      </c>
      <c r="G849" s="120">
        <f>VLOOKUP(C849,'RAW DATA 2023'!E:BO,26,0)</f>
        <v>0.36011636400000002</v>
      </c>
      <c r="H849" s="101">
        <f>IFERROR(VLOOKUP(F849,STD!B:G,6,0),"")</f>
        <v>0.36</v>
      </c>
      <c r="I849" s="100">
        <f t="shared" si="81"/>
        <v>1.0003232333333334</v>
      </c>
      <c r="J849" s="249">
        <f t="shared" si="82"/>
        <v>10.006464666666668</v>
      </c>
      <c r="K849" s="63">
        <f>VLOOKUP(C849,'RAW DATA 2023'!E:BO,20,0)</f>
        <v>125</v>
      </c>
      <c r="L849" s="322">
        <f t="shared" si="83"/>
        <v>1250.8080833333336</v>
      </c>
    </row>
    <row r="850" spans="1:12" s="63" customFormat="1">
      <c r="A850" s="63" t="str">
        <f>'RAW DATA 2023'!B843</f>
        <v>SR1</v>
      </c>
      <c r="B850" s="63" t="str">
        <f>'RAW DATA 2023'!D843</f>
        <v>G1-129-0009</v>
      </c>
      <c r="C850" s="63" t="str">
        <f t="shared" si="79"/>
        <v>SR1G1-129-0009</v>
      </c>
      <c r="D850" s="63">
        <f>VLOOKUP(C850,'RAW DATA 2023'!E:BP,63,0)</f>
        <v>7</v>
      </c>
      <c r="E850" s="63" t="str">
        <f t="shared" si="80"/>
        <v>SR17</v>
      </c>
      <c r="F850" s="63">
        <f>ROUND(VLOOKUP(C850,'RAW DATA 2023'!E:BO,23,0),0)</f>
        <v>33</v>
      </c>
      <c r="G850" s="120">
        <f>VLOOKUP(C850,'RAW DATA 2023'!E:BO,26,0)</f>
        <v>0.35807265399999999</v>
      </c>
      <c r="H850" s="101">
        <f>IFERROR(VLOOKUP(F850,STD!B:G,6,0),"")</f>
        <v>0.39</v>
      </c>
      <c r="I850" s="100">
        <f t="shared" si="81"/>
        <v>0.9181350102564102</v>
      </c>
      <c r="J850" s="249">
        <f t="shared" si="82"/>
        <v>8.3627002051282044</v>
      </c>
      <c r="K850" s="63">
        <f>VLOOKUP(C850,'RAW DATA 2023'!E:BO,20,0)</f>
        <v>83</v>
      </c>
      <c r="L850" s="322">
        <f t="shared" si="83"/>
        <v>694.10411702564102</v>
      </c>
    </row>
    <row r="851" spans="1:12" s="63" customFormat="1">
      <c r="A851" s="63" t="str">
        <f>'RAW DATA 2023'!B844</f>
        <v>SR1</v>
      </c>
      <c r="B851" s="63" t="str">
        <f>'RAW DATA 2023'!D844</f>
        <v>G1-128-0005</v>
      </c>
      <c r="C851" s="63" t="str">
        <f t="shared" si="79"/>
        <v>SR1G1-128-0005</v>
      </c>
      <c r="D851" s="63">
        <f>VLOOKUP(C851,'RAW DATA 2023'!E:BP,63,0)</f>
        <v>6</v>
      </c>
      <c r="E851" s="63" t="str">
        <f t="shared" si="80"/>
        <v>SR16</v>
      </c>
      <c r="F851" s="63">
        <f>ROUND(VLOOKUP(C851,'RAW DATA 2023'!E:BO,23,0),0)</f>
        <v>22</v>
      </c>
      <c r="G851" s="120">
        <f>VLOOKUP(C851,'RAW DATA 2023'!E:BO,26,0)</f>
        <v>0.33621621600000001</v>
      </c>
      <c r="H851" s="101">
        <f>IFERROR(VLOOKUP(F851,STD!B:G,6,0),"")</f>
        <v>0.37</v>
      </c>
      <c r="I851" s="100">
        <f t="shared" si="81"/>
        <v>0.90869247567567568</v>
      </c>
      <c r="J851" s="249">
        <f t="shared" si="82"/>
        <v>8.1738495135135132</v>
      </c>
      <c r="K851" s="63">
        <f>VLOOKUP(C851,'RAW DATA 2023'!E:BO,20,0)</f>
        <v>148</v>
      </c>
      <c r="L851" s="322">
        <f t="shared" si="83"/>
        <v>1209.729728</v>
      </c>
    </row>
    <row r="852" spans="1:12" s="63" customFormat="1">
      <c r="A852" s="63" t="str">
        <f>'RAW DATA 2023'!B845</f>
        <v>SR1</v>
      </c>
      <c r="B852" s="63" t="str">
        <f>'RAW DATA 2023'!D845</f>
        <v>A1-028-0036</v>
      </c>
      <c r="C852" s="63" t="str">
        <f t="shared" si="79"/>
        <v>SR1A1-028-0036</v>
      </c>
      <c r="D852" s="63">
        <f>VLOOKUP(C852,'RAW DATA 2023'!E:BP,63,0)</f>
        <v>5</v>
      </c>
      <c r="E852" s="63" t="str">
        <f t="shared" si="80"/>
        <v>SR15</v>
      </c>
      <c r="F852" s="63">
        <f>ROUND(VLOOKUP(C852,'RAW DATA 2023'!E:BO,23,0),0)</f>
        <v>23</v>
      </c>
      <c r="G852" s="120">
        <f>VLOOKUP(C852,'RAW DATA 2023'!E:BO,26,0)</f>
        <v>0.30660235000000002</v>
      </c>
      <c r="H852" s="101">
        <f>IFERROR(VLOOKUP(F852,STD!B:G,6,0),"")</f>
        <v>0.36</v>
      </c>
      <c r="I852" s="100">
        <f t="shared" si="81"/>
        <v>0.85167319444444456</v>
      </c>
      <c r="J852" s="249">
        <f t="shared" si="82"/>
        <v>7.0334638888888907</v>
      </c>
      <c r="K852" s="63">
        <f>VLOOKUP(C852,'RAW DATA 2023'!E:BO,20,0)</f>
        <v>147</v>
      </c>
      <c r="L852" s="322">
        <f t="shared" si="83"/>
        <v>1033.9191916666668</v>
      </c>
    </row>
    <row r="853" spans="1:12" s="63" customFormat="1">
      <c r="A853" s="63" t="str">
        <f>'RAW DATA 2023'!B846</f>
        <v>SR1</v>
      </c>
      <c r="B853" s="63" t="str">
        <f>'RAW DATA 2023'!D846</f>
        <v>G1-129-0010</v>
      </c>
      <c r="C853" s="63" t="str">
        <f t="shared" si="79"/>
        <v>SR1G1-129-0010</v>
      </c>
      <c r="D853" s="63">
        <f>VLOOKUP(C853,'RAW DATA 2023'!E:BP,63,0)</f>
        <v>10</v>
      </c>
      <c r="E853" s="63" t="str">
        <f t="shared" si="80"/>
        <v>SR110</v>
      </c>
      <c r="F853" s="63">
        <f>ROUND(VLOOKUP(C853,'RAW DATA 2023'!E:BO,23,0),0)</f>
        <v>61</v>
      </c>
      <c r="G853" s="120">
        <f>VLOOKUP(C853,'RAW DATA 2023'!E:BO,26,0)</f>
        <v>0.29478986600000001</v>
      </c>
      <c r="H853" s="101">
        <f>IFERROR(VLOOKUP(F853,STD!B:G,6,0),"")</f>
        <v>0.36</v>
      </c>
      <c r="I853" s="100">
        <f t="shared" si="81"/>
        <v>0.81886073888888899</v>
      </c>
      <c r="J853" s="249">
        <f t="shared" si="82"/>
        <v>6.3772147777777803</v>
      </c>
      <c r="K853" s="63">
        <f>VLOOKUP(C853,'RAW DATA 2023'!E:BO,20,0)</f>
        <v>55</v>
      </c>
      <c r="L853" s="322">
        <f t="shared" si="83"/>
        <v>350.7468127777779</v>
      </c>
    </row>
    <row r="854" spans="1:12" s="63" customFormat="1">
      <c r="A854" s="63" t="str">
        <f>'RAW DATA 2023'!B847</f>
        <v>SR1</v>
      </c>
      <c r="B854" s="63" t="str">
        <f>'RAW DATA 2023'!D847</f>
        <v>G1-129-0008</v>
      </c>
      <c r="C854" s="63" t="str">
        <f t="shared" si="79"/>
        <v>SR1G1-129-0008</v>
      </c>
      <c r="D854" s="63">
        <f>VLOOKUP(C854,'RAW DATA 2023'!E:BP,63,0)</f>
        <v>2</v>
      </c>
      <c r="E854" s="63" t="str">
        <f t="shared" si="80"/>
        <v>SR12</v>
      </c>
      <c r="F854" s="63">
        <f>ROUND(VLOOKUP(C854,'RAW DATA 2023'!E:BO,23,0),0)</f>
        <v>74</v>
      </c>
      <c r="G854" s="120">
        <f>VLOOKUP(C854,'RAW DATA 2023'!E:BO,26,0)</f>
        <v>0.21449215299999999</v>
      </c>
      <c r="H854" s="101">
        <f>IFERROR(VLOOKUP(F854,STD!B:G,6,0),"")</f>
        <v>0.35</v>
      </c>
      <c r="I854" s="100">
        <f t="shared" si="81"/>
        <v>0.61283472285714291</v>
      </c>
      <c r="J854" s="249">
        <f t="shared" si="82"/>
        <v>2.2566944571428582</v>
      </c>
      <c r="K854" s="63">
        <f>VLOOKUP(C854,'RAW DATA 2023'!E:BO,20,0)</f>
        <v>62</v>
      </c>
      <c r="L854" s="322">
        <f t="shared" si="83"/>
        <v>139.91505634285721</v>
      </c>
    </row>
    <row r="855" spans="1:12" s="63" customFormat="1">
      <c r="A855" s="63" t="str">
        <f>'RAW DATA 2023'!B848</f>
        <v>SR1</v>
      </c>
      <c r="B855" s="63" t="str">
        <f>'RAW DATA 2023'!D848</f>
        <v>G1-130-0010</v>
      </c>
      <c r="C855" s="63" t="str">
        <f t="shared" si="79"/>
        <v>SR1G1-130-0010</v>
      </c>
      <c r="D855" s="63">
        <f>VLOOKUP(C855,'RAW DATA 2023'!E:BP,63,0)</f>
        <v>10</v>
      </c>
      <c r="E855" s="63" t="str">
        <f t="shared" si="80"/>
        <v>SR110</v>
      </c>
      <c r="F855" s="63">
        <f>ROUND(VLOOKUP(C855,'RAW DATA 2023'!E:BO,23,0),0)</f>
        <v>117</v>
      </c>
      <c r="G855" s="120">
        <f>VLOOKUP(C855,'RAW DATA 2023'!E:BO,26,0)</f>
        <v>0.20658996299999999</v>
      </c>
      <c r="H855" s="101">
        <f>IFERROR(VLOOKUP(F855,STD!B:G,6,0),"")</f>
        <v>0.31</v>
      </c>
      <c r="I855" s="100">
        <f t="shared" si="81"/>
        <v>0.66641923548387094</v>
      </c>
      <c r="J855" s="249">
        <f t="shared" si="82"/>
        <v>3.3283847096774188</v>
      </c>
      <c r="K855" s="63">
        <f>VLOOKUP(C855,'RAW DATA 2023'!E:BO,20,0)</f>
        <v>39</v>
      </c>
      <c r="L855" s="322">
        <f t="shared" si="83"/>
        <v>129.80700367741935</v>
      </c>
    </row>
    <row r="856" spans="1:12" s="63" customFormat="1">
      <c r="A856" s="63" t="str">
        <f>'RAW DATA 2023'!B849</f>
        <v>SR1</v>
      </c>
      <c r="B856" s="63" t="str">
        <f>'RAW DATA 2023'!D849</f>
        <v>H1-095-0037</v>
      </c>
      <c r="C856" s="63" t="str">
        <f t="shared" si="79"/>
        <v>SR1H1-095-0037</v>
      </c>
      <c r="D856" s="63">
        <f>VLOOKUP(C856,'RAW DATA 2023'!E:BP,63,0)</f>
        <v>1</v>
      </c>
      <c r="E856" s="63" t="str">
        <f t="shared" si="80"/>
        <v>SR11</v>
      </c>
      <c r="F856" s="63">
        <f>ROUND(VLOOKUP(C856,'RAW DATA 2023'!E:BO,23,0),0)</f>
        <v>89</v>
      </c>
      <c r="G856" s="120">
        <f>VLOOKUP(C856,'RAW DATA 2023'!E:BO,26,0)</f>
        <v>0.20639127600000001</v>
      </c>
      <c r="H856" s="101">
        <f>IFERROR(VLOOKUP(F856,STD!B:G,6,0),"")</f>
        <v>0.33</v>
      </c>
      <c r="I856" s="100">
        <f t="shared" si="81"/>
        <v>0.62542810909090907</v>
      </c>
      <c r="J856" s="249">
        <f t="shared" si="82"/>
        <v>2.5085621818181814</v>
      </c>
      <c r="K856" s="63">
        <f>VLOOKUP(C856,'RAW DATA 2023'!E:BO,20,0)</f>
        <v>51</v>
      </c>
      <c r="L856" s="322">
        <f t="shared" si="83"/>
        <v>127.93667127272725</v>
      </c>
    </row>
    <row r="857" spans="1:12" s="63" customFormat="1">
      <c r="A857" s="63" t="str">
        <f>'RAW DATA 2023'!B850</f>
        <v>SR1</v>
      </c>
      <c r="B857" s="63" t="str">
        <f>'RAW DATA 2023'!D850</f>
        <v>H1-092-0039</v>
      </c>
      <c r="C857" s="63" t="str">
        <f t="shared" si="79"/>
        <v>SR1H1-092-0039</v>
      </c>
      <c r="D857" s="63">
        <f>VLOOKUP(C857,'RAW DATA 2023'!E:BP,63,0)</f>
        <v>1</v>
      </c>
      <c r="E857" s="63" t="str">
        <f t="shared" si="80"/>
        <v>SR11</v>
      </c>
      <c r="F857" s="63">
        <f>ROUND(VLOOKUP(C857,'RAW DATA 2023'!E:BO,23,0),0)</f>
        <v>82</v>
      </c>
      <c r="G857" s="120">
        <f>VLOOKUP(C857,'RAW DATA 2023'!E:BO,26,0)</f>
        <v>0.20509485100000002</v>
      </c>
      <c r="H857" s="101">
        <f>IFERROR(VLOOKUP(F857,STD!B:G,6,0),"")</f>
        <v>0.34</v>
      </c>
      <c r="I857" s="100">
        <f t="shared" si="81"/>
        <v>0.60322015000000007</v>
      </c>
      <c r="J857" s="249">
        <f t="shared" si="82"/>
        <v>2.0644030000000013</v>
      </c>
      <c r="K857" s="63">
        <f>VLOOKUP(C857,'RAW DATA 2023'!E:BO,20,0)</f>
        <v>54</v>
      </c>
      <c r="L857" s="322">
        <f t="shared" si="83"/>
        <v>111.47776200000007</v>
      </c>
    </row>
    <row r="858" spans="1:12" s="63" customFormat="1">
      <c r="A858" s="63" t="str">
        <f>'RAW DATA 2023'!B851</f>
        <v>SR1</v>
      </c>
      <c r="B858" s="63" t="str">
        <f>'RAW DATA 2023'!D851</f>
        <v>H1-126-0008</v>
      </c>
      <c r="C858" s="63" t="str">
        <f t="shared" si="79"/>
        <v>SR1H1-126-0008</v>
      </c>
      <c r="D858" s="63">
        <f>VLOOKUP(C858,'RAW DATA 2023'!E:BP,63,0)</f>
        <v>2</v>
      </c>
      <c r="E858" s="63" t="str">
        <f t="shared" si="80"/>
        <v>SR12</v>
      </c>
      <c r="F858" s="63">
        <f>ROUND(VLOOKUP(C858,'RAW DATA 2023'!E:BO,23,0),0)</f>
        <v>108</v>
      </c>
      <c r="G858" s="120">
        <f>VLOOKUP(C858,'RAW DATA 2023'!E:BO,26,0)</f>
        <v>0.19487242799999999</v>
      </c>
      <c r="H858" s="101">
        <f>IFERROR(VLOOKUP(F858,STD!B:G,6,0),"")</f>
        <v>0.32</v>
      </c>
      <c r="I858" s="100">
        <f t="shared" si="81"/>
        <v>0.60897633749999991</v>
      </c>
      <c r="J858" s="249">
        <f t="shared" si="82"/>
        <v>2.1795267499999982</v>
      </c>
      <c r="K858" s="63">
        <f>VLOOKUP(C858,'RAW DATA 2023'!E:BO,20,0)</f>
        <v>45</v>
      </c>
      <c r="L858" s="322">
        <f t="shared" si="83"/>
        <v>98.078703749999917</v>
      </c>
    </row>
    <row r="859" spans="1:12" s="63" customFormat="1">
      <c r="A859" s="63" t="str">
        <f>'RAW DATA 2023'!B852</f>
        <v>SR1</v>
      </c>
      <c r="B859" s="63" t="str">
        <f>'RAW DATA 2023'!D852</f>
        <v>G1-130-0008</v>
      </c>
      <c r="C859" s="63" t="str">
        <f t="shared" si="79"/>
        <v>SR1G1-130-0008</v>
      </c>
      <c r="D859" s="63">
        <f>VLOOKUP(C859,'RAW DATA 2023'!E:BP,63,0)</f>
        <v>2</v>
      </c>
      <c r="E859" s="63" t="str">
        <f t="shared" si="80"/>
        <v>SR12</v>
      </c>
      <c r="F859" s="63">
        <f>ROUND(VLOOKUP(C859,'RAW DATA 2023'!E:BO,23,0),0)</f>
        <v>91</v>
      </c>
      <c r="G859" s="120">
        <f>VLOOKUP(C859,'RAW DATA 2023'!E:BO,26,0)</f>
        <v>0.19307292700000001</v>
      </c>
      <c r="H859" s="101">
        <f>IFERROR(VLOOKUP(F859,STD!B:G,6,0),"")</f>
        <v>0.32</v>
      </c>
      <c r="I859" s="100">
        <f t="shared" si="81"/>
        <v>0.60335289687500004</v>
      </c>
      <c r="J859" s="249">
        <f t="shared" si="82"/>
        <v>2.0670579375000009</v>
      </c>
      <c r="K859" s="63">
        <f>VLOOKUP(C859,'RAW DATA 2023'!E:BO,20,0)</f>
        <v>55</v>
      </c>
      <c r="L859" s="322">
        <f t="shared" si="83"/>
        <v>113.68818656250005</v>
      </c>
    </row>
    <row r="860" spans="1:12" s="63" customFormat="1">
      <c r="A860" s="63" t="str">
        <f>'RAW DATA 2023'!B853</f>
        <v>SR1</v>
      </c>
      <c r="B860" s="63" t="str">
        <f>'RAW DATA 2023'!D853</f>
        <v>H1-125-0010</v>
      </c>
      <c r="C860" s="63" t="str">
        <f t="shared" si="79"/>
        <v>SR1H1-125-0010</v>
      </c>
      <c r="D860" s="63">
        <f>VLOOKUP(C860,'RAW DATA 2023'!E:BP,63,0)</f>
        <v>3</v>
      </c>
      <c r="E860" s="63" t="str">
        <f t="shared" si="80"/>
        <v>SR13</v>
      </c>
      <c r="F860" s="63">
        <f>ROUND(VLOOKUP(C860,'RAW DATA 2023'!E:BO,23,0),0)</f>
        <v>133</v>
      </c>
      <c r="G860" s="120">
        <f>VLOOKUP(C860,'RAW DATA 2023'!E:BO,26,0)</f>
        <v>0.15252759599999999</v>
      </c>
      <c r="H860" s="101">
        <f>IFERROR(VLOOKUP(F860,STD!B:G,6,0),"")</f>
        <v>0.3</v>
      </c>
      <c r="I860" s="100">
        <f t="shared" si="81"/>
        <v>0.50842531999999996</v>
      </c>
      <c r="J860" s="249">
        <f t="shared" si="82"/>
        <v>0.16850639999999917</v>
      </c>
      <c r="K860" s="63">
        <f>VLOOKUP(C860,'RAW DATA 2023'!E:BO,20,0)</f>
        <v>47</v>
      </c>
      <c r="L860" s="322">
        <f t="shared" si="83"/>
        <v>7.9198007999999609</v>
      </c>
    </row>
    <row r="861" spans="1:12" s="63" customFormat="1">
      <c r="A861" s="63" t="str">
        <f>'RAW DATA 2023'!B854</f>
        <v>SR1</v>
      </c>
      <c r="B861" s="63" t="str">
        <f>'RAW DATA 2023'!D854</f>
        <v>H1-126-0009</v>
      </c>
      <c r="C861" s="63" t="str">
        <f t="shared" si="79"/>
        <v>SR1H1-126-0009</v>
      </c>
      <c r="D861" s="63">
        <f>VLOOKUP(C861,'RAW DATA 2023'!E:BP,63,0)</f>
        <v>6</v>
      </c>
      <c r="E861" s="63" t="str">
        <f t="shared" si="80"/>
        <v>SR16</v>
      </c>
      <c r="F861" s="63">
        <f>ROUND(VLOOKUP(C861,'RAW DATA 2023'!E:BO,23,0),0)</f>
        <v>57</v>
      </c>
      <c r="G861" s="120">
        <f>VLOOKUP(C861,'RAW DATA 2023'!E:BO,26,0)</f>
        <v>0.27545808999999999</v>
      </c>
      <c r="H861" s="101">
        <f>IFERROR(VLOOKUP(F861,STD!B:G,6,0),"")</f>
        <v>0.36</v>
      </c>
      <c r="I861" s="100">
        <f t="shared" si="81"/>
        <v>0.7651613611111111</v>
      </c>
      <c r="J861" s="249">
        <f t="shared" si="82"/>
        <v>5.3032272222222225</v>
      </c>
      <c r="K861" s="63">
        <f>VLOOKUP(C861,'RAW DATA 2023'!E:BO,20,0)</f>
        <v>62.999999999999993</v>
      </c>
      <c r="L861" s="322">
        <f t="shared" si="83"/>
        <v>334.10331500000001</v>
      </c>
    </row>
    <row r="862" spans="1:12" s="63" customFormat="1">
      <c r="A862" s="63" t="str">
        <f>'RAW DATA 2023'!B855</f>
        <v>SR1</v>
      </c>
      <c r="B862" s="63" t="str">
        <f>'RAW DATA 2023'!D855</f>
        <v>H1-125-0011</v>
      </c>
      <c r="C862" s="63" t="str">
        <f t="shared" si="79"/>
        <v>SR1H1-125-0011</v>
      </c>
      <c r="D862" s="63">
        <f>VLOOKUP(C862,'RAW DATA 2023'!E:BP,63,0)</f>
        <v>7</v>
      </c>
      <c r="E862" s="63" t="str">
        <f t="shared" si="80"/>
        <v>SR17</v>
      </c>
      <c r="F862" s="63">
        <f>ROUND(VLOOKUP(C862,'RAW DATA 2023'!E:BO,23,0),0)</f>
        <v>60</v>
      </c>
      <c r="G862" s="120">
        <f>VLOOKUP(C862,'RAW DATA 2023'!E:BO,26,0)</f>
        <v>0.26255914000000002</v>
      </c>
      <c r="H862" s="101">
        <f>IFERROR(VLOOKUP(F862,STD!B:G,6,0),"")</f>
        <v>0.36</v>
      </c>
      <c r="I862" s="100">
        <f t="shared" si="81"/>
        <v>0.72933094444444457</v>
      </c>
      <c r="J862" s="249">
        <f t="shared" si="82"/>
        <v>4.586618888888891</v>
      </c>
      <c r="K862" s="63">
        <f>VLOOKUP(C862,'RAW DATA 2023'!E:BO,20,0)</f>
        <v>62.000000000000007</v>
      </c>
      <c r="L862" s="322">
        <f t="shared" si="83"/>
        <v>284.3703711111113</v>
      </c>
    </row>
    <row r="863" spans="1:12" s="63" customFormat="1">
      <c r="A863" s="63" t="str">
        <f>'RAW DATA 2023'!B856</f>
        <v>SR1</v>
      </c>
      <c r="B863" s="63" t="str">
        <f>'RAW DATA 2023'!D856</f>
        <v>H1-095-0038</v>
      </c>
      <c r="C863" s="63" t="str">
        <f t="shared" si="79"/>
        <v>SR1H1-095-0038</v>
      </c>
      <c r="D863" s="63">
        <f>VLOOKUP(C863,'RAW DATA 2023'!E:BP,63,0)</f>
        <v>6</v>
      </c>
      <c r="E863" s="63" t="str">
        <f t="shared" si="80"/>
        <v>SR16</v>
      </c>
      <c r="F863" s="63">
        <f>ROUND(VLOOKUP(C863,'RAW DATA 2023'!E:BO,23,0),0)</f>
        <v>82</v>
      </c>
      <c r="G863" s="120">
        <f>VLOOKUP(C863,'RAW DATA 2023'!E:BO,26,0)</f>
        <v>0.23590243899999999</v>
      </c>
      <c r="H863" s="101">
        <f>IFERROR(VLOOKUP(F863,STD!B:G,6,0),"")</f>
        <v>0.34</v>
      </c>
      <c r="I863" s="100">
        <f t="shared" si="81"/>
        <v>0.69383070294117644</v>
      </c>
      <c r="J863" s="249">
        <f t="shared" si="82"/>
        <v>3.8766140588235287</v>
      </c>
      <c r="K863" s="63">
        <f>VLOOKUP(C863,'RAW DATA 2023'!E:BO,20,0)</f>
        <v>50</v>
      </c>
      <c r="L863" s="322">
        <f t="shared" si="83"/>
        <v>193.83070294117644</v>
      </c>
    </row>
    <row r="864" spans="1:12" s="63" customFormat="1">
      <c r="A864" s="63" t="str">
        <f>'RAW DATA 2023'!B857</f>
        <v>SR1</v>
      </c>
      <c r="B864" s="63" t="str">
        <f>'RAW DATA 2023'!D857</f>
        <v>H1-094-0029</v>
      </c>
      <c r="C864" s="63" t="str">
        <f t="shared" si="79"/>
        <v>SR1H1-094-0029</v>
      </c>
      <c r="D864" s="63">
        <f>VLOOKUP(C864,'RAW DATA 2023'!E:BP,63,0)</f>
        <v>7</v>
      </c>
      <c r="E864" s="63" t="str">
        <f t="shared" si="80"/>
        <v>SR17</v>
      </c>
      <c r="F864" s="63">
        <f>ROUND(VLOOKUP(C864,'RAW DATA 2023'!E:BO,23,0),0)</f>
        <v>78</v>
      </c>
      <c r="G864" s="120">
        <f>VLOOKUP(C864,'RAW DATA 2023'!E:BO,26,0)</f>
        <v>0.22536629999999999</v>
      </c>
      <c r="H864" s="101">
        <f>IFERROR(VLOOKUP(F864,STD!B:G,6,0),"")</f>
        <v>0.34</v>
      </c>
      <c r="I864" s="100">
        <f t="shared" si="81"/>
        <v>0.66284205882352931</v>
      </c>
      <c r="J864" s="249">
        <f t="shared" si="82"/>
        <v>3.2568411764705862</v>
      </c>
      <c r="K864" s="63">
        <f>VLOOKUP(C864,'RAW DATA 2023'!E:BO,20,0)</f>
        <v>56</v>
      </c>
      <c r="L864" s="322">
        <f t="shared" si="83"/>
        <v>182.38310588235282</v>
      </c>
    </row>
    <row r="865" spans="1:12" s="63" customFormat="1">
      <c r="A865" s="63" t="str">
        <f>'RAW DATA 2023'!B858</f>
        <v>Nakornfarm</v>
      </c>
      <c r="B865" s="63" t="str">
        <f>'RAW DATA 2023'!D858</f>
        <v>BG-113-0010</v>
      </c>
      <c r="C865" s="63" t="str">
        <f t="shared" si="79"/>
        <v>NakornfarmBG-113-0010</v>
      </c>
      <c r="D865" s="63">
        <f>VLOOKUP(C865,'RAW DATA 2023'!E:BP,63,0)</f>
        <v>10</v>
      </c>
      <c r="E865" s="63" t="str">
        <f t="shared" si="80"/>
        <v>Nakornfarm10</v>
      </c>
      <c r="F865" s="63">
        <f>ROUND(VLOOKUP(C865,'RAW DATA 2023'!E:BO,23,0),0)</f>
        <v>26</v>
      </c>
      <c r="G865" s="120">
        <f>VLOOKUP(C865,'RAW DATA 2023'!E:BO,26,0)</f>
        <v>0.460462963</v>
      </c>
      <c r="H865" s="101">
        <f>IFERROR(VLOOKUP(F865,STD!B:G,6,0),"")</f>
        <v>0.37</v>
      </c>
      <c r="I865" s="100">
        <f t="shared" si="81"/>
        <v>1.2444944945945946</v>
      </c>
      <c r="J865" s="249">
        <f t="shared" si="82"/>
        <v>14.889889891891892</v>
      </c>
      <c r="K865" s="63">
        <f>VLOOKUP(C865,'RAW DATA 2023'!E:BO,20,0)</f>
        <v>120</v>
      </c>
      <c r="L865" s="322">
        <f t="shared" si="83"/>
        <v>1786.786787027027</v>
      </c>
    </row>
    <row r="866" spans="1:12" s="63" customFormat="1">
      <c r="A866" s="63" t="str">
        <f>'RAW DATA 2023'!B859</f>
        <v>Nakornfarm</v>
      </c>
      <c r="B866" s="63" t="str">
        <f>'RAW DATA 2023'!D859</f>
        <v>BG-101-0010</v>
      </c>
      <c r="C866" s="63" t="str">
        <f t="shared" si="79"/>
        <v>NakornfarmBG-101-0010</v>
      </c>
      <c r="D866" s="63">
        <f>VLOOKUP(C866,'RAW DATA 2023'!E:BP,63,0)</f>
        <v>7</v>
      </c>
      <c r="E866" s="63" t="str">
        <f t="shared" si="80"/>
        <v>Nakornfarm7</v>
      </c>
      <c r="F866" s="63">
        <f>ROUND(VLOOKUP(C866,'RAW DATA 2023'!E:BO,23,0),0)</f>
        <v>23</v>
      </c>
      <c r="G866" s="120">
        <f>VLOOKUP(C866,'RAW DATA 2023'!E:BO,26,0)</f>
        <v>0.39545418199999999</v>
      </c>
      <c r="H866" s="101">
        <f>IFERROR(VLOOKUP(F866,STD!B:G,6,0),"")</f>
        <v>0.36</v>
      </c>
      <c r="I866" s="100">
        <f t="shared" si="81"/>
        <v>1.0984838388888889</v>
      </c>
      <c r="J866" s="249">
        <f t="shared" si="82"/>
        <v>11.969676777777778</v>
      </c>
      <c r="K866" s="63">
        <f>VLOOKUP(C866,'RAW DATA 2023'!E:BO,20,0)</f>
        <v>119</v>
      </c>
      <c r="L866" s="322">
        <f t="shared" si="83"/>
        <v>1424.3915365555556</v>
      </c>
    </row>
    <row r="867" spans="1:12" s="63" customFormat="1">
      <c r="A867" s="63" t="str">
        <f>'RAW DATA 2023'!B860</f>
        <v>Nakornfarm</v>
      </c>
      <c r="B867" s="63" t="str">
        <f>'RAW DATA 2023'!D860</f>
        <v>BG-119-0010</v>
      </c>
      <c r="C867" s="63" t="str">
        <f t="shared" si="79"/>
        <v>NakornfarmBG-119-0010</v>
      </c>
      <c r="D867" s="63">
        <f>VLOOKUP(C867,'RAW DATA 2023'!E:BP,63,0)</f>
        <v>5</v>
      </c>
      <c r="E867" s="63" t="str">
        <f t="shared" si="80"/>
        <v>Nakornfarm5</v>
      </c>
      <c r="F867" s="63">
        <f>ROUND(VLOOKUP(C867,'RAW DATA 2023'!E:BO,23,0),0)</f>
        <v>28</v>
      </c>
      <c r="G867" s="120">
        <f>VLOOKUP(C867,'RAW DATA 2023'!E:BO,26,0)</f>
        <v>0.38592721600000002</v>
      </c>
      <c r="H867" s="101">
        <f>IFERROR(VLOOKUP(F867,STD!B:G,6,0),"")</f>
        <v>0.41</v>
      </c>
      <c r="I867" s="100">
        <f t="shared" si="81"/>
        <v>0.94128589268292695</v>
      </c>
      <c r="J867" s="249">
        <f t="shared" si="82"/>
        <v>8.8257178536585386</v>
      </c>
      <c r="K867" s="63">
        <f>VLOOKUP(C867,'RAW DATA 2023'!E:BO,20,0)</f>
        <v>122.99999999999999</v>
      </c>
      <c r="L867" s="322">
        <f t="shared" si="83"/>
        <v>1085.563296</v>
      </c>
    </row>
    <row r="868" spans="1:12" s="63" customFormat="1">
      <c r="A868" s="63" t="str">
        <f>'RAW DATA 2023'!B861</f>
        <v>Nakornfarm</v>
      </c>
      <c r="B868" s="63" t="str">
        <f>'RAW DATA 2023'!D861</f>
        <v>BG-116-0011</v>
      </c>
      <c r="C868" s="63" t="str">
        <f t="shared" si="79"/>
        <v>NakornfarmBG-116-0011</v>
      </c>
      <c r="D868" s="63">
        <f>VLOOKUP(C868,'RAW DATA 2023'!E:BP,63,0)</f>
        <v>10</v>
      </c>
      <c r="E868" s="63" t="str">
        <f t="shared" si="80"/>
        <v>Nakornfarm10</v>
      </c>
      <c r="F868" s="63">
        <f>ROUND(VLOOKUP(C868,'RAW DATA 2023'!E:BO,23,0),0)</f>
        <v>29</v>
      </c>
      <c r="G868" s="120">
        <f>VLOOKUP(C868,'RAW DATA 2023'!E:BO,26,0)</f>
        <v>0.37871238099999999</v>
      </c>
      <c r="H868" s="101">
        <f>IFERROR(VLOOKUP(F868,STD!B:G,6,0),"")</f>
        <v>0.4</v>
      </c>
      <c r="I868" s="100">
        <f t="shared" si="81"/>
        <v>0.94678095249999994</v>
      </c>
      <c r="J868" s="249">
        <f t="shared" si="82"/>
        <v>8.9356190499999997</v>
      </c>
      <c r="K868" s="63">
        <f>VLOOKUP(C868,'RAW DATA 2023'!E:BO,20,0)</f>
        <v>125</v>
      </c>
      <c r="L868" s="322">
        <f t="shared" si="83"/>
        <v>1116.9523812499999</v>
      </c>
    </row>
    <row r="869" spans="1:12" s="63" customFormat="1">
      <c r="A869" s="63" t="str">
        <f>'RAW DATA 2023'!B862</f>
        <v>Nakornfarm</v>
      </c>
      <c r="B869" s="63" t="str">
        <f>'RAW DATA 2023'!D862</f>
        <v>BG-119-0011</v>
      </c>
      <c r="C869" s="63" t="str">
        <f t="shared" si="79"/>
        <v>NakornfarmBG-119-0011</v>
      </c>
      <c r="D869" s="63">
        <f>VLOOKUP(C869,'RAW DATA 2023'!E:BP,63,0)</f>
        <v>10</v>
      </c>
      <c r="E869" s="63" t="str">
        <f t="shared" si="80"/>
        <v>Nakornfarm10</v>
      </c>
      <c r="F869" s="63">
        <f>ROUND(VLOOKUP(C869,'RAW DATA 2023'!E:BO,23,0),0)</f>
        <v>31</v>
      </c>
      <c r="G869" s="120">
        <f>VLOOKUP(C869,'RAW DATA 2023'!E:BO,26,0)</f>
        <v>0.36577380999999998</v>
      </c>
      <c r="H869" s="101">
        <f>IFERROR(VLOOKUP(F869,STD!B:G,6,0),"")</f>
        <v>0.39</v>
      </c>
      <c r="I869" s="100">
        <f t="shared" si="81"/>
        <v>0.93788156410256396</v>
      </c>
      <c r="J869" s="249">
        <f t="shared" si="82"/>
        <v>8.7576312820512783</v>
      </c>
      <c r="K869" s="63">
        <f>VLOOKUP(C869,'RAW DATA 2023'!E:BO,20,0)</f>
        <v>128</v>
      </c>
      <c r="L869" s="322">
        <f t="shared" si="83"/>
        <v>1120.9768041025636</v>
      </c>
    </row>
    <row r="870" spans="1:12" s="63" customFormat="1">
      <c r="A870" s="63" t="str">
        <f>'RAW DATA 2023'!B863</f>
        <v>Nakornfarm</v>
      </c>
      <c r="B870" s="63" t="str">
        <f>'RAW DATA 2023'!D863</f>
        <v>BG-110-0011</v>
      </c>
      <c r="C870" s="63" t="str">
        <f t="shared" si="79"/>
        <v>NakornfarmBG-110-0011</v>
      </c>
      <c r="D870" s="63">
        <f>VLOOKUP(C870,'RAW DATA 2023'!E:BP,63,0)</f>
        <v>6</v>
      </c>
      <c r="E870" s="63" t="str">
        <f t="shared" si="80"/>
        <v>Nakornfarm6</v>
      </c>
      <c r="F870" s="63">
        <f>ROUND(VLOOKUP(C870,'RAW DATA 2023'!E:BO,23,0),0)</f>
        <v>27</v>
      </c>
      <c r="G870" s="120">
        <f>VLOOKUP(C870,'RAW DATA 2023'!E:BO,26,0)</f>
        <v>0.35599713599999999</v>
      </c>
      <c r="H870" s="101">
        <f>IFERROR(VLOOKUP(F870,STD!B:G,6,0),"")</f>
        <v>0.39</v>
      </c>
      <c r="I870" s="100">
        <f t="shared" si="81"/>
        <v>0.91281316923076916</v>
      </c>
      <c r="J870" s="249">
        <f t="shared" si="82"/>
        <v>8.2562633846153837</v>
      </c>
      <c r="K870" s="63">
        <f>VLOOKUP(C870,'RAW DATA 2023'!E:BO,20,0)</f>
        <v>147</v>
      </c>
      <c r="L870" s="322">
        <f t="shared" si="83"/>
        <v>1213.6707175384613</v>
      </c>
    </row>
    <row r="871" spans="1:12" s="63" customFormat="1">
      <c r="A871" s="63" t="str">
        <f>'RAW DATA 2023'!B864</f>
        <v>Nakornfarm</v>
      </c>
      <c r="B871" s="63" t="str">
        <f>'RAW DATA 2023'!D864</f>
        <v>BG-102-0011</v>
      </c>
      <c r="C871" s="63" t="str">
        <f t="shared" si="79"/>
        <v>NakornfarmBG-102-0011</v>
      </c>
      <c r="D871" s="63">
        <f>VLOOKUP(C871,'RAW DATA 2023'!E:BP,63,0)</f>
        <v>9</v>
      </c>
      <c r="E871" s="63" t="str">
        <f t="shared" si="80"/>
        <v>Nakornfarm9</v>
      </c>
      <c r="F871" s="63">
        <f>ROUND(VLOOKUP(C871,'RAW DATA 2023'!E:BO,23,0),0)</f>
        <v>40</v>
      </c>
      <c r="G871" s="120">
        <f>VLOOKUP(C871,'RAW DATA 2023'!E:BO,26,0)</f>
        <v>0.35497626900000001</v>
      </c>
      <c r="H871" s="101">
        <f>IFERROR(VLOOKUP(F871,STD!B:G,6,0),"")</f>
        <v>0.37</v>
      </c>
      <c r="I871" s="100">
        <f t="shared" si="81"/>
        <v>0.95939532162162167</v>
      </c>
      <c r="J871" s="249">
        <f t="shared" si="82"/>
        <v>9.1879064324324329</v>
      </c>
      <c r="K871" s="63">
        <f>VLOOKUP(C871,'RAW DATA 2023'!E:BO,20,0)</f>
        <v>82.999999999999986</v>
      </c>
      <c r="L871" s="322">
        <f t="shared" si="83"/>
        <v>762.59623389189176</v>
      </c>
    </row>
    <row r="872" spans="1:12" s="63" customFormat="1">
      <c r="A872" s="63" t="str">
        <f>'RAW DATA 2023'!B865</f>
        <v>Nakornfarm</v>
      </c>
      <c r="B872" s="63" t="str">
        <f>'RAW DATA 2023'!D865</f>
        <v>BG-111-0010</v>
      </c>
      <c r="C872" s="63" t="str">
        <f t="shared" si="79"/>
        <v>NakornfarmBG-111-0010</v>
      </c>
      <c r="D872" s="63">
        <f>VLOOKUP(C872,'RAW DATA 2023'!E:BP,63,0)</f>
        <v>6</v>
      </c>
      <c r="E872" s="63" t="str">
        <f t="shared" si="80"/>
        <v>Nakornfarm6</v>
      </c>
      <c r="F872" s="63">
        <f>ROUND(VLOOKUP(C872,'RAW DATA 2023'!E:BO,23,0),0)</f>
        <v>29</v>
      </c>
      <c r="G872" s="120">
        <f>VLOOKUP(C872,'RAW DATA 2023'!E:BO,26,0)</f>
        <v>0.25755423599999999</v>
      </c>
      <c r="H872" s="101">
        <f>IFERROR(VLOOKUP(F872,STD!B:G,6,0),"")</f>
        <v>0.4</v>
      </c>
      <c r="I872" s="100">
        <f t="shared" si="81"/>
        <v>0.6438855899999999</v>
      </c>
      <c r="J872" s="249">
        <f t="shared" si="82"/>
        <v>2.8777117999999979</v>
      </c>
      <c r="K872" s="63">
        <f>VLOOKUP(C872,'RAW DATA 2023'!E:BO,20,0)</f>
        <v>176</v>
      </c>
      <c r="L872" s="322">
        <f t="shared" si="83"/>
        <v>506.47727679999963</v>
      </c>
    </row>
    <row r="873" spans="1:12" s="63" customFormat="1">
      <c r="A873" s="63" t="str">
        <f>'RAW DATA 2023'!B866</f>
        <v>Nakornfarm</v>
      </c>
      <c r="B873" s="63" t="str">
        <f>'RAW DATA 2023'!D866</f>
        <v>BG-116-0009</v>
      </c>
      <c r="C873" s="63" t="str">
        <f t="shared" si="79"/>
        <v>NakornfarmBG-116-0009</v>
      </c>
      <c r="D873" s="63">
        <f>VLOOKUP(C873,'RAW DATA 2023'!E:BP,63,0)</f>
        <v>3</v>
      </c>
      <c r="E873" s="63" t="str">
        <f t="shared" si="80"/>
        <v>Nakornfarm3</v>
      </c>
      <c r="F873" s="63">
        <f>ROUND(VLOOKUP(C873,'RAW DATA 2023'!E:BO,23,0),0)</f>
        <v>117</v>
      </c>
      <c r="G873" s="120">
        <f>VLOOKUP(C873,'RAW DATA 2023'!E:BO,26,0)</f>
        <v>0.19350020400000001</v>
      </c>
      <c r="H873" s="101">
        <f>IFERROR(VLOOKUP(F873,STD!B:G,6,0),"")</f>
        <v>0.31</v>
      </c>
      <c r="I873" s="100">
        <f t="shared" si="81"/>
        <v>0.62419420645161294</v>
      </c>
      <c r="J873" s="249">
        <f t="shared" si="82"/>
        <v>2.4838841290322589</v>
      </c>
      <c r="K873" s="63">
        <f>VLOOKUP(C873,'RAW DATA 2023'!E:BO,20,0)</f>
        <v>42</v>
      </c>
      <c r="L873" s="322">
        <f t="shared" si="83"/>
        <v>104.32313341935487</v>
      </c>
    </row>
    <row r="874" spans="1:12" s="63" customFormat="1">
      <c r="A874" s="63" t="str">
        <f>'RAW DATA 2023'!B867</f>
        <v>Nakornfarm</v>
      </c>
      <c r="B874" s="63" t="str">
        <f>'RAW DATA 2023'!D867</f>
        <v>BG-102-0010</v>
      </c>
      <c r="C874" s="63" t="str">
        <f t="shared" si="79"/>
        <v>NakornfarmBG-102-0010</v>
      </c>
      <c r="D874" s="63">
        <f>VLOOKUP(C874,'RAW DATA 2023'!E:BP,63,0)</f>
        <v>2</v>
      </c>
      <c r="E874" s="63" t="str">
        <f t="shared" si="80"/>
        <v>Nakornfarm2</v>
      </c>
      <c r="F874" s="63">
        <f>ROUND(VLOOKUP(C874,'RAW DATA 2023'!E:BO,23,0),0)</f>
        <v>121</v>
      </c>
      <c r="G874" s="120">
        <f>VLOOKUP(C874,'RAW DATA 2023'!E:BO,26,0)</f>
        <v>0.17574919200000003</v>
      </c>
      <c r="H874" s="101">
        <f>IFERROR(VLOOKUP(F874,STD!B:G,6,0),"")</f>
        <v>0.31</v>
      </c>
      <c r="I874" s="100">
        <f t="shared" si="81"/>
        <v>0.56693287741935494</v>
      </c>
      <c r="J874" s="249">
        <f t="shared" si="82"/>
        <v>1.3386575483870988</v>
      </c>
      <c r="K874" s="63">
        <f>VLOOKUP(C874,'RAW DATA 2023'!E:BO,20,0)</f>
        <v>46</v>
      </c>
      <c r="L874" s="322">
        <f t="shared" si="83"/>
        <v>61.57824722580655</v>
      </c>
    </row>
    <row r="875" spans="1:12" s="63" customFormat="1">
      <c r="A875" s="63" t="str">
        <f>'RAW DATA 2023'!B868</f>
        <v>Nakornfarm</v>
      </c>
      <c r="B875" s="63" t="str">
        <f>'RAW DATA 2023'!D868</f>
        <v>BG-110-0012</v>
      </c>
      <c r="C875" s="63" t="str">
        <f t="shared" si="79"/>
        <v>NakornfarmBG-110-0012</v>
      </c>
      <c r="D875" s="63">
        <f>VLOOKUP(C875,'RAW DATA 2023'!E:BP,63,0)</f>
        <v>8</v>
      </c>
      <c r="E875" s="63" t="str">
        <f t="shared" si="80"/>
        <v>Nakornfarm8</v>
      </c>
      <c r="F875" s="63">
        <f>ROUND(VLOOKUP(C875,'RAW DATA 2023'!E:BO,23,0),0)</f>
        <v>0</v>
      </c>
      <c r="G875" s="120">
        <f>VLOOKUP(C875,'RAW DATA 2023'!E:BO,26,0)</f>
        <v>0</v>
      </c>
      <c r="H875" s="101" t="str">
        <f>IFERROR(VLOOKUP(F875,STD!B:G,6,0),"")</f>
        <v/>
      </c>
      <c r="I875" s="100">
        <f t="shared" si="81"/>
        <v>0</v>
      </c>
      <c r="J875" s="249">
        <f t="shared" si="82"/>
        <v>0</v>
      </c>
      <c r="K875" s="63">
        <f>VLOOKUP(C875,'RAW DATA 2023'!E:BO,20,0)</f>
        <v>0</v>
      </c>
      <c r="L875" s="322">
        <f t="shared" si="83"/>
        <v>0</v>
      </c>
    </row>
    <row r="876" spans="1:12" s="63" customFormat="1">
      <c r="A876" s="63" t="str">
        <f>'RAW DATA 2023'!B869</f>
        <v>Nakornfarm</v>
      </c>
      <c r="B876" s="63" t="str">
        <f>'RAW DATA 2023'!D869</f>
        <v>BG-113-0009</v>
      </c>
      <c r="C876" s="63" t="str">
        <f t="shared" si="79"/>
        <v>NakornfarmBG-113-0009</v>
      </c>
      <c r="D876" s="63">
        <f>VLOOKUP(C876,'RAW DATA 2023'!E:BP,63,0)</f>
        <v>1</v>
      </c>
      <c r="E876" s="63" t="str">
        <f t="shared" si="80"/>
        <v>Nakornfarm1</v>
      </c>
      <c r="F876" s="63">
        <f>ROUND(VLOOKUP(C876,'RAW DATA 2023'!E:BO,23,0),0)</f>
        <v>0</v>
      </c>
      <c r="G876" s="120">
        <f>VLOOKUP(C876,'RAW DATA 2023'!E:BO,26,0)</f>
        <v>0</v>
      </c>
      <c r="H876" s="101" t="str">
        <f>IFERROR(VLOOKUP(F876,STD!B:G,6,0),"")</f>
        <v/>
      </c>
      <c r="I876" s="100">
        <f t="shared" si="81"/>
        <v>0</v>
      </c>
      <c r="J876" s="249">
        <f t="shared" si="82"/>
        <v>0</v>
      </c>
      <c r="K876" s="63">
        <f>VLOOKUP(C876,'RAW DATA 2023'!E:BO,20,0)</f>
        <v>0</v>
      </c>
      <c r="L876" s="322">
        <f t="shared" si="83"/>
        <v>0</v>
      </c>
    </row>
    <row r="877" spans="1:12" s="63" customFormat="1">
      <c r="A877" s="63" t="str">
        <f>'RAW DATA 2023'!B870</f>
        <v>Nakornfarm</v>
      </c>
      <c r="B877" s="63" t="str">
        <f>'RAW DATA 2023'!D870</f>
        <v>E1-075-0011</v>
      </c>
      <c r="C877" s="63" t="str">
        <f t="shared" si="79"/>
        <v>NakornfarmE1-075-0011</v>
      </c>
      <c r="D877" s="63">
        <f>VLOOKUP(C877,'RAW DATA 2023'!E:BP,63,0)</f>
        <v>4</v>
      </c>
      <c r="E877" s="63" t="str">
        <f t="shared" si="80"/>
        <v>Nakornfarm4</v>
      </c>
      <c r="F877" s="63">
        <f>ROUND(VLOOKUP(C877,'RAW DATA 2023'!E:BO,23,0),0)</f>
        <v>56</v>
      </c>
      <c r="G877" s="120">
        <f>VLOOKUP(C877,'RAW DATA 2023'!E:BO,26,0)</f>
        <v>0.30709183699999998</v>
      </c>
      <c r="H877" s="101">
        <f>IFERROR(VLOOKUP(F877,STD!B:G,6,0),"")</f>
        <v>0.36</v>
      </c>
      <c r="I877" s="100">
        <f t="shared" si="81"/>
        <v>0.85303288055555548</v>
      </c>
      <c r="J877" s="249">
        <f t="shared" si="82"/>
        <v>7.0606576111111092</v>
      </c>
      <c r="K877" s="63">
        <f>VLOOKUP(C877,'RAW DATA 2023'!E:BO,20,0)</f>
        <v>55.999999999999993</v>
      </c>
      <c r="L877" s="322">
        <f t="shared" si="83"/>
        <v>395.39682622222205</v>
      </c>
    </row>
    <row r="878" spans="1:12" s="63" customFormat="1">
      <c r="A878" s="63" t="str">
        <f>'RAW DATA 2023'!B871</f>
        <v>Nakornfarm</v>
      </c>
      <c r="B878" s="63" t="str">
        <f>'RAW DATA 2023'!D871</f>
        <v>BG-102-0012</v>
      </c>
      <c r="C878" s="63" t="str">
        <f t="shared" si="79"/>
        <v>NakornfarmBG-102-0012</v>
      </c>
      <c r="D878" s="63">
        <f>VLOOKUP(C878,'RAW DATA 2023'!E:BP,63,0)</f>
        <v>12</v>
      </c>
      <c r="E878" s="63" t="str">
        <f t="shared" si="80"/>
        <v>Nakornfarm12</v>
      </c>
      <c r="F878" s="63">
        <f>ROUND(VLOOKUP(C878,'RAW DATA 2023'!E:BO,23,0),0)</f>
        <v>56</v>
      </c>
      <c r="G878" s="120">
        <f>VLOOKUP(C878,'RAW DATA 2023'!E:BO,26,0)</f>
        <v>0.30144078099999999</v>
      </c>
      <c r="H878" s="101">
        <f>IFERROR(VLOOKUP(F878,STD!B:G,6,0),"")</f>
        <v>0.36</v>
      </c>
      <c r="I878" s="100">
        <f t="shared" si="81"/>
        <v>0.8373355027777778</v>
      </c>
      <c r="J878" s="249">
        <f t="shared" si="82"/>
        <v>6.7467100555555559</v>
      </c>
      <c r="K878" s="63">
        <f>VLOOKUP(C878,'RAW DATA 2023'!E:BO,20,0)</f>
        <v>63</v>
      </c>
      <c r="L878" s="322">
        <f t="shared" si="83"/>
        <v>425.0427335</v>
      </c>
    </row>
    <row r="879" spans="1:12" s="63" customFormat="1">
      <c r="A879" s="63" t="str">
        <f>'RAW DATA 2023'!B872</f>
        <v>Nakornfarm</v>
      </c>
      <c r="B879" s="63" t="str">
        <f>'RAW DATA 2023'!D872</f>
        <v>BG-101-0011</v>
      </c>
      <c r="C879" s="63" t="str">
        <f t="shared" si="79"/>
        <v>NakornfarmBG-101-0011</v>
      </c>
      <c r="D879" s="63">
        <f>VLOOKUP(C879,'RAW DATA 2023'!E:BP,63,0)</f>
        <v>12</v>
      </c>
      <c r="E879" s="63" t="str">
        <f t="shared" si="80"/>
        <v>Nakornfarm12</v>
      </c>
      <c r="F879" s="63">
        <f>ROUND(VLOOKUP(C879,'RAW DATA 2023'!E:BO,23,0),0)</f>
        <v>49</v>
      </c>
      <c r="G879" s="120">
        <f>VLOOKUP(C879,'RAW DATA 2023'!E:BO,26,0)</f>
        <v>0.299638554</v>
      </c>
      <c r="H879" s="101">
        <f>IFERROR(VLOOKUP(F879,STD!B:G,6,0),"")</f>
        <v>0.36</v>
      </c>
      <c r="I879" s="100">
        <f t="shared" si="81"/>
        <v>0.83232931666666665</v>
      </c>
      <c r="J879" s="249">
        <f t="shared" si="82"/>
        <v>6.6465863333333335</v>
      </c>
      <c r="K879" s="63">
        <f>VLOOKUP(C879,'RAW DATA 2023'!E:BO,20,0)</f>
        <v>83</v>
      </c>
      <c r="L879" s="322">
        <f t="shared" si="83"/>
        <v>551.66666566666663</v>
      </c>
    </row>
    <row r="880" spans="1:12" s="63" customFormat="1">
      <c r="A880" s="63" t="str">
        <f>'RAW DATA 2023'!B873</f>
        <v>Nakornfarm</v>
      </c>
      <c r="B880" s="63" t="str">
        <f>'RAW DATA 2023'!D873</f>
        <v>E1-077-0016</v>
      </c>
      <c r="C880" s="63" t="str">
        <f t="shared" si="79"/>
        <v>NakornfarmE1-077-0016</v>
      </c>
      <c r="D880" s="63">
        <f>VLOOKUP(C880,'RAW DATA 2023'!E:BP,63,0)</f>
        <v>7</v>
      </c>
      <c r="E880" s="63" t="str">
        <f t="shared" si="80"/>
        <v>Nakornfarm7</v>
      </c>
      <c r="F880" s="63">
        <f>ROUND(VLOOKUP(C880,'RAW DATA 2023'!E:BO,23,0),0)</f>
        <v>92</v>
      </c>
      <c r="G880" s="120">
        <f>VLOOKUP(C880,'RAW DATA 2023'!E:BO,26,0)</f>
        <v>0.28695652199999999</v>
      </c>
      <c r="H880" s="101">
        <f>IFERROR(VLOOKUP(F880,STD!B:G,6,0),"")</f>
        <v>0.32</v>
      </c>
      <c r="I880" s="100">
        <f t="shared" si="81"/>
        <v>0.89673913124999993</v>
      </c>
      <c r="J880" s="249">
        <f t="shared" si="82"/>
        <v>7.9347826249999986</v>
      </c>
      <c r="K880" s="63">
        <f>VLOOKUP(C880,'RAW DATA 2023'!E:BO,20,0)</f>
        <v>33</v>
      </c>
      <c r="L880" s="322">
        <f t="shared" si="83"/>
        <v>261.84782662499998</v>
      </c>
    </row>
    <row r="881" spans="1:12" s="63" customFormat="1">
      <c r="A881" s="63" t="str">
        <f>'RAW DATA 2023'!B874</f>
        <v>Nakornfarm</v>
      </c>
      <c r="B881" s="63" t="str">
        <f>'RAW DATA 2023'!D874</f>
        <v>E1-074-0012</v>
      </c>
      <c r="C881" s="63" t="str">
        <f t="shared" si="79"/>
        <v>NakornfarmE1-074-0012</v>
      </c>
      <c r="D881" s="63">
        <f>VLOOKUP(C881,'RAW DATA 2023'!E:BP,63,0)</f>
        <v>4</v>
      </c>
      <c r="E881" s="63" t="str">
        <f t="shared" si="80"/>
        <v>Nakornfarm4</v>
      </c>
      <c r="F881" s="63">
        <f>ROUND(VLOOKUP(C881,'RAW DATA 2023'!E:BO,23,0),0)</f>
        <v>58</v>
      </c>
      <c r="G881" s="120">
        <f>VLOOKUP(C881,'RAW DATA 2023'!E:BO,26,0)</f>
        <v>0.27968965499999998</v>
      </c>
      <c r="H881" s="101">
        <f>IFERROR(VLOOKUP(F881,STD!B:G,6,0),"")</f>
        <v>0.36</v>
      </c>
      <c r="I881" s="100">
        <f t="shared" si="81"/>
        <v>0.77691570833333334</v>
      </c>
      <c r="J881" s="249">
        <f t="shared" si="82"/>
        <v>5.5383141666666669</v>
      </c>
      <c r="K881" s="63">
        <f>VLOOKUP(C881,'RAW DATA 2023'!E:BO,20,0)</f>
        <v>60</v>
      </c>
      <c r="L881" s="322">
        <f t="shared" si="83"/>
        <v>332.29885000000002</v>
      </c>
    </row>
    <row r="882" spans="1:12" s="63" customFormat="1">
      <c r="A882" s="63" t="str">
        <f>'RAW DATA 2023'!B875</f>
        <v>Nakornfarm</v>
      </c>
      <c r="B882" s="63" t="str">
        <f>'RAW DATA 2023'!D875</f>
        <v>D1-081-0013</v>
      </c>
      <c r="C882" s="63" t="str">
        <f t="shared" si="79"/>
        <v>NakornfarmD1-081-0013</v>
      </c>
      <c r="D882" s="63">
        <f>VLOOKUP(C882,'RAW DATA 2023'!E:BP,63,0)</f>
        <v>4</v>
      </c>
      <c r="E882" s="63" t="str">
        <f t="shared" si="80"/>
        <v>Nakornfarm4</v>
      </c>
      <c r="F882" s="63">
        <f>ROUND(VLOOKUP(C882,'RAW DATA 2023'!E:BO,23,0),0)</f>
        <v>84</v>
      </c>
      <c r="G882" s="120">
        <f>VLOOKUP(C882,'RAW DATA 2023'!E:BO,26,0)</f>
        <v>0.23593254</v>
      </c>
      <c r="H882" s="101">
        <f>IFERROR(VLOOKUP(F882,STD!B:G,6,0),"")</f>
        <v>0.33</v>
      </c>
      <c r="I882" s="100">
        <f t="shared" si="81"/>
        <v>0.71494709090909081</v>
      </c>
      <c r="J882" s="249">
        <f t="shared" si="82"/>
        <v>4.2989418181818166</v>
      </c>
      <c r="K882" s="63">
        <f>VLOOKUP(C882,'RAW DATA 2023'!E:BO,20,0)</f>
        <v>48</v>
      </c>
      <c r="L882" s="322">
        <f t="shared" si="83"/>
        <v>206.3492072727272</v>
      </c>
    </row>
    <row r="883" spans="1:12" s="63" customFormat="1">
      <c r="A883" s="63" t="str">
        <f>'RAW DATA 2023'!B876</f>
        <v>Nakornfarm</v>
      </c>
      <c r="B883" s="63" t="str">
        <f>'RAW DATA 2023'!D876</f>
        <v>E1-077-0015</v>
      </c>
      <c r="C883" s="63" t="str">
        <f t="shared" si="79"/>
        <v>NakornfarmE1-077-0015</v>
      </c>
      <c r="D883" s="63">
        <f>VLOOKUP(C883,'RAW DATA 2023'!E:BP,63,0)</f>
        <v>4</v>
      </c>
      <c r="E883" s="63" t="str">
        <f t="shared" si="80"/>
        <v>Nakornfarm4</v>
      </c>
      <c r="F883" s="63">
        <f>ROUND(VLOOKUP(C883,'RAW DATA 2023'!E:BO,23,0),0)</f>
        <v>102</v>
      </c>
      <c r="G883" s="120">
        <f>VLOOKUP(C883,'RAW DATA 2023'!E:BO,26,0)</f>
        <v>0.199180036</v>
      </c>
      <c r="H883" s="101">
        <f>IFERROR(VLOOKUP(F883,STD!B:G,6,0),"")</f>
        <v>0.32</v>
      </c>
      <c r="I883" s="100">
        <f t="shared" si="81"/>
        <v>0.62243761249999996</v>
      </c>
      <c r="J883" s="249">
        <f t="shared" si="82"/>
        <v>2.4487522499999992</v>
      </c>
      <c r="K883" s="63">
        <f>VLOOKUP(C883,'RAW DATA 2023'!E:BO,20,0)</f>
        <v>44</v>
      </c>
      <c r="L883" s="322">
        <f t="shared" si="83"/>
        <v>107.74509899999997</v>
      </c>
    </row>
    <row r="884" spans="1:12" s="63" customFormat="1">
      <c r="A884" s="63" t="str">
        <f>'RAW DATA 2023'!B877</f>
        <v>Nakornfarm</v>
      </c>
      <c r="B884" s="63" t="str">
        <f>'RAW DATA 2023'!D877</f>
        <v>D1-080-0015</v>
      </c>
      <c r="C884" s="63" t="str">
        <f t="shared" si="79"/>
        <v>NakornfarmD1-080-0015</v>
      </c>
      <c r="D884" s="63">
        <f>VLOOKUP(C884,'RAW DATA 2023'!E:BP,63,0)</f>
        <v>4</v>
      </c>
      <c r="E884" s="63" t="str">
        <f t="shared" si="80"/>
        <v>Nakornfarm4</v>
      </c>
      <c r="F884" s="63">
        <f>ROUND(VLOOKUP(C884,'RAW DATA 2023'!E:BO,23,0),0)</f>
        <v>109</v>
      </c>
      <c r="G884" s="120">
        <f>VLOOKUP(C884,'RAW DATA 2023'!E:BO,26,0)</f>
        <v>0.167439848</v>
      </c>
      <c r="H884" s="101">
        <f>IFERROR(VLOOKUP(F884,STD!B:G,6,0),"")</f>
        <v>0.32</v>
      </c>
      <c r="I884" s="100">
        <f t="shared" si="81"/>
        <v>0.52324952499999999</v>
      </c>
      <c r="J884" s="249">
        <f t="shared" si="82"/>
        <v>0.46499049999999986</v>
      </c>
      <c r="K884" s="63">
        <f>VLOOKUP(C884,'RAW DATA 2023'!E:BO,20,0)</f>
        <v>52.999999999999993</v>
      </c>
      <c r="L884" s="322">
        <f t="shared" si="83"/>
        <v>24.644496499999988</v>
      </c>
    </row>
    <row r="885" spans="1:12" s="63" customFormat="1">
      <c r="A885" s="63" t="str">
        <f>'RAW DATA 2023'!B878</f>
        <v>Nakornfarm</v>
      </c>
      <c r="B885" s="63" t="str">
        <f>'RAW DATA 2023'!D878</f>
        <v>D1-083-0013</v>
      </c>
      <c r="C885" s="63" t="str">
        <f t="shared" si="79"/>
        <v>NakornfarmD1-083-0013</v>
      </c>
      <c r="D885" s="63">
        <f>VLOOKUP(C885,'RAW DATA 2023'!E:BP,63,0)</f>
        <v>4</v>
      </c>
      <c r="E885" s="63" t="str">
        <f t="shared" si="80"/>
        <v>Nakornfarm4</v>
      </c>
      <c r="F885" s="63">
        <f>ROUND(VLOOKUP(C885,'RAW DATA 2023'!E:BO,23,0),0)</f>
        <v>147</v>
      </c>
      <c r="G885" s="120">
        <f>VLOOKUP(C885,'RAW DATA 2023'!E:BO,26,0)</f>
        <v>0.153818027</v>
      </c>
      <c r="H885" s="101">
        <f>IFERROR(VLOOKUP(F885,STD!B:G,6,0),"")</f>
        <v>0.28000000000000003</v>
      </c>
      <c r="I885" s="100">
        <f t="shared" si="81"/>
        <v>0.54935009642857136</v>
      </c>
      <c r="J885" s="249">
        <f t="shared" si="82"/>
        <v>0.9870019285714271</v>
      </c>
      <c r="K885" s="63">
        <f>VLOOKUP(C885,'RAW DATA 2023'!E:BO,20,0)</f>
        <v>40</v>
      </c>
      <c r="L885" s="322">
        <f t="shared" si="83"/>
        <v>39.480077142857084</v>
      </c>
    </row>
    <row r="886" spans="1:12" s="63" customFormat="1">
      <c r="A886" s="63" t="str">
        <f>'RAW DATA 2023'!B879</f>
        <v>Nakornfarm</v>
      </c>
      <c r="B886" s="63" t="str">
        <f>'RAW DATA 2023'!D879</f>
        <v>FG-125-0009</v>
      </c>
      <c r="C886" s="63" t="str">
        <f t="shared" si="79"/>
        <v>NakornfarmFG-125-0009</v>
      </c>
      <c r="D886" s="63">
        <f>VLOOKUP(C886,'RAW DATA 2023'!E:BP,63,0)</f>
        <v>4</v>
      </c>
      <c r="E886" s="63" t="str">
        <f t="shared" si="80"/>
        <v>Nakornfarm4</v>
      </c>
      <c r="F886" s="63">
        <f>ROUND(VLOOKUP(C886,'RAW DATA 2023'!E:BO,23,0),0)</f>
        <v>22</v>
      </c>
      <c r="G886" s="120">
        <f>VLOOKUP(C886,'RAW DATA 2023'!E:BO,26,0)</f>
        <v>0.37228070199999996</v>
      </c>
      <c r="H886" s="101">
        <f>IFERROR(VLOOKUP(F886,STD!B:G,6,0),"")</f>
        <v>0.37</v>
      </c>
      <c r="I886" s="100">
        <f t="shared" si="81"/>
        <v>1.0061640594594594</v>
      </c>
      <c r="J886" s="249">
        <f t="shared" si="82"/>
        <v>10.123281189189189</v>
      </c>
      <c r="K886" s="63">
        <f>VLOOKUP(C886,'RAW DATA 2023'!E:BO,20,0)</f>
        <v>141</v>
      </c>
      <c r="L886" s="322">
        <f t="shared" si="83"/>
        <v>1427.3826476756756</v>
      </c>
    </row>
    <row r="887" spans="1:12" s="63" customFormat="1">
      <c r="A887" s="63" t="str">
        <f>'RAW DATA 2023'!B880</f>
        <v>Nakornfarm</v>
      </c>
      <c r="B887" s="63" t="str">
        <f>'RAW DATA 2023'!D880</f>
        <v>F1-089-0012</v>
      </c>
      <c r="C887" s="63" t="str">
        <f t="shared" si="79"/>
        <v>NakornfarmF1-089-0012</v>
      </c>
      <c r="D887" s="63">
        <f>VLOOKUP(C887,'RAW DATA 2023'!E:BP,63,0)</f>
        <v>4</v>
      </c>
      <c r="E887" s="63" t="str">
        <f t="shared" si="80"/>
        <v>Nakornfarm4</v>
      </c>
      <c r="F887" s="63">
        <f>ROUND(VLOOKUP(C887,'RAW DATA 2023'!E:BO,23,0),0)</f>
        <v>38</v>
      </c>
      <c r="G887" s="120">
        <f>VLOOKUP(C887,'RAW DATA 2023'!E:BO,26,0)</f>
        <v>0.341786704</v>
      </c>
      <c r="H887" s="101">
        <f>IFERROR(VLOOKUP(F887,STD!B:G,6,0),"")</f>
        <v>0.37</v>
      </c>
      <c r="I887" s="100">
        <f t="shared" si="81"/>
        <v>0.92374784864864867</v>
      </c>
      <c r="J887" s="249">
        <f t="shared" si="82"/>
        <v>8.4749569729729739</v>
      </c>
      <c r="K887" s="63">
        <f>VLOOKUP(C887,'RAW DATA 2023'!E:BO,20,0)</f>
        <v>76</v>
      </c>
      <c r="L887" s="322">
        <f t="shared" si="83"/>
        <v>644.09672994594598</v>
      </c>
    </row>
    <row r="888" spans="1:12" s="63" customFormat="1">
      <c r="A888" s="63" t="str">
        <f>'RAW DATA 2023'!B881</f>
        <v>Nakornfarm</v>
      </c>
      <c r="B888" s="63" t="str">
        <f>'RAW DATA 2023'!D881</f>
        <v>F1-090-0012</v>
      </c>
      <c r="C888" s="63" t="str">
        <f t="shared" si="79"/>
        <v>NakornfarmF1-090-0012</v>
      </c>
      <c r="D888" s="63">
        <f>VLOOKUP(C888,'RAW DATA 2023'!E:BP,63,0)</f>
        <v>3</v>
      </c>
      <c r="E888" s="63" t="str">
        <f t="shared" si="80"/>
        <v>Nakornfarm3</v>
      </c>
      <c r="F888" s="63">
        <f>ROUND(VLOOKUP(C888,'RAW DATA 2023'!E:BO,23,0),0)</f>
        <v>59</v>
      </c>
      <c r="G888" s="120">
        <f>VLOOKUP(C888,'RAW DATA 2023'!E:BO,26,0)</f>
        <v>0.31806062600000001</v>
      </c>
      <c r="H888" s="101">
        <f>IFERROR(VLOOKUP(F888,STD!B:G,6,0),"")</f>
        <v>0.36</v>
      </c>
      <c r="I888" s="100">
        <f t="shared" si="81"/>
        <v>0.88350173888888894</v>
      </c>
      <c r="J888" s="249">
        <f t="shared" si="82"/>
        <v>7.6700347777777793</v>
      </c>
      <c r="K888" s="63">
        <f>VLOOKUP(C888,'RAW DATA 2023'!E:BO,20,0)</f>
        <v>51.999999999999993</v>
      </c>
      <c r="L888" s="322">
        <f t="shared" si="83"/>
        <v>398.8418084444445</v>
      </c>
    </row>
    <row r="889" spans="1:12" s="63" customFormat="1">
      <c r="A889" s="63" t="str">
        <f>'RAW DATA 2023'!B882</f>
        <v>Nakornfarm</v>
      </c>
      <c r="B889" s="63" t="str">
        <f>'RAW DATA 2023'!D882</f>
        <v>F1-089-0013</v>
      </c>
      <c r="C889" s="63" t="str">
        <f t="shared" si="79"/>
        <v>NakornfarmF1-089-0013</v>
      </c>
      <c r="D889" s="63">
        <f>VLOOKUP(C889,'RAW DATA 2023'!E:BP,63,0)</f>
        <v>7</v>
      </c>
      <c r="E889" s="63" t="str">
        <f t="shared" si="80"/>
        <v>Nakornfarm7</v>
      </c>
      <c r="F889" s="63">
        <f>ROUND(VLOOKUP(C889,'RAW DATA 2023'!E:BO,23,0),0)</f>
        <v>82</v>
      </c>
      <c r="G889" s="120">
        <f>VLOOKUP(C889,'RAW DATA 2023'!E:BO,26,0)</f>
        <v>0.30554383699999998</v>
      </c>
      <c r="H889" s="101">
        <f>IFERROR(VLOOKUP(F889,STD!B:G,6,0),"")</f>
        <v>0.34</v>
      </c>
      <c r="I889" s="100">
        <f t="shared" si="81"/>
        <v>0.898658344117647</v>
      </c>
      <c r="J889" s="249">
        <f t="shared" si="82"/>
        <v>7.97316688235294</v>
      </c>
      <c r="K889" s="63">
        <f>VLOOKUP(C889,'RAW DATA 2023'!E:BO,20,0)</f>
        <v>37</v>
      </c>
      <c r="L889" s="322">
        <f t="shared" si="83"/>
        <v>295.00717464705878</v>
      </c>
    </row>
    <row r="890" spans="1:12" s="63" customFormat="1">
      <c r="A890" s="63" t="str">
        <f>'RAW DATA 2023'!B883</f>
        <v>Nakornfarm</v>
      </c>
      <c r="B890" s="63" t="str">
        <f>'RAW DATA 2023'!D883</f>
        <v>D1-081-0015</v>
      </c>
      <c r="C890" s="63" t="str">
        <f t="shared" si="79"/>
        <v>NakornfarmD1-081-0015</v>
      </c>
      <c r="D890" s="63">
        <f>VLOOKUP(C890,'RAW DATA 2023'!E:BP,63,0)</f>
        <v>11</v>
      </c>
      <c r="E890" s="63" t="str">
        <f t="shared" si="80"/>
        <v>Nakornfarm11</v>
      </c>
      <c r="F890" s="63">
        <f>ROUND(VLOOKUP(C890,'RAW DATA 2023'!E:BO,23,0),0)</f>
        <v>53</v>
      </c>
      <c r="G890" s="120">
        <f>VLOOKUP(C890,'RAW DATA 2023'!E:BO,26,0)</f>
        <v>0.29699430599999999</v>
      </c>
      <c r="H890" s="101">
        <f>IFERROR(VLOOKUP(F890,STD!B:G,6,0),"")</f>
        <v>0.36</v>
      </c>
      <c r="I890" s="100">
        <f t="shared" si="81"/>
        <v>0.82498418333333334</v>
      </c>
      <c r="J890" s="249">
        <f t="shared" si="82"/>
        <v>6.4996836666666669</v>
      </c>
      <c r="K890" s="63">
        <f>VLOOKUP(C890,'RAW DATA 2023'!E:BO,20,0)</f>
        <v>71</v>
      </c>
      <c r="L890" s="322">
        <f t="shared" si="83"/>
        <v>461.47754033333337</v>
      </c>
    </row>
    <row r="891" spans="1:12" s="63" customFormat="1">
      <c r="A891" s="63" t="str">
        <f>'RAW DATA 2023'!B884</f>
        <v>Nakornfarm</v>
      </c>
      <c r="B891" s="63" t="str">
        <f>'RAW DATA 2023'!D884</f>
        <v>FG-125-0010</v>
      </c>
      <c r="C891" s="63" t="str">
        <f t="shared" si="79"/>
        <v>NakornfarmFG-125-0010</v>
      </c>
      <c r="D891" s="63">
        <f>VLOOKUP(C891,'RAW DATA 2023'!E:BP,63,0)</f>
        <v>8</v>
      </c>
      <c r="E891" s="63" t="str">
        <f t="shared" si="80"/>
        <v>Nakornfarm8</v>
      </c>
      <c r="F891" s="63">
        <f>ROUND(VLOOKUP(C891,'RAW DATA 2023'!E:BO,23,0),0)</f>
        <v>42</v>
      </c>
      <c r="G891" s="120">
        <f>VLOOKUP(C891,'RAW DATA 2023'!E:BO,26,0)</f>
        <v>0.28802325600000001</v>
      </c>
      <c r="H891" s="101">
        <f>IFERROR(VLOOKUP(F891,STD!B:G,6,0),"")</f>
        <v>0.37</v>
      </c>
      <c r="I891" s="100">
        <f t="shared" si="81"/>
        <v>0.77844123243243246</v>
      </c>
      <c r="J891" s="249">
        <f t="shared" si="82"/>
        <v>5.5688246486486488</v>
      </c>
      <c r="K891" s="63">
        <f>VLOOKUP(C891,'RAW DATA 2023'!E:BO,20,0)</f>
        <v>86</v>
      </c>
      <c r="L891" s="322">
        <f t="shared" si="83"/>
        <v>478.91891978378379</v>
      </c>
    </row>
    <row r="892" spans="1:12" s="63" customFormat="1">
      <c r="A892" s="63" t="str">
        <f>'RAW DATA 2023'!B885</f>
        <v>Nakornfarm</v>
      </c>
      <c r="B892" s="63" t="str">
        <f>'RAW DATA 2023'!D885</f>
        <v>F1-124-0008</v>
      </c>
      <c r="C892" s="63" t="str">
        <f t="shared" si="79"/>
        <v>NakornfarmF1-124-0008</v>
      </c>
      <c r="D892" s="63">
        <f>VLOOKUP(C892,'RAW DATA 2023'!E:BP,63,0)</f>
        <v>4</v>
      </c>
      <c r="E892" s="63" t="str">
        <f t="shared" si="80"/>
        <v>Nakornfarm4</v>
      </c>
      <c r="F892" s="63">
        <f>ROUND(VLOOKUP(C892,'RAW DATA 2023'!E:BO,23,0),0)</f>
        <v>99</v>
      </c>
      <c r="G892" s="120">
        <f>VLOOKUP(C892,'RAW DATA 2023'!E:BO,26,0)</f>
        <v>0.202149151</v>
      </c>
      <c r="H892" s="101">
        <f>IFERROR(VLOOKUP(F892,STD!B:G,6,0),"")</f>
        <v>0.32</v>
      </c>
      <c r="I892" s="100">
        <f t="shared" si="81"/>
        <v>0.63171609687499997</v>
      </c>
      <c r="J892" s="249">
        <f t="shared" si="82"/>
        <v>2.6343219374999993</v>
      </c>
      <c r="K892" s="63">
        <f>VLOOKUP(C892,'RAW DATA 2023'!E:BO,20,0)</f>
        <v>47</v>
      </c>
      <c r="L892" s="322">
        <f t="shared" si="83"/>
        <v>123.81313106249996</v>
      </c>
    </row>
    <row r="893" spans="1:12" s="63" customFormat="1">
      <c r="A893" s="63" t="str">
        <f>'RAW DATA 2023'!B886</f>
        <v>Nakornfarm</v>
      </c>
      <c r="B893" s="63" t="str">
        <f>'RAW DATA 2023'!D886</f>
        <v>D1-083-0015</v>
      </c>
      <c r="C893" s="63" t="str">
        <f t="shared" si="79"/>
        <v>NakornfarmD1-083-0015</v>
      </c>
      <c r="D893" s="63">
        <f>VLOOKUP(C893,'RAW DATA 2023'!E:BP,63,0)</f>
        <v>11</v>
      </c>
      <c r="E893" s="63" t="str">
        <f t="shared" si="80"/>
        <v>Nakornfarm11</v>
      </c>
      <c r="F893" s="63">
        <f>ROUND(VLOOKUP(C893,'RAW DATA 2023'!E:BO,23,0),0)</f>
        <v>89</v>
      </c>
      <c r="G893" s="120">
        <f>VLOOKUP(C893,'RAW DATA 2023'!E:BO,26,0)</f>
        <v>0.199513208</v>
      </c>
      <c r="H893" s="101">
        <f>IFERROR(VLOOKUP(F893,STD!B:G,6,0),"")</f>
        <v>0.33</v>
      </c>
      <c r="I893" s="100">
        <f t="shared" si="81"/>
        <v>0.60458547878787872</v>
      </c>
      <c r="J893" s="249">
        <f t="shared" si="82"/>
        <v>2.0917095757575743</v>
      </c>
      <c r="K893" s="63">
        <f>VLOOKUP(C893,'RAW DATA 2023'!E:BO,20,0)</f>
        <v>57</v>
      </c>
      <c r="L893" s="322">
        <f t="shared" si="83"/>
        <v>119.22744581818174</v>
      </c>
    </row>
    <row r="894" spans="1:12" s="63" customFormat="1">
      <c r="A894" s="63" t="str">
        <f>'RAW DATA 2023'!B887</f>
        <v>Nakornfarm</v>
      </c>
      <c r="B894" s="63" t="str">
        <f>'RAW DATA 2023'!D887</f>
        <v>F1-090-0013</v>
      </c>
      <c r="C894" s="63" t="str">
        <f t="shared" si="79"/>
        <v>NakornfarmF1-090-0013</v>
      </c>
      <c r="D894" s="63">
        <f>VLOOKUP(C894,'RAW DATA 2023'!E:BP,63,0)</f>
        <v>10</v>
      </c>
      <c r="E894" s="63" t="str">
        <f t="shared" si="80"/>
        <v>Nakornfarm10</v>
      </c>
      <c r="F894" s="63">
        <f>ROUND(VLOOKUP(C894,'RAW DATA 2023'!E:BO,23,0),0)</f>
        <v>173</v>
      </c>
      <c r="G894" s="120">
        <f>VLOOKUP(C894,'RAW DATA 2023'!E:BO,26,0)</f>
        <v>0.15824549500000001</v>
      </c>
      <c r="H894" s="101">
        <f>IFERROR(VLOOKUP(F894,STD!B:G,6,0),"")</f>
        <v>0.25</v>
      </c>
      <c r="I894" s="100">
        <f t="shared" si="81"/>
        <v>0.63298198000000006</v>
      </c>
      <c r="J894" s="249">
        <f t="shared" si="82"/>
        <v>2.6596396000000011</v>
      </c>
      <c r="K894" s="63">
        <f>VLOOKUP(C894,'RAW DATA 2023'!E:BO,20,0)</f>
        <v>34</v>
      </c>
      <c r="L894" s="322">
        <f t="shared" si="83"/>
        <v>90.427746400000032</v>
      </c>
    </row>
    <row r="895" spans="1:12" s="63" customFormat="1">
      <c r="A895" s="63" t="str">
        <f>'RAW DATA 2023'!B888</f>
        <v>Nakornfarm</v>
      </c>
      <c r="B895" s="63" t="str">
        <f>'RAW DATA 2023'!D888</f>
        <v>FG-125-0011</v>
      </c>
      <c r="C895" s="63" t="str">
        <f t="shared" si="79"/>
        <v>NakornfarmFG-125-0011</v>
      </c>
      <c r="D895" s="63">
        <f>VLOOKUP(C895,'RAW DATA 2023'!E:BP,63,0)</f>
        <v>11</v>
      </c>
      <c r="E895" s="63" t="str">
        <f t="shared" si="80"/>
        <v>Nakornfarm11</v>
      </c>
      <c r="F895" s="63">
        <f>ROUND(VLOOKUP(C895,'RAW DATA 2023'!E:BO,23,0),0)</f>
        <v>154</v>
      </c>
      <c r="G895" s="120">
        <f>VLOOKUP(C895,'RAW DATA 2023'!E:BO,26,0)</f>
        <v>0.15214119200000001</v>
      </c>
      <c r="H895" s="101">
        <f>IFERROR(VLOOKUP(F895,STD!B:G,6,0),"")</f>
        <v>0.27</v>
      </c>
      <c r="I895" s="100">
        <f t="shared" si="81"/>
        <v>0.56348589629629631</v>
      </c>
      <c r="J895" s="249">
        <f t="shared" si="82"/>
        <v>1.2697179259259261</v>
      </c>
      <c r="K895" s="63">
        <f>VLOOKUP(C895,'RAW DATA 2023'!E:BO,20,0)</f>
        <v>39</v>
      </c>
      <c r="L895" s="322">
        <f t="shared" si="83"/>
        <v>49.518999111111121</v>
      </c>
    </row>
    <row r="896" spans="1:12" s="63" customFormat="1">
      <c r="A896" s="63" t="str">
        <f>'RAW DATA 2023'!B889</f>
        <v>Nakornfarm</v>
      </c>
      <c r="B896" s="63" t="str">
        <f>'RAW DATA 2023'!D889</f>
        <v>F1-070-0019</v>
      </c>
      <c r="C896" s="63" t="str">
        <f t="shared" si="79"/>
        <v>NakornfarmF1-070-0019</v>
      </c>
      <c r="D896" s="63">
        <f>VLOOKUP(C896,'RAW DATA 2023'!E:BP,63,0)</f>
        <v>7</v>
      </c>
      <c r="E896" s="63" t="str">
        <f t="shared" si="80"/>
        <v>Nakornfarm7</v>
      </c>
      <c r="F896" s="63">
        <f>ROUND(VLOOKUP(C896,'RAW DATA 2023'!E:BO,23,0),0)</f>
        <v>167</v>
      </c>
      <c r="G896" s="120">
        <f>VLOOKUP(C896,'RAW DATA 2023'!E:BO,26,0)</f>
        <v>0.14270059900000001</v>
      </c>
      <c r="H896" s="101">
        <f>IFERROR(VLOOKUP(F896,STD!B:G,6,0),"")</f>
        <v>0.26</v>
      </c>
      <c r="I896" s="100">
        <f t="shared" si="81"/>
        <v>0.54884845769230772</v>
      </c>
      <c r="J896" s="249">
        <f t="shared" si="82"/>
        <v>0.97696915384615446</v>
      </c>
      <c r="K896" s="63">
        <f>VLOOKUP(C896,'RAW DATA 2023'!E:BO,20,0)</f>
        <v>40</v>
      </c>
      <c r="L896" s="322">
        <f t="shared" si="83"/>
        <v>39.078766153846175</v>
      </c>
    </row>
    <row r="897" spans="1:12" s="63" customFormat="1">
      <c r="A897" s="63" t="str">
        <f>'RAW DATA 2023'!B890</f>
        <v>Nakornfarm</v>
      </c>
      <c r="B897" s="63" t="str">
        <f>'RAW DATA 2023'!D890</f>
        <v>E1-075-0013</v>
      </c>
      <c r="C897" s="63" t="str">
        <f t="shared" si="79"/>
        <v>NakornfarmE1-075-0013</v>
      </c>
      <c r="D897" s="63">
        <f>VLOOKUP(C897,'RAW DATA 2023'!E:BP,63,0)</f>
        <v>11</v>
      </c>
      <c r="E897" s="63" t="str">
        <f t="shared" si="80"/>
        <v>Nakornfarm11</v>
      </c>
      <c r="F897" s="63">
        <f>ROUND(VLOOKUP(C897,'RAW DATA 2023'!E:BO,23,0),0)</f>
        <v>161</v>
      </c>
      <c r="G897" s="120">
        <f>VLOOKUP(C897,'RAW DATA 2023'!E:BO,26,0)</f>
        <v>0.13820863899999999</v>
      </c>
      <c r="H897" s="101">
        <f>IFERROR(VLOOKUP(F897,STD!B:G,6,0),"")</f>
        <v>0.26</v>
      </c>
      <c r="I897" s="100">
        <f t="shared" si="81"/>
        <v>0.53157168846153846</v>
      </c>
      <c r="J897" s="249">
        <f t="shared" si="82"/>
        <v>0.63143376923076922</v>
      </c>
      <c r="K897" s="63">
        <f>VLOOKUP(C897,'RAW DATA 2023'!E:BO,20,0)</f>
        <v>44</v>
      </c>
      <c r="L897" s="322">
        <f t="shared" si="83"/>
        <v>27.783085846153845</v>
      </c>
    </row>
    <row r="898" spans="1:12" s="63" customFormat="1">
      <c r="A898" s="63" t="str">
        <f>'RAW DATA 2023'!B891</f>
        <v>Nakornfarm</v>
      </c>
      <c r="B898" s="63" t="str">
        <f>'RAW DATA 2023'!D891</f>
        <v>A1-099-0008</v>
      </c>
      <c r="C898" s="63" t="str">
        <f t="shared" si="79"/>
        <v>NakornfarmA1-099-0008</v>
      </c>
      <c r="D898" s="63">
        <f>VLOOKUP(C898,'RAW DATA 2023'!E:BP,63,0)</f>
        <v>6</v>
      </c>
      <c r="E898" s="63" t="str">
        <f t="shared" si="80"/>
        <v>Nakornfarm6</v>
      </c>
      <c r="F898" s="63">
        <f>ROUND(VLOOKUP(C898,'RAW DATA 2023'!E:BO,23,0),0)</f>
        <v>66</v>
      </c>
      <c r="G898" s="120">
        <f>VLOOKUP(C898,'RAW DATA 2023'!E:BO,26,0)</f>
        <v>0.31541144799999998</v>
      </c>
      <c r="H898" s="101">
        <f>IFERROR(VLOOKUP(F898,STD!B:G,6,0),"")</f>
        <v>0.36</v>
      </c>
      <c r="I898" s="100">
        <f t="shared" si="81"/>
        <v>0.87614291111111109</v>
      </c>
      <c r="J898" s="249">
        <f t="shared" si="82"/>
        <v>7.5228582222222222</v>
      </c>
      <c r="K898" s="63">
        <f>VLOOKUP(C898,'RAW DATA 2023'!E:BO,20,0)</f>
        <v>45</v>
      </c>
      <c r="L898" s="322">
        <f t="shared" si="83"/>
        <v>338.52861999999999</v>
      </c>
    </row>
    <row r="899" spans="1:12" s="63" customFormat="1">
      <c r="A899" s="63" t="str">
        <f>'RAW DATA 2023'!B892</f>
        <v>Nakornfarm</v>
      </c>
      <c r="B899" s="63" t="str">
        <f>'RAW DATA 2023'!D892</f>
        <v>A1-098-0006</v>
      </c>
      <c r="C899" s="63" t="str">
        <f t="shared" si="79"/>
        <v>NakornfarmA1-098-0006</v>
      </c>
      <c r="D899" s="63">
        <f>VLOOKUP(C899,'RAW DATA 2023'!E:BP,63,0)</f>
        <v>7</v>
      </c>
      <c r="E899" s="63" t="str">
        <f t="shared" si="80"/>
        <v>Nakornfarm7</v>
      </c>
      <c r="F899" s="63">
        <f>ROUND(VLOOKUP(C899,'RAW DATA 2023'!E:BO,23,0),0)</f>
        <v>40</v>
      </c>
      <c r="G899" s="120">
        <f>VLOOKUP(C899,'RAW DATA 2023'!E:BO,26,0)</f>
        <v>0.306604245</v>
      </c>
      <c r="H899" s="101">
        <f>IFERROR(VLOOKUP(F899,STD!B:G,6,0),"")</f>
        <v>0.37</v>
      </c>
      <c r="I899" s="100">
        <f t="shared" si="81"/>
        <v>0.82866012162162161</v>
      </c>
      <c r="J899" s="249">
        <f t="shared" si="82"/>
        <v>6.5732024324324323</v>
      </c>
      <c r="K899" s="63">
        <f>VLOOKUP(C899,'RAW DATA 2023'!E:BO,20,0)</f>
        <v>89</v>
      </c>
      <c r="L899" s="322">
        <f t="shared" si="83"/>
        <v>585.0150164864865</v>
      </c>
    </row>
    <row r="900" spans="1:12" s="63" customFormat="1">
      <c r="A900" s="63" t="str">
        <f>'RAW DATA 2023'!B893</f>
        <v>Nakornfarm</v>
      </c>
      <c r="B900" s="63" t="str">
        <f>'RAW DATA 2023'!D893</f>
        <v>A1-098-0005</v>
      </c>
      <c r="C900" s="63" t="str">
        <f t="shared" si="79"/>
        <v>NakornfarmA1-098-0005</v>
      </c>
      <c r="D900" s="63">
        <f>VLOOKUP(C900,'RAW DATA 2023'!E:BP,63,0)</f>
        <v>1</v>
      </c>
      <c r="E900" s="63" t="str">
        <f t="shared" si="80"/>
        <v>Nakornfarm1</v>
      </c>
      <c r="F900" s="63">
        <f>ROUND(VLOOKUP(C900,'RAW DATA 2023'!E:BO,23,0),0)</f>
        <v>68</v>
      </c>
      <c r="G900" s="120">
        <f>VLOOKUP(C900,'RAW DATA 2023'!E:BO,26,0)</f>
        <v>0.27162042199999997</v>
      </c>
      <c r="H900" s="101">
        <f>IFERROR(VLOOKUP(F900,STD!B:G,6,0),"")</f>
        <v>0.36</v>
      </c>
      <c r="I900" s="100">
        <f t="shared" si="81"/>
        <v>0.75450117222222213</v>
      </c>
      <c r="J900" s="249">
        <f t="shared" si="82"/>
        <v>5.0900234444444425</v>
      </c>
      <c r="K900" s="63">
        <f>VLOOKUP(C900,'RAW DATA 2023'!E:BO,20,0)</f>
        <v>53</v>
      </c>
      <c r="L900" s="322">
        <f t="shared" si="83"/>
        <v>269.77124255555543</v>
      </c>
    </row>
    <row r="901" spans="1:12" s="63" customFormat="1">
      <c r="A901" s="63" t="str">
        <f>'RAW DATA 2023'!B894</f>
        <v>Nakornfarm</v>
      </c>
      <c r="B901" s="63" t="str">
        <f>'RAW DATA 2023'!D894</f>
        <v>A1-099-0007</v>
      </c>
      <c r="C901" s="63" t="str">
        <f t="shared" si="79"/>
        <v>NakornfarmA1-099-0007</v>
      </c>
      <c r="D901" s="63">
        <f>VLOOKUP(C901,'RAW DATA 2023'!E:BP,63,0)</f>
        <v>1</v>
      </c>
      <c r="E901" s="63" t="str">
        <f t="shared" si="80"/>
        <v>Nakornfarm1</v>
      </c>
      <c r="F901" s="63">
        <f>ROUND(VLOOKUP(C901,'RAW DATA 2023'!E:BO,23,0),0)</f>
        <v>68</v>
      </c>
      <c r="G901" s="120">
        <f>VLOOKUP(C901,'RAW DATA 2023'!E:BO,26,0)</f>
        <v>0.248204868</v>
      </c>
      <c r="H901" s="101">
        <f>IFERROR(VLOOKUP(F901,STD!B:G,6,0),"")</f>
        <v>0.36</v>
      </c>
      <c r="I901" s="100">
        <f t="shared" si="81"/>
        <v>0.6894579666666667</v>
      </c>
      <c r="J901" s="249">
        <f t="shared" si="82"/>
        <v>3.789159333333334</v>
      </c>
      <c r="K901" s="63">
        <f>VLOOKUP(C901,'RAW DATA 2023'!E:BO,20,0)</f>
        <v>58</v>
      </c>
      <c r="L901" s="322">
        <f t="shared" si="83"/>
        <v>219.77124133333336</v>
      </c>
    </row>
    <row r="902" spans="1:12" s="63" customFormat="1">
      <c r="A902" s="63" t="str">
        <f>'RAW DATA 2023'!B895</f>
        <v>Nakornfarm</v>
      </c>
      <c r="B902" s="63" t="str">
        <f>'RAW DATA 2023'!D895</f>
        <v>B1-108-0006</v>
      </c>
      <c r="C902" s="63" t="str">
        <f t="shared" si="79"/>
        <v>NakornfarmB1-108-0006</v>
      </c>
      <c r="D902" s="63">
        <f>VLOOKUP(C902,'RAW DATA 2023'!E:BP,63,0)</f>
        <v>8</v>
      </c>
      <c r="E902" s="63" t="str">
        <f t="shared" si="80"/>
        <v>Nakornfarm8</v>
      </c>
      <c r="F902" s="63">
        <f>ROUND(VLOOKUP(C902,'RAW DATA 2023'!E:BO,23,0),0)</f>
        <v>102</v>
      </c>
      <c r="G902" s="120">
        <f>VLOOKUP(C902,'RAW DATA 2023'!E:BO,26,0)</f>
        <v>0.23409803900000001</v>
      </c>
      <c r="H902" s="101">
        <f>IFERROR(VLOOKUP(F902,STD!B:G,6,0),"")</f>
        <v>0.32</v>
      </c>
      <c r="I902" s="100">
        <f t="shared" si="81"/>
        <v>0.731556371875</v>
      </c>
      <c r="J902" s="249">
        <f t="shared" si="82"/>
        <v>4.6311274375</v>
      </c>
      <c r="K902" s="63">
        <f>VLOOKUP(C902,'RAW DATA 2023'!E:BO,20,0)</f>
        <v>40</v>
      </c>
      <c r="L902" s="322">
        <f t="shared" si="83"/>
        <v>185.24509749999999</v>
      </c>
    </row>
    <row r="903" spans="1:12" s="63" customFormat="1">
      <c r="A903" s="63" t="str">
        <f>'RAW DATA 2023'!B896</f>
        <v>Nakornfarm</v>
      </c>
      <c r="B903" s="63" t="str">
        <f>'RAW DATA 2023'!D896</f>
        <v>B1-107-0005</v>
      </c>
      <c r="C903" s="63" t="str">
        <f t="shared" si="79"/>
        <v>NakornfarmB1-107-0005</v>
      </c>
      <c r="D903" s="63">
        <f>VLOOKUP(C903,'RAW DATA 2023'!E:BP,63,0)</f>
        <v>2</v>
      </c>
      <c r="E903" s="63" t="str">
        <f t="shared" si="80"/>
        <v>Nakornfarm2</v>
      </c>
      <c r="F903" s="63">
        <f>ROUND(VLOOKUP(C903,'RAW DATA 2023'!E:BO,23,0),0)</f>
        <v>122</v>
      </c>
      <c r="G903" s="120">
        <f>VLOOKUP(C903,'RAW DATA 2023'!E:BO,26,0)</f>
        <v>0.196505398</v>
      </c>
      <c r="H903" s="101">
        <f>IFERROR(VLOOKUP(F903,STD!B:G,6,0),"")</f>
        <v>0.31</v>
      </c>
      <c r="I903" s="100">
        <f t="shared" si="81"/>
        <v>0.63388838064516129</v>
      </c>
      <c r="J903" s="249">
        <f t="shared" si="82"/>
        <v>2.6777676129032257</v>
      </c>
      <c r="K903" s="63">
        <f>VLOOKUP(C903,'RAW DATA 2023'!E:BO,20,0)</f>
        <v>41</v>
      </c>
      <c r="L903" s="322">
        <f t="shared" si="83"/>
        <v>109.78847212903226</v>
      </c>
    </row>
    <row r="904" spans="1:12" s="63" customFormat="1">
      <c r="A904" s="63" t="str">
        <f>'RAW DATA 2023'!B897</f>
        <v>Nakornfarm</v>
      </c>
      <c r="B904" s="63" t="str">
        <f>'RAW DATA 2023'!D897</f>
        <v>B1-108-0005</v>
      </c>
      <c r="C904" s="63" t="str">
        <f t="shared" si="79"/>
        <v>NakornfarmB1-108-0005</v>
      </c>
      <c r="D904" s="63">
        <f>VLOOKUP(C904,'RAW DATA 2023'!E:BP,63,0)</f>
        <v>2</v>
      </c>
      <c r="E904" s="63" t="str">
        <f t="shared" si="80"/>
        <v>Nakornfarm2</v>
      </c>
      <c r="F904" s="63">
        <f>ROUND(VLOOKUP(C904,'RAW DATA 2023'!E:BO,23,0),0)</f>
        <v>134</v>
      </c>
      <c r="G904" s="120">
        <f>VLOOKUP(C904,'RAW DATA 2023'!E:BO,26,0)</f>
        <v>0.19138648899999999</v>
      </c>
      <c r="H904" s="101">
        <f>IFERROR(VLOOKUP(F904,STD!B:G,6,0),"")</f>
        <v>0.3</v>
      </c>
      <c r="I904" s="100">
        <f t="shared" si="81"/>
        <v>0.63795496333333335</v>
      </c>
      <c r="J904" s="249">
        <f t="shared" si="82"/>
        <v>2.7590992666666669</v>
      </c>
      <c r="K904" s="63">
        <f>VLOOKUP(C904,'RAW DATA 2023'!E:BO,20,0)</f>
        <v>38</v>
      </c>
      <c r="L904" s="322">
        <f t="shared" si="83"/>
        <v>104.84577213333334</v>
      </c>
    </row>
    <row r="905" spans="1:12" s="63" customFormat="1">
      <c r="A905" s="63" t="str">
        <f>'RAW DATA 2023'!B898</f>
        <v>Nakornfarm</v>
      </c>
      <c r="B905" s="63" t="str">
        <f>'RAW DATA 2023'!D898</f>
        <v>B1-107-0006</v>
      </c>
      <c r="C905" s="63" t="str">
        <f t="shared" si="79"/>
        <v>NakornfarmB1-107-0006</v>
      </c>
      <c r="D905" s="63">
        <f>VLOOKUP(C905,'RAW DATA 2023'!E:BP,63,0)</f>
        <v>8</v>
      </c>
      <c r="E905" s="63" t="str">
        <f t="shared" si="80"/>
        <v>Nakornfarm8</v>
      </c>
      <c r="F905" s="63">
        <f>ROUND(VLOOKUP(C905,'RAW DATA 2023'!E:BO,23,0),0)</f>
        <v>0</v>
      </c>
      <c r="G905" s="120">
        <f>VLOOKUP(C905,'RAW DATA 2023'!E:BO,26,0)</f>
        <v>0</v>
      </c>
      <c r="H905" s="101" t="str">
        <f>IFERROR(VLOOKUP(F905,STD!B:G,6,0),"")</f>
        <v/>
      </c>
      <c r="I905" s="100">
        <f t="shared" si="81"/>
        <v>0</v>
      </c>
      <c r="J905" s="249">
        <f t="shared" si="82"/>
        <v>0</v>
      </c>
      <c r="K905" s="63">
        <f>VLOOKUP(C905,'RAW DATA 2023'!E:BO,20,0)</f>
        <v>0</v>
      </c>
      <c r="L905" s="322">
        <f t="shared" si="83"/>
        <v>0</v>
      </c>
    </row>
    <row r="906" spans="1:12" s="63" customFormat="1">
      <c r="A906" s="63" t="str">
        <f>'RAW DATA 2023'!B899</f>
        <v>Ranode</v>
      </c>
      <c r="B906" s="63" t="str">
        <f>'RAW DATA 2023'!D899</f>
        <v>AG-091-0013</v>
      </c>
      <c r="C906" s="63" t="str">
        <f t="shared" ref="C906:C969" si="84">A906&amp;B906</f>
        <v>RanodeAG-091-0013</v>
      </c>
      <c r="D906" s="63">
        <f>VLOOKUP(C906,'RAW DATA 2023'!E:BP,63,0)</f>
        <v>11</v>
      </c>
      <c r="E906" s="63" t="str">
        <f t="shared" ref="E906:E969" si="85">A906&amp;D906</f>
        <v>Ranode11</v>
      </c>
      <c r="F906" s="63">
        <f>ROUND(VLOOKUP(C906,'RAW DATA 2023'!E:BO,23,0),0)</f>
        <v>28</v>
      </c>
      <c r="G906" s="120">
        <f>VLOOKUP(C906,'RAW DATA 2023'!E:BO,26,0)</f>
        <v>0.49192055600000001</v>
      </c>
      <c r="H906" s="101">
        <f>IFERROR(VLOOKUP(F906,STD!B:G,6,0),"")</f>
        <v>0.41</v>
      </c>
      <c r="I906" s="100">
        <f t="shared" ref="I906:I969" si="86">IFERROR(G906/H906,0)</f>
        <v>1.1998062341463416</v>
      </c>
      <c r="J906" s="249">
        <f t="shared" si="82"/>
        <v>13.996124682926832</v>
      </c>
      <c r="K906" s="63">
        <f>VLOOKUP(C906,'RAW DATA 2023'!E:BO,20,0)</f>
        <v>105.99999999999999</v>
      </c>
      <c r="L906" s="322">
        <f t="shared" si="83"/>
        <v>1483.589216390244</v>
      </c>
    </row>
    <row r="907" spans="1:12" s="63" customFormat="1">
      <c r="A907" s="63" t="str">
        <f>'RAW DATA 2023'!B900</f>
        <v>Ranode</v>
      </c>
      <c r="B907" s="63" t="str">
        <f>'RAW DATA 2023'!D900</f>
        <v>AG-090-0011</v>
      </c>
      <c r="C907" s="63" t="str">
        <f t="shared" si="84"/>
        <v>RanodeAG-090-0011</v>
      </c>
      <c r="D907" s="63">
        <f>VLOOKUP(C907,'RAW DATA 2023'!E:BP,63,0)</f>
        <v>12</v>
      </c>
      <c r="E907" s="63" t="str">
        <f t="shared" si="85"/>
        <v>Ranode12</v>
      </c>
      <c r="F907" s="63">
        <f>ROUND(VLOOKUP(C907,'RAW DATA 2023'!E:BO,23,0),0)</f>
        <v>27</v>
      </c>
      <c r="G907" s="120">
        <f>VLOOKUP(C907,'RAW DATA 2023'!E:BO,26,0)</f>
        <v>0.427264957</v>
      </c>
      <c r="H907" s="101">
        <f>IFERROR(VLOOKUP(F907,STD!B:G,6,0),"")</f>
        <v>0.39</v>
      </c>
      <c r="I907" s="100">
        <f t="shared" si="86"/>
        <v>1.0955511717948718</v>
      </c>
      <c r="J907" s="249">
        <f t="shared" ref="J907:J970" si="87">IF(I907&gt;0.5,((I907-$B$4)*$B$7),0)</f>
        <v>11.911023435897437</v>
      </c>
      <c r="K907" s="63">
        <f>VLOOKUP(C907,'RAW DATA 2023'!E:BO,20,0)</f>
        <v>117</v>
      </c>
      <c r="L907" s="322">
        <f t="shared" ref="L907:L970" si="88">J907*K907</f>
        <v>1393.5897420000001</v>
      </c>
    </row>
    <row r="908" spans="1:12" s="63" customFormat="1">
      <c r="A908" s="63" t="str">
        <f>'RAW DATA 2023'!B901</f>
        <v>Ranode</v>
      </c>
      <c r="B908" s="63" t="str">
        <f>'RAW DATA 2023'!D901</f>
        <v>AG-091-0012</v>
      </c>
      <c r="C908" s="63" t="str">
        <f t="shared" si="84"/>
        <v>RanodeAG-091-0012</v>
      </c>
      <c r="D908" s="63">
        <f>VLOOKUP(C908,'RAW DATA 2023'!E:BP,63,0)</f>
        <v>6</v>
      </c>
      <c r="E908" s="63" t="str">
        <f t="shared" si="85"/>
        <v>Ranode6</v>
      </c>
      <c r="F908" s="63">
        <f>ROUND(VLOOKUP(C908,'RAW DATA 2023'!E:BO,23,0),0)</f>
        <v>26</v>
      </c>
      <c r="G908" s="120">
        <f>VLOOKUP(C908,'RAW DATA 2023'!E:BO,26,0)</f>
        <v>0.38144790499999998</v>
      </c>
      <c r="H908" s="101">
        <f>IFERROR(VLOOKUP(F908,STD!B:G,6,0),"")</f>
        <v>0.37</v>
      </c>
      <c r="I908" s="100">
        <f t="shared" si="86"/>
        <v>1.0309402837837838</v>
      </c>
      <c r="J908" s="249">
        <f t="shared" si="87"/>
        <v>10.618805675675675</v>
      </c>
      <c r="K908" s="63">
        <f>VLOOKUP(C908,'RAW DATA 2023'!E:BO,20,0)</f>
        <v>153</v>
      </c>
      <c r="L908" s="322">
        <f t="shared" si="88"/>
        <v>1624.6772683783784</v>
      </c>
    </row>
    <row r="909" spans="1:12" s="63" customFormat="1">
      <c r="A909" s="63" t="str">
        <f>'RAW DATA 2023'!B902</f>
        <v>Ranode</v>
      </c>
      <c r="B909" s="63" t="str">
        <f>'RAW DATA 2023'!D902</f>
        <v>AG-090-0010</v>
      </c>
      <c r="C909" s="63" t="str">
        <f t="shared" si="84"/>
        <v>RanodeAG-090-0010</v>
      </c>
      <c r="D909" s="63">
        <f>VLOOKUP(C909,'RAW DATA 2023'!E:BP,63,0)</f>
        <v>6</v>
      </c>
      <c r="E909" s="63" t="str">
        <f t="shared" si="85"/>
        <v>Ranode6</v>
      </c>
      <c r="F909" s="63">
        <f>ROUND(VLOOKUP(C909,'RAW DATA 2023'!E:BO,23,0),0)</f>
        <v>25</v>
      </c>
      <c r="G909" s="120">
        <f>VLOOKUP(C909,'RAW DATA 2023'!E:BO,26,0)</f>
        <v>0.349605634</v>
      </c>
      <c r="H909" s="101">
        <f>IFERROR(VLOOKUP(F909,STD!B:G,6,0),"")</f>
        <v>0.36</v>
      </c>
      <c r="I909" s="100">
        <f t="shared" si="86"/>
        <v>0.97112676111111118</v>
      </c>
      <c r="J909" s="249">
        <f t="shared" si="87"/>
        <v>9.4225352222222227</v>
      </c>
      <c r="K909" s="63">
        <f>VLOOKUP(C909,'RAW DATA 2023'!E:BO,20,0)</f>
        <v>142</v>
      </c>
      <c r="L909" s="322">
        <f t="shared" si="88"/>
        <v>1338.0000015555556</v>
      </c>
    </row>
    <row r="910" spans="1:12" s="63" customFormat="1">
      <c r="A910" s="63" t="str">
        <f>'RAW DATA 2023'!B903</f>
        <v>Ranode</v>
      </c>
      <c r="B910" s="63" t="str">
        <f>'RAW DATA 2023'!D903</f>
        <v>A1-016-0028</v>
      </c>
      <c r="C910" s="63" t="str">
        <f t="shared" si="84"/>
        <v>RanodeA1-016-0028</v>
      </c>
      <c r="D910" s="63">
        <f>VLOOKUP(C910,'RAW DATA 2023'!E:BP,63,0)</f>
        <v>11</v>
      </c>
      <c r="E910" s="63" t="str">
        <f t="shared" si="85"/>
        <v>Ranode11</v>
      </c>
      <c r="F910" s="63">
        <f>ROUND(VLOOKUP(C910,'RAW DATA 2023'!E:BO,23,0),0)</f>
        <v>45</v>
      </c>
      <c r="G910" s="120">
        <f>VLOOKUP(C910,'RAW DATA 2023'!E:BO,26,0)</f>
        <v>0.30956372900000001</v>
      </c>
      <c r="H910" s="101">
        <f>IFERROR(VLOOKUP(F910,STD!B:G,6,0),"")</f>
        <v>0.36</v>
      </c>
      <c r="I910" s="100">
        <f t="shared" si="86"/>
        <v>0.85989924722222233</v>
      </c>
      <c r="J910" s="249">
        <f t="shared" si="87"/>
        <v>7.1979849444444461</v>
      </c>
      <c r="K910" s="63">
        <f>VLOOKUP(C910,'RAW DATA 2023'!E:BO,20,0)</f>
        <v>83</v>
      </c>
      <c r="L910" s="322">
        <f t="shared" si="88"/>
        <v>597.43275038888908</v>
      </c>
    </row>
    <row r="911" spans="1:12" s="63" customFormat="1">
      <c r="A911" s="63" t="str">
        <f>'RAW DATA 2023'!B904</f>
        <v>Ranode</v>
      </c>
      <c r="B911" s="63" t="str">
        <f>'RAW DATA 2023'!D904</f>
        <v>AG-093-0013</v>
      </c>
      <c r="C911" s="63" t="str">
        <f t="shared" si="84"/>
        <v>RanodeAG-093-0013</v>
      </c>
      <c r="D911" s="63">
        <f>VLOOKUP(C911,'RAW DATA 2023'!E:BP,63,0)</f>
        <v>6</v>
      </c>
      <c r="E911" s="63" t="str">
        <f t="shared" si="85"/>
        <v>Ranode6</v>
      </c>
      <c r="F911" s="63">
        <f>ROUND(VLOOKUP(C911,'RAW DATA 2023'!E:BO,23,0),0)</f>
        <v>75</v>
      </c>
      <c r="G911" s="120">
        <f>VLOOKUP(C911,'RAW DATA 2023'!E:BO,26,0)</f>
        <v>0.29118518500000001</v>
      </c>
      <c r="H911" s="101">
        <f>IFERROR(VLOOKUP(F911,STD!B:G,6,0),"")</f>
        <v>0.34</v>
      </c>
      <c r="I911" s="100">
        <f t="shared" si="86"/>
        <v>0.85642701470588234</v>
      </c>
      <c r="J911" s="249">
        <f t="shared" si="87"/>
        <v>7.1285402941176468</v>
      </c>
      <c r="K911" s="63">
        <f>VLOOKUP(C911,'RAW DATA 2023'!E:BO,20,0)</f>
        <v>45</v>
      </c>
      <c r="L911" s="322">
        <f t="shared" si="88"/>
        <v>320.78431323529412</v>
      </c>
    </row>
    <row r="912" spans="1:12" s="63" customFormat="1">
      <c r="A912" s="63" t="str">
        <f>'RAW DATA 2023'!B905</f>
        <v>Ranode</v>
      </c>
      <c r="B912" s="63" t="str">
        <f>'RAW DATA 2023'!D905</f>
        <v>AG-093-0012</v>
      </c>
      <c r="C912" s="63" t="str">
        <f t="shared" si="84"/>
        <v>RanodeAG-093-0012</v>
      </c>
      <c r="D912" s="63">
        <f>VLOOKUP(C912,'RAW DATA 2023'!E:BP,63,0)</f>
        <v>4</v>
      </c>
      <c r="E912" s="63" t="str">
        <f t="shared" si="85"/>
        <v>Ranode4</v>
      </c>
      <c r="F912" s="63">
        <f>ROUND(VLOOKUP(C912,'RAW DATA 2023'!E:BO,23,0),0)</f>
        <v>59</v>
      </c>
      <c r="G912" s="120">
        <f>VLOOKUP(C912,'RAW DATA 2023'!E:BO,26,0)</f>
        <v>0.23062186700000001</v>
      </c>
      <c r="H912" s="101">
        <f>IFERROR(VLOOKUP(F912,STD!B:G,6,0),"")</f>
        <v>0.36</v>
      </c>
      <c r="I912" s="100">
        <f t="shared" si="86"/>
        <v>0.64061629722222224</v>
      </c>
      <c r="J912" s="249">
        <f t="shared" si="87"/>
        <v>2.8123259444444448</v>
      </c>
      <c r="K912" s="63">
        <f>VLOOKUP(C912,'RAW DATA 2023'!E:BO,20,0)</f>
        <v>71</v>
      </c>
      <c r="L912" s="322">
        <f t="shared" si="88"/>
        <v>199.6751420555556</v>
      </c>
    </row>
    <row r="913" spans="1:12" s="63" customFormat="1">
      <c r="A913" s="63" t="str">
        <f>'RAW DATA 2023'!B906</f>
        <v>Ranode</v>
      </c>
      <c r="B913" s="63" t="str">
        <f>'RAW DATA 2023'!D906</f>
        <v>AG-093-0014</v>
      </c>
      <c r="C913" s="63" t="str">
        <f t="shared" si="84"/>
        <v>RanodeAG-093-0014</v>
      </c>
      <c r="D913" s="63">
        <f>VLOOKUP(C913,'RAW DATA 2023'!E:BP,63,0)</f>
        <v>12</v>
      </c>
      <c r="E913" s="63" t="str">
        <f t="shared" si="85"/>
        <v>Ranode12</v>
      </c>
      <c r="F913" s="63">
        <f>ROUND(VLOOKUP(C913,'RAW DATA 2023'!E:BO,23,0),0)</f>
        <v>132</v>
      </c>
      <c r="G913" s="120">
        <f>VLOOKUP(C913,'RAW DATA 2023'!E:BO,26,0)</f>
        <v>0.201535931</v>
      </c>
      <c r="H913" s="101">
        <f>IFERROR(VLOOKUP(F913,STD!B:G,6,0),"")</f>
        <v>0.3</v>
      </c>
      <c r="I913" s="100">
        <f t="shared" si="86"/>
        <v>0.67178643666666671</v>
      </c>
      <c r="J913" s="249">
        <f t="shared" si="87"/>
        <v>3.4357287333333342</v>
      </c>
      <c r="K913" s="63">
        <f>VLOOKUP(C913,'RAW DATA 2023'!E:BO,20,0)</f>
        <v>35</v>
      </c>
      <c r="L913" s="322">
        <f t="shared" si="88"/>
        <v>120.2505056666667</v>
      </c>
    </row>
    <row r="914" spans="1:12" s="63" customFormat="1">
      <c r="A914" s="63" t="str">
        <f>'RAW DATA 2023'!B907</f>
        <v>Ranode</v>
      </c>
      <c r="B914" s="63" t="str">
        <f>'RAW DATA 2023'!D907</f>
        <v>A1-082-0016</v>
      </c>
      <c r="C914" s="63" t="str">
        <f t="shared" si="84"/>
        <v>RanodeA1-082-0016</v>
      </c>
      <c r="D914" s="63">
        <f>VLOOKUP(C914,'RAW DATA 2023'!E:BP,63,0)</f>
        <v>3</v>
      </c>
      <c r="E914" s="63" t="str">
        <f t="shared" si="85"/>
        <v>Ranode3</v>
      </c>
      <c r="F914" s="63">
        <f>ROUND(VLOOKUP(C914,'RAW DATA 2023'!E:BO,23,0),0)</f>
        <v>144</v>
      </c>
      <c r="G914" s="120">
        <f>VLOOKUP(C914,'RAW DATA 2023'!E:BO,26,0)</f>
        <v>0.15055555600000001</v>
      </c>
      <c r="H914" s="101">
        <f>IFERROR(VLOOKUP(F914,STD!B:G,6,0),"")</f>
        <v>0.28000000000000003</v>
      </c>
      <c r="I914" s="100">
        <f t="shared" si="86"/>
        <v>0.5376984142857143</v>
      </c>
      <c r="J914" s="249">
        <f t="shared" si="87"/>
        <v>0.75396828571428598</v>
      </c>
      <c r="K914" s="63">
        <f>VLOOKUP(C914,'RAW DATA 2023'!E:BO,20,0)</f>
        <v>44</v>
      </c>
      <c r="L914" s="322">
        <f t="shared" si="88"/>
        <v>33.174604571428581</v>
      </c>
    </row>
    <row r="915" spans="1:12" s="63" customFormat="1">
      <c r="A915" s="63" t="str">
        <f>'RAW DATA 2023'!B908</f>
        <v>Ranode</v>
      </c>
      <c r="B915" s="63" t="str">
        <f>'RAW DATA 2023'!D908</f>
        <v>A1-083-0016</v>
      </c>
      <c r="C915" s="63" t="str">
        <f t="shared" si="84"/>
        <v>RanodeA1-083-0016</v>
      </c>
      <c r="D915" s="63">
        <f>VLOOKUP(C915,'RAW DATA 2023'!E:BP,63,0)</f>
        <v>3</v>
      </c>
      <c r="E915" s="63" t="str">
        <f t="shared" si="85"/>
        <v>Ranode3</v>
      </c>
      <c r="F915" s="63">
        <f>ROUND(VLOOKUP(C915,'RAW DATA 2023'!E:BO,23,0),0)</f>
        <v>183</v>
      </c>
      <c r="G915" s="120">
        <f>VLOOKUP(C915,'RAW DATA 2023'!E:BO,26,0)</f>
        <v>0.13190976600000001</v>
      </c>
      <c r="H915" s="101">
        <f>IFERROR(VLOOKUP(F915,STD!B:G,6,0),"")</f>
        <v>0.25</v>
      </c>
      <c r="I915" s="100">
        <f t="shared" si="86"/>
        <v>0.52763906400000005</v>
      </c>
      <c r="J915" s="249">
        <f t="shared" si="87"/>
        <v>0.55278128000000093</v>
      </c>
      <c r="K915" s="63">
        <f>VLOOKUP(C915,'RAW DATA 2023'!E:BO,20,0)</f>
        <v>39</v>
      </c>
      <c r="L915" s="322">
        <f t="shared" si="88"/>
        <v>21.558469920000036</v>
      </c>
    </row>
    <row r="916" spans="1:12" s="63" customFormat="1">
      <c r="A916" s="63" t="str">
        <f>'RAW DATA 2023'!B909</f>
        <v>Ranode</v>
      </c>
      <c r="B916" s="63" t="str">
        <f>'RAW DATA 2023'!D909</f>
        <v>A1-015-0033</v>
      </c>
      <c r="C916" s="63" t="str">
        <f t="shared" si="84"/>
        <v>RanodeA1-015-0033</v>
      </c>
      <c r="D916" s="63">
        <f>VLOOKUP(C916,'RAW DATA 2023'!E:BP,63,0)</f>
        <v>7</v>
      </c>
      <c r="E916" s="63" t="str">
        <f t="shared" si="85"/>
        <v>Ranode7</v>
      </c>
      <c r="F916" s="63">
        <f>ROUND(VLOOKUP(C916,'RAW DATA 2023'!E:BO,23,0),0)</f>
        <v>207</v>
      </c>
      <c r="G916" s="120">
        <f>VLOOKUP(C916,'RAW DATA 2023'!E:BO,26,0)</f>
        <v>0.11537294700000002</v>
      </c>
      <c r="H916" s="101">
        <f>IFERROR(VLOOKUP(F916,STD!B:G,6,0),"")</f>
        <v>0.25</v>
      </c>
      <c r="I916" s="100">
        <f t="shared" si="86"/>
        <v>0.46149178800000007</v>
      </c>
      <c r="J916" s="249">
        <f t="shared" si="87"/>
        <v>0</v>
      </c>
      <c r="K916" s="63">
        <f>VLOOKUP(C916,'RAW DATA 2023'!E:BO,20,0)</f>
        <v>40</v>
      </c>
      <c r="L916" s="322">
        <f t="shared" si="88"/>
        <v>0</v>
      </c>
    </row>
    <row r="917" spans="1:12" s="63" customFormat="1">
      <c r="A917" s="63">
        <f>'RAW DATA 2023'!B910</f>
        <v>0</v>
      </c>
      <c r="B917" s="63">
        <f>'RAW DATA 2023'!D910</f>
        <v>0</v>
      </c>
      <c r="C917" s="63" t="str">
        <f t="shared" si="84"/>
        <v>00</v>
      </c>
      <c r="D917" s="63" t="e">
        <f>VLOOKUP(C917,'RAW DATA 2023'!E:BP,63,0)</f>
        <v>#N/A</v>
      </c>
      <c r="E917" s="63" t="e">
        <f t="shared" si="85"/>
        <v>#N/A</v>
      </c>
      <c r="F917" s="63" t="e">
        <f>ROUND(VLOOKUP(C917,'RAW DATA 2023'!E:BO,23,0),0)</f>
        <v>#N/A</v>
      </c>
      <c r="G917" s="120" t="e">
        <f>VLOOKUP(C917,'RAW DATA 2023'!E:BO,26,0)</f>
        <v>#N/A</v>
      </c>
      <c r="H917" s="101" t="str">
        <f>IFERROR(VLOOKUP(F917,STD!B:G,6,0),"")</f>
        <v/>
      </c>
      <c r="I917" s="100">
        <f t="shared" si="86"/>
        <v>0</v>
      </c>
      <c r="J917" s="249">
        <f t="shared" si="87"/>
        <v>0</v>
      </c>
      <c r="K917" s="63" t="e">
        <f>VLOOKUP(C917,'RAW DATA 2023'!E:BO,20,0)</f>
        <v>#N/A</v>
      </c>
      <c r="L917" s="322" t="e">
        <f t="shared" si="88"/>
        <v>#N/A</v>
      </c>
    </row>
    <row r="918" spans="1:12" s="63" customFormat="1">
      <c r="A918" s="63">
        <f>'RAW DATA 2023'!B911</f>
        <v>0</v>
      </c>
      <c r="B918" s="63">
        <f>'RAW DATA 2023'!D911</f>
        <v>0</v>
      </c>
      <c r="C918" s="63" t="str">
        <f t="shared" si="84"/>
        <v>00</v>
      </c>
      <c r="D918" s="63" t="e">
        <f>VLOOKUP(C918,'RAW DATA 2023'!E:BP,63,0)</f>
        <v>#N/A</v>
      </c>
      <c r="E918" s="63" t="e">
        <f t="shared" si="85"/>
        <v>#N/A</v>
      </c>
      <c r="F918" s="63" t="e">
        <f>ROUND(VLOOKUP(C918,'RAW DATA 2023'!E:BO,23,0),0)</f>
        <v>#N/A</v>
      </c>
      <c r="G918" s="120" t="e">
        <f>VLOOKUP(C918,'RAW DATA 2023'!E:BO,26,0)</f>
        <v>#N/A</v>
      </c>
      <c r="H918" s="101" t="str">
        <f>IFERROR(VLOOKUP(F918,STD!B:G,6,0),"")</f>
        <v/>
      </c>
      <c r="I918" s="100">
        <f t="shared" si="86"/>
        <v>0</v>
      </c>
      <c r="J918" s="249">
        <f t="shared" si="87"/>
        <v>0</v>
      </c>
      <c r="K918" s="63" t="e">
        <f>VLOOKUP(C918,'RAW DATA 2023'!E:BO,20,0)</f>
        <v>#N/A</v>
      </c>
      <c r="L918" s="322" t="e">
        <f t="shared" si="88"/>
        <v>#N/A</v>
      </c>
    </row>
    <row r="919" spans="1:12" s="63" customFormat="1">
      <c r="A919" s="63">
        <f>'RAW DATA 2023'!B912</f>
        <v>0</v>
      </c>
      <c r="B919" s="63">
        <f>'RAW DATA 2023'!D912</f>
        <v>0</v>
      </c>
      <c r="C919" s="63" t="str">
        <f t="shared" si="84"/>
        <v>00</v>
      </c>
      <c r="D919" s="63" t="e">
        <f>VLOOKUP(C919,'RAW DATA 2023'!E:BP,63,0)</f>
        <v>#N/A</v>
      </c>
      <c r="E919" s="63" t="e">
        <f t="shared" si="85"/>
        <v>#N/A</v>
      </c>
      <c r="F919" s="63" t="e">
        <f>ROUND(VLOOKUP(C919,'RAW DATA 2023'!E:BO,23,0),0)</f>
        <v>#N/A</v>
      </c>
      <c r="G919" s="120" t="e">
        <f>VLOOKUP(C919,'RAW DATA 2023'!E:BO,26,0)</f>
        <v>#N/A</v>
      </c>
      <c r="H919" s="101" t="str">
        <f>IFERROR(VLOOKUP(F919,STD!B:G,6,0),"")</f>
        <v/>
      </c>
      <c r="I919" s="100">
        <f t="shared" si="86"/>
        <v>0</v>
      </c>
      <c r="J919" s="249">
        <f t="shared" si="87"/>
        <v>0</v>
      </c>
      <c r="K919" s="63" t="e">
        <f>VLOOKUP(C919,'RAW DATA 2023'!E:BO,20,0)</f>
        <v>#N/A</v>
      </c>
      <c r="L919" s="322" t="e">
        <f t="shared" si="88"/>
        <v>#N/A</v>
      </c>
    </row>
    <row r="920" spans="1:12" s="63" customFormat="1">
      <c r="A920" s="63">
        <f>'RAW DATA 2023'!B913</f>
        <v>0</v>
      </c>
      <c r="B920" s="63">
        <f>'RAW DATA 2023'!D913</f>
        <v>0</v>
      </c>
      <c r="C920" s="63" t="str">
        <f t="shared" si="84"/>
        <v>00</v>
      </c>
      <c r="D920" s="63" t="e">
        <f>VLOOKUP(C920,'RAW DATA 2023'!E:BP,63,0)</f>
        <v>#N/A</v>
      </c>
      <c r="E920" s="63" t="e">
        <f t="shared" si="85"/>
        <v>#N/A</v>
      </c>
      <c r="F920" s="63" t="e">
        <f>ROUND(VLOOKUP(C920,'RAW DATA 2023'!E:BO,23,0),0)</f>
        <v>#N/A</v>
      </c>
      <c r="G920" s="120" t="e">
        <f>VLOOKUP(C920,'RAW DATA 2023'!E:BO,26,0)</f>
        <v>#N/A</v>
      </c>
      <c r="H920" s="101" t="str">
        <f>IFERROR(VLOOKUP(F920,STD!B:G,6,0),"")</f>
        <v/>
      </c>
      <c r="I920" s="100">
        <f t="shared" si="86"/>
        <v>0</v>
      </c>
      <c r="J920" s="249">
        <f t="shared" si="87"/>
        <v>0</v>
      </c>
      <c r="K920" s="63" t="e">
        <f>VLOOKUP(C920,'RAW DATA 2023'!E:BO,20,0)</f>
        <v>#N/A</v>
      </c>
      <c r="L920" s="322" t="e">
        <f t="shared" si="88"/>
        <v>#N/A</v>
      </c>
    </row>
    <row r="921" spans="1:12" s="63" customFormat="1">
      <c r="A921" s="63">
        <f>'RAW DATA 2023'!B914</f>
        <v>0</v>
      </c>
      <c r="B921" s="63">
        <f>'RAW DATA 2023'!D914</f>
        <v>0</v>
      </c>
      <c r="C921" s="63" t="str">
        <f t="shared" si="84"/>
        <v>00</v>
      </c>
      <c r="D921" s="63" t="e">
        <f>VLOOKUP(C921,'RAW DATA 2023'!E:BP,63,0)</f>
        <v>#N/A</v>
      </c>
      <c r="E921" s="63" t="e">
        <f t="shared" si="85"/>
        <v>#N/A</v>
      </c>
      <c r="F921" s="63" t="e">
        <f>ROUND(VLOOKUP(C921,'RAW DATA 2023'!E:BO,23,0),0)</f>
        <v>#N/A</v>
      </c>
      <c r="G921" s="120" t="e">
        <f>VLOOKUP(C921,'RAW DATA 2023'!E:BO,26,0)</f>
        <v>#N/A</v>
      </c>
      <c r="H921" s="101" t="str">
        <f>IFERROR(VLOOKUP(F921,STD!B:G,6,0),"")</f>
        <v/>
      </c>
      <c r="I921" s="100">
        <f t="shared" si="86"/>
        <v>0</v>
      </c>
      <c r="J921" s="249">
        <f t="shared" si="87"/>
        <v>0</v>
      </c>
      <c r="K921" s="63" t="e">
        <f>VLOOKUP(C921,'RAW DATA 2023'!E:BO,20,0)</f>
        <v>#N/A</v>
      </c>
      <c r="L921" s="322" t="e">
        <f t="shared" si="88"/>
        <v>#N/A</v>
      </c>
    </row>
    <row r="922" spans="1:12" s="63" customFormat="1">
      <c r="A922" s="63">
        <f>'RAW DATA 2023'!B915</f>
        <v>0</v>
      </c>
      <c r="B922" s="63">
        <f>'RAW DATA 2023'!D915</f>
        <v>0</v>
      </c>
      <c r="C922" s="63" t="str">
        <f t="shared" si="84"/>
        <v>00</v>
      </c>
      <c r="D922" s="63" t="e">
        <f>VLOOKUP(C922,'RAW DATA 2023'!E:BP,63,0)</f>
        <v>#N/A</v>
      </c>
      <c r="E922" s="63" t="e">
        <f t="shared" si="85"/>
        <v>#N/A</v>
      </c>
      <c r="F922" s="63" t="e">
        <f>ROUND(VLOOKUP(C922,'RAW DATA 2023'!E:BO,23,0),0)</f>
        <v>#N/A</v>
      </c>
      <c r="G922" s="120" t="e">
        <f>VLOOKUP(C922,'RAW DATA 2023'!E:BO,26,0)</f>
        <v>#N/A</v>
      </c>
      <c r="H922" s="101" t="str">
        <f>IFERROR(VLOOKUP(F922,STD!B:G,6,0),"")</f>
        <v/>
      </c>
      <c r="I922" s="100">
        <f t="shared" si="86"/>
        <v>0</v>
      </c>
      <c r="J922" s="249">
        <f t="shared" si="87"/>
        <v>0</v>
      </c>
      <c r="K922" s="63" t="e">
        <f>VLOOKUP(C922,'RAW DATA 2023'!E:BO,20,0)</f>
        <v>#N/A</v>
      </c>
      <c r="L922" s="322" t="e">
        <f t="shared" si="88"/>
        <v>#N/A</v>
      </c>
    </row>
    <row r="923" spans="1:12" s="63" customFormat="1">
      <c r="A923" s="63">
        <f>'RAW DATA 2023'!B916</f>
        <v>0</v>
      </c>
      <c r="B923" s="63">
        <f>'RAW DATA 2023'!D916</f>
        <v>0</v>
      </c>
      <c r="C923" s="63" t="str">
        <f t="shared" si="84"/>
        <v>00</v>
      </c>
      <c r="D923" s="63" t="e">
        <f>VLOOKUP(C923,'RAW DATA 2023'!E:BP,63,0)</f>
        <v>#N/A</v>
      </c>
      <c r="E923" s="63" t="e">
        <f t="shared" si="85"/>
        <v>#N/A</v>
      </c>
      <c r="F923" s="63" t="e">
        <f>ROUND(VLOOKUP(C923,'RAW DATA 2023'!E:BO,23,0),0)</f>
        <v>#N/A</v>
      </c>
      <c r="G923" s="120" t="e">
        <f>VLOOKUP(C923,'RAW DATA 2023'!E:BO,26,0)</f>
        <v>#N/A</v>
      </c>
      <c r="H923" s="101" t="str">
        <f>IFERROR(VLOOKUP(F923,STD!B:G,6,0),"")</f>
        <v/>
      </c>
      <c r="I923" s="100">
        <f t="shared" si="86"/>
        <v>0</v>
      </c>
      <c r="J923" s="249">
        <f t="shared" si="87"/>
        <v>0</v>
      </c>
      <c r="K923" s="63" t="e">
        <f>VLOOKUP(C923,'RAW DATA 2023'!E:BO,20,0)</f>
        <v>#N/A</v>
      </c>
      <c r="L923" s="322" t="e">
        <f t="shared" si="88"/>
        <v>#N/A</v>
      </c>
    </row>
    <row r="924" spans="1:12" s="63" customFormat="1">
      <c r="A924" s="63">
        <f>'RAW DATA 2023'!B917</f>
        <v>0</v>
      </c>
      <c r="B924" s="63">
        <f>'RAW DATA 2023'!D917</f>
        <v>0</v>
      </c>
      <c r="C924" s="63" t="str">
        <f t="shared" si="84"/>
        <v>00</v>
      </c>
      <c r="D924" s="63" t="e">
        <f>VLOOKUP(C924,'RAW DATA 2023'!E:BP,63,0)</f>
        <v>#N/A</v>
      </c>
      <c r="E924" s="63" t="e">
        <f t="shared" si="85"/>
        <v>#N/A</v>
      </c>
      <c r="F924" s="63" t="e">
        <f>ROUND(VLOOKUP(C924,'RAW DATA 2023'!E:BO,23,0),0)</f>
        <v>#N/A</v>
      </c>
      <c r="G924" s="120" t="e">
        <f>VLOOKUP(C924,'RAW DATA 2023'!E:BO,26,0)</f>
        <v>#N/A</v>
      </c>
      <c r="H924" s="101" t="str">
        <f>IFERROR(VLOOKUP(F924,STD!B:G,6,0),"")</f>
        <v/>
      </c>
      <c r="I924" s="100">
        <f t="shared" si="86"/>
        <v>0</v>
      </c>
      <c r="J924" s="249">
        <f t="shared" si="87"/>
        <v>0</v>
      </c>
      <c r="K924" s="63" t="e">
        <f>VLOOKUP(C924,'RAW DATA 2023'!E:BO,20,0)</f>
        <v>#N/A</v>
      </c>
      <c r="L924" s="322" t="e">
        <f t="shared" si="88"/>
        <v>#N/A</v>
      </c>
    </row>
    <row r="925" spans="1:12" s="63" customFormat="1">
      <c r="A925" s="63">
        <f>'RAW DATA 2023'!B918</f>
        <v>0</v>
      </c>
      <c r="B925" s="63">
        <f>'RAW DATA 2023'!D918</f>
        <v>0</v>
      </c>
      <c r="C925" s="63" t="str">
        <f t="shared" si="84"/>
        <v>00</v>
      </c>
      <c r="D925" s="63" t="e">
        <f>VLOOKUP(C925,'RAW DATA 2023'!E:BP,63,0)</f>
        <v>#N/A</v>
      </c>
      <c r="E925" s="63" t="e">
        <f t="shared" si="85"/>
        <v>#N/A</v>
      </c>
      <c r="F925" s="63" t="e">
        <f>ROUND(VLOOKUP(C925,'RAW DATA 2023'!E:BO,23,0),0)</f>
        <v>#N/A</v>
      </c>
      <c r="G925" s="120" t="e">
        <f>VLOOKUP(C925,'RAW DATA 2023'!E:BO,26,0)</f>
        <v>#N/A</v>
      </c>
      <c r="H925" s="101" t="str">
        <f>IFERROR(VLOOKUP(F925,STD!B:G,6,0),"")</f>
        <v/>
      </c>
      <c r="I925" s="100">
        <f t="shared" si="86"/>
        <v>0</v>
      </c>
      <c r="J925" s="249">
        <f t="shared" si="87"/>
        <v>0</v>
      </c>
      <c r="K925" s="63" t="e">
        <f>VLOOKUP(C925,'RAW DATA 2023'!E:BO,20,0)</f>
        <v>#N/A</v>
      </c>
      <c r="L925" s="322" t="e">
        <f t="shared" si="88"/>
        <v>#N/A</v>
      </c>
    </row>
    <row r="926" spans="1:12" s="63" customFormat="1">
      <c r="A926" s="63">
        <f>'RAW DATA 2023'!B919</f>
        <v>0</v>
      </c>
      <c r="B926" s="63">
        <f>'RAW DATA 2023'!D919</f>
        <v>0</v>
      </c>
      <c r="C926" s="63" t="str">
        <f t="shared" si="84"/>
        <v>00</v>
      </c>
      <c r="D926" s="63" t="e">
        <f>VLOOKUP(C926,'RAW DATA 2023'!E:BP,63,0)</f>
        <v>#N/A</v>
      </c>
      <c r="E926" s="63" t="e">
        <f t="shared" si="85"/>
        <v>#N/A</v>
      </c>
      <c r="F926" s="63" t="e">
        <f>ROUND(VLOOKUP(C926,'RAW DATA 2023'!E:BO,23,0),0)</f>
        <v>#N/A</v>
      </c>
      <c r="G926" s="120" t="e">
        <f>VLOOKUP(C926,'RAW DATA 2023'!E:BO,26,0)</f>
        <v>#N/A</v>
      </c>
      <c r="H926" s="101" t="str">
        <f>IFERROR(VLOOKUP(F926,STD!B:G,6,0),"")</f>
        <v/>
      </c>
      <c r="I926" s="100">
        <f t="shared" si="86"/>
        <v>0</v>
      </c>
      <c r="J926" s="249">
        <f t="shared" si="87"/>
        <v>0</v>
      </c>
      <c r="K926" s="63" t="e">
        <f>VLOOKUP(C926,'RAW DATA 2023'!E:BO,20,0)</f>
        <v>#N/A</v>
      </c>
      <c r="L926" s="322" t="e">
        <f t="shared" si="88"/>
        <v>#N/A</v>
      </c>
    </row>
    <row r="927" spans="1:12" s="63" customFormat="1">
      <c r="A927" s="63">
        <f>'RAW DATA 2023'!B920</f>
        <v>0</v>
      </c>
      <c r="B927" s="63">
        <f>'RAW DATA 2023'!D920</f>
        <v>0</v>
      </c>
      <c r="C927" s="63" t="str">
        <f t="shared" si="84"/>
        <v>00</v>
      </c>
      <c r="D927" s="63" t="e">
        <f>VLOOKUP(C927,'RAW DATA 2023'!E:BP,63,0)</f>
        <v>#N/A</v>
      </c>
      <c r="E927" s="63" t="e">
        <f t="shared" si="85"/>
        <v>#N/A</v>
      </c>
      <c r="F927" s="63" t="e">
        <f>ROUND(VLOOKUP(C927,'RAW DATA 2023'!E:BO,23,0),0)</f>
        <v>#N/A</v>
      </c>
      <c r="G927" s="120" t="e">
        <f>VLOOKUP(C927,'RAW DATA 2023'!E:BO,26,0)</f>
        <v>#N/A</v>
      </c>
      <c r="H927" s="101" t="str">
        <f>IFERROR(VLOOKUP(F927,STD!B:G,6,0),"")</f>
        <v/>
      </c>
      <c r="I927" s="100">
        <f t="shared" si="86"/>
        <v>0</v>
      </c>
      <c r="J927" s="249">
        <f t="shared" si="87"/>
        <v>0</v>
      </c>
      <c r="K927" s="63" t="e">
        <f>VLOOKUP(C927,'RAW DATA 2023'!E:BO,20,0)</f>
        <v>#N/A</v>
      </c>
      <c r="L927" s="322" t="e">
        <f t="shared" si="88"/>
        <v>#N/A</v>
      </c>
    </row>
    <row r="928" spans="1:12" s="63" customFormat="1">
      <c r="A928" s="63">
        <f>'RAW DATA 2023'!B921</f>
        <v>0</v>
      </c>
      <c r="B928" s="63">
        <f>'RAW DATA 2023'!D921</f>
        <v>0</v>
      </c>
      <c r="C928" s="63" t="str">
        <f t="shared" si="84"/>
        <v>00</v>
      </c>
      <c r="D928" s="63" t="e">
        <f>VLOOKUP(C928,'RAW DATA 2023'!E:BP,63,0)</f>
        <v>#N/A</v>
      </c>
      <c r="E928" s="63" t="e">
        <f t="shared" si="85"/>
        <v>#N/A</v>
      </c>
      <c r="F928" s="63" t="e">
        <f>ROUND(VLOOKUP(C928,'RAW DATA 2023'!E:BO,23,0),0)</f>
        <v>#N/A</v>
      </c>
      <c r="G928" s="120" t="e">
        <f>VLOOKUP(C928,'RAW DATA 2023'!E:BO,26,0)</f>
        <v>#N/A</v>
      </c>
      <c r="H928" s="101" t="str">
        <f>IFERROR(VLOOKUP(F928,STD!B:G,6,0),"")</f>
        <v/>
      </c>
      <c r="I928" s="100">
        <f t="shared" si="86"/>
        <v>0</v>
      </c>
      <c r="J928" s="249">
        <f t="shared" si="87"/>
        <v>0</v>
      </c>
      <c r="K928" s="63" t="e">
        <f>VLOOKUP(C928,'RAW DATA 2023'!E:BO,20,0)</f>
        <v>#N/A</v>
      </c>
      <c r="L928" s="322" t="e">
        <f t="shared" si="88"/>
        <v>#N/A</v>
      </c>
    </row>
    <row r="929" spans="1:12" s="63" customFormat="1">
      <c r="A929" s="63">
        <f>'RAW DATA 2023'!B922</f>
        <v>0</v>
      </c>
      <c r="B929" s="63">
        <f>'RAW DATA 2023'!D922</f>
        <v>0</v>
      </c>
      <c r="C929" s="63" t="str">
        <f t="shared" si="84"/>
        <v>00</v>
      </c>
      <c r="D929" s="63" t="e">
        <f>VLOOKUP(C929,'RAW DATA 2023'!E:BP,63,0)</f>
        <v>#N/A</v>
      </c>
      <c r="E929" s="63" t="e">
        <f t="shared" si="85"/>
        <v>#N/A</v>
      </c>
      <c r="F929" s="63" t="e">
        <f>ROUND(VLOOKUP(C929,'RAW DATA 2023'!E:BO,23,0),0)</f>
        <v>#N/A</v>
      </c>
      <c r="G929" s="120" t="e">
        <f>VLOOKUP(C929,'RAW DATA 2023'!E:BO,26,0)</f>
        <v>#N/A</v>
      </c>
      <c r="H929" s="101" t="str">
        <f>IFERROR(VLOOKUP(F929,STD!B:G,6,0),"")</f>
        <v/>
      </c>
      <c r="I929" s="100">
        <f t="shared" si="86"/>
        <v>0</v>
      </c>
      <c r="J929" s="249">
        <f t="shared" si="87"/>
        <v>0</v>
      </c>
      <c r="K929" s="63" t="e">
        <f>VLOOKUP(C929,'RAW DATA 2023'!E:BO,20,0)</f>
        <v>#N/A</v>
      </c>
      <c r="L929" s="322" t="e">
        <f t="shared" si="88"/>
        <v>#N/A</v>
      </c>
    </row>
    <row r="930" spans="1:12" s="63" customFormat="1">
      <c r="A930" s="63">
        <f>'RAW DATA 2023'!B923</f>
        <v>0</v>
      </c>
      <c r="B930" s="63">
        <f>'RAW DATA 2023'!D923</f>
        <v>0</v>
      </c>
      <c r="C930" s="63" t="str">
        <f t="shared" si="84"/>
        <v>00</v>
      </c>
      <c r="D930" s="63" t="e">
        <f>VLOOKUP(C930,'RAW DATA 2023'!E:BP,63,0)</f>
        <v>#N/A</v>
      </c>
      <c r="E930" s="63" t="e">
        <f t="shared" si="85"/>
        <v>#N/A</v>
      </c>
      <c r="F930" s="63" t="e">
        <f>ROUND(VLOOKUP(C930,'RAW DATA 2023'!E:BO,23,0),0)</f>
        <v>#N/A</v>
      </c>
      <c r="G930" s="120" t="e">
        <f>VLOOKUP(C930,'RAW DATA 2023'!E:BO,26,0)</f>
        <v>#N/A</v>
      </c>
      <c r="H930" s="101" t="str">
        <f>IFERROR(VLOOKUP(F930,STD!B:G,6,0),"")</f>
        <v/>
      </c>
      <c r="I930" s="100">
        <f t="shared" si="86"/>
        <v>0</v>
      </c>
      <c r="J930" s="249">
        <f t="shared" si="87"/>
        <v>0</v>
      </c>
      <c r="K930" s="63" t="e">
        <f>VLOOKUP(C930,'RAW DATA 2023'!E:BO,20,0)</f>
        <v>#N/A</v>
      </c>
      <c r="L930" s="322" t="e">
        <f t="shared" si="88"/>
        <v>#N/A</v>
      </c>
    </row>
    <row r="931" spans="1:12" s="63" customFormat="1">
      <c r="A931" s="63">
        <f>'RAW DATA 2023'!B924</f>
        <v>0</v>
      </c>
      <c r="B931" s="63">
        <f>'RAW DATA 2023'!D924</f>
        <v>0</v>
      </c>
      <c r="C931" s="63" t="str">
        <f t="shared" si="84"/>
        <v>00</v>
      </c>
      <c r="D931" s="63" t="e">
        <f>VLOOKUP(C931,'RAW DATA 2023'!E:BP,63,0)</f>
        <v>#N/A</v>
      </c>
      <c r="E931" s="63" t="e">
        <f t="shared" si="85"/>
        <v>#N/A</v>
      </c>
      <c r="F931" s="63" t="e">
        <f>ROUND(VLOOKUP(C931,'RAW DATA 2023'!E:BO,23,0),0)</f>
        <v>#N/A</v>
      </c>
      <c r="G931" s="120" t="e">
        <f>VLOOKUP(C931,'RAW DATA 2023'!E:BO,26,0)</f>
        <v>#N/A</v>
      </c>
      <c r="H931" s="101" t="str">
        <f>IFERROR(VLOOKUP(F931,STD!B:G,6,0),"")</f>
        <v/>
      </c>
      <c r="I931" s="100">
        <f t="shared" si="86"/>
        <v>0</v>
      </c>
      <c r="J931" s="249">
        <f t="shared" si="87"/>
        <v>0</v>
      </c>
      <c r="K931" s="63" t="e">
        <f>VLOOKUP(C931,'RAW DATA 2023'!E:BO,20,0)</f>
        <v>#N/A</v>
      </c>
      <c r="L931" s="322" t="e">
        <f t="shared" si="88"/>
        <v>#N/A</v>
      </c>
    </row>
    <row r="932" spans="1:12" s="63" customFormat="1">
      <c r="A932" s="63">
        <f>'RAW DATA 2023'!B925</f>
        <v>0</v>
      </c>
      <c r="B932" s="63">
        <f>'RAW DATA 2023'!D925</f>
        <v>0</v>
      </c>
      <c r="C932" s="63" t="str">
        <f t="shared" si="84"/>
        <v>00</v>
      </c>
      <c r="D932" s="63" t="e">
        <f>VLOOKUP(C932,'RAW DATA 2023'!E:BP,63,0)</f>
        <v>#N/A</v>
      </c>
      <c r="E932" s="63" t="e">
        <f t="shared" si="85"/>
        <v>#N/A</v>
      </c>
      <c r="F932" s="63" t="e">
        <f>ROUND(VLOOKUP(C932,'RAW DATA 2023'!E:BO,23,0),0)</f>
        <v>#N/A</v>
      </c>
      <c r="G932" s="120" t="e">
        <f>VLOOKUP(C932,'RAW DATA 2023'!E:BO,26,0)</f>
        <v>#N/A</v>
      </c>
      <c r="H932" s="101" t="str">
        <f>IFERROR(VLOOKUP(F932,STD!B:G,6,0),"")</f>
        <v/>
      </c>
      <c r="I932" s="100">
        <f t="shared" si="86"/>
        <v>0</v>
      </c>
      <c r="J932" s="249">
        <f t="shared" si="87"/>
        <v>0</v>
      </c>
      <c r="K932" s="63" t="e">
        <f>VLOOKUP(C932,'RAW DATA 2023'!E:BO,20,0)</f>
        <v>#N/A</v>
      </c>
      <c r="L932" s="322" t="e">
        <f t="shared" si="88"/>
        <v>#N/A</v>
      </c>
    </row>
    <row r="933" spans="1:12" s="63" customFormat="1">
      <c r="A933" s="63">
        <f>'RAW DATA 2023'!B926</f>
        <v>0</v>
      </c>
      <c r="B933" s="63">
        <f>'RAW DATA 2023'!D926</f>
        <v>0</v>
      </c>
      <c r="C933" s="63" t="str">
        <f t="shared" si="84"/>
        <v>00</v>
      </c>
      <c r="D933" s="63" t="e">
        <f>VLOOKUP(C933,'RAW DATA 2023'!E:BP,63,0)</f>
        <v>#N/A</v>
      </c>
      <c r="E933" s="63" t="e">
        <f t="shared" si="85"/>
        <v>#N/A</v>
      </c>
      <c r="F933" s="63" t="e">
        <f>ROUND(VLOOKUP(C933,'RAW DATA 2023'!E:BO,23,0),0)</f>
        <v>#N/A</v>
      </c>
      <c r="G933" s="120" t="e">
        <f>VLOOKUP(C933,'RAW DATA 2023'!E:BO,26,0)</f>
        <v>#N/A</v>
      </c>
      <c r="H933" s="101" t="str">
        <f>IFERROR(VLOOKUP(F933,STD!B:G,6,0),"")</f>
        <v/>
      </c>
      <c r="I933" s="100">
        <f t="shared" si="86"/>
        <v>0</v>
      </c>
      <c r="J933" s="249">
        <f t="shared" si="87"/>
        <v>0</v>
      </c>
      <c r="K933" s="63" t="e">
        <f>VLOOKUP(C933,'RAW DATA 2023'!E:BO,20,0)</f>
        <v>#N/A</v>
      </c>
      <c r="L933" s="322" t="e">
        <f t="shared" si="88"/>
        <v>#N/A</v>
      </c>
    </row>
    <row r="934" spans="1:12" s="63" customFormat="1">
      <c r="A934" s="63">
        <f>'RAW DATA 2023'!B927</f>
        <v>0</v>
      </c>
      <c r="B934" s="63">
        <f>'RAW DATA 2023'!D927</f>
        <v>0</v>
      </c>
      <c r="C934" s="63" t="str">
        <f t="shared" si="84"/>
        <v>00</v>
      </c>
      <c r="D934" s="63" t="e">
        <f>VLOOKUP(C934,'RAW DATA 2023'!E:BP,63,0)</f>
        <v>#N/A</v>
      </c>
      <c r="E934" s="63" t="e">
        <f t="shared" si="85"/>
        <v>#N/A</v>
      </c>
      <c r="F934" s="63" t="e">
        <f>ROUND(VLOOKUP(C934,'RAW DATA 2023'!E:BO,23,0),0)</f>
        <v>#N/A</v>
      </c>
      <c r="G934" s="120" t="e">
        <f>VLOOKUP(C934,'RAW DATA 2023'!E:BO,26,0)</f>
        <v>#N/A</v>
      </c>
      <c r="H934" s="101" t="str">
        <f>IFERROR(VLOOKUP(F934,STD!B:G,6,0),"")</f>
        <v/>
      </c>
      <c r="I934" s="100">
        <f t="shared" si="86"/>
        <v>0</v>
      </c>
      <c r="J934" s="249">
        <f t="shared" si="87"/>
        <v>0</v>
      </c>
      <c r="K934" s="63" t="e">
        <f>VLOOKUP(C934,'RAW DATA 2023'!E:BO,20,0)</f>
        <v>#N/A</v>
      </c>
      <c r="L934" s="322" t="e">
        <f t="shared" si="88"/>
        <v>#N/A</v>
      </c>
    </row>
    <row r="935" spans="1:12" s="63" customFormat="1">
      <c r="A935" s="63">
        <f>'RAW DATA 2023'!B928</f>
        <v>0</v>
      </c>
      <c r="B935" s="63">
        <f>'RAW DATA 2023'!D928</f>
        <v>0</v>
      </c>
      <c r="C935" s="63" t="str">
        <f t="shared" si="84"/>
        <v>00</v>
      </c>
      <c r="D935" s="63" t="e">
        <f>VLOOKUP(C935,'RAW DATA 2023'!E:BP,63,0)</f>
        <v>#N/A</v>
      </c>
      <c r="E935" s="63" t="e">
        <f t="shared" si="85"/>
        <v>#N/A</v>
      </c>
      <c r="F935" s="63" t="e">
        <f>ROUND(VLOOKUP(C935,'RAW DATA 2023'!E:BO,23,0),0)</f>
        <v>#N/A</v>
      </c>
      <c r="G935" s="120" t="e">
        <f>VLOOKUP(C935,'RAW DATA 2023'!E:BO,26,0)</f>
        <v>#N/A</v>
      </c>
      <c r="H935" s="101" t="str">
        <f>IFERROR(VLOOKUP(F935,STD!B:G,6,0),"")</f>
        <v/>
      </c>
      <c r="I935" s="100">
        <f t="shared" si="86"/>
        <v>0</v>
      </c>
      <c r="J935" s="249">
        <f t="shared" si="87"/>
        <v>0</v>
      </c>
      <c r="K935" s="63" t="e">
        <f>VLOOKUP(C935,'RAW DATA 2023'!E:BO,20,0)</f>
        <v>#N/A</v>
      </c>
      <c r="L935" s="322" t="e">
        <f t="shared" si="88"/>
        <v>#N/A</v>
      </c>
    </row>
    <row r="936" spans="1:12" s="63" customFormat="1">
      <c r="A936" s="63">
        <f>'RAW DATA 2023'!B929</f>
        <v>0</v>
      </c>
      <c r="B936" s="63">
        <f>'RAW DATA 2023'!D929</f>
        <v>0</v>
      </c>
      <c r="C936" s="63" t="str">
        <f t="shared" si="84"/>
        <v>00</v>
      </c>
      <c r="D936" s="63" t="e">
        <f>VLOOKUP(C936,'RAW DATA 2023'!E:BP,63,0)</f>
        <v>#N/A</v>
      </c>
      <c r="E936" s="63" t="e">
        <f t="shared" si="85"/>
        <v>#N/A</v>
      </c>
      <c r="F936" s="63" t="e">
        <f>ROUND(VLOOKUP(C936,'RAW DATA 2023'!E:BO,23,0),0)</f>
        <v>#N/A</v>
      </c>
      <c r="G936" s="120" t="e">
        <f>VLOOKUP(C936,'RAW DATA 2023'!E:BO,26,0)</f>
        <v>#N/A</v>
      </c>
      <c r="H936" s="101" t="str">
        <f>IFERROR(VLOOKUP(F936,STD!B:G,6,0),"")</f>
        <v/>
      </c>
      <c r="I936" s="100">
        <f t="shared" si="86"/>
        <v>0</v>
      </c>
      <c r="J936" s="249">
        <f t="shared" si="87"/>
        <v>0</v>
      </c>
      <c r="K936" s="63" t="e">
        <f>VLOOKUP(C936,'RAW DATA 2023'!E:BO,20,0)</f>
        <v>#N/A</v>
      </c>
      <c r="L936" s="322" t="e">
        <f t="shared" si="88"/>
        <v>#N/A</v>
      </c>
    </row>
    <row r="937" spans="1:12" s="63" customFormat="1">
      <c r="A937" s="63">
        <f>'RAW DATA 2023'!B930</f>
        <v>0</v>
      </c>
      <c r="B937" s="63">
        <f>'RAW DATA 2023'!D930</f>
        <v>0</v>
      </c>
      <c r="C937" s="63" t="str">
        <f t="shared" si="84"/>
        <v>00</v>
      </c>
      <c r="D937" s="63" t="e">
        <f>VLOOKUP(C937,'RAW DATA 2023'!E:BP,63,0)</f>
        <v>#N/A</v>
      </c>
      <c r="E937" s="63" t="e">
        <f t="shared" si="85"/>
        <v>#N/A</v>
      </c>
      <c r="F937" s="63" t="e">
        <f>ROUND(VLOOKUP(C937,'RAW DATA 2023'!E:BO,23,0),0)</f>
        <v>#N/A</v>
      </c>
      <c r="G937" s="120" t="e">
        <f>VLOOKUP(C937,'RAW DATA 2023'!E:BO,26,0)</f>
        <v>#N/A</v>
      </c>
      <c r="H937" s="101" t="str">
        <f>IFERROR(VLOOKUP(F937,STD!B:G,6,0),"")</f>
        <v/>
      </c>
      <c r="I937" s="100">
        <f t="shared" si="86"/>
        <v>0</v>
      </c>
      <c r="J937" s="249">
        <f t="shared" si="87"/>
        <v>0</v>
      </c>
      <c r="K937" s="63" t="e">
        <f>VLOOKUP(C937,'RAW DATA 2023'!E:BO,20,0)</f>
        <v>#N/A</v>
      </c>
      <c r="L937" s="322" t="e">
        <f t="shared" si="88"/>
        <v>#N/A</v>
      </c>
    </row>
    <row r="938" spans="1:12" s="63" customFormat="1">
      <c r="A938" s="63">
        <f>'RAW DATA 2023'!B931</f>
        <v>0</v>
      </c>
      <c r="B938" s="63">
        <f>'RAW DATA 2023'!D931</f>
        <v>0</v>
      </c>
      <c r="C938" s="63" t="str">
        <f t="shared" si="84"/>
        <v>00</v>
      </c>
      <c r="D938" s="63" t="e">
        <f>VLOOKUP(C938,'RAW DATA 2023'!E:BP,63,0)</f>
        <v>#N/A</v>
      </c>
      <c r="E938" s="63" t="e">
        <f t="shared" si="85"/>
        <v>#N/A</v>
      </c>
      <c r="F938" s="63" t="e">
        <f>ROUND(VLOOKUP(C938,'RAW DATA 2023'!E:BO,23,0),0)</f>
        <v>#N/A</v>
      </c>
      <c r="G938" s="120" t="e">
        <f>VLOOKUP(C938,'RAW DATA 2023'!E:BO,26,0)</f>
        <v>#N/A</v>
      </c>
      <c r="H938" s="101" t="str">
        <f>IFERROR(VLOOKUP(F938,STD!B:G,6,0),"")</f>
        <v/>
      </c>
      <c r="I938" s="100">
        <f t="shared" si="86"/>
        <v>0</v>
      </c>
      <c r="J938" s="249">
        <f t="shared" si="87"/>
        <v>0</v>
      </c>
      <c r="K938" s="63" t="e">
        <f>VLOOKUP(C938,'RAW DATA 2023'!E:BO,20,0)</f>
        <v>#N/A</v>
      </c>
      <c r="L938" s="322" t="e">
        <f t="shared" si="88"/>
        <v>#N/A</v>
      </c>
    </row>
    <row r="939" spans="1:12" s="63" customFormat="1">
      <c r="A939" s="63">
        <f>'RAW DATA 2023'!B932</f>
        <v>0</v>
      </c>
      <c r="B939" s="63">
        <f>'RAW DATA 2023'!D932</f>
        <v>0</v>
      </c>
      <c r="C939" s="63" t="str">
        <f t="shared" si="84"/>
        <v>00</v>
      </c>
      <c r="D939" s="63" t="e">
        <f>VLOOKUP(C939,'RAW DATA 2023'!E:BP,63,0)</f>
        <v>#N/A</v>
      </c>
      <c r="E939" s="63" t="e">
        <f t="shared" si="85"/>
        <v>#N/A</v>
      </c>
      <c r="F939" s="63" t="e">
        <f>ROUND(VLOOKUP(C939,'RAW DATA 2023'!E:BO,23,0),0)</f>
        <v>#N/A</v>
      </c>
      <c r="G939" s="120" t="e">
        <f>VLOOKUP(C939,'RAW DATA 2023'!E:BO,26,0)</f>
        <v>#N/A</v>
      </c>
      <c r="H939" s="101" t="str">
        <f>IFERROR(VLOOKUP(F939,STD!B:G,6,0),"")</f>
        <v/>
      </c>
      <c r="I939" s="100">
        <f t="shared" si="86"/>
        <v>0</v>
      </c>
      <c r="J939" s="249">
        <f t="shared" si="87"/>
        <v>0</v>
      </c>
      <c r="K939" s="63" t="e">
        <f>VLOOKUP(C939,'RAW DATA 2023'!E:BO,20,0)</f>
        <v>#N/A</v>
      </c>
      <c r="L939" s="322" t="e">
        <f t="shared" si="88"/>
        <v>#N/A</v>
      </c>
    </row>
    <row r="940" spans="1:12" s="63" customFormat="1">
      <c r="A940" s="63">
        <f>'RAW DATA 2023'!B933</f>
        <v>0</v>
      </c>
      <c r="B940" s="63">
        <f>'RAW DATA 2023'!D933</f>
        <v>0</v>
      </c>
      <c r="C940" s="63" t="str">
        <f t="shared" si="84"/>
        <v>00</v>
      </c>
      <c r="D940" s="63" t="e">
        <f>VLOOKUP(C940,'RAW DATA 2023'!E:BP,63,0)</f>
        <v>#N/A</v>
      </c>
      <c r="E940" s="63" t="e">
        <f t="shared" si="85"/>
        <v>#N/A</v>
      </c>
      <c r="F940" s="63" t="e">
        <f>ROUND(VLOOKUP(C940,'RAW DATA 2023'!E:BO,23,0),0)</f>
        <v>#N/A</v>
      </c>
      <c r="G940" s="120" t="e">
        <f>VLOOKUP(C940,'RAW DATA 2023'!E:BO,26,0)</f>
        <v>#N/A</v>
      </c>
      <c r="H940" s="101" t="str">
        <f>IFERROR(VLOOKUP(F940,STD!B:G,6,0),"")</f>
        <v/>
      </c>
      <c r="I940" s="100">
        <f t="shared" si="86"/>
        <v>0</v>
      </c>
      <c r="J940" s="249">
        <f t="shared" si="87"/>
        <v>0</v>
      </c>
      <c r="K940" s="63" t="e">
        <f>VLOOKUP(C940,'RAW DATA 2023'!E:BO,20,0)</f>
        <v>#N/A</v>
      </c>
      <c r="L940" s="322" t="e">
        <f t="shared" si="88"/>
        <v>#N/A</v>
      </c>
    </row>
    <row r="941" spans="1:12" s="63" customFormat="1">
      <c r="A941" s="63">
        <f>'RAW DATA 2023'!B934</f>
        <v>0</v>
      </c>
      <c r="B941" s="63">
        <f>'RAW DATA 2023'!D934</f>
        <v>0</v>
      </c>
      <c r="C941" s="63" t="str">
        <f t="shared" si="84"/>
        <v>00</v>
      </c>
      <c r="D941" s="63" t="e">
        <f>VLOOKUP(C941,'RAW DATA 2023'!E:BP,63,0)</f>
        <v>#N/A</v>
      </c>
      <c r="E941" s="63" t="e">
        <f t="shared" si="85"/>
        <v>#N/A</v>
      </c>
      <c r="F941" s="63" t="e">
        <f>ROUND(VLOOKUP(C941,'RAW DATA 2023'!E:BO,23,0),0)</f>
        <v>#N/A</v>
      </c>
      <c r="G941" s="120" t="e">
        <f>VLOOKUP(C941,'RAW DATA 2023'!E:BO,26,0)</f>
        <v>#N/A</v>
      </c>
      <c r="H941" s="101" t="str">
        <f>IFERROR(VLOOKUP(F941,STD!B:G,6,0),"")</f>
        <v/>
      </c>
      <c r="I941" s="100">
        <f t="shared" si="86"/>
        <v>0</v>
      </c>
      <c r="J941" s="249">
        <f t="shared" si="87"/>
        <v>0</v>
      </c>
      <c r="K941" s="63" t="e">
        <f>VLOOKUP(C941,'RAW DATA 2023'!E:BO,20,0)</f>
        <v>#N/A</v>
      </c>
      <c r="L941" s="322" t="e">
        <f t="shared" si="88"/>
        <v>#N/A</v>
      </c>
    </row>
    <row r="942" spans="1:12" s="63" customFormat="1">
      <c r="A942" s="63">
        <f>'RAW DATA 2023'!B935</f>
        <v>0</v>
      </c>
      <c r="B942" s="63">
        <f>'RAW DATA 2023'!D935</f>
        <v>0</v>
      </c>
      <c r="C942" s="63" t="str">
        <f t="shared" si="84"/>
        <v>00</v>
      </c>
      <c r="D942" s="63" t="e">
        <f>VLOOKUP(C942,'RAW DATA 2023'!E:BP,63,0)</f>
        <v>#N/A</v>
      </c>
      <c r="E942" s="63" t="e">
        <f t="shared" si="85"/>
        <v>#N/A</v>
      </c>
      <c r="F942" s="63" t="e">
        <f>ROUND(VLOOKUP(C942,'RAW DATA 2023'!E:BO,23,0),0)</f>
        <v>#N/A</v>
      </c>
      <c r="G942" s="120" t="e">
        <f>VLOOKUP(C942,'RAW DATA 2023'!E:BO,26,0)</f>
        <v>#N/A</v>
      </c>
      <c r="H942" s="101" t="str">
        <f>IFERROR(VLOOKUP(F942,STD!B:G,6,0),"")</f>
        <v/>
      </c>
      <c r="I942" s="100">
        <f t="shared" si="86"/>
        <v>0</v>
      </c>
      <c r="J942" s="249">
        <f t="shared" si="87"/>
        <v>0</v>
      </c>
      <c r="K942" s="63" t="e">
        <f>VLOOKUP(C942,'RAW DATA 2023'!E:BO,20,0)</f>
        <v>#N/A</v>
      </c>
      <c r="L942" s="322" t="e">
        <f t="shared" si="88"/>
        <v>#N/A</v>
      </c>
    </row>
    <row r="943" spans="1:12" s="63" customFormat="1">
      <c r="A943" s="63">
        <f>'RAW DATA 2023'!B936</f>
        <v>0</v>
      </c>
      <c r="B943" s="63">
        <f>'RAW DATA 2023'!D936</f>
        <v>0</v>
      </c>
      <c r="C943" s="63" t="str">
        <f t="shared" si="84"/>
        <v>00</v>
      </c>
      <c r="D943" s="63" t="e">
        <f>VLOOKUP(C943,'RAW DATA 2023'!E:BP,63,0)</f>
        <v>#N/A</v>
      </c>
      <c r="E943" s="63" t="e">
        <f t="shared" si="85"/>
        <v>#N/A</v>
      </c>
      <c r="F943" s="63" t="e">
        <f>ROUND(VLOOKUP(C943,'RAW DATA 2023'!E:BO,23,0),0)</f>
        <v>#N/A</v>
      </c>
      <c r="G943" s="120" t="e">
        <f>VLOOKUP(C943,'RAW DATA 2023'!E:BO,26,0)</f>
        <v>#N/A</v>
      </c>
      <c r="H943" s="101" t="str">
        <f>IFERROR(VLOOKUP(F943,STD!B:G,6,0),"")</f>
        <v/>
      </c>
      <c r="I943" s="100">
        <f t="shared" si="86"/>
        <v>0</v>
      </c>
      <c r="J943" s="249">
        <f t="shared" si="87"/>
        <v>0</v>
      </c>
      <c r="K943" s="63" t="e">
        <f>VLOOKUP(C943,'RAW DATA 2023'!E:BO,20,0)</f>
        <v>#N/A</v>
      </c>
      <c r="L943" s="322" t="e">
        <f t="shared" si="88"/>
        <v>#N/A</v>
      </c>
    </row>
    <row r="944" spans="1:12" s="63" customFormat="1">
      <c r="A944" s="63">
        <f>'RAW DATA 2023'!B937</f>
        <v>0</v>
      </c>
      <c r="B944" s="63">
        <f>'RAW DATA 2023'!D937</f>
        <v>0</v>
      </c>
      <c r="C944" s="63" t="str">
        <f t="shared" si="84"/>
        <v>00</v>
      </c>
      <c r="D944" s="63" t="e">
        <f>VLOOKUP(C944,'RAW DATA 2023'!E:BP,63,0)</f>
        <v>#N/A</v>
      </c>
      <c r="E944" s="63" t="e">
        <f t="shared" si="85"/>
        <v>#N/A</v>
      </c>
      <c r="F944" s="63" t="e">
        <f>ROUND(VLOOKUP(C944,'RAW DATA 2023'!E:BO,23,0),0)</f>
        <v>#N/A</v>
      </c>
      <c r="G944" s="120" t="e">
        <f>VLOOKUP(C944,'RAW DATA 2023'!E:BO,26,0)</f>
        <v>#N/A</v>
      </c>
      <c r="H944" s="101" t="str">
        <f>IFERROR(VLOOKUP(F944,STD!B:G,6,0),"")</f>
        <v/>
      </c>
      <c r="I944" s="100">
        <f t="shared" si="86"/>
        <v>0</v>
      </c>
      <c r="J944" s="249">
        <f t="shared" si="87"/>
        <v>0</v>
      </c>
      <c r="K944" s="63" t="e">
        <f>VLOOKUP(C944,'RAW DATA 2023'!E:BO,20,0)</f>
        <v>#N/A</v>
      </c>
      <c r="L944" s="322" t="e">
        <f t="shared" si="88"/>
        <v>#N/A</v>
      </c>
    </row>
    <row r="945" spans="1:12" s="63" customFormat="1">
      <c r="A945" s="63">
        <f>'RAW DATA 2023'!B938</f>
        <v>0</v>
      </c>
      <c r="B945" s="63">
        <f>'RAW DATA 2023'!D938</f>
        <v>0</v>
      </c>
      <c r="C945" s="63" t="str">
        <f t="shared" si="84"/>
        <v>00</v>
      </c>
      <c r="D945" s="63" t="e">
        <f>VLOOKUP(C945,'RAW DATA 2023'!E:BP,63,0)</f>
        <v>#N/A</v>
      </c>
      <c r="E945" s="63" t="e">
        <f t="shared" si="85"/>
        <v>#N/A</v>
      </c>
      <c r="F945" s="63" t="e">
        <f>ROUND(VLOOKUP(C945,'RAW DATA 2023'!E:BO,23,0),0)</f>
        <v>#N/A</v>
      </c>
      <c r="G945" s="120" t="e">
        <f>VLOOKUP(C945,'RAW DATA 2023'!E:BO,26,0)</f>
        <v>#N/A</v>
      </c>
      <c r="H945" s="101" t="str">
        <f>IFERROR(VLOOKUP(F945,STD!B:G,6,0),"")</f>
        <v/>
      </c>
      <c r="I945" s="100">
        <f t="shared" si="86"/>
        <v>0</v>
      </c>
      <c r="J945" s="249">
        <f t="shared" si="87"/>
        <v>0</v>
      </c>
      <c r="K945" s="63" t="e">
        <f>VLOOKUP(C945,'RAW DATA 2023'!E:BO,20,0)</f>
        <v>#N/A</v>
      </c>
      <c r="L945" s="322" t="e">
        <f t="shared" si="88"/>
        <v>#N/A</v>
      </c>
    </row>
    <row r="946" spans="1:12" s="63" customFormat="1">
      <c r="A946" s="63">
        <f>'RAW DATA 2023'!B939</f>
        <v>0</v>
      </c>
      <c r="B946" s="63">
        <f>'RAW DATA 2023'!D939</f>
        <v>0</v>
      </c>
      <c r="C946" s="63" t="str">
        <f t="shared" si="84"/>
        <v>00</v>
      </c>
      <c r="D946" s="63" t="e">
        <f>VLOOKUP(C946,'RAW DATA 2023'!E:BP,63,0)</f>
        <v>#N/A</v>
      </c>
      <c r="E946" s="63" t="e">
        <f t="shared" si="85"/>
        <v>#N/A</v>
      </c>
      <c r="F946" s="63" t="e">
        <f>ROUND(VLOOKUP(C946,'RAW DATA 2023'!E:BO,23,0),0)</f>
        <v>#N/A</v>
      </c>
      <c r="G946" s="120" t="e">
        <f>VLOOKUP(C946,'RAW DATA 2023'!E:BO,26,0)</f>
        <v>#N/A</v>
      </c>
      <c r="H946" s="101" t="str">
        <f>IFERROR(VLOOKUP(F946,STD!B:G,6,0),"")</f>
        <v/>
      </c>
      <c r="I946" s="100">
        <f t="shared" si="86"/>
        <v>0</v>
      </c>
      <c r="J946" s="249">
        <f t="shared" si="87"/>
        <v>0</v>
      </c>
      <c r="K946" s="63" t="e">
        <f>VLOOKUP(C946,'RAW DATA 2023'!E:BO,20,0)</f>
        <v>#N/A</v>
      </c>
      <c r="L946" s="322" t="e">
        <f t="shared" si="88"/>
        <v>#N/A</v>
      </c>
    </row>
    <row r="947" spans="1:12" s="63" customFormat="1">
      <c r="A947" s="63">
        <f>'RAW DATA 2023'!B940</f>
        <v>0</v>
      </c>
      <c r="B947" s="63">
        <f>'RAW DATA 2023'!D940</f>
        <v>0</v>
      </c>
      <c r="C947" s="63" t="str">
        <f t="shared" si="84"/>
        <v>00</v>
      </c>
      <c r="D947" s="63" t="e">
        <f>VLOOKUP(C947,'RAW DATA 2023'!E:BP,63,0)</f>
        <v>#N/A</v>
      </c>
      <c r="E947" s="63" t="e">
        <f t="shared" si="85"/>
        <v>#N/A</v>
      </c>
      <c r="F947" s="63" t="e">
        <f>ROUND(VLOOKUP(C947,'RAW DATA 2023'!E:BO,23,0),0)</f>
        <v>#N/A</v>
      </c>
      <c r="G947" s="120" t="e">
        <f>VLOOKUP(C947,'RAW DATA 2023'!E:BO,26,0)</f>
        <v>#N/A</v>
      </c>
      <c r="H947" s="101" t="str">
        <f>IFERROR(VLOOKUP(F947,STD!B:G,6,0),"")</f>
        <v/>
      </c>
      <c r="I947" s="100">
        <f t="shared" si="86"/>
        <v>0</v>
      </c>
      <c r="J947" s="249">
        <f t="shared" si="87"/>
        <v>0</v>
      </c>
      <c r="K947" s="63" t="e">
        <f>VLOOKUP(C947,'RAW DATA 2023'!E:BO,20,0)</f>
        <v>#N/A</v>
      </c>
      <c r="L947" s="322" t="e">
        <f t="shared" si="88"/>
        <v>#N/A</v>
      </c>
    </row>
    <row r="948" spans="1:12" s="63" customFormat="1">
      <c r="A948" s="63">
        <f>'RAW DATA 2023'!B941</f>
        <v>0</v>
      </c>
      <c r="B948" s="63">
        <f>'RAW DATA 2023'!D941</f>
        <v>0</v>
      </c>
      <c r="C948" s="63" t="str">
        <f t="shared" si="84"/>
        <v>00</v>
      </c>
      <c r="D948" s="63" t="e">
        <f>VLOOKUP(C948,'RAW DATA 2023'!E:BP,63,0)</f>
        <v>#N/A</v>
      </c>
      <c r="E948" s="63" t="e">
        <f t="shared" si="85"/>
        <v>#N/A</v>
      </c>
      <c r="F948" s="63" t="e">
        <f>ROUND(VLOOKUP(C948,'RAW DATA 2023'!E:BO,23,0),0)</f>
        <v>#N/A</v>
      </c>
      <c r="G948" s="120" t="e">
        <f>VLOOKUP(C948,'RAW DATA 2023'!E:BO,26,0)</f>
        <v>#N/A</v>
      </c>
      <c r="H948" s="101" t="str">
        <f>IFERROR(VLOOKUP(F948,STD!B:G,6,0),"")</f>
        <v/>
      </c>
      <c r="I948" s="100">
        <f t="shared" si="86"/>
        <v>0</v>
      </c>
      <c r="J948" s="249">
        <f t="shared" si="87"/>
        <v>0</v>
      </c>
      <c r="K948" s="63" t="e">
        <f>VLOOKUP(C948,'RAW DATA 2023'!E:BO,20,0)</f>
        <v>#N/A</v>
      </c>
      <c r="L948" s="322" t="e">
        <f t="shared" si="88"/>
        <v>#N/A</v>
      </c>
    </row>
    <row r="949" spans="1:12" s="63" customFormat="1">
      <c r="A949" s="63">
        <f>'RAW DATA 2023'!B942</f>
        <v>0</v>
      </c>
      <c r="B949" s="63">
        <f>'RAW DATA 2023'!D942</f>
        <v>0</v>
      </c>
      <c r="C949" s="63" t="str">
        <f t="shared" si="84"/>
        <v>00</v>
      </c>
      <c r="D949" s="63" t="e">
        <f>VLOOKUP(C949,'RAW DATA 2023'!E:BP,63,0)</f>
        <v>#N/A</v>
      </c>
      <c r="E949" s="63" t="e">
        <f t="shared" si="85"/>
        <v>#N/A</v>
      </c>
      <c r="F949" s="63" t="e">
        <f>ROUND(VLOOKUP(C949,'RAW DATA 2023'!E:BO,23,0),0)</f>
        <v>#N/A</v>
      </c>
      <c r="G949" s="120" t="e">
        <f>VLOOKUP(C949,'RAW DATA 2023'!E:BO,26,0)</f>
        <v>#N/A</v>
      </c>
      <c r="H949" s="101" t="str">
        <f>IFERROR(VLOOKUP(F949,STD!B:G,6,0),"")</f>
        <v/>
      </c>
      <c r="I949" s="100">
        <f t="shared" si="86"/>
        <v>0</v>
      </c>
      <c r="J949" s="249">
        <f t="shared" si="87"/>
        <v>0</v>
      </c>
      <c r="K949" s="63" t="e">
        <f>VLOOKUP(C949,'RAW DATA 2023'!E:BO,20,0)</f>
        <v>#N/A</v>
      </c>
      <c r="L949" s="322" t="e">
        <f t="shared" si="88"/>
        <v>#N/A</v>
      </c>
    </row>
    <row r="950" spans="1:12" s="63" customFormat="1">
      <c r="A950" s="63">
        <f>'RAW DATA 2023'!B943</f>
        <v>0</v>
      </c>
      <c r="B950" s="63">
        <f>'RAW DATA 2023'!D943</f>
        <v>0</v>
      </c>
      <c r="C950" s="63" t="str">
        <f t="shared" si="84"/>
        <v>00</v>
      </c>
      <c r="D950" s="63" t="e">
        <f>VLOOKUP(C950,'RAW DATA 2023'!E:BP,63,0)</f>
        <v>#N/A</v>
      </c>
      <c r="E950" s="63" t="e">
        <f t="shared" si="85"/>
        <v>#N/A</v>
      </c>
      <c r="F950" s="63" t="e">
        <f>ROUND(VLOOKUP(C950,'RAW DATA 2023'!E:BO,23,0),0)</f>
        <v>#N/A</v>
      </c>
      <c r="G950" s="120" t="e">
        <f>VLOOKUP(C950,'RAW DATA 2023'!E:BO,26,0)</f>
        <v>#N/A</v>
      </c>
      <c r="H950" s="101" t="str">
        <f>IFERROR(VLOOKUP(F950,STD!B:G,6,0),"")</f>
        <v/>
      </c>
      <c r="I950" s="100">
        <f t="shared" si="86"/>
        <v>0</v>
      </c>
      <c r="J950" s="249">
        <f t="shared" si="87"/>
        <v>0</v>
      </c>
      <c r="K950" s="63" t="e">
        <f>VLOOKUP(C950,'RAW DATA 2023'!E:BO,20,0)</f>
        <v>#N/A</v>
      </c>
      <c r="L950" s="322" t="e">
        <f t="shared" si="88"/>
        <v>#N/A</v>
      </c>
    </row>
    <row r="951" spans="1:12" s="63" customFormat="1">
      <c r="A951" s="63">
        <f>'RAW DATA 2023'!B944</f>
        <v>0</v>
      </c>
      <c r="B951" s="63">
        <f>'RAW DATA 2023'!D944</f>
        <v>0</v>
      </c>
      <c r="C951" s="63" t="str">
        <f t="shared" si="84"/>
        <v>00</v>
      </c>
      <c r="D951" s="63" t="e">
        <f>VLOOKUP(C951,'RAW DATA 2023'!E:BP,63,0)</f>
        <v>#N/A</v>
      </c>
      <c r="E951" s="63" t="e">
        <f t="shared" si="85"/>
        <v>#N/A</v>
      </c>
      <c r="F951" s="63" t="e">
        <f>ROUND(VLOOKUP(C951,'RAW DATA 2023'!E:BO,23,0),0)</f>
        <v>#N/A</v>
      </c>
      <c r="G951" s="120" t="e">
        <f>VLOOKUP(C951,'RAW DATA 2023'!E:BO,26,0)</f>
        <v>#N/A</v>
      </c>
      <c r="H951" s="101" t="str">
        <f>IFERROR(VLOOKUP(F951,STD!B:G,6,0),"")</f>
        <v/>
      </c>
      <c r="I951" s="100">
        <f t="shared" si="86"/>
        <v>0</v>
      </c>
      <c r="J951" s="249">
        <f t="shared" si="87"/>
        <v>0</v>
      </c>
      <c r="K951" s="63" t="e">
        <f>VLOOKUP(C951,'RAW DATA 2023'!E:BO,20,0)</f>
        <v>#N/A</v>
      </c>
      <c r="L951" s="322" t="e">
        <f t="shared" si="88"/>
        <v>#N/A</v>
      </c>
    </row>
    <row r="952" spans="1:12" s="63" customFormat="1">
      <c r="A952" s="63">
        <f>'RAW DATA 2023'!B945</f>
        <v>0</v>
      </c>
      <c r="B952" s="63">
        <f>'RAW DATA 2023'!D945</f>
        <v>0</v>
      </c>
      <c r="C952" s="63" t="str">
        <f t="shared" si="84"/>
        <v>00</v>
      </c>
      <c r="D952" s="63" t="e">
        <f>VLOOKUP(C952,'RAW DATA 2023'!E:BP,63,0)</f>
        <v>#N/A</v>
      </c>
      <c r="E952" s="63" t="e">
        <f t="shared" si="85"/>
        <v>#N/A</v>
      </c>
      <c r="F952" s="63" t="e">
        <f>ROUND(VLOOKUP(C952,'RAW DATA 2023'!E:BO,23,0),0)</f>
        <v>#N/A</v>
      </c>
      <c r="G952" s="120" t="e">
        <f>VLOOKUP(C952,'RAW DATA 2023'!E:BO,26,0)</f>
        <v>#N/A</v>
      </c>
      <c r="H952" s="101" t="str">
        <f>IFERROR(VLOOKUP(F952,STD!B:G,6,0),"")</f>
        <v/>
      </c>
      <c r="I952" s="100">
        <f t="shared" si="86"/>
        <v>0</v>
      </c>
      <c r="J952" s="249">
        <f t="shared" si="87"/>
        <v>0</v>
      </c>
      <c r="K952" s="63" t="e">
        <f>VLOOKUP(C952,'RAW DATA 2023'!E:BO,20,0)</f>
        <v>#N/A</v>
      </c>
      <c r="L952" s="322" t="e">
        <f t="shared" si="88"/>
        <v>#N/A</v>
      </c>
    </row>
    <row r="953" spans="1:12" s="63" customFormat="1">
      <c r="A953" s="63">
        <f>'RAW DATA 2023'!B946</f>
        <v>0</v>
      </c>
      <c r="B953" s="63">
        <f>'RAW DATA 2023'!D946</f>
        <v>0</v>
      </c>
      <c r="C953" s="63" t="str">
        <f t="shared" si="84"/>
        <v>00</v>
      </c>
      <c r="D953" s="63" t="e">
        <f>VLOOKUP(C953,'RAW DATA 2023'!E:BP,63,0)</f>
        <v>#N/A</v>
      </c>
      <c r="E953" s="63" t="e">
        <f t="shared" si="85"/>
        <v>#N/A</v>
      </c>
      <c r="F953" s="63" t="e">
        <f>ROUND(VLOOKUP(C953,'RAW DATA 2023'!E:BO,23,0),0)</f>
        <v>#N/A</v>
      </c>
      <c r="G953" s="120" t="e">
        <f>VLOOKUP(C953,'RAW DATA 2023'!E:BO,26,0)</f>
        <v>#N/A</v>
      </c>
      <c r="H953" s="101" t="str">
        <f>IFERROR(VLOOKUP(F953,STD!B:G,6,0),"")</f>
        <v/>
      </c>
      <c r="I953" s="100">
        <f t="shared" si="86"/>
        <v>0</v>
      </c>
      <c r="J953" s="249">
        <f t="shared" si="87"/>
        <v>0</v>
      </c>
      <c r="K953" s="63" t="e">
        <f>VLOOKUP(C953,'RAW DATA 2023'!E:BO,20,0)</f>
        <v>#N/A</v>
      </c>
      <c r="L953" s="322" t="e">
        <f t="shared" si="88"/>
        <v>#N/A</v>
      </c>
    </row>
    <row r="954" spans="1:12" s="63" customFormat="1">
      <c r="A954" s="63">
        <f>'RAW DATA 2023'!B947</f>
        <v>0</v>
      </c>
      <c r="B954" s="63">
        <f>'RAW DATA 2023'!D947</f>
        <v>0</v>
      </c>
      <c r="C954" s="63" t="str">
        <f t="shared" si="84"/>
        <v>00</v>
      </c>
      <c r="D954" s="63" t="e">
        <f>VLOOKUP(C954,'RAW DATA 2023'!E:BP,63,0)</f>
        <v>#N/A</v>
      </c>
      <c r="E954" s="63" t="e">
        <f t="shared" si="85"/>
        <v>#N/A</v>
      </c>
      <c r="F954" s="63" t="e">
        <f>ROUND(VLOOKUP(C954,'RAW DATA 2023'!E:BO,23,0),0)</f>
        <v>#N/A</v>
      </c>
      <c r="G954" s="120" t="e">
        <f>VLOOKUP(C954,'RAW DATA 2023'!E:BO,26,0)</f>
        <v>#N/A</v>
      </c>
      <c r="H954" s="101" t="str">
        <f>IFERROR(VLOOKUP(F954,STD!B:G,6,0),"")</f>
        <v/>
      </c>
      <c r="I954" s="100">
        <f t="shared" si="86"/>
        <v>0</v>
      </c>
      <c r="J954" s="249">
        <f t="shared" si="87"/>
        <v>0</v>
      </c>
      <c r="K954" s="63" t="e">
        <f>VLOOKUP(C954,'RAW DATA 2023'!E:BO,20,0)</f>
        <v>#N/A</v>
      </c>
      <c r="L954" s="322" t="e">
        <f t="shared" si="88"/>
        <v>#N/A</v>
      </c>
    </row>
    <row r="955" spans="1:12" s="63" customFormat="1">
      <c r="A955" s="63">
        <f>'RAW DATA 2023'!B948</f>
        <v>0</v>
      </c>
      <c r="B955" s="63">
        <f>'RAW DATA 2023'!D948</f>
        <v>0</v>
      </c>
      <c r="C955" s="63" t="str">
        <f t="shared" si="84"/>
        <v>00</v>
      </c>
      <c r="D955" s="63" t="e">
        <f>VLOOKUP(C955,'RAW DATA 2023'!E:BP,63,0)</f>
        <v>#N/A</v>
      </c>
      <c r="E955" s="63" t="e">
        <f t="shared" si="85"/>
        <v>#N/A</v>
      </c>
      <c r="F955" s="63" t="e">
        <f>ROUND(VLOOKUP(C955,'RAW DATA 2023'!E:BO,23,0),0)</f>
        <v>#N/A</v>
      </c>
      <c r="G955" s="120" t="e">
        <f>VLOOKUP(C955,'RAW DATA 2023'!E:BO,26,0)</f>
        <v>#N/A</v>
      </c>
      <c r="H955" s="101" t="str">
        <f>IFERROR(VLOOKUP(F955,STD!B:G,6,0),"")</f>
        <v/>
      </c>
      <c r="I955" s="100">
        <f t="shared" si="86"/>
        <v>0</v>
      </c>
      <c r="J955" s="249">
        <f t="shared" si="87"/>
        <v>0</v>
      </c>
      <c r="K955" s="63" t="e">
        <f>VLOOKUP(C955,'RAW DATA 2023'!E:BO,20,0)</f>
        <v>#N/A</v>
      </c>
      <c r="L955" s="322" t="e">
        <f t="shared" si="88"/>
        <v>#N/A</v>
      </c>
    </row>
    <row r="956" spans="1:12" s="63" customFormat="1">
      <c r="A956" s="63">
        <f>'RAW DATA 2023'!B949</f>
        <v>0</v>
      </c>
      <c r="B956" s="63">
        <f>'RAW DATA 2023'!D949</f>
        <v>0</v>
      </c>
      <c r="C956" s="63" t="str">
        <f t="shared" si="84"/>
        <v>00</v>
      </c>
      <c r="D956" s="63" t="e">
        <f>VLOOKUP(C956,'RAW DATA 2023'!E:BP,63,0)</f>
        <v>#N/A</v>
      </c>
      <c r="E956" s="63" t="e">
        <f t="shared" si="85"/>
        <v>#N/A</v>
      </c>
      <c r="F956" s="63" t="e">
        <f>ROUND(VLOOKUP(C956,'RAW DATA 2023'!E:BO,23,0),0)</f>
        <v>#N/A</v>
      </c>
      <c r="G956" s="120" t="e">
        <f>VLOOKUP(C956,'RAW DATA 2023'!E:BO,26,0)</f>
        <v>#N/A</v>
      </c>
      <c r="H956" s="101" t="str">
        <f>IFERROR(VLOOKUP(F956,STD!B:G,6,0),"")</f>
        <v/>
      </c>
      <c r="I956" s="100">
        <f t="shared" si="86"/>
        <v>0</v>
      </c>
      <c r="J956" s="249">
        <f t="shared" si="87"/>
        <v>0</v>
      </c>
      <c r="K956" s="63" t="e">
        <f>VLOOKUP(C956,'RAW DATA 2023'!E:BO,20,0)</f>
        <v>#N/A</v>
      </c>
      <c r="L956" s="322" t="e">
        <f t="shared" si="88"/>
        <v>#N/A</v>
      </c>
    </row>
    <row r="957" spans="1:12" s="63" customFormat="1">
      <c r="A957" s="63">
        <f>'RAW DATA 2023'!B950</f>
        <v>0</v>
      </c>
      <c r="B957" s="63">
        <f>'RAW DATA 2023'!D950</f>
        <v>0</v>
      </c>
      <c r="C957" s="63" t="str">
        <f t="shared" si="84"/>
        <v>00</v>
      </c>
      <c r="D957" s="63" t="e">
        <f>VLOOKUP(C957,'RAW DATA 2023'!E:BP,63,0)</f>
        <v>#N/A</v>
      </c>
      <c r="E957" s="63" t="e">
        <f t="shared" si="85"/>
        <v>#N/A</v>
      </c>
      <c r="F957" s="63" t="e">
        <f>ROUND(VLOOKUP(C957,'RAW DATA 2023'!E:BO,23,0),0)</f>
        <v>#N/A</v>
      </c>
      <c r="G957" s="120" t="e">
        <f>VLOOKUP(C957,'RAW DATA 2023'!E:BO,26,0)</f>
        <v>#N/A</v>
      </c>
      <c r="H957" s="101" t="str">
        <f>IFERROR(VLOOKUP(F957,STD!B:G,6,0),"")</f>
        <v/>
      </c>
      <c r="I957" s="100">
        <f t="shared" si="86"/>
        <v>0</v>
      </c>
      <c r="J957" s="249">
        <f t="shared" si="87"/>
        <v>0</v>
      </c>
      <c r="K957" s="63" t="e">
        <f>VLOOKUP(C957,'RAW DATA 2023'!E:BO,20,0)</f>
        <v>#N/A</v>
      </c>
      <c r="L957" s="322" t="e">
        <f t="shared" si="88"/>
        <v>#N/A</v>
      </c>
    </row>
    <row r="958" spans="1:12" s="63" customFormat="1">
      <c r="A958" s="63">
        <f>'RAW DATA 2023'!B951</f>
        <v>0</v>
      </c>
      <c r="B958" s="63">
        <f>'RAW DATA 2023'!D951</f>
        <v>0</v>
      </c>
      <c r="C958" s="63" t="str">
        <f t="shared" si="84"/>
        <v>00</v>
      </c>
      <c r="D958" s="63" t="e">
        <f>VLOOKUP(C958,'RAW DATA 2023'!E:BP,63,0)</f>
        <v>#N/A</v>
      </c>
      <c r="E958" s="63" t="e">
        <f t="shared" si="85"/>
        <v>#N/A</v>
      </c>
      <c r="F958" s="63" t="e">
        <f>ROUND(VLOOKUP(C958,'RAW DATA 2023'!E:BO,23,0),0)</f>
        <v>#N/A</v>
      </c>
      <c r="G958" s="120" t="e">
        <f>VLOOKUP(C958,'RAW DATA 2023'!E:BO,26,0)</f>
        <v>#N/A</v>
      </c>
      <c r="H958" s="101" t="str">
        <f>IFERROR(VLOOKUP(F958,STD!B:G,6,0),"")</f>
        <v/>
      </c>
      <c r="I958" s="100">
        <f t="shared" si="86"/>
        <v>0</v>
      </c>
      <c r="J958" s="249">
        <f t="shared" si="87"/>
        <v>0</v>
      </c>
      <c r="K958" s="63" t="e">
        <f>VLOOKUP(C958,'RAW DATA 2023'!E:BO,20,0)</f>
        <v>#N/A</v>
      </c>
      <c r="L958" s="322" t="e">
        <f t="shared" si="88"/>
        <v>#N/A</v>
      </c>
    </row>
    <row r="959" spans="1:12" s="63" customFormat="1">
      <c r="A959" s="63">
        <f>'RAW DATA 2023'!B952</f>
        <v>0</v>
      </c>
      <c r="B959" s="63">
        <f>'RAW DATA 2023'!D952</f>
        <v>0</v>
      </c>
      <c r="C959" s="63" t="str">
        <f t="shared" si="84"/>
        <v>00</v>
      </c>
      <c r="D959" s="63" t="e">
        <f>VLOOKUP(C959,'RAW DATA 2023'!E:BP,63,0)</f>
        <v>#N/A</v>
      </c>
      <c r="E959" s="63" t="e">
        <f t="shared" si="85"/>
        <v>#N/A</v>
      </c>
      <c r="F959" s="63" t="e">
        <f>ROUND(VLOOKUP(C959,'RAW DATA 2023'!E:BO,23,0),0)</f>
        <v>#N/A</v>
      </c>
      <c r="G959" s="120" t="e">
        <f>VLOOKUP(C959,'RAW DATA 2023'!E:BO,26,0)</f>
        <v>#N/A</v>
      </c>
      <c r="H959" s="101" t="str">
        <f>IFERROR(VLOOKUP(F959,STD!B:G,6,0),"")</f>
        <v/>
      </c>
      <c r="I959" s="100">
        <f t="shared" si="86"/>
        <v>0</v>
      </c>
      <c r="J959" s="249">
        <f t="shared" si="87"/>
        <v>0</v>
      </c>
      <c r="K959" s="63" t="e">
        <f>VLOOKUP(C959,'RAW DATA 2023'!E:BO,20,0)</f>
        <v>#N/A</v>
      </c>
      <c r="L959" s="322" t="e">
        <f t="shared" si="88"/>
        <v>#N/A</v>
      </c>
    </row>
    <row r="960" spans="1:12" s="63" customFormat="1">
      <c r="A960" s="63">
        <f>'RAW DATA 2023'!B953</f>
        <v>0</v>
      </c>
      <c r="B960" s="63">
        <f>'RAW DATA 2023'!D953</f>
        <v>0</v>
      </c>
      <c r="C960" s="63" t="str">
        <f t="shared" si="84"/>
        <v>00</v>
      </c>
      <c r="D960" s="63" t="e">
        <f>VLOOKUP(C960,'RAW DATA 2023'!E:BP,63,0)</f>
        <v>#N/A</v>
      </c>
      <c r="E960" s="63" t="e">
        <f t="shared" si="85"/>
        <v>#N/A</v>
      </c>
      <c r="F960" s="63" t="e">
        <f>ROUND(VLOOKUP(C960,'RAW DATA 2023'!E:BO,23,0),0)</f>
        <v>#N/A</v>
      </c>
      <c r="G960" s="120" t="e">
        <f>VLOOKUP(C960,'RAW DATA 2023'!E:BO,26,0)</f>
        <v>#N/A</v>
      </c>
      <c r="H960" s="101" t="str">
        <f>IFERROR(VLOOKUP(F960,STD!B:G,6,0),"")</f>
        <v/>
      </c>
      <c r="I960" s="100">
        <f t="shared" si="86"/>
        <v>0</v>
      </c>
      <c r="J960" s="249">
        <f t="shared" si="87"/>
        <v>0</v>
      </c>
      <c r="K960" s="63" t="e">
        <f>VLOOKUP(C960,'RAW DATA 2023'!E:BO,20,0)</f>
        <v>#N/A</v>
      </c>
      <c r="L960" s="322" t="e">
        <f t="shared" si="88"/>
        <v>#N/A</v>
      </c>
    </row>
    <row r="961" spans="1:12" s="63" customFormat="1">
      <c r="A961" s="63">
        <f>'RAW DATA 2023'!B954</f>
        <v>0</v>
      </c>
      <c r="B961" s="63">
        <f>'RAW DATA 2023'!D954</f>
        <v>0</v>
      </c>
      <c r="C961" s="63" t="str">
        <f t="shared" si="84"/>
        <v>00</v>
      </c>
      <c r="D961" s="63" t="e">
        <f>VLOOKUP(C961,'RAW DATA 2023'!E:BP,63,0)</f>
        <v>#N/A</v>
      </c>
      <c r="E961" s="63" t="e">
        <f t="shared" si="85"/>
        <v>#N/A</v>
      </c>
      <c r="F961" s="63" t="e">
        <f>ROUND(VLOOKUP(C961,'RAW DATA 2023'!E:BO,23,0),0)</f>
        <v>#N/A</v>
      </c>
      <c r="G961" s="120" t="e">
        <f>VLOOKUP(C961,'RAW DATA 2023'!E:BO,26,0)</f>
        <v>#N/A</v>
      </c>
      <c r="H961" s="101" t="str">
        <f>IFERROR(VLOOKUP(F961,STD!B:G,6,0),"")</f>
        <v/>
      </c>
      <c r="I961" s="100">
        <f t="shared" si="86"/>
        <v>0</v>
      </c>
      <c r="J961" s="249">
        <f t="shared" si="87"/>
        <v>0</v>
      </c>
      <c r="K961" s="63" t="e">
        <f>VLOOKUP(C961,'RAW DATA 2023'!E:BO,20,0)</f>
        <v>#N/A</v>
      </c>
      <c r="L961" s="322" t="e">
        <f t="shared" si="88"/>
        <v>#N/A</v>
      </c>
    </row>
    <row r="962" spans="1:12" s="63" customFormat="1">
      <c r="A962" s="63">
        <f>'RAW DATA 2023'!B955</f>
        <v>0</v>
      </c>
      <c r="B962" s="63">
        <f>'RAW DATA 2023'!D955</f>
        <v>0</v>
      </c>
      <c r="C962" s="63" t="str">
        <f t="shared" si="84"/>
        <v>00</v>
      </c>
      <c r="D962" s="63" t="e">
        <f>VLOOKUP(C962,'RAW DATA 2023'!E:BP,63,0)</f>
        <v>#N/A</v>
      </c>
      <c r="E962" s="63" t="e">
        <f t="shared" si="85"/>
        <v>#N/A</v>
      </c>
      <c r="F962" s="63" t="e">
        <f>ROUND(VLOOKUP(C962,'RAW DATA 2023'!E:BO,23,0),0)</f>
        <v>#N/A</v>
      </c>
      <c r="G962" s="120" t="e">
        <f>VLOOKUP(C962,'RAW DATA 2023'!E:BO,26,0)</f>
        <v>#N/A</v>
      </c>
      <c r="H962" s="101" t="str">
        <f>IFERROR(VLOOKUP(F962,STD!B:G,6,0),"")</f>
        <v/>
      </c>
      <c r="I962" s="100">
        <f t="shared" si="86"/>
        <v>0</v>
      </c>
      <c r="J962" s="249">
        <f t="shared" si="87"/>
        <v>0</v>
      </c>
      <c r="K962" s="63" t="e">
        <f>VLOOKUP(C962,'RAW DATA 2023'!E:BO,20,0)</f>
        <v>#N/A</v>
      </c>
      <c r="L962" s="322" t="e">
        <f t="shared" si="88"/>
        <v>#N/A</v>
      </c>
    </row>
    <row r="963" spans="1:12" s="63" customFormat="1">
      <c r="A963" s="63">
        <f>'RAW DATA 2023'!B956</f>
        <v>0</v>
      </c>
      <c r="B963" s="63">
        <f>'RAW DATA 2023'!D956</f>
        <v>0</v>
      </c>
      <c r="C963" s="63" t="str">
        <f t="shared" si="84"/>
        <v>00</v>
      </c>
      <c r="D963" s="63" t="e">
        <f>VLOOKUP(C963,'RAW DATA 2023'!E:BP,63,0)</f>
        <v>#N/A</v>
      </c>
      <c r="E963" s="63" t="e">
        <f t="shared" si="85"/>
        <v>#N/A</v>
      </c>
      <c r="F963" s="63" t="e">
        <f>ROUND(VLOOKUP(C963,'RAW DATA 2023'!E:BO,23,0),0)</f>
        <v>#N/A</v>
      </c>
      <c r="G963" s="120" t="e">
        <f>VLOOKUP(C963,'RAW DATA 2023'!E:BO,26,0)</f>
        <v>#N/A</v>
      </c>
      <c r="H963" s="101" t="str">
        <f>IFERROR(VLOOKUP(F963,STD!B:G,6,0),"")</f>
        <v/>
      </c>
      <c r="I963" s="100">
        <f t="shared" si="86"/>
        <v>0</v>
      </c>
      <c r="J963" s="249">
        <f t="shared" si="87"/>
        <v>0</v>
      </c>
      <c r="K963" s="63" t="e">
        <f>VLOOKUP(C963,'RAW DATA 2023'!E:BO,20,0)</f>
        <v>#N/A</v>
      </c>
      <c r="L963" s="322" t="e">
        <f t="shared" si="88"/>
        <v>#N/A</v>
      </c>
    </row>
    <row r="964" spans="1:12" s="63" customFormat="1">
      <c r="A964" s="63">
        <f>'RAW DATA 2023'!B957</f>
        <v>0</v>
      </c>
      <c r="B964" s="63">
        <f>'RAW DATA 2023'!D957</f>
        <v>0</v>
      </c>
      <c r="C964" s="63" t="str">
        <f t="shared" si="84"/>
        <v>00</v>
      </c>
      <c r="D964" s="63" t="e">
        <f>VLOOKUP(C964,'RAW DATA 2023'!E:BP,63,0)</f>
        <v>#N/A</v>
      </c>
      <c r="E964" s="63" t="e">
        <f t="shared" si="85"/>
        <v>#N/A</v>
      </c>
      <c r="F964" s="63" t="e">
        <f>ROUND(VLOOKUP(C964,'RAW DATA 2023'!E:BO,23,0),0)</f>
        <v>#N/A</v>
      </c>
      <c r="G964" s="120" t="e">
        <f>VLOOKUP(C964,'RAW DATA 2023'!E:BO,26,0)</f>
        <v>#N/A</v>
      </c>
      <c r="H964" s="101" t="str">
        <f>IFERROR(VLOOKUP(F964,STD!B:G,6,0),"")</f>
        <v/>
      </c>
      <c r="I964" s="100">
        <f t="shared" si="86"/>
        <v>0</v>
      </c>
      <c r="J964" s="249">
        <f t="shared" si="87"/>
        <v>0</v>
      </c>
      <c r="K964" s="63" t="e">
        <f>VLOOKUP(C964,'RAW DATA 2023'!E:BO,20,0)</f>
        <v>#N/A</v>
      </c>
      <c r="L964" s="322" t="e">
        <f t="shared" si="88"/>
        <v>#N/A</v>
      </c>
    </row>
    <row r="965" spans="1:12" s="63" customFormat="1">
      <c r="A965" s="63">
        <f>'RAW DATA 2023'!B958</f>
        <v>0</v>
      </c>
      <c r="B965" s="63">
        <f>'RAW DATA 2023'!D958</f>
        <v>0</v>
      </c>
      <c r="C965" s="63" t="str">
        <f t="shared" si="84"/>
        <v>00</v>
      </c>
      <c r="D965" s="63" t="e">
        <f>VLOOKUP(C965,'RAW DATA 2023'!E:BP,63,0)</f>
        <v>#N/A</v>
      </c>
      <c r="E965" s="63" t="e">
        <f t="shared" si="85"/>
        <v>#N/A</v>
      </c>
      <c r="F965" s="63" t="e">
        <f>ROUND(VLOOKUP(C965,'RAW DATA 2023'!E:BO,23,0),0)</f>
        <v>#N/A</v>
      </c>
      <c r="G965" s="120" t="e">
        <f>VLOOKUP(C965,'RAW DATA 2023'!E:BO,26,0)</f>
        <v>#N/A</v>
      </c>
      <c r="H965" s="101" t="str">
        <f>IFERROR(VLOOKUP(F965,STD!B:G,6,0),"")</f>
        <v/>
      </c>
      <c r="I965" s="100">
        <f t="shared" si="86"/>
        <v>0</v>
      </c>
      <c r="J965" s="249">
        <f t="shared" si="87"/>
        <v>0</v>
      </c>
      <c r="K965" s="63" t="e">
        <f>VLOOKUP(C965,'RAW DATA 2023'!E:BO,20,0)</f>
        <v>#N/A</v>
      </c>
      <c r="L965" s="322" t="e">
        <f t="shared" si="88"/>
        <v>#N/A</v>
      </c>
    </row>
    <row r="966" spans="1:12" s="63" customFormat="1">
      <c r="A966" s="63">
        <f>'RAW DATA 2023'!B959</f>
        <v>0</v>
      </c>
      <c r="B966" s="63">
        <f>'RAW DATA 2023'!D959</f>
        <v>0</v>
      </c>
      <c r="C966" s="63" t="str">
        <f t="shared" si="84"/>
        <v>00</v>
      </c>
      <c r="D966" s="63" t="e">
        <f>VLOOKUP(C966,'RAW DATA 2023'!E:BP,63,0)</f>
        <v>#N/A</v>
      </c>
      <c r="E966" s="63" t="e">
        <f t="shared" si="85"/>
        <v>#N/A</v>
      </c>
      <c r="F966" s="63" t="e">
        <f>ROUND(VLOOKUP(C966,'RAW DATA 2023'!E:BO,23,0),0)</f>
        <v>#N/A</v>
      </c>
      <c r="G966" s="120" t="e">
        <f>VLOOKUP(C966,'RAW DATA 2023'!E:BO,26,0)</f>
        <v>#N/A</v>
      </c>
      <c r="H966" s="101" t="str">
        <f>IFERROR(VLOOKUP(F966,STD!B:G,6,0),"")</f>
        <v/>
      </c>
      <c r="I966" s="100">
        <f t="shared" si="86"/>
        <v>0</v>
      </c>
      <c r="J966" s="249">
        <f t="shared" si="87"/>
        <v>0</v>
      </c>
      <c r="K966" s="63" t="e">
        <f>VLOOKUP(C966,'RAW DATA 2023'!E:BO,20,0)</f>
        <v>#N/A</v>
      </c>
      <c r="L966" s="322" t="e">
        <f t="shared" si="88"/>
        <v>#N/A</v>
      </c>
    </row>
    <row r="967" spans="1:12" s="63" customFormat="1">
      <c r="A967" s="63">
        <f>'RAW DATA 2023'!B960</f>
        <v>0</v>
      </c>
      <c r="B967" s="63">
        <f>'RAW DATA 2023'!D960</f>
        <v>0</v>
      </c>
      <c r="C967" s="63" t="str">
        <f t="shared" si="84"/>
        <v>00</v>
      </c>
      <c r="D967" s="63" t="e">
        <f>VLOOKUP(C967,'RAW DATA 2023'!E:BP,63,0)</f>
        <v>#N/A</v>
      </c>
      <c r="E967" s="63" t="e">
        <f t="shared" si="85"/>
        <v>#N/A</v>
      </c>
      <c r="F967" s="63" t="e">
        <f>ROUND(VLOOKUP(C967,'RAW DATA 2023'!E:BO,23,0),0)</f>
        <v>#N/A</v>
      </c>
      <c r="G967" s="120" t="e">
        <f>VLOOKUP(C967,'RAW DATA 2023'!E:BO,26,0)</f>
        <v>#N/A</v>
      </c>
      <c r="H967" s="101" t="str">
        <f>IFERROR(VLOOKUP(F967,STD!B:G,6,0),"")</f>
        <v/>
      </c>
      <c r="I967" s="100">
        <f t="shared" si="86"/>
        <v>0</v>
      </c>
      <c r="J967" s="249">
        <f t="shared" si="87"/>
        <v>0</v>
      </c>
      <c r="K967" s="63" t="e">
        <f>VLOOKUP(C967,'RAW DATA 2023'!E:BO,20,0)</f>
        <v>#N/A</v>
      </c>
      <c r="L967" s="322" t="e">
        <f t="shared" si="88"/>
        <v>#N/A</v>
      </c>
    </row>
    <row r="968" spans="1:12" s="63" customFormat="1">
      <c r="A968" s="63">
        <f>'RAW DATA 2023'!B961</f>
        <v>0</v>
      </c>
      <c r="B968" s="63">
        <f>'RAW DATA 2023'!D961</f>
        <v>0</v>
      </c>
      <c r="C968" s="63" t="str">
        <f t="shared" si="84"/>
        <v>00</v>
      </c>
      <c r="D968" s="63" t="e">
        <f>VLOOKUP(C968,'RAW DATA 2023'!E:BP,63,0)</f>
        <v>#N/A</v>
      </c>
      <c r="E968" s="63" t="e">
        <f t="shared" si="85"/>
        <v>#N/A</v>
      </c>
      <c r="F968" s="63" t="e">
        <f>ROUND(VLOOKUP(C968,'RAW DATA 2023'!E:BO,23,0),0)</f>
        <v>#N/A</v>
      </c>
      <c r="G968" s="120" t="e">
        <f>VLOOKUP(C968,'RAW DATA 2023'!E:BO,26,0)</f>
        <v>#N/A</v>
      </c>
      <c r="H968" s="101" t="str">
        <f>IFERROR(VLOOKUP(F968,STD!B:G,6,0),"")</f>
        <v/>
      </c>
      <c r="I968" s="100">
        <f t="shared" si="86"/>
        <v>0</v>
      </c>
      <c r="J968" s="249">
        <f t="shared" si="87"/>
        <v>0</v>
      </c>
      <c r="K968" s="63" t="e">
        <f>VLOOKUP(C968,'RAW DATA 2023'!E:BO,20,0)</f>
        <v>#N/A</v>
      </c>
      <c r="L968" s="322" t="e">
        <f t="shared" si="88"/>
        <v>#N/A</v>
      </c>
    </row>
    <row r="969" spans="1:12" s="63" customFormat="1">
      <c r="A969" s="63">
        <f>'RAW DATA 2023'!B962</f>
        <v>0</v>
      </c>
      <c r="B969" s="63">
        <f>'RAW DATA 2023'!D962</f>
        <v>0</v>
      </c>
      <c r="C969" s="63" t="str">
        <f t="shared" si="84"/>
        <v>00</v>
      </c>
      <c r="D969" s="63" t="e">
        <f>VLOOKUP(C969,'RAW DATA 2023'!E:BP,63,0)</f>
        <v>#N/A</v>
      </c>
      <c r="E969" s="63" t="e">
        <f t="shared" si="85"/>
        <v>#N/A</v>
      </c>
      <c r="F969" s="63" t="e">
        <f>ROUND(VLOOKUP(C969,'RAW DATA 2023'!E:BO,23,0),0)</f>
        <v>#N/A</v>
      </c>
      <c r="G969" s="120" t="e">
        <f>VLOOKUP(C969,'RAW DATA 2023'!E:BO,26,0)</f>
        <v>#N/A</v>
      </c>
      <c r="H969" s="101" t="str">
        <f>IFERROR(VLOOKUP(F969,STD!B:G,6,0),"")</f>
        <v/>
      </c>
      <c r="I969" s="100">
        <f t="shared" si="86"/>
        <v>0</v>
      </c>
      <c r="J969" s="249">
        <f t="shared" si="87"/>
        <v>0</v>
      </c>
      <c r="K969" s="63" t="e">
        <f>VLOOKUP(C969,'RAW DATA 2023'!E:BO,20,0)</f>
        <v>#N/A</v>
      </c>
      <c r="L969" s="322" t="e">
        <f t="shared" si="88"/>
        <v>#N/A</v>
      </c>
    </row>
    <row r="970" spans="1:12" s="63" customFormat="1">
      <c r="A970" s="63">
        <f>'RAW DATA 2023'!B963</f>
        <v>0</v>
      </c>
      <c r="B970" s="63">
        <f>'RAW DATA 2023'!D963</f>
        <v>0</v>
      </c>
      <c r="C970" s="63" t="str">
        <f t="shared" ref="C970:C1033" si="89">A970&amp;B970</f>
        <v>00</v>
      </c>
      <c r="D970" s="63" t="e">
        <f>VLOOKUP(C970,'RAW DATA 2023'!E:BP,63,0)</f>
        <v>#N/A</v>
      </c>
      <c r="E970" s="63" t="e">
        <f t="shared" ref="E970:E1033" si="90">A970&amp;D970</f>
        <v>#N/A</v>
      </c>
      <c r="F970" s="63" t="e">
        <f>ROUND(VLOOKUP(C970,'RAW DATA 2023'!E:BO,23,0),0)</f>
        <v>#N/A</v>
      </c>
      <c r="G970" s="120" t="e">
        <f>VLOOKUP(C970,'RAW DATA 2023'!E:BO,26,0)</f>
        <v>#N/A</v>
      </c>
      <c r="H970" s="101" t="str">
        <f>IFERROR(VLOOKUP(F970,STD!B:G,6,0),"")</f>
        <v/>
      </c>
      <c r="I970" s="100">
        <f t="shared" ref="I970:I1033" si="91">IFERROR(G970/H970,0)</f>
        <v>0</v>
      </c>
      <c r="J970" s="249">
        <f t="shared" si="87"/>
        <v>0</v>
      </c>
      <c r="K970" s="63" t="e">
        <f>VLOOKUP(C970,'RAW DATA 2023'!E:BO,20,0)</f>
        <v>#N/A</v>
      </c>
      <c r="L970" s="322" t="e">
        <f t="shared" si="88"/>
        <v>#N/A</v>
      </c>
    </row>
    <row r="971" spans="1:12" s="63" customFormat="1">
      <c r="A971" s="63">
        <f>'RAW DATA 2023'!B964</f>
        <v>0</v>
      </c>
      <c r="B971" s="63">
        <f>'RAW DATA 2023'!D964</f>
        <v>0</v>
      </c>
      <c r="C971" s="63" t="str">
        <f t="shared" si="89"/>
        <v>00</v>
      </c>
      <c r="D971" s="63" t="e">
        <f>VLOOKUP(C971,'RAW DATA 2023'!E:BP,63,0)</f>
        <v>#N/A</v>
      </c>
      <c r="E971" s="63" t="e">
        <f t="shared" si="90"/>
        <v>#N/A</v>
      </c>
      <c r="F971" s="63" t="e">
        <f>ROUND(VLOOKUP(C971,'RAW DATA 2023'!E:BO,23,0),0)</f>
        <v>#N/A</v>
      </c>
      <c r="G971" s="120" t="e">
        <f>VLOOKUP(C971,'RAW DATA 2023'!E:BO,26,0)</f>
        <v>#N/A</v>
      </c>
      <c r="H971" s="101" t="str">
        <f>IFERROR(VLOOKUP(F971,STD!B:G,6,0),"")</f>
        <v/>
      </c>
      <c r="I971" s="100">
        <f t="shared" si="91"/>
        <v>0</v>
      </c>
      <c r="J971" s="249">
        <f t="shared" ref="J971:J1034" si="92">IF(I971&gt;0.5,((I971-$B$4)*$B$7),0)</f>
        <v>0</v>
      </c>
      <c r="K971" s="63" t="e">
        <f>VLOOKUP(C971,'RAW DATA 2023'!E:BO,20,0)</f>
        <v>#N/A</v>
      </c>
      <c r="L971" s="322" t="e">
        <f t="shared" ref="L971:L1034" si="93">J971*K971</f>
        <v>#N/A</v>
      </c>
    </row>
    <row r="972" spans="1:12" s="63" customFormat="1">
      <c r="A972" s="63">
        <f>'RAW DATA 2023'!B965</f>
        <v>0</v>
      </c>
      <c r="B972" s="63">
        <f>'RAW DATA 2023'!D965</f>
        <v>0</v>
      </c>
      <c r="C972" s="63" t="str">
        <f t="shared" si="89"/>
        <v>00</v>
      </c>
      <c r="D972" s="63" t="e">
        <f>VLOOKUP(C972,'RAW DATA 2023'!E:BP,63,0)</f>
        <v>#N/A</v>
      </c>
      <c r="E972" s="63" t="e">
        <f t="shared" si="90"/>
        <v>#N/A</v>
      </c>
      <c r="F972" s="63" t="e">
        <f>ROUND(VLOOKUP(C972,'RAW DATA 2023'!E:BO,23,0),0)</f>
        <v>#N/A</v>
      </c>
      <c r="G972" s="120" t="e">
        <f>VLOOKUP(C972,'RAW DATA 2023'!E:BO,26,0)</f>
        <v>#N/A</v>
      </c>
      <c r="H972" s="101" t="str">
        <f>IFERROR(VLOOKUP(F972,STD!B:G,6,0),"")</f>
        <v/>
      </c>
      <c r="I972" s="100">
        <f t="shared" si="91"/>
        <v>0</v>
      </c>
      <c r="J972" s="249">
        <f t="shared" si="92"/>
        <v>0</v>
      </c>
      <c r="K972" s="63" t="e">
        <f>VLOOKUP(C972,'RAW DATA 2023'!E:BO,20,0)</f>
        <v>#N/A</v>
      </c>
      <c r="L972" s="322" t="e">
        <f t="shared" si="93"/>
        <v>#N/A</v>
      </c>
    </row>
    <row r="973" spans="1:12" s="63" customFormat="1">
      <c r="A973" s="63">
        <f>'RAW DATA 2023'!B966</f>
        <v>0</v>
      </c>
      <c r="B973" s="63">
        <f>'RAW DATA 2023'!D966</f>
        <v>0</v>
      </c>
      <c r="C973" s="63" t="str">
        <f t="shared" si="89"/>
        <v>00</v>
      </c>
      <c r="D973" s="63" t="e">
        <f>VLOOKUP(C973,'RAW DATA 2023'!E:BP,63,0)</f>
        <v>#N/A</v>
      </c>
      <c r="E973" s="63" t="e">
        <f t="shared" si="90"/>
        <v>#N/A</v>
      </c>
      <c r="F973" s="63" t="e">
        <f>ROUND(VLOOKUP(C973,'RAW DATA 2023'!E:BO,23,0),0)</f>
        <v>#N/A</v>
      </c>
      <c r="G973" s="120" t="e">
        <f>VLOOKUP(C973,'RAW DATA 2023'!E:BO,26,0)</f>
        <v>#N/A</v>
      </c>
      <c r="H973" s="101" t="str">
        <f>IFERROR(VLOOKUP(F973,STD!B:G,6,0),"")</f>
        <v/>
      </c>
      <c r="I973" s="100">
        <f t="shared" si="91"/>
        <v>0</v>
      </c>
      <c r="J973" s="249">
        <f t="shared" si="92"/>
        <v>0</v>
      </c>
      <c r="K973" s="63" t="e">
        <f>VLOOKUP(C973,'RAW DATA 2023'!E:BO,20,0)</f>
        <v>#N/A</v>
      </c>
      <c r="L973" s="322" t="e">
        <f t="shared" si="93"/>
        <v>#N/A</v>
      </c>
    </row>
    <row r="974" spans="1:12" s="63" customFormat="1">
      <c r="A974" s="63">
        <f>'RAW DATA 2023'!B967</f>
        <v>0</v>
      </c>
      <c r="B974" s="63">
        <f>'RAW DATA 2023'!D967</f>
        <v>0</v>
      </c>
      <c r="C974" s="63" t="str">
        <f t="shared" si="89"/>
        <v>00</v>
      </c>
      <c r="D974" s="63" t="e">
        <f>VLOOKUP(C974,'RAW DATA 2023'!E:BP,63,0)</f>
        <v>#N/A</v>
      </c>
      <c r="E974" s="63" t="e">
        <f t="shared" si="90"/>
        <v>#N/A</v>
      </c>
      <c r="F974" s="63" t="e">
        <f>ROUND(VLOOKUP(C974,'RAW DATA 2023'!E:BO,23,0),0)</f>
        <v>#N/A</v>
      </c>
      <c r="G974" s="120" t="e">
        <f>VLOOKUP(C974,'RAW DATA 2023'!E:BO,26,0)</f>
        <v>#N/A</v>
      </c>
      <c r="H974" s="101" t="str">
        <f>IFERROR(VLOOKUP(F974,STD!B:G,6,0),"")</f>
        <v/>
      </c>
      <c r="I974" s="100">
        <f t="shared" si="91"/>
        <v>0</v>
      </c>
      <c r="J974" s="249">
        <f t="shared" si="92"/>
        <v>0</v>
      </c>
      <c r="K974" s="63" t="e">
        <f>VLOOKUP(C974,'RAW DATA 2023'!E:BO,20,0)</f>
        <v>#N/A</v>
      </c>
      <c r="L974" s="322" t="e">
        <f t="shared" si="93"/>
        <v>#N/A</v>
      </c>
    </row>
    <row r="975" spans="1:12" s="63" customFormat="1">
      <c r="A975" s="63">
        <f>'RAW DATA 2023'!B968</f>
        <v>0</v>
      </c>
      <c r="B975" s="63">
        <f>'RAW DATA 2023'!D968</f>
        <v>0</v>
      </c>
      <c r="C975" s="63" t="str">
        <f t="shared" si="89"/>
        <v>00</v>
      </c>
      <c r="D975" s="63" t="e">
        <f>VLOOKUP(C975,'RAW DATA 2023'!E:BP,63,0)</f>
        <v>#N/A</v>
      </c>
      <c r="E975" s="63" t="e">
        <f t="shared" si="90"/>
        <v>#N/A</v>
      </c>
      <c r="F975" s="63" t="e">
        <f>ROUND(VLOOKUP(C975,'RAW DATA 2023'!E:BO,23,0),0)</f>
        <v>#N/A</v>
      </c>
      <c r="G975" s="120" t="e">
        <f>VLOOKUP(C975,'RAW DATA 2023'!E:BO,26,0)</f>
        <v>#N/A</v>
      </c>
      <c r="H975" s="101" t="str">
        <f>IFERROR(VLOOKUP(F975,STD!B:G,6,0),"")</f>
        <v/>
      </c>
      <c r="I975" s="100">
        <f t="shared" si="91"/>
        <v>0</v>
      </c>
      <c r="J975" s="249">
        <f t="shared" si="92"/>
        <v>0</v>
      </c>
      <c r="K975" s="63" t="e">
        <f>VLOOKUP(C975,'RAW DATA 2023'!E:BO,20,0)</f>
        <v>#N/A</v>
      </c>
      <c r="L975" s="322" t="e">
        <f t="shared" si="93"/>
        <v>#N/A</v>
      </c>
    </row>
    <row r="976" spans="1:12" s="63" customFormat="1">
      <c r="A976" s="63">
        <f>'RAW DATA 2023'!B969</f>
        <v>0</v>
      </c>
      <c r="B976" s="63">
        <f>'RAW DATA 2023'!D969</f>
        <v>0</v>
      </c>
      <c r="C976" s="63" t="str">
        <f t="shared" si="89"/>
        <v>00</v>
      </c>
      <c r="D976" s="63" t="e">
        <f>VLOOKUP(C976,'RAW DATA 2023'!E:BP,63,0)</f>
        <v>#N/A</v>
      </c>
      <c r="E976" s="63" t="e">
        <f t="shared" si="90"/>
        <v>#N/A</v>
      </c>
      <c r="F976" s="63" t="e">
        <f>ROUND(VLOOKUP(C976,'RAW DATA 2023'!E:BO,23,0),0)</f>
        <v>#N/A</v>
      </c>
      <c r="G976" s="120" t="e">
        <f>VLOOKUP(C976,'RAW DATA 2023'!E:BO,26,0)</f>
        <v>#N/A</v>
      </c>
      <c r="H976" s="101" t="str">
        <f>IFERROR(VLOOKUP(F976,STD!B:G,6,0),"")</f>
        <v/>
      </c>
      <c r="I976" s="100">
        <f t="shared" si="91"/>
        <v>0</v>
      </c>
      <c r="J976" s="249">
        <f t="shared" si="92"/>
        <v>0</v>
      </c>
      <c r="K976" s="63" t="e">
        <f>VLOOKUP(C976,'RAW DATA 2023'!E:BO,20,0)</f>
        <v>#N/A</v>
      </c>
      <c r="L976" s="322" t="e">
        <f t="shared" si="93"/>
        <v>#N/A</v>
      </c>
    </row>
    <row r="977" spans="1:12" s="63" customFormat="1">
      <c r="A977" s="63">
        <f>'RAW DATA 2023'!B970</f>
        <v>0</v>
      </c>
      <c r="B977" s="63">
        <f>'RAW DATA 2023'!D970</f>
        <v>0</v>
      </c>
      <c r="C977" s="63" t="str">
        <f t="shared" si="89"/>
        <v>00</v>
      </c>
      <c r="D977" s="63" t="e">
        <f>VLOOKUP(C977,'RAW DATA 2023'!E:BP,63,0)</f>
        <v>#N/A</v>
      </c>
      <c r="E977" s="63" t="e">
        <f t="shared" si="90"/>
        <v>#N/A</v>
      </c>
      <c r="F977" s="63" t="e">
        <f>ROUND(VLOOKUP(C977,'RAW DATA 2023'!E:BO,23,0),0)</f>
        <v>#N/A</v>
      </c>
      <c r="G977" s="120" t="e">
        <f>VLOOKUP(C977,'RAW DATA 2023'!E:BO,26,0)</f>
        <v>#N/A</v>
      </c>
      <c r="H977" s="101" t="str">
        <f>IFERROR(VLOOKUP(F977,STD!B:G,6,0),"")</f>
        <v/>
      </c>
      <c r="I977" s="100">
        <f t="shared" si="91"/>
        <v>0</v>
      </c>
      <c r="J977" s="249">
        <f t="shared" si="92"/>
        <v>0</v>
      </c>
      <c r="K977" s="63" t="e">
        <f>VLOOKUP(C977,'RAW DATA 2023'!E:BO,20,0)</f>
        <v>#N/A</v>
      </c>
      <c r="L977" s="322" t="e">
        <f t="shared" si="93"/>
        <v>#N/A</v>
      </c>
    </row>
    <row r="978" spans="1:12" s="63" customFormat="1">
      <c r="A978" s="63">
        <f>'RAW DATA 2023'!B971</f>
        <v>0</v>
      </c>
      <c r="B978" s="63">
        <f>'RAW DATA 2023'!D971</f>
        <v>0</v>
      </c>
      <c r="C978" s="63" t="str">
        <f t="shared" si="89"/>
        <v>00</v>
      </c>
      <c r="D978" s="63" t="e">
        <f>VLOOKUP(C978,'RAW DATA 2023'!E:BP,63,0)</f>
        <v>#N/A</v>
      </c>
      <c r="E978" s="63" t="e">
        <f t="shared" si="90"/>
        <v>#N/A</v>
      </c>
      <c r="F978" s="63" t="e">
        <f>ROUND(VLOOKUP(C978,'RAW DATA 2023'!E:BO,23,0),0)</f>
        <v>#N/A</v>
      </c>
      <c r="G978" s="120" t="e">
        <f>VLOOKUP(C978,'RAW DATA 2023'!E:BO,26,0)</f>
        <v>#N/A</v>
      </c>
      <c r="H978" s="101" t="str">
        <f>IFERROR(VLOOKUP(F978,STD!B:G,6,0),"")</f>
        <v/>
      </c>
      <c r="I978" s="100">
        <f t="shared" si="91"/>
        <v>0</v>
      </c>
      <c r="J978" s="249">
        <f t="shared" si="92"/>
        <v>0</v>
      </c>
      <c r="K978" s="63" t="e">
        <f>VLOOKUP(C978,'RAW DATA 2023'!E:BO,20,0)</f>
        <v>#N/A</v>
      </c>
      <c r="L978" s="322" t="e">
        <f t="shared" si="93"/>
        <v>#N/A</v>
      </c>
    </row>
    <row r="979" spans="1:12" s="63" customFormat="1">
      <c r="A979" s="63">
        <f>'RAW DATA 2023'!B972</f>
        <v>0</v>
      </c>
      <c r="B979" s="63">
        <f>'RAW DATA 2023'!D972</f>
        <v>0</v>
      </c>
      <c r="C979" s="63" t="str">
        <f t="shared" si="89"/>
        <v>00</v>
      </c>
      <c r="D979" s="63" t="e">
        <f>VLOOKUP(C979,'RAW DATA 2023'!E:BP,63,0)</f>
        <v>#N/A</v>
      </c>
      <c r="E979" s="63" t="e">
        <f t="shared" si="90"/>
        <v>#N/A</v>
      </c>
      <c r="F979" s="63" t="e">
        <f>ROUND(VLOOKUP(C979,'RAW DATA 2023'!E:BO,23,0),0)</f>
        <v>#N/A</v>
      </c>
      <c r="G979" s="120" t="e">
        <f>VLOOKUP(C979,'RAW DATA 2023'!E:BO,26,0)</f>
        <v>#N/A</v>
      </c>
      <c r="H979" s="101" t="str">
        <f>IFERROR(VLOOKUP(F979,STD!B:G,6,0),"")</f>
        <v/>
      </c>
      <c r="I979" s="100">
        <f t="shared" si="91"/>
        <v>0</v>
      </c>
      <c r="J979" s="249">
        <f t="shared" si="92"/>
        <v>0</v>
      </c>
      <c r="K979" s="63" t="e">
        <f>VLOOKUP(C979,'RAW DATA 2023'!E:BO,20,0)</f>
        <v>#N/A</v>
      </c>
      <c r="L979" s="322" t="e">
        <f t="shared" si="93"/>
        <v>#N/A</v>
      </c>
    </row>
    <row r="980" spans="1:12" s="63" customFormat="1">
      <c r="A980" s="63">
        <f>'RAW DATA 2023'!B973</f>
        <v>0</v>
      </c>
      <c r="B980" s="63">
        <f>'RAW DATA 2023'!D973</f>
        <v>0</v>
      </c>
      <c r="C980" s="63" t="str">
        <f t="shared" si="89"/>
        <v>00</v>
      </c>
      <c r="D980" s="63" t="e">
        <f>VLOOKUP(C980,'RAW DATA 2023'!E:BP,63,0)</f>
        <v>#N/A</v>
      </c>
      <c r="E980" s="63" t="e">
        <f t="shared" si="90"/>
        <v>#N/A</v>
      </c>
      <c r="F980" s="63" t="e">
        <f>ROUND(VLOOKUP(C980,'RAW DATA 2023'!E:BO,23,0),0)</f>
        <v>#N/A</v>
      </c>
      <c r="G980" s="120" t="e">
        <f>VLOOKUP(C980,'RAW DATA 2023'!E:BO,26,0)</f>
        <v>#N/A</v>
      </c>
      <c r="H980" s="101" t="str">
        <f>IFERROR(VLOOKUP(F980,STD!B:G,6,0),"")</f>
        <v/>
      </c>
      <c r="I980" s="100">
        <f t="shared" si="91"/>
        <v>0</v>
      </c>
      <c r="J980" s="249">
        <f t="shared" si="92"/>
        <v>0</v>
      </c>
      <c r="K980" s="63" t="e">
        <f>VLOOKUP(C980,'RAW DATA 2023'!E:BO,20,0)</f>
        <v>#N/A</v>
      </c>
      <c r="L980" s="322" t="e">
        <f t="shared" si="93"/>
        <v>#N/A</v>
      </c>
    </row>
    <row r="981" spans="1:12" s="63" customFormat="1">
      <c r="A981" s="63">
        <f>'RAW DATA 2023'!B974</f>
        <v>0</v>
      </c>
      <c r="B981" s="63">
        <f>'RAW DATA 2023'!D974</f>
        <v>0</v>
      </c>
      <c r="C981" s="63" t="str">
        <f t="shared" si="89"/>
        <v>00</v>
      </c>
      <c r="D981" s="63" t="e">
        <f>VLOOKUP(C981,'RAW DATA 2023'!E:BP,63,0)</f>
        <v>#N/A</v>
      </c>
      <c r="E981" s="63" t="e">
        <f t="shared" si="90"/>
        <v>#N/A</v>
      </c>
      <c r="F981" s="63" t="e">
        <f>ROUND(VLOOKUP(C981,'RAW DATA 2023'!E:BO,23,0),0)</f>
        <v>#N/A</v>
      </c>
      <c r="G981" s="120" t="e">
        <f>VLOOKUP(C981,'RAW DATA 2023'!E:BO,26,0)</f>
        <v>#N/A</v>
      </c>
      <c r="H981" s="101" t="str">
        <f>IFERROR(VLOOKUP(F981,STD!B:G,6,0),"")</f>
        <v/>
      </c>
      <c r="I981" s="100">
        <f t="shared" si="91"/>
        <v>0</v>
      </c>
      <c r="J981" s="249">
        <f t="shared" si="92"/>
        <v>0</v>
      </c>
      <c r="K981" s="63" t="e">
        <f>VLOOKUP(C981,'RAW DATA 2023'!E:BO,20,0)</f>
        <v>#N/A</v>
      </c>
      <c r="L981" s="322" t="e">
        <f t="shared" si="93"/>
        <v>#N/A</v>
      </c>
    </row>
    <row r="982" spans="1:12" s="63" customFormat="1">
      <c r="A982" s="63">
        <f>'RAW DATA 2023'!B975</f>
        <v>0</v>
      </c>
      <c r="B982" s="63">
        <f>'RAW DATA 2023'!D975</f>
        <v>0</v>
      </c>
      <c r="C982" s="63" t="str">
        <f t="shared" si="89"/>
        <v>00</v>
      </c>
      <c r="D982" s="63" t="e">
        <f>VLOOKUP(C982,'RAW DATA 2023'!E:BP,63,0)</f>
        <v>#N/A</v>
      </c>
      <c r="E982" s="63" t="e">
        <f t="shared" si="90"/>
        <v>#N/A</v>
      </c>
      <c r="F982" s="63" t="e">
        <f>ROUND(VLOOKUP(C982,'RAW DATA 2023'!E:BO,23,0),0)</f>
        <v>#N/A</v>
      </c>
      <c r="G982" s="120" t="e">
        <f>VLOOKUP(C982,'RAW DATA 2023'!E:BO,26,0)</f>
        <v>#N/A</v>
      </c>
      <c r="H982" s="101" t="str">
        <f>IFERROR(VLOOKUP(F982,STD!B:G,6,0),"")</f>
        <v/>
      </c>
      <c r="I982" s="100">
        <f t="shared" si="91"/>
        <v>0</v>
      </c>
      <c r="J982" s="249">
        <f t="shared" si="92"/>
        <v>0</v>
      </c>
      <c r="K982" s="63" t="e">
        <f>VLOOKUP(C982,'RAW DATA 2023'!E:BO,20,0)</f>
        <v>#N/A</v>
      </c>
      <c r="L982" s="322" t="e">
        <f t="shared" si="93"/>
        <v>#N/A</v>
      </c>
    </row>
    <row r="983" spans="1:12" s="63" customFormat="1">
      <c r="A983" s="63">
        <f>'RAW DATA 2023'!B976</f>
        <v>0</v>
      </c>
      <c r="B983" s="63">
        <f>'RAW DATA 2023'!D976</f>
        <v>0</v>
      </c>
      <c r="C983" s="63" t="str">
        <f t="shared" si="89"/>
        <v>00</v>
      </c>
      <c r="D983" s="63" t="e">
        <f>VLOOKUP(C983,'RAW DATA 2023'!E:BP,63,0)</f>
        <v>#N/A</v>
      </c>
      <c r="E983" s="63" t="e">
        <f t="shared" si="90"/>
        <v>#N/A</v>
      </c>
      <c r="F983" s="63" t="e">
        <f>ROUND(VLOOKUP(C983,'RAW DATA 2023'!E:BO,23,0),0)</f>
        <v>#N/A</v>
      </c>
      <c r="G983" s="120" t="e">
        <f>VLOOKUP(C983,'RAW DATA 2023'!E:BO,26,0)</f>
        <v>#N/A</v>
      </c>
      <c r="H983" s="101" t="str">
        <f>IFERROR(VLOOKUP(F983,STD!B:G,6,0),"")</f>
        <v/>
      </c>
      <c r="I983" s="100">
        <f t="shared" si="91"/>
        <v>0</v>
      </c>
      <c r="J983" s="249">
        <f t="shared" si="92"/>
        <v>0</v>
      </c>
      <c r="K983" s="63" t="e">
        <f>VLOOKUP(C983,'RAW DATA 2023'!E:BO,20,0)</f>
        <v>#N/A</v>
      </c>
      <c r="L983" s="322" t="e">
        <f t="shared" si="93"/>
        <v>#N/A</v>
      </c>
    </row>
    <row r="984" spans="1:12" s="63" customFormat="1">
      <c r="A984" s="63">
        <f>'RAW DATA 2023'!B977</f>
        <v>0</v>
      </c>
      <c r="B984" s="63">
        <f>'RAW DATA 2023'!D977</f>
        <v>0</v>
      </c>
      <c r="C984" s="63" t="str">
        <f t="shared" si="89"/>
        <v>00</v>
      </c>
      <c r="D984" s="63" t="e">
        <f>VLOOKUP(C984,'RAW DATA 2023'!E:BP,63,0)</f>
        <v>#N/A</v>
      </c>
      <c r="E984" s="63" t="e">
        <f t="shared" si="90"/>
        <v>#N/A</v>
      </c>
      <c r="F984" s="63" t="e">
        <f>ROUND(VLOOKUP(C984,'RAW DATA 2023'!E:BO,23,0),0)</f>
        <v>#N/A</v>
      </c>
      <c r="G984" s="120" t="e">
        <f>VLOOKUP(C984,'RAW DATA 2023'!E:BO,26,0)</f>
        <v>#N/A</v>
      </c>
      <c r="H984" s="101" t="str">
        <f>IFERROR(VLOOKUP(F984,STD!B:G,6,0),"")</f>
        <v/>
      </c>
      <c r="I984" s="100">
        <f t="shared" si="91"/>
        <v>0</v>
      </c>
      <c r="J984" s="249">
        <f t="shared" si="92"/>
        <v>0</v>
      </c>
      <c r="K984" s="63" t="e">
        <f>VLOOKUP(C984,'RAW DATA 2023'!E:BO,20,0)</f>
        <v>#N/A</v>
      </c>
      <c r="L984" s="322" t="e">
        <f t="shared" si="93"/>
        <v>#N/A</v>
      </c>
    </row>
    <row r="985" spans="1:12" s="63" customFormat="1">
      <c r="A985" s="63">
        <f>'RAW DATA 2023'!B978</f>
        <v>0</v>
      </c>
      <c r="B985" s="63">
        <f>'RAW DATA 2023'!D978</f>
        <v>0</v>
      </c>
      <c r="C985" s="63" t="str">
        <f t="shared" si="89"/>
        <v>00</v>
      </c>
      <c r="D985" s="63" t="e">
        <f>VLOOKUP(C985,'RAW DATA 2023'!E:BP,63,0)</f>
        <v>#N/A</v>
      </c>
      <c r="E985" s="63" t="e">
        <f t="shared" si="90"/>
        <v>#N/A</v>
      </c>
      <c r="F985" s="63" t="e">
        <f>ROUND(VLOOKUP(C985,'RAW DATA 2023'!E:BO,23,0),0)</f>
        <v>#N/A</v>
      </c>
      <c r="G985" s="120" t="e">
        <f>VLOOKUP(C985,'RAW DATA 2023'!E:BO,26,0)</f>
        <v>#N/A</v>
      </c>
      <c r="H985" s="101" t="str">
        <f>IFERROR(VLOOKUP(F985,STD!B:G,6,0),"")</f>
        <v/>
      </c>
      <c r="I985" s="100">
        <f t="shared" si="91"/>
        <v>0</v>
      </c>
      <c r="J985" s="249">
        <f t="shared" si="92"/>
        <v>0</v>
      </c>
      <c r="K985" s="63" t="e">
        <f>VLOOKUP(C985,'RAW DATA 2023'!E:BO,20,0)</f>
        <v>#N/A</v>
      </c>
      <c r="L985" s="322" t="e">
        <f t="shared" si="93"/>
        <v>#N/A</v>
      </c>
    </row>
    <row r="986" spans="1:12" s="63" customFormat="1">
      <c r="A986" s="63">
        <f>'RAW DATA 2023'!B979</f>
        <v>0</v>
      </c>
      <c r="B986" s="63">
        <f>'RAW DATA 2023'!D979</f>
        <v>0</v>
      </c>
      <c r="C986" s="63" t="str">
        <f t="shared" si="89"/>
        <v>00</v>
      </c>
      <c r="D986" s="63" t="e">
        <f>VLOOKUP(C986,'RAW DATA 2023'!E:BP,63,0)</f>
        <v>#N/A</v>
      </c>
      <c r="E986" s="63" t="e">
        <f t="shared" si="90"/>
        <v>#N/A</v>
      </c>
      <c r="F986" s="63" t="e">
        <f>ROUND(VLOOKUP(C986,'RAW DATA 2023'!E:BO,23,0),0)</f>
        <v>#N/A</v>
      </c>
      <c r="G986" s="120" t="e">
        <f>VLOOKUP(C986,'RAW DATA 2023'!E:BO,26,0)</f>
        <v>#N/A</v>
      </c>
      <c r="H986" s="101" t="str">
        <f>IFERROR(VLOOKUP(F986,STD!B:G,6,0),"")</f>
        <v/>
      </c>
      <c r="I986" s="100">
        <f t="shared" si="91"/>
        <v>0</v>
      </c>
      <c r="J986" s="249">
        <f t="shared" si="92"/>
        <v>0</v>
      </c>
      <c r="K986" s="63" t="e">
        <f>VLOOKUP(C986,'RAW DATA 2023'!E:BO,20,0)</f>
        <v>#N/A</v>
      </c>
      <c r="L986" s="322" t="e">
        <f t="shared" si="93"/>
        <v>#N/A</v>
      </c>
    </row>
    <row r="987" spans="1:12" s="63" customFormat="1">
      <c r="A987" s="63">
        <f>'RAW DATA 2023'!B980</f>
        <v>0</v>
      </c>
      <c r="B987" s="63">
        <f>'RAW DATA 2023'!D980</f>
        <v>0</v>
      </c>
      <c r="C987" s="63" t="str">
        <f t="shared" si="89"/>
        <v>00</v>
      </c>
      <c r="D987" s="63" t="e">
        <f>VLOOKUP(C987,'RAW DATA 2023'!E:BP,63,0)</f>
        <v>#N/A</v>
      </c>
      <c r="E987" s="63" t="e">
        <f t="shared" si="90"/>
        <v>#N/A</v>
      </c>
      <c r="F987" s="63" t="e">
        <f>ROUND(VLOOKUP(C987,'RAW DATA 2023'!E:BO,23,0),0)</f>
        <v>#N/A</v>
      </c>
      <c r="G987" s="120" t="e">
        <f>VLOOKUP(C987,'RAW DATA 2023'!E:BO,26,0)</f>
        <v>#N/A</v>
      </c>
      <c r="H987" s="101" t="str">
        <f>IFERROR(VLOOKUP(F987,STD!B:G,6,0),"")</f>
        <v/>
      </c>
      <c r="I987" s="100">
        <f t="shared" si="91"/>
        <v>0</v>
      </c>
      <c r="J987" s="249">
        <f t="shared" si="92"/>
        <v>0</v>
      </c>
      <c r="K987" s="63" t="e">
        <f>VLOOKUP(C987,'RAW DATA 2023'!E:BO,20,0)</f>
        <v>#N/A</v>
      </c>
      <c r="L987" s="322" t="e">
        <f t="shared" si="93"/>
        <v>#N/A</v>
      </c>
    </row>
    <row r="988" spans="1:12" s="63" customFormat="1">
      <c r="A988" s="63">
        <f>'RAW DATA 2023'!B981</f>
        <v>0</v>
      </c>
      <c r="B988" s="63">
        <f>'RAW DATA 2023'!D981</f>
        <v>0</v>
      </c>
      <c r="C988" s="63" t="str">
        <f t="shared" si="89"/>
        <v>00</v>
      </c>
      <c r="D988" s="63" t="e">
        <f>VLOOKUP(C988,'RAW DATA 2023'!E:BP,63,0)</f>
        <v>#N/A</v>
      </c>
      <c r="E988" s="63" t="e">
        <f t="shared" si="90"/>
        <v>#N/A</v>
      </c>
      <c r="F988" s="63" t="e">
        <f>ROUND(VLOOKUP(C988,'RAW DATA 2023'!E:BO,23,0),0)</f>
        <v>#N/A</v>
      </c>
      <c r="G988" s="120" t="e">
        <f>VLOOKUP(C988,'RAW DATA 2023'!E:BO,26,0)</f>
        <v>#N/A</v>
      </c>
      <c r="H988" s="101" t="str">
        <f>IFERROR(VLOOKUP(F988,STD!B:G,6,0),"")</f>
        <v/>
      </c>
      <c r="I988" s="100">
        <f t="shared" si="91"/>
        <v>0</v>
      </c>
      <c r="J988" s="249">
        <f t="shared" si="92"/>
        <v>0</v>
      </c>
      <c r="K988" s="63" t="e">
        <f>VLOOKUP(C988,'RAW DATA 2023'!E:BO,20,0)</f>
        <v>#N/A</v>
      </c>
      <c r="L988" s="322" t="e">
        <f t="shared" si="93"/>
        <v>#N/A</v>
      </c>
    </row>
    <row r="989" spans="1:12" s="63" customFormat="1">
      <c r="A989" s="63">
        <f>'RAW DATA 2023'!B982</f>
        <v>0</v>
      </c>
      <c r="B989" s="63">
        <f>'RAW DATA 2023'!D982</f>
        <v>0</v>
      </c>
      <c r="C989" s="63" t="str">
        <f t="shared" si="89"/>
        <v>00</v>
      </c>
      <c r="D989" s="63" t="e">
        <f>VLOOKUP(C989,'RAW DATA 2023'!E:BP,63,0)</f>
        <v>#N/A</v>
      </c>
      <c r="E989" s="63" t="e">
        <f t="shared" si="90"/>
        <v>#N/A</v>
      </c>
      <c r="F989" s="63" t="e">
        <f>ROUND(VLOOKUP(C989,'RAW DATA 2023'!E:BO,23,0),0)</f>
        <v>#N/A</v>
      </c>
      <c r="G989" s="120" t="e">
        <f>VLOOKUP(C989,'RAW DATA 2023'!E:BO,26,0)</f>
        <v>#N/A</v>
      </c>
      <c r="H989" s="101" t="str">
        <f>IFERROR(VLOOKUP(F989,STD!B:G,6,0),"")</f>
        <v/>
      </c>
      <c r="I989" s="100">
        <f t="shared" si="91"/>
        <v>0</v>
      </c>
      <c r="J989" s="249">
        <f t="shared" si="92"/>
        <v>0</v>
      </c>
      <c r="K989" s="63" t="e">
        <f>VLOOKUP(C989,'RAW DATA 2023'!E:BO,20,0)</f>
        <v>#N/A</v>
      </c>
      <c r="L989" s="322" t="e">
        <f t="shared" si="93"/>
        <v>#N/A</v>
      </c>
    </row>
    <row r="990" spans="1:12" s="63" customFormat="1">
      <c r="A990" s="63">
        <f>'RAW DATA 2023'!B983</f>
        <v>0</v>
      </c>
      <c r="B990" s="63">
        <f>'RAW DATA 2023'!D983</f>
        <v>0</v>
      </c>
      <c r="C990" s="63" t="str">
        <f t="shared" si="89"/>
        <v>00</v>
      </c>
      <c r="D990" s="63" t="e">
        <f>VLOOKUP(C990,'RAW DATA 2023'!E:BP,63,0)</f>
        <v>#N/A</v>
      </c>
      <c r="E990" s="63" t="e">
        <f t="shared" si="90"/>
        <v>#N/A</v>
      </c>
      <c r="F990" s="63" t="e">
        <f>ROUND(VLOOKUP(C990,'RAW DATA 2023'!E:BO,23,0),0)</f>
        <v>#N/A</v>
      </c>
      <c r="G990" s="120" t="e">
        <f>VLOOKUP(C990,'RAW DATA 2023'!E:BO,26,0)</f>
        <v>#N/A</v>
      </c>
      <c r="H990" s="101" t="str">
        <f>IFERROR(VLOOKUP(F990,STD!B:G,6,0),"")</f>
        <v/>
      </c>
      <c r="I990" s="100">
        <f t="shared" si="91"/>
        <v>0</v>
      </c>
      <c r="J990" s="249">
        <f t="shared" si="92"/>
        <v>0</v>
      </c>
      <c r="K990" s="63" t="e">
        <f>VLOOKUP(C990,'RAW DATA 2023'!E:BO,20,0)</f>
        <v>#N/A</v>
      </c>
      <c r="L990" s="322" t="e">
        <f t="shared" si="93"/>
        <v>#N/A</v>
      </c>
    </row>
    <row r="991" spans="1:12" s="63" customFormat="1">
      <c r="A991" s="63">
        <f>'RAW DATA 2023'!B984</f>
        <v>0</v>
      </c>
      <c r="B991" s="63">
        <f>'RAW DATA 2023'!D984</f>
        <v>0</v>
      </c>
      <c r="C991" s="63" t="str">
        <f t="shared" si="89"/>
        <v>00</v>
      </c>
      <c r="D991" s="63" t="e">
        <f>VLOOKUP(C991,'RAW DATA 2023'!E:BP,63,0)</f>
        <v>#N/A</v>
      </c>
      <c r="E991" s="63" t="e">
        <f t="shared" si="90"/>
        <v>#N/A</v>
      </c>
      <c r="F991" s="63" t="e">
        <f>ROUND(VLOOKUP(C991,'RAW DATA 2023'!E:BO,23,0),0)</f>
        <v>#N/A</v>
      </c>
      <c r="G991" s="120" t="e">
        <f>VLOOKUP(C991,'RAW DATA 2023'!E:BO,26,0)</f>
        <v>#N/A</v>
      </c>
      <c r="H991" s="101" t="str">
        <f>IFERROR(VLOOKUP(F991,STD!B:G,6,0),"")</f>
        <v/>
      </c>
      <c r="I991" s="100">
        <f t="shared" si="91"/>
        <v>0</v>
      </c>
      <c r="J991" s="249">
        <f t="shared" si="92"/>
        <v>0</v>
      </c>
      <c r="K991" s="63" t="e">
        <f>VLOOKUP(C991,'RAW DATA 2023'!E:BO,20,0)</f>
        <v>#N/A</v>
      </c>
      <c r="L991" s="322" t="e">
        <f t="shared" si="93"/>
        <v>#N/A</v>
      </c>
    </row>
    <row r="992" spans="1:12" s="63" customFormat="1">
      <c r="A992" s="63">
        <f>'RAW DATA 2023'!B985</f>
        <v>0</v>
      </c>
      <c r="B992" s="63">
        <f>'RAW DATA 2023'!D985</f>
        <v>0</v>
      </c>
      <c r="C992" s="63" t="str">
        <f t="shared" si="89"/>
        <v>00</v>
      </c>
      <c r="D992" s="63" t="e">
        <f>VLOOKUP(C992,'RAW DATA 2023'!E:BP,63,0)</f>
        <v>#N/A</v>
      </c>
      <c r="E992" s="63" t="e">
        <f t="shared" si="90"/>
        <v>#N/A</v>
      </c>
      <c r="F992" s="63" t="e">
        <f>ROUND(VLOOKUP(C992,'RAW DATA 2023'!E:BO,23,0),0)</f>
        <v>#N/A</v>
      </c>
      <c r="G992" s="120" t="e">
        <f>VLOOKUP(C992,'RAW DATA 2023'!E:BO,26,0)</f>
        <v>#N/A</v>
      </c>
      <c r="H992" s="101" t="str">
        <f>IFERROR(VLOOKUP(F992,STD!B:G,6,0),"")</f>
        <v/>
      </c>
      <c r="I992" s="100">
        <f t="shared" si="91"/>
        <v>0</v>
      </c>
      <c r="J992" s="249">
        <f t="shared" si="92"/>
        <v>0</v>
      </c>
      <c r="K992" s="63" t="e">
        <f>VLOOKUP(C992,'RAW DATA 2023'!E:BO,20,0)</f>
        <v>#N/A</v>
      </c>
      <c r="L992" s="322" t="e">
        <f t="shared" si="93"/>
        <v>#N/A</v>
      </c>
    </row>
    <row r="993" spans="1:12" s="63" customFormat="1">
      <c r="A993" s="63">
        <f>'RAW DATA 2023'!B986</f>
        <v>0</v>
      </c>
      <c r="B993" s="63">
        <f>'RAW DATA 2023'!D986</f>
        <v>0</v>
      </c>
      <c r="C993" s="63" t="str">
        <f t="shared" si="89"/>
        <v>00</v>
      </c>
      <c r="D993" s="63" t="e">
        <f>VLOOKUP(C993,'RAW DATA 2023'!E:BP,63,0)</f>
        <v>#N/A</v>
      </c>
      <c r="E993" s="63" t="e">
        <f t="shared" si="90"/>
        <v>#N/A</v>
      </c>
      <c r="F993" s="63" t="e">
        <f>ROUND(VLOOKUP(C993,'RAW DATA 2023'!E:BO,23,0),0)</f>
        <v>#N/A</v>
      </c>
      <c r="G993" s="120" t="e">
        <f>VLOOKUP(C993,'RAW DATA 2023'!E:BO,26,0)</f>
        <v>#N/A</v>
      </c>
      <c r="H993" s="101" t="str">
        <f>IFERROR(VLOOKUP(F993,STD!B:G,6,0),"")</f>
        <v/>
      </c>
      <c r="I993" s="100">
        <f t="shared" si="91"/>
        <v>0</v>
      </c>
      <c r="J993" s="249">
        <f t="shared" si="92"/>
        <v>0</v>
      </c>
      <c r="K993" s="63" t="e">
        <f>VLOOKUP(C993,'RAW DATA 2023'!E:BO,20,0)</f>
        <v>#N/A</v>
      </c>
      <c r="L993" s="322" t="e">
        <f t="shared" si="93"/>
        <v>#N/A</v>
      </c>
    </row>
    <row r="994" spans="1:12" s="63" customFormat="1">
      <c r="A994" s="63">
        <f>'RAW DATA 2023'!B987</f>
        <v>0</v>
      </c>
      <c r="B994" s="63">
        <f>'RAW DATA 2023'!D987</f>
        <v>0</v>
      </c>
      <c r="C994" s="63" t="str">
        <f t="shared" si="89"/>
        <v>00</v>
      </c>
      <c r="D994" s="63" t="e">
        <f>VLOOKUP(C994,'RAW DATA 2023'!E:BP,63,0)</f>
        <v>#N/A</v>
      </c>
      <c r="E994" s="63" t="e">
        <f t="shared" si="90"/>
        <v>#N/A</v>
      </c>
      <c r="F994" s="63" t="e">
        <f>ROUND(VLOOKUP(C994,'RAW DATA 2023'!E:BO,23,0),0)</f>
        <v>#N/A</v>
      </c>
      <c r="G994" s="120" t="e">
        <f>VLOOKUP(C994,'RAW DATA 2023'!E:BO,26,0)</f>
        <v>#N/A</v>
      </c>
      <c r="H994" s="101" t="str">
        <f>IFERROR(VLOOKUP(F994,STD!B:G,6,0),"")</f>
        <v/>
      </c>
      <c r="I994" s="100">
        <f t="shared" si="91"/>
        <v>0</v>
      </c>
      <c r="J994" s="249">
        <f t="shared" si="92"/>
        <v>0</v>
      </c>
      <c r="K994" s="63" t="e">
        <f>VLOOKUP(C994,'RAW DATA 2023'!E:BO,20,0)</f>
        <v>#N/A</v>
      </c>
      <c r="L994" s="322" t="e">
        <f t="shared" si="93"/>
        <v>#N/A</v>
      </c>
    </row>
    <row r="995" spans="1:12" s="63" customFormat="1">
      <c r="A995" s="63">
        <f>'RAW DATA 2023'!B988</f>
        <v>0</v>
      </c>
      <c r="B995" s="63">
        <f>'RAW DATA 2023'!D988</f>
        <v>0</v>
      </c>
      <c r="C995" s="63" t="str">
        <f t="shared" si="89"/>
        <v>00</v>
      </c>
      <c r="D995" s="63" t="e">
        <f>VLOOKUP(C995,'RAW DATA 2023'!E:BP,63,0)</f>
        <v>#N/A</v>
      </c>
      <c r="E995" s="63" t="e">
        <f t="shared" si="90"/>
        <v>#N/A</v>
      </c>
      <c r="F995" s="63" t="e">
        <f>ROUND(VLOOKUP(C995,'RAW DATA 2023'!E:BO,23,0),0)</f>
        <v>#N/A</v>
      </c>
      <c r="G995" s="120" t="e">
        <f>VLOOKUP(C995,'RAW DATA 2023'!E:BO,26,0)</f>
        <v>#N/A</v>
      </c>
      <c r="H995" s="101" t="str">
        <f>IFERROR(VLOOKUP(F995,STD!B:G,6,0),"")</f>
        <v/>
      </c>
      <c r="I995" s="100">
        <f t="shared" si="91"/>
        <v>0</v>
      </c>
      <c r="J995" s="249">
        <f t="shared" si="92"/>
        <v>0</v>
      </c>
      <c r="K995" s="63" t="e">
        <f>VLOOKUP(C995,'RAW DATA 2023'!E:BO,20,0)</f>
        <v>#N/A</v>
      </c>
      <c r="L995" s="322" t="e">
        <f t="shared" si="93"/>
        <v>#N/A</v>
      </c>
    </row>
    <row r="996" spans="1:12" s="63" customFormat="1">
      <c r="A996" s="63">
        <f>'RAW DATA 2023'!B989</f>
        <v>0</v>
      </c>
      <c r="B996" s="63">
        <f>'RAW DATA 2023'!D989</f>
        <v>0</v>
      </c>
      <c r="C996" s="63" t="str">
        <f t="shared" si="89"/>
        <v>00</v>
      </c>
      <c r="D996" s="63" t="e">
        <f>VLOOKUP(C996,'RAW DATA 2023'!E:BP,63,0)</f>
        <v>#N/A</v>
      </c>
      <c r="E996" s="63" t="e">
        <f t="shared" si="90"/>
        <v>#N/A</v>
      </c>
      <c r="F996" s="63" t="e">
        <f>ROUND(VLOOKUP(C996,'RAW DATA 2023'!E:BO,23,0),0)</f>
        <v>#N/A</v>
      </c>
      <c r="G996" s="120" t="e">
        <f>VLOOKUP(C996,'RAW DATA 2023'!E:BO,26,0)</f>
        <v>#N/A</v>
      </c>
      <c r="H996" s="101" t="str">
        <f>IFERROR(VLOOKUP(F996,STD!B:G,6,0),"")</f>
        <v/>
      </c>
      <c r="I996" s="100">
        <f t="shared" si="91"/>
        <v>0</v>
      </c>
      <c r="J996" s="249">
        <f t="shared" si="92"/>
        <v>0</v>
      </c>
      <c r="K996" s="63" t="e">
        <f>VLOOKUP(C996,'RAW DATA 2023'!E:BO,20,0)</f>
        <v>#N/A</v>
      </c>
      <c r="L996" s="322" t="e">
        <f t="shared" si="93"/>
        <v>#N/A</v>
      </c>
    </row>
    <row r="997" spans="1:12" s="63" customFormat="1">
      <c r="A997" s="63">
        <f>'RAW DATA 2023'!B990</f>
        <v>0</v>
      </c>
      <c r="B997" s="63">
        <f>'RAW DATA 2023'!D990</f>
        <v>0</v>
      </c>
      <c r="C997" s="63" t="str">
        <f t="shared" si="89"/>
        <v>00</v>
      </c>
      <c r="D997" s="63" t="e">
        <f>VLOOKUP(C997,'RAW DATA 2023'!E:BP,63,0)</f>
        <v>#N/A</v>
      </c>
      <c r="E997" s="63" t="e">
        <f t="shared" si="90"/>
        <v>#N/A</v>
      </c>
      <c r="F997" s="63" t="e">
        <f>ROUND(VLOOKUP(C997,'RAW DATA 2023'!E:BO,23,0),0)</f>
        <v>#N/A</v>
      </c>
      <c r="G997" s="120" t="e">
        <f>VLOOKUP(C997,'RAW DATA 2023'!E:BO,26,0)</f>
        <v>#N/A</v>
      </c>
      <c r="H997" s="101" t="str">
        <f>IFERROR(VLOOKUP(F997,STD!B:G,6,0),"")</f>
        <v/>
      </c>
      <c r="I997" s="100">
        <f t="shared" si="91"/>
        <v>0</v>
      </c>
      <c r="J997" s="249">
        <f t="shared" si="92"/>
        <v>0</v>
      </c>
      <c r="K997" s="63" t="e">
        <f>VLOOKUP(C997,'RAW DATA 2023'!E:BO,20,0)</f>
        <v>#N/A</v>
      </c>
      <c r="L997" s="322" t="e">
        <f t="shared" si="93"/>
        <v>#N/A</v>
      </c>
    </row>
    <row r="998" spans="1:12" s="63" customFormat="1">
      <c r="A998" s="63">
        <f>'RAW DATA 2023'!B991</f>
        <v>0</v>
      </c>
      <c r="B998" s="63">
        <f>'RAW DATA 2023'!D991</f>
        <v>0</v>
      </c>
      <c r="C998" s="63" t="str">
        <f t="shared" si="89"/>
        <v>00</v>
      </c>
      <c r="D998" s="63" t="e">
        <f>VLOOKUP(C998,'RAW DATA 2023'!E:BP,63,0)</f>
        <v>#N/A</v>
      </c>
      <c r="E998" s="63" t="e">
        <f t="shared" si="90"/>
        <v>#N/A</v>
      </c>
      <c r="F998" s="63" t="e">
        <f>ROUND(VLOOKUP(C998,'RAW DATA 2023'!E:BO,23,0),0)</f>
        <v>#N/A</v>
      </c>
      <c r="G998" s="120" t="e">
        <f>VLOOKUP(C998,'RAW DATA 2023'!E:BO,26,0)</f>
        <v>#N/A</v>
      </c>
      <c r="H998" s="101" t="str">
        <f>IFERROR(VLOOKUP(F998,STD!B:G,6,0),"")</f>
        <v/>
      </c>
      <c r="I998" s="100">
        <f t="shared" si="91"/>
        <v>0</v>
      </c>
      <c r="J998" s="249">
        <f t="shared" si="92"/>
        <v>0</v>
      </c>
      <c r="K998" s="63" t="e">
        <f>VLOOKUP(C998,'RAW DATA 2023'!E:BO,20,0)</f>
        <v>#N/A</v>
      </c>
      <c r="L998" s="322" t="e">
        <f t="shared" si="93"/>
        <v>#N/A</v>
      </c>
    </row>
    <row r="999" spans="1:12" s="63" customFormat="1">
      <c r="A999" s="63">
        <f>'RAW DATA 2023'!B992</f>
        <v>0</v>
      </c>
      <c r="B999" s="63">
        <f>'RAW DATA 2023'!D992</f>
        <v>0</v>
      </c>
      <c r="C999" s="63" t="str">
        <f t="shared" si="89"/>
        <v>00</v>
      </c>
      <c r="D999" s="63" t="e">
        <f>VLOOKUP(C999,'RAW DATA 2023'!E:BP,63,0)</f>
        <v>#N/A</v>
      </c>
      <c r="E999" s="63" t="e">
        <f t="shared" si="90"/>
        <v>#N/A</v>
      </c>
      <c r="F999" s="63" t="e">
        <f>ROUND(VLOOKUP(C999,'RAW DATA 2023'!E:BO,23,0),0)</f>
        <v>#N/A</v>
      </c>
      <c r="G999" s="120" t="e">
        <f>VLOOKUP(C999,'RAW DATA 2023'!E:BO,26,0)</f>
        <v>#N/A</v>
      </c>
      <c r="H999" s="101" t="str">
        <f>IFERROR(VLOOKUP(F999,STD!B:G,6,0),"")</f>
        <v/>
      </c>
      <c r="I999" s="100">
        <f t="shared" si="91"/>
        <v>0</v>
      </c>
      <c r="J999" s="249">
        <f t="shared" si="92"/>
        <v>0</v>
      </c>
      <c r="K999" s="63" t="e">
        <f>VLOOKUP(C999,'RAW DATA 2023'!E:BO,20,0)</f>
        <v>#N/A</v>
      </c>
      <c r="L999" s="322" t="e">
        <f t="shared" si="93"/>
        <v>#N/A</v>
      </c>
    </row>
    <row r="1000" spans="1:12" s="63" customFormat="1">
      <c r="A1000" s="63">
        <f>'RAW DATA 2023'!B993</f>
        <v>0</v>
      </c>
      <c r="B1000" s="63">
        <f>'RAW DATA 2023'!D993</f>
        <v>0</v>
      </c>
      <c r="C1000" s="63" t="str">
        <f t="shared" si="89"/>
        <v>00</v>
      </c>
      <c r="D1000" s="63" t="e">
        <f>VLOOKUP(C1000,'RAW DATA 2023'!E:BP,63,0)</f>
        <v>#N/A</v>
      </c>
      <c r="E1000" s="63" t="e">
        <f t="shared" si="90"/>
        <v>#N/A</v>
      </c>
      <c r="F1000" s="63" t="e">
        <f>ROUND(VLOOKUP(C1000,'RAW DATA 2023'!E:BO,23,0),0)</f>
        <v>#N/A</v>
      </c>
      <c r="G1000" s="120" t="e">
        <f>VLOOKUP(C1000,'RAW DATA 2023'!E:BO,26,0)</f>
        <v>#N/A</v>
      </c>
      <c r="H1000" s="101" t="str">
        <f>IFERROR(VLOOKUP(F1000,STD!B:G,6,0),"")</f>
        <v/>
      </c>
      <c r="I1000" s="100">
        <f t="shared" si="91"/>
        <v>0</v>
      </c>
      <c r="J1000" s="249">
        <f t="shared" si="92"/>
        <v>0</v>
      </c>
      <c r="K1000" s="63" t="e">
        <f>VLOOKUP(C1000,'RAW DATA 2023'!E:BO,20,0)</f>
        <v>#N/A</v>
      </c>
      <c r="L1000" s="322" t="e">
        <f t="shared" si="93"/>
        <v>#N/A</v>
      </c>
    </row>
    <row r="1001" spans="1:12" s="63" customFormat="1">
      <c r="A1001" s="63">
        <f>'RAW DATA 2023'!B994</f>
        <v>0</v>
      </c>
      <c r="B1001" s="63">
        <f>'RAW DATA 2023'!D994</f>
        <v>0</v>
      </c>
      <c r="C1001" s="63" t="str">
        <f t="shared" si="89"/>
        <v>00</v>
      </c>
      <c r="D1001" s="63" t="e">
        <f>VLOOKUP(C1001,'RAW DATA 2023'!E:BP,63,0)</f>
        <v>#N/A</v>
      </c>
      <c r="E1001" s="63" t="e">
        <f t="shared" si="90"/>
        <v>#N/A</v>
      </c>
      <c r="F1001" s="63" t="e">
        <f>ROUND(VLOOKUP(C1001,'RAW DATA 2023'!E:BO,23,0),0)</f>
        <v>#N/A</v>
      </c>
      <c r="G1001" s="120" t="e">
        <f>VLOOKUP(C1001,'RAW DATA 2023'!E:BO,26,0)</f>
        <v>#N/A</v>
      </c>
      <c r="H1001" s="101" t="str">
        <f>IFERROR(VLOOKUP(F1001,STD!B:G,6,0),"")</f>
        <v/>
      </c>
      <c r="I1001" s="100">
        <f t="shared" si="91"/>
        <v>0</v>
      </c>
      <c r="J1001" s="249">
        <f t="shared" si="92"/>
        <v>0</v>
      </c>
      <c r="K1001" s="63" t="e">
        <f>VLOOKUP(C1001,'RAW DATA 2023'!E:BO,20,0)</f>
        <v>#N/A</v>
      </c>
      <c r="L1001" s="322" t="e">
        <f t="shared" si="93"/>
        <v>#N/A</v>
      </c>
    </row>
    <row r="1002" spans="1:12" s="63" customFormat="1">
      <c r="A1002" s="63">
        <f>'RAW DATA 2023'!B995</f>
        <v>0</v>
      </c>
      <c r="B1002" s="63">
        <f>'RAW DATA 2023'!D995</f>
        <v>0</v>
      </c>
      <c r="C1002" s="63" t="str">
        <f t="shared" si="89"/>
        <v>00</v>
      </c>
      <c r="D1002" s="63" t="e">
        <f>VLOOKUP(C1002,'RAW DATA 2023'!E:BP,63,0)</f>
        <v>#N/A</v>
      </c>
      <c r="E1002" s="63" t="e">
        <f t="shared" si="90"/>
        <v>#N/A</v>
      </c>
      <c r="F1002" s="63" t="e">
        <f>ROUND(VLOOKUP(C1002,'RAW DATA 2023'!E:BO,23,0),0)</f>
        <v>#N/A</v>
      </c>
      <c r="G1002" s="120" t="e">
        <f>VLOOKUP(C1002,'RAW DATA 2023'!E:BO,26,0)</f>
        <v>#N/A</v>
      </c>
      <c r="H1002" s="101" t="str">
        <f>IFERROR(VLOOKUP(F1002,STD!B:G,6,0),"")</f>
        <v/>
      </c>
      <c r="I1002" s="100">
        <f t="shared" si="91"/>
        <v>0</v>
      </c>
      <c r="J1002" s="249">
        <f t="shared" si="92"/>
        <v>0</v>
      </c>
      <c r="K1002" s="63" t="e">
        <f>VLOOKUP(C1002,'RAW DATA 2023'!E:BO,20,0)</f>
        <v>#N/A</v>
      </c>
      <c r="L1002" s="322" t="e">
        <f t="shared" si="93"/>
        <v>#N/A</v>
      </c>
    </row>
    <row r="1003" spans="1:12" s="63" customFormat="1">
      <c r="A1003" s="63">
        <f>'RAW DATA 2023'!B996</f>
        <v>0</v>
      </c>
      <c r="B1003" s="63">
        <f>'RAW DATA 2023'!D996</f>
        <v>0</v>
      </c>
      <c r="C1003" s="63" t="str">
        <f t="shared" si="89"/>
        <v>00</v>
      </c>
      <c r="D1003" s="63" t="e">
        <f>VLOOKUP(C1003,'RAW DATA 2023'!E:BP,63,0)</f>
        <v>#N/A</v>
      </c>
      <c r="E1003" s="63" t="e">
        <f t="shared" si="90"/>
        <v>#N/A</v>
      </c>
      <c r="F1003" s="63" t="e">
        <f>ROUND(VLOOKUP(C1003,'RAW DATA 2023'!E:BO,23,0),0)</f>
        <v>#N/A</v>
      </c>
      <c r="G1003" s="120" t="e">
        <f>VLOOKUP(C1003,'RAW DATA 2023'!E:BO,26,0)</f>
        <v>#N/A</v>
      </c>
      <c r="H1003" s="101" t="str">
        <f>IFERROR(VLOOKUP(F1003,STD!B:G,6,0),"")</f>
        <v/>
      </c>
      <c r="I1003" s="100">
        <f t="shared" si="91"/>
        <v>0</v>
      </c>
      <c r="J1003" s="249">
        <f t="shared" si="92"/>
        <v>0</v>
      </c>
      <c r="K1003" s="63" t="e">
        <f>VLOOKUP(C1003,'RAW DATA 2023'!E:BO,20,0)</f>
        <v>#N/A</v>
      </c>
      <c r="L1003" s="322" t="e">
        <f t="shared" si="93"/>
        <v>#N/A</v>
      </c>
    </row>
    <row r="1004" spans="1:12" s="63" customFormat="1">
      <c r="A1004" s="63">
        <f>'RAW DATA 2023'!B997</f>
        <v>0</v>
      </c>
      <c r="B1004" s="63">
        <f>'RAW DATA 2023'!D997</f>
        <v>0</v>
      </c>
      <c r="C1004" s="63" t="str">
        <f t="shared" si="89"/>
        <v>00</v>
      </c>
      <c r="D1004" s="63" t="e">
        <f>VLOOKUP(C1004,'RAW DATA 2023'!E:BP,63,0)</f>
        <v>#N/A</v>
      </c>
      <c r="E1004" s="63" t="e">
        <f t="shared" si="90"/>
        <v>#N/A</v>
      </c>
      <c r="F1004" s="63" t="e">
        <f>ROUND(VLOOKUP(C1004,'RAW DATA 2023'!E:BO,23,0),0)</f>
        <v>#N/A</v>
      </c>
      <c r="G1004" s="120" t="e">
        <f>VLOOKUP(C1004,'RAW DATA 2023'!E:BO,26,0)</f>
        <v>#N/A</v>
      </c>
      <c r="H1004" s="101" t="str">
        <f>IFERROR(VLOOKUP(F1004,STD!B:G,6,0),"")</f>
        <v/>
      </c>
      <c r="I1004" s="100">
        <f t="shared" si="91"/>
        <v>0</v>
      </c>
      <c r="J1004" s="249">
        <f t="shared" si="92"/>
        <v>0</v>
      </c>
      <c r="K1004" s="63" t="e">
        <f>VLOOKUP(C1004,'RAW DATA 2023'!E:BO,20,0)</f>
        <v>#N/A</v>
      </c>
      <c r="L1004" s="322" t="e">
        <f t="shared" si="93"/>
        <v>#N/A</v>
      </c>
    </row>
    <row r="1005" spans="1:12" s="63" customFormat="1">
      <c r="A1005" s="63">
        <f>'RAW DATA 2023'!B998</f>
        <v>0</v>
      </c>
      <c r="B1005" s="63">
        <f>'RAW DATA 2023'!D998</f>
        <v>0</v>
      </c>
      <c r="C1005" s="63" t="str">
        <f t="shared" si="89"/>
        <v>00</v>
      </c>
      <c r="D1005" s="63" t="e">
        <f>VLOOKUP(C1005,'RAW DATA 2023'!E:BP,63,0)</f>
        <v>#N/A</v>
      </c>
      <c r="E1005" s="63" t="e">
        <f t="shared" si="90"/>
        <v>#N/A</v>
      </c>
      <c r="F1005" s="63" t="e">
        <f>ROUND(VLOOKUP(C1005,'RAW DATA 2023'!E:BO,23,0),0)</f>
        <v>#N/A</v>
      </c>
      <c r="G1005" s="120" t="e">
        <f>VLOOKUP(C1005,'RAW DATA 2023'!E:BO,26,0)</f>
        <v>#N/A</v>
      </c>
      <c r="H1005" s="101" t="str">
        <f>IFERROR(VLOOKUP(F1005,STD!B:G,6,0),"")</f>
        <v/>
      </c>
      <c r="I1005" s="100">
        <f t="shared" si="91"/>
        <v>0</v>
      </c>
      <c r="J1005" s="249">
        <f t="shared" si="92"/>
        <v>0</v>
      </c>
      <c r="K1005" s="63" t="e">
        <f>VLOOKUP(C1005,'RAW DATA 2023'!E:BO,20,0)</f>
        <v>#N/A</v>
      </c>
      <c r="L1005" s="322" t="e">
        <f t="shared" si="93"/>
        <v>#N/A</v>
      </c>
    </row>
    <row r="1006" spans="1:12" s="63" customFormat="1">
      <c r="A1006" s="63">
        <f>'RAW DATA 2023'!B999</f>
        <v>0</v>
      </c>
      <c r="B1006" s="63">
        <f>'RAW DATA 2023'!D999</f>
        <v>0</v>
      </c>
      <c r="C1006" s="63" t="str">
        <f t="shared" si="89"/>
        <v>00</v>
      </c>
      <c r="D1006" s="63" t="e">
        <f>VLOOKUP(C1006,'RAW DATA 2023'!E:BP,63,0)</f>
        <v>#N/A</v>
      </c>
      <c r="E1006" s="63" t="e">
        <f t="shared" si="90"/>
        <v>#N/A</v>
      </c>
      <c r="F1006" s="63" t="e">
        <f>ROUND(VLOOKUP(C1006,'RAW DATA 2023'!E:BO,23,0),0)</f>
        <v>#N/A</v>
      </c>
      <c r="G1006" s="120" t="e">
        <f>VLOOKUP(C1006,'RAW DATA 2023'!E:BO,26,0)</f>
        <v>#N/A</v>
      </c>
      <c r="H1006" s="101" t="str">
        <f>IFERROR(VLOOKUP(F1006,STD!B:G,6,0),"")</f>
        <v/>
      </c>
      <c r="I1006" s="100">
        <f t="shared" si="91"/>
        <v>0</v>
      </c>
      <c r="J1006" s="249">
        <f t="shared" si="92"/>
        <v>0</v>
      </c>
      <c r="K1006" s="63" t="e">
        <f>VLOOKUP(C1006,'RAW DATA 2023'!E:BO,20,0)</f>
        <v>#N/A</v>
      </c>
      <c r="L1006" s="322" t="e">
        <f t="shared" si="93"/>
        <v>#N/A</v>
      </c>
    </row>
    <row r="1007" spans="1:12" s="63" customFormat="1">
      <c r="A1007" s="63">
        <f>'RAW DATA 2023'!B1000</f>
        <v>0</v>
      </c>
      <c r="B1007" s="63">
        <f>'RAW DATA 2023'!D1000</f>
        <v>0</v>
      </c>
      <c r="C1007" s="63" t="str">
        <f t="shared" si="89"/>
        <v>00</v>
      </c>
      <c r="D1007" s="63" t="e">
        <f>VLOOKUP(C1007,'RAW DATA 2023'!E:BP,63,0)</f>
        <v>#N/A</v>
      </c>
      <c r="E1007" s="63" t="e">
        <f t="shared" si="90"/>
        <v>#N/A</v>
      </c>
      <c r="F1007" s="63" t="e">
        <f>ROUND(VLOOKUP(C1007,'RAW DATA 2023'!E:BO,23,0),0)</f>
        <v>#N/A</v>
      </c>
      <c r="G1007" s="120" t="e">
        <f>VLOOKUP(C1007,'RAW DATA 2023'!E:BO,26,0)</f>
        <v>#N/A</v>
      </c>
      <c r="H1007" s="101" t="str">
        <f>IFERROR(VLOOKUP(F1007,STD!B:G,6,0),"")</f>
        <v/>
      </c>
      <c r="I1007" s="100">
        <f t="shared" si="91"/>
        <v>0</v>
      </c>
      <c r="J1007" s="249">
        <f t="shared" si="92"/>
        <v>0</v>
      </c>
      <c r="K1007" s="63" t="e">
        <f>VLOOKUP(C1007,'RAW DATA 2023'!E:BO,20,0)</f>
        <v>#N/A</v>
      </c>
      <c r="L1007" s="322" t="e">
        <f t="shared" si="93"/>
        <v>#N/A</v>
      </c>
    </row>
    <row r="1008" spans="1:12" s="63" customFormat="1">
      <c r="A1008" s="63">
        <f>'RAW DATA 2023'!B1001</f>
        <v>0</v>
      </c>
      <c r="B1008" s="63">
        <f>'RAW DATA 2023'!D1001</f>
        <v>0</v>
      </c>
      <c r="C1008" s="63" t="str">
        <f t="shared" si="89"/>
        <v>00</v>
      </c>
      <c r="D1008" s="63" t="e">
        <f>VLOOKUP(C1008,'RAW DATA 2023'!E:BP,63,0)</f>
        <v>#N/A</v>
      </c>
      <c r="E1008" s="63" t="e">
        <f t="shared" si="90"/>
        <v>#N/A</v>
      </c>
      <c r="F1008" s="63" t="e">
        <f>ROUND(VLOOKUP(C1008,'RAW DATA 2023'!E:BO,23,0),0)</f>
        <v>#N/A</v>
      </c>
      <c r="G1008" s="120" t="e">
        <f>VLOOKUP(C1008,'RAW DATA 2023'!E:BO,26,0)</f>
        <v>#N/A</v>
      </c>
      <c r="H1008" s="101" t="str">
        <f>IFERROR(VLOOKUP(F1008,STD!B:G,6,0),"")</f>
        <v/>
      </c>
      <c r="I1008" s="100">
        <f t="shared" si="91"/>
        <v>0</v>
      </c>
      <c r="J1008" s="249">
        <f t="shared" si="92"/>
        <v>0</v>
      </c>
      <c r="K1008" s="63" t="e">
        <f>VLOOKUP(C1008,'RAW DATA 2023'!E:BO,20,0)</f>
        <v>#N/A</v>
      </c>
      <c r="L1008" s="322" t="e">
        <f t="shared" si="93"/>
        <v>#N/A</v>
      </c>
    </row>
    <row r="1009" spans="1:12" s="63" customFormat="1">
      <c r="A1009" s="63">
        <f>'RAW DATA 2023'!B1002</f>
        <v>0</v>
      </c>
      <c r="B1009" s="63">
        <f>'RAW DATA 2023'!D1002</f>
        <v>0</v>
      </c>
      <c r="C1009" s="63" t="str">
        <f t="shared" si="89"/>
        <v>00</v>
      </c>
      <c r="D1009" s="63" t="e">
        <f>VLOOKUP(C1009,'RAW DATA 2023'!E:BP,63,0)</f>
        <v>#N/A</v>
      </c>
      <c r="E1009" s="63" t="e">
        <f t="shared" si="90"/>
        <v>#N/A</v>
      </c>
      <c r="F1009" s="63" t="e">
        <f>ROUND(VLOOKUP(C1009,'RAW DATA 2023'!E:BO,23,0),0)</f>
        <v>#N/A</v>
      </c>
      <c r="G1009" s="120" t="e">
        <f>VLOOKUP(C1009,'RAW DATA 2023'!E:BO,26,0)</f>
        <v>#N/A</v>
      </c>
      <c r="H1009" s="101" t="str">
        <f>IFERROR(VLOOKUP(F1009,STD!B:G,6,0),"")</f>
        <v/>
      </c>
      <c r="I1009" s="100">
        <f t="shared" si="91"/>
        <v>0</v>
      </c>
      <c r="J1009" s="249">
        <f t="shared" si="92"/>
        <v>0</v>
      </c>
      <c r="K1009" s="63" t="e">
        <f>VLOOKUP(C1009,'RAW DATA 2023'!E:BO,20,0)</f>
        <v>#N/A</v>
      </c>
      <c r="L1009" s="322" t="e">
        <f t="shared" si="93"/>
        <v>#N/A</v>
      </c>
    </row>
    <row r="1010" spans="1:12" s="63" customFormat="1">
      <c r="A1010" s="63">
        <f>'RAW DATA 2023'!B1003</f>
        <v>0</v>
      </c>
      <c r="B1010" s="63">
        <f>'RAW DATA 2023'!D1003</f>
        <v>0</v>
      </c>
      <c r="C1010" s="63" t="str">
        <f t="shared" si="89"/>
        <v>00</v>
      </c>
      <c r="D1010" s="63" t="e">
        <f>VLOOKUP(C1010,'RAW DATA 2023'!E:BP,63,0)</f>
        <v>#N/A</v>
      </c>
      <c r="E1010" s="63" t="e">
        <f t="shared" si="90"/>
        <v>#N/A</v>
      </c>
      <c r="F1010" s="63" t="e">
        <f>ROUND(VLOOKUP(C1010,'RAW DATA 2023'!E:BO,23,0),0)</f>
        <v>#N/A</v>
      </c>
      <c r="G1010" s="120" t="e">
        <f>VLOOKUP(C1010,'RAW DATA 2023'!E:BO,26,0)</f>
        <v>#N/A</v>
      </c>
      <c r="H1010" s="101" t="str">
        <f>IFERROR(VLOOKUP(F1010,STD!B:G,6,0),"")</f>
        <v/>
      </c>
      <c r="I1010" s="100">
        <f t="shared" si="91"/>
        <v>0</v>
      </c>
      <c r="J1010" s="249">
        <f t="shared" si="92"/>
        <v>0</v>
      </c>
      <c r="K1010" s="63" t="e">
        <f>VLOOKUP(C1010,'RAW DATA 2023'!E:BO,20,0)</f>
        <v>#N/A</v>
      </c>
      <c r="L1010" s="322" t="e">
        <f t="shared" si="93"/>
        <v>#N/A</v>
      </c>
    </row>
    <row r="1011" spans="1:12" s="63" customFormat="1">
      <c r="A1011" s="63">
        <f>'RAW DATA 2023'!B1004</f>
        <v>0</v>
      </c>
      <c r="B1011" s="63">
        <f>'RAW DATA 2023'!D1004</f>
        <v>0</v>
      </c>
      <c r="C1011" s="63" t="str">
        <f t="shared" si="89"/>
        <v>00</v>
      </c>
      <c r="D1011" s="63" t="e">
        <f>VLOOKUP(C1011,'RAW DATA 2023'!E:BP,63,0)</f>
        <v>#N/A</v>
      </c>
      <c r="E1011" s="63" t="e">
        <f t="shared" si="90"/>
        <v>#N/A</v>
      </c>
      <c r="F1011" s="63" t="e">
        <f>ROUND(VLOOKUP(C1011,'RAW DATA 2023'!E:BO,23,0),0)</f>
        <v>#N/A</v>
      </c>
      <c r="G1011" s="120" t="e">
        <f>VLOOKUP(C1011,'RAW DATA 2023'!E:BO,26,0)</f>
        <v>#N/A</v>
      </c>
      <c r="H1011" s="101" t="str">
        <f>IFERROR(VLOOKUP(F1011,STD!B:G,6,0),"")</f>
        <v/>
      </c>
      <c r="I1011" s="100">
        <f t="shared" si="91"/>
        <v>0</v>
      </c>
      <c r="J1011" s="249">
        <f t="shared" si="92"/>
        <v>0</v>
      </c>
      <c r="K1011" s="63" t="e">
        <f>VLOOKUP(C1011,'RAW DATA 2023'!E:BO,20,0)</f>
        <v>#N/A</v>
      </c>
      <c r="L1011" s="322" t="e">
        <f t="shared" si="93"/>
        <v>#N/A</v>
      </c>
    </row>
    <row r="1012" spans="1:12" s="63" customFormat="1">
      <c r="A1012" s="63">
        <f>'RAW DATA 2023'!B1005</f>
        <v>0</v>
      </c>
      <c r="B1012" s="63">
        <f>'RAW DATA 2023'!D1005</f>
        <v>0</v>
      </c>
      <c r="C1012" s="63" t="str">
        <f t="shared" si="89"/>
        <v>00</v>
      </c>
      <c r="D1012" s="63" t="e">
        <f>VLOOKUP(C1012,'RAW DATA 2023'!E:BP,63,0)</f>
        <v>#N/A</v>
      </c>
      <c r="E1012" s="63" t="e">
        <f t="shared" si="90"/>
        <v>#N/A</v>
      </c>
      <c r="F1012" s="63" t="e">
        <f>ROUND(VLOOKUP(C1012,'RAW DATA 2023'!E:BO,23,0),0)</f>
        <v>#N/A</v>
      </c>
      <c r="G1012" s="120" t="e">
        <f>VLOOKUP(C1012,'RAW DATA 2023'!E:BO,26,0)</f>
        <v>#N/A</v>
      </c>
      <c r="H1012" s="101" t="str">
        <f>IFERROR(VLOOKUP(F1012,STD!B:G,6,0),"")</f>
        <v/>
      </c>
      <c r="I1012" s="100">
        <f t="shared" si="91"/>
        <v>0</v>
      </c>
      <c r="J1012" s="249">
        <f t="shared" si="92"/>
        <v>0</v>
      </c>
      <c r="K1012" s="63" t="e">
        <f>VLOOKUP(C1012,'RAW DATA 2023'!E:BO,20,0)</f>
        <v>#N/A</v>
      </c>
      <c r="L1012" s="322" t="e">
        <f t="shared" si="93"/>
        <v>#N/A</v>
      </c>
    </row>
    <row r="1013" spans="1:12" s="63" customFormat="1">
      <c r="A1013" s="63">
        <f>'RAW DATA 2023'!B1006</f>
        <v>0</v>
      </c>
      <c r="B1013" s="63">
        <f>'RAW DATA 2023'!D1006</f>
        <v>0</v>
      </c>
      <c r="C1013" s="63" t="str">
        <f t="shared" si="89"/>
        <v>00</v>
      </c>
      <c r="D1013" s="63" t="e">
        <f>VLOOKUP(C1013,'RAW DATA 2023'!E:BP,63,0)</f>
        <v>#N/A</v>
      </c>
      <c r="E1013" s="63" t="e">
        <f t="shared" si="90"/>
        <v>#N/A</v>
      </c>
      <c r="F1013" s="63" t="e">
        <f>ROUND(VLOOKUP(C1013,'RAW DATA 2023'!E:BO,23,0),0)</f>
        <v>#N/A</v>
      </c>
      <c r="G1013" s="120" t="e">
        <f>VLOOKUP(C1013,'RAW DATA 2023'!E:BO,26,0)</f>
        <v>#N/A</v>
      </c>
      <c r="H1013" s="101" t="str">
        <f>IFERROR(VLOOKUP(F1013,STD!B:G,6,0),"")</f>
        <v/>
      </c>
      <c r="I1013" s="100">
        <f t="shared" si="91"/>
        <v>0</v>
      </c>
      <c r="J1013" s="249">
        <f t="shared" si="92"/>
        <v>0</v>
      </c>
      <c r="K1013" s="63" t="e">
        <f>VLOOKUP(C1013,'RAW DATA 2023'!E:BO,20,0)</f>
        <v>#N/A</v>
      </c>
      <c r="L1013" s="322" t="e">
        <f t="shared" si="93"/>
        <v>#N/A</v>
      </c>
    </row>
    <row r="1014" spans="1:12" s="63" customFormat="1">
      <c r="A1014" s="63">
        <f>'RAW DATA 2023'!B1007</f>
        <v>0</v>
      </c>
      <c r="B1014" s="63">
        <f>'RAW DATA 2023'!D1007</f>
        <v>0</v>
      </c>
      <c r="C1014" s="63" t="str">
        <f t="shared" si="89"/>
        <v>00</v>
      </c>
      <c r="D1014" s="63" t="e">
        <f>VLOOKUP(C1014,'RAW DATA 2023'!E:BP,63,0)</f>
        <v>#N/A</v>
      </c>
      <c r="E1014" s="63" t="e">
        <f t="shared" si="90"/>
        <v>#N/A</v>
      </c>
      <c r="F1014" s="63" t="e">
        <f>ROUND(VLOOKUP(C1014,'RAW DATA 2023'!E:BO,23,0),0)</f>
        <v>#N/A</v>
      </c>
      <c r="G1014" s="120" t="e">
        <f>VLOOKUP(C1014,'RAW DATA 2023'!E:BO,26,0)</f>
        <v>#N/A</v>
      </c>
      <c r="H1014" s="101" t="str">
        <f>IFERROR(VLOOKUP(F1014,STD!B:G,6,0),"")</f>
        <v/>
      </c>
      <c r="I1014" s="100">
        <f t="shared" si="91"/>
        <v>0</v>
      </c>
      <c r="J1014" s="249">
        <f t="shared" si="92"/>
        <v>0</v>
      </c>
      <c r="K1014" s="63" t="e">
        <f>VLOOKUP(C1014,'RAW DATA 2023'!E:BO,20,0)</f>
        <v>#N/A</v>
      </c>
      <c r="L1014" s="322" t="e">
        <f t="shared" si="93"/>
        <v>#N/A</v>
      </c>
    </row>
    <row r="1015" spans="1:12" s="63" customFormat="1">
      <c r="A1015" s="63">
        <f>'RAW DATA 2023'!B1008</f>
        <v>0</v>
      </c>
      <c r="B1015" s="63">
        <f>'RAW DATA 2023'!D1008</f>
        <v>0</v>
      </c>
      <c r="C1015" s="63" t="str">
        <f t="shared" si="89"/>
        <v>00</v>
      </c>
      <c r="D1015" s="63" t="e">
        <f>VLOOKUP(C1015,'RAW DATA 2023'!E:BP,63,0)</f>
        <v>#N/A</v>
      </c>
      <c r="E1015" s="63" t="e">
        <f t="shared" si="90"/>
        <v>#N/A</v>
      </c>
      <c r="F1015" s="63" t="e">
        <f>ROUND(VLOOKUP(C1015,'RAW DATA 2023'!E:BO,23,0),0)</f>
        <v>#N/A</v>
      </c>
      <c r="G1015" s="120" t="e">
        <f>VLOOKUP(C1015,'RAW DATA 2023'!E:BO,26,0)</f>
        <v>#N/A</v>
      </c>
      <c r="H1015" s="101" t="str">
        <f>IFERROR(VLOOKUP(F1015,STD!B:G,6,0),"")</f>
        <v/>
      </c>
      <c r="I1015" s="100">
        <f t="shared" si="91"/>
        <v>0</v>
      </c>
      <c r="J1015" s="249">
        <f t="shared" si="92"/>
        <v>0</v>
      </c>
      <c r="K1015" s="63" t="e">
        <f>VLOOKUP(C1015,'RAW DATA 2023'!E:BO,20,0)</f>
        <v>#N/A</v>
      </c>
      <c r="L1015" s="322" t="e">
        <f t="shared" si="93"/>
        <v>#N/A</v>
      </c>
    </row>
    <row r="1016" spans="1:12" s="63" customFormat="1">
      <c r="A1016" s="63">
        <f>'RAW DATA 2023'!B1009</f>
        <v>0</v>
      </c>
      <c r="B1016" s="63">
        <f>'RAW DATA 2023'!D1009</f>
        <v>0</v>
      </c>
      <c r="C1016" s="63" t="str">
        <f t="shared" si="89"/>
        <v>00</v>
      </c>
      <c r="D1016" s="63" t="e">
        <f>VLOOKUP(C1016,'RAW DATA 2023'!E:BP,63,0)</f>
        <v>#N/A</v>
      </c>
      <c r="E1016" s="63" t="e">
        <f t="shared" si="90"/>
        <v>#N/A</v>
      </c>
      <c r="F1016" s="63" t="e">
        <f>ROUND(VLOOKUP(C1016,'RAW DATA 2023'!E:BO,23,0),0)</f>
        <v>#N/A</v>
      </c>
      <c r="G1016" s="120" t="e">
        <f>VLOOKUP(C1016,'RAW DATA 2023'!E:BO,26,0)</f>
        <v>#N/A</v>
      </c>
      <c r="H1016" s="101" t="str">
        <f>IFERROR(VLOOKUP(F1016,STD!B:G,6,0),"")</f>
        <v/>
      </c>
      <c r="I1016" s="100">
        <f t="shared" si="91"/>
        <v>0</v>
      </c>
      <c r="J1016" s="249">
        <f t="shared" si="92"/>
        <v>0</v>
      </c>
      <c r="K1016" s="63" t="e">
        <f>VLOOKUP(C1016,'RAW DATA 2023'!E:BO,20,0)</f>
        <v>#N/A</v>
      </c>
      <c r="L1016" s="322" t="e">
        <f t="shared" si="93"/>
        <v>#N/A</v>
      </c>
    </row>
    <row r="1017" spans="1:12" s="63" customFormat="1">
      <c r="A1017" s="63">
        <f>'RAW DATA 2023'!B1010</f>
        <v>0</v>
      </c>
      <c r="B1017" s="63">
        <f>'RAW DATA 2023'!D1010</f>
        <v>0</v>
      </c>
      <c r="C1017" s="63" t="str">
        <f t="shared" si="89"/>
        <v>00</v>
      </c>
      <c r="D1017" s="63" t="e">
        <f>VLOOKUP(C1017,'RAW DATA 2023'!E:BP,63,0)</f>
        <v>#N/A</v>
      </c>
      <c r="E1017" s="63" t="e">
        <f t="shared" si="90"/>
        <v>#N/A</v>
      </c>
      <c r="F1017" s="63" t="e">
        <f>ROUND(VLOOKUP(C1017,'RAW DATA 2023'!E:BO,23,0),0)</f>
        <v>#N/A</v>
      </c>
      <c r="G1017" s="120" t="e">
        <f>VLOOKUP(C1017,'RAW DATA 2023'!E:BO,26,0)</f>
        <v>#N/A</v>
      </c>
      <c r="H1017" s="101" t="str">
        <f>IFERROR(VLOOKUP(F1017,STD!B:G,6,0),"")</f>
        <v/>
      </c>
      <c r="I1017" s="100">
        <f t="shared" si="91"/>
        <v>0</v>
      </c>
      <c r="J1017" s="249">
        <f t="shared" si="92"/>
        <v>0</v>
      </c>
      <c r="K1017" s="63" t="e">
        <f>VLOOKUP(C1017,'RAW DATA 2023'!E:BO,20,0)</f>
        <v>#N/A</v>
      </c>
      <c r="L1017" s="322" t="e">
        <f t="shared" si="93"/>
        <v>#N/A</v>
      </c>
    </row>
    <row r="1018" spans="1:12" s="63" customFormat="1">
      <c r="A1018" s="63">
        <f>'RAW DATA 2023'!B1011</f>
        <v>0</v>
      </c>
      <c r="B1018" s="63">
        <f>'RAW DATA 2023'!D1011</f>
        <v>0</v>
      </c>
      <c r="C1018" s="63" t="str">
        <f t="shared" si="89"/>
        <v>00</v>
      </c>
      <c r="D1018" s="63" t="e">
        <f>VLOOKUP(C1018,'RAW DATA 2023'!E:BP,63,0)</f>
        <v>#N/A</v>
      </c>
      <c r="E1018" s="63" t="e">
        <f t="shared" si="90"/>
        <v>#N/A</v>
      </c>
      <c r="F1018" s="63" t="e">
        <f>ROUND(VLOOKUP(C1018,'RAW DATA 2023'!E:BO,23,0),0)</f>
        <v>#N/A</v>
      </c>
      <c r="G1018" s="120" t="e">
        <f>VLOOKUP(C1018,'RAW DATA 2023'!E:BO,26,0)</f>
        <v>#N/A</v>
      </c>
      <c r="H1018" s="101" t="str">
        <f>IFERROR(VLOOKUP(F1018,STD!B:G,6,0),"")</f>
        <v/>
      </c>
      <c r="I1018" s="100">
        <f t="shared" si="91"/>
        <v>0</v>
      </c>
      <c r="J1018" s="249">
        <f t="shared" si="92"/>
        <v>0</v>
      </c>
      <c r="K1018" s="63" t="e">
        <f>VLOOKUP(C1018,'RAW DATA 2023'!E:BO,20,0)</f>
        <v>#N/A</v>
      </c>
      <c r="L1018" s="322" t="e">
        <f t="shared" si="93"/>
        <v>#N/A</v>
      </c>
    </row>
    <row r="1019" spans="1:12" s="63" customFormat="1">
      <c r="A1019" s="63">
        <f>'RAW DATA 2023'!B1012</f>
        <v>0</v>
      </c>
      <c r="B1019" s="63">
        <f>'RAW DATA 2023'!D1012</f>
        <v>0</v>
      </c>
      <c r="C1019" s="63" t="str">
        <f t="shared" si="89"/>
        <v>00</v>
      </c>
      <c r="D1019" s="63" t="e">
        <f>VLOOKUP(C1019,'RAW DATA 2023'!E:BP,63,0)</f>
        <v>#N/A</v>
      </c>
      <c r="E1019" s="63" t="e">
        <f t="shared" si="90"/>
        <v>#N/A</v>
      </c>
      <c r="F1019" s="63" t="e">
        <f>ROUND(VLOOKUP(C1019,'RAW DATA 2023'!E:BO,23,0),0)</f>
        <v>#N/A</v>
      </c>
      <c r="G1019" s="120" t="e">
        <f>VLOOKUP(C1019,'RAW DATA 2023'!E:BO,26,0)</f>
        <v>#N/A</v>
      </c>
      <c r="H1019" s="101" t="str">
        <f>IFERROR(VLOOKUP(F1019,STD!B:G,6,0),"")</f>
        <v/>
      </c>
      <c r="I1019" s="100">
        <f t="shared" si="91"/>
        <v>0</v>
      </c>
      <c r="J1019" s="249">
        <f t="shared" si="92"/>
        <v>0</v>
      </c>
      <c r="K1019" s="63" t="e">
        <f>VLOOKUP(C1019,'RAW DATA 2023'!E:BO,20,0)</f>
        <v>#N/A</v>
      </c>
      <c r="L1019" s="322" t="e">
        <f t="shared" si="93"/>
        <v>#N/A</v>
      </c>
    </row>
    <row r="1020" spans="1:12" s="63" customFormat="1">
      <c r="A1020" s="63">
        <f>'RAW DATA 2023'!B1013</f>
        <v>0</v>
      </c>
      <c r="B1020" s="63">
        <f>'RAW DATA 2023'!D1013</f>
        <v>0</v>
      </c>
      <c r="C1020" s="63" t="str">
        <f t="shared" si="89"/>
        <v>00</v>
      </c>
      <c r="D1020" s="63" t="e">
        <f>VLOOKUP(C1020,'RAW DATA 2023'!E:BP,63,0)</f>
        <v>#N/A</v>
      </c>
      <c r="E1020" s="63" t="e">
        <f t="shared" si="90"/>
        <v>#N/A</v>
      </c>
      <c r="F1020" s="63" t="e">
        <f>ROUND(VLOOKUP(C1020,'RAW DATA 2023'!E:BO,23,0),0)</f>
        <v>#N/A</v>
      </c>
      <c r="G1020" s="120" t="e">
        <f>VLOOKUP(C1020,'RAW DATA 2023'!E:BO,26,0)</f>
        <v>#N/A</v>
      </c>
      <c r="H1020" s="101" t="str">
        <f>IFERROR(VLOOKUP(F1020,STD!B:G,6,0),"")</f>
        <v/>
      </c>
      <c r="I1020" s="100">
        <f t="shared" si="91"/>
        <v>0</v>
      </c>
      <c r="J1020" s="249">
        <f t="shared" si="92"/>
        <v>0</v>
      </c>
      <c r="K1020" s="63" t="e">
        <f>VLOOKUP(C1020,'RAW DATA 2023'!E:BO,20,0)</f>
        <v>#N/A</v>
      </c>
      <c r="L1020" s="322" t="e">
        <f t="shared" si="93"/>
        <v>#N/A</v>
      </c>
    </row>
    <row r="1021" spans="1:12" s="63" customFormat="1">
      <c r="A1021" s="63">
        <f>'RAW DATA 2023'!B1014</f>
        <v>0</v>
      </c>
      <c r="B1021" s="63">
        <f>'RAW DATA 2023'!D1014</f>
        <v>0</v>
      </c>
      <c r="C1021" s="63" t="str">
        <f t="shared" si="89"/>
        <v>00</v>
      </c>
      <c r="D1021" s="63" t="e">
        <f>VLOOKUP(C1021,'RAW DATA 2023'!E:BP,63,0)</f>
        <v>#N/A</v>
      </c>
      <c r="E1021" s="63" t="e">
        <f t="shared" si="90"/>
        <v>#N/A</v>
      </c>
      <c r="F1021" s="63" t="e">
        <f>ROUND(VLOOKUP(C1021,'RAW DATA 2023'!E:BO,23,0),0)</f>
        <v>#N/A</v>
      </c>
      <c r="G1021" s="120" t="e">
        <f>VLOOKUP(C1021,'RAW DATA 2023'!E:BO,26,0)</f>
        <v>#N/A</v>
      </c>
      <c r="H1021" s="101" t="str">
        <f>IFERROR(VLOOKUP(F1021,STD!B:G,6,0),"")</f>
        <v/>
      </c>
      <c r="I1021" s="100">
        <f t="shared" si="91"/>
        <v>0</v>
      </c>
      <c r="J1021" s="249">
        <f t="shared" si="92"/>
        <v>0</v>
      </c>
      <c r="K1021" s="63" t="e">
        <f>VLOOKUP(C1021,'RAW DATA 2023'!E:BO,20,0)</f>
        <v>#N/A</v>
      </c>
      <c r="L1021" s="322" t="e">
        <f t="shared" si="93"/>
        <v>#N/A</v>
      </c>
    </row>
    <row r="1022" spans="1:12" s="63" customFormat="1">
      <c r="A1022" s="63">
        <f>'RAW DATA 2023'!B1015</f>
        <v>0</v>
      </c>
      <c r="B1022" s="63">
        <f>'RAW DATA 2023'!D1015</f>
        <v>0</v>
      </c>
      <c r="C1022" s="63" t="str">
        <f t="shared" si="89"/>
        <v>00</v>
      </c>
      <c r="D1022" s="63" t="e">
        <f>VLOOKUP(C1022,'RAW DATA 2023'!E:BP,63,0)</f>
        <v>#N/A</v>
      </c>
      <c r="E1022" s="63" t="e">
        <f t="shared" si="90"/>
        <v>#N/A</v>
      </c>
      <c r="F1022" s="63" t="e">
        <f>ROUND(VLOOKUP(C1022,'RAW DATA 2023'!E:BO,23,0),0)</f>
        <v>#N/A</v>
      </c>
      <c r="G1022" s="120" t="e">
        <f>VLOOKUP(C1022,'RAW DATA 2023'!E:BO,26,0)</f>
        <v>#N/A</v>
      </c>
      <c r="H1022" s="101" t="str">
        <f>IFERROR(VLOOKUP(F1022,STD!B:G,6,0),"")</f>
        <v/>
      </c>
      <c r="I1022" s="100">
        <f t="shared" si="91"/>
        <v>0</v>
      </c>
      <c r="J1022" s="249">
        <f t="shared" si="92"/>
        <v>0</v>
      </c>
      <c r="K1022" s="63" t="e">
        <f>VLOOKUP(C1022,'RAW DATA 2023'!E:BO,20,0)</f>
        <v>#N/A</v>
      </c>
      <c r="L1022" s="322" t="e">
        <f t="shared" si="93"/>
        <v>#N/A</v>
      </c>
    </row>
    <row r="1023" spans="1:12" s="63" customFormat="1">
      <c r="A1023" s="63">
        <f>'RAW DATA 2023'!B1016</f>
        <v>0</v>
      </c>
      <c r="B1023" s="63">
        <f>'RAW DATA 2023'!D1016</f>
        <v>0</v>
      </c>
      <c r="C1023" s="63" t="str">
        <f t="shared" si="89"/>
        <v>00</v>
      </c>
      <c r="D1023" s="63" t="e">
        <f>VLOOKUP(C1023,'RAW DATA 2023'!E:BP,63,0)</f>
        <v>#N/A</v>
      </c>
      <c r="E1023" s="63" t="e">
        <f t="shared" si="90"/>
        <v>#N/A</v>
      </c>
      <c r="F1023" s="63" t="e">
        <f>ROUND(VLOOKUP(C1023,'RAW DATA 2023'!E:BO,23,0),0)</f>
        <v>#N/A</v>
      </c>
      <c r="G1023" s="120" t="e">
        <f>VLOOKUP(C1023,'RAW DATA 2023'!E:BO,26,0)</f>
        <v>#N/A</v>
      </c>
      <c r="H1023" s="101" t="str">
        <f>IFERROR(VLOOKUP(F1023,STD!B:G,6,0),"")</f>
        <v/>
      </c>
      <c r="I1023" s="100">
        <f t="shared" si="91"/>
        <v>0</v>
      </c>
      <c r="J1023" s="249">
        <f t="shared" si="92"/>
        <v>0</v>
      </c>
      <c r="K1023" s="63" t="e">
        <f>VLOOKUP(C1023,'RAW DATA 2023'!E:BO,20,0)</f>
        <v>#N/A</v>
      </c>
      <c r="L1023" s="322" t="e">
        <f t="shared" si="93"/>
        <v>#N/A</v>
      </c>
    </row>
    <row r="1024" spans="1:12" s="63" customFormat="1">
      <c r="A1024" s="63">
        <f>'RAW DATA 2023'!B1017</f>
        <v>0</v>
      </c>
      <c r="B1024" s="63">
        <f>'RAW DATA 2023'!D1017</f>
        <v>0</v>
      </c>
      <c r="C1024" s="63" t="str">
        <f t="shared" si="89"/>
        <v>00</v>
      </c>
      <c r="D1024" s="63" t="e">
        <f>VLOOKUP(C1024,'RAW DATA 2023'!E:BP,63,0)</f>
        <v>#N/A</v>
      </c>
      <c r="E1024" s="63" t="e">
        <f t="shared" si="90"/>
        <v>#N/A</v>
      </c>
      <c r="F1024" s="63" t="e">
        <f>ROUND(VLOOKUP(C1024,'RAW DATA 2023'!E:BO,23,0),0)</f>
        <v>#N/A</v>
      </c>
      <c r="G1024" s="120" t="e">
        <f>VLOOKUP(C1024,'RAW DATA 2023'!E:BO,26,0)</f>
        <v>#N/A</v>
      </c>
      <c r="H1024" s="101" t="str">
        <f>IFERROR(VLOOKUP(F1024,STD!B:G,6,0),"")</f>
        <v/>
      </c>
      <c r="I1024" s="100">
        <f t="shared" si="91"/>
        <v>0</v>
      </c>
      <c r="J1024" s="249">
        <f t="shared" si="92"/>
        <v>0</v>
      </c>
      <c r="K1024" s="63" t="e">
        <f>VLOOKUP(C1024,'RAW DATA 2023'!E:BO,20,0)</f>
        <v>#N/A</v>
      </c>
      <c r="L1024" s="322" t="e">
        <f t="shared" si="93"/>
        <v>#N/A</v>
      </c>
    </row>
    <row r="1025" spans="1:12" s="63" customFormat="1">
      <c r="A1025" s="63">
        <f>'RAW DATA 2023'!B1018</f>
        <v>0</v>
      </c>
      <c r="B1025" s="63">
        <f>'RAW DATA 2023'!D1018</f>
        <v>0</v>
      </c>
      <c r="C1025" s="63" t="str">
        <f t="shared" si="89"/>
        <v>00</v>
      </c>
      <c r="D1025" s="63" t="e">
        <f>VLOOKUP(C1025,'RAW DATA 2023'!E:BP,63,0)</f>
        <v>#N/A</v>
      </c>
      <c r="E1025" s="63" t="e">
        <f t="shared" si="90"/>
        <v>#N/A</v>
      </c>
      <c r="F1025" s="63" t="e">
        <f>ROUND(VLOOKUP(C1025,'RAW DATA 2023'!E:BO,23,0),0)</f>
        <v>#N/A</v>
      </c>
      <c r="G1025" s="120" t="e">
        <f>VLOOKUP(C1025,'RAW DATA 2023'!E:BO,26,0)</f>
        <v>#N/A</v>
      </c>
      <c r="H1025" s="101" t="str">
        <f>IFERROR(VLOOKUP(F1025,STD!B:G,6,0),"")</f>
        <v/>
      </c>
      <c r="I1025" s="100">
        <f t="shared" si="91"/>
        <v>0</v>
      </c>
      <c r="J1025" s="249">
        <f t="shared" si="92"/>
        <v>0</v>
      </c>
      <c r="K1025" s="63" t="e">
        <f>VLOOKUP(C1025,'RAW DATA 2023'!E:BO,20,0)</f>
        <v>#N/A</v>
      </c>
      <c r="L1025" s="322" t="e">
        <f t="shared" si="93"/>
        <v>#N/A</v>
      </c>
    </row>
    <row r="1026" spans="1:12" s="63" customFormat="1">
      <c r="A1026" s="63">
        <f>'RAW DATA 2023'!B1019</f>
        <v>0</v>
      </c>
      <c r="B1026" s="63">
        <f>'RAW DATA 2023'!D1019</f>
        <v>0</v>
      </c>
      <c r="C1026" s="63" t="str">
        <f t="shared" si="89"/>
        <v>00</v>
      </c>
      <c r="D1026" s="63" t="e">
        <f>VLOOKUP(C1026,'RAW DATA 2023'!E:BP,63,0)</f>
        <v>#N/A</v>
      </c>
      <c r="E1026" s="63" t="e">
        <f t="shared" si="90"/>
        <v>#N/A</v>
      </c>
      <c r="F1026" s="63" t="e">
        <f>ROUND(VLOOKUP(C1026,'RAW DATA 2023'!E:BO,23,0),0)</f>
        <v>#N/A</v>
      </c>
      <c r="G1026" s="120" t="e">
        <f>VLOOKUP(C1026,'RAW DATA 2023'!E:BO,26,0)</f>
        <v>#N/A</v>
      </c>
      <c r="H1026" s="101" t="str">
        <f>IFERROR(VLOOKUP(F1026,STD!B:G,6,0),"")</f>
        <v/>
      </c>
      <c r="I1026" s="100">
        <f t="shared" si="91"/>
        <v>0</v>
      </c>
      <c r="J1026" s="249">
        <f t="shared" si="92"/>
        <v>0</v>
      </c>
      <c r="K1026" s="63" t="e">
        <f>VLOOKUP(C1026,'RAW DATA 2023'!E:BO,20,0)</f>
        <v>#N/A</v>
      </c>
      <c r="L1026" s="322" t="e">
        <f t="shared" si="93"/>
        <v>#N/A</v>
      </c>
    </row>
    <row r="1027" spans="1:12" s="63" customFormat="1">
      <c r="A1027" s="63">
        <f>'RAW DATA 2023'!B1020</f>
        <v>0</v>
      </c>
      <c r="B1027" s="63">
        <f>'RAW DATA 2023'!D1020</f>
        <v>0</v>
      </c>
      <c r="C1027" s="63" t="str">
        <f t="shared" si="89"/>
        <v>00</v>
      </c>
      <c r="D1027" s="63" t="e">
        <f>VLOOKUP(C1027,'RAW DATA 2023'!E:BP,63,0)</f>
        <v>#N/A</v>
      </c>
      <c r="E1027" s="63" t="e">
        <f t="shared" si="90"/>
        <v>#N/A</v>
      </c>
      <c r="F1027" s="63" t="e">
        <f>ROUND(VLOOKUP(C1027,'RAW DATA 2023'!E:BO,23,0),0)</f>
        <v>#N/A</v>
      </c>
      <c r="G1027" s="120" t="e">
        <f>VLOOKUP(C1027,'RAW DATA 2023'!E:BO,26,0)</f>
        <v>#N/A</v>
      </c>
      <c r="H1027" s="101" t="str">
        <f>IFERROR(VLOOKUP(F1027,STD!B:G,6,0),"")</f>
        <v/>
      </c>
      <c r="I1027" s="100">
        <f t="shared" si="91"/>
        <v>0</v>
      </c>
      <c r="J1027" s="249">
        <f t="shared" si="92"/>
        <v>0</v>
      </c>
      <c r="K1027" s="63" t="e">
        <f>VLOOKUP(C1027,'RAW DATA 2023'!E:BO,20,0)</f>
        <v>#N/A</v>
      </c>
      <c r="L1027" s="322" t="e">
        <f t="shared" si="93"/>
        <v>#N/A</v>
      </c>
    </row>
    <row r="1028" spans="1:12" s="63" customFormat="1">
      <c r="A1028" s="63">
        <f>'RAW DATA 2023'!B1021</f>
        <v>0</v>
      </c>
      <c r="B1028" s="63">
        <f>'RAW DATA 2023'!D1021</f>
        <v>0</v>
      </c>
      <c r="C1028" s="63" t="str">
        <f t="shared" si="89"/>
        <v>00</v>
      </c>
      <c r="D1028" s="63" t="e">
        <f>VLOOKUP(C1028,'RAW DATA 2023'!E:BP,63,0)</f>
        <v>#N/A</v>
      </c>
      <c r="E1028" s="63" t="e">
        <f t="shared" si="90"/>
        <v>#N/A</v>
      </c>
      <c r="F1028" s="63" t="e">
        <f>ROUND(VLOOKUP(C1028,'RAW DATA 2023'!E:BO,23,0),0)</f>
        <v>#N/A</v>
      </c>
      <c r="G1028" s="120" t="e">
        <f>VLOOKUP(C1028,'RAW DATA 2023'!E:BO,26,0)</f>
        <v>#N/A</v>
      </c>
      <c r="H1028" s="101" t="str">
        <f>IFERROR(VLOOKUP(F1028,STD!B:G,6,0),"")</f>
        <v/>
      </c>
      <c r="I1028" s="100">
        <f t="shared" si="91"/>
        <v>0</v>
      </c>
      <c r="J1028" s="249">
        <f t="shared" si="92"/>
        <v>0</v>
      </c>
      <c r="K1028" s="63" t="e">
        <f>VLOOKUP(C1028,'RAW DATA 2023'!E:BO,20,0)</f>
        <v>#N/A</v>
      </c>
      <c r="L1028" s="322" t="e">
        <f t="shared" si="93"/>
        <v>#N/A</v>
      </c>
    </row>
    <row r="1029" spans="1:12" s="63" customFormat="1">
      <c r="A1029" s="63">
        <f>'RAW DATA 2023'!B1022</f>
        <v>0</v>
      </c>
      <c r="B1029" s="63">
        <f>'RAW DATA 2023'!D1022</f>
        <v>0</v>
      </c>
      <c r="C1029" s="63" t="str">
        <f t="shared" si="89"/>
        <v>00</v>
      </c>
      <c r="D1029" s="63" t="e">
        <f>VLOOKUP(C1029,'RAW DATA 2023'!E:BP,63,0)</f>
        <v>#N/A</v>
      </c>
      <c r="E1029" s="63" t="e">
        <f t="shared" si="90"/>
        <v>#N/A</v>
      </c>
      <c r="F1029" s="63" t="e">
        <f>ROUND(VLOOKUP(C1029,'RAW DATA 2023'!E:BO,23,0),0)</f>
        <v>#N/A</v>
      </c>
      <c r="G1029" s="120" t="e">
        <f>VLOOKUP(C1029,'RAW DATA 2023'!E:BO,26,0)</f>
        <v>#N/A</v>
      </c>
      <c r="H1029" s="101" t="str">
        <f>IFERROR(VLOOKUP(F1029,STD!B:G,6,0),"")</f>
        <v/>
      </c>
      <c r="I1029" s="100">
        <f t="shared" si="91"/>
        <v>0</v>
      </c>
      <c r="J1029" s="249">
        <f t="shared" si="92"/>
        <v>0</v>
      </c>
      <c r="K1029" s="63" t="e">
        <f>VLOOKUP(C1029,'RAW DATA 2023'!E:BO,20,0)</f>
        <v>#N/A</v>
      </c>
      <c r="L1029" s="322" t="e">
        <f t="shared" si="93"/>
        <v>#N/A</v>
      </c>
    </row>
    <row r="1030" spans="1:12" s="63" customFormat="1">
      <c r="A1030" s="63">
        <f>'RAW DATA 2023'!B1023</f>
        <v>0</v>
      </c>
      <c r="B1030" s="63">
        <f>'RAW DATA 2023'!D1023</f>
        <v>0</v>
      </c>
      <c r="C1030" s="63" t="str">
        <f t="shared" si="89"/>
        <v>00</v>
      </c>
      <c r="D1030" s="63" t="e">
        <f>VLOOKUP(C1030,'RAW DATA 2023'!E:BP,63,0)</f>
        <v>#N/A</v>
      </c>
      <c r="E1030" s="63" t="e">
        <f t="shared" si="90"/>
        <v>#N/A</v>
      </c>
      <c r="F1030" s="63" t="e">
        <f>ROUND(VLOOKUP(C1030,'RAW DATA 2023'!E:BO,23,0),0)</f>
        <v>#N/A</v>
      </c>
      <c r="G1030" s="120" t="e">
        <f>VLOOKUP(C1030,'RAW DATA 2023'!E:BO,26,0)</f>
        <v>#N/A</v>
      </c>
      <c r="H1030" s="101" t="str">
        <f>IFERROR(VLOOKUP(F1030,STD!B:G,6,0),"")</f>
        <v/>
      </c>
      <c r="I1030" s="100">
        <f t="shared" si="91"/>
        <v>0</v>
      </c>
      <c r="J1030" s="249">
        <f t="shared" si="92"/>
        <v>0</v>
      </c>
      <c r="K1030" s="63" t="e">
        <f>VLOOKUP(C1030,'RAW DATA 2023'!E:BO,20,0)</f>
        <v>#N/A</v>
      </c>
      <c r="L1030" s="322" t="e">
        <f t="shared" si="93"/>
        <v>#N/A</v>
      </c>
    </row>
    <row r="1031" spans="1:12" s="63" customFormat="1">
      <c r="A1031" s="63">
        <f>'RAW DATA 2023'!B1024</f>
        <v>0</v>
      </c>
      <c r="B1031" s="63">
        <f>'RAW DATA 2023'!D1024</f>
        <v>0</v>
      </c>
      <c r="C1031" s="63" t="str">
        <f t="shared" si="89"/>
        <v>00</v>
      </c>
      <c r="D1031" s="63" t="e">
        <f>VLOOKUP(C1031,'RAW DATA 2023'!E:BP,63,0)</f>
        <v>#N/A</v>
      </c>
      <c r="E1031" s="63" t="e">
        <f t="shared" si="90"/>
        <v>#N/A</v>
      </c>
      <c r="F1031" s="63" t="e">
        <f>ROUND(VLOOKUP(C1031,'RAW DATA 2023'!E:BO,23,0),0)</f>
        <v>#N/A</v>
      </c>
      <c r="G1031" s="120" t="e">
        <f>VLOOKUP(C1031,'RAW DATA 2023'!E:BO,26,0)</f>
        <v>#N/A</v>
      </c>
      <c r="H1031" s="101" t="str">
        <f>IFERROR(VLOOKUP(F1031,STD!B:G,6,0),"")</f>
        <v/>
      </c>
      <c r="I1031" s="100">
        <f t="shared" si="91"/>
        <v>0</v>
      </c>
      <c r="J1031" s="249">
        <f t="shared" si="92"/>
        <v>0</v>
      </c>
      <c r="K1031" s="63" t="e">
        <f>VLOOKUP(C1031,'RAW DATA 2023'!E:BO,20,0)</f>
        <v>#N/A</v>
      </c>
      <c r="L1031" s="322" t="e">
        <f t="shared" si="93"/>
        <v>#N/A</v>
      </c>
    </row>
    <row r="1032" spans="1:12" s="63" customFormat="1">
      <c r="A1032" s="63">
        <f>'RAW DATA 2023'!B1025</f>
        <v>0</v>
      </c>
      <c r="B1032" s="63">
        <f>'RAW DATA 2023'!D1025</f>
        <v>0</v>
      </c>
      <c r="C1032" s="63" t="str">
        <f t="shared" si="89"/>
        <v>00</v>
      </c>
      <c r="D1032" s="63" t="e">
        <f>VLOOKUP(C1032,'RAW DATA 2023'!E:BP,63,0)</f>
        <v>#N/A</v>
      </c>
      <c r="E1032" s="63" t="e">
        <f t="shared" si="90"/>
        <v>#N/A</v>
      </c>
      <c r="F1032" s="63" t="e">
        <f>ROUND(VLOOKUP(C1032,'RAW DATA 2023'!E:BO,23,0),0)</f>
        <v>#N/A</v>
      </c>
      <c r="G1032" s="120" t="e">
        <f>VLOOKUP(C1032,'RAW DATA 2023'!E:BO,26,0)</f>
        <v>#N/A</v>
      </c>
      <c r="H1032" s="101" t="str">
        <f>IFERROR(VLOOKUP(F1032,STD!B:G,6,0),"")</f>
        <v/>
      </c>
      <c r="I1032" s="100">
        <f t="shared" si="91"/>
        <v>0</v>
      </c>
      <c r="J1032" s="249">
        <f t="shared" si="92"/>
        <v>0</v>
      </c>
      <c r="K1032" s="63" t="e">
        <f>VLOOKUP(C1032,'RAW DATA 2023'!E:BO,20,0)</f>
        <v>#N/A</v>
      </c>
      <c r="L1032" s="322" t="e">
        <f t="shared" si="93"/>
        <v>#N/A</v>
      </c>
    </row>
    <row r="1033" spans="1:12" s="63" customFormat="1">
      <c r="A1033" s="63">
        <f>'RAW DATA 2023'!B1026</f>
        <v>0</v>
      </c>
      <c r="B1033" s="63">
        <f>'RAW DATA 2023'!D1026</f>
        <v>0</v>
      </c>
      <c r="C1033" s="63" t="str">
        <f t="shared" si="89"/>
        <v>00</v>
      </c>
      <c r="D1033" s="63" t="e">
        <f>VLOOKUP(C1033,'RAW DATA 2023'!E:BP,63,0)</f>
        <v>#N/A</v>
      </c>
      <c r="E1033" s="63" t="e">
        <f t="shared" si="90"/>
        <v>#N/A</v>
      </c>
      <c r="F1033" s="63" t="e">
        <f>ROUND(VLOOKUP(C1033,'RAW DATA 2023'!E:BO,23,0),0)</f>
        <v>#N/A</v>
      </c>
      <c r="G1033" s="120" t="e">
        <f>VLOOKUP(C1033,'RAW DATA 2023'!E:BO,26,0)</f>
        <v>#N/A</v>
      </c>
      <c r="H1033" s="101" t="str">
        <f>IFERROR(VLOOKUP(F1033,STD!B:G,6,0),"")</f>
        <v/>
      </c>
      <c r="I1033" s="100">
        <f t="shared" si="91"/>
        <v>0</v>
      </c>
      <c r="J1033" s="249">
        <f t="shared" si="92"/>
        <v>0</v>
      </c>
      <c r="K1033" s="63" t="e">
        <f>VLOOKUP(C1033,'RAW DATA 2023'!E:BO,20,0)</f>
        <v>#N/A</v>
      </c>
      <c r="L1033" s="322" t="e">
        <f t="shared" si="93"/>
        <v>#N/A</v>
      </c>
    </row>
    <row r="1034" spans="1:12" s="63" customFormat="1">
      <c r="A1034" s="63">
        <f>'RAW DATA 2023'!B1027</f>
        <v>0</v>
      </c>
      <c r="B1034" s="63">
        <f>'RAW DATA 2023'!D1027</f>
        <v>0</v>
      </c>
      <c r="C1034" s="63" t="str">
        <f t="shared" ref="C1034:C1097" si="94">A1034&amp;B1034</f>
        <v>00</v>
      </c>
      <c r="D1034" s="63" t="e">
        <f>VLOOKUP(C1034,'RAW DATA 2023'!E:BP,63,0)</f>
        <v>#N/A</v>
      </c>
      <c r="E1034" s="63" t="e">
        <f t="shared" ref="E1034:E1097" si="95">A1034&amp;D1034</f>
        <v>#N/A</v>
      </c>
      <c r="F1034" s="63" t="e">
        <f>ROUND(VLOOKUP(C1034,'RAW DATA 2023'!E:BO,23,0),0)</f>
        <v>#N/A</v>
      </c>
      <c r="G1034" s="120" t="e">
        <f>VLOOKUP(C1034,'RAW DATA 2023'!E:BO,26,0)</f>
        <v>#N/A</v>
      </c>
      <c r="H1034" s="101" t="str">
        <f>IFERROR(VLOOKUP(F1034,STD!B:G,6,0),"")</f>
        <v/>
      </c>
      <c r="I1034" s="100">
        <f t="shared" ref="I1034:I1097" si="96">IFERROR(G1034/H1034,0)</f>
        <v>0</v>
      </c>
      <c r="J1034" s="249">
        <f t="shared" si="92"/>
        <v>0</v>
      </c>
      <c r="K1034" s="63" t="e">
        <f>VLOOKUP(C1034,'RAW DATA 2023'!E:BO,20,0)</f>
        <v>#N/A</v>
      </c>
      <c r="L1034" s="322" t="e">
        <f t="shared" si="93"/>
        <v>#N/A</v>
      </c>
    </row>
    <row r="1035" spans="1:12" s="63" customFormat="1">
      <c r="A1035" s="63">
        <f>'RAW DATA 2023'!B1028</f>
        <v>0</v>
      </c>
      <c r="B1035" s="63">
        <f>'RAW DATA 2023'!D1028</f>
        <v>0</v>
      </c>
      <c r="C1035" s="63" t="str">
        <f t="shared" si="94"/>
        <v>00</v>
      </c>
      <c r="D1035" s="63" t="e">
        <f>VLOOKUP(C1035,'RAW DATA 2023'!E:BP,63,0)</f>
        <v>#N/A</v>
      </c>
      <c r="E1035" s="63" t="e">
        <f t="shared" si="95"/>
        <v>#N/A</v>
      </c>
      <c r="F1035" s="63" t="e">
        <f>ROUND(VLOOKUP(C1035,'RAW DATA 2023'!E:BO,23,0),0)</f>
        <v>#N/A</v>
      </c>
      <c r="G1035" s="120" t="e">
        <f>VLOOKUP(C1035,'RAW DATA 2023'!E:BO,26,0)</f>
        <v>#N/A</v>
      </c>
      <c r="H1035" s="101" t="str">
        <f>IFERROR(VLOOKUP(F1035,STD!B:G,6,0),"")</f>
        <v/>
      </c>
      <c r="I1035" s="100">
        <f t="shared" si="96"/>
        <v>0</v>
      </c>
      <c r="J1035" s="249">
        <f t="shared" ref="J1035:J1098" si="97">IF(I1035&gt;0.5,((I1035-$B$4)*$B$7),0)</f>
        <v>0</v>
      </c>
      <c r="K1035" s="63" t="e">
        <f>VLOOKUP(C1035,'RAW DATA 2023'!E:BO,20,0)</f>
        <v>#N/A</v>
      </c>
      <c r="L1035" s="322" t="e">
        <f t="shared" ref="L1035:L1098" si="98">J1035*K1035</f>
        <v>#N/A</v>
      </c>
    </row>
    <row r="1036" spans="1:12" s="63" customFormat="1">
      <c r="A1036" s="63">
        <f>'RAW DATA 2023'!B1029</f>
        <v>0</v>
      </c>
      <c r="B1036" s="63">
        <f>'RAW DATA 2023'!D1029</f>
        <v>0</v>
      </c>
      <c r="C1036" s="63" t="str">
        <f t="shared" si="94"/>
        <v>00</v>
      </c>
      <c r="D1036" s="63" t="e">
        <f>VLOOKUP(C1036,'RAW DATA 2023'!E:BP,63,0)</f>
        <v>#N/A</v>
      </c>
      <c r="E1036" s="63" t="e">
        <f t="shared" si="95"/>
        <v>#N/A</v>
      </c>
      <c r="F1036" s="63" t="e">
        <f>ROUND(VLOOKUP(C1036,'RAW DATA 2023'!E:BO,23,0),0)</f>
        <v>#N/A</v>
      </c>
      <c r="G1036" s="120" t="e">
        <f>VLOOKUP(C1036,'RAW DATA 2023'!E:BO,26,0)</f>
        <v>#N/A</v>
      </c>
      <c r="H1036" s="101" t="str">
        <f>IFERROR(VLOOKUP(F1036,STD!B:G,6,0),"")</f>
        <v/>
      </c>
      <c r="I1036" s="100">
        <f t="shared" si="96"/>
        <v>0</v>
      </c>
      <c r="J1036" s="249">
        <f t="shared" si="97"/>
        <v>0</v>
      </c>
      <c r="K1036" s="63" t="e">
        <f>VLOOKUP(C1036,'RAW DATA 2023'!E:BO,20,0)</f>
        <v>#N/A</v>
      </c>
      <c r="L1036" s="322" t="e">
        <f t="shared" si="98"/>
        <v>#N/A</v>
      </c>
    </row>
    <row r="1037" spans="1:12" s="63" customFormat="1">
      <c r="A1037" s="63">
        <f>'RAW DATA 2023'!B1030</f>
        <v>0</v>
      </c>
      <c r="B1037" s="63">
        <f>'RAW DATA 2023'!D1030</f>
        <v>0</v>
      </c>
      <c r="C1037" s="63" t="str">
        <f t="shared" si="94"/>
        <v>00</v>
      </c>
      <c r="D1037" s="63" t="e">
        <f>VLOOKUP(C1037,'RAW DATA 2023'!E:BP,63,0)</f>
        <v>#N/A</v>
      </c>
      <c r="E1037" s="63" t="e">
        <f t="shared" si="95"/>
        <v>#N/A</v>
      </c>
      <c r="F1037" s="63" t="e">
        <f>ROUND(VLOOKUP(C1037,'RAW DATA 2023'!E:BO,23,0),0)</f>
        <v>#N/A</v>
      </c>
      <c r="G1037" s="120" t="e">
        <f>VLOOKUP(C1037,'RAW DATA 2023'!E:BO,26,0)</f>
        <v>#N/A</v>
      </c>
      <c r="H1037" s="101" t="str">
        <f>IFERROR(VLOOKUP(F1037,STD!B:G,6,0),"")</f>
        <v/>
      </c>
      <c r="I1037" s="100">
        <f t="shared" si="96"/>
        <v>0</v>
      </c>
      <c r="J1037" s="249">
        <f t="shared" si="97"/>
        <v>0</v>
      </c>
      <c r="K1037" s="63" t="e">
        <f>VLOOKUP(C1037,'RAW DATA 2023'!E:BO,20,0)</f>
        <v>#N/A</v>
      </c>
      <c r="L1037" s="322" t="e">
        <f t="shared" si="98"/>
        <v>#N/A</v>
      </c>
    </row>
    <row r="1038" spans="1:12" s="63" customFormat="1">
      <c r="A1038" s="63">
        <f>'RAW DATA 2023'!B1031</f>
        <v>0</v>
      </c>
      <c r="B1038" s="63">
        <f>'RAW DATA 2023'!D1031</f>
        <v>0</v>
      </c>
      <c r="C1038" s="63" t="str">
        <f t="shared" si="94"/>
        <v>00</v>
      </c>
      <c r="D1038" s="63" t="e">
        <f>VLOOKUP(C1038,'RAW DATA 2023'!E:BP,63,0)</f>
        <v>#N/A</v>
      </c>
      <c r="E1038" s="63" t="e">
        <f t="shared" si="95"/>
        <v>#N/A</v>
      </c>
      <c r="F1038" s="63" t="e">
        <f>ROUND(VLOOKUP(C1038,'RAW DATA 2023'!E:BO,23,0),0)</f>
        <v>#N/A</v>
      </c>
      <c r="G1038" s="120" t="e">
        <f>VLOOKUP(C1038,'RAW DATA 2023'!E:BO,26,0)</f>
        <v>#N/A</v>
      </c>
      <c r="H1038" s="101" t="str">
        <f>IFERROR(VLOOKUP(F1038,STD!B:G,6,0),"")</f>
        <v/>
      </c>
      <c r="I1038" s="100">
        <f t="shared" si="96"/>
        <v>0</v>
      </c>
      <c r="J1038" s="249">
        <f t="shared" si="97"/>
        <v>0</v>
      </c>
      <c r="K1038" s="63" t="e">
        <f>VLOOKUP(C1038,'RAW DATA 2023'!E:BO,20,0)</f>
        <v>#N/A</v>
      </c>
      <c r="L1038" s="322" t="e">
        <f t="shared" si="98"/>
        <v>#N/A</v>
      </c>
    </row>
    <row r="1039" spans="1:12" s="63" customFormat="1">
      <c r="A1039" s="63">
        <f>'RAW DATA 2023'!B1032</f>
        <v>0</v>
      </c>
      <c r="B1039" s="63">
        <f>'RAW DATA 2023'!D1032</f>
        <v>0</v>
      </c>
      <c r="C1039" s="63" t="str">
        <f t="shared" si="94"/>
        <v>00</v>
      </c>
      <c r="D1039" s="63" t="e">
        <f>VLOOKUP(C1039,'RAW DATA 2023'!E:BP,63,0)</f>
        <v>#N/A</v>
      </c>
      <c r="E1039" s="63" t="e">
        <f t="shared" si="95"/>
        <v>#N/A</v>
      </c>
      <c r="F1039" s="63" t="e">
        <f>ROUND(VLOOKUP(C1039,'RAW DATA 2023'!E:BO,23,0),0)</f>
        <v>#N/A</v>
      </c>
      <c r="G1039" s="120" t="e">
        <f>VLOOKUP(C1039,'RAW DATA 2023'!E:BO,26,0)</f>
        <v>#N/A</v>
      </c>
      <c r="H1039" s="101" t="str">
        <f>IFERROR(VLOOKUP(F1039,STD!B:G,6,0),"")</f>
        <v/>
      </c>
      <c r="I1039" s="100">
        <f t="shared" si="96"/>
        <v>0</v>
      </c>
      <c r="J1039" s="249">
        <f t="shared" si="97"/>
        <v>0</v>
      </c>
      <c r="K1039" s="63" t="e">
        <f>VLOOKUP(C1039,'RAW DATA 2023'!E:BO,20,0)</f>
        <v>#N/A</v>
      </c>
      <c r="L1039" s="322" t="e">
        <f t="shared" si="98"/>
        <v>#N/A</v>
      </c>
    </row>
    <row r="1040" spans="1:12" s="63" customFormat="1">
      <c r="A1040" s="63">
        <f>'RAW DATA 2023'!B1033</f>
        <v>0</v>
      </c>
      <c r="B1040" s="63">
        <f>'RAW DATA 2023'!D1033</f>
        <v>0</v>
      </c>
      <c r="C1040" s="63" t="str">
        <f t="shared" si="94"/>
        <v>00</v>
      </c>
      <c r="D1040" s="63" t="e">
        <f>VLOOKUP(C1040,'RAW DATA 2023'!E:BP,63,0)</f>
        <v>#N/A</v>
      </c>
      <c r="E1040" s="63" t="e">
        <f t="shared" si="95"/>
        <v>#N/A</v>
      </c>
      <c r="F1040" s="63" t="e">
        <f>ROUND(VLOOKUP(C1040,'RAW DATA 2023'!E:BO,23,0),0)</f>
        <v>#N/A</v>
      </c>
      <c r="G1040" s="120" t="e">
        <f>VLOOKUP(C1040,'RAW DATA 2023'!E:BO,26,0)</f>
        <v>#N/A</v>
      </c>
      <c r="H1040" s="101" t="str">
        <f>IFERROR(VLOOKUP(F1040,STD!B:G,6,0),"")</f>
        <v/>
      </c>
      <c r="I1040" s="100">
        <f t="shared" si="96"/>
        <v>0</v>
      </c>
      <c r="J1040" s="249">
        <f t="shared" si="97"/>
        <v>0</v>
      </c>
      <c r="K1040" s="63" t="e">
        <f>VLOOKUP(C1040,'RAW DATA 2023'!E:BO,20,0)</f>
        <v>#N/A</v>
      </c>
      <c r="L1040" s="322" t="e">
        <f t="shared" si="98"/>
        <v>#N/A</v>
      </c>
    </row>
    <row r="1041" spans="1:12" s="63" customFormat="1">
      <c r="A1041" s="63">
        <f>'RAW DATA 2023'!B1034</f>
        <v>0</v>
      </c>
      <c r="B1041" s="63">
        <f>'RAW DATA 2023'!D1034</f>
        <v>0</v>
      </c>
      <c r="C1041" s="63" t="str">
        <f t="shared" si="94"/>
        <v>00</v>
      </c>
      <c r="D1041" s="63" t="e">
        <f>VLOOKUP(C1041,'RAW DATA 2023'!E:BP,63,0)</f>
        <v>#N/A</v>
      </c>
      <c r="E1041" s="63" t="e">
        <f t="shared" si="95"/>
        <v>#N/A</v>
      </c>
      <c r="F1041" s="63" t="e">
        <f>ROUND(VLOOKUP(C1041,'RAW DATA 2023'!E:BO,23,0),0)</f>
        <v>#N/A</v>
      </c>
      <c r="G1041" s="120" t="e">
        <f>VLOOKUP(C1041,'RAW DATA 2023'!E:BO,26,0)</f>
        <v>#N/A</v>
      </c>
      <c r="H1041" s="101" t="str">
        <f>IFERROR(VLOOKUP(F1041,STD!B:G,6,0),"")</f>
        <v/>
      </c>
      <c r="I1041" s="100">
        <f t="shared" si="96"/>
        <v>0</v>
      </c>
      <c r="J1041" s="249">
        <f t="shared" si="97"/>
        <v>0</v>
      </c>
      <c r="K1041" s="63" t="e">
        <f>VLOOKUP(C1041,'RAW DATA 2023'!E:BO,20,0)</f>
        <v>#N/A</v>
      </c>
      <c r="L1041" s="322" t="e">
        <f t="shared" si="98"/>
        <v>#N/A</v>
      </c>
    </row>
    <row r="1042" spans="1:12" s="63" customFormat="1">
      <c r="A1042" s="63">
        <f>'RAW DATA 2023'!B1035</f>
        <v>0</v>
      </c>
      <c r="B1042" s="63">
        <f>'RAW DATA 2023'!D1035</f>
        <v>0</v>
      </c>
      <c r="C1042" s="63" t="str">
        <f t="shared" si="94"/>
        <v>00</v>
      </c>
      <c r="D1042" s="63" t="e">
        <f>VLOOKUP(C1042,'RAW DATA 2023'!E:BP,63,0)</f>
        <v>#N/A</v>
      </c>
      <c r="E1042" s="63" t="e">
        <f t="shared" si="95"/>
        <v>#N/A</v>
      </c>
      <c r="F1042" s="63" t="e">
        <f>ROUND(VLOOKUP(C1042,'RAW DATA 2023'!E:BO,23,0),0)</f>
        <v>#N/A</v>
      </c>
      <c r="G1042" s="120" t="e">
        <f>VLOOKUP(C1042,'RAW DATA 2023'!E:BO,26,0)</f>
        <v>#N/A</v>
      </c>
      <c r="H1042" s="101" t="str">
        <f>IFERROR(VLOOKUP(F1042,STD!B:G,6,0),"")</f>
        <v/>
      </c>
      <c r="I1042" s="100">
        <f t="shared" si="96"/>
        <v>0</v>
      </c>
      <c r="J1042" s="249">
        <f t="shared" si="97"/>
        <v>0</v>
      </c>
      <c r="K1042" s="63" t="e">
        <f>VLOOKUP(C1042,'RAW DATA 2023'!E:BO,20,0)</f>
        <v>#N/A</v>
      </c>
      <c r="L1042" s="322" t="e">
        <f t="shared" si="98"/>
        <v>#N/A</v>
      </c>
    </row>
    <row r="1043" spans="1:12" s="63" customFormat="1">
      <c r="A1043" s="63">
        <f>'RAW DATA 2023'!B1036</f>
        <v>0</v>
      </c>
      <c r="B1043" s="63">
        <f>'RAW DATA 2023'!D1036</f>
        <v>0</v>
      </c>
      <c r="C1043" s="63" t="str">
        <f t="shared" si="94"/>
        <v>00</v>
      </c>
      <c r="D1043" s="63" t="e">
        <f>VLOOKUP(C1043,'RAW DATA 2023'!E:BP,63,0)</f>
        <v>#N/A</v>
      </c>
      <c r="E1043" s="63" t="e">
        <f t="shared" si="95"/>
        <v>#N/A</v>
      </c>
      <c r="F1043" s="63" t="e">
        <f>ROUND(VLOOKUP(C1043,'RAW DATA 2023'!E:BO,23,0),0)</f>
        <v>#N/A</v>
      </c>
      <c r="G1043" s="120" t="e">
        <f>VLOOKUP(C1043,'RAW DATA 2023'!E:BO,26,0)</f>
        <v>#N/A</v>
      </c>
      <c r="H1043" s="101" t="str">
        <f>IFERROR(VLOOKUP(F1043,STD!B:G,6,0),"")</f>
        <v/>
      </c>
      <c r="I1043" s="100">
        <f t="shared" si="96"/>
        <v>0</v>
      </c>
      <c r="J1043" s="249">
        <f t="shared" si="97"/>
        <v>0</v>
      </c>
      <c r="K1043" s="63" t="e">
        <f>VLOOKUP(C1043,'RAW DATA 2023'!E:BO,20,0)</f>
        <v>#N/A</v>
      </c>
      <c r="L1043" s="322" t="e">
        <f t="shared" si="98"/>
        <v>#N/A</v>
      </c>
    </row>
    <row r="1044" spans="1:12" s="63" customFormat="1">
      <c r="A1044" s="63">
        <f>'RAW DATA 2023'!B1037</f>
        <v>0</v>
      </c>
      <c r="B1044" s="63">
        <f>'RAW DATA 2023'!D1037</f>
        <v>0</v>
      </c>
      <c r="C1044" s="63" t="str">
        <f t="shared" si="94"/>
        <v>00</v>
      </c>
      <c r="D1044" s="63" t="e">
        <f>VLOOKUP(C1044,'RAW DATA 2023'!E:BP,63,0)</f>
        <v>#N/A</v>
      </c>
      <c r="E1044" s="63" t="e">
        <f t="shared" si="95"/>
        <v>#N/A</v>
      </c>
      <c r="F1044" s="63" t="e">
        <f>ROUND(VLOOKUP(C1044,'RAW DATA 2023'!E:BO,23,0),0)</f>
        <v>#N/A</v>
      </c>
      <c r="G1044" s="120" t="e">
        <f>VLOOKUP(C1044,'RAW DATA 2023'!E:BO,26,0)</f>
        <v>#N/A</v>
      </c>
      <c r="H1044" s="101" t="str">
        <f>IFERROR(VLOOKUP(F1044,STD!B:G,6,0),"")</f>
        <v/>
      </c>
      <c r="I1044" s="100">
        <f t="shared" si="96"/>
        <v>0</v>
      </c>
      <c r="J1044" s="249">
        <f t="shared" si="97"/>
        <v>0</v>
      </c>
      <c r="K1044" s="63" t="e">
        <f>VLOOKUP(C1044,'RAW DATA 2023'!E:BO,20,0)</f>
        <v>#N/A</v>
      </c>
      <c r="L1044" s="322" t="e">
        <f t="shared" si="98"/>
        <v>#N/A</v>
      </c>
    </row>
    <row r="1045" spans="1:12" s="63" customFormat="1">
      <c r="A1045" s="63">
        <f>'RAW DATA 2023'!B1038</f>
        <v>0</v>
      </c>
      <c r="B1045" s="63">
        <f>'RAW DATA 2023'!D1038</f>
        <v>0</v>
      </c>
      <c r="C1045" s="63" t="str">
        <f t="shared" si="94"/>
        <v>00</v>
      </c>
      <c r="D1045" s="63" t="e">
        <f>VLOOKUP(C1045,'RAW DATA 2023'!E:BP,63,0)</f>
        <v>#N/A</v>
      </c>
      <c r="E1045" s="63" t="e">
        <f t="shared" si="95"/>
        <v>#N/A</v>
      </c>
      <c r="F1045" s="63" t="e">
        <f>ROUND(VLOOKUP(C1045,'RAW DATA 2023'!E:BO,23,0),0)</f>
        <v>#N/A</v>
      </c>
      <c r="G1045" s="120" t="e">
        <f>VLOOKUP(C1045,'RAW DATA 2023'!E:BO,26,0)</f>
        <v>#N/A</v>
      </c>
      <c r="H1045" s="101" t="str">
        <f>IFERROR(VLOOKUP(F1045,STD!B:G,6,0),"")</f>
        <v/>
      </c>
      <c r="I1045" s="100">
        <f t="shared" si="96"/>
        <v>0</v>
      </c>
      <c r="J1045" s="249">
        <f t="shared" si="97"/>
        <v>0</v>
      </c>
      <c r="K1045" s="63" t="e">
        <f>VLOOKUP(C1045,'RAW DATA 2023'!E:BO,20,0)</f>
        <v>#N/A</v>
      </c>
      <c r="L1045" s="322" t="e">
        <f t="shared" si="98"/>
        <v>#N/A</v>
      </c>
    </row>
    <row r="1046" spans="1:12" s="63" customFormat="1">
      <c r="A1046" s="63">
        <f>'RAW DATA 2023'!B1039</f>
        <v>0</v>
      </c>
      <c r="B1046" s="63">
        <f>'RAW DATA 2023'!D1039</f>
        <v>0</v>
      </c>
      <c r="C1046" s="63" t="str">
        <f t="shared" si="94"/>
        <v>00</v>
      </c>
      <c r="D1046" s="63" t="e">
        <f>VLOOKUP(C1046,'RAW DATA 2023'!E:BP,63,0)</f>
        <v>#N/A</v>
      </c>
      <c r="E1046" s="63" t="e">
        <f t="shared" si="95"/>
        <v>#N/A</v>
      </c>
      <c r="F1046" s="63" t="e">
        <f>ROUND(VLOOKUP(C1046,'RAW DATA 2023'!E:BO,23,0),0)</f>
        <v>#N/A</v>
      </c>
      <c r="G1046" s="120" t="e">
        <f>VLOOKUP(C1046,'RAW DATA 2023'!E:BO,26,0)</f>
        <v>#N/A</v>
      </c>
      <c r="H1046" s="101" t="str">
        <f>IFERROR(VLOOKUP(F1046,STD!B:G,6,0),"")</f>
        <v/>
      </c>
      <c r="I1046" s="100">
        <f t="shared" si="96"/>
        <v>0</v>
      </c>
      <c r="J1046" s="249">
        <f t="shared" si="97"/>
        <v>0</v>
      </c>
      <c r="K1046" s="63" t="e">
        <f>VLOOKUP(C1046,'RAW DATA 2023'!E:BO,20,0)</f>
        <v>#N/A</v>
      </c>
      <c r="L1046" s="322" t="e">
        <f t="shared" si="98"/>
        <v>#N/A</v>
      </c>
    </row>
    <row r="1047" spans="1:12" s="63" customFormat="1">
      <c r="A1047" s="63">
        <f>'RAW DATA 2023'!B1040</f>
        <v>0</v>
      </c>
      <c r="B1047" s="63">
        <f>'RAW DATA 2023'!D1040</f>
        <v>0</v>
      </c>
      <c r="C1047" s="63" t="str">
        <f t="shared" si="94"/>
        <v>00</v>
      </c>
      <c r="D1047" s="63" t="e">
        <f>VLOOKUP(C1047,'RAW DATA 2023'!E:BP,63,0)</f>
        <v>#N/A</v>
      </c>
      <c r="E1047" s="63" t="e">
        <f t="shared" si="95"/>
        <v>#N/A</v>
      </c>
      <c r="F1047" s="63" t="e">
        <f>ROUND(VLOOKUP(C1047,'RAW DATA 2023'!E:BO,23,0),0)</f>
        <v>#N/A</v>
      </c>
      <c r="G1047" s="120" t="e">
        <f>VLOOKUP(C1047,'RAW DATA 2023'!E:BO,26,0)</f>
        <v>#N/A</v>
      </c>
      <c r="H1047" s="101" t="str">
        <f>IFERROR(VLOOKUP(F1047,STD!B:G,6,0),"")</f>
        <v/>
      </c>
      <c r="I1047" s="100">
        <f t="shared" si="96"/>
        <v>0</v>
      </c>
      <c r="J1047" s="249">
        <f t="shared" si="97"/>
        <v>0</v>
      </c>
      <c r="K1047" s="63" t="e">
        <f>VLOOKUP(C1047,'RAW DATA 2023'!E:BO,20,0)</f>
        <v>#N/A</v>
      </c>
      <c r="L1047" s="322" t="e">
        <f t="shared" si="98"/>
        <v>#N/A</v>
      </c>
    </row>
    <row r="1048" spans="1:12" s="63" customFormat="1">
      <c r="A1048" s="63">
        <f>'RAW DATA 2023'!B1041</f>
        <v>0</v>
      </c>
      <c r="B1048" s="63">
        <f>'RAW DATA 2023'!D1041</f>
        <v>0</v>
      </c>
      <c r="C1048" s="63" t="str">
        <f t="shared" si="94"/>
        <v>00</v>
      </c>
      <c r="D1048" s="63" t="e">
        <f>VLOOKUP(C1048,'RAW DATA 2023'!E:BP,63,0)</f>
        <v>#N/A</v>
      </c>
      <c r="E1048" s="63" t="e">
        <f t="shared" si="95"/>
        <v>#N/A</v>
      </c>
      <c r="F1048" s="63" t="e">
        <f>ROUND(VLOOKUP(C1048,'RAW DATA 2023'!E:BO,23,0),0)</f>
        <v>#N/A</v>
      </c>
      <c r="G1048" s="120" t="e">
        <f>VLOOKUP(C1048,'RAW DATA 2023'!E:BO,26,0)</f>
        <v>#N/A</v>
      </c>
      <c r="H1048" s="101" t="str">
        <f>IFERROR(VLOOKUP(F1048,STD!B:G,6,0),"")</f>
        <v/>
      </c>
      <c r="I1048" s="100">
        <f t="shared" si="96"/>
        <v>0</v>
      </c>
      <c r="J1048" s="249">
        <f t="shared" si="97"/>
        <v>0</v>
      </c>
      <c r="K1048" s="63" t="e">
        <f>VLOOKUP(C1048,'RAW DATA 2023'!E:BO,20,0)</f>
        <v>#N/A</v>
      </c>
      <c r="L1048" s="322" t="e">
        <f t="shared" si="98"/>
        <v>#N/A</v>
      </c>
    </row>
    <row r="1049" spans="1:12" s="63" customFormat="1">
      <c r="A1049" s="63">
        <f>'RAW DATA 2023'!B1042</f>
        <v>0</v>
      </c>
      <c r="B1049" s="63">
        <f>'RAW DATA 2023'!D1042</f>
        <v>0</v>
      </c>
      <c r="C1049" s="63" t="str">
        <f t="shared" si="94"/>
        <v>00</v>
      </c>
      <c r="D1049" s="63" t="e">
        <f>VLOOKUP(C1049,'RAW DATA 2023'!E:BP,63,0)</f>
        <v>#N/A</v>
      </c>
      <c r="E1049" s="63" t="e">
        <f t="shared" si="95"/>
        <v>#N/A</v>
      </c>
      <c r="F1049" s="63" t="e">
        <f>ROUND(VLOOKUP(C1049,'RAW DATA 2023'!E:BO,23,0),0)</f>
        <v>#N/A</v>
      </c>
      <c r="G1049" s="120" t="e">
        <f>VLOOKUP(C1049,'RAW DATA 2023'!E:BO,26,0)</f>
        <v>#N/A</v>
      </c>
      <c r="H1049" s="101" t="str">
        <f>IFERROR(VLOOKUP(F1049,STD!B:G,6,0),"")</f>
        <v/>
      </c>
      <c r="I1049" s="100">
        <f t="shared" si="96"/>
        <v>0</v>
      </c>
      <c r="J1049" s="249">
        <f t="shared" si="97"/>
        <v>0</v>
      </c>
      <c r="K1049" s="63" t="e">
        <f>VLOOKUP(C1049,'RAW DATA 2023'!E:BO,20,0)</f>
        <v>#N/A</v>
      </c>
      <c r="L1049" s="322" t="e">
        <f t="shared" si="98"/>
        <v>#N/A</v>
      </c>
    </row>
    <row r="1050" spans="1:12" s="63" customFormat="1">
      <c r="A1050" s="63">
        <f>'RAW DATA 2023'!B1043</f>
        <v>0</v>
      </c>
      <c r="B1050" s="63">
        <f>'RAW DATA 2023'!D1043</f>
        <v>0</v>
      </c>
      <c r="C1050" s="63" t="str">
        <f t="shared" si="94"/>
        <v>00</v>
      </c>
      <c r="D1050" s="63" t="e">
        <f>VLOOKUP(C1050,'RAW DATA 2023'!E:BP,63,0)</f>
        <v>#N/A</v>
      </c>
      <c r="E1050" s="63" t="e">
        <f t="shared" si="95"/>
        <v>#N/A</v>
      </c>
      <c r="F1050" s="63" t="e">
        <f>ROUND(VLOOKUP(C1050,'RAW DATA 2023'!E:BO,23,0),0)</f>
        <v>#N/A</v>
      </c>
      <c r="G1050" s="120" t="e">
        <f>VLOOKUP(C1050,'RAW DATA 2023'!E:BO,26,0)</f>
        <v>#N/A</v>
      </c>
      <c r="H1050" s="101" t="str">
        <f>IFERROR(VLOOKUP(F1050,STD!B:G,6,0),"")</f>
        <v/>
      </c>
      <c r="I1050" s="100">
        <f t="shared" si="96"/>
        <v>0</v>
      </c>
      <c r="J1050" s="249">
        <f t="shared" si="97"/>
        <v>0</v>
      </c>
      <c r="K1050" s="63" t="e">
        <f>VLOOKUP(C1050,'RAW DATA 2023'!E:BO,20,0)</f>
        <v>#N/A</v>
      </c>
      <c r="L1050" s="322" t="e">
        <f t="shared" si="98"/>
        <v>#N/A</v>
      </c>
    </row>
    <row r="1051" spans="1:12" s="63" customFormat="1">
      <c r="A1051" s="63">
        <f>'RAW DATA 2023'!B1044</f>
        <v>0</v>
      </c>
      <c r="B1051" s="63">
        <f>'RAW DATA 2023'!D1044</f>
        <v>0</v>
      </c>
      <c r="C1051" s="63" t="str">
        <f t="shared" si="94"/>
        <v>00</v>
      </c>
      <c r="D1051" s="63" t="e">
        <f>VLOOKUP(C1051,'RAW DATA 2023'!E:BP,63,0)</f>
        <v>#N/A</v>
      </c>
      <c r="E1051" s="63" t="e">
        <f t="shared" si="95"/>
        <v>#N/A</v>
      </c>
      <c r="F1051" s="63" t="e">
        <f>ROUND(VLOOKUP(C1051,'RAW DATA 2023'!E:BO,23,0),0)</f>
        <v>#N/A</v>
      </c>
      <c r="G1051" s="120" t="e">
        <f>VLOOKUP(C1051,'RAW DATA 2023'!E:BO,26,0)</f>
        <v>#N/A</v>
      </c>
      <c r="H1051" s="101" t="str">
        <f>IFERROR(VLOOKUP(F1051,STD!B:G,6,0),"")</f>
        <v/>
      </c>
      <c r="I1051" s="100">
        <f t="shared" si="96"/>
        <v>0</v>
      </c>
      <c r="J1051" s="249">
        <f t="shared" si="97"/>
        <v>0</v>
      </c>
      <c r="K1051" s="63" t="e">
        <f>VLOOKUP(C1051,'RAW DATA 2023'!E:BO,20,0)</f>
        <v>#N/A</v>
      </c>
      <c r="L1051" s="322" t="e">
        <f t="shared" si="98"/>
        <v>#N/A</v>
      </c>
    </row>
    <row r="1052" spans="1:12" s="63" customFormat="1">
      <c r="A1052" s="63">
        <f>'RAW DATA 2023'!B1045</f>
        <v>0</v>
      </c>
      <c r="B1052" s="63">
        <f>'RAW DATA 2023'!D1045</f>
        <v>0</v>
      </c>
      <c r="C1052" s="63" t="str">
        <f t="shared" si="94"/>
        <v>00</v>
      </c>
      <c r="D1052" s="63" t="e">
        <f>VLOOKUP(C1052,'RAW DATA 2023'!E:BP,63,0)</f>
        <v>#N/A</v>
      </c>
      <c r="E1052" s="63" t="e">
        <f t="shared" si="95"/>
        <v>#N/A</v>
      </c>
      <c r="F1052" s="63" t="e">
        <f>ROUND(VLOOKUP(C1052,'RAW DATA 2023'!E:BO,23,0),0)</f>
        <v>#N/A</v>
      </c>
      <c r="G1052" s="120" t="e">
        <f>VLOOKUP(C1052,'RAW DATA 2023'!E:BO,26,0)</f>
        <v>#N/A</v>
      </c>
      <c r="H1052" s="101" t="str">
        <f>IFERROR(VLOOKUP(F1052,STD!B:G,6,0),"")</f>
        <v/>
      </c>
      <c r="I1052" s="100">
        <f t="shared" si="96"/>
        <v>0</v>
      </c>
      <c r="J1052" s="249">
        <f t="shared" si="97"/>
        <v>0</v>
      </c>
      <c r="K1052" s="63" t="e">
        <f>VLOOKUP(C1052,'RAW DATA 2023'!E:BO,20,0)</f>
        <v>#N/A</v>
      </c>
      <c r="L1052" s="322" t="e">
        <f t="shared" si="98"/>
        <v>#N/A</v>
      </c>
    </row>
    <row r="1053" spans="1:12" s="63" customFormat="1">
      <c r="A1053" s="63">
        <f>'RAW DATA 2023'!B1046</f>
        <v>0</v>
      </c>
      <c r="B1053" s="63">
        <f>'RAW DATA 2023'!D1046</f>
        <v>0</v>
      </c>
      <c r="C1053" s="63" t="str">
        <f t="shared" si="94"/>
        <v>00</v>
      </c>
      <c r="D1053" s="63" t="e">
        <f>VLOOKUP(C1053,'RAW DATA 2023'!E:BP,63,0)</f>
        <v>#N/A</v>
      </c>
      <c r="E1053" s="63" t="e">
        <f t="shared" si="95"/>
        <v>#N/A</v>
      </c>
      <c r="F1053" s="63" t="e">
        <f>ROUND(VLOOKUP(C1053,'RAW DATA 2023'!E:BO,23,0),0)</f>
        <v>#N/A</v>
      </c>
      <c r="G1053" s="120" t="e">
        <f>VLOOKUP(C1053,'RAW DATA 2023'!E:BO,26,0)</f>
        <v>#N/A</v>
      </c>
      <c r="H1053" s="101" t="str">
        <f>IFERROR(VLOOKUP(F1053,STD!B:G,6,0),"")</f>
        <v/>
      </c>
      <c r="I1053" s="100">
        <f t="shared" si="96"/>
        <v>0</v>
      </c>
      <c r="J1053" s="249">
        <f t="shared" si="97"/>
        <v>0</v>
      </c>
      <c r="K1053" s="63" t="e">
        <f>VLOOKUP(C1053,'RAW DATA 2023'!E:BO,20,0)</f>
        <v>#N/A</v>
      </c>
      <c r="L1053" s="322" t="e">
        <f t="shared" si="98"/>
        <v>#N/A</v>
      </c>
    </row>
    <row r="1054" spans="1:12" s="63" customFormat="1">
      <c r="A1054" s="63">
        <f>'RAW DATA 2023'!B1047</f>
        <v>0</v>
      </c>
      <c r="B1054" s="63">
        <f>'RAW DATA 2023'!D1047</f>
        <v>0</v>
      </c>
      <c r="C1054" s="63" t="str">
        <f t="shared" si="94"/>
        <v>00</v>
      </c>
      <c r="D1054" s="63" t="e">
        <f>VLOOKUP(C1054,'RAW DATA 2023'!E:BP,63,0)</f>
        <v>#N/A</v>
      </c>
      <c r="E1054" s="63" t="e">
        <f t="shared" si="95"/>
        <v>#N/A</v>
      </c>
      <c r="F1054" s="63" t="e">
        <f>ROUND(VLOOKUP(C1054,'RAW DATA 2023'!E:BO,23,0),0)</f>
        <v>#N/A</v>
      </c>
      <c r="G1054" s="120" t="e">
        <f>VLOOKUP(C1054,'RAW DATA 2023'!E:BO,26,0)</f>
        <v>#N/A</v>
      </c>
      <c r="H1054" s="101" t="str">
        <f>IFERROR(VLOOKUP(F1054,STD!B:G,6,0),"")</f>
        <v/>
      </c>
      <c r="I1054" s="100">
        <f t="shared" si="96"/>
        <v>0</v>
      </c>
      <c r="J1054" s="249">
        <f t="shared" si="97"/>
        <v>0</v>
      </c>
      <c r="K1054" s="63" t="e">
        <f>VLOOKUP(C1054,'RAW DATA 2023'!E:BO,20,0)</f>
        <v>#N/A</v>
      </c>
      <c r="L1054" s="322" t="e">
        <f t="shared" si="98"/>
        <v>#N/A</v>
      </c>
    </row>
    <row r="1055" spans="1:12" s="63" customFormat="1">
      <c r="A1055" s="63">
        <f>'RAW DATA 2023'!B1048</f>
        <v>0</v>
      </c>
      <c r="B1055" s="63">
        <f>'RAW DATA 2023'!D1048</f>
        <v>0</v>
      </c>
      <c r="C1055" s="63" t="str">
        <f t="shared" si="94"/>
        <v>00</v>
      </c>
      <c r="D1055" s="63" t="e">
        <f>VLOOKUP(C1055,'RAW DATA 2023'!E:BP,63,0)</f>
        <v>#N/A</v>
      </c>
      <c r="E1055" s="63" t="e">
        <f t="shared" si="95"/>
        <v>#N/A</v>
      </c>
      <c r="F1055" s="63" t="e">
        <f>ROUND(VLOOKUP(C1055,'RAW DATA 2023'!E:BO,23,0),0)</f>
        <v>#N/A</v>
      </c>
      <c r="G1055" s="120" t="e">
        <f>VLOOKUP(C1055,'RAW DATA 2023'!E:BO,26,0)</f>
        <v>#N/A</v>
      </c>
      <c r="H1055" s="101" t="str">
        <f>IFERROR(VLOOKUP(F1055,STD!B:G,6,0),"")</f>
        <v/>
      </c>
      <c r="I1055" s="100">
        <f t="shared" si="96"/>
        <v>0</v>
      </c>
      <c r="J1055" s="249">
        <f t="shared" si="97"/>
        <v>0</v>
      </c>
      <c r="K1055" s="63" t="e">
        <f>VLOOKUP(C1055,'RAW DATA 2023'!E:BO,20,0)</f>
        <v>#N/A</v>
      </c>
      <c r="L1055" s="322" t="e">
        <f t="shared" si="98"/>
        <v>#N/A</v>
      </c>
    </row>
    <row r="1056" spans="1:12" s="63" customFormat="1">
      <c r="A1056" s="63">
        <f>'RAW DATA 2023'!B1049</f>
        <v>0</v>
      </c>
      <c r="B1056" s="63">
        <f>'RAW DATA 2023'!D1049</f>
        <v>0</v>
      </c>
      <c r="C1056" s="63" t="str">
        <f t="shared" si="94"/>
        <v>00</v>
      </c>
      <c r="D1056" s="63" t="e">
        <f>VLOOKUP(C1056,'RAW DATA 2023'!E:BP,63,0)</f>
        <v>#N/A</v>
      </c>
      <c r="E1056" s="63" t="e">
        <f t="shared" si="95"/>
        <v>#N/A</v>
      </c>
      <c r="F1056" s="63" t="e">
        <f>ROUND(VLOOKUP(C1056,'RAW DATA 2023'!E:BO,23,0),0)</f>
        <v>#N/A</v>
      </c>
      <c r="G1056" s="120" t="e">
        <f>VLOOKUP(C1056,'RAW DATA 2023'!E:BO,26,0)</f>
        <v>#N/A</v>
      </c>
      <c r="H1056" s="101" t="str">
        <f>IFERROR(VLOOKUP(F1056,STD!B:G,6,0),"")</f>
        <v/>
      </c>
      <c r="I1056" s="100">
        <f t="shared" si="96"/>
        <v>0</v>
      </c>
      <c r="J1056" s="249">
        <f t="shared" si="97"/>
        <v>0</v>
      </c>
      <c r="K1056" s="63" t="e">
        <f>VLOOKUP(C1056,'RAW DATA 2023'!E:BO,20,0)</f>
        <v>#N/A</v>
      </c>
      <c r="L1056" s="322" t="e">
        <f t="shared" si="98"/>
        <v>#N/A</v>
      </c>
    </row>
    <row r="1057" spans="1:12" s="63" customFormat="1">
      <c r="A1057" s="63">
        <f>'RAW DATA 2023'!B1050</f>
        <v>0</v>
      </c>
      <c r="B1057" s="63">
        <f>'RAW DATA 2023'!D1050</f>
        <v>0</v>
      </c>
      <c r="C1057" s="63" t="str">
        <f t="shared" si="94"/>
        <v>00</v>
      </c>
      <c r="D1057" s="63" t="e">
        <f>VLOOKUP(C1057,'RAW DATA 2023'!E:BP,63,0)</f>
        <v>#N/A</v>
      </c>
      <c r="E1057" s="63" t="e">
        <f t="shared" si="95"/>
        <v>#N/A</v>
      </c>
      <c r="F1057" s="63" t="e">
        <f>ROUND(VLOOKUP(C1057,'RAW DATA 2023'!E:BO,23,0),0)</f>
        <v>#N/A</v>
      </c>
      <c r="G1057" s="120" t="e">
        <f>VLOOKUP(C1057,'RAW DATA 2023'!E:BO,26,0)</f>
        <v>#N/A</v>
      </c>
      <c r="H1057" s="101" t="str">
        <f>IFERROR(VLOOKUP(F1057,STD!B:G,6,0),"")</f>
        <v/>
      </c>
      <c r="I1057" s="100">
        <f t="shared" si="96"/>
        <v>0</v>
      </c>
      <c r="J1057" s="249">
        <f t="shared" si="97"/>
        <v>0</v>
      </c>
      <c r="K1057" s="63" t="e">
        <f>VLOOKUP(C1057,'RAW DATA 2023'!E:BO,20,0)</f>
        <v>#N/A</v>
      </c>
      <c r="L1057" s="322" t="e">
        <f t="shared" si="98"/>
        <v>#N/A</v>
      </c>
    </row>
    <row r="1058" spans="1:12" s="63" customFormat="1">
      <c r="A1058" s="63">
        <f>'RAW DATA 2023'!B1051</f>
        <v>0</v>
      </c>
      <c r="B1058" s="63">
        <f>'RAW DATA 2023'!D1051</f>
        <v>0</v>
      </c>
      <c r="C1058" s="63" t="str">
        <f t="shared" si="94"/>
        <v>00</v>
      </c>
      <c r="D1058" s="63" t="e">
        <f>VLOOKUP(C1058,'RAW DATA 2023'!E:BP,63,0)</f>
        <v>#N/A</v>
      </c>
      <c r="E1058" s="63" t="e">
        <f t="shared" si="95"/>
        <v>#N/A</v>
      </c>
      <c r="F1058" s="63" t="e">
        <f>ROUND(VLOOKUP(C1058,'RAW DATA 2023'!E:BO,23,0),0)</f>
        <v>#N/A</v>
      </c>
      <c r="G1058" s="120" t="e">
        <f>VLOOKUP(C1058,'RAW DATA 2023'!E:BO,26,0)</f>
        <v>#N/A</v>
      </c>
      <c r="H1058" s="101" t="str">
        <f>IFERROR(VLOOKUP(F1058,STD!B:G,6,0),"")</f>
        <v/>
      </c>
      <c r="I1058" s="100">
        <f t="shared" si="96"/>
        <v>0</v>
      </c>
      <c r="J1058" s="249">
        <f t="shared" si="97"/>
        <v>0</v>
      </c>
      <c r="K1058" s="63" t="e">
        <f>VLOOKUP(C1058,'RAW DATA 2023'!E:BO,20,0)</f>
        <v>#N/A</v>
      </c>
      <c r="L1058" s="322" t="e">
        <f t="shared" si="98"/>
        <v>#N/A</v>
      </c>
    </row>
    <row r="1059" spans="1:12" s="63" customFormat="1">
      <c r="A1059" s="63">
        <f>'RAW DATA 2023'!B1052</f>
        <v>0</v>
      </c>
      <c r="B1059" s="63">
        <f>'RAW DATA 2023'!D1052</f>
        <v>0</v>
      </c>
      <c r="C1059" s="63" t="str">
        <f t="shared" si="94"/>
        <v>00</v>
      </c>
      <c r="D1059" s="63" t="e">
        <f>VLOOKUP(C1059,'RAW DATA 2023'!E:BP,63,0)</f>
        <v>#N/A</v>
      </c>
      <c r="E1059" s="63" t="e">
        <f t="shared" si="95"/>
        <v>#N/A</v>
      </c>
      <c r="F1059" s="63" t="e">
        <f>ROUND(VLOOKUP(C1059,'RAW DATA 2023'!E:BO,23,0),0)</f>
        <v>#N/A</v>
      </c>
      <c r="G1059" s="120" t="e">
        <f>VLOOKUP(C1059,'RAW DATA 2023'!E:BO,26,0)</f>
        <v>#N/A</v>
      </c>
      <c r="H1059" s="101" t="str">
        <f>IFERROR(VLOOKUP(F1059,STD!B:G,6,0),"")</f>
        <v/>
      </c>
      <c r="I1059" s="100">
        <f t="shared" si="96"/>
        <v>0</v>
      </c>
      <c r="J1059" s="249">
        <f t="shared" si="97"/>
        <v>0</v>
      </c>
      <c r="K1059" s="63" t="e">
        <f>VLOOKUP(C1059,'RAW DATA 2023'!E:BO,20,0)</f>
        <v>#N/A</v>
      </c>
      <c r="L1059" s="322" t="e">
        <f t="shared" si="98"/>
        <v>#N/A</v>
      </c>
    </row>
    <row r="1060" spans="1:12" s="63" customFormat="1">
      <c r="A1060" s="63">
        <f>'RAW DATA 2023'!B1053</f>
        <v>0</v>
      </c>
      <c r="B1060" s="63">
        <f>'RAW DATA 2023'!D1053</f>
        <v>0</v>
      </c>
      <c r="C1060" s="63" t="str">
        <f t="shared" si="94"/>
        <v>00</v>
      </c>
      <c r="D1060" s="63" t="e">
        <f>VLOOKUP(C1060,'RAW DATA 2023'!E:BP,63,0)</f>
        <v>#N/A</v>
      </c>
      <c r="E1060" s="63" t="e">
        <f t="shared" si="95"/>
        <v>#N/A</v>
      </c>
      <c r="F1060" s="63" t="e">
        <f>ROUND(VLOOKUP(C1060,'RAW DATA 2023'!E:BO,23,0),0)</f>
        <v>#N/A</v>
      </c>
      <c r="G1060" s="120" t="e">
        <f>VLOOKUP(C1060,'RAW DATA 2023'!E:BO,26,0)</f>
        <v>#N/A</v>
      </c>
      <c r="H1060" s="101" t="str">
        <f>IFERROR(VLOOKUP(F1060,STD!B:G,6,0),"")</f>
        <v/>
      </c>
      <c r="I1060" s="100">
        <f t="shared" si="96"/>
        <v>0</v>
      </c>
      <c r="J1060" s="249">
        <f t="shared" si="97"/>
        <v>0</v>
      </c>
      <c r="K1060" s="63" t="e">
        <f>VLOOKUP(C1060,'RAW DATA 2023'!E:BO,20,0)</f>
        <v>#N/A</v>
      </c>
      <c r="L1060" s="322" t="e">
        <f t="shared" si="98"/>
        <v>#N/A</v>
      </c>
    </row>
    <row r="1061" spans="1:12" s="63" customFormat="1">
      <c r="A1061" s="63">
        <f>'RAW DATA 2023'!B1054</f>
        <v>0</v>
      </c>
      <c r="B1061" s="63">
        <f>'RAW DATA 2023'!D1054</f>
        <v>0</v>
      </c>
      <c r="C1061" s="63" t="str">
        <f t="shared" si="94"/>
        <v>00</v>
      </c>
      <c r="D1061" s="63" t="e">
        <f>VLOOKUP(C1061,'RAW DATA 2023'!E:BP,63,0)</f>
        <v>#N/A</v>
      </c>
      <c r="E1061" s="63" t="e">
        <f t="shared" si="95"/>
        <v>#N/A</v>
      </c>
      <c r="F1061" s="63" t="e">
        <f>ROUND(VLOOKUP(C1061,'RAW DATA 2023'!E:BO,23,0),0)</f>
        <v>#N/A</v>
      </c>
      <c r="G1061" s="120" t="e">
        <f>VLOOKUP(C1061,'RAW DATA 2023'!E:BO,26,0)</f>
        <v>#N/A</v>
      </c>
      <c r="H1061" s="101" t="str">
        <f>IFERROR(VLOOKUP(F1061,STD!B:G,6,0),"")</f>
        <v/>
      </c>
      <c r="I1061" s="100">
        <f t="shared" si="96"/>
        <v>0</v>
      </c>
      <c r="J1061" s="249">
        <f t="shared" si="97"/>
        <v>0</v>
      </c>
      <c r="K1061" s="63" t="e">
        <f>VLOOKUP(C1061,'RAW DATA 2023'!E:BO,20,0)</f>
        <v>#N/A</v>
      </c>
      <c r="L1061" s="322" t="e">
        <f t="shared" si="98"/>
        <v>#N/A</v>
      </c>
    </row>
    <row r="1062" spans="1:12" s="63" customFormat="1">
      <c r="A1062" s="63">
        <f>'RAW DATA 2023'!B1055</f>
        <v>0</v>
      </c>
      <c r="B1062" s="63">
        <f>'RAW DATA 2023'!D1055</f>
        <v>0</v>
      </c>
      <c r="C1062" s="63" t="str">
        <f t="shared" si="94"/>
        <v>00</v>
      </c>
      <c r="D1062" s="63" t="e">
        <f>VLOOKUP(C1062,'RAW DATA 2023'!E:BP,63,0)</f>
        <v>#N/A</v>
      </c>
      <c r="E1062" s="63" t="e">
        <f t="shared" si="95"/>
        <v>#N/A</v>
      </c>
      <c r="F1062" s="63" t="e">
        <f>ROUND(VLOOKUP(C1062,'RAW DATA 2023'!E:BO,23,0),0)</f>
        <v>#N/A</v>
      </c>
      <c r="G1062" s="120" t="e">
        <f>VLOOKUP(C1062,'RAW DATA 2023'!E:BO,26,0)</f>
        <v>#N/A</v>
      </c>
      <c r="H1062" s="101" t="str">
        <f>IFERROR(VLOOKUP(F1062,STD!B:G,6,0),"")</f>
        <v/>
      </c>
      <c r="I1062" s="100">
        <f t="shared" si="96"/>
        <v>0</v>
      </c>
      <c r="J1062" s="249">
        <f t="shared" si="97"/>
        <v>0</v>
      </c>
      <c r="K1062" s="63" t="e">
        <f>VLOOKUP(C1062,'RAW DATA 2023'!E:BO,20,0)</f>
        <v>#N/A</v>
      </c>
      <c r="L1062" s="322" t="e">
        <f t="shared" si="98"/>
        <v>#N/A</v>
      </c>
    </row>
    <row r="1063" spans="1:12" s="63" customFormat="1">
      <c r="A1063" s="63">
        <f>'RAW DATA 2023'!B1056</f>
        <v>0</v>
      </c>
      <c r="B1063" s="63">
        <f>'RAW DATA 2023'!D1056</f>
        <v>0</v>
      </c>
      <c r="C1063" s="63" t="str">
        <f t="shared" si="94"/>
        <v>00</v>
      </c>
      <c r="D1063" s="63" t="e">
        <f>VLOOKUP(C1063,'RAW DATA 2023'!E:BP,63,0)</f>
        <v>#N/A</v>
      </c>
      <c r="E1063" s="63" t="e">
        <f t="shared" si="95"/>
        <v>#N/A</v>
      </c>
      <c r="F1063" s="63" t="e">
        <f>ROUND(VLOOKUP(C1063,'RAW DATA 2023'!E:BO,23,0),0)</f>
        <v>#N/A</v>
      </c>
      <c r="G1063" s="120" t="e">
        <f>VLOOKUP(C1063,'RAW DATA 2023'!E:BO,26,0)</f>
        <v>#N/A</v>
      </c>
      <c r="H1063" s="101" t="str">
        <f>IFERROR(VLOOKUP(F1063,STD!B:G,6,0),"")</f>
        <v/>
      </c>
      <c r="I1063" s="100">
        <f t="shared" si="96"/>
        <v>0</v>
      </c>
      <c r="J1063" s="249">
        <f t="shared" si="97"/>
        <v>0</v>
      </c>
      <c r="K1063" s="63" t="e">
        <f>VLOOKUP(C1063,'RAW DATA 2023'!E:BO,20,0)</f>
        <v>#N/A</v>
      </c>
      <c r="L1063" s="322" t="e">
        <f t="shared" si="98"/>
        <v>#N/A</v>
      </c>
    </row>
    <row r="1064" spans="1:12" s="63" customFormat="1">
      <c r="A1064" s="63">
        <f>'RAW DATA 2023'!B1057</f>
        <v>0</v>
      </c>
      <c r="B1064" s="63">
        <f>'RAW DATA 2023'!D1057</f>
        <v>0</v>
      </c>
      <c r="C1064" s="63" t="str">
        <f t="shared" si="94"/>
        <v>00</v>
      </c>
      <c r="D1064" s="63" t="e">
        <f>VLOOKUP(C1064,'RAW DATA 2023'!E:BP,63,0)</f>
        <v>#N/A</v>
      </c>
      <c r="E1064" s="63" t="e">
        <f t="shared" si="95"/>
        <v>#N/A</v>
      </c>
      <c r="F1064" s="63" t="e">
        <f>ROUND(VLOOKUP(C1064,'RAW DATA 2023'!E:BO,23,0),0)</f>
        <v>#N/A</v>
      </c>
      <c r="G1064" s="120" t="e">
        <f>VLOOKUP(C1064,'RAW DATA 2023'!E:BO,26,0)</f>
        <v>#N/A</v>
      </c>
      <c r="H1064" s="101" t="str">
        <f>IFERROR(VLOOKUP(F1064,STD!B:G,6,0),"")</f>
        <v/>
      </c>
      <c r="I1064" s="100">
        <f t="shared" si="96"/>
        <v>0</v>
      </c>
      <c r="J1064" s="249">
        <f t="shared" si="97"/>
        <v>0</v>
      </c>
      <c r="K1064" s="63" t="e">
        <f>VLOOKUP(C1064,'RAW DATA 2023'!E:BO,20,0)</f>
        <v>#N/A</v>
      </c>
      <c r="L1064" s="322" t="e">
        <f t="shared" si="98"/>
        <v>#N/A</v>
      </c>
    </row>
    <row r="1065" spans="1:12" s="63" customFormat="1">
      <c r="A1065" s="63">
        <f>'RAW DATA 2023'!B1058</f>
        <v>0</v>
      </c>
      <c r="B1065" s="63">
        <f>'RAW DATA 2023'!D1058</f>
        <v>0</v>
      </c>
      <c r="C1065" s="63" t="str">
        <f t="shared" si="94"/>
        <v>00</v>
      </c>
      <c r="D1065" s="63" t="e">
        <f>VLOOKUP(C1065,'RAW DATA 2023'!E:BP,63,0)</f>
        <v>#N/A</v>
      </c>
      <c r="E1065" s="63" t="e">
        <f t="shared" si="95"/>
        <v>#N/A</v>
      </c>
      <c r="F1065" s="63" t="e">
        <f>ROUND(VLOOKUP(C1065,'RAW DATA 2023'!E:BO,23,0),0)</f>
        <v>#N/A</v>
      </c>
      <c r="G1065" s="120" t="e">
        <f>VLOOKUP(C1065,'RAW DATA 2023'!E:BO,26,0)</f>
        <v>#N/A</v>
      </c>
      <c r="H1065" s="101" t="str">
        <f>IFERROR(VLOOKUP(F1065,STD!B:G,6,0),"")</f>
        <v/>
      </c>
      <c r="I1065" s="100">
        <f t="shared" si="96"/>
        <v>0</v>
      </c>
      <c r="J1065" s="249">
        <f t="shared" si="97"/>
        <v>0</v>
      </c>
      <c r="K1065" s="63" t="e">
        <f>VLOOKUP(C1065,'RAW DATA 2023'!E:BO,20,0)</f>
        <v>#N/A</v>
      </c>
      <c r="L1065" s="322" t="e">
        <f t="shared" si="98"/>
        <v>#N/A</v>
      </c>
    </row>
    <row r="1066" spans="1:12" s="63" customFormat="1">
      <c r="A1066" s="63">
        <f>'RAW DATA 2023'!B1059</f>
        <v>0</v>
      </c>
      <c r="B1066" s="63">
        <f>'RAW DATA 2023'!D1059</f>
        <v>0</v>
      </c>
      <c r="C1066" s="63" t="str">
        <f t="shared" si="94"/>
        <v>00</v>
      </c>
      <c r="D1066" s="63" t="e">
        <f>VLOOKUP(C1066,'RAW DATA 2023'!E:BP,63,0)</f>
        <v>#N/A</v>
      </c>
      <c r="E1066" s="63" t="e">
        <f t="shared" si="95"/>
        <v>#N/A</v>
      </c>
      <c r="F1066" s="63" t="e">
        <f>ROUND(VLOOKUP(C1066,'RAW DATA 2023'!E:BO,23,0),0)</f>
        <v>#N/A</v>
      </c>
      <c r="G1066" s="120" t="e">
        <f>VLOOKUP(C1066,'RAW DATA 2023'!E:BO,26,0)</f>
        <v>#N/A</v>
      </c>
      <c r="H1066" s="101" t="str">
        <f>IFERROR(VLOOKUP(F1066,STD!B:G,6,0),"")</f>
        <v/>
      </c>
      <c r="I1066" s="100">
        <f t="shared" si="96"/>
        <v>0</v>
      </c>
      <c r="J1066" s="249">
        <f t="shared" si="97"/>
        <v>0</v>
      </c>
      <c r="K1066" s="63" t="e">
        <f>VLOOKUP(C1066,'RAW DATA 2023'!E:BO,20,0)</f>
        <v>#N/A</v>
      </c>
      <c r="L1066" s="322" t="e">
        <f t="shared" si="98"/>
        <v>#N/A</v>
      </c>
    </row>
    <row r="1067" spans="1:12" s="63" customFormat="1">
      <c r="A1067" s="63">
        <f>'RAW DATA 2023'!B1060</f>
        <v>0</v>
      </c>
      <c r="B1067" s="63">
        <f>'RAW DATA 2023'!D1060</f>
        <v>0</v>
      </c>
      <c r="C1067" s="63" t="str">
        <f t="shared" si="94"/>
        <v>00</v>
      </c>
      <c r="D1067" s="63" t="e">
        <f>VLOOKUP(C1067,'RAW DATA 2023'!E:BP,63,0)</f>
        <v>#N/A</v>
      </c>
      <c r="E1067" s="63" t="e">
        <f t="shared" si="95"/>
        <v>#N/A</v>
      </c>
      <c r="F1067" s="63" t="e">
        <f>ROUND(VLOOKUP(C1067,'RAW DATA 2023'!E:BO,23,0),0)</f>
        <v>#N/A</v>
      </c>
      <c r="G1067" s="120" t="e">
        <f>VLOOKUP(C1067,'RAW DATA 2023'!E:BO,26,0)</f>
        <v>#N/A</v>
      </c>
      <c r="H1067" s="101" t="str">
        <f>IFERROR(VLOOKUP(F1067,STD!B:G,6,0),"")</f>
        <v/>
      </c>
      <c r="I1067" s="100">
        <f t="shared" si="96"/>
        <v>0</v>
      </c>
      <c r="J1067" s="249">
        <f t="shared" si="97"/>
        <v>0</v>
      </c>
      <c r="K1067" s="63" t="e">
        <f>VLOOKUP(C1067,'RAW DATA 2023'!E:BO,20,0)</f>
        <v>#N/A</v>
      </c>
      <c r="L1067" s="322" t="e">
        <f t="shared" si="98"/>
        <v>#N/A</v>
      </c>
    </row>
    <row r="1068" spans="1:12" s="63" customFormat="1">
      <c r="A1068" s="63">
        <f>'RAW DATA 2023'!B1061</f>
        <v>0</v>
      </c>
      <c r="B1068" s="63">
        <f>'RAW DATA 2023'!D1061</f>
        <v>0</v>
      </c>
      <c r="C1068" s="63" t="str">
        <f t="shared" si="94"/>
        <v>00</v>
      </c>
      <c r="D1068" s="63" t="e">
        <f>VLOOKUP(C1068,'RAW DATA 2023'!E:BP,63,0)</f>
        <v>#N/A</v>
      </c>
      <c r="E1068" s="63" t="e">
        <f t="shared" si="95"/>
        <v>#N/A</v>
      </c>
      <c r="F1068" s="63" t="e">
        <f>ROUND(VLOOKUP(C1068,'RAW DATA 2023'!E:BO,23,0),0)</f>
        <v>#N/A</v>
      </c>
      <c r="G1068" s="120" t="e">
        <f>VLOOKUP(C1068,'RAW DATA 2023'!E:BO,26,0)</f>
        <v>#N/A</v>
      </c>
      <c r="H1068" s="101" t="str">
        <f>IFERROR(VLOOKUP(F1068,STD!B:G,6,0),"")</f>
        <v/>
      </c>
      <c r="I1068" s="100">
        <f t="shared" si="96"/>
        <v>0</v>
      </c>
      <c r="J1068" s="249">
        <f t="shared" si="97"/>
        <v>0</v>
      </c>
      <c r="K1068" s="63" t="e">
        <f>VLOOKUP(C1068,'RAW DATA 2023'!E:BO,20,0)</f>
        <v>#N/A</v>
      </c>
      <c r="L1068" s="322" t="e">
        <f t="shared" si="98"/>
        <v>#N/A</v>
      </c>
    </row>
    <row r="1069" spans="1:12" s="63" customFormat="1">
      <c r="A1069" s="63">
        <f>'RAW DATA 2023'!B1062</f>
        <v>0</v>
      </c>
      <c r="B1069" s="63">
        <f>'RAW DATA 2023'!D1062</f>
        <v>0</v>
      </c>
      <c r="C1069" s="63" t="str">
        <f t="shared" si="94"/>
        <v>00</v>
      </c>
      <c r="D1069" s="63" t="e">
        <f>VLOOKUP(C1069,'RAW DATA 2023'!E:BP,63,0)</f>
        <v>#N/A</v>
      </c>
      <c r="E1069" s="63" t="e">
        <f t="shared" si="95"/>
        <v>#N/A</v>
      </c>
      <c r="F1069" s="63" t="e">
        <f>ROUND(VLOOKUP(C1069,'RAW DATA 2023'!E:BO,23,0),0)</f>
        <v>#N/A</v>
      </c>
      <c r="G1069" s="120" t="e">
        <f>VLOOKUP(C1069,'RAW DATA 2023'!E:BO,26,0)</f>
        <v>#N/A</v>
      </c>
      <c r="H1069" s="101" t="str">
        <f>IFERROR(VLOOKUP(F1069,STD!B:G,6,0),"")</f>
        <v/>
      </c>
      <c r="I1069" s="100">
        <f t="shared" si="96"/>
        <v>0</v>
      </c>
      <c r="J1069" s="249">
        <f t="shared" si="97"/>
        <v>0</v>
      </c>
      <c r="K1069" s="63" t="e">
        <f>VLOOKUP(C1069,'RAW DATA 2023'!E:BO,20,0)</f>
        <v>#N/A</v>
      </c>
      <c r="L1069" s="322" t="e">
        <f t="shared" si="98"/>
        <v>#N/A</v>
      </c>
    </row>
    <row r="1070" spans="1:12" s="63" customFormat="1">
      <c r="A1070" s="63">
        <f>'RAW DATA 2023'!B1063</f>
        <v>0</v>
      </c>
      <c r="B1070" s="63">
        <f>'RAW DATA 2023'!D1063</f>
        <v>0</v>
      </c>
      <c r="C1070" s="63" t="str">
        <f t="shared" si="94"/>
        <v>00</v>
      </c>
      <c r="D1070" s="63" t="e">
        <f>VLOOKUP(C1070,'RAW DATA 2023'!E:BP,63,0)</f>
        <v>#N/A</v>
      </c>
      <c r="E1070" s="63" t="e">
        <f t="shared" si="95"/>
        <v>#N/A</v>
      </c>
      <c r="F1070" s="63" t="e">
        <f>ROUND(VLOOKUP(C1070,'RAW DATA 2023'!E:BO,23,0),0)</f>
        <v>#N/A</v>
      </c>
      <c r="G1070" s="120" t="e">
        <f>VLOOKUP(C1070,'RAW DATA 2023'!E:BO,26,0)</f>
        <v>#N/A</v>
      </c>
      <c r="H1070" s="101" t="str">
        <f>IFERROR(VLOOKUP(F1070,STD!B:G,6,0),"")</f>
        <v/>
      </c>
      <c r="I1070" s="100">
        <f t="shared" si="96"/>
        <v>0</v>
      </c>
      <c r="J1070" s="249">
        <f t="shared" si="97"/>
        <v>0</v>
      </c>
      <c r="K1070" s="63" t="e">
        <f>VLOOKUP(C1070,'RAW DATA 2023'!E:BO,20,0)</f>
        <v>#N/A</v>
      </c>
      <c r="L1070" s="322" t="e">
        <f t="shared" si="98"/>
        <v>#N/A</v>
      </c>
    </row>
    <row r="1071" spans="1:12" s="63" customFormat="1">
      <c r="A1071" s="63">
        <f>'RAW DATA 2023'!B1064</f>
        <v>0</v>
      </c>
      <c r="B1071" s="63">
        <f>'RAW DATA 2023'!D1064</f>
        <v>0</v>
      </c>
      <c r="C1071" s="63" t="str">
        <f t="shared" si="94"/>
        <v>00</v>
      </c>
      <c r="D1071" s="63" t="e">
        <f>VLOOKUP(C1071,'RAW DATA 2023'!E:BP,63,0)</f>
        <v>#N/A</v>
      </c>
      <c r="E1071" s="63" t="e">
        <f t="shared" si="95"/>
        <v>#N/A</v>
      </c>
      <c r="F1071" s="63" t="e">
        <f>ROUND(VLOOKUP(C1071,'RAW DATA 2023'!E:BO,23,0),0)</f>
        <v>#N/A</v>
      </c>
      <c r="G1071" s="120" t="e">
        <f>VLOOKUP(C1071,'RAW DATA 2023'!E:BO,26,0)</f>
        <v>#N/A</v>
      </c>
      <c r="H1071" s="101" t="str">
        <f>IFERROR(VLOOKUP(F1071,STD!B:G,6,0),"")</f>
        <v/>
      </c>
      <c r="I1071" s="100">
        <f t="shared" si="96"/>
        <v>0</v>
      </c>
      <c r="J1071" s="249">
        <f t="shared" si="97"/>
        <v>0</v>
      </c>
      <c r="K1071" s="63" t="e">
        <f>VLOOKUP(C1071,'RAW DATA 2023'!E:BO,20,0)</f>
        <v>#N/A</v>
      </c>
      <c r="L1071" s="322" t="e">
        <f t="shared" si="98"/>
        <v>#N/A</v>
      </c>
    </row>
    <row r="1072" spans="1:12" s="63" customFormat="1">
      <c r="A1072" s="63">
        <f>'RAW DATA 2023'!B1065</f>
        <v>0</v>
      </c>
      <c r="B1072" s="63">
        <f>'RAW DATA 2023'!D1065</f>
        <v>0</v>
      </c>
      <c r="C1072" s="63" t="str">
        <f t="shared" si="94"/>
        <v>00</v>
      </c>
      <c r="D1072" s="63" t="e">
        <f>VLOOKUP(C1072,'RAW DATA 2023'!E:BP,63,0)</f>
        <v>#N/A</v>
      </c>
      <c r="E1072" s="63" t="e">
        <f t="shared" si="95"/>
        <v>#N/A</v>
      </c>
      <c r="F1072" s="63" t="e">
        <f>ROUND(VLOOKUP(C1072,'RAW DATA 2023'!E:BO,23,0),0)</f>
        <v>#N/A</v>
      </c>
      <c r="G1072" s="120" t="e">
        <f>VLOOKUP(C1072,'RAW DATA 2023'!E:BO,26,0)</f>
        <v>#N/A</v>
      </c>
      <c r="H1072" s="101" t="str">
        <f>IFERROR(VLOOKUP(F1072,STD!B:G,6,0),"")</f>
        <v/>
      </c>
      <c r="I1072" s="100">
        <f t="shared" si="96"/>
        <v>0</v>
      </c>
      <c r="J1072" s="249">
        <f t="shared" si="97"/>
        <v>0</v>
      </c>
      <c r="K1072" s="63" t="e">
        <f>VLOOKUP(C1072,'RAW DATA 2023'!E:BO,20,0)</f>
        <v>#N/A</v>
      </c>
      <c r="L1072" s="322" t="e">
        <f t="shared" si="98"/>
        <v>#N/A</v>
      </c>
    </row>
    <row r="1073" spans="1:12" s="63" customFormat="1">
      <c r="A1073" s="63">
        <f>'RAW DATA 2023'!B1066</f>
        <v>0</v>
      </c>
      <c r="B1073" s="63">
        <f>'RAW DATA 2023'!D1066</f>
        <v>0</v>
      </c>
      <c r="C1073" s="63" t="str">
        <f t="shared" si="94"/>
        <v>00</v>
      </c>
      <c r="D1073" s="63" t="e">
        <f>VLOOKUP(C1073,'RAW DATA 2023'!E:BP,63,0)</f>
        <v>#N/A</v>
      </c>
      <c r="E1073" s="63" t="e">
        <f t="shared" si="95"/>
        <v>#N/A</v>
      </c>
      <c r="F1073" s="63" t="e">
        <f>ROUND(VLOOKUP(C1073,'RAW DATA 2023'!E:BO,23,0),0)</f>
        <v>#N/A</v>
      </c>
      <c r="G1073" s="120" t="e">
        <f>VLOOKUP(C1073,'RAW DATA 2023'!E:BO,26,0)</f>
        <v>#N/A</v>
      </c>
      <c r="H1073" s="101" t="str">
        <f>IFERROR(VLOOKUP(F1073,STD!B:G,6,0),"")</f>
        <v/>
      </c>
      <c r="I1073" s="100">
        <f t="shared" si="96"/>
        <v>0</v>
      </c>
      <c r="J1073" s="249">
        <f t="shared" si="97"/>
        <v>0</v>
      </c>
      <c r="K1073" s="63" t="e">
        <f>VLOOKUP(C1073,'RAW DATA 2023'!E:BO,20,0)</f>
        <v>#N/A</v>
      </c>
      <c r="L1073" s="322" t="e">
        <f t="shared" si="98"/>
        <v>#N/A</v>
      </c>
    </row>
    <row r="1074" spans="1:12" s="63" customFormat="1">
      <c r="A1074" s="63">
        <f>'RAW DATA 2023'!B1067</f>
        <v>0</v>
      </c>
      <c r="B1074" s="63">
        <f>'RAW DATA 2023'!D1067</f>
        <v>0</v>
      </c>
      <c r="C1074" s="63" t="str">
        <f t="shared" si="94"/>
        <v>00</v>
      </c>
      <c r="D1074" s="63" t="e">
        <f>VLOOKUP(C1074,'RAW DATA 2023'!E:BP,63,0)</f>
        <v>#N/A</v>
      </c>
      <c r="E1074" s="63" t="e">
        <f t="shared" si="95"/>
        <v>#N/A</v>
      </c>
      <c r="F1074" s="63" t="e">
        <f>ROUND(VLOOKUP(C1074,'RAW DATA 2023'!E:BO,23,0),0)</f>
        <v>#N/A</v>
      </c>
      <c r="G1074" s="120" t="e">
        <f>VLOOKUP(C1074,'RAW DATA 2023'!E:BO,26,0)</f>
        <v>#N/A</v>
      </c>
      <c r="H1074" s="101" t="str">
        <f>IFERROR(VLOOKUP(F1074,STD!B:G,6,0),"")</f>
        <v/>
      </c>
      <c r="I1074" s="100">
        <f t="shared" si="96"/>
        <v>0</v>
      </c>
      <c r="J1074" s="249">
        <f t="shared" si="97"/>
        <v>0</v>
      </c>
      <c r="K1074" s="63" t="e">
        <f>VLOOKUP(C1074,'RAW DATA 2023'!E:BO,20,0)</f>
        <v>#N/A</v>
      </c>
      <c r="L1074" s="322" t="e">
        <f t="shared" si="98"/>
        <v>#N/A</v>
      </c>
    </row>
    <row r="1075" spans="1:12" s="63" customFormat="1">
      <c r="A1075" s="63">
        <f>'RAW DATA 2023'!B1068</f>
        <v>0</v>
      </c>
      <c r="B1075" s="63">
        <f>'RAW DATA 2023'!D1068</f>
        <v>0</v>
      </c>
      <c r="C1075" s="63" t="str">
        <f t="shared" si="94"/>
        <v>00</v>
      </c>
      <c r="D1075" s="63" t="e">
        <f>VLOOKUP(C1075,'RAW DATA 2023'!E:BP,63,0)</f>
        <v>#N/A</v>
      </c>
      <c r="E1075" s="63" t="e">
        <f t="shared" si="95"/>
        <v>#N/A</v>
      </c>
      <c r="F1075" s="63" t="e">
        <f>ROUND(VLOOKUP(C1075,'RAW DATA 2023'!E:BO,23,0),0)</f>
        <v>#N/A</v>
      </c>
      <c r="G1075" s="120" t="e">
        <f>VLOOKUP(C1075,'RAW DATA 2023'!E:BO,26,0)</f>
        <v>#N/A</v>
      </c>
      <c r="H1075" s="101" t="str">
        <f>IFERROR(VLOOKUP(F1075,STD!B:G,6,0),"")</f>
        <v/>
      </c>
      <c r="I1075" s="100">
        <f t="shared" si="96"/>
        <v>0</v>
      </c>
      <c r="J1075" s="249">
        <f t="shared" si="97"/>
        <v>0</v>
      </c>
      <c r="K1075" s="63" t="e">
        <f>VLOOKUP(C1075,'RAW DATA 2023'!E:BO,20,0)</f>
        <v>#N/A</v>
      </c>
      <c r="L1075" s="322" t="e">
        <f t="shared" si="98"/>
        <v>#N/A</v>
      </c>
    </row>
    <row r="1076" spans="1:12" s="63" customFormat="1">
      <c r="A1076" s="63">
        <f>'RAW DATA 2023'!B1069</f>
        <v>0</v>
      </c>
      <c r="B1076" s="63">
        <f>'RAW DATA 2023'!D1069</f>
        <v>0</v>
      </c>
      <c r="C1076" s="63" t="str">
        <f t="shared" si="94"/>
        <v>00</v>
      </c>
      <c r="D1076" s="63" t="e">
        <f>VLOOKUP(C1076,'RAW DATA 2023'!E:BP,63,0)</f>
        <v>#N/A</v>
      </c>
      <c r="E1076" s="63" t="e">
        <f t="shared" si="95"/>
        <v>#N/A</v>
      </c>
      <c r="F1076" s="63" t="e">
        <f>ROUND(VLOOKUP(C1076,'RAW DATA 2023'!E:BO,23,0),0)</f>
        <v>#N/A</v>
      </c>
      <c r="G1076" s="120" t="e">
        <f>VLOOKUP(C1076,'RAW DATA 2023'!E:BO,26,0)</f>
        <v>#N/A</v>
      </c>
      <c r="H1076" s="101" t="str">
        <f>IFERROR(VLOOKUP(F1076,STD!B:G,6,0),"")</f>
        <v/>
      </c>
      <c r="I1076" s="100">
        <f t="shared" si="96"/>
        <v>0</v>
      </c>
      <c r="J1076" s="249">
        <f t="shared" si="97"/>
        <v>0</v>
      </c>
      <c r="K1076" s="63" t="e">
        <f>VLOOKUP(C1076,'RAW DATA 2023'!E:BO,20,0)</f>
        <v>#N/A</v>
      </c>
      <c r="L1076" s="322" t="e">
        <f t="shared" si="98"/>
        <v>#N/A</v>
      </c>
    </row>
    <row r="1077" spans="1:12" s="63" customFormat="1">
      <c r="A1077" s="63">
        <f>'RAW DATA 2023'!B1070</f>
        <v>0</v>
      </c>
      <c r="B1077" s="63">
        <f>'RAW DATA 2023'!D1070</f>
        <v>0</v>
      </c>
      <c r="C1077" s="63" t="str">
        <f t="shared" si="94"/>
        <v>00</v>
      </c>
      <c r="D1077" s="63" t="e">
        <f>VLOOKUP(C1077,'RAW DATA 2023'!E:BP,63,0)</f>
        <v>#N/A</v>
      </c>
      <c r="E1077" s="63" t="e">
        <f t="shared" si="95"/>
        <v>#N/A</v>
      </c>
      <c r="F1077" s="63" t="e">
        <f>ROUND(VLOOKUP(C1077,'RAW DATA 2023'!E:BO,23,0),0)</f>
        <v>#N/A</v>
      </c>
      <c r="G1077" s="120" t="e">
        <f>VLOOKUP(C1077,'RAW DATA 2023'!E:BO,26,0)</f>
        <v>#N/A</v>
      </c>
      <c r="H1077" s="101" t="str">
        <f>IFERROR(VLOOKUP(F1077,STD!B:G,6,0),"")</f>
        <v/>
      </c>
      <c r="I1077" s="100">
        <f t="shared" si="96"/>
        <v>0</v>
      </c>
      <c r="J1077" s="249">
        <f t="shared" si="97"/>
        <v>0</v>
      </c>
      <c r="K1077" s="63" t="e">
        <f>VLOOKUP(C1077,'RAW DATA 2023'!E:BO,20,0)</f>
        <v>#N/A</v>
      </c>
      <c r="L1077" s="322" t="e">
        <f t="shared" si="98"/>
        <v>#N/A</v>
      </c>
    </row>
    <row r="1078" spans="1:12" s="63" customFormat="1">
      <c r="A1078" s="63">
        <f>'RAW DATA 2023'!B1071</f>
        <v>0</v>
      </c>
      <c r="B1078" s="63">
        <f>'RAW DATA 2023'!D1071</f>
        <v>0</v>
      </c>
      <c r="C1078" s="63" t="str">
        <f t="shared" si="94"/>
        <v>00</v>
      </c>
      <c r="D1078" s="63" t="e">
        <f>VLOOKUP(C1078,'RAW DATA 2023'!E:BP,63,0)</f>
        <v>#N/A</v>
      </c>
      <c r="E1078" s="63" t="e">
        <f t="shared" si="95"/>
        <v>#N/A</v>
      </c>
      <c r="F1078" s="63" t="e">
        <f>ROUND(VLOOKUP(C1078,'RAW DATA 2023'!E:BO,23,0),0)</f>
        <v>#N/A</v>
      </c>
      <c r="G1078" s="120" t="e">
        <f>VLOOKUP(C1078,'RAW DATA 2023'!E:BO,26,0)</f>
        <v>#N/A</v>
      </c>
      <c r="H1078" s="101" t="str">
        <f>IFERROR(VLOOKUP(F1078,STD!B:G,6,0),"")</f>
        <v/>
      </c>
      <c r="I1078" s="100">
        <f t="shared" si="96"/>
        <v>0</v>
      </c>
      <c r="J1078" s="249">
        <f t="shared" si="97"/>
        <v>0</v>
      </c>
      <c r="K1078" s="63" t="e">
        <f>VLOOKUP(C1078,'RAW DATA 2023'!E:BO,20,0)</f>
        <v>#N/A</v>
      </c>
      <c r="L1078" s="322" t="e">
        <f t="shared" si="98"/>
        <v>#N/A</v>
      </c>
    </row>
    <row r="1079" spans="1:12" s="63" customFormat="1">
      <c r="A1079" s="63">
        <f>'RAW DATA 2023'!B1072</f>
        <v>0</v>
      </c>
      <c r="B1079" s="63">
        <f>'RAW DATA 2023'!D1072</f>
        <v>0</v>
      </c>
      <c r="C1079" s="63" t="str">
        <f t="shared" si="94"/>
        <v>00</v>
      </c>
      <c r="D1079" s="63" t="e">
        <f>VLOOKUP(C1079,'RAW DATA 2023'!E:BP,63,0)</f>
        <v>#N/A</v>
      </c>
      <c r="E1079" s="63" t="e">
        <f t="shared" si="95"/>
        <v>#N/A</v>
      </c>
      <c r="F1079" s="63" t="e">
        <f>ROUND(VLOOKUP(C1079,'RAW DATA 2023'!E:BO,23,0),0)</f>
        <v>#N/A</v>
      </c>
      <c r="G1079" s="120" t="e">
        <f>VLOOKUP(C1079,'RAW DATA 2023'!E:BO,26,0)</f>
        <v>#N/A</v>
      </c>
      <c r="H1079" s="101" t="str">
        <f>IFERROR(VLOOKUP(F1079,STD!B:G,6,0),"")</f>
        <v/>
      </c>
      <c r="I1079" s="100">
        <f t="shared" si="96"/>
        <v>0</v>
      </c>
      <c r="J1079" s="249">
        <f t="shared" si="97"/>
        <v>0</v>
      </c>
      <c r="K1079" s="63" t="e">
        <f>VLOOKUP(C1079,'RAW DATA 2023'!E:BO,20,0)</f>
        <v>#N/A</v>
      </c>
      <c r="L1079" s="322" t="e">
        <f t="shared" si="98"/>
        <v>#N/A</v>
      </c>
    </row>
    <row r="1080" spans="1:12" s="63" customFormat="1">
      <c r="A1080" s="63">
        <f>'RAW DATA 2023'!B1073</f>
        <v>0</v>
      </c>
      <c r="B1080" s="63">
        <f>'RAW DATA 2023'!D1073</f>
        <v>0</v>
      </c>
      <c r="C1080" s="63" t="str">
        <f t="shared" si="94"/>
        <v>00</v>
      </c>
      <c r="D1080" s="63" t="e">
        <f>VLOOKUP(C1080,'RAW DATA 2023'!E:BP,63,0)</f>
        <v>#N/A</v>
      </c>
      <c r="E1080" s="63" t="e">
        <f t="shared" si="95"/>
        <v>#N/A</v>
      </c>
      <c r="F1080" s="63" t="e">
        <f>ROUND(VLOOKUP(C1080,'RAW DATA 2023'!E:BO,23,0),0)</f>
        <v>#N/A</v>
      </c>
      <c r="G1080" s="120" t="e">
        <f>VLOOKUP(C1080,'RAW DATA 2023'!E:BO,26,0)</f>
        <v>#N/A</v>
      </c>
      <c r="H1080" s="101" t="str">
        <f>IFERROR(VLOOKUP(F1080,STD!B:G,6,0),"")</f>
        <v/>
      </c>
      <c r="I1080" s="100">
        <f t="shared" si="96"/>
        <v>0</v>
      </c>
      <c r="J1080" s="249">
        <f t="shared" si="97"/>
        <v>0</v>
      </c>
      <c r="K1080" s="63" t="e">
        <f>VLOOKUP(C1080,'RAW DATA 2023'!E:BO,20,0)</f>
        <v>#N/A</v>
      </c>
      <c r="L1080" s="322" t="e">
        <f t="shared" si="98"/>
        <v>#N/A</v>
      </c>
    </row>
    <row r="1081" spans="1:12" s="63" customFormat="1">
      <c r="A1081" s="63">
        <f>'RAW DATA 2023'!B1074</f>
        <v>0</v>
      </c>
      <c r="B1081" s="63">
        <f>'RAW DATA 2023'!D1074</f>
        <v>0</v>
      </c>
      <c r="C1081" s="63" t="str">
        <f t="shared" si="94"/>
        <v>00</v>
      </c>
      <c r="D1081" s="63" t="e">
        <f>VLOOKUP(C1081,'RAW DATA 2023'!E:BP,63,0)</f>
        <v>#N/A</v>
      </c>
      <c r="E1081" s="63" t="e">
        <f t="shared" si="95"/>
        <v>#N/A</v>
      </c>
      <c r="F1081" s="63" t="e">
        <f>ROUND(VLOOKUP(C1081,'RAW DATA 2023'!E:BO,23,0),0)</f>
        <v>#N/A</v>
      </c>
      <c r="G1081" s="120" t="e">
        <f>VLOOKUP(C1081,'RAW DATA 2023'!E:BO,26,0)</f>
        <v>#N/A</v>
      </c>
      <c r="H1081" s="101" t="str">
        <f>IFERROR(VLOOKUP(F1081,STD!B:G,6,0),"")</f>
        <v/>
      </c>
      <c r="I1081" s="100">
        <f t="shared" si="96"/>
        <v>0</v>
      </c>
      <c r="J1081" s="249">
        <f t="shared" si="97"/>
        <v>0</v>
      </c>
      <c r="K1081" s="63" t="e">
        <f>VLOOKUP(C1081,'RAW DATA 2023'!E:BO,20,0)</f>
        <v>#N/A</v>
      </c>
      <c r="L1081" s="322" t="e">
        <f t="shared" si="98"/>
        <v>#N/A</v>
      </c>
    </row>
    <row r="1082" spans="1:12" s="63" customFormat="1">
      <c r="A1082" s="63">
        <f>'RAW DATA 2023'!B1075</f>
        <v>0</v>
      </c>
      <c r="B1082" s="63">
        <f>'RAW DATA 2023'!D1075</f>
        <v>0</v>
      </c>
      <c r="C1082" s="63" t="str">
        <f t="shared" si="94"/>
        <v>00</v>
      </c>
      <c r="D1082" s="63" t="e">
        <f>VLOOKUP(C1082,'RAW DATA 2023'!E:BP,63,0)</f>
        <v>#N/A</v>
      </c>
      <c r="E1082" s="63" t="e">
        <f t="shared" si="95"/>
        <v>#N/A</v>
      </c>
      <c r="F1082" s="63" t="e">
        <f>ROUND(VLOOKUP(C1082,'RAW DATA 2023'!E:BO,23,0),0)</f>
        <v>#N/A</v>
      </c>
      <c r="G1082" s="120" t="e">
        <f>VLOOKUP(C1082,'RAW DATA 2023'!E:BO,26,0)</f>
        <v>#N/A</v>
      </c>
      <c r="H1082" s="101" t="str">
        <f>IFERROR(VLOOKUP(F1082,STD!B:G,6,0),"")</f>
        <v/>
      </c>
      <c r="I1082" s="100">
        <f t="shared" si="96"/>
        <v>0</v>
      </c>
      <c r="J1082" s="249">
        <f t="shared" si="97"/>
        <v>0</v>
      </c>
      <c r="K1082" s="63" t="e">
        <f>VLOOKUP(C1082,'RAW DATA 2023'!E:BO,20,0)</f>
        <v>#N/A</v>
      </c>
      <c r="L1082" s="322" t="e">
        <f t="shared" si="98"/>
        <v>#N/A</v>
      </c>
    </row>
    <row r="1083" spans="1:12" s="63" customFormat="1">
      <c r="A1083" s="63">
        <f>'RAW DATA 2023'!B1076</f>
        <v>0</v>
      </c>
      <c r="B1083" s="63">
        <f>'RAW DATA 2023'!D1076</f>
        <v>0</v>
      </c>
      <c r="C1083" s="63" t="str">
        <f t="shared" si="94"/>
        <v>00</v>
      </c>
      <c r="D1083" s="63" t="e">
        <f>VLOOKUP(C1083,'RAW DATA 2023'!E:BP,63,0)</f>
        <v>#N/A</v>
      </c>
      <c r="E1083" s="63" t="e">
        <f t="shared" si="95"/>
        <v>#N/A</v>
      </c>
      <c r="F1083" s="63" t="e">
        <f>ROUND(VLOOKUP(C1083,'RAW DATA 2023'!E:BO,23,0),0)</f>
        <v>#N/A</v>
      </c>
      <c r="G1083" s="120" t="e">
        <f>VLOOKUP(C1083,'RAW DATA 2023'!E:BO,26,0)</f>
        <v>#N/A</v>
      </c>
      <c r="H1083" s="101" t="str">
        <f>IFERROR(VLOOKUP(F1083,STD!B:G,6,0),"")</f>
        <v/>
      </c>
      <c r="I1083" s="100">
        <f t="shared" si="96"/>
        <v>0</v>
      </c>
      <c r="J1083" s="249">
        <f t="shared" si="97"/>
        <v>0</v>
      </c>
      <c r="K1083" s="63" t="e">
        <f>VLOOKUP(C1083,'RAW DATA 2023'!E:BO,20,0)</f>
        <v>#N/A</v>
      </c>
      <c r="L1083" s="322" t="e">
        <f t="shared" si="98"/>
        <v>#N/A</v>
      </c>
    </row>
    <row r="1084" spans="1:12" s="63" customFormat="1">
      <c r="A1084" s="63">
        <f>'RAW DATA 2023'!B1077</f>
        <v>0</v>
      </c>
      <c r="B1084" s="63">
        <f>'RAW DATA 2023'!D1077</f>
        <v>0</v>
      </c>
      <c r="C1084" s="63" t="str">
        <f t="shared" si="94"/>
        <v>00</v>
      </c>
      <c r="D1084" s="63" t="e">
        <f>VLOOKUP(C1084,'RAW DATA 2023'!E:BP,63,0)</f>
        <v>#N/A</v>
      </c>
      <c r="E1084" s="63" t="e">
        <f t="shared" si="95"/>
        <v>#N/A</v>
      </c>
      <c r="F1084" s="63" t="e">
        <f>ROUND(VLOOKUP(C1084,'RAW DATA 2023'!E:BO,23,0),0)</f>
        <v>#N/A</v>
      </c>
      <c r="G1084" s="120" t="e">
        <f>VLOOKUP(C1084,'RAW DATA 2023'!E:BO,26,0)</f>
        <v>#N/A</v>
      </c>
      <c r="H1084" s="101" t="str">
        <f>IFERROR(VLOOKUP(F1084,STD!B:G,6,0),"")</f>
        <v/>
      </c>
      <c r="I1084" s="100">
        <f t="shared" si="96"/>
        <v>0</v>
      </c>
      <c r="J1084" s="249">
        <f t="shared" si="97"/>
        <v>0</v>
      </c>
      <c r="K1084" s="63" t="e">
        <f>VLOOKUP(C1084,'RAW DATA 2023'!E:BO,20,0)</f>
        <v>#N/A</v>
      </c>
      <c r="L1084" s="322" t="e">
        <f t="shared" si="98"/>
        <v>#N/A</v>
      </c>
    </row>
    <row r="1085" spans="1:12" s="63" customFormat="1">
      <c r="A1085" s="63">
        <f>'RAW DATA 2023'!B1078</f>
        <v>0</v>
      </c>
      <c r="B1085" s="63">
        <f>'RAW DATA 2023'!D1078</f>
        <v>0</v>
      </c>
      <c r="C1085" s="63" t="str">
        <f t="shared" si="94"/>
        <v>00</v>
      </c>
      <c r="D1085" s="63" t="e">
        <f>VLOOKUP(C1085,'RAW DATA 2023'!E:BP,63,0)</f>
        <v>#N/A</v>
      </c>
      <c r="E1085" s="63" t="e">
        <f t="shared" si="95"/>
        <v>#N/A</v>
      </c>
      <c r="F1085" s="63" t="e">
        <f>ROUND(VLOOKUP(C1085,'RAW DATA 2023'!E:BO,23,0),0)</f>
        <v>#N/A</v>
      </c>
      <c r="G1085" s="120" t="e">
        <f>VLOOKUP(C1085,'RAW DATA 2023'!E:BO,26,0)</f>
        <v>#N/A</v>
      </c>
      <c r="H1085" s="101" t="str">
        <f>IFERROR(VLOOKUP(F1085,STD!B:G,6,0),"")</f>
        <v/>
      </c>
      <c r="I1085" s="100">
        <f t="shared" si="96"/>
        <v>0</v>
      </c>
      <c r="J1085" s="249">
        <f t="shared" si="97"/>
        <v>0</v>
      </c>
      <c r="K1085" s="63" t="e">
        <f>VLOOKUP(C1085,'RAW DATA 2023'!E:BO,20,0)</f>
        <v>#N/A</v>
      </c>
      <c r="L1085" s="322" t="e">
        <f t="shared" si="98"/>
        <v>#N/A</v>
      </c>
    </row>
    <row r="1086" spans="1:12" s="63" customFormat="1">
      <c r="A1086" s="63">
        <f>'RAW DATA 2023'!B1079</f>
        <v>0</v>
      </c>
      <c r="B1086" s="63">
        <f>'RAW DATA 2023'!D1079</f>
        <v>0</v>
      </c>
      <c r="C1086" s="63" t="str">
        <f t="shared" si="94"/>
        <v>00</v>
      </c>
      <c r="D1086" s="63" t="e">
        <f>VLOOKUP(C1086,'RAW DATA 2023'!E:BP,63,0)</f>
        <v>#N/A</v>
      </c>
      <c r="E1086" s="63" t="e">
        <f t="shared" si="95"/>
        <v>#N/A</v>
      </c>
      <c r="F1086" s="63" t="e">
        <f>ROUND(VLOOKUP(C1086,'RAW DATA 2023'!E:BO,23,0),0)</f>
        <v>#N/A</v>
      </c>
      <c r="G1086" s="120" t="e">
        <f>VLOOKUP(C1086,'RAW DATA 2023'!E:BO,26,0)</f>
        <v>#N/A</v>
      </c>
      <c r="H1086" s="101" t="str">
        <f>IFERROR(VLOOKUP(F1086,STD!B:G,6,0),"")</f>
        <v/>
      </c>
      <c r="I1086" s="100">
        <f t="shared" si="96"/>
        <v>0</v>
      </c>
      <c r="J1086" s="249">
        <f t="shared" si="97"/>
        <v>0</v>
      </c>
      <c r="K1086" s="63" t="e">
        <f>VLOOKUP(C1086,'RAW DATA 2023'!E:BO,20,0)</f>
        <v>#N/A</v>
      </c>
      <c r="L1086" s="322" t="e">
        <f t="shared" si="98"/>
        <v>#N/A</v>
      </c>
    </row>
    <row r="1087" spans="1:12" s="63" customFormat="1">
      <c r="A1087" s="63">
        <f>'RAW DATA 2023'!B1080</f>
        <v>0</v>
      </c>
      <c r="B1087" s="63">
        <f>'RAW DATA 2023'!D1080</f>
        <v>0</v>
      </c>
      <c r="C1087" s="63" t="str">
        <f t="shared" si="94"/>
        <v>00</v>
      </c>
      <c r="D1087" s="63" t="e">
        <f>VLOOKUP(C1087,'RAW DATA 2023'!E:BP,63,0)</f>
        <v>#N/A</v>
      </c>
      <c r="E1087" s="63" t="e">
        <f t="shared" si="95"/>
        <v>#N/A</v>
      </c>
      <c r="F1087" s="63" t="e">
        <f>ROUND(VLOOKUP(C1087,'RAW DATA 2023'!E:BO,23,0),0)</f>
        <v>#N/A</v>
      </c>
      <c r="G1087" s="120" t="e">
        <f>VLOOKUP(C1087,'RAW DATA 2023'!E:BO,26,0)</f>
        <v>#N/A</v>
      </c>
      <c r="H1087" s="101" t="str">
        <f>IFERROR(VLOOKUP(F1087,STD!B:G,6,0),"")</f>
        <v/>
      </c>
      <c r="I1087" s="100">
        <f t="shared" si="96"/>
        <v>0</v>
      </c>
      <c r="J1087" s="249">
        <f t="shared" si="97"/>
        <v>0</v>
      </c>
      <c r="K1087" s="63" t="e">
        <f>VLOOKUP(C1087,'RAW DATA 2023'!E:BO,20,0)</f>
        <v>#N/A</v>
      </c>
      <c r="L1087" s="322" t="e">
        <f t="shared" si="98"/>
        <v>#N/A</v>
      </c>
    </row>
    <row r="1088" spans="1:12" s="63" customFormat="1">
      <c r="A1088" s="63">
        <f>'RAW DATA 2023'!B1081</f>
        <v>0</v>
      </c>
      <c r="B1088" s="63">
        <f>'RAW DATA 2023'!D1081</f>
        <v>0</v>
      </c>
      <c r="C1088" s="63" t="str">
        <f t="shared" si="94"/>
        <v>00</v>
      </c>
      <c r="D1088" s="63" t="e">
        <f>VLOOKUP(C1088,'RAW DATA 2023'!E:BP,63,0)</f>
        <v>#N/A</v>
      </c>
      <c r="E1088" s="63" t="e">
        <f t="shared" si="95"/>
        <v>#N/A</v>
      </c>
      <c r="F1088" s="63" t="e">
        <f>ROUND(VLOOKUP(C1088,'RAW DATA 2023'!E:BO,23,0),0)</f>
        <v>#N/A</v>
      </c>
      <c r="G1088" s="120" t="e">
        <f>VLOOKUP(C1088,'RAW DATA 2023'!E:BO,26,0)</f>
        <v>#N/A</v>
      </c>
      <c r="H1088" s="101" t="str">
        <f>IFERROR(VLOOKUP(F1088,STD!B:G,6,0),"")</f>
        <v/>
      </c>
      <c r="I1088" s="100">
        <f t="shared" si="96"/>
        <v>0</v>
      </c>
      <c r="J1088" s="249">
        <f t="shared" si="97"/>
        <v>0</v>
      </c>
      <c r="K1088" s="63" t="e">
        <f>VLOOKUP(C1088,'RAW DATA 2023'!E:BO,20,0)</f>
        <v>#N/A</v>
      </c>
      <c r="L1088" s="322" t="e">
        <f t="shared" si="98"/>
        <v>#N/A</v>
      </c>
    </row>
    <row r="1089" spans="1:12" s="63" customFormat="1">
      <c r="A1089" s="63">
        <f>'RAW DATA 2023'!B1082</f>
        <v>0</v>
      </c>
      <c r="B1089" s="63">
        <f>'RAW DATA 2023'!D1082</f>
        <v>0</v>
      </c>
      <c r="C1089" s="63" t="str">
        <f t="shared" si="94"/>
        <v>00</v>
      </c>
      <c r="D1089" s="63" t="e">
        <f>VLOOKUP(C1089,'RAW DATA 2023'!E:BP,63,0)</f>
        <v>#N/A</v>
      </c>
      <c r="E1089" s="63" t="e">
        <f t="shared" si="95"/>
        <v>#N/A</v>
      </c>
      <c r="F1089" s="63" t="e">
        <f>ROUND(VLOOKUP(C1089,'RAW DATA 2023'!E:BO,23,0),0)</f>
        <v>#N/A</v>
      </c>
      <c r="G1089" s="120" t="e">
        <f>VLOOKUP(C1089,'RAW DATA 2023'!E:BO,26,0)</f>
        <v>#N/A</v>
      </c>
      <c r="H1089" s="101" t="str">
        <f>IFERROR(VLOOKUP(F1089,STD!B:G,6,0),"")</f>
        <v/>
      </c>
      <c r="I1089" s="100">
        <f t="shared" si="96"/>
        <v>0</v>
      </c>
      <c r="J1089" s="249">
        <f t="shared" si="97"/>
        <v>0</v>
      </c>
      <c r="K1089" s="63" t="e">
        <f>VLOOKUP(C1089,'RAW DATA 2023'!E:BO,20,0)</f>
        <v>#N/A</v>
      </c>
      <c r="L1089" s="322" t="e">
        <f t="shared" si="98"/>
        <v>#N/A</v>
      </c>
    </row>
    <row r="1090" spans="1:12" s="63" customFormat="1">
      <c r="A1090" s="63">
        <f>'RAW DATA 2023'!B1083</f>
        <v>0</v>
      </c>
      <c r="B1090" s="63">
        <f>'RAW DATA 2023'!D1083</f>
        <v>0</v>
      </c>
      <c r="C1090" s="63" t="str">
        <f t="shared" si="94"/>
        <v>00</v>
      </c>
      <c r="D1090" s="63" t="e">
        <f>VLOOKUP(C1090,'RAW DATA 2023'!E:BP,63,0)</f>
        <v>#N/A</v>
      </c>
      <c r="E1090" s="63" t="e">
        <f t="shared" si="95"/>
        <v>#N/A</v>
      </c>
      <c r="F1090" s="63" t="e">
        <f>ROUND(VLOOKUP(C1090,'RAW DATA 2023'!E:BO,23,0),0)</f>
        <v>#N/A</v>
      </c>
      <c r="G1090" s="120" t="e">
        <f>VLOOKUP(C1090,'RAW DATA 2023'!E:BO,26,0)</f>
        <v>#N/A</v>
      </c>
      <c r="H1090" s="101" t="str">
        <f>IFERROR(VLOOKUP(F1090,STD!B:G,6,0),"")</f>
        <v/>
      </c>
      <c r="I1090" s="100">
        <f t="shared" si="96"/>
        <v>0</v>
      </c>
      <c r="J1090" s="249">
        <f t="shared" si="97"/>
        <v>0</v>
      </c>
      <c r="K1090" s="63" t="e">
        <f>VLOOKUP(C1090,'RAW DATA 2023'!E:BO,20,0)</f>
        <v>#N/A</v>
      </c>
      <c r="L1090" s="322" t="e">
        <f t="shared" si="98"/>
        <v>#N/A</v>
      </c>
    </row>
    <row r="1091" spans="1:12" s="63" customFormat="1">
      <c r="A1091" s="63">
        <f>'RAW DATA 2023'!B1084</f>
        <v>0</v>
      </c>
      <c r="B1091" s="63">
        <f>'RAW DATA 2023'!D1084</f>
        <v>0</v>
      </c>
      <c r="C1091" s="63" t="str">
        <f t="shared" si="94"/>
        <v>00</v>
      </c>
      <c r="D1091" s="63" t="e">
        <f>VLOOKUP(C1091,'RAW DATA 2023'!E:BP,63,0)</f>
        <v>#N/A</v>
      </c>
      <c r="E1091" s="63" t="e">
        <f t="shared" si="95"/>
        <v>#N/A</v>
      </c>
      <c r="F1091" s="63" t="e">
        <f>ROUND(VLOOKUP(C1091,'RAW DATA 2023'!E:BO,23,0),0)</f>
        <v>#N/A</v>
      </c>
      <c r="G1091" s="120" t="e">
        <f>VLOOKUP(C1091,'RAW DATA 2023'!E:BO,26,0)</f>
        <v>#N/A</v>
      </c>
      <c r="H1091" s="101" t="str">
        <f>IFERROR(VLOOKUP(F1091,STD!B:G,6,0),"")</f>
        <v/>
      </c>
      <c r="I1091" s="100">
        <f t="shared" si="96"/>
        <v>0</v>
      </c>
      <c r="J1091" s="249">
        <f t="shared" si="97"/>
        <v>0</v>
      </c>
      <c r="K1091" s="63" t="e">
        <f>VLOOKUP(C1091,'RAW DATA 2023'!E:BO,20,0)</f>
        <v>#N/A</v>
      </c>
      <c r="L1091" s="322" t="e">
        <f t="shared" si="98"/>
        <v>#N/A</v>
      </c>
    </row>
    <row r="1092" spans="1:12" s="63" customFormat="1">
      <c r="A1092" s="63">
        <f>'RAW DATA 2023'!B1085</f>
        <v>0</v>
      </c>
      <c r="B1092" s="63">
        <f>'RAW DATA 2023'!D1085</f>
        <v>0</v>
      </c>
      <c r="C1092" s="63" t="str">
        <f t="shared" si="94"/>
        <v>00</v>
      </c>
      <c r="D1092" s="63" t="e">
        <f>VLOOKUP(C1092,'RAW DATA 2023'!E:BP,63,0)</f>
        <v>#N/A</v>
      </c>
      <c r="E1092" s="63" t="e">
        <f t="shared" si="95"/>
        <v>#N/A</v>
      </c>
      <c r="F1092" s="63" t="e">
        <f>ROUND(VLOOKUP(C1092,'RAW DATA 2023'!E:BO,23,0),0)</f>
        <v>#N/A</v>
      </c>
      <c r="G1092" s="120" t="e">
        <f>VLOOKUP(C1092,'RAW DATA 2023'!E:BO,26,0)</f>
        <v>#N/A</v>
      </c>
      <c r="H1092" s="101" t="str">
        <f>IFERROR(VLOOKUP(F1092,STD!B:G,6,0),"")</f>
        <v/>
      </c>
      <c r="I1092" s="100">
        <f t="shared" si="96"/>
        <v>0</v>
      </c>
      <c r="J1092" s="249">
        <f t="shared" si="97"/>
        <v>0</v>
      </c>
      <c r="K1092" s="63" t="e">
        <f>VLOOKUP(C1092,'RAW DATA 2023'!E:BO,20,0)</f>
        <v>#N/A</v>
      </c>
      <c r="L1092" s="322" t="e">
        <f t="shared" si="98"/>
        <v>#N/A</v>
      </c>
    </row>
    <row r="1093" spans="1:12" s="63" customFormat="1">
      <c r="A1093" s="63">
        <f>'RAW DATA 2023'!B1086</f>
        <v>0</v>
      </c>
      <c r="B1093" s="63">
        <f>'RAW DATA 2023'!D1086</f>
        <v>0</v>
      </c>
      <c r="C1093" s="63" t="str">
        <f t="shared" si="94"/>
        <v>00</v>
      </c>
      <c r="D1093" s="63" t="e">
        <f>VLOOKUP(C1093,'RAW DATA 2023'!E:BP,63,0)</f>
        <v>#N/A</v>
      </c>
      <c r="E1093" s="63" t="e">
        <f t="shared" si="95"/>
        <v>#N/A</v>
      </c>
      <c r="F1093" s="63" t="e">
        <f>ROUND(VLOOKUP(C1093,'RAW DATA 2023'!E:BO,23,0),0)</f>
        <v>#N/A</v>
      </c>
      <c r="G1093" s="120" t="e">
        <f>VLOOKUP(C1093,'RAW DATA 2023'!E:BO,26,0)</f>
        <v>#N/A</v>
      </c>
      <c r="H1093" s="101" t="str">
        <f>IFERROR(VLOOKUP(F1093,STD!B:G,6,0),"")</f>
        <v/>
      </c>
      <c r="I1093" s="100">
        <f t="shared" si="96"/>
        <v>0</v>
      </c>
      <c r="J1093" s="249">
        <f t="shared" si="97"/>
        <v>0</v>
      </c>
      <c r="K1093" s="63" t="e">
        <f>VLOOKUP(C1093,'RAW DATA 2023'!E:BO,20,0)</f>
        <v>#N/A</v>
      </c>
      <c r="L1093" s="322" t="e">
        <f t="shared" si="98"/>
        <v>#N/A</v>
      </c>
    </row>
    <row r="1094" spans="1:12" s="63" customFormat="1">
      <c r="A1094" s="63">
        <f>'RAW DATA 2023'!B1087</f>
        <v>0</v>
      </c>
      <c r="B1094" s="63">
        <f>'RAW DATA 2023'!D1087</f>
        <v>0</v>
      </c>
      <c r="C1094" s="63" t="str">
        <f t="shared" si="94"/>
        <v>00</v>
      </c>
      <c r="D1094" s="63" t="e">
        <f>VLOOKUP(C1094,'RAW DATA 2023'!E:BP,63,0)</f>
        <v>#N/A</v>
      </c>
      <c r="E1094" s="63" t="e">
        <f t="shared" si="95"/>
        <v>#N/A</v>
      </c>
      <c r="F1094" s="63" t="e">
        <f>ROUND(VLOOKUP(C1094,'RAW DATA 2023'!E:BO,23,0),0)</f>
        <v>#N/A</v>
      </c>
      <c r="G1094" s="120" t="e">
        <f>VLOOKUP(C1094,'RAW DATA 2023'!E:BO,26,0)</f>
        <v>#N/A</v>
      </c>
      <c r="H1094" s="101" t="str">
        <f>IFERROR(VLOOKUP(F1094,STD!B:G,6,0),"")</f>
        <v/>
      </c>
      <c r="I1094" s="100">
        <f t="shared" si="96"/>
        <v>0</v>
      </c>
      <c r="J1094" s="249">
        <f t="shared" si="97"/>
        <v>0</v>
      </c>
      <c r="K1094" s="63" t="e">
        <f>VLOOKUP(C1094,'RAW DATA 2023'!E:BO,20,0)</f>
        <v>#N/A</v>
      </c>
      <c r="L1094" s="322" t="e">
        <f t="shared" si="98"/>
        <v>#N/A</v>
      </c>
    </row>
    <row r="1095" spans="1:12" s="63" customFormat="1">
      <c r="A1095" s="63">
        <f>'RAW DATA 2023'!B1088</f>
        <v>0</v>
      </c>
      <c r="B1095" s="63">
        <f>'RAW DATA 2023'!D1088</f>
        <v>0</v>
      </c>
      <c r="C1095" s="63" t="str">
        <f t="shared" si="94"/>
        <v>00</v>
      </c>
      <c r="D1095" s="63" t="e">
        <f>VLOOKUP(C1095,'RAW DATA 2023'!E:BP,63,0)</f>
        <v>#N/A</v>
      </c>
      <c r="E1095" s="63" t="e">
        <f t="shared" si="95"/>
        <v>#N/A</v>
      </c>
      <c r="F1095" s="63" t="e">
        <f>ROUND(VLOOKUP(C1095,'RAW DATA 2023'!E:BO,23,0),0)</f>
        <v>#N/A</v>
      </c>
      <c r="G1095" s="120" t="e">
        <f>VLOOKUP(C1095,'RAW DATA 2023'!E:BO,26,0)</f>
        <v>#N/A</v>
      </c>
      <c r="H1095" s="101" t="str">
        <f>IFERROR(VLOOKUP(F1095,STD!B:G,6,0),"")</f>
        <v/>
      </c>
      <c r="I1095" s="100">
        <f t="shared" si="96"/>
        <v>0</v>
      </c>
      <c r="J1095" s="249">
        <f t="shared" si="97"/>
        <v>0</v>
      </c>
      <c r="K1095" s="63" t="e">
        <f>VLOOKUP(C1095,'RAW DATA 2023'!E:BO,20,0)</f>
        <v>#N/A</v>
      </c>
      <c r="L1095" s="322" t="e">
        <f t="shared" si="98"/>
        <v>#N/A</v>
      </c>
    </row>
    <row r="1096" spans="1:12" s="63" customFormat="1">
      <c r="A1096" s="63">
        <f>'RAW DATA 2023'!B1089</f>
        <v>0</v>
      </c>
      <c r="B1096" s="63">
        <f>'RAW DATA 2023'!D1089</f>
        <v>0</v>
      </c>
      <c r="C1096" s="63" t="str">
        <f t="shared" si="94"/>
        <v>00</v>
      </c>
      <c r="D1096" s="63" t="e">
        <f>VLOOKUP(C1096,'RAW DATA 2023'!E:BP,63,0)</f>
        <v>#N/A</v>
      </c>
      <c r="E1096" s="63" t="e">
        <f t="shared" si="95"/>
        <v>#N/A</v>
      </c>
      <c r="F1096" s="63" t="e">
        <f>ROUND(VLOOKUP(C1096,'RAW DATA 2023'!E:BO,23,0),0)</f>
        <v>#N/A</v>
      </c>
      <c r="G1096" s="120" t="e">
        <f>VLOOKUP(C1096,'RAW DATA 2023'!E:BO,26,0)</f>
        <v>#N/A</v>
      </c>
      <c r="H1096" s="101" t="str">
        <f>IFERROR(VLOOKUP(F1096,STD!B:G,6,0),"")</f>
        <v/>
      </c>
      <c r="I1096" s="100">
        <f t="shared" si="96"/>
        <v>0</v>
      </c>
      <c r="J1096" s="249">
        <f t="shared" si="97"/>
        <v>0</v>
      </c>
      <c r="K1096" s="63" t="e">
        <f>VLOOKUP(C1096,'RAW DATA 2023'!E:BO,20,0)</f>
        <v>#N/A</v>
      </c>
      <c r="L1096" s="322" t="e">
        <f t="shared" si="98"/>
        <v>#N/A</v>
      </c>
    </row>
    <row r="1097" spans="1:12" s="63" customFormat="1">
      <c r="A1097" s="63">
        <f>'RAW DATA 2023'!B1090</f>
        <v>0</v>
      </c>
      <c r="B1097" s="63">
        <f>'RAW DATA 2023'!D1090</f>
        <v>0</v>
      </c>
      <c r="C1097" s="63" t="str">
        <f t="shared" si="94"/>
        <v>00</v>
      </c>
      <c r="D1097" s="63" t="e">
        <f>VLOOKUP(C1097,'RAW DATA 2023'!E:BP,63,0)</f>
        <v>#N/A</v>
      </c>
      <c r="E1097" s="63" t="e">
        <f t="shared" si="95"/>
        <v>#N/A</v>
      </c>
      <c r="F1097" s="63" t="e">
        <f>ROUND(VLOOKUP(C1097,'RAW DATA 2023'!E:BO,23,0),0)</f>
        <v>#N/A</v>
      </c>
      <c r="G1097" s="120" t="e">
        <f>VLOOKUP(C1097,'RAW DATA 2023'!E:BO,26,0)</f>
        <v>#N/A</v>
      </c>
      <c r="H1097" s="101" t="str">
        <f>IFERROR(VLOOKUP(F1097,STD!B:G,6,0),"")</f>
        <v/>
      </c>
      <c r="I1097" s="100">
        <f t="shared" si="96"/>
        <v>0</v>
      </c>
      <c r="J1097" s="249">
        <f t="shared" si="97"/>
        <v>0</v>
      </c>
      <c r="K1097" s="63" t="e">
        <f>VLOOKUP(C1097,'RAW DATA 2023'!E:BO,20,0)</f>
        <v>#N/A</v>
      </c>
      <c r="L1097" s="322" t="e">
        <f t="shared" si="98"/>
        <v>#N/A</v>
      </c>
    </row>
    <row r="1098" spans="1:12" s="63" customFormat="1">
      <c r="A1098" s="63">
        <f>'RAW DATA 2023'!B1091</f>
        <v>0</v>
      </c>
      <c r="B1098" s="63">
        <f>'RAW DATA 2023'!D1091</f>
        <v>0</v>
      </c>
      <c r="C1098" s="63" t="str">
        <f t="shared" ref="C1098:C1161" si="99">A1098&amp;B1098</f>
        <v>00</v>
      </c>
      <c r="D1098" s="63" t="e">
        <f>VLOOKUP(C1098,'RAW DATA 2023'!E:BP,63,0)</f>
        <v>#N/A</v>
      </c>
      <c r="E1098" s="63" t="e">
        <f t="shared" ref="E1098:E1161" si="100">A1098&amp;D1098</f>
        <v>#N/A</v>
      </c>
      <c r="F1098" s="63" t="e">
        <f>ROUND(VLOOKUP(C1098,'RAW DATA 2023'!E:BO,23,0),0)</f>
        <v>#N/A</v>
      </c>
      <c r="G1098" s="120" t="e">
        <f>VLOOKUP(C1098,'RAW DATA 2023'!E:BO,26,0)</f>
        <v>#N/A</v>
      </c>
      <c r="H1098" s="101" t="str">
        <f>IFERROR(VLOOKUP(F1098,STD!B:G,6,0),"")</f>
        <v/>
      </c>
      <c r="I1098" s="100">
        <f t="shared" ref="I1098:I1161" si="101">IFERROR(G1098/H1098,0)</f>
        <v>0</v>
      </c>
      <c r="J1098" s="249">
        <f t="shared" si="97"/>
        <v>0</v>
      </c>
      <c r="K1098" s="63" t="e">
        <f>VLOOKUP(C1098,'RAW DATA 2023'!E:BO,20,0)</f>
        <v>#N/A</v>
      </c>
      <c r="L1098" s="322" t="e">
        <f t="shared" si="98"/>
        <v>#N/A</v>
      </c>
    </row>
    <row r="1099" spans="1:12" s="63" customFormat="1">
      <c r="A1099" s="63">
        <f>'RAW DATA 2023'!B1092</f>
        <v>0</v>
      </c>
      <c r="B1099" s="63">
        <f>'RAW DATA 2023'!D1092</f>
        <v>0</v>
      </c>
      <c r="C1099" s="63" t="str">
        <f t="shared" si="99"/>
        <v>00</v>
      </c>
      <c r="D1099" s="63" t="e">
        <f>VLOOKUP(C1099,'RAW DATA 2023'!E:BP,63,0)</f>
        <v>#N/A</v>
      </c>
      <c r="E1099" s="63" t="e">
        <f t="shared" si="100"/>
        <v>#N/A</v>
      </c>
      <c r="F1099" s="63" t="e">
        <f>ROUND(VLOOKUP(C1099,'RAW DATA 2023'!E:BO,23,0),0)</f>
        <v>#N/A</v>
      </c>
      <c r="G1099" s="120" t="e">
        <f>VLOOKUP(C1099,'RAW DATA 2023'!E:BO,26,0)</f>
        <v>#N/A</v>
      </c>
      <c r="H1099" s="101" t="str">
        <f>IFERROR(VLOOKUP(F1099,STD!B:G,6,0),"")</f>
        <v/>
      </c>
      <c r="I1099" s="100">
        <f t="shared" si="101"/>
        <v>0</v>
      </c>
      <c r="J1099" s="249">
        <f t="shared" ref="J1099:J1162" si="102">IF(I1099&gt;0.5,((I1099-$B$4)*$B$7),0)</f>
        <v>0</v>
      </c>
      <c r="K1099" s="63" t="e">
        <f>VLOOKUP(C1099,'RAW DATA 2023'!E:BO,20,0)</f>
        <v>#N/A</v>
      </c>
      <c r="L1099" s="322" t="e">
        <f t="shared" ref="L1099:L1162" si="103">J1099*K1099</f>
        <v>#N/A</v>
      </c>
    </row>
    <row r="1100" spans="1:12" s="63" customFormat="1">
      <c r="A1100" s="63">
        <f>'RAW DATA 2023'!B1093</f>
        <v>0</v>
      </c>
      <c r="B1100" s="63">
        <f>'RAW DATA 2023'!D1093</f>
        <v>0</v>
      </c>
      <c r="C1100" s="63" t="str">
        <f t="shared" si="99"/>
        <v>00</v>
      </c>
      <c r="D1100" s="63" t="e">
        <f>VLOOKUP(C1100,'RAW DATA 2023'!E:BP,63,0)</f>
        <v>#N/A</v>
      </c>
      <c r="E1100" s="63" t="e">
        <f t="shared" si="100"/>
        <v>#N/A</v>
      </c>
      <c r="F1100" s="63" t="e">
        <f>ROUND(VLOOKUP(C1100,'RAW DATA 2023'!E:BO,23,0),0)</f>
        <v>#N/A</v>
      </c>
      <c r="G1100" s="120" t="e">
        <f>VLOOKUP(C1100,'RAW DATA 2023'!E:BO,26,0)</f>
        <v>#N/A</v>
      </c>
      <c r="H1100" s="101" t="str">
        <f>IFERROR(VLOOKUP(F1100,STD!B:G,6,0),"")</f>
        <v/>
      </c>
      <c r="I1100" s="100">
        <f t="shared" si="101"/>
        <v>0</v>
      </c>
      <c r="J1100" s="249">
        <f t="shared" si="102"/>
        <v>0</v>
      </c>
      <c r="K1100" s="63" t="e">
        <f>VLOOKUP(C1100,'RAW DATA 2023'!E:BO,20,0)</f>
        <v>#N/A</v>
      </c>
      <c r="L1100" s="322" t="e">
        <f t="shared" si="103"/>
        <v>#N/A</v>
      </c>
    </row>
    <row r="1101" spans="1:12" s="63" customFormat="1">
      <c r="A1101" s="63">
        <f>'RAW DATA 2023'!B1094</f>
        <v>0</v>
      </c>
      <c r="B1101" s="63">
        <f>'RAW DATA 2023'!D1094</f>
        <v>0</v>
      </c>
      <c r="C1101" s="63" t="str">
        <f t="shared" si="99"/>
        <v>00</v>
      </c>
      <c r="D1101" s="63" t="e">
        <f>VLOOKUP(C1101,'RAW DATA 2023'!E:BP,63,0)</f>
        <v>#N/A</v>
      </c>
      <c r="E1101" s="63" t="e">
        <f t="shared" si="100"/>
        <v>#N/A</v>
      </c>
      <c r="F1101" s="63" t="e">
        <f>ROUND(VLOOKUP(C1101,'RAW DATA 2023'!E:BO,23,0),0)</f>
        <v>#N/A</v>
      </c>
      <c r="G1101" s="120" t="e">
        <f>VLOOKUP(C1101,'RAW DATA 2023'!E:BO,26,0)</f>
        <v>#N/A</v>
      </c>
      <c r="H1101" s="101" t="str">
        <f>IFERROR(VLOOKUP(F1101,STD!B:G,6,0),"")</f>
        <v/>
      </c>
      <c r="I1101" s="100">
        <f t="shared" si="101"/>
        <v>0</v>
      </c>
      <c r="J1101" s="249">
        <f t="shared" si="102"/>
        <v>0</v>
      </c>
      <c r="K1101" s="63" t="e">
        <f>VLOOKUP(C1101,'RAW DATA 2023'!E:BO,20,0)</f>
        <v>#N/A</v>
      </c>
      <c r="L1101" s="322" t="e">
        <f t="shared" si="103"/>
        <v>#N/A</v>
      </c>
    </row>
    <row r="1102" spans="1:12" s="63" customFormat="1">
      <c r="A1102" s="63">
        <f>'RAW DATA 2023'!B1095</f>
        <v>0</v>
      </c>
      <c r="B1102" s="63">
        <f>'RAW DATA 2023'!D1095</f>
        <v>0</v>
      </c>
      <c r="C1102" s="63" t="str">
        <f t="shared" si="99"/>
        <v>00</v>
      </c>
      <c r="D1102" s="63" t="e">
        <f>VLOOKUP(C1102,'RAW DATA 2023'!E:BP,63,0)</f>
        <v>#N/A</v>
      </c>
      <c r="E1102" s="63" t="e">
        <f t="shared" si="100"/>
        <v>#N/A</v>
      </c>
      <c r="F1102" s="63" t="e">
        <f>ROUND(VLOOKUP(C1102,'RAW DATA 2023'!E:BO,23,0),0)</f>
        <v>#N/A</v>
      </c>
      <c r="G1102" s="120" t="e">
        <f>VLOOKUP(C1102,'RAW DATA 2023'!E:BO,26,0)</f>
        <v>#N/A</v>
      </c>
      <c r="H1102" s="101" t="str">
        <f>IFERROR(VLOOKUP(F1102,STD!B:G,6,0),"")</f>
        <v/>
      </c>
      <c r="I1102" s="100">
        <f t="shared" si="101"/>
        <v>0</v>
      </c>
      <c r="J1102" s="249">
        <f t="shared" si="102"/>
        <v>0</v>
      </c>
      <c r="K1102" s="63" t="e">
        <f>VLOOKUP(C1102,'RAW DATA 2023'!E:BO,20,0)</f>
        <v>#N/A</v>
      </c>
      <c r="L1102" s="322" t="e">
        <f t="shared" si="103"/>
        <v>#N/A</v>
      </c>
    </row>
    <row r="1103" spans="1:12" s="63" customFormat="1">
      <c r="A1103" s="63">
        <f>'RAW DATA 2023'!B1096</f>
        <v>0</v>
      </c>
      <c r="B1103" s="63">
        <f>'RAW DATA 2023'!D1096</f>
        <v>0</v>
      </c>
      <c r="C1103" s="63" t="str">
        <f t="shared" si="99"/>
        <v>00</v>
      </c>
      <c r="D1103" s="63" t="e">
        <f>VLOOKUP(C1103,'RAW DATA 2023'!E:BP,63,0)</f>
        <v>#N/A</v>
      </c>
      <c r="E1103" s="63" t="e">
        <f t="shared" si="100"/>
        <v>#N/A</v>
      </c>
      <c r="F1103" s="63" t="e">
        <f>ROUND(VLOOKUP(C1103,'RAW DATA 2023'!E:BO,23,0),0)</f>
        <v>#N/A</v>
      </c>
      <c r="G1103" s="120" t="e">
        <f>VLOOKUP(C1103,'RAW DATA 2023'!E:BO,26,0)</f>
        <v>#N/A</v>
      </c>
      <c r="H1103" s="101" t="str">
        <f>IFERROR(VLOOKUP(F1103,STD!B:G,6,0),"")</f>
        <v/>
      </c>
      <c r="I1103" s="100">
        <f t="shared" si="101"/>
        <v>0</v>
      </c>
      <c r="J1103" s="249">
        <f t="shared" si="102"/>
        <v>0</v>
      </c>
      <c r="K1103" s="63" t="e">
        <f>VLOOKUP(C1103,'RAW DATA 2023'!E:BO,20,0)</f>
        <v>#N/A</v>
      </c>
      <c r="L1103" s="322" t="e">
        <f t="shared" si="103"/>
        <v>#N/A</v>
      </c>
    </row>
    <row r="1104" spans="1:12" s="63" customFormat="1">
      <c r="A1104" s="63">
        <f>'RAW DATA 2023'!B1097</f>
        <v>0</v>
      </c>
      <c r="B1104" s="63">
        <f>'RAW DATA 2023'!D1097</f>
        <v>0</v>
      </c>
      <c r="C1104" s="63" t="str">
        <f t="shared" si="99"/>
        <v>00</v>
      </c>
      <c r="D1104" s="63" t="e">
        <f>VLOOKUP(C1104,'RAW DATA 2023'!E:BP,63,0)</f>
        <v>#N/A</v>
      </c>
      <c r="E1104" s="63" t="e">
        <f t="shared" si="100"/>
        <v>#N/A</v>
      </c>
      <c r="F1104" s="63" t="e">
        <f>ROUND(VLOOKUP(C1104,'RAW DATA 2023'!E:BO,23,0),0)</f>
        <v>#N/A</v>
      </c>
      <c r="G1104" s="120" t="e">
        <f>VLOOKUP(C1104,'RAW DATA 2023'!E:BO,26,0)</f>
        <v>#N/A</v>
      </c>
      <c r="H1104" s="101" t="str">
        <f>IFERROR(VLOOKUP(F1104,STD!B:G,6,0),"")</f>
        <v/>
      </c>
      <c r="I1104" s="100">
        <f t="shared" si="101"/>
        <v>0</v>
      </c>
      <c r="J1104" s="249">
        <f t="shared" si="102"/>
        <v>0</v>
      </c>
      <c r="K1104" s="63" t="e">
        <f>VLOOKUP(C1104,'RAW DATA 2023'!E:BO,20,0)</f>
        <v>#N/A</v>
      </c>
      <c r="L1104" s="322" t="e">
        <f t="shared" si="103"/>
        <v>#N/A</v>
      </c>
    </row>
    <row r="1105" spans="1:12" s="63" customFormat="1">
      <c r="A1105" s="63">
        <f>'RAW DATA 2023'!B1098</f>
        <v>0</v>
      </c>
      <c r="B1105" s="63">
        <f>'RAW DATA 2023'!D1098</f>
        <v>0</v>
      </c>
      <c r="C1105" s="63" t="str">
        <f t="shared" si="99"/>
        <v>00</v>
      </c>
      <c r="D1105" s="63" t="e">
        <f>VLOOKUP(C1105,'RAW DATA 2023'!E:BP,63,0)</f>
        <v>#N/A</v>
      </c>
      <c r="E1105" s="63" t="e">
        <f t="shared" si="100"/>
        <v>#N/A</v>
      </c>
      <c r="F1105" s="63" t="e">
        <f>ROUND(VLOOKUP(C1105,'RAW DATA 2023'!E:BO,23,0),0)</f>
        <v>#N/A</v>
      </c>
      <c r="G1105" s="120" t="e">
        <f>VLOOKUP(C1105,'RAW DATA 2023'!E:BO,26,0)</f>
        <v>#N/A</v>
      </c>
      <c r="H1105" s="101" t="str">
        <f>IFERROR(VLOOKUP(F1105,STD!B:G,6,0),"")</f>
        <v/>
      </c>
      <c r="I1105" s="100">
        <f t="shared" si="101"/>
        <v>0</v>
      </c>
      <c r="J1105" s="249">
        <f t="shared" si="102"/>
        <v>0</v>
      </c>
      <c r="K1105" s="63" t="e">
        <f>VLOOKUP(C1105,'RAW DATA 2023'!E:BO,20,0)</f>
        <v>#N/A</v>
      </c>
      <c r="L1105" s="322" t="e">
        <f t="shared" si="103"/>
        <v>#N/A</v>
      </c>
    </row>
    <row r="1106" spans="1:12" s="63" customFormat="1">
      <c r="A1106" s="63">
        <f>'RAW DATA 2023'!B1099</f>
        <v>0</v>
      </c>
      <c r="B1106" s="63">
        <f>'RAW DATA 2023'!D1099</f>
        <v>0</v>
      </c>
      <c r="C1106" s="63" t="str">
        <f t="shared" si="99"/>
        <v>00</v>
      </c>
      <c r="D1106" s="63" t="e">
        <f>VLOOKUP(C1106,'RAW DATA 2023'!E:BP,63,0)</f>
        <v>#N/A</v>
      </c>
      <c r="E1106" s="63" t="e">
        <f t="shared" si="100"/>
        <v>#N/A</v>
      </c>
      <c r="F1106" s="63" t="e">
        <f>ROUND(VLOOKUP(C1106,'RAW DATA 2023'!E:BO,23,0),0)</f>
        <v>#N/A</v>
      </c>
      <c r="G1106" s="120" t="e">
        <f>VLOOKUP(C1106,'RAW DATA 2023'!E:BO,26,0)</f>
        <v>#N/A</v>
      </c>
      <c r="H1106" s="101" t="str">
        <f>IFERROR(VLOOKUP(F1106,STD!B:G,6,0),"")</f>
        <v/>
      </c>
      <c r="I1106" s="100">
        <f t="shared" si="101"/>
        <v>0</v>
      </c>
      <c r="J1106" s="249">
        <f t="shared" si="102"/>
        <v>0</v>
      </c>
      <c r="K1106" s="63" t="e">
        <f>VLOOKUP(C1106,'RAW DATA 2023'!E:BO,20,0)</f>
        <v>#N/A</v>
      </c>
      <c r="L1106" s="322" t="e">
        <f t="shared" si="103"/>
        <v>#N/A</v>
      </c>
    </row>
    <row r="1107" spans="1:12" s="63" customFormat="1">
      <c r="A1107" s="63">
        <f>'RAW DATA 2023'!B1100</f>
        <v>0</v>
      </c>
      <c r="B1107" s="63">
        <f>'RAW DATA 2023'!D1100</f>
        <v>0</v>
      </c>
      <c r="C1107" s="63" t="str">
        <f t="shared" si="99"/>
        <v>00</v>
      </c>
      <c r="D1107" s="63" t="e">
        <f>VLOOKUP(C1107,'RAW DATA 2023'!E:BP,63,0)</f>
        <v>#N/A</v>
      </c>
      <c r="E1107" s="63" t="e">
        <f t="shared" si="100"/>
        <v>#N/A</v>
      </c>
      <c r="F1107" s="63" t="e">
        <f>ROUND(VLOOKUP(C1107,'RAW DATA 2023'!E:BO,23,0),0)</f>
        <v>#N/A</v>
      </c>
      <c r="G1107" s="120" t="e">
        <f>VLOOKUP(C1107,'RAW DATA 2023'!E:BO,26,0)</f>
        <v>#N/A</v>
      </c>
      <c r="H1107" s="101" t="str">
        <f>IFERROR(VLOOKUP(F1107,STD!B:G,6,0),"")</f>
        <v/>
      </c>
      <c r="I1107" s="100">
        <f t="shared" si="101"/>
        <v>0</v>
      </c>
      <c r="J1107" s="249">
        <f t="shared" si="102"/>
        <v>0</v>
      </c>
      <c r="K1107" s="63" t="e">
        <f>VLOOKUP(C1107,'RAW DATA 2023'!E:BO,20,0)</f>
        <v>#N/A</v>
      </c>
      <c r="L1107" s="322" t="e">
        <f t="shared" si="103"/>
        <v>#N/A</v>
      </c>
    </row>
    <row r="1108" spans="1:12" s="63" customFormat="1">
      <c r="A1108" s="63">
        <f>'RAW DATA 2023'!B1101</f>
        <v>0</v>
      </c>
      <c r="B1108" s="63">
        <f>'RAW DATA 2023'!D1101</f>
        <v>0</v>
      </c>
      <c r="C1108" s="63" t="str">
        <f t="shared" si="99"/>
        <v>00</v>
      </c>
      <c r="D1108" s="63" t="e">
        <f>VLOOKUP(C1108,'RAW DATA 2023'!E:BP,63,0)</f>
        <v>#N/A</v>
      </c>
      <c r="E1108" s="63" t="e">
        <f t="shared" si="100"/>
        <v>#N/A</v>
      </c>
      <c r="F1108" s="63" t="e">
        <f>ROUND(VLOOKUP(C1108,'RAW DATA 2023'!E:BO,23,0),0)</f>
        <v>#N/A</v>
      </c>
      <c r="G1108" s="120" t="e">
        <f>VLOOKUP(C1108,'RAW DATA 2023'!E:BO,26,0)</f>
        <v>#N/A</v>
      </c>
      <c r="H1108" s="101" t="str">
        <f>IFERROR(VLOOKUP(F1108,STD!B:G,6,0),"")</f>
        <v/>
      </c>
      <c r="I1108" s="100">
        <f t="shared" si="101"/>
        <v>0</v>
      </c>
      <c r="J1108" s="249">
        <f t="shared" si="102"/>
        <v>0</v>
      </c>
      <c r="K1108" s="63" t="e">
        <f>VLOOKUP(C1108,'RAW DATA 2023'!E:BO,20,0)</f>
        <v>#N/A</v>
      </c>
      <c r="L1108" s="322" t="e">
        <f t="shared" si="103"/>
        <v>#N/A</v>
      </c>
    </row>
    <row r="1109" spans="1:12" s="63" customFormat="1">
      <c r="A1109" s="63">
        <f>'RAW DATA 2023'!B1102</f>
        <v>0</v>
      </c>
      <c r="B1109" s="63">
        <f>'RAW DATA 2023'!D1102</f>
        <v>0</v>
      </c>
      <c r="C1109" s="63" t="str">
        <f t="shared" si="99"/>
        <v>00</v>
      </c>
      <c r="D1109" s="63" t="e">
        <f>VLOOKUP(C1109,'RAW DATA 2023'!E:BP,63,0)</f>
        <v>#N/A</v>
      </c>
      <c r="E1109" s="63" t="e">
        <f t="shared" si="100"/>
        <v>#N/A</v>
      </c>
      <c r="F1109" s="63" t="e">
        <f>ROUND(VLOOKUP(C1109,'RAW DATA 2023'!E:BO,23,0),0)</f>
        <v>#N/A</v>
      </c>
      <c r="G1109" s="120" t="e">
        <f>VLOOKUP(C1109,'RAW DATA 2023'!E:BO,26,0)</f>
        <v>#N/A</v>
      </c>
      <c r="H1109" s="101" t="str">
        <f>IFERROR(VLOOKUP(F1109,STD!B:G,6,0),"")</f>
        <v/>
      </c>
      <c r="I1109" s="100">
        <f t="shared" si="101"/>
        <v>0</v>
      </c>
      <c r="J1109" s="249">
        <f t="shared" si="102"/>
        <v>0</v>
      </c>
      <c r="K1109" s="63" t="e">
        <f>VLOOKUP(C1109,'RAW DATA 2023'!E:BO,20,0)</f>
        <v>#N/A</v>
      </c>
      <c r="L1109" s="322" t="e">
        <f t="shared" si="103"/>
        <v>#N/A</v>
      </c>
    </row>
    <row r="1110" spans="1:12" s="63" customFormat="1">
      <c r="A1110" s="63">
        <f>'RAW DATA 2023'!B1103</f>
        <v>0</v>
      </c>
      <c r="B1110" s="63">
        <f>'RAW DATA 2023'!D1103</f>
        <v>0</v>
      </c>
      <c r="C1110" s="63" t="str">
        <f t="shared" si="99"/>
        <v>00</v>
      </c>
      <c r="D1110" s="63" t="e">
        <f>VLOOKUP(C1110,'RAW DATA 2023'!E:BP,63,0)</f>
        <v>#N/A</v>
      </c>
      <c r="E1110" s="63" t="e">
        <f t="shared" si="100"/>
        <v>#N/A</v>
      </c>
      <c r="F1110" s="63" t="e">
        <f>ROUND(VLOOKUP(C1110,'RAW DATA 2023'!E:BO,23,0),0)</f>
        <v>#N/A</v>
      </c>
      <c r="G1110" s="120" t="e">
        <f>VLOOKUP(C1110,'RAW DATA 2023'!E:BO,26,0)</f>
        <v>#N/A</v>
      </c>
      <c r="H1110" s="101" t="str">
        <f>IFERROR(VLOOKUP(F1110,STD!B:G,6,0),"")</f>
        <v/>
      </c>
      <c r="I1110" s="100">
        <f t="shared" si="101"/>
        <v>0</v>
      </c>
      <c r="J1110" s="249">
        <f t="shared" si="102"/>
        <v>0</v>
      </c>
      <c r="K1110" s="63" t="e">
        <f>VLOOKUP(C1110,'RAW DATA 2023'!E:BO,20,0)</f>
        <v>#N/A</v>
      </c>
      <c r="L1110" s="322" t="e">
        <f t="shared" si="103"/>
        <v>#N/A</v>
      </c>
    </row>
    <row r="1111" spans="1:12" s="63" customFormat="1">
      <c r="A1111" s="63">
        <f>'RAW DATA 2023'!B1104</f>
        <v>0</v>
      </c>
      <c r="B1111" s="63">
        <f>'RAW DATA 2023'!D1104</f>
        <v>0</v>
      </c>
      <c r="C1111" s="63" t="str">
        <f t="shared" si="99"/>
        <v>00</v>
      </c>
      <c r="D1111" s="63" t="e">
        <f>VLOOKUP(C1111,'RAW DATA 2023'!E:BP,63,0)</f>
        <v>#N/A</v>
      </c>
      <c r="E1111" s="63" t="e">
        <f t="shared" si="100"/>
        <v>#N/A</v>
      </c>
      <c r="F1111" s="63" t="e">
        <f>ROUND(VLOOKUP(C1111,'RAW DATA 2023'!E:BO,23,0),0)</f>
        <v>#N/A</v>
      </c>
      <c r="G1111" s="120" t="e">
        <f>VLOOKUP(C1111,'RAW DATA 2023'!E:BO,26,0)</f>
        <v>#N/A</v>
      </c>
      <c r="H1111" s="101" t="str">
        <f>IFERROR(VLOOKUP(F1111,STD!B:G,6,0),"")</f>
        <v/>
      </c>
      <c r="I1111" s="100">
        <f t="shared" si="101"/>
        <v>0</v>
      </c>
      <c r="J1111" s="249">
        <f t="shared" si="102"/>
        <v>0</v>
      </c>
      <c r="K1111" s="63" t="e">
        <f>VLOOKUP(C1111,'RAW DATA 2023'!E:BO,20,0)</f>
        <v>#N/A</v>
      </c>
      <c r="L1111" s="322" t="e">
        <f t="shared" si="103"/>
        <v>#N/A</v>
      </c>
    </row>
    <row r="1112" spans="1:12" s="63" customFormat="1">
      <c r="A1112" s="63">
        <f>'RAW DATA 2023'!B1105</f>
        <v>0</v>
      </c>
      <c r="B1112" s="63">
        <f>'RAW DATA 2023'!D1105</f>
        <v>0</v>
      </c>
      <c r="C1112" s="63" t="str">
        <f t="shared" si="99"/>
        <v>00</v>
      </c>
      <c r="D1112" s="63" t="e">
        <f>VLOOKUP(C1112,'RAW DATA 2023'!E:BP,63,0)</f>
        <v>#N/A</v>
      </c>
      <c r="E1112" s="63" t="e">
        <f t="shared" si="100"/>
        <v>#N/A</v>
      </c>
      <c r="F1112" s="63" t="e">
        <f>ROUND(VLOOKUP(C1112,'RAW DATA 2023'!E:BO,23,0),0)</f>
        <v>#N/A</v>
      </c>
      <c r="G1112" s="120" t="e">
        <f>VLOOKUP(C1112,'RAW DATA 2023'!E:BO,26,0)</f>
        <v>#N/A</v>
      </c>
      <c r="H1112" s="101" t="str">
        <f>IFERROR(VLOOKUP(F1112,STD!B:G,6,0),"")</f>
        <v/>
      </c>
      <c r="I1112" s="100">
        <f t="shared" si="101"/>
        <v>0</v>
      </c>
      <c r="J1112" s="249">
        <f t="shared" si="102"/>
        <v>0</v>
      </c>
      <c r="K1112" s="63" t="e">
        <f>VLOOKUP(C1112,'RAW DATA 2023'!E:BO,20,0)</f>
        <v>#N/A</v>
      </c>
      <c r="L1112" s="322" t="e">
        <f t="shared" si="103"/>
        <v>#N/A</v>
      </c>
    </row>
    <row r="1113" spans="1:12" s="63" customFormat="1">
      <c r="A1113" s="63">
        <f>'RAW DATA 2023'!B1106</f>
        <v>0</v>
      </c>
      <c r="B1113" s="63">
        <f>'RAW DATA 2023'!D1106</f>
        <v>0</v>
      </c>
      <c r="C1113" s="63" t="str">
        <f t="shared" si="99"/>
        <v>00</v>
      </c>
      <c r="D1113" s="63" t="e">
        <f>VLOOKUP(C1113,'RAW DATA 2023'!E:BP,63,0)</f>
        <v>#N/A</v>
      </c>
      <c r="E1113" s="63" t="e">
        <f t="shared" si="100"/>
        <v>#N/A</v>
      </c>
      <c r="F1113" s="63" t="e">
        <f>ROUND(VLOOKUP(C1113,'RAW DATA 2023'!E:BO,23,0),0)</f>
        <v>#N/A</v>
      </c>
      <c r="G1113" s="120" t="e">
        <f>VLOOKUP(C1113,'RAW DATA 2023'!E:BO,26,0)</f>
        <v>#N/A</v>
      </c>
      <c r="H1113" s="101" t="str">
        <f>IFERROR(VLOOKUP(F1113,STD!B:G,6,0),"")</f>
        <v/>
      </c>
      <c r="I1113" s="100">
        <f t="shared" si="101"/>
        <v>0</v>
      </c>
      <c r="J1113" s="249">
        <f t="shared" si="102"/>
        <v>0</v>
      </c>
      <c r="K1113" s="63" t="e">
        <f>VLOOKUP(C1113,'RAW DATA 2023'!E:BO,20,0)</f>
        <v>#N/A</v>
      </c>
      <c r="L1113" s="322" t="e">
        <f t="shared" si="103"/>
        <v>#N/A</v>
      </c>
    </row>
    <row r="1114" spans="1:12" s="63" customFormat="1">
      <c r="A1114" s="63">
        <f>'RAW DATA 2023'!B1107</f>
        <v>0</v>
      </c>
      <c r="B1114" s="63">
        <f>'RAW DATA 2023'!D1107</f>
        <v>0</v>
      </c>
      <c r="C1114" s="63" t="str">
        <f t="shared" si="99"/>
        <v>00</v>
      </c>
      <c r="D1114" s="63" t="e">
        <f>VLOOKUP(C1114,'RAW DATA 2023'!E:BP,63,0)</f>
        <v>#N/A</v>
      </c>
      <c r="E1114" s="63" t="e">
        <f t="shared" si="100"/>
        <v>#N/A</v>
      </c>
      <c r="F1114" s="63" t="e">
        <f>ROUND(VLOOKUP(C1114,'RAW DATA 2023'!E:BO,23,0),0)</f>
        <v>#N/A</v>
      </c>
      <c r="G1114" s="120" t="e">
        <f>VLOOKUP(C1114,'RAW DATA 2023'!E:BO,26,0)</f>
        <v>#N/A</v>
      </c>
      <c r="H1114" s="101" t="str">
        <f>IFERROR(VLOOKUP(F1114,STD!B:G,6,0),"")</f>
        <v/>
      </c>
      <c r="I1114" s="100">
        <f t="shared" si="101"/>
        <v>0</v>
      </c>
      <c r="J1114" s="249">
        <f t="shared" si="102"/>
        <v>0</v>
      </c>
      <c r="K1114" s="63" t="e">
        <f>VLOOKUP(C1114,'RAW DATA 2023'!E:BO,20,0)</f>
        <v>#N/A</v>
      </c>
      <c r="L1114" s="322" t="e">
        <f t="shared" si="103"/>
        <v>#N/A</v>
      </c>
    </row>
    <row r="1115" spans="1:12" s="63" customFormat="1">
      <c r="A1115" s="63">
        <f>'RAW DATA 2023'!B1108</f>
        <v>0</v>
      </c>
      <c r="B1115" s="63">
        <f>'RAW DATA 2023'!D1108</f>
        <v>0</v>
      </c>
      <c r="C1115" s="63" t="str">
        <f t="shared" si="99"/>
        <v>00</v>
      </c>
      <c r="D1115" s="63" t="e">
        <f>VLOOKUP(C1115,'RAW DATA 2023'!E:BP,63,0)</f>
        <v>#N/A</v>
      </c>
      <c r="E1115" s="63" t="e">
        <f t="shared" si="100"/>
        <v>#N/A</v>
      </c>
      <c r="F1115" s="63" t="e">
        <f>ROUND(VLOOKUP(C1115,'RAW DATA 2023'!E:BO,23,0),0)</f>
        <v>#N/A</v>
      </c>
      <c r="G1115" s="120" t="e">
        <f>VLOOKUP(C1115,'RAW DATA 2023'!E:BO,26,0)</f>
        <v>#N/A</v>
      </c>
      <c r="H1115" s="101" t="str">
        <f>IFERROR(VLOOKUP(F1115,STD!B:G,6,0),"")</f>
        <v/>
      </c>
      <c r="I1115" s="100">
        <f t="shared" si="101"/>
        <v>0</v>
      </c>
      <c r="J1115" s="249">
        <f t="shared" si="102"/>
        <v>0</v>
      </c>
      <c r="K1115" s="63" t="e">
        <f>VLOOKUP(C1115,'RAW DATA 2023'!E:BO,20,0)</f>
        <v>#N/A</v>
      </c>
      <c r="L1115" s="322" t="e">
        <f t="shared" si="103"/>
        <v>#N/A</v>
      </c>
    </row>
    <row r="1116" spans="1:12" s="63" customFormat="1">
      <c r="A1116" s="63">
        <f>'RAW DATA 2023'!B1109</f>
        <v>0</v>
      </c>
      <c r="B1116" s="63">
        <f>'RAW DATA 2023'!D1109</f>
        <v>0</v>
      </c>
      <c r="C1116" s="63" t="str">
        <f t="shared" si="99"/>
        <v>00</v>
      </c>
      <c r="D1116" s="63" t="e">
        <f>VLOOKUP(C1116,'RAW DATA 2023'!E:BP,63,0)</f>
        <v>#N/A</v>
      </c>
      <c r="E1116" s="63" t="e">
        <f t="shared" si="100"/>
        <v>#N/A</v>
      </c>
      <c r="F1116" s="63" t="e">
        <f>ROUND(VLOOKUP(C1116,'RAW DATA 2023'!E:BO,23,0),0)</f>
        <v>#N/A</v>
      </c>
      <c r="G1116" s="120" t="e">
        <f>VLOOKUP(C1116,'RAW DATA 2023'!E:BO,26,0)</f>
        <v>#N/A</v>
      </c>
      <c r="H1116" s="101" t="str">
        <f>IFERROR(VLOOKUP(F1116,STD!B:G,6,0),"")</f>
        <v/>
      </c>
      <c r="I1116" s="100">
        <f t="shared" si="101"/>
        <v>0</v>
      </c>
      <c r="J1116" s="249">
        <f t="shared" si="102"/>
        <v>0</v>
      </c>
      <c r="K1116" s="63" t="e">
        <f>VLOOKUP(C1116,'RAW DATA 2023'!E:BO,20,0)</f>
        <v>#N/A</v>
      </c>
      <c r="L1116" s="322" t="e">
        <f t="shared" si="103"/>
        <v>#N/A</v>
      </c>
    </row>
    <row r="1117" spans="1:12" s="63" customFormat="1">
      <c r="A1117" s="63">
        <f>'RAW DATA 2023'!B1110</f>
        <v>0</v>
      </c>
      <c r="B1117" s="63">
        <f>'RAW DATA 2023'!D1110</f>
        <v>0</v>
      </c>
      <c r="C1117" s="63" t="str">
        <f t="shared" si="99"/>
        <v>00</v>
      </c>
      <c r="D1117" s="63" t="e">
        <f>VLOOKUP(C1117,'RAW DATA 2023'!E:BP,63,0)</f>
        <v>#N/A</v>
      </c>
      <c r="E1117" s="63" t="e">
        <f t="shared" si="100"/>
        <v>#N/A</v>
      </c>
      <c r="F1117" s="63" t="e">
        <f>ROUND(VLOOKUP(C1117,'RAW DATA 2023'!E:BO,23,0),0)</f>
        <v>#N/A</v>
      </c>
      <c r="G1117" s="120" t="e">
        <f>VLOOKUP(C1117,'RAW DATA 2023'!E:BO,26,0)</f>
        <v>#N/A</v>
      </c>
      <c r="H1117" s="101" t="str">
        <f>IFERROR(VLOOKUP(F1117,STD!B:G,6,0),"")</f>
        <v/>
      </c>
      <c r="I1117" s="100">
        <f t="shared" si="101"/>
        <v>0</v>
      </c>
      <c r="J1117" s="249">
        <f t="shared" si="102"/>
        <v>0</v>
      </c>
      <c r="K1117" s="63" t="e">
        <f>VLOOKUP(C1117,'RAW DATA 2023'!E:BO,20,0)</f>
        <v>#N/A</v>
      </c>
      <c r="L1117" s="322" t="e">
        <f t="shared" si="103"/>
        <v>#N/A</v>
      </c>
    </row>
    <row r="1118" spans="1:12" s="63" customFormat="1">
      <c r="A1118" s="63">
        <f>'RAW DATA 2023'!B1111</f>
        <v>0</v>
      </c>
      <c r="B1118" s="63">
        <f>'RAW DATA 2023'!D1111</f>
        <v>0</v>
      </c>
      <c r="C1118" s="63" t="str">
        <f t="shared" si="99"/>
        <v>00</v>
      </c>
      <c r="D1118" s="63" t="e">
        <f>VLOOKUP(C1118,'RAW DATA 2023'!E:BP,63,0)</f>
        <v>#N/A</v>
      </c>
      <c r="E1118" s="63" t="e">
        <f t="shared" si="100"/>
        <v>#N/A</v>
      </c>
      <c r="F1118" s="63" t="e">
        <f>ROUND(VLOOKUP(C1118,'RAW DATA 2023'!E:BO,23,0),0)</f>
        <v>#N/A</v>
      </c>
      <c r="G1118" s="120" t="e">
        <f>VLOOKUP(C1118,'RAW DATA 2023'!E:BO,26,0)</f>
        <v>#N/A</v>
      </c>
      <c r="H1118" s="101" t="str">
        <f>IFERROR(VLOOKUP(F1118,STD!B:G,6,0),"")</f>
        <v/>
      </c>
      <c r="I1118" s="100">
        <f t="shared" si="101"/>
        <v>0</v>
      </c>
      <c r="J1118" s="249">
        <f t="shared" si="102"/>
        <v>0</v>
      </c>
      <c r="K1118" s="63" t="e">
        <f>VLOOKUP(C1118,'RAW DATA 2023'!E:BO,20,0)</f>
        <v>#N/A</v>
      </c>
      <c r="L1118" s="322" t="e">
        <f t="shared" si="103"/>
        <v>#N/A</v>
      </c>
    </row>
    <row r="1119" spans="1:12" s="63" customFormat="1">
      <c r="A1119" s="63">
        <f>'RAW DATA 2023'!B1112</f>
        <v>0</v>
      </c>
      <c r="B1119" s="63">
        <f>'RAW DATA 2023'!D1112</f>
        <v>0</v>
      </c>
      <c r="C1119" s="63" t="str">
        <f t="shared" si="99"/>
        <v>00</v>
      </c>
      <c r="D1119" s="63" t="e">
        <f>VLOOKUP(C1119,'RAW DATA 2023'!E:BP,63,0)</f>
        <v>#N/A</v>
      </c>
      <c r="E1119" s="63" t="e">
        <f t="shared" si="100"/>
        <v>#N/A</v>
      </c>
      <c r="F1119" s="63" t="e">
        <f>ROUND(VLOOKUP(C1119,'RAW DATA 2023'!E:BO,23,0),0)</f>
        <v>#N/A</v>
      </c>
      <c r="G1119" s="120" t="e">
        <f>VLOOKUP(C1119,'RAW DATA 2023'!E:BO,26,0)</f>
        <v>#N/A</v>
      </c>
      <c r="H1119" s="101" t="str">
        <f>IFERROR(VLOOKUP(F1119,STD!B:G,6,0),"")</f>
        <v/>
      </c>
      <c r="I1119" s="100">
        <f t="shared" si="101"/>
        <v>0</v>
      </c>
      <c r="J1119" s="249">
        <f t="shared" si="102"/>
        <v>0</v>
      </c>
      <c r="K1119" s="63" t="e">
        <f>VLOOKUP(C1119,'RAW DATA 2023'!E:BO,20,0)</f>
        <v>#N/A</v>
      </c>
      <c r="L1119" s="322" t="e">
        <f t="shared" si="103"/>
        <v>#N/A</v>
      </c>
    </row>
    <row r="1120" spans="1:12" s="63" customFormat="1">
      <c r="A1120" s="63">
        <f>'RAW DATA 2023'!B1113</f>
        <v>0</v>
      </c>
      <c r="B1120" s="63">
        <f>'RAW DATA 2023'!D1113</f>
        <v>0</v>
      </c>
      <c r="C1120" s="63" t="str">
        <f t="shared" si="99"/>
        <v>00</v>
      </c>
      <c r="D1120" s="63" t="e">
        <f>VLOOKUP(C1120,'RAW DATA 2023'!E:BP,63,0)</f>
        <v>#N/A</v>
      </c>
      <c r="E1120" s="63" t="e">
        <f t="shared" si="100"/>
        <v>#N/A</v>
      </c>
      <c r="F1120" s="63" t="e">
        <f>ROUND(VLOOKUP(C1120,'RAW DATA 2023'!E:BO,23,0),0)</f>
        <v>#N/A</v>
      </c>
      <c r="G1120" s="120" t="e">
        <f>VLOOKUP(C1120,'RAW DATA 2023'!E:BO,26,0)</f>
        <v>#N/A</v>
      </c>
      <c r="H1120" s="101" t="str">
        <f>IFERROR(VLOOKUP(F1120,STD!B:G,6,0),"")</f>
        <v/>
      </c>
      <c r="I1120" s="100">
        <f t="shared" si="101"/>
        <v>0</v>
      </c>
      <c r="J1120" s="249">
        <f t="shared" si="102"/>
        <v>0</v>
      </c>
      <c r="K1120" s="63" t="e">
        <f>VLOOKUP(C1120,'RAW DATA 2023'!E:BO,20,0)</f>
        <v>#N/A</v>
      </c>
      <c r="L1120" s="322" t="e">
        <f t="shared" si="103"/>
        <v>#N/A</v>
      </c>
    </row>
    <row r="1121" spans="1:12" s="63" customFormat="1">
      <c r="A1121" s="63">
        <f>'RAW DATA 2023'!B1114</f>
        <v>0</v>
      </c>
      <c r="B1121" s="63">
        <f>'RAW DATA 2023'!D1114</f>
        <v>0</v>
      </c>
      <c r="C1121" s="63" t="str">
        <f t="shared" si="99"/>
        <v>00</v>
      </c>
      <c r="D1121" s="63" t="e">
        <f>VLOOKUP(C1121,'RAW DATA 2023'!E:BP,63,0)</f>
        <v>#N/A</v>
      </c>
      <c r="E1121" s="63" t="e">
        <f t="shared" si="100"/>
        <v>#N/A</v>
      </c>
      <c r="F1121" s="63" t="e">
        <f>ROUND(VLOOKUP(C1121,'RAW DATA 2023'!E:BO,23,0),0)</f>
        <v>#N/A</v>
      </c>
      <c r="G1121" s="120" t="e">
        <f>VLOOKUP(C1121,'RAW DATA 2023'!E:BO,26,0)</f>
        <v>#N/A</v>
      </c>
      <c r="H1121" s="101" t="str">
        <f>IFERROR(VLOOKUP(F1121,STD!B:G,6,0),"")</f>
        <v/>
      </c>
      <c r="I1121" s="100">
        <f t="shared" si="101"/>
        <v>0</v>
      </c>
      <c r="J1121" s="249">
        <f t="shared" si="102"/>
        <v>0</v>
      </c>
      <c r="K1121" s="63" t="e">
        <f>VLOOKUP(C1121,'RAW DATA 2023'!E:BO,20,0)</f>
        <v>#N/A</v>
      </c>
      <c r="L1121" s="322" t="e">
        <f t="shared" si="103"/>
        <v>#N/A</v>
      </c>
    </row>
    <row r="1122" spans="1:12" s="63" customFormat="1">
      <c r="A1122" s="63">
        <f>'RAW DATA 2023'!B1115</f>
        <v>0</v>
      </c>
      <c r="B1122" s="63">
        <f>'RAW DATA 2023'!D1115</f>
        <v>0</v>
      </c>
      <c r="C1122" s="63" t="str">
        <f t="shared" si="99"/>
        <v>00</v>
      </c>
      <c r="D1122" s="63" t="e">
        <f>VLOOKUP(C1122,'RAW DATA 2023'!E:BP,63,0)</f>
        <v>#N/A</v>
      </c>
      <c r="E1122" s="63" t="e">
        <f t="shared" si="100"/>
        <v>#N/A</v>
      </c>
      <c r="F1122" s="63" t="e">
        <f>ROUND(VLOOKUP(C1122,'RAW DATA 2023'!E:BO,23,0),0)</f>
        <v>#N/A</v>
      </c>
      <c r="G1122" s="120" t="e">
        <f>VLOOKUP(C1122,'RAW DATA 2023'!E:BO,26,0)</f>
        <v>#N/A</v>
      </c>
      <c r="H1122" s="101" t="str">
        <f>IFERROR(VLOOKUP(F1122,STD!B:G,6,0),"")</f>
        <v/>
      </c>
      <c r="I1122" s="100">
        <f t="shared" si="101"/>
        <v>0</v>
      </c>
      <c r="J1122" s="249">
        <f t="shared" si="102"/>
        <v>0</v>
      </c>
      <c r="K1122" s="63" t="e">
        <f>VLOOKUP(C1122,'RAW DATA 2023'!E:BO,20,0)</f>
        <v>#N/A</v>
      </c>
      <c r="L1122" s="322" t="e">
        <f t="shared" si="103"/>
        <v>#N/A</v>
      </c>
    </row>
    <row r="1123" spans="1:12" s="63" customFormat="1">
      <c r="A1123" s="63">
        <f>'RAW DATA 2023'!B1116</f>
        <v>0</v>
      </c>
      <c r="B1123" s="63">
        <f>'RAW DATA 2023'!D1116</f>
        <v>0</v>
      </c>
      <c r="C1123" s="63" t="str">
        <f t="shared" si="99"/>
        <v>00</v>
      </c>
      <c r="D1123" s="63" t="e">
        <f>VLOOKUP(C1123,'RAW DATA 2023'!E:BP,63,0)</f>
        <v>#N/A</v>
      </c>
      <c r="E1123" s="63" t="e">
        <f t="shared" si="100"/>
        <v>#N/A</v>
      </c>
      <c r="F1123" s="63" t="e">
        <f>ROUND(VLOOKUP(C1123,'RAW DATA 2023'!E:BO,23,0),0)</f>
        <v>#N/A</v>
      </c>
      <c r="G1123" s="120" t="e">
        <f>VLOOKUP(C1123,'RAW DATA 2023'!E:BO,26,0)</f>
        <v>#N/A</v>
      </c>
      <c r="H1123" s="101" t="str">
        <f>IFERROR(VLOOKUP(F1123,STD!B:G,6,0),"")</f>
        <v/>
      </c>
      <c r="I1123" s="100">
        <f t="shared" si="101"/>
        <v>0</v>
      </c>
      <c r="J1123" s="249">
        <f t="shared" si="102"/>
        <v>0</v>
      </c>
      <c r="K1123" s="63" t="e">
        <f>VLOOKUP(C1123,'RAW DATA 2023'!E:BO,20,0)</f>
        <v>#N/A</v>
      </c>
      <c r="L1123" s="322" t="e">
        <f t="shared" si="103"/>
        <v>#N/A</v>
      </c>
    </row>
    <row r="1124" spans="1:12" s="63" customFormat="1">
      <c r="A1124" s="63">
        <f>'RAW DATA 2023'!B1117</f>
        <v>0</v>
      </c>
      <c r="B1124" s="63">
        <f>'RAW DATA 2023'!D1117</f>
        <v>0</v>
      </c>
      <c r="C1124" s="63" t="str">
        <f t="shared" si="99"/>
        <v>00</v>
      </c>
      <c r="D1124" s="63" t="e">
        <f>VLOOKUP(C1124,'RAW DATA 2023'!E:BP,63,0)</f>
        <v>#N/A</v>
      </c>
      <c r="E1124" s="63" t="e">
        <f t="shared" si="100"/>
        <v>#N/A</v>
      </c>
      <c r="F1124" s="63" t="e">
        <f>ROUND(VLOOKUP(C1124,'RAW DATA 2023'!E:BO,23,0),0)</f>
        <v>#N/A</v>
      </c>
      <c r="G1124" s="120" t="e">
        <f>VLOOKUP(C1124,'RAW DATA 2023'!E:BO,26,0)</f>
        <v>#N/A</v>
      </c>
      <c r="H1124" s="101" t="str">
        <f>IFERROR(VLOOKUP(F1124,STD!B:G,6,0),"")</f>
        <v/>
      </c>
      <c r="I1124" s="100">
        <f t="shared" si="101"/>
        <v>0</v>
      </c>
      <c r="J1124" s="249">
        <f t="shared" si="102"/>
        <v>0</v>
      </c>
      <c r="K1124" s="63" t="e">
        <f>VLOOKUP(C1124,'RAW DATA 2023'!E:BO,20,0)</f>
        <v>#N/A</v>
      </c>
      <c r="L1124" s="322" t="e">
        <f t="shared" si="103"/>
        <v>#N/A</v>
      </c>
    </row>
    <row r="1125" spans="1:12" s="63" customFormat="1">
      <c r="A1125" s="63">
        <f>'RAW DATA 2023'!B1118</f>
        <v>0</v>
      </c>
      <c r="B1125" s="63">
        <f>'RAW DATA 2023'!D1118</f>
        <v>0</v>
      </c>
      <c r="C1125" s="63" t="str">
        <f t="shared" si="99"/>
        <v>00</v>
      </c>
      <c r="D1125" s="63" t="e">
        <f>VLOOKUP(C1125,'RAW DATA 2023'!E:BP,63,0)</f>
        <v>#N/A</v>
      </c>
      <c r="E1125" s="63" t="e">
        <f t="shared" si="100"/>
        <v>#N/A</v>
      </c>
      <c r="F1125" s="63" t="e">
        <f>ROUND(VLOOKUP(C1125,'RAW DATA 2023'!E:BO,23,0),0)</f>
        <v>#N/A</v>
      </c>
      <c r="G1125" s="120" t="e">
        <f>VLOOKUP(C1125,'RAW DATA 2023'!E:BO,26,0)</f>
        <v>#N/A</v>
      </c>
      <c r="H1125" s="101" t="str">
        <f>IFERROR(VLOOKUP(F1125,STD!B:G,6,0),"")</f>
        <v/>
      </c>
      <c r="I1125" s="100">
        <f t="shared" si="101"/>
        <v>0</v>
      </c>
      <c r="J1125" s="249">
        <f t="shared" si="102"/>
        <v>0</v>
      </c>
      <c r="K1125" s="63" t="e">
        <f>VLOOKUP(C1125,'RAW DATA 2023'!E:BO,20,0)</f>
        <v>#N/A</v>
      </c>
      <c r="L1125" s="322" t="e">
        <f t="shared" si="103"/>
        <v>#N/A</v>
      </c>
    </row>
    <row r="1126" spans="1:12" s="63" customFormat="1">
      <c r="A1126" s="63">
        <f>'RAW DATA 2023'!B1119</f>
        <v>0</v>
      </c>
      <c r="B1126" s="63">
        <f>'RAW DATA 2023'!D1119</f>
        <v>0</v>
      </c>
      <c r="C1126" s="63" t="str">
        <f t="shared" si="99"/>
        <v>00</v>
      </c>
      <c r="D1126" s="63" t="e">
        <f>VLOOKUP(C1126,'RAW DATA 2023'!E:BP,63,0)</f>
        <v>#N/A</v>
      </c>
      <c r="E1126" s="63" t="e">
        <f t="shared" si="100"/>
        <v>#N/A</v>
      </c>
      <c r="F1126" s="63" t="e">
        <f>ROUND(VLOOKUP(C1126,'RAW DATA 2023'!E:BO,23,0),0)</f>
        <v>#N/A</v>
      </c>
      <c r="G1126" s="120" t="e">
        <f>VLOOKUP(C1126,'RAW DATA 2023'!E:BO,26,0)</f>
        <v>#N/A</v>
      </c>
      <c r="H1126" s="101" t="str">
        <f>IFERROR(VLOOKUP(F1126,STD!B:G,6,0),"")</f>
        <v/>
      </c>
      <c r="I1126" s="100">
        <f t="shared" si="101"/>
        <v>0</v>
      </c>
      <c r="J1126" s="249">
        <f t="shared" si="102"/>
        <v>0</v>
      </c>
      <c r="K1126" s="63" t="e">
        <f>VLOOKUP(C1126,'RAW DATA 2023'!E:BO,20,0)</f>
        <v>#N/A</v>
      </c>
      <c r="L1126" s="322" t="e">
        <f t="shared" si="103"/>
        <v>#N/A</v>
      </c>
    </row>
    <row r="1127" spans="1:12" s="63" customFormat="1">
      <c r="A1127" s="63">
        <f>'RAW DATA 2023'!B1120</f>
        <v>0</v>
      </c>
      <c r="B1127" s="63">
        <f>'RAW DATA 2023'!D1120</f>
        <v>0</v>
      </c>
      <c r="C1127" s="63" t="str">
        <f t="shared" si="99"/>
        <v>00</v>
      </c>
      <c r="D1127" s="63" t="e">
        <f>VLOOKUP(C1127,'RAW DATA 2023'!E:BP,63,0)</f>
        <v>#N/A</v>
      </c>
      <c r="E1127" s="63" t="e">
        <f t="shared" si="100"/>
        <v>#N/A</v>
      </c>
      <c r="F1127" s="63" t="e">
        <f>ROUND(VLOOKUP(C1127,'RAW DATA 2023'!E:BO,23,0),0)</f>
        <v>#N/A</v>
      </c>
      <c r="G1127" s="120" t="e">
        <f>VLOOKUP(C1127,'RAW DATA 2023'!E:BO,26,0)</f>
        <v>#N/A</v>
      </c>
      <c r="H1127" s="101" t="str">
        <f>IFERROR(VLOOKUP(F1127,STD!B:G,6,0),"")</f>
        <v/>
      </c>
      <c r="I1127" s="100">
        <f t="shared" si="101"/>
        <v>0</v>
      </c>
      <c r="J1127" s="249">
        <f t="shared" si="102"/>
        <v>0</v>
      </c>
      <c r="K1127" s="63" t="e">
        <f>VLOOKUP(C1127,'RAW DATA 2023'!E:BO,20,0)</f>
        <v>#N/A</v>
      </c>
      <c r="L1127" s="322" t="e">
        <f t="shared" si="103"/>
        <v>#N/A</v>
      </c>
    </row>
    <row r="1128" spans="1:12" s="63" customFormat="1">
      <c r="A1128" s="63">
        <f>'RAW DATA 2023'!B1121</f>
        <v>0</v>
      </c>
      <c r="B1128" s="63">
        <f>'RAW DATA 2023'!D1121</f>
        <v>0</v>
      </c>
      <c r="C1128" s="63" t="str">
        <f t="shared" si="99"/>
        <v>00</v>
      </c>
      <c r="D1128" s="63" t="e">
        <f>VLOOKUP(C1128,'RAW DATA 2023'!E:BP,63,0)</f>
        <v>#N/A</v>
      </c>
      <c r="E1128" s="63" t="e">
        <f t="shared" si="100"/>
        <v>#N/A</v>
      </c>
      <c r="F1128" s="63" t="e">
        <f>ROUND(VLOOKUP(C1128,'RAW DATA 2023'!E:BO,23,0),0)</f>
        <v>#N/A</v>
      </c>
      <c r="G1128" s="120" t="e">
        <f>VLOOKUP(C1128,'RAW DATA 2023'!E:BO,26,0)</f>
        <v>#N/A</v>
      </c>
      <c r="H1128" s="101" t="str">
        <f>IFERROR(VLOOKUP(F1128,STD!B:G,6,0),"")</f>
        <v/>
      </c>
      <c r="I1128" s="100">
        <f t="shared" si="101"/>
        <v>0</v>
      </c>
      <c r="J1128" s="249">
        <f t="shared" si="102"/>
        <v>0</v>
      </c>
      <c r="K1128" s="63" t="e">
        <f>VLOOKUP(C1128,'RAW DATA 2023'!E:BO,20,0)</f>
        <v>#N/A</v>
      </c>
      <c r="L1128" s="322" t="e">
        <f t="shared" si="103"/>
        <v>#N/A</v>
      </c>
    </row>
    <row r="1129" spans="1:12" s="63" customFormat="1">
      <c r="A1129" s="63">
        <f>'RAW DATA 2023'!B1122</f>
        <v>0</v>
      </c>
      <c r="B1129" s="63">
        <f>'RAW DATA 2023'!D1122</f>
        <v>0</v>
      </c>
      <c r="C1129" s="63" t="str">
        <f t="shared" si="99"/>
        <v>00</v>
      </c>
      <c r="D1129" s="63" t="e">
        <f>VLOOKUP(C1129,'RAW DATA 2023'!E:BP,63,0)</f>
        <v>#N/A</v>
      </c>
      <c r="E1129" s="63" t="e">
        <f t="shared" si="100"/>
        <v>#N/A</v>
      </c>
      <c r="F1129" s="63" t="e">
        <f>ROUND(VLOOKUP(C1129,'RAW DATA 2023'!E:BO,23,0),0)</f>
        <v>#N/A</v>
      </c>
      <c r="G1129" s="120" t="e">
        <f>VLOOKUP(C1129,'RAW DATA 2023'!E:BO,26,0)</f>
        <v>#N/A</v>
      </c>
      <c r="H1129" s="101" t="str">
        <f>IFERROR(VLOOKUP(F1129,STD!B:G,6,0),"")</f>
        <v/>
      </c>
      <c r="I1129" s="100">
        <f t="shared" si="101"/>
        <v>0</v>
      </c>
      <c r="J1129" s="249">
        <f t="shared" si="102"/>
        <v>0</v>
      </c>
      <c r="K1129" s="63" t="e">
        <f>VLOOKUP(C1129,'RAW DATA 2023'!E:BO,20,0)</f>
        <v>#N/A</v>
      </c>
      <c r="L1129" s="322" t="e">
        <f t="shared" si="103"/>
        <v>#N/A</v>
      </c>
    </row>
    <row r="1130" spans="1:12" s="63" customFormat="1">
      <c r="A1130" s="63">
        <f>'RAW DATA 2023'!B1123</f>
        <v>0</v>
      </c>
      <c r="B1130" s="63">
        <f>'RAW DATA 2023'!D1123</f>
        <v>0</v>
      </c>
      <c r="C1130" s="63" t="str">
        <f t="shared" si="99"/>
        <v>00</v>
      </c>
      <c r="D1130" s="63" t="e">
        <f>VLOOKUP(C1130,'RAW DATA 2023'!E:BP,63,0)</f>
        <v>#N/A</v>
      </c>
      <c r="E1130" s="63" t="e">
        <f t="shared" si="100"/>
        <v>#N/A</v>
      </c>
      <c r="F1130" s="63" t="e">
        <f>ROUND(VLOOKUP(C1130,'RAW DATA 2023'!E:BO,23,0),0)</f>
        <v>#N/A</v>
      </c>
      <c r="G1130" s="120" t="e">
        <f>VLOOKUP(C1130,'RAW DATA 2023'!E:BO,26,0)</f>
        <v>#N/A</v>
      </c>
      <c r="H1130" s="101" t="str">
        <f>IFERROR(VLOOKUP(F1130,STD!B:G,6,0),"")</f>
        <v/>
      </c>
      <c r="I1130" s="100">
        <f t="shared" si="101"/>
        <v>0</v>
      </c>
      <c r="J1130" s="249">
        <f t="shared" si="102"/>
        <v>0</v>
      </c>
      <c r="K1130" s="63" t="e">
        <f>VLOOKUP(C1130,'RAW DATA 2023'!E:BO,20,0)</f>
        <v>#N/A</v>
      </c>
      <c r="L1130" s="322" t="e">
        <f t="shared" si="103"/>
        <v>#N/A</v>
      </c>
    </row>
    <row r="1131" spans="1:12" s="63" customFormat="1">
      <c r="A1131" s="63">
        <f>'RAW DATA 2023'!B1124</f>
        <v>0</v>
      </c>
      <c r="B1131" s="63">
        <f>'RAW DATA 2023'!D1124</f>
        <v>0</v>
      </c>
      <c r="C1131" s="63" t="str">
        <f t="shared" si="99"/>
        <v>00</v>
      </c>
      <c r="D1131" s="63" t="e">
        <f>VLOOKUP(C1131,'RAW DATA 2023'!E:BP,63,0)</f>
        <v>#N/A</v>
      </c>
      <c r="E1131" s="63" t="e">
        <f t="shared" si="100"/>
        <v>#N/A</v>
      </c>
      <c r="F1131" s="63" t="e">
        <f>ROUND(VLOOKUP(C1131,'RAW DATA 2023'!E:BO,23,0),0)</f>
        <v>#N/A</v>
      </c>
      <c r="G1131" s="120" t="e">
        <f>VLOOKUP(C1131,'RAW DATA 2023'!E:BO,26,0)</f>
        <v>#N/A</v>
      </c>
      <c r="H1131" s="101" t="str">
        <f>IFERROR(VLOOKUP(F1131,STD!B:G,6,0),"")</f>
        <v/>
      </c>
      <c r="I1131" s="100">
        <f t="shared" si="101"/>
        <v>0</v>
      </c>
      <c r="J1131" s="249">
        <f t="shared" si="102"/>
        <v>0</v>
      </c>
      <c r="K1131" s="63" t="e">
        <f>VLOOKUP(C1131,'RAW DATA 2023'!E:BO,20,0)</f>
        <v>#N/A</v>
      </c>
      <c r="L1131" s="322" t="e">
        <f t="shared" si="103"/>
        <v>#N/A</v>
      </c>
    </row>
    <row r="1132" spans="1:12" s="63" customFormat="1">
      <c r="A1132" s="63">
        <f>'RAW DATA 2023'!B1125</f>
        <v>0</v>
      </c>
      <c r="B1132" s="63">
        <f>'RAW DATA 2023'!D1125</f>
        <v>0</v>
      </c>
      <c r="C1132" s="63" t="str">
        <f t="shared" si="99"/>
        <v>00</v>
      </c>
      <c r="D1132" s="63" t="e">
        <f>VLOOKUP(C1132,'RAW DATA 2023'!E:BP,63,0)</f>
        <v>#N/A</v>
      </c>
      <c r="E1132" s="63" t="e">
        <f t="shared" si="100"/>
        <v>#N/A</v>
      </c>
      <c r="F1132" s="63" t="e">
        <f>ROUND(VLOOKUP(C1132,'RAW DATA 2023'!E:BO,23,0),0)</f>
        <v>#N/A</v>
      </c>
      <c r="G1132" s="120" t="e">
        <f>VLOOKUP(C1132,'RAW DATA 2023'!E:BO,26,0)</f>
        <v>#N/A</v>
      </c>
      <c r="H1132" s="101" t="str">
        <f>IFERROR(VLOOKUP(F1132,STD!B:G,6,0),"")</f>
        <v/>
      </c>
      <c r="I1132" s="100">
        <f t="shared" si="101"/>
        <v>0</v>
      </c>
      <c r="J1132" s="249">
        <f t="shared" si="102"/>
        <v>0</v>
      </c>
      <c r="K1132" s="63" t="e">
        <f>VLOOKUP(C1132,'RAW DATA 2023'!E:BO,20,0)</f>
        <v>#N/A</v>
      </c>
      <c r="L1132" s="322" t="e">
        <f t="shared" si="103"/>
        <v>#N/A</v>
      </c>
    </row>
    <row r="1133" spans="1:12" s="63" customFormat="1">
      <c r="A1133" s="63">
        <f>'RAW DATA 2023'!B1126</f>
        <v>0</v>
      </c>
      <c r="B1133" s="63">
        <f>'RAW DATA 2023'!D1126</f>
        <v>0</v>
      </c>
      <c r="C1133" s="63" t="str">
        <f t="shared" si="99"/>
        <v>00</v>
      </c>
      <c r="D1133" s="63" t="e">
        <f>VLOOKUP(C1133,'RAW DATA 2023'!E:BP,63,0)</f>
        <v>#N/A</v>
      </c>
      <c r="E1133" s="63" t="e">
        <f t="shared" si="100"/>
        <v>#N/A</v>
      </c>
      <c r="F1133" s="63" t="e">
        <f>ROUND(VLOOKUP(C1133,'RAW DATA 2023'!E:BO,23,0),0)</f>
        <v>#N/A</v>
      </c>
      <c r="G1133" s="120" t="e">
        <f>VLOOKUP(C1133,'RAW DATA 2023'!E:BO,26,0)</f>
        <v>#N/A</v>
      </c>
      <c r="H1133" s="101" t="str">
        <f>IFERROR(VLOOKUP(F1133,STD!B:G,6,0),"")</f>
        <v/>
      </c>
      <c r="I1133" s="100">
        <f t="shared" si="101"/>
        <v>0</v>
      </c>
      <c r="J1133" s="249">
        <f t="shared" si="102"/>
        <v>0</v>
      </c>
      <c r="K1133" s="63" t="e">
        <f>VLOOKUP(C1133,'RAW DATA 2023'!E:BO,20,0)</f>
        <v>#N/A</v>
      </c>
      <c r="L1133" s="322" t="e">
        <f t="shared" si="103"/>
        <v>#N/A</v>
      </c>
    </row>
    <row r="1134" spans="1:12" s="63" customFormat="1">
      <c r="A1134" s="63">
        <f>'RAW DATA 2023'!B1127</f>
        <v>0</v>
      </c>
      <c r="B1134" s="63">
        <f>'RAW DATA 2023'!D1127</f>
        <v>0</v>
      </c>
      <c r="C1134" s="63" t="str">
        <f t="shared" si="99"/>
        <v>00</v>
      </c>
      <c r="D1134" s="63" t="e">
        <f>VLOOKUP(C1134,'RAW DATA 2023'!E:BP,63,0)</f>
        <v>#N/A</v>
      </c>
      <c r="E1134" s="63" t="e">
        <f t="shared" si="100"/>
        <v>#N/A</v>
      </c>
      <c r="F1134" s="63" t="e">
        <f>ROUND(VLOOKUP(C1134,'RAW DATA 2023'!E:BO,23,0),0)</f>
        <v>#N/A</v>
      </c>
      <c r="G1134" s="120" t="e">
        <f>VLOOKUP(C1134,'RAW DATA 2023'!E:BO,26,0)</f>
        <v>#N/A</v>
      </c>
      <c r="H1134" s="101" t="str">
        <f>IFERROR(VLOOKUP(F1134,STD!B:G,6,0),"")</f>
        <v/>
      </c>
      <c r="I1134" s="100">
        <f t="shared" si="101"/>
        <v>0</v>
      </c>
      <c r="J1134" s="249">
        <f t="shared" si="102"/>
        <v>0</v>
      </c>
      <c r="K1134" s="63" t="e">
        <f>VLOOKUP(C1134,'RAW DATA 2023'!E:BO,20,0)</f>
        <v>#N/A</v>
      </c>
      <c r="L1134" s="322" t="e">
        <f t="shared" si="103"/>
        <v>#N/A</v>
      </c>
    </row>
    <row r="1135" spans="1:12" s="63" customFormat="1">
      <c r="A1135" s="63">
        <f>'RAW DATA 2023'!B1128</f>
        <v>0</v>
      </c>
      <c r="B1135" s="63">
        <f>'RAW DATA 2023'!D1128</f>
        <v>0</v>
      </c>
      <c r="C1135" s="63" t="str">
        <f t="shared" si="99"/>
        <v>00</v>
      </c>
      <c r="D1135" s="63" t="e">
        <f>VLOOKUP(C1135,'RAW DATA 2023'!E:BP,63,0)</f>
        <v>#N/A</v>
      </c>
      <c r="E1135" s="63" t="e">
        <f t="shared" si="100"/>
        <v>#N/A</v>
      </c>
      <c r="F1135" s="63" t="e">
        <f>ROUND(VLOOKUP(C1135,'RAW DATA 2023'!E:BO,23,0),0)</f>
        <v>#N/A</v>
      </c>
      <c r="G1135" s="120" t="e">
        <f>VLOOKUP(C1135,'RAW DATA 2023'!E:BO,26,0)</f>
        <v>#N/A</v>
      </c>
      <c r="H1135" s="101" t="str">
        <f>IFERROR(VLOOKUP(F1135,STD!B:G,6,0),"")</f>
        <v/>
      </c>
      <c r="I1135" s="100">
        <f t="shared" si="101"/>
        <v>0</v>
      </c>
      <c r="J1135" s="249">
        <f t="shared" si="102"/>
        <v>0</v>
      </c>
      <c r="K1135" s="63" t="e">
        <f>VLOOKUP(C1135,'RAW DATA 2023'!E:BO,20,0)</f>
        <v>#N/A</v>
      </c>
      <c r="L1135" s="322" t="e">
        <f t="shared" si="103"/>
        <v>#N/A</v>
      </c>
    </row>
    <row r="1136" spans="1:12" s="63" customFormat="1">
      <c r="A1136" s="63">
        <f>'RAW DATA 2023'!B1129</f>
        <v>0</v>
      </c>
      <c r="B1136" s="63">
        <f>'RAW DATA 2023'!D1129</f>
        <v>0</v>
      </c>
      <c r="C1136" s="63" t="str">
        <f t="shared" si="99"/>
        <v>00</v>
      </c>
      <c r="D1136" s="63" t="e">
        <f>VLOOKUP(C1136,'RAW DATA 2023'!E:BP,63,0)</f>
        <v>#N/A</v>
      </c>
      <c r="E1136" s="63" t="e">
        <f t="shared" si="100"/>
        <v>#N/A</v>
      </c>
      <c r="F1136" s="63" t="e">
        <f>ROUND(VLOOKUP(C1136,'RAW DATA 2023'!E:BO,23,0),0)</f>
        <v>#N/A</v>
      </c>
      <c r="G1136" s="120" t="e">
        <f>VLOOKUP(C1136,'RAW DATA 2023'!E:BO,26,0)</f>
        <v>#N/A</v>
      </c>
      <c r="H1136" s="101" t="str">
        <f>IFERROR(VLOOKUP(F1136,STD!B:G,6,0),"")</f>
        <v/>
      </c>
      <c r="I1136" s="100">
        <f t="shared" si="101"/>
        <v>0</v>
      </c>
      <c r="J1136" s="249">
        <f t="shared" si="102"/>
        <v>0</v>
      </c>
      <c r="K1136" s="63" t="e">
        <f>VLOOKUP(C1136,'RAW DATA 2023'!E:BO,20,0)</f>
        <v>#N/A</v>
      </c>
      <c r="L1136" s="322" t="e">
        <f t="shared" si="103"/>
        <v>#N/A</v>
      </c>
    </row>
    <row r="1137" spans="1:12" s="63" customFormat="1">
      <c r="A1137" s="63">
        <f>'RAW DATA 2023'!B1130</f>
        <v>0</v>
      </c>
      <c r="B1137" s="63">
        <f>'RAW DATA 2023'!D1130</f>
        <v>0</v>
      </c>
      <c r="C1137" s="63" t="str">
        <f t="shared" si="99"/>
        <v>00</v>
      </c>
      <c r="D1137" s="63" t="e">
        <f>VLOOKUP(C1137,'RAW DATA 2023'!E:BP,63,0)</f>
        <v>#N/A</v>
      </c>
      <c r="E1137" s="63" t="e">
        <f t="shared" si="100"/>
        <v>#N/A</v>
      </c>
      <c r="F1137" s="63" t="e">
        <f>ROUND(VLOOKUP(C1137,'RAW DATA 2023'!E:BO,23,0),0)</f>
        <v>#N/A</v>
      </c>
      <c r="G1137" s="120" t="e">
        <f>VLOOKUP(C1137,'RAW DATA 2023'!E:BO,26,0)</f>
        <v>#N/A</v>
      </c>
      <c r="H1137" s="101" t="str">
        <f>IFERROR(VLOOKUP(F1137,STD!B:G,6,0),"")</f>
        <v/>
      </c>
      <c r="I1137" s="100">
        <f t="shared" si="101"/>
        <v>0</v>
      </c>
      <c r="J1137" s="249">
        <f t="shared" si="102"/>
        <v>0</v>
      </c>
      <c r="K1137" s="63" t="e">
        <f>VLOOKUP(C1137,'RAW DATA 2023'!E:BO,20,0)</f>
        <v>#N/A</v>
      </c>
      <c r="L1137" s="322" t="e">
        <f t="shared" si="103"/>
        <v>#N/A</v>
      </c>
    </row>
    <row r="1138" spans="1:12" s="63" customFormat="1">
      <c r="A1138" s="63">
        <f>'RAW DATA 2023'!B1131</f>
        <v>0</v>
      </c>
      <c r="B1138" s="63">
        <f>'RAW DATA 2023'!D1131</f>
        <v>0</v>
      </c>
      <c r="C1138" s="63" t="str">
        <f t="shared" si="99"/>
        <v>00</v>
      </c>
      <c r="D1138" s="63" t="e">
        <f>VLOOKUP(C1138,'RAW DATA 2023'!E:BP,63,0)</f>
        <v>#N/A</v>
      </c>
      <c r="E1138" s="63" t="e">
        <f t="shared" si="100"/>
        <v>#N/A</v>
      </c>
      <c r="F1138" s="63" t="e">
        <f>ROUND(VLOOKUP(C1138,'RAW DATA 2023'!E:BO,23,0),0)</f>
        <v>#N/A</v>
      </c>
      <c r="G1138" s="120" t="e">
        <f>VLOOKUP(C1138,'RAW DATA 2023'!E:BO,26,0)</f>
        <v>#N/A</v>
      </c>
      <c r="H1138" s="101" t="str">
        <f>IFERROR(VLOOKUP(F1138,STD!B:G,6,0),"")</f>
        <v/>
      </c>
      <c r="I1138" s="100">
        <f t="shared" si="101"/>
        <v>0</v>
      </c>
      <c r="J1138" s="249">
        <f t="shared" si="102"/>
        <v>0</v>
      </c>
      <c r="K1138" s="63" t="e">
        <f>VLOOKUP(C1138,'RAW DATA 2023'!E:BO,20,0)</f>
        <v>#N/A</v>
      </c>
      <c r="L1138" s="322" t="e">
        <f t="shared" si="103"/>
        <v>#N/A</v>
      </c>
    </row>
    <row r="1139" spans="1:12" s="63" customFormat="1">
      <c r="A1139" s="63">
        <f>'RAW DATA 2023'!B1132</f>
        <v>0</v>
      </c>
      <c r="B1139" s="63">
        <f>'RAW DATA 2023'!D1132</f>
        <v>0</v>
      </c>
      <c r="C1139" s="63" t="str">
        <f t="shared" si="99"/>
        <v>00</v>
      </c>
      <c r="D1139" s="63" t="e">
        <f>VLOOKUP(C1139,'RAW DATA 2023'!E:BP,63,0)</f>
        <v>#N/A</v>
      </c>
      <c r="E1139" s="63" t="e">
        <f t="shared" si="100"/>
        <v>#N/A</v>
      </c>
      <c r="F1139" s="63" t="e">
        <f>ROUND(VLOOKUP(C1139,'RAW DATA 2023'!E:BO,23,0),0)</f>
        <v>#N/A</v>
      </c>
      <c r="G1139" s="120" t="e">
        <f>VLOOKUP(C1139,'RAW DATA 2023'!E:BO,26,0)</f>
        <v>#N/A</v>
      </c>
      <c r="H1139" s="101" t="str">
        <f>IFERROR(VLOOKUP(F1139,STD!B:G,6,0),"")</f>
        <v/>
      </c>
      <c r="I1139" s="100">
        <f t="shared" si="101"/>
        <v>0</v>
      </c>
      <c r="J1139" s="249">
        <f t="shared" si="102"/>
        <v>0</v>
      </c>
      <c r="K1139" s="63" t="e">
        <f>VLOOKUP(C1139,'RAW DATA 2023'!E:BO,20,0)</f>
        <v>#N/A</v>
      </c>
      <c r="L1139" s="322" t="e">
        <f t="shared" si="103"/>
        <v>#N/A</v>
      </c>
    </row>
    <row r="1140" spans="1:12" s="63" customFormat="1">
      <c r="A1140" s="63">
        <f>'RAW DATA 2023'!B1133</f>
        <v>0</v>
      </c>
      <c r="B1140" s="63">
        <f>'RAW DATA 2023'!D1133</f>
        <v>0</v>
      </c>
      <c r="C1140" s="63" t="str">
        <f t="shared" si="99"/>
        <v>00</v>
      </c>
      <c r="D1140" s="63" t="e">
        <f>VLOOKUP(C1140,'RAW DATA 2023'!E:BP,63,0)</f>
        <v>#N/A</v>
      </c>
      <c r="E1140" s="63" t="e">
        <f t="shared" si="100"/>
        <v>#N/A</v>
      </c>
      <c r="F1140" s="63" t="e">
        <f>ROUND(VLOOKUP(C1140,'RAW DATA 2023'!E:BO,23,0),0)</f>
        <v>#N/A</v>
      </c>
      <c r="G1140" s="120" t="e">
        <f>VLOOKUP(C1140,'RAW DATA 2023'!E:BO,26,0)</f>
        <v>#N/A</v>
      </c>
      <c r="H1140" s="101" t="str">
        <f>IFERROR(VLOOKUP(F1140,STD!B:G,6,0),"")</f>
        <v/>
      </c>
      <c r="I1140" s="100">
        <f t="shared" si="101"/>
        <v>0</v>
      </c>
      <c r="J1140" s="249">
        <f t="shared" si="102"/>
        <v>0</v>
      </c>
      <c r="K1140" s="63" t="e">
        <f>VLOOKUP(C1140,'RAW DATA 2023'!E:BO,20,0)</f>
        <v>#N/A</v>
      </c>
      <c r="L1140" s="322" t="e">
        <f t="shared" si="103"/>
        <v>#N/A</v>
      </c>
    </row>
    <row r="1141" spans="1:12" s="63" customFormat="1">
      <c r="A1141" s="63">
        <f>'RAW DATA 2023'!B1134</f>
        <v>0</v>
      </c>
      <c r="B1141" s="63">
        <f>'RAW DATA 2023'!D1134</f>
        <v>0</v>
      </c>
      <c r="C1141" s="63" t="str">
        <f t="shared" si="99"/>
        <v>00</v>
      </c>
      <c r="D1141" s="63" t="e">
        <f>VLOOKUP(C1141,'RAW DATA 2023'!E:BP,63,0)</f>
        <v>#N/A</v>
      </c>
      <c r="E1141" s="63" t="e">
        <f t="shared" si="100"/>
        <v>#N/A</v>
      </c>
      <c r="F1141" s="63" t="e">
        <f>ROUND(VLOOKUP(C1141,'RAW DATA 2023'!E:BO,23,0),0)</f>
        <v>#N/A</v>
      </c>
      <c r="G1141" s="120" t="e">
        <f>VLOOKUP(C1141,'RAW DATA 2023'!E:BO,26,0)</f>
        <v>#N/A</v>
      </c>
      <c r="H1141" s="101" t="str">
        <f>IFERROR(VLOOKUP(F1141,STD!B:G,6,0),"")</f>
        <v/>
      </c>
      <c r="I1141" s="100">
        <f t="shared" si="101"/>
        <v>0</v>
      </c>
      <c r="J1141" s="249">
        <f t="shared" si="102"/>
        <v>0</v>
      </c>
      <c r="K1141" s="63" t="e">
        <f>VLOOKUP(C1141,'RAW DATA 2023'!E:BO,20,0)</f>
        <v>#N/A</v>
      </c>
      <c r="L1141" s="322" t="e">
        <f t="shared" si="103"/>
        <v>#N/A</v>
      </c>
    </row>
    <row r="1142" spans="1:12" s="63" customFormat="1">
      <c r="A1142" s="63">
        <f>'RAW DATA 2023'!B1135</f>
        <v>0</v>
      </c>
      <c r="B1142" s="63">
        <f>'RAW DATA 2023'!D1135</f>
        <v>0</v>
      </c>
      <c r="C1142" s="63" t="str">
        <f t="shared" si="99"/>
        <v>00</v>
      </c>
      <c r="D1142" s="63" t="e">
        <f>VLOOKUP(C1142,'RAW DATA 2023'!E:BP,63,0)</f>
        <v>#N/A</v>
      </c>
      <c r="E1142" s="63" t="e">
        <f t="shared" si="100"/>
        <v>#N/A</v>
      </c>
      <c r="F1142" s="63" t="e">
        <f>ROUND(VLOOKUP(C1142,'RAW DATA 2023'!E:BO,23,0),0)</f>
        <v>#N/A</v>
      </c>
      <c r="G1142" s="120" t="e">
        <f>VLOOKUP(C1142,'RAW DATA 2023'!E:BO,26,0)</f>
        <v>#N/A</v>
      </c>
      <c r="H1142" s="101" t="str">
        <f>IFERROR(VLOOKUP(F1142,STD!B:G,6,0),"")</f>
        <v/>
      </c>
      <c r="I1142" s="100">
        <f t="shared" si="101"/>
        <v>0</v>
      </c>
      <c r="J1142" s="249">
        <f t="shared" si="102"/>
        <v>0</v>
      </c>
      <c r="K1142" s="63" t="e">
        <f>VLOOKUP(C1142,'RAW DATA 2023'!E:BO,20,0)</f>
        <v>#N/A</v>
      </c>
      <c r="L1142" s="322" t="e">
        <f t="shared" si="103"/>
        <v>#N/A</v>
      </c>
    </row>
    <row r="1143" spans="1:12" s="63" customFormat="1">
      <c r="A1143" s="63">
        <f>'RAW DATA 2023'!B1136</f>
        <v>0</v>
      </c>
      <c r="B1143" s="63">
        <f>'RAW DATA 2023'!D1136</f>
        <v>0</v>
      </c>
      <c r="C1143" s="63" t="str">
        <f t="shared" si="99"/>
        <v>00</v>
      </c>
      <c r="D1143" s="63" t="e">
        <f>VLOOKUP(C1143,'RAW DATA 2023'!E:BP,63,0)</f>
        <v>#N/A</v>
      </c>
      <c r="E1143" s="63" t="e">
        <f t="shared" si="100"/>
        <v>#N/A</v>
      </c>
      <c r="F1143" s="63" t="e">
        <f>ROUND(VLOOKUP(C1143,'RAW DATA 2023'!E:BO,23,0),0)</f>
        <v>#N/A</v>
      </c>
      <c r="G1143" s="120" t="e">
        <f>VLOOKUP(C1143,'RAW DATA 2023'!E:BO,26,0)</f>
        <v>#N/A</v>
      </c>
      <c r="H1143" s="101" t="str">
        <f>IFERROR(VLOOKUP(F1143,STD!B:G,6,0),"")</f>
        <v/>
      </c>
      <c r="I1143" s="100">
        <f t="shared" si="101"/>
        <v>0</v>
      </c>
      <c r="J1143" s="249">
        <f t="shared" si="102"/>
        <v>0</v>
      </c>
      <c r="K1143" s="63" t="e">
        <f>VLOOKUP(C1143,'RAW DATA 2023'!E:BO,20,0)</f>
        <v>#N/A</v>
      </c>
      <c r="L1143" s="322" t="e">
        <f t="shared" si="103"/>
        <v>#N/A</v>
      </c>
    </row>
    <row r="1144" spans="1:12" s="63" customFormat="1">
      <c r="A1144" s="63">
        <f>'RAW DATA 2023'!B1137</f>
        <v>0</v>
      </c>
      <c r="B1144" s="63">
        <f>'RAW DATA 2023'!D1137</f>
        <v>0</v>
      </c>
      <c r="C1144" s="63" t="str">
        <f t="shared" si="99"/>
        <v>00</v>
      </c>
      <c r="D1144" s="63" t="e">
        <f>VLOOKUP(C1144,'RAW DATA 2023'!E:BP,63,0)</f>
        <v>#N/A</v>
      </c>
      <c r="E1144" s="63" t="e">
        <f t="shared" si="100"/>
        <v>#N/A</v>
      </c>
      <c r="F1144" s="63" t="e">
        <f>ROUND(VLOOKUP(C1144,'RAW DATA 2023'!E:BO,23,0),0)</f>
        <v>#N/A</v>
      </c>
      <c r="G1144" s="120" t="e">
        <f>VLOOKUP(C1144,'RAW DATA 2023'!E:BO,26,0)</f>
        <v>#N/A</v>
      </c>
      <c r="H1144" s="101" t="str">
        <f>IFERROR(VLOOKUP(F1144,STD!B:G,6,0),"")</f>
        <v/>
      </c>
      <c r="I1144" s="100">
        <f t="shared" si="101"/>
        <v>0</v>
      </c>
      <c r="J1144" s="249">
        <f t="shared" si="102"/>
        <v>0</v>
      </c>
      <c r="K1144" s="63" t="e">
        <f>VLOOKUP(C1144,'RAW DATA 2023'!E:BO,20,0)</f>
        <v>#N/A</v>
      </c>
      <c r="L1144" s="322" t="e">
        <f t="shared" si="103"/>
        <v>#N/A</v>
      </c>
    </row>
    <row r="1145" spans="1:12" s="63" customFormat="1">
      <c r="A1145" s="63">
        <f>'RAW DATA 2023'!B1138</f>
        <v>0</v>
      </c>
      <c r="B1145" s="63">
        <f>'RAW DATA 2023'!D1138</f>
        <v>0</v>
      </c>
      <c r="C1145" s="63" t="str">
        <f t="shared" si="99"/>
        <v>00</v>
      </c>
      <c r="D1145" s="63" t="e">
        <f>VLOOKUP(C1145,'RAW DATA 2023'!E:BP,63,0)</f>
        <v>#N/A</v>
      </c>
      <c r="E1145" s="63" t="e">
        <f t="shared" si="100"/>
        <v>#N/A</v>
      </c>
      <c r="F1145" s="63" t="e">
        <f>ROUND(VLOOKUP(C1145,'RAW DATA 2023'!E:BO,23,0),0)</f>
        <v>#N/A</v>
      </c>
      <c r="G1145" s="120" t="e">
        <f>VLOOKUP(C1145,'RAW DATA 2023'!E:BO,26,0)</f>
        <v>#N/A</v>
      </c>
      <c r="H1145" s="101" t="str">
        <f>IFERROR(VLOOKUP(F1145,STD!B:G,6,0),"")</f>
        <v/>
      </c>
      <c r="I1145" s="100">
        <f t="shared" si="101"/>
        <v>0</v>
      </c>
      <c r="J1145" s="249">
        <f t="shared" si="102"/>
        <v>0</v>
      </c>
      <c r="K1145" s="63" t="e">
        <f>VLOOKUP(C1145,'RAW DATA 2023'!E:BO,20,0)</f>
        <v>#N/A</v>
      </c>
      <c r="L1145" s="322" t="e">
        <f t="shared" si="103"/>
        <v>#N/A</v>
      </c>
    </row>
    <row r="1146" spans="1:12" s="63" customFormat="1">
      <c r="A1146" s="63">
        <f>'RAW DATA 2023'!B1139</f>
        <v>0</v>
      </c>
      <c r="B1146" s="63">
        <f>'RAW DATA 2023'!D1139</f>
        <v>0</v>
      </c>
      <c r="C1146" s="63" t="str">
        <f t="shared" si="99"/>
        <v>00</v>
      </c>
      <c r="D1146" s="63" t="e">
        <f>VLOOKUP(C1146,'RAW DATA 2023'!E:BP,63,0)</f>
        <v>#N/A</v>
      </c>
      <c r="E1146" s="63" t="e">
        <f t="shared" si="100"/>
        <v>#N/A</v>
      </c>
      <c r="F1146" s="63" t="e">
        <f>ROUND(VLOOKUP(C1146,'RAW DATA 2023'!E:BO,23,0),0)</f>
        <v>#N/A</v>
      </c>
      <c r="G1146" s="120" t="e">
        <f>VLOOKUP(C1146,'RAW DATA 2023'!E:BO,26,0)</f>
        <v>#N/A</v>
      </c>
      <c r="H1146" s="101" t="str">
        <f>IFERROR(VLOOKUP(F1146,STD!B:G,6,0),"")</f>
        <v/>
      </c>
      <c r="I1146" s="100">
        <f t="shared" si="101"/>
        <v>0</v>
      </c>
      <c r="J1146" s="249">
        <f t="shared" si="102"/>
        <v>0</v>
      </c>
      <c r="K1146" s="63" t="e">
        <f>VLOOKUP(C1146,'RAW DATA 2023'!E:BO,20,0)</f>
        <v>#N/A</v>
      </c>
      <c r="L1146" s="322" t="e">
        <f t="shared" si="103"/>
        <v>#N/A</v>
      </c>
    </row>
    <row r="1147" spans="1:12" s="63" customFormat="1">
      <c r="A1147" s="63">
        <f>'RAW DATA 2023'!B1140</f>
        <v>0</v>
      </c>
      <c r="B1147" s="63">
        <f>'RAW DATA 2023'!D1140</f>
        <v>0</v>
      </c>
      <c r="C1147" s="63" t="str">
        <f t="shared" si="99"/>
        <v>00</v>
      </c>
      <c r="D1147" s="63" t="e">
        <f>VLOOKUP(C1147,'RAW DATA 2023'!E:BP,63,0)</f>
        <v>#N/A</v>
      </c>
      <c r="E1147" s="63" t="e">
        <f t="shared" si="100"/>
        <v>#N/A</v>
      </c>
      <c r="F1147" s="63" t="e">
        <f>ROUND(VLOOKUP(C1147,'RAW DATA 2023'!E:BO,23,0),0)</f>
        <v>#N/A</v>
      </c>
      <c r="G1147" s="120" t="e">
        <f>VLOOKUP(C1147,'RAW DATA 2023'!E:BO,26,0)</f>
        <v>#N/A</v>
      </c>
      <c r="H1147" s="101" t="str">
        <f>IFERROR(VLOOKUP(F1147,STD!B:G,6,0),"")</f>
        <v/>
      </c>
      <c r="I1147" s="100">
        <f t="shared" si="101"/>
        <v>0</v>
      </c>
      <c r="J1147" s="249">
        <f t="shared" si="102"/>
        <v>0</v>
      </c>
      <c r="K1147" s="63" t="e">
        <f>VLOOKUP(C1147,'RAW DATA 2023'!E:BO,20,0)</f>
        <v>#N/A</v>
      </c>
      <c r="L1147" s="322" t="e">
        <f t="shared" si="103"/>
        <v>#N/A</v>
      </c>
    </row>
    <row r="1148" spans="1:12" s="63" customFormat="1">
      <c r="A1148" s="63">
        <f>'RAW DATA 2023'!B1141</f>
        <v>0</v>
      </c>
      <c r="B1148" s="63">
        <f>'RAW DATA 2023'!D1141</f>
        <v>0</v>
      </c>
      <c r="C1148" s="63" t="str">
        <f t="shared" si="99"/>
        <v>00</v>
      </c>
      <c r="D1148" s="63" t="e">
        <f>VLOOKUP(C1148,'RAW DATA 2023'!E:BP,63,0)</f>
        <v>#N/A</v>
      </c>
      <c r="E1148" s="63" t="e">
        <f t="shared" si="100"/>
        <v>#N/A</v>
      </c>
      <c r="F1148" s="63" t="e">
        <f>ROUND(VLOOKUP(C1148,'RAW DATA 2023'!E:BO,23,0),0)</f>
        <v>#N/A</v>
      </c>
      <c r="G1148" s="120" t="e">
        <f>VLOOKUP(C1148,'RAW DATA 2023'!E:BO,26,0)</f>
        <v>#N/A</v>
      </c>
      <c r="H1148" s="101" t="str">
        <f>IFERROR(VLOOKUP(F1148,STD!B:G,6,0),"")</f>
        <v/>
      </c>
      <c r="I1148" s="100">
        <f t="shared" si="101"/>
        <v>0</v>
      </c>
      <c r="J1148" s="249">
        <f t="shared" si="102"/>
        <v>0</v>
      </c>
      <c r="K1148" s="63" t="e">
        <f>VLOOKUP(C1148,'RAW DATA 2023'!E:BO,20,0)</f>
        <v>#N/A</v>
      </c>
      <c r="L1148" s="322" t="e">
        <f t="shared" si="103"/>
        <v>#N/A</v>
      </c>
    </row>
    <row r="1149" spans="1:12" s="63" customFormat="1">
      <c r="A1149" s="63">
        <f>'RAW DATA 2023'!B1142</f>
        <v>0</v>
      </c>
      <c r="B1149" s="63">
        <f>'RAW DATA 2023'!D1142</f>
        <v>0</v>
      </c>
      <c r="C1149" s="63" t="str">
        <f t="shared" si="99"/>
        <v>00</v>
      </c>
      <c r="D1149" s="63" t="e">
        <f>VLOOKUP(C1149,'RAW DATA 2023'!E:BP,63,0)</f>
        <v>#N/A</v>
      </c>
      <c r="E1149" s="63" t="e">
        <f t="shared" si="100"/>
        <v>#N/A</v>
      </c>
      <c r="F1149" s="63" t="e">
        <f>ROUND(VLOOKUP(C1149,'RAW DATA 2023'!E:BO,23,0),0)</f>
        <v>#N/A</v>
      </c>
      <c r="G1149" s="120" t="e">
        <f>VLOOKUP(C1149,'RAW DATA 2023'!E:BO,26,0)</f>
        <v>#N/A</v>
      </c>
      <c r="H1149" s="101" t="str">
        <f>IFERROR(VLOOKUP(F1149,STD!B:G,6,0),"")</f>
        <v/>
      </c>
      <c r="I1149" s="100">
        <f t="shared" si="101"/>
        <v>0</v>
      </c>
      <c r="J1149" s="249">
        <f t="shared" si="102"/>
        <v>0</v>
      </c>
      <c r="K1149" s="63" t="e">
        <f>VLOOKUP(C1149,'RAW DATA 2023'!E:BO,20,0)</f>
        <v>#N/A</v>
      </c>
      <c r="L1149" s="322" t="e">
        <f t="shared" si="103"/>
        <v>#N/A</v>
      </c>
    </row>
    <row r="1150" spans="1:12" s="63" customFormat="1">
      <c r="A1150" s="63">
        <f>'RAW DATA 2023'!B1143</f>
        <v>0</v>
      </c>
      <c r="B1150" s="63">
        <f>'RAW DATA 2023'!D1143</f>
        <v>0</v>
      </c>
      <c r="C1150" s="63" t="str">
        <f t="shared" si="99"/>
        <v>00</v>
      </c>
      <c r="D1150" s="63" t="e">
        <f>VLOOKUP(C1150,'RAW DATA 2023'!E:BP,63,0)</f>
        <v>#N/A</v>
      </c>
      <c r="E1150" s="63" t="e">
        <f t="shared" si="100"/>
        <v>#N/A</v>
      </c>
      <c r="F1150" s="63" t="e">
        <f>ROUND(VLOOKUP(C1150,'RAW DATA 2023'!E:BO,23,0),0)</f>
        <v>#N/A</v>
      </c>
      <c r="G1150" s="120" t="e">
        <f>VLOOKUP(C1150,'RAW DATA 2023'!E:BO,26,0)</f>
        <v>#N/A</v>
      </c>
      <c r="H1150" s="101" t="str">
        <f>IFERROR(VLOOKUP(F1150,STD!B:G,6,0),"")</f>
        <v/>
      </c>
      <c r="I1150" s="100">
        <f t="shared" si="101"/>
        <v>0</v>
      </c>
      <c r="J1150" s="249">
        <f t="shared" si="102"/>
        <v>0</v>
      </c>
      <c r="K1150" s="63" t="e">
        <f>VLOOKUP(C1150,'RAW DATA 2023'!E:BO,20,0)</f>
        <v>#N/A</v>
      </c>
      <c r="L1150" s="322" t="e">
        <f t="shared" si="103"/>
        <v>#N/A</v>
      </c>
    </row>
    <row r="1151" spans="1:12" s="63" customFormat="1">
      <c r="A1151" s="63">
        <f>'RAW DATA 2023'!B1144</f>
        <v>0</v>
      </c>
      <c r="B1151" s="63">
        <f>'RAW DATA 2023'!D1144</f>
        <v>0</v>
      </c>
      <c r="C1151" s="63" t="str">
        <f t="shared" si="99"/>
        <v>00</v>
      </c>
      <c r="D1151" s="63" t="e">
        <f>VLOOKUP(C1151,'RAW DATA 2023'!E:BP,63,0)</f>
        <v>#N/A</v>
      </c>
      <c r="E1151" s="63" t="e">
        <f t="shared" si="100"/>
        <v>#N/A</v>
      </c>
      <c r="F1151" s="63" t="e">
        <f>ROUND(VLOOKUP(C1151,'RAW DATA 2023'!E:BO,23,0),0)</f>
        <v>#N/A</v>
      </c>
      <c r="G1151" s="120" t="e">
        <f>VLOOKUP(C1151,'RAW DATA 2023'!E:BO,26,0)</f>
        <v>#N/A</v>
      </c>
      <c r="H1151" s="101" t="str">
        <f>IFERROR(VLOOKUP(F1151,STD!B:G,6,0),"")</f>
        <v/>
      </c>
      <c r="I1151" s="100">
        <f t="shared" si="101"/>
        <v>0</v>
      </c>
      <c r="J1151" s="249">
        <f t="shared" si="102"/>
        <v>0</v>
      </c>
      <c r="K1151" s="63" t="e">
        <f>VLOOKUP(C1151,'RAW DATA 2023'!E:BO,20,0)</f>
        <v>#N/A</v>
      </c>
      <c r="L1151" s="322" t="e">
        <f t="shared" si="103"/>
        <v>#N/A</v>
      </c>
    </row>
    <row r="1152" spans="1:12" s="63" customFormat="1">
      <c r="A1152" s="63">
        <f>'RAW DATA 2023'!B1145</f>
        <v>0</v>
      </c>
      <c r="B1152" s="63">
        <f>'RAW DATA 2023'!D1145</f>
        <v>0</v>
      </c>
      <c r="C1152" s="63" t="str">
        <f t="shared" si="99"/>
        <v>00</v>
      </c>
      <c r="D1152" s="63" t="e">
        <f>VLOOKUP(C1152,'RAW DATA 2023'!E:BP,63,0)</f>
        <v>#N/A</v>
      </c>
      <c r="E1152" s="63" t="e">
        <f t="shared" si="100"/>
        <v>#N/A</v>
      </c>
      <c r="F1152" s="63" t="e">
        <f>ROUND(VLOOKUP(C1152,'RAW DATA 2023'!E:BO,23,0),0)</f>
        <v>#N/A</v>
      </c>
      <c r="G1152" s="120" t="e">
        <f>VLOOKUP(C1152,'RAW DATA 2023'!E:BO,26,0)</f>
        <v>#N/A</v>
      </c>
      <c r="H1152" s="101" t="str">
        <f>IFERROR(VLOOKUP(F1152,STD!B:G,6,0),"")</f>
        <v/>
      </c>
      <c r="I1152" s="100">
        <f t="shared" si="101"/>
        <v>0</v>
      </c>
      <c r="J1152" s="249">
        <f t="shared" si="102"/>
        <v>0</v>
      </c>
      <c r="K1152" s="63" t="e">
        <f>VLOOKUP(C1152,'RAW DATA 2023'!E:BO,20,0)</f>
        <v>#N/A</v>
      </c>
      <c r="L1152" s="322" t="e">
        <f t="shared" si="103"/>
        <v>#N/A</v>
      </c>
    </row>
    <row r="1153" spans="1:12" s="63" customFormat="1">
      <c r="A1153" s="63">
        <f>'RAW DATA 2023'!B1146</f>
        <v>0</v>
      </c>
      <c r="B1153" s="63">
        <f>'RAW DATA 2023'!D1146</f>
        <v>0</v>
      </c>
      <c r="C1153" s="63" t="str">
        <f t="shared" si="99"/>
        <v>00</v>
      </c>
      <c r="D1153" s="63" t="e">
        <f>VLOOKUP(C1153,'RAW DATA 2023'!E:BP,63,0)</f>
        <v>#N/A</v>
      </c>
      <c r="E1153" s="63" t="e">
        <f t="shared" si="100"/>
        <v>#N/A</v>
      </c>
      <c r="F1153" s="63" t="e">
        <f>ROUND(VLOOKUP(C1153,'RAW DATA 2023'!E:BO,23,0),0)</f>
        <v>#N/A</v>
      </c>
      <c r="G1153" s="120" t="e">
        <f>VLOOKUP(C1153,'RAW DATA 2023'!E:BO,26,0)</f>
        <v>#N/A</v>
      </c>
      <c r="H1153" s="101" t="str">
        <f>IFERROR(VLOOKUP(F1153,STD!B:G,6,0),"")</f>
        <v/>
      </c>
      <c r="I1153" s="100">
        <f t="shared" si="101"/>
        <v>0</v>
      </c>
      <c r="J1153" s="249">
        <f t="shared" si="102"/>
        <v>0</v>
      </c>
      <c r="K1153" s="63" t="e">
        <f>VLOOKUP(C1153,'RAW DATA 2023'!E:BO,20,0)</f>
        <v>#N/A</v>
      </c>
      <c r="L1153" s="322" t="e">
        <f t="shared" si="103"/>
        <v>#N/A</v>
      </c>
    </row>
    <row r="1154" spans="1:12" s="63" customFormat="1">
      <c r="A1154" s="63">
        <f>'RAW DATA 2023'!B1147</f>
        <v>0</v>
      </c>
      <c r="B1154" s="63">
        <f>'RAW DATA 2023'!D1147</f>
        <v>0</v>
      </c>
      <c r="C1154" s="63" t="str">
        <f t="shared" si="99"/>
        <v>00</v>
      </c>
      <c r="D1154" s="63" t="e">
        <f>VLOOKUP(C1154,'RAW DATA 2023'!E:BP,63,0)</f>
        <v>#N/A</v>
      </c>
      <c r="E1154" s="63" t="e">
        <f t="shared" si="100"/>
        <v>#N/A</v>
      </c>
      <c r="F1154" s="63" t="e">
        <f>ROUND(VLOOKUP(C1154,'RAW DATA 2023'!E:BO,23,0),0)</f>
        <v>#N/A</v>
      </c>
      <c r="G1154" s="120" t="e">
        <f>VLOOKUP(C1154,'RAW DATA 2023'!E:BO,26,0)</f>
        <v>#N/A</v>
      </c>
      <c r="H1154" s="101" t="str">
        <f>IFERROR(VLOOKUP(F1154,STD!B:G,6,0),"")</f>
        <v/>
      </c>
      <c r="I1154" s="100">
        <f t="shared" si="101"/>
        <v>0</v>
      </c>
      <c r="J1154" s="249">
        <f t="shared" si="102"/>
        <v>0</v>
      </c>
      <c r="K1154" s="63" t="e">
        <f>VLOOKUP(C1154,'RAW DATA 2023'!E:BO,20,0)</f>
        <v>#N/A</v>
      </c>
      <c r="L1154" s="322" t="e">
        <f t="shared" si="103"/>
        <v>#N/A</v>
      </c>
    </row>
    <row r="1155" spans="1:12" s="63" customFormat="1">
      <c r="A1155" s="63">
        <f>'RAW DATA 2023'!B1148</f>
        <v>0</v>
      </c>
      <c r="B1155" s="63">
        <f>'RAW DATA 2023'!D1148</f>
        <v>0</v>
      </c>
      <c r="C1155" s="63" t="str">
        <f t="shared" si="99"/>
        <v>00</v>
      </c>
      <c r="D1155" s="63" t="e">
        <f>VLOOKUP(C1155,'RAW DATA 2023'!E:BP,63,0)</f>
        <v>#N/A</v>
      </c>
      <c r="E1155" s="63" t="e">
        <f t="shared" si="100"/>
        <v>#N/A</v>
      </c>
      <c r="F1155" s="63" t="e">
        <f>ROUND(VLOOKUP(C1155,'RAW DATA 2023'!E:BO,23,0),0)</f>
        <v>#N/A</v>
      </c>
      <c r="G1155" s="120" t="e">
        <f>VLOOKUP(C1155,'RAW DATA 2023'!E:BO,26,0)</f>
        <v>#N/A</v>
      </c>
      <c r="H1155" s="101" t="str">
        <f>IFERROR(VLOOKUP(F1155,STD!B:G,6,0),"")</f>
        <v/>
      </c>
      <c r="I1155" s="100">
        <f t="shared" si="101"/>
        <v>0</v>
      </c>
      <c r="J1155" s="249">
        <f t="shared" si="102"/>
        <v>0</v>
      </c>
      <c r="K1155" s="63" t="e">
        <f>VLOOKUP(C1155,'RAW DATA 2023'!E:BO,20,0)</f>
        <v>#N/A</v>
      </c>
      <c r="L1155" s="322" t="e">
        <f t="shared" si="103"/>
        <v>#N/A</v>
      </c>
    </row>
    <row r="1156" spans="1:12" s="63" customFormat="1">
      <c r="C1156" s="63" t="str">
        <f t="shared" si="99"/>
        <v/>
      </c>
      <c r="D1156" s="63" t="e">
        <f>VLOOKUP(C1156,'RAW DATA 2023'!E:BP,63,0)</f>
        <v>#N/A</v>
      </c>
      <c r="E1156" s="63" t="e">
        <f t="shared" si="100"/>
        <v>#N/A</v>
      </c>
      <c r="F1156" s="63" t="e">
        <f>ROUND(VLOOKUP(C1156,'RAW DATA 2023'!E:BO,23,0),0)</f>
        <v>#N/A</v>
      </c>
      <c r="G1156" s="120" t="e">
        <f>VLOOKUP(C1156,'RAW DATA 2023'!E:BO,26,0)</f>
        <v>#N/A</v>
      </c>
      <c r="H1156" s="101" t="str">
        <f>IFERROR(VLOOKUP(F1156,STD!B:G,6,0),"")</f>
        <v/>
      </c>
      <c r="I1156" s="100">
        <f t="shared" si="101"/>
        <v>0</v>
      </c>
      <c r="J1156" s="249">
        <f t="shared" si="102"/>
        <v>0</v>
      </c>
      <c r="K1156" s="63" t="e">
        <f>VLOOKUP(C1156,'RAW DATA 2023'!E:BO,20,0)</f>
        <v>#N/A</v>
      </c>
      <c r="L1156" s="322" t="e">
        <f t="shared" si="103"/>
        <v>#N/A</v>
      </c>
    </row>
    <row r="1157" spans="1:12" s="63" customFormat="1">
      <c r="C1157" s="63" t="str">
        <f t="shared" si="99"/>
        <v/>
      </c>
      <c r="D1157" s="63" t="e">
        <f>VLOOKUP(C1157,'RAW DATA 2023'!E:BP,63,0)</f>
        <v>#N/A</v>
      </c>
      <c r="E1157" s="63" t="e">
        <f t="shared" si="100"/>
        <v>#N/A</v>
      </c>
      <c r="F1157" s="63" t="e">
        <f>ROUND(VLOOKUP(C1157,'RAW DATA 2023'!E:BO,23,0),0)</f>
        <v>#N/A</v>
      </c>
      <c r="G1157" s="120" t="e">
        <f>VLOOKUP(C1157,'RAW DATA 2023'!E:BO,26,0)</f>
        <v>#N/A</v>
      </c>
      <c r="H1157" s="101" t="str">
        <f>IFERROR(VLOOKUP(F1157,STD!B:G,6,0),"")</f>
        <v/>
      </c>
      <c r="I1157" s="100">
        <f t="shared" si="101"/>
        <v>0</v>
      </c>
      <c r="J1157" s="249">
        <f t="shared" si="102"/>
        <v>0</v>
      </c>
      <c r="K1157" s="63" t="e">
        <f>VLOOKUP(C1157,'RAW DATA 2023'!E:BO,20,0)</f>
        <v>#N/A</v>
      </c>
      <c r="L1157" s="322" t="e">
        <f t="shared" si="103"/>
        <v>#N/A</v>
      </c>
    </row>
    <row r="1158" spans="1:12" s="63" customFormat="1">
      <c r="C1158" s="63" t="str">
        <f t="shared" si="99"/>
        <v/>
      </c>
      <c r="D1158" s="63" t="e">
        <f>VLOOKUP(C1158,'RAW DATA 2023'!E:BP,63,0)</f>
        <v>#N/A</v>
      </c>
      <c r="E1158" s="63" t="e">
        <f t="shared" si="100"/>
        <v>#N/A</v>
      </c>
      <c r="F1158" s="63" t="e">
        <f>ROUND(VLOOKUP(C1158,'RAW DATA 2023'!E:BO,23,0),0)</f>
        <v>#N/A</v>
      </c>
      <c r="G1158" s="120" t="e">
        <f>VLOOKUP(C1158,'RAW DATA 2023'!E:BO,26,0)</f>
        <v>#N/A</v>
      </c>
      <c r="H1158" s="101" t="str">
        <f>IFERROR(VLOOKUP(F1158,STD!B:G,6,0),"")</f>
        <v/>
      </c>
      <c r="I1158" s="100">
        <f t="shared" si="101"/>
        <v>0</v>
      </c>
      <c r="J1158" s="249">
        <f t="shared" si="102"/>
        <v>0</v>
      </c>
      <c r="K1158" s="63" t="e">
        <f>VLOOKUP(C1158,'RAW DATA 2023'!E:BO,20,0)</f>
        <v>#N/A</v>
      </c>
      <c r="L1158" s="322" t="e">
        <f t="shared" si="103"/>
        <v>#N/A</v>
      </c>
    </row>
    <row r="1159" spans="1:12" s="63" customFormat="1">
      <c r="C1159" s="63" t="str">
        <f t="shared" si="99"/>
        <v/>
      </c>
      <c r="D1159" s="63" t="e">
        <f>VLOOKUP(C1159,'RAW DATA 2023'!E:BP,63,0)</f>
        <v>#N/A</v>
      </c>
      <c r="E1159" s="63" t="e">
        <f t="shared" si="100"/>
        <v>#N/A</v>
      </c>
      <c r="F1159" s="63" t="e">
        <f>ROUND(VLOOKUP(C1159,'RAW DATA 2023'!E:BO,23,0),0)</f>
        <v>#N/A</v>
      </c>
      <c r="G1159" s="120" t="e">
        <f>VLOOKUP(C1159,'RAW DATA 2023'!E:BO,26,0)</f>
        <v>#N/A</v>
      </c>
      <c r="H1159" s="101" t="str">
        <f>IFERROR(VLOOKUP(F1159,STD!B:G,6,0),"")</f>
        <v/>
      </c>
      <c r="I1159" s="100">
        <f t="shared" si="101"/>
        <v>0</v>
      </c>
      <c r="J1159" s="249">
        <f t="shared" si="102"/>
        <v>0</v>
      </c>
      <c r="K1159" s="63" t="e">
        <f>VLOOKUP(C1159,'RAW DATA 2023'!E:BO,20,0)</f>
        <v>#N/A</v>
      </c>
      <c r="L1159" s="322" t="e">
        <f t="shared" si="103"/>
        <v>#N/A</v>
      </c>
    </row>
    <row r="1160" spans="1:12" s="63" customFormat="1">
      <c r="C1160" s="63" t="str">
        <f t="shared" si="99"/>
        <v/>
      </c>
      <c r="D1160" s="63" t="e">
        <f>VLOOKUP(C1160,'RAW DATA 2023'!E:BP,63,0)</f>
        <v>#N/A</v>
      </c>
      <c r="E1160" s="63" t="e">
        <f t="shared" si="100"/>
        <v>#N/A</v>
      </c>
      <c r="F1160" s="63" t="e">
        <f>ROUND(VLOOKUP(C1160,'RAW DATA 2023'!E:BO,23,0),0)</f>
        <v>#N/A</v>
      </c>
      <c r="G1160" s="120" t="e">
        <f>VLOOKUP(C1160,'RAW DATA 2023'!E:BO,26,0)</f>
        <v>#N/A</v>
      </c>
      <c r="H1160" s="101" t="str">
        <f>IFERROR(VLOOKUP(F1160,STD!B:G,6,0),"")</f>
        <v/>
      </c>
      <c r="I1160" s="100">
        <f t="shared" si="101"/>
        <v>0</v>
      </c>
      <c r="J1160" s="249">
        <f t="shared" si="102"/>
        <v>0</v>
      </c>
      <c r="K1160" s="63" t="e">
        <f>VLOOKUP(C1160,'RAW DATA 2023'!E:BO,20,0)</f>
        <v>#N/A</v>
      </c>
      <c r="L1160" s="322" t="e">
        <f t="shared" si="103"/>
        <v>#N/A</v>
      </c>
    </row>
    <row r="1161" spans="1:12" s="63" customFormat="1">
      <c r="C1161" s="63" t="str">
        <f t="shared" si="99"/>
        <v/>
      </c>
      <c r="D1161" s="63" t="e">
        <f>VLOOKUP(C1161,'RAW DATA 2023'!E:BP,63,0)</f>
        <v>#N/A</v>
      </c>
      <c r="E1161" s="63" t="e">
        <f t="shared" si="100"/>
        <v>#N/A</v>
      </c>
      <c r="F1161" s="63" t="e">
        <f>ROUND(VLOOKUP(C1161,'RAW DATA 2023'!E:BO,23,0),0)</f>
        <v>#N/A</v>
      </c>
      <c r="G1161" s="120" t="e">
        <f>VLOOKUP(C1161,'RAW DATA 2023'!E:BO,26,0)</f>
        <v>#N/A</v>
      </c>
      <c r="H1161" s="101" t="str">
        <f>IFERROR(VLOOKUP(F1161,STD!B:G,6,0),"")</f>
        <v/>
      </c>
      <c r="I1161" s="100">
        <f t="shared" si="101"/>
        <v>0</v>
      </c>
      <c r="J1161" s="249">
        <f t="shared" si="102"/>
        <v>0</v>
      </c>
      <c r="K1161" s="63" t="e">
        <f>VLOOKUP(C1161,'RAW DATA 2023'!E:BO,20,0)</f>
        <v>#N/A</v>
      </c>
      <c r="L1161" s="322" t="e">
        <f t="shared" si="103"/>
        <v>#N/A</v>
      </c>
    </row>
    <row r="1162" spans="1:12" s="63" customFormat="1">
      <c r="C1162" s="63" t="str">
        <f t="shared" ref="C1162:C1225" si="104">A1162&amp;B1162</f>
        <v/>
      </c>
      <c r="D1162" s="63" t="e">
        <f>VLOOKUP(C1162,'RAW DATA 2023'!E:BP,63,0)</f>
        <v>#N/A</v>
      </c>
      <c r="E1162" s="63" t="e">
        <f t="shared" ref="E1162:E1225" si="105">A1162&amp;D1162</f>
        <v>#N/A</v>
      </c>
      <c r="F1162" s="63" t="e">
        <f>ROUND(VLOOKUP(C1162,'RAW DATA 2023'!E:BO,23,0),0)</f>
        <v>#N/A</v>
      </c>
      <c r="G1162" s="120" t="e">
        <f>VLOOKUP(C1162,'RAW DATA 2023'!E:BO,26,0)</f>
        <v>#N/A</v>
      </c>
      <c r="H1162" s="101" t="str">
        <f>IFERROR(VLOOKUP(F1162,STD!B:G,6,0),"")</f>
        <v/>
      </c>
      <c r="I1162" s="100">
        <f t="shared" ref="I1162:I1225" si="106">IFERROR(G1162/H1162,0)</f>
        <v>0</v>
      </c>
      <c r="J1162" s="249">
        <f t="shared" si="102"/>
        <v>0</v>
      </c>
      <c r="K1162" s="63" t="e">
        <f>VLOOKUP(C1162,'RAW DATA 2023'!E:BO,20,0)</f>
        <v>#N/A</v>
      </c>
      <c r="L1162" s="322" t="e">
        <f t="shared" si="103"/>
        <v>#N/A</v>
      </c>
    </row>
    <row r="1163" spans="1:12" s="63" customFormat="1">
      <c r="C1163" s="63" t="str">
        <f t="shared" si="104"/>
        <v/>
      </c>
      <c r="D1163" s="63" t="e">
        <f>VLOOKUP(C1163,'RAW DATA 2023'!E:BP,63,0)</f>
        <v>#N/A</v>
      </c>
      <c r="E1163" s="63" t="e">
        <f t="shared" si="105"/>
        <v>#N/A</v>
      </c>
      <c r="F1163" s="63" t="e">
        <f>ROUND(VLOOKUP(C1163,'RAW DATA 2023'!E:BO,23,0),0)</f>
        <v>#N/A</v>
      </c>
      <c r="G1163" s="120" t="e">
        <f>VLOOKUP(C1163,'RAW DATA 2023'!E:BO,26,0)</f>
        <v>#N/A</v>
      </c>
      <c r="H1163" s="101" t="str">
        <f>IFERROR(VLOOKUP(F1163,STD!B:G,6,0),"")</f>
        <v/>
      </c>
      <c r="I1163" s="100">
        <f t="shared" si="106"/>
        <v>0</v>
      </c>
      <c r="J1163" s="249">
        <f t="shared" ref="J1163:J1226" si="107">IF(I1163&gt;0.5,((I1163-$B$4)*$B$7),0)</f>
        <v>0</v>
      </c>
      <c r="K1163" s="63" t="e">
        <f>VLOOKUP(C1163,'RAW DATA 2023'!E:BO,20,0)</f>
        <v>#N/A</v>
      </c>
      <c r="L1163" s="322" t="e">
        <f t="shared" ref="L1163:L1226" si="108">J1163*K1163</f>
        <v>#N/A</v>
      </c>
    </row>
    <row r="1164" spans="1:12" s="63" customFormat="1">
      <c r="C1164" s="63" t="str">
        <f t="shared" si="104"/>
        <v/>
      </c>
      <c r="D1164" s="63" t="e">
        <f>VLOOKUP(C1164,'RAW DATA 2023'!E:BP,63,0)</f>
        <v>#N/A</v>
      </c>
      <c r="E1164" s="63" t="e">
        <f t="shared" si="105"/>
        <v>#N/A</v>
      </c>
      <c r="F1164" s="63" t="e">
        <f>ROUND(VLOOKUP(C1164,'RAW DATA 2023'!E:BO,23,0),0)</f>
        <v>#N/A</v>
      </c>
      <c r="G1164" s="120" t="e">
        <f>VLOOKUP(C1164,'RAW DATA 2023'!E:BO,26,0)</f>
        <v>#N/A</v>
      </c>
      <c r="H1164" s="101" t="str">
        <f>IFERROR(VLOOKUP(F1164,STD!B:G,6,0),"")</f>
        <v/>
      </c>
      <c r="I1164" s="100">
        <f t="shared" si="106"/>
        <v>0</v>
      </c>
      <c r="J1164" s="249">
        <f t="shared" si="107"/>
        <v>0</v>
      </c>
      <c r="K1164" s="63" t="e">
        <f>VLOOKUP(C1164,'RAW DATA 2023'!E:BO,20,0)</f>
        <v>#N/A</v>
      </c>
      <c r="L1164" s="322" t="e">
        <f t="shared" si="108"/>
        <v>#N/A</v>
      </c>
    </row>
    <row r="1165" spans="1:12" s="63" customFormat="1">
      <c r="C1165" s="63" t="str">
        <f t="shared" si="104"/>
        <v/>
      </c>
      <c r="D1165" s="63" t="e">
        <f>VLOOKUP(C1165,'RAW DATA 2023'!E:BP,63,0)</f>
        <v>#N/A</v>
      </c>
      <c r="E1165" s="63" t="e">
        <f t="shared" si="105"/>
        <v>#N/A</v>
      </c>
      <c r="F1165" s="63" t="e">
        <f>ROUND(VLOOKUP(C1165,'RAW DATA 2023'!E:BO,23,0),0)</f>
        <v>#N/A</v>
      </c>
      <c r="G1165" s="120" t="e">
        <f>VLOOKUP(C1165,'RAW DATA 2023'!E:BO,26,0)</f>
        <v>#N/A</v>
      </c>
      <c r="H1165" s="101" t="str">
        <f>IFERROR(VLOOKUP(F1165,STD!B:G,6,0),"")</f>
        <v/>
      </c>
      <c r="I1165" s="100">
        <f t="shared" si="106"/>
        <v>0</v>
      </c>
      <c r="J1165" s="249">
        <f t="shared" si="107"/>
        <v>0</v>
      </c>
      <c r="K1165" s="63" t="e">
        <f>VLOOKUP(C1165,'RAW DATA 2023'!E:BO,20,0)</f>
        <v>#N/A</v>
      </c>
      <c r="L1165" s="322" t="e">
        <f t="shared" si="108"/>
        <v>#N/A</v>
      </c>
    </row>
    <row r="1166" spans="1:12" s="63" customFormat="1">
      <c r="C1166" s="63" t="str">
        <f t="shared" si="104"/>
        <v/>
      </c>
      <c r="D1166" s="63" t="e">
        <f>VLOOKUP(C1166,'RAW DATA 2023'!E:BP,63,0)</f>
        <v>#N/A</v>
      </c>
      <c r="E1166" s="63" t="e">
        <f t="shared" si="105"/>
        <v>#N/A</v>
      </c>
      <c r="F1166" s="63" t="e">
        <f>ROUND(VLOOKUP(C1166,'RAW DATA 2023'!E:BO,23,0),0)</f>
        <v>#N/A</v>
      </c>
      <c r="G1166" s="120" t="e">
        <f>VLOOKUP(C1166,'RAW DATA 2023'!E:BO,26,0)</f>
        <v>#N/A</v>
      </c>
      <c r="H1166" s="101" t="str">
        <f>IFERROR(VLOOKUP(F1166,STD!B:G,6,0),"")</f>
        <v/>
      </c>
      <c r="I1166" s="100">
        <f t="shared" si="106"/>
        <v>0</v>
      </c>
      <c r="J1166" s="249">
        <f t="shared" si="107"/>
        <v>0</v>
      </c>
      <c r="K1166" s="63" t="e">
        <f>VLOOKUP(C1166,'RAW DATA 2023'!E:BO,20,0)</f>
        <v>#N/A</v>
      </c>
      <c r="L1166" s="322" t="e">
        <f t="shared" si="108"/>
        <v>#N/A</v>
      </c>
    </row>
    <row r="1167" spans="1:12" s="63" customFormat="1">
      <c r="C1167" s="63" t="str">
        <f t="shared" si="104"/>
        <v/>
      </c>
      <c r="D1167" s="63" t="e">
        <f>VLOOKUP(C1167,'RAW DATA 2023'!E:BP,63,0)</f>
        <v>#N/A</v>
      </c>
      <c r="E1167" s="63" t="e">
        <f t="shared" si="105"/>
        <v>#N/A</v>
      </c>
      <c r="F1167" s="63" t="e">
        <f>ROUND(VLOOKUP(C1167,'RAW DATA 2023'!E:BO,23,0),0)</f>
        <v>#N/A</v>
      </c>
      <c r="G1167" s="120" t="e">
        <f>VLOOKUP(C1167,'RAW DATA 2023'!E:BO,26,0)</f>
        <v>#N/A</v>
      </c>
      <c r="H1167" s="101" t="str">
        <f>IFERROR(VLOOKUP(F1167,STD!B:G,6,0),"")</f>
        <v/>
      </c>
      <c r="I1167" s="100">
        <f t="shared" si="106"/>
        <v>0</v>
      </c>
      <c r="J1167" s="249">
        <f t="shared" si="107"/>
        <v>0</v>
      </c>
      <c r="K1167" s="63" t="e">
        <f>VLOOKUP(C1167,'RAW DATA 2023'!E:BO,20,0)</f>
        <v>#N/A</v>
      </c>
      <c r="L1167" s="322" t="e">
        <f t="shared" si="108"/>
        <v>#N/A</v>
      </c>
    </row>
    <row r="1168" spans="1:12" s="63" customFormat="1">
      <c r="C1168" s="63" t="str">
        <f t="shared" si="104"/>
        <v/>
      </c>
      <c r="D1168" s="63" t="e">
        <f>VLOOKUP(C1168,'RAW DATA 2023'!E:BP,63,0)</f>
        <v>#N/A</v>
      </c>
      <c r="E1168" s="63" t="e">
        <f t="shared" si="105"/>
        <v>#N/A</v>
      </c>
      <c r="F1168" s="63" t="e">
        <f>ROUND(VLOOKUP(C1168,'RAW DATA 2023'!E:BO,23,0),0)</f>
        <v>#N/A</v>
      </c>
      <c r="G1168" s="120" t="e">
        <f>VLOOKUP(C1168,'RAW DATA 2023'!E:BO,26,0)</f>
        <v>#N/A</v>
      </c>
      <c r="H1168" s="101" t="str">
        <f>IFERROR(VLOOKUP(F1168,STD!B:G,6,0),"")</f>
        <v/>
      </c>
      <c r="I1168" s="100">
        <f t="shared" si="106"/>
        <v>0</v>
      </c>
      <c r="J1168" s="249">
        <f t="shared" si="107"/>
        <v>0</v>
      </c>
      <c r="K1168" s="63" t="e">
        <f>VLOOKUP(C1168,'RAW DATA 2023'!E:BO,20,0)</f>
        <v>#N/A</v>
      </c>
      <c r="L1168" s="322" t="e">
        <f t="shared" si="108"/>
        <v>#N/A</v>
      </c>
    </row>
    <row r="1169" spans="3:13">
      <c r="C1169" s="63" t="str">
        <f t="shared" si="104"/>
        <v/>
      </c>
      <c r="D1169" s="63" t="e">
        <f>VLOOKUP(C1169,'RAW DATA 2023'!E:BP,63,0)</f>
        <v>#N/A</v>
      </c>
      <c r="E1169" s="63" t="e">
        <f t="shared" si="105"/>
        <v>#N/A</v>
      </c>
      <c r="F1169" s="63" t="e">
        <f>ROUND(VLOOKUP(C1169,'RAW DATA 2023'!E:BO,23,0),0)</f>
        <v>#N/A</v>
      </c>
      <c r="G1169" s="120" t="e">
        <f>VLOOKUP(C1169,'RAW DATA 2023'!E:BO,26,0)</f>
        <v>#N/A</v>
      </c>
      <c r="H1169" s="101" t="str">
        <f>IFERROR(VLOOKUP(F1169,STD!B:G,6,0),"")</f>
        <v/>
      </c>
      <c r="I1169" s="100">
        <f t="shared" si="106"/>
        <v>0</v>
      </c>
      <c r="J1169" s="249">
        <f t="shared" si="107"/>
        <v>0</v>
      </c>
      <c r="K1169" s="63" t="e">
        <f>VLOOKUP(C1169,'RAW DATA 2023'!E:BO,20,0)</f>
        <v>#N/A</v>
      </c>
      <c r="L1169" s="322" t="e">
        <f t="shared" si="108"/>
        <v>#N/A</v>
      </c>
      <c r="M1169" s="63"/>
    </row>
    <row r="1170" spans="3:13">
      <c r="C1170" s="63" t="str">
        <f t="shared" si="104"/>
        <v/>
      </c>
      <c r="D1170" s="63" t="e">
        <f>VLOOKUP(C1170,'RAW DATA 2023'!E:BP,63,0)</f>
        <v>#N/A</v>
      </c>
      <c r="E1170" s="63" t="e">
        <f t="shared" si="105"/>
        <v>#N/A</v>
      </c>
      <c r="F1170" s="63" t="e">
        <f>ROUND(VLOOKUP(C1170,'RAW DATA 2023'!E:BO,23,0),0)</f>
        <v>#N/A</v>
      </c>
      <c r="G1170" s="120" t="e">
        <f>VLOOKUP(C1170,'RAW DATA 2023'!E:BO,26,0)</f>
        <v>#N/A</v>
      </c>
      <c r="H1170" s="101" t="str">
        <f>IFERROR(VLOOKUP(F1170,STD!B:G,6,0),"")</f>
        <v/>
      </c>
      <c r="I1170" s="100">
        <f t="shared" si="106"/>
        <v>0</v>
      </c>
      <c r="J1170" s="249">
        <f t="shared" si="107"/>
        <v>0</v>
      </c>
      <c r="K1170" s="63" t="e">
        <f>VLOOKUP(C1170,'RAW DATA 2023'!E:BO,20,0)</f>
        <v>#N/A</v>
      </c>
      <c r="L1170" s="322" t="e">
        <f t="shared" si="108"/>
        <v>#N/A</v>
      </c>
      <c r="M1170" s="63"/>
    </row>
    <row r="1171" spans="3:13">
      <c r="C1171" s="63" t="str">
        <f t="shared" si="104"/>
        <v/>
      </c>
      <c r="D1171" s="63" t="e">
        <f>VLOOKUP(C1171,'RAW DATA 2023'!E:BP,63,0)</f>
        <v>#N/A</v>
      </c>
      <c r="E1171" s="63" t="e">
        <f t="shared" si="105"/>
        <v>#N/A</v>
      </c>
      <c r="F1171" s="63" t="e">
        <f>ROUND(VLOOKUP(C1171,'RAW DATA 2023'!E:BO,23,0),0)</f>
        <v>#N/A</v>
      </c>
      <c r="G1171" s="120" t="e">
        <f>VLOOKUP(C1171,'RAW DATA 2023'!E:BO,26,0)</f>
        <v>#N/A</v>
      </c>
      <c r="H1171" s="101" t="str">
        <f>IFERROR(VLOOKUP(F1171,STD!B:G,6,0),"")</f>
        <v/>
      </c>
      <c r="I1171" s="100">
        <f t="shared" si="106"/>
        <v>0</v>
      </c>
      <c r="J1171" s="249">
        <f t="shared" si="107"/>
        <v>0</v>
      </c>
      <c r="K1171" s="63" t="e">
        <f>VLOOKUP(C1171,'RAW DATA 2023'!E:BO,20,0)</f>
        <v>#N/A</v>
      </c>
      <c r="L1171" s="322" t="e">
        <f t="shared" si="108"/>
        <v>#N/A</v>
      </c>
      <c r="M1171" s="63"/>
    </row>
    <row r="1172" spans="3:13">
      <c r="C1172" s="63" t="str">
        <f t="shared" si="104"/>
        <v/>
      </c>
      <c r="D1172" s="63" t="e">
        <f>VLOOKUP(C1172,'RAW DATA 2023'!E:BP,63,0)</f>
        <v>#N/A</v>
      </c>
      <c r="E1172" s="63" t="e">
        <f t="shared" si="105"/>
        <v>#N/A</v>
      </c>
      <c r="F1172" s="63" t="e">
        <f>ROUND(VLOOKUP(C1172,'RAW DATA 2023'!E:BO,23,0),0)</f>
        <v>#N/A</v>
      </c>
      <c r="G1172" s="120" t="e">
        <f>VLOOKUP(C1172,'RAW DATA 2023'!E:BO,26,0)</f>
        <v>#N/A</v>
      </c>
      <c r="H1172" s="101" t="str">
        <f>IFERROR(VLOOKUP(F1172,STD!B:G,6,0),"")</f>
        <v/>
      </c>
      <c r="I1172" s="100">
        <f t="shared" si="106"/>
        <v>0</v>
      </c>
      <c r="J1172" s="249">
        <f t="shared" si="107"/>
        <v>0</v>
      </c>
      <c r="K1172" s="63" t="e">
        <f>VLOOKUP(C1172,'RAW DATA 2023'!E:BO,20,0)</f>
        <v>#N/A</v>
      </c>
      <c r="L1172" s="322" t="e">
        <f t="shared" si="108"/>
        <v>#N/A</v>
      </c>
      <c r="M1172" s="63"/>
    </row>
    <row r="1173" spans="3:13">
      <c r="C1173" s="63" t="str">
        <f t="shared" si="104"/>
        <v/>
      </c>
      <c r="D1173" s="63" t="e">
        <f>VLOOKUP(C1173,'RAW DATA 2023'!E:BP,63,0)</f>
        <v>#N/A</v>
      </c>
      <c r="E1173" s="63" t="e">
        <f t="shared" si="105"/>
        <v>#N/A</v>
      </c>
      <c r="F1173" s="63" t="e">
        <f>ROUND(VLOOKUP(C1173,'RAW DATA 2023'!E:BO,23,0),0)</f>
        <v>#N/A</v>
      </c>
      <c r="G1173" s="120" t="e">
        <f>VLOOKUP(C1173,'RAW DATA 2023'!E:BO,26,0)</f>
        <v>#N/A</v>
      </c>
      <c r="H1173" s="101" t="str">
        <f>IFERROR(VLOOKUP(F1173,STD!B:G,6,0),"")</f>
        <v/>
      </c>
      <c r="I1173" s="100">
        <f t="shared" si="106"/>
        <v>0</v>
      </c>
      <c r="J1173" s="249">
        <f t="shared" si="107"/>
        <v>0</v>
      </c>
      <c r="K1173" s="63" t="e">
        <f>VLOOKUP(C1173,'RAW DATA 2023'!E:BO,20,0)</f>
        <v>#N/A</v>
      </c>
      <c r="L1173" s="322" t="e">
        <f t="shared" si="108"/>
        <v>#N/A</v>
      </c>
      <c r="M1173" s="63"/>
    </row>
    <row r="1174" spans="3:13">
      <c r="C1174" s="63" t="str">
        <f t="shared" si="104"/>
        <v/>
      </c>
      <c r="D1174" s="63" t="e">
        <f>VLOOKUP(C1174,'RAW DATA 2023'!E:BP,63,0)</f>
        <v>#N/A</v>
      </c>
      <c r="E1174" s="63" t="e">
        <f t="shared" si="105"/>
        <v>#N/A</v>
      </c>
      <c r="F1174" s="63" t="e">
        <f>ROUND(VLOOKUP(C1174,'RAW DATA 2023'!E:BO,23,0),0)</f>
        <v>#N/A</v>
      </c>
      <c r="G1174" s="120" t="e">
        <f>VLOOKUP(C1174,'RAW DATA 2023'!E:BO,26,0)</f>
        <v>#N/A</v>
      </c>
      <c r="H1174" s="101" t="str">
        <f>IFERROR(VLOOKUP(F1174,STD!B:G,6,0),"")</f>
        <v/>
      </c>
      <c r="I1174" s="100">
        <f t="shared" si="106"/>
        <v>0</v>
      </c>
      <c r="J1174" s="249">
        <f t="shared" si="107"/>
        <v>0</v>
      </c>
      <c r="K1174" s="63" t="e">
        <f>VLOOKUP(C1174,'RAW DATA 2023'!E:BO,20,0)</f>
        <v>#N/A</v>
      </c>
      <c r="L1174" s="322" t="e">
        <f t="shared" si="108"/>
        <v>#N/A</v>
      </c>
      <c r="M1174" s="63"/>
    </row>
    <row r="1175" spans="3:13">
      <c r="C1175" s="63" t="str">
        <f t="shared" si="104"/>
        <v/>
      </c>
      <c r="D1175" s="63" t="e">
        <f>VLOOKUP(C1175,'RAW DATA 2023'!E:BP,63,0)</f>
        <v>#N/A</v>
      </c>
      <c r="E1175" s="63" t="e">
        <f t="shared" si="105"/>
        <v>#N/A</v>
      </c>
      <c r="F1175" s="63" t="e">
        <f>ROUND(VLOOKUP(C1175,'RAW DATA 2023'!E:BO,23,0),0)</f>
        <v>#N/A</v>
      </c>
      <c r="G1175" s="120" t="e">
        <f>VLOOKUP(C1175,'RAW DATA 2023'!E:BO,26,0)</f>
        <v>#N/A</v>
      </c>
      <c r="H1175" s="101" t="str">
        <f>IFERROR(VLOOKUP(F1175,STD!B:G,6,0),"")</f>
        <v/>
      </c>
      <c r="I1175" s="100">
        <f t="shared" si="106"/>
        <v>0</v>
      </c>
      <c r="J1175" s="249">
        <f t="shared" si="107"/>
        <v>0</v>
      </c>
      <c r="K1175" s="63" t="e">
        <f>VLOOKUP(C1175,'RAW DATA 2023'!E:BO,20,0)</f>
        <v>#N/A</v>
      </c>
      <c r="L1175" s="322" t="e">
        <f t="shared" si="108"/>
        <v>#N/A</v>
      </c>
      <c r="M1175" s="63"/>
    </row>
    <row r="1176" spans="3:13">
      <c r="C1176" s="63" t="str">
        <f t="shared" si="104"/>
        <v/>
      </c>
      <c r="D1176" s="63" t="e">
        <f>VLOOKUP(C1176,'RAW DATA 2023'!E:BP,63,0)</f>
        <v>#N/A</v>
      </c>
      <c r="E1176" s="63" t="e">
        <f t="shared" si="105"/>
        <v>#N/A</v>
      </c>
      <c r="F1176" s="63" t="e">
        <f>ROUND(VLOOKUP(C1176,'RAW DATA 2023'!E:BO,23,0),0)</f>
        <v>#N/A</v>
      </c>
      <c r="G1176" s="120" t="e">
        <f>VLOOKUP(C1176,'RAW DATA 2023'!E:BO,26,0)</f>
        <v>#N/A</v>
      </c>
      <c r="H1176" s="101" t="str">
        <f>IFERROR(VLOOKUP(F1176,STD!B:G,6,0),"")</f>
        <v/>
      </c>
      <c r="I1176" s="100">
        <f t="shared" si="106"/>
        <v>0</v>
      </c>
      <c r="J1176" s="249">
        <f t="shared" si="107"/>
        <v>0</v>
      </c>
      <c r="K1176" s="63" t="e">
        <f>VLOOKUP(C1176,'RAW DATA 2023'!E:BO,20,0)</f>
        <v>#N/A</v>
      </c>
      <c r="L1176" s="322" t="e">
        <f t="shared" si="108"/>
        <v>#N/A</v>
      </c>
      <c r="M1176" s="63"/>
    </row>
    <row r="1177" spans="3:13">
      <c r="C1177" s="63" t="str">
        <f t="shared" si="104"/>
        <v/>
      </c>
      <c r="D1177" s="63" t="e">
        <f>VLOOKUP(C1177,'RAW DATA 2023'!E:BP,63,0)</f>
        <v>#N/A</v>
      </c>
      <c r="E1177" s="63" t="e">
        <f t="shared" si="105"/>
        <v>#N/A</v>
      </c>
      <c r="F1177" s="63" t="e">
        <f>ROUND(VLOOKUP(C1177,'RAW DATA 2023'!E:BO,23,0),0)</f>
        <v>#N/A</v>
      </c>
      <c r="G1177" s="120" t="e">
        <f>VLOOKUP(C1177,'RAW DATA 2023'!E:BO,26,0)</f>
        <v>#N/A</v>
      </c>
      <c r="H1177" s="101" t="str">
        <f>IFERROR(VLOOKUP(F1177,STD!B:G,6,0),"")</f>
        <v/>
      </c>
      <c r="I1177" s="100">
        <f t="shared" si="106"/>
        <v>0</v>
      </c>
      <c r="J1177" s="249">
        <f t="shared" si="107"/>
        <v>0</v>
      </c>
      <c r="K1177" s="63" t="e">
        <f>VLOOKUP(C1177,'RAW DATA 2023'!E:BO,20,0)</f>
        <v>#N/A</v>
      </c>
      <c r="L1177" s="322" t="e">
        <f t="shared" si="108"/>
        <v>#N/A</v>
      </c>
      <c r="M1177" s="63"/>
    </row>
    <row r="1178" spans="3:13">
      <c r="C1178" s="63" t="str">
        <f t="shared" si="104"/>
        <v/>
      </c>
      <c r="D1178" s="63" t="e">
        <f>VLOOKUP(C1178,'RAW DATA 2023'!E:BP,63,0)</f>
        <v>#N/A</v>
      </c>
      <c r="E1178" s="63" t="e">
        <f t="shared" si="105"/>
        <v>#N/A</v>
      </c>
      <c r="F1178" s="63" t="e">
        <f>ROUND(VLOOKUP(C1178,'RAW DATA 2023'!E:BO,23,0),0)</f>
        <v>#N/A</v>
      </c>
      <c r="G1178" s="120" t="e">
        <f>VLOOKUP(C1178,'RAW DATA 2023'!E:BO,26,0)</f>
        <v>#N/A</v>
      </c>
      <c r="H1178" s="101" t="str">
        <f>IFERROR(VLOOKUP(F1178,STD!B:G,6,0),"")</f>
        <v/>
      </c>
      <c r="I1178" s="100">
        <f t="shared" si="106"/>
        <v>0</v>
      </c>
      <c r="J1178" s="249">
        <f t="shared" si="107"/>
        <v>0</v>
      </c>
      <c r="K1178" s="63" t="e">
        <f>VLOOKUP(C1178,'RAW DATA 2023'!E:BO,20,0)</f>
        <v>#N/A</v>
      </c>
      <c r="L1178" s="322" t="e">
        <f t="shared" si="108"/>
        <v>#N/A</v>
      </c>
      <c r="M1178" s="63"/>
    </row>
    <row r="1179" spans="3:13">
      <c r="C1179" s="63" t="str">
        <f t="shared" si="104"/>
        <v/>
      </c>
      <c r="D1179" s="63" t="e">
        <f>VLOOKUP(C1179,'RAW DATA 2023'!E:BP,63,0)</f>
        <v>#N/A</v>
      </c>
      <c r="E1179" s="63" t="e">
        <f t="shared" si="105"/>
        <v>#N/A</v>
      </c>
      <c r="F1179" s="63" t="e">
        <f>ROUND(VLOOKUP(C1179,'RAW DATA 2023'!E:BO,23,0),0)</f>
        <v>#N/A</v>
      </c>
      <c r="G1179" s="120" t="e">
        <f>VLOOKUP(C1179,'RAW DATA 2023'!E:BO,26,0)</f>
        <v>#N/A</v>
      </c>
      <c r="H1179" s="101" t="str">
        <f>IFERROR(VLOOKUP(F1179,STD!B:G,6,0),"")</f>
        <v/>
      </c>
      <c r="I1179" s="100">
        <f t="shared" si="106"/>
        <v>0</v>
      </c>
      <c r="J1179" s="249">
        <f t="shared" si="107"/>
        <v>0</v>
      </c>
      <c r="K1179" s="63" t="e">
        <f>VLOOKUP(C1179,'RAW DATA 2023'!E:BO,20,0)</f>
        <v>#N/A</v>
      </c>
      <c r="L1179" s="322" t="e">
        <f t="shared" si="108"/>
        <v>#N/A</v>
      </c>
      <c r="M1179" s="63"/>
    </row>
    <row r="1180" spans="3:13">
      <c r="C1180" s="63" t="str">
        <f t="shared" si="104"/>
        <v/>
      </c>
      <c r="D1180" s="63" t="e">
        <f>VLOOKUP(C1180,'RAW DATA 2023'!E:BP,63,0)</f>
        <v>#N/A</v>
      </c>
      <c r="E1180" s="63" t="e">
        <f t="shared" si="105"/>
        <v>#N/A</v>
      </c>
      <c r="F1180" s="63" t="e">
        <f>ROUND(VLOOKUP(C1180,'RAW DATA 2023'!E:BO,23,0),0)</f>
        <v>#N/A</v>
      </c>
      <c r="G1180" s="120" t="e">
        <f>VLOOKUP(C1180,'RAW DATA 2023'!E:BO,26,0)</f>
        <v>#N/A</v>
      </c>
      <c r="H1180" s="101" t="str">
        <f>IFERROR(VLOOKUP(F1180,STD!B:G,6,0),"")</f>
        <v/>
      </c>
      <c r="I1180" s="100">
        <f t="shared" si="106"/>
        <v>0</v>
      </c>
      <c r="J1180" s="249">
        <f t="shared" si="107"/>
        <v>0</v>
      </c>
      <c r="K1180" s="63" t="e">
        <f>VLOOKUP(C1180,'RAW DATA 2023'!E:BO,20,0)</f>
        <v>#N/A</v>
      </c>
      <c r="L1180" s="322" t="e">
        <f t="shared" si="108"/>
        <v>#N/A</v>
      </c>
      <c r="M1180" s="63"/>
    </row>
    <row r="1181" spans="3:13">
      <c r="C1181" s="63" t="str">
        <f t="shared" si="104"/>
        <v/>
      </c>
      <c r="D1181" s="63" t="e">
        <f>VLOOKUP(C1181,'RAW DATA 2023'!E:BP,63,0)</f>
        <v>#N/A</v>
      </c>
      <c r="E1181" s="63" t="e">
        <f t="shared" si="105"/>
        <v>#N/A</v>
      </c>
      <c r="F1181" s="63" t="e">
        <f>ROUND(VLOOKUP(C1181,'RAW DATA 2023'!E:BO,23,0),0)</f>
        <v>#N/A</v>
      </c>
      <c r="G1181" s="120" t="e">
        <f>VLOOKUP(C1181,'RAW DATA 2023'!E:BO,26,0)</f>
        <v>#N/A</v>
      </c>
      <c r="H1181" s="101" t="str">
        <f>IFERROR(VLOOKUP(F1181,STD!B:G,6,0),"")</f>
        <v/>
      </c>
      <c r="I1181" s="100">
        <f t="shared" si="106"/>
        <v>0</v>
      </c>
      <c r="J1181" s="249">
        <f t="shared" si="107"/>
        <v>0</v>
      </c>
      <c r="K1181" s="63" t="e">
        <f>VLOOKUP(C1181,'RAW DATA 2023'!E:BO,20,0)</f>
        <v>#N/A</v>
      </c>
      <c r="L1181" s="322" t="e">
        <f t="shared" si="108"/>
        <v>#N/A</v>
      </c>
      <c r="M1181" s="63"/>
    </row>
    <row r="1182" spans="3:13">
      <c r="C1182" s="63" t="str">
        <f t="shared" si="104"/>
        <v/>
      </c>
      <c r="D1182" s="63" t="e">
        <f>VLOOKUP(C1182,'RAW DATA 2023'!E:BP,63,0)</f>
        <v>#N/A</v>
      </c>
      <c r="E1182" s="63" t="e">
        <f t="shared" si="105"/>
        <v>#N/A</v>
      </c>
      <c r="F1182" s="63" t="e">
        <f>ROUND(VLOOKUP(C1182,'RAW DATA 2023'!E:BO,23,0),0)</f>
        <v>#N/A</v>
      </c>
      <c r="G1182" s="120" t="e">
        <f>VLOOKUP(C1182,'RAW DATA 2023'!E:BO,26,0)</f>
        <v>#N/A</v>
      </c>
      <c r="H1182" s="101" t="str">
        <f>IFERROR(VLOOKUP(F1182,STD!B:G,6,0),"")</f>
        <v/>
      </c>
      <c r="I1182" s="100">
        <f t="shared" si="106"/>
        <v>0</v>
      </c>
      <c r="J1182" s="249">
        <f t="shared" si="107"/>
        <v>0</v>
      </c>
      <c r="K1182" s="63" t="e">
        <f>VLOOKUP(C1182,'RAW DATA 2023'!E:BO,20,0)</f>
        <v>#N/A</v>
      </c>
      <c r="L1182" s="322" t="e">
        <f t="shared" si="108"/>
        <v>#N/A</v>
      </c>
    </row>
    <row r="1183" spans="3:13">
      <c r="C1183" s="63" t="str">
        <f t="shared" si="104"/>
        <v/>
      </c>
      <c r="D1183" s="63" t="e">
        <f>VLOOKUP(C1183,'RAW DATA 2023'!E:BP,63,0)</f>
        <v>#N/A</v>
      </c>
      <c r="E1183" s="63" t="e">
        <f t="shared" si="105"/>
        <v>#N/A</v>
      </c>
      <c r="F1183" s="63" t="e">
        <f>ROUND(VLOOKUP(C1183,'RAW DATA 2023'!E:BO,23,0),0)</f>
        <v>#N/A</v>
      </c>
      <c r="G1183" s="120" t="e">
        <f>VLOOKUP(C1183,'RAW DATA 2023'!E:BO,26,0)</f>
        <v>#N/A</v>
      </c>
      <c r="H1183" s="101" t="str">
        <f>IFERROR(VLOOKUP(F1183,STD!B:G,6,0),"")</f>
        <v/>
      </c>
      <c r="I1183" s="100">
        <f t="shared" si="106"/>
        <v>0</v>
      </c>
      <c r="J1183" s="249">
        <f t="shared" si="107"/>
        <v>0</v>
      </c>
      <c r="K1183" s="63" t="e">
        <f>VLOOKUP(C1183,'RAW DATA 2023'!E:BO,20,0)</f>
        <v>#N/A</v>
      </c>
      <c r="L1183" s="322" t="e">
        <f t="shared" si="108"/>
        <v>#N/A</v>
      </c>
    </row>
    <row r="1184" spans="3:13">
      <c r="C1184" s="63" t="str">
        <f t="shared" si="104"/>
        <v/>
      </c>
      <c r="D1184" s="63" t="e">
        <f>VLOOKUP(C1184,'RAW DATA 2023'!E:BP,63,0)</f>
        <v>#N/A</v>
      </c>
      <c r="E1184" s="63" t="e">
        <f t="shared" si="105"/>
        <v>#N/A</v>
      </c>
      <c r="F1184" s="63" t="e">
        <f>ROUND(VLOOKUP(C1184,'RAW DATA 2023'!E:BO,23,0),0)</f>
        <v>#N/A</v>
      </c>
      <c r="G1184" s="120" t="e">
        <f>VLOOKUP(C1184,'RAW DATA 2023'!E:BO,26,0)</f>
        <v>#N/A</v>
      </c>
      <c r="H1184" s="101" t="str">
        <f>IFERROR(VLOOKUP(F1184,STD!B:G,6,0),"")</f>
        <v/>
      </c>
      <c r="I1184" s="100">
        <f t="shared" si="106"/>
        <v>0</v>
      </c>
      <c r="J1184" s="249">
        <f t="shared" si="107"/>
        <v>0</v>
      </c>
      <c r="K1184" s="63" t="e">
        <f>VLOOKUP(C1184,'RAW DATA 2023'!E:BO,20,0)</f>
        <v>#N/A</v>
      </c>
      <c r="L1184" s="322" t="e">
        <f t="shared" si="108"/>
        <v>#N/A</v>
      </c>
    </row>
    <row r="1185" spans="3:12">
      <c r="C1185" s="63" t="str">
        <f t="shared" si="104"/>
        <v/>
      </c>
      <c r="D1185" s="63" t="e">
        <f>VLOOKUP(C1185,'RAW DATA 2023'!E:BP,63,0)</f>
        <v>#N/A</v>
      </c>
      <c r="E1185" s="63" t="e">
        <f t="shared" si="105"/>
        <v>#N/A</v>
      </c>
      <c r="F1185" s="63" t="e">
        <f>ROUND(VLOOKUP(C1185,'RAW DATA 2023'!E:BO,23,0),0)</f>
        <v>#N/A</v>
      </c>
      <c r="G1185" s="120" t="e">
        <f>VLOOKUP(C1185,'RAW DATA 2023'!E:BO,26,0)</f>
        <v>#N/A</v>
      </c>
      <c r="H1185" s="101" t="str">
        <f>IFERROR(VLOOKUP(F1185,STD!B:G,6,0),"")</f>
        <v/>
      </c>
      <c r="I1185" s="100">
        <f t="shared" si="106"/>
        <v>0</v>
      </c>
      <c r="J1185" s="249">
        <f t="shared" si="107"/>
        <v>0</v>
      </c>
      <c r="K1185" s="63" t="e">
        <f>VLOOKUP(C1185,'RAW DATA 2023'!E:BO,20,0)</f>
        <v>#N/A</v>
      </c>
      <c r="L1185" s="322" t="e">
        <f t="shared" si="108"/>
        <v>#N/A</v>
      </c>
    </row>
    <row r="1186" spans="3:12">
      <c r="C1186" s="63" t="str">
        <f t="shared" si="104"/>
        <v/>
      </c>
      <c r="D1186" s="63" t="e">
        <f>VLOOKUP(C1186,'RAW DATA 2023'!E:BP,63,0)</f>
        <v>#N/A</v>
      </c>
      <c r="E1186" s="63" t="e">
        <f t="shared" si="105"/>
        <v>#N/A</v>
      </c>
      <c r="F1186" s="63" t="e">
        <f>ROUND(VLOOKUP(C1186,'RAW DATA 2023'!E:BO,23,0),0)</f>
        <v>#N/A</v>
      </c>
      <c r="G1186" s="120" t="e">
        <f>VLOOKUP(C1186,'RAW DATA 2023'!E:BO,26,0)</f>
        <v>#N/A</v>
      </c>
      <c r="H1186" s="101" t="str">
        <f>IFERROR(VLOOKUP(F1186,STD!B:G,6,0),"")</f>
        <v/>
      </c>
      <c r="I1186" s="100">
        <f t="shared" si="106"/>
        <v>0</v>
      </c>
      <c r="J1186" s="249">
        <f t="shared" si="107"/>
        <v>0</v>
      </c>
      <c r="K1186" s="63" t="e">
        <f>VLOOKUP(C1186,'RAW DATA 2023'!E:BO,20,0)</f>
        <v>#N/A</v>
      </c>
      <c r="L1186" s="322" t="e">
        <f t="shared" si="108"/>
        <v>#N/A</v>
      </c>
    </row>
    <row r="1187" spans="3:12">
      <c r="C1187" s="63" t="str">
        <f t="shared" si="104"/>
        <v/>
      </c>
      <c r="D1187" s="63" t="e">
        <f>VLOOKUP(C1187,'RAW DATA 2023'!E:BP,63,0)</f>
        <v>#N/A</v>
      </c>
      <c r="E1187" s="63" t="e">
        <f t="shared" si="105"/>
        <v>#N/A</v>
      </c>
      <c r="F1187" s="63" t="e">
        <f>ROUND(VLOOKUP(C1187,'RAW DATA 2023'!E:BO,23,0),0)</f>
        <v>#N/A</v>
      </c>
      <c r="G1187" s="120" t="e">
        <f>VLOOKUP(C1187,'RAW DATA 2023'!E:BO,26,0)</f>
        <v>#N/A</v>
      </c>
      <c r="H1187" s="101" t="str">
        <f>IFERROR(VLOOKUP(F1187,STD!B:G,6,0),"")</f>
        <v/>
      </c>
      <c r="I1187" s="100">
        <f t="shared" si="106"/>
        <v>0</v>
      </c>
      <c r="J1187" s="249">
        <f t="shared" si="107"/>
        <v>0</v>
      </c>
      <c r="K1187" s="63" t="e">
        <f>VLOOKUP(C1187,'RAW DATA 2023'!E:BO,20,0)</f>
        <v>#N/A</v>
      </c>
      <c r="L1187" s="322" t="e">
        <f t="shared" si="108"/>
        <v>#N/A</v>
      </c>
    </row>
    <row r="1188" spans="3:12">
      <c r="C1188" s="63" t="str">
        <f t="shared" si="104"/>
        <v/>
      </c>
      <c r="D1188" s="63" t="e">
        <f>VLOOKUP(C1188,'RAW DATA 2023'!E:BP,63,0)</f>
        <v>#N/A</v>
      </c>
      <c r="E1188" s="63" t="e">
        <f t="shared" si="105"/>
        <v>#N/A</v>
      </c>
      <c r="F1188" s="63" t="e">
        <f>ROUND(VLOOKUP(C1188,'RAW DATA 2023'!E:BO,23,0),0)</f>
        <v>#N/A</v>
      </c>
      <c r="G1188" s="120" t="e">
        <f>VLOOKUP(C1188,'RAW DATA 2023'!E:BO,26,0)</f>
        <v>#N/A</v>
      </c>
      <c r="H1188" s="101" t="str">
        <f>IFERROR(VLOOKUP(F1188,STD!B:G,6,0),"")</f>
        <v/>
      </c>
      <c r="I1188" s="100">
        <f t="shared" si="106"/>
        <v>0</v>
      </c>
      <c r="J1188" s="249">
        <f t="shared" si="107"/>
        <v>0</v>
      </c>
      <c r="K1188" s="63" t="e">
        <f>VLOOKUP(C1188,'RAW DATA 2023'!E:BO,20,0)</f>
        <v>#N/A</v>
      </c>
      <c r="L1188" s="322" t="e">
        <f t="shared" si="108"/>
        <v>#N/A</v>
      </c>
    </row>
    <row r="1189" spans="3:12">
      <c r="C1189" s="63" t="str">
        <f t="shared" si="104"/>
        <v/>
      </c>
      <c r="D1189" s="63" t="e">
        <f>VLOOKUP(C1189,'RAW DATA 2023'!E:BP,63,0)</f>
        <v>#N/A</v>
      </c>
      <c r="E1189" s="63" t="e">
        <f t="shared" si="105"/>
        <v>#N/A</v>
      </c>
      <c r="F1189" s="63" t="e">
        <f>ROUND(VLOOKUP(C1189,'RAW DATA 2023'!E:BO,23,0),0)</f>
        <v>#N/A</v>
      </c>
      <c r="G1189" s="120" t="e">
        <f>VLOOKUP(C1189,'RAW DATA 2023'!E:BO,26,0)</f>
        <v>#N/A</v>
      </c>
      <c r="H1189" s="101" t="str">
        <f>IFERROR(VLOOKUP(F1189,STD!B:G,6,0),"")</f>
        <v/>
      </c>
      <c r="I1189" s="100">
        <f t="shared" si="106"/>
        <v>0</v>
      </c>
      <c r="J1189" s="249">
        <f t="shared" si="107"/>
        <v>0</v>
      </c>
      <c r="K1189" s="63" t="e">
        <f>VLOOKUP(C1189,'RAW DATA 2023'!E:BO,20,0)</f>
        <v>#N/A</v>
      </c>
      <c r="L1189" s="322" t="e">
        <f t="shared" si="108"/>
        <v>#N/A</v>
      </c>
    </row>
    <row r="1190" spans="3:12">
      <c r="C1190" s="63" t="str">
        <f t="shared" si="104"/>
        <v/>
      </c>
      <c r="D1190" s="63" t="e">
        <f>VLOOKUP(C1190,'RAW DATA 2023'!E:BP,63,0)</f>
        <v>#N/A</v>
      </c>
      <c r="E1190" s="63" t="e">
        <f t="shared" si="105"/>
        <v>#N/A</v>
      </c>
      <c r="F1190" s="63" t="e">
        <f>ROUND(VLOOKUP(C1190,'RAW DATA 2023'!E:BO,23,0),0)</f>
        <v>#N/A</v>
      </c>
      <c r="G1190" s="120" t="e">
        <f>VLOOKUP(C1190,'RAW DATA 2023'!E:BO,26,0)</f>
        <v>#N/A</v>
      </c>
      <c r="H1190" s="101" t="str">
        <f>IFERROR(VLOOKUP(F1190,STD!B:G,6,0),"")</f>
        <v/>
      </c>
      <c r="I1190" s="100">
        <f t="shared" si="106"/>
        <v>0</v>
      </c>
      <c r="J1190" s="249">
        <f t="shared" si="107"/>
        <v>0</v>
      </c>
      <c r="K1190" s="63" t="e">
        <f>VLOOKUP(C1190,'RAW DATA 2023'!E:BO,20,0)</f>
        <v>#N/A</v>
      </c>
      <c r="L1190" s="322" t="e">
        <f t="shared" si="108"/>
        <v>#N/A</v>
      </c>
    </row>
    <row r="1191" spans="3:12">
      <c r="C1191" s="63" t="str">
        <f t="shared" si="104"/>
        <v/>
      </c>
      <c r="D1191" s="63" t="e">
        <f>VLOOKUP(C1191,'RAW DATA 2023'!E:BP,63,0)</f>
        <v>#N/A</v>
      </c>
      <c r="E1191" s="63" t="e">
        <f t="shared" si="105"/>
        <v>#N/A</v>
      </c>
      <c r="F1191" s="63" t="e">
        <f>ROUND(VLOOKUP(C1191,'RAW DATA 2023'!E:BO,23,0),0)</f>
        <v>#N/A</v>
      </c>
      <c r="G1191" s="120" t="e">
        <f>VLOOKUP(C1191,'RAW DATA 2023'!E:BO,26,0)</f>
        <v>#N/A</v>
      </c>
      <c r="H1191" s="101" t="str">
        <f>IFERROR(VLOOKUP(F1191,STD!B:G,6,0),"")</f>
        <v/>
      </c>
      <c r="I1191" s="100">
        <f t="shared" si="106"/>
        <v>0</v>
      </c>
      <c r="J1191" s="249">
        <f t="shared" si="107"/>
        <v>0</v>
      </c>
      <c r="K1191" s="63" t="e">
        <f>VLOOKUP(C1191,'RAW DATA 2023'!E:BO,20,0)</f>
        <v>#N/A</v>
      </c>
      <c r="L1191" s="322" t="e">
        <f t="shared" si="108"/>
        <v>#N/A</v>
      </c>
    </row>
    <row r="1192" spans="3:12">
      <c r="C1192" s="63" t="str">
        <f t="shared" si="104"/>
        <v/>
      </c>
      <c r="D1192" s="63" t="e">
        <f>VLOOKUP(C1192,'RAW DATA 2023'!E:BP,63,0)</f>
        <v>#N/A</v>
      </c>
      <c r="E1192" s="63" t="e">
        <f t="shared" si="105"/>
        <v>#N/A</v>
      </c>
      <c r="F1192" s="63" t="e">
        <f>ROUND(VLOOKUP(C1192,'RAW DATA 2023'!E:BO,23,0),0)</f>
        <v>#N/A</v>
      </c>
      <c r="G1192" s="120" t="e">
        <f>VLOOKUP(C1192,'RAW DATA 2023'!E:BO,26,0)</f>
        <v>#N/A</v>
      </c>
      <c r="H1192" s="101" t="str">
        <f>IFERROR(VLOOKUP(F1192,STD!B:G,6,0),"")</f>
        <v/>
      </c>
      <c r="I1192" s="100">
        <f t="shared" si="106"/>
        <v>0</v>
      </c>
      <c r="J1192" s="249">
        <f t="shared" si="107"/>
        <v>0</v>
      </c>
      <c r="K1192" s="63" t="e">
        <f>VLOOKUP(C1192,'RAW DATA 2023'!E:BO,20,0)</f>
        <v>#N/A</v>
      </c>
      <c r="L1192" s="322" t="e">
        <f t="shared" si="108"/>
        <v>#N/A</v>
      </c>
    </row>
    <row r="1193" spans="3:12">
      <c r="C1193" s="63" t="str">
        <f t="shared" si="104"/>
        <v/>
      </c>
      <c r="D1193" s="63" t="e">
        <f>VLOOKUP(C1193,'RAW DATA 2023'!E:BP,63,0)</f>
        <v>#N/A</v>
      </c>
      <c r="E1193" s="63" t="e">
        <f t="shared" si="105"/>
        <v>#N/A</v>
      </c>
      <c r="F1193" s="63" t="e">
        <f>ROUND(VLOOKUP(C1193,'RAW DATA 2023'!E:BO,23,0),0)</f>
        <v>#N/A</v>
      </c>
      <c r="G1193" s="120" t="e">
        <f>VLOOKUP(C1193,'RAW DATA 2023'!E:BO,26,0)</f>
        <v>#N/A</v>
      </c>
      <c r="H1193" s="101" t="str">
        <f>IFERROR(VLOOKUP(F1193,STD!B:G,6,0),"")</f>
        <v/>
      </c>
      <c r="I1193" s="100">
        <f t="shared" si="106"/>
        <v>0</v>
      </c>
      <c r="J1193" s="249">
        <f t="shared" si="107"/>
        <v>0</v>
      </c>
      <c r="K1193" s="63" t="e">
        <f>VLOOKUP(C1193,'RAW DATA 2023'!E:BO,20,0)</f>
        <v>#N/A</v>
      </c>
      <c r="L1193" s="322" t="e">
        <f t="shared" si="108"/>
        <v>#N/A</v>
      </c>
    </row>
    <row r="1194" spans="3:12">
      <c r="C1194" s="63" t="str">
        <f t="shared" si="104"/>
        <v/>
      </c>
      <c r="D1194" s="63" t="e">
        <f>VLOOKUP(C1194,'RAW DATA 2023'!E:BP,63,0)</f>
        <v>#N/A</v>
      </c>
      <c r="E1194" s="63" t="e">
        <f t="shared" si="105"/>
        <v>#N/A</v>
      </c>
      <c r="F1194" s="63" t="e">
        <f>ROUND(VLOOKUP(C1194,'RAW DATA 2023'!E:BO,23,0),0)</f>
        <v>#N/A</v>
      </c>
      <c r="G1194" s="120" t="e">
        <f>VLOOKUP(C1194,'RAW DATA 2023'!E:BO,26,0)</f>
        <v>#N/A</v>
      </c>
      <c r="H1194" s="101" t="str">
        <f>IFERROR(VLOOKUP(F1194,STD!B:G,6,0),"")</f>
        <v/>
      </c>
      <c r="I1194" s="100">
        <f t="shared" si="106"/>
        <v>0</v>
      </c>
      <c r="J1194" s="249">
        <f t="shared" si="107"/>
        <v>0</v>
      </c>
      <c r="K1194" s="63" t="e">
        <f>VLOOKUP(C1194,'RAW DATA 2023'!E:BO,20,0)</f>
        <v>#N/A</v>
      </c>
      <c r="L1194" s="322" t="e">
        <f t="shared" si="108"/>
        <v>#N/A</v>
      </c>
    </row>
    <row r="1195" spans="3:12">
      <c r="C1195" s="63" t="str">
        <f t="shared" si="104"/>
        <v/>
      </c>
      <c r="D1195" s="63" t="e">
        <f>VLOOKUP(C1195,'RAW DATA 2023'!E:BP,63,0)</f>
        <v>#N/A</v>
      </c>
      <c r="E1195" s="63" t="e">
        <f t="shared" si="105"/>
        <v>#N/A</v>
      </c>
      <c r="F1195" s="63" t="e">
        <f>ROUND(VLOOKUP(C1195,'RAW DATA 2023'!E:BO,23,0),0)</f>
        <v>#N/A</v>
      </c>
      <c r="G1195" s="120" t="e">
        <f>VLOOKUP(C1195,'RAW DATA 2023'!E:BO,26,0)</f>
        <v>#N/A</v>
      </c>
      <c r="H1195" s="101" t="str">
        <f>IFERROR(VLOOKUP(F1195,STD!B:G,6,0),"")</f>
        <v/>
      </c>
      <c r="I1195" s="100">
        <f t="shared" si="106"/>
        <v>0</v>
      </c>
      <c r="J1195" s="249">
        <f t="shared" si="107"/>
        <v>0</v>
      </c>
      <c r="K1195" s="63" t="e">
        <f>VLOOKUP(C1195,'RAW DATA 2023'!E:BO,20,0)</f>
        <v>#N/A</v>
      </c>
      <c r="L1195" s="322" t="e">
        <f t="shared" si="108"/>
        <v>#N/A</v>
      </c>
    </row>
    <row r="1196" spans="3:12">
      <c r="C1196" s="63" t="str">
        <f t="shared" si="104"/>
        <v/>
      </c>
      <c r="D1196" s="63" t="e">
        <f>VLOOKUP(C1196,'RAW DATA 2023'!E:BP,63,0)</f>
        <v>#N/A</v>
      </c>
      <c r="E1196" s="63" t="e">
        <f t="shared" si="105"/>
        <v>#N/A</v>
      </c>
      <c r="F1196" s="63" t="e">
        <f>ROUND(VLOOKUP(C1196,'RAW DATA 2023'!E:BO,23,0),0)</f>
        <v>#N/A</v>
      </c>
      <c r="G1196" s="120" t="e">
        <f>VLOOKUP(C1196,'RAW DATA 2023'!E:BO,26,0)</f>
        <v>#N/A</v>
      </c>
      <c r="H1196" s="101" t="str">
        <f>IFERROR(VLOOKUP(F1196,STD!B:G,6,0),"")</f>
        <v/>
      </c>
      <c r="I1196" s="100">
        <f t="shared" si="106"/>
        <v>0</v>
      </c>
      <c r="J1196" s="249">
        <f t="shared" si="107"/>
        <v>0</v>
      </c>
      <c r="K1196" s="63" t="e">
        <f>VLOOKUP(C1196,'RAW DATA 2023'!E:BO,20,0)</f>
        <v>#N/A</v>
      </c>
      <c r="L1196" s="322" t="e">
        <f t="shared" si="108"/>
        <v>#N/A</v>
      </c>
    </row>
    <row r="1197" spans="3:12">
      <c r="C1197" s="63" t="str">
        <f t="shared" si="104"/>
        <v/>
      </c>
      <c r="D1197" s="63" t="e">
        <f>VLOOKUP(C1197,'RAW DATA 2023'!E:BP,63,0)</f>
        <v>#N/A</v>
      </c>
      <c r="E1197" s="63" t="e">
        <f t="shared" si="105"/>
        <v>#N/A</v>
      </c>
      <c r="F1197" s="63" t="e">
        <f>ROUND(VLOOKUP(C1197,'RAW DATA 2023'!E:BO,23,0),0)</f>
        <v>#N/A</v>
      </c>
      <c r="G1197" s="120" t="e">
        <f>VLOOKUP(C1197,'RAW DATA 2023'!E:BO,26,0)</f>
        <v>#N/A</v>
      </c>
      <c r="H1197" s="101" t="str">
        <f>IFERROR(VLOOKUP(F1197,STD!B:G,6,0),"")</f>
        <v/>
      </c>
      <c r="I1197" s="100">
        <f t="shared" si="106"/>
        <v>0</v>
      </c>
      <c r="J1197" s="249">
        <f t="shared" si="107"/>
        <v>0</v>
      </c>
      <c r="K1197" s="63" t="e">
        <f>VLOOKUP(C1197,'RAW DATA 2023'!E:BO,20,0)</f>
        <v>#N/A</v>
      </c>
      <c r="L1197" s="322" t="e">
        <f t="shared" si="108"/>
        <v>#N/A</v>
      </c>
    </row>
    <row r="1198" spans="3:12">
      <c r="C1198" s="63" t="str">
        <f t="shared" si="104"/>
        <v/>
      </c>
      <c r="D1198" s="63" t="e">
        <f>VLOOKUP(C1198,'RAW DATA 2023'!E:BP,63,0)</f>
        <v>#N/A</v>
      </c>
      <c r="E1198" s="63" t="e">
        <f t="shared" si="105"/>
        <v>#N/A</v>
      </c>
      <c r="F1198" s="63" t="e">
        <f>ROUND(VLOOKUP(C1198,'RAW DATA 2023'!E:BO,23,0),0)</f>
        <v>#N/A</v>
      </c>
      <c r="G1198" s="120" t="e">
        <f>VLOOKUP(C1198,'RAW DATA 2023'!E:BO,26,0)</f>
        <v>#N/A</v>
      </c>
      <c r="H1198" s="101" t="str">
        <f>IFERROR(VLOOKUP(F1198,STD!B:G,6,0),"")</f>
        <v/>
      </c>
      <c r="I1198" s="100">
        <f t="shared" si="106"/>
        <v>0</v>
      </c>
      <c r="J1198" s="249">
        <f t="shared" si="107"/>
        <v>0</v>
      </c>
      <c r="K1198" s="63" t="e">
        <f>VLOOKUP(C1198,'RAW DATA 2023'!E:BO,20,0)</f>
        <v>#N/A</v>
      </c>
      <c r="L1198" s="322" t="e">
        <f t="shared" si="108"/>
        <v>#N/A</v>
      </c>
    </row>
    <row r="1199" spans="3:12">
      <c r="C1199" s="63" t="str">
        <f t="shared" si="104"/>
        <v/>
      </c>
      <c r="D1199" s="63" t="e">
        <f>VLOOKUP(C1199,'RAW DATA 2023'!E:BP,63,0)</f>
        <v>#N/A</v>
      </c>
      <c r="E1199" s="63" t="e">
        <f t="shared" si="105"/>
        <v>#N/A</v>
      </c>
      <c r="F1199" s="63" t="e">
        <f>ROUND(VLOOKUP(C1199,'RAW DATA 2023'!E:BO,23,0),0)</f>
        <v>#N/A</v>
      </c>
      <c r="G1199" s="120" t="e">
        <f>VLOOKUP(C1199,'RAW DATA 2023'!E:BO,26,0)</f>
        <v>#N/A</v>
      </c>
      <c r="H1199" s="101" t="str">
        <f>IFERROR(VLOOKUP(F1199,STD!B:G,6,0),"")</f>
        <v/>
      </c>
      <c r="I1199" s="100">
        <f t="shared" si="106"/>
        <v>0</v>
      </c>
      <c r="J1199" s="249">
        <f t="shared" si="107"/>
        <v>0</v>
      </c>
      <c r="K1199" s="63" t="e">
        <f>VLOOKUP(C1199,'RAW DATA 2023'!E:BO,20,0)</f>
        <v>#N/A</v>
      </c>
      <c r="L1199" s="322" t="e">
        <f t="shared" si="108"/>
        <v>#N/A</v>
      </c>
    </row>
    <row r="1200" spans="3:12">
      <c r="C1200" s="63" t="str">
        <f t="shared" si="104"/>
        <v/>
      </c>
      <c r="D1200" s="63" t="e">
        <f>VLOOKUP(C1200,'RAW DATA 2023'!E:BP,63,0)</f>
        <v>#N/A</v>
      </c>
      <c r="E1200" s="63" t="e">
        <f t="shared" si="105"/>
        <v>#N/A</v>
      </c>
      <c r="F1200" s="63" t="e">
        <f>ROUND(VLOOKUP(C1200,'RAW DATA 2023'!E:BO,23,0),0)</f>
        <v>#N/A</v>
      </c>
      <c r="G1200" s="120" t="e">
        <f>VLOOKUP(C1200,'RAW DATA 2023'!E:BO,26,0)</f>
        <v>#N/A</v>
      </c>
      <c r="H1200" s="101" t="str">
        <f>IFERROR(VLOOKUP(F1200,STD!B:G,6,0),"")</f>
        <v/>
      </c>
      <c r="I1200" s="100">
        <f t="shared" si="106"/>
        <v>0</v>
      </c>
      <c r="J1200" s="249">
        <f t="shared" si="107"/>
        <v>0</v>
      </c>
      <c r="K1200" s="63" t="e">
        <f>VLOOKUP(C1200,'RAW DATA 2023'!E:BO,20,0)</f>
        <v>#N/A</v>
      </c>
      <c r="L1200" s="322" t="e">
        <f t="shared" si="108"/>
        <v>#N/A</v>
      </c>
    </row>
    <row r="1201" spans="3:12">
      <c r="C1201" s="63" t="str">
        <f t="shared" si="104"/>
        <v/>
      </c>
      <c r="D1201" s="63" t="e">
        <f>VLOOKUP(C1201,'RAW DATA 2023'!E:BP,63,0)</f>
        <v>#N/A</v>
      </c>
      <c r="E1201" s="63" t="e">
        <f t="shared" si="105"/>
        <v>#N/A</v>
      </c>
      <c r="F1201" s="63" t="e">
        <f>ROUND(VLOOKUP(C1201,'RAW DATA 2023'!E:BO,23,0),0)</f>
        <v>#N/A</v>
      </c>
      <c r="G1201" s="120" t="e">
        <f>VLOOKUP(C1201,'RAW DATA 2023'!E:BO,26,0)</f>
        <v>#N/A</v>
      </c>
      <c r="H1201" s="101" t="str">
        <f>IFERROR(VLOOKUP(F1201,STD!B:G,6,0),"")</f>
        <v/>
      </c>
      <c r="I1201" s="100">
        <f t="shared" si="106"/>
        <v>0</v>
      </c>
      <c r="J1201" s="249">
        <f t="shared" si="107"/>
        <v>0</v>
      </c>
      <c r="K1201" s="63" t="e">
        <f>VLOOKUP(C1201,'RAW DATA 2023'!E:BO,20,0)</f>
        <v>#N/A</v>
      </c>
      <c r="L1201" s="322" t="e">
        <f t="shared" si="108"/>
        <v>#N/A</v>
      </c>
    </row>
    <row r="1202" spans="3:12">
      <c r="C1202" s="63" t="str">
        <f t="shared" si="104"/>
        <v/>
      </c>
      <c r="D1202" s="63" t="e">
        <f>VLOOKUP(C1202,'RAW DATA 2023'!E:BP,63,0)</f>
        <v>#N/A</v>
      </c>
      <c r="E1202" s="63" t="e">
        <f t="shared" si="105"/>
        <v>#N/A</v>
      </c>
      <c r="F1202" s="63" t="e">
        <f>ROUND(VLOOKUP(C1202,'RAW DATA 2023'!E:BO,23,0),0)</f>
        <v>#N/A</v>
      </c>
      <c r="G1202" s="120" t="e">
        <f>VLOOKUP(C1202,'RAW DATA 2023'!E:BO,26,0)</f>
        <v>#N/A</v>
      </c>
      <c r="H1202" s="101" t="str">
        <f>IFERROR(VLOOKUP(F1202,STD!B:G,6,0),"")</f>
        <v/>
      </c>
      <c r="I1202" s="100">
        <f t="shared" si="106"/>
        <v>0</v>
      </c>
      <c r="J1202" s="249">
        <f t="shared" si="107"/>
        <v>0</v>
      </c>
      <c r="K1202" s="63" t="e">
        <f>VLOOKUP(C1202,'RAW DATA 2023'!E:BO,20,0)</f>
        <v>#N/A</v>
      </c>
      <c r="L1202" s="322" t="e">
        <f t="shared" si="108"/>
        <v>#N/A</v>
      </c>
    </row>
    <row r="1203" spans="3:12">
      <c r="C1203" s="63" t="str">
        <f t="shared" si="104"/>
        <v/>
      </c>
      <c r="D1203" s="63" t="e">
        <f>VLOOKUP(C1203,'RAW DATA 2023'!E:BP,63,0)</f>
        <v>#N/A</v>
      </c>
      <c r="E1203" s="63" t="e">
        <f t="shared" si="105"/>
        <v>#N/A</v>
      </c>
      <c r="F1203" s="63" t="e">
        <f>ROUND(VLOOKUP(C1203,'RAW DATA 2023'!E:BO,23,0),0)</f>
        <v>#N/A</v>
      </c>
      <c r="G1203" s="120" t="e">
        <f>VLOOKUP(C1203,'RAW DATA 2023'!E:BO,26,0)</f>
        <v>#N/A</v>
      </c>
      <c r="H1203" s="101" t="str">
        <f>IFERROR(VLOOKUP(F1203,STD!B:G,6,0),"")</f>
        <v/>
      </c>
      <c r="I1203" s="100">
        <f t="shared" si="106"/>
        <v>0</v>
      </c>
      <c r="J1203" s="249">
        <f t="shared" si="107"/>
        <v>0</v>
      </c>
      <c r="K1203" s="63" t="e">
        <f>VLOOKUP(C1203,'RAW DATA 2023'!E:BO,20,0)</f>
        <v>#N/A</v>
      </c>
      <c r="L1203" s="322" t="e">
        <f t="shared" si="108"/>
        <v>#N/A</v>
      </c>
    </row>
    <row r="1204" spans="3:12">
      <c r="C1204" s="63" t="str">
        <f t="shared" si="104"/>
        <v/>
      </c>
      <c r="D1204" s="63" t="e">
        <f>VLOOKUP(C1204,'RAW DATA 2023'!E:BP,63,0)</f>
        <v>#N/A</v>
      </c>
      <c r="E1204" s="63" t="e">
        <f t="shared" si="105"/>
        <v>#N/A</v>
      </c>
      <c r="F1204" s="63" t="e">
        <f>ROUND(VLOOKUP(C1204,'RAW DATA 2023'!E:BO,23,0),0)</f>
        <v>#N/A</v>
      </c>
      <c r="G1204" s="120" t="e">
        <f>VLOOKUP(C1204,'RAW DATA 2023'!E:BO,26,0)</f>
        <v>#N/A</v>
      </c>
      <c r="H1204" s="101" t="str">
        <f>IFERROR(VLOOKUP(F1204,STD!B:G,6,0),"")</f>
        <v/>
      </c>
      <c r="I1204" s="100">
        <f t="shared" si="106"/>
        <v>0</v>
      </c>
      <c r="J1204" s="249">
        <f t="shared" si="107"/>
        <v>0</v>
      </c>
      <c r="K1204" s="63" t="e">
        <f>VLOOKUP(C1204,'RAW DATA 2023'!E:BO,20,0)</f>
        <v>#N/A</v>
      </c>
      <c r="L1204" s="322" t="e">
        <f t="shared" si="108"/>
        <v>#N/A</v>
      </c>
    </row>
    <row r="1205" spans="3:12">
      <c r="C1205" s="63" t="str">
        <f t="shared" si="104"/>
        <v/>
      </c>
      <c r="D1205" s="63" t="e">
        <f>VLOOKUP(C1205,'RAW DATA 2023'!E:BP,63,0)</f>
        <v>#N/A</v>
      </c>
      <c r="E1205" s="63" t="e">
        <f t="shared" si="105"/>
        <v>#N/A</v>
      </c>
      <c r="F1205" s="63" t="e">
        <f>ROUND(VLOOKUP(C1205,'RAW DATA 2023'!E:BO,23,0),0)</f>
        <v>#N/A</v>
      </c>
      <c r="G1205" s="120" t="e">
        <f>VLOOKUP(C1205,'RAW DATA 2023'!E:BO,26,0)</f>
        <v>#N/A</v>
      </c>
      <c r="H1205" s="101" t="str">
        <f>IFERROR(VLOOKUP(F1205,STD!B:G,6,0),"")</f>
        <v/>
      </c>
      <c r="I1205" s="100">
        <f t="shared" si="106"/>
        <v>0</v>
      </c>
      <c r="J1205" s="249">
        <f t="shared" si="107"/>
        <v>0</v>
      </c>
      <c r="K1205" s="63" t="e">
        <f>VLOOKUP(C1205,'RAW DATA 2023'!E:BO,20,0)</f>
        <v>#N/A</v>
      </c>
      <c r="L1205" s="322" t="e">
        <f t="shared" si="108"/>
        <v>#N/A</v>
      </c>
    </row>
    <row r="1206" spans="3:12">
      <c r="C1206" s="63" t="str">
        <f t="shared" si="104"/>
        <v/>
      </c>
      <c r="D1206" s="63" t="e">
        <f>VLOOKUP(C1206,'RAW DATA 2023'!E:BP,63,0)</f>
        <v>#N/A</v>
      </c>
      <c r="E1206" s="63" t="e">
        <f t="shared" si="105"/>
        <v>#N/A</v>
      </c>
      <c r="F1206" s="63" t="e">
        <f>ROUND(VLOOKUP(C1206,'RAW DATA 2023'!E:BO,23,0),0)</f>
        <v>#N/A</v>
      </c>
      <c r="G1206" s="120" t="e">
        <f>VLOOKUP(C1206,'RAW DATA 2023'!E:BO,26,0)</f>
        <v>#N/A</v>
      </c>
      <c r="H1206" s="101" t="str">
        <f>IFERROR(VLOOKUP(F1206,STD!B:G,6,0),"")</f>
        <v/>
      </c>
      <c r="I1206" s="100">
        <f t="shared" si="106"/>
        <v>0</v>
      </c>
      <c r="J1206" s="249">
        <f t="shared" si="107"/>
        <v>0</v>
      </c>
      <c r="K1206" s="63" t="e">
        <f>VLOOKUP(C1206,'RAW DATA 2023'!E:BO,20,0)</f>
        <v>#N/A</v>
      </c>
      <c r="L1206" s="322" t="e">
        <f t="shared" si="108"/>
        <v>#N/A</v>
      </c>
    </row>
    <row r="1207" spans="3:12">
      <c r="C1207" s="63" t="str">
        <f t="shared" si="104"/>
        <v/>
      </c>
      <c r="D1207" s="63" t="e">
        <f>VLOOKUP(C1207,'RAW DATA 2023'!E:BP,63,0)</f>
        <v>#N/A</v>
      </c>
      <c r="E1207" s="63" t="e">
        <f t="shared" si="105"/>
        <v>#N/A</v>
      </c>
      <c r="F1207" s="63" t="e">
        <f>ROUND(VLOOKUP(C1207,'RAW DATA 2023'!E:BO,23,0),0)</f>
        <v>#N/A</v>
      </c>
      <c r="G1207" s="120" t="e">
        <f>VLOOKUP(C1207,'RAW DATA 2023'!E:BO,26,0)</f>
        <v>#N/A</v>
      </c>
      <c r="H1207" s="101" t="str">
        <f>IFERROR(VLOOKUP(F1207,STD!B:G,6,0),"")</f>
        <v/>
      </c>
      <c r="I1207" s="100">
        <f t="shared" si="106"/>
        <v>0</v>
      </c>
      <c r="J1207" s="249">
        <f t="shared" si="107"/>
        <v>0</v>
      </c>
      <c r="K1207" s="63" t="e">
        <f>VLOOKUP(C1207,'RAW DATA 2023'!E:BO,20,0)</f>
        <v>#N/A</v>
      </c>
      <c r="L1207" s="322" t="e">
        <f t="shared" si="108"/>
        <v>#N/A</v>
      </c>
    </row>
    <row r="1208" spans="3:12">
      <c r="C1208" s="63" t="str">
        <f t="shared" si="104"/>
        <v/>
      </c>
      <c r="D1208" s="63" t="e">
        <f>VLOOKUP(C1208,'RAW DATA 2023'!E:BP,63,0)</f>
        <v>#N/A</v>
      </c>
      <c r="E1208" s="63" t="e">
        <f t="shared" si="105"/>
        <v>#N/A</v>
      </c>
      <c r="F1208" s="63" t="e">
        <f>ROUND(VLOOKUP(C1208,'RAW DATA 2023'!E:BO,23,0),0)</f>
        <v>#N/A</v>
      </c>
      <c r="G1208" s="120" t="e">
        <f>VLOOKUP(C1208,'RAW DATA 2023'!E:BO,26,0)</f>
        <v>#N/A</v>
      </c>
      <c r="H1208" s="101" t="str">
        <f>IFERROR(VLOOKUP(F1208,STD!B:G,6,0),"")</f>
        <v/>
      </c>
      <c r="I1208" s="100">
        <f t="shared" si="106"/>
        <v>0</v>
      </c>
      <c r="J1208" s="249">
        <f t="shared" si="107"/>
        <v>0</v>
      </c>
      <c r="K1208" s="63" t="e">
        <f>VLOOKUP(C1208,'RAW DATA 2023'!E:BO,20,0)</f>
        <v>#N/A</v>
      </c>
      <c r="L1208" s="322" t="e">
        <f t="shared" si="108"/>
        <v>#N/A</v>
      </c>
    </row>
    <row r="1209" spans="3:12">
      <c r="C1209" s="63" t="str">
        <f t="shared" si="104"/>
        <v/>
      </c>
      <c r="D1209" s="63" t="e">
        <f>VLOOKUP(C1209,'RAW DATA 2023'!E:BP,63,0)</f>
        <v>#N/A</v>
      </c>
      <c r="E1209" s="63" t="e">
        <f t="shared" si="105"/>
        <v>#N/A</v>
      </c>
      <c r="F1209" s="63" t="e">
        <f>ROUND(VLOOKUP(C1209,'RAW DATA 2023'!E:BO,23,0),0)</f>
        <v>#N/A</v>
      </c>
      <c r="G1209" s="120" t="e">
        <f>VLOOKUP(C1209,'RAW DATA 2023'!E:BO,26,0)</f>
        <v>#N/A</v>
      </c>
      <c r="H1209" s="101" t="str">
        <f>IFERROR(VLOOKUP(F1209,STD!B:G,6,0),"")</f>
        <v/>
      </c>
      <c r="I1209" s="100">
        <f t="shared" si="106"/>
        <v>0</v>
      </c>
      <c r="J1209" s="249">
        <f t="shared" si="107"/>
        <v>0</v>
      </c>
      <c r="K1209" s="63" t="e">
        <f>VLOOKUP(C1209,'RAW DATA 2023'!E:BO,20,0)</f>
        <v>#N/A</v>
      </c>
      <c r="L1209" s="322" t="e">
        <f t="shared" si="108"/>
        <v>#N/A</v>
      </c>
    </row>
    <row r="1210" spans="3:12">
      <c r="C1210" s="63" t="str">
        <f t="shared" si="104"/>
        <v/>
      </c>
      <c r="D1210" s="63" t="e">
        <f>VLOOKUP(C1210,'RAW DATA 2023'!E:BP,63,0)</f>
        <v>#N/A</v>
      </c>
      <c r="E1210" s="63" t="e">
        <f t="shared" si="105"/>
        <v>#N/A</v>
      </c>
      <c r="F1210" s="63" t="e">
        <f>ROUND(VLOOKUP(C1210,'RAW DATA 2023'!E:BO,23,0),0)</f>
        <v>#N/A</v>
      </c>
      <c r="G1210" s="120" t="e">
        <f>VLOOKUP(C1210,'RAW DATA 2023'!E:BO,26,0)</f>
        <v>#N/A</v>
      </c>
      <c r="H1210" s="101" t="str">
        <f>IFERROR(VLOOKUP(F1210,STD!B:G,6,0),"")</f>
        <v/>
      </c>
      <c r="I1210" s="100">
        <f t="shared" si="106"/>
        <v>0</v>
      </c>
      <c r="J1210" s="249">
        <f t="shared" si="107"/>
        <v>0</v>
      </c>
      <c r="K1210" s="63" t="e">
        <f>VLOOKUP(C1210,'RAW DATA 2023'!E:BO,20,0)</f>
        <v>#N/A</v>
      </c>
      <c r="L1210" s="322" t="e">
        <f t="shared" si="108"/>
        <v>#N/A</v>
      </c>
    </row>
    <row r="1211" spans="3:12">
      <c r="C1211" s="63" t="str">
        <f t="shared" si="104"/>
        <v/>
      </c>
      <c r="D1211" s="63" t="e">
        <f>VLOOKUP(C1211,'RAW DATA 2023'!E:BP,63,0)</f>
        <v>#N/A</v>
      </c>
      <c r="E1211" s="63" t="e">
        <f t="shared" si="105"/>
        <v>#N/A</v>
      </c>
      <c r="F1211" s="63" t="e">
        <f>ROUND(VLOOKUP(C1211,'RAW DATA 2023'!E:BO,23,0),0)</f>
        <v>#N/A</v>
      </c>
      <c r="G1211" s="120" t="e">
        <f>VLOOKUP(C1211,'RAW DATA 2023'!E:BO,26,0)</f>
        <v>#N/A</v>
      </c>
      <c r="H1211" s="101" t="str">
        <f>IFERROR(VLOOKUP(F1211,STD!B:G,6,0),"")</f>
        <v/>
      </c>
      <c r="I1211" s="100">
        <f t="shared" si="106"/>
        <v>0</v>
      </c>
      <c r="J1211" s="249">
        <f t="shared" si="107"/>
        <v>0</v>
      </c>
      <c r="K1211" s="63" t="e">
        <f>VLOOKUP(C1211,'RAW DATA 2023'!E:BO,20,0)</f>
        <v>#N/A</v>
      </c>
      <c r="L1211" s="322" t="e">
        <f t="shared" si="108"/>
        <v>#N/A</v>
      </c>
    </row>
    <row r="1212" spans="3:12">
      <c r="C1212" s="63" t="str">
        <f t="shared" si="104"/>
        <v/>
      </c>
      <c r="D1212" s="63" t="e">
        <f>VLOOKUP(C1212,'RAW DATA 2023'!E:BP,63,0)</f>
        <v>#N/A</v>
      </c>
      <c r="E1212" s="63" t="e">
        <f t="shared" si="105"/>
        <v>#N/A</v>
      </c>
      <c r="F1212" s="63" t="e">
        <f>ROUND(VLOOKUP(C1212,'RAW DATA 2023'!E:BO,23,0),0)</f>
        <v>#N/A</v>
      </c>
      <c r="G1212" s="120" t="e">
        <f>VLOOKUP(C1212,'RAW DATA 2023'!E:BO,26,0)</f>
        <v>#N/A</v>
      </c>
      <c r="H1212" s="101" t="str">
        <f>IFERROR(VLOOKUP(F1212,STD!B:G,6,0),"")</f>
        <v/>
      </c>
      <c r="I1212" s="100">
        <f t="shared" si="106"/>
        <v>0</v>
      </c>
      <c r="J1212" s="249">
        <f t="shared" si="107"/>
        <v>0</v>
      </c>
      <c r="K1212" s="63" t="e">
        <f>VLOOKUP(C1212,'RAW DATA 2023'!E:BO,20,0)</f>
        <v>#N/A</v>
      </c>
      <c r="L1212" s="322" t="e">
        <f t="shared" si="108"/>
        <v>#N/A</v>
      </c>
    </row>
    <row r="1213" spans="3:12">
      <c r="C1213" s="63" t="str">
        <f t="shared" si="104"/>
        <v/>
      </c>
      <c r="D1213" s="63" t="e">
        <f>VLOOKUP(C1213,'RAW DATA 2023'!E:BP,63,0)</f>
        <v>#N/A</v>
      </c>
      <c r="E1213" s="63" t="e">
        <f t="shared" si="105"/>
        <v>#N/A</v>
      </c>
      <c r="F1213" s="63" t="e">
        <f>ROUND(VLOOKUP(C1213,'RAW DATA 2023'!E:BO,23,0),0)</f>
        <v>#N/A</v>
      </c>
      <c r="G1213" s="120" t="e">
        <f>VLOOKUP(C1213,'RAW DATA 2023'!E:BO,26,0)</f>
        <v>#N/A</v>
      </c>
      <c r="H1213" s="101" t="str">
        <f>IFERROR(VLOOKUP(F1213,STD!B:G,6,0),"")</f>
        <v/>
      </c>
      <c r="I1213" s="100">
        <f t="shared" si="106"/>
        <v>0</v>
      </c>
      <c r="J1213" s="249">
        <f t="shared" si="107"/>
        <v>0</v>
      </c>
      <c r="K1213" s="63" t="e">
        <f>VLOOKUP(C1213,'RAW DATA 2023'!E:BO,20,0)</f>
        <v>#N/A</v>
      </c>
      <c r="L1213" s="322" t="e">
        <f t="shared" si="108"/>
        <v>#N/A</v>
      </c>
    </row>
    <row r="1214" spans="3:12">
      <c r="C1214" s="63" t="str">
        <f t="shared" si="104"/>
        <v/>
      </c>
      <c r="D1214" s="63" t="e">
        <f>VLOOKUP(C1214,'RAW DATA 2023'!E:BP,63,0)</f>
        <v>#N/A</v>
      </c>
      <c r="E1214" s="63" t="e">
        <f t="shared" si="105"/>
        <v>#N/A</v>
      </c>
      <c r="F1214" s="63" t="e">
        <f>ROUND(VLOOKUP(C1214,'RAW DATA 2023'!E:BO,23,0),0)</f>
        <v>#N/A</v>
      </c>
      <c r="G1214" s="120" t="e">
        <f>VLOOKUP(C1214,'RAW DATA 2023'!E:BO,26,0)</f>
        <v>#N/A</v>
      </c>
      <c r="H1214" s="101" t="str">
        <f>IFERROR(VLOOKUP(F1214,STD!B:G,6,0),"")</f>
        <v/>
      </c>
      <c r="I1214" s="100">
        <f t="shared" si="106"/>
        <v>0</v>
      </c>
      <c r="J1214" s="249">
        <f t="shared" si="107"/>
        <v>0</v>
      </c>
      <c r="K1214" s="63" t="e">
        <f>VLOOKUP(C1214,'RAW DATA 2023'!E:BO,20,0)</f>
        <v>#N/A</v>
      </c>
      <c r="L1214" s="322" t="e">
        <f t="shared" si="108"/>
        <v>#N/A</v>
      </c>
    </row>
    <row r="1215" spans="3:12">
      <c r="C1215" s="63" t="str">
        <f t="shared" si="104"/>
        <v/>
      </c>
      <c r="D1215" s="63" t="e">
        <f>VLOOKUP(C1215,'RAW DATA 2023'!E:BP,63,0)</f>
        <v>#N/A</v>
      </c>
      <c r="E1215" s="63" t="e">
        <f t="shared" si="105"/>
        <v>#N/A</v>
      </c>
      <c r="F1215" s="63" t="e">
        <f>ROUND(VLOOKUP(C1215,'RAW DATA 2023'!E:BO,23,0),0)</f>
        <v>#N/A</v>
      </c>
      <c r="G1215" s="120" t="e">
        <f>VLOOKUP(C1215,'RAW DATA 2023'!E:BO,26,0)</f>
        <v>#N/A</v>
      </c>
      <c r="H1215" s="101" t="str">
        <f>IFERROR(VLOOKUP(F1215,STD!B:G,6,0),"")</f>
        <v/>
      </c>
      <c r="I1215" s="100">
        <f t="shared" si="106"/>
        <v>0</v>
      </c>
      <c r="J1215" s="249">
        <f t="shared" si="107"/>
        <v>0</v>
      </c>
      <c r="K1215" s="63" t="e">
        <f>VLOOKUP(C1215,'RAW DATA 2023'!E:BO,20,0)</f>
        <v>#N/A</v>
      </c>
      <c r="L1215" s="322" t="e">
        <f t="shared" si="108"/>
        <v>#N/A</v>
      </c>
    </row>
    <row r="1216" spans="3:12">
      <c r="C1216" s="63" t="str">
        <f t="shared" si="104"/>
        <v/>
      </c>
      <c r="D1216" s="63" t="e">
        <f>VLOOKUP(C1216,'RAW DATA 2023'!E:BP,63,0)</f>
        <v>#N/A</v>
      </c>
      <c r="E1216" s="63" t="e">
        <f t="shared" si="105"/>
        <v>#N/A</v>
      </c>
      <c r="F1216" s="63" t="e">
        <f>ROUND(VLOOKUP(C1216,'RAW DATA 2023'!E:BO,23,0),0)</f>
        <v>#N/A</v>
      </c>
      <c r="G1216" s="120" t="e">
        <f>VLOOKUP(C1216,'RAW DATA 2023'!E:BO,26,0)</f>
        <v>#N/A</v>
      </c>
      <c r="H1216" s="101" t="str">
        <f>IFERROR(VLOOKUP(F1216,STD!B:G,6,0),"")</f>
        <v/>
      </c>
      <c r="I1216" s="100">
        <f t="shared" si="106"/>
        <v>0</v>
      </c>
      <c r="J1216" s="249">
        <f t="shared" si="107"/>
        <v>0</v>
      </c>
      <c r="K1216" s="63" t="e">
        <f>VLOOKUP(C1216,'RAW DATA 2023'!E:BO,20,0)</f>
        <v>#N/A</v>
      </c>
      <c r="L1216" s="322" t="e">
        <f t="shared" si="108"/>
        <v>#N/A</v>
      </c>
    </row>
    <row r="1217" spans="3:12">
      <c r="C1217" s="63" t="str">
        <f t="shared" si="104"/>
        <v/>
      </c>
      <c r="D1217" s="63" t="e">
        <f>VLOOKUP(C1217,'RAW DATA 2023'!E:BP,63,0)</f>
        <v>#N/A</v>
      </c>
      <c r="E1217" s="63" t="e">
        <f t="shared" si="105"/>
        <v>#N/A</v>
      </c>
      <c r="F1217" s="63" t="e">
        <f>ROUND(VLOOKUP(C1217,'RAW DATA 2023'!E:BO,23,0),0)</f>
        <v>#N/A</v>
      </c>
      <c r="G1217" s="120" t="e">
        <f>VLOOKUP(C1217,'RAW DATA 2023'!E:BO,26,0)</f>
        <v>#N/A</v>
      </c>
      <c r="H1217" s="101" t="str">
        <f>IFERROR(VLOOKUP(F1217,STD!B:G,6,0),"")</f>
        <v/>
      </c>
      <c r="I1217" s="100">
        <f t="shared" si="106"/>
        <v>0</v>
      </c>
      <c r="J1217" s="249">
        <f t="shared" si="107"/>
        <v>0</v>
      </c>
      <c r="K1217" s="63" t="e">
        <f>VLOOKUP(C1217,'RAW DATA 2023'!E:BO,20,0)</f>
        <v>#N/A</v>
      </c>
      <c r="L1217" s="322" t="e">
        <f t="shared" si="108"/>
        <v>#N/A</v>
      </c>
    </row>
    <row r="1218" spans="3:12">
      <c r="C1218" s="63" t="str">
        <f t="shared" si="104"/>
        <v/>
      </c>
      <c r="D1218" s="63" t="e">
        <f>VLOOKUP(C1218,'RAW DATA 2023'!E:BP,63,0)</f>
        <v>#N/A</v>
      </c>
      <c r="E1218" s="63" t="e">
        <f t="shared" si="105"/>
        <v>#N/A</v>
      </c>
      <c r="F1218" s="63" t="e">
        <f>ROUND(VLOOKUP(C1218,'RAW DATA 2023'!E:BO,23,0),0)</f>
        <v>#N/A</v>
      </c>
      <c r="G1218" s="120" t="e">
        <f>VLOOKUP(C1218,'RAW DATA 2023'!E:BO,26,0)</f>
        <v>#N/A</v>
      </c>
      <c r="H1218" s="101" t="str">
        <f>IFERROR(VLOOKUP(F1218,STD!B:G,6,0),"")</f>
        <v/>
      </c>
      <c r="I1218" s="100">
        <f t="shared" si="106"/>
        <v>0</v>
      </c>
      <c r="J1218" s="249">
        <f t="shared" si="107"/>
        <v>0</v>
      </c>
      <c r="K1218" s="63" t="e">
        <f>VLOOKUP(C1218,'RAW DATA 2023'!E:BO,20,0)</f>
        <v>#N/A</v>
      </c>
      <c r="L1218" s="322" t="e">
        <f t="shared" si="108"/>
        <v>#N/A</v>
      </c>
    </row>
    <row r="1219" spans="3:12">
      <c r="C1219" s="63" t="str">
        <f t="shared" si="104"/>
        <v/>
      </c>
      <c r="D1219" s="63" t="e">
        <f>VLOOKUP(C1219,'RAW DATA 2023'!E:BP,63,0)</f>
        <v>#N/A</v>
      </c>
      <c r="E1219" s="63" t="e">
        <f t="shared" si="105"/>
        <v>#N/A</v>
      </c>
      <c r="F1219" s="63" t="e">
        <f>ROUND(VLOOKUP(C1219,'RAW DATA 2023'!E:BO,23,0),0)</f>
        <v>#N/A</v>
      </c>
      <c r="G1219" s="120" t="e">
        <f>VLOOKUP(C1219,'RAW DATA 2023'!E:BO,26,0)</f>
        <v>#N/A</v>
      </c>
      <c r="H1219" s="101" t="str">
        <f>IFERROR(VLOOKUP(F1219,STD!B:G,6,0),"")</f>
        <v/>
      </c>
      <c r="I1219" s="100">
        <f t="shared" si="106"/>
        <v>0</v>
      </c>
      <c r="J1219" s="249">
        <f t="shared" si="107"/>
        <v>0</v>
      </c>
      <c r="K1219" s="63" t="e">
        <f>VLOOKUP(C1219,'RAW DATA 2023'!E:BO,20,0)</f>
        <v>#N/A</v>
      </c>
      <c r="L1219" s="322" t="e">
        <f t="shared" si="108"/>
        <v>#N/A</v>
      </c>
    </row>
    <row r="1220" spans="3:12">
      <c r="C1220" s="63" t="str">
        <f t="shared" si="104"/>
        <v/>
      </c>
      <c r="D1220" s="63" t="e">
        <f>VLOOKUP(C1220,'RAW DATA 2023'!E:BP,63,0)</f>
        <v>#N/A</v>
      </c>
      <c r="E1220" s="63" t="e">
        <f t="shared" si="105"/>
        <v>#N/A</v>
      </c>
      <c r="F1220" s="63" t="e">
        <f>ROUND(VLOOKUP(C1220,'RAW DATA 2023'!E:BO,23,0),0)</f>
        <v>#N/A</v>
      </c>
      <c r="G1220" s="120" t="e">
        <f>VLOOKUP(C1220,'RAW DATA 2023'!E:BO,26,0)</f>
        <v>#N/A</v>
      </c>
      <c r="H1220" s="101" t="str">
        <f>IFERROR(VLOOKUP(F1220,STD!B:G,6,0),"")</f>
        <v/>
      </c>
      <c r="I1220" s="100">
        <f t="shared" si="106"/>
        <v>0</v>
      </c>
      <c r="J1220" s="249">
        <f t="shared" si="107"/>
        <v>0</v>
      </c>
      <c r="K1220" s="63" t="e">
        <f>VLOOKUP(C1220,'RAW DATA 2023'!E:BO,20,0)</f>
        <v>#N/A</v>
      </c>
      <c r="L1220" s="322" t="e">
        <f t="shared" si="108"/>
        <v>#N/A</v>
      </c>
    </row>
    <row r="1221" spans="3:12">
      <c r="C1221" s="63" t="str">
        <f t="shared" si="104"/>
        <v/>
      </c>
      <c r="D1221" s="63" t="e">
        <f>VLOOKUP(C1221,'RAW DATA 2023'!E:BP,63,0)</f>
        <v>#N/A</v>
      </c>
      <c r="E1221" s="63" t="e">
        <f t="shared" si="105"/>
        <v>#N/A</v>
      </c>
      <c r="F1221" s="63" t="e">
        <f>ROUND(VLOOKUP(C1221,'RAW DATA 2023'!E:BO,23,0),0)</f>
        <v>#N/A</v>
      </c>
      <c r="G1221" s="120" t="e">
        <f>VLOOKUP(C1221,'RAW DATA 2023'!E:BO,26,0)</f>
        <v>#N/A</v>
      </c>
      <c r="H1221" s="101" t="str">
        <f>IFERROR(VLOOKUP(F1221,STD!B:G,6,0),"")</f>
        <v/>
      </c>
      <c r="I1221" s="100">
        <f t="shared" si="106"/>
        <v>0</v>
      </c>
      <c r="J1221" s="249">
        <f t="shared" si="107"/>
        <v>0</v>
      </c>
      <c r="K1221" s="63" t="e">
        <f>VLOOKUP(C1221,'RAW DATA 2023'!E:BO,20,0)</f>
        <v>#N/A</v>
      </c>
      <c r="L1221" s="322" t="e">
        <f t="shared" si="108"/>
        <v>#N/A</v>
      </c>
    </row>
    <row r="1222" spans="3:12">
      <c r="C1222" s="63" t="str">
        <f t="shared" si="104"/>
        <v/>
      </c>
      <c r="D1222" s="63" t="e">
        <f>VLOOKUP(C1222,'RAW DATA 2023'!E:BP,63,0)</f>
        <v>#N/A</v>
      </c>
      <c r="E1222" s="63" t="e">
        <f t="shared" si="105"/>
        <v>#N/A</v>
      </c>
      <c r="F1222" s="63" t="e">
        <f>ROUND(VLOOKUP(C1222,'RAW DATA 2023'!E:BO,23,0),0)</f>
        <v>#N/A</v>
      </c>
      <c r="G1222" s="120" t="e">
        <f>VLOOKUP(C1222,'RAW DATA 2023'!E:BO,26,0)</f>
        <v>#N/A</v>
      </c>
      <c r="H1222" s="101" t="str">
        <f>IFERROR(VLOOKUP(F1222,STD!B:G,6,0),"")</f>
        <v/>
      </c>
      <c r="I1222" s="100">
        <f t="shared" si="106"/>
        <v>0</v>
      </c>
      <c r="J1222" s="249">
        <f t="shared" si="107"/>
        <v>0</v>
      </c>
      <c r="K1222" s="63" t="e">
        <f>VLOOKUP(C1222,'RAW DATA 2023'!E:BO,20,0)</f>
        <v>#N/A</v>
      </c>
      <c r="L1222" s="322" t="e">
        <f t="shared" si="108"/>
        <v>#N/A</v>
      </c>
    </row>
    <row r="1223" spans="3:12">
      <c r="C1223" s="63" t="str">
        <f t="shared" si="104"/>
        <v/>
      </c>
      <c r="D1223" s="63" t="e">
        <f>VLOOKUP(C1223,'RAW DATA 2023'!E:BP,63,0)</f>
        <v>#N/A</v>
      </c>
      <c r="E1223" s="63" t="e">
        <f t="shared" si="105"/>
        <v>#N/A</v>
      </c>
      <c r="F1223" s="63" t="e">
        <f>ROUND(VLOOKUP(C1223,'RAW DATA 2023'!E:BO,23,0),0)</f>
        <v>#N/A</v>
      </c>
      <c r="G1223" s="120" t="e">
        <f>VLOOKUP(C1223,'RAW DATA 2023'!E:BO,26,0)</f>
        <v>#N/A</v>
      </c>
      <c r="H1223" s="101" t="str">
        <f>IFERROR(VLOOKUP(F1223,STD!B:G,6,0),"")</f>
        <v/>
      </c>
      <c r="I1223" s="100">
        <f t="shared" si="106"/>
        <v>0</v>
      </c>
      <c r="J1223" s="249">
        <f t="shared" si="107"/>
        <v>0</v>
      </c>
      <c r="K1223" s="63" t="e">
        <f>VLOOKUP(C1223,'RAW DATA 2023'!E:BO,20,0)</f>
        <v>#N/A</v>
      </c>
      <c r="L1223" s="322" t="e">
        <f t="shared" si="108"/>
        <v>#N/A</v>
      </c>
    </row>
    <row r="1224" spans="3:12">
      <c r="C1224" s="63" t="str">
        <f t="shared" si="104"/>
        <v/>
      </c>
      <c r="D1224" s="63" t="e">
        <f>VLOOKUP(C1224,'RAW DATA 2023'!E:BP,63,0)</f>
        <v>#N/A</v>
      </c>
      <c r="E1224" s="63" t="e">
        <f t="shared" si="105"/>
        <v>#N/A</v>
      </c>
      <c r="F1224" s="63" t="e">
        <f>ROUND(VLOOKUP(C1224,'RAW DATA 2023'!E:BO,23,0),0)</f>
        <v>#N/A</v>
      </c>
      <c r="G1224" s="120" t="e">
        <f>VLOOKUP(C1224,'RAW DATA 2023'!E:BO,26,0)</f>
        <v>#N/A</v>
      </c>
      <c r="H1224" s="101" t="str">
        <f>IFERROR(VLOOKUP(F1224,STD!B:G,6,0),"")</f>
        <v/>
      </c>
      <c r="I1224" s="100">
        <f t="shared" si="106"/>
        <v>0</v>
      </c>
      <c r="J1224" s="249">
        <f t="shared" si="107"/>
        <v>0</v>
      </c>
      <c r="K1224" s="63" t="e">
        <f>VLOOKUP(C1224,'RAW DATA 2023'!E:BO,20,0)</f>
        <v>#N/A</v>
      </c>
      <c r="L1224" s="322" t="e">
        <f t="shared" si="108"/>
        <v>#N/A</v>
      </c>
    </row>
    <row r="1225" spans="3:12">
      <c r="C1225" s="63" t="str">
        <f t="shared" si="104"/>
        <v/>
      </c>
      <c r="D1225" s="63" t="e">
        <f>VLOOKUP(C1225,'RAW DATA 2023'!E:BP,63,0)</f>
        <v>#N/A</v>
      </c>
      <c r="E1225" s="63" t="e">
        <f t="shared" si="105"/>
        <v>#N/A</v>
      </c>
      <c r="F1225" s="63" t="e">
        <f>ROUND(VLOOKUP(C1225,'RAW DATA 2023'!E:BO,23,0),0)</f>
        <v>#N/A</v>
      </c>
      <c r="G1225" s="120" t="e">
        <f>VLOOKUP(C1225,'RAW DATA 2023'!E:BO,26,0)</f>
        <v>#N/A</v>
      </c>
      <c r="H1225" s="101" t="str">
        <f>IFERROR(VLOOKUP(F1225,STD!B:G,6,0),"")</f>
        <v/>
      </c>
      <c r="I1225" s="100">
        <f t="shared" si="106"/>
        <v>0</v>
      </c>
      <c r="J1225" s="249">
        <f t="shared" si="107"/>
        <v>0</v>
      </c>
      <c r="K1225" s="63" t="e">
        <f>VLOOKUP(C1225,'RAW DATA 2023'!E:BO,20,0)</f>
        <v>#N/A</v>
      </c>
      <c r="L1225" s="322" t="e">
        <f t="shared" si="108"/>
        <v>#N/A</v>
      </c>
    </row>
    <row r="1226" spans="3:12">
      <c r="C1226" s="63" t="str">
        <f t="shared" ref="C1226:C1289" si="109">A1226&amp;B1226</f>
        <v/>
      </c>
      <c r="D1226" s="63" t="e">
        <f>VLOOKUP(C1226,'RAW DATA 2023'!E:BP,63,0)</f>
        <v>#N/A</v>
      </c>
      <c r="E1226" s="63" t="e">
        <f t="shared" ref="E1226:E1289" si="110">A1226&amp;D1226</f>
        <v>#N/A</v>
      </c>
      <c r="F1226" s="63" t="e">
        <f>ROUND(VLOOKUP(C1226,'RAW DATA 2023'!E:BO,23,0),0)</f>
        <v>#N/A</v>
      </c>
      <c r="G1226" s="120" t="e">
        <f>VLOOKUP(C1226,'RAW DATA 2023'!E:BO,26,0)</f>
        <v>#N/A</v>
      </c>
      <c r="H1226" s="101" t="str">
        <f>IFERROR(VLOOKUP(F1226,STD!B:G,6,0),"")</f>
        <v/>
      </c>
      <c r="I1226" s="100">
        <f t="shared" ref="I1226:I1289" si="111">IFERROR(G1226/H1226,0)</f>
        <v>0</v>
      </c>
      <c r="J1226" s="249">
        <f t="shared" si="107"/>
        <v>0</v>
      </c>
      <c r="K1226" s="63" t="e">
        <f>VLOOKUP(C1226,'RAW DATA 2023'!E:BO,20,0)</f>
        <v>#N/A</v>
      </c>
      <c r="L1226" s="322" t="e">
        <f t="shared" si="108"/>
        <v>#N/A</v>
      </c>
    </row>
    <row r="1227" spans="3:12">
      <c r="C1227" s="63" t="str">
        <f t="shared" si="109"/>
        <v/>
      </c>
      <c r="D1227" s="63" t="e">
        <f>VLOOKUP(C1227,'RAW DATA 2023'!E:BP,63,0)</f>
        <v>#N/A</v>
      </c>
      <c r="E1227" s="63" t="e">
        <f t="shared" si="110"/>
        <v>#N/A</v>
      </c>
      <c r="F1227" s="63" t="e">
        <f>ROUND(VLOOKUP(C1227,'RAW DATA 2023'!E:BO,23,0),0)</f>
        <v>#N/A</v>
      </c>
      <c r="G1227" s="120" t="e">
        <f>VLOOKUP(C1227,'RAW DATA 2023'!E:BO,26,0)</f>
        <v>#N/A</v>
      </c>
      <c r="H1227" s="101" t="str">
        <f>IFERROR(VLOOKUP(F1227,STD!B:G,6,0),"")</f>
        <v/>
      </c>
      <c r="I1227" s="100">
        <f t="shared" si="111"/>
        <v>0</v>
      </c>
      <c r="J1227" s="249">
        <f t="shared" ref="J1227:J1290" si="112">IF(I1227&gt;0.5,((I1227-$B$4)*$B$7),0)</f>
        <v>0</v>
      </c>
      <c r="K1227" s="63" t="e">
        <f>VLOOKUP(C1227,'RAW DATA 2023'!E:BO,20,0)</f>
        <v>#N/A</v>
      </c>
      <c r="L1227" s="322" t="e">
        <f t="shared" ref="L1227:L1290" si="113">J1227*K1227</f>
        <v>#N/A</v>
      </c>
    </row>
    <row r="1228" spans="3:12">
      <c r="C1228" s="63" t="str">
        <f t="shared" si="109"/>
        <v/>
      </c>
      <c r="D1228" s="63" t="e">
        <f>VLOOKUP(C1228,'RAW DATA 2023'!E:BP,63,0)</f>
        <v>#N/A</v>
      </c>
      <c r="E1228" s="63" t="e">
        <f t="shared" si="110"/>
        <v>#N/A</v>
      </c>
      <c r="F1228" s="63" t="e">
        <f>ROUND(VLOOKUP(C1228,'RAW DATA 2023'!E:BO,23,0),0)</f>
        <v>#N/A</v>
      </c>
      <c r="G1228" s="120" t="e">
        <f>VLOOKUP(C1228,'RAW DATA 2023'!E:BO,26,0)</f>
        <v>#N/A</v>
      </c>
      <c r="H1228" s="101" t="str">
        <f>IFERROR(VLOOKUP(F1228,STD!B:G,6,0),"")</f>
        <v/>
      </c>
      <c r="I1228" s="100">
        <f t="shared" si="111"/>
        <v>0</v>
      </c>
      <c r="J1228" s="249">
        <f t="shared" si="112"/>
        <v>0</v>
      </c>
      <c r="K1228" s="63" t="e">
        <f>VLOOKUP(C1228,'RAW DATA 2023'!E:BO,20,0)</f>
        <v>#N/A</v>
      </c>
      <c r="L1228" s="322" t="e">
        <f t="shared" si="113"/>
        <v>#N/A</v>
      </c>
    </row>
    <row r="1229" spans="3:12">
      <c r="C1229" s="63" t="str">
        <f t="shared" si="109"/>
        <v/>
      </c>
      <c r="D1229" s="63" t="e">
        <f>VLOOKUP(C1229,'RAW DATA 2023'!E:BP,63,0)</f>
        <v>#N/A</v>
      </c>
      <c r="E1229" s="63" t="e">
        <f t="shared" si="110"/>
        <v>#N/A</v>
      </c>
      <c r="F1229" s="63" t="e">
        <f>ROUND(VLOOKUP(C1229,'RAW DATA 2023'!E:BO,23,0),0)</f>
        <v>#N/A</v>
      </c>
      <c r="G1229" s="120" t="e">
        <f>VLOOKUP(C1229,'RAW DATA 2023'!E:BO,26,0)</f>
        <v>#N/A</v>
      </c>
      <c r="H1229" s="101" t="str">
        <f>IFERROR(VLOOKUP(F1229,STD!B:G,6,0),"")</f>
        <v/>
      </c>
      <c r="I1229" s="100">
        <f t="shared" si="111"/>
        <v>0</v>
      </c>
      <c r="J1229" s="249">
        <f t="shared" si="112"/>
        <v>0</v>
      </c>
      <c r="K1229" s="63" t="e">
        <f>VLOOKUP(C1229,'RAW DATA 2023'!E:BO,20,0)</f>
        <v>#N/A</v>
      </c>
      <c r="L1229" s="322" t="e">
        <f t="shared" si="113"/>
        <v>#N/A</v>
      </c>
    </row>
    <row r="1230" spans="3:12">
      <c r="C1230" s="63" t="str">
        <f t="shared" si="109"/>
        <v/>
      </c>
      <c r="D1230" s="63" t="e">
        <f>VLOOKUP(C1230,'RAW DATA 2023'!E:BP,63,0)</f>
        <v>#N/A</v>
      </c>
      <c r="E1230" s="63" t="e">
        <f t="shared" si="110"/>
        <v>#N/A</v>
      </c>
      <c r="F1230" s="63" t="e">
        <f>ROUND(VLOOKUP(C1230,'RAW DATA 2023'!E:BO,23,0),0)</f>
        <v>#N/A</v>
      </c>
      <c r="G1230" s="120" t="e">
        <f>VLOOKUP(C1230,'RAW DATA 2023'!E:BO,26,0)</f>
        <v>#N/A</v>
      </c>
      <c r="H1230" s="101" t="str">
        <f>IFERROR(VLOOKUP(F1230,STD!B:G,6,0),"")</f>
        <v/>
      </c>
      <c r="I1230" s="100">
        <f t="shared" si="111"/>
        <v>0</v>
      </c>
      <c r="J1230" s="249">
        <f t="shared" si="112"/>
        <v>0</v>
      </c>
      <c r="K1230" s="63" t="e">
        <f>VLOOKUP(C1230,'RAW DATA 2023'!E:BO,20,0)</f>
        <v>#N/A</v>
      </c>
      <c r="L1230" s="322" t="e">
        <f t="shared" si="113"/>
        <v>#N/A</v>
      </c>
    </row>
    <row r="1231" spans="3:12">
      <c r="C1231" s="63" t="str">
        <f t="shared" si="109"/>
        <v/>
      </c>
      <c r="D1231" s="63" t="e">
        <f>VLOOKUP(C1231,'RAW DATA 2023'!E:BP,63,0)</f>
        <v>#N/A</v>
      </c>
      <c r="E1231" s="63" t="e">
        <f t="shared" si="110"/>
        <v>#N/A</v>
      </c>
      <c r="F1231" s="63" t="e">
        <f>ROUND(VLOOKUP(C1231,'RAW DATA 2023'!E:BO,23,0),0)</f>
        <v>#N/A</v>
      </c>
      <c r="G1231" s="120" t="e">
        <f>VLOOKUP(C1231,'RAW DATA 2023'!E:BO,26,0)</f>
        <v>#N/A</v>
      </c>
      <c r="H1231" s="101" t="str">
        <f>IFERROR(VLOOKUP(F1231,STD!B:G,6,0),"")</f>
        <v/>
      </c>
      <c r="I1231" s="100">
        <f t="shared" si="111"/>
        <v>0</v>
      </c>
      <c r="J1231" s="249">
        <f t="shared" si="112"/>
        <v>0</v>
      </c>
      <c r="K1231" s="63" t="e">
        <f>VLOOKUP(C1231,'RAW DATA 2023'!E:BO,20,0)</f>
        <v>#N/A</v>
      </c>
      <c r="L1231" s="322" t="e">
        <f t="shared" si="113"/>
        <v>#N/A</v>
      </c>
    </row>
    <row r="1232" spans="3:12">
      <c r="C1232" s="63" t="str">
        <f t="shared" si="109"/>
        <v/>
      </c>
      <c r="D1232" s="63" t="e">
        <f>VLOOKUP(C1232,'RAW DATA 2023'!E:BP,63,0)</f>
        <v>#N/A</v>
      </c>
      <c r="E1232" s="63" t="e">
        <f t="shared" si="110"/>
        <v>#N/A</v>
      </c>
      <c r="F1232" s="63" t="e">
        <f>ROUND(VLOOKUP(C1232,'RAW DATA 2023'!E:BO,23,0),0)</f>
        <v>#N/A</v>
      </c>
      <c r="G1232" s="120" t="e">
        <f>VLOOKUP(C1232,'RAW DATA 2023'!E:BO,26,0)</f>
        <v>#N/A</v>
      </c>
      <c r="H1232" s="101" t="str">
        <f>IFERROR(VLOOKUP(F1232,STD!B:G,6,0),"")</f>
        <v/>
      </c>
      <c r="I1232" s="100">
        <f t="shared" si="111"/>
        <v>0</v>
      </c>
      <c r="J1232" s="249">
        <f t="shared" si="112"/>
        <v>0</v>
      </c>
      <c r="K1232" s="63" t="e">
        <f>VLOOKUP(C1232,'RAW DATA 2023'!E:BO,20,0)</f>
        <v>#N/A</v>
      </c>
      <c r="L1232" s="322" t="e">
        <f t="shared" si="113"/>
        <v>#N/A</v>
      </c>
    </row>
    <row r="1233" spans="3:12">
      <c r="C1233" s="63" t="str">
        <f t="shared" si="109"/>
        <v/>
      </c>
      <c r="D1233" s="63" t="e">
        <f>VLOOKUP(C1233,'RAW DATA 2023'!E:BP,63,0)</f>
        <v>#N/A</v>
      </c>
      <c r="E1233" s="63" t="e">
        <f t="shared" si="110"/>
        <v>#N/A</v>
      </c>
      <c r="F1233" s="63" t="e">
        <f>ROUND(VLOOKUP(C1233,'RAW DATA 2023'!E:BO,23,0),0)</f>
        <v>#N/A</v>
      </c>
      <c r="G1233" s="120" t="e">
        <f>VLOOKUP(C1233,'RAW DATA 2023'!E:BO,26,0)</f>
        <v>#N/A</v>
      </c>
      <c r="H1233" s="101" t="str">
        <f>IFERROR(VLOOKUP(F1233,STD!B:G,6,0),"")</f>
        <v/>
      </c>
      <c r="I1233" s="100">
        <f t="shared" si="111"/>
        <v>0</v>
      </c>
      <c r="J1233" s="249">
        <f t="shared" si="112"/>
        <v>0</v>
      </c>
      <c r="K1233" s="63" t="e">
        <f>VLOOKUP(C1233,'RAW DATA 2023'!E:BO,20,0)</f>
        <v>#N/A</v>
      </c>
      <c r="L1233" s="322" t="e">
        <f t="shared" si="113"/>
        <v>#N/A</v>
      </c>
    </row>
    <row r="1234" spans="3:12">
      <c r="C1234" s="63" t="str">
        <f t="shared" si="109"/>
        <v/>
      </c>
      <c r="D1234" s="63" t="e">
        <f>VLOOKUP(C1234,'RAW DATA 2023'!E:BP,63,0)</f>
        <v>#N/A</v>
      </c>
      <c r="E1234" s="63" t="e">
        <f t="shared" si="110"/>
        <v>#N/A</v>
      </c>
      <c r="F1234" s="63" t="e">
        <f>ROUND(VLOOKUP(C1234,'RAW DATA 2023'!E:BO,23,0),0)</f>
        <v>#N/A</v>
      </c>
      <c r="G1234" s="120" t="e">
        <f>VLOOKUP(C1234,'RAW DATA 2023'!E:BO,26,0)</f>
        <v>#N/A</v>
      </c>
      <c r="H1234" s="101" t="str">
        <f>IFERROR(VLOOKUP(F1234,STD!B:G,6,0),"")</f>
        <v/>
      </c>
      <c r="I1234" s="100">
        <f t="shared" si="111"/>
        <v>0</v>
      </c>
      <c r="J1234" s="249">
        <f t="shared" si="112"/>
        <v>0</v>
      </c>
      <c r="K1234" s="63" t="e">
        <f>VLOOKUP(C1234,'RAW DATA 2023'!E:BO,20,0)</f>
        <v>#N/A</v>
      </c>
      <c r="L1234" s="322" t="e">
        <f t="shared" si="113"/>
        <v>#N/A</v>
      </c>
    </row>
    <row r="1235" spans="3:12">
      <c r="C1235" s="63" t="str">
        <f t="shared" si="109"/>
        <v/>
      </c>
      <c r="D1235" s="63" t="e">
        <f>VLOOKUP(C1235,'RAW DATA 2023'!E:BP,63,0)</f>
        <v>#N/A</v>
      </c>
      <c r="E1235" s="63" t="e">
        <f t="shared" si="110"/>
        <v>#N/A</v>
      </c>
      <c r="F1235" s="63" t="e">
        <f>ROUND(VLOOKUP(C1235,'RAW DATA 2023'!E:BO,23,0),0)</f>
        <v>#N/A</v>
      </c>
      <c r="G1235" s="120" t="e">
        <f>VLOOKUP(C1235,'RAW DATA 2023'!E:BO,26,0)</f>
        <v>#N/A</v>
      </c>
      <c r="H1235" s="101" t="str">
        <f>IFERROR(VLOOKUP(F1235,STD!B:G,6,0),"")</f>
        <v/>
      </c>
      <c r="I1235" s="100">
        <f t="shared" si="111"/>
        <v>0</v>
      </c>
      <c r="J1235" s="249">
        <f t="shared" si="112"/>
        <v>0</v>
      </c>
      <c r="K1235" s="63" t="e">
        <f>VLOOKUP(C1235,'RAW DATA 2023'!E:BO,20,0)</f>
        <v>#N/A</v>
      </c>
      <c r="L1235" s="322" t="e">
        <f t="shared" si="113"/>
        <v>#N/A</v>
      </c>
    </row>
    <row r="1236" spans="3:12">
      <c r="C1236" s="63" t="str">
        <f t="shared" si="109"/>
        <v/>
      </c>
      <c r="D1236" s="63" t="e">
        <f>VLOOKUP(C1236,'RAW DATA 2023'!E:BP,63,0)</f>
        <v>#N/A</v>
      </c>
      <c r="E1236" s="63" t="e">
        <f t="shared" si="110"/>
        <v>#N/A</v>
      </c>
      <c r="F1236" s="63" t="e">
        <f>ROUND(VLOOKUP(C1236,'RAW DATA 2023'!E:BO,23,0),0)</f>
        <v>#N/A</v>
      </c>
      <c r="G1236" s="120" t="e">
        <f>VLOOKUP(C1236,'RAW DATA 2023'!E:BO,26,0)</f>
        <v>#N/A</v>
      </c>
      <c r="H1236" s="101" t="str">
        <f>IFERROR(VLOOKUP(F1236,STD!B:G,6,0),"")</f>
        <v/>
      </c>
      <c r="I1236" s="100">
        <f t="shared" si="111"/>
        <v>0</v>
      </c>
      <c r="J1236" s="249">
        <f t="shared" si="112"/>
        <v>0</v>
      </c>
      <c r="K1236" s="63" t="e">
        <f>VLOOKUP(C1236,'RAW DATA 2023'!E:BO,20,0)</f>
        <v>#N/A</v>
      </c>
      <c r="L1236" s="322" t="e">
        <f t="shared" si="113"/>
        <v>#N/A</v>
      </c>
    </row>
    <row r="1237" spans="3:12">
      <c r="C1237" s="63" t="str">
        <f t="shared" si="109"/>
        <v/>
      </c>
      <c r="D1237" s="63" t="e">
        <f>VLOOKUP(C1237,'RAW DATA 2023'!E:BP,63,0)</f>
        <v>#N/A</v>
      </c>
      <c r="E1237" s="63" t="e">
        <f t="shared" si="110"/>
        <v>#N/A</v>
      </c>
      <c r="F1237" s="63" t="e">
        <f>ROUND(VLOOKUP(C1237,'RAW DATA 2023'!E:BO,23,0),0)</f>
        <v>#N/A</v>
      </c>
      <c r="G1237" s="120" t="e">
        <f>VLOOKUP(C1237,'RAW DATA 2023'!E:BO,26,0)</f>
        <v>#N/A</v>
      </c>
      <c r="H1237" s="101" t="str">
        <f>IFERROR(VLOOKUP(F1237,STD!B:G,6,0),"")</f>
        <v/>
      </c>
      <c r="I1237" s="100">
        <f t="shared" si="111"/>
        <v>0</v>
      </c>
      <c r="J1237" s="249">
        <f t="shared" si="112"/>
        <v>0</v>
      </c>
      <c r="K1237" s="63" t="e">
        <f>VLOOKUP(C1237,'RAW DATA 2023'!E:BO,20,0)</f>
        <v>#N/A</v>
      </c>
      <c r="L1237" s="322" t="e">
        <f t="shared" si="113"/>
        <v>#N/A</v>
      </c>
    </row>
    <row r="1238" spans="3:12">
      <c r="C1238" s="63" t="str">
        <f t="shared" si="109"/>
        <v/>
      </c>
      <c r="D1238" s="63" t="e">
        <f>VLOOKUP(C1238,'RAW DATA 2023'!E:BP,63,0)</f>
        <v>#N/A</v>
      </c>
      <c r="E1238" s="63" t="e">
        <f t="shared" si="110"/>
        <v>#N/A</v>
      </c>
      <c r="F1238" s="63" t="e">
        <f>ROUND(VLOOKUP(C1238,'RAW DATA 2023'!E:BO,23,0),0)</f>
        <v>#N/A</v>
      </c>
      <c r="G1238" s="120" t="e">
        <f>VLOOKUP(C1238,'RAW DATA 2023'!E:BO,26,0)</f>
        <v>#N/A</v>
      </c>
      <c r="H1238" s="101" t="str">
        <f>IFERROR(VLOOKUP(F1238,STD!B:G,6,0),"")</f>
        <v/>
      </c>
      <c r="I1238" s="100">
        <f t="shared" si="111"/>
        <v>0</v>
      </c>
      <c r="J1238" s="249">
        <f t="shared" si="112"/>
        <v>0</v>
      </c>
      <c r="K1238" s="63" t="e">
        <f>VLOOKUP(C1238,'RAW DATA 2023'!E:BO,20,0)</f>
        <v>#N/A</v>
      </c>
      <c r="L1238" s="322" t="e">
        <f t="shared" si="113"/>
        <v>#N/A</v>
      </c>
    </row>
    <row r="1239" spans="3:12">
      <c r="C1239" s="63" t="str">
        <f t="shared" si="109"/>
        <v/>
      </c>
      <c r="D1239" s="63" t="e">
        <f>VLOOKUP(C1239,'RAW DATA 2023'!E:BP,63,0)</f>
        <v>#N/A</v>
      </c>
      <c r="E1239" s="63" t="e">
        <f t="shared" si="110"/>
        <v>#N/A</v>
      </c>
      <c r="F1239" s="63" t="e">
        <f>ROUND(VLOOKUP(C1239,'RAW DATA 2023'!E:BO,23,0),0)</f>
        <v>#N/A</v>
      </c>
      <c r="G1239" s="120" t="e">
        <f>VLOOKUP(C1239,'RAW DATA 2023'!E:BO,26,0)</f>
        <v>#N/A</v>
      </c>
      <c r="H1239" s="101" t="str">
        <f>IFERROR(VLOOKUP(F1239,STD!B:G,6,0),"")</f>
        <v/>
      </c>
      <c r="I1239" s="100">
        <f t="shared" si="111"/>
        <v>0</v>
      </c>
      <c r="J1239" s="249">
        <f t="shared" si="112"/>
        <v>0</v>
      </c>
      <c r="K1239" s="63" t="e">
        <f>VLOOKUP(C1239,'RAW DATA 2023'!E:BO,20,0)</f>
        <v>#N/A</v>
      </c>
      <c r="L1239" s="322" t="e">
        <f t="shared" si="113"/>
        <v>#N/A</v>
      </c>
    </row>
    <row r="1240" spans="3:12">
      <c r="C1240" s="63" t="str">
        <f t="shared" si="109"/>
        <v/>
      </c>
      <c r="D1240" s="63" t="e">
        <f>VLOOKUP(C1240,'RAW DATA 2023'!E:BP,63,0)</f>
        <v>#N/A</v>
      </c>
      <c r="E1240" s="63" t="e">
        <f t="shared" si="110"/>
        <v>#N/A</v>
      </c>
      <c r="F1240" s="63" t="e">
        <f>ROUND(VLOOKUP(C1240,'RAW DATA 2023'!E:BO,23,0),0)</f>
        <v>#N/A</v>
      </c>
      <c r="G1240" s="120" t="e">
        <f>VLOOKUP(C1240,'RAW DATA 2023'!E:BO,26,0)</f>
        <v>#N/A</v>
      </c>
      <c r="H1240" s="101" t="str">
        <f>IFERROR(VLOOKUP(F1240,STD!B:G,6,0),"")</f>
        <v/>
      </c>
      <c r="I1240" s="100">
        <f t="shared" si="111"/>
        <v>0</v>
      </c>
      <c r="J1240" s="249">
        <f t="shared" si="112"/>
        <v>0</v>
      </c>
      <c r="K1240" s="63" t="e">
        <f>VLOOKUP(C1240,'RAW DATA 2023'!E:BO,20,0)</f>
        <v>#N/A</v>
      </c>
      <c r="L1240" s="322" t="e">
        <f t="shared" si="113"/>
        <v>#N/A</v>
      </c>
    </row>
    <row r="1241" spans="3:12">
      <c r="C1241" s="63" t="str">
        <f t="shared" si="109"/>
        <v/>
      </c>
      <c r="D1241" s="63" t="e">
        <f>VLOOKUP(C1241,'RAW DATA 2023'!E:BP,63,0)</f>
        <v>#N/A</v>
      </c>
      <c r="E1241" s="63" t="e">
        <f t="shared" si="110"/>
        <v>#N/A</v>
      </c>
      <c r="F1241" s="63" t="e">
        <f>ROUND(VLOOKUP(C1241,'RAW DATA 2023'!E:BO,23,0),0)</f>
        <v>#N/A</v>
      </c>
      <c r="G1241" s="120" t="e">
        <f>VLOOKUP(C1241,'RAW DATA 2023'!E:BO,26,0)</f>
        <v>#N/A</v>
      </c>
      <c r="H1241" s="101" t="str">
        <f>IFERROR(VLOOKUP(F1241,STD!B:G,6,0),"")</f>
        <v/>
      </c>
      <c r="I1241" s="100">
        <f t="shared" si="111"/>
        <v>0</v>
      </c>
      <c r="J1241" s="249">
        <f t="shared" si="112"/>
        <v>0</v>
      </c>
      <c r="K1241" s="63" t="e">
        <f>VLOOKUP(C1241,'RAW DATA 2023'!E:BO,20,0)</f>
        <v>#N/A</v>
      </c>
      <c r="L1241" s="322" t="e">
        <f t="shared" si="113"/>
        <v>#N/A</v>
      </c>
    </row>
    <row r="1242" spans="3:12">
      <c r="C1242" s="63" t="str">
        <f t="shared" si="109"/>
        <v/>
      </c>
      <c r="D1242" s="63" t="e">
        <f>VLOOKUP(C1242,'RAW DATA 2023'!E:BP,63,0)</f>
        <v>#N/A</v>
      </c>
      <c r="E1242" s="63" t="e">
        <f t="shared" si="110"/>
        <v>#N/A</v>
      </c>
      <c r="F1242" s="63" t="e">
        <f>ROUND(VLOOKUP(C1242,'RAW DATA 2023'!E:BO,23,0),0)</f>
        <v>#N/A</v>
      </c>
      <c r="G1242" s="120" t="e">
        <f>VLOOKUP(C1242,'RAW DATA 2023'!E:BO,26,0)</f>
        <v>#N/A</v>
      </c>
      <c r="H1242" s="101" t="str">
        <f>IFERROR(VLOOKUP(F1242,STD!B:G,6,0),"")</f>
        <v/>
      </c>
      <c r="I1242" s="100">
        <f t="shared" si="111"/>
        <v>0</v>
      </c>
      <c r="J1242" s="249">
        <f t="shared" si="112"/>
        <v>0</v>
      </c>
      <c r="K1242" s="63" t="e">
        <f>VLOOKUP(C1242,'RAW DATA 2023'!E:BO,20,0)</f>
        <v>#N/A</v>
      </c>
      <c r="L1242" s="322" t="e">
        <f t="shared" si="113"/>
        <v>#N/A</v>
      </c>
    </row>
    <row r="1243" spans="3:12">
      <c r="C1243" s="63" t="str">
        <f t="shared" si="109"/>
        <v/>
      </c>
      <c r="D1243" s="63" t="e">
        <f>VLOOKUP(C1243,'RAW DATA 2023'!E:BP,63,0)</f>
        <v>#N/A</v>
      </c>
      <c r="E1243" s="63" t="e">
        <f t="shared" si="110"/>
        <v>#N/A</v>
      </c>
      <c r="F1243" s="63" t="e">
        <f>ROUND(VLOOKUP(C1243,'RAW DATA 2023'!E:BO,23,0),0)</f>
        <v>#N/A</v>
      </c>
      <c r="G1243" s="120" t="e">
        <f>VLOOKUP(C1243,'RAW DATA 2023'!E:BO,26,0)</f>
        <v>#N/A</v>
      </c>
      <c r="H1243" s="101" t="str">
        <f>IFERROR(VLOOKUP(F1243,STD!B:G,6,0),"")</f>
        <v/>
      </c>
      <c r="I1243" s="100">
        <f t="shared" si="111"/>
        <v>0</v>
      </c>
      <c r="J1243" s="249">
        <f t="shared" si="112"/>
        <v>0</v>
      </c>
      <c r="K1243" s="63" t="e">
        <f>VLOOKUP(C1243,'RAW DATA 2023'!E:BO,20,0)</f>
        <v>#N/A</v>
      </c>
      <c r="L1243" s="322" t="e">
        <f t="shared" si="113"/>
        <v>#N/A</v>
      </c>
    </row>
    <row r="1244" spans="3:12">
      <c r="C1244" s="63" t="str">
        <f t="shared" si="109"/>
        <v/>
      </c>
      <c r="D1244" s="63" t="e">
        <f>VLOOKUP(C1244,'RAW DATA 2023'!E:BP,63,0)</f>
        <v>#N/A</v>
      </c>
      <c r="E1244" s="63" t="e">
        <f t="shared" si="110"/>
        <v>#N/A</v>
      </c>
      <c r="F1244" s="63" t="e">
        <f>ROUND(VLOOKUP(C1244,'RAW DATA 2023'!E:BO,23,0),0)</f>
        <v>#N/A</v>
      </c>
      <c r="G1244" s="120" t="e">
        <f>VLOOKUP(C1244,'RAW DATA 2023'!E:BO,26,0)</f>
        <v>#N/A</v>
      </c>
      <c r="H1244" s="101" t="str">
        <f>IFERROR(VLOOKUP(F1244,STD!B:G,6,0),"")</f>
        <v/>
      </c>
      <c r="I1244" s="100">
        <f t="shared" si="111"/>
        <v>0</v>
      </c>
      <c r="J1244" s="249">
        <f t="shared" si="112"/>
        <v>0</v>
      </c>
      <c r="K1244" s="63" t="e">
        <f>VLOOKUP(C1244,'RAW DATA 2023'!E:BO,20,0)</f>
        <v>#N/A</v>
      </c>
      <c r="L1244" s="322" t="e">
        <f t="shared" si="113"/>
        <v>#N/A</v>
      </c>
    </row>
    <row r="1245" spans="3:12">
      <c r="C1245" s="63" t="str">
        <f t="shared" si="109"/>
        <v/>
      </c>
      <c r="D1245" s="63" t="e">
        <f>VLOOKUP(C1245,'RAW DATA 2023'!E:BP,63,0)</f>
        <v>#N/A</v>
      </c>
      <c r="E1245" s="63" t="e">
        <f t="shared" si="110"/>
        <v>#N/A</v>
      </c>
      <c r="F1245" s="63" t="e">
        <f>ROUND(VLOOKUP(C1245,'RAW DATA 2023'!E:BO,23,0),0)</f>
        <v>#N/A</v>
      </c>
      <c r="G1245" s="120" t="e">
        <f>VLOOKUP(C1245,'RAW DATA 2023'!E:BO,26,0)</f>
        <v>#N/A</v>
      </c>
      <c r="H1245" s="101" t="str">
        <f>IFERROR(VLOOKUP(F1245,STD!B:G,6,0),"")</f>
        <v/>
      </c>
      <c r="I1245" s="100">
        <f t="shared" si="111"/>
        <v>0</v>
      </c>
      <c r="J1245" s="249">
        <f t="shared" si="112"/>
        <v>0</v>
      </c>
      <c r="K1245" s="63" t="e">
        <f>VLOOKUP(C1245,'RAW DATA 2023'!E:BO,20,0)</f>
        <v>#N/A</v>
      </c>
      <c r="L1245" s="322" t="e">
        <f t="shared" si="113"/>
        <v>#N/A</v>
      </c>
    </row>
    <row r="1246" spans="3:12">
      <c r="C1246" s="63" t="str">
        <f t="shared" si="109"/>
        <v/>
      </c>
      <c r="D1246" s="63" t="e">
        <f>VLOOKUP(C1246,'RAW DATA 2023'!E:BP,63,0)</f>
        <v>#N/A</v>
      </c>
      <c r="E1246" s="63" t="e">
        <f t="shared" si="110"/>
        <v>#N/A</v>
      </c>
      <c r="F1246" s="63" t="e">
        <f>ROUND(VLOOKUP(C1246,'RAW DATA 2023'!E:BO,23,0),0)</f>
        <v>#N/A</v>
      </c>
      <c r="G1246" s="120" t="e">
        <f>VLOOKUP(C1246,'RAW DATA 2023'!E:BO,26,0)</f>
        <v>#N/A</v>
      </c>
      <c r="H1246" s="101" t="str">
        <f>IFERROR(VLOOKUP(F1246,STD!B:G,6,0),"")</f>
        <v/>
      </c>
      <c r="I1246" s="100">
        <f t="shared" si="111"/>
        <v>0</v>
      </c>
      <c r="J1246" s="249">
        <f t="shared" si="112"/>
        <v>0</v>
      </c>
      <c r="K1246" s="63" t="e">
        <f>VLOOKUP(C1246,'RAW DATA 2023'!E:BO,20,0)</f>
        <v>#N/A</v>
      </c>
      <c r="L1246" s="322" t="e">
        <f t="shared" si="113"/>
        <v>#N/A</v>
      </c>
    </row>
    <row r="1247" spans="3:12">
      <c r="C1247" s="63" t="str">
        <f t="shared" si="109"/>
        <v/>
      </c>
      <c r="D1247" s="63" t="e">
        <f>VLOOKUP(C1247,'RAW DATA 2023'!E:BP,63,0)</f>
        <v>#N/A</v>
      </c>
      <c r="E1247" s="63" t="e">
        <f t="shared" si="110"/>
        <v>#N/A</v>
      </c>
      <c r="F1247" s="63" t="e">
        <f>ROUND(VLOOKUP(C1247,'RAW DATA 2023'!E:BO,23,0),0)</f>
        <v>#N/A</v>
      </c>
      <c r="G1247" s="120" t="e">
        <f>VLOOKUP(C1247,'RAW DATA 2023'!E:BO,26,0)</f>
        <v>#N/A</v>
      </c>
      <c r="H1247" s="101" t="str">
        <f>IFERROR(VLOOKUP(F1247,STD!B:G,6,0),"")</f>
        <v/>
      </c>
      <c r="I1247" s="100">
        <f t="shared" si="111"/>
        <v>0</v>
      </c>
      <c r="J1247" s="249">
        <f t="shared" si="112"/>
        <v>0</v>
      </c>
      <c r="K1247" s="63" t="e">
        <f>VLOOKUP(C1247,'RAW DATA 2023'!E:BO,20,0)</f>
        <v>#N/A</v>
      </c>
      <c r="L1247" s="322" t="e">
        <f t="shared" si="113"/>
        <v>#N/A</v>
      </c>
    </row>
    <row r="1248" spans="3:12">
      <c r="C1248" s="63" t="str">
        <f t="shared" si="109"/>
        <v/>
      </c>
      <c r="D1248" s="63" t="e">
        <f>VLOOKUP(C1248,'RAW DATA 2023'!E:BP,63,0)</f>
        <v>#N/A</v>
      </c>
      <c r="E1248" s="63" t="e">
        <f t="shared" si="110"/>
        <v>#N/A</v>
      </c>
      <c r="F1248" s="63" t="e">
        <f>ROUND(VLOOKUP(C1248,'RAW DATA 2023'!E:BO,23,0),0)</f>
        <v>#N/A</v>
      </c>
      <c r="G1248" s="120" t="e">
        <f>VLOOKUP(C1248,'RAW DATA 2023'!E:BO,26,0)</f>
        <v>#N/A</v>
      </c>
      <c r="H1248" s="101" t="str">
        <f>IFERROR(VLOOKUP(F1248,STD!B:G,6,0),"")</f>
        <v/>
      </c>
      <c r="I1248" s="100">
        <f t="shared" si="111"/>
        <v>0</v>
      </c>
      <c r="J1248" s="249">
        <f t="shared" si="112"/>
        <v>0</v>
      </c>
      <c r="K1248" s="63" t="e">
        <f>VLOOKUP(C1248,'RAW DATA 2023'!E:BO,20,0)</f>
        <v>#N/A</v>
      </c>
      <c r="L1248" s="322" t="e">
        <f t="shared" si="113"/>
        <v>#N/A</v>
      </c>
    </row>
    <row r="1249" spans="3:12">
      <c r="C1249" s="63" t="str">
        <f t="shared" si="109"/>
        <v/>
      </c>
      <c r="D1249" s="63" t="e">
        <f>VLOOKUP(C1249,'RAW DATA 2023'!E:BP,63,0)</f>
        <v>#N/A</v>
      </c>
      <c r="E1249" s="63" t="e">
        <f t="shared" si="110"/>
        <v>#N/A</v>
      </c>
      <c r="F1249" s="63" t="e">
        <f>ROUND(VLOOKUP(C1249,'RAW DATA 2023'!E:BO,23,0),0)</f>
        <v>#N/A</v>
      </c>
      <c r="G1249" s="120" t="e">
        <f>VLOOKUP(C1249,'RAW DATA 2023'!E:BO,26,0)</f>
        <v>#N/A</v>
      </c>
      <c r="H1249" s="101" t="str">
        <f>IFERROR(VLOOKUP(F1249,STD!B:G,6,0),"")</f>
        <v/>
      </c>
      <c r="I1249" s="100">
        <f t="shared" si="111"/>
        <v>0</v>
      </c>
      <c r="J1249" s="249">
        <f t="shared" si="112"/>
        <v>0</v>
      </c>
      <c r="K1249" s="63" t="e">
        <f>VLOOKUP(C1249,'RAW DATA 2023'!E:BO,20,0)</f>
        <v>#N/A</v>
      </c>
      <c r="L1249" s="322" t="e">
        <f t="shared" si="113"/>
        <v>#N/A</v>
      </c>
    </row>
    <row r="1250" spans="3:12">
      <c r="C1250" s="63" t="str">
        <f t="shared" si="109"/>
        <v/>
      </c>
      <c r="D1250" s="63" t="e">
        <f>VLOOKUP(C1250,'RAW DATA 2023'!E:BP,63,0)</f>
        <v>#N/A</v>
      </c>
      <c r="E1250" s="63" t="e">
        <f t="shared" si="110"/>
        <v>#N/A</v>
      </c>
      <c r="F1250" s="63" t="e">
        <f>ROUND(VLOOKUP(C1250,'RAW DATA 2023'!E:BO,23,0),0)</f>
        <v>#N/A</v>
      </c>
      <c r="G1250" s="120" t="e">
        <f>VLOOKUP(C1250,'RAW DATA 2023'!E:BO,26,0)</f>
        <v>#N/A</v>
      </c>
      <c r="H1250" s="101" t="str">
        <f>IFERROR(VLOOKUP(F1250,STD!B:G,6,0),"")</f>
        <v/>
      </c>
      <c r="I1250" s="100">
        <f t="shared" si="111"/>
        <v>0</v>
      </c>
      <c r="J1250" s="249">
        <f t="shared" si="112"/>
        <v>0</v>
      </c>
      <c r="K1250" s="63" t="e">
        <f>VLOOKUP(C1250,'RAW DATA 2023'!E:BO,20,0)</f>
        <v>#N/A</v>
      </c>
      <c r="L1250" s="322" t="e">
        <f t="shared" si="113"/>
        <v>#N/A</v>
      </c>
    </row>
    <row r="1251" spans="3:12">
      <c r="C1251" s="63" t="str">
        <f t="shared" si="109"/>
        <v/>
      </c>
      <c r="D1251" s="63" t="e">
        <f>VLOOKUP(C1251,'RAW DATA 2023'!E:BP,63,0)</f>
        <v>#N/A</v>
      </c>
      <c r="E1251" s="63" t="e">
        <f t="shared" si="110"/>
        <v>#N/A</v>
      </c>
      <c r="F1251" s="63" t="e">
        <f>ROUND(VLOOKUP(C1251,'RAW DATA 2023'!E:BO,23,0),0)</f>
        <v>#N/A</v>
      </c>
      <c r="G1251" s="120" t="e">
        <f>VLOOKUP(C1251,'RAW DATA 2023'!E:BO,26,0)</f>
        <v>#N/A</v>
      </c>
      <c r="H1251" s="101" t="str">
        <f>IFERROR(VLOOKUP(F1251,STD!B:G,6,0),"")</f>
        <v/>
      </c>
      <c r="I1251" s="100">
        <f t="shared" si="111"/>
        <v>0</v>
      </c>
      <c r="J1251" s="249">
        <f t="shared" si="112"/>
        <v>0</v>
      </c>
      <c r="K1251" s="63" t="e">
        <f>VLOOKUP(C1251,'RAW DATA 2023'!E:BO,20,0)</f>
        <v>#N/A</v>
      </c>
      <c r="L1251" s="322" t="e">
        <f t="shared" si="113"/>
        <v>#N/A</v>
      </c>
    </row>
    <row r="1252" spans="3:12">
      <c r="C1252" s="63" t="str">
        <f t="shared" si="109"/>
        <v/>
      </c>
      <c r="D1252" s="63" t="e">
        <f>VLOOKUP(C1252,'RAW DATA 2023'!E:BP,63,0)</f>
        <v>#N/A</v>
      </c>
      <c r="E1252" s="63" t="e">
        <f t="shared" si="110"/>
        <v>#N/A</v>
      </c>
      <c r="F1252" s="63" t="e">
        <f>ROUND(VLOOKUP(C1252,'RAW DATA 2023'!E:BO,23,0),0)</f>
        <v>#N/A</v>
      </c>
      <c r="G1252" s="120" t="e">
        <f>VLOOKUP(C1252,'RAW DATA 2023'!E:BO,26,0)</f>
        <v>#N/A</v>
      </c>
      <c r="H1252" s="101" t="str">
        <f>IFERROR(VLOOKUP(F1252,STD!B:G,6,0),"")</f>
        <v/>
      </c>
      <c r="I1252" s="100">
        <f t="shared" si="111"/>
        <v>0</v>
      </c>
      <c r="J1252" s="249">
        <f t="shared" si="112"/>
        <v>0</v>
      </c>
      <c r="K1252" s="63" t="e">
        <f>VLOOKUP(C1252,'RAW DATA 2023'!E:BO,20,0)</f>
        <v>#N/A</v>
      </c>
      <c r="L1252" s="322" t="e">
        <f t="shared" si="113"/>
        <v>#N/A</v>
      </c>
    </row>
    <row r="1253" spans="3:12">
      <c r="C1253" s="63" t="str">
        <f t="shared" si="109"/>
        <v/>
      </c>
      <c r="D1253" s="63" t="e">
        <f>VLOOKUP(C1253,'RAW DATA 2023'!E:BP,63,0)</f>
        <v>#N/A</v>
      </c>
      <c r="E1253" s="63" t="e">
        <f t="shared" si="110"/>
        <v>#N/A</v>
      </c>
      <c r="F1253" s="63" t="e">
        <f>ROUND(VLOOKUP(C1253,'RAW DATA 2023'!E:BO,23,0),0)</f>
        <v>#N/A</v>
      </c>
      <c r="G1253" s="120" t="e">
        <f>VLOOKUP(C1253,'RAW DATA 2023'!E:BO,26,0)</f>
        <v>#N/A</v>
      </c>
      <c r="H1253" s="101" t="str">
        <f>IFERROR(VLOOKUP(F1253,STD!B:G,6,0),"")</f>
        <v/>
      </c>
      <c r="I1253" s="100">
        <f t="shared" si="111"/>
        <v>0</v>
      </c>
      <c r="J1253" s="249">
        <f t="shared" si="112"/>
        <v>0</v>
      </c>
      <c r="K1253" s="63" t="e">
        <f>VLOOKUP(C1253,'RAW DATA 2023'!E:BO,20,0)</f>
        <v>#N/A</v>
      </c>
      <c r="L1253" s="322" t="e">
        <f t="shared" si="113"/>
        <v>#N/A</v>
      </c>
    </row>
    <row r="1254" spans="3:12">
      <c r="C1254" s="63" t="str">
        <f t="shared" si="109"/>
        <v/>
      </c>
      <c r="D1254" s="63" t="e">
        <f>VLOOKUP(C1254,'RAW DATA 2023'!E:BP,63,0)</f>
        <v>#N/A</v>
      </c>
      <c r="E1254" s="63" t="e">
        <f t="shared" si="110"/>
        <v>#N/A</v>
      </c>
      <c r="F1254" s="63" t="e">
        <f>ROUND(VLOOKUP(C1254,'RAW DATA 2023'!E:BO,23,0),0)</f>
        <v>#N/A</v>
      </c>
      <c r="G1254" s="120" t="e">
        <f>VLOOKUP(C1254,'RAW DATA 2023'!E:BO,26,0)</f>
        <v>#N/A</v>
      </c>
      <c r="H1254" s="101" t="str">
        <f>IFERROR(VLOOKUP(F1254,STD!B:G,6,0),"")</f>
        <v/>
      </c>
      <c r="I1254" s="100">
        <f t="shared" si="111"/>
        <v>0</v>
      </c>
      <c r="J1254" s="249">
        <f t="shared" si="112"/>
        <v>0</v>
      </c>
      <c r="K1254" s="63" t="e">
        <f>VLOOKUP(C1254,'RAW DATA 2023'!E:BO,20,0)</f>
        <v>#N/A</v>
      </c>
      <c r="L1254" s="322" t="e">
        <f t="shared" si="113"/>
        <v>#N/A</v>
      </c>
    </row>
    <row r="1255" spans="3:12">
      <c r="C1255" s="63" t="str">
        <f t="shared" si="109"/>
        <v/>
      </c>
      <c r="D1255" s="63" t="e">
        <f>VLOOKUP(C1255,'RAW DATA 2023'!E:BP,63,0)</f>
        <v>#N/A</v>
      </c>
      <c r="E1255" s="63" t="e">
        <f t="shared" si="110"/>
        <v>#N/A</v>
      </c>
      <c r="F1255" s="63" t="e">
        <f>ROUND(VLOOKUP(C1255,'RAW DATA 2023'!E:BO,23,0),0)</f>
        <v>#N/A</v>
      </c>
      <c r="G1255" s="120" t="e">
        <f>VLOOKUP(C1255,'RAW DATA 2023'!E:BO,26,0)</f>
        <v>#N/A</v>
      </c>
      <c r="H1255" s="101" t="str">
        <f>IFERROR(VLOOKUP(F1255,STD!B:G,6,0),"")</f>
        <v/>
      </c>
      <c r="I1255" s="100">
        <f t="shared" si="111"/>
        <v>0</v>
      </c>
      <c r="J1255" s="249">
        <f t="shared" si="112"/>
        <v>0</v>
      </c>
      <c r="K1255" s="63" t="e">
        <f>VLOOKUP(C1255,'RAW DATA 2023'!E:BO,20,0)</f>
        <v>#N/A</v>
      </c>
      <c r="L1255" s="322" t="e">
        <f t="shared" si="113"/>
        <v>#N/A</v>
      </c>
    </row>
    <row r="1256" spans="3:12">
      <c r="C1256" s="63" t="str">
        <f t="shared" si="109"/>
        <v/>
      </c>
      <c r="D1256" s="63" t="e">
        <f>VLOOKUP(C1256,'RAW DATA 2023'!E:BP,63,0)</f>
        <v>#N/A</v>
      </c>
      <c r="E1256" s="63" t="e">
        <f t="shared" si="110"/>
        <v>#N/A</v>
      </c>
      <c r="F1256" s="63" t="e">
        <f>ROUND(VLOOKUP(C1256,'RAW DATA 2023'!E:BO,23,0),0)</f>
        <v>#N/A</v>
      </c>
      <c r="G1256" s="120" t="e">
        <f>VLOOKUP(C1256,'RAW DATA 2023'!E:BO,26,0)</f>
        <v>#N/A</v>
      </c>
      <c r="H1256" s="101" t="str">
        <f>IFERROR(VLOOKUP(F1256,STD!B:G,6,0),"")</f>
        <v/>
      </c>
      <c r="I1256" s="100">
        <f t="shared" si="111"/>
        <v>0</v>
      </c>
      <c r="J1256" s="249">
        <f t="shared" si="112"/>
        <v>0</v>
      </c>
      <c r="K1256" s="63" t="e">
        <f>VLOOKUP(C1256,'RAW DATA 2023'!E:BO,20,0)</f>
        <v>#N/A</v>
      </c>
      <c r="L1256" s="322" t="e">
        <f t="shared" si="113"/>
        <v>#N/A</v>
      </c>
    </row>
    <row r="1257" spans="3:12">
      <c r="C1257" s="63" t="str">
        <f t="shared" si="109"/>
        <v/>
      </c>
      <c r="D1257" s="63" t="e">
        <f>VLOOKUP(C1257,'RAW DATA 2023'!E:BP,63,0)</f>
        <v>#N/A</v>
      </c>
      <c r="E1257" s="63" t="e">
        <f t="shared" si="110"/>
        <v>#N/A</v>
      </c>
      <c r="F1257" s="63" t="e">
        <f>ROUND(VLOOKUP(C1257,'RAW DATA 2023'!E:BO,23,0),0)</f>
        <v>#N/A</v>
      </c>
      <c r="G1257" s="120" t="e">
        <f>VLOOKUP(C1257,'RAW DATA 2023'!E:BO,26,0)</f>
        <v>#N/A</v>
      </c>
      <c r="H1257" s="101" t="str">
        <f>IFERROR(VLOOKUP(F1257,STD!B:G,6,0),"")</f>
        <v/>
      </c>
      <c r="I1257" s="100">
        <f t="shared" si="111"/>
        <v>0</v>
      </c>
      <c r="J1257" s="249">
        <f t="shared" si="112"/>
        <v>0</v>
      </c>
      <c r="K1257" s="63" t="e">
        <f>VLOOKUP(C1257,'RAW DATA 2023'!E:BO,20,0)</f>
        <v>#N/A</v>
      </c>
      <c r="L1257" s="322" t="e">
        <f t="shared" si="113"/>
        <v>#N/A</v>
      </c>
    </row>
    <row r="1258" spans="3:12">
      <c r="C1258" s="63" t="str">
        <f t="shared" si="109"/>
        <v/>
      </c>
      <c r="D1258" s="63" t="e">
        <f>VLOOKUP(C1258,'RAW DATA 2023'!E:BP,63,0)</f>
        <v>#N/A</v>
      </c>
      <c r="E1258" s="63" t="e">
        <f t="shared" si="110"/>
        <v>#N/A</v>
      </c>
      <c r="F1258" s="63" t="e">
        <f>ROUND(VLOOKUP(C1258,'RAW DATA 2023'!E:BO,23,0),0)</f>
        <v>#N/A</v>
      </c>
      <c r="G1258" s="120" t="e">
        <f>VLOOKUP(C1258,'RAW DATA 2023'!E:BO,26,0)</f>
        <v>#N/A</v>
      </c>
      <c r="H1258" s="101" t="str">
        <f>IFERROR(VLOOKUP(F1258,STD!B:G,6,0),"")</f>
        <v/>
      </c>
      <c r="I1258" s="100">
        <f t="shared" si="111"/>
        <v>0</v>
      </c>
      <c r="J1258" s="249">
        <f t="shared" si="112"/>
        <v>0</v>
      </c>
      <c r="K1258" s="63" t="e">
        <f>VLOOKUP(C1258,'RAW DATA 2023'!E:BO,20,0)</f>
        <v>#N/A</v>
      </c>
      <c r="L1258" s="322" t="e">
        <f t="shared" si="113"/>
        <v>#N/A</v>
      </c>
    </row>
    <row r="1259" spans="3:12">
      <c r="C1259" s="63" t="str">
        <f t="shared" si="109"/>
        <v/>
      </c>
      <c r="D1259" s="63" t="e">
        <f>VLOOKUP(C1259,'RAW DATA 2023'!E:BP,63,0)</f>
        <v>#N/A</v>
      </c>
      <c r="E1259" s="63" t="e">
        <f t="shared" si="110"/>
        <v>#N/A</v>
      </c>
      <c r="F1259" s="63" t="e">
        <f>ROUND(VLOOKUP(C1259,'RAW DATA 2023'!E:BO,23,0),0)</f>
        <v>#N/A</v>
      </c>
      <c r="G1259" s="120" t="e">
        <f>VLOOKUP(C1259,'RAW DATA 2023'!E:BO,26,0)</f>
        <v>#N/A</v>
      </c>
      <c r="H1259" s="101" t="str">
        <f>IFERROR(VLOOKUP(F1259,STD!B:G,6,0),"")</f>
        <v/>
      </c>
      <c r="I1259" s="100">
        <f t="shared" si="111"/>
        <v>0</v>
      </c>
      <c r="J1259" s="249">
        <f t="shared" si="112"/>
        <v>0</v>
      </c>
      <c r="K1259" s="63" t="e">
        <f>VLOOKUP(C1259,'RAW DATA 2023'!E:BO,20,0)</f>
        <v>#N/A</v>
      </c>
      <c r="L1259" s="322" t="e">
        <f t="shared" si="113"/>
        <v>#N/A</v>
      </c>
    </row>
    <row r="1260" spans="3:12">
      <c r="C1260" s="63" t="str">
        <f t="shared" si="109"/>
        <v/>
      </c>
      <c r="D1260" s="63" t="e">
        <f>VLOOKUP(C1260,'RAW DATA 2023'!E:BP,63,0)</f>
        <v>#N/A</v>
      </c>
      <c r="E1260" s="63" t="e">
        <f t="shared" si="110"/>
        <v>#N/A</v>
      </c>
      <c r="F1260" s="63" t="e">
        <f>ROUND(VLOOKUP(C1260,'RAW DATA 2023'!E:BO,23,0),0)</f>
        <v>#N/A</v>
      </c>
      <c r="G1260" s="120" t="e">
        <f>VLOOKUP(C1260,'RAW DATA 2023'!E:BO,26,0)</f>
        <v>#N/A</v>
      </c>
      <c r="H1260" s="101" t="str">
        <f>IFERROR(VLOOKUP(F1260,STD!B:G,6,0),"")</f>
        <v/>
      </c>
      <c r="I1260" s="100">
        <f t="shared" si="111"/>
        <v>0</v>
      </c>
      <c r="J1260" s="249">
        <f t="shared" si="112"/>
        <v>0</v>
      </c>
      <c r="K1260" s="63" t="e">
        <f>VLOOKUP(C1260,'RAW DATA 2023'!E:BO,20,0)</f>
        <v>#N/A</v>
      </c>
      <c r="L1260" s="322" t="e">
        <f t="shared" si="113"/>
        <v>#N/A</v>
      </c>
    </row>
    <row r="1261" spans="3:12">
      <c r="C1261" s="63" t="str">
        <f t="shared" si="109"/>
        <v/>
      </c>
      <c r="D1261" s="63" t="e">
        <f>VLOOKUP(C1261,'RAW DATA 2023'!E:BP,63,0)</f>
        <v>#N/A</v>
      </c>
      <c r="E1261" s="63" t="e">
        <f t="shared" si="110"/>
        <v>#N/A</v>
      </c>
      <c r="F1261" s="63" t="e">
        <f>ROUND(VLOOKUP(C1261,'RAW DATA 2023'!E:BO,23,0),0)</f>
        <v>#N/A</v>
      </c>
      <c r="G1261" s="120" t="e">
        <f>VLOOKUP(C1261,'RAW DATA 2023'!E:BO,26,0)</f>
        <v>#N/A</v>
      </c>
      <c r="H1261" s="101" t="str">
        <f>IFERROR(VLOOKUP(F1261,STD!B:G,6,0),"")</f>
        <v/>
      </c>
      <c r="I1261" s="100">
        <f t="shared" si="111"/>
        <v>0</v>
      </c>
      <c r="J1261" s="249">
        <f t="shared" si="112"/>
        <v>0</v>
      </c>
      <c r="K1261" s="63" t="e">
        <f>VLOOKUP(C1261,'RAW DATA 2023'!E:BO,20,0)</f>
        <v>#N/A</v>
      </c>
      <c r="L1261" s="322" t="e">
        <f t="shared" si="113"/>
        <v>#N/A</v>
      </c>
    </row>
    <row r="1262" spans="3:12">
      <c r="C1262" s="63" t="str">
        <f t="shared" si="109"/>
        <v/>
      </c>
      <c r="D1262" s="63" t="e">
        <f>VLOOKUP(C1262,'RAW DATA 2023'!E:BP,63,0)</f>
        <v>#N/A</v>
      </c>
      <c r="E1262" s="63" t="e">
        <f t="shared" si="110"/>
        <v>#N/A</v>
      </c>
      <c r="F1262" s="63" t="e">
        <f>ROUND(VLOOKUP(C1262,'RAW DATA 2023'!E:BO,23,0),0)</f>
        <v>#N/A</v>
      </c>
      <c r="G1262" s="120" t="e">
        <f>VLOOKUP(C1262,'RAW DATA 2023'!E:BO,26,0)</f>
        <v>#N/A</v>
      </c>
      <c r="H1262" s="101" t="str">
        <f>IFERROR(VLOOKUP(F1262,STD!B:G,6,0),"")</f>
        <v/>
      </c>
      <c r="I1262" s="100">
        <f t="shared" si="111"/>
        <v>0</v>
      </c>
      <c r="J1262" s="249">
        <f t="shared" si="112"/>
        <v>0</v>
      </c>
      <c r="K1262" s="63" t="e">
        <f>VLOOKUP(C1262,'RAW DATA 2023'!E:BO,20,0)</f>
        <v>#N/A</v>
      </c>
      <c r="L1262" s="322" t="e">
        <f t="shared" si="113"/>
        <v>#N/A</v>
      </c>
    </row>
    <row r="1263" spans="3:12">
      <c r="C1263" s="63" t="str">
        <f t="shared" si="109"/>
        <v/>
      </c>
      <c r="D1263" s="63" t="e">
        <f>VLOOKUP(C1263,'RAW DATA 2023'!E:BP,63,0)</f>
        <v>#N/A</v>
      </c>
      <c r="E1263" s="63" t="e">
        <f t="shared" si="110"/>
        <v>#N/A</v>
      </c>
      <c r="F1263" s="63" t="e">
        <f>ROUND(VLOOKUP(C1263,'RAW DATA 2023'!E:BO,23,0),0)</f>
        <v>#N/A</v>
      </c>
      <c r="G1263" s="120" t="e">
        <f>VLOOKUP(C1263,'RAW DATA 2023'!E:BO,26,0)</f>
        <v>#N/A</v>
      </c>
      <c r="H1263" s="101" t="str">
        <f>IFERROR(VLOOKUP(F1263,STD!B:G,6,0),"")</f>
        <v/>
      </c>
      <c r="I1263" s="100">
        <f t="shared" si="111"/>
        <v>0</v>
      </c>
      <c r="J1263" s="249">
        <f t="shared" si="112"/>
        <v>0</v>
      </c>
      <c r="K1263" s="63" t="e">
        <f>VLOOKUP(C1263,'RAW DATA 2023'!E:BO,20,0)</f>
        <v>#N/A</v>
      </c>
      <c r="L1263" s="322" t="e">
        <f t="shared" si="113"/>
        <v>#N/A</v>
      </c>
    </row>
    <row r="1264" spans="3:12">
      <c r="C1264" s="63" t="str">
        <f t="shared" si="109"/>
        <v/>
      </c>
      <c r="D1264" s="63" t="e">
        <f>VLOOKUP(C1264,'RAW DATA 2023'!E:BP,63,0)</f>
        <v>#N/A</v>
      </c>
      <c r="E1264" s="63" t="e">
        <f t="shared" si="110"/>
        <v>#N/A</v>
      </c>
      <c r="F1264" s="63" t="e">
        <f>ROUND(VLOOKUP(C1264,'RAW DATA 2023'!E:BO,23,0),0)</f>
        <v>#N/A</v>
      </c>
      <c r="G1264" s="120" t="e">
        <f>VLOOKUP(C1264,'RAW DATA 2023'!E:BO,26,0)</f>
        <v>#N/A</v>
      </c>
      <c r="H1264" s="101" t="str">
        <f>IFERROR(VLOOKUP(F1264,STD!B:G,6,0),"")</f>
        <v/>
      </c>
      <c r="I1264" s="100">
        <f t="shared" si="111"/>
        <v>0</v>
      </c>
      <c r="J1264" s="249">
        <f t="shared" si="112"/>
        <v>0</v>
      </c>
      <c r="K1264" s="63" t="e">
        <f>VLOOKUP(C1264,'RAW DATA 2023'!E:BO,20,0)</f>
        <v>#N/A</v>
      </c>
      <c r="L1264" s="322" t="e">
        <f t="shared" si="113"/>
        <v>#N/A</v>
      </c>
    </row>
    <row r="1265" spans="3:12">
      <c r="C1265" s="63" t="str">
        <f t="shared" si="109"/>
        <v/>
      </c>
      <c r="D1265" s="63" t="e">
        <f>VLOOKUP(C1265,'RAW DATA 2023'!E:BP,63,0)</f>
        <v>#N/A</v>
      </c>
      <c r="E1265" s="63" t="e">
        <f t="shared" si="110"/>
        <v>#N/A</v>
      </c>
      <c r="F1265" s="63" t="e">
        <f>ROUND(VLOOKUP(C1265,'RAW DATA 2023'!E:BO,23,0),0)</f>
        <v>#N/A</v>
      </c>
      <c r="G1265" s="120" t="e">
        <f>VLOOKUP(C1265,'RAW DATA 2023'!E:BO,26,0)</f>
        <v>#N/A</v>
      </c>
      <c r="H1265" s="101" t="str">
        <f>IFERROR(VLOOKUP(F1265,STD!B:G,6,0),"")</f>
        <v/>
      </c>
      <c r="I1265" s="100">
        <f t="shared" si="111"/>
        <v>0</v>
      </c>
      <c r="J1265" s="249">
        <f t="shared" si="112"/>
        <v>0</v>
      </c>
      <c r="K1265" s="63" t="e">
        <f>VLOOKUP(C1265,'RAW DATA 2023'!E:BO,20,0)</f>
        <v>#N/A</v>
      </c>
      <c r="L1265" s="322" t="e">
        <f t="shared" si="113"/>
        <v>#N/A</v>
      </c>
    </row>
    <row r="1266" spans="3:12">
      <c r="C1266" s="63" t="str">
        <f t="shared" si="109"/>
        <v/>
      </c>
      <c r="D1266" s="63" t="e">
        <f>VLOOKUP(C1266,'RAW DATA 2023'!E:BP,63,0)</f>
        <v>#N/A</v>
      </c>
      <c r="E1266" s="63" t="e">
        <f t="shared" si="110"/>
        <v>#N/A</v>
      </c>
      <c r="F1266" s="63" t="e">
        <f>ROUND(VLOOKUP(C1266,'RAW DATA 2023'!E:BO,23,0),0)</f>
        <v>#N/A</v>
      </c>
      <c r="G1266" s="120" t="e">
        <f>VLOOKUP(C1266,'RAW DATA 2023'!E:BO,26,0)</f>
        <v>#N/A</v>
      </c>
      <c r="H1266" s="101" t="str">
        <f>IFERROR(VLOOKUP(F1266,STD!B:G,6,0),"")</f>
        <v/>
      </c>
      <c r="I1266" s="100">
        <f t="shared" si="111"/>
        <v>0</v>
      </c>
      <c r="J1266" s="249">
        <f t="shared" si="112"/>
        <v>0</v>
      </c>
      <c r="K1266" s="63" t="e">
        <f>VLOOKUP(C1266,'RAW DATA 2023'!E:BO,20,0)</f>
        <v>#N/A</v>
      </c>
      <c r="L1266" s="322" t="e">
        <f t="shared" si="113"/>
        <v>#N/A</v>
      </c>
    </row>
    <row r="1267" spans="3:12">
      <c r="C1267" s="63" t="str">
        <f t="shared" si="109"/>
        <v/>
      </c>
      <c r="D1267" s="63" t="e">
        <f>VLOOKUP(C1267,'RAW DATA 2023'!E:BP,63,0)</f>
        <v>#N/A</v>
      </c>
      <c r="E1267" s="63" t="e">
        <f t="shared" si="110"/>
        <v>#N/A</v>
      </c>
      <c r="F1267" s="63" t="e">
        <f>ROUND(VLOOKUP(C1267,'RAW DATA 2023'!E:BO,23,0),0)</f>
        <v>#N/A</v>
      </c>
      <c r="G1267" s="120" t="e">
        <f>VLOOKUP(C1267,'RAW DATA 2023'!E:BO,26,0)</f>
        <v>#N/A</v>
      </c>
      <c r="H1267" s="101" t="str">
        <f>IFERROR(VLOOKUP(F1267,STD!B:G,6,0),"")</f>
        <v/>
      </c>
      <c r="I1267" s="100">
        <f t="shared" si="111"/>
        <v>0</v>
      </c>
      <c r="J1267" s="249">
        <f t="shared" si="112"/>
        <v>0</v>
      </c>
      <c r="K1267" s="63" t="e">
        <f>VLOOKUP(C1267,'RAW DATA 2023'!E:BO,20,0)</f>
        <v>#N/A</v>
      </c>
      <c r="L1267" s="322" t="e">
        <f t="shared" si="113"/>
        <v>#N/A</v>
      </c>
    </row>
    <row r="1268" spans="3:12">
      <c r="C1268" s="63" t="str">
        <f t="shared" si="109"/>
        <v/>
      </c>
      <c r="D1268" s="63" t="e">
        <f>VLOOKUP(C1268,'RAW DATA 2023'!E:BP,63,0)</f>
        <v>#N/A</v>
      </c>
      <c r="E1268" s="63" t="e">
        <f t="shared" si="110"/>
        <v>#N/A</v>
      </c>
      <c r="F1268" s="63" t="e">
        <f>ROUND(VLOOKUP(C1268,'RAW DATA 2023'!E:BO,23,0),0)</f>
        <v>#N/A</v>
      </c>
      <c r="G1268" s="120" t="e">
        <f>VLOOKUP(C1268,'RAW DATA 2023'!E:BO,26,0)</f>
        <v>#N/A</v>
      </c>
      <c r="H1268" s="101" t="str">
        <f>IFERROR(VLOOKUP(F1268,STD!B:G,6,0),"")</f>
        <v/>
      </c>
      <c r="I1268" s="100">
        <f t="shared" si="111"/>
        <v>0</v>
      </c>
      <c r="J1268" s="249">
        <f t="shared" si="112"/>
        <v>0</v>
      </c>
      <c r="K1268" s="63" t="e">
        <f>VLOOKUP(C1268,'RAW DATA 2023'!E:BO,20,0)</f>
        <v>#N/A</v>
      </c>
      <c r="L1268" s="322" t="e">
        <f t="shared" si="113"/>
        <v>#N/A</v>
      </c>
    </row>
    <row r="1269" spans="3:12">
      <c r="C1269" s="63" t="str">
        <f t="shared" si="109"/>
        <v/>
      </c>
      <c r="D1269" s="63" t="e">
        <f>VLOOKUP(C1269,'RAW DATA 2023'!E:BP,63,0)</f>
        <v>#N/A</v>
      </c>
      <c r="E1269" s="63" t="e">
        <f t="shared" si="110"/>
        <v>#N/A</v>
      </c>
      <c r="F1269" s="63" t="e">
        <f>ROUND(VLOOKUP(C1269,'RAW DATA 2023'!E:BO,23,0),0)</f>
        <v>#N/A</v>
      </c>
      <c r="G1269" s="120" t="e">
        <f>VLOOKUP(C1269,'RAW DATA 2023'!E:BO,26,0)</f>
        <v>#N/A</v>
      </c>
      <c r="H1269" s="101" t="str">
        <f>IFERROR(VLOOKUP(F1269,STD!B:G,6,0),"")</f>
        <v/>
      </c>
      <c r="I1269" s="100">
        <f t="shared" si="111"/>
        <v>0</v>
      </c>
      <c r="J1269" s="249">
        <f t="shared" si="112"/>
        <v>0</v>
      </c>
      <c r="K1269" s="63" t="e">
        <f>VLOOKUP(C1269,'RAW DATA 2023'!E:BO,20,0)</f>
        <v>#N/A</v>
      </c>
      <c r="L1269" s="322" t="e">
        <f t="shared" si="113"/>
        <v>#N/A</v>
      </c>
    </row>
    <row r="1270" spans="3:12">
      <c r="C1270" s="63" t="str">
        <f t="shared" si="109"/>
        <v/>
      </c>
      <c r="D1270" s="63" t="e">
        <f>VLOOKUP(C1270,'RAW DATA 2023'!E:BP,63,0)</f>
        <v>#N/A</v>
      </c>
      <c r="E1270" s="63" t="e">
        <f t="shared" si="110"/>
        <v>#N/A</v>
      </c>
      <c r="F1270" s="63" t="e">
        <f>ROUND(VLOOKUP(C1270,'RAW DATA 2023'!E:BO,23,0),0)</f>
        <v>#N/A</v>
      </c>
      <c r="G1270" s="120" t="e">
        <f>VLOOKUP(C1270,'RAW DATA 2023'!E:BO,26,0)</f>
        <v>#N/A</v>
      </c>
      <c r="H1270" s="101" t="str">
        <f>IFERROR(VLOOKUP(F1270,STD!B:G,6,0),"")</f>
        <v/>
      </c>
      <c r="I1270" s="100">
        <f t="shared" si="111"/>
        <v>0</v>
      </c>
      <c r="J1270" s="249">
        <f t="shared" si="112"/>
        <v>0</v>
      </c>
      <c r="K1270" s="63" t="e">
        <f>VLOOKUP(C1270,'RAW DATA 2023'!E:BO,20,0)</f>
        <v>#N/A</v>
      </c>
      <c r="L1270" s="322" t="e">
        <f t="shared" si="113"/>
        <v>#N/A</v>
      </c>
    </row>
    <row r="1271" spans="3:12">
      <c r="C1271" s="63" t="str">
        <f t="shared" si="109"/>
        <v/>
      </c>
      <c r="D1271" s="63" t="e">
        <f>VLOOKUP(C1271,'RAW DATA 2023'!E:BP,63,0)</f>
        <v>#N/A</v>
      </c>
      <c r="E1271" s="63" t="e">
        <f t="shared" si="110"/>
        <v>#N/A</v>
      </c>
      <c r="F1271" s="63" t="e">
        <f>ROUND(VLOOKUP(C1271,'RAW DATA 2023'!E:BO,23,0),0)</f>
        <v>#N/A</v>
      </c>
      <c r="G1271" s="120" t="e">
        <f>VLOOKUP(C1271,'RAW DATA 2023'!E:BO,26,0)</f>
        <v>#N/A</v>
      </c>
      <c r="H1271" s="101" t="str">
        <f>IFERROR(VLOOKUP(F1271,STD!B:G,6,0),"")</f>
        <v/>
      </c>
      <c r="I1271" s="100">
        <f t="shared" si="111"/>
        <v>0</v>
      </c>
      <c r="J1271" s="249">
        <f t="shared" si="112"/>
        <v>0</v>
      </c>
      <c r="K1271" s="63" t="e">
        <f>VLOOKUP(C1271,'RAW DATA 2023'!E:BO,20,0)</f>
        <v>#N/A</v>
      </c>
      <c r="L1271" s="322" t="e">
        <f t="shared" si="113"/>
        <v>#N/A</v>
      </c>
    </row>
    <row r="1272" spans="3:12">
      <c r="C1272" s="63" t="str">
        <f t="shared" si="109"/>
        <v/>
      </c>
      <c r="D1272" s="63" t="e">
        <f>VLOOKUP(C1272,'RAW DATA 2023'!E:BP,63,0)</f>
        <v>#N/A</v>
      </c>
      <c r="E1272" s="63" t="e">
        <f t="shared" si="110"/>
        <v>#N/A</v>
      </c>
      <c r="F1272" s="63" t="e">
        <f>ROUND(VLOOKUP(C1272,'RAW DATA 2023'!E:BO,23,0),0)</f>
        <v>#N/A</v>
      </c>
      <c r="G1272" s="120" t="e">
        <f>VLOOKUP(C1272,'RAW DATA 2023'!E:BO,26,0)</f>
        <v>#N/A</v>
      </c>
      <c r="H1272" s="101" t="str">
        <f>IFERROR(VLOOKUP(F1272,STD!B:G,6,0),"")</f>
        <v/>
      </c>
      <c r="I1272" s="100">
        <f t="shared" si="111"/>
        <v>0</v>
      </c>
      <c r="J1272" s="249">
        <f t="shared" si="112"/>
        <v>0</v>
      </c>
      <c r="K1272" s="63" t="e">
        <f>VLOOKUP(C1272,'RAW DATA 2023'!E:BO,20,0)</f>
        <v>#N/A</v>
      </c>
      <c r="L1272" s="322" t="e">
        <f t="shared" si="113"/>
        <v>#N/A</v>
      </c>
    </row>
    <row r="1273" spans="3:12">
      <c r="C1273" s="63" t="str">
        <f t="shared" si="109"/>
        <v/>
      </c>
      <c r="D1273" s="63" t="e">
        <f>VLOOKUP(C1273,'RAW DATA 2023'!E:BP,63,0)</f>
        <v>#N/A</v>
      </c>
      <c r="E1273" s="63" t="e">
        <f t="shared" si="110"/>
        <v>#N/A</v>
      </c>
      <c r="F1273" s="63" t="e">
        <f>ROUND(VLOOKUP(C1273,'RAW DATA 2023'!E:BO,23,0),0)</f>
        <v>#N/A</v>
      </c>
      <c r="G1273" s="120" t="e">
        <f>VLOOKUP(C1273,'RAW DATA 2023'!E:BO,26,0)</f>
        <v>#N/A</v>
      </c>
      <c r="H1273" s="101" t="str">
        <f>IFERROR(VLOOKUP(F1273,STD!B:G,6,0),"")</f>
        <v/>
      </c>
      <c r="I1273" s="100">
        <f t="shared" si="111"/>
        <v>0</v>
      </c>
      <c r="J1273" s="249">
        <f t="shared" si="112"/>
        <v>0</v>
      </c>
      <c r="K1273" s="63" t="e">
        <f>VLOOKUP(C1273,'RAW DATA 2023'!E:BO,20,0)</f>
        <v>#N/A</v>
      </c>
      <c r="L1273" s="322" t="e">
        <f t="shared" si="113"/>
        <v>#N/A</v>
      </c>
    </row>
    <row r="1274" spans="3:12">
      <c r="C1274" s="63" t="str">
        <f t="shared" si="109"/>
        <v/>
      </c>
      <c r="D1274" s="63" t="e">
        <f>VLOOKUP(C1274,'RAW DATA 2023'!E:BP,63,0)</f>
        <v>#N/A</v>
      </c>
      <c r="E1274" s="63" t="e">
        <f t="shared" si="110"/>
        <v>#N/A</v>
      </c>
      <c r="F1274" s="63" t="e">
        <f>ROUND(VLOOKUP(C1274,'RAW DATA 2023'!E:BO,23,0),0)</f>
        <v>#N/A</v>
      </c>
      <c r="G1274" s="120" t="e">
        <f>VLOOKUP(C1274,'RAW DATA 2023'!E:BO,26,0)</f>
        <v>#N/A</v>
      </c>
      <c r="H1274" s="101" t="str">
        <f>IFERROR(VLOOKUP(F1274,STD!B:G,6,0),"")</f>
        <v/>
      </c>
      <c r="I1274" s="100">
        <f t="shared" si="111"/>
        <v>0</v>
      </c>
      <c r="J1274" s="249">
        <f t="shared" si="112"/>
        <v>0</v>
      </c>
      <c r="K1274" s="63" t="e">
        <f>VLOOKUP(C1274,'RAW DATA 2023'!E:BO,20,0)</f>
        <v>#N/A</v>
      </c>
      <c r="L1274" s="322" t="e">
        <f t="shared" si="113"/>
        <v>#N/A</v>
      </c>
    </row>
    <row r="1275" spans="3:12">
      <c r="C1275" s="63" t="str">
        <f t="shared" si="109"/>
        <v/>
      </c>
      <c r="D1275" s="63" t="e">
        <f>VLOOKUP(C1275,'RAW DATA 2023'!E:BP,63,0)</f>
        <v>#N/A</v>
      </c>
      <c r="E1275" s="63" t="e">
        <f t="shared" si="110"/>
        <v>#N/A</v>
      </c>
      <c r="F1275" s="63" t="e">
        <f>ROUND(VLOOKUP(C1275,'RAW DATA 2023'!E:BO,23,0),0)</f>
        <v>#N/A</v>
      </c>
      <c r="G1275" s="120" t="e">
        <f>VLOOKUP(C1275,'RAW DATA 2023'!E:BO,26,0)</f>
        <v>#N/A</v>
      </c>
      <c r="H1275" s="101" t="str">
        <f>IFERROR(VLOOKUP(F1275,STD!B:G,6,0),"")</f>
        <v/>
      </c>
      <c r="I1275" s="100">
        <f t="shared" si="111"/>
        <v>0</v>
      </c>
      <c r="J1275" s="249">
        <f t="shared" si="112"/>
        <v>0</v>
      </c>
      <c r="K1275" s="63" t="e">
        <f>VLOOKUP(C1275,'RAW DATA 2023'!E:BO,20,0)</f>
        <v>#N/A</v>
      </c>
      <c r="L1275" s="322" t="e">
        <f t="shared" si="113"/>
        <v>#N/A</v>
      </c>
    </row>
    <row r="1276" spans="3:12">
      <c r="C1276" s="63" t="str">
        <f t="shared" si="109"/>
        <v/>
      </c>
      <c r="D1276" s="63" t="e">
        <f>VLOOKUP(C1276,'RAW DATA 2023'!E:BP,63,0)</f>
        <v>#N/A</v>
      </c>
      <c r="E1276" s="63" t="e">
        <f t="shared" si="110"/>
        <v>#N/A</v>
      </c>
      <c r="F1276" s="63" t="e">
        <f>ROUND(VLOOKUP(C1276,'RAW DATA 2023'!E:BO,23,0),0)</f>
        <v>#N/A</v>
      </c>
      <c r="G1276" s="120" t="e">
        <f>VLOOKUP(C1276,'RAW DATA 2023'!E:BO,26,0)</f>
        <v>#N/A</v>
      </c>
      <c r="H1276" s="101" t="str">
        <f>IFERROR(VLOOKUP(F1276,STD!B:G,6,0),"")</f>
        <v/>
      </c>
      <c r="I1276" s="100">
        <f t="shared" si="111"/>
        <v>0</v>
      </c>
      <c r="J1276" s="249">
        <f t="shared" si="112"/>
        <v>0</v>
      </c>
      <c r="K1276" s="63" t="e">
        <f>VLOOKUP(C1276,'RAW DATA 2023'!E:BO,20,0)</f>
        <v>#N/A</v>
      </c>
      <c r="L1276" s="322" t="e">
        <f t="shared" si="113"/>
        <v>#N/A</v>
      </c>
    </row>
    <row r="1277" spans="3:12">
      <c r="C1277" s="63" t="str">
        <f t="shared" si="109"/>
        <v/>
      </c>
      <c r="D1277" s="63" t="e">
        <f>VLOOKUP(C1277,'RAW DATA 2023'!E:BP,63,0)</f>
        <v>#N/A</v>
      </c>
      <c r="E1277" s="63" t="e">
        <f t="shared" si="110"/>
        <v>#N/A</v>
      </c>
      <c r="F1277" s="63" t="e">
        <f>ROUND(VLOOKUP(C1277,'RAW DATA 2023'!E:BO,23,0),0)</f>
        <v>#N/A</v>
      </c>
      <c r="G1277" s="120" t="e">
        <f>VLOOKUP(C1277,'RAW DATA 2023'!E:BO,26,0)</f>
        <v>#N/A</v>
      </c>
      <c r="H1277" s="101" t="str">
        <f>IFERROR(VLOOKUP(F1277,STD!B:G,6,0),"")</f>
        <v/>
      </c>
      <c r="I1277" s="100">
        <f t="shared" si="111"/>
        <v>0</v>
      </c>
      <c r="J1277" s="249">
        <f t="shared" si="112"/>
        <v>0</v>
      </c>
      <c r="K1277" s="63" t="e">
        <f>VLOOKUP(C1277,'RAW DATA 2023'!E:BO,20,0)</f>
        <v>#N/A</v>
      </c>
      <c r="L1277" s="322" t="e">
        <f t="shared" si="113"/>
        <v>#N/A</v>
      </c>
    </row>
    <row r="1278" spans="3:12">
      <c r="C1278" s="63" t="str">
        <f t="shared" si="109"/>
        <v/>
      </c>
      <c r="D1278" s="63" t="e">
        <f>VLOOKUP(C1278,'RAW DATA 2023'!E:BP,63,0)</f>
        <v>#N/A</v>
      </c>
      <c r="E1278" s="63" t="e">
        <f t="shared" si="110"/>
        <v>#N/A</v>
      </c>
      <c r="F1278" s="63" t="e">
        <f>ROUND(VLOOKUP(C1278,'RAW DATA 2023'!E:BO,23,0),0)</f>
        <v>#N/A</v>
      </c>
      <c r="G1278" s="120" t="e">
        <f>VLOOKUP(C1278,'RAW DATA 2023'!E:BO,26,0)</f>
        <v>#N/A</v>
      </c>
      <c r="H1278" s="101" t="str">
        <f>IFERROR(VLOOKUP(F1278,STD!B:G,6,0),"")</f>
        <v/>
      </c>
      <c r="I1278" s="100">
        <f t="shared" si="111"/>
        <v>0</v>
      </c>
      <c r="J1278" s="249">
        <f t="shared" si="112"/>
        <v>0</v>
      </c>
      <c r="K1278" s="63" t="e">
        <f>VLOOKUP(C1278,'RAW DATA 2023'!E:BO,20,0)</f>
        <v>#N/A</v>
      </c>
      <c r="L1278" s="322" t="e">
        <f t="shared" si="113"/>
        <v>#N/A</v>
      </c>
    </row>
    <row r="1279" spans="3:12">
      <c r="C1279" s="63" t="str">
        <f t="shared" si="109"/>
        <v/>
      </c>
      <c r="D1279" s="63" t="e">
        <f>VLOOKUP(C1279,'RAW DATA 2023'!E:BP,63,0)</f>
        <v>#N/A</v>
      </c>
      <c r="E1279" s="63" t="e">
        <f t="shared" si="110"/>
        <v>#N/A</v>
      </c>
      <c r="F1279" s="63" t="e">
        <f>ROUND(VLOOKUP(C1279,'RAW DATA 2023'!E:BO,23,0),0)</f>
        <v>#N/A</v>
      </c>
      <c r="G1279" s="120" t="e">
        <f>VLOOKUP(C1279,'RAW DATA 2023'!E:BO,26,0)</f>
        <v>#N/A</v>
      </c>
      <c r="H1279" s="101" t="str">
        <f>IFERROR(VLOOKUP(F1279,STD!B:G,6,0),"")</f>
        <v/>
      </c>
      <c r="I1279" s="100">
        <f t="shared" si="111"/>
        <v>0</v>
      </c>
      <c r="J1279" s="249">
        <f t="shared" si="112"/>
        <v>0</v>
      </c>
      <c r="K1279" s="63" t="e">
        <f>VLOOKUP(C1279,'RAW DATA 2023'!E:BO,20,0)</f>
        <v>#N/A</v>
      </c>
      <c r="L1279" s="322" t="e">
        <f t="shared" si="113"/>
        <v>#N/A</v>
      </c>
    </row>
    <row r="1280" spans="3:12">
      <c r="C1280" s="63" t="str">
        <f t="shared" si="109"/>
        <v/>
      </c>
      <c r="D1280" s="63" t="e">
        <f>VLOOKUP(C1280,'RAW DATA 2023'!E:BP,63,0)</f>
        <v>#N/A</v>
      </c>
      <c r="E1280" s="63" t="e">
        <f t="shared" si="110"/>
        <v>#N/A</v>
      </c>
      <c r="F1280" s="63" t="e">
        <f>ROUND(VLOOKUP(C1280,'RAW DATA 2023'!E:BO,23,0),0)</f>
        <v>#N/A</v>
      </c>
      <c r="G1280" s="120" t="e">
        <f>VLOOKUP(C1280,'RAW DATA 2023'!E:BO,26,0)</f>
        <v>#N/A</v>
      </c>
      <c r="H1280" s="101" t="str">
        <f>IFERROR(VLOOKUP(F1280,STD!B:G,6,0),"")</f>
        <v/>
      </c>
      <c r="I1280" s="100">
        <f t="shared" si="111"/>
        <v>0</v>
      </c>
      <c r="J1280" s="249">
        <f t="shared" si="112"/>
        <v>0</v>
      </c>
      <c r="K1280" s="63" t="e">
        <f>VLOOKUP(C1280,'RAW DATA 2023'!E:BO,20,0)</f>
        <v>#N/A</v>
      </c>
      <c r="L1280" s="322" t="e">
        <f t="shared" si="113"/>
        <v>#N/A</v>
      </c>
    </row>
    <row r="1281" spans="3:12">
      <c r="C1281" s="63" t="str">
        <f t="shared" si="109"/>
        <v/>
      </c>
      <c r="D1281" s="63" t="e">
        <f>VLOOKUP(C1281,'RAW DATA 2023'!E:BP,63,0)</f>
        <v>#N/A</v>
      </c>
      <c r="E1281" s="63" t="e">
        <f t="shared" si="110"/>
        <v>#N/A</v>
      </c>
      <c r="F1281" s="63" t="e">
        <f>ROUND(VLOOKUP(C1281,'RAW DATA 2023'!E:BO,23,0),0)</f>
        <v>#N/A</v>
      </c>
      <c r="G1281" s="120" t="e">
        <f>VLOOKUP(C1281,'RAW DATA 2023'!E:BO,26,0)</f>
        <v>#N/A</v>
      </c>
      <c r="H1281" s="101" t="str">
        <f>IFERROR(VLOOKUP(F1281,STD!B:G,6,0),"")</f>
        <v/>
      </c>
      <c r="I1281" s="100">
        <f t="shared" si="111"/>
        <v>0</v>
      </c>
      <c r="J1281" s="249">
        <f t="shared" si="112"/>
        <v>0</v>
      </c>
      <c r="K1281" s="63" t="e">
        <f>VLOOKUP(C1281,'RAW DATA 2023'!E:BO,20,0)</f>
        <v>#N/A</v>
      </c>
      <c r="L1281" s="322" t="e">
        <f t="shared" si="113"/>
        <v>#N/A</v>
      </c>
    </row>
    <row r="1282" spans="3:12">
      <c r="C1282" s="63" t="str">
        <f t="shared" si="109"/>
        <v/>
      </c>
      <c r="D1282" s="63" t="e">
        <f>VLOOKUP(C1282,'RAW DATA 2023'!E:BP,63,0)</f>
        <v>#N/A</v>
      </c>
      <c r="E1282" s="63" t="e">
        <f t="shared" si="110"/>
        <v>#N/A</v>
      </c>
      <c r="F1282" s="63" t="e">
        <f>ROUND(VLOOKUP(C1282,'RAW DATA 2023'!E:BO,23,0),0)</f>
        <v>#N/A</v>
      </c>
      <c r="G1282" s="120" t="e">
        <f>VLOOKUP(C1282,'RAW DATA 2023'!E:BO,26,0)</f>
        <v>#N/A</v>
      </c>
      <c r="H1282" s="101" t="str">
        <f>IFERROR(VLOOKUP(F1282,STD!B:G,6,0),"")</f>
        <v/>
      </c>
      <c r="I1282" s="100">
        <f t="shared" si="111"/>
        <v>0</v>
      </c>
      <c r="J1282" s="249">
        <f t="shared" si="112"/>
        <v>0</v>
      </c>
      <c r="K1282" s="63" t="e">
        <f>VLOOKUP(C1282,'RAW DATA 2023'!E:BO,20,0)</f>
        <v>#N/A</v>
      </c>
      <c r="L1282" s="322" t="e">
        <f t="shared" si="113"/>
        <v>#N/A</v>
      </c>
    </row>
    <row r="1283" spans="3:12">
      <c r="C1283" s="63" t="str">
        <f t="shared" si="109"/>
        <v/>
      </c>
      <c r="D1283" s="63" t="e">
        <f>VLOOKUP(C1283,'RAW DATA 2023'!E:BP,63,0)</f>
        <v>#N/A</v>
      </c>
      <c r="E1283" s="63" t="e">
        <f t="shared" si="110"/>
        <v>#N/A</v>
      </c>
      <c r="F1283" s="63" t="e">
        <f>ROUND(VLOOKUP(C1283,'RAW DATA 2023'!E:BO,23,0),0)</f>
        <v>#N/A</v>
      </c>
      <c r="G1283" s="120" t="e">
        <f>VLOOKUP(C1283,'RAW DATA 2023'!E:BO,26,0)</f>
        <v>#N/A</v>
      </c>
      <c r="H1283" s="101" t="str">
        <f>IFERROR(VLOOKUP(F1283,STD!B:G,6,0),"")</f>
        <v/>
      </c>
      <c r="I1283" s="100">
        <f t="shared" si="111"/>
        <v>0</v>
      </c>
      <c r="J1283" s="249">
        <f t="shared" si="112"/>
        <v>0</v>
      </c>
      <c r="K1283" s="63" t="e">
        <f>VLOOKUP(C1283,'RAW DATA 2023'!E:BO,20,0)</f>
        <v>#N/A</v>
      </c>
      <c r="L1283" s="322" t="e">
        <f t="shared" si="113"/>
        <v>#N/A</v>
      </c>
    </row>
    <row r="1284" spans="3:12">
      <c r="C1284" s="63" t="str">
        <f t="shared" si="109"/>
        <v/>
      </c>
      <c r="D1284" s="63" t="e">
        <f>VLOOKUP(C1284,'RAW DATA 2023'!E:BP,63,0)</f>
        <v>#N/A</v>
      </c>
      <c r="E1284" s="63" t="e">
        <f t="shared" si="110"/>
        <v>#N/A</v>
      </c>
      <c r="F1284" s="63" t="e">
        <f>ROUND(VLOOKUP(C1284,'RAW DATA 2023'!E:BO,23,0),0)</f>
        <v>#N/A</v>
      </c>
      <c r="G1284" s="120" t="e">
        <f>VLOOKUP(C1284,'RAW DATA 2023'!E:BO,26,0)</f>
        <v>#N/A</v>
      </c>
      <c r="H1284" s="101" t="str">
        <f>IFERROR(VLOOKUP(F1284,STD!B:G,6,0),"")</f>
        <v/>
      </c>
      <c r="I1284" s="100">
        <f t="shared" si="111"/>
        <v>0</v>
      </c>
      <c r="J1284" s="249">
        <f t="shared" si="112"/>
        <v>0</v>
      </c>
      <c r="K1284" s="63" t="e">
        <f>VLOOKUP(C1284,'RAW DATA 2023'!E:BO,20,0)</f>
        <v>#N/A</v>
      </c>
      <c r="L1284" s="322" t="e">
        <f t="shared" si="113"/>
        <v>#N/A</v>
      </c>
    </row>
    <row r="1285" spans="3:12">
      <c r="C1285" s="63" t="str">
        <f t="shared" si="109"/>
        <v/>
      </c>
      <c r="D1285" s="63" t="e">
        <f>VLOOKUP(C1285,'RAW DATA 2023'!E:BP,63,0)</f>
        <v>#N/A</v>
      </c>
      <c r="E1285" s="63" t="e">
        <f t="shared" si="110"/>
        <v>#N/A</v>
      </c>
      <c r="F1285" s="63" t="e">
        <f>ROUND(VLOOKUP(C1285,'RAW DATA 2023'!E:BO,23,0),0)</f>
        <v>#N/A</v>
      </c>
      <c r="G1285" s="120" t="e">
        <f>VLOOKUP(C1285,'RAW DATA 2023'!E:BO,26,0)</f>
        <v>#N/A</v>
      </c>
      <c r="H1285" s="101" t="str">
        <f>IFERROR(VLOOKUP(F1285,STD!B:G,6,0),"")</f>
        <v/>
      </c>
      <c r="I1285" s="100">
        <f t="shared" si="111"/>
        <v>0</v>
      </c>
      <c r="J1285" s="249">
        <f t="shared" si="112"/>
        <v>0</v>
      </c>
      <c r="K1285" s="63" t="e">
        <f>VLOOKUP(C1285,'RAW DATA 2023'!E:BO,20,0)</f>
        <v>#N/A</v>
      </c>
      <c r="L1285" s="322" t="e">
        <f t="shared" si="113"/>
        <v>#N/A</v>
      </c>
    </row>
    <row r="1286" spans="3:12">
      <c r="C1286" s="63" t="str">
        <f t="shared" si="109"/>
        <v/>
      </c>
      <c r="D1286" s="63" t="e">
        <f>VLOOKUP(C1286,'RAW DATA 2023'!E:BP,63,0)</f>
        <v>#N/A</v>
      </c>
      <c r="E1286" s="63" t="e">
        <f t="shared" si="110"/>
        <v>#N/A</v>
      </c>
      <c r="F1286" s="63" t="e">
        <f>ROUND(VLOOKUP(C1286,'RAW DATA 2023'!E:BO,23,0),0)</f>
        <v>#N/A</v>
      </c>
      <c r="G1286" s="120" t="e">
        <f>VLOOKUP(C1286,'RAW DATA 2023'!E:BO,26,0)</f>
        <v>#N/A</v>
      </c>
      <c r="H1286" s="101" t="str">
        <f>IFERROR(VLOOKUP(F1286,STD!B:G,6,0),"")</f>
        <v/>
      </c>
      <c r="I1286" s="100">
        <f t="shared" si="111"/>
        <v>0</v>
      </c>
      <c r="J1286" s="249">
        <f t="shared" si="112"/>
        <v>0</v>
      </c>
      <c r="K1286" s="63" t="e">
        <f>VLOOKUP(C1286,'RAW DATA 2023'!E:BO,20,0)</f>
        <v>#N/A</v>
      </c>
      <c r="L1286" s="322" t="e">
        <f t="shared" si="113"/>
        <v>#N/A</v>
      </c>
    </row>
    <row r="1287" spans="3:12">
      <c r="C1287" s="63" t="str">
        <f t="shared" si="109"/>
        <v/>
      </c>
      <c r="D1287" s="63" t="e">
        <f>VLOOKUP(C1287,'RAW DATA 2023'!E:BP,63,0)</f>
        <v>#N/A</v>
      </c>
      <c r="E1287" s="63" t="e">
        <f t="shared" si="110"/>
        <v>#N/A</v>
      </c>
      <c r="F1287" s="63" t="e">
        <f>ROUND(VLOOKUP(C1287,'RAW DATA 2023'!E:BO,23,0),0)</f>
        <v>#N/A</v>
      </c>
      <c r="G1287" s="120" t="e">
        <f>VLOOKUP(C1287,'RAW DATA 2023'!E:BO,26,0)</f>
        <v>#N/A</v>
      </c>
      <c r="H1287" s="101" t="str">
        <f>IFERROR(VLOOKUP(F1287,STD!B:G,6,0),"")</f>
        <v/>
      </c>
      <c r="I1287" s="100">
        <f t="shared" si="111"/>
        <v>0</v>
      </c>
      <c r="J1287" s="249">
        <f t="shared" si="112"/>
        <v>0</v>
      </c>
      <c r="K1287" s="63" t="e">
        <f>VLOOKUP(C1287,'RAW DATA 2023'!E:BO,20,0)</f>
        <v>#N/A</v>
      </c>
      <c r="L1287" s="322" t="e">
        <f t="shared" si="113"/>
        <v>#N/A</v>
      </c>
    </row>
    <row r="1288" spans="3:12">
      <c r="C1288" s="63" t="str">
        <f t="shared" si="109"/>
        <v/>
      </c>
      <c r="D1288" s="63" t="e">
        <f>VLOOKUP(C1288,'RAW DATA 2023'!E:BP,63,0)</f>
        <v>#N/A</v>
      </c>
      <c r="E1288" s="63" t="e">
        <f t="shared" si="110"/>
        <v>#N/A</v>
      </c>
      <c r="F1288" s="63" t="e">
        <f>ROUND(VLOOKUP(C1288,'RAW DATA 2023'!E:BO,23,0),0)</f>
        <v>#N/A</v>
      </c>
      <c r="G1288" s="120" t="e">
        <f>VLOOKUP(C1288,'RAW DATA 2023'!E:BO,26,0)</f>
        <v>#N/A</v>
      </c>
      <c r="H1288" s="101" t="str">
        <f>IFERROR(VLOOKUP(F1288,STD!B:G,6,0),"")</f>
        <v/>
      </c>
      <c r="I1288" s="100">
        <f t="shared" si="111"/>
        <v>0</v>
      </c>
      <c r="J1288" s="249">
        <f t="shared" si="112"/>
        <v>0</v>
      </c>
      <c r="K1288" s="63" t="e">
        <f>VLOOKUP(C1288,'RAW DATA 2023'!E:BO,20,0)</f>
        <v>#N/A</v>
      </c>
      <c r="L1288" s="322" t="e">
        <f t="shared" si="113"/>
        <v>#N/A</v>
      </c>
    </row>
    <row r="1289" spans="3:12">
      <c r="C1289" s="63" t="str">
        <f t="shared" si="109"/>
        <v/>
      </c>
      <c r="D1289" s="63" t="e">
        <f>VLOOKUP(C1289,'RAW DATA 2023'!E:BP,63,0)</f>
        <v>#N/A</v>
      </c>
      <c r="E1289" s="63" t="e">
        <f t="shared" si="110"/>
        <v>#N/A</v>
      </c>
      <c r="F1289" s="63" t="e">
        <f>ROUND(VLOOKUP(C1289,'RAW DATA 2023'!E:BO,23,0),0)</f>
        <v>#N/A</v>
      </c>
      <c r="G1289" s="120" t="e">
        <f>VLOOKUP(C1289,'RAW DATA 2023'!E:BO,26,0)</f>
        <v>#N/A</v>
      </c>
      <c r="H1289" s="101" t="str">
        <f>IFERROR(VLOOKUP(F1289,STD!B:G,6,0),"")</f>
        <v/>
      </c>
      <c r="I1289" s="100">
        <f t="shared" si="111"/>
        <v>0</v>
      </c>
      <c r="J1289" s="249">
        <f t="shared" si="112"/>
        <v>0</v>
      </c>
      <c r="K1289" s="63" t="e">
        <f>VLOOKUP(C1289,'RAW DATA 2023'!E:BO,20,0)</f>
        <v>#N/A</v>
      </c>
      <c r="L1289" s="322" t="e">
        <f t="shared" si="113"/>
        <v>#N/A</v>
      </c>
    </row>
    <row r="1290" spans="3:12">
      <c r="C1290" s="63" t="str">
        <f t="shared" ref="C1290:C1297" si="114">A1290&amp;B1290</f>
        <v/>
      </c>
      <c r="D1290" s="63" t="e">
        <f>VLOOKUP(C1290,'RAW DATA 2023'!E:BP,63,0)</f>
        <v>#N/A</v>
      </c>
      <c r="E1290" s="63" t="e">
        <f t="shared" ref="E1290:E1297" si="115">A1290&amp;D1290</f>
        <v>#N/A</v>
      </c>
      <c r="F1290" s="63" t="e">
        <f>ROUND(VLOOKUP(C1290,'RAW DATA 2023'!E:BO,23,0),0)</f>
        <v>#N/A</v>
      </c>
      <c r="G1290" s="120" t="e">
        <f>VLOOKUP(C1290,'RAW DATA 2023'!E:BO,26,0)</f>
        <v>#N/A</v>
      </c>
      <c r="H1290" s="101" t="str">
        <f>IFERROR(VLOOKUP(F1290,STD!B:G,6,0),"")</f>
        <v/>
      </c>
      <c r="I1290" s="100">
        <f t="shared" ref="I1290:I1297" si="116">IFERROR(G1290/H1290,0)</f>
        <v>0</v>
      </c>
      <c r="J1290" s="249">
        <f t="shared" si="112"/>
        <v>0</v>
      </c>
      <c r="K1290" s="63" t="e">
        <f>VLOOKUP(C1290,'RAW DATA 2023'!E:BO,20,0)</f>
        <v>#N/A</v>
      </c>
      <c r="L1290" s="322" t="e">
        <f t="shared" si="113"/>
        <v>#N/A</v>
      </c>
    </row>
    <row r="1291" spans="3:12">
      <c r="C1291" s="63" t="str">
        <f t="shared" si="114"/>
        <v/>
      </c>
      <c r="D1291" s="63" t="e">
        <f>VLOOKUP(C1291,'RAW DATA 2023'!E:BP,63,0)</f>
        <v>#N/A</v>
      </c>
      <c r="E1291" s="63" t="e">
        <f t="shared" si="115"/>
        <v>#N/A</v>
      </c>
      <c r="F1291" s="63" t="e">
        <f>ROUND(VLOOKUP(C1291,'RAW DATA 2023'!E:BO,23,0),0)</f>
        <v>#N/A</v>
      </c>
      <c r="G1291" s="120" t="e">
        <f>VLOOKUP(C1291,'RAW DATA 2023'!E:BO,26,0)</f>
        <v>#N/A</v>
      </c>
      <c r="H1291" s="101" t="str">
        <f>IFERROR(VLOOKUP(F1291,STD!B:G,6,0),"")</f>
        <v/>
      </c>
      <c r="I1291" s="100">
        <f t="shared" si="116"/>
        <v>0</v>
      </c>
      <c r="J1291" s="249">
        <f t="shared" ref="J1291:J1297" si="117">IF(I1291&gt;0.5,((I1291-$B$4)*$B$7),0)</f>
        <v>0</v>
      </c>
      <c r="K1291" s="63" t="e">
        <f>VLOOKUP(C1291,'RAW DATA 2023'!E:BO,20,0)</f>
        <v>#N/A</v>
      </c>
      <c r="L1291" s="322" t="e">
        <f t="shared" ref="L1291:L1297" si="118">J1291*K1291</f>
        <v>#N/A</v>
      </c>
    </row>
    <row r="1292" spans="3:12">
      <c r="C1292" s="63" t="str">
        <f t="shared" si="114"/>
        <v/>
      </c>
      <c r="D1292" s="63" t="e">
        <f>VLOOKUP(C1292,'RAW DATA 2023'!E:BP,63,0)</f>
        <v>#N/A</v>
      </c>
      <c r="E1292" s="63" t="e">
        <f t="shared" si="115"/>
        <v>#N/A</v>
      </c>
      <c r="F1292" s="63" t="e">
        <f>ROUND(VLOOKUP(C1292,'RAW DATA 2023'!E:BO,23,0),0)</f>
        <v>#N/A</v>
      </c>
      <c r="G1292" s="120" t="e">
        <f>VLOOKUP(C1292,'RAW DATA 2023'!E:BO,26,0)</f>
        <v>#N/A</v>
      </c>
      <c r="H1292" s="101" t="str">
        <f>IFERROR(VLOOKUP(F1292,STD!B:G,6,0),"")</f>
        <v/>
      </c>
      <c r="I1292" s="100">
        <f t="shared" si="116"/>
        <v>0</v>
      </c>
      <c r="J1292" s="249">
        <f t="shared" si="117"/>
        <v>0</v>
      </c>
      <c r="K1292" s="63" t="e">
        <f>VLOOKUP(C1292,'RAW DATA 2023'!E:BO,20,0)</f>
        <v>#N/A</v>
      </c>
      <c r="L1292" s="322" t="e">
        <f t="shared" si="118"/>
        <v>#N/A</v>
      </c>
    </row>
    <row r="1293" spans="3:12">
      <c r="C1293" s="63" t="str">
        <f t="shared" si="114"/>
        <v/>
      </c>
      <c r="D1293" s="63" t="e">
        <f>VLOOKUP(C1293,'RAW DATA 2023'!E:BP,63,0)</f>
        <v>#N/A</v>
      </c>
      <c r="E1293" s="63" t="e">
        <f t="shared" si="115"/>
        <v>#N/A</v>
      </c>
      <c r="F1293" s="63" t="e">
        <f>ROUND(VLOOKUP(C1293,'RAW DATA 2023'!E:BO,23,0),0)</f>
        <v>#N/A</v>
      </c>
      <c r="G1293" s="120" t="e">
        <f>VLOOKUP(C1293,'RAW DATA 2023'!E:BO,26,0)</f>
        <v>#N/A</v>
      </c>
      <c r="H1293" s="101" t="str">
        <f>IFERROR(VLOOKUP(F1293,STD!B:G,6,0),"")</f>
        <v/>
      </c>
      <c r="I1293" s="100">
        <f t="shared" si="116"/>
        <v>0</v>
      </c>
      <c r="J1293" s="249">
        <f t="shared" si="117"/>
        <v>0</v>
      </c>
      <c r="K1293" s="63" t="e">
        <f>VLOOKUP(C1293,'RAW DATA 2023'!E:BO,20,0)</f>
        <v>#N/A</v>
      </c>
      <c r="L1293" s="322" t="e">
        <f t="shared" si="118"/>
        <v>#N/A</v>
      </c>
    </row>
    <row r="1294" spans="3:12">
      <c r="C1294" s="63" t="str">
        <f t="shared" si="114"/>
        <v/>
      </c>
      <c r="D1294" s="63" t="e">
        <f>VLOOKUP(C1294,'RAW DATA 2023'!E:BP,63,0)</f>
        <v>#N/A</v>
      </c>
      <c r="E1294" s="63" t="e">
        <f t="shared" si="115"/>
        <v>#N/A</v>
      </c>
      <c r="F1294" s="63" t="e">
        <f>ROUND(VLOOKUP(C1294,'RAW DATA 2023'!E:BO,23,0),0)</f>
        <v>#N/A</v>
      </c>
      <c r="G1294" s="120" t="e">
        <f>VLOOKUP(C1294,'RAW DATA 2023'!E:BO,26,0)</f>
        <v>#N/A</v>
      </c>
      <c r="H1294" s="101" t="str">
        <f>IFERROR(VLOOKUP(F1294,STD!B:G,6,0),"")</f>
        <v/>
      </c>
      <c r="I1294" s="100">
        <f t="shared" si="116"/>
        <v>0</v>
      </c>
      <c r="J1294" s="249">
        <f t="shared" si="117"/>
        <v>0</v>
      </c>
      <c r="K1294" s="63" t="e">
        <f>VLOOKUP(C1294,'RAW DATA 2023'!E:BO,20,0)</f>
        <v>#N/A</v>
      </c>
      <c r="L1294" s="322" t="e">
        <f t="shared" si="118"/>
        <v>#N/A</v>
      </c>
    </row>
    <row r="1295" spans="3:12">
      <c r="C1295" s="63" t="str">
        <f t="shared" si="114"/>
        <v/>
      </c>
      <c r="D1295" s="63" t="e">
        <f>VLOOKUP(C1295,'RAW DATA 2023'!E:BP,63,0)</f>
        <v>#N/A</v>
      </c>
      <c r="E1295" s="63" t="e">
        <f t="shared" si="115"/>
        <v>#N/A</v>
      </c>
      <c r="F1295" s="63" t="e">
        <f>ROUND(VLOOKUP(C1295,'RAW DATA 2023'!E:BO,23,0),0)</f>
        <v>#N/A</v>
      </c>
      <c r="G1295" s="120" t="e">
        <f>VLOOKUP(C1295,'RAW DATA 2023'!E:BO,26,0)</f>
        <v>#N/A</v>
      </c>
      <c r="H1295" s="101" t="str">
        <f>IFERROR(VLOOKUP(F1295,STD!B:G,6,0),"")</f>
        <v/>
      </c>
      <c r="I1295" s="100">
        <f t="shared" si="116"/>
        <v>0</v>
      </c>
      <c r="J1295" s="249">
        <f t="shared" si="117"/>
        <v>0</v>
      </c>
      <c r="K1295" s="63" t="e">
        <f>VLOOKUP(C1295,'RAW DATA 2023'!E:BO,20,0)</f>
        <v>#N/A</v>
      </c>
      <c r="L1295" s="322" t="e">
        <f t="shared" si="118"/>
        <v>#N/A</v>
      </c>
    </row>
    <row r="1296" spans="3:12">
      <c r="C1296" s="63" t="str">
        <f t="shared" si="114"/>
        <v/>
      </c>
      <c r="D1296" s="63" t="e">
        <f>VLOOKUP(C1296,'RAW DATA 2023'!E:BP,63,0)</f>
        <v>#N/A</v>
      </c>
      <c r="E1296" s="63" t="e">
        <f t="shared" si="115"/>
        <v>#N/A</v>
      </c>
      <c r="F1296" s="63" t="e">
        <f>ROUND(VLOOKUP(C1296,'RAW DATA 2023'!E:BO,23,0),0)</f>
        <v>#N/A</v>
      </c>
      <c r="G1296" s="120" t="e">
        <f>VLOOKUP(C1296,'RAW DATA 2023'!E:BO,26,0)</f>
        <v>#N/A</v>
      </c>
      <c r="H1296" s="101" t="str">
        <f>IFERROR(VLOOKUP(F1296,STD!B:G,6,0),"")</f>
        <v/>
      </c>
      <c r="I1296" s="100">
        <f t="shared" si="116"/>
        <v>0</v>
      </c>
      <c r="J1296" s="249">
        <f t="shared" si="117"/>
        <v>0</v>
      </c>
      <c r="K1296" s="63" t="e">
        <f>VLOOKUP(C1296,'RAW DATA 2023'!E:BO,20,0)</f>
        <v>#N/A</v>
      </c>
      <c r="L1296" s="322" t="e">
        <f t="shared" si="118"/>
        <v>#N/A</v>
      </c>
    </row>
    <row r="1297" spans="3:12">
      <c r="C1297" s="63" t="str">
        <f t="shared" si="114"/>
        <v/>
      </c>
      <c r="D1297" s="63" t="e">
        <f>VLOOKUP(C1297,'RAW DATA 2023'!E:BP,63,0)</f>
        <v>#N/A</v>
      </c>
      <c r="E1297" s="63" t="e">
        <f t="shared" si="115"/>
        <v>#N/A</v>
      </c>
      <c r="F1297" s="63" t="e">
        <f>ROUND(VLOOKUP(C1297,'RAW DATA 2023'!E:BO,23,0),0)</f>
        <v>#N/A</v>
      </c>
      <c r="G1297" s="120" t="e">
        <f>VLOOKUP(C1297,'RAW DATA 2023'!E:BO,26,0)</f>
        <v>#N/A</v>
      </c>
      <c r="H1297" s="101" t="str">
        <f>IFERROR(VLOOKUP(F1297,STD!B:G,6,0),"")</f>
        <v/>
      </c>
      <c r="I1297" s="100">
        <f t="shared" si="116"/>
        <v>0</v>
      </c>
      <c r="J1297" s="249">
        <f t="shared" si="117"/>
        <v>0</v>
      </c>
      <c r="K1297" s="63" t="e">
        <f>VLOOKUP(C1297,'RAW DATA 2023'!E:BO,20,0)</f>
        <v>#N/A</v>
      </c>
      <c r="L1297" s="322" t="e">
        <f t="shared" si="118"/>
        <v>#N/A</v>
      </c>
    </row>
  </sheetData>
  <autoFilter ref="A9:M1297" xr:uid="{17C1D8C6-EE92-BC4B-89AF-D9BB283EF2BE}">
    <sortState xmlns:xlrd2="http://schemas.microsoft.com/office/spreadsheetml/2017/richdata2" ref="A10:M1297">
      <sortCondition ref="C9:C1297"/>
    </sortState>
  </autoFilter>
  <pageMargins left="0.7" right="0.7" top="0.75" bottom="0.75" header="0.3" footer="0.3"/>
  <pageSetup paperSize="9" orientation="portrait" horizontalDpi="0" verticalDpi="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56954-87C2-DE4C-BD61-25E6F0964768}">
  <dimension ref="A2:AG1297"/>
  <sheetViews>
    <sheetView workbookViewId="0">
      <selection activeCell="K12" sqref="K12"/>
    </sheetView>
  </sheetViews>
  <sheetFormatPr baseColWidth="10" defaultRowHeight="16"/>
  <cols>
    <col min="1" max="2" width="13.1640625" customWidth="1"/>
    <col min="3" max="3" width="23.5" customWidth="1"/>
    <col min="4" max="5" width="13.6640625" customWidth="1"/>
    <col min="6" max="6" width="13.1640625" customWidth="1"/>
    <col min="7" max="8" width="13.1640625" style="16" customWidth="1"/>
    <col min="9" max="9" width="13.1640625" style="21" customWidth="1"/>
    <col min="10" max="10" width="13.1640625" style="16" customWidth="1"/>
    <col min="11" max="11" width="13.1640625" style="313" customWidth="1"/>
    <col min="12" max="12" width="13.1640625" style="70" customWidth="1"/>
    <col min="13" max="13" width="13.1640625" style="63" customWidth="1"/>
    <col min="16" max="30" width="10.83203125" customWidth="1"/>
  </cols>
  <sheetData>
    <row r="2" spans="1:33" s="48" customFormat="1" ht="17" customHeight="1">
      <c r="A2" s="48" t="s">
        <v>1848</v>
      </c>
      <c r="F2" s="48" t="s">
        <v>1849</v>
      </c>
      <c r="I2" s="50" t="s">
        <v>1839</v>
      </c>
      <c r="J2" s="51" t="s">
        <v>1844</v>
      </c>
      <c r="K2" s="66" t="s">
        <v>1845</v>
      </c>
      <c r="L2" s="64"/>
      <c r="M2" s="64"/>
      <c r="P2" s="23">
        <v>30</v>
      </c>
      <c r="U2" s="23">
        <v>45</v>
      </c>
      <c r="V2" s="23"/>
      <c r="W2" s="23"/>
      <c r="Z2" s="23">
        <v>60</v>
      </c>
      <c r="AC2" s="23">
        <v>75</v>
      </c>
      <c r="AF2" s="81" t="s">
        <v>1831</v>
      </c>
      <c r="AG2" s="82" t="s">
        <v>1846</v>
      </c>
    </row>
    <row r="3" spans="1:33" s="48" customFormat="1">
      <c r="A3" s="113" t="s">
        <v>1826</v>
      </c>
      <c r="B3" s="174">
        <v>1</v>
      </c>
      <c r="C3" s="52"/>
      <c r="D3" s="52"/>
      <c r="E3" s="52"/>
      <c r="F3" s="48" t="s">
        <v>1826</v>
      </c>
      <c r="G3" s="62" t="e">
        <f>MAX(G10:G1044)</f>
        <v>#N/A</v>
      </c>
      <c r="I3" s="48" t="s">
        <v>1840</v>
      </c>
      <c r="J3" s="48">
        <f>COUNTIF(J10:J821,"&gt;10")</f>
        <v>110</v>
      </c>
      <c r="K3" s="67">
        <f>J3/$J$6</f>
        <v>0.1354679802955665</v>
      </c>
      <c r="L3" s="64"/>
      <c r="M3" s="64"/>
      <c r="P3" s="59" t="s">
        <v>1826</v>
      </c>
      <c r="Q3" s="60">
        <v>2.4</v>
      </c>
      <c r="R3" s="60"/>
      <c r="S3" s="60"/>
      <c r="T3" s="51"/>
      <c r="U3" s="59" t="s">
        <v>1826</v>
      </c>
      <c r="V3" s="59"/>
      <c r="W3" s="59"/>
      <c r="X3" s="60">
        <v>2.2999999999999998</v>
      </c>
      <c r="Z3" s="59" t="s">
        <v>1826</v>
      </c>
      <c r="AA3" s="60">
        <v>2.2000000000000002</v>
      </c>
      <c r="AC3" s="59" t="s">
        <v>1826</v>
      </c>
      <c r="AD3" s="60">
        <v>2.1</v>
      </c>
      <c r="AF3" s="83" t="s">
        <v>1826</v>
      </c>
      <c r="AG3" s="116">
        <v>0.1</v>
      </c>
    </row>
    <row r="4" spans="1:33" s="48" customFormat="1">
      <c r="A4" s="194" t="s">
        <v>1827</v>
      </c>
      <c r="B4" s="195">
        <v>0.5</v>
      </c>
      <c r="C4" s="52"/>
      <c r="D4" s="52"/>
      <c r="E4" s="52"/>
      <c r="F4" s="48" t="s">
        <v>1827</v>
      </c>
      <c r="G4" s="62" t="e">
        <f>MIN(G10:G1044)</f>
        <v>#N/A</v>
      </c>
      <c r="I4" s="48" t="s">
        <v>1841</v>
      </c>
      <c r="J4" s="48">
        <f>COUNTIF(J10:J821,"0")</f>
        <v>0</v>
      </c>
      <c r="K4" s="67">
        <f>J4/$J$6</f>
        <v>0</v>
      </c>
      <c r="L4" s="64"/>
      <c r="M4" s="64"/>
      <c r="P4" s="59" t="s">
        <v>1827</v>
      </c>
      <c r="Q4" s="60">
        <v>1.5</v>
      </c>
      <c r="R4" s="60"/>
      <c r="S4" s="60"/>
      <c r="T4" s="51"/>
      <c r="U4" s="59" t="s">
        <v>1827</v>
      </c>
      <c r="V4" s="59"/>
      <c r="W4" s="59"/>
      <c r="X4" s="60">
        <v>1.4</v>
      </c>
      <c r="Z4" s="59" t="s">
        <v>1827</v>
      </c>
      <c r="AA4" s="60">
        <v>1.3</v>
      </c>
      <c r="AC4" s="59" t="s">
        <v>1827</v>
      </c>
      <c r="AD4" s="60">
        <v>1.2</v>
      </c>
      <c r="AF4" s="175" t="s">
        <v>1827</v>
      </c>
      <c r="AG4" s="176">
        <v>0</v>
      </c>
    </row>
    <row r="5" spans="1:33" s="48" customFormat="1">
      <c r="A5" s="113" t="s">
        <v>1833</v>
      </c>
      <c r="B5" s="114">
        <f>B3-B4</f>
        <v>0.5</v>
      </c>
      <c r="C5" s="52"/>
      <c r="D5" s="52"/>
      <c r="E5" s="52"/>
      <c r="F5" s="48" t="s">
        <v>1837</v>
      </c>
      <c r="G5" s="62" t="e">
        <f>AVERAGE(G10:G1044)</f>
        <v>#N/A</v>
      </c>
      <c r="I5" s="48" t="s">
        <v>1842</v>
      </c>
      <c r="J5" s="48">
        <f>J6-J4-J3</f>
        <v>702</v>
      </c>
      <c r="K5" s="67">
        <f>J5/$J$6</f>
        <v>0.8645320197044335</v>
      </c>
      <c r="L5" s="64"/>
      <c r="M5" s="64"/>
      <c r="P5" s="59" t="s">
        <v>1833</v>
      </c>
      <c r="Q5" s="60">
        <f>Q3-Q4</f>
        <v>0.89999999999999991</v>
      </c>
      <c r="R5" s="60"/>
      <c r="S5" s="60"/>
      <c r="T5" s="51"/>
      <c r="U5" s="59" t="s">
        <v>1833</v>
      </c>
      <c r="V5" s="59"/>
      <c r="W5" s="59"/>
      <c r="X5" s="60">
        <f>X3-X4</f>
        <v>0.89999999999999991</v>
      </c>
      <c r="Z5" s="59" t="s">
        <v>1833</v>
      </c>
      <c r="AA5" s="60">
        <f>AA3-AA4</f>
        <v>0.90000000000000013</v>
      </c>
      <c r="AC5" s="59" t="s">
        <v>1833</v>
      </c>
      <c r="AD5" s="60">
        <f>AD3-AD4</f>
        <v>0.90000000000000013</v>
      </c>
      <c r="AF5" s="83" t="s">
        <v>1833</v>
      </c>
      <c r="AG5" s="116">
        <f>AG3-AG4</f>
        <v>0.1</v>
      </c>
    </row>
    <row r="6" spans="1:33" s="48" customFormat="1">
      <c r="A6" s="113" t="s">
        <v>1832</v>
      </c>
      <c r="B6" s="114">
        <v>10</v>
      </c>
      <c r="C6" s="52"/>
      <c r="D6" s="52"/>
      <c r="E6" s="52"/>
      <c r="F6" s="48" t="s">
        <v>1838</v>
      </c>
      <c r="G6" s="62" t="e">
        <f>MEDIAN(G10:G1044)</f>
        <v>#N/A</v>
      </c>
      <c r="I6" s="48" t="s">
        <v>1843</v>
      </c>
      <c r="J6" s="48">
        <f>COUNT(F10:F821)</f>
        <v>812</v>
      </c>
      <c r="K6" s="67">
        <f>J6/$J$6</f>
        <v>1</v>
      </c>
      <c r="L6" s="64"/>
      <c r="M6" s="64"/>
      <c r="P6" s="59" t="s">
        <v>1832</v>
      </c>
      <c r="Q6" s="60">
        <v>6.25</v>
      </c>
      <c r="R6" s="60"/>
      <c r="S6" s="60"/>
      <c r="T6" s="51"/>
      <c r="U6" s="59" t="s">
        <v>1832</v>
      </c>
      <c r="V6" s="59"/>
      <c r="W6" s="59"/>
      <c r="X6" s="60">
        <v>6.25</v>
      </c>
      <c r="Z6" s="59" t="s">
        <v>1832</v>
      </c>
      <c r="AA6" s="60">
        <v>6.25</v>
      </c>
      <c r="AC6" s="59" t="s">
        <v>1832</v>
      </c>
      <c r="AD6" s="60">
        <v>6.25</v>
      </c>
      <c r="AF6" s="83" t="s">
        <v>1832</v>
      </c>
      <c r="AG6" s="84">
        <v>5</v>
      </c>
    </row>
    <row r="7" spans="1:33" s="48" customFormat="1">
      <c r="A7" s="113" t="s">
        <v>1835</v>
      </c>
      <c r="B7" s="115">
        <f>B6/B5</f>
        <v>20</v>
      </c>
      <c r="C7" s="56"/>
      <c r="D7" s="56"/>
      <c r="E7" s="56"/>
      <c r="K7" s="64"/>
      <c r="L7" s="64"/>
      <c r="M7" s="64"/>
      <c r="P7" s="59" t="s">
        <v>1835</v>
      </c>
      <c r="Q7" s="61">
        <f>Q6/Q5</f>
        <v>6.9444444444444455</v>
      </c>
      <c r="R7" s="61"/>
      <c r="S7" s="61"/>
      <c r="T7" s="51"/>
      <c r="U7" s="59" t="s">
        <v>1835</v>
      </c>
      <c r="V7" s="59"/>
      <c r="W7" s="59"/>
      <c r="X7" s="61">
        <f>X6/X5</f>
        <v>6.9444444444444455</v>
      </c>
      <c r="Z7" s="59" t="s">
        <v>1835</v>
      </c>
      <c r="AA7" s="61">
        <f>AA6/AA5</f>
        <v>6.9444444444444438</v>
      </c>
      <c r="AC7" s="59" t="s">
        <v>1835</v>
      </c>
      <c r="AD7" s="61">
        <f>AD6/AD5</f>
        <v>6.9444444444444438</v>
      </c>
      <c r="AF7" s="83" t="s">
        <v>1835</v>
      </c>
      <c r="AG7" s="117">
        <f>AG6/AG5</f>
        <v>50</v>
      </c>
    </row>
    <row r="9" spans="1:33" ht="17">
      <c r="A9" t="str">
        <f>'RAW DATA 2023'!B2</f>
        <v>Farm</v>
      </c>
      <c r="B9" t="str">
        <f>'RAW DATA 2023'!D2</f>
        <v>Pond</v>
      </c>
      <c r="C9" s="71" t="s">
        <v>1903</v>
      </c>
      <c r="D9" s="76" t="s">
        <v>1873</v>
      </c>
      <c r="E9" s="125" t="s">
        <v>2622</v>
      </c>
      <c r="F9" s="63" t="s">
        <v>1911</v>
      </c>
      <c r="G9" s="16" t="str">
        <f>'RAW DATA 2023'!AE2</f>
        <v>FCR</v>
      </c>
      <c r="H9" s="112" t="s">
        <v>1913</v>
      </c>
      <c r="I9" s="122" t="s">
        <v>1914</v>
      </c>
      <c r="J9" s="167" t="s">
        <v>1829</v>
      </c>
      <c r="K9" s="313" t="s">
        <v>2893</v>
      </c>
      <c r="L9" s="80" t="s">
        <v>2626</v>
      </c>
      <c r="M9" s="69" t="s">
        <v>2623</v>
      </c>
    </row>
    <row r="10" spans="1:33">
      <c r="A10" t="str">
        <f>'RAW DATA 2023'!B3</f>
        <v>Lamae</v>
      </c>
      <c r="B10" t="str">
        <f>'RAW DATA 2023'!D3</f>
        <v>A1-013-0016</v>
      </c>
      <c r="C10" t="str">
        <f t="shared" ref="C10:C73" si="0">A10&amp;B10</f>
        <v>LamaeA1-013-0016</v>
      </c>
      <c r="D10">
        <f>VLOOKUP(C10,'RAW DATA 2023'!E:BP,63,0)</f>
        <v>9</v>
      </c>
      <c r="E10" t="str">
        <f t="shared" ref="E10:E73" si="1">A10&amp;D10</f>
        <v>Lamae9</v>
      </c>
      <c r="F10">
        <f>ROUND(VLOOKUP(C10,'RAW DATA 2023'!E:BO,23,0),0)</f>
        <v>33</v>
      </c>
      <c r="G10" s="16">
        <f>VLOOKUP(C10,'RAW DATA 2023'!E:BO,27,0)</f>
        <v>1.6511499450852949</v>
      </c>
      <c r="H10" s="16">
        <f>IFERROR(VLOOKUP(F10,STD!B:G,5,0),0)</f>
        <v>1.8</v>
      </c>
      <c r="I10" s="21">
        <f>IFERROR(H10/G10,0)</f>
        <v>1.0901493261455524</v>
      </c>
      <c r="J10" s="16">
        <f>(I10-$B$4)*$B$7</f>
        <v>11.802986522911048</v>
      </c>
      <c r="K10" s="106" t="str">
        <f>VLOOKUP(C10,'RAW DATA 2023'!E:BO,36,0)</f>
        <v>Normal</v>
      </c>
      <c r="L10" s="106">
        <f>VLOOKUP(C10,'RAW DATA 2023'!E:BO,21,0)</f>
        <v>20.41601</v>
      </c>
      <c r="M10" s="106">
        <f>J10*L10</f>
        <v>240.9698908816172</v>
      </c>
    </row>
    <row r="11" spans="1:33">
      <c r="A11" t="str">
        <f>'RAW DATA 2023'!B4</f>
        <v>Lamae</v>
      </c>
      <c r="B11" t="str">
        <f>'RAW DATA 2023'!D4</f>
        <v>A1-012-0013</v>
      </c>
      <c r="C11" t="str">
        <f t="shared" si="0"/>
        <v>LamaeA1-012-0013</v>
      </c>
      <c r="D11">
        <f>VLOOKUP(C11,'RAW DATA 2023'!E:BP,63,0)</f>
        <v>6</v>
      </c>
      <c r="E11" t="str">
        <f t="shared" si="1"/>
        <v>Lamae6</v>
      </c>
      <c r="F11">
        <f>ROUND(VLOOKUP(C11,'RAW DATA 2023'!E:BO,23,0),0)</f>
        <v>36</v>
      </c>
      <c r="G11" s="16">
        <f>VLOOKUP(C11,'RAW DATA 2023'!E:BO,27,0)</f>
        <v>1.6582820127218396</v>
      </c>
      <c r="H11" s="16">
        <f>IFERROR(VLOOKUP(F11,STD!B:G,5,0),0)</f>
        <v>1.726</v>
      </c>
      <c r="I11" s="21">
        <f t="shared" ref="I11:I40" si="2">IFERROR(H11/G11,0)</f>
        <v>1.0408362309659325</v>
      </c>
      <c r="J11" s="16">
        <f t="shared" ref="J11:J74" si="3">(I11-$B$4)*$B$7</f>
        <v>10.816724619318649</v>
      </c>
      <c r="K11" s="106" t="str">
        <f>VLOOKUP(C11,'RAW DATA 2023'!E:BO,36,0)</f>
        <v>Normal</v>
      </c>
      <c r="L11" s="106">
        <f>VLOOKUP(C11,'RAW DATA 2023'!E:BO,21,0)</f>
        <v>36.7363</v>
      </c>
      <c r="M11" s="106">
        <f t="shared" ref="M11:M74" si="4">J11*L11</f>
        <v>397.36644063267568</v>
      </c>
    </row>
    <row r="12" spans="1:33">
      <c r="A12" t="str">
        <f>'RAW DATA 2023'!B5</f>
        <v>Lamae</v>
      </c>
      <c r="B12" t="str">
        <f>'RAW DATA 2023'!D5</f>
        <v>A1-011-0023</v>
      </c>
      <c r="C12" t="str">
        <f t="shared" si="0"/>
        <v>LamaeA1-011-0023</v>
      </c>
      <c r="D12">
        <f>VLOOKUP(C12,'RAW DATA 2023'!E:BP,63,0)</f>
        <v>9</v>
      </c>
      <c r="E12" t="str">
        <f t="shared" si="1"/>
        <v>Lamae9</v>
      </c>
      <c r="F12">
        <f>ROUND(VLOOKUP(C12,'RAW DATA 2023'!E:BO,23,0),0)</f>
        <v>35</v>
      </c>
      <c r="G12" s="16">
        <f>VLOOKUP(C12,'RAW DATA 2023'!E:BO,27,0)</f>
        <v>1.6021102170353763</v>
      </c>
      <c r="H12" s="16">
        <f>IFERROR(VLOOKUP(F12,STD!B:G,5,0),0)</f>
        <v>1.75</v>
      </c>
      <c r="I12" s="21">
        <f t="shared" si="2"/>
        <v>1.0923093688512182</v>
      </c>
      <c r="J12" s="16">
        <f t="shared" si="3"/>
        <v>11.846187377024364</v>
      </c>
      <c r="K12" s="106" t="str">
        <f>VLOOKUP(C12,'RAW DATA 2023'!E:BO,36,0)</f>
        <v>Normal</v>
      </c>
      <c r="L12" s="106">
        <f>VLOOKUP(C12,'RAW DATA 2023'!E:BO,21,0)</f>
        <v>20.785169999999997</v>
      </c>
      <c r="M12" s="106">
        <f t="shared" si="4"/>
        <v>246.22501848330546</v>
      </c>
    </row>
    <row r="13" spans="1:33">
      <c r="A13" t="str">
        <f>'RAW DATA 2023'!B6</f>
        <v>Lamae</v>
      </c>
      <c r="B13" t="str">
        <f>'RAW DATA 2023'!D6</f>
        <v>A1-012-0014</v>
      </c>
      <c r="C13" t="str">
        <f t="shared" si="0"/>
        <v>LamaeA1-012-0014</v>
      </c>
      <c r="D13">
        <f>VLOOKUP(C13,'RAW DATA 2023'!E:BP,63,0)</f>
        <v>9</v>
      </c>
      <c r="E13" t="str">
        <f t="shared" si="1"/>
        <v>Lamae9</v>
      </c>
      <c r="F13">
        <f>ROUND(VLOOKUP(C13,'RAW DATA 2023'!E:BO,23,0),0)</f>
        <v>38</v>
      </c>
      <c r="G13" s="16">
        <f>VLOOKUP(C13,'RAW DATA 2023'!E:BO,27,0)</f>
        <v>1.4371342728675112</v>
      </c>
      <c r="H13" s="16">
        <f>IFERROR(VLOOKUP(F13,STD!B:G,5,0),0)</f>
        <v>1.669</v>
      </c>
      <c r="I13" s="21">
        <f t="shared" si="2"/>
        <v>1.1613389448084399</v>
      </c>
      <c r="J13" s="16">
        <f t="shared" si="3"/>
        <v>13.226778896168799</v>
      </c>
      <c r="K13" s="106" t="str">
        <f>VLOOKUP(C13,'RAW DATA 2023'!E:BO,36,0)</f>
        <v>Normal</v>
      </c>
      <c r="L13" s="106">
        <f>VLOOKUP(C13,'RAW DATA 2023'!E:BO,21,0)</f>
        <v>31.467560000000002</v>
      </c>
      <c r="M13" s="106">
        <f t="shared" si="4"/>
        <v>416.21445852192551</v>
      </c>
    </row>
    <row r="14" spans="1:33">
      <c r="A14" t="str">
        <f>'RAW DATA 2023'!B7</f>
        <v>Lamae</v>
      </c>
      <c r="B14" t="str">
        <f>'RAW DATA 2023'!D7</f>
        <v>B1-018-0013</v>
      </c>
      <c r="C14" t="str">
        <f t="shared" si="0"/>
        <v>LamaeB1-018-0013</v>
      </c>
      <c r="D14">
        <f>VLOOKUP(C14,'RAW DATA 2023'!E:BP,63,0)</f>
        <v>7</v>
      </c>
      <c r="E14" t="str">
        <f t="shared" si="1"/>
        <v>Lamae7</v>
      </c>
      <c r="F14">
        <f>ROUND(VLOOKUP(C14,'RAW DATA 2023'!E:BO,23,0),0)</f>
        <v>42</v>
      </c>
      <c r="G14" s="16">
        <f>VLOOKUP(C14,'RAW DATA 2023'!E:BO,27,0)</f>
        <v>1.8836008026656172</v>
      </c>
      <c r="H14" s="16">
        <f>IFERROR(VLOOKUP(F14,STD!B:G,5,0),0)</f>
        <v>1.6</v>
      </c>
      <c r="I14" s="21">
        <f t="shared" si="2"/>
        <v>0.8494368858495529</v>
      </c>
      <c r="J14" s="16">
        <f t="shared" si="3"/>
        <v>6.9887377169910581</v>
      </c>
      <c r="K14" s="106" t="str">
        <f>VLOOKUP(C14,'RAW DATA 2023'!E:BO,36,0)</f>
        <v>Normal</v>
      </c>
      <c r="L14" s="106">
        <f>VLOOKUP(C14,'RAW DATA 2023'!E:BO,21,0)</f>
        <v>25.393049999999999</v>
      </c>
      <c r="M14" s="106">
        <f t="shared" si="4"/>
        <v>177.46536628443977</v>
      </c>
    </row>
    <row r="15" spans="1:33">
      <c r="A15" t="str">
        <f>'RAW DATA 2023'!B8</f>
        <v>Lamae</v>
      </c>
      <c r="B15" t="str">
        <f>'RAW DATA 2023'!D8</f>
        <v>A1-007-0045</v>
      </c>
      <c r="C15" t="str">
        <f t="shared" si="0"/>
        <v>LamaeA1-007-0045</v>
      </c>
      <c r="D15">
        <f>VLOOKUP(C15,'RAW DATA 2023'!E:BP,63,0)</f>
        <v>7</v>
      </c>
      <c r="E15" t="str">
        <f t="shared" si="1"/>
        <v>Lamae7</v>
      </c>
      <c r="F15">
        <f>ROUND(VLOOKUP(C15,'RAW DATA 2023'!E:BO,23,0),0)</f>
        <v>26</v>
      </c>
      <c r="G15" s="16">
        <f>VLOOKUP(C15,'RAW DATA 2023'!E:BO,27,0)</f>
        <v>3.059345509513606</v>
      </c>
      <c r="H15" s="16">
        <f>IFERROR(VLOOKUP(F15,STD!B:G,5,0),0)</f>
        <v>2</v>
      </c>
      <c r="I15" s="21">
        <f t="shared" si="2"/>
        <v>0.65373459577567383</v>
      </c>
      <c r="J15" s="16">
        <f t="shared" si="3"/>
        <v>3.0746919155134766</v>
      </c>
      <c r="K15" s="106" t="str">
        <f>VLOOKUP(C15,'RAW DATA 2023'!E:BO,36,0)</f>
        <v>Normal</v>
      </c>
      <c r="L15" s="106">
        <f>VLOOKUP(C15,'RAW DATA 2023'!E:BO,21,0)</f>
        <v>22.668790000000001</v>
      </c>
      <c r="M15" s="106">
        <f t="shared" si="4"/>
        <v>69.69954534747275</v>
      </c>
    </row>
    <row r="16" spans="1:33">
      <c r="A16" t="str">
        <f>'RAW DATA 2023'!B9</f>
        <v>Lamae</v>
      </c>
      <c r="B16" t="str">
        <f>'RAW DATA 2023'!D9</f>
        <v>B1-021-0012</v>
      </c>
      <c r="C16" t="str">
        <f t="shared" si="0"/>
        <v>LamaeB1-021-0012</v>
      </c>
      <c r="D16">
        <f>VLOOKUP(C16,'RAW DATA 2023'!E:BP,63,0)</f>
        <v>2</v>
      </c>
      <c r="E16" t="str">
        <f t="shared" si="1"/>
        <v>Lamae2</v>
      </c>
      <c r="F16">
        <f>ROUND(VLOOKUP(C16,'RAW DATA 2023'!E:BO,23,0),0)</f>
        <v>26</v>
      </c>
      <c r="G16" s="16">
        <f>VLOOKUP(C16,'RAW DATA 2023'!E:BO,27,0)</f>
        <v>1.6056608582132896</v>
      </c>
      <c r="H16" s="16">
        <f>IFERROR(VLOOKUP(F16,STD!B:G,5,0),0)</f>
        <v>2</v>
      </c>
      <c r="I16" s="21">
        <f t="shared" si="2"/>
        <v>1.2455930464827509</v>
      </c>
      <c r="J16" s="16">
        <f t="shared" si="3"/>
        <v>14.911860929655019</v>
      </c>
      <c r="K16" s="106" t="str">
        <f>VLOOKUP(C16,'RAW DATA 2023'!E:BO,36,0)</f>
        <v>อัตรารอดต่ำ</v>
      </c>
      <c r="L16" s="106">
        <f>VLOOKUP(C16,'RAW DATA 2023'!E:BO,21,0)</f>
        <v>23.084119999999999</v>
      </c>
      <c r="M16" s="106">
        <f t="shared" si="4"/>
        <v>344.22718712346801</v>
      </c>
    </row>
    <row r="17" spans="1:24">
      <c r="A17" t="str">
        <f>'RAW DATA 2023'!B10</f>
        <v>Lamae</v>
      </c>
      <c r="B17" t="str">
        <f>'RAW DATA 2023'!D10</f>
        <v>A1-007-0046</v>
      </c>
      <c r="C17" t="str">
        <f t="shared" si="0"/>
        <v>LamaeA1-007-0046</v>
      </c>
      <c r="D17">
        <f>VLOOKUP(C17,'RAW DATA 2023'!E:BP,63,0)</f>
        <v>11</v>
      </c>
      <c r="E17" t="str">
        <f t="shared" si="1"/>
        <v>Lamae11</v>
      </c>
      <c r="F17">
        <f>ROUND(VLOOKUP(C17,'RAW DATA 2023'!E:BO,23,0),0)</f>
        <v>43</v>
      </c>
      <c r="G17" s="16">
        <f>VLOOKUP(C17,'RAW DATA 2023'!E:BO,27,0)</f>
        <v>1.709794924007848</v>
      </c>
      <c r="H17" s="16">
        <f>IFERROR(VLOOKUP(F17,STD!B:G,5,0),0)</f>
        <v>1.58</v>
      </c>
      <c r="I17" s="21">
        <f t="shared" si="2"/>
        <v>0.92408743166484442</v>
      </c>
      <c r="J17" s="16">
        <f t="shared" si="3"/>
        <v>8.4817486332968883</v>
      </c>
      <c r="K17" s="106" t="str">
        <f>VLOOKUP(C17,'RAW DATA 2023'!E:BO,36,0)</f>
        <v>Normal</v>
      </c>
      <c r="L17" s="106">
        <f>VLOOKUP(C17,'RAW DATA 2023'!E:BO,21,0)</f>
        <v>44.091540000000002</v>
      </c>
      <c r="M17" s="106">
        <f t="shared" si="4"/>
        <v>373.9733591349551</v>
      </c>
    </row>
    <row r="18" spans="1:24">
      <c r="A18" t="str">
        <f>'RAW DATA 2023'!B11</f>
        <v>Lamae</v>
      </c>
      <c r="B18" t="str">
        <f>'RAW DATA 2023'!D11</f>
        <v>B1-022-0011</v>
      </c>
      <c r="C18" t="str">
        <f t="shared" si="0"/>
        <v>LamaeB1-022-0011</v>
      </c>
      <c r="D18">
        <f>VLOOKUP(C18,'RAW DATA 2023'!E:BP,63,0)</f>
        <v>2</v>
      </c>
      <c r="E18" t="str">
        <f t="shared" si="1"/>
        <v>Lamae2</v>
      </c>
      <c r="F18">
        <f>ROUND(VLOOKUP(C18,'RAW DATA 2023'!E:BO,23,0),0)</f>
        <v>27</v>
      </c>
      <c r="G18" s="16">
        <f>VLOOKUP(C18,'RAW DATA 2023'!E:BO,27,0)</f>
        <v>1.6284661309431396</v>
      </c>
      <c r="H18" s="16">
        <f>IFERROR(VLOOKUP(F18,STD!B:G,5,0),0)</f>
        <v>1.96</v>
      </c>
      <c r="I18" s="21">
        <f t="shared" si="2"/>
        <v>1.203586591552168</v>
      </c>
      <c r="J18" s="16">
        <f t="shared" si="3"/>
        <v>14.071731831043358</v>
      </c>
      <c r="K18" s="106" t="str">
        <f>VLOOKUP(C18,'RAW DATA 2023'!E:BO,36,0)</f>
        <v>อัตรารอดต่ำ</v>
      </c>
      <c r="L18" s="106">
        <f>VLOOKUP(C18,'RAW DATA 2023'!E:BO,21,0)</f>
        <v>24.10154</v>
      </c>
      <c r="M18" s="106">
        <f t="shared" si="4"/>
        <v>339.15040759516472</v>
      </c>
    </row>
    <row r="19" spans="1:24">
      <c r="A19" t="str">
        <f>'RAW DATA 2023'!B12</f>
        <v>Lamae</v>
      </c>
      <c r="B19" t="str">
        <f>'RAW DATA 2023'!D12</f>
        <v>B1-021-0014</v>
      </c>
      <c r="C19" t="str">
        <f t="shared" si="0"/>
        <v>LamaeB1-021-0014</v>
      </c>
      <c r="D19">
        <f>VLOOKUP(C19,'RAW DATA 2023'!E:BP,63,0)</f>
        <v>12</v>
      </c>
      <c r="E19" t="str">
        <f t="shared" si="1"/>
        <v>Lamae12</v>
      </c>
      <c r="F19">
        <f>ROUND(VLOOKUP(C19,'RAW DATA 2023'!E:BO,23,0),0)</f>
        <v>46</v>
      </c>
      <c r="G19" s="16">
        <f>VLOOKUP(C19,'RAW DATA 2023'!E:BO,27,0)</f>
        <v>1.7641542641694603</v>
      </c>
      <c r="H19" s="16">
        <f>IFERROR(VLOOKUP(F19,STD!B:G,5,0),0)</f>
        <v>1.54</v>
      </c>
      <c r="I19" s="21">
        <f t="shared" si="2"/>
        <v>0.87293953328112772</v>
      </c>
      <c r="J19" s="16">
        <f t="shared" si="3"/>
        <v>7.4587906656225549</v>
      </c>
      <c r="K19" s="106" t="str">
        <f>VLOOKUP(C19,'RAW DATA 2023'!E:BO,36,0)</f>
        <v>Normal</v>
      </c>
      <c r="L19" s="106">
        <f>VLOOKUP(C19,'RAW DATA 2023'!E:BO,21,0)</f>
        <v>36.34543</v>
      </c>
      <c r="M19" s="106">
        <f t="shared" si="4"/>
        <v>271.09295402203799</v>
      </c>
    </row>
    <row r="20" spans="1:24">
      <c r="A20" t="str">
        <f>'RAW DATA 2023'!B13</f>
        <v>Lamae</v>
      </c>
      <c r="B20" t="str">
        <f>'RAW DATA 2023'!D13</f>
        <v>B1-021-0013</v>
      </c>
      <c r="C20" t="str">
        <f t="shared" si="0"/>
        <v>LamaeB1-021-0013</v>
      </c>
      <c r="D20">
        <f>VLOOKUP(C20,'RAW DATA 2023'!E:BP,63,0)</f>
        <v>8</v>
      </c>
      <c r="E20" t="str">
        <f t="shared" si="1"/>
        <v>Lamae8</v>
      </c>
      <c r="F20">
        <f>ROUND(VLOOKUP(C20,'RAW DATA 2023'!E:BO,23,0),0)</f>
        <v>30</v>
      </c>
      <c r="G20" s="16">
        <f>VLOOKUP(C20,'RAW DATA 2023'!E:BO,27,0)</f>
        <v>2.1254928761566072</v>
      </c>
      <c r="H20" s="16">
        <f>IFERROR(VLOOKUP(F20,STD!B:G,5,0),0)</f>
        <v>1.87</v>
      </c>
      <c r="I20" s="21">
        <f t="shared" si="2"/>
        <v>0.87979593861608296</v>
      </c>
      <c r="J20" s="16">
        <f t="shared" si="3"/>
        <v>7.5959187723216592</v>
      </c>
      <c r="K20" s="106" t="str">
        <f>VLOOKUP(C20,'RAW DATA 2023'!E:BO,36,0)</f>
        <v>Normal</v>
      </c>
      <c r="L20" s="106">
        <f>VLOOKUP(C20,'RAW DATA 2023'!E:BO,21,0)</f>
        <v>45.87556</v>
      </c>
      <c r="M20" s="106">
        <f t="shared" si="4"/>
        <v>348.46702739476859</v>
      </c>
    </row>
    <row r="21" spans="1:24">
      <c r="A21" t="str">
        <f>'RAW DATA 2023'!B14</f>
        <v>Lamae</v>
      </c>
      <c r="B21" t="str">
        <f>'RAW DATA 2023'!D14</f>
        <v>B1-018-0014</v>
      </c>
      <c r="C21" t="str">
        <f t="shared" si="0"/>
        <v>LamaeB1-018-0014</v>
      </c>
      <c r="D21">
        <f>VLOOKUP(C21,'RAW DATA 2023'!E:BP,63,0)</f>
        <v>12</v>
      </c>
      <c r="E21" t="str">
        <f t="shared" si="1"/>
        <v>Lamae12</v>
      </c>
      <c r="F21">
        <f>ROUND(VLOOKUP(C21,'RAW DATA 2023'!E:BO,23,0),0)</f>
        <v>42</v>
      </c>
      <c r="G21" s="16">
        <f>VLOOKUP(C21,'RAW DATA 2023'!E:BO,27,0)</f>
        <v>1.8202218664133236</v>
      </c>
      <c r="H21" s="16">
        <f>IFERROR(VLOOKUP(F21,STD!B:G,5,0),0)</f>
        <v>1.6</v>
      </c>
      <c r="I21" s="21">
        <f t="shared" si="2"/>
        <v>0.87901372328458938</v>
      </c>
      <c r="J21" s="16">
        <f t="shared" si="3"/>
        <v>7.5802744656917875</v>
      </c>
      <c r="K21" s="106" t="str">
        <f>VLOOKUP(C21,'RAW DATA 2023'!E:BO,36,0)</f>
        <v>Normal</v>
      </c>
      <c r="L21" s="106">
        <f>VLOOKUP(C21,'RAW DATA 2023'!E:BO,21,0)</f>
        <v>29.407319999999999</v>
      </c>
      <c r="M21" s="106">
        <f t="shared" si="4"/>
        <v>222.91555690042742</v>
      </c>
    </row>
    <row r="22" spans="1:24">
      <c r="A22" t="str">
        <f>'RAW DATA 2023'!B15</f>
        <v>Lamae</v>
      </c>
      <c r="B22" t="str">
        <f>'RAW DATA 2023'!D15</f>
        <v>B1-022-0013</v>
      </c>
      <c r="C22" t="str">
        <f t="shared" si="0"/>
        <v>LamaeB1-022-0013</v>
      </c>
      <c r="D22">
        <f>VLOOKUP(C22,'RAW DATA 2023'!E:BP,63,0)</f>
        <v>12</v>
      </c>
      <c r="E22" t="str">
        <f t="shared" si="1"/>
        <v>Lamae12</v>
      </c>
      <c r="F22">
        <f>ROUND(VLOOKUP(C22,'RAW DATA 2023'!E:BO,23,0),0)</f>
        <v>50</v>
      </c>
      <c r="G22" s="16">
        <f>VLOOKUP(C22,'RAW DATA 2023'!E:BO,27,0)</f>
        <v>1.6072851460344664</v>
      </c>
      <c r="H22" s="16">
        <f>IFERROR(VLOOKUP(F22,STD!B:G,5,0),0)</f>
        <v>1.49</v>
      </c>
      <c r="I22" s="21">
        <f t="shared" si="2"/>
        <v>0.9270290363076924</v>
      </c>
      <c r="J22" s="16">
        <f t="shared" si="3"/>
        <v>8.5405807261538484</v>
      </c>
      <c r="K22" s="106" t="str">
        <f>VLOOKUP(C22,'RAW DATA 2023'!E:BO,36,0)</f>
        <v>Normal</v>
      </c>
      <c r="L22" s="106">
        <f>VLOOKUP(C22,'RAW DATA 2023'!E:BO,21,0)</f>
        <v>25.45177</v>
      </c>
      <c r="M22" s="106">
        <f t="shared" si="4"/>
        <v>217.37289630850074</v>
      </c>
      <c r="S22" s="10"/>
      <c r="T22" s="18"/>
      <c r="U22" s="18"/>
      <c r="V22" s="18"/>
      <c r="W22" s="18"/>
      <c r="X22" s="18"/>
    </row>
    <row r="23" spans="1:24">
      <c r="A23" t="str">
        <f>'RAW DATA 2023'!B16</f>
        <v>Lamae</v>
      </c>
      <c r="B23" t="str">
        <f>'RAW DATA 2023'!D16</f>
        <v>B1-018-0012</v>
      </c>
      <c r="C23" t="str">
        <f t="shared" si="0"/>
        <v>LamaeB1-018-0012</v>
      </c>
      <c r="D23">
        <f>VLOOKUP(C23,'RAW DATA 2023'!E:BP,63,0)</f>
        <v>3</v>
      </c>
      <c r="E23" t="str">
        <f t="shared" si="1"/>
        <v>Lamae3</v>
      </c>
      <c r="F23">
        <f>ROUND(VLOOKUP(C23,'RAW DATA 2023'!E:BO,23,0),0)</f>
        <v>33</v>
      </c>
      <c r="G23" s="16">
        <f>VLOOKUP(C23,'RAW DATA 2023'!E:BO,27,0)</f>
        <v>1.6548494287137325</v>
      </c>
      <c r="H23" s="16">
        <f>IFERROR(VLOOKUP(F23,STD!B:G,5,0),0)</f>
        <v>1.8</v>
      </c>
      <c r="I23" s="21">
        <f t="shared" si="2"/>
        <v>1.0877122527087488</v>
      </c>
      <c r="J23" s="16">
        <f t="shared" si="3"/>
        <v>11.754245054174977</v>
      </c>
      <c r="K23" s="106" t="str">
        <f>VLOOKUP(C23,'RAW DATA 2023'!E:BO,36,0)</f>
        <v>Normal</v>
      </c>
      <c r="L23" s="106">
        <f>VLOOKUP(C23,'RAW DATA 2023'!E:BO,21,0)</f>
        <v>34.227609999999999</v>
      </c>
      <c r="M23" s="106">
        <f t="shared" si="4"/>
        <v>402.31971555872997</v>
      </c>
    </row>
    <row r="24" spans="1:24">
      <c r="A24" t="str">
        <f>'RAW DATA 2023'!B17</f>
        <v>Lamae</v>
      </c>
      <c r="B24" t="str">
        <f>'RAW DATA 2023'!D17</f>
        <v>A1-013-0015</v>
      </c>
      <c r="C24" t="str">
        <f t="shared" si="0"/>
        <v>LamaeA1-013-0015</v>
      </c>
      <c r="D24">
        <f>VLOOKUP(C24,'RAW DATA 2023'!E:BP,63,0)</f>
        <v>5</v>
      </c>
      <c r="E24" t="str">
        <f t="shared" si="1"/>
        <v>Lamae5</v>
      </c>
      <c r="F24">
        <f>ROUND(VLOOKUP(C24,'RAW DATA 2023'!E:BO,23,0),0)</f>
        <v>39</v>
      </c>
      <c r="G24" s="16">
        <f>VLOOKUP(C24,'RAW DATA 2023'!E:BO,27,0)</f>
        <v>1.9270748798577346</v>
      </c>
      <c r="H24" s="16">
        <f>IFERROR(VLOOKUP(F24,STD!B:G,5,0),0)</f>
        <v>1.64</v>
      </c>
      <c r="I24" s="21">
        <f t="shared" si="2"/>
        <v>0.85103076021678625</v>
      </c>
      <c r="J24" s="16">
        <f t="shared" si="3"/>
        <v>7.0206152043357246</v>
      </c>
      <c r="K24" s="106" t="str">
        <f>VLOOKUP(C24,'RAW DATA 2023'!E:BO,36,0)</f>
        <v>Normal</v>
      </c>
      <c r="L24" s="106">
        <f>VLOOKUP(C24,'RAW DATA 2023'!E:BO,21,0)</f>
        <v>35.65099</v>
      </c>
      <c r="M24" s="106">
        <f t="shared" si="4"/>
        <v>250.29188244362086</v>
      </c>
    </row>
    <row r="25" spans="1:24">
      <c r="A25" t="str">
        <f>'RAW DATA 2023'!B18</f>
        <v>Lamae</v>
      </c>
      <c r="B25" t="str">
        <f>'RAW DATA 2023'!D18</f>
        <v>A1-009-0021</v>
      </c>
      <c r="C25" t="str">
        <f t="shared" si="0"/>
        <v>LamaeA1-009-0021</v>
      </c>
      <c r="D25">
        <f>VLOOKUP(C25,'RAW DATA 2023'!E:BP,63,0)</f>
        <v>12</v>
      </c>
      <c r="E25" t="str">
        <f t="shared" si="1"/>
        <v>Lamae12</v>
      </c>
      <c r="F25">
        <f>ROUND(VLOOKUP(C25,'RAW DATA 2023'!E:BO,23,0),0)</f>
        <v>43</v>
      </c>
      <c r="G25" s="16">
        <f>VLOOKUP(C25,'RAW DATA 2023'!E:BO,27,0)</f>
        <v>1.8066840554690284</v>
      </c>
      <c r="H25" s="16">
        <f>IFERROR(VLOOKUP(F25,STD!B:G,5,0),0)</f>
        <v>1.58</v>
      </c>
      <c r="I25" s="21">
        <f t="shared" si="2"/>
        <v>0.87453032820938936</v>
      </c>
      <c r="J25" s="16">
        <f t="shared" si="3"/>
        <v>7.4906065641877877</v>
      </c>
      <c r="K25" s="106" t="str">
        <f>VLOOKUP(C25,'RAW DATA 2023'!E:BO,36,0)</f>
        <v>Normal</v>
      </c>
      <c r="L25" s="106">
        <f>VLOOKUP(C25,'RAW DATA 2023'!E:BO,21,0)</f>
        <v>26.820060000000002</v>
      </c>
      <c r="M25" s="106">
        <f t="shared" si="4"/>
        <v>200.89851748791034</v>
      </c>
    </row>
    <row r="26" spans="1:24">
      <c r="A26" t="str">
        <f>'RAW DATA 2023'!B19</f>
        <v>Lamae</v>
      </c>
      <c r="B26" t="str">
        <f>'RAW DATA 2023'!D19</f>
        <v>B1-022-0012</v>
      </c>
      <c r="C26" t="str">
        <f t="shared" si="0"/>
        <v>LamaeB1-022-0012</v>
      </c>
      <c r="D26">
        <f>VLOOKUP(C26,'RAW DATA 2023'!E:BP,63,0)</f>
        <v>9</v>
      </c>
      <c r="E26" t="str">
        <f t="shared" si="1"/>
        <v>Lamae9</v>
      </c>
      <c r="F26">
        <f>ROUND(VLOOKUP(C26,'RAW DATA 2023'!E:BO,23,0),0)</f>
        <v>36</v>
      </c>
      <c r="G26" s="16">
        <f>VLOOKUP(C26,'RAW DATA 2023'!E:BO,27,0)</f>
        <v>2.5159028099416196</v>
      </c>
      <c r="H26" s="16">
        <f>IFERROR(VLOOKUP(F26,STD!B:G,5,0),0)</f>
        <v>1.726</v>
      </c>
      <c r="I26" s="21">
        <f t="shared" si="2"/>
        <v>0.68603603969902593</v>
      </c>
      <c r="J26" s="16">
        <f t="shared" si="3"/>
        <v>3.7207207939805187</v>
      </c>
      <c r="K26" s="106" t="str">
        <f>VLOOKUP(C26,'RAW DATA 2023'!E:BO,36,0)</f>
        <v>Normal</v>
      </c>
      <c r="L26" s="106">
        <f>VLOOKUP(C26,'RAW DATA 2023'!E:BO,21,0)</f>
        <v>43.273940000000003</v>
      </c>
      <c r="M26" s="106">
        <f t="shared" si="4"/>
        <v>161.01024839546534</v>
      </c>
    </row>
    <row r="27" spans="1:24">
      <c r="A27" t="str">
        <f>'RAW DATA 2023'!B20</f>
        <v>Lamae</v>
      </c>
      <c r="B27" t="str">
        <f>'RAW DATA 2023'!D20</f>
        <v>A1-011-0022</v>
      </c>
      <c r="C27" t="str">
        <f t="shared" si="0"/>
        <v>LamaeA1-011-0022</v>
      </c>
      <c r="D27">
        <f>VLOOKUP(C27,'RAW DATA 2023'!E:BP,63,0)</f>
        <v>6</v>
      </c>
      <c r="E27" t="str">
        <f t="shared" si="1"/>
        <v>Lamae6</v>
      </c>
      <c r="F27">
        <f>ROUND(VLOOKUP(C27,'RAW DATA 2023'!E:BO,23,0),0)</f>
        <v>32</v>
      </c>
      <c r="G27" s="16">
        <f>VLOOKUP(C27,'RAW DATA 2023'!E:BO,27,0)</f>
        <v>2.2680383210514314</v>
      </c>
      <c r="H27" s="16">
        <f>IFERROR(VLOOKUP(F27,STD!B:G,5,0),0)</f>
        <v>1.82</v>
      </c>
      <c r="I27" s="21">
        <f t="shared" si="2"/>
        <v>0.80245557718631189</v>
      </c>
      <c r="J27" s="16">
        <f t="shared" si="3"/>
        <v>6.0491115437262373</v>
      </c>
      <c r="K27" s="106" t="str">
        <f>VLOOKUP(C27,'RAW DATA 2023'!E:BO,36,0)</f>
        <v>Normal</v>
      </c>
      <c r="L27" s="106">
        <f>VLOOKUP(C27,'RAW DATA 2023'!E:BO,21,0)</f>
        <v>28.999839999999999</v>
      </c>
      <c r="M27" s="106">
        <f t="shared" si="4"/>
        <v>175.42326691021387</v>
      </c>
    </row>
    <row r="28" spans="1:24">
      <c r="A28" t="str">
        <f>'RAW DATA 2023'!B21</f>
        <v>Lamae</v>
      </c>
      <c r="B28" t="str">
        <f>'RAW DATA 2023'!D21</f>
        <v>A1-010-0023</v>
      </c>
      <c r="C28" t="str">
        <f t="shared" si="0"/>
        <v>LamaeA1-010-0023</v>
      </c>
      <c r="D28">
        <f>VLOOKUP(C28,'RAW DATA 2023'!E:BP,63,0)</f>
        <v>12</v>
      </c>
      <c r="E28" t="str">
        <f t="shared" si="1"/>
        <v>Lamae12</v>
      </c>
      <c r="F28">
        <f>ROUND(VLOOKUP(C28,'RAW DATA 2023'!E:BO,23,0),0)</f>
        <v>45</v>
      </c>
      <c r="G28" s="16">
        <f>VLOOKUP(C28,'RAW DATA 2023'!E:BO,27,0)</f>
        <v>2.1243273744125695</v>
      </c>
      <c r="H28" s="16">
        <f>IFERROR(VLOOKUP(F28,STD!B:G,5,0),0)</f>
        <v>1.55</v>
      </c>
      <c r="I28" s="21">
        <f t="shared" si="2"/>
        <v>0.72964271828800142</v>
      </c>
      <c r="J28" s="16">
        <f t="shared" si="3"/>
        <v>4.5928543657600285</v>
      </c>
      <c r="K28" s="106" t="str">
        <f>VLOOKUP(C28,'RAW DATA 2023'!E:BO,36,0)</f>
        <v>Normal</v>
      </c>
      <c r="L28" s="106">
        <f>VLOOKUP(C28,'RAW DATA 2023'!E:BO,21,0)</f>
        <v>28.944220000000001</v>
      </c>
      <c r="M28" s="106">
        <f t="shared" si="4"/>
        <v>132.93658719051874</v>
      </c>
    </row>
    <row r="29" spans="1:24">
      <c r="A29" t="str">
        <f>'RAW DATA 2023'!B22</f>
        <v>Lamae</v>
      </c>
      <c r="B29" t="str">
        <f>'RAW DATA 2023'!D22</f>
        <v>A1-012-0012</v>
      </c>
      <c r="C29" t="str">
        <f t="shared" si="0"/>
        <v>LamaeA1-012-0012</v>
      </c>
      <c r="D29">
        <f>VLOOKUP(C29,'RAW DATA 2023'!E:BP,63,0)</f>
        <v>2</v>
      </c>
      <c r="E29" t="str">
        <f t="shared" si="1"/>
        <v>Lamae2</v>
      </c>
      <c r="F29">
        <f>ROUND(VLOOKUP(C29,'RAW DATA 2023'!E:BO,23,0),0)</f>
        <v>26</v>
      </c>
      <c r="G29" s="16">
        <f>VLOOKUP(C29,'RAW DATA 2023'!E:BO,27,0)</f>
        <v>1.8680605760215181</v>
      </c>
      <c r="H29" s="16">
        <f>IFERROR(VLOOKUP(F29,STD!B:G,5,0),0)</f>
        <v>2</v>
      </c>
      <c r="I29" s="21">
        <f t="shared" si="2"/>
        <v>1.0706290929063331</v>
      </c>
      <c r="J29" s="16">
        <f t="shared" si="3"/>
        <v>11.412581858126662</v>
      </c>
      <c r="K29" s="106" t="str">
        <f>VLOOKUP(C29,'RAW DATA 2023'!E:BO,36,0)</f>
        <v>Normal</v>
      </c>
      <c r="L29" s="106">
        <f>VLOOKUP(C29,'RAW DATA 2023'!E:BO,21,0)</f>
        <v>12.67896</v>
      </c>
      <c r="M29" s="106">
        <f t="shared" si="4"/>
        <v>144.69966887591363</v>
      </c>
    </row>
    <row r="30" spans="1:24">
      <c r="A30" t="str">
        <f>'RAW DATA 2023'!B23</f>
        <v>Lamae</v>
      </c>
      <c r="B30" t="str">
        <f>'RAW DATA 2023'!D23</f>
        <v>A1-010-0022</v>
      </c>
      <c r="C30" t="str">
        <f t="shared" si="0"/>
        <v>LamaeA1-010-0022</v>
      </c>
      <c r="D30">
        <f>VLOOKUP(C30,'RAW DATA 2023'!E:BP,63,0)</f>
        <v>8</v>
      </c>
      <c r="E30" t="str">
        <f t="shared" si="1"/>
        <v>Lamae8</v>
      </c>
      <c r="F30">
        <f>ROUND(VLOOKUP(C30,'RAW DATA 2023'!E:BO,23,0),0)</f>
        <v>35</v>
      </c>
      <c r="G30" s="16">
        <f>VLOOKUP(C30,'RAW DATA 2023'!E:BO,27,0)</f>
        <v>2.3573321415541542</v>
      </c>
      <c r="H30" s="16">
        <f>IFERROR(VLOOKUP(F30,STD!B:G,5,0),0)</f>
        <v>1.75</v>
      </c>
      <c r="I30" s="21">
        <f t="shared" si="2"/>
        <v>0.74236462870533426</v>
      </c>
      <c r="J30" s="16">
        <f t="shared" si="3"/>
        <v>4.8472925741066852</v>
      </c>
      <c r="K30" s="106" t="str">
        <f>VLOOKUP(C30,'RAW DATA 2023'!E:BO,36,0)</f>
        <v>Normal</v>
      </c>
      <c r="L30" s="106">
        <f>VLOOKUP(C30,'RAW DATA 2023'!E:BO,21,0)</f>
        <v>32.192239999999998</v>
      </c>
      <c r="M30" s="106">
        <f t="shared" si="4"/>
        <v>156.04520589586019</v>
      </c>
    </row>
    <row r="31" spans="1:24">
      <c r="A31" t="str">
        <f>'RAW DATA 2023'!B24</f>
        <v>Lamae</v>
      </c>
      <c r="B31" t="str">
        <f>'RAW DATA 2023'!D24</f>
        <v>A1-009-0020</v>
      </c>
      <c r="C31" t="str">
        <f t="shared" si="0"/>
        <v>LamaeA1-009-0020</v>
      </c>
      <c r="D31">
        <f>VLOOKUP(C31,'RAW DATA 2023'!E:BP,63,0)</f>
        <v>8</v>
      </c>
      <c r="E31" t="str">
        <f t="shared" si="1"/>
        <v>Lamae8</v>
      </c>
      <c r="F31">
        <f>ROUND(VLOOKUP(C31,'RAW DATA 2023'!E:BO,23,0),0)</f>
        <v>35</v>
      </c>
      <c r="G31" s="16">
        <f>VLOOKUP(C31,'RAW DATA 2023'!E:BO,27,0)</f>
        <v>3.2278223539392354</v>
      </c>
      <c r="H31" s="16">
        <f>IFERROR(VLOOKUP(F31,STD!B:G,5,0),0)</f>
        <v>1.75</v>
      </c>
      <c r="I31" s="21">
        <f t="shared" si="2"/>
        <v>0.54216118736035745</v>
      </c>
      <c r="J31" s="16">
        <f t="shared" si="3"/>
        <v>0.8432237472071491</v>
      </c>
      <c r="K31" s="106" t="str">
        <f>VLOOKUP(C31,'RAW DATA 2023'!E:BO,36,0)</f>
        <v>Normal</v>
      </c>
      <c r="L31" s="106">
        <f>VLOOKUP(C31,'RAW DATA 2023'!E:BO,21,0)</f>
        <v>33.981850000000001</v>
      </c>
      <c r="M31" s="106">
        <f t="shared" si="4"/>
        <v>28.654302894031261</v>
      </c>
    </row>
    <row r="32" spans="1:24">
      <c r="A32" t="str">
        <f>'RAW DATA 2023'!B25</f>
        <v>Lamae</v>
      </c>
      <c r="B32" t="str">
        <f>'RAW DATA 2023'!D25</f>
        <v>A1-007-0044</v>
      </c>
      <c r="C32" t="str">
        <f t="shared" si="0"/>
        <v>LamaeA1-007-0044</v>
      </c>
      <c r="D32">
        <f>VLOOKUP(C32,'RAW DATA 2023'!E:BP,63,0)</f>
        <v>2</v>
      </c>
      <c r="E32" t="str">
        <f t="shared" si="1"/>
        <v>Lamae2</v>
      </c>
      <c r="F32">
        <f>ROUND(VLOOKUP(C32,'RAW DATA 2023'!E:BO,23,0),0)</f>
        <v>35</v>
      </c>
      <c r="G32" s="16">
        <f>VLOOKUP(C32,'RAW DATA 2023'!E:BO,27,0)</f>
        <v>2.1176331407614808</v>
      </c>
      <c r="H32" s="16">
        <f>IFERROR(VLOOKUP(F32,STD!B:G,5,0),0)</f>
        <v>1.75</v>
      </c>
      <c r="I32" s="21">
        <f t="shared" si="2"/>
        <v>0.82639432029795146</v>
      </c>
      <c r="J32" s="16">
        <f>(I32-$B$4)*$B$7</f>
        <v>6.5278864059590287</v>
      </c>
      <c r="K32" s="106" t="str">
        <f>VLOOKUP(C32,'RAW DATA 2023'!E:BO,36,0)</f>
        <v>อัตรารอดต่ำ</v>
      </c>
      <c r="L32" s="106">
        <f>VLOOKUP(C32,'RAW DATA 2023'!E:BO,21,0)</f>
        <v>7.9533199999999997</v>
      </c>
      <c r="M32" s="106">
        <f t="shared" si="4"/>
        <v>51.918369510242059</v>
      </c>
    </row>
    <row r="33" spans="1:13">
      <c r="A33" t="str">
        <f>'RAW DATA 2023'!B26</f>
        <v>Lamae</v>
      </c>
      <c r="B33" t="str">
        <f>'RAW DATA 2023'!D26</f>
        <v>A1-007-0047</v>
      </c>
      <c r="C33" t="str">
        <f t="shared" si="0"/>
        <v>LamaeA1-007-0047</v>
      </c>
      <c r="D33">
        <f>VLOOKUP(C33,'RAW DATA 2023'!E:BP,63,0)</f>
        <v>12</v>
      </c>
      <c r="E33" t="str">
        <f t="shared" si="1"/>
        <v>Lamae12</v>
      </c>
      <c r="F33">
        <f>ROUND(VLOOKUP(C33,'RAW DATA 2023'!E:BO,23,0),0)</f>
        <v>0</v>
      </c>
      <c r="G33" s="16">
        <f>VLOOKUP(C33,'RAW DATA 2023'!E:BO,27,0)</f>
        <v>0</v>
      </c>
      <c r="H33" s="16">
        <f>IFERROR(VLOOKUP(F33,STD!B:G,5,0),0)</f>
        <v>0</v>
      </c>
      <c r="I33" s="21">
        <f t="shared" si="2"/>
        <v>0</v>
      </c>
      <c r="J33" s="16">
        <f t="shared" si="3"/>
        <v>-10</v>
      </c>
      <c r="K33" s="106" t="str">
        <f>VLOOKUP(C33,'RAW DATA 2023'!E:BO,36,0)</f>
        <v>WSSV</v>
      </c>
      <c r="L33" s="106">
        <f>VLOOKUP(C33,'RAW DATA 2023'!E:BO,21,0)</f>
        <v>0</v>
      </c>
      <c r="M33" s="106">
        <f t="shared" si="4"/>
        <v>0</v>
      </c>
    </row>
    <row r="34" spans="1:13">
      <c r="A34" t="str">
        <f>'RAW DATA 2023'!B27</f>
        <v>Lamae</v>
      </c>
      <c r="B34" t="str">
        <f>'RAW DATA 2023'!D27</f>
        <v>A1-011-0024</v>
      </c>
      <c r="C34" t="str">
        <f t="shared" si="0"/>
        <v>LamaeA1-011-0024</v>
      </c>
      <c r="D34">
        <f>VLOOKUP(C34,'RAW DATA 2023'!E:BP,63,0)</f>
        <v>12</v>
      </c>
      <c r="E34" t="str">
        <f t="shared" si="1"/>
        <v>Lamae12</v>
      </c>
      <c r="F34">
        <f>ROUND(VLOOKUP(C34,'RAW DATA 2023'!E:BO,23,0),0)</f>
        <v>0</v>
      </c>
      <c r="G34" s="16">
        <f>VLOOKUP(C34,'RAW DATA 2023'!E:BO,27,0)</f>
        <v>0</v>
      </c>
      <c r="H34" s="16">
        <f>IFERROR(VLOOKUP(F34,STD!B:G,5,0),0)</f>
        <v>0</v>
      </c>
      <c r="I34" s="21">
        <f t="shared" si="2"/>
        <v>0</v>
      </c>
      <c r="J34" s="16">
        <f t="shared" si="3"/>
        <v>-10</v>
      </c>
      <c r="K34" s="106" t="str">
        <f>VLOOKUP(C34,'RAW DATA 2023'!E:BO,36,0)</f>
        <v>WSSV</v>
      </c>
      <c r="L34" s="106">
        <f>VLOOKUP(C34,'RAW DATA 2023'!E:BO,21,0)</f>
        <v>0</v>
      </c>
      <c r="M34" s="106">
        <f t="shared" si="4"/>
        <v>0</v>
      </c>
    </row>
    <row r="35" spans="1:13">
      <c r="A35" t="str">
        <f>'RAW DATA 2023'!B28</f>
        <v>Lamae</v>
      </c>
      <c r="B35" t="str">
        <f>'RAW DATA 2023'!D28</f>
        <v>A1-012-0015</v>
      </c>
      <c r="C35" t="str">
        <f t="shared" si="0"/>
        <v>LamaeA1-012-0015</v>
      </c>
      <c r="D35">
        <f>VLOOKUP(C35,'RAW DATA 2023'!E:BP,63,0)</f>
        <v>12</v>
      </c>
      <c r="E35" t="str">
        <f t="shared" si="1"/>
        <v>Lamae12</v>
      </c>
      <c r="F35">
        <f>ROUND(VLOOKUP(C35,'RAW DATA 2023'!E:BO,23,0),0)</f>
        <v>0</v>
      </c>
      <c r="G35" s="16">
        <f>VLOOKUP(C35,'RAW DATA 2023'!E:BO,27,0)</f>
        <v>0</v>
      </c>
      <c r="H35" s="16">
        <f>IFERROR(VLOOKUP(F35,STD!B:G,5,0),0)</f>
        <v>0</v>
      </c>
      <c r="I35" s="21">
        <f t="shared" si="2"/>
        <v>0</v>
      </c>
      <c r="J35" s="16">
        <f t="shared" si="3"/>
        <v>-10</v>
      </c>
      <c r="K35" s="106" t="str">
        <f>VLOOKUP(C35,'RAW DATA 2023'!E:BO,36,0)</f>
        <v>WSSV</v>
      </c>
      <c r="L35" s="106">
        <f>VLOOKUP(C35,'RAW DATA 2023'!E:BO,21,0)</f>
        <v>0</v>
      </c>
      <c r="M35" s="106">
        <f t="shared" si="4"/>
        <v>0</v>
      </c>
    </row>
    <row r="36" spans="1:13">
      <c r="A36" t="str">
        <f>'RAW DATA 2023'!B29</f>
        <v>Lamae</v>
      </c>
      <c r="B36" t="str">
        <f>'RAW DATA 2023'!D29</f>
        <v>A1-013-0017</v>
      </c>
      <c r="C36" t="str">
        <f t="shared" si="0"/>
        <v>LamaeA1-013-0017</v>
      </c>
      <c r="D36">
        <f>VLOOKUP(C36,'RAW DATA 2023'!E:BP,63,0)</f>
        <v>12</v>
      </c>
      <c r="E36" t="str">
        <f t="shared" si="1"/>
        <v>Lamae12</v>
      </c>
      <c r="F36">
        <f>ROUND(VLOOKUP(C36,'RAW DATA 2023'!E:BO,23,0),0)</f>
        <v>0</v>
      </c>
      <c r="G36" s="16">
        <f>VLOOKUP(C36,'RAW DATA 2023'!E:BO,27,0)</f>
        <v>0</v>
      </c>
      <c r="H36" s="16">
        <f>IFERROR(VLOOKUP(F36,STD!B:G,5,0),0)</f>
        <v>0</v>
      </c>
      <c r="I36" s="21">
        <f t="shared" si="2"/>
        <v>0</v>
      </c>
      <c r="J36" s="16">
        <f t="shared" si="3"/>
        <v>-10</v>
      </c>
      <c r="K36" s="106" t="str">
        <f>VLOOKUP(C36,'RAW DATA 2023'!E:BO,36,0)</f>
        <v>Others</v>
      </c>
      <c r="L36" s="106">
        <f>VLOOKUP(C36,'RAW DATA 2023'!E:BO,21,0)</f>
        <v>0</v>
      </c>
      <c r="M36" s="106">
        <f t="shared" si="4"/>
        <v>0</v>
      </c>
    </row>
    <row r="37" spans="1:13">
      <c r="A37" t="str">
        <f>'RAW DATA 2023'!B30</f>
        <v>Bansang</v>
      </c>
      <c r="B37" t="str">
        <f>'RAW DATA 2023'!D30</f>
        <v>A1-008-0015</v>
      </c>
      <c r="C37" t="str">
        <f t="shared" si="0"/>
        <v>BansangA1-008-0015</v>
      </c>
      <c r="D37">
        <f>VLOOKUP(C37,'RAW DATA 2023'!E:BP,63,0)</f>
        <v>9</v>
      </c>
      <c r="E37" t="str">
        <f t="shared" si="1"/>
        <v>Bansang9</v>
      </c>
      <c r="F37">
        <f>ROUND(VLOOKUP(C37,'RAW DATA 2023'!E:BO,23,0),0)</f>
        <v>27</v>
      </c>
      <c r="G37" s="16">
        <f>VLOOKUP(C37,'RAW DATA 2023'!E:BO,27,0)</f>
        <v>1.5161273272897047</v>
      </c>
      <c r="H37" s="16">
        <f>IFERROR(VLOOKUP(F37,STD!B:G,5,0),0)</f>
        <v>1.96</v>
      </c>
      <c r="I37" s="21">
        <f t="shared" si="2"/>
        <v>1.2927674112330536</v>
      </c>
      <c r="J37" s="16">
        <f t="shared" si="3"/>
        <v>15.855348224661071</v>
      </c>
      <c r="K37" s="106" t="str">
        <f>VLOOKUP(C37,'RAW DATA 2023'!E:BO,36,0)</f>
        <v>Normal</v>
      </c>
      <c r="L37" s="106">
        <f>VLOOKUP(C37,'RAW DATA 2023'!E:BO,21,0)</f>
        <v>26.082049999999999</v>
      </c>
      <c r="M37" s="106">
        <f t="shared" si="4"/>
        <v>413.5399851630213</v>
      </c>
    </row>
    <row r="38" spans="1:13">
      <c r="A38" t="str">
        <f>'RAW DATA 2023'!B31</f>
        <v>Bansang</v>
      </c>
      <c r="B38" t="str">
        <f>'RAW DATA 2023'!D31</f>
        <v>A1-006-0015</v>
      </c>
      <c r="C38" t="str">
        <f t="shared" si="0"/>
        <v>BansangA1-006-0015</v>
      </c>
      <c r="D38">
        <f>VLOOKUP(C38,'RAW DATA 2023'!E:BP,63,0)</f>
        <v>10</v>
      </c>
      <c r="E38" t="str">
        <f t="shared" si="1"/>
        <v>Bansang10</v>
      </c>
      <c r="F38">
        <f>ROUND(VLOOKUP(C38,'RAW DATA 2023'!E:BO,23,0),0)</f>
        <v>26</v>
      </c>
      <c r="G38" s="16">
        <f>VLOOKUP(C38,'RAW DATA 2023'!E:BO,27,0)</f>
        <v>1.5428271748984661</v>
      </c>
      <c r="H38" s="16">
        <f>IFERROR(VLOOKUP(F38,STD!B:G,5,0),0)</f>
        <v>2</v>
      </c>
      <c r="I38" s="21">
        <f t="shared" si="2"/>
        <v>1.2963214756258234</v>
      </c>
      <c r="J38" s="16">
        <f t="shared" si="3"/>
        <v>15.926429512516469</v>
      </c>
      <c r="K38" s="106" t="str">
        <f>VLOOKUP(C38,'RAW DATA 2023'!E:BO,36,0)</f>
        <v>Normal</v>
      </c>
      <c r="L38" s="106">
        <f>VLOOKUP(C38,'RAW DATA 2023'!E:BO,21,0)</f>
        <v>24.9177</v>
      </c>
      <c r="M38" s="106">
        <f t="shared" si="4"/>
        <v>396.84999266403162</v>
      </c>
    </row>
    <row r="39" spans="1:13">
      <c r="A39" t="str">
        <f>'RAW DATA 2023'!B32</f>
        <v>Bansang</v>
      </c>
      <c r="B39" t="str">
        <f>'RAW DATA 2023'!D32</f>
        <v>A1-005-0016</v>
      </c>
      <c r="C39" t="str">
        <f t="shared" si="0"/>
        <v>BansangA1-005-0016</v>
      </c>
      <c r="D39">
        <f>VLOOKUP(C39,'RAW DATA 2023'!E:BP,63,0)</f>
        <v>9</v>
      </c>
      <c r="E39" t="str">
        <f t="shared" si="1"/>
        <v>Bansang9</v>
      </c>
      <c r="F39">
        <f>ROUND(VLOOKUP(C39,'RAW DATA 2023'!E:BO,23,0),0)</f>
        <v>46</v>
      </c>
      <c r="G39" s="16">
        <f>VLOOKUP(C39,'RAW DATA 2023'!E:BO,27,0)</f>
        <v>1.4298787462823153</v>
      </c>
      <c r="H39" s="16">
        <f>IFERROR(VLOOKUP(F39,STD!B:G,5,0),0)</f>
        <v>1.54</v>
      </c>
      <c r="I39" s="21">
        <f t="shared" si="2"/>
        <v>1.0770143999999999</v>
      </c>
      <c r="J39" s="16">
        <f t="shared" si="3"/>
        <v>11.540287999999999</v>
      </c>
      <c r="K39" s="106" t="str">
        <f>VLOOKUP(C39,'RAW DATA 2023'!E:BO,36,0)</f>
        <v>EHP</v>
      </c>
      <c r="L39" s="106">
        <f>VLOOKUP(C39,'RAW DATA 2023'!E:BO,21,0)</f>
        <v>10.1906</v>
      </c>
      <c r="M39" s="106">
        <f t="shared" si="4"/>
        <v>117.60245889279999</v>
      </c>
    </row>
    <row r="40" spans="1:13">
      <c r="A40" t="str">
        <f>'RAW DATA 2023'!B33</f>
        <v>Bansang</v>
      </c>
      <c r="B40" t="str">
        <f>'RAW DATA 2023'!D33</f>
        <v>A1-006-0013</v>
      </c>
      <c r="C40" t="str">
        <f t="shared" si="0"/>
        <v>BansangA1-006-0013</v>
      </c>
      <c r="D40">
        <f>VLOOKUP(C40,'RAW DATA 2023'!E:BP,63,0)</f>
        <v>1</v>
      </c>
      <c r="E40" t="str">
        <f t="shared" si="1"/>
        <v>Bansang1</v>
      </c>
      <c r="F40">
        <f>ROUND(VLOOKUP(C40,'RAW DATA 2023'!E:BO,23,0),0)</f>
        <v>24</v>
      </c>
      <c r="G40" s="16">
        <f>VLOOKUP(C40,'RAW DATA 2023'!E:BO,27,0)</f>
        <v>2.5117794342690067</v>
      </c>
      <c r="H40" s="16">
        <f>IFERROR(VLOOKUP(F40,STD!B:G,5,0),0)</f>
        <v>2.08</v>
      </c>
      <c r="I40" s="21">
        <f t="shared" si="2"/>
        <v>0.82809818872704255</v>
      </c>
      <c r="J40" s="16">
        <f t="shared" si="3"/>
        <v>6.5619637745408514</v>
      </c>
      <c r="K40" s="106" t="str">
        <f>VLOOKUP(C40,'RAW DATA 2023'!E:BO,36,0)</f>
        <v>Normal</v>
      </c>
      <c r="L40" s="106">
        <f>VLOOKUP(C40,'RAW DATA 2023'!E:BO,21,0)</f>
        <v>15.87575</v>
      </c>
      <c r="M40" s="106">
        <f t="shared" si="4"/>
        <v>104.17609639366692</v>
      </c>
    </row>
    <row r="41" spans="1:13">
      <c r="A41" t="str">
        <f>'RAW DATA 2023'!B34</f>
        <v>Bansang</v>
      </c>
      <c r="B41" t="str">
        <f>'RAW DATA 2023'!D34</f>
        <v>A1-005-0014</v>
      </c>
      <c r="C41" t="str">
        <f t="shared" si="0"/>
        <v>BansangA1-005-0014</v>
      </c>
      <c r="D41">
        <f>VLOOKUP(C41,'RAW DATA 2023'!E:BP,63,0)</f>
        <v>1</v>
      </c>
      <c r="E41" t="str">
        <f t="shared" si="1"/>
        <v>Bansang1</v>
      </c>
      <c r="F41">
        <f>ROUND(VLOOKUP(C41,'RAW DATA 2023'!E:BO,23,0),0)</f>
        <v>28</v>
      </c>
      <c r="G41" s="16">
        <f>VLOOKUP(C41,'RAW DATA 2023'!E:BO,27,0)</f>
        <v>1.8660535305909258</v>
      </c>
      <c r="H41" s="16">
        <f>IFERROR(VLOOKUP(F41,STD!B:G,5,0),0)</f>
        <v>1.93</v>
      </c>
      <c r="I41" s="21">
        <f t="shared" ref="I41:I74" si="5">IFERROR(H41/G41,0)</f>
        <v>1.034268293144208</v>
      </c>
      <c r="J41" s="16">
        <f t="shared" si="3"/>
        <v>10.68536586288416</v>
      </c>
      <c r="K41" s="106" t="str">
        <f>VLOOKUP(C41,'RAW DATA 2023'!E:BO,36,0)</f>
        <v>Normal</v>
      </c>
      <c r="L41" s="106">
        <f>VLOOKUP(C41,'RAW DATA 2023'!E:BO,21,0)</f>
        <v>17.161000000000001</v>
      </c>
      <c r="M41" s="106">
        <f t="shared" si="4"/>
        <v>183.37156357295507</v>
      </c>
    </row>
    <row r="42" spans="1:13">
      <c r="A42" t="str">
        <f>'RAW DATA 2023'!B35</f>
        <v>Bansang</v>
      </c>
      <c r="B42" t="str">
        <f>'RAW DATA 2023'!D35</f>
        <v>A1-007-0017</v>
      </c>
      <c r="C42" t="str">
        <f t="shared" si="0"/>
        <v>BansangA1-007-0017</v>
      </c>
      <c r="D42">
        <f>VLOOKUP(C42,'RAW DATA 2023'!E:BP,63,0)</f>
        <v>8</v>
      </c>
      <c r="E42" t="str">
        <f t="shared" si="1"/>
        <v>Bansang8</v>
      </c>
      <c r="F42">
        <f>ROUND(VLOOKUP(C42,'RAW DATA 2023'!E:BO,23,0),0)</f>
        <v>29</v>
      </c>
      <c r="G42" s="16">
        <f>VLOOKUP(C42,'RAW DATA 2023'!E:BO,27,0)</f>
        <v>1.910649079552682</v>
      </c>
      <c r="H42" s="16">
        <f>IFERROR(VLOOKUP(F42,STD!B:G,5,0),0)</f>
        <v>1.9</v>
      </c>
      <c r="I42" s="21">
        <f t="shared" si="5"/>
        <v>0.99442645974781763</v>
      </c>
      <c r="J42" s="16">
        <f t="shared" si="3"/>
        <v>9.8885291949563516</v>
      </c>
      <c r="K42" s="106" t="str">
        <f>VLOOKUP(C42,'RAW DATA 2023'!E:BO,36,0)</f>
        <v>Normal</v>
      </c>
      <c r="L42" s="106">
        <f>VLOOKUP(C42,'RAW DATA 2023'!E:BO,21,0)</f>
        <v>27.400359999999999</v>
      </c>
      <c r="M42" s="106">
        <f t="shared" si="4"/>
        <v>270.94925981231421</v>
      </c>
    </row>
    <row r="43" spans="1:13">
      <c r="A43" t="str">
        <f>'RAW DATA 2023'!B36</f>
        <v>Bansang</v>
      </c>
      <c r="B43" t="str">
        <f>'RAW DATA 2023'!D36</f>
        <v>A1-005-0015</v>
      </c>
      <c r="C43" t="str">
        <f t="shared" si="0"/>
        <v>BansangA1-005-0015</v>
      </c>
      <c r="D43">
        <f>VLOOKUP(C43,'RAW DATA 2023'!E:BP,63,0)</f>
        <v>6</v>
      </c>
      <c r="E43" t="str">
        <f t="shared" si="1"/>
        <v>Bansang6</v>
      </c>
      <c r="F43">
        <f>ROUND(VLOOKUP(C43,'RAW DATA 2023'!E:BO,23,0),0)</f>
        <v>29</v>
      </c>
      <c r="G43" s="16">
        <f>VLOOKUP(C43,'RAW DATA 2023'!E:BO,27,0)</f>
        <v>2.2590202763928167</v>
      </c>
      <c r="H43" s="16">
        <f>IFERROR(VLOOKUP(F43,STD!B:G,5,0),0)</f>
        <v>1.9</v>
      </c>
      <c r="I43" s="21">
        <f t="shared" si="5"/>
        <v>0.84107257462686558</v>
      </c>
      <c r="J43" s="16">
        <f t="shared" si="3"/>
        <v>6.821451492537312</v>
      </c>
      <c r="K43" s="106" t="str">
        <f>VLOOKUP(C43,'RAW DATA 2023'!E:BO,36,0)</f>
        <v>Normal</v>
      </c>
      <c r="L43" s="106">
        <f>VLOOKUP(C43,'RAW DATA 2023'!E:BO,21,0)</f>
        <v>24.177</v>
      </c>
      <c r="M43" s="106">
        <f t="shared" si="4"/>
        <v>164.9222327350746</v>
      </c>
    </row>
    <row r="44" spans="1:13">
      <c r="A44" t="str">
        <f>'RAW DATA 2023'!B37</f>
        <v>Bansang</v>
      </c>
      <c r="B44" t="str">
        <f>'RAW DATA 2023'!D37</f>
        <v>A1-006-0014</v>
      </c>
      <c r="C44" t="str">
        <f t="shared" si="0"/>
        <v>BansangA1-006-0014</v>
      </c>
      <c r="D44">
        <f>VLOOKUP(C44,'RAW DATA 2023'!E:BP,63,0)</f>
        <v>6</v>
      </c>
      <c r="E44" t="str">
        <f t="shared" si="1"/>
        <v>Bansang6</v>
      </c>
      <c r="F44">
        <f>ROUND(VLOOKUP(C44,'RAW DATA 2023'!E:BO,23,0),0)</f>
        <v>30</v>
      </c>
      <c r="G44" s="16">
        <f>VLOOKUP(C44,'RAW DATA 2023'!E:BO,27,0)</f>
        <v>2.3110717587245366</v>
      </c>
      <c r="H44" s="16">
        <f>IFERROR(VLOOKUP(F44,STD!B:G,5,0),0)</f>
        <v>1.87</v>
      </c>
      <c r="I44" s="21">
        <f t="shared" si="5"/>
        <v>0.80914839313861864</v>
      </c>
      <c r="J44" s="16">
        <f t="shared" si="3"/>
        <v>6.1829678627723723</v>
      </c>
      <c r="K44" s="106" t="str">
        <f>VLOOKUP(C44,'RAW DATA 2023'!E:BO,36,0)</f>
        <v>Normal</v>
      </c>
      <c r="L44" s="106">
        <f>VLOOKUP(C44,'RAW DATA 2023'!E:BO,21,0)</f>
        <v>23.783330000000003</v>
      </c>
      <c r="M44" s="106">
        <f t="shared" si="4"/>
        <v>147.05156505971007</v>
      </c>
    </row>
    <row r="45" spans="1:13">
      <c r="A45" t="str">
        <f>'RAW DATA 2023'!B38</f>
        <v>Bansang</v>
      </c>
      <c r="B45" t="str">
        <f>'RAW DATA 2023'!D38</f>
        <v>A1-008-0014</v>
      </c>
      <c r="C45" t="str">
        <f t="shared" si="0"/>
        <v>BansangA1-008-0014</v>
      </c>
      <c r="D45">
        <f>VLOOKUP(C45,'RAW DATA 2023'!E:BP,63,0)</f>
        <v>5</v>
      </c>
      <c r="E45" t="str">
        <f t="shared" si="1"/>
        <v>Bansang5</v>
      </c>
      <c r="F45">
        <f>ROUND(VLOOKUP(C45,'RAW DATA 2023'!E:BO,23,0),0)</f>
        <v>33</v>
      </c>
      <c r="G45" s="16">
        <f>VLOOKUP(C45,'RAW DATA 2023'!E:BO,27,0)</f>
        <v>1.9662227793125637</v>
      </c>
      <c r="H45" s="16">
        <f>IFERROR(VLOOKUP(F45,STD!B:G,5,0),0)</f>
        <v>1.8</v>
      </c>
      <c r="I45" s="21">
        <f t="shared" si="5"/>
        <v>0.91546086177951869</v>
      </c>
      <c r="J45" s="16">
        <f t="shared" si="3"/>
        <v>8.3092172355903742</v>
      </c>
      <c r="K45" s="106" t="str">
        <f>VLOOKUP(C45,'RAW DATA 2023'!E:BO,36,0)</f>
        <v>Normal</v>
      </c>
      <c r="L45" s="106">
        <f>VLOOKUP(C45,'RAW DATA 2023'!E:BO,21,0)</f>
        <v>23.061229999999998</v>
      </c>
      <c r="M45" s="106">
        <f t="shared" si="4"/>
        <v>191.62076978991379</v>
      </c>
    </row>
    <row r="46" spans="1:13">
      <c r="A46" t="str">
        <f>'RAW DATA 2023'!B39</f>
        <v>Bansang</v>
      </c>
      <c r="B46" t="str">
        <f>'RAW DATA 2023'!D39</f>
        <v>A1-007-0016</v>
      </c>
      <c r="C46" t="str">
        <f t="shared" si="0"/>
        <v>BansangA1-007-0016</v>
      </c>
      <c r="D46">
        <f>VLOOKUP(C46,'RAW DATA 2023'!E:BP,63,0)</f>
        <v>3</v>
      </c>
      <c r="E46" t="str">
        <f t="shared" si="1"/>
        <v>Bansang3</v>
      </c>
      <c r="F46">
        <f>ROUND(VLOOKUP(C46,'RAW DATA 2023'!E:BO,23,0),0)</f>
        <v>31</v>
      </c>
      <c r="G46" s="16">
        <f>VLOOKUP(C46,'RAW DATA 2023'!E:BO,27,0)</f>
        <v>1.8256910160798134</v>
      </c>
      <c r="H46" s="16">
        <f>IFERROR(VLOOKUP(F46,STD!B:G,5,0),0)</f>
        <v>1.84</v>
      </c>
      <c r="I46" s="21">
        <f t="shared" si="5"/>
        <v>1.0078375715245131</v>
      </c>
      <c r="J46" s="16">
        <f t="shared" si="3"/>
        <v>10.156751430490264</v>
      </c>
      <c r="K46" s="106" t="str">
        <f>VLOOKUP(C46,'RAW DATA 2023'!E:BO,36,0)</f>
        <v>Normal</v>
      </c>
      <c r="L46" s="106">
        <f>VLOOKUP(C46,'RAW DATA 2023'!E:BO,21,0)</f>
        <v>20.58954</v>
      </c>
      <c r="M46" s="106">
        <f t="shared" si="4"/>
        <v>209.12283984813649</v>
      </c>
    </row>
    <row r="47" spans="1:13">
      <c r="A47" t="str">
        <f>'RAW DATA 2023'!B40</f>
        <v>Bansang</v>
      </c>
      <c r="B47" t="str">
        <f>'RAW DATA 2023'!D40</f>
        <v>A1-007-0018</v>
      </c>
      <c r="C47" t="str">
        <f t="shared" si="0"/>
        <v>BansangA1-007-0018</v>
      </c>
      <c r="D47">
        <f>VLOOKUP(C47,'RAW DATA 2023'!E:BP,63,0)</f>
        <v>10</v>
      </c>
      <c r="E47" t="str">
        <f t="shared" si="1"/>
        <v>Bansang10</v>
      </c>
      <c r="F47">
        <f>ROUND(VLOOKUP(C47,'RAW DATA 2023'!E:BO,23,0),0)</f>
        <v>129</v>
      </c>
      <c r="G47" s="16">
        <f>VLOOKUP(C47,'RAW DATA 2023'!E:BO,27,0)</f>
        <v>1.2681152039373704</v>
      </c>
      <c r="H47" s="16">
        <f>IFERROR(VLOOKUP(F47,STD!B:G,5,0),0)</f>
        <v>1.129</v>
      </c>
      <c r="I47" s="21">
        <f t="shared" si="5"/>
        <v>0.89029766104417674</v>
      </c>
      <c r="J47" s="16">
        <f t="shared" si="3"/>
        <v>7.8059532208835343</v>
      </c>
      <c r="K47" s="106" t="str">
        <f>VLOOKUP(C47,'RAW DATA 2023'!E:BO,36,0)</f>
        <v>EHP</v>
      </c>
      <c r="L47" s="106">
        <f>VLOOKUP(C47,'RAW DATA 2023'!E:BO,21,0)</f>
        <v>5.2088599999999996</v>
      </c>
      <c r="M47" s="106">
        <f t="shared" si="4"/>
        <v>40.660117494131406</v>
      </c>
    </row>
    <row r="48" spans="1:13">
      <c r="A48" t="str">
        <f>'RAW DATA 2023'!B41</f>
        <v>Petchburi5</v>
      </c>
      <c r="B48" t="str">
        <f>'RAW DATA 2023'!D41</f>
        <v>B1-127-0009</v>
      </c>
      <c r="C48" t="str">
        <f t="shared" si="0"/>
        <v>Petchburi5B1-127-0009</v>
      </c>
      <c r="D48">
        <f>VLOOKUP(C48,'RAW DATA 2023'!E:BP,63,0)</f>
        <v>10</v>
      </c>
      <c r="E48" t="str">
        <f t="shared" si="1"/>
        <v>Petchburi510</v>
      </c>
      <c r="F48">
        <f>ROUND(VLOOKUP(C48,'RAW DATA 2023'!E:BO,23,0),0)</f>
        <v>33</v>
      </c>
      <c r="G48" s="16">
        <f>VLOOKUP(C48,'RAW DATA 2023'!E:BO,27,0)</f>
        <v>1.8319953500008692</v>
      </c>
      <c r="H48" s="16">
        <f>IFERROR(VLOOKUP(F48,STD!B:G,5,0),0)</f>
        <v>1.8</v>
      </c>
      <c r="I48" s="21">
        <f t="shared" si="5"/>
        <v>0.98253524497163491</v>
      </c>
      <c r="J48" s="16">
        <f t="shared" si="3"/>
        <v>9.6507048994326983</v>
      </c>
      <c r="K48" s="106" t="str">
        <f>VLOOKUP(C48,'RAW DATA 2023'!E:BO,36,0)</f>
        <v>Normal</v>
      </c>
      <c r="L48" s="106">
        <f>VLOOKUP(C48,'RAW DATA 2023'!E:BO,21,0)</f>
        <v>26.976220000000001</v>
      </c>
      <c r="M48" s="106">
        <f t="shared" si="4"/>
        <v>260.33953852217434</v>
      </c>
    </row>
    <row r="49" spans="1:13">
      <c r="A49" t="str">
        <f>'RAW DATA 2023'!B42</f>
        <v>Petchburi5</v>
      </c>
      <c r="B49" t="str">
        <f>'RAW DATA 2023'!D42</f>
        <v>B1-124-0008</v>
      </c>
      <c r="C49" t="str">
        <f t="shared" si="0"/>
        <v>Petchburi5B1-124-0008</v>
      </c>
      <c r="D49">
        <f>VLOOKUP(C49,'RAW DATA 2023'!E:BP,63,0)</f>
        <v>7</v>
      </c>
      <c r="E49" t="str">
        <f t="shared" si="1"/>
        <v>Petchburi57</v>
      </c>
      <c r="F49">
        <f>ROUND(VLOOKUP(C49,'RAW DATA 2023'!E:BO,23,0),0)</f>
        <v>33</v>
      </c>
      <c r="G49" s="16">
        <f>VLOOKUP(C49,'RAW DATA 2023'!E:BO,27,0)</f>
        <v>1.7864372975199667</v>
      </c>
      <c r="H49" s="16">
        <f>IFERROR(VLOOKUP(F49,STD!B:G,5,0),0)</f>
        <v>1.8</v>
      </c>
      <c r="I49" s="21">
        <f t="shared" si="5"/>
        <v>1.0075920394736841</v>
      </c>
      <c r="J49" s="16">
        <f t="shared" si="3"/>
        <v>10.151840789473683</v>
      </c>
      <c r="K49" s="106" t="str">
        <f>VLOOKUP(C49,'RAW DATA 2023'!E:BO,36,0)</f>
        <v>Normal</v>
      </c>
      <c r="L49" s="106">
        <f>VLOOKUP(C49,'RAW DATA 2023'!E:BO,21,0)</f>
        <v>17.39311</v>
      </c>
      <c r="M49" s="106">
        <f t="shared" si="4"/>
        <v>176.5720835538026</v>
      </c>
    </row>
    <row r="50" spans="1:13">
      <c r="A50" t="str">
        <f>'RAW DATA 2023'!B43</f>
        <v>Petchburi5</v>
      </c>
      <c r="B50" t="str">
        <f>'RAW DATA 2023'!D43</f>
        <v>B1-124-0009</v>
      </c>
      <c r="C50" t="str">
        <f t="shared" si="0"/>
        <v>Petchburi5B1-124-0009</v>
      </c>
      <c r="D50">
        <f>VLOOKUP(C50,'RAW DATA 2023'!E:BP,63,0)</f>
        <v>11</v>
      </c>
      <c r="E50" t="str">
        <f t="shared" si="1"/>
        <v>Petchburi511</v>
      </c>
      <c r="F50">
        <f>ROUND(VLOOKUP(C50,'RAW DATA 2023'!E:BO,23,0),0)</f>
        <v>33</v>
      </c>
      <c r="G50" s="16">
        <f>VLOOKUP(C50,'RAW DATA 2023'!E:BO,27,0)</f>
        <v>1.707537897523314</v>
      </c>
      <c r="H50" s="16">
        <f>IFERROR(VLOOKUP(F50,STD!B:G,5,0),0)</f>
        <v>1.8</v>
      </c>
      <c r="I50" s="21">
        <f t="shared" si="5"/>
        <v>1.0541493706293705</v>
      </c>
      <c r="J50" s="16">
        <f t="shared" si="3"/>
        <v>11.082987412587411</v>
      </c>
      <c r="K50" s="106" t="str">
        <f>VLOOKUP(C50,'RAW DATA 2023'!E:BO,36,0)</f>
        <v>Normal</v>
      </c>
      <c r="L50" s="106">
        <f>VLOOKUP(C50,'RAW DATA 2023'!E:BO,21,0)</f>
        <v>19.362919999999999</v>
      </c>
      <c r="M50" s="106">
        <f t="shared" si="4"/>
        <v>214.59899863093702</v>
      </c>
    </row>
    <row r="51" spans="1:13">
      <c r="A51" t="str">
        <f>'RAW DATA 2023'!B44</f>
        <v>Petchburi5</v>
      </c>
      <c r="B51" t="str">
        <f>'RAW DATA 2023'!D44</f>
        <v>B1-126-0009</v>
      </c>
      <c r="C51" t="str">
        <f t="shared" si="0"/>
        <v>Petchburi5B1-126-0009</v>
      </c>
      <c r="D51">
        <f>VLOOKUP(C51,'RAW DATA 2023'!E:BP,63,0)</f>
        <v>11</v>
      </c>
      <c r="E51" t="str">
        <f t="shared" si="1"/>
        <v>Petchburi511</v>
      </c>
      <c r="F51">
        <f>ROUND(VLOOKUP(C51,'RAW DATA 2023'!E:BO,23,0),0)</f>
        <v>39</v>
      </c>
      <c r="G51" s="16">
        <f>VLOOKUP(C51,'RAW DATA 2023'!E:BO,27,0)</f>
        <v>1.6576969442562639</v>
      </c>
      <c r="H51" s="16">
        <f>IFERROR(VLOOKUP(F51,STD!B:G,5,0),0)</f>
        <v>1.64</v>
      </c>
      <c r="I51" s="21">
        <f t="shared" si="5"/>
        <v>0.98932437903225801</v>
      </c>
      <c r="J51" s="16">
        <f t="shared" si="3"/>
        <v>9.7864875806451597</v>
      </c>
      <c r="K51" s="106" t="str">
        <f>VLOOKUP(C51,'RAW DATA 2023'!E:BO,36,0)</f>
        <v>Normal</v>
      </c>
      <c r="L51" s="106">
        <f>VLOOKUP(C51,'RAW DATA 2023'!E:BO,21,0)</f>
        <v>30.91103</v>
      </c>
      <c r="M51" s="106">
        <f t="shared" si="4"/>
        <v>302.51041119994994</v>
      </c>
    </row>
    <row r="52" spans="1:13">
      <c r="A52" t="str">
        <f>'RAW DATA 2023'!B45</f>
        <v>Petchburi5</v>
      </c>
      <c r="B52" t="str">
        <f>'RAW DATA 2023'!D45</f>
        <v>B1-125-0009</v>
      </c>
      <c r="C52" t="str">
        <f t="shared" si="0"/>
        <v>Petchburi5B1-125-0009</v>
      </c>
      <c r="D52">
        <f>VLOOKUP(C52,'RAW DATA 2023'!E:BP,63,0)</f>
        <v>11</v>
      </c>
      <c r="E52" t="str">
        <f t="shared" si="1"/>
        <v>Petchburi511</v>
      </c>
      <c r="F52">
        <f>ROUND(VLOOKUP(C52,'RAW DATA 2023'!E:BO,23,0),0)</f>
        <v>32</v>
      </c>
      <c r="G52" s="16">
        <f>VLOOKUP(C52,'RAW DATA 2023'!E:BO,27,0)</f>
        <v>2.1375699113658699</v>
      </c>
      <c r="H52" s="16">
        <f>IFERROR(VLOOKUP(F52,STD!B:G,5,0),0)</f>
        <v>1.82</v>
      </c>
      <c r="I52" s="21">
        <f t="shared" si="5"/>
        <v>0.85143414038657184</v>
      </c>
      <c r="J52" s="16">
        <f t="shared" si="3"/>
        <v>7.0286828077314372</v>
      </c>
      <c r="K52" s="106" t="str">
        <f>VLOOKUP(C52,'RAW DATA 2023'!E:BO,36,0)</f>
        <v>Normal</v>
      </c>
      <c r="L52" s="106">
        <f>VLOOKUP(C52,'RAW DATA 2023'!E:BO,21,0)</f>
        <v>23.8934</v>
      </c>
      <c r="M52" s="106">
        <f t="shared" si="4"/>
        <v>167.93912979825032</v>
      </c>
    </row>
    <row r="53" spans="1:13">
      <c r="A53" t="str">
        <f>'RAW DATA 2023'!B46</f>
        <v>Petchburi5</v>
      </c>
      <c r="B53" t="str">
        <f>'RAW DATA 2023'!D46</f>
        <v>B1-116-0007</v>
      </c>
      <c r="C53" t="str">
        <f t="shared" si="0"/>
        <v>Petchburi5B1-116-0007</v>
      </c>
      <c r="D53">
        <f>VLOOKUP(C53,'RAW DATA 2023'!E:BP,63,0)</f>
        <v>9</v>
      </c>
      <c r="E53" t="str">
        <f t="shared" si="1"/>
        <v>Petchburi59</v>
      </c>
      <c r="F53">
        <f>ROUND(VLOOKUP(C53,'RAW DATA 2023'!E:BO,23,0),0)</f>
        <v>30</v>
      </c>
      <c r="G53" s="16">
        <f>VLOOKUP(C53,'RAW DATA 2023'!E:BO,27,0)</f>
        <v>1.7369519931156745</v>
      </c>
      <c r="H53" s="16">
        <f>IFERROR(VLOOKUP(F53,STD!B:G,5,0),0)</f>
        <v>1.87</v>
      </c>
      <c r="I53" s="21">
        <f t="shared" si="5"/>
        <v>1.076598551607445</v>
      </c>
      <c r="J53" s="16">
        <f t="shared" si="3"/>
        <v>11.531971032148899</v>
      </c>
      <c r="K53" s="106" t="str">
        <f>VLOOKUP(C53,'RAW DATA 2023'!E:BO,36,0)</f>
        <v>Normal</v>
      </c>
      <c r="L53" s="106">
        <f>VLOOKUP(C53,'RAW DATA 2023'!E:BO,21,0)</f>
        <v>34.285119999999999</v>
      </c>
      <c r="M53" s="106">
        <f t="shared" si="4"/>
        <v>395.37501067374887</v>
      </c>
    </row>
    <row r="54" spans="1:13">
      <c r="A54" t="str">
        <f>'RAW DATA 2023'!B47</f>
        <v>Petchburi5</v>
      </c>
      <c r="B54" t="str">
        <f>'RAW DATA 2023'!D47</f>
        <v>B1-125-0008</v>
      </c>
      <c r="C54" t="str">
        <f t="shared" si="0"/>
        <v>Petchburi5B1-125-0008</v>
      </c>
      <c r="D54">
        <f>VLOOKUP(C54,'RAW DATA 2023'!E:BP,63,0)</f>
        <v>6</v>
      </c>
      <c r="E54" t="str">
        <f t="shared" si="1"/>
        <v>Petchburi56</v>
      </c>
      <c r="F54">
        <f>ROUND(VLOOKUP(C54,'RAW DATA 2023'!E:BO,23,0),0)</f>
        <v>31</v>
      </c>
      <c r="G54" s="16">
        <f>VLOOKUP(C54,'RAW DATA 2023'!E:BO,27,0)</f>
        <v>1.7561741394094348</v>
      </c>
      <c r="H54" s="16">
        <f>IFERROR(VLOOKUP(F54,STD!B:G,5,0),0)</f>
        <v>1.84</v>
      </c>
      <c r="I54" s="21">
        <f t="shared" si="5"/>
        <v>1.0477320891530462</v>
      </c>
      <c r="J54" s="16">
        <f t="shared" si="3"/>
        <v>10.954641783060923</v>
      </c>
      <c r="K54" s="106" t="str">
        <f>VLOOKUP(C54,'RAW DATA 2023'!E:BO,36,0)</f>
        <v>Normal</v>
      </c>
      <c r="L54" s="106">
        <f>VLOOKUP(C54,'RAW DATA 2023'!E:BO,21,0)</f>
        <v>19.625970000000002</v>
      </c>
      <c r="M54" s="106">
        <f t="shared" si="4"/>
        <v>214.99547099510022</v>
      </c>
    </row>
    <row r="55" spans="1:13">
      <c r="A55" t="str">
        <f>'RAW DATA 2023'!B48</f>
        <v>Petchburi5</v>
      </c>
      <c r="B55" t="str">
        <f>'RAW DATA 2023'!D48</f>
        <v>B1-126-0008</v>
      </c>
      <c r="C55" t="str">
        <f t="shared" si="0"/>
        <v>Petchburi5B1-126-0008</v>
      </c>
      <c r="D55">
        <f>VLOOKUP(C55,'RAW DATA 2023'!E:BP,63,0)</f>
        <v>6</v>
      </c>
      <c r="E55" t="str">
        <f t="shared" si="1"/>
        <v>Petchburi56</v>
      </c>
      <c r="F55">
        <f>ROUND(VLOOKUP(C55,'RAW DATA 2023'!E:BO,23,0),0)</f>
        <v>37</v>
      </c>
      <c r="G55" s="16">
        <f>VLOOKUP(C55,'RAW DATA 2023'!E:BO,27,0)</f>
        <v>1.7122923565731323</v>
      </c>
      <c r="H55" s="16">
        <f>IFERROR(VLOOKUP(F55,STD!B:G,5,0),0)</f>
        <v>1.6970000000000001</v>
      </c>
      <c r="I55" s="21">
        <f t="shared" si="5"/>
        <v>0.99106907385620913</v>
      </c>
      <c r="J55" s="16">
        <f t="shared" si="3"/>
        <v>9.8213814771241825</v>
      </c>
      <c r="K55" s="106" t="str">
        <f>VLOOKUP(C55,'RAW DATA 2023'!E:BO,36,0)</f>
        <v>Normal</v>
      </c>
      <c r="L55" s="106">
        <f>VLOOKUP(C55,'RAW DATA 2023'!E:BO,21,0)</f>
        <v>27.31617</v>
      </c>
      <c r="M55" s="106">
        <f t="shared" si="4"/>
        <v>268.2825260639753</v>
      </c>
    </row>
    <row r="56" spans="1:13">
      <c r="A56" t="str">
        <f>'RAW DATA 2023'!B49</f>
        <v>Petchburi5</v>
      </c>
      <c r="B56" t="str">
        <f>'RAW DATA 2023'!D49</f>
        <v>B1-115-0008</v>
      </c>
      <c r="C56" t="str">
        <f t="shared" si="0"/>
        <v>Petchburi5B1-115-0008</v>
      </c>
      <c r="D56">
        <f>VLOOKUP(C56,'RAW DATA 2023'!E:BP,63,0)</f>
        <v>9</v>
      </c>
      <c r="E56" t="str">
        <f t="shared" si="1"/>
        <v>Petchburi59</v>
      </c>
      <c r="F56">
        <f>ROUND(VLOOKUP(C56,'RAW DATA 2023'!E:BO,23,0),0)</f>
        <v>33</v>
      </c>
      <c r="G56" s="16">
        <f>VLOOKUP(C56,'RAW DATA 2023'!E:BO,27,0)</f>
        <v>1.7995033344245852</v>
      </c>
      <c r="H56" s="16">
        <f>IFERROR(VLOOKUP(F56,STD!B:G,5,0),0)</f>
        <v>1.8</v>
      </c>
      <c r="I56" s="21">
        <f t="shared" si="5"/>
        <v>1.0002760014754704</v>
      </c>
      <c r="J56" s="16">
        <f t="shared" si="3"/>
        <v>10.005520029509407</v>
      </c>
      <c r="K56" s="106" t="str">
        <f>VLOOKUP(C56,'RAW DATA 2023'!E:BO,36,0)</f>
        <v>Normal</v>
      </c>
      <c r="L56" s="106">
        <f>VLOOKUP(C56,'RAW DATA 2023'!E:BO,21,0)</f>
        <v>38.189169999999997</v>
      </c>
      <c r="M56" s="106">
        <f t="shared" si="4"/>
        <v>382.10250534533975</v>
      </c>
    </row>
    <row r="57" spans="1:13">
      <c r="A57" t="str">
        <f>'RAW DATA 2023'!B50</f>
        <v>Petchburi5</v>
      </c>
      <c r="B57" t="str">
        <f>'RAW DATA 2023'!D50</f>
        <v>B1-125-0007</v>
      </c>
      <c r="C57" t="str">
        <f t="shared" si="0"/>
        <v>Petchburi5B1-125-0007</v>
      </c>
      <c r="D57">
        <f>VLOOKUP(C57,'RAW DATA 2023'!E:BP,63,0)</f>
        <v>2</v>
      </c>
      <c r="E57" t="str">
        <f t="shared" si="1"/>
        <v>Petchburi52</v>
      </c>
      <c r="F57">
        <f>ROUND(VLOOKUP(C57,'RAW DATA 2023'!E:BO,23,0),0)</f>
        <v>29</v>
      </c>
      <c r="G57" s="16">
        <f>VLOOKUP(C57,'RAW DATA 2023'!E:BO,27,0)</f>
        <v>2.0377464268390906</v>
      </c>
      <c r="H57" s="16">
        <f>IFERROR(VLOOKUP(F57,STD!B:G,5,0),0)</f>
        <v>1.9</v>
      </c>
      <c r="I57" s="21">
        <f t="shared" si="5"/>
        <v>0.93240256735340721</v>
      </c>
      <c r="J57" s="16">
        <f t="shared" si="3"/>
        <v>8.6480513470681437</v>
      </c>
      <c r="K57" s="106" t="str">
        <f>VLOOKUP(C57,'RAW DATA 2023'!E:BO,36,0)</f>
        <v>Normal</v>
      </c>
      <c r="L57" s="106">
        <f>VLOOKUP(C57,'RAW DATA 2023'!E:BO,21,0)</f>
        <v>16.008389999999999</v>
      </c>
      <c r="M57" s="106">
        <f t="shared" si="4"/>
        <v>138.44137870389218</v>
      </c>
    </row>
    <row r="58" spans="1:13">
      <c r="A58" t="str">
        <f>'RAW DATA 2023'!B51</f>
        <v>Petchburi5</v>
      </c>
      <c r="B58" t="str">
        <f>'RAW DATA 2023'!D51</f>
        <v>B1-127-0007</v>
      </c>
      <c r="C58" t="str">
        <f t="shared" si="0"/>
        <v>Petchburi5B1-127-0007</v>
      </c>
      <c r="D58">
        <f>VLOOKUP(C58,'RAW DATA 2023'!E:BP,63,0)</f>
        <v>1</v>
      </c>
      <c r="E58" t="str">
        <f t="shared" si="1"/>
        <v>Petchburi51</v>
      </c>
      <c r="F58">
        <f>ROUND(VLOOKUP(C58,'RAW DATA 2023'!E:BO,23,0),0)</f>
        <v>29</v>
      </c>
      <c r="G58" s="16">
        <f>VLOOKUP(C58,'RAW DATA 2023'!E:BO,27,0)</f>
        <v>1.6377035403855755</v>
      </c>
      <c r="H58" s="16">
        <f>IFERROR(VLOOKUP(F58,STD!B:G,5,0),0)</f>
        <v>1.9</v>
      </c>
      <c r="I58" s="21">
        <f t="shared" si="5"/>
        <v>1.1601611360946744</v>
      </c>
      <c r="J58" s="16">
        <f t="shared" si="3"/>
        <v>13.203222721893489</v>
      </c>
      <c r="K58" s="106" t="str">
        <f>VLOOKUP(C58,'RAW DATA 2023'!E:BO,36,0)</f>
        <v>Normal</v>
      </c>
      <c r="L58" s="106">
        <f>VLOOKUP(C58,'RAW DATA 2023'!E:BO,21,0)</f>
        <v>12.95316</v>
      </c>
      <c r="M58" s="106">
        <f t="shared" si="4"/>
        <v>171.02345643232186</v>
      </c>
    </row>
    <row r="59" spans="1:13">
      <c r="A59" t="str">
        <f>'RAW DATA 2023'!B52</f>
        <v>Petchburi5</v>
      </c>
      <c r="B59" t="str">
        <f>'RAW DATA 2023'!D52</f>
        <v>B1-127-0008</v>
      </c>
      <c r="C59" t="str">
        <f t="shared" si="0"/>
        <v>Petchburi5B1-127-0008</v>
      </c>
      <c r="D59">
        <f>VLOOKUP(C59,'RAW DATA 2023'!E:BP,63,0)</f>
        <v>5</v>
      </c>
      <c r="E59" t="str">
        <f t="shared" si="1"/>
        <v>Petchburi55</v>
      </c>
      <c r="F59">
        <f>ROUND(VLOOKUP(C59,'RAW DATA 2023'!E:BO,23,0),0)</f>
        <v>34</v>
      </c>
      <c r="G59" s="16">
        <f>VLOOKUP(C59,'RAW DATA 2023'!E:BO,27,0)</f>
        <v>1.7843211893173934</v>
      </c>
      <c r="H59" s="16">
        <f>IFERROR(VLOOKUP(F59,STD!B:G,5,0),0)</f>
        <v>1.77</v>
      </c>
      <c r="I59" s="21">
        <f t="shared" si="5"/>
        <v>0.99197387252747249</v>
      </c>
      <c r="J59" s="16">
        <f t="shared" si="3"/>
        <v>9.8394774505494489</v>
      </c>
      <c r="K59" s="106" t="str">
        <f>VLOOKUP(C59,'RAW DATA 2023'!E:BO,36,0)</f>
        <v>Normal</v>
      </c>
      <c r="L59" s="106">
        <f>VLOOKUP(C59,'RAW DATA 2023'!E:BO,21,0)</f>
        <v>19.407409999999999</v>
      </c>
      <c r="M59" s="106">
        <f t="shared" si="4"/>
        <v>190.95877306856787</v>
      </c>
    </row>
    <row r="60" spans="1:13">
      <c r="A60" t="str">
        <f>'RAW DATA 2023'!B53</f>
        <v>Petchburi5</v>
      </c>
      <c r="B60" t="str">
        <f>'RAW DATA 2023'!D53</f>
        <v>B1-116-0006</v>
      </c>
      <c r="C60" t="str">
        <f t="shared" si="0"/>
        <v>Petchburi5B1-116-0006</v>
      </c>
      <c r="D60">
        <f>VLOOKUP(C60,'RAW DATA 2023'!E:BP,63,0)</f>
        <v>4</v>
      </c>
      <c r="E60" t="str">
        <f t="shared" si="1"/>
        <v>Petchburi54</v>
      </c>
      <c r="F60">
        <f>ROUND(VLOOKUP(C60,'RAW DATA 2023'!E:BO,23,0),0)</f>
        <v>29</v>
      </c>
      <c r="G60" s="16">
        <f>VLOOKUP(C60,'RAW DATA 2023'!E:BO,27,0)</f>
        <v>1.9526366662057826</v>
      </c>
      <c r="H60" s="16">
        <f>IFERROR(VLOOKUP(F60,STD!B:G,5,0),0)</f>
        <v>1.9</v>
      </c>
      <c r="I60" s="21">
        <f t="shared" si="5"/>
        <v>0.9730432869991823</v>
      </c>
      <c r="J60" s="16">
        <f t="shared" si="3"/>
        <v>9.460865739983646</v>
      </c>
      <c r="K60" s="106" t="str">
        <f>VLOOKUP(C60,'RAW DATA 2023'!E:BO,36,0)</f>
        <v>Normal</v>
      </c>
      <c r="L60" s="106">
        <f>VLOOKUP(C60,'RAW DATA 2023'!E:BO,21,0)</f>
        <v>31.616630000000001</v>
      </c>
      <c r="M60" s="106">
        <f t="shared" si="4"/>
        <v>299.12069158073916</v>
      </c>
    </row>
    <row r="61" spans="1:13">
      <c r="A61" t="str">
        <f>'RAW DATA 2023'!B54</f>
        <v>Petchburi5</v>
      </c>
      <c r="B61" t="str">
        <f>'RAW DATA 2023'!D54</f>
        <v>B1-115-0007</v>
      </c>
      <c r="C61" t="str">
        <f t="shared" si="0"/>
        <v>Petchburi5B1-115-0007</v>
      </c>
      <c r="D61">
        <f>VLOOKUP(C61,'RAW DATA 2023'!E:BP,63,0)</f>
        <v>4</v>
      </c>
      <c r="E61" t="str">
        <f t="shared" si="1"/>
        <v>Petchburi54</v>
      </c>
      <c r="F61">
        <f>ROUND(VLOOKUP(C61,'RAW DATA 2023'!E:BO,23,0),0)</f>
        <v>28</v>
      </c>
      <c r="G61" s="16">
        <f>VLOOKUP(C61,'RAW DATA 2023'!E:BO,27,0)</f>
        <v>2.0456579462467541</v>
      </c>
      <c r="H61" s="16">
        <f>IFERROR(VLOOKUP(F61,STD!B:G,5,0),0)</f>
        <v>1.93</v>
      </c>
      <c r="I61" s="21">
        <f t="shared" si="5"/>
        <v>0.94346173735498828</v>
      </c>
      <c r="J61" s="16">
        <f t="shared" si="3"/>
        <v>8.8692347470997657</v>
      </c>
      <c r="K61" s="106" t="str">
        <f>VLOOKUP(C61,'RAW DATA 2023'!E:BO,36,0)</f>
        <v>Normal</v>
      </c>
      <c r="L61" s="106">
        <f>VLOOKUP(C61,'RAW DATA 2023'!E:BO,21,0)</f>
        <v>26.975270000000002</v>
      </c>
      <c r="M61" s="106">
        <f t="shared" si="4"/>
        <v>239.25000199639791</v>
      </c>
    </row>
    <row r="62" spans="1:13">
      <c r="A62" t="str">
        <f>'RAW DATA 2023'!B55</f>
        <v>Petchburi5</v>
      </c>
      <c r="B62" t="str">
        <f>'RAW DATA 2023'!D55</f>
        <v>B1-124-0007</v>
      </c>
      <c r="C62" t="str">
        <f t="shared" si="0"/>
        <v>Petchburi5B1-124-0007</v>
      </c>
      <c r="D62">
        <f>VLOOKUP(C62,'RAW DATA 2023'!E:BP,63,0)</f>
        <v>3</v>
      </c>
      <c r="E62" t="str">
        <f t="shared" si="1"/>
        <v>Petchburi53</v>
      </c>
      <c r="F62">
        <f>ROUND(VLOOKUP(C62,'RAW DATA 2023'!E:BO,23,0),0)</f>
        <v>29</v>
      </c>
      <c r="G62" s="16">
        <f>VLOOKUP(C62,'RAW DATA 2023'!E:BO,27,0)</f>
        <v>1.9658327824362409</v>
      </c>
      <c r="H62" s="16">
        <f>IFERROR(VLOOKUP(F62,STD!B:G,5,0),0)</f>
        <v>1.9</v>
      </c>
      <c r="I62" s="21">
        <f t="shared" si="5"/>
        <v>0.96651150442477873</v>
      </c>
      <c r="J62" s="16">
        <f t="shared" si="3"/>
        <v>9.3302300884955756</v>
      </c>
      <c r="K62" s="106" t="str">
        <f>VLOOKUP(C62,'RAW DATA 2023'!E:BO,36,0)</f>
        <v>Normal</v>
      </c>
      <c r="L62" s="106">
        <f>VLOOKUP(C62,'RAW DATA 2023'!E:BO,21,0)</f>
        <v>14.6243</v>
      </c>
      <c r="M62" s="106">
        <f t="shared" si="4"/>
        <v>136.44808388318583</v>
      </c>
    </row>
    <row r="63" spans="1:13">
      <c r="A63" t="str">
        <f>'RAW DATA 2023'!B56</f>
        <v>Petchburi5</v>
      </c>
      <c r="B63" t="str">
        <f>'RAW DATA 2023'!D56</f>
        <v>B1-126-0007</v>
      </c>
      <c r="C63" t="str">
        <f t="shared" si="0"/>
        <v>Petchburi5B1-126-0007</v>
      </c>
      <c r="D63">
        <f>VLOOKUP(C63,'RAW DATA 2023'!E:BP,63,0)</f>
        <v>3</v>
      </c>
      <c r="E63" t="str">
        <f t="shared" si="1"/>
        <v>Petchburi53</v>
      </c>
      <c r="F63">
        <f>ROUND(VLOOKUP(C63,'RAW DATA 2023'!E:BO,23,0),0)</f>
        <v>36</v>
      </c>
      <c r="G63" s="16">
        <f>VLOOKUP(C63,'RAW DATA 2023'!E:BO,27,0)</f>
        <v>1.8461885452640567</v>
      </c>
      <c r="H63" s="16">
        <f>IFERROR(VLOOKUP(F63,STD!B:G,5,0),0)</f>
        <v>1.726</v>
      </c>
      <c r="I63" s="21">
        <f t="shared" si="5"/>
        <v>0.93489909490968792</v>
      </c>
      <c r="J63" s="16">
        <f t="shared" si="3"/>
        <v>8.697981898193758</v>
      </c>
      <c r="K63" s="106" t="str">
        <f>VLOOKUP(C63,'RAW DATA 2023'!E:BO,36,0)</f>
        <v>Normal</v>
      </c>
      <c r="L63" s="106">
        <f>VLOOKUP(C63,'RAW DATA 2023'!E:BO,21,0)</f>
        <v>16.926939999999998</v>
      </c>
      <c r="M63" s="106">
        <f t="shared" si="4"/>
        <v>147.23021771181183</v>
      </c>
    </row>
    <row r="64" spans="1:13">
      <c r="A64" t="str">
        <f>'RAW DATA 2023'!B57</f>
        <v>Petchburi5</v>
      </c>
      <c r="B64" t="str">
        <f>'RAW DATA 2023'!D57</f>
        <v>B1-115-0009</v>
      </c>
      <c r="C64" t="str">
        <f t="shared" si="0"/>
        <v>Petchburi5B1-115-0009</v>
      </c>
      <c r="D64">
        <f>VLOOKUP(C64,'RAW DATA 2023'!E:BP,63,0)</f>
        <v>12</v>
      </c>
      <c r="E64" t="str">
        <f t="shared" si="1"/>
        <v>Petchburi512</v>
      </c>
      <c r="F64">
        <f>ROUND(VLOOKUP(C64,'RAW DATA 2023'!E:BO,23,0),0)</f>
        <v>34</v>
      </c>
      <c r="G64" s="16">
        <f>VLOOKUP(C64,'RAW DATA 2023'!E:BO,27,0)</f>
        <v>1.659553987118527</v>
      </c>
      <c r="H64" s="16">
        <f>IFERROR(VLOOKUP(F64,STD!B:G,5,0),0)</f>
        <v>1.77</v>
      </c>
      <c r="I64" s="21">
        <f t="shared" si="5"/>
        <v>1.0665516239536381</v>
      </c>
      <c r="J64" s="16">
        <f t="shared" si="3"/>
        <v>11.331032479072762</v>
      </c>
      <c r="K64" s="106" t="str">
        <f>VLOOKUP(C64,'RAW DATA 2023'!E:BO,36,0)</f>
        <v>Normal</v>
      </c>
      <c r="L64" s="106">
        <f>VLOOKUP(C64,'RAW DATA 2023'!E:BO,21,0)</f>
        <v>24.044840000000001</v>
      </c>
      <c r="M64" s="106">
        <f t="shared" si="4"/>
        <v>272.45286299410793</v>
      </c>
    </row>
    <row r="65" spans="1:13">
      <c r="A65" t="str">
        <f>'RAW DATA 2023'!B58</f>
        <v>Petchburi5</v>
      </c>
      <c r="B65" t="str">
        <f>'RAW DATA 2023'!D58</f>
        <v>B1-116-0008</v>
      </c>
      <c r="C65" t="str">
        <f t="shared" si="0"/>
        <v>Petchburi5B1-116-0008</v>
      </c>
      <c r="D65">
        <f>VLOOKUP(C65,'RAW DATA 2023'!E:BP,63,0)</f>
        <v>12</v>
      </c>
      <c r="E65" t="str">
        <f t="shared" si="1"/>
        <v>Petchburi512</v>
      </c>
      <c r="F65">
        <f>ROUND(VLOOKUP(C65,'RAW DATA 2023'!E:BO,23,0),0)</f>
        <v>49</v>
      </c>
      <c r="G65" s="16">
        <f>VLOOKUP(C65,'RAW DATA 2023'!E:BO,27,0)</f>
        <v>1.3690207135194337</v>
      </c>
      <c r="H65" s="16">
        <f>IFERROR(VLOOKUP(F65,STD!B:G,5,0),0)</f>
        <v>1.51</v>
      </c>
      <c r="I65" s="21">
        <f t="shared" si="5"/>
        <v>1.102978198275862</v>
      </c>
      <c r="J65" s="16">
        <f t="shared" si="3"/>
        <v>12.059563965517238</v>
      </c>
      <c r="K65" s="106" t="str">
        <f>VLOOKUP(C65,'RAW DATA 2023'!E:BO,36,0)</f>
        <v>EHP</v>
      </c>
      <c r="L65" s="106">
        <f>VLOOKUP(C65,'RAW DATA 2023'!E:BO,21,0)</f>
        <v>17.396419999999999</v>
      </c>
      <c r="M65" s="106">
        <f t="shared" si="4"/>
        <v>209.79323976100338</v>
      </c>
    </row>
    <row r="66" spans="1:13">
      <c r="A66" t="str">
        <f>'RAW DATA 2023'!B59</f>
        <v>Petchburi5</v>
      </c>
      <c r="B66" t="str">
        <f>'RAW DATA 2023'!D59</f>
        <v>AG-002-0013</v>
      </c>
      <c r="C66" t="str">
        <f t="shared" si="0"/>
        <v>Petchburi5AG-002-0013</v>
      </c>
      <c r="D66">
        <f>VLOOKUP(C66,'RAW DATA 2023'!E:BP,63,0)</f>
        <v>8</v>
      </c>
      <c r="E66" t="str">
        <f t="shared" si="1"/>
        <v>Petchburi58</v>
      </c>
      <c r="F66">
        <f>ROUND(VLOOKUP(C66,'RAW DATA 2023'!E:BO,23,0),0)</f>
        <v>29</v>
      </c>
      <c r="G66" s="16">
        <f>VLOOKUP(C66,'RAW DATA 2023'!E:BO,27,0)</f>
        <v>2.3015079843975608</v>
      </c>
      <c r="H66" s="16">
        <f>IFERROR(VLOOKUP(F66,STD!B:G,5,0),0)</f>
        <v>1.9</v>
      </c>
      <c r="I66" s="21">
        <f t="shared" si="5"/>
        <v>0.82554569129480604</v>
      </c>
      <c r="J66" s="16">
        <f t="shared" si="3"/>
        <v>6.5109138258961208</v>
      </c>
      <c r="K66" s="106" t="str">
        <f>VLOOKUP(C66,'RAW DATA 2023'!E:BO,36,0)</f>
        <v>Normal</v>
      </c>
      <c r="L66" s="106">
        <f>VLOOKUP(C66,'RAW DATA 2023'!E:BO,21,0)</f>
        <v>15.328959999999999</v>
      </c>
      <c r="M66" s="106">
        <f t="shared" si="4"/>
        <v>99.805537600608588</v>
      </c>
    </row>
    <row r="67" spans="1:13">
      <c r="A67" t="str">
        <f>'RAW DATA 2023'!B60</f>
        <v>Petchburi5</v>
      </c>
      <c r="B67" t="str">
        <f>'RAW DATA 2023'!D60</f>
        <v>AG-003-0011</v>
      </c>
      <c r="C67" t="str">
        <f t="shared" si="0"/>
        <v>Petchburi5AG-003-0011</v>
      </c>
      <c r="D67">
        <f>VLOOKUP(C67,'RAW DATA 2023'!E:BP,63,0)</f>
        <v>1</v>
      </c>
      <c r="E67" t="str">
        <f t="shared" si="1"/>
        <v>Petchburi51</v>
      </c>
      <c r="F67">
        <f>ROUND(VLOOKUP(C67,'RAW DATA 2023'!E:BO,23,0),0)</f>
        <v>27</v>
      </c>
      <c r="G67" s="16">
        <f>VLOOKUP(C67,'RAW DATA 2023'!E:BO,27,0)</f>
        <v>1.8614523000761276</v>
      </c>
      <c r="H67" s="16">
        <f>IFERROR(VLOOKUP(F67,STD!B:G,5,0),0)</f>
        <v>1.96</v>
      </c>
      <c r="I67" s="21">
        <f t="shared" si="5"/>
        <v>1.0529412974588939</v>
      </c>
      <c r="J67" s="16">
        <f t="shared" si="3"/>
        <v>11.058825949177876</v>
      </c>
      <c r="K67" s="106" t="str">
        <f>VLOOKUP(C67,'RAW DATA 2023'!E:BO,36,0)</f>
        <v>Normal</v>
      </c>
      <c r="L67" s="106">
        <f>VLOOKUP(C67,'RAW DATA 2023'!E:BO,21,0)</f>
        <v>18.157040000000002</v>
      </c>
      <c r="M67" s="106">
        <f t="shared" si="4"/>
        <v>200.7955451122607</v>
      </c>
    </row>
    <row r="68" spans="1:13">
      <c r="A68" t="str">
        <f>'RAW DATA 2023'!B61</f>
        <v>Petchburi5</v>
      </c>
      <c r="B68" t="str">
        <f>'RAW DATA 2023'!D61</f>
        <v>AG-006-0010</v>
      </c>
      <c r="C68" t="str">
        <f t="shared" si="0"/>
        <v>Petchburi5AG-006-0010</v>
      </c>
      <c r="D68">
        <f>VLOOKUP(C68,'RAW DATA 2023'!E:BP,63,0)</f>
        <v>1</v>
      </c>
      <c r="E68" t="str">
        <f t="shared" si="1"/>
        <v>Petchburi51</v>
      </c>
      <c r="F68">
        <f>ROUND(VLOOKUP(C68,'RAW DATA 2023'!E:BO,23,0),0)</f>
        <v>29</v>
      </c>
      <c r="G68" s="16">
        <f>VLOOKUP(C68,'RAW DATA 2023'!E:BO,27,0)</f>
        <v>1.830290154207685</v>
      </c>
      <c r="H68" s="16">
        <f>IFERROR(VLOOKUP(F68,STD!B:G,5,0),0)</f>
        <v>1.9</v>
      </c>
      <c r="I68" s="21">
        <f t="shared" si="5"/>
        <v>1.0380867730900796</v>
      </c>
      <c r="J68" s="16">
        <f t="shared" si="3"/>
        <v>10.761735461801592</v>
      </c>
      <c r="K68" s="106" t="str">
        <f>VLOOKUP(C68,'RAW DATA 2023'!E:BO,36,0)</f>
        <v>Normal</v>
      </c>
      <c r="L68" s="106">
        <f>VLOOKUP(C68,'RAW DATA 2023'!E:BO,21,0)</f>
        <v>24.152349999999998</v>
      </c>
      <c r="M68" s="106">
        <f t="shared" si="4"/>
        <v>259.92120148084365</v>
      </c>
    </row>
    <row r="69" spans="1:13">
      <c r="A69" t="str">
        <f>'RAW DATA 2023'!B62</f>
        <v>Petchburi5</v>
      </c>
      <c r="B69" t="str">
        <f>'RAW DATA 2023'!D62</f>
        <v>AG-006-0012</v>
      </c>
      <c r="C69" t="str">
        <f t="shared" si="0"/>
        <v>Petchburi5AG-006-0012</v>
      </c>
      <c r="D69">
        <f>VLOOKUP(C69,'RAW DATA 2023'!E:BP,63,0)</f>
        <v>10</v>
      </c>
      <c r="E69" t="str">
        <f t="shared" si="1"/>
        <v>Petchburi510</v>
      </c>
      <c r="F69">
        <f>ROUND(VLOOKUP(C69,'RAW DATA 2023'!E:BO,23,0),0)</f>
        <v>35</v>
      </c>
      <c r="G69" s="16">
        <f>VLOOKUP(C69,'RAW DATA 2023'!E:BO,27,0)</f>
        <v>1.8834970478348714</v>
      </c>
      <c r="H69" s="16">
        <f>IFERROR(VLOOKUP(F69,STD!B:G,5,0),0)</f>
        <v>1.75</v>
      </c>
      <c r="I69" s="21">
        <f t="shared" si="5"/>
        <v>0.92912277298850576</v>
      </c>
      <c r="J69" s="16">
        <f t="shared" si="3"/>
        <v>8.5824554597701148</v>
      </c>
      <c r="K69" s="106" t="str">
        <f>VLOOKUP(C69,'RAW DATA 2023'!E:BO,36,0)</f>
        <v>Normal</v>
      </c>
      <c r="L69" s="106">
        <f>VLOOKUP(C69,'RAW DATA 2023'!E:BO,21,0)</f>
        <v>19.346270000000001</v>
      </c>
      <c r="M69" s="106">
        <f t="shared" si="4"/>
        <v>166.03850058768677</v>
      </c>
    </row>
    <row r="70" spans="1:13">
      <c r="A70" t="str">
        <f>'RAW DATA 2023'!B63</f>
        <v>Petchburi5</v>
      </c>
      <c r="B70" t="str">
        <f>'RAW DATA 2023'!D63</f>
        <v>AG-001-0013</v>
      </c>
      <c r="C70" t="str">
        <f t="shared" si="0"/>
        <v>Petchburi5AG-001-0013</v>
      </c>
      <c r="D70">
        <f>VLOOKUP(C70,'RAW DATA 2023'!E:BP,63,0)</f>
        <v>6</v>
      </c>
      <c r="E70" t="str">
        <f t="shared" si="1"/>
        <v>Petchburi56</v>
      </c>
      <c r="F70">
        <f>ROUND(VLOOKUP(C70,'RAW DATA 2023'!E:BO,23,0),0)</f>
        <v>44</v>
      </c>
      <c r="G70" s="16">
        <f>VLOOKUP(C70,'RAW DATA 2023'!E:BO,27,0)</f>
        <v>1.9924739181257305</v>
      </c>
      <c r="H70" s="16">
        <f>IFERROR(VLOOKUP(F70,STD!B:G,5,0),0)</f>
        <v>1.57</v>
      </c>
      <c r="I70" s="21">
        <f t="shared" si="5"/>
        <v>0.78796514509803928</v>
      </c>
      <c r="J70" s="16">
        <f t="shared" si="3"/>
        <v>5.7593029019607851</v>
      </c>
      <c r="K70" s="106" t="str">
        <f>VLOOKUP(C70,'RAW DATA 2023'!E:BO,36,0)</f>
        <v>ทยอยตาย</v>
      </c>
      <c r="L70" s="106">
        <f>VLOOKUP(C70,'RAW DATA 2023'!E:BO,21,0)</f>
        <v>9.8226200000000006</v>
      </c>
      <c r="M70" s="106">
        <f t="shared" si="4"/>
        <v>56.571443870858047</v>
      </c>
    </row>
    <row r="71" spans="1:13">
      <c r="A71" t="str">
        <f>'RAW DATA 2023'!B64</f>
        <v>Petchburi5</v>
      </c>
      <c r="B71" t="str">
        <f>'RAW DATA 2023'!D64</f>
        <v>AG-001-0014</v>
      </c>
      <c r="C71" t="str">
        <f t="shared" si="0"/>
        <v>Petchburi5AG-001-0014</v>
      </c>
      <c r="D71">
        <f>VLOOKUP(C71,'RAW DATA 2023'!E:BP,63,0)</f>
        <v>11</v>
      </c>
      <c r="E71" t="str">
        <f t="shared" si="1"/>
        <v>Petchburi511</v>
      </c>
      <c r="F71">
        <f>ROUND(VLOOKUP(C71,'RAW DATA 2023'!E:BO,23,0),0)</f>
        <v>33</v>
      </c>
      <c r="G71" s="16">
        <f>VLOOKUP(C71,'RAW DATA 2023'!E:BO,27,0)</f>
        <v>1.8601217211911103</v>
      </c>
      <c r="H71" s="16">
        <f>IFERROR(VLOOKUP(F71,STD!B:G,5,0),0)</f>
        <v>1.8</v>
      </c>
      <c r="I71" s="21">
        <f t="shared" si="5"/>
        <v>0.96767860914359305</v>
      </c>
      <c r="J71" s="16">
        <f t="shared" si="3"/>
        <v>9.3535721828718614</v>
      </c>
      <c r="K71" s="106" t="str">
        <f>VLOOKUP(C71,'RAW DATA 2023'!E:BO,36,0)</f>
        <v>Normal</v>
      </c>
      <c r="L71" s="106">
        <f>VLOOKUP(C71,'RAW DATA 2023'!E:BO,21,0)</f>
        <v>21.37829</v>
      </c>
      <c r="M71" s="106">
        <f t="shared" si="4"/>
        <v>199.96337866136767</v>
      </c>
    </row>
    <row r="72" spans="1:13">
      <c r="A72" t="str">
        <f>'RAW DATA 2023'!B65</f>
        <v>Petchburi5</v>
      </c>
      <c r="B72" t="str">
        <f>'RAW DATA 2023'!D65</f>
        <v>AG-004-0012</v>
      </c>
      <c r="C72" t="str">
        <f t="shared" si="0"/>
        <v>Petchburi5AG-004-0012</v>
      </c>
      <c r="D72">
        <f>VLOOKUP(C72,'RAW DATA 2023'!E:BP,63,0)</f>
        <v>10</v>
      </c>
      <c r="E72" t="str">
        <f t="shared" si="1"/>
        <v>Petchburi510</v>
      </c>
      <c r="F72">
        <f>ROUND(VLOOKUP(C72,'RAW DATA 2023'!E:BO,23,0),0)</f>
        <v>39</v>
      </c>
      <c r="G72" s="16">
        <f>VLOOKUP(C72,'RAW DATA 2023'!E:BO,27,0)</f>
        <v>2.1883086684983408</v>
      </c>
      <c r="H72" s="16">
        <f>IFERROR(VLOOKUP(F72,STD!B:G,5,0),0)</f>
        <v>1.64</v>
      </c>
      <c r="I72" s="21">
        <f t="shared" si="5"/>
        <v>0.74943723598435463</v>
      </c>
      <c r="J72" s="16">
        <f t="shared" si="3"/>
        <v>4.9887447196870927</v>
      </c>
      <c r="K72" s="106" t="str">
        <f>VLOOKUP(C72,'RAW DATA 2023'!E:BO,36,0)</f>
        <v>Normal</v>
      </c>
      <c r="L72" s="106">
        <f>VLOOKUP(C72,'RAW DATA 2023'!E:BO,21,0)</f>
        <v>18.414950000000001</v>
      </c>
      <c r="M72" s="106">
        <f t="shared" si="4"/>
        <v>91.867484575801825</v>
      </c>
    </row>
    <row r="73" spans="1:13">
      <c r="A73" t="str">
        <f>'RAW DATA 2023'!B66</f>
        <v>Petchburi5</v>
      </c>
      <c r="B73" t="str">
        <f>'RAW DATA 2023'!D66</f>
        <v>AG-001-0012</v>
      </c>
      <c r="C73" t="str">
        <f t="shared" si="0"/>
        <v>Petchburi5AG-001-0012</v>
      </c>
      <c r="D73">
        <f>VLOOKUP(C73,'RAW DATA 2023'!E:BP,63,0)</f>
        <v>3</v>
      </c>
      <c r="E73" t="str">
        <f t="shared" si="1"/>
        <v>Petchburi53</v>
      </c>
      <c r="F73">
        <f>ROUND(VLOOKUP(C73,'RAW DATA 2023'!E:BO,23,0),0)</f>
        <v>30</v>
      </c>
      <c r="G73" s="16">
        <f>VLOOKUP(C73,'RAW DATA 2023'!E:BO,27,0)</f>
        <v>2.0012580867436878</v>
      </c>
      <c r="H73" s="16">
        <f>IFERROR(VLOOKUP(F73,STD!B:G,5,0),0)</f>
        <v>1.87</v>
      </c>
      <c r="I73" s="21">
        <f t="shared" si="5"/>
        <v>0.93441221419009379</v>
      </c>
      <c r="J73" s="16">
        <f t="shared" si="3"/>
        <v>8.6882442838018754</v>
      </c>
      <c r="K73" s="106" t="str">
        <f>VLOOKUP(C73,'RAW DATA 2023'!E:BO,36,0)</f>
        <v>Normal</v>
      </c>
      <c r="L73" s="106">
        <f>VLOOKUP(C73,'RAW DATA 2023'!E:BO,21,0)</f>
        <v>19.016060000000003</v>
      </c>
      <c r="M73" s="106">
        <f t="shared" si="4"/>
        <v>165.21617459543353</v>
      </c>
    </row>
    <row r="74" spans="1:13">
      <c r="A74" t="str">
        <f>'RAW DATA 2023'!B67</f>
        <v>Petchburi5</v>
      </c>
      <c r="B74" t="str">
        <f>'RAW DATA 2023'!D67</f>
        <v>AG-003-0012</v>
      </c>
      <c r="C74" t="str">
        <f t="shared" ref="C74:C137" si="6">A74&amp;B74</f>
        <v>Petchburi5AG-003-0012</v>
      </c>
      <c r="D74">
        <f>VLOOKUP(C74,'RAW DATA 2023'!E:BP,63,0)</f>
        <v>6</v>
      </c>
      <c r="E74" t="str">
        <f t="shared" ref="E74:E137" si="7">A74&amp;D74</f>
        <v>Petchburi56</v>
      </c>
      <c r="F74">
        <f>ROUND(VLOOKUP(C74,'RAW DATA 2023'!E:BO,23,0),0)</f>
        <v>30</v>
      </c>
      <c r="G74" s="16">
        <f>VLOOKUP(C74,'RAW DATA 2023'!E:BO,27,0)</f>
        <v>1.9546948085682414</v>
      </c>
      <c r="H74" s="16">
        <f>IFERROR(VLOOKUP(F74,STD!B:G,5,0),0)</f>
        <v>1.87</v>
      </c>
      <c r="I74" s="21">
        <f t="shared" si="5"/>
        <v>0.95667108328267481</v>
      </c>
      <c r="J74" s="16">
        <f t="shared" si="3"/>
        <v>9.133421665653497</v>
      </c>
      <c r="K74" s="106" t="str">
        <f>VLOOKUP(C74,'RAW DATA 2023'!E:BO,36,0)</f>
        <v>Normal</v>
      </c>
      <c r="L74" s="106">
        <f>VLOOKUP(C74,'RAW DATA 2023'!E:BO,21,0)</f>
        <v>21.269490000000001</v>
      </c>
      <c r="M74" s="106">
        <f t="shared" si="4"/>
        <v>194.26322078340041</v>
      </c>
    </row>
    <row r="75" spans="1:13">
      <c r="A75" t="str">
        <f>'RAW DATA 2023'!B68</f>
        <v>Petchburi5</v>
      </c>
      <c r="B75" t="str">
        <f>'RAW DATA 2023'!D68</f>
        <v>AG-005-0012</v>
      </c>
      <c r="C75" t="str">
        <f t="shared" si="6"/>
        <v>Petchburi5AG-005-0012</v>
      </c>
      <c r="D75">
        <f>VLOOKUP(C75,'RAW DATA 2023'!E:BP,63,0)</f>
        <v>10</v>
      </c>
      <c r="E75" t="str">
        <f t="shared" si="7"/>
        <v>Petchburi510</v>
      </c>
      <c r="F75">
        <f>ROUND(VLOOKUP(C75,'RAW DATA 2023'!E:BO,23,0),0)</f>
        <v>32</v>
      </c>
      <c r="G75" s="16">
        <f>VLOOKUP(C75,'RAW DATA 2023'!E:BO,27,0)</f>
        <v>1.9557754298420618</v>
      </c>
      <c r="H75" s="16">
        <f>IFERROR(VLOOKUP(F75,STD!B:G,5,0),0)</f>
        <v>1.82</v>
      </c>
      <c r="I75" s="21">
        <f t="shared" ref="I75:I138" si="8">IFERROR(H75/G75,0)</f>
        <v>0.93057718807060263</v>
      </c>
      <c r="J75" s="16">
        <f t="shared" ref="J75:J138" si="9">(I75-$B$4)*$B$7</f>
        <v>8.6115437614120527</v>
      </c>
      <c r="K75" s="106" t="str">
        <f>VLOOKUP(C75,'RAW DATA 2023'!E:BO,36,0)</f>
        <v>Normal</v>
      </c>
      <c r="L75" s="106">
        <f>VLOOKUP(C75,'RAW DATA 2023'!E:BO,21,0)</f>
        <v>21.481900000000003</v>
      </c>
      <c r="M75" s="106">
        <f t="shared" ref="M75:M138" si="10">J75*L75</f>
        <v>184.99232192827759</v>
      </c>
    </row>
    <row r="76" spans="1:13">
      <c r="A76" t="str">
        <f>'RAW DATA 2023'!B69</f>
        <v>Petchburi5</v>
      </c>
      <c r="B76" t="str">
        <f>'RAW DATA 2023'!D69</f>
        <v>AG-003-0013</v>
      </c>
      <c r="C76" t="str">
        <f t="shared" si="6"/>
        <v>Petchburi5AG-003-0013</v>
      </c>
      <c r="D76">
        <f>VLOOKUP(C76,'RAW DATA 2023'!E:BP,63,0)</f>
        <v>10</v>
      </c>
      <c r="E76" t="str">
        <f t="shared" si="7"/>
        <v>Petchburi510</v>
      </c>
      <c r="F76">
        <f>ROUND(VLOOKUP(C76,'RAW DATA 2023'!E:BO,23,0),0)</f>
        <v>35</v>
      </c>
      <c r="G76" s="16">
        <f>VLOOKUP(C76,'RAW DATA 2023'!E:BO,27,0)</f>
        <v>2.4035036946309356</v>
      </c>
      <c r="H76" s="16">
        <f>IFERROR(VLOOKUP(F76,STD!B:G,5,0),0)</f>
        <v>1.75</v>
      </c>
      <c r="I76" s="21">
        <f t="shared" si="8"/>
        <v>0.7281037278657968</v>
      </c>
      <c r="J76" s="16">
        <f t="shared" si="9"/>
        <v>4.5620745573159365</v>
      </c>
      <c r="K76" s="106" t="str">
        <f>VLOOKUP(C76,'RAW DATA 2023'!E:BO,36,0)</f>
        <v>Normal</v>
      </c>
      <c r="L76" s="106">
        <f>VLOOKUP(C76,'RAW DATA 2023'!E:BO,21,0)</f>
        <v>11.725790000000002</v>
      </c>
      <c r="M76" s="106">
        <f t="shared" si="10"/>
        <v>53.493928223429641</v>
      </c>
    </row>
    <row r="77" spans="1:13">
      <c r="A77" t="str">
        <f>'RAW DATA 2023'!B70</f>
        <v>Petchburi5</v>
      </c>
      <c r="B77" t="str">
        <f>'RAW DATA 2023'!D70</f>
        <v>AG-002-0012</v>
      </c>
      <c r="C77" t="str">
        <f t="shared" si="6"/>
        <v>Petchburi5AG-002-0012</v>
      </c>
      <c r="D77">
        <f>VLOOKUP(C77,'RAW DATA 2023'!E:BP,63,0)</f>
        <v>4</v>
      </c>
      <c r="E77" t="str">
        <f t="shared" si="7"/>
        <v>Petchburi54</v>
      </c>
      <c r="F77">
        <f>ROUND(VLOOKUP(C77,'RAW DATA 2023'!E:BO,23,0),0)</f>
        <v>31</v>
      </c>
      <c r="G77" s="16">
        <f>VLOOKUP(C77,'RAW DATA 2023'!E:BO,27,0)</f>
        <v>1.984699175527453</v>
      </c>
      <c r="H77" s="16">
        <f>IFERROR(VLOOKUP(F77,STD!B:G,5,0),0)</f>
        <v>1.84</v>
      </c>
      <c r="I77" s="21">
        <f t="shared" si="8"/>
        <v>0.92709264088397791</v>
      </c>
      <c r="J77" s="16">
        <f t="shared" si="9"/>
        <v>8.5418528176795583</v>
      </c>
      <c r="K77" s="106" t="str">
        <f>VLOOKUP(C77,'RAW DATA 2023'!E:BO,36,0)</f>
        <v>Normal</v>
      </c>
      <c r="L77" s="106">
        <f>VLOOKUP(C77,'RAW DATA 2023'!E:BO,21,0)</f>
        <v>18.64274</v>
      </c>
      <c r="M77" s="106">
        <f t="shared" si="10"/>
        <v>159.24354119826739</v>
      </c>
    </row>
    <row r="78" spans="1:13">
      <c r="A78" t="str">
        <f>'RAW DATA 2023'!B71</f>
        <v>Petchburi5</v>
      </c>
      <c r="B78" t="str">
        <f>'RAW DATA 2023'!D71</f>
        <v>AG-006-0011</v>
      </c>
      <c r="C78" t="str">
        <f t="shared" si="6"/>
        <v>Petchburi5AG-006-0011</v>
      </c>
      <c r="D78">
        <f>VLOOKUP(C78,'RAW DATA 2023'!E:BP,63,0)</f>
        <v>5</v>
      </c>
      <c r="E78" t="str">
        <f t="shared" si="7"/>
        <v>Petchburi55</v>
      </c>
      <c r="F78">
        <f>ROUND(VLOOKUP(C78,'RAW DATA 2023'!E:BO,23,0),0)</f>
        <v>32</v>
      </c>
      <c r="G78" s="16">
        <f>VLOOKUP(C78,'RAW DATA 2023'!E:BO,27,0)</f>
        <v>2.0838120070082886</v>
      </c>
      <c r="H78" s="16">
        <f>IFERROR(VLOOKUP(F78,STD!B:G,5,0),0)</f>
        <v>1.82</v>
      </c>
      <c r="I78" s="21">
        <f t="shared" si="8"/>
        <v>0.87339932483302984</v>
      </c>
      <c r="J78" s="16">
        <f t="shared" si="9"/>
        <v>7.4679864966605969</v>
      </c>
      <c r="K78" s="106" t="str">
        <f>VLOOKUP(C78,'RAW DATA 2023'!E:BO,36,0)</f>
        <v>Normal</v>
      </c>
      <c r="L78" s="106">
        <f>VLOOKUP(C78,'RAW DATA 2023'!E:BO,21,0)</f>
        <v>20.047459999999997</v>
      </c>
      <c r="M78" s="106">
        <f t="shared" si="10"/>
        <v>149.71416057234342</v>
      </c>
    </row>
    <row r="79" spans="1:13">
      <c r="A79" t="str">
        <f>'RAW DATA 2023'!B72</f>
        <v>Petchburi5</v>
      </c>
      <c r="B79" t="str">
        <f>'RAW DATA 2023'!D72</f>
        <v>AG-004-0011</v>
      </c>
      <c r="C79" t="str">
        <f t="shared" si="6"/>
        <v>Petchburi5AG-004-0011</v>
      </c>
      <c r="D79">
        <f>VLOOKUP(C79,'RAW DATA 2023'!E:BP,63,0)</f>
        <v>5</v>
      </c>
      <c r="E79" t="str">
        <f t="shared" si="7"/>
        <v>Petchburi55</v>
      </c>
      <c r="F79">
        <f>ROUND(VLOOKUP(C79,'RAW DATA 2023'!E:BO,23,0),0)</f>
        <v>32</v>
      </c>
      <c r="G79" s="16">
        <f>VLOOKUP(C79,'RAW DATA 2023'!E:BO,27,0)</f>
        <v>1.9575693557626115</v>
      </c>
      <c r="H79" s="16">
        <f>IFERROR(VLOOKUP(F79,STD!B:G,5,0),0)</f>
        <v>1.82</v>
      </c>
      <c r="I79" s="21">
        <f t="shared" si="8"/>
        <v>0.92972440268456369</v>
      </c>
      <c r="J79" s="16">
        <f t="shared" si="9"/>
        <v>8.5944880536912738</v>
      </c>
      <c r="K79" s="106" t="str">
        <f>VLOOKUP(C79,'RAW DATA 2023'!E:BO,36,0)</f>
        <v>Normal</v>
      </c>
      <c r="L79" s="106">
        <f>VLOOKUP(C79,'RAW DATA 2023'!E:BO,21,0)</f>
        <v>17.35623</v>
      </c>
      <c r="M79" s="106">
        <f t="shared" si="10"/>
        <v>149.1679113921181</v>
      </c>
    </row>
    <row r="80" spans="1:13">
      <c r="A80" t="str">
        <f>'RAW DATA 2023'!B73</f>
        <v>Petchburi5</v>
      </c>
      <c r="B80" t="str">
        <f>'RAW DATA 2023'!D73</f>
        <v>AG-005-0011</v>
      </c>
      <c r="C80" t="str">
        <f t="shared" si="6"/>
        <v>Petchburi5AG-005-0011</v>
      </c>
      <c r="D80">
        <f>VLOOKUP(C80,'RAW DATA 2023'!E:BP,63,0)</f>
        <v>5</v>
      </c>
      <c r="E80" t="str">
        <f t="shared" si="7"/>
        <v>Petchburi55</v>
      </c>
      <c r="F80">
        <f>ROUND(VLOOKUP(C80,'RAW DATA 2023'!E:BO,23,0),0)</f>
        <v>33</v>
      </c>
      <c r="G80" s="16">
        <f>VLOOKUP(C80,'RAW DATA 2023'!E:BO,27,0)</f>
        <v>1.9615781157911256</v>
      </c>
      <c r="H80" s="16">
        <f>IFERROR(VLOOKUP(F80,STD!B:G,5,0),0)</f>
        <v>1.8</v>
      </c>
      <c r="I80" s="21">
        <f t="shared" si="8"/>
        <v>0.91762850814332242</v>
      </c>
      <c r="J80" s="16">
        <f t="shared" si="9"/>
        <v>8.3525701628664493</v>
      </c>
      <c r="K80" s="106" t="str">
        <f>VLOOKUP(C80,'RAW DATA 2023'!E:BO,36,0)</f>
        <v>Normal</v>
      </c>
      <c r="L80" s="106">
        <f>VLOOKUP(C80,'RAW DATA 2023'!E:BO,21,0)</f>
        <v>19.61373</v>
      </c>
      <c r="M80" s="106">
        <f t="shared" si="10"/>
        <v>163.82505598051856</v>
      </c>
    </row>
    <row r="81" spans="1:13">
      <c r="A81" t="str">
        <f>'RAW DATA 2023'!B74</f>
        <v>Petchburi5</v>
      </c>
      <c r="B81" t="str">
        <f>'RAW DATA 2023'!D74</f>
        <v>A1-021-0020</v>
      </c>
      <c r="C81" t="str">
        <f t="shared" si="6"/>
        <v>Petchburi5A1-021-0020</v>
      </c>
      <c r="D81">
        <f>VLOOKUP(C81,'RAW DATA 2023'!E:BP,63,0)</f>
        <v>9</v>
      </c>
      <c r="E81" t="str">
        <f t="shared" si="7"/>
        <v>Petchburi59</v>
      </c>
      <c r="F81">
        <f>ROUND(VLOOKUP(C81,'RAW DATA 2023'!E:BO,23,0),0)</f>
        <v>28</v>
      </c>
      <c r="G81" s="16">
        <f>VLOOKUP(C81,'RAW DATA 2023'!E:BO,27,0)</f>
        <v>2.4748381746991179</v>
      </c>
      <c r="H81" s="16">
        <f>IFERROR(VLOOKUP(F81,STD!B:G,5,0),0)</f>
        <v>1.93</v>
      </c>
      <c r="I81" s="21">
        <f t="shared" si="8"/>
        <v>0.77984896941176463</v>
      </c>
      <c r="J81" s="16">
        <f t="shared" si="9"/>
        <v>5.5969793882352921</v>
      </c>
      <c r="K81" s="106" t="str">
        <f>VLOOKUP(C81,'RAW DATA 2023'!E:BO,36,0)</f>
        <v>Normal</v>
      </c>
      <c r="L81" s="106">
        <f>VLOOKUP(C81,'RAW DATA 2023'!E:BO,21,0)</f>
        <v>17.540839999999999</v>
      </c>
      <c r="M81" s="106">
        <f t="shared" si="10"/>
        <v>98.175719932333138</v>
      </c>
    </row>
    <row r="82" spans="1:13">
      <c r="A82" t="str">
        <f>'RAW DATA 2023'!B75</f>
        <v>Petchburi5</v>
      </c>
      <c r="B82" t="str">
        <f>'RAW DATA 2023'!D75</f>
        <v>A1-034-0008</v>
      </c>
      <c r="C82" t="str">
        <f t="shared" si="6"/>
        <v>Petchburi5A1-034-0008</v>
      </c>
      <c r="D82">
        <f>VLOOKUP(C82,'RAW DATA 2023'!E:BP,63,0)</f>
        <v>5</v>
      </c>
      <c r="E82" t="str">
        <f t="shared" si="7"/>
        <v>Petchburi55</v>
      </c>
      <c r="F82">
        <f>ROUND(VLOOKUP(C82,'RAW DATA 2023'!E:BO,23,0),0)</f>
        <v>31</v>
      </c>
      <c r="G82" s="16">
        <f>VLOOKUP(C82,'RAW DATA 2023'!E:BO,27,0)</f>
        <v>1.8538160653162628</v>
      </c>
      <c r="H82" s="16">
        <f>IFERROR(VLOOKUP(F82,STD!B:G,5,0),0)</f>
        <v>1.84</v>
      </c>
      <c r="I82" s="21">
        <f t="shared" si="8"/>
        <v>0.99254722969837594</v>
      </c>
      <c r="J82" s="16">
        <f t="shared" si="9"/>
        <v>9.8509445939675189</v>
      </c>
      <c r="K82" s="106" t="str">
        <f>VLOOKUP(C82,'RAW DATA 2023'!E:BO,36,0)</f>
        <v>Normal</v>
      </c>
      <c r="L82" s="106">
        <f>VLOOKUP(C82,'RAW DATA 2023'!E:BO,21,0)</f>
        <v>23.96434</v>
      </c>
      <c r="M82" s="106">
        <f t="shared" si="10"/>
        <v>236.07138557099958</v>
      </c>
    </row>
    <row r="83" spans="1:13">
      <c r="A83" t="str">
        <f>'RAW DATA 2023'!B76</f>
        <v>Petchburi5</v>
      </c>
      <c r="B83" t="str">
        <f>'RAW DATA 2023'!D76</f>
        <v>A1-035-0007</v>
      </c>
      <c r="C83" t="str">
        <f t="shared" si="6"/>
        <v>Petchburi5A1-035-0007</v>
      </c>
      <c r="D83">
        <f>VLOOKUP(C83,'RAW DATA 2023'!E:BP,63,0)</f>
        <v>9</v>
      </c>
      <c r="E83" t="str">
        <f t="shared" si="7"/>
        <v>Petchburi59</v>
      </c>
      <c r="F83">
        <f>ROUND(VLOOKUP(C83,'RAW DATA 2023'!E:BO,23,0),0)</f>
        <v>35</v>
      </c>
      <c r="G83" s="16">
        <f>VLOOKUP(C83,'RAW DATA 2023'!E:BO,27,0)</f>
        <v>1.8109917942856688</v>
      </c>
      <c r="H83" s="16">
        <f>IFERROR(VLOOKUP(F83,STD!B:G,5,0),0)</f>
        <v>1.75</v>
      </c>
      <c r="I83" s="21">
        <f t="shared" si="8"/>
        <v>0.9663213304013194</v>
      </c>
      <c r="J83" s="16">
        <f t="shared" si="9"/>
        <v>9.326426608026388</v>
      </c>
      <c r="K83" s="106" t="str">
        <f>VLOOKUP(C83,'RAW DATA 2023'!E:BO,36,0)</f>
        <v>Normal</v>
      </c>
      <c r="L83" s="106">
        <f>VLOOKUP(C83,'RAW DATA 2023'!E:BO,21,0)</f>
        <v>26.048549999999999</v>
      </c>
      <c r="M83" s="106">
        <f t="shared" si="10"/>
        <v>242.93988982050575</v>
      </c>
    </row>
    <row r="84" spans="1:13">
      <c r="A84" t="str">
        <f>'RAW DATA 2023'!B77</f>
        <v>Petchburi5</v>
      </c>
      <c r="B84" t="str">
        <f>'RAW DATA 2023'!D77</f>
        <v>A1-032-0009</v>
      </c>
      <c r="C84" t="str">
        <f t="shared" si="6"/>
        <v>Petchburi5A1-032-0009</v>
      </c>
      <c r="D84">
        <f>VLOOKUP(C84,'RAW DATA 2023'!E:BP,63,0)</f>
        <v>12</v>
      </c>
      <c r="E84" t="str">
        <f t="shared" si="7"/>
        <v>Petchburi512</v>
      </c>
      <c r="F84">
        <f>ROUND(VLOOKUP(C84,'RAW DATA 2023'!E:BO,23,0),0)</f>
        <v>36</v>
      </c>
      <c r="G84" s="16">
        <f>VLOOKUP(C84,'RAW DATA 2023'!E:BO,27,0)</f>
        <v>1.7633694162353029</v>
      </c>
      <c r="H84" s="16">
        <f>IFERROR(VLOOKUP(F84,STD!B:G,5,0),0)</f>
        <v>1.726</v>
      </c>
      <c r="I84" s="21">
        <f t="shared" si="8"/>
        <v>0.97880794807302229</v>
      </c>
      <c r="J84" s="16">
        <f t="shared" si="9"/>
        <v>9.5761589614604468</v>
      </c>
      <c r="K84" s="106" t="str">
        <f>VLOOKUP(C84,'RAW DATA 2023'!E:BO,36,0)</f>
        <v>Normal</v>
      </c>
      <c r="L84" s="106">
        <f>VLOOKUP(C84,'RAW DATA 2023'!E:BO,21,0)</f>
        <v>29.24784</v>
      </c>
      <c r="M84" s="106">
        <f t="shared" si="10"/>
        <v>280.08196511936131</v>
      </c>
    </row>
    <row r="85" spans="1:13">
      <c r="A85" t="str">
        <f>'RAW DATA 2023'!B78</f>
        <v>Petchburi5</v>
      </c>
      <c r="B85" t="str">
        <f>'RAW DATA 2023'!D78</f>
        <v>A1-020-0016</v>
      </c>
      <c r="C85" t="str">
        <f t="shared" si="6"/>
        <v>Petchburi5A1-020-0016</v>
      </c>
      <c r="D85">
        <f>VLOOKUP(C85,'RAW DATA 2023'!E:BP,63,0)</f>
        <v>9</v>
      </c>
      <c r="E85" t="str">
        <f t="shared" si="7"/>
        <v>Petchburi59</v>
      </c>
      <c r="F85">
        <f>ROUND(VLOOKUP(C85,'RAW DATA 2023'!E:BO,23,0),0)</f>
        <v>31</v>
      </c>
      <c r="G85" s="16">
        <f>VLOOKUP(C85,'RAW DATA 2023'!E:BO,27,0)</f>
        <v>2.0574939557404912</v>
      </c>
      <c r="H85" s="16">
        <f>IFERROR(VLOOKUP(F85,STD!B:G,5,0),0)</f>
        <v>1.84</v>
      </c>
      <c r="I85" s="21">
        <f t="shared" si="8"/>
        <v>0.8942918130409695</v>
      </c>
      <c r="J85" s="16">
        <f t="shared" si="9"/>
        <v>7.8858362608193904</v>
      </c>
      <c r="K85" s="106" t="str">
        <f>VLOOKUP(C85,'RAW DATA 2023'!E:BO,36,0)</f>
        <v>Normal</v>
      </c>
      <c r="L85" s="106">
        <f>VLOOKUP(C85,'RAW DATA 2023'!E:BO,21,0)</f>
        <v>21.449169999999999</v>
      </c>
      <c r="M85" s="106">
        <f t="shared" si="10"/>
        <v>169.14464255047943</v>
      </c>
    </row>
    <row r="86" spans="1:13">
      <c r="A86" t="str">
        <f>'RAW DATA 2023'!B79</f>
        <v>Petchburi5</v>
      </c>
      <c r="B86" t="str">
        <f>'RAW DATA 2023'!D79</f>
        <v>A1-033-0009</v>
      </c>
      <c r="C86" t="str">
        <f t="shared" si="6"/>
        <v>Petchburi5A1-033-0009</v>
      </c>
      <c r="D86">
        <f>VLOOKUP(C86,'RAW DATA 2023'!E:BP,63,0)</f>
        <v>7</v>
      </c>
      <c r="E86" t="str">
        <f t="shared" si="7"/>
        <v>Petchburi57</v>
      </c>
      <c r="F86">
        <f>ROUND(VLOOKUP(C86,'RAW DATA 2023'!E:BO,23,0),0)</f>
        <v>34</v>
      </c>
      <c r="G86" s="16">
        <f>VLOOKUP(C86,'RAW DATA 2023'!E:BO,27,0)</f>
        <v>1.9113006069047542</v>
      </c>
      <c r="H86" s="16">
        <f>IFERROR(VLOOKUP(F86,STD!B:G,5,0),0)</f>
        <v>1.77</v>
      </c>
      <c r="I86" s="21">
        <f t="shared" si="8"/>
        <v>0.92607096633868458</v>
      </c>
      <c r="J86" s="16">
        <f t="shared" si="9"/>
        <v>8.5214193267736924</v>
      </c>
      <c r="K86" s="106" t="str">
        <f>VLOOKUP(C86,'RAW DATA 2023'!E:BO,36,0)</f>
        <v>Normal</v>
      </c>
      <c r="L86" s="106">
        <f>VLOOKUP(C86,'RAW DATA 2023'!E:BO,21,0)</f>
        <v>26.07667</v>
      </c>
      <c r="M86" s="106">
        <f t="shared" si="10"/>
        <v>222.21023971589975</v>
      </c>
    </row>
    <row r="87" spans="1:13">
      <c r="A87" t="str">
        <f>'RAW DATA 2023'!B80</f>
        <v>Petchburi5</v>
      </c>
      <c r="B87" t="str">
        <f>'RAW DATA 2023'!D80</f>
        <v>A1-033-0010</v>
      </c>
      <c r="C87" t="str">
        <f t="shared" si="6"/>
        <v>Petchburi5A1-033-0010</v>
      </c>
      <c r="D87">
        <f>VLOOKUP(C87,'RAW DATA 2023'!E:BP,63,0)</f>
        <v>11</v>
      </c>
      <c r="E87" t="str">
        <f t="shared" si="7"/>
        <v>Petchburi511</v>
      </c>
      <c r="F87">
        <f>ROUND(VLOOKUP(C87,'RAW DATA 2023'!E:BO,23,0),0)</f>
        <v>37</v>
      </c>
      <c r="G87" s="16">
        <f>VLOOKUP(C87,'RAW DATA 2023'!E:BO,27,0)</f>
        <v>1.7590326181464446</v>
      </c>
      <c r="H87" s="16">
        <f>IFERROR(VLOOKUP(F87,STD!B:G,5,0),0)</f>
        <v>1.6970000000000001</v>
      </c>
      <c r="I87" s="21">
        <f t="shared" si="8"/>
        <v>0.96473481076672096</v>
      </c>
      <c r="J87" s="16">
        <f t="shared" si="9"/>
        <v>9.2946962153344188</v>
      </c>
      <c r="K87" s="106" t="str">
        <f>VLOOKUP(C87,'RAW DATA 2023'!E:BO,36,0)</f>
        <v>Normal</v>
      </c>
      <c r="L87" s="106">
        <f>VLOOKUP(C87,'RAW DATA 2023'!E:BO,21,0)</f>
        <v>17.919349999999998</v>
      </c>
      <c r="M87" s="106">
        <f t="shared" si="10"/>
        <v>166.55491462625281</v>
      </c>
    </row>
    <row r="88" spans="1:13">
      <c r="A88" t="str">
        <f>'RAW DATA 2023'!B81</f>
        <v>Petchburi5</v>
      </c>
      <c r="B88" t="str">
        <f>'RAW DATA 2023'!D81</f>
        <v>A1-020-0015</v>
      </c>
      <c r="C88" t="str">
        <f t="shared" si="6"/>
        <v>Petchburi5A1-020-0015</v>
      </c>
      <c r="D88">
        <f>VLOOKUP(C88,'RAW DATA 2023'!E:BP,63,0)</f>
        <v>4</v>
      </c>
      <c r="E88" t="str">
        <f t="shared" si="7"/>
        <v>Petchburi54</v>
      </c>
      <c r="F88">
        <f>ROUND(VLOOKUP(C88,'RAW DATA 2023'!E:BO,23,0),0)</f>
        <v>29</v>
      </c>
      <c r="G88" s="16">
        <f>VLOOKUP(C88,'RAW DATA 2023'!E:BO,27,0)</f>
        <v>1.8948411473612057</v>
      </c>
      <c r="H88" s="16">
        <f>IFERROR(VLOOKUP(F88,STD!B:G,5,0),0)</f>
        <v>1.9</v>
      </c>
      <c r="I88" s="21">
        <f t="shared" si="8"/>
        <v>1.0027225779036826</v>
      </c>
      <c r="J88" s="16">
        <f t="shared" si="9"/>
        <v>10.054451558073652</v>
      </c>
      <c r="K88" s="106" t="str">
        <f>VLOOKUP(C88,'RAW DATA 2023'!E:BO,36,0)</f>
        <v>Normal</v>
      </c>
      <c r="L88" s="106">
        <f>VLOOKUP(C88,'RAW DATA 2023'!E:BO,21,0)</f>
        <v>18.962029999999999</v>
      </c>
      <c r="M88" s="106">
        <f t="shared" si="10"/>
        <v>190.6528120777393</v>
      </c>
    </row>
    <row r="89" spans="1:13">
      <c r="A89" t="str">
        <f>'RAW DATA 2023'!B82</f>
        <v>Petchburi5</v>
      </c>
      <c r="B89" t="str">
        <f>'RAW DATA 2023'!D82</f>
        <v>A1-032-0008</v>
      </c>
      <c r="C89" t="str">
        <f t="shared" si="6"/>
        <v>Petchburi5A1-032-0008</v>
      </c>
      <c r="D89">
        <f>VLOOKUP(C89,'RAW DATA 2023'!E:BP,63,0)</f>
        <v>7</v>
      </c>
      <c r="E89" t="str">
        <f t="shared" si="7"/>
        <v>Petchburi57</v>
      </c>
      <c r="F89">
        <f>ROUND(VLOOKUP(C89,'RAW DATA 2023'!E:BO,23,0),0)</f>
        <v>31</v>
      </c>
      <c r="G89" s="16">
        <f>VLOOKUP(C89,'RAW DATA 2023'!E:BO,27,0)</f>
        <v>1.8676196185946878</v>
      </c>
      <c r="H89" s="16">
        <f>IFERROR(VLOOKUP(F89,STD!B:G,5,0),0)</f>
        <v>1.84</v>
      </c>
      <c r="I89" s="21">
        <f t="shared" si="8"/>
        <v>0.98521132551848511</v>
      </c>
      <c r="J89" s="16">
        <f t="shared" si="9"/>
        <v>9.7042265103697023</v>
      </c>
      <c r="K89" s="106" t="str">
        <f>VLOOKUP(C89,'RAW DATA 2023'!E:BO,36,0)</f>
        <v>Normal</v>
      </c>
      <c r="L89" s="106">
        <f>VLOOKUP(C89,'RAW DATA 2023'!E:BO,21,0)</f>
        <v>30.557200000000002</v>
      </c>
      <c r="M89" s="106">
        <f t="shared" si="10"/>
        <v>296.53399032266907</v>
      </c>
    </row>
    <row r="90" spans="1:13">
      <c r="A90" t="str">
        <f>'RAW DATA 2023'!B83</f>
        <v>Petchburi5</v>
      </c>
      <c r="B90" t="str">
        <f>'RAW DATA 2023'!D83</f>
        <v>A1-033-0008</v>
      </c>
      <c r="C90" t="str">
        <f t="shared" si="6"/>
        <v>Petchburi5A1-033-0008</v>
      </c>
      <c r="D90">
        <f>VLOOKUP(C90,'RAW DATA 2023'!E:BP,63,0)</f>
        <v>3</v>
      </c>
      <c r="E90" t="str">
        <f t="shared" si="7"/>
        <v>Petchburi53</v>
      </c>
      <c r="F90">
        <f>ROUND(VLOOKUP(C90,'RAW DATA 2023'!E:BO,23,0),0)</f>
        <v>28</v>
      </c>
      <c r="G90" s="16">
        <f>VLOOKUP(C90,'RAW DATA 2023'!E:BO,27,0)</f>
        <v>2.1212767395177368</v>
      </c>
      <c r="H90" s="16">
        <f>IFERROR(VLOOKUP(F90,STD!B:G,5,0),0)</f>
        <v>1.93</v>
      </c>
      <c r="I90" s="21">
        <f t="shared" si="8"/>
        <v>0.90982942680019074</v>
      </c>
      <c r="J90" s="16">
        <f t="shared" si="9"/>
        <v>8.1965885360038158</v>
      </c>
      <c r="K90" s="106" t="str">
        <f>VLOOKUP(C90,'RAW DATA 2023'!E:BO,36,0)</f>
        <v>Normal</v>
      </c>
      <c r="L90" s="106">
        <f>VLOOKUP(C90,'RAW DATA 2023'!E:BO,21,0)</f>
        <v>26.363889999999998</v>
      </c>
      <c r="M90" s="106">
        <f t="shared" si="10"/>
        <v>216.09395853846561</v>
      </c>
    </row>
    <row r="91" spans="1:13">
      <c r="A91" t="str">
        <f>'RAW DATA 2023'!B84</f>
        <v>Petchburi5</v>
      </c>
      <c r="B91" t="str">
        <f>'RAW DATA 2023'!D84</f>
        <v>A1-034-0009</v>
      </c>
      <c r="C91" t="str">
        <f t="shared" si="6"/>
        <v>Petchburi5A1-034-0009</v>
      </c>
      <c r="D91">
        <f>VLOOKUP(C91,'RAW DATA 2023'!E:BP,63,0)</f>
        <v>11</v>
      </c>
      <c r="E91" t="str">
        <f t="shared" si="7"/>
        <v>Petchburi511</v>
      </c>
      <c r="F91">
        <f>ROUND(VLOOKUP(C91,'RAW DATA 2023'!E:BO,23,0),0)</f>
        <v>34</v>
      </c>
      <c r="G91" s="16">
        <f>VLOOKUP(C91,'RAW DATA 2023'!E:BO,27,0)</f>
        <v>2.1819930032147905</v>
      </c>
      <c r="H91" s="16">
        <f>IFERROR(VLOOKUP(F91,STD!B:G,5,0),0)</f>
        <v>1.77</v>
      </c>
      <c r="J91" s="16">
        <f t="shared" si="9"/>
        <v>-10</v>
      </c>
      <c r="K91" s="106" t="str">
        <f>VLOOKUP(C91,'RAW DATA 2023'!E:BO,36,0)</f>
        <v>Normal</v>
      </c>
      <c r="L91" s="106">
        <f>VLOOKUP(C91,'RAW DATA 2023'!E:BO,21,0)</f>
        <v>27.532970000000002</v>
      </c>
      <c r="M91" s="106">
        <f t="shared" si="10"/>
        <v>-275.3297</v>
      </c>
    </row>
    <row r="92" spans="1:13">
      <c r="A92" t="str">
        <f>'RAW DATA 2023'!B85</f>
        <v>Petchburi5</v>
      </c>
      <c r="B92" t="str">
        <f>'RAW DATA 2023'!D85</f>
        <v>A1-021-0019</v>
      </c>
      <c r="C92" t="str">
        <f t="shared" si="6"/>
        <v>Petchburi5A1-021-0019</v>
      </c>
      <c r="D92">
        <f>VLOOKUP(C92,'RAW DATA 2023'!E:BP,63,0)</f>
        <v>4</v>
      </c>
      <c r="E92" t="str">
        <f t="shared" si="7"/>
        <v>Petchburi54</v>
      </c>
      <c r="F92">
        <f>ROUND(VLOOKUP(C92,'RAW DATA 2023'!E:BO,23,0),0)</f>
        <v>28</v>
      </c>
      <c r="G92" s="16">
        <f>VLOOKUP(C92,'RAW DATA 2023'!E:BO,27,0)</f>
        <v>2.2032361182071307</v>
      </c>
      <c r="H92" s="16">
        <f>IFERROR(VLOOKUP(F92,STD!B:G,5,0),0)</f>
        <v>1.93</v>
      </c>
      <c r="I92" s="21">
        <f t="shared" si="8"/>
        <v>0.87598418710134662</v>
      </c>
      <c r="J92" s="16">
        <f t="shared" si="9"/>
        <v>7.5196837420269329</v>
      </c>
      <c r="K92" s="106" t="str">
        <f>VLOOKUP(C92,'RAW DATA 2023'!E:BO,36,0)</f>
        <v>Normal</v>
      </c>
      <c r="L92" s="106">
        <f>VLOOKUP(C92,'RAW DATA 2023'!E:BO,21,0)</f>
        <v>16.658540000000002</v>
      </c>
      <c r="M92" s="106">
        <f t="shared" si="10"/>
        <v>125.26695240390536</v>
      </c>
    </row>
    <row r="93" spans="1:13">
      <c r="A93" t="str">
        <f>'RAW DATA 2023'!B86</f>
        <v>Petchburi5</v>
      </c>
      <c r="B93" t="str">
        <f>'RAW DATA 2023'!D86</f>
        <v>A1-035-0006</v>
      </c>
      <c r="C93" t="str">
        <f t="shared" si="6"/>
        <v>Petchburi5A1-035-0006</v>
      </c>
      <c r="D93">
        <f>VLOOKUP(C93,'RAW DATA 2023'!E:BP,63,0)</f>
        <v>4</v>
      </c>
      <c r="E93" t="str">
        <f t="shared" si="7"/>
        <v>Petchburi54</v>
      </c>
      <c r="F93">
        <f>ROUND(VLOOKUP(C93,'RAW DATA 2023'!E:BO,23,0),0)</f>
        <v>21</v>
      </c>
      <c r="G93" s="16">
        <f>VLOOKUP(C93,'RAW DATA 2023'!E:BO,27,0)</f>
        <v>2.6808648170513889</v>
      </c>
      <c r="H93" s="16">
        <f>IFERROR(VLOOKUP(F93,STD!B:G,5,0),0)</f>
        <v>2.23</v>
      </c>
      <c r="I93" s="21">
        <f t="shared" si="8"/>
        <v>0.83182112944162434</v>
      </c>
      <c r="J93" s="16">
        <f t="shared" si="9"/>
        <v>6.6364225888324864</v>
      </c>
      <c r="K93" s="106" t="str">
        <f>VLOOKUP(C93,'RAW DATA 2023'!E:BO,36,0)</f>
        <v>Normal</v>
      </c>
      <c r="L93" s="106">
        <f>VLOOKUP(C93,'RAW DATA 2023'!E:BO,21,0)</f>
        <v>15.26825</v>
      </c>
      <c r="M93" s="106">
        <f t="shared" si="10"/>
        <v>101.32655919194161</v>
      </c>
    </row>
    <row r="94" spans="1:13">
      <c r="A94" t="str">
        <f>'RAW DATA 2023'!B87</f>
        <v>Petchburi5</v>
      </c>
      <c r="B94" t="str">
        <f>'RAW DATA 2023'!D87</f>
        <v>A1-032-0007</v>
      </c>
      <c r="C94" t="str">
        <f t="shared" si="6"/>
        <v>Petchburi5A1-032-0007</v>
      </c>
      <c r="D94">
        <f>VLOOKUP(C94,'RAW DATA 2023'!E:BP,63,0)</f>
        <v>3</v>
      </c>
      <c r="E94" t="str">
        <f t="shared" si="7"/>
        <v>Petchburi53</v>
      </c>
      <c r="F94">
        <f>ROUND(VLOOKUP(C94,'RAW DATA 2023'!E:BO,23,0),0)</f>
        <v>28</v>
      </c>
      <c r="G94" s="16">
        <f>VLOOKUP(C94,'RAW DATA 2023'!E:BO,27,0)</f>
        <v>1.770259965799966</v>
      </c>
      <c r="H94" s="16">
        <f>IFERROR(VLOOKUP(F94,STD!B:G,5,0),0)</f>
        <v>1.93</v>
      </c>
      <c r="I94" s="21">
        <f t="shared" si="8"/>
        <v>1.0902353537254901</v>
      </c>
      <c r="J94" s="16">
        <f t="shared" si="9"/>
        <v>11.804707074509802</v>
      </c>
      <c r="K94" s="106" t="str">
        <f>VLOOKUP(C94,'RAW DATA 2023'!E:BO,36,0)</f>
        <v>Normal</v>
      </c>
      <c r="L94" s="106">
        <f>VLOOKUP(C94,'RAW DATA 2023'!E:BO,21,0)</f>
        <v>18.040479999999999</v>
      </c>
      <c r="M94" s="106">
        <f t="shared" si="10"/>
        <v>212.96258188355256</v>
      </c>
    </row>
    <row r="95" spans="1:13">
      <c r="A95" t="str">
        <f>'RAW DATA 2023'!B88</f>
        <v>Petchburi5</v>
      </c>
      <c r="B95" t="str">
        <f>'RAW DATA 2023'!D88</f>
        <v>A1-034-0007</v>
      </c>
      <c r="C95" t="str">
        <f t="shared" si="6"/>
        <v>Petchburi5A1-034-0007</v>
      </c>
      <c r="D95">
        <f>VLOOKUP(C95,'RAW DATA 2023'!E:BP,63,0)</f>
        <v>1</v>
      </c>
      <c r="E95" t="str">
        <f t="shared" si="7"/>
        <v>Petchburi51</v>
      </c>
      <c r="F95">
        <f>ROUND(VLOOKUP(C95,'RAW DATA 2023'!E:BO,23,0),0)</f>
        <v>0</v>
      </c>
      <c r="G95" s="16">
        <f>VLOOKUP(C95,'RAW DATA 2023'!E:BO,27,0)</f>
        <v>0</v>
      </c>
      <c r="H95" s="16">
        <f>IFERROR(VLOOKUP(F95,STD!B:G,5,0),0)</f>
        <v>0</v>
      </c>
      <c r="I95" s="21">
        <f t="shared" si="8"/>
        <v>0</v>
      </c>
      <c r="J95" s="16">
        <f t="shared" si="9"/>
        <v>-10</v>
      </c>
      <c r="K95" s="106" t="str">
        <f>VLOOKUP(C95,'RAW DATA 2023'!E:BO,36,0)</f>
        <v>WSSV</v>
      </c>
      <c r="L95" s="106">
        <f>VLOOKUP(C95,'RAW DATA 2023'!E:BO,21,0)</f>
        <v>0</v>
      </c>
      <c r="M95" s="106">
        <f t="shared" si="10"/>
        <v>0</v>
      </c>
    </row>
    <row r="96" spans="1:13">
      <c r="A96" t="str">
        <f>'RAW DATA 2023'!B89</f>
        <v>Petchburi5</v>
      </c>
      <c r="B96" t="str">
        <f>'RAW DATA 2023'!D89</f>
        <v>AG-002-0014</v>
      </c>
      <c r="C96" t="str">
        <f t="shared" si="6"/>
        <v>Petchburi5AG-002-0014</v>
      </c>
      <c r="D96">
        <f>VLOOKUP(C96,'RAW DATA 2023'!E:BP,63,0)</f>
        <v>12</v>
      </c>
      <c r="E96" t="str">
        <f t="shared" si="7"/>
        <v>Petchburi512</v>
      </c>
      <c r="F96">
        <f>ROUND(VLOOKUP(C96,'RAW DATA 2023'!E:BO,23,0),0)</f>
        <v>33</v>
      </c>
      <c r="G96" s="16">
        <f>VLOOKUP(C96,'RAW DATA 2023'!E:BO,27,0)</f>
        <v>1.7933012368895367</v>
      </c>
      <c r="H96" s="16">
        <f>IFERROR(VLOOKUP(F96,STD!B:G,5,0),0)</f>
        <v>1.8</v>
      </c>
      <c r="I96" s="21">
        <f t="shared" si="8"/>
        <v>1.0037354366197184</v>
      </c>
      <c r="J96" s="16">
        <f t="shared" si="9"/>
        <v>10.074708732394368</v>
      </c>
      <c r="K96" s="106" t="str">
        <f>VLOOKUP(C96,'RAW DATA 2023'!E:BO,36,0)</f>
        <v>Normal</v>
      </c>
      <c r="L96" s="106">
        <f>VLOOKUP(C96,'RAW DATA 2023'!E:BO,21,0)</f>
        <v>15.31992</v>
      </c>
      <c r="M96" s="106">
        <f t="shared" si="10"/>
        <v>154.34373180358313</v>
      </c>
    </row>
    <row r="97" spans="1:13">
      <c r="A97" t="str">
        <f>'RAW DATA 2023'!B90</f>
        <v>Petchburi5</v>
      </c>
      <c r="B97" t="str">
        <f>'RAW DATA 2023'!D90</f>
        <v>G1-G01-0002</v>
      </c>
      <c r="C97" t="str">
        <f t="shared" si="6"/>
        <v>Petchburi5G1-G01-0002</v>
      </c>
      <c r="D97">
        <f>VLOOKUP(C97,'RAW DATA 2023'!E:BP,63,0)</f>
        <v>1</v>
      </c>
      <c r="E97" t="str">
        <f t="shared" si="7"/>
        <v>Petchburi51</v>
      </c>
      <c r="F97">
        <f>ROUND(VLOOKUP(C97,'RAW DATA 2023'!E:BO,23,0),0)</f>
        <v>27</v>
      </c>
      <c r="G97" s="16">
        <f>VLOOKUP(C97,'RAW DATA 2023'!E:BO,27,0)</f>
        <v>2.4003352089069794</v>
      </c>
      <c r="H97" s="16">
        <f>IFERROR(VLOOKUP(F97,STD!B:G,5,0),0)</f>
        <v>1.96</v>
      </c>
      <c r="I97" s="21">
        <f t="shared" si="8"/>
        <v>0.8165526184538654</v>
      </c>
      <c r="J97" s="16">
        <f t="shared" si="9"/>
        <v>6.331052369077308</v>
      </c>
      <c r="K97" s="106" t="str">
        <f>VLOOKUP(C97,'RAW DATA 2023'!E:BO,36,0)</f>
        <v>Normal</v>
      </c>
      <c r="L97" s="106">
        <f>VLOOKUP(C97,'RAW DATA 2023'!E:BO,21,0)</f>
        <v>13.1435</v>
      </c>
      <c r="M97" s="106">
        <f t="shared" si="10"/>
        <v>83.212186812967587</v>
      </c>
    </row>
    <row r="98" spans="1:13">
      <c r="A98" t="str">
        <f>'RAW DATA 2023'!B91</f>
        <v>Petchburi5</v>
      </c>
      <c r="B98" t="str">
        <f>'RAW DATA 2023'!D91</f>
        <v>G1-G02-0002</v>
      </c>
      <c r="C98" t="str">
        <f t="shared" si="6"/>
        <v>Petchburi5G1-G02-0002</v>
      </c>
      <c r="D98">
        <f>VLOOKUP(C98,'RAW DATA 2023'!E:BP,63,0)</f>
        <v>8</v>
      </c>
      <c r="E98" t="str">
        <f t="shared" si="7"/>
        <v>Petchburi58</v>
      </c>
      <c r="F98">
        <f>ROUND(VLOOKUP(C98,'RAW DATA 2023'!E:BO,23,0),0)</f>
        <v>45</v>
      </c>
      <c r="G98" s="16">
        <f>VLOOKUP(C98,'RAW DATA 2023'!E:BO,27,0)</f>
        <v>2.047701748410478</v>
      </c>
      <c r="H98" s="16">
        <f>IFERROR(VLOOKUP(F98,STD!B:G,5,0),0)</f>
        <v>1.55</v>
      </c>
      <c r="I98" s="21">
        <f t="shared" si="8"/>
        <v>0.7569461720698254</v>
      </c>
      <c r="J98" s="16">
        <f t="shared" si="9"/>
        <v>5.1389234413965079</v>
      </c>
      <c r="K98" s="106" t="str">
        <f>VLOOKUP(C98,'RAW DATA 2023'!E:BO,36,0)</f>
        <v>Normal</v>
      </c>
      <c r="L98" s="106">
        <f>VLOOKUP(C98,'RAW DATA 2023'!E:BO,21,0)</f>
        <v>20.16797</v>
      </c>
      <c r="M98" s="106">
        <f t="shared" si="10"/>
        <v>103.64165379838153</v>
      </c>
    </row>
    <row r="99" spans="1:13">
      <c r="A99" t="str">
        <f>'RAW DATA 2023'!B92</f>
        <v>Petchburi5</v>
      </c>
      <c r="B99" t="str">
        <f>'RAW DATA 2023'!D92</f>
        <v>G1-G02-0001</v>
      </c>
      <c r="C99" t="str">
        <f t="shared" si="6"/>
        <v>Petchburi5G1-G02-0001</v>
      </c>
      <c r="D99">
        <f>VLOOKUP(C99,'RAW DATA 2023'!E:BP,63,0)</f>
        <v>4</v>
      </c>
      <c r="E99" t="str">
        <f t="shared" si="7"/>
        <v>Petchburi54</v>
      </c>
      <c r="F99">
        <f>ROUND(VLOOKUP(C99,'RAW DATA 2023'!E:BO,23,0),0)</f>
        <v>29</v>
      </c>
      <c r="G99" s="16">
        <f>VLOOKUP(C99,'RAW DATA 2023'!E:BO,27,0)</f>
        <v>2.3321035374012773</v>
      </c>
      <c r="H99" s="16">
        <f>IFERROR(VLOOKUP(F99,STD!B:G,5,0),0)</f>
        <v>1.9</v>
      </c>
      <c r="J99" s="16">
        <f t="shared" si="9"/>
        <v>-10</v>
      </c>
      <c r="K99" s="106" t="str">
        <f>VLOOKUP(C99,'RAW DATA 2023'!E:BO,36,0)</f>
        <v>Normal</v>
      </c>
      <c r="L99" s="106">
        <f>VLOOKUP(C99,'RAW DATA 2023'!E:BO,21,0)</f>
        <v>15.27791</v>
      </c>
      <c r="M99" s="106">
        <f t="shared" si="10"/>
        <v>-152.7791</v>
      </c>
    </row>
    <row r="100" spans="1:13">
      <c r="A100" t="str">
        <f>'RAW DATA 2023'!B93</f>
        <v>Petchburi5</v>
      </c>
      <c r="B100" t="str">
        <f>'RAW DATA 2023'!D93</f>
        <v>G1-G01-0004</v>
      </c>
      <c r="C100" t="str">
        <f t="shared" si="6"/>
        <v>Petchburi5G1-G01-0004</v>
      </c>
      <c r="D100">
        <f>VLOOKUP(C100,'RAW DATA 2023'!E:BP,63,0)</f>
        <v>11</v>
      </c>
      <c r="E100" t="str">
        <f t="shared" si="7"/>
        <v>Petchburi511</v>
      </c>
      <c r="F100">
        <f>ROUND(VLOOKUP(C100,'RAW DATA 2023'!E:BO,23,0),0)</f>
        <v>34</v>
      </c>
      <c r="G100" s="16">
        <f>VLOOKUP(C100,'RAW DATA 2023'!E:BO,27,0)</f>
        <v>2.1671997729718515</v>
      </c>
      <c r="H100" s="16">
        <f>IFERROR(VLOOKUP(F100,STD!B:G,5,0),0)</f>
        <v>1.77</v>
      </c>
      <c r="I100" s="21">
        <f t="shared" si="8"/>
        <v>0.81672212320916915</v>
      </c>
      <c r="J100" s="16">
        <f t="shared" si="9"/>
        <v>6.3344424641833825</v>
      </c>
      <c r="K100" s="106" t="str">
        <f>VLOOKUP(C100,'RAW DATA 2023'!E:BO,36,0)</f>
        <v>Normal</v>
      </c>
      <c r="L100" s="106">
        <f>VLOOKUP(C100,'RAW DATA 2023'!E:BO,21,0)</f>
        <v>16.447740000000003</v>
      </c>
      <c r="M100" s="106">
        <f t="shared" si="10"/>
        <v>104.18726269584761</v>
      </c>
    </row>
    <row r="101" spans="1:13">
      <c r="A101" t="str">
        <f>'RAW DATA 2023'!B94</f>
        <v>Petchburi5</v>
      </c>
      <c r="B101" t="str">
        <f>'RAW DATA 2023'!D94</f>
        <v>G1-G01-0003</v>
      </c>
      <c r="C101" t="str">
        <f t="shared" si="6"/>
        <v>Petchburi5G1-G01-0003</v>
      </c>
      <c r="D101">
        <f>VLOOKUP(C101,'RAW DATA 2023'!E:BP,63,0)</f>
        <v>6</v>
      </c>
      <c r="E101" t="str">
        <f t="shared" si="7"/>
        <v>Petchburi56</v>
      </c>
      <c r="F101">
        <f>ROUND(VLOOKUP(C101,'RAW DATA 2023'!E:BO,23,0),0)</f>
        <v>47</v>
      </c>
      <c r="G101" s="16">
        <f>VLOOKUP(C101,'RAW DATA 2023'!E:BO,27,0)</f>
        <v>2.0339309943919193</v>
      </c>
      <c r="H101" s="16">
        <f>IFERROR(VLOOKUP(F101,STD!B:G,5,0),0)</f>
        <v>1.53</v>
      </c>
      <c r="I101" s="21">
        <f t="shared" si="8"/>
        <v>0.75223790984974959</v>
      </c>
      <c r="J101" s="16">
        <f t="shared" si="9"/>
        <v>5.0447581969949917</v>
      </c>
      <c r="K101" s="106" t="str">
        <f>VLOOKUP(C101,'RAW DATA 2023'!E:BO,36,0)</f>
        <v>Normal</v>
      </c>
      <c r="L101" s="106">
        <f>VLOOKUP(C101,'RAW DATA 2023'!E:BO,21,0)</f>
        <v>14.975200000000001</v>
      </c>
      <c r="M101" s="106">
        <f t="shared" si="10"/>
        <v>75.546262951639406</v>
      </c>
    </row>
    <row r="102" spans="1:13">
      <c r="A102" t="str">
        <f>'RAW DATA 2023'!B95</f>
        <v>Roiphet1</v>
      </c>
      <c r="B102" t="str">
        <f>'RAW DATA 2023'!D95</f>
        <v>A5-I09-0099</v>
      </c>
      <c r="C102" t="str">
        <f t="shared" si="6"/>
        <v>Roiphet1A5-I09-0099</v>
      </c>
      <c r="D102">
        <f>VLOOKUP(C102,'RAW DATA 2023'!E:BP,63,0)</f>
        <v>10</v>
      </c>
      <c r="E102" t="str">
        <f t="shared" si="7"/>
        <v>Roiphet110</v>
      </c>
      <c r="F102">
        <f>ROUND(VLOOKUP(C102,'RAW DATA 2023'!E:BO,23,0),0)</f>
        <v>29</v>
      </c>
      <c r="G102" s="16">
        <f>VLOOKUP(C102,'RAW DATA 2023'!E:BO,27,0)</f>
        <v>2.4181041407779249</v>
      </c>
      <c r="H102" s="16">
        <f>IFERROR(VLOOKUP(F102,STD!B:G,5,0),0)</f>
        <v>1.9</v>
      </c>
      <c r="I102" s="21">
        <f t="shared" si="8"/>
        <v>0.78573952542372871</v>
      </c>
      <c r="J102" s="16">
        <f t="shared" si="9"/>
        <v>5.7147905084745743</v>
      </c>
      <c r="K102" s="106" t="str">
        <f>VLOOKUP(C102,'RAW DATA 2023'!E:BO,36,0)</f>
        <v>อัตรารอดต่ำ</v>
      </c>
      <c r="L102" s="106">
        <f>VLOOKUP(C102,'RAW DATA 2023'!E:BO,21,0)</f>
        <v>3.2848899999999999</v>
      </c>
      <c r="M102" s="106">
        <f t="shared" si="10"/>
        <v>18.772458193383045</v>
      </c>
    </row>
    <row r="103" spans="1:13">
      <c r="A103" t="str">
        <f>'RAW DATA 2023'!B96</f>
        <v>Roiphet1</v>
      </c>
      <c r="B103" t="str">
        <f>'RAW DATA 2023'!D96</f>
        <v>A3-G05-0077</v>
      </c>
      <c r="C103" t="str">
        <f t="shared" si="6"/>
        <v>Roiphet1A3-G05-0077</v>
      </c>
      <c r="D103">
        <f>VLOOKUP(C103,'RAW DATA 2023'!E:BP,63,0)</f>
        <v>10</v>
      </c>
      <c r="E103" t="str">
        <f t="shared" si="7"/>
        <v>Roiphet110</v>
      </c>
      <c r="F103">
        <f>ROUND(VLOOKUP(C103,'RAW DATA 2023'!E:BO,23,0),0)</f>
        <v>41</v>
      </c>
      <c r="G103" s="16">
        <f>VLOOKUP(C103,'RAW DATA 2023'!E:BO,27,0)</f>
        <v>2.5395010819417791</v>
      </c>
      <c r="H103" s="16">
        <f>IFERROR(VLOOKUP(F103,STD!B:G,5,0),0)</f>
        <v>1.61</v>
      </c>
      <c r="I103" s="21">
        <f t="shared" si="8"/>
        <v>0.63398279742765284</v>
      </c>
      <c r="J103" s="16">
        <f t="shared" si="9"/>
        <v>2.6796559485530569</v>
      </c>
      <c r="K103" s="106" t="str">
        <f>VLOOKUP(C103,'RAW DATA 2023'!E:BO,36,0)</f>
        <v>อัตรารอดต่ำ</v>
      </c>
      <c r="L103" s="106">
        <f>VLOOKUP(C103,'RAW DATA 2023'!E:BO,21,0)</f>
        <v>6.3364599999999998</v>
      </c>
      <c r="M103" s="106">
        <f t="shared" si="10"/>
        <v>16.979532731768501</v>
      </c>
    </row>
    <row r="104" spans="1:13">
      <c r="A104" t="str">
        <f>'RAW DATA 2023'!B97</f>
        <v>Roiphet1</v>
      </c>
      <c r="B104" t="str">
        <f>'RAW DATA 2023'!D97</f>
        <v>A5-G09-0084</v>
      </c>
      <c r="C104" t="str">
        <f t="shared" si="6"/>
        <v>Roiphet1A5-G09-0084</v>
      </c>
      <c r="D104">
        <f>VLOOKUP(C104,'RAW DATA 2023'!E:BP,63,0)</f>
        <v>10</v>
      </c>
      <c r="E104" t="str">
        <f t="shared" si="7"/>
        <v>Roiphet110</v>
      </c>
      <c r="F104">
        <f>ROUND(VLOOKUP(C104,'RAW DATA 2023'!E:BO,23,0),0)</f>
        <v>35</v>
      </c>
      <c r="G104" s="16">
        <f>VLOOKUP(C104,'RAW DATA 2023'!E:BO,27,0)</f>
        <v>2.7922374363671341</v>
      </c>
      <c r="H104" s="16">
        <f>IFERROR(VLOOKUP(F104,STD!B:G,5,0),0)</f>
        <v>1.75</v>
      </c>
      <c r="I104" s="21">
        <f t="shared" si="8"/>
        <v>0.62673753213367611</v>
      </c>
      <c r="J104" s="16">
        <f t="shared" si="9"/>
        <v>2.5347506426735222</v>
      </c>
      <c r="K104" s="106" t="str">
        <f>VLOOKUP(C104,'RAW DATA 2023'!E:BO,36,0)</f>
        <v>อัตรารอดต่ำ</v>
      </c>
      <c r="L104" s="106">
        <f>VLOOKUP(C104,'RAW DATA 2023'!E:BO,21,0)</f>
        <v>7.5512199999999998</v>
      </c>
      <c r="M104" s="106">
        <f t="shared" si="10"/>
        <v>19.140459747969153</v>
      </c>
    </row>
    <row r="105" spans="1:13">
      <c r="A105" t="str">
        <f>'RAW DATA 2023'!B98</f>
        <v>Roiphet1</v>
      </c>
      <c r="B105" t="str">
        <f>'RAW DATA 2023'!D98</f>
        <v>A5-I10-0095</v>
      </c>
      <c r="C105" t="str">
        <f t="shared" si="6"/>
        <v>Roiphet1A5-I10-0095</v>
      </c>
      <c r="D105">
        <f>VLOOKUP(C105,'RAW DATA 2023'!E:BP,63,0)</f>
        <v>10</v>
      </c>
      <c r="E105" t="str">
        <f t="shared" si="7"/>
        <v>Roiphet110</v>
      </c>
      <c r="F105">
        <f>ROUND(VLOOKUP(C105,'RAW DATA 2023'!E:BO,23,0),0)</f>
        <v>27</v>
      </c>
      <c r="G105" s="16">
        <f>VLOOKUP(C105,'RAW DATA 2023'!E:BO,27,0)</f>
        <v>3.2912976792298041</v>
      </c>
      <c r="H105" s="16">
        <f>IFERROR(VLOOKUP(F105,STD!B:G,5,0),0)</f>
        <v>1.96</v>
      </c>
      <c r="I105" s="21">
        <f t="shared" si="8"/>
        <v>0.5955097931034482</v>
      </c>
      <c r="J105" s="16">
        <f t="shared" si="9"/>
        <v>1.9101958620689641</v>
      </c>
      <c r="K105" s="106" t="str">
        <f>VLOOKUP(C105,'RAW DATA 2023'!E:BO,36,0)</f>
        <v>อัตรารอดต่ำ</v>
      </c>
      <c r="L105" s="106">
        <f>VLOOKUP(C105,'RAW DATA 2023'!E:BO,21,0)</f>
        <v>3.1999</v>
      </c>
      <c r="M105" s="106">
        <f t="shared" si="10"/>
        <v>6.1124357390344777</v>
      </c>
    </row>
    <row r="106" spans="1:13">
      <c r="A106" t="str">
        <f>'RAW DATA 2023'!B99</f>
        <v>Roiphet1</v>
      </c>
      <c r="B106" t="str">
        <f>'RAW DATA 2023'!D99</f>
        <v>A3-I05-0085</v>
      </c>
      <c r="C106" t="str">
        <f t="shared" si="6"/>
        <v>Roiphet1A3-I05-0085</v>
      </c>
      <c r="D106">
        <f>VLOOKUP(C106,'RAW DATA 2023'!E:BP,63,0)</f>
        <v>10</v>
      </c>
      <c r="E106" t="str">
        <f t="shared" si="7"/>
        <v>Roiphet110</v>
      </c>
      <c r="F106">
        <f>ROUND(VLOOKUP(C106,'RAW DATA 2023'!E:BO,23,0),0)</f>
        <v>42</v>
      </c>
      <c r="G106" s="16">
        <f>VLOOKUP(C106,'RAW DATA 2023'!E:BO,27,0)</f>
        <v>2.4807110389185083</v>
      </c>
      <c r="H106" s="16">
        <f>IFERROR(VLOOKUP(F106,STD!B:G,5,0),0)</f>
        <v>1.6</v>
      </c>
      <c r="I106" s="21">
        <f t="shared" si="8"/>
        <v>0.6449763696369637</v>
      </c>
      <c r="J106" s="16">
        <f t="shared" si="9"/>
        <v>2.899527392739274</v>
      </c>
      <c r="K106" s="106" t="str">
        <f>VLOOKUP(C106,'RAW DATA 2023'!E:BO,36,0)</f>
        <v>อัตรารอดต่ำ</v>
      </c>
      <c r="L106" s="106">
        <f>VLOOKUP(C106,'RAW DATA 2023'!E:BO,21,0)</f>
        <v>3.1843900000000001</v>
      </c>
      <c r="M106" s="106">
        <f t="shared" si="10"/>
        <v>9.2332260341650176</v>
      </c>
    </row>
    <row r="107" spans="1:13">
      <c r="A107" t="str">
        <f>'RAW DATA 2023'!B100</f>
        <v>Roiphet1</v>
      </c>
      <c r="B107" t="str">
        <f>'RAW DATA 2023'!D100</f>
        <v>A6-I11-0102</v>
      </c>
      <c r="C107" t="str">
        <f t="shared" si="6"/>
        <v>Roiphet1A6-I11-0102</v>
      </c>
      <c r="D107">
        <f>VLOOKUP(C107,'RAW DATA 2023'!E:BP,63,0)</f>
        <v>10</v>
      </c>
      <c r="E107" t="str">
        <f t="shared" si="7"/>
        <v>Roiphet110</v>
      </c>
      <c r="F107">
        <f>ROUND(VLOOKUP(C107,'RAW DATA 2023'!E:BO,23,0),0)</f>
        <v>28</v>
      </c>
      <c r="G107" s="16">
        <f>VLOOKUP(C107,'RAW DATA 2023'!E:BO,27,0)</f>
        <v>3.3514856359491332</v>
      </c>
      <c r="H107" s="16">
        <f>IFERROR(VLOOKUP(F107,STD!B:G,5,0),0)</f>
        <v>1.93</v>
      </c>
      <c r="I107" s="21">
        <f t="shared" si="8"/>
        <v>0.57586402259887004</v>
      </c>
      <c r="J107" s="16">
        <f t="shared" si="9"/>
        <v>1.5172804519774008</v>
      </c>
      <c r="K107" s="106" t="str">
        <f>VLOOKUP(C107,'RAW DATA 2023'!E:BO,36,0)</f>
        <v>อัตรารอดต่ำ</v>
      </c>
      <c r="L107" s="106">
        <f>VLOOKUP(C107,'RAW DATA 2023'!E:BO,21,0)</f>
        <v>2.8306199999999997</v>
      </c>
      <c r="M107" s="106">
        <f t="shared" si="10"/>
        <v>4.2948443929762696</v>
      </c>
    </row>
    <row r="108" spans="1:13">
      <c r="A108" t="str">
        <f>'RAW DATA 2023'!B101</f>
        <v>Roiphet1</v>
      </c>
      <c r="B108" t="str">
        <f>'RAW DATA 2023'!D101</f>
        <v>A5-G10-0069</v>
      </c>
      <c r="C108" t="str">
        <f t="shared" si="6"/>
        <v>Roiphet1A5-G10-0069</v>
      </c>
      <c r="D108">
        <f>VLOOKUP(C108,'RAW DATA 2023'!E:BP,63,0)</f>
        <v>10</v>
      </c>
      <c r="E108" t="str">
        <f t="shared" si="7"/>
        <v>Roiphet110</v>
      </c>
      <c r="F108">
        <f>ROUND(VLOOKUP(C108,'RAW DATA 2023'!E:BO,23,0),0)</f>
        <v>36</v>
      </c>
      <c r="G108" s="16">
        <f>VLOOKUP(C108,'RAW DATA 2023'!E:BO,27,0)</f>
        <v>3.0674448872947</v>
      </c>
      <c r="H108" s="16">
        <f>IFERROR(VLOOKUP(F108,STD!B:G,5,0),0)</f>
        <v>1.726</v>
      </c>
      <c r="I108" s="21">
        <f t="shared" si="8"/>
        <v>0.56268329616908852</v>
      </c>
      <c r="J108" s="16">
        <f t="shared" si="9"/>
        <v>1.2536659233817704</v>
      </c>
      <c r="K108" s="106" t="str">
        <f>VLOOKUP(C108,'RAW DATA 2023'!E:BO,36,0)</f>
        <v>อัตรารอดต่ำ</v>
      </c>
      <c r="L108" s="106">
        <f>VLOOKUP(C108,'RAW DATA 2023'!E:BO,21,0)</f>
        <v>6.4523700000000002</v>
      </c>
      <c r="M108" s="106">
        <f t="shared" si="10"/>
        <v>8.0891163940508335</v>
      </c>
    </row>
    <row r="109" spans="1:13">
      <c r="A109" t="str">
        <f>'RAW DATA 2023'!B102</f>
        <v>Roiphet1</v>
      </c>
      <c r="B109" t="str">
        <f>'RAW DATA 2023'!D102</f>
        <v>A6-G11-0092</v>
      </c>
      <c r="C109" t="str">
        <f t="shared" si="6"/>
        <v>Roiphet1A6-G11-0092</v>
      </c>
      <c r="D109">
        <f>VLOOKUP(C109,'RAW DATA 2023'!E:BP,63,0)</f>
        <v>10</v>
      </c>
      <c r="E109" t="str">
        <f t="shared" si="7"/>
        <v>Roiphet110</v>
      </c>
      <c r="F109">
        <f>ROUND(VLOOKUP(C109,'RAW DATA 2023'!E:BO,23,0),0)</f>
        <v>40</v>
      </c>
      <c r="G109" s="16">
        <f>VLOOKUP(C109,'RAW DATA 2023'!E:BO,27,0)</f>
        <v>2.8315015521089832</v>
      </c>
      <c r="H109" s="16">
        <f>IFERROR(VLOOKUP(F109,STD!B:G,5,0),0)</f>
        <v>1.63</v>
      </c>
      <c r="I109" s="21">
        <f t="shared" si="8"/>
        <v>0.57566629224904686</v>
      </c>
      <c r="J109" s="16">
        <f t="shared" si="9"/>
        <v>1.5133258449809373</v>
      </c>
      <c r="K109" s="106" t="str">
        <f>VLOOKUP(C109,'RAW DATA 2023'!E:BO,36,0)</f>
        <v>อัตรารอดต่ำ</v>
      </c>
      <c r="L109" s="106">
        <f>VLOOKUP(C109,'RAW DATA 2023'!E:BO,21,0)</f>
        <v>7.2236099999999999</v>
      </c>
      <c r="M109" s="106">
        <f t="shared" si="10"/>
        <v>10.931675707062748</v>
      </c>
    </row>
    <row r="110" spans="1:13">
      <c r="A110" t="str">
        <f>'RAW DATA 2023'!B103</f>
        <v>Roiphet1</v>
      </c>
      <c r="B110" t="str">
        <f>'RAW DATA 2023'!D103</f>
        <v>A4-I07-0095</v>
      </c>
      <c r="C110" t="str">
        <f t="shared" si="6"/>
        <v>Roiphet1A4-I07-0095</v>
      </c>
      <c r="D110">
        <f>VLOOKUP(C110,'RAW DATA 2023'!E:BP,63,0)</f>
        <v>10</v>
      </c>
      <c r="E110" t="str">
        <f t="shared" si="7"/>
        <v>Roiphet110</v>
      </c>
      <c r="F110">
        <f>ROUND(VLOOKUP(C110,'RAW DATA 2023'!E:BO,23,0),0)</f>
        <v>36</v>
      </c>
      <c r="G110" s="16">
        <f>VLOOKUP(C110,'RAW DATA 2023'!E:BO,27,0)</f>
        <v>2.4627817053512162</v>
      </c>
      <c r="H110" s="16">
        <f>IFERROR(VLOOKUP(F110,STD!B:G,5,0),0)</f>
        <v>1.726</v>
      </c>
      <c r="I110" s="21">
        <f t="shared" si="8"/>
        <v>0.70083353155080219</v>
      </c>
      <c r="J110" s="16">
        <f t="shared" si="9"/>
        <v>4.0166706310160443</v>
      </c>
      <c r="K110" s="106" t="str">
        <f>VLOOKUP(C110,'RAW DATA 2023'!E:BO,36,0)</f>
        <v>อัตรารอดต่ำ</v>
      </c>
      <c r="L110" s="106">
        <f>VLOOKUP(C110,'RAW DATA 2023'!E:BO,21,0)</f>
        <v>3.93154</v>
      </c>
      <c r="M110" s="106">
        <f t="shared" si="10"/>
        <v>15.791701252664819</v>
      </c>
    </row>
    <row r="111" spans="1:13">
      <c r="A111" t="str">
        <f>'RAW DATA 2023'!B104</f>
        <v>Roiphet1</v>
      </c>
      <c r="B111" t="str">
        <f>'RAW DATA 2023'!D104</f>
        <v>A4-G07-0072</v>
      </c>
      <c r="C111" t="str">
        <f t="shared" si="6"/>
        <v>Roiphet1A4-G07-0072</v>
      </c>
      <c r="D111">
        <f>VLOOKUP(C111,'RAW DATA 2023'!E:BP,63,0)</f>
        <v>10</v>
      </c>
      <c r="E111" t="str">
        <f t="shared" si="7"/>
        <v>Roiphet110</v>
      </c>
      <c r="F111">
        <f>ROUND(VLOOKUP(C111,'RAW DATA 2023'!E:BO,23,0),0)</f>
        <v>37</v>
      </c>
      <c r="G111" s="16">
        <f>VLOOKUP(C111,'RAW DATA 2023'!E:BO,27,0)</f>
        <v>2.9444216268662911</v>
      </c>
      <c r="H111" s="16">
        <f>IFERROR(VLOOKUP(F111,STD!B:G,5,0),0)</f>
        <v>1.6970000000000001</v>
      </c>
      <c r="I111" s="21">
        <f t="shared" si="8"/>
        <v>0.57634408894289191</v>
      </c>
      <c r="J111" s="16">
        <f t="shared" si="9"/>
        <v>1.5268817788578382</v>
      </c>
      <c r="K111" s="106" t="str">
        <f>VLOOKUP(C111,'RAW DATA 2023'!E:BO,36,0)</f>
        <v>อัตรารอดต่ำ</v>
      </c>
      <c r="L111" s="106">
        <f>VLOOKUP(C111,'RAW DATA 2023'!E:BO,21,0)</f>
        <v>7.2866499999999998</v>
      </c>
      <c r="M111" s="106">
        <f t="shared" si="10"/>
        <v>11.125853113914467</v>
      </c>
    </row>
    <row r="112" spans="1:13">
      <c r="A112" t="str">
        <f>'RAW DATA 2023'!B105</f>
        <v>Roiphet1</v>
      </c>
      <c r="B112" t="str">
        <f>'RAW DATA 2023'!D105</f>
        <v>D6-I12-0085</v>
      </c>
      <c r="C112" t="str">
        <f t="shared" si="6"/>
        <v>Roiphet1D6-I12-0085</v>
      </c>
      <c r="D112">
        <f>VLOOKUP(C112,'RAW DATA 2023'!E:BP,63,0)</f>
        <v>6</v>
      </c>
      <c r="E112" t="str">
        <f t="shared" si="7"/>
        <v>Roiphet16</v>
      </c>
      <c r="F112">
        <f>ROUND(VLOOKUP(C112,'RAW DATA 2023'!E:BO,23,0),0)</f>
        <v>30</v>
      </c>
      <c r="G112" s="16">
        <f>VLOOKUP(C112,'RAW DATA 2023'!E:BO,27,0)</f>
        <v>2.6982712260869235</v>
      </c>
      <c r="H112" s="16">
        <f>IFERROR(VLOOKUP(F112,STD!B:G,5,0),0)</f>
        <v>1.87</v>
      </c>
      <c r="I112" s="21">
        <f t="shared" si="8"/>
        <v>0.69303633449477364</v>
      </c>
      <c r="J112" s="16">
        <f t="shared" si="9"/>
        <v>3.8607266898954729</v>
      </c>
      <c r="K112" s="106" t="str">
        <f>VLOOKUP(C112,'RAW DATA 2023'!E:BO,36,0)</f>
        <v>Normal</v>
      </c>
      <c r="L112" s="106">
        <f>VLOOKUP(C112,'RAW DATA 2023'!E:BO,21,0)</f>
        <v>2.8191100000000002</v>
      </c>
      <c r="M112" s="106">
        <f t="shared" si="10"/>
        <v>10.883813218751227</v>
      </c>
    </row>
    <row r="113" spans="1:13">
      <c r="A113" t="str">
        <f>'RAW DATA 2023'!B106</f>
        <v>Roiphet1</v>
      </c>
      <c r="B113" t="str">
        <f>'RAW DATA 2023'!D106</f>
        <v>D4-G08-0059</v>
      </c>
      <c r="C113" t="str">
        <f t="shared" si="6"/>
        <v>Roiphet1D4-G08-0059</v>
      </c>
      <c r="D113">
        <f>VLOOKUP(C113,'RAW DATA 2023'!E:BP,63,0)</f>
        <v>5</v>
      </c>
      <c r="E113" t="str">
        <f t="shared" si="7"/>
        <v>Roiphet15</v>
      </c>
      <c r="F113">
        <f>ROUND(VLOOKUP(C113,'RAW DATA 2023'!E:BO,23,0),0)</f>
        <v>35</v>
      </c>
      <c r="G113" s="16">
        <f>VLOOKUP(C113,'RAW DATA 2023'!E:BO,27,0)</f>
        <v>2.1582842097454464</v>
      </c>
      <c r="H113" s="16">
        <f>IFERROR(VLOOKUP(F113,STD!B:G,5,0),0)</f>
        <v>1.75</v>
      </c>
      <c r="I113" s="21">
        <f t="shared" si="8"/>
        <v>0.81082926525529253</v>
      </c>
      <c r="J113" s="16">
        <f t="shared" si="9"/>
        <v>6.2165853051058502</v>
      </c>
      <c r="K113" s="106" t="str">
        <f>VLOOKUP(C113,'RAW DATA 2023'!E:BO,36,0)</f>
        <v>Normal</v>
      </c>
      <c r="L113" s="106">
        <f>VLOOKUP(C113,'RAW DATA 2023'!E:BO,21,0)</f>
        <v>9.6585699999999992</v>
      </c>
      <c r="M113" s="106">
        <f t="shared" si="10"/>
        <v>60.043324330336205</v>
      </c>
    </row>
    <row r="114" spans="1:13">
      <c r="A114" t="str">
        <f>'RAW DATA 2023'!B107</f>
        <v>Roiphet1</v>
      </c>
      <c r="B114" t="str">
        <f>'RAW DATA 2023'!D107</f>
        <v>D4-I08-0071</v>
      </c>
      <c r="C114" t="str">
        <f t="shared" si="6"/>
        <v>Roiphet1D4-I08-0071</v>
      </c>
      <c r="D114">
        <f>VLOOKUP(C114,'RAW DATA 2023'!E:BP,63,0)</f>
        <v>5</v>
      </c>
      <c r="E114" t="str">
        <f t="shared" si="7"/>
        <v>Roiphet15</v>
      </c>
      <c r="F114">
        <f>ROUND(VLOOKUP(C114,'RAW DATA 2023'!E:BO,23,0),0)</f>
        <v>34</v>
      </c>
      <c r="G114" s="16">
        <f>VLOOKUP(C114,'RAW DATA 2023'!E:BO,27,0)</f>
        <v>2.5457187651375857</v>
      </c>
      <c r="H114" s="16">
        <f>IFERROR(VLOOKUP(F114,STD!B:G,5,0),0)</f>
        <v>1.77</v>
      </c>
      <c r="I114" s="21">
        <f t="shared" si="8"/>
        <v>0.69528497186700777</v>
      </c>
      <c r="J114" s="16">
        <f t="shared" si="9"/>
        <v>3.9056994373401555</v>
      </c>
      <c r="K114" s="106" t="str">
        <f>VLOOKUP(C114,'RAW DATA 2023'!E:BO,36,0)</f>
        <v>Normal</v>
      </c>
      <c r="L114" s="106">
        <f>VLOOKUP(C114,'RAW DATA 2023'!E:BO,21,0)</f>
        <v>4.0373799999999997</v>
      </c>
      <c r="M114" s="106">
        <f t="shared" si="10"/>
        <v>15.768792794328396</v>
      </c>
    </row>
    <row r="115" spans="1:13">
      <c r="A115" t="str">
        <f>'RAW DATA 2023'!B108</f>
        <v>Roiphet1</v>
      </c>
      <c r="B115" t="str">
        <f>'RAW DATA 2023'!D108</f>
        <v>D6-G12-0079</v>
      </c>
      <c r="C115" t="str">
        <f t="shared" si="6"/>
        <v>Roiphet1D6-G12-0079</v>
      </c>
      <c r="D115">
        <f>VLOOKUP(C115,'RAW DATA 2023'!E:BP,63,0)</f>
        <v>6</v>
      </c>
      <c r="E115" t="str">
        <f t="shared" si="7"/>
        <v>Roiphet16</v>
      </c>
      <c r="F115">
        <f>ROUND(VLOOKUP(C115,'RAW DATA 2023'!E:BO,23,0),0)</f>
        <v>31</v>
      </c>
      <c r="G115" s="16">
        <f>VLOOKUP(C115,'RAW DATA 2023'!E:BO,27,0)</f>
        <v>2.2389805308827109</v>
      </c>
      <c r="H115" s="16">
        <f>IFERROR(VLOOKUP(F115,STD!B:G,5,0),0)</f>
        <v>1.84</v>
      </c>
      <c r="I115" s="21">
        <f t="shared" si="8"/>
        <v>0.82180259033989278</v>
      </c>
      <c r="J115" s="16">
        <f t="shared" si="9"/>
        <v>6.436051806797856</v>
      </c>
      <c r="K115" s="106" t="str">
        <f>VLOOKUP(C115,'RAW DATA 2023'!E:BO,36,0)</f>
        <v>ทยอยตาย</v>
      </c>
      <c r="L115" s="106">
        <f>VLOOKUP(C115,'RAW DATA 2023'!E:BO,21,0)</f>
        <v>6.56168</v>
      </c>
      <c r="M115" s="106">
        <f t="shared" si="10"/>
        <v>42.231312419629354</v>
      </c>
    </row>
    <row r="116" spans="1:13">
      <c r="A116" t="str">
        <f>'RAW DATA 2023'!B109</f>
        <v>Roiphet1</v>
      </c>
      <c r="B116" t="str">
        <f>'RAW DATA 2023'!D109</f>
        <v>D6-I11-0083</v>
      </c>
      <c r="C116" t="str">
        <f t="shared" si="6"/>
        <v>Roiphet1D6-I11-0083</v>
      </c>
      <c r="D116">
        <f>VLOOKUP(C116,'RAW DATA 2023'!E:BP,63,0)</f>
        <v>6</v>
      </c>
      <c r="E116" t="str">
        <f t="shared" si="7"/>
        <v>Roiphet16</v>
      </c>
      <c r="F116">
        <f>ROUND(VLOOKUP(C116,'RAW DATA 2023'!E:BO,23,0),0)</f>
        <v>30</v>
      </c>
      <c r="G116" s="16">
        <f>VLOOKUP(C116,'RAW DATA 2023'!E:BO,27,0)</f>
        <v>2.8167847230852079</v>
      </c>
      <c r="H116" s="16">
        <f>IFERROR(VLOOKUP(F116,STD!B:G,5,0),0)</f>
        <v>1.87</v>
      </c>
      <c r="I116" s="21">
        <f t="shared" si="8"/>
        <v>0.66387750000000001</v>
      </c>
      <c r="J116" s="16">
        <f t="shared" si="9"/>
        <v>3.2775500000000002</v>
      </c>
      <c r="K116" s="106" t="str">
        <f>VLOOKUP(C116,'RAW DATA 2023'!E:BO,36,0)</f>
        <v>ทยอยตาย</v>
      </c>
      <c r="L116" s="106">
        <f>VLOOKUP(C116,'RAW DATA 2023'!E:BO,21,0)</f>
        <v>2.5640999999999998</v>
      </c>
      <c r="M116" s="106">
        <f t="shared" si="10"/>
        <v>8.4039659550000003</v>
      </c>
    </row>
    <row r="117" spans="1:13">
      <c r="A117" t="str">
        <f>'RAW DATA 2023'!B110</f>
        <v>Roiphet1</v>
      </c>
      <c r="B117" t="str">
        <f>'RAW DATA 2023'!D110</f>
        <v>D1-I02-0088</v>
      </c>
      <c r="C117" t="str">
        <f t="shared" si="6"/>
        <v>Roiphet1D1-I02-0088</v>
      </c>
      <c r="D117">
        <f>VLOOKUP(C117,'RAW DATA 2023'!E:BP,63,0)</f>
        <v>1</v>
      </c>
      <c r="E117" t="str">
        <f t="shared" si="7"/>
        <v>Roiphet11</v>
      </c>
      <c r="F117">
        <f>ROUND(VLOOKUP(C117,'RAW DATA 2023'!E:BO,23,0),0)</f>
        <v>40</v>
      </c>
      <c r="G117" s="16">
        <f>VLOOKUP(C117,'RAW DATA 2023'!E:BO,27,0)</f>
        <v>1.48614172838283</v>
      </c>
      <c r="H117" s="16">
        <f>IFERROR(VLOOKUP(F117,STD!B:G,5,0),0)</f>
        <v>1.63</v>
      </c>
      <c r="I117" s="21">
        <f t="shared" si="8"/>
        <v>1.0967998333333333</v>
      </c>
      <c r="J117" s="16">
        <f t="shared" si="9"/>
        <v>11.935996666666666</v>
      </c>
      <c r="K117" s="106" t="str">
        <f>VLOOKUP(C117,'RAW DATA 2023'!E:BO,36,0)</f>
        <v>ไฟฟ้าดับ</v>
      </c>
      <c r="L117" s="106">
        <f>VLOOKUP(C117,'RAW DATA 2023'!E:BO,21,0)</f>
        <v>4.1273</v>
      </c>
      <c r="M117" s="106">
        <f t="shared" si="10"/>
        <v>49.263439042333331</v>
      </c>
    </row>
    <row r="118" spans="1:13">
      <c r="A118" t="str">
        <f>'RAW DATA 2023'!B111</f>
        <v>Roiphet1</v>
      </c>
      <c r="B118" t="str">
        <f>'RAW DATA 2023'!D111</f>
        <v>D4-G07-0062</v>
      </c>
      <c r="C118" t="str">
        <f t="shared" si="6"/>
        <v>Roiphet1D4-G07-0062</v>
      </c>
      <c r="D118">
        <f>VLOOKUP(C118,'RAW DATA 2023'!E:BP,63,0)</f>
        <v>5</v>
      </c>
      <c r="E118" t="str">
        <f t="shared" si="7"/>
        <v>Roiphet15</v>
      </c>
      <c r="F118">
        <f>ROUND(VLOOKUP(C118,'RAW DATA 2023'!E:BO,23,0),0)</f>
        <v>38</v>
      </c>
      <c r="G118" s="16">
        <f>VLOOKUP(C118,'RAW DATA 2023'!E:BO,27,0)</f>
        <v>2.5127301189652074</v>
      </c>
      <c r="H118" s="16">
        <f>IFERROR(VLOOKUP(F118,STD!B:G,5,0),0)</f>
        <v>1.669</v>
      </c>
      <c r="I118" s="21">
        <f t="shared" si="8"/>
        <v>0.66421777150000005</v>
      </c>
      <c r="J118" s="16">
        <f t="shared" si="9"/>
        <v>3.2843554300000011</v>
      </c>
      <c r="K118" s="106" t="str">
        <f>VLOOKUP(C118,'RAW DATA 2023'!E:BO,36,0)</f>
        <v>Normal</v>
      </c>
      <c r="L118" s="106">
        <f>VLOOKUP(C118,'RAW DATA 2023'!E:BO,21,0)</f>
        <v>8.3072700000000008</v>
      </c>
      <c r="M118" s="106">
        <f t="shared" si="10"/>
        <v>27.284027332976112</v>
      </c>
    </row>
    <row r="119" spans="1:13">
      <c r="A119" t="str">
        <f>'RAW DATA 2023'!B112</f>
        <v>Roiphet1</v>
      </c>
      <c r="B119" t="str">
        <f>'RAW DATA 2023'!D112</f>
        <v>D4-I07-0076</v>
      </c>
      <c r="C119" t="str">
        <f t="shared" si="6"/>
        <v>Roiphet1D4-I07-0076</v>
      </c>
      <c r="D119">
        <f>VLOOKUP(C119,'RAW DATA 2023'!E:BP,63,0)</f>
        <v>5</v>
      </c>
      <c r="E119" t="str">
        <f t="shared" si="7"/>
        <v>Roiphet15</v>
      </c>
      <c r="F119">
        <f>ROUND(VLOOKUP(C119,'RAW DATA 2023'!E:BO,23,0),0)</f>
        <v>37</v>
      </c>
      <c r="G119" s="16">
        <f>VLOOKUP(C119,'RAW DATA 2023'!E:BO,27,0)</f>
        <v>2.0098388380007415</v>
      </c>
      <c r="H119" s="16">
        <f>IFERROR(VLOOKUP(F119,STD!B:G,5,0),0)</f>
        <v>1.6970000000000001</v>
      </c>
      <c r="I119" s="21">
        <f t="shared" si="8"/>
        <v>0.84434630673575128</v>
      </c>
      <c r="J119" s="16">
        <f t="shared" si="9"/>
        <v>6.8869261347150257</v>
      </c>
      <c r="K119" s="106" t="str">
        <f>VLOOKUP(C119,'RAW DATA 2023'!E:BO,36,0)</f>
        <v>Normal</v>
      </c>
      <c r="L119" s="106">
        <f>VLOOKUP(C119,'RAW DATA 2023'!E:BO,21,0)</f>
        <v>4.9937800000000001</v>
      </c>
      <c r="M119" s="106">
        <f t="shared" si="10"/>
        <v>34.391793993017203</v>
      </c>
    </row>
    <row r="120" spans="1:13">
      <c r="A120" t="str">
        <f>'RAW DATA 2023'!B113</f>
        <v>Roiphet1</v>
      </c>
      <c r="B120" t="str">
        <f>'RAW DATA 2023'!D113</f>
        <v>D2-G03-0080</v>
      </c>
      <c r="C120" t="str">
        <f t="shared" si="6"/>
        <v>Roiphet1D2-G03-0080</v>
      </c>
      <c r="D120">
        <f>VLOOKUP(C120,'RAW DATA 2023'!E:BP,63,0)</f>
        <v>4</v>
      </c>
      <c r="E120" t="str">
        <f t="shared" si="7"/>
        <v>Roiphet14</v>
      </c>
      <c r="F120">
        <f>ROUND(VLOOKUP(C120,'RAW DATA 2023'!E:BO,23,0),0)</f>
        <v>35</v>
      </c>
      <c r="G120" s="16">
        <f>VLOOKUP(C120,'RAW DATA 2023'!E:BO,27,0)</f>
        <v>2.3406929742620628</v>
      </c>
      <c r="H120" s="16">
        <f>IFERROR(VLOOKUP(F120,STD!B:G,5,0),0)</f>
        <v>1.75</v>
      </c>
      <c r="I120" s="21">
        <f t="shared" si="8"/>
        <v>0.74764183908045978</v>
      </c>
      <c r="J120" s="16">
        <f t="shared" si="9"/>
        <v>4.9528367816091956</v>
      </c>
      <c r="K120" s="106" t="str">
        <f>VLOOKUP(C120,'RAW DATA 2023'!E:BO,36,0)</f>
        <v>Normal</v>
      </c>
      <c r="L120" s="106">
        <f>VLOOKUP(C120,'RAW DATA 2023'!E:BO,21,0)</f>
        <v>9.5929199999999994</v>
      </c>
      <c r="M120" s="106">
        <f t="shared" si="10"/>
        <v>47.512167019034479</v>
      </c>
    </row>
    <row r="121" spans="1:13">
      <c r="A121" t="str">
        <f>'RAW DATA 2023'!B114</f>
        <v>Roiphet1</v>
      </c>
      <c r="B121" t="str">
        <f>'RAW DATA 2023'!D114</f>
        <v>D5-I09-0082</v>
      </c>
      <c r="C121" t="str">
        <f t="shared" si="6"/>
        <v>Roiphet1D5-I09-0082</v>
      </c>
      <c r="D121">
        <f>VLOOKUP(C121,'RAW DATA 2023'!E:BP,63,0)</f>
        <v>5</v>
      </c>
      <c r="E121" t="str">
        <f t="shared" si="7"/>
        <v>Roiphet15</v>
      </c>
      <c r="F121">
        <f>ROUND(VLOOKUP(C121,'RAW DATA 2023'!E:BO,23,0),0)</f>
        <v>36</v>
      </c>
      <c r="G121" s="16">
        <f>VLOOKUP(C121,'RAW DATA 2023'!E:BO,27,0)</f>
        <v>2.4761307150942464</v>
      </c>
      <c r="H121" s="16">
        <f>IFERROR(VLOOKUP(F121,STD!B:G,5,0),0)</f>
        <v>1.726</v>
      </c>
      <c r="I121" s="21">
        <f t="shared" si="8"/>
        <v>0.69705528447204979</v>
      </c>
      <c r="J121" s="16">
        <f t="shared" si="9"/>
        <v>3.9411056894409957</v>
      </c>
      <c r="K121" s="106" t="str">
        <f>VLOOKUP(C121,'RAW DATA 2023'!E:BO,36,0)</f>
        <v>Normal</v>
      </c>
      <c r="L121" s="106">
        <f>VLOOKUP(C121,'RAW DATA 2023'!E:BO,21,0)</f>
        <v>4.9518500000000003</v>
      </c>
      <c r="M121" s="106">
        <f t="shared" si="10"/>
        <v>19.515764208258396</v>
      </c>
    </row>
    <row r="122" spans="1:13">
      <c r="A122" t="str">
        <f>'RAW DATA 2023'!B115</f>
        <v>Roiphet1</v>
      </c>
      <c r="B122" t="str">
        <f>'RAW DATA 2023'!D115</f>
        <v>D2-I04-0091</v>
      </c>
      <c r="C122" t="str">
        <f t="shared" si="6"/>
        <v>Roiphet1D2-I04-0091</v>
      </c>
      <c r="D122">
        <f>VLOOKUP(C122,'RAW DATA 2023'!E:BP,63,0)</f>
        <v>5</v>
      </c>
      <c r="E122" t="str">
        <f t="shared" si="7"/>
        <v>Roiphet15</v>
      </c>
      <c r="F122">
        <f>ROUND(VLOOKUP(C122,'RAW DATA 2023'!E:BO,23,0),0)</f>
        <v>35</v>
      </c>
      <c r="G122" s="16">
        <f>VLOOKUP(C122,'RAW DATA 2023'!E:BO,27,0)</f>
        <v>2.5001628012986892</v>
      </c>
      <c r="H122" s="16">
        <f>IFERROR(VLOOKUP(F122,STD!B:G,5,0),0)</f>
        <v>1.75</v>
      </c>
      <c r="I122" s="21">
        <f t="shared" si="8"/>
        <v>0.69995441860465113</v>
      </c>
      <c r="J122" s="16">
        <f t="shared" si="9"/>
        <v>3.9990883720930226</v>
      </c>
      <c r="K122" s="106" t="str">
        <f>VLOOKUP(C122,'RAW DATA 2023'!E:BO,36,0)</f>
        <v>Normal</v>
      </c>
      <c r="L122" s="106">
        <f>VLOOKUP(C122,'RAW DATA 2023'!E:BO,21,0)</f>
        <v>4.4097200000000001</v>
      </c>
      <c r="M122" s="106">
        <f t="shared" si="10"/>
        <v>17.634859976186043</v>
      </c>
    </row>
    <row r="123" spans="1:13">
      <c r="A123" t="str">
        <f>'RAW DATA 2023'!B116</f>
        <v>Roiphet1</v>
      </c>
      <c r="B123" t="str">
        <f>'RAW DATA 2023'!D116</f>
        <v>D6-G11-0076</v>
      </c>
      <c r="C123" t="str">
        <f t="shared" si="6"/>
        <v>Roiphet1D6-G11-0076</v>
      </c>
      <c r="D123">
        <f>VLOOKUP(C123,'RAW DATA 2023'!E:BP,63,0)</f>
        <v>6</v>
      </c>
      <c r="E123" t="str">
        <f t="shared" si="7"/>
        <v>Roiphet16</v>
      </c>
      <c r="F123">
        <f>ROUND(VLOOKUP(C123,'RAW DATA 2023'!E:BO,23,0),0)</f>
        <v>32</v>
      </c>
      <c r="G123" s="16">
        <f>VLOOKUP(C123,'RAW DATA 2023'!E:BO,27,0)</f>
        <v>2.2822167960918209</v>
      </c>
      <c r="H123" s="16">
        <f>IFERROR(VLOOKUP(F123,STD!B:G,5,0),0)</f>
        <v>1.82</v>
      </c>
      <c r="J123" s="16">
        <f t="shared" si="9"/>
        <v>-10</v>
      </c>
      <c r="K123" s="106" t="str">
        <f>VLOOKUP(C123,'RAW DATA 2023'!E:BO,36,0)</f>
        <v>Normal</v>
      </c>
      <c r="L123" s="106">
        <f>VLOOKUP(C123,'RAW DATA 2023'!E:BO,21,0)</f>
        <v>6.3938600000000001</v>
      </c>
      <c r="M123" s="106">
        <f t="shared" si="10"/>
        <v>-63.938600000000001</v>
      </c>
    </row>
    <row r="124" spans="1:13">
      <c r="A124" t="str">
        <f>'RAW DATA 2023'!B117</f>
        <v>Roiphet1</v>
      </c>
      <c r="B124" t="str">
        <f>'RAW DATA 2023'!D117</f>
        <v>D2-I03-0085</v>
      </c>
      <c r="C124" t="str">
        <f t="shared" si="6"/>
        <v>Roiphet1D2-I03-0085</v>
      </c>
      <c r="D124">
        <f>VLOOKUP(C124,'RAW DATA 2023'!E:BP,63,0)</f>
        <v>4</v>
      </c>
      <c r="E124" t="str">
        <f t="shared" si="7"/>
        <v>Roiphet14</v>
      </c>
      <c r="F124">
        <f>ROUND(VLOOKUP(C124,'RAW DATA 2023'!E:BO,23,0),0)</f>
        <v>37</v>
      </c>
      <c r="G124" s="16">
        <f>VLOOKUP(C124,'RAW DATA 2023'!E:BO,27,0)</f>
        <v>2.3877521254522618</v>
      </c>
      <c r="H124" s="16">
        <f>IFERROR(VLOOKUP(F124,STD!B:G,5,0),0)</f>
        <v>1.6970000000000001</v>
      </c>
      <c r="I124" s="21">
        <f t="shared" si="8"/>
        <v>0.71071028768472899</v>
      </c>
      <c r="J124" s="16">
        <f t="shared" si="9"/>
        <v>4.2142057536945803</v>
      </c>
      <c r="K124" s="106" t="str">
        <f>VLOOKUP(C124,'RAW DATA 2023'!E:BO,36,0)</f>
        <v>Normal</v>
      </c>
      <c r="L124" s="106">
        <f>VLOOKUP(C124,'RAW DATA 2023'!E:BO,21,0)</f>
        <v>4.35886</v>
      </c>
      <c r="M124" s="106">
        <f t="shared" si="10"/>
        <v>18.369132891549157</v>
      </c>
    </row>
    <row r="125" spans="1:13">
      <c r="A125" t="str">
        <f>'RAW DATA 2023'!B118</f>
        <v>Roiphet1</v>
      </c>
      <c r="B125" t="str">
        <f>'RAW DATA 2023'!D118</f>
        <v>D5-I10-0074</v>
      </c>
      <c r="C125" t="str">
        <f t="shared" si="6"/>
        <v>Roiphet1D5-I10-0074</v>
      </c>
      <c r="D125">
        <f>VLOOKUP(C125,'RAW DATA 2023'!E:BP,63,0)</f>
        <v>5</v>
      </c>
      <c r="E125" t="str">
        <f t="shared" si="7"/>
        <v>Roiphet15</v>
      </c>
      <c r="F125">
        <f>ROUND(VLOOKUP(C125,'RAW DATA 2023'!E:BO,23,0),0)</f>
        <v>37</v>
      </c>
      <c r="G125" s="16">
        <f>VLOOKUP(C125,'RAW DATA 2023'!E:BO,27,0)</f>
        <v>2.0633244652646821</v>
      </c>
      <c r="H125" s="16">
        <f>IFERROR(VLOOKUP(F125,STD!B:G,5,0),0)</f>
        <v>1.6970000000000001</v>
      </c>
      <c r="I125" s="21">
        <f t="shared" si="8"/>
        <v>0.82245910837988823</v>
      </c>
      <c r="J125" s="16">
        <f t="shared" si="9"/>
        <v>6.4491821675977645</v>
      </c>
      <c r="K125" s="106" t="str">
        <f>VLOOKUP(C125,'RAW DATA 2023'!E:BO,36,0)</f>
        <v>Normal</v>
      </c>
      <c r="L125" s="106">
        <f>VLOOKUP(C125,'RAW DATA 2023'!E:BO,21,0)</f>
        <v>6.6232899999999999</v>
      </c>
      <c r="M125" s="106">
        <f t="shared" si="10"/>
        <v>42.714803758828594</v>
      </c>
    </row>
    <row r="126" spans="1:13">
      <c r="A126" t="str">
        <f>'RAW DATA 2023'!B119</f>
        <v>Roiphet1</v>
      </c>
      <c r="B126" t="str">
        <f>'RAW DATA 2023'!D119</f>
        <v>D5-G10-0069</v>
      </c>
      <c r="C126" t="str">
        <f t="shared" si="6"/>
        <v>Roiphet1D5-G10-0069</v>
      </c>
      <c r="D126">
        <f>VLOOKUP(C126,'RAW DATA 2023'!E:BP,63,0)</f>
        <v>5</v>
      </c>
      <c r="E126" t="str">
        <f t="shared" si="7"/>
        <v>Roiphet15</v>
      </c>
      <c r="F126">
        <f>ROUND(VLOOKUP(C126,'RAW DATA 2023'!E:BO,23,0),0)</f>
        <v>34</v>
      </c>
      <c r="G126" s="16">
        <f>VLOOKUP(C126,'RAW DATA 2023'!E:BO,27,0)</f>
        <v>2.2969135837085974</v>
      </c>
      <c r="H126" s="16">
        <f>IFERROR(VLOOKUP(F126,STD!B:G,5,0),0)</f>
        <v>1.77</v>
      </c>
      <c r="I126" s="21">
        <f t="shared" si="8"/>
        <v>0.77059930010172928</v>
      </c>
      <c r="J126" s="16">
        <f t="shared" si="9"/>
        <v>5.4119860020345856</v>
      </c>
      <c r="K126" s="106" t="str">
        <f>VLOOKUP(C126,'RAW DATA 2023'!E:BO,36,0)</f>
        <v>Normal</v>
      </c>
      <c r="L126" s="106">
        <f>VLOOKUP(C126,'RAW DATA 2023'!E:BO,21,0)</f>
        <v>10.91056</v>
      </c>
      <c r="M126" s="106">
        <f t="shared" si="10"/>
        <v>59.047797994358469</v>
      </c>
    </row>
    <row r="127" spans="1:13">
      <c r="A127" t="str">
        <f>'RAW DATA 2023'!B120</f>
        <v>Roiphet1</v>
      </c>
      <c r="B127" t="str">
        <f>'RAW DATA 2023'!D120</f>
        <v>D2-G04-0079</v>
      </c>
      <c r="C127" t="str">
        <f t="shared" si="6"/>
        <v>Roiphet1D2-G04-0079</v>
      </c>
      <c r="D127">
        <f>VLOOKUP(C127,'RAW DATA 2023'!E:BP,63,0)</f>
        <v>5</v>
      </c>
      <c r="E127" t="str">
        <f t="shared" si="7"/>
        <v>Roiphet15</v>
      </c>
      <c r="F127">
        <f>ROUND(VLOOKUP(C127,'RAW DATA 2023'!E:BO,23,0),0)</f>
        <v>36</v>
      </c>
      <c r="G127" s="16">
        <f>VLOOKUP(C127,'RAW DATA 2023'!E:BO,27,0)</f>
        <v>2.746112252817666</v>
      </c>
      <c r="H127" s="16">
        <f>IFERROR(VLOOKUP(F127,STD!B:G,5,0),0)</f>
        <v>1.726</v>
      </c>
      <c r="I127" s="21">
        <f t="shared" si="8"/>
        <v>0.62852492582159625</v>
      </c>
      <c r="J127" s="16">
        <f t="shared" si="9"/>
        <v>2.570498516431925</v>
      </c>
      <c r="K127" s="106" t="str">
        <f>VLOOKUP(C127,'RAW DATA 2023'!E:BO,36,0)</f>
        <v>Normal</v>
      </c>
      <c r="L127" s="106">
        <f>VLOOKUP(C127,'RAW DATA 2023'!E:BO,21,0)</f>
        <v>7.97194</v>
      </c>
      <c r="M127" s="106">
        <f t="shared" si="10"/>
        <v>20.491859943084322</v>
      </c>
    </row>
    <row r="128" spans="1:13">
      <c r="A128" t="str">
        <f>'RAW DATA 2023'!B121</f>
        <v>Roiphet1</v>
      </c>
      <c r="B128" t="str">
        <f>'RAW DATA 2023'!D121</f>
        <v>D6-I11-0082</v>
      </c>
      <c r="C128" t="str">
        <f t="shared" si="6"/>
        <v>Roiphet1D6-I11-0082</v>
      </c>
      <c r="D128">
        <f>VLOOKUP(C128,'RAW DATA 2023'!E:BP,63,0)</f>
        <v>2</v>
      </c>
      <c r="E128" t="str">
        <f t="shared" si="7"/>
        <v>Roiphet12</v>
      </c>
      <c r="F128">
        <f>ROUND(VLOOKUP(C128,'RAW DATA 2023'!E:BO,23,0),0)</f>
        <v>35</v>
      </c>
      <c r="G128" s="16">
        <f>VLOOKUP(C128,'RAW DATA 2023'!E:BO,27,0)</f>
        <v>2.198035598297881</v>
      </c>
      <c r="H128" s="16">
        <f>IFERROR(VLOOKUP(F128,STD!B:G,5,0),0)</f>
        <v>1.75</v>
      </c>
      <c r="I128" s="21">
        <f t="shared" si="8"/>
        <v>0.79616544943820211</v>
      </c>
      <c r="J128" s="16">
        <f t="shared" si="9"/>
        <v>5.9233089887640418</v>
      </c>
      <c r="K128" s="106" t="str">
        <f>VLOOKUP(C128,'RAW DATA 2023'!E:BO,36,0)</f>
        <v>Normal</v>
      </c>
      <c r="L128" s="106">
        <f>VLOOKUP(C128,'RAW DATA 2023'!E:BO,21,0)</f>
        <v>4.15707</v>
      </c>
      <c r="M128" s="106">
        <f t="shared" si="10"/>
        <v>24.623610097921336</v>
      </c>
    </row>
    <row r="129" spans="1:13">
      <c r="A129" t="str">
        <f>'RAW DATA 2023'!B122</f>
        <v>Roiphet1</v>
      </c>
      <c r="B129" t="str">
        <f>'RAW DATA 2023'!D122</f>
        <v>D1-G02-0078</v>
      </c>
      <c r="C129" t="str">
        <f t="shared" si="6"/>
        <v>Roiphet1D1-G02-0078</v>
      </c>
      <c r="D129">
        <f>VLOOKUP(C129,'RAW DATA 2023'!E:BP,63,0)</f>
        <v>2</v>
      </c>
      <c r="E129" t="str">
        <f t="shared" si="7"/>
        <v>Roiphet12</v>
      </c>
      <c r="F129">
        <f>ROUND(VLOOKUP(C129,'RAW DATA 2023'!E:BO,23,0),0)</f>
        <v>36</v>
      </c>
      <c r="G129" s="16">
        <f>VLOOKUP(C129,'RAW DATA 2023'!E:BO,27,0)</f>
        <v>1.6560886065399818</v>
      </c>
      <c r="H129" s="16">
        <f>IFERROR(VLOOKUP(F129,STD!B:G,5,0),0)</f>
        <v>1.726</v>
      </c>
      <c r="I129" s="21">
        <f t="shared" si="8"/>
        <v>1.0422147662775616</v>
      </c>
      <c r="J129" s="16">
        <f t="shared" si="9"/>
        <v>10.844295325551233</v>
      </c>
      <c r="K129" s="106" t="str">
        <f>VLOOKUP(C129,'RAW DATA 2023'!E:BO,36,0)</f>
        <v>Normal</v>
      </c>
      <c r="L129" s="106">
        <f>VLOOKUP(C129,'RAW DATA 2023'!E:BO,21,0)</f>
        <v>11.804790000000001</v>
      </c>
      <c r="M129" s="106">
        <f t="shared" si="10"/>
        <v>128.01462901611396</v>
      </c>
    </row>
    <row r="130" spans="1:13">
      <c r="A130" t="str">
        <f>'RAW DATA 2023'!B123</f>
        <v>Roiphet1</v>
      </c>
      <c r="B130" t="str">
        <f>'RAW DATA 2023'!D123</f>
        <v>D6-G11-0075</v>
      </c>
      <c r="C130" t="str">
        <f t="shared" si="6"/>
        <v>Roiphet1D6-G11-0075</v>
      </c>
      <c r="D130">
        <f>VLOOKUP(C130,'RAW DATA 2023'!E:BP,63,0)</f>
        <v>2</v>
      </c>
      <c r="E130" t="str">
        <f t="shared" si="7"/>
        <v>Roiphet12</v>
      </c>
      <c r="F130">
        <f>ROUND(VLOOKUP(C130,'RAW DATA 2023'!E:BO,23,0),0)</f>
        <v>36</v>
      </c>
      <c r="G130" s="16">
        <f>VLOOKUP(C130,'RAW DATA 2023'!E:BO,27,0)</f>
        <v>2.0911276595514154</v>
      </c>
      <c r="H130" s="16">
        <f>IFERROR(VLOOKUP(F130,STD!B:G,5,0),0)</f>
        <v>1.726</v>
      </c>
      <c r="I130" s="21">
        <f t="shared" si="8"/>
        <v>0.82539198031088068</v>
      </c>
      <c r="J130" s="16">
        <f t="shared" si="9"/>
        <v>6.5078396062176136</v>
      </c>
      <c r="K130" s="106" t="str">
        <f>VLOOKUP(C130,'RAW DATA 2023'!E:BO,36,0)</f>
        <v>Normal</v>
      </c>
      <c r="L130" s="106">
        <f>VLOOKUP(C130,'RAW DATA 2023'!E:BO,21,0)</f>
        <v>9.4653200000000002</v>
      </c>
      <c r="M130" s="106">
        <f t="shared" si="10"/>
        <v>61.5987843815237</v>
      </c>
    </row>
    <row r="131" spans="1:13">
      <c r="A131" t="str">
        <f>'RAW DATA 2023'!B124</f>
        <v>Roiphet1</v>
      </c>
      <c r="B131" t="str">
        <f>'RAW DATA 2023'!D124</f>
        <v>D1-I01-0091</v>
      </c>
      <c r="C131" t="str">
        <f t="shared" si="6"/>
        <v>Roiphet1D1-I01-0091</v>
      </c>
      <c r="D131">
        <f>VLOOKUP(C131,'RAW DATA 2023'!E:BP,63,0)</f>
        <v>6</v>
      </c>
      <c r="E131" t="str">
        <f t="shared" si="7"/>
        <v>Roiphet16</v>
      </c>
      <c r="F131">
        <f>ROUND(VLOOKUP(C131,'RAW DATA 2023'!E:BO,23,0),0)</f>
        <v>38</v>
      </c>
      <c r="G131" s="16">
        <f>VLOOKUP(C131,'RAW DATA 2023'!E:BO,27,0)</f>
        <v>1.9427844033744852</v>
      </c>
      <c r="H131" s="16">
        <f>IFERROR(VLOOKUP(F131,STD!B:G,5,0),0)</f>
        <v>1.669</v>
      </c>
      <c r="I131" s="21">
        <f t="shared" si="8"/>
        <v>0.85907628098159516</v>
      </c>
      <c r="J131" s="16">
        <f t="shared" si="9"/>
        <v>7.1815256196319037</v>
      </c>
      <c r="K131" s="106" t="str">
        <f>VLOOKUP(C131,'RAW DATA 2023'!E:BO,36,0)</f>
        <v>Normal</v>
      </c>
      <c r="L131" s="106">
        <f>VLOOKUP(C131,'RAW DATA 2023'!E:BO,21,0)</f>
        <v>4.2856800000000002</v>
      </c>
      <c r="M131" s="106">
        <f t="shared" si="10"/>
        <v>30.777720717544057</v>
      </c>
    </row>
    <row r="132" spans="1:13">
      <c r="A132" t="str">
        <f>'RAW DATA 2023'!B125</f>
        <v>Roiphet1</v>
      </c>
      <c r="B132" t="str">
        <f>'RAW DATA 2023'!D125</f>
        <v>D6-G12-0078</v>
      </c>
      <c r="C132" t="str">
        <f t="shared" si="6"/>
        <v>Roiphet1D6-G12-0078</v>
      </c>
      <c r="D132">
        <f>VLOOKUP(C132,'RAW DATA 2023'!E:BP,63,0)</f>
        <v>2</v>
      </c>
      <c r="E132" t="str">
        <f t="shared" si="7"/>
        <v>Roiphet12</v>
      </c>
      <c r="F132">
        <f>ROUND(VLOOKUP(C132,'RAW DATA 2023'!E:BO,23,0),0)</f>
        <v>38</v>
      </c>
      <c r="G132" s="16">
        <f>VLOOKUP(C132,'RAW DATA 2023'!E:BO,27,0)</f>
        <v>2.2249106103660519</v>
      </c>
      <c r="H132" s="16">
        <f>IFERROR(VLOOKUP(F132,STD!B:G,5,0),0)</f>
        <v>1.669</v>
      </c>
      <c r="I132" s="21">
        <f t="shared" si="8"/>
        <v>0.75014249661266574</v>
      </c>
      <c r="J132" s="16">
        <f t="shared" si="9"/>
        <v>5.0028499322533149</v>
      </c>
      <c r="K132" s="106" t="str">
        <f>VLOOKUP(C132,'RAW DATA 2023'!E:BO,36,0)</f>
        <v>Normal</v>
      </c>
      <c r="L132" s="106">
        <f>VLOOKUP(C132,'RAW DATA 2023'!E:BO,21,0)</f>
        <v>7.8799700000000001</v>
      </c>
      <c r="M132" s="106">
        <f t="shared" si="10"/>
        <v>39.422307380658154</v>
      </c>
    </row>
    <row r="133" spans="1:13">
      <c r="A133" t="str">
        <f>'RAW DATA 2023'!B126</f>
        <v>Roiphet1</v>
      </c>
      <c r="B133" t="str">
        <f>'RAW DATA 2023'!D126</f>
        <v>D3-G05-0080</v>
      </c>
      <c r="C133" t="str">
        <f t="shared" si="6"/>
        <v>Roiphet1D3-G05-0080</v>
      </c>
      <c r="D133">
        <f>VLOOKUP(C133,'RAW DATA 2023'!E:BP,63,0)</f>
        <v>4</v>
      </c>
      <c r="E133" t="str">
        <f t="shared" si="7"/>
        <v>Roiphet14</v>
      </c>
      <c r="F133">
        <f>ROUND(VLOOKUP(C133,'RAW DATA 2023'!E:BO,23,0),0)</f>
        <v>34</v>
      </c>
      <c r="G133" s="16">
        <f>VLOOKUP(C133,'RAW DATA 2023'!E:BO,27,0)</f>
        <v>2.0195124726228064</v>
      </c>
      <c r="H133" s="16">
        <f>IFERROR(VLOOKUP(F133,STD!B:G,5,0),0)</f>
        <v>1.77</v>
      </c>
      <c r="I133" s="21">
        <f t="shared" si="8"/>
        <v>0.87644915492957742</v>
      </c>
      <c r="J133" s="16">
        <f t="shared" si="9"/>
        <v>7.5289830985915485</v>
      </c>
      <c r="K133" s="106" t="str">
        <f>VLOOKUP(C133,'RAW DATA 2023'!E:BO,36,0)</f>
        <v>Normal</v>
      </c>
      <c r="L133" s="106">
        <f>VLOOKUP(C133,'RAW DATA 2023'!E:BO,21,0)</f>
        <v>9.0817499999999995</v>
      </c>
      <c r="M133" s="106">
        <f t="shared" si="10"/>
        <v>68.376342255633787</v>
      </c>
    </row>
    <row r="134" spans="1:13">
      <c r="A134" t="str">
        <f>'RAW DATA 2023'!B127</f>
        <v>Roiphet1</v>
      </c>
      <c r="B134" t="str">
        <f>'RAW DATA 2023'!D127</f>
        <v>D3-I06-0080</v>
      </c>
      <c r="C134" t="str">
        <f t="shared" si="6"/>
        <v>Roiphet1D3-I06-0080</v>
      </c>
      <c r="D134">
        <f>VLOOKUP(C134,'RAW DATA 2023'!E:BP,63,0)</f>
        <v>4</v>
      </c>
      <c r="E134" t="str">
        <f t="shared" si="7"/>
        <v>Roiphet14</v>
      </c>
      <c r="F134">
        <f>ROUND(VLOOKUP(C134,'RAW DATA 2023'!E:BO,23,0),0)</f>
        <v>38</v>
      </c>
      <c r="G134" s="16">
        <f>VLOOKUP(C134,'RAW DATA 2023'!E:BO,27,0)</f>
        <v>2.3792715184443809</v>
      </c>
      <c r="H134" s="16">
        <f>IFERROR(VLOOKUP(F134,STD!B:G,5,0),0)</f>
        <v>1.669</v>
      </c>
      <c r="I134" s="21">
        <f t="shared" si="8"/>
        <v>0.70147521502347421</v>
      </c>
      <c r="J134" s="16">
        <f t="shared" si="9"/>
        <v>4.0295043004694842</v>
      </c>
      <c r="K134" s="106" t="str">
        <f>VLOOKUP(C134,'RAW DATA 2023'!E:BO,36,0)</f>
        <v>Normal</v>
      </c>
      <c r="L134" s="106">
        <f>VLOOKUP(C134,'RAW DATA 2023'!E:BO,21,0)</f>
        <v>4.6386599999999998</v>
      </c>
      <c r="M134" s="106">
        <f t="shared" si="10"/>
        <v>18.691500418415778</v>
      </c>
    </row>
    <row r="135" spans="1:13">
      <c r="A135" t="str">
        <f>'RAW DATA 2023'!B128</f>
        <v>Roiphet1</v>
      </c>
      <c r="B135" t="str">
        <f>'RAW DATA 2023'!D128</f>
        <v>D5-G09-0068</v>
      </c>
      <c r="C135" t="str">
        <f t="shared" si="6"/>
        <v>Roiphet1D5-G09-0068</v>
      </c>
      <c r="D135">
        <f>VLOOKUP(C135,'RAW DATA 2023'!E:BP,63,0)</f>
        <v>5</v>
      </c>
      <c r="E135" t="str">
        <f t="shared" si="7"/>
        <v>Roiphet15</v>
      </c>
      <c r="F135">
        <f>ROUND(VLOOKUP(C135,'RAW DATA 2023'!E:BO,23,0),0)</f>
        <v>35</v>
      </c>
      <c r="G135" s="16">
        <f>VLOOKUP(C135,'RAW DATA 2023'!E:BO,27,0)</f>
        <v>2.2091112820909111</v>
      </c>
      <c r="H135" s="16">
        <f>IFERROR(VLOOKUP(F135,STD!B:G,5,0),0)</f>
        <v>1.75</v>
      </c>
      <c r="I135" s="21">
        <f t="shared" si="8"/>
        <v>0.79217376425855512</v>
      </c>
      <c r="J135" s="16">
        <f t="shared" si="9"/>
        <v>5.8434752851711025</v>
      </c>
      <c r="K135" s="106" t="str">
        <f>VLOOKUP(C135,'RAW DATA 2023'!E:BO,36,0)</f>
        <v>Normal</v>
      </c>
      <c r="L135" s="106">
        <f>VLOOKUP(C135,'RAW DATA 2023'!E:BO,21,0)</f>
        <v>12.052239999999999</v>
      </c>
      <c r="M135" s="106">
        <f t="shared" si="10"/>
        <v>70.426966570950569</v>
      </c>
    </row>
    <row r="136" spans="1:13">
      <c r="A136" t="str">
        <f>'RAW DATA 2023'!B129</f>
        <v>Roiphet1</v>
      </c>
      <c r="B136" t="str">
        <f>'RAW DATA 2023'!D129</f>
        <v>D3-I05-0094</v>
      </c>
      <c r="C136" t="str">
        <f t="shared" si="6"/>
        <v>Roiphet1D3-I05-0094</v>
      </c>
      <c r="D136">
        <f>VLOOKUP(C136,'RAW DATA 2023'!E:BP,63,0)</f>
        <v>4</v>
      </c>
      <c r="E136" t="str">
        <f t="shared" si="7"/>
        <v>Roiphet14</v>
      </c>
      <c r="F136">
        <f>ROUND(VLOOKUP(C136,'RAW DATA 2023'!E:BO,23,0),0)</f>
        <v>35</v>
      </c>
      <c r="G136" s="16">
        <f>VLOOKUP(C136,'RAW DATA 2023'!E:BO,27,0)</f>
        <v>2.1739032742241355</v>
      </c>
      <c r="H136" s="16">
        <f>IFERROR(VLOOKUP(F136,STD!B:G,5,0),0)</f>
        <v>1.75</v>
      </c>
      <c r="I136" s="21">
        <f t="shared" si="8"/>
        <v>0.80500361757105943</v>
      </c>
      <c r="J136" s="16">
        <f t="shared" si="9"/>
        <v>6.1000723514211881</v>
      </c>
      <c r="K136" s="106" t="str">
        <f>VLOOKUP(C136,'RAW DATA 2023'!E:BO,36,0)</f>
        <v>Normal</v>
      </c>
      <c r="L136" s="106">
        <f>VLOOKUP(C136,'RAW DATA 2023'!E:BO,21,0)</f>
        <v>4.6130200000000006</v>
      </c>
      <c r="M136" s="106">
        <f t="shared" si="10"/>
        <v>28.139755758552973</v>
      </c>
    </row>
    <row r="137" spans="1:13">
      <c r="A137" t="str">
        <f>'RAW DATA 2023'!B130</f>
        <v>Roiphet1</v>
      </c>
      <c r="B137" t="str">
        <f>'RAW DATA 2023'!D130</f>
        <v>D1-I01-0090</v>
      </c>
      <c r="C137" t="str">
        <f t="shared" si="6"/>
        <v>Roiphet1D1-I01-0090</v>
      </c>
      <c r="D137">
        <f>VLOOKUP(C137,'RAW DATA 2023'!E:BP,63,0)</f>
        <v>2</v>
      </c>
      <c r="E137" t="str">
        <f t="shared" si="7"/>
        <v>Roiphet12</v>
      </c>
      <c r="F137">
        <f>ROUND(VLOOKUP(C137,'RAW DATA 2023'!E:BO,23,0),0)</f>
        <v>39</v>
      </c>
      <c r="G137" s="16">
        <f>VLOOKUP(C137,'RAW DATA 2023'!E:BO,27,0)</f>
        <v>1.6637601198346563</v>
      </c>
      <c r="H137" s="16">
        <f>IFERROR(VLOOKUP(F137,STD!B:G,5,0),0)</f>
        <v>1.64</v>
      </c>
      <c r="I137" s="21">
        <f t="shared" si="8"/>
        <v>0.98571902310231019</v>
      </c>
      <c r="J137" s="16">
        <f t="shared" si="9"/>
        <v>9.7143804620462042</v>
      </c>
      <c r="K137" s="106" t="str">
        <f>VLOOKUP(C137,'RAW DATA 2023'!E:BO,36,0)</f>
        <v>Normal</v>
      </c>
      <c r="L137" s="106">
        <f>VLOOKUP(C137,'RAW DATA 2023'!E:BO,21,0)</f>
        <v>4.6091499999999996</v>
      </c>
      <c r="M137" s="106">
        <f t="shared" si="10"/>
        <v>44.775036706640257</v>
      </c>
    </row>
    <row r="138" spans="1:13">
      <c r="A138" t="str">
        <f>'RAW DATA 2023'!B131</f>
        <v>Roiphet1</v>
      </c>
      <c r="B138" t="str">
        <f>'RAW DATA 2023'!D131</f>
        <v>D3-G06-0083</v>
      </c>
      <c r="C138" t="str">
        <f t="shared" ref="C138:C201" si="11">A138&amp;B138</f>
        <v>Roiphet1D3-G06-0083</v>
      </c>
      <c r="D138">
        <f>VLOOKUP(C138,'RAW DATA 2023'!E:BP,63,0)</f>
        <v>4</v>
      </c>
      <c r="E138" t="str">
        <f t="shared" ref="E138:E201" si="12">A138&amp;D138</f>
        <v>Roiphet14</v>
      </c>
      <c r="F138">
        <f>ROUND(VLOOKUP(C138,'RAW DATA 2023'!E:BO,23,0),0)</f>
        <v>33</v>
      </c>
      <c r="G138" s="16">
        <f>VLOOKUP(C138,'RAW DATA 2023'!E:BO,27,0)</f>
        <v>2.0974301060875438</v>
      </c>
      <c r="H138" s="16">
        <f>IFERROR(VLOOKUP(F138,STD!B:G,5,0),0)</f>
        <v>1.8</v>
      </c>
      <c r="I138" s="21">
        <f t="shared" si="8"/>
        <v>0.85819307865168526</v>
      </c>
      <c r="J138" s="16">
        <f t="shared" si="9"/>
        <v>7.1638615730337047</v>
      </c>
      <c r="K138" s="106" t="str">
        <f>VLOOKUP(C138,'RAW DATA 2023'!E:BO,36,0)</f>
        <v>Normal</v>
      </c>
      <c r="L138" s="106">
        <f>VLOOKUP(C138,'RAW DATA 2023'!E:BO,21,0)</f>
        <v>10.90072</v>
      </c>
      <c r="M138" s="106">
        <f t="shared" si="10"/>
        <v>78.091249126399958</v>
      </c>
    </row>
    <row r="139" spans="1:13">
      <c r="A139" t="str">
        <f>'RAW DATA 2023'!B132</f>
        <v>Roiphet1</v>
      </c>
      <c r="B139" t="str">
        <f>'RAW DATA 2023'!D132</f>
        <v>D1-I02-0089</v>
      </c>
      <c r="C139" t="str">
        <f t="shared" si="11"/>
        <v>Roiphet1D1-I02-0089</v>
      </c>
      <c r="D139">
        <f>VLOOKUP(C139,'RAW DATA 2023'!E:BP,63,0)</f>
        <v>6</v>
      </c>
      <c r="E139" t="str">
        <f t="shared" si="12"/>
        <v>Roiphet16</v>
      </c>
      <c r="F139">
        <f>ROUND(VLOOKUP(C139,'RAW DATA 2023'!E:BO,23,0),0)</f>
        <v>40</v>
      </c>
      <c r="G139" s="16">
        <f>VLOOKUP(C139,'RAW DATA 2023'!E:BO,27,0)</f>
        <v>1.7151423779919706</v>
      </c>
      <c r="H139" s="16">
        <f>IFERROR(VLOOKUP(F139,STD!B:G,5,0),0)</f>
        <v>1.63</v>
      </c>
      <c r="I139" s="21">
        <f t="shared" ref="I139:I202" si="13">IFERROR(H139/G139,0)</f>
        <v>0.95035841975308633</v>
      </c>
      <c r="J139" s="16">
        <f t="shared" ref="J139:J202" si="14">(I139-$B$4)*$B$7</f>
        <v>9.0071683950617256</v>
      </c>
      <c r="K139" s="106" t="str">
        <f>VLOOKUP(C139,'RAW DATA 2023'!E:BO,36,0)</f>
        <v>Normal</v>
      </c>
      <c r="L139" s="106">
        <f>VLOOKUP(C139,'RAW DATA 2023'!E:BO,21,0)</f>
        <v>4.8064600000000004</v>
      </c>
      <c r="M139" s="106">
        <f t="shared" ref="M139:M202" si="15">J139*L139</f>
        <v>43.292594604128382</v>
      </c>
    </row>
    <row r="140" spans="1:13">
      <c r="A140" t="str">
        <f>'RAW DATA 2023'!B133</f>
        <v>Roiphet1</v>
      </c>
      <c r="B140" t="str">
        <f>'RAW DATA 2023'!D133</f>
        <v>D1-G01-0076</v>
      </c>
      <c r="C140" t="str">
        <f t="shared" si="11"/>
        <v>Roiphet1D1-G01-0076</v>
      </c>
      <c r="D140">
        <f>VLOOKUP(C140,'RAW DATA 2023'!E:BP,63,0)</f>
        <v>2</v>
      </c>
      <c r="E140" t="str">
        <f t="shared" si="12"/>
        <v>Roiphet12</v>
      </c>
      <c r="F140">
        <f>ROUND(VLOOKUP(C140,'RAW DATA 2023'!E:BO,23,0),0)</f>
        <v>37</v>
      </c>
      <c r="G140" s="16">
        <f>VLOOKUP(C140,'RAW DATA 2023'!E:BO,27,0)</f>
        <v>1.6617686551387219</v>
      </c>
      <c r="H140" s="16">
        <f>IFERROR(VLOOKUP(F140,STD!B:G,5,0),0)</f>
        <v>1.6970000000000001</v>
      </c>
      <c r="I140" s="21">
        <f t="shared" si="13"/>
        <v>1.0212011128939829</v>
      </c>
      <c r="J140" s="16">
        <f t="shared" si="14"/>
        <v>10.424022257879656</v>
      </c>
      <c r="K140" s="106" t="str">
        <f>VLOOKUP(C140,'RAW DATA 2023'!E:BO,36,0)</f>
        <v>Normal</v>
      </c>
      <c r="L140" s="106">
        <f>VLOOKUP(C140,'RAW DATA 2023'!E:BO,21,0)</f>
        <v>10.6181</v>
      </c>
      <c r="M140" s="106">
        <f t="shared" si="15"/>
        <v>110.68331073639197</v>
      </c>
    </row>
    <row r="141" spans="1:13">
      <c r="A141" t="str">
        <f>'RAW DATA 2023'!B134</f>
        <v>Roiphet1</v>
      </c>
      <c r="B141" t="str">
        <f>'RAW DATA 2023'!D134</f>
        <v>D4-I08-0070</v>
      </c>
      <c r="C141" t="str">
        <f t="shared" si="11"/>
        <v>Roiphet1D4-I08-0070</v>
      </c>
      <c r="D141">
        <f>VLOOKUP(C141,'RAW DATA 2023'!E:BP,63,0)</f>
        <v>1</v>
      </c>
      <c r="E141" t="str">
        <f t="shared" si="12"/>
        <v>Roiphet11</v>
      </c>
      <c r="F141">
        <f>ROUND(VLOOKUP(C141,'RAW DATA 2023'!E:BO,23,0),0)</f>
        <v>38</v>
      </c>
      <c r="G141" s="16">
        <f>VLOOKUP(C141,'RAW DATA 2023'!E:BO,27,0)</f>
        <v>1.6460539193878458</v>
      </c>
      <c r="H141" s="16">
        <f>IFERROR(VLOOKUP(F141,STD!B:G,5,0),0)</f>
        <v>1.669</v>
      </c>
      <c r="I141" s="21">
        <f t="shared" si="13"/>
        <v>1.0139400540540542</v>
      </c>
      <c r="J141" s="16">
        <f t="shared" si="14"/>
        <v>10.278801081081085</v>
      </c>
      <c r="K141" s="106" t="str">
        <f>VLOOKUP(C141,'RAW DATA 2023'!E:BO,36,0)</f>
        <v>Normal</v>
      </c>
      <c r="L141" s="106">
        <f>VLOOKUP(C141,'RAW DATA 2023'!E:BO,21,0)</f>
        <v>5.6944999999999997</v>
      </c>
      <c r="M141" s="106">
        <f t="shared" si="15"/>
        <v>58.532632756216231</v>
      </c>
    </row>
    <row r="142" spans="1:13">
      <c r="A142" t="str">
        <f>'RAW DATA 2023'!B135</f>
        <v>Roiphet1</v>
      </c>
      <c r="B142" t="str">
        <f>'RAW DATA 2023'!D135</f>
        <v>D4-I07-0075</v>
      </c>
      <c r="C142" t="str">
        <f t="shared" si="11"/>
        <v>Roiphet1D4-I07-0075</v>
      </c>
      <c r="D142">
        <f>VLOOKUP(C142,'RAW DATA 2023'!E:BP,63,0)</f>
        <v>1</v>
      </c>
      <c r="E142" t="str">
        <f t="shared" si="12"/>
        <v>Roiphet11</v>
      </c>
      <c r="F142">
        <f>ROUND(VLOOKUP(C142,'RAW DATA 2023'!E:BO,23,0),0)</f>
        <v>39</v>
      </c>
      <c r="G142" s="16">
        <f>VLOOKUP(C142,'RAW DATA 2023'!E:BO,27,0)</f>
        <v>2.0718471283266138</v>
      </c>
      <c r="H142" s="16">
        <f>IFERROR(VLOOKUP(F142,STD!B:G,5,0),0)</f>
        <v>1.64</v>
      </c>
      <c r="J142" s="16">
        <f t="shared" si="14"/>
        <v>-10</v>
      </c>
      <c r="K142" s="106" t="str">
        <f>VLOOKUP(C142,'RAW DATA 2023'!E:BO,36,0)</f>
        <v>Normal</v>
      </c>
      <c r="L142" s="106">
        <f>VLOOKUP(C142,'RAW DATA 2023'!E:BO,21,0)</f>
        <v>3.8226900000000001</v>
      </c>
      <c r="M142" s="106">
        <f t="shared" si="15"/>
        <v>-38.226900000000001</v>
      </c>
    </row>
    <row r="143" spans="1:13">
      <c r="A143" t="str">
        <f>'RAW DATA 2023'!B136</f>
        <v>Roiphet1</v>
      </c>
      <c r="B143" t="str">
        <f>'RAW DATA 2023'!D136</f>
        <v>D4-G08-0058</v>
      </c>
      <c r="C143" t="str">
        <f t="shared" si="11"/>
        <v>Roiphet1D4-G08-0058</v>
      </c>
      <c r="D143">
        <f>VLOOKUP(C143,'RAW DATA 2023'!E:BP,63,0)</f>
        <v>1</v>
      </c>
      <c r="E143" t="str">
        <f t="shared" si="12"/>
        <v>Roiphet11</v>
      </c>
      <c r="F143">
        <f>ROUND(VLOOKUP(C143,'RAW DATA 2023'!E:BO,23,0),0)</f>
        <v>49</v>
      </c>
      <c r="G143" s="16">
        <f>VLOOKUP(C143,'RAW DATA 2023'!E:BO,27,0)</f>
        <v>1.6018851589780565</v>
      </c>
      <c r="H143" s="16">
        <f>IFERROR(VLOOKUP(F143,STD!B:G,5,0),0)</f>
        <v>1.51</v>
      </c>
      <c r="I143" s="21">
        <f t="shared" si="13"/>
        <v>0.94263935934291576</v>
      </c>
      <c r="J143" s="16">
        <f t="shared" si="14"/>
        <v>8.8527871868583148</v>
      </c>
      <c r="K143" s="106" t="str">
        <f>VLOOKUP(C143,'RAW DATA 2023'!E:BO,36,0)</f>
        <v>เคลียร์บ่อเพื่อลงกุ้งชุดใหม่</v>
      </c>
      <c r="L143" s="106">
        <f>VLOOKUP(C143,'RAW DATA 2023'!E:BO,21,0)</f>
        <v>7.7354200000000004</v>
      </c>
      <c r="M143" s="106">
        <f t="shared" si="15"/>
        <v>68.480027060967544</v>
      </c>
    </row>
    <row r="144" spans="1:13">
      <c r="A144" t="str">
        <f>'RAW DATA 2023'!B137</f>
        <v>Roiphet1</v>
      </c>
      <c r="B144" t="str">
        <f>'RAW DATA 2023'!D137</f>
        <v>D1-G02-0079</v>
      </c>
      <c r="C144" t="str">
        <f t="shared" si="11"/>
        <v>Roiphet1D1-G02-0079</v>
      </c>
      <c r="D144">
        <f>VLOOKUP(C144,'RAW DATA 2023'!E:BP,63,0)</f>
        <v>6</v>
      </c>
      <c r="E144" t="str">
        <f t="shared" si="12"/>
        <v>Roiphet16</v>
      </c>
      <c r="F144">
        <f>ROUND(VLOOKUP(C144,'RAW DATA 2023'!E:BO,23,0),0)</f>
        <v>44</v>
      </c>
      <c r="G144" s="16">
        <f>VLOOKUP(C144,'RAW DATA 2023'!E:BO,27,0)</f>
        <v>1.9466005188352165</v>
      </c>
      <c r="H144" s="16">
        <f>IFERROR(VLOOKUP(F144,STD!B:G,5,0),0)</f>
        <v>1.57</v>
      </c>
      <c r="I144" s="21">
        <f t="shared" si="13"/>
        <v>0.80653425538971801</v>
      </c>
      <c r="J144" s="16">
        <f t="shared" si="14"/>
        <v>6.1306851077943598</v>
      </c>
      <c r="K144" s="106" t="str">
        <f>VLOOKUP(C144,'RAW DATA 2023'!E:BO,36,0)</f>
        <v>Normal</v>
      </c>
      <c r="L144" s="106">
        <f>VLOOKUP(C144,'RAW DATA 2023'!E:BO,21,0)</f>
        <v>7.9241999999999999</v>
      </c>
      <c r="M144" s="106">
        <f t="shared" si="15"/>
        <v>48.580774931184067</v>
      </c>
    </row>
    <row r="145" spans="1:13">
      <c r="A145" t="str">
        <f>'RAW DATA 2023'!B138</f>
        <v>Roiphet1</v>
      </c>
      <c r="B145" t="str">
        <f>'RAW DATA 2023'!D138</f>
        <v>D1-G01-0077</v>
      </c>
      <c r="C145" t="str">
        <f t="shared" si="11"/>
        <v>Roiphet1D1-G01-0077</v>
      </c>
      <c r="D145">
        <f>VLOOKUP(C145,'RAW DATA 2023'!E:BP,63,0)</f>
        <v>6</v>
      </c>
      <c r="E145" t="str">
        <f t="shared" si="12"/>
        <v>Roiphet16</v>
      </c>
      <c r="F145">
        <f>ROUND(VLOOKUP(C145,'RAW DATA 2023'!E:BO,23,0),0)</f>
        <v>46</v>
      </c>
      <c r="G145" s="16">
        <f>VLOOKUP(C145,'RAW DATA 2023'!E:BO,27,0)</f>
        <v>2.1746388781499313</v>
      </c>
      <c r="H145" s="16">
        <f>IFERROR(VLOOKUP(F145,STD!B:G,5,0),0)</f>
        <v>1.54</v>
      </c>
      <c r="I145" s="21">
        <f t="shared" si="13"/>
        <v>0.70816355555555566</v>
      </c>
      <c r="J145" s="16">
        <f t="shared" si="14"/>
        <v>4.1632711111111131</v>
      </c>
      <c r="K145" s="106" t="str">
        <f>VLOOKUP(C145,'RAW DATA 2023'!E:BO,36,0)</f>
        <v>Normal</v>
      </c>
      <c r="L145" s="106">
        <f>VLOOKUP(C145,'RAW DATA 2023'!E:BO,21,0)</f>
        <v>7.0100500000000006</v>
      </c>
      <c r="M145" s="106">
        <f t="shared" si="15"/>
        <v>29.184738652444462</v>
      </c>
    </row>
    <row r="146" spans="1:13">
      <c r="A146" t="str">
        <f>'RAW DATA 2023'!B139</f>
        <v>Roiphet1</v>
      </c>
      <c r="B146" t="str">
        <f>'RAW DATA 2023'!D139</f>
        <v>A2-I04-0100</v>
      </c>
      <c r="C146" t="str">
        <f t="shared" si="11"/>
        <v>Roiphet1A2-I04-0100</v>
      </c>
      <c r="D146">
        <f>VLOOKUP(C146,'RAW DATA 2023'!E:BP,63,0)</f>
        <v>9</v>
      </c>
      <c r="E146" t="str">
        <f t="shared" si="12"/>
        <v>Roiphet19</v>
      </c>
      <c r="F146">
        <f>ROUND(VLOOKUP(C146,'RAW DATA 2023'!E:BO,23,0),0)</f>
        <v>33</v>
      </c>
      <c r="G146" s="16">
        <f>VLOOKUP(C146,'RAW DATA 2023'!E:BO,27,0)</f>
        <v>2.9904306220095691</v>
      </c>
      <c r="H146" s="16">
        <f>IFERROR(VLOOKUP(F146,STD!B:G,5,0),0)</f>
        <v>1.8</v>
      </c>
      <c r="J146" s="16">
        <f t="shared" si="14"/>
        <v>-10</v>
      </c>
      <c r="K146" s="106" t="str">
        <f>VLOOKUP(C146,'RAW DATA 2023'!E:BO,36,0)</f>
        <v>Normal</v>
      </c>
      <c r="L146" s="106">
        <f>VLOOKUP(C146,'RAW DATA 2023'!E:BO,21,0)</f>
        <v>2.9948200000000003</v>
      </c>
      <c r="M146" s="106">
        <f t="shared" si="15"/>
        <v>-29.948200000000003</v>
      </c>
    </row>
    <row r="147" spans="1:13">
      <c r="A147" t="str">
        <f>'RAW DATA 2023'!B140</f>
        <v>Roiphet1</v>
      </c>
      <c r="B147" t="str">
        <f>'RAW DATA 2023'!D140</f>
        <v>A2-G03-0083</v>
      </c>
      <c r="C147" t="str">
        <f t="shared" si="11"/>
        <v>Roiphet1A2-G03-0083</v>
      </c>
      <c r="D147">
        <f>VLOOKUP(C147,'RAW DATA 2023'!E:BP,63,0)</f>
        <v>9</v>
      </c>
      <c r="E147" t="str">
        <f t="shared" si="12"/>
        <v>Roiphet19</v>
      </c>
      <c r="F147">
        <f>ROUND(VLOOKUP(C147,'RAW DATA 2023'!E:BO,23,0),0)</f>
        <v>37</v>
      </c>
      <c r="G147" s="16">
        <f>VLOOKUP(C147,'RAW DATA 2023'!E:BO,27,0)</f>
        <v>2.9929454086757454</v>
      </c>
      <c r="H147" s="16">
        <f>IFERROR(VLOOKUP(F147,STD!B:G,5,0),0)</f>
        <v>1.6970000000000001</v>
      </c>
      <c r="I147" s="21">
        <f t="shared" si="13"/>
        <v>0.56699998439024402</v>
      </c>
      <c r="J147" s="16">
        <f t="shared" si="14"/>
        <v>1.3399996878048803</v>
      </c>
      <c r="K147" s="106" t="str">
        <f>VLOOKUP(C147,'RAW DATA 2023'!E:BO,36,0)</f>
        <v>อัตรารอดต่ำ</v>
      </c>
      <c r="L147" s="106">
        <f>VLOOKUP(C147,'RAW DATA 2023'!E:BO,21,0)</f>
        <v>5.3845200000000002</v>
      </c>
      <c r="M147" s="106">
        <f t="shared" si="15"/>
        <v>7.2152551189791341</v>
      </c>
    </row>
    <row r="148" spans="1:13">
      <c r="A148" t="str">
        <f>'RAW DATA 2023'!B141</f>
        <v>Roiphet1</v>
      </c>
      <c r="B148" t="str">
        <f>'RAW DATA 2023'!D141</f>
        <v>A2-I03-0095</v>
      </c>
      <c r="C148" t="str">
        <f t="shared" si="11"/>
        <v>Roiphet1A2-I03-0095</v>
      </c>
      <c r="D148">
        <f>VLOOKUP(C148,'RAW DATA 2023'!E:BP,63,0)</f>
        <v>9</v>
      </c>
      <c r="E148" t="str">
        <f t="shared" si="12"/>
        <v>Roiphet19</v>
      </c>
      <c r="F148">
        <f>ROUND(VLOOKUP(C148,'RAW DATA 2023'!E:BO,23,0),0)</f>
        <v>35</v>
      </c>
      <c r="G148" s="16">
        <f>VLOOKUP(C148,'RAW DATA 2023'!E:BO,27,0)</f>
        <v>2.3184132541902347</v>
      </c>
      <c r="H148" s="16">
        <f>IFERROR(VLOOKUP(F148,STD!B:G,5,0),0)</f>
        <v>1.75</v>
      </c>
      <c r="I148" s="21">
        <f t="shared" si="13"/>
        <v>0.75482660256410261</v>
      </c>
      <c r="J148" s="16">
        <f t="shared" si="14"/>
        <v>5.0965320512820522</v>
      </c>
      <c r="K148" s="106" t="str">
        <f>VLOOKUP(C148,'RAW DATA 2023'!E:BO,36,0)</f>
        <v>อัตรารอดต่ำ</v>
      </c>
      <c r="L148" s="106">
        <f>VLOOKUP(C148,'RAW DATA 2023'!E:BO,21,0)</f>
        <v>3.4768400000000002</v>
      </c>
      <c r="M148" s="106">
        <f t="shared" si="15"/>
        <v>17.71982649717949</v>
      </c>
    </row>
    <row r="149" spans="1:13">
      <c r="A149" t="str">
        <f>'RAW DATA 2023'!B142</f>
        <v>Roiphet1</v>
      </c>
      <c r="B149" t="str">
        <f>'RAW DATA 2023'!D142</f>
        <v>A2-G04-0082</v>
      </c>
      <c r="C149" t="str">
        <f t="shared" si="11"/>
        <v>Roiphet1A2-G04-0082</v>
      </c>
      <c r="D149">
        <f>VLOOKUP(C149,'RAW DATA 2023'!E:BP,63,0)</f>
        <v>9</v>
      </c>
      <c r="E149" t="str">
        <f t="shared" si="12"/>
        <v>Roiphet19</v>
      </c>
      <c r="F149">
        <f>ROUND(VLOOKUP(C149,'RAW DATA 2023'!E:BO,23,0),0)</f>
        <v>34</v>
      </c>
      <c r="G149" s="16">
        <f>VLOOKUP(C149,'RAW DATA 2023'!E:BO,27,0)</f>
        <v>3.1362927588262437</v>
      </c>
      <c r="H149" s="16">
        <f>IFERROR(VLOOKUP(F149,STD!B:G,5,0),0)</f>
        <v>1.77</v>
      </c>
      <c r="I149" s="21">
        <f t="shared" si="13"/>
        <v>0.56436057986577182</v>
      </c>
      <c r="J149" s="16">
        <f t="shared" si="14"/>
        <v>1.2872115973154363</v>
      </c>
      <c r="K149" s="106" t="str">
        <f>VLOOKUP(C149,'RAW DATA 2023'!E:BO,36,0)</f>
        <v>Normal</v>
      </c>
      <c r="L149" s="106">
        <f>VLOOKUP(C149,'RAW DATA 2023'!E:BO,21,0)</f>
        <v>6.2935400000000001</v>
      </c>
      <c r="M149" s="106">
        <f t="shared" si="15"/>
        <v>8.1011176761685917</v>
      </c>
    </row>
    <row r="150" spans="1:13">
      <c r="A150" t="str">
        <f>'RAW DATA 2023'!B143</f>
        <v>Roiphet1</v>
      </c>
      <c r="B150" t="str">
        <f>'RAW DATA 2023'!D143</f>
        <v>A1-I02-0095</v>
      </c>
      <c r="C150" t="str">
        <f t="shared" si="11"/>
        <v>Roiphet1A1-I02-0095</v>
      </c>
      <c r="D150">
        <f>VLOOKUP(C150,'RAW DATA 2023'!E:BP,63,0)</f>
        <v>9</v>
      </c>
      <c r="E150" t="str">
        <f t="shared" si="12"/>
        <v>Roiphet19</v>
      </c>
      <c r="F150">
        <f>ROUND(VLOOKUP(C150,'RAW DATA 2023'!E:BO,23,0),0)</f>
        <v>35</v>
      </c>
      <c r="G150" s="16">
        <f>VLOOKUP(C150,'RAW DATA 2023'!E:BO,27,0)</f>
        <v>2.6809740761463248</v>
      </c>
      <c r="H150" s="16">
        <f>IFERROR(VLOOKUP(F150,STD!B:G,5,0),0)</f>
        <v>1.75</v>
      </c>
      <c r="I150" s="21">
        <f t="shared" si="13"/>
        <v>0.65274782608695647</v>
      </c>
      <c r="J150" s="16">
        <f t="shared" si="14"/>
        <v>3.0549565217391295</v>
      </c>
      <c r="K150" s="106" t="str">
        <f>VLOOKUP(C150,'RAW DATA 2023'!E:BO,36,0)</f>
        <v>Normal</v>
      </c>
      <c r="L150" s="106">
        <f>VLOOKUP(C150,'RAW DATA 2023'!E:BO,21,0)</f>
        <v>3.2046399999999999</v>
      </c>
      <c r="M150" s="106">
        <f t="shared" si="15"/>
        <v>9.7900358678260844</v>
      </c>
    </row>
    <row r="151" spans="1:13">
      <c r="A151" t="str">
        <f>'RAW DATA 2023'!B144</f>
        <v>Roiphet1</v>
      </c>
      <c r="B151" t="str">
        <f>'RAW DATA 2023'!D144</f>
        <v>A1-G02-0075</v>
      </c>
      <c r="C151" t="str">
        <f t="shared" si="11"/>
        <v>Roiphet1A1-G02-0075</v>
      </c>
      <c r="D151">
        <f>VLOOKUP(C151,'RAW DATA 2023'!E:BP,63,0)</f>
        <v>9</v>
      </c>
      <c r="E151" t="str">
        <f t="shared" si="12"/>
        <v>Roiphet19</v>
      </c>
      <c r="F151">
        <f>ROUND(VLOOKUP(C151,'RAW DATA 2023'!E:BO,23,0),0)</f>
        <v>45</v>
      </c>
      <c r="G151" s="16">
        <f>VLOOKUP(C151,'RAW DATA 2023'!E:BO,27,0)</f>
        <v>2.4888210142340985</v>
      </c>
      <c r="H151" s="16">
        <f>IFERROR(VLOOKUP(F151,STD!B:G,5,0),0)</f>
        <v>1.55</v>
      </c>
      <c r="I151" s="21">
        <f t="shared" si="13"/>
        <v>0.62278484114977306</v>
      </c>
      <c r="J151" s="16">
        <f t="shared" si="14"/>
        <v>2.4556968229954612</v>
      </c>
      <c r="K151" s="106" t="str">
        <f>VLOOKUP(C151,'RAW DATA 2023'!E:BO,36,0)</f>
        <v>Normal</v>
      </c>
      <c r="L151" s="106">
        <f>VLOOKUP(C151,'RAW DATA 2023'!E:BO,21,0)</f>
        <v>7.1951899999999993</v>
      </c>
      <c r="M151" s="106">
        <f t="shared" si="15"/>
        <v>17.66920522384871</v>
      </c>
    </row>
    <row r="152" spans="1:13">
      <c r="A152" t="str">
        <f>'RAW DATA 2023'!B145</f>
        <v>Roiphet1</v>
      </c>
      <c r="B152" t="str">
        <f>'RAW DATA 2023'!D145</f>
        <v>A1-I01-0089</v>
      </c>
      <c r="C152" t="str">
        <f t="shared" si="11"/>
        <v>Roiphet1A1-I01-0089</v>
      </c>
      <c r="D152">
        <f>VLOOKUP(C152,'RAW DATA 2023'!E:BP,63,0)</f>
        <v>9</v>
      </c>
      <c r="E152" t="str">
        <f t="shared" si="12"/>
        <v>Roiphet19</v>
      </c>
      <c r="F152">
        <f>ROUND(VLOOKUP(C152,'RAW DATA 2023'!E:BO,23,0),0)</f>
        <v>39</v>
      </c>
      <c r="G152" s="16">
        <f>VLOOKUP(C152,'RAW DATA 2023'!E:BO,27,0)</f>
        <v>1.9876419803182206</v>
      </c>
      <c r="H152" s="16">
        <f>IFERROR(VLOOKUP(F152,STD!B:G,5,0),0)</f>
        <v>1.64</v>
      </c>
      <c r="I152" s="21">
        <f t="shared" si="13"/>
        <v>0.82509829045643146</v>
      </c>
      <c r="J152" s="16">
        <f t="shared" si="14"/>
        <v>6.5019658091286292</v>
      </c>
      <c r="K152" s="106" t="str">
        <f>VLOOKUP(C152,'RAW DATA 2023'!E:BO,36,0)</f>
        <v>อัตรารอดต่ำ</v>
      </c>
      <c r="L152" s="106">
        <f>VLOOKUP(C152,'RAW DATA 2023'!E:BO,21,0)</f>
        <v>3.2212499999999999</v>
      </c>
      <c r="M152" s="106">
        <f t="shared" si="15"/>
        <v>20.944457362655598</v>
      </c>
    </row>
    <row r="153" spans="1:13">
      <c r="A153" t="str">
        <f>'RAW DATA 2023'!B146</f>
        <v>Roiphet1</v>
      </c>
      <c r="B153" t="str">
        <f>'RAW DATA 2023'!D146</f>
        <v>A1-G01-0063</v>
      </c>
      <c r="C153" t="str">
        <f t="shared" si="11"/>
        <v>Roiphet1A1-G01-0063</v>
      </c>
      <c r="D153">
        <f>VLOOKUP(C153,'RAW DATA 2023'!E:BP,63,0)</f>
        <v>6</v>
      </c>
      <c r="E153" t="str">
        <f t="shared" si="12"/>
        <v>Roiphet16</v>
      </c>
      <c r="F153">
        <f>ROUND(VLOOKUP(C153,'RAW DATA 2023'!E:BO,23,0),0)</f>
        <v>35</v>
      </c>
      <c r="G153" s="16">
        <f>VLOOKUP(C153,'RAW DATA 2023'!E:BO,27,0)</f>
        <v>3.3795398225683257</v>
      </c>
      <c r="H153" s="16">
        <f>IFERROR(VLOOKUP(F153,STD!B:G,5,0),0)</f>
        <v>1.75</v>
      </c>
      <c r="J153" s="16">
        <f t="shared" si="14"/>
        <v>-10</v>
      </c>
      <c r="K153" s="106" t="str">
        <f>VLOOKUP(C153,'RAW DATA 2023'!E:BO,36,0)</f>
        <v>Normal</v>
      </c>
      <c r="L153" s="106">
        <f>VLOOKUP(C153,'RAW DATA 2023'!E:BO,21,0)</f>
        <v>6.6633900000000006</v>
      </c>
      <c r="M153" s="106">
        <f t="shared" si="15"/>
        <v>-66.633900000000011</v>
      </c>
    </row>
    <row r="154" spans="1:13">
      <c r="A154" t="str">
        <f>'RAW DATA 2023'!B147</f>
        <v>Roiphet1</v>
      </c>
      <c r="B154" t="str">
        <f>'RAW DATA 2023'!D147</f>
        <v>A1-I01-0087</v>
      </c>
      <c r="C154" t="str">
        <f t="shared" si="11"/>
        <v>Roiphet1A1-I01-0087</v>
      </c>
      <c r="D154">
        <f>VLOOKUP(C154,'RAW DATA 2023'!E:BP,63,0)</f>
        <v>1</v>
      </c>
      <c r="E154" t="str">
        <f t="shared" si="12"/>
        <v>Roiphet11</v>
      </c>
      <c r="F154">
        <f>ROUND(VLOOKUP(C154,'RAW DATA 2023'!E:BO,23,0),0)</f>
        <v>37</v>
      </c>
      <c r="G154" s="16">
        <f>VLOOKUP(C154,'RAW DATA 2023'!E:BO,27,0)</f>
        <v>3.2338476049316176</v>
      </c>
      <c r="H154" s="16">
        <f>IFERROR(VLOOKUP(F154,STD!B:G,5,0),0)</f>
        <v>1.6970000000000001</v>
      </c>
      <c r="I154" s="21">
        <f t="shared" si="13"/>
        <v>0.52476189583333333</v>
      </c>
      <c r="J154" s="16">
        <f t="shared" si="14"/>
        <v>0.4952379166666665</v>
      </c>
      <c r="K154" s="106" t="str">
        <f>VLOOKUP(C154,'RAW DATA 2023'!E:BO,36,0)</f>
        <v>Normal</v>
      </c>
      <c r="L154" s="106">
        <f>VLOOKUP(C154,'RAW DATA 2023'!E:BO,21,0)</f>
        <v>3.1845400000000001</v>
      </c>
      <c r="M154" s="106">
        <f t="shared" si="15"/>
        <v>1.5771049551416663</v>
      </c>
    </row>
    <row r="155" spans="1:13">
      <c r="A155" t="str">
        <f>'RAW DATA 2023'!B148</f>
        <v>Roiphet1</v>
      </c>
      <c r="B155" t="str">
        <f>'RAW DATA 2023'!D148</f>
        <v>A1-I01-0088</v>
      </c>
      <c r="C155" t="str">
        <f t="shared" si="11"/>
        <v>Roiphet1A1-I01-0088</v>
      </c>
      <c r="D155">
        <f>VLOOKUP(C155,'RAW DATA 2023'!E:BP,63,0)</f>
        <v>6</v>
      </c>
      <c r="E155" t="str">
        <f t="shared" si="12"/>
        <v>Roiphet16</v>
      </c>
      <c r="F155">
        <f>ROUND(VLOOKUP(C155,'RAW DATA 2023'!E:BO,23,0),0)</f>
        <v>33</v>
      </c>
      <c r="G155" s="16">
        <f>VLOOKUP(C155,'RAW DATA 2023'!E:BO,27,0)</f>
        <v>2.8063353982689692</v>
      </c>
      <c r="H155" s="16">
        <f>IFERROR(VLOOKUP(F155,STD!B:G,5,0),0)</f>
        <v>1.8</v>
      </c>
      <c r="I155" s="21">
        <f t="shared" si="13"/>
        <v>0.64140587084148726</v>
      </c>
      <c r="J155" s="16">
        <f t="shared" si="14"/>
        <v>2.8281174168297452</v>
      </c>
      <c r="K155" s="106" t="str">
        <f>VLOOKUP(C155,'RAW DATA 2023'!E:BO,36,0)</f>
        <v>Normal</v>
      </c>
      <c r="L155" s="106">
        <f>VLOOKUP(C155,'RAW DATA 2023'!E:BO,21,0)</f>
        <v>4.6814499999999999</v>
      </c>
      <c r="M155" s="106">
        <f t="shared" si="15"/>
        <v>13.23969028101761</v>
      </c>
    </row>
    <row r="156" spans="1:13">
      <c r="A156" t="str">
        <f>'RAW DATA 2023'!B149</f>
        <v>Roiphet1</v>
      </c>
      <c r="B156" t="str">
        <f>'RAW DATA 2023'!D149</f>
        <v>A6-G11-0091</v>
      </c>
      <c r="C156" t="str">
        <f t="shared" si="11"/>
        <v>Roiphet1A6-G11-0091</v>
      </c>
      <c r="D156">
        <f>VLOOKUP(C156,'RAW DATA 2023'!E:BP,63,0)</f>
        <v>5</v>
      </c>
      <c r="E156" t="str">
        <f t="shared" si="12"/>
        <v>Roiphet15</v>
      </c>
      <c r="F156">
        <f>ROUND(VLOOKUP(C156,'RAW DATA 2023'!E:BO,23,0),0)</f>
        <v>30</v>
      </c>
      <c r="G156" s="16">
        <f>VLOOKUP(C156,'RAW DATA 2023'!E:BO,27,0)</f>
        <v>2.8158001694646706</v>
      </c>
      <c r="H156" s="16">
        <f>IFERROR(VLOOKUP(F156,STD!B:G,5,0),0)</f>
        <v>1.87</v>
      </c>
      <c r="I156" s="21">
        <f t="shared" si="13"/>
        <v>0.66410962691131503</v>
      </c>
      <c r="J156" s="16">
        <f t="shared" si="14"/>
        <v>3.2821925382263006</v>
      </c>
      <c r="K156" s="106" t="str">
        <f>VLOOKUP(C156,'RAW DATA 2023'!E:BO,36,0)</f>
        <v>Normal</v>
      </c>
      <c r="L156" s="106">
        <f>VLOOKUP(C156,'RAW DATA 2023'!E:BO,21,0)</f>
        <v>5.9745200000000001</v>
      </c>
      <c r="M156" s="106">
        <f t="shared" si="15"/>
        <v>19.609524963483796</v>
      </c>
    </row>
    <row r="157" spans="1:13">
      <c r="A157" t="str">
        <f>'RAW DATA 2023'!B150</f>
        <v>Roiphet1</v>
      </c>
      <c r="B157" t="str">
        <f>'RAW DATA 2023'!D150</f>
        <v>A6-I11-0101</v>
      </c>
      <c r="C157" t="str">
        <f t="shared" si="11"/>
        <v>Roiphet1A6-I11-0101</v>
      </c>
      <c r="D157">
        <f>VLOOKUP(C157,'RAW DATA 2023'!E:BP,63,0)</f>
        <v>5</v>
      </c>
      <c r="E157" t="str">
        <f t="shared" si="12"/>
        <v>Roiphet15</v>
      </c>
      <c r="F157">
        <f>ROUND(VLOOKUP(C157,'RAW DATA 2023'!E:BO,23,0),0)</f>
        <v>31</v>
      </c>
      <c r="G157" s="16">
        <f>VLOOKUP(C157,'RAW DATA 2023'!E:BO,27,0)</f>
        <v>2.6643642440773885</v>
      </c>
      <c r="H157" s="16">
        <f>IFERROR(VLOOKUP(F157,STD!B:G,5,0),0)</f>
        <v>1.84</v>
      </c>
      <c r="I157" s="21">
        <f t="shared" si="13"/>
        <v>0.69059626666666674</v>
      </c>
      <c r="J157" s="16">
        <f t="shared" si="14"/>
        <v>3.8119253333333347</v>
      </c>
      <c r="K157" s="106" t="str">
        <f>VLOOKUP(C157,'RAW DATA 2023'!E:BO,36,0)</f>
        <v>Normal</v>
      </c>
      <c r="L157" s="106">
        <f>VLOOKUP(C157,'RAW DATA 2023'!E:BO,21,0)</f>
        <v>3.32734</v>
      </c>
      <c r="M157" s="106">
        <f t="shared" si="15"/>
        <v>12.683571638613337</v>
      </c>
    </row>
    <row r="158" spans="1:13">
      <c r="A158" t="str">
        <f>'RAW DATA 2023'!B151</f>
        <v>Roiphet1</v>
      </c>
      <c r="B158" t="str">
        <f>'RAW DATA 2023'!D151</f>
        <v>A1-I02-0094</v>
      </c>
      <c r="C158" t="str">
        <f t="shared" si="11"/>
        <v>Roiphet1A1-I02-0094</v>
      </c>
      <c r="D158">
        <f>VLOOKUP(C158,'RAW DATA 2023'!E:BP,63,0)</f>
        <v>5</v>
      </c>
      <c r="E158" t="str">
        <f t="shared" si="12"/>
        <v>Roiphet15</v>
      </c>
      <c r="F158">
        <f>ROUND(VLOOKUP(C158,'RAW DATA 2023'!E:BO,23,0),0)</f>
        <v>31</v>
      </c>
      <c r="G158" s="16">
        <f>VLOOKUP(C158,'RAW DATA 2023'!E:BO,27,0)</f>
        <v>2.5801526717557253</v>
      </c>
      <c r="H158" s="16">
        <f>IFERROR(VLOOKUP(F158,STD!B:G,5,0),0)</f>
        <v>1.84</v>
      </c>
      <c r="J158" s="16">
        <f t="shared" si="14"/>
        <v>-10</v>
      </c>
      <c r="K158" s="106" t="str">
        <f>VLOOKUP(C158,'RAW DATA 2023'!E:BO,36,0)</f>
        <v>Normal</v>
      </c>
      <c r="L158" s="106">
        <f>VLOOKUP(C158,'RAW DATA 2023'!E:BO,21,0)</f>
        <v>5.0217000000000001</v>
      </c>
      <c r="M158" s="106">
        <f t="shared" si="15"/>
        <v>-50.216999999999999</v>
      </c>
    </row>
    <row r="159" spans="1:13">
      <c r="A159" t="str">
        <f>'RAW DATA 2023'!B152</f>
        <v>Roiphet1</v>
      </c>
      <c r="B159" t="str">
        <f>'RAW DATA 2023'!D152</f>
        <v>A2-I03-0094</v>
      </c>
      <c r="C159" t="str">
        <f t="shared" si="11"/>
        <v>Roiphet1A2-I03-0094</v>
      </c>
      <c r="D159">
        <f>VLOOKUP(C159,'RAW DATA 2023'!E:BP,63,0)</f>
        <v>4</v>
      </c>
      <c r="E159" t="str">
        <f t="shared" si="12"/>
        <v>Roiphet14</v>
      </c>
      <c r="F159">
        <f>ROUND(VLOOKUP(C159,'RAW DATA 2023'!E:BO,23,0),0)</f>
        <v>29</v>
      </c>
      <c r="G159" s="16">
        <f>VLOOKUP(C159,'RAW DATA 2023'!E:BO,27,0)</f>
        <v>2.1239979086789824</v>
      </c>
      <c r="H159" s="16">
        <f>IFERROR(VLOOKUP(F159,STD!B:G,5,0),0)</f>
        <v>1.9</v>
      </c>
      <c r="J159" s="16">
        <f t="shared" si="14"/>
        <v>-10</v>
      </c>
      <c r="K159" s="106" t="str">
        <f>VLOOKUP(C159,'RAW DATA 2023'!E:BO,36,0)</f>
        <v>Normal</v>
      </c>
      <c r="L159" s="106">
        <f>VLOOKUP(C159,'RAW DATA 2023'!E:BO,21,0)</f>
        <v>4.7643999999999993</v>
      </c>
      <c r="M159" s="106">
        <f t="shared" si="15"/>
        <v>-47.643999999999991</v>
      </c>
    </row>
    <row r="160" spans="1:13">
      <c r="A160" t="str">
        <f>'RAW DATA 2023'!B153</f>
        <v>Roiphet1</v>
      </c>
      <c r="B160" t="str">
        <f>'RAW DATA 2023'!D153</f>
        <v>A2-G03-0082</v>
      </c>
      <c r="C160" t="str">
        <f t="shared" si="11"/>
        <v>Roiphet1A2-G03-0082</v>
      </c>
      <c r="D160">
        <f>VLOOKUP(C160,'RAW DATA 2023'!E:BP,63,0)</f>
        <v>5</v>
      </c>
      <c r="E160" t="str">
        <f t="shared" si="12"/>
        <v>Roiphet15</v>
      </c>
      <c r="F160">
        <f>ROUND(VLOOKUP(C160,'RAW DATA 2023'!E:BO,23,0),0)</f>
        <v>28</v>
      </c>
      <c r="G160" s="16">
        <f>VLOOKUP(C160,'RAW DATA 2023'!E:BO,27,0)</f>
        <v>2.7686507306387846</v>
      </c>
      <c r="H160" s="16">
        <f>IFERROR(VLOOKUP(F160,STD!B:G,5,0),0)</f>
        <v>1.93</v>
      </c>
      <c r="I160" s="21">
        <f t="shared" si="13"/>
        <v>0.69709045588235297</v>
      </c>
      <c r="J160" s="16">
        <f t="shared" si="14"/>
        <v>3.9418091176470593</v>
      </c>
      <c r="K160" s="106" t="str">
        <f>VLOOKUP(C160,'RAW DATA 2023'!E:BO,36,0)</f>
        <v>Normal</v>
      </c>
      <c r="L160" s="106">
        <f>VLOOKUP(C160,'RAW DATA 2023'!E:BO,21,0)</f>
        <v>7.7162100000000002</v>
      </c>
      <c r="M160" s="106">
        <f t="shared" si="15"/>
        <v>30.415826931679415</v>
      </c>
    </row>
    <row r="161" spans="1:13">
      <c r="A161" t="str">
        <f>'RAW DATA 2023'!B154</f>
        <v>Roiphet1</v>
      </c>
      <c r="B161" t="str">
        <f>'RAW DATA 2023'!D154</f>
        <v>A4-G07-0071</v>
      </c>
      <c r="C161" t="str">
        <f t="shared" si="11"/>
        <v>Roiphet1A4-G07-0071</v>
      </c>
      <c r="D161">
        <f>VLOOKUP(C161,'RAW DATA 2023'!E:BP,63,0)</f>
        <v>5</v>
      </c>
      <c r="E161" t="str">
        <f t="shared" si="12"/>
        <v>Roiphet15</v>
      </c>
      <c r="F161">
        <f>ROUND(VLOOKUP(C161,'RAW DATA 2023'!E:BO,23,0),0)</f>
        <v>31</v>
      </c>
      <c r="G161" s="16">
        <f>VLOOKUP(C161,'RAW DATA 2023'!E:BO,27,0)</f>
        <v>2.6661861595081224</v>
      </c>
      <c r="H161" s="16">
        <f>IFERROR(VLOOKUP(F161,STD!B:G,5,0),0)</f>
        <v>1.84</v>
      </c>
      <c r="I161" s="21">
        <f t="shared" si="13"/>
        <v>0.69012435363457769</v>
      </c>
      <c r="J161" s="16">
        <f t="shared" si="14"/>
        <v>3.8024870726915538</v>
      </c>
      <c r="K161" s="106" t="str">
        <f>VLOOKUP(C161,'RAW DATA 2023'!E:BO,36,0)</f>
        <v>Normal</v>
      </c>
      <c r="L161" s="106">
        <f>VLOOKUP(C161,'RAW DATA 2023'!E:BO,21,0)</f>
        <v>9.9828700000000001</v>
      </c>
      <c r="M161" s="106">
        <f t="shared" si="15"/>
        <v>37.959734123360334</v>
      </c>
    </row>
    <row r="162" spans="1:13">
      <c r="A162" t="str">
        <f>'RAW DATA 2023'!B155</f>
        <v>Roiphet1</v>
      </c>
      <c r="B162" t="str">
        <f>'RAW DATA 2023'!D155</f>
        <v>A3-G05-0076</v>
      </c>
      <c r="C162" t="str">
        <f t="shared" si="11"/>
        <v>Roiphet1A3-G05-0076</v>
      </c>
      <c r="D162">
        <f>VLOOKUP(C162,'RAW DATA 2023'!E:BP,63,0)</f>
        <v>6</v>
      </c>
      <c r="E162" t="str">
        <f t="shared" si="12"/>
        <v>Roiphet16</v>
      </c>
      <c r="F162">
        <f>ROUND(VLOOKUP(C162,'RAW DATA 2023'!E:BO,23,0),0)</f>
        <v>32</v>
      </c>
      <c r="G162" s="16">
        <f>VLOOKUP(C162,'RAW DATA 2023'!E:BO,27,0)</f>
        <v>3.0845089593459525</v>
      </c>
      <c r="H162" s="16">
        <f>IFERROR(VLOOKUP(F162,STD!B:G,5,0),0)</f>
        <v>1.82</v>
      </c>
      <c r="I162" s="21">
        <f t="shared" si="13"/>
        <v>0.59004529537366546</v>
      </c>
      <c r="J162" s="16">
        <f t="shared" si="14"/>
        <v>1.8009059074733091</v>
      </c>
      <c r="K162" s="106" t="str">
        <f>VLOOKUP(C162,'RAW DATA 2023'!E:BO,36,0)</f>
        <v>Normal</v>
      </c>
      <c r="L162" s="106">
        <f>VLOOKUP(C162,'RAW DATA 2023'!E:BO,21,0)</f>
        <v>7.0439499999999997</v>
      </c>
      <c r="M162" s="106">
        <f t="shared" si="15"/>
        <v>12.685491166946615</v>
      </c>
    </row>
    <row r="163" spans="1:13">
      <c r="A163" t="str">
        <f>'RAW DATA 2023'!B156</f>
        <v>Roiphet1</v>
      </c>
      <c r="B163" t="str">
        <f>'RAW DATA 2023'!D156</f>
        <v>A2-I04-0099</v>
      </c>
      <c r="C163" t="str">
        <f t="shared" si="11"/>
        <v>Roiphet1A2-I04-0099</v>
      </c>
      <c r="D163">
        <f>VLOOKUP(C163,'RAW DATA 2023'!E:BP,63,0)</f>
        <v>5</v>
      </c>
      <c r="E163" t="str">
        <f t="shared" si="12"/>
        <v>Roiphet15</v>
      </c>
      <c r="F163">
        <f>ROUND(VLOOKUP(C163,'RAW DATA 2023'!E:BO,23,0),0)</f>
        <v>33</v>
      </c>
      <c r="G163" s="16">
        <f>VLOOKUP(C163,'RAW DATA 2023'!E:BO,27,0)</f>
        <v>2.4022491488681843</v>
      </c>
      <c r="H163" s="16">
        <f>IFERROR(VLOOKUP(F163,STD!B:G,5,0),0)</f>
        <v>1.8</v>
      </c>
      <c r="I163" s="21">
        <f t="shared" si="13"/>
        <v>0.74929779904306226</v>
      </c>
      <c r="J163" s="16">
        <f t="shared" si="14"/>
        <v>4.9859559808612453</v>
      </c>
      <c r="K163" s="106" t="str">
        <f>VLOOKUP(C163,'RAW DATA 2023'!E:BO,36,0)</f>
        <v>Normal</v>
      </c>
      <c r="L163" s="106">
        <f>VLOOKUP(C163,'RAW DATA 2023'!E:BO,21,0)</f>
        <v>4.4280900000000001</v>
      </c>
      <c r="M163" s="106">
        <f t="shared" si="15"/>
        <v>22.078261819291871</v>
      </c>
    </row>
    <row r="164" spans="1:13">
      <c r="A164" t="str">
        <f>'RAW DATA 2023'!B157</f>
        <v>Roiphet1</v>
      </c>
      <c r="B164" t="str">
        <f>'RAW DATA 2023'!D157</f>
        <v>A4-G08-0070</v>
      </c>
      <c r="C164" t="str">
        <f t="shared" si="11"/>
        <v>Roiphet1A4-G08-0070</v>
      </c>
      <c r="D164">
        <f>VLOOKUP(C164,'RAW DATA 2023'!E:BP,63,0)</f>
        <v>9</v>
      </c>
      <c r="E164" t="str">
        <f t="shared" si="12"/>
        <v>Roiphet19</v>
      </c>
      <c r="F164">
        <f>ROUND(VLOOKUP(C164,'RAW DATA 2023'!E:BO,23,0),0)</f>
        <v>39</v>
      </c>
      <c r="G164" s="16">
        <f>VLOOKUP(C164,'RAW DATA 2023'!E:BO,27,0)</f>
        <v>2.5669785340409619</v>
      </c>
      <c r="H164" s="16">
        <f>IFERROR(VLOOKUP(F164,STD!B:G,5,0),0)</f>
        <v>1.64</v>
      </c>
      <c r="I164" s="21">
        <f t="shared" si="13"/>
        <v>0.63888341030195384</v>
      </c>
      <c r="J164" s="16">
        <f t="shared" si="14"/>
        <v>2.7776682060390767</v>
      </c>
      <c r="K164" s="106" t="str">
        <f>VLOOKUP(C164,'RAW DATA 2023'!E:BO,36,0)</f>
        <v>อัตรารอดต่ำ</v>
      </c>
      <c r="L164" s="106">
        <f>VLOOKUP(C164,'RAW DATA 2023'!E:BO,21,0)</f>
        <v>5.8241000000000005</v>
      </c>
      <c r="M164" s="106">
        <f t="shared" si="15"/>
        <v>16.177417398792187</v>
      </c>
    </row>
    <row r="165" spans="1:13">
      <c r="A165" t="str">
        <f>'RAW DATA 2023'!B158</f>
        <v>Roiphet1</v>
      </c>
      <c r="B165" t="str">
        <f>'RAW DATA 2023'!D158</f>
        <v>A5-I10-0094</v>
      </c>
      <c r="C165" t="str">
        <f t="shared" si="11"/>
        <v>Roiphet1A5-I10-0094</v>
      </c>
      <c r="D165">
        <f>VLOOKUP(C165,'RAW DATA 2023'!E:BP,63,0)</f>
        <v>5</v>
      </c>
      <c r="E165" t="str">
        <f t="shared" si="12"/>
        <v>Roiphet15</v>
      </c>
      <c r="F165">
        <f>ROUND(VLOOKUP(C165,'RAW DATA 2023'!E:BO,23,0),0)</f>
        <v>30</v>
      </c>
      <c r="G165" s="16">
        <f>VLOOKUP(C165,'RAW DATA 2023'!E:BO,27,0)</f>
        <v>3.5208641035969501</v>
      </c>
      <c r="H165" s="16">
        <f>IFERROR(VLOOKUP(F165,STD!B:G,5,0),0)</f>
        <v>1.87</v>
      </c>
      <c r="I165" s="21">
        <f t="shared" si="13"/>
        <v>0.53111961864406787</v>
      </c>
      <c r="J165" s="16">
        <f t="shared" si="14"/>
        <v>0.6223923728813574</v>
      </c>
      <c r="K165" s="106" t="str">
        <f>VLOOKUP(C165,'RAW DATA 2023'!E:BO,36,0)</f>
        <v>Normal</v>
      </c>
      <c r="L165" s="106">
        <f>VLOOKUP(C165,'RAW DATA 2023'!E:BO,21,0)</f>
        <v>3.4640500000000003</v>
      </c>
      <c r="M165" s="106">
        <f t="shared" si="15"/>
        <v>2.1559982992796662</v>
      </c>
    </row>
    <row r="166" spans="1:13">
      <c r="A166" t="str">
        <f>'RAW DATA 2023'!B159</f>
        <v>Roiphet1</v>
      </c>
      <c r="B166" t="str">
        <f>'RAW DATA 2023'!D159</f>
        <v>A2-G04-0081</v>
      </c>
      <c r="C166" t="str">
        <f t="shared" si="11"/>
        <v>Roiphet1A2-G04-0081</v>
      </c>
      <c r="D166">
        <f>VLOOKUP(C166,'RAW DATA 2023'!E:BP,63,0)</f>
        <v>5</v>
      </c>
      <c r="E166" t="str">
        <f t="shared" si="12"/>
        <v>Roiphet15</v>
      </c>
      <c r="F166">
        <f>ROUND(VLOOKUP(C166,'RAW DATA 2023'!E:BO,23,0),0)</f>
        <v>33</v>
      </c>
      <c r="G166" s="16">
        <f>VLOOKUP(C166,'RAW DATA 2023'!E:BO,27,0)</f>
        <v>2.7881097283489176</v>
      </c>
      <c r="H166" s="16">
        <f>IFERROR(VLOOKUP(F166,STD!B:G,5,0),0)</f>
        <v>1.8</v>
      </c>
      <c r="I166" s="21">
        <f t="shared" si="13"/>
        <v>0.64559869423286176</v>
      </c>
      <c r="J166" s="16">
        <f t="shared" si="14"/>
        <v>2.9119738846572352</v>
      </c>
      <c r="K166" s="106" t="str">
        <f>VLOOKUP(C166,'RAW DATA 2023'!E:BO,36,0)</f>
        <v>Normal</v>
      </c>
      <c r="L166" s="106">
        <f>VLOOKUP(C166,'RAW DATA 2023'!E:BO,21,0)</f>
        <v>8.45655</v>
      </c>
      <c r="M166" s="106">
        <f t="shared" si="15"/>
        <v>24.625252754298142</v>
      </c>
    </row>
    <row r="167" spans="1:13">
      <c r="A167" t="str">
        <f>'RAW DATA 2023'!B160</f>
        <v>Roiphet1</v>
      </c>
      <c r="B167" t="str">
        <f>'RAW DATA 2023'!D160</f>
        <v>A3-I05-0083</v>
      </c>
      <c r="C167" t="str">
        <f t="shared" si="11"/>
        <v>Roiphet1A3-I05-0083</v>
      </c>
      <c r="D167">
        <f>VLOOKUP(C167,'RAW DATA 2023'!E:BP,63,0)</f>
        <v>1</v>
      </c>
      <c r="E167" t="str">
        <f t="shared" si="12"/>
        <v>Roiphet11</v>
      </c>
      <c r="F167">
        <f>ROUND(VLOOKUP(C167,'RAW DATA 2023'!E:BO,23,0),0)</f>
        <v>39</v>
      </c>
      <c r="G167" s="16">
        <f>VLOOKUP(C167,'RAW DATA 2023'!E:BO,27,0)</f>
        <v>2.0871274729935805</v>
      </c>
      <c r="H167" s="16">
        <f>IFERROR(VLOOKUP(F167,STD!B:G,5,0),0)</f>
        <v>1.64</v>
      </c>
      <c r="I167" s="21">
        <f t="shared" si="13"/>
        <v>0.78576896774193539</v>
      </c>
      <c r="J167" s="16">
        <f t="shared" si="14"/>
        <v>5.7153793548387082</v>
      </c>
      <c r="K167" s="106" t="str">
        <f>VLOOKUP(C167,'RAW DATA 2023'!E:BO,36,0)</f>
        <v>Normal</v>
      </c>
      <c r="L167" s="106">
        <f>VLOOKUP(C167,'RAW DATA 2023'!E:BO,21,0)</f>
        <v>3.0636199999999998</v>
      </c>
      <c r="M167" s="106">
        <f t="shared" si="15"/>
        <v>17.509750499070961</v>
      </c>
    </row>
    <row r="168" spans="1:13">
      <c r="A168" t="str">
        <f>'RAW DATA 2023'!B161</f>
        <v>Roiphet1</v>
      </c>
      <c r="B168" t="str">
        <f>'RAW DATA 2023'!D161</f>
        <v>A3-I06-0089</v>
      </c>
      <c r="C168" t="str">
        <f t="shared" si="11"/>
        <v>Roiphet1A3-I06-0089</v>
      </c>
      <c r="D168">
        <f>VLOOKUP(C168,'RAW DATA 2023'!E:BP,63,0)</f>
        <v>6</v>
      </c>
      <c r="E168" t="str">
        <f t="shared" si="12"/>
        <v>Roiphet16</v>
      </c>
      <c r="F168">
        <f>ROUND(VLOOKUP(C168,'RAW DATA 2023'!E:BO,23,0),0)</f>
        <v>26</v>
      </c>
      <c r="G168" s="16">
        <f>VLOOKUP(C168,'RAW DATA 2023'!E:BO,27,0)</f>
        <v>3.2278795739198962</v>
      </c>
      <c r="H168" s="16">
        <f>IFERROR(VLOOKUP(F168,STD!B:G,5,0),0)</f>
        <v>2</v>
      </c>
      <c r="I168" s="21">
        <f t="shared" si="13"/>
        <v>0.6196018018018018</v>
      </c>
      <c r="J168" s="16">
        <f t="shared" si="14"/>
        <v>2.392036036036036</v>
      </c>
      <c r="K168" s="106" t="str">
        <f>VLOOKUP(C168,'RAW DATA 2023'!E:BO,36,0)</f>
        <v>Normal</v>
      </c>
      <c r="L168" s="106">
        <f>VLOOKUP(C168,'RAW DATA 2023'!E:BO,21,0)</f>
        <v>3.52671</v>
      </c>
      <c r="M168" s="106">
        <f t="shared" si="15"/>
        <v>8.4360174086486488</v>
      </c>
    </row>
    <row r="169" spans="1:13">
      <c r="A169" t="str">
        <f>'RAW DATA 2023'!B162</f>
        <v>Roiphet1</v>
      </c>
      <c r="B169" t="str">
        <f>'RAW DATA 2023'!D162</f>
        <v>A1-G02-0074</v>
      </c>
      <c r="C169" t="str">
        <f t="shared" si="11"/>
        <v>Roiphet1A1-G02-0074</v>
      </c>
      <c r="D169">
        <f>VLOOKUP(C169,'RAW DATA 2023'!E:BP,63,0)</f>
        <v>5</v>
      </c>
      <c r="E169" t="str">
        <f t="shared" si="12"/>
        <v>Roiphet15</v>
      </c>
      <c r="F169">
        <f>ROUND(VLOOKUP(C169,'RAW DATA 2023'!E:BO,23,0),0)</f>
        <v>31</v>
      </c>
      <c r="G169" s="16">
        <f>VLOOKUP(C169,'RAW DATA 2023'!E:BO,27,0)</f>
        <v>2.7736834287411876</v>
      </c>
      <c r="H169" s="16">
        <f>IFERROR(VLOOKUP(F169,STD!B:G,5,0),0)</f>
        <v>1.84</v>
      </c>
      <c r="I169" s="21">
        <f t="shared" si="13"/>
        <v>0.66337779608650882</v>
      </c>
      <c r="J169" s="16">
        <f t="shared" si="14"/>
        <v>3.2675559217301764</v>
      </c>
      <c r="K169" s="106" t="str">
        <f>VLOOKUP(C169,'RAW DATA 2023'!E:BO,36,0)</f>
        <v>Normal</v>
      </c>
      <c r="L169" s="106">
        <f>VLOOKUP(C169,'RAW DATA 2023'!E:BO,21,0)</f>
        <v>8.9492999999999991</v>
      </c>
      <c r="M169" s="106">
        <f t="shared" si="15"/>
        <v>29.242338210339867</v>
      </c>
    </row>
    <row r="170" spans="1:13">
      <c r="A170" t="str">
        <f>'RAW DATA 2023'!B163</f>
        <v>Roiphet1</v>
      </c>
      <c r="B170" t="str">
        <f>'RAW DATA 2023'!D163</f>
        <v>A5-I09-0098</v>
      </c>
      <c r="C170" t="str">
        <f t="shared" si="11"/>
        <v>Roiphet1A5-I09-0098</v>
      </c>
      <c r="D170">
        <f>VLOOKUP(C170,'RAW DATA 2023'!E:BP,63,0)</f>
        <v>6</v>
      </c>
      <c r="E170" t="str">
        <f t="shared" si="12"/>
        <v>Roiphet16</v>
      </c>
      <c r="F170">
        <f>ROUND(VLOOKUP(C170,'RAW DATA 2023'!E:BO,23,0),0)</f>
        <v>31</v>
      </c>
      <c r="G170" s="16">
        <f>VLOOKUP(C170,'RAW DATA 2023'!E:BO,27,0)</f>
        <v>3.4003735877115036</v>
      </c>
      <c r="H170" s="16">
        <f>IFERROR(VLOOKUP(F170,STD!B:G,5,0),0)</f>
        <v>1.84</v>
      </c>
      <c r="I170" s="21">
        <f t="shared" si="13"/>
        <v>0.54111701333333329</v>
      </c>
      <c r="J170" s="16">
        <f t="shared" si="14"/>
        <v>0.82234026666666571</v>
      </c>
      <c r="K170" s="106" t="str">
        <f>VLOOKUP(C170,'RAW DATA 2023'!E:BO,36,0)</f>
        <v>Normal</v>
      </c>
      <c r="L170" s="106">
        <f>VLOOKUP(C170,'RAW DATA 2023'!E:BO,21,0)</f>
        <v>3.9381200000000001</v>
      </c>
      <c r="M170" s="106">
        <f t="shared" si="15"/>
        <v>3.2384746509653297</v>
      </c>
    </row>
    <row r="171" spans="1:13">
      <c r="A171" t="str">
        <f>'RAW DATA 2023'!B164</f>
        <v>Roiphet1</v>
      </c>
      <c r="B171" t="str">
        <f>'RAW DATA 2023'!D164</f>
        <v>A3-I05-0084</v>
      </c>
      <c r="C171" t="str">
        <f t="shared" si="11"/>
        <v>Roiphet1A3-I05-0084</v>
      </c>
      <c r="D171">
        <f>VLOOKUP(C171,'RAW DATA 2023'!E:BP,63,0)</f>
        <v>6</v>
      </c>
      <c r="E171" t="str">
        <f t="shared" si="12"/>
        <v>Roiphet16</v>
      </c>
      <c r="F171">
        <f>ROUND(VLOOKUP(C171,'RAW DATA 2023'!E:BO,23,0),0)</f>
        <v>32</v>
      </c>
      <c r="G171" s="16">
        <f>VLOOKUP(C171,'RAW DATA 2023'!E:BO,27,0)</f>
        <v>3.0118417445220067</v>
      </c>
      <c r="H171" s="16">
        <f>IFERROR(VLOOKUP(F171,STD!B:G,5,0),0)</f>
        <v>1.82</v>
      </c>
      <c r="I171" s="21">
        <f t="shared" si="13"/>
        <v>0.6042814179431073</v>
      </c>
      <c r="J171" s="16">
        <f t="shared" si="14"/>
        <v>2.085628358862146</v>
      </c>
      <c r="K171" s="106" t="str">
        <f>VLOOKUP(C171,'RAW DATA 2023'!E:BO,36,0)</f>
        <v>Normal</v>
      </c>
      <c r="L171" s="106">
        <f>VLOOKUP(C171,'RAW DATA 2023'!E:BO,21,0)</f>
        <v>3.9103600000000003</v>
      </c>
      <c r="M171" s="106">
        <f t="shared" si="15"/>
        <v>8.1555577093601812</v>
      </c>
    </row>
    <row r="172" spans="1:13">
      <c r="A172" t="str">
        <f>'RAW DATA 2023'!B165</f>
        <v>Roiphet1</v>
      </c>
      <c r="B172" t="str">
        <f>'RAW DATA 2023'!D165</f>
        <v>A1-G01-0064</v>
      </c>
      <c r="C172" t="str">
        <f t="shared" si="11"/>
        <v>Roiphet1A1-G01-0064</v>
      </c>
      <c r="D172">
        <f>VLOOKUP(C172,'RAW DATA 2023'!E:BP,63,0)</f>
        <v>9</v>
      </c>
      <c r="E172" t="str">
        <f t="shared" si="12"/>
        <v>Roiphet19</v>
      </c>
      <c r="F172">
        <f>ROUND(VLOOKUP(C172,'RAW DATA 2023'!E:BO,23,0),0)</f>
        <v>44</v>
      </c>
      <c r="G172" s="16">
        <f>VLOOKUP(C172,'RAW DATA 2023'!E:BO,27,0)</f>
        <v>2.5409532652817948</v>
      </c>
      <c r="H172" s="16">
        <f>IFERROR(VLOOKUP(F172,STD!B:G,5,0),0)</f>
        <v>1.57</v>
      </c>
      <c r="I172" s="21">
        <f t="shared" si="13"/>
        <v>0.61787834567901234</v>
      </c>
      <c r="J172" s="16">
        <f t="shared" si="14"/>
        <v>2.3575669135802468</v>
      </c>
      <c r="K172" s="106" t="str">
        <f>VLOOKUP(C172,'RAW DATA 2023'!E:BO,36,0)</f>
        <v>อัตรารอดต่ำ</v>
      </c>
      <c r="L172" s="106">
        <f>VLOOKUP(C172,'RAW DATA 2023'!E:BO,21,0)</f>
        <v>5.19963</v>
      </c>
      <c r="M172" s="106">
        <f t="shared" si="15"/>
        <v>12.258475650859259</v>
      </c>
    </row>
    <row r="173" spans="1:13">
      <c r="A173" t="str">
        <f>'RAW DATA 2023'!B166</f>
        <v>Roiphet1</v>
      </c>
      <c r="B173" t="str">
        <f>'RAW DATA 2023'!D166</f>
        <v>A4-I08-0100</v>
      </c>
      <c r="C173" t="str">
        <f t="shared" si="11"/>
        <v>Roiphet1A4-I08-0100</v>
      </c>
      <c r="D173">
        <f>VLOOKUP(C173,'RAW DATA 2023'!E:BP,63,0)</f>
        <v>9</v>
      </c>
      <c r="E173" t="str">
        <f t="shared" si="12"/>
        <v>Roiphet19</v>
      </c>
      <c r="F173">
        <f>ROUND(VLOOKUP(C173,'RAW DATA 2023'!E:BO,23,0),0)</f>
        <v>43</v>
      </c>
      <c r="G173" s="16">
        <f>VLOOKUP(C173,'RAW DATA 2023'!E:BO,27,0)</f>
        <v>2.6770950397118196</v>
      </c>
      <c r="H173" s="16">
        <f>IFERROR(VLOOKUP(F173,STD!B:G,5,0),0)</f>
        <v>1.58</v>
      </c>
      <c r="I173" s="21">
        <f t="shared" si="13"/>
        <v>0.59019197173144877</v>
      </c>
      <c r="J173" s="16">
        <f t="shared" si="14"/>
        <v>1.8038394346289754</v>
      </c>
      <c r="K173" s="106" t="str">
        <f>VLOOKUP(C173,'RAW DATA 2023'!E:BO,36,0)</f>
        <v>อัตรารอดต่ำ</v>
      </c>
      <c r="L173" s="106">
        <f>VLOOKUP(C173,'RAW DATA 2023'!E:BO,21,0)</f>
        <v>2.79779</v>
      </c>
      <c r="M173" s="106">
        <f t="shared" si="15"/>
        <v>5.0467639318106015</v>
      </c>
    </row>
    <row r="174" spans="1:13">
      <c r="A174" t="str">
        <f>'RAW DATA 2023'!B167</f>
        <v>Roiphet1</v>
      </c>
      <c r="B174" t="str">
        <f>'RAW DATA 2023'!D167</f>
        <v>A4-I07-0094</v>
      </c>
      <c r="C174" t="str">
        <f t="shared" si="11"/>
        <v>Roiphet1A4-I07-0094</v>
      </c>
      <c r="D174">
        <f>VLOOKUP(C174,'RAW DATA 2023'!E:BP,63,0)</f>
        <v>5</v>
      </c>
      <c r="E174" t="str">
        <f t="shared" si="12"/>
        <v>Roiphet15</v>
      </c>
      <c r="F174">
        <f>ROUND(VLOOKUP(C174,'RAW DATA 2023'!E:BO,23,0),0)</f>
        <v>32</v>
      </c>
      <c r="G174" s="16">
        <f>VLOOKUP(C174,'RAW DATA 2023'!E:BO,27,0)</f>
        <v>2.5671377839896174</v>
      </c>
      <c r="H174" s="16">
        <f>IFERROR(VLOOKUP(F174,STD!B:G,5,0),0)</f>
        <v>1.82</v>
      </c>
      <c r="I174" s="21">
        <f t="shared" si="13"/>
        <v>0.70896077777777777</v>
      </c>
      <c r="J174" s="16">
        <f t="shared" si="14"/>
        <v>4.1792155555555555</v>
      </c>
      <c r="K174" s="106" t="str">
        <f>VLOOKUP(C174,'RAW DATA 2023'!E:BO,36,0)</f>
        <v>Normal</v>
      </c>
      <c r="L174" s="106">
        <f>VLOOKUP(C174,'RAW DATA 2023'!E:BO,21,0)</f>
        <v>5.1187899999999997</v>
      </c>
      <c r="M174" s="106">
        <f t="shared" si="15"/>
        <v>21.392526793622221</v>
      </c>
    </row>
    <row r="175" spans="1:13">
      <c r="A175" t="str">
        <f>'RAW DATA 2023'!B168</f>
        <v>Roiphet1</v>
      </c>
      <c r="B175" t="str">
        <f>'RAW DATA 2023'!D168</f>
        <v>A1-G01-0062</v>
      </c>
      <c r="C175" t="str">
        <f t="shared" si="11"/>
        <v>Roiphet1A1-G01-0062</v>
      </c>
      <c r="D175">
        <f>VLOOKUP(C175,'RAW DATA 2023'!E:BP,63,0)</f>
        <v>1</v>
      </c>
      <c r="E175" t="str">
        <f t="shared" si="12"/>
        <v>Roiphet11</v>
      </c>
      <c r="F175">
        <f>ROUND(VLOOKUP(C175,'RAW DATA 2023'!E:BO,23,0),0)</f>
        <v>40</v>
      </c>
      <c r="G175" s="16">
        <f>VLOOKUP(C175,'RAW DATA 2023'!E:BO,27,0)</f>
        <v>3.1155324351120011</v>
      </c>
      <c r="H175" s="16">
        <f>IFERROR(VLOOKUP(F175,STD!B:G,5,0),0)</f>
        <v>1.63</v>
      </c>
      <c r="I175" s="21">
        <f t="shared" si="13"/>
        <v>0.52318505229793977</v>
      </c>
      <c r="J175" s="16">
        <f t="shared" si="14"/>
        <v>0.46370104595879535</v>
      </c>
      <c r="K175" s="106" t="str">
        <f>VLOOKUP(C175,'RAW DATA 2023'!E:BO,36,0)</f>
        <v>Normal</v>
      </c>
      <c r="L175" s="106">
        <f>VLOOKUP(C175,'RAW DATA 2023'!E:BO,21,0)</f>
        <v>5.4536999999999995</v>
      </c>
      <c r="M175" s="106">
        <f t="shared" si="15"/>
        <v>2.528886394345482</v>
      </c>
    </row>
    <row r="176" spans="1:13">
      <c r="A176" t="str">
        <f>'RAW DATA 2023'!B169</f>
        <v>Roiphet1</v>
      </c>
      <c r="B176" t="str">
        <f>'RAW DATA 2023'!D169</f>
        <v>A5-G10-0068</v>
      </c>
      <c r="C176" t="str">
        <f t="shared" si="11"/>
        <v>Roiphet1A5-G10-0068</v>
      </c>
      <c r="D176">
        <f>VLOOKUP(C176,'RAW DATA 2023'!E:BP,63,0)</f>
        <v>5</v>
      </c>
      <c r="E176" t="str">
        <f t="shared" si="12"/>
        <v>Roiphet15</v>
      </c>
      <c r="F176">
        <f>ROUND(VLOOKUP(C176,'RAW DATA 2023'!E:BO,23,0),0)</f>
        <v>30</v>
      </c>
      <c r="G176" s="16">
        <f>VLOOKUP(C176,'RAW DATA 2023'!E:BO,27,0)</f>
        <v>3.4097744360902253</v>
      </c>
      <c r="H176" s="16">
        <f>IFERROR(VLOOKUP(F176,STD!B:G,5,0),0)</f>
        <v>1.87</v>
      </c>
      <c r="I176" s="21">
        <f t="shared" si="13"/>
        <v>0.54842337375964723</v>
      </c>
      <c r="J176" s="16">
        <f t="shared" si="14"/>
        <v>0.96846747519294452</v>
      </c>
      <c r="K176" s="106" t="str">
        <f>VLOOKUP(C176,'RAW DATA 2023'!E:BO,36,0)</f>
        <v>Normal</v>
      </c>
      <c r="L176" s="106">
        <f>VLOOKUP(C176,'RAW DATA 2023'!E:BO,21,0)</f>
        <v>6.8346999999999998</v>
      </c>
      <c r="M176" s="106">
        <f t="shared" si="15"/>
        <v>6.6191846527012173</v>
      </c>
    </row>
    <row r="177" spans="1:13">
      <c r="A177" t="str">
        <f>'RAW DATA 2023'!B170</f>
        <v>Roiphet1</v>
      </c>
      <c r="B177" t="str">
        <f>'RAW DATA 2023'!D170</f>
        <v>A3-G05-0075</v>
      </c>
      <c r="C177" t="str">
        <f t="shared" si="11"/>
        <v>Roiphet1A3-G05-0075</v>
      </c>
      <c r="D177">
        <f>VLOOKUP(C177,'RAW DATA 2023'!E:BP,63,0)</f>
        <v>1</v>
      </c>
      <c r="E177" t="str">
        <f t="shared" si="12"/>
        <v>Roiphet11</v>
      </c>
      <c r="F177">
        <f>ROUND(VLOOKUP(C177,'RAW DATA 2023'!E:BO,23,0),0)</f>
        <v>43</v>
      </c>
      <c r="G177" s="16">
        <f>VLOOKUP(C177,'RAW DATA 2023'!E:BO,27,0)</f>
        <v>2.0002494743219645</v>
      </c>
      <c r="H177" s="16">
        <f>IFERROR(VLOOKUP(F177,STD!B:G,5,0),0)</f>
        <v>1.58</v>
      </c>
      <c r="J177" s="16">
        <f t="shared" si="14"/>
        <v>-10</v>
      </c>
      <c r="K177" s="106" t="str">
        <f>VLOOKUP(C177,'RAW DATA 2023'!E:BO,36,0)</f>
        <v>Normal</v>
      </c>
      <c r="L177" s="106">
        <f>VLOOKUP(C177,'RAW DATA 2023'!E:BO,21,0)</f>
        <v>5.7762799999999999</v>
      </c>
      <c r="M177" s="106">
        <f t="shared" si="15"/>
        <v>-57.762799999999999</v>
      </c>
    </row>
    <row r="178" spans="1:13">
      <c r="A178" t="str">
        <f>'RAW DATA 2023'!B171</f>
        <v>Roiphet1</v>
      </c>
      <c r="B178" t="str">
        <f>'RAW DATA 2023'!D171</f>
        <v>A4-G08-0069</v>
      </c>
      <c r="C178" t="str">
        <f t="shared" si="11"/>
        <v>Roiphet1A4-G08-0069</v>
      </c>
      <c r="D178">
        <f>VLOOKUP(C178,'RAW DATA 2023'!E:BP,63,0)</f>
        <v>6</v>
      </c>
      <c r="E178" t="str">
        <f t="shared" si="12"/>
        <v>Roiphet16</v>
      </c>
      <c r="F178">
        <f>ROUND(VLOOKUP(C178,'RAW DATA 2023'!E:BO,23,0),0)</f>
        <v>32</v>
      </c>
      <c r="G178" s="16">
        <f>VLOOKUP(C178,'RAW DATA 2023'!E:BO,27,0)</f>
        <v>4.0819036204242307</v>
      </c>
      <c r="H178" s="16">
        <f>IFERROR(VLOOKUP(F178,STD!B:G,5,0),0)</f>
        <v>1.82</v>
      </c>
      <c r="I178" s="21">
        <f t="shared" si="13"/>
        <v>0.44587040000000006</v>
      </c>
      <c r="J178" s="16">
        <f t="shared" si="14"/>
        <v>-1.0825919999999989</v>
      </c>
      <c r="K178" s="106" t="str">
        <f>VLOOKUP(C178,'RAW DATA 2023'!E:BO,36,0)</f>
        <v>Normal</v>
      </c>
      <c r="L178" s="106">
        <f>VLOOKUP(C178,'RAW DATA 2023'!E:BO,21,0)</f>
        <v>5.7237799999999996</v>
      </c>
      <c r="M178" s="106">
        <f t="shared" si="15"/>
        <v>-6.1965184377599929</v>
      </c>
    </row>
    <row r="179" spans="1:13">
      <c r="A179" t="str">
        <f>'RAW DATA 2023'!B172</f>
        <v>Roiphet1</v>
      </c>
      <c r="B179" t="str">
        <f>'RAW DATA 2023'!D172</f>
        <v>A5-G09-0083</v>
      </c>
      <c r="C179" t="str">
        <f t="shared" si="11"/>
        <v>Roiphet1A5-G09-0083</v>
      </c>
      <c r="D179">
        <f>VLOOKUP(C179,'RAW DATA 2023'!E:BP,63,0)</f>
        <v>6</v>
      </c>
      <c r="E179" t="str">
        <f t="shared" si="12"/>
        <v>Roiphet16</v>
      </c>
      <c r="F179">
        <f>ROUND(VLOOKUP(C179,'RAW DATA 2023'!E:BO,23,0),0)</f>
        <v>30</v>
      </c>
      <c r="G179" s="16">
        <f>VLOOKUP(C179,'RAW DATA 2023'!E:BO,27,0)</f>
        <v>3.668560915174266</v>
      </c>
      <c r="H179" s="16">
        <f>IFERROR(VLOOKUP(F179,STD!B:G,5,0),0)</f>
        <v>1.87</v>
      </c>
      <c r="I179" s="21">
        <f t="shared" si="13"/>
        <v>0.50973666329625889</v>
      </c>
      <c r="J179" s="16">
        <f t="shared" si="14"/>
        <v>0.1947332659251777</v>
      </c>
      <c r="K179" s="106" t="str">
        <f>VLOOKUP(C179,'RAW DATA 2023'!E:BO,36,0)</f>
        <v>Normal</v>
      </c>
      <c r="L179" s="106">
        <f>VLOOKUP(C179,'RAW DATA 2023'!E:BO,21,0)</f>
        <v>6.8811999999999998</v>
      </c>
      <c r="M179" s="106">
        <f t="shared" si="15"/>
        <v>1.3399985494843327</v>
      </c>
    </row>
    <row r="180" spans="1:13">
      <c r="A180" t="str">
        <f>'RAW DATA 2023'!B173</f>
        <v>Roiphet1</v>
      </c>
      <c r="B180" t="str">
        <f>'RAW DATA 2023'!D173</f>
        <v>A4-I08-0099</v>
      </c>
      <c r="C180" t="str">
        <f t="shared" si="11"/>
        <v>Roiphet1A4-I08-0099</v>
      </c>
      <c r="D180">
        <f>VLOOKUP(C180,'RAW DATA 2023'!E:BP,63,0)</f>
        <v>6</v>
      </c>
      <c r="E180" t="str">
        <f t="shared" si="12"/>
        <v>Roiphet16</v>
      </c>
      <c r="F180">
        <f>ROUND(VLOOKUP(C180,'RAW DATA 2023'!E:BO,23,0),0)</f>
        <v>36</v>
      </c>
      <c r="G180" s="16">
        <f>VLOOKUP(C180,'RAW DATA 2023'!E:BO,27,0)</f>
        <v>3.5678351451168426</v>
      </c>
      <c r="H180" s="16">
        <f>IFERROR(VLOOKUP(F180,STD!B:G,5,0),0)</f>
        <v>1.726</v>
      </c>
      <c r="I180" s="21">
        <f t="shared" si="13"/>
        <v>0.48376674644351469</v>
      </c>
      <c r="J180" s="16">
        <f t="shared" si="14"/>
        <v>-0.32466507112970611</v>
      </c>
      <c r="K180" s="106" t="str">
        <f>VLOOKUP(C180,'RAW DATA 2023'!E:BO,36,0)</f>
        <v>Normal</v>
      </c>
      <c r="L180" s="106">
        <f>VLOOKUP(C180,'RAW DATA 2023'!E:BO,21,0)</f>
        <v>3.4325700000000001</v>
      </c>
      <c r="M180" s="106">
        <f t="shared" si="15"/>
        <v>-1.1144355832076953</v>
      </c>
    </row>
    <row r="181" spans="1:13">
      <c r="A181" t="str">
        <f>'RAW DATA 2023'!B174</f>
        <v>Roiphet1</v>
      </c>
      <c r="B181" t="str">
        <f>'RAW DATA 2023'!D174</f>
        <v>A3-G06-0081</v>
      </c>
      <c r="C181" t="str">
        <f t="shared" si="11"/>
        <v>Roiphet1A3-G06-0081</v>
      </c>
      <c r="D181">
        <f>VLOOKUP(C181,'RAW DATA 2023'!E:BP,63,0)</f>
        <v>6</v>
      </c>
      <c r="E181" t="str">
        <f t="shared" si="12"/>
        <v>Roiphet16</v>
      </c>
      <c r="F181">
        <f>ROUND(VLOOKUP(C181,'RAW DATA 2023'!E:BO,23,0),0)</f>
        <v>31</v>
      </c>
      <c r="G181" s="16">
        <f>VLOOKUP(C181,'RAW DATA 2023'!E:BO,27,0)</f>
        <v>3.5323867145731911</v>
      </c>
      <c r="H181" s="16">
        <f>IFERROR(VLOOKUP(F181,STD!B:G,5,0),0)</f>
        <v>1.84</v>
      </c>
      <c r="I181" s="21">
        <f t="shared" si="13"/>
        <v>0.52089427027027035</v>
      </c>
      <c r="J181" s="16">
        <f t="shared" si="14"/>
        <v>0.41788540540540708</v>
      </c>
      <c r="K181" s="106" t="str">
        <f>VLOOKUP(C181,'RAW DATA 2023'!E:BO,36,0)</f>
        <v>Normal</v>
      </c>
      <c r="L181" s="106">
        <f>VLOOKUP(C181,'RAW DATA 2023'!E:BO,21,0)</f>
        <v>6.1950399999999997</v>
      </c>
      <c r="M181" s="106">
        <f t="shared" si="15"/>
        <v>2.5888168019027131</v>
      </c>
    </row>
    <row r="182" spans="1:13">
      <c r="A182" t="str">
        <f>'RAW DATA 2023'!B175</f>
        <v>Roiphet1</v>
      </c>
      <c r="B182" t="str">
        <f>'RAW DATA 2023'!D175</f>
        <v>D6-I12-0086</v>
      </c>
      <c r="C182" t="str">
        <f t="shared" si="11"/>
        <v>Roiphet1D6-I12-0086</v>
      </c>
      <c r="D182">
        <f>VLOOKUP(C182,'RAW DATA 2023'!E:BP,63,0)</f>
        <v>11</v>
      </c>
      <c r="E182" t="str">
        <f t="shared" si="12"/>
        <v>Roiphet111</v>
      </c>
      <c r="F182">
        <f>ROUND(VLOOKUP(C182,'RAW DATA 2023'!E:BO,23,0),0)</f>
        <v>37</v>
      </c>
      <c r="G182" s="16">
        <f>VLOOKUP(C182,'RAW DATA 2023'!E:BO,27,0)</f>
        <v>2.6966456161598686</v>
      </c>
      <c r="H182" s="16">
        <f>IFERROR(VLOOKUP(F182,STD!B:G,5,0),0)</f>
        <v>1.6970000000000001</v>
      </c>
      <c r="J182" s="16">
        <f t="shared" si="14"/>
        <v>-10</v>
      </c>
      <c r="K182" s="106" t="str">
        <f>VLOOKUP(C182,'RAW DATA 2023'!E:BO,36,0)</f>
        <v>Normal</v>
      </c>
      <c r="L182" s="106">
        <f>VLOOKUP(C182,'RAW DATA 2023'!E:BO,21,0)</f>
        <v>3.84904</v>
      </c>
      <c r="M182" s="106">
        <f t="shared" si="15"/>
        <v>-38.490400000000001</v>
      </c>
    </row>
    <row r="183" spans="1:13">
      <c r="A183" t="str">
        <f>'RAW DATA 2023'!B176</f>
        <v>Roiphet1</v>
      </c>
      <c r="B183" t="str">
        <f>'RAW DATA 2023'!D176</f>
        <v>D6-I11-0084</v>
      </c>
      <c r="C183" t="str">
        <f t="shared" si="11"/>
        <v>Roiphet1D6-I11-0084</v>
      </c>
      <c r="D183">
        <f>VLOOKUP(C183,'RAW DATA 2023'!E:BP,63,0)</f>
        <v>11</v>
      </c>
      <c r="E183" t="str">
        <f t="shared" si="12"/>
        <v>Roiphet111</v>
      </c>
      <c r="F183">
        <f>ROUND(VLOOKUP(C183,'RAW DATA 2023'!E:BO,23,0),0)</f>
        <v>37</v>
      </c>
      <c r="G183" s="16">
        <f>VLOOKUP(C183,'RAW DATA 2023'!E:BO,27,0)</f>
        <v>3.3603459695328635</v>
      </c>
      <c r="H183" s="16">
        <f>IFERROR(VLOOKUP(F183,STD!B:G,5,0),0)</f>
        <v>1.6970000000000001</v>
      </c>
      <c r="I183" s="21">
        <f t="shared" si="13"/>
        <v>0.50500752463768117</v>
      </c>
      <c r="J183" s="16">
        <f t="shared" si="14"/>
        <v>0.10015049275362342</v>
      </c>
      <c r="K183" s="106" t="str">
        <f>VLOOKUP(C183,'RAW DATA 2023'!E:BO,36,0)</f>
        <v>Normal</v>
      </c>
      <c r="L183" s="106">
        <f>VLOOKUP(C183,'RAW DATA 2023'!E:BO,21,0)</f>
        <v>2.8666999999999998</v>
      </c>
      <c r="M183" s="106">
        <f t="shared" si="15"/>
        <v>0.28710141757681223</v>
      </c>
    </row>
    <row r="184" spans="1:13">
      <c r="A184" t="str">
        <f>'RAW DATA 2023'!B177</f>
        <v>Roiphet1</v>
      </c>
      <c r="B184" t="str">
        <f>'RAW DATA 2023'!D177</f>
        <v>D6-G11-0077</v>
      </c>
      <c r="C184" t="str">
        <f t="shared" si="11"/>
        <v>Roiphet1D6-G11-0077</v>
      </c>
      <c r="D184">
        <f>VLOOKUP(C184,'RAW DATA 2023'!E:BP,63,0)</f>
        <v>11</v>
      </c>
      <c r="E184" t="str">
        <f t="shared" si="12"/>
        <v>Roiphet111</v>
      </c>
      <c r="F184">
        <f>ROUND(VLOOKUP(C184,'RAW DATA 2023'!E:BO,23,0),0)</f>
        <v>42</v>
      </c>
      <c r="G184" s="16">
        <f>VLOOKUP(C184,'RAW DATA 2023'!E:BO,27,0)</f>
        <v>2.5854614505525069</v>
      </c>
      <c r="H184" s="16">
        <f>IFERROR(VLOOKUP(F184,STD!B:G,5,0),0)</f>
        <v>1.6</v>
      </c>
      <c r="I184" s="21">
        <f t="shared" si="13"/>
        <v>0.61884504201680668</v>
      </c>
      <c r="J184" s="16">
        <f t="shared" si="14"/>
        <v>2.3769008403361336</v>
      </c>
      <c r="K184" s="106" t="str">
        <f>VLOOKUP(C184,'RAW DATA 2023'!E:BO,36,0)</f>
        <v>Normal</v>
      </c>
      <c r="L184" s="106">
        <f>VLOOKUP(C184,'RAW DATA 2023'!E:BO,21,0)</f>
        <v>7.2064899999999996</v>
      </c>
      <c r="M184" s="106">
        <f t="shared" si="15"/>
        <v>17.129112136873943</v>
      </c>
    </row>
    <row r="185" spans="1:13">
      <c r="A185" t="str">
        <f>'RAW DATA 2023'!B178</f>
        <v>Roiphet1</v>
      </c>
      <c r="B185" t="str">
        <f>'RAW DATA 2023'!D178</f>
        <v>D6-G12-0080</v>
      </c>
      <c r="C185" t="str">
        <f t="shared" si="11"/>
        <v>Roiphet1D6-G12-0080</v>
      </c>
      <c r="D185">
        <f>VLOOKUP(C185,'RAW DATA 2023'!E:BP,63,0)</f>
        <v>11</v>
      </c>
      <c r="E185" t="str">
        <f t="shared" si="12"/>
        <v>Roiphet111</v>
      </c>
      <c r="F185">
        <f>ROUND(VLOOKUP(C185,'RAW DATA 2023'!E:BO,23,0),0)</f>
        <v>46</v>
      </c>
      <c r="G185" s="16">
        <f>VLOOKUP(C185,'RAW DATA 2023'!E:BO,27,0)</f>
        <v>2.8605651647115153</v>
      </c>
      <c r="H185" s="16">
        <f>IFERROR(VLOOKUP(F185,STD!B:G,5,0),0)</f>
        <v>1.54</v>
      </c>
      <c r="I185" s="21">
        <f t="shared" si="13"/>
        <v>0.53835515407854984</v>
      </c>
      <c r="J185" s="16">
        <f t="shared" si="14"/>
        <v>0.76710308157099671</v>
      </c>
      <c r="K185" s="106" t="str">
        <f>VLOOKUP(C185,'RAW DATA 2023'!E:BO,36,0)</f>
        <v>Normal</v>
      </c>
      <c r="L185" s="106">
        <f>VLOOKUP(C185,'RAW DATA 2023'!E:BO,21,0)</f>
        <v>6.0220399999999996</v>
      </c>
      <c r="M185" s="106">
        <f t="shared" si="15"/>
        <v>4.6195254413438045</v>
      </c>
    </row>
    <row r="186" spans="1:13">
      <c r="A186" t="str">
        <f>'RAW DATA 2023'!B179</f>
        <v>Roiphet1</v>
      </c>
      <c r="B186" t="str">
        <f>'RAW DATA 2023'!D179</f>
        <v>D4-G08-0060</v>
      </c>
      <c r="C186" t="str">
        <f t="shared" si="11"/>
        <v>Roiphet1D4-G08-0060</v>
      </c>
      <c r="D186">
        <f>VLOOKUP(C186,'RAW DATA 2023'!E:BP,63,0)</f>
        <v>11</v>
      </c>
      <c r="E186" t="str">
        <f t="shared" si="12"/>
        <v>Roiphet111</v>
      </c>
      <c r="F186">
        <f>ROUND(VLOOKUP(C186,'RAW DATA 2023'!E:BO,23,0),0)</f>
        <v>36</v>
      </c>
      <c r="G186" s="16">
        <f>VLOOKUP(C186,'RAW DATA 2023'!E:BO,27,0)</f>
        <v>2.6977898150776998</v>
      </c>
      <c r="H186" s="16">
        <f>IFERROR(VLOOKUP(F186,STD!B:G,5,0),0)</f>
        <v>1.726</v>
      </c>
      <c r="I186" s="21">
        <f t="shared" si="13"/>
        <v>0.63978297729257638</v>
      </c>
      <c r="J186" s="16">
        <f t="shared" si="14"/>
        <v>2.7956595458515276</v>
      </c>
      <c r="K186" s="106" t="str">
        <f>VLOOKUP(C186,'RAW DATA 2023'!E:BO,36,0)</f>
        <v>Normal</v>
      </c>
      <c r="L186" s="106">
        <f>VLOOKUP(C186,'RAW DATA 2023'!E:BO,21,0)</f>
        <v>8.7360000000000007</v>
      </c>
      <c r="M186" s="106">
        <f t="shared" si="15"/>
        <v>24.422881792558947</v>
      </c>
    </row>
    <row r="187" spans="1:13">
      <c r="A187" t="str">
        <f>'RAW DATA 2023'!B180</f>
        <v>Roiphet1</v>
      </c>
      <c r="B187" t="str">
        <f>'RAW DATA 2023'!D180</f>
        <v>D1-I02-0090</v>
      </c>
      <c r="C187" t="str">
        <f t="shared" si="11"/>
        <v>Roiphet1D1-I02-0090</v>
      </c>
      <c r="D187">
        <f>VLOOKUP(C187,'RAW DATA 2023'!E:BP,63,0)</f>
        <v>12</v>
      </c>
      <c r="E187" t="str">
        <f t="shared" si="12"/>
        <v>Roiphet112</v>
      </c>
      <c r="F187">
        <f>ROUND(VLOOKUP(C187,'RAW DATA 2023'!E:BO,23,0),0)</f>
        <v>51</v>
      </c>
      <c r="G187" s="16">
        <f>VLOOKUP(C187,'RAW DATA 2023'!E:BO,27,0)</f>
        <v>3.7975004008472646</v>
      </c>
      <c r="H187" s="16">
        <f>IFERROR(VLOOKUP(F187,STD!B:G,5,0),0)</f>
        <v>1.48</v>
      </c>
      <c r="I187" s="21">
        <f t="shared" si="13"/>
        <v>0.38973004444444442</v>
      </c>
      <c r="J187" s="16">
        <f t="shared" si="14"/>
        <v>-2.2053991111111113</v>
      </c>
      <c r="K187" s="106" t="str">
        <f>VLOOKUP(C187,'RAW DATA 2023'!E:BO,36,0)</f>
        <v>Normal</v>
      </c>
      <c r="L187" s="106">
        <f>VLOOKUP(C187,'RAW DATA 2023'!E:BO,21,0)</f>
        <v>2.5346700000000002</v>
      </c>
      <c r="M187" s="106">
        <f t="shared" si="15"/>
        <v>-5.589958964960001</v>
      </c>
    </row>
    <row r="188" spans="1:13">
      <c r="A188" t="str">
        <f>'RAW DATA 2023'!B181</f>
        <v>Roiphet1</v>
      </c>
      <c r="B188" t="str">
        <f>'RAW DATA 2023'!D181</f>
        <v>D1-I01-0092</v>
      </c>
      <c r="C188" t="str">
        <f t="shared" si="11"/>
        <v>Roiphet1D1-I01-0092</v>
      </c>
      <c r="D188">
        <f>VLOOKUP(C188,'RAW DATA 2023'!E:BP,63,0)</f>
        <v>12</v>
      </c>
      <c r="E188" t="str">
        <f t="shared" si="12"/>
        <v>Roiphet112</v>
      </c>
      <c r="F188">
        <f>ROUND(VLOOKUP(C188,'RAW DATA 2023'!E:BO,23,0),0)</f>
        <v>52</v>
      </c>
      <c r="G188" s="16">
        <f>VLOOKUP(C188,'RAW DATA 2023'!E:BO,27,0)</f>
        <v>3.0008036935109579</v>
      </c>
      <c r="H188" s="16">
        <f>IFERROR(VLOOKUP(F188,STD!B:G,5,0),0)</f>
        <v>1.47</v>
      </c>
      <c r="I188" s="21">
        <f t="shared" si="13"/>
        <v>0.48986876521739126</v>
      </c>
      <c r="J188" s="16">
        <f t="shared" si="14"/>
        <v>-0.20262469565217489</v>
      </c>
      <c r="K188" s="106" t="str">
        <f>VLOOKUP(C188,'RAW DATA 2023'!E:BO,36,0)</f>
        <v>Normal</v>
      </c>
      <c r="L188" s="106">
        <f>VLOOKUP(C188,'RAW DATA 2023'!E:BO,21,0)</f>
        <v>3.0216699999999999</v>
      </c>
      <c r="M188" s="106">
        <f t="shared" si="15"/>
        <v>-0.61226496411130726</v>
      </c>
    </row>
    <row r="189" spans="1:13">
      <c r="A189" t="str">
        <f>'RAW DATA 2023'!B182</f>
        <v>Roiphet1</v>
      </c>
      <c r="B189" t="str">
        <f>'RAW DATA 2023'!D182</f>
        <v>D1-G02-0080</v>
      </c>
      <c r="C189" t="str">
        <f t="shared" si="11"/>
        <v>Roiphet1D1-G02-0080</v>
      </c>
      <c r="D189">
        <f>VLOOKUP(C189,'RAW DATA 2023'!E:BP,63,0)</f>
        <v>12</v>
      </c>
      <c r="E189" t="str">
        <f t="shared" si="12"/>
        <v>Roiphet112</v>
      </c>
      <c r="F189">
        <f>ROUND(VLOOKUP(C189,'RAW DATA 2023'!E:BO,23,0),0)</f>
        <v>51</v>
      </c>
      <c r="G189" s="16">
        <f>VLOOKUP(C189,'RAW DATA 2023'!E:BO,27,0)</f>
        <v>2.7735557153907751</v>
      </c>
      <c r="H189" s="16">
        <f>IFERROR(VLOOKUP(F189,STD!B:G,5,0),0)</f>
        <v>1.48</v>
      </c>
      <c r="I189" s="21">
        <f t="shared" si="13"/>
        <v>0.53361105810397547</v>
      </c>
      <c r="J189" s="16">
        <f t="shared" si="14"/>
        <v>0.67222116207950933</v>
      </c>
      <c r="K189" s="106" t="str">
        <f>VLOOKUP(C189,'RAW DATA 2023'!E:BO,36,0)</f>
        <v>Normal</v>
      </c>
      <c r="L189" s="106">
        <f>VLOOKUP(C189,'RAW DATA 2023'!E:BO,21,0)</f>
        <v>6.2579799999999999</v>
      </c>
      <c r="M189" s="106">
        <f t="shared" si="15"/>
        <v>4.2067465878703274</v>
      </c>
    </row>
    <row r="190" spans="1:13">
      <c r="A190" t="str">
        <f>'RAW DATA 2023'!B183</f>
        <v>Roiphet1</v>
      </c>
      <c r="B190" t="str">
        <f>'RAW DATA 2023'!D183</f>
        <v>D1-G01-0078</v>
      </c>
      <c r="C190" t="str">
        <f t="shared" si="11"/>
        <v>Roiphet1D1-G01-0078</v>
      </c>
      <c r="D190">
        <f>VLOOKUP(C190,'RAW DATA 2023'!E:BP,63,0)</f>
        <v>12</v>
      </c>
      <c r="E190" t="str">
        <f t="shared" si="12"/>
        <v>Roiphet112</v>
      </c>
      <c r="F190">
        <f>ROUND(VLOOKUP(C190,'RAW DATA 2023'!E:BO,23,0),0)</f>
        <v>52</v>
      </c>
      <c r="G190" s="16">
        <f>VLOOKUP(C190,'RAW DATA 2023'!E:BO,27,0)</f>
        <v>2.6457192648531067</v>
      </c>
      <c r="H190" s="16">
        <f>IFERROR(VLOOKUP(F190,STD!B:G,5,0),0)</f>
        <v>1.47</v>
      </c>
      <c r="I190" s="21">
        <f t="shared" si="13"/>
        <v>0.55561450510948907</v>
      </c>
      <c r="J190" s="16">
        <f t="shared" si="14"/>
        <v>1.1122901021897813</v>
      </c>
      <c r="K190" s="106" t="str">
        <f>VLOOKUP(C190,'RAW DATA 2023'!E:BO,36,0)</f>
        <v>Normal</v>
      </c>
      <c r="L190" s="106">
        <f>VLOOKUP(C190,'RAW DATA 2023'!E:BO,21,0)</f>
        <v>6.8357399999999995</v>
      </c>
      <c r="M190" s="106">
        <f t="shared" si="15"/>
        <v>7.6033259431427753</v>
      </c>
    </row>
    <row r="191" spans="1:13">
      <c r="A191" t="str">
        <f>'RAW DATA 2023'!B184</f>
        <v>Roiphet1</v>
      </c>
      <c r="B191" t="str">
        <f>'RAW DATA 2023'!D184</f>
        <v>D4-G07-0063</v>
      </c>
      <c r="C191" t="str">
        <f t="shared" si="11"/>
        <v>Roiphet1D4-G07-0063</v>
      </c>
      <c r="D191">
        <f>VLOOKUP(C191,'RAW DATA 2023'!E:BP,63,0)</f>
        <v>11</v>
      </c>
      <c r="E191" t="str">
        <f t="shared" si="12"/>
        <v>Roiphet111</v>
      </c>
      <c r="F191">
        <f>ROUND(VLOOKUP(C191,'RAW DATA 2023'!E:BO,23,0),0)</f>
        <v>43</v>
      </c>
      <c r="G191" s="16">
        <f>VLOOKUP(C191,'RAW DATA 2023'!E:BO,27,0)</f>
        <v>2.4914653470389765</v>
      </c>
      <c r="H191" s="16">
        <f>IFERROR(VLOOKUP(F191,STD!B:G,5,0),0)</f>
        <v>1.58</v>
      </c>
      <c r="I191" s="21">
        <f t="shared" si="13"/>
        <v>0.63416495111111115</v>
      </c>
      <c r="J191" s="16">
        <f t="shared" si="14"/>
        <v>2.6832990222222231</v>
      </c>
      <c r="K191" s="106" t="str">
        <f>VLOOKUP(C191,'RAW DATA 2023'!E:BO,36,0)</f>
        <v>Normal</v>
      </c>
      <c r="L191" s="106">
        <f>VLOOKUP(C191,'RAW DATA 2023'!E:BO,21,0)</f>
        <v>9.2783999999999995</v>
      </c>
      <c r="M191" s="106">
        <f t="shared" si="15"/>
        <v>24.896721647786674</v>
      </c>
    </row>
    <row r="192" spans="1:13">
      <c r="A192" t="str">
        <f>'RAW DATA 2023'!B185</f>
        <v>Roiphet1</v>
      </c>
      <c r="B192" t="str">
        <f>'RAW DATA 2023'!D185</f>
        <v>B4-G08-0079</v>
      </c>
      <c r="C192" t="str">
        <f t="shared" si="11"/>
        <v>Roiphet1B4-G08-0079</v>
      </c>
      <c r="D192">
        <f>VLOOKUP(C192,'RAW DATA 2023'!E:BP,63,0)</f>
        <v>2</v>
      </c>
      <c r="E192" t="str">
        <f t="shared" si="12"/>
        <v>Roiphet12</v>
      </c>
      <c r="F192">
        <f>ROUND(VLOOKUP(C192,'RAW DATA 2023'!E:BO,23,0),0)</f>
        <v>37</v>
      </c>
      <c r="G192" s="16">
        <f>VLOOKUP(C192,'RAW DATA 2023'!E:BO,27,0)</f>
        <v>1.9496314696199717</v>
      </c>
      <c r="H192" s="16">
        <f>IFERROR(VLOOKUP(F192,STD!B:G,5,0),0)</f>
        <v>1.6970000000000001</v>
      </c>
      <c r="I192" s="21">
        <f t="shared" si="13"/>
        <v>0.87042091105083808</v>
      </c>
      <c r="J192" s="16">
        <f t="shared" si="14"/>
        <v>7.4084182210167615</v>
      </c>
      <c r="K192" s="106" t="str">
        <f>VLOOKUP(C192,'RAW DATA 2023'!E:BO,36,0)</f>
        <v>Normal</v>
      </c>
      <c r="L192" s="106">
        <f>VLOOKUP(C192,'RAW DATA 2023'!E:BO,21,0)</f>
        <v>7.5867399999999998</v>
      </c>
      <c r="M192" s="106">
        <f t="shared" si="15"/>
        <v>56.205742854116707</v>
      </c>
    </row>
    <row r="193" spans="1:13">
      <c r="A193" t="str">
        <f>'RAW DATA 2023'!B186</f>
        <v>Roiphet1</v>
      </c>
      <c r="B193" t="str">
        <f>'RAW DATA 2023'!D186</f>
        <v>B2-I04-0097</v>
      </c>
      <c r="C193" t="str">
        <f t="shared" si="11"/>
        <v>Roiphet1B2-I04-0097</v>
      </c>
      <c r="D193">
        <f>VLOOKUP(C193,'RAW DATA 2023'!E:BP,63,0)</f>
        <v>2</v>
      </c>
      <c r="E193" t="str">
        <f t="shared" si="12"/>
        <v>Roiphet12</v>
      </c>
      <c r="F193">
        <f>ROUND(VLOOKUP(C193,'RAW DATA 2023'!E:BO,23,0),0)</f>
        <v>29</v>
      </c>
      <c r="G193" s="16">
        <f>VLOOKUP(C193,'RAW DATA 2023'!E:BO,27,0)</f>
        <v>2.6389432099663765</v>
      </c>
      <c r="H193" s="16">
        <f>IFERROR(VLOOKUP(F193,STD!B:G,5,0),0)</f>
        <v>1.9</v>
      </c>
      <c r="I193" s="21">
        <f t="shared" si="13"/>
        <v>0.71998517922794114</v>
      </c>
      <c r="J193" s="16">
        <f t="shared" si="14"/>
        <v>4.3997035845588233</v>
      </c>
      <c r="K193" s="106" t="str">
        <f>VLOOKUP(C193,'RAW DATA 2023'!E:BO,36,0)</f>
        <v>Normal</v>
      </c>
      <c r="L193" s="106">
        <f>VLOOKUP(C193,'RAW DATA 2023'!E:BO,21,0)</f>
        <v>3.3606599999999998</v>
      </c>
      <c r="M193" s="106">
        <f t="shared" si="15"/>
        <v>14.785907848483454</v>
      </c>
    </row>
    <row r="194" spans="1:13">
      <c r="A194" t="str">
        <f>'RAW DATA 2023'!B187</f>
        <v>Roiphet1</v>
      </c>
      <c r="B194" t="str">
        <f>'RAW DATA 2023'!D187</f>
        <v>B6-G12-0086</v>
      </c>
      <c r="C194" t="str">
        <f t="shared" si="11"/>
        <v>Roiphet1B6-G12-0086</v>
      </c>
      <c r="D194">
        <f>VLOOKUP(C194,'RAW DATA 2023'!E:BP,63,0)</f>
        <v>1</v>
      </c>
      <c r="E194" t="str">
        <f t="shared" si="12"/>
        <v>Roiphet11</v>
      </c>
      <c r="F194">
        <f>ROUND(VLOOKUP(C194,'RAW DATA 2023'!E:BO,23,0),0)</f>
        <v>36</v>
      </c>
      <c r="G194" s="16">
        <f>VLOOKUP(C194,'RAW DATA 2023'!E:BO,27,0)</f>
        <v>1.8624862220515825</v>
      </c>
      <c r="H194" s="16">
        <f>IFERROR(VLOOKUP(F194,STD!B:G,5,0),0)</f>
        <v>1.726</v>
      </c>
      <c r="I194" s="21">
        <f t="shared" si="13"/>
        <v>0.9267182648464164</v>
      </c>
      <c r="J194" s="16">
        <f t="shared" si="14"/>
        <v>8.5343652969283283</v>
      </c>
      <c r="K194" s="106" t="str">
        <f>VLOOKUP(C194,'RAW DATA 2023'!E:BO,36,0)</f>
        <v>Normal</v>
      </c>
      <c r="L194" s="106">
        <f>VLOOKUP(C194,'RAW DATA 2023'!E:BO,21,0)</f>
        <v>8.0286299999999997</v>
      </c>
      <c r="M194" s="106">
        <f t="shared" si="15"/>
        <v>68.519261253877687</v>
      </c>
    </row>
    <row r="195" spans="1:13">
      <c r="A195" t="str">
        <f>'RAW DATA 2023'!B188</f>
        <v>Roiphet1</v>
      </c>
      <c r="B195" t="str">
        <f>'RAW DATA 2023'!D188</f>
        <v>B2-G03-0079</v>
      </c>
      <c r="C195" t="str">
        <f t="shared" si="11"/>
        <v>Roiphet1B2-G03-0079</v>
      </c>
      <c r="D195">
        <f>VLOOKUP(C195,'RAW DATA 2023'!E:BP,63,0)</f>
        <v>2</v>
      </c>
      <c r="E195" t="str">
        <f t="shared" si="12"/>
        <v>Roiphet12</v>
      </c>
      <c r="F195">
        <f>ROUND(VLOOKUP(C195,'RAW DATA 2023'!E:BO,23,0),0)</f>
        <v>33</v>
      </c>
      <c r="G195" s="16">
        <f>VLOOKUP(C195,'RAW DATA 2023'!E:BO,27,0)</f>
        <v>2.5218146185888122</v>
      </c>
      <c r="H195" s="16">
        <f>IFERROR(VLOOKUP(F195,STD!B:G,5,0),0)</f>
        <v>1.8</v>
      </c>
      <c r="I195" s="21">
        <f t="shared" si="13"/>
        <v>0.7137717367215779</v>
      </c>
      <c r="J195" s="16">
        <f t="shared" si="14"/>
        <v>4.275434734431558</v>
      </c>
      <c r="K195" s="106" t="str">
        <f>VLOOKUP(C195,'RAW DATA 2023'!E:BO,36,0)</f>
        <v>Normal</v>
      </c>
      <c r="L195" s="106">
        <f>VLOOKUP(C195,'RAW DATA 2023'!E:BO,21,0)</f>
        <v>5.5274200000000002</v>
      </c>
      <c r="M195" s="106">
        <f t="shared" si="15"/>
        <v>23.632123459791682</v>
      </c>
    </row>
    <row r="196" spans="1:13">
      <c r="A196" t="str">
        <f>'RAW DATA 2023'!B189</f>
        <v>Roiphet1</v>
      </c>
      <c r="B196" t="str">
        <f>'RAW DATA 2023'!D189</f>
        <v>B2-I03-0094</v>
      </c>
      <c r="C196" t="str">
        <f t="shared" si="11"/>
        <v>Roiphet1B2-I03-0094</v>
      </c>
      <c r="D196">
        <f>VLOOKUP(C196,'RAW DATA 2023'!E:BP,63,0)</f>
        <v>2</v>
      </c>
      <c r="E196" t="str">
        <f t="shared" si="12"/>
        <v>Roiphet12</v>
      </c>
      <c r="F196">
        <f>ROUND(VLOOKUP(C196,'RAW DATA 2023'!E:BO,23,0),0)</f>
        <v>33</v>
      </c>
      <c r="G196" s="16">
        <f>VLOOKUP(C196,'RAW DATA 2023'!E:BO,27,0)</f>
        <v>2.7427616521960254</v>
      </c>
      <c r="H196" s="16">
        <f>IFERROR(VLOOKUP(F196,STD!B:G,5,0),0)</f>
        <v>1.8</v>
      </c>
      <c r="I196" s="21">
        <f t="shared" si="13"/>
        <v>0.65627284768211924</v>
      </c>
      <c r="J196" s="16">
        <f t="shared" si="14"/>
        <v>3.1254569536423848</v>
      </c>
      <c r="K196" s="106" t="str">
        <f>VLOOKUP(C196,'RAW DATA 2023'!E:BO,36,0)</f>
        <v>Normal</v>
      </c>
      <c r="L196" s="106">
        <f>VLOOKUP(C196,'RAW DATA 2023'!E:BO,21,0)</f>
        <v>2.8410700000000002</v>
      </c>
      <c r="M196" s="106">
        <f t="shared" si="15"/>
        <v>8.8796419872847707</v>
      </c>
    </row>
    <row r="197" spans="1:13">
      <c r="A197" t="str">
        <f>'RAW DATA 2023'!B190</f>
        <v>Roiphet1</v>
      </c>
      <c r="B197" t="str">
        <f>'RAW DATA 2023'!D190</f>
        <v>B2-G04-0091</v>
      </c>
      <c r="C197" t="str">
        <f t="shared" si="11"/>
        <v>Roiphet1B2-G04-0091</v>
      </c>
      <c r="D197">
        <f>VLOOKUP(C197,'RAW DATA 2023'!E:BP,63,0)</f>
        <v>2</v>
      </c>
      <c r="E197" t="str">
        <f t="shared" si="12"/>
        <v>Roiphet12</v>
      </c>
      <c r="F197">
        <f>ROUND(VLOOKUP(C197,'RAW DATA 2023'!E:BO,23,0),0)</f>
        <v>34</v>
      </c>
      <c r="G197" s="16">
        <f>VLOOKUP(C197,'RAW DATA 2023'!E:BO,27,0)</f>
        <v>2.0616068962509631</v>
      </c>
      <c r="H197" s="16">
        <f>IFERROR(VLOOKUP(F197,STD!B:G,5,0),0)</f>
        <v>1.77</v>
      </c>
      <c r="I197" s="21">
        <f t="shared" si="13"/>
        <v>0.85855358905655055</v>
      </c>
      <c r="J197" s="16">
        <f t="shared" si="14"/>
        <v>7.171071781131011</v>
      </c>
      <c r="K197" s="106" t="str">
        <f>VLOOKUP(C197,'RAW DATA 2023'!E:BO,36,0)</f>
        <v>Normal</v>
      </c>
      <c r="L197" s="106">
        <f>VLOOKUP(C197,'RAW DATA 2023'!E:BO,21,0)</f>
        <v>6.9918500000000003</v>
      </c>
      <c r="M197" s="106">
        <f t="shared" si="15"/>
        <v>50.139058232900858</v>
      </c>
    </row>
    <row r="198" spans="1:13">
      <c r="A198" t="str">
        <f>'RAW DATA 2023'!B191</f>
        <v>Roiphet1</v>
      </c>
      <c r="B198" t="str">
        <f>'RAW DATA 2023'!D191</f>
        <v>B1-G02-0087</v>
      </c>
      <c r="C198" t="str">
        <f t="shared" si="11"/>
        <v>Roiphet1B1-G02-0087</v>
      </c>
      <c r="D198">
        <f>VLOOKUP(C198,'RAW DATA 2023'!E:BP,63,0)</f>
        <v>2</v>
      </c>
      <c r="E198" t="str">
        <f t="shared" si="12"/>
        <v>Roiphet12</v>
      </c>
      <c r="F198">
        <f>ROUND(VLOOKUP(C198,'RAW DATA 2023'!E:BO,23,0),0)</f>
        <v>41</v>
      </c>
      <c r="G198" s="16">
        <f>VLOOKUP(C198,'RAW DATA 2023'!E:BO,27,0)</f>
        <v>1.8268617031321406</v>
      </c>
      <c r="H198" s="16">
        <f>IFERROR(VLOOKUP(F198,STD!B:G,5,0),0)</f>
        <v>1.61</v>
      </c>
      <c r="I198" s="21">
        <f t="shared" si="13"/>
        <v>0.88129276410998558</v>
      </c>
      <c r="J198" s="16">
        <f t="shared" si="14"/>
        <v>7.6258552821997121</v>
      </c>
      <c r="K198" s="106" t="str">
        <f>VLOOKUP(C198,'RAW DATA 2023'!E:BO,36,0)</f>
        <v>Normal</v>
      </c>
      <c r="L198" s="106">
        <f>VLOOKUP(C198,'RAW DATA 2023'!E:BO,21,0)</f>
        <v>8.08413</v>
      </c>
      <c r="M198" s="106">
        <f t="shared" si="15"/>
        <v>61.648405462489158</v>
      </c>
    </row>
    <row r="199" spans="1:13">
      <c r="A199" t="str">
        <f>'RAW DATA 2023'!B192</f>
        <v>Roiphet1</v>
      </c>
      <c r="B199" t="str">
        <f>'RAW DATA 2023'!D192</f>
        <v>B1-I02-0094</v>
      </c>
      <c r="C199" t="str">
        <f t="shared" si="11"/>
        <v>Roiphet1B1-I02-0094</v>
      </c>
      <c r="D199">
        <f>VLOOKUP(C199,'RAW DATA 2023'!E:BP,63,0)</f>
        <v>2</v>
      </c>
      <c r="E199" t="str">
        <f t="shared" si="12"/>
        <v>Roiphet12</v>
      </c>
      <c r="F199">
        <f>ROUND(VLOOKUP(C199,'RAW DATA 2023'!E:BO,23,0),0)</f>
        <v>37</v>
      </c>
      <c r="G199" s="16">
        <f>VLOOKUP(C199,'RAW DATA 2023'!E:BO,27,0)</f>
        <v>1.8965303337330963</v>
      </c>
      <c r="H199" s="16">
        <f>IFERROR(VLOOKUP(F199,STD!B:G,5,0),0)</f>
        <v>1.6970000000000001</v>
      </c>
      <c r="I199" s="21">
        <f t="shared" si="13"/>
        <v>0.89479191016136062</v>
      </c>
      <c r="J199" s="16">
        <f t="shared" si="14"/>
        <v>7.8958382032272123</v>
      </c>
      <c r="K199" s="106" t="str">
        <f>VLOOKUP(C199,'RAW DATA 2023'!E:BO,36,0)</f>
        <v>Normal</v>
      </c>
      <c r="L199" s="106">
        <f>VLOOKUP(C199,'RAW DATA 2023'!E:BO,21,0)</f>
        <v>4.9142000000000001</v>
      </c>
      <c r="M199" s="106">
        <f t="shared" si="15"/>
        <v>38.801728098299165</v>
      </c>
    </row>
    <row r="200" spans="1:13">
      <c r="A200" t="str">
        <f>'RAW DATA 2023'!B193</f>
        <v>Roiphet1</v>
      </c>
      <c r="B200" t="str">
        <f>'RAW DATA 2023'!D193</f>
        <v>B1-G01-0083</v>
      </c>
      <c r="C200" t="str">
        <f t="shared" si="11"/>
        <v>Roiphet1B1-G01-0083</v>
      </c>
      <c r="D200">
        <f>VLOOKUP(C200,'RAW DATA 2023'!E:BP,63,0)</f>
        <v>2</v>
      </c>
      <c r="E200" t="str">
        <f t="shared" si="12"/>
        <v>Roiphet12</v>
      </c>
      <c r="F200">
        <f>ROUND(VLOOKUP(C200,'RAW DATA 2023'!E:BO,23,0),0)</f>
        <v>47</v>
      </c>
      <c r="G200" s="16">
        <f>VLOOKUP(C200,'RAW DATA 2023'!E:BO,27,0)</f>
        <v>2.1216876435758891</v>
      </c>
      <c r="H200" s="16">
        <f>IFERROR(VLOOKUP(F200,STD!B:G,5,0),0)</f>
        <v>1.53</v>
      </c>
      <c r="I200" s="21">
        <f t="shared" si="13"/>
        <v>0.72112405642394206</v>
      </c>
      <c r="J200" s="16">
        <f t="shared" si="14"/>
        <v>4.4224811284788412</v>
      </c>
      <c r="K200" s="106" t="str">
        <f>VLOOKUP(C200,'RAW DATA 2023'!E:BO,36,0)</f>
        <v>Normal</v>
      </c>
      <c r="L200" s="106">
        <f>VLOOKUP(C200,'RAW DATA 2023'!E:BO,21,0)</f>
        <v>6.3224</v>
      </c>
      <c r="M200" s="106">
        <f t="shared" si="15"/>
        <v>27.960694686694627</v>
      </c>
    </row>
    <row r="201" spans="1:13">
      <c r="A201" t="str">
        <f>'RAW DATA 2023'!B194</f>
        <v>Roiphet1</v>
      </c>
      <c r="B201" t="str">
        <f>'RAW DATA 2023'!D194</f>
        <v>B1-I01-0094</v>
      </c>
      <c r="C201" t="str">
        <f t="shared" si="11"/>
        <v>Roiphet1B1-I01-0094</v>
      </c>
      <c r="D201">
        <f>VLOOKUP(C201,'RAW DATA 2023'!E:BP,63,0)</f>
        <v>2</v>
      </c>
      <c r="E201" t="str">
        <f t="shared" si="12"/>
        <v>Roiphet12</v>
      </c>
      <c r="F201">
        <f>ROUND(VLOOKUP(C201,'RAW DATA 2023'!E:BO,23,0),0)</f>
        <v>45</v>
      </c>
      <c r="G201" s="16">
        <f>VLOOKUP(C201,'RAW DATA 2023'!E:BO,27,0)</f>
        <v>1.9646919908994038</v>
      </c>
      <c r="H201" s="16">
        <f>IFERROR(VLOOKUP(F201,STD!B:G,5,0),0)</f>
        <v>1.55</v>
      </c>
      <c r="J201" s="16">
        <f t="shared" si="14"/>
        <v>-10</v>
      </c>
      <c r="K201" s="106" t="str">
        <f>VLOOKUP(C201,'RAW DATA 2023'!E:BO,36,0)</f>
        <v>Normal</v>
      </c>
      <c r="L201" s="106">
        <f>VLOOKUP(C201,'RAW DATA 2023'!E:BO,21,0)</f>
        <v>3.5503</v>
      </c>
      <c r="M201" s="106">
        <f t="shared" si="15"/>
        <v>-35.503</v>
      </c>
    </row>
    <row r="202" spans="1:13">
      <c r="A202" t="str">
        <f>'RAW DATA 2023'!B195</f>
        <v>Roiphet1</v>
      </c>
      <c r="B202" t="str">
        <f>'RAW DATA 2023'!D195</f>
        <v>B6-G11-0081</v>
      </c>
      <c r="C202" t="str">
        <f t="shared" ref="C202:C265" si="16">A202&amp;B202</f>
        <v>Roiphet1B6-G11-0081</v>
      </c>
      <c r="D202">
        <f>VLOOKUP(C202,'RAW DATA 2023'!E:BP,63,0)</f>
        <v>1</v>
      </c>
      <c r="E202" t="str">
        <f t="shared" ref="E202:E265" si="17">A202&amp;D202</f>
        <v>Roiphet11</v>
      </c>
      <c r="F202">
        <f>ROUND(VLOOKUP(C202,'RAW DATA 2023'!E:BO,23,0),0)</f>
        <v>42</v>
      </c>
      <c r="G202" s="16">
        <f>VLOOKUP(C202,'RAW DATA 2023'!E:BO,27,0)</f>
        <v>1.9909102983541138</v>
      </c>
      <c r="H202" s="16">
        <f>IFERROR(VLOOKUP(F202,STD!B:G,5,0),0)</f>
        <v>1.6</v>
      </c>
      <c r="I202" s="21">
        <f t="shared" si="13"/>
        <v>0.80365248063798789</v>
      </c>
      <c r="J202" s="16">
        <f t="shared" si="14"/>
        <v>6.0730496127597577</v>
      </c>
      <c r="K202" s="106" t="str">
        <f>VLOOKUP(C202,'RAW DATA 2023'!E:BO,36,0)</f>
        <v>Normal</v>
      </c>
      <c r="L202" s="106">
        <f>VLOOKUP(C202,'RAW DATA 2023'!E:BO,21,0)</f>
        <v>6.7478699999999998</v>
      </c>
      <c r="M202" s="106">
        <f t="shared" si="15"/>
        <v>40.980149290453184</v>
      </c>
    </row>
    <row r="203" spans="1:13">
      <c r="A203" t="str">
        <f>'RAW DATA 2023'!B196</f>
        <v>Roiphet1</v>
      </c>
      <c r="B203" t="str">
        <f>'RAW DATA 2023'!D196</f>
        <v>B6-I12-0085</v>
      </c>
      <c r="C203" t="str">
        <f t="shared" si="16"/>
        <v>Roiphet1B6-I12-0085</v>
      </c>
      <c r="D203">
        <f>VLOOKUP(C203,'RAW DATA 2023'!E:BP,63,0)</f>
        <v>1</v>
      </c>
      <c r="E203" t="str">
        <f t="shared" si="17"/>
        <v>Roiphet11</v>
      </c>
      <c r="F203">
        <f>ROUND(VLOOKUP(C203,'RAW DATA 2023'!E:BO,23,0),0)</f>
        <v>40</v>
      </c>
      <c r="G203" s="16">
        <f>VLOOKUP(C203,'RAW DATA 2023'!E:BO,27,0)</f>
        <v>2.012443657254448</v>
      </c>
      <c r="H203" s="16">
        <f>IFERROR(VLOOKUP(F203,STD!B:G,5,0),0)</f>
        <v>1.63</v>
      </c>
      <c r="I203" s="21">
        <f t="shared" ref="I203:I266" si="18">IFERROR(H203/G203,0)</f>
        <v>0.80996056417489415</v>
      </c>
      <c r="J203" s="16">
        <f t="shared" ref="J203:J266" si="19">(I203-$B$4)*$B$7</f>
        <v>6.199211283497883</v>
      </c>
      <c r="K203" s="106" t="str">
        <f>VLOOKUP(C203,'RAW DATA 2023'!E:BO,36,0)</f>
        <v>Normal</v>
      </c>
      <c r="L203" s="106">
        <f>VLOOKUP(C203,'RAW DATA 2023'!E:BO,21,0)</f>
        <v>3.5630799999999998</v>
      </c>
      <c r="M203" s="106">
        <f t="shared" ref="M203:M266" si="20">J203*L203</f>
        <v>22.088285740005634</v>
      </c>
    </row>
    <row r="204" spans="1:13">
      <c r="A204" t="str">
        <f>'RAW DATA 2023'!B197</f>
        <v>Roiphet1</v>
      </c>
      <c r="B204" t="str">
        <f>'RAW DATA 2023'!D197</f>
        <v>B6-I11-0082</v>
      </c>
      <c r="C204" t="str">
        <f t="shared" si="16"/>
        <v>Roiphet1B6-I11-0082</v>
      </c>
      <c r="D204">
        <f>VLOOKUP(C204,'RAW DATA 2023'!E:BP,63,0)</f>
        <v>1</v>
      </c>
      <c r="E204" t="str">
        <f t="shared" si="17"/>
        <v>Roiphet11</v>
      </c>
      <c r="F204">
        <f>ROUND(VLOOKUP(C204,'RAW DATA 2023'!E:BO,23,0),0)</f>
        <v>45</v>
      </c>
      <c r="G204" s="16">
        <f>VLOOKUP(C204,'RAW DATA 2023'!E:BO,27,0)</f>
        <v>1.882785195806076</v>
      </c>
      <c r="H204" s="16">
        <f>IFERROR(VLOOKUP(F204,STD!B:G,5,0),0)</f>
        <v>1.55</v>
      </c>
      <c r="I204" s="21">
        <f t="shared" si="18"/>
        <v>0.82324845311756301</v>
      </c>
      <c r="J204" s="16">
        <f t="shared" si="19"/>
        <v>6.4649690623512601</v>
      </c>
      <c r="K204" s="106" t="str">
        <f>VLOOKUP(C204,'RAW DATA 2023'!E:BO,36,0)</f>
        <v>Normal</v>
      </c>
      <c r="L204" s="106">
        <f>VLOOKUP(C204,'RAW DATA 2023'!E:BO,21,0)</f>
        <v>3.3876999999999997</v>
      </c>
      <c r="M204" s="106">
        <f t="shared" si="20"/>
        <v>21.901375692527363</v>
      </c>
    </row>
    <row r="205" spans="1:13">
      <c r="A205" t="str">
        <f>'RAW DATA 2023'!B198</f>
        <v>Roiphet1</v>
      </c>
      <c r="B205" t="str">
        <f>'RAW DATA 2023'!D198</f>
        <v>C2-I03-0060</v>
      </c>
      <c r="C205" t="str">
        <f t="shared" si="16"/>
        <v>Roiphet1C2-I03-0060</v>
      </c>
      <c r="D205">
        <f>VLOOKUP(C205,'RAW DATA 2023'!E:BP,63,0)</f>
        <v>10</v>
      </c>
      <c r="E205" t="str">
        <f t="shared" si="17"/>
        <v>Roiphet110</v>
      </c>
      <c r="F205">
        <f>ROUND(VLOOKUP(C205,'RAW DATA 2023'!E:BO,23,0),0)</f>
        <v>42</v>
      </c>
      <c r="G205" s="16">
        <f>VLOOKUP(C205,'RAW DATA 2023'!E:BO,27,0)</f>
        <v>2.3866843765565333</v>
      </c>
      <c r="H205" s="16">
        <f>IFERROR(VLOOKUP(F205,STD!B:G,5,0),0)</f>
        <v>1.6</v>
      </c>
      <c r="I205" s="21">
        <f t="shared" si="18"/>
        <v>0.6703860869565218</v>
      </c>
      <c r="J205" s="16">
        <f t="shared" si="19"/>
        <v>3.407721739130436</v>
      </c>
      <c r="K205" s="106" t="str">
        <f>VLOOKUP(C205,'RAW DATA 2023'!E:BO,36,0)</f>
        <v>อัตรารอดต่ำ</v>
      </c>
      <c r="L205" s="106">
        <f>VLOOKUP(C205,'RAW DATA 2023'!E:BO,21,0)</f>
        <v>3.5478800000000001</v>
      </c>
      <c r="M205" s="106">
        <f t="shared" si="20"/>
        <v>12.090187803826092</v>
      </c>
    </row>
    <row r="206" spans="1:13">
      <c r="A206" t="str">
        <f>'RAW DATA 2023'!B199</f>
        <v>Roiphet1</v>
      </c>
      <c r="B206" t="str">
        <f>'RAW DATA 2023'!D199</f>
        <v>C6-I12-0062</v>
      </c>
      <c r="C206" t="str">
        <f t="shared" si="16"/>
        <v>Roiphet1C6-I12-0062</v>
      </c>
      <c r="D206">
        <f>VLOOKUP(C206,'RAW DATA 2023'!E:BP,63,0)</f>
        <v>7</v>
      </c>
      <c r="E206" t="str">
        <f t="shared" si="17"/>
        <v>Roiphet17</v>
      </c>
      <c r="F206">
        <f>ROUND(VLOOKUP(C206,'RAW DATA 2023'!E:BO,23,0),0)</f>
        <v>27</v>
      </c>
      <c r="G206" s="16">
        <f>VLOOKUP(C206,'RAW DATA 2023'!E:BO,27,0)</f>
        <v>2.0086300501323255</v>
      </c>
      <c r="H206" s="16">
        <f>IFERROR(VLOOKUP(F206,STD!B:G,5,0),0)</f>
        <v>1.96</v>
      </c>
      <c r="I206" s="21">
        <f t="shared" si="18"/>
        <v>0.97578944408945689</v>
      </c>
      <c r="J206" s="16">
        <f t="shared" si="19"/>
        <v>9.5157888817891383</v>
      </c>
      <c r="K206" s="106" t="str">
        <f>VLOOKUP(C206,'RAW DATA 2023'!E:BO,36,0)</f>
        <v>ทยอยตาย</v>
      </c>
      <c r="L206" s="106">
        <f>VLOOKUP(C206,'RAW DATA 2023'!E:BO,21,0)</f>
        <v>3.99769</v>
      </c>
      <c r="M206" s="106">
        <f t="shared" si="20"/>
        <v>38.041174054839622</v>
      </c>
    </row>
    <row r="207" spans="1:13">
      <c r="A207" t="str">
        <f>'RAW DATA 2023'!B200</f>
        <v>Roiphet1</v>
      </c>
      <c r="B207" t="str">
        <f>'RAW DATA 2023'!D200</f>
        <v>C6-G11-0059</v>
      </c>
      <c r="C207" t="str">
        <f t="shared" si="16"/>
        <v>Roiphet1C6-G11-0059</v>
      </c>
      <c r="D207">
        <f>VLOOKUP(C207,'RAW DATA 2023'!E:BP,63,0)</f>
        <v>7</v>
      </c>
      <c r="E207" t="str">
        <f t="shared" si="17"/>
        <v>Roiphet17</v>
      </c>
      <c r="F207">
        <f>ROUND(VLOOKUP(C207,'RAW DATA 2023'!E:BO,23,0),0)</f>
        <v>30</v>
      </c>
      <c r="G207" s="16">
        <f>VLOOKUP(C207,'RAW DATA 2023'!E:BO,27,0)</f>
        <v>1.7709753863264546</v>
      </c>
      <c r="H207" s="16">
        <f>IFERROR(VLOOKUP(F207,STD!B:G,5,0),0)</f>
        <v>1.87</v>
      </c>
      <c r="J207" s="16">
        <f t="shared" si="19"/>
        <v>-10</v>
      </c>
      <c r="K207" s="106" t="str">
        <f>VLOOKUP(C207,'RAW DATA 2023'!E:BO,36,0)</f>
        <v>ทยอยตาย</v>
      </c>
      <c r="L207" s="106">
        <f>VLOOKUP(C207,'RAW DATA 2023'!E:BO,21,0)</f>
        <v>8.8715400000000013</v>
      </c>
      <c r="M207" s="106">
        <f t="shared" si="20"/>
        <v>-88.715400000000017</v>
      </c>
    </row>
    <row r="208" spans="1:13">
      <c r="A208" t="str">
        <f>'RAW DATA 2023'!B201</f>
        <v>Roiphet1</v>
      </c>
      <c r="B208" t="str">
        <f>'RAW DATA 2023'!D201</f>
        <v>C6-I11-0065</v>
      </c>
      <c r="C208" t="str">
        <f t="shared" si="16"/>
        <v>Roiphet1C6-I11-0065</v>
      </c>
      <c r="D208">
        <f>VLOOKUP(C208,'RAW DATA 2023'!E:BP,63,0)</f>
        <v>7</v>
      </c>
      <c r="E208" t="str">
        <f t="shared" si="17"/>
        <v>Roiphet17</v>
      </c>
      <c r="F208">
        <f>ROUND(VLOOKUP(C208,'RAW DATA 2023'!E:BO,23,0),0)</f>
        <v>30</v>
      </c>
      <c r="G208" s="16">
        <f>VLOOKUP(C208,'RAW DATA 2023'!E:BO,27,0)</f>
        <v>1.9733436101973112</v>
      </c>
      <c r="H208" s="16">
        <f>IFERROR(VLOOKUP(F208,STD!B:G,5,0),0)</f>
        <v>1.87</v>
      </c>
      <c r="I208" s="21">
        <f t="shared" si="18"/>
        <v>0.94763019999999998</v>
      </c>
      <c r="J208" s="16">
        <f t="shared" si="19"/>
        <v>8.9526039999999991</v>
      </c>
      <c r="K208" s="106" t="str">
        <f>VLOOKUP(C208,'RAW DATA 2023'!E:BO,36,0)</f>
        <v>ทยอยตาย</v>
      </c>
      <c r="L208" s="106">
        <f>VLOOKUP(C208,'RAW DATA 2023'!E:BO,21,0)</f>
        <v>4.4094100000000003</v>
      </c>
      <c r="M208" s="106">
        <f t="shared" si="20"/>
        <v>39.475701603639997</v>
      </c>
    </row>
    <row r="209" spans="1:13">
      <c r="A209" t="str">
        <f>'RAW DATA 2023'!B202</f>
        <v>Roiphet1</v>
      </c>
      <c r="B209" t="str">
        <f>'RAW DATA 2023'!D202</f>
        <v>C4-G08-0061</v>
      </c>
      <c r="C209" t="str">
        <f t="shared" si="16"/>
        <v>Roiphet1C4-G08-0061</v>
      </c>
      <c r="D209">
        <f>VLOOKUP(C209,'RAW DATA 2023'!E:BP,63,0)</f>
        <v>6</v>
      </c>
      <c r="E209" t="str">
        <f t="shared" si="17"/>
        <v>Roiphet16</v>
      </c>
      <c r="F209">
        <f>ROUND(VLOOKUP(C209,'RAW DATA 2023'!E:BO,23,0),0)</f>
        <v>25</v>
      </c>
      <c r="G209" s="16">
        <f>VLOOKUP(C209,'RAW DATA 2023'!E:BO,27,0)</f>
        <v>2.6541792297816875</v>
      </c>
      <c r="H209" s="16">
        <f>IFERROR(VLOOKUP(F209,STD!B:G,5,0),0)</f>
        <v>2.04</v>
      </c>
      <c r="I209" s="21">
        <f t="shared" si="18"/>
        <v>0.76859918769230773</v>
      </c>
      <c r="J209" s="16">
        <f t="shared" si="19"/>
        <v>5.3719837538461546</v>
      </c>
      <c r="K209" s="106" t="str">
        <f>VLOOKUP(C209,'RAW DATA 2023'!E:BO,36,0)</f>
        <v>Normal</v>
      </c>
      <c r="L209" s="106">
        <f>VLOOKUP(C209,'RAW DATA 2023'!E:BO,21,0)</f>
        <v>6.5844199999999997</v>
      </c>
      <c r="M209" s="106">
        <f t="shared" si="20"/>
        <v>35.371397268499699</v>
      </c>
    </row>
    <row r="210" spans="1:13">
      <c r="A210" t="str">
        <f>'RAW DATA 2023'!B203</f>
        <v>Roiphet1</v>
      </c>
      <c r="B210" t="str">
        <f>'RAW DATA 2023'!D203</f>
        <v>C4-I08-0064</v>
      </c>
      <c r="C210" t="str">
        <f t="shared" si="16"/>
        <v>Roiphet1C4-I08-0064</v>
      </c>
      <c r="D210">
        <f>VLOOKUP(C210,'RAW DATA 2023'!E:BP,63,0)</f>
        <v>6</v>
      </c>
      <c r="E210" t="str">
        <f t="shared" si="17"/>
        <v>Roiphet16</v>
      </c>
      <c r="F210">
        <f>ROUND(VLOOKUP(C210,'RAW DATA 2023'!E:BO,23,0),0)</f>
        <v>24</v>
      </c>
      <c r="G210" s="16">
        <f>VLOOKUP(C210,'RAW DATA 2023'!E:BO,27,0)</f>
        <v>2.839767226464883</v>
      </c>
      <c r="H210" s="16">
        <f>IFERROR(VLOOKUP(F210,STD!B:G,5,0),0)</f>
        <v>2.08</v>
      </c>
      <c r="I210" s="21">
        <f t="shared" si="18"/>
        <v>0.73245440000000006</v>
      </c>
      <c r="J210" s="16">
        <f t="shared" si="19"/>
        <v>4.6490880000000008</v>
      </c>
      <c r="K210" s="106" t="str">
        <f>VLOOKUP(C210,'RAW DATA 2023'!E:BO,36,0)</f>
        <v>Normal</v>
      </c>
      <c r="L210" s="106">
        <f>VLOOKUP(C210,'RAW DATA 2023'!E:BO,21,0)</f>
        <v>3.0891500000000001</v>
      </c>
      <c r="M210" s="106">
        <f t="shared" si="20"/>
        <v>14.361730195200003</v>
      </c>
    </row>
    <row r="211" spans="1:13">
      <c r="A211" t="str">
        <f>'RAW DATA 2023'!B204</f>
        <v>Roiphet1</v>
      </c>
      <c r="B211" t="str">
        <f>'RAW DATA 2023'!D204</f>
        <v>C4-I07-0060</v>
      </c>
      <c r="C211" t="str">
        <f t="shared" si="16"/>
        <v>Roiphet1C4-I07-0060</v>
      </c>
      <c r="D211">
        <f>VLOOKUP(C211,'RAW DATA 2023'!E:BP,63,0)</f>
        <v>6</v>
      </c>
      <c r="E211" t="str">
        <f t="shared" si="17"/>
        <v>Roiphet16</v>
      </c>
      <c r="F211">
        <f>ROUND(VLOOKUP(C211,'RAW DATA 2023'!E:BO,23,0),0)</f>
        <v>25</v>
      </c>
      <c r="G211" s="16">
        <f>VLOOKUP(C211,'RAW DATA 2023'!E:BO,27,0)</f>
        <v>2.7823864631745998</v>
      </c>
      <c r="H211" s="16">
        <f>IFERROR(VLOOKUP(F211,STD!B:G,5,0),0)</f>
        <v>2.04</v>
      </c>
      <c r="I211" s="21">
        <f t="shared" si="18"/>
        <v>0.73318355555555559</v>
      </c>
      <c r="J211" s="16">
        <f t="shared" si="19"/>
        <v>4.6636711111111122</v>
      </c>
      <c r="K211" s="106" t="str">
        <f>VLOOKUP(C211,'RAW DATA 2023'!E:BO,36,0)</f>
        <v>Normal</v>
      </c>
      <c r="L211" s="106">
        <f>VLOOKUP(C211,'RAW DATA 2023'!E:BO,21,0)</f>
        <v>3.1531700000000003</v>
      </c>
      <c r="M211" s="106">
        <f t="shared" si="20"/>
        <v>14.705347837422227</v>
      </c>
    </row>
    <row r="212" spans="1:13">
      <c r="A212" t="str">
        <f>'RAW DATA 2023'!B205</f>
        <v>Roiphet1</v>
      </c>
      <c r="B212" t="str">
        <f>'RAW DATA 2023'!D205</f>
        <v>C4-G07-0057</v>
      </c>
      <c r="C212" t="str">
        <f t="shared" si="16"/>
        <v>Roiphet1C4-G07-0057</v>
      </c>
      <c r="D212">
        <f>VLOOKUP(C212,'RAW DATA 2023'!E:BP,63,0)</f>
        <v>6</v>
      </c>
      <c r="E212" t="str">
        <f t="shared" si="17"/>
        <v>Roiphet16</v>
      </c>
      <c r="F212">
        <f>ROUND(VLOOKUP(C212,'RAW DATA 2023'!E:BO,23,0),0)</f>
        <v>26</v>
      </c>
      <c r="G212" s="16">
        <f>VLOOKUP(C212,'RAW DATA 2023'!E:BO,27,0)</f>
        <v>2.9062695488983108</v>
      </c>
      <c r="H212" s="16">
        <f>IFERROR(VLOOKUP(F212,STD!B:G,5,0),0)</f>
        <v>2</v>
      </c>
      <c r="I212" s="21">
        <f t="shared" si="18"/>
        <v>0.68816741405082216</v>
      </c>
      <c r="J212" s="16">
        <f t="shared" si="19"/>
        <v>3.7633482810164431</v>
      </c>
      <c r="K212" s="106" t="str">
        <f>VLOOKUP(C212,'RAW DATA 2023'!E:BO,36,0)</f>
        <v>Normal</v>
      </c>
      <c r="L212" s="106">
        <f>VLOOKUP(C212,'RAW DATA 2023'!E:BO,21,0)</f>
        <v>6.2168000000000001</v>
      </c>
      <c r="M212" s="106">
        <f t="shared" si="20"/>
        <v>23.395983593423026</v>
      </c>
    </row>
    <row r="213" spans="1:13">
      <c r="A213" t="str">
        <f>'RAW DATA 2023'!B206</f>
        <v>Roiphet1</v>
      </c>
      <c r="B213" t="str">
        <f>'RAW DATA 2023'!D206</f>
        <v>D5-G09-0069</v>
      </c>
      <c r="C213" t="str">
        <f t="shared" si="16"/>
        <v>Roiphet1D5-G09-0069</v>
      </c>
      <c r="D213">
        <f>VLOOKUP(C213,'RAW DATA 2023'!E:BP,63,0)</f>
        <v>10</v>
      </c>
      <c r="E213" t="str">
        <f t="shared" si="17"/>
        <v>Roiphet110</v>
      </c>
      <c r="F213">
        <f>ROUND(VLOOKUP(C213,'RAW DATA 2023'!E:BO,23,0),0)</f>
        <v>34</v>
      </c>
      <c r="G213" s="16">
        <f>VLOOKUP(C213,'RAW DATA 2023'!E:BO,27,0)</f>
        <v>1.9978266126781961</v>
      </c>
      <c r="H213" s="16">
        <f>IFERROR(VLOOKUP(F213,STD!B:G,5,0),0)</f>
        <v>1.77</v>
      </c>
      <c r="I213" s="21">
        <f t="shared" si="18"/>
        <v>0.88596277012609115</v>
      </c>
      <c r="J213" s="16">
        <f t="shared" si="19"/>
        <v>7.7192554025218225</v>
      </c>
      <c r="K213" s="106" t="str">
        <f>VLOOKUP(C213,'RAW DATA 2023'!E:BO,36,0)</f>
        <v>Normal</v>
      </c>
      <c r="L213" s="106">
        <f>VLOOKUP(C213,'RAW DATA 2023'!E:BO,21,0)</f>
        <v>13.70152</v>
      </c>
      <c r="M213" s="106">
        <f t="shared" si="20"/>
        <v>105.7655322827608</v>
      </c>
    </row>
    <row r="214" spans="1:13">
      <c r="A214" t="str">
        <f>'RAW DATA 2023'!B207</f>
        <v>Roiphet1</v>
      </c>
      <c r="B214" t="str">
        <f>'RAW DATA 2023'!D207</f>
        <v>C2-G03-0067</v>
      </c>
      <c r="C214" t="str">
        <f t="shared" si="16"/>
        <v>Roiphet1C2-G03-0067</v>
      </c>
      <c r="D214">
        <f>VLOOKUP(C214,'RAW DATA 2023'!E:BP,63,0)</f>
        <v>10</v>
      </c>
      <c r="E214" t="str">
        <f t="shared" si="17"/>
        <v>Roiphet110</v>
      </c>
      <c r="F214">
        <f>ROUND(VLOOKUP(C214,'RAW DATA 2023'!E:BO,23,0),0)</f>
        <v>52</v>
      </c>
      <c r="G214" s="16">
        <f>VLOOKUP(C214,'RAW DATA 2023'!E:BO,27,0)</f>
        <v>2.3758655918007054</v>
      </c>
      <c r="H214" s="16">
        <f>IFERROR(VLOOKUP(F214,STD!B:G,5,0),0)</f>
        <v>1.47</v>
      </c>
      <c r="I214" s="21">
        <f t="shared" si="18"/>
        <v>0.61872186923076911</v>
      </c>
      <c r="J214" s="16">
        <f t="shared" si="19"/>
        <v>2.3744373846153821</v>
      </c>
      <c r="K214" s="106" t="str">
        <f>VLOOKUP(C214,'RAW DATA 2023'!E:BO,36,0)</f>
        <v>อัตรารอดต่ำ</v>
      </c>
      <c r="L214" s="106">
        <f>VLOOKUP(C214,'RAW DATA 2023'!E:BO,21,0)</f>
        <v>5.7642899999999999</v>
      </c>
      <c r="M214" s="106">
        <f t="shared" si="20"/>
        <v>13.686945671764601</v>
      </c>
    </row>
    <row r="215" spans="1:13">
      <c r="A215" t="str">
        <f>'RAW DATA 2023'!B208</f>
        <v>Roiphet1</v>
      </c>
      <c r="B215" t="str">
        <f>'RAW DATA 2023'!D208</f>
        <v>C2-G04-0065</v>
      </c>
      <c r="C215" t="str">
        <f t="shared" si="16"/>
        <v>Roiphet1C2-G04-0065</v>
      </c>
      <c r="D215">
        <f>VLOOKUP(C215,'RAW DATA 2023'!E:BP,63,0)</f>
        <v>10</v>
      </c>
      <c r="E215" t="str">
        <f t="shared" si="17"/>
        <v>Roiphet110</v>
      </c>
      <c r="F215">
        <f>ROUND(VLOOKUP(C215,'RAW DATA 2023'!E:BO,23,0),0)</f>
        <v>55</v>
      </c>
      <c r="G215" s="16">
        <f>VLOOKUP(C215,'RAW DATA 2023'!E:BO,27,0)</f>
        <v>2.648821825032992</v>
      </c>
      <c r="H215" s="16">
        <f>IFERROR(VLOOKUP(F215,STD!B:G,5,0),0)</f>
        <v>1.44</v>
      </c>
      <c r="I215" s="21">
        <f t="shared" si="18"/>
        <v>0.5436379247524753</v>
      </c>
      <c r="J215" s="16">
        <f t="shared" si="19"/>
        <v>0.87275849504950598</v>
      </c>
      <c r="K215" s="106" t="str">
        <f>VLOOKUP(C215,'RAW DATA 2023'!E:BO,36,0)</f>
        <v>อัตรารอดต่ำ</v>
      </c>
      <c r="L215" s="106">
        <f>VLOOKUP(C215,'RAW DATA 2023'!E:BO,21,0)</f>
        <v>5.0912700000000006</v>
      </c>
      <c r="M215" s="106">
        <f t="shared" si="20"/>
        <v>4.4434491430906986</v>
      </c>
    </row>
    <row r="216" spans="1:13">
      <c r="A216" t="str">
        <f>'RAW DATA 2023'!B209</f>
        <v>Roiphet1</v>
      </c>
      <c r="B216" t="str">
        <f>'RAW DATA 2023'!D209</f>
        <v>C2-I04-0068</v>
      </c>
      <c r="C216" t="str">
        <f t="shared" si="16"/>
        <v>Roiphet1C2-I04-0068</v>
      </c>
      <c r="D216">
        <f>VLOOKUP(C216,'RAW DATA 2023'!E:BP,63,0)</f>
        <v>10</v>
      </c>
      <c r="E216" t="str">
        <f t="shared" si="17"/>
        <v>Roiphet110</v>
      </c>
      <c r="F216">
        <f>ROUND(VLOOKUP(C216,'RAW DATA 2023'!E:BO,23,0),0)</f>
        <v>50</v>
      </c>
      <c r="G216" s="16">
        <f>VLOOKUP(C216,'RAW DATA 2023'!E:BO,27,0)</f>
        <v>2.7654867256637163</v>
      </c>
      <c r="H216" s="16">
        <f>IFERROR(VLOOKUP(F216,STD!B:G,5,0),0)</f>
        <v>1.49</v>
      </c>
      <c r="I216" s="21">
        <f t="shared" si="18"/>
        <v>0.53878400000000004</v>
      </c>
      <c r="J216" s="16">
        <f t="shared" si="19"/>
        <v>0.77568000000000081</v>
      </c>
      <c r="K216" s="106" t="str">
        <f>VLOOKUP(C216,'RAW DATA 2023'!E:BO,36,0)</f>
        <v>อัตรารอดต่ำ</v>
      </c>
      <c r="L216" s="106">
        <f>VLOOKUP(C216,'RAW DATA 2023'!E:BO,21,0)</f>
        <v>3.0312800000000002</v>
      </c>
      <c r="M216" s="106">
        <f t="shared" si="20"/>
        <v>2.3513032704000025</v>
      </c>
    </row>
    <row r="217" spans="1:13">
      <c r="A217" t="str">
        <f>'RAW DATA 2023'!B210</f>
        <v>Roiphet1</v>
      </c>
      <c r="B217" t="str">
        <f>'RAW DATA 2023'!D210</f>
        <v>D2-I03-0086</v>
      </c>
      <c r="C217" t="str">
        <f t="shared" si="16"/>
        <v>Roiphet1D2-I03-0086</v>
      </c>
      <c r="D217">
        <f>VLOOKUP(C217,'RAW DATA 2023'!E:BP,63,0)</f>
        <v>9</v>
      </c>
      <c r="E217" t="str">
        <f t="shared" si="17"/>
        <v>Roiphet19</v>
      </c>
      <c r="F217">
        <f>ROUND(VLOOKUP(C217,'RAW DATA 2023'!E:BO,23,0),0)</f>
        <v>35</v>
      </c>
      <c r="G217" s="16">
        <f>VLOOKUP(C217,'RAW DATA 2023'!E:BO,27,0)</f>
        <v>2.2098221753454279</v>
      </c>
      <c r="H217" s="16">
        <f>IFERROR(VLOOKUP(F217,STD!B:G,5,0),0)</f>
        <v>1.75</v>
      </c>
      <c r="I217" s="21">
        <f t="shared" si="18"/>
        <v>0.79191892430278876</v>
      </c>
      <c r="J217" s="16">
        <f t="shared" si="19"/>
        <v>5.8383784860557757</v>
      </c>
      <c r="K217" s="106" t="str">
        <f>VLOOKUP(C217,'RAW DATA 2023'!E:BO,36,0)</f>
        <v>Normal</v>
      </c>
      <c r="L217" s="106">
        <f>VLOOKUP(C217,'RAW DATA 2023'!E:BO,21,0)</f>
        <v>5.8691899999999997</v>
      </c>
      <c r="M217" s="106">
        <f t="shared" si="20"/>
        <v>34.266552626573699</v>
      </c>
    </row>
    <row r="218" spans="1:13">
      <c r="A218" t="str">
        <f>'RAW DATA 2023'!B211</f>
        <v>Roiphet1</v>
      </c>
      <c r="B218" t="str">
        <f>'RAW DATA 2023'!D211</f>
        <v>D2-G03-0081</v>
      </c>
      <c r="C218" t="str">
        <f t="shared" si="16"/>
        <v>Roiphet1D2-G03-0081</v>
      </c>
      <c r="D218">
        <f>VLOOKUP(C218,'RAW DATA 2023'!E:BP,63,0)</f>
        <v>9</v>
      </c>
      <c r="E218" t="str">
        <f t="shared" si="17"/>
        <v>Roiphet19</v>
      </c>
      <c r="F218">
        <f>ROUND(VLOOKUP(C218,'RAW DATA 2023'!E:BO,23,0),0)</f>
        <v>34</v>
      </c>
      <c r="G218" s="16">
        <f>VLOOKUP(C218,'RAW DATA 2023'!E:BO,27,0)</f>
        <v>2.1247962233392204</v>
      </c>
      <c r="H218" s="16">
        <f>IFERROR(VLOOKUP(F218,STD!B:G,5,0),0)</f>
        <v>1.77</v>
      </c>
      <c r="J218" s="16">
        <f t="shared" si="19"/>
        <v>-10</v>
      </c>
      <c r="K218" s="106" t="str">
        <f>VLOOKUP(C218,'RAW DATA 2023'!E:BO,36,0)</f>
        <v>Normal</v>
      </c>
      <c r="L218" s="106">
        <f>VLOOKUP(C218,'RAW DATA 2023'!E:BO,21,0)</f>
        <v>12.356399999999999</v>
      </c>
      <c r="M218" s="106">
        <f t="shared" si="20"/>
        <v>-123.56399999999999</v>
      </c>
    </row>
    <row r="219" spans="1:13">
      <c r="A219" t="str">
        <f>'RAW DATA 2023'!B212</f>
        <v>Roiphet1</v>
      </c>
      <c r="B219" t="str">
        <f>'RAW DATA 2023'!D212</f>
        <v>C5-I09-0065</v>
      </c>
      <c r="C219" t="str">
        <f t="shared" si="16"/>
        <v>Roiphet1C5-I09-0065</v>
      </c>
      <c r="D219">
        <f>VLOOKUP(C219,'RAW DATA 2023'!E:BP,63,0)</f>
        <v>10</v>
      </c>
      <c r="E219" t="str">
        <f t="shared" si="17"/>
        <v>Roiphet110</v>
      </c>
      <c r="F219">
        <f>ROUND(VLOOKUP(C219,'RAW DATA 2023'!E:BO,23,0),0)</f>
        <v>34</v>
      </c>
      <c r="G219" s="16">
        <f>VLOOKUP(C219,'RAW DATA 2023'!E:BO,27,0)</f>
        <v>3.0002827663757898</v>
      </c>
      <c r="H219" s="16">
        <f>IFERROR(VLOOKUP(F219,STD!B:G,5,0),0)</f>
        <v>1.77</v>
      </c>
      <c r="I219" s="21">
        <f t="shared" si="18"/>
        <v>0.58994439452054792</v>
      </c>
      <c r="J219" s="16">
        <f t="shared" si="19"/>
        <v>1.7988878904109584</v>
      </c>
      <c r="K219" s="106" t="str">
        <f>VLOOKUP(C219,'RAW DATA 2023'!E:BO,36,0)</f>
        <v>Normal</v>
      </c>
      <c r="L219" s="106">
        <f>VLOOKUP(C219,'RAW DATA 2023'!E:BO,21,0)</f>
        <v>3.3363800000000001</v>
      </c>
      <c r="M219" s="106">
        <f t="shared" si="20"/>
        <v>6.0017735798093135</v>
      </c>
    </row>
    <row r="220" spans="1:13">
      <c r="A220" t="str">
        <f>'RAW DATA 2023'!B213</f>
        <v>Roiphet1</v>
      </c>
      <c r="B220" t="str">
        <f>'RAW DATA 2023'!D213</f>
        <v>C6-G12-0060</v>
      </c>
      <c r="C220" t="str">
        <f t="shared" si="16"/>
        <v>Roiphet1C6-G12-0060</v>
      </c>
      <c r="D220">
        <f>VLOOKUP(C220,'RAW DATA 2023'!E:BP,63,0)</f>
        <v>6</v>
      </c>
      <c r="E220" t="str">
        <f t="shared" si="17"/>
        <v>Roiphet16</v>
      </c>
      <c r="F220">
        <f>ROUND(VLOOKUP(C220,'RAW DATA 2023'!E:BO,23,0),0)</f>
        <v>35</v>
      </c>
      <c r="G220" s="16">
        <f>VLOOKUP(C220,'RAW DATA 2023'!E:BO,27,0)</f>
        <v>2.3692397657818942</v>
      </c>
      <c r="H220" s="16">
        <f>IFERROR(VLOOKUP(F220,STD!B:G,5,0),0)</f>
        <v>1.75</v>
      </c>
      <c r="I220" s="21">
        <f t="shared" si="18"/>
        <v>0.73863355886332871</v>
      </c>
      <c r="J220" s="16">
        <f t="shared" si="19"/>
        <v>4.7726711772665737</v>
      </c>
      <c r="K220" s="106" t="str">
        <f>VLOOKUP(C220,'RAW DATA 2023'!E:BO,36,0)</f>
        <v>ทยอยตาย</v>
      </c>
      <c r="L220" s="106">
        <f>VLOOKUP(C220,'RAW DATA 2023'!E:BO,21,0)</f>
        <v>8.052859999999999</v>
      </c>
      <c r="M220" s="106">
        <f t="shared" si="20"/>
        <v>38.433652816562898</v>
      </c>
    </row>
    <row r="221" spans="1:13">
      <c r="A221" t="str">
        <f>'RAW DATA 2023'!B214</f>
        <v>Roiphet1</v>
      </c>
      <c r="B221" t="str">
        <f>'RAW DATA 2023'!D214</f>
        <v>D5-G10-0070</v>
      </c>
      <c r="C221" t="str">
        <f t="shared" si="16"/>
        <v>Roiphet1D5-G10-0070</v>
      </c>
      <c r="D221">
        <f>VLOOKUP(C221,'RAW DATA 2023'!E:BP,63,0)</f>
        <v>10</v>
      </c>
      <c r="E221" t="str">
        <f t="shared" si="17"/>
        <v>Roiphet110</v>
      </c>
      <c r="F221">
        <f>ROUND(VLOOKUP(C221,'RAW DATA 2023'!E:BO,23,0),0)</f>
        <v>36</v>
      </c>
      <c r="G221" s="16">
        <f>VLOOKUP(C221,'RAW DATA 2023'!E:BO,27,0)</f>
        <v>2.2716798909994389</v>
      </c>
      <c r="H221" s="16">
        <f>IFERROR(VLOOKUP(F221,STD!B:G,5,0),0)</f>
        <v>1.726</v>
      </c>
      <c r="I221" s="21">
        <f t="shared" si="18"/>
        <v>0.75979014773980158</v>
      </c>
      <c r="J221" s="16">
        <f t="shared" si="19"/>
        <v>5.1958029547960312</v>
      </c>
      <c r="K221" s="106" t="str">
        <f>VLOOKUP(C221,'RAW DATA 2023'!E:BO,36,0)</f>
        <v>Normal</v>
      </c>
      <c r="L221" s="106">
        <f>VLOOKUP(C221,'RAW DATA 2023'!E:BO,21,0)</f>
        <v>10.45851</v>
      </c>
      <c r="M221" s="106">
        <f t="shared" si="20"/>
        <v>54.340357160763844</v>
      </c>
    </row>
    <row r="222" spans="1:13">
      <c r="A222" t="str">
        <f>'RAW DATA 2023'!B215</f>
        <v>Roiphet1</v>
      </c>
      <c r="B222" t="str">
        <f>'RAW DATA 2023'!D215</f>
        <v>C2-I04-0066</v>
      </c>
      <c r="C222" t="str">
        <f t="shared" si="16"/>
        <v>Roiphet1C2-I04-0066</v>
      </c>
      <c r="D222">
        <f>VLOOKUP(C222,'RAW DATA 2023'!E:BP,63,0)</f>
        <v>3</v>
      </c>
      <c r="E222" t="str">
        <f t="shared" si="17"/>
        <v>Roiphet13</v>
      </c>
      <c r="F222">
        <f>ROUND(VLOOKUP(C222,'RAW DATA 2023'!E:BO,23,0),0)</f>
        <v>33</v>
      </c>
      <c r="G222" s="16">
        <f>VLOOKUP(C222,'RAW DATA 2023'!E:BO,27,0)</f>
        <v>2.0118064714802828</v>
      </c>
      <c r="H222" s="16">
        <f>IFERROR(VLOOKUP(F222,STD!B:G,5,0),0)</f>
        <v>1.8</v>
      </c>
      <c r="I222" s="21">
        <f t="shared" si="18"/>
        <v>0.8947182671480145</v>
      </c>
      <c r="J222" s="16">
        <f t="shared" si="19"/>
        <v>7.89436534296029</v>
      </c>
      <c r="K222" s="106" t="str">
        <f>VLOOKUP(C222,'RAW DATA 2023'!E:BO,36,0)</f>
        <v>Normal</v>
      </c>
      <c r="L222" s="106">
        <f>VLOOKUP(C222,'RAW DATA 2023'!E:BO,21,0)</f>
        <v>7.1348599999999998</v>
      </c>
      <c r="M222" s="106">
        <f t="shared" si="20"/>
        <v>56.325191510873651</v>
      </c>
    </row>
    <row r="223" spans="1:13">
      <c r="A223" t="str">
        <f>'RAW DATA 2023'!B216</f>
        <v>Roiphet1</v>
      </c>
      <c r="B223" t="str">
        <f>'RAW DATA 2023'!D216</f>
        <v>C5-G10-0065</v>
      </c>
      <c r="C223" t="str">
        <f t="shared" si="16"/>
        <v>Roiphet1C5-G10-0065</v>
      </c>
      <c r="D223">
        <f>VLOOKUP(C223,'RAW DATA 2023'!E:BP,63,0)</f>
        <v>10</v>
      </c>
      <c r="E223" t="str">
        <f t="shared" si="17"/>
        <v>Roiphet110</v>
      </c>
      <c r="F223">
        <f>ROUND(VLOOKUP(C223,'RAW DATA 2023'!E:BO,23,0),0)</f>
        <v>43</v>
      </c>
      <c r="G223" s="16">
        <f>VLOOKUP(C223,'RAW DATA 2023'!E:BO,27,0)</f>
        <v>2.3001012769003184</v>
      </c>
      <c r="H223" s="16">
        <f>IFERROR(VLOOKUP(F223,STD!B:G,5,0),0)</f>
        <v>1.58</v>
      </c>
      <c r="I223" s="21">
        <f t="shared" si="18"/>
        <v>0.68692627401574802</v>
      </c>
      <c r="J223" s="16">
        <f t="shared" si="19"/>
        <v>3.7385254803149603</v>
      </c>
      <c r="K223" s="106" t="str">
        <f>VLOOKUP(C223,'RAW DATA 2023'!E:BO,36,0)</f>
        <v>Normal</v>
      </c>
      <c r="L223" s="106">
        <f>VLOOKUP(C223,'RAW DATA 2023'!E:BO,21,0)</f>
        <v>7.1273599999999995</v>
      </c>
      <c r="M223" s="106">
        <f t="shared" si="20"/>
        <v>26.645816967377634</v>
      </c>
    </row>
    <row r="224" spans="1:13">
      <c r="A224" t="str">
        <f>'RAW DATA 2023'!B217</f>
        <v>Roiphet1</v>
      </c>
      <c r="B224" t="str">
        <f>'RAW DATA 2023'!D217</f>
        <v>C5-G09-0058</v>
      </c>
      <c r="C224" t="str">
        <f t="shared" si="16"/>
        <v>Roiphet1C5-G09-0058</v>
      </c>
      <c r="D224">
        <f>VLOOKUP(C224,'RAW DATA 2023'!E:BP,63,0)</f>
        <v>10</v>
      </c>
      <c r="E224" t="str">
        <f t="shared" si="17"/>
        <v>Roiphet110</v>
      </c>
      <c r="F224">
        <f>ROUND(VLOOKUP(C224,'RAW DATA 2023'!E:BO,23,0),0)</f>
        <v>35</v>
      </c>
      <c r="G224" s="16">
        <f>VLOOKUP(C224,'RAW DATA 2023'!E:BO,27,0)</f>
        <v>2.3498186531562504</v>
      </c>
      <c r="H224" s="16">
        <f>IFERROR(VLOOKUP(F224,STD!B:G,5,0),0)</f>
        <v>1.75</v>
      </c>
      <c r="I224" s="21">
        <f t="shared" si="18"/>
        <v>0.74473832167832155</v>
      </c>
      <c r="J224" s="16">
        <f t="shared" si="19"/>
        <v>4.8947664335664314</v>
      </c>
      <c r="K224" s="106" t="str">
        <f>VLOOKUP(C224,'RAW DATA 2023'!E:BO,36,0)</f>
        <v>Normal</v>
      </c>
      <c r="L224" s="106">
        <f>VLOOKUP(C224,'RAW DATA 2023'!E:BO,21,0)</f>
        <v>8.2558100000000003</v>
      </c>
      <c r="M224" s="106">
        <f t="shared" si="20"/>
        <v>40.410261669902084</v>
      </c>
    </row>
    <row r="225" spans="1:13">
      <c r="A225" t="str">
        <f>'RAW DATA 2023'!B218</f>
        <v>Roiphet1</v>
      </c>
      <c r="B225" t="str">
        <f>'RAW DATA 2023'!D218</f>
        <v>C5-I10-0066</v>
      </c>
      <c r="C225" t="str">
        <f t="shared" si="16"/>
        <v>Roiphet1C5-I10-0066</v>
      </c>
      <c r="D225">
        <f>VLOOKUP(C225,'RAW DATA 2023'!E:BP,63,0)</f>
        <v>10</v>
      </c>
      <c r="E225" t="str">
        <f t="shared" si="17"/>
        <v>Roiphet110</v>
      </c>
      <c r="F225">
        <f>ROUND(VLOOKUP(C225,'RAW DATA 2023'!E:BO,23,0),0)</f>
        <v>33</v>
      </c>
      <c r="G225" s="16">
        <f>VLOOKUP(C225,'RAW DATA 2023'!E:BO,27,0)</f>
        <v>2.3626828324772178</v>
      </c>
      <c r="H225" s="16">
        <f>IFERROR(VLOOKUP(F225,STD!B:G,5,0),0)</f>
        <v>1.8</v>
      </c>
      <c r="I225" s="21">
        <f t="shared" si="18"/>
        <v>0.76184580310880834</v>
      </c>
      <c r="J225" s="16">
        <f t="shared" si="19"/>
        <v>5.2369160621761672</v>
      </c>
      <c r="K225" s="106" t="str">
        <f>VLOOKUP(C225,'RAW DATA 2023'!E:BO,36,0)</f>
        <v>Normal</v>
      </c>
      <c r="L225" s="106">
        <f>VLOOKUP(C225,'RAW DATA 2023'!E:BO,21,0)</f>
        <v>4.37934</v>
      </c>
      <c r="M225" s="106">
        <f t="shared" si="20"/>
        <v>22.934235987730577</v>
      </c>
    </row>
    <row r="226" spans="1:13">
      <c r="A226" t="str">
        <f>'RAW DATA 2023'!B219</f>
        <v>Roiphet1</v>
      </c>
      <c r="B226" t="str">
        <f>'RAW DATA 2023'!D219</f>
        <v>D2-G04-0080</v>
      </c>
      <c r="C226" t="str">
        <f t="shared" si="16"/>
        <v>Roiphet1D2-G04-0080</v>
      </c>
      <c r="D226">
        <f>VLOOKUP(C226,'RAW DATA 2023'!E:BP,63,0)</f>
        <v>9</v>
      </c>
      <c r="E226" t="str">
        <f t="shared" si="17"/>
        <v>Roiphet19</v>
      </c>
      <c r="F226">
        <f>ROUND(VLOOKUP(C226,'RAW DATA 2023'!E:BO,23,0),0)</f>
        <v>35</v>
      </c>
      <c r="G226" s="16">
        <f>VLOOKUP(C226,'RAW DATA 2023'!E:BO,27,0)</f>
        <v>2.2901532008114387</v>
      </c>
      <c r="H226" s="16">
        <f>IFERROR(VLOOKUP(F226,STD!B:G,5,0),0)</f>
        <v>1.75</v>
      </c>
      <c r="I226" s="21">
        <f t="shared" si="18"/>
        <v>0.764141018766756</v>
      </c>
      <c r="J226" s="16">
        <f t="shared" si="19"/>
        <v>5.2828203753351204</v>
      </c>
      <c r="K226" s="106" t="str">
        <f>VLOOKUP(C226,'RAW DATA 2023'!E:BO,36,0)</f>
        <v>Normal</v>
      </c>
      <c r="L226" s="106">
        <f>VLOOKUP(C226,'RAW DATA 2023'!E:BO,21,0)</f>
        <v>12.795339999999999</v>
      </c>
      <c r="M226" s="106">
        <f t="shared" si="20"/>
        <v>67.595482861340471</v>
      </c>
    </row>
    <row r="227" spans="1:13">
      <c r="A227" t="str">
        <f>'RAW DATA 2023'!B220</f>
        <v>Roiphet1</v>
      </c>
      <c r="B227" t="str">
        <f>'RAW DATA 2023'!D220</f>
        <v>C4-G08-0060</v>
      </c>
      <c r="C227" t="str">
        <f t="shared" si="16"/>
        <v>Roiphet1C4-G08-0060</v>
      </c>
      <c r="D227">
        <f>VLOOKUP(C227,'RAW DATA 2023'!E:BP,63,0)</f>
        <v>1</v>
      </c>
      <c r="E227" t="str">
        <f t="shared" si="17"/>
        <v>Roiphet11</v>
      </c>
      <c r="F227">
        <f>ROUND(VLOOKUP(C227,'RAW DATA 2023'!E:BO,23,0),0)</f>
        <v>38</v>
      </c>
      <c r="G227" s="16">
        <f>VLOOKUP(C227,'RAW DATA 2023'!E:BO,27,0)</f>
        <v>1.9039747501735425</v>
      </c>
      <c r="H227" s="16">
        <f>IFERROR(VLOOKUP(F227,STD!B:G,5,0),0)</f>
        <v>1.669</v>
      </c>
      <c r="I227" s="21">
        <f t="shared" si="18"/>
        <v>0.87658725508196733</v>
      </c>
      <c r="J227" s="16">
        <f t="shared" si="19"/>
        <v>7.5317451016393466</v>
      </c>
      <c r="K227" s="106" t="str">
        <f>VLOOKUP(C227,'RAW DATA 2023'!E:BO,36,0)</f>
        <v>ทยอยตาย</v>
      </c>
      <c r="L227" s="106">
        <f>VLOOKUP(C227,'RAW DATA 2023'!E:BO,21,0)</f>
        <v>8.1445600000000002</v>
      </c>
      <c r="M227" s="106">
        <f t="shared" si="20"/>
        <v>61.342749885007755</v>
      </c>
    </row>
    <row r="228" spans="1:13">
      <c r="A228" t="str">
        <f>'RAW DATA 2023'!B221</f>
        <v>Roiphet1</v>
      </c>
      <c r="B228" t="str">
        <f>'RAW DATA 2023'!D221</f>
        <v>D5-I10-0075</v>
      </c>
      <c r="C228" t="str">
        <f t="shared" si="16"/>
        <v>Roiphet1D5-I10-0075</v>
      </c>
      <c r="D228">
        <f>VLOOKUP(C228,'RAW DATA 2023'!E:BP,63,0)</f>
        <v>10</v>
      </c>
      <c r="E228" t="str">
        <f t="shared" si="17"/>
        <v>Roiphet110</v>
      </c>
      <c r="F228">
        <f>ROUND(VLOOKUP(C228,'RAW DATA 2023'!E:BO,23,0),0)</f>
        <v>36</v>
      </c>
      <c r="G228" s="16">
        <f>VLOOKUP(C228,'RAW DATA 2023'!E:BO,27,0)</f>
        <v>2.4845295922213166</v>
      </c>
      <c r="H228" s="16">
        <f>IFERROR(VLOOKUP(F228,STD!B:G,5,0),0)</f>
        <v>1.726</v>
      </c>
      <c r="I228" s="21">
        <f t="shared" si="18"/>
        <v>0.69469891016949159</v>
      </c>
      <c r="J228" s="16">
        <f t="shared" si="19"/>
        <v>3.8939782033898318</v>
      </c>
      <c r="K228" s="106" t="str">
        <f>VLOOKUP(C228,'RAW DATA 2023'!E:BO,36,0)</f>
        <v>Normal</v>
      </c>
      <c r="L228" s="106">
        <f>VLOOKUP(C228,'RAW DATA 2023'!E:BO,21,0)</f>
        <v>4.9868300000000003</v>
      </c>
      <c r="M228" s="106">
        <f t="shared" si="20"/>
        <v>19.418607324010516</v>
      </c>
    </row>
    <row r="229" spans="1:13">
      <c r="A229" t="str">
        <f>'RAW DATA 2023'!B222</f>
        <v>Roiphet1</v>
      </c>
      <c r="B229" t="str">
        <f>'RAW DATA 2023'!D222</f>
        <v>C2-I03-0058</v>
      </c>
      <c r="C229" t="str">
        <f t="shared" si="16"/>
        <v>Roiphet1C2-I03-0058</v>
      </c>
      <c r="D229">
        <f>VLOOKUP(C229,'RAW DATA 2023'!E:BP,63,0)</f>
        <v>3</v>
      </c>
      <c r="E229" t="str">
        <f t="shared" si="17"/>
        <v>Roiphet13</v>
      </c>
      <c r="F229">
        <f>ROUND(VLOOKUP(C229,'RAW DATA 2023'!E:BO,23,0),0)</f>
        <v>34</v>
      </c>
      <c r="G229" s="16">
        <f>VLOOKUP(C229,'RAW DATA 2023'!E:BO,27,0)</f>
        <v>2.0902199423269927</v>
      </c>
      <c r="H229" s="16">
        <f>IFERROR(VLOOKUP(F229,STD!B:G,5,0),0)</f>
        <v>1.77</v>
      </c>
      <c r="I229" s="21">
        <f t="shared" si="18"/>
        <v>0.84680083858998145</v>
      </c>
      <c r="J229" s="16">
        <f t="shared" si="19"/>
        <v>6.9360167717996291</v>
      </c>
      <c r="K229" s="106" t="str">
        <f>VLOOKUP(C229,'RAW DATA 2023'!E:BO,36,0)</f>
        <v>Normal</v>
      </c>
      <c r="L229" s="106">
        <f>VLOOKUP(C229,'RAW DATA 2023'!E:BO,21,0)</f>
        <v>6.69719</v>
      </c>
      <c r="M229" s="106">
        <f t="shared" si="20"/>
        <v>46.45182216392876</v>
      </c>
    </row>
    <row r="230" spans="1:13">
      <c r="A230" t="str">
        <f>'RAW DATA 2023'!B223</f>
        <v>Roiphet1</v>
      </c>
      <c r="B230" t="str">
        <f>'RAW DATA 2023'!D223</f>
        <v>D5-I09-0083</v>
      </c>
      <c r="C230" t="str">
        <f t="shared" si="16"/>
        <v>Roiphet1D5-I09-0083</v>
      </c>
      <c r="D230">
        <f>VLOOKUP(C230,'RAW DATA 2023'!E:BP,63,0)</f>
        <v>10</v>
      </c>
      <c r="E230" t="str">
        <f t="shared" si="17"/>
        <v>Roiphet110</v>
      </c>
      <c r="F230">
        <f>ROUND(VLOOKUP(C230,'RAW DATA 2023'!E:BO,23,0),0)</f>
        <v>38</v>
      </c>
      <c r="G230" s="16">
        <f>VLOOKUP(C230,'RAW DATA 2023'!E:BO,27,0)</f>
        <v>2.1514975225180044</v>
      </c>
      <c r="H230" s="16">
        <f>IFERROR(VLOOKUP(F230,STD!B:G,5,0),0)</f>
        <v>1.669</v>
      </c>
      <c r="I230" s="21">
        <f t="shared" si="18"/>
        <v>0.77573875058275055</v>
      </c>
      <c r="J230" s="16">
        <f t="shared" si="19"/>
        <v>5.5147750116550114</v>
      </c>
      <c r="K230" s="106" t="str">
        <f>VLOOKUP(C230,'RAW DATA 2023'!E:BO,36,0)</f>
        <v>Normal</v>
      </c>
      <c r="L230" s="106">
        <f>VLOOKUP(C230,'RAW DATA 2023'!E:BO,21,0)</f>
        <v>5.1848999999999998</v>
      </c>
      <c r="M230" s="106">
        <f t="shared" si="20"/>
        <v>28.593556957930069</v>
      </c>
    </row>
    <row r="231" spans="1:13">
      <c r="A231" t="str">
        <f>'RAW DATA 2023'!B224</f>
        <v>Roiphet1</v>
      </c>
      <c r="B231" t="str">
        <f>'RAW DATA 2023'!D224</f>
        <v>C1-G02-0073</v>
      </c>
      <c r="C231" t="str">
        <f t="shared" si="16"/>
        <v>Roiphet1C1-G02-0073</v>
      </c>
      <c r="D231">
        <f>VLOOKUP(C231,'RAW DATA 2023'!E:BP,63,0)</f>
        <v>5</v>
      </c>
      <c r="E231" t="str">
        <f t="shared" si="17"/>
        <v>Roiphet15</v>
      </c>
      <c r="F231">
        <f>ROUND(VLOOKUP(C231,'RAW DATA 2023'!E:BO,23,0),0)</f>
        <v>33</v>
      </c>
      <c r="G231" s="16">
        <f>VLOOKUP(C231,'RAW DATA 2023'!E:BO,27,0)</f>
        <v>2.4719495760463315</v>
      </c>
      <c r="H231" s="16">
        <f>IFERROR(VLOOKUP(F231,STD!B:G,5,0),0)</f>
        <v>1.8</v>
      </c>
      <c r="I231" s="21">
        <f t="shared" si="18"/>
        <v>0.72817019305019304</v>
      </c>
      <c r="J231" s="16">
        <f t="shared" si="19"/>
        <v>4.5634038610038612</v>
      </c>
      <c r="K231" s="106" t="str">
        <f>VLOOKUP(C231,'RAW DATA 2023'!E:BO,36,0)</f>
        <v>Normal</v>
      </c>
      <c r="L231" s="106">
        <f>VLOOKUP(C231,'RAW DATA 2023'!E:BO,21,0)</f>
        <v>8.1731700000000007</v>
      </c>
      <c r="M231" s="106">
        <f t="shared" si="20"/>
        <v>37.297475534640931</v>
      </c>
    </row>
    <row r="232" spans="1:13">
      <c r="A232" t="str">
        <f>'RAW DATA 2023'!B225</f>
        <v>Roiphet1</v>
      </c>
      <c r="B232" t="str">
        <f>'RAW DATA 2023'!D225</f>
        <v>D2-I04-0092</v>
      </c>
      <c r="C232" t="str">
        <f t="shared" si="16"/>
        <v>Roiphet1D2-I04-0092</v>
      </c>
      <c r="D232">
        <f>VLOOKUP(C232,'RAW DATA 2023'!E:BP,63,0)</f>
        <v>9</v>
      </c>
      <c r="E232" t="str">
        <f t="shared" si="17"/>
        <v>Roiphet19</v>
      </c>
      <c r="F232">
        <f>ROUND(VLOOKUP(C232,'RAW DATA 2023'!E:BO,23,0),0)</f>
        <v>30</v>
      </c>
      <c r="G232" s="16">
        <f>VLOOKUP(C232,'RAW DATA 2023'!E:BO,27,0)</f>
        <v>2.6355086030132835</v>
      </c>
      <c r="H232" s="16">
        <f>IFERROR(VLOOKUP(F232,STD!B:G,5,0),0)</f>
        <v>1.87</v>
      </c>
      <c r="I232" s="21">
        <f t="shared" si="18"/>
        <v>0.70954046511627911</v>
      </c>
      <c r="J232" s="16">
        <f t="shared" si="19"/>
        <v>4.1908093023255821</v>
      </c>
      <c r="K232" s="106" t="str">
        <f>VLOOKUP(C232,'RAW DATA 2023'!E:BO,36,0)</f>
        <v>Normal</v>
      </c>
      <c r="L232" s="106">
        <f>VLOOKUP(C232,'RAW DATA 2023'!E:BO,21,0)</f>
        <v>4.6467999999999998</v>
      </c>
      <c r="M232" s="106">
        <f t="shared" si="20"/>
        <v>19.473852666046515</v>
      </c>
    </row>
    <row r="233" spans="1:13">
      <c r="A233" t="str">
        <f>'RAW DATA 2023'!B226</f>
        <v>Roiphet1</v>
      </c>
      <c r="B233" t="str">
        <f>'RAW DATA 2023'!D226</f>
        <v>C4-G07-0056</v>
      </c>
      <c r="C233" t="str">
        <f t="shared" si="16"/>
        <v>Roiphet1C4-G07-0056</v>
      </c>
      <c r="D233">
        <f>VLOOKUP(C233,'RAW DATA 2023'!E:BP,63,0)</f>
        <v>1</v>
      </c>
      <c r="E233" t="str">
        <f t="shared" si="17"/>
        <v>Roiphet11</v>
      </c>
      <c r="F233">
        <f>ROUND(VLOOKUP(C233,'RAW DATA 2023'!E:BO,23,0),0)</f>
        <v>39</v>
      </c>
      <c r="G233" s="16">
        <f>VLOOKUP(C233,'RAW DATA 2023'!E:BO,27,0)</f>
        <v>1.8498326726948524</v>
      </c>
      <c r="H233" s="16">
        <f>IFERROR(VLOOKUP(F233,STD!B:G,5,0),0)</f>
        <v>1.64</v>
      </c>
      <c r="I233" s="21">
        <f t="shared" si="18"/>
        <v>0.8865666739526411</v>
      </c>
      <c r="J233" s="16">
        <f t="shared" si="19"/>
        <v>7.7313334790528216</v>
      </c>
      <c r="K233" s="106" t="str">
        <f>VLOOKUP(C233,'RAW DATA 2023'!E:BO,36,0)</f>
        <v>ทยอยตาย</v>
      </c>
      <c r="L233" s="106">
        <f>VLOOKUP(C233,'RAW DATA 2023'!E:BO,21,0)</f>
        <v>7.5995900000000001</v>
      </c>
      <c r="M233" s="106">
        <f t="shared" si="20"/>
        <v>58.754964594075034</v>
      </c>
    </row>
    <row r="234" spans="1:13">
      <c r="A234" t="str">
        <f>'RAW DATA 2023'!B227</f>
        <v>Roiphet1</v>
      </c>
      <c r="B234" t="str">
        <f>'RAW DATA 2023'!D227</f>
        <v>D3-G05-0081</v>
      </c>
      <c r="C234" t="str">
        <f t="shared" si="16"/>
        <v>Roiphet1D3-G05-0081</v>
      </c>
      <c r="D234">
        <f>VLOOKUP(C234,'RAW DATA 2023'!E:BP,63,0)</f>
        <v>10</v>
      </c>
      <c r="E234" t="str">
        <f t="shared" si="17"/>
        <v>Roiphet110</v>
      </c>
      <c r="F234">
        <f>ROUND(VLOOKUP(C234,'RAW DATA 2023'!E:BO,23,0),0)</f>
        <v>39</v>
      </c>
      <c r="G234" s="16">
        <f>VLOOKUP(C234,'RAW DATA 2023'!E:BO,27,0)</f>
        <v>2.6445099615831325</v>
      </c>
      <c r="H234" s="16">
        <f>IFERROR(VLOOKUP(F234,STD!B:G,5,0),0)</f>
        <v>1.64</v>
      </c>
      <c r="I234" s="21">
        <f t="shared" si="18"/>
        <v>0.62015270270270262</v>
      </c>
      <c r="J234" s="16">
        <f t="shared" si="19"/>
        <v>2.4030540540540524</v>
      </c>
      <c r="K234" s="106" t="str">
        <f>VLOOKUP(C234,'RAW DATA 2023'!E:BO,36,0)</f>
        <v>Normal</v>
      </c>
      <c r="L234" s="106">
        <f>VLOOKUP(C234,'RAW DATA 2023'!E:BO,21,0)</f>
        <v>8.6972500000000004</v>
      </c>
      <c r="M234" s="106">
        <f t="shared" si="20"/>
        <v>20.899961871621606</v>
      </c>
    </row>
    <row r="235" spans="1:13">
      <c r="A235" t="str">
        <f>'RAW DATA 2023'!B228</f>
        <v>Roiphet1</v>
      </c>
      <c r="B235" t="str">
        <f>'RAW DATA 2023'!D228</f>
        <v>C2-G03-0065</v>
      </c>
      <c r="C235" t="str">
        <f t="shared" si="16"/>
        <v>Roiphet1C2-G03-0065</v>
      </c>
      <c r="D235">
        <f>VLOOKUP(C235,'RAW DATA 2023'!E:BP,63,0)</f>
        <v>4</v>
      </c>
      <c r="E235" t="str">
        <f t="shared" si="17"/>
        <v>Roiphet14</v>
      </c>
      <c r="F235">
        <f>ROUND(VLOOKUP(C235,'RAW DATA 2023'!E:BO,23,0),0)</f>
        <v>37</v>
      </c>
      <c r="G235" s="16">
        <f>VLOOKUP(C235,'RAW DATA 2023'!E:BO,27,0)</f>
        <v>2.5785599719988865</v>
      </c>
      <c r="H235" s="16">
        <f>IFERROR(VLOOKUP(F235,STD!B:G,5,0),0)</f>
        <v>1.6970000000000001</v>
      </c>
      <c r="I235" s="21">
        <f t="shared" si="18"/>
        <v>0.65811926750902527</v>
      </c>
      <c r="J235" s="16">
        <f t="shared" si="19"/>
        <v>3.1623853501805055</v>
      </c>
      <c r="K235" s="106" t="str">
        <f>VLOOKUP(C235,'RAW DATA 2023'!E:BO,36,0)</f>
        <v>Normal</v>
      </c>
      <c r="L235" s="106">
        <f>VLOOKUP(C235,'RAW DATA 2023'!E:BO,21,0)</f>
        <v>11.24343</v>
      </c>
      <c r="M235" s="106">
        <f t="shared" si="20"/>
        <v>35.55605831778</v>
      </c>
    </row>
    <row r="236" spans="1:13">
      <c r="A236" t="str">
        <f>'RAW DATA 2023'!B229</f>
        <v>Roiphet1</v>
      </c>
      <c r="B236" t="str">
        <f>'RAW DATA 2023'!D229</f>
        <v>C1-I01-0079</v>
      </c>
      <c r="C236" t="str">
        <f t="shared" si="16"/>
        <v>Roiphet1C1-I01-0079</v>
      </c>
      <c r="D236">
        <f>VLOOKUP(C236,'RAW DATA 2023'!E:BP,63,0)</f>
        <v>5</v>
      </c>
      <c r="E236" t="str">
        <f t="shared" si="17"/>
        <v>Roiphet15</v>
      </c>
      <c r="F236">
        <f>ROUND(VLOOKUP(C236,'RAW DATA 2023'!E:BO,23,0),0)</f>
        <v>31</v>
      </c>
      <c r="G236" s="16">
        <f>VLOOKUP(C236,'RAW DATA 2023'!E:BO,27,0)</f>
        <v>2.5060721966239239</v>
      </c>
      <c r="H236" s="16">
        <f>IFERROR(VLOOKUP(F236,STD!B:G,5,0),0)</f>
        <v>1.84</v>
      </c>
      <c r="I236" s="21">
        <f t="shared" si="18"/>
        <v>0.73421667678958791</v>
      </c>
      <c r="J236" s="16">
        <f t="shared" si="19"/>
        <v>4.6843335357917582</v>
      </c>
      <c r="K236" s="106" t="str">
        <f>VLOOKUP(C236,'RAW DATA 2023'!E:BO,36,0)</f>
        <v>Normal</v>
      </c>
      <c r="L236" s="106">
        <f>VLOOKUP(C236,'RAW DATA 2023'!E:BO,21,0)</f>
        <v>4.7563300000000002</v>
      </c>
      <c r="M236" s="106">
        <f t="shared" si="20"/>
        <v>22.280236126292415</v>
      </c>
    </row>
    <row r="237" spans="1:13">
      <c r="A237" t="str">
        <f>'RAW DATA 2023'!B230</f>
        <v>Roiphet1</v>
      </c>
      <c r="B237" t="str">
        <f>'RAW DATA 2023'!D230</f>
        <v>C1-I01-0080</v>
      </c>
      <c r="C237" t="str">
        <f t="shared" si="16"/>
        <v>Roiphet1C1-I01-0080</v>
      </c>
      <c r="D237">
        <f>VLOOKUP(C237,'RAW DATA 2023'!E:BP,63,0)</f>
        <v>9</v>
      </c>
      <c r="E237" t="str">
        <f t="shared" si="17"/>
        <v>Roiphet19</v>
      </c>
      <c r="F237">
        <f>ROUND(VLOOKUP(C237,'RAW DATA 2023'!E:BO,23,0),0)</f>
        <v>32</v>
      </c>
      <c r="G237" s="16">
        <f>VLOOKUP(C237,'RAW DATA 2023'!E:BO,27,0)</f>
        <v>2.133144390508638</v>
      </c>
      <c r="H237" s="16">
        <f>IFERROR(VLOOKUP(F237,STD!B:G,5,0),0)</f>
        <v>1.82</v>
      </c>
      <c r="I237" s="21">
        <f t="shared" si="18"/>
        <v>0.85320056537102484</v>
      </c>
      <c r="J237" s="16">
        <f t="shared" si="19"/>
        <v>7.0640113074204969</v>
      </c>
      <c r="K237" s="106" t="str">
        <f>VLOOKUP(C237,'RAW DATA 2023'!E:BO,36,0)</f>
        <v>อัตรารอดต่ำ</v>
      </c>
      <c r="L237" s="106">
        <f>VLOOKUP(C237,'RAW DATA 2023'!E:BO,21,0)</f>
        <v>3.4765199999999998</v>
      </c>
      <c r="M237" s="106">
        <f t="shared" si="20"/>
        <v>24.558176590473504</v>
      </c>
    </row>
    <row r="238" spans="1:13">
      <c r="A238" t="str">
        <f>'RAW DATA 2023'!B231</f>
        <v>Roiphet1</v>
      </c>
      <c r="B238" t="str">
        <f>'RAW DATA 2023'!D231</f>
        <v>C1-G01-0073</v>
      </c>
      <c r="C238" t="str">
        <f t="shared" si="16"/>
        <v>Roiphet1C1-G01-0073</v>
      </c>
      <c r="D238">
        <f>VLOOKUP(C238,'RAW DATA 2023'!E:BP,63,0)</f>
        <v>9</v>
      </c>
      <c r="E238" t="str">
        <f t="shared" si="17"/>
        <v>Roiphet19</v>
      </c>
      <c r="F238">
        <f>ROUND(VLOOKUP(C238,'RAW DATA 2023'!E:BO,23,0),0)</f>
        <v>35</v>
      </c>
      <c r="G238" s="16">
        <f>VLOOKUP(C238,'RAW DATA 2023'!E:BO,27,0)</f>
        <v>2.3068019262478572</v>
      </c>
      <c r="H238" s="16">
        <f>IFERROR(VLOOKUP(F238,STD!B:G,5,0),0)</f>
        <v>1.75</v>
      </c>
      <c r="I238" s="21">
        <f t="shared" si="18"/>
        <v>0.75862603550295848</v>
      </c>
      <c r="J238" s="16">
        <f t="shared" si="19"/>
        <v>5.1725207100591692</v>
      </c>
      <c r="K238" s="106" t="str">
        <f>VLOOKUP(C238,'RAW DATA 2023'!E:BO,36,0)</f>
        <v>อัตรารอดต่ำ</v>
      </c>
      <c r="L238" s="106">
        <f>VLOOKUP(C238,'RAW DATA 2023'!E:BO,21,0)</f>
        <v>5.7860399999999998</v>
      </c>
      <c r="M238" s="106">
        <f t="shared" si="20"/>
        <v>29.928411729230756</v>
      </c>
    </row>
    <row r="239" spans="1:13">
      <c r="A239" t="str">
        <f>'RAW DATA 2023'!B232</f>
        <v>Roiphet1</v>
      </c>
      <c r="B239" t="str">
        <f>'RAW DATA 2023'!D232</f>
        <v>C1-G01-0072</v>
      </c>
      <c r="C239" t="str">
        <f t="shared" si="16"/>
        <v>Roiphet1C1-G01-0072</v>
      </c>
      <c r="D239">
        <f>VLOOKUP(C239,'RAW DATA 2023'!E:BP,63,0)</f>
        <v>5</v>
      </c>
      <c r="E239" t="str">
        <f t="shared" si="17"/>
        <v>Roiphet15</v>
      </c>
      <c r="F239">
        <f>ROUND(VLOOKUP(C239,'RAW DATA 2023'!E:BO,23,0),0)</f>
        <v>30</v>
      </c>
      <c r="G239" s="16">
        <f>VLOOKUP(C239,'RAW DATA 2023'!E:BO,27,0)</f>
        <v>2.5554289872271863</v>
      </c>
      <c r="H239" s="16">
        <f>IFERROR(VLOOKUP(F239,STD!B:G,5,0),0)</f>
        <v>1.87</v>
      </c>
      <c r="I239" s="21">
        <f t="shared" si="18"/>
        <v>0.73177537288135597</v>
      </c>
      <c r="J239" s="16">
        <f t="shared" si="19"/>
        <v>4.6355074576271189</v>
      </c>
      <c r="K239" s="106" t="str">
        <f>VLOOKUP(C239,'RAW DATA 2023'!E:BO,36,0)</f>
        <v>Normal</v>
      </c>
      <c r="L239" s="106">
        <f>VLOOKUP(C239,'RAW DATA 2023'!E:BO,21,0)</f>
        <v>7.2204300000000003</v>
      </c>
      <c r="M239" s="106">
        <f t="shared" si="20"/>
        <v>33.470357112274577</v>
      </c>
    </row>
    <row r="240" spans="1:13">
      <c r="A240" t="str">
        <f>'RAW DATA 2023'!B233</f>
        <v>Roiphet1</v>
      </c>
      <c r="B240" t="str">
        <f>'RAW DATA 2023'!D233</f>
        <v>C6-G12-0059</v>
      </c>
      <c r="C240" t="str">
        <f t="shared" si="16"/>
        <v>Roiphet1C6-G12-0059</v>
      </c>
      <c r="D240">
        <f>VLOOKUP(C240,'RAW DATA 2023'!E:BP,63,0)</f>
        <v>3</v>
      </c>
      <c r="E240" t="str">
        <f t="shared" si="17"/>
        <v>Roiphet13</v>
      </c>
      <c r="F240">
        <f>ROUND(VLOOKUP(C240,'RAW DATA 2023'!E:BO,23,0),0)</f>
        <v>31</v>
      </c>
      <c r="G240" s="16">
        <f>VLOOKUP(C240,'RAW DATA 2023'!E:BO,27,0)</f>
        <v>2.1681243524804601</v>
      </c>
      <c r="H240" s="16">
        <f>IFERROR(VLOOKUP(F240,STD!B:G,5,0),0)</f>
        <v>1.84</v>
      </c>
      <c r="I240" s="21">
        <f t="shared" si="18"/>
        <v>0.84865980952380948</v>
      </c>
      <c r="J240" s="16">
        <f t="shared" si="19"/>
        <v>6.9731961904761892</v>
      </c>
      <c r="K240" s="106" t="str">
        <f>VLOOKUP(C240,'RAW DATA 2023'!E:BO,36,0)</f>
        <v>Normal</v>
      </c>
      <c r="L240" s="106">
        <f>VLOOKUP(C240,'RAW DATA 2023'!E:BO,21,0)</f>
        <v>11.25116</v>
      </c>
      <c r="M240" s="106">
        <f t="shared" si="20"/>
        <v>78.456546050438078</v>
      </c>
    </row>
    <row r="241" spans="1:13">
      <c r="A241" t="str">
        <f>'RAW DATA 2023'!B234</f>
        <v>Roiphet1</v>
      </c>
      <c r="B241" t="str">
        <f>'RAW DATA 2023'!D234</f>
        <v>C1-I02-0071</v>
      </c>
      <c r="C241" t="str">
        <f t="shared" si="16"/>
        <v>Roiphet1C1-I02-0071</v>
      </c>
      <c r="D241">
        <f>VLOOKUP(C241,'RAW DATA 2023'!E:BP,63,0)</f>
        <v>5</v>
      </c>
      <c r="E241" t="str">
        <f t="shared" si="17"/>
        <v>Roiphet15</v>
      </c>
      <c r="F241">
        <f>ROUND(VLOOKUP(C241,'RAW DATA 2023'!E:BO,23,0),0)</f>
        <v>32</v>
      </c>
      <c r="G241" s="16">
        <f>VLOOKUP(C241,'RAW DATA 2023'!E:BO,27,0)</f>
        <v>2.4857583286806464</v>
      </c>
      <c r="H241" s="16">
        <f>IFERROR(VLOOKUP(F241,STD!B:G,5,0),0)</f>
        <v>1.82</v>
      </c>
      <c r="I241" s="21">
        <f t="shared" si="18"/>
        <v>0.73217093512304243</v>
      </c>
      <c r="J241" s="16">
        <f t="shared" si="19"/>
        <v>4.6434187024608491</v>
      </c>
      <c r="K241" s="106" t="str">
        <f>VLOOKUP(C241,'RAW DATA 2023'!E:BO,36,0)</f>
        <v>Normal</v>
      </c>
      <c r="L241" s="106">
        <f>VLOOKUP(C241,'RAW DATA 2023'!E:BO,21,0)</f>
        <v>4.6643599999999994</v>
      </c>
      <c r="M241" s="106">
        <f t="shared" si="20"/>
        <v>21.658576459010284</v>
      </c>
    </row>
    <row r="242" spans="1:13">
      <c r="A242" t="str">
        <f>'RAW DATA 2023'!B235</f>
        <v>Roiphet1</v>
      </c>
      <c r="B242" t="str">
        <f>'RAW DATA 2023'!D235</f>
        <v>D3-G06-0084</v>
      </c>
      <c r="C242" t="str">
        <f t="shared" si="16"/>
        <v>Roiphet1D3-G06-0084</v>
      </c>
      <c r="D242">
        <f>VLOOKUP(C242,'RAW DATA 2023'!E:BP,63,0)</f>
        <v>10</v>
      </c>
      <c r="E242" t="str">
        <f t="shared" si="17"/>
        <v>Roiphet110</v>
      </c>
      <c r="F242">
        <f>ROUND(VLOOKUP(C242,'RAW DATA 2023'!E:BO,23,0),0)</f>
        <v>38</v>
      </c>
      <c r="G242" s="16">
        <f>VLOOKUP(C242,'RAW DATA 2023'!E:BO,27,0)</f>
        <v>2.6666758226351566</v>
      </c>
      <c r="H242" s="16">
        <f>IFERROR(VLOOKUP(F242,STD!B:G,5,0),0)</f>
        <v>1.669</v>
      </c>
      <c r="I242" s="21">
        <f t="shared" si="18"/>
        <v>0.62587285107296131</v>
      </c>
      <c r="J242" s="16">
        <f t="shared" si="19"/>
        <v>2.5174570214592262</v>
      </c>
      <c r="K242" s="106" t="str">
        <f>VLOOKUP(C242,'RAW DATA 2023'!E:BO,36,0)</f>
        <v>Normal</v>
      </c>
      <c r="L242" s="106">
        <f>VLOOKUP(C242,'RAW DATA 2023'!E:BO,21,0)</f>
        <v>9.0399699999999985</v>
      </c>
      <c r="M242" s="106">
        <f t="shared" si="20"/>
        <v>22.757735950280757</v>
      </c>
    </row>
    <row r="243" spans="1:13">
      <c r="A243" t="str">
        <f>'RAW DATA 2023'!B236</f>
        <v>Roiphet1</v>
      </c>
      <c r="B243" t="str">
        <f>'RAW DATA 2023'!D236</f>
        <v>C6-G11-0058</v>
      </c>
      <c r="C243" t="str">
        <f t="shared" si="16"/>
        <v>Roiphet1C6-G11-0058</v>
      </c>
      <c r="D243">
        <f>VLOOKUP(C243,'RAW DATA 2023'!E:BP,63,0)</f>
        <v>2</v>
      </c>
      <c r="E243" t="str">
        <f t="shared" si="17"/>
        <v>Roiphet12</v>
      </c>
      <c r="F243">
        <f>ROUND(VLOOKUP(C243,'RAW DATA 2023'!E:BO,23,0),0)</f>
        <v>34</v>
      </c>
      <c r="G243" s="16">
        <f>VLOOKUP(C243,'RAW DATA 2023'!E:BO,27,0)</f>
        <v>2.6103950422375908</v>
      </c>
      <c r="H243" s="16">
        <f>IFERROR(VLOOKUP(F243,STD!B:G,5,0),0)</f>
        <v>1.77</v>
      </c>
      <c r="I243" s="21">
        <f t="shared" si="18"/>
        <v>0.6780582905500705</v>
      </c>
      <c r="J243" s="16">
        <f t="shared" si="19"/>
        <v>3.5611658110014099</v>
      </c>
      <c r="K243" s="106" t="str">
        <f>VLOOKUP(C243,'RAW DATA 2023'!E:BO,36,0)</f>
        <v>Normal</v>
      </c>
      <c r="L243" s="106">
        <f>VLOOKUP(C243,'RAW DATA 2023'!E:BO,21,0)</f>
        <v>6.90266</v>
      </c>
      <c r="M243" s="106">
        <f t="shared" si="20"/>
        <v>24.581516796966991</v>
      </c>
    </row>
    <row r="244" spans="1:13">
      <c r="A244" t="str">
        <f>'RAW DATA 2023'!B237</f>
        <v>Roiphet1</v>
      </c>
      <c r="B244" t="str">
        <f>'RAW DATA 2023'!D237</f>
        <v>C2-G04-0063</v>
      </c>
      <c r="C244" t="str">
        <f t="shared" si="16"/>
        <v>Roiphet1C2-G04-0063</v>
      </c>
      <c r="D244">
        <f>VLOOKUP(C244,'RAW DATA 2023'!E:BP,63,0)</f>
        <v>4</v>
      </c>
      <c r="E244" t="str">
        <f t="shared" si="17"/>
        <v>Roiphet14</v>
      </c>
      <c r="F244">
        <f>ROUND(VLOOKUP(C244,'RAW DATA 2023'!E:BO,23,0),0)</f>
        <v>39</v>
      </c>
      <c r="G244" s="16">
        <f>VLOOKUP(C244,'RAW DATA 2023'!E:BO,27,0)</f>
        <v>2.4855472478734026</v>
      </c>
      <c r="H244" s="16">
        <f>IFERROR(VLOOKUP(F244,STD!B:G,5,0),0)</f>
        <v>1.64</v>
      </c>
      <c r="I244" s="21">
        <f t="shared" si="18"/>
        <v>0.65981445390070925</v>
      </c>
      <c r="J244" s="16">
        <f t="shared" si="19"/>
        <v>3.196289078014185</v>
      </c>
      <c r="K244" s="106" t="str">
        <f>VLOOKUP(C244,'RAW DATA 2023'!E:BO,36,0)</f>
        <v>Normal</v>
      </c>
      <c r="L244" s="106">
        <f>VLOOKUP(C244,'RAW DATA 2023'!E:BO,21,0)</f>
        <v>11.846590000000001</v>
      </c>
      <c r="M244" s="106">
        <f t="shared" si="20"/>
        <v>37.865126228712064</v>
      </c>
    </row>
    <row r="245" spans="1:13">
      <c r="A245" t="str">
        <f>'RAW DATA 2023'!B238</f>
        <v>Roiphet1</v>
      </c>
      <c r="B245" t="str">
        <f>'RAW DATA 2023'!D238</f>
        <v>C4-I07-0059</v>
      </c>
      <c r="C245" t="str">
        <f t="shared" si="16"/>
        <v>Roiphet1C4-I07-0059</v>
      </c>
      <c r="D245">
        <f>VLOOKUP(C245,'RAW DATA 2023'!E:BP,63,0)</f>
        <v>2</v>
      </c>
      <c r="E245" t="str">
        <f t="shared" si="17"/>
        <v>Roiphet12</v>
      </c>
      <c r="F245">
        <f>ROUND(VLOOKUP(C245,'RAW DATA 2023'!E:BO,23,0),0)</f>
        <v>36</v>
      </c>
      <c r="G245" s="16">
        <f>VLOOKUP(C245,'RAW DATA 2023'!E:BO,27,0)</f>
        <v>1.8005085518032031</v>
      </c>
      <c r="H245" s="16">
        <f>IFERROR(VLOOKUP(F245,STD!B:G,5,0),0)</f>
        <v>1.726</v>
      </c>
      <c r="I245" s="21">
        <f t="shared" si="18"/>
        <v>0.95861805170068026</v>
      </c>
      <c r="J245" s="16">
        <f t="shared" si="19"/>
        <v>9.1723610340136048</v>
      </c>
      <c r="K245" s="106" t="str">
        <f>VLOOKUP(C245,'RAW DATA 2023'!E:BO,36,0)</f>
        <v>Normal</v>
      </c>
      <c r="L245" s="106">
        <f>VLOOKUP(C245,'RAW DATA 2023'!E:BO,21,0)</f>
        <v>4.1821800000000007</v>
      </c>
      <c r="M245" s="106">
        <f t="shared" si="20"/>
        <v>38.360464869231023</v>
      </c>
    </row>
    <row r="246" spans="1:13">
      <c r="A246" t="str">
        <f>'RAW DATA 2023'!B239</f>
        <v>Roiphet1</v>
      </c>
      <c r="B246" t="str">
        <f>'RAW DATA 2023'!D239</f>
        <v>C3-G05-0073</v>
      </c>
      <c r="C246" t="str">
        <f t="shared" si="16"/>
        <v>Roiphet1C3-G05-0073</v>
      </c>
      <c r="D246">
        <f>VLOOKUP(C246,'RAW DATA 2023'!E:BP,63,0)</f>
        <v>3</v>
      </c>
      <c r="E246" t="str">
        <f t="shared" si="17"/>
        <v>Roiphet13</v>
      </c>
      <c r="F246">
        <f>ROUND(VLOOKUP(C246,'RAW DATA 2023'!E:BO,23,0),0)</f>
        <v>49</v>
      </c>
      <c r="G246" s="16">
        <f>VLOOKUP(C246,'RAW DATA 2023'!E:BO,27,0)</f>
        <v>1.9089882049564846</v>
      </c>
      <c r="H246" s="16">
        <f>IFERROR(VLOOKUP(F246,STD!B:G,5,0),0)</f>
        <v>1.51</v>
      </c>
      <c r="I246" s="21">
        <f t="shared" si="18"/>
        <v>0.79099493442622948</v>
      </c>
      <c r="J246" s="16">
        <f t="shared" si="19"/>
        <v>5.8198986885245896</v>
      </c>
      <c r="K246" s="106" t="str">
        <f>VLOOKUP(C246,'RAW DATA 2023'!E:BO,36,0)</f>
        <v>ทยอยตาย</v>
      </c>
      <c r="L246" s="106">
        <f>VLOOKUP(C246,'RAW DATA 2023'!E:BO,21,0)</f>
        <v>6.6344200000000004</v>
      </c>
      <c r="M246" s="106">
        <f t="shared" si="20"/>
        <v>38.611652257121307</v>
      </c>
    </row>
    <row r="247" spans="1:13">
      <c r="A247" t="str">
        <f>'RAW DATA 2023'!B240</f>
        <v>Roiphet1</v>
      </c>
      <c r="B247" t="str">
        <f>'RAW DATA 2023'!D240</f>
        <v>C3-I06-0062</v>
      </c>
      <c r="C247" t="str">
        <f t="shared" si="16"/>
        <v>Roiphet1C3-I06-0062</v>
      </c>
      <c r="D247">
        <f>VLOOKUP(C247,'RAW DATA 2023'!E:BP,63,0)</f>
        <v>4</v>
      </c>
      <c r="E247" t="str">
        <f t="shared" si="17"/>
        <v>Roiphet14</v>
      </c>
      <c r="F247">
        <f>ROUND(VLOOKUP(C247,'RAW DATA 2023'!E:BO,23,0),0)</f>
        <v>43</v>
      </c>
      <c r="G247" s="16">
        <f>VLOOKUP(C247,'RAW DATA 2023'!E:BO,27,0)</f>
        <v>2.3847062486717312</v>
      </c>
      <c r="H247" s="16">
        <f>IFERROR(VLOOKUP(F247,STD!B:G,5,0),0)</f>
        <v>1.58</v>
      </c>
      <c r="I247" s="21">
        <f t="shared" si="18"/>
        <v>0.6625553989637305</v>
      </c>
      <c r="J247" s="16">
        <f t="shared" si="19"/>
        <v>3.25110797927461</v>
      </c>
      <c r="K247" s="106" t="str">
        <f>VLOOKUP(C247,'RAW DATA 2023'!E:BO,36,0)</f>
        <v>Normal</v>
      </c>
      <c r="L247" s="106">
        <f>VLOOKUP(C247,'RAW DATA 2023'!E:BO,21,0)</f>
        <v>4.1591199999999997</v>
      </c>
      <c r="M247" s="106">
        <f t="shared" si="20"/>
        <v>13.521748218760616</v>
      </c>
    </row>
    <row r="248" spans="1:13">
      <c r="A248" t="str">
        <f>'RAW DATA 2023'!B241</f>
        <v>Roiphet1</v>
      </c>
      <c r="B248" t="str">
        <f>'RAW DATA 2023'!D241</f>
        <v>C6-I12-0061</v>
      </c>
      <c r="C248" t="str">
        <f t="shared" si="16"/>
        <v>Roiphet1C6-I12-0061</v>
      </c>
      <c r="D248">
        <f>VLOOKUP(C248,'RAW DATA 2023'!E:BP,63,0)</f>
        <v>3</v>
      </c>
      <c r="E248" t="str">
        <f t="shared" si="17"/>
        <v>Roiphet13</v>
      </c>
      <c r="F248">
        <f>ROUND(VLOOKUP(C248,'RAW DATA 2023'!E:BO,23,0),0)</f>
        <v>33</v>
      </c>
      <c r="G248" s="16">
        <f>VLOOKUP(C248,'RAW DATA 2023'!E:BO,27,0)</f>
        <v>2.2272551629384743</v>
      </c>
      <c r="H248" s="16">
        <f>IFERROR(VLOOKUP(F248,STD!B:G,5,0),0)</f>
        <v>1.8</v>
      </c>
      <c r="I248" s="21">
        <f t="shared" si="18"/>
        <v>0.80816963855421686</v>
      </c>
      <c r="J248" s="16">
        <f t="shared" si="19"/>
        <v>6.1633927710843377</v>
      </c>
      <c r="K248" s="106" t="str">
        <f>VLOOKUP(C248,'RAW DATA 2023'!E:BO,36,0)</f>
        <v>Normal</v>
      </c>
      <c r="L248" s="106">
        <f>VLOOKUP(C248,'RAW DATA 2023'!E:BO,21,0)</f>
        <v>4.7206999999999999</v>
      </c>
      <c r="M248" s="106">
        <f t="shared" si="20"/>
        <v>29.095528254457832</v>
      </c>
    </row>
    <row r="249" spans="1:13">
      <c r="A249" t="str">
        <f>'RAW DATA 2023'!B242</f>
        <v>Roiphet1</v>
      </c>
      <c r="B249" t="str">
        <f>'RAW DATA 2023'!D242</f>
        <v>C5-G09-0057</v>
      </c>
      <c r="C249" t="str">
        <f t="shared" si="16"/>
        <v>Roiphet1C5-G09-0057</v>
      </c>
      <c r="D249">
        <f>VLOOKUP(C249,'RAW DATA 2023'!E:BP,63,0)</f>
        <v>5</v>
      </c>
      <c r="E249" t="str">
        <f t="shared" si="17"/>
        <v>Roiphet15</v>
      </c>
      <c r="F249">
        <f>ROUND(VLOOKUP(C249,'RAW DATA 2023'!E:BO,23,0),0)</f>
        <v>33</v>
      </c>
      <c r="G249" s="16">
        <f>VLOOKUP(C249,'RAW DATA 2023'!E:BO,27,0)</f>
        <v>2.3336588999985586</v>
      </c>
      <c r="H249" s="16">
        <f>IFERROR(VLOOKUP(F249,STD!B:G,5,0),0)</f>
        <v>1.8</v>
      </c>
      <c r="I249" s="21">
        <f t="shared" si="18"/>
        <v>0.77132095011876489</v>
      </c>
      <c r="J249" s="16">
        <f t="shared" si="19"/>
        <v>5.4264190023752974</v>
      </c>
      <c r="K249" s="106" t="str">
        <f>VLOOKUP(C249,'RAW DATA 2023'!E:BO,36,0)</f>
        <v>Normal</v>
      </c>
      <c r="L249" s="106">
        <f>VLOOKUP(C249,'RAW DATA 2023'!E:BO,21,0)</f>
        <v>9.2931699999999999</v>
      </c>
      <c r="M249" s="106">
        <f t="shared" si="20"/>
        <v>50.428634280304045</v>
      </c>
    </row>
    <row r="250" spans="1:13">
      <c r="A250" t="str">
        <f>'RAW DATA 2023'!B243</f>
        <v>Roiphet1</v>
      </c>
      <c r="B250" t="str">
        <f>'RAW DATA 2023'!D243</f>
        <v>C5-I09-0064</v>
      </c>
      <c r="C250" t="str">
        <f t="shared" si="16"/>
        <v>Roiphet1C5-I09-0064</v>
      </c>
      <c r="D250">
        <f>VLOOKUP(C250,'RAW DATA 2023'!E:BP,63,0)</f>
        <v>5</v>
      </c>
      <c r="E250" t="str">
        <f t="shared" si="17"/>
        <v>Roiphet15</v>
      </c>
      <c r="F250">
        <f>ROUND(VLOOKUP(C250,'RAW DATA 2023'!E:BO,23,0),0)</f>
        <v>34</v>
      </c>
      <c r="G250" s="16">
        <f>VLOOKUP(C250,'RAW DATA 2023'!E:BO,27,0)</f>
        <v>2.2140252674309466</v>
      </c>
      <c r="H250" s="16">
        <f>IFERROR(VLOOKUP(F250,STD!B:G,5,0),0)</f>
        <v>1.77</v>
      </c>
      <c r="I250" s="21">
        <f t="shared" si="18"/>
        <v>0.79944887081339722</v>
      </c>
      <c r="J250" s="16">
        <f t="shared" si="19"/>
        <v>5.9889774162679448</v>
      </c>
      <c r="K250" s="106" t="str">
        <f>VLOOKUP(C250,'RAW DATA 2023'!E:BO,36,0)</f>
        <v>Normal</v>
      </c>
      <c r="L250" s="106">
        <f>VLOOKUP(C250,'RAW DATA 2023'!E:BO,21,0)</f>
        <v>4.8661599999999998</v>
      </c>
      <c r="M250" s="106">
        <f t="shared" si="20"/>
        <v>29.143322343946419</v>
      </c>
    </row>
    <row r="251" spans="1:13">
      <c r="A251" t="str">
        <f>'RAW DATA 2023'!B244</f>
        <v>Roiphet1</v>
      </c>
      <c r="B251" t="str">
        <f>'RAW DATA 2023'!D244</f>
        <v>C1-I02-0072</v>
      </c>
      <c r="C251" t="str">
        <f t="shared" si="16"/>
        <v>Roiphet1C1-I02-0072</v>
      </c>
      <c r="D251">
        <f>VLOOKUP(C251,'RAW DATA 2023'!E:BP,63,0)</f>
        <v>9</v>
      </c>
      <c r="E251" t="str">
        <f t="shared" si="17"/>
        <v>Roiphet19</v>
      </c>
      <c r="F251">
        <f>ROUND(VLOOKUP(C251,'RAW DATA 2023'!E:BO,23,0),0)</f>
        <v>36</v>
      </c>
      <c r="G251" s="16">
        <f>VLOOKUP(C251,'RAW DATA 2023'!E:BO,27,0)</f>
        <v>2.0081498636803379</v>
      </c>
      <c r="H251" s="16">
        <f>IFERROR(VLOOKUP(F251,STD!B:G,5,0),0)</f>
        <v>1.726</v>
      </c>
      <c r="I251" s="21">
        <f t="shared" si="18"/>
        <v>0.85949760583941603</v>
      </c>
      <c r="J251" s="16">
        <f t="shared" si="19"/>
        <v>7.1899521167883211</v>
      </c>
      <c r="K251" s="106" t="str">
        <f>VLOOKUP(C251,'RAW DATA 2023'!E:BO,36,0)</f>
        <v>อัตรารอดต่ำ</v>
      </c>
      <c r="L251" s="106">
        <f>VLOOKUP(C251,'RAW DATA 2023'!E:BO,21,0)</f>
        <v>3.5259399999999999</v>
      </c>
      <c r="M251" s="106">
        <f t="shared" si="20"/>
        <v>25.351339766668612</v>
      </c>
    </row>
    <row r="252" spans="1:13">
      <c r="A252" t="str">
        <f>'RAW DATA 2023'!B245</f>
        <v>Roiphet1</v>
      </c>
      <c r="B252" t="str">
        <f>'RAW DATA 2023'!D245</f>
        <v>C5-G10-0064</v>
      </c>
      <c r="C252" t="str">
        <f t="shared" si="16"/>
        <v>Roiphet1C5-G10-0064</v>
      </c>
      <c r="D252">
        <f>VLOOKUP(C252,'RAW DATA 2023'!E:BP,63,0)</f>
        <v>5</v>
      </c>
      <c r="E252" t="str">
        <f t="shared" si="17"/>
        <v>Roiphet15</v>
      </c>
      <c r="F252">
        <f>ROUND(VLOOKUP(C252,'RAW DATA 2023'!E:BO,23,0),0)</f>
        <v>33</v>
      </c>
      <c r="G252" s="16">
        <f>VLOOKUP(C252,'RAW DATA 2023'!E:BO,27,0)</f>
        <v>2.5155998245912614</v>
      </c>
      <c r="H252" s="16">
        <f>IFERROR(VLOOKUP(F252,STD!B:G,5,0),0)</f>
        <v>1.8</v>
      </c>
      <c r="I252" s="21">
        <f t="shared" si="18"/>
        <v>0.71553511111111123</v>
      </c>
      <c r="J252" s="16">
        <f t="shared" si="19"/>
        <v>4.3107022222222247</v>
      </c>
      <c r="K252" s="106" t="str">
        <f>VLOOKUP(C252,'RAW DATA 2023'!E:BO,36,0)</f>
        <v>Normal</v>
      </c>
      <c r="L252" s="106">
        <f>VLOOKUP(C252,'RAW DATA 2023'!E:BO,21,0)</f>
        <v>8.2597699999999996</v>
      </c>
      <c r="M252" s="106">
        <f t="shared" si="20"/>
        <v>35.605408894044466</v>
      </c>
    </row>
    <row r="253" spans="1:13">
      <c r="A253" t="str">
        <f>'RAW DATA 2023'!B246</f>
        <v>Roiphet1</v>
      </c>
      <c r="B253" t="str">
        <f>'RAW DATA 2023'!D246</f>
        <v>C3-G05-0075</v>
      </c>
      <c r="C253" t="str">
        <f t="shared" si="16"/>
        <v>Roiphet1C3-G05-0075</v>
      </c>
      <c r="D253">
        <f>VLOOKUP(C253,'RAW DATA 2023'!E:BP,63,0)</f>
        <v>9</v>
      </c>
      <c r="E253" t="str">
        <f t="shared" si="17"/>
        <v>Roiphet19</v>
      </c>
      <c r="F253">
        <f>ROUND(VLOOKUP(C253,'RAW DATA 2023'!E:BO,23,0),0)</f>
        <v>75</v>
      </c>
      <c r="G253" s="16">
        <f>VLOOKUP(C253,'RAW DATA 2023'!E:BO,27,0)</f>
        <v>1.8263002617056234</v>
      </c>
      <c r="H253" s="16">
        <f>IFERROR(VLOOKUP(F253,STD!B:G,5,0),0)</f>
        <v>1.31</v>
      </c>
      <c r="I253" s="21">
        <f t="shared" si="18"/>
        <v>0.71729716491228079</v>
      </c>
      <c r="J253" s="16">
        <f t="shared" si="19"/>
        <v>4.3459432982456159</v>
      </c>
      <c r="K253" s="106" t="str">
        <f>VLOOKUP(C253,'RAW DATA 2023'!E:BO,36,0)</f>
        <v>EHP</v>
      </c>
      <c r="L253" s="106">
        <f>VLOOKUP(C253,'RAW DATA 2023'!E:BO,21,0)</f>
        <v>4.5063300000000002</v>
      </c>
      <c r="M253" s="106">
        <f t="shared" si="20"/>
        <v>19.584254663183167</v>
      </c>
    </row>
    <row r="254" spans="1:13">
      <c r="A254" t="str">
        <f>'RAW DATA 2023'!B247</f>
        <v>Roiphet1</v>
      </c>
      <c r="B254" t="str">
        <f>'RAW DATA 2023'!D247</f>
        <v>C6-I11-0064</v>
      </c>
      <c r="C254" t="str">
        <f t="shared" si="16"/>
        <v>Roiphet1C6-I11-0064</v>
      </c>
      <c r="D254">
        <f>VLOOKUP(C254,'RAW DATA 2023'!E:BP,63,0)</f>
        <v>2</v>
      </c>
      <c r="E254" t="str">
        <f t="shared" si="17"/>
        <v>Roiphet12</v>
      </c>
      <c r="F254">
        <f>ROUND(VLOOKUP(C254,'RAW DATA 2023'!E:BO,23,0),0)</f>
        <v>36</v>
      </c>
      <c r="G254" s="16">
        <f>VLOOKUP(C254,'RAW DATA 2023'!E:BO,27,0)</f>
        <v>2.0413430368509697</v>
      </c>
      <c r="H254" s="16">
        <f>IFERROR(VLOOKUP(F254,STD!B:G,5,0),0)</f>
        <v>1.726</v>
      </c>
      <c r="I254" s="21">
        <f t="shared" si="18"/>
        <v>0.84552178092643049</v>
      </c>
      <c r="J254" s="16">
        <f t="shared" si="19"/>
        <v>6.9104356185286093</v>
      </c>
      <c r="K254" s="106" t="str">
        <f>VLOOKUP(C254,'RAW DATA 2023'!E:BO,36,0)</f>
        <v>Normal</v>
      </c>
      <c r="L254" s="106">
        <f>VLOOKUP(C254,'RAW DATA 2023'!E:BO,21,0)</f>
        <v>4.5570900000000005</v>
      </c>
      <c r="M254" s="106">
        <f t="shared" si="20"/>
        <v>31.491477052840544</v>
      </c>
    </row>
    <row r="255" spans="1:13">
      <c r="A255" t="str">
        <f>'RAW DATA 2023'!B248</f>
        <v>Roiphet1</v>
      </c>
      <c r="B255" t="str">
        <f>'RAW DATA 2023'!D248</f>
        <v>C3-I05-0065</v>
      </c>
      <c r="C255" t="str">
        <f t="shared" si="16"/>
        <v>Roiphet1C3-I05-0065</v>
      </c>
      <c r="D255">
        <f>VLOOKUP(C255,'RAW DATA 2023'!E:BP,63,0)</f>
        <v>4</v>
      </c>
      <c r="E255" t="str">
        <f t="shared" si="17"/>
        <v>Roiphet14</v>
      </c>
      <c r="F255">
        <f>ROUND(VLOOKUP(C255,'RAW DATA 2023'!E:BO,23,0),0)</f>
        <v>43</v>
      </c>
      <c r="G255" s="16">
        <f>VLOOKUP(C255,'RAW DATA 2023'!E:BO,27,0)</f>
        <v>2.487852607936667</v>
      </c>
      <c r="H255" s="16">
        <f>IFERROR(VLOOKUP(F255,STD!B:G,5,0),0)</f>
        <v>1.58</v>
      </c>
      <c r="I255" s="21">
        <f t="shared" si="18"/>
        <v>0.63508585474860335</v>
      </c>
      <c r="J255" s="16">
        <f t="shared" si="19"/>
        <v>2.701717094972067</v>
      </c>
      <c r="K255" s="106" t="str">
        <f>VLOOKUP(C255,'RAW DATA 2023'!E:BO,36,0)</f>
        <v>Normal</v>
      </c>
      <c r="L255" s="106">
        <f>VLOOKUP(C255,'RAW DATA 2023'!E:BO,21,0)</f>
        <v>3.7279800000000001</v>
      </c>
      <c r="M255" s="106">
        <f t="shared" si="20"/>
        <v>10.071947295713967</v>
      </c>
    </row>
    <row r="256" spans="1:13">
      <c r="A256" t="str">
        <f>'RAW DATA 2023'!B249</f>
        <v>Roiphet1</v>
      </c>
      <c r="B256" t="str">
        <f>'RAW DATA 2023'!D249</f>
        <v>C3-G06-0079</v>
      </c>
      <c r="C256" t="str">
        <f t="shared" si="16"/>
        <v>Roiphet1C3-G06-0079</v>
      </c>
      <c r="D256">
        <f>VLOOKUP(C256,'RAW DATA 2023'!E:BP,63,0)</f>
        <v>9</v>
      </c>
      <c r="E256" t="str">
        <f t="shared" si="17"/>
        <v>Roiphet19</v>
      </c>
      <c r="F256">
        <f>ROUND(VLOOKUP(C256,'RAW DATA 2023'!E:BO,23,0),0)</f>
        <v>77</v>
      </c>
      <c r="G256" s="16">
        <f>VLOOKUP(C256,'RAW DATA 2023'!E:BO,27,0)</f>
        <v>2.2085184486337206</v>
      </c>
      <c r="H256" s="16">
        <f>IFERROR(VLOOKUP(F256,STD!B:G,5,0),0)</f>
        <v>1.3</v>
      </c>
      <c r="I256" s="21">
        <f t="shared" si="18"/>
        <v>0.58862990291262129</v>
      </c>
      <c r="J256" s="16">
        <f t="shared" si="19"/>
        <v>1.7725980582524259</v>
      </c>
      <c r="K256" s="106" t="str">
        <f>VLOOKUP(C256,'RAW DATA 2023'!E:BO,36,0)</f>
        <v>EHP</v>
      </c>
      <c r="L256" s="106">
        <f>VLOOKUP(C256,'RAW DATA 2023'!E:BO,21,0)</f>
        <v>4.1028199999999995</v>
      </c>
      <c r="M256" s="106">
        <f t="shared" si="20"/>
        <v>7.2726507653592174</v>
      </c>
    </row>
    <row r="257" spans="1:13">
      <c r="A257" t="str">
        <f>'RAW DATA 2023'!B250</f>
        <v>Roiphet1</v>
      </c>
      <c r="B257" t="str">
        <f>'RAW DATA 2023'!D250</f>
        <v>C4-G08-0062</v>
      </c>
      <c r="C257" t="str">
        <f t="shared" si="16"/>
        <v>Roiphet1C4-G08-0062</v>
      </c>
      <c r="D257">
        <f>VLOOKUP(C257,'RAW DATA 2023'!E:BP,63,0)</f>
        <v>12</v>
      </c>
      <c r="E257" t="str">
        <f t="shared" si="17"/>
        <v>Roiphet112</v>
      </c>
      <c r="F257">
        <f>ROUND(VLOOKUP(C257,'RAW DATA 2023'!E:BO,23,0),0)</f>
        <v>49</v>
      </c>
      <c r="G257" s="16">
        <f>VLOOKUP(C257,'RAW DATA 2023'!E:BO,27,0)</f>
        <v>2.4124357778932017</v>
      </c>
      <c r="H257" s="16">
        <f>IFERROR(VLOOKUP(F257,STD!B:G,5,0),0)</f>
        <v>1.51</v>
      </c>
      <c r="I257" s="21">
        <f t="shared" si="18"/>
        <v>0.62592339818417642</v>
      </c>
      <c r="J257" s="16">
        <f t="shared" si="19"/>
        <v>2.5184679636835283</v>
      </c>
      <c r="K257" s="106" t="str">
        <f>VLOOKUP(C257,'RAW DATA 2023'!E:BO,36,0)</f>
        <v>Normal</v>
      </c>
      <c r="L257" s="106">
        <f>VLOOKUP(C257,'RAW DATA 2023'!E:BO,21,0)</f>
        <v>8.2813700000000008</v>
      </c>
      <c r="M257" s="106">
        <f t="shared" si="20"/>
        <v>20.856365040409862</v>
      </c>
    </row>
    <row r="258" spans="1:13">
      <c r="A258" t="str">
        <f>'RAW DATA 2023'!B251</f>
        <v>Roiphet1</v>
      </c>
      <c r="B258" t="str">
        <f>'RAW DATA 2023'!D251</f>
        <v>C4-I07-0061</v>
      </c>
      <c r="C258" t="str">
        <f t="shared" si="16"/>
        <v>Roiphet1C4-I07-0061</v>
      </c>
      <c r="D258">
        <f>VLOOKUP(C258,'RAW DATA 2023'!E:BP,63,0)</f>
        <v>12</v>
      </c>
      <c r="E258" t="str">
        <f t="shared" si="17"/>
        <v>Roiphet112</v>
      </c>
      <c r="F258">
        <f>ROUND(VLOOKUP(C258,'RAW DATA 2023'!E:BO,23,0),0)</f>
        <v>46</v>
      </c>
      <c r="G258" s="16">
        <f>VLOOKUP(C258,'RAW DATA 2023'!E:BO,27,0)</f>
        <v>2.1060638744763223</v>
      </c>
      <c r="H258" s="16">
        <f>IFERROR(VLOOKUP(F258,STD!B:G,5,0),0)</f>
        <v>1.54</v>
      </c>
      <c r="I258" s="21">
        <f t="shared" si="18"/>
        <v>0.73122188679245292</v>
      </c>
      <c r="J258" s="16">
        <f t="shared" si="19"/>
        <v>4.6244377358490585</v>
      </c>
      <c r="K258" s="106" t="str">
        <f>VLOOKUP(C258,'RAW DATA 2023'!E:BO,36,0)</f>
        <v>Normal</v>
      </c>
      <c r="L258" s="106">
        <f>VLOOKUP(C258,'RAW DATA 2023'!E:BO,21,0)</f>
        <v>4.5364599999999999</v>
      </c>
      <c r="M258" s="106">
        <f t="shared" si="20"/>
        <v>20.97857681116982</v>
      </c>
    </row>
    <row r="259" spans="1:13">
      <c r="A259" t="str">
        <f>'RAW DATA 2023'!B252</f>
        <v>Roiphet1</v>
      </c>
      <c r="B259" t="str">
        <f>'RAW DATA 2023'!D252</f>
        <v>C3-G06-0077</v>
      </c>
      <c r="C259" t="str">
        <f t="shared" si="16"/>
        <v>Roiphet1C3-G06-0077</v>
      </c>
      <c r="D259">
        <f>VLOOKUP(C259,'RAW DATA 2023'!E:BP,63,0)</f>
        <v>3</v>
      </c>
      <c r="E259" t="str">
        <f t="shared" si="17"/>
        <v>Roiphet13</v>
      </c>
      <c r="F259">
        <f>ROUND(VLOOKUP(C259,'RAW DATA 2023'!E:BO,23,0),0)</f>
        <v>48</v>
      </c>
      <c r="G259" s="16">
        <f>VLOOKUP(C259,'RAW DATA 2023'!E:BO,27,0)</f>
        <v>1.8738496917468204</v>
      </c>
      <c r="H259" s="16">
        <f>IFERROR(VLOOKUP(F259,STD!B:G,5,0),0)</f>
        <v>1.52</v>
      </c>
      <c r="I259" s="21">
        <f t="shared" si="18"/>
        <v>0.81116431413612566</v>
      </c>
      <c r="J259" s="16">
        <f t="shared" si="19"/>
        <v>6.2232862827225137</v>
      </c>
      <c r="K259" s="106" t="str">
        <f>VLOOKUP(C259,'RAW DATA 2023'!E:BO,36,0)</f>
        <v>ทยอยตาย</v>
      </c>
      <c r="L259" s="106">
        <f>VLOOKUP(C259,'RAW DATA 2023'!E:BO,21,0)</f>
        <v>7.8546899999999997</v>
      </c>
      <c r="M259" s="106">
        <f t="shared" si="20"/>
        <v>48.881984532037698</v>
      </c>
    </row>
    <row r="260" spans="1:13">
      <c r="A260" t="str">
        <f>'RAW DATA 2023'!B253</f>
        <v>Roiphet1</v>
      </c>
      <c r="B260" t="str">
        <f>'RAW DATA 2023'!D253</f>
        <v>C1-G02-0074</v>
      </c>
      <c r="C260" t="str">
        <f t="shared" si="16"/>
        <v>Roiphet1C1-G02-0074</v>
      </c>
      <c r="D260">
        <f>VLOOKUP(C260,'RAW DATA 2023'!E:BP,63,0)</f>
        <v>9</v>
      </c>
      <c r="E260" t="str">
        <f t="shared" si="17"/>
        <v>Roiphet19</v>
      </c>
      <c r="F260">
        <f>ROUND(VLOOKUP(C260,'RAW DATA 2023'!E:BO,23,0),0)</f>
        <v>42</v>
      </c>
      <c r="G260" s="16">
        <f>VLOOKUP(C260,'RAW DATA 2023'!E:BO,27,0)</f>
        <v>2.0406500625903803</v>
      </c>
      <c r="H260" s="16">
        <f>IFERROR(VLOOKUP(F260,STD!B:G,5,0),0)</f>
        <v>1.6</v>
      </c>
      <c r="I260" s="21">
        <f t="shared" si="18"/>
        <v>0.78406387715930892</v>
      </c>
      <c r="J260" s="16">
        <f t="shared" si="19"/>
        <v>5.6812775431861784</v>
      </c>
      <c r="K260" s="106" t="str">
        <f>VLOOKUP(C260,'RAW DATA 2023'!E:BO,36,0)</f>
        <v>อัตรารอดต่ำ</v>
      </c>
      <c r="L260" s="106">
        <f>VLOOKUP(C260,'RAW DATA 2023'!E:BO,21,0)</f>
        <v>6.64682</v>
      </c>
      <c r="M260" s="106">
        <f t="shared" si="20"/>
        <v>37.762429199600753</v>
      </c>
    </row>
    <row r="261" spans="1:13">
      <c r="A261" t="str">
        <f>'RAW DATA 2023'!B254</f>
        <v>Roiphet1</v>
      </c>
      <c r="B261" t="str">
        <f>'RAW DATA 2023'!D254</f>
        <v>C5-I10-0065</v>
      </c>
      <c r="C261" t="str">
        <f t="shared" si="16"/>
        <v>Roiphet1C5-I10-0065</v>
      </c>
      <c r="D261">
        <f>VLOOKUP(C261,'RAW DATA 2023'!E:BP,63,0)</f>
        <v>5</v>
      </c>
      <c r="E261" t="str">
        <f t="shared" si="17"/>
        <v>Roiphet15</v>
      </c>
      <c r="F261">
        <f>ROUND(VLOOKUP(C261,'RAW DATA 2023'!E:BO,23,0),0)</f>
        <v>36</v>
      </c>
      <c r="G261" s="16">
        <f>VLOOKUP(C261,'RAW DATA 2023'!E:BO,27,0)</f>
        <v>2.4169814537330305</v>
      </c>
      <c r="H261" s="16">
        <f>IFERROR(VLOOKUP(F261,STD!B:G,5,0),0)</f>
        <v>1.726</v>
      </c>
      <c r="I261" s="21">
        <f t="shared" si="18"/>
        <v>0.71411387842227381</v>
      </c>
      <c r="J261" s="16">
        <f t="shared" si="19"/>
        <v>4.2822775684454761</v>
      </c>
      <c r="K261" s="106" t="str">
        <f>VLOOKUP(C261,'RAW DATA 2023'!E:BO,36,0)</f>
        <v>Normal</v>
      </c>
      <c r="L261" s="106">
        <f>VLOOKUP(C261,'RAW DATA 2023'!E:BO,21,0)</f>
        <v>4.5705400000000003</v>
      </c>
      <c r="M261" s="106">
        <f t="shared" si="20"/>
        <v>19.572320917682788</v>
      </c>
    </row>
    <row r="262" spans="1:13">
      <c r="A262" t="str">
        <f>'RAW DATA 2023'!B255</f>
        <v>Roiphet1</v>
      </c>
      <c r="B262" t="str">
        <f>'RAW DATA 2023'!D255</f>
        <v>C4-I08-0063</v>
      </c>
      <c r="C262" t="str">
        <f t="shared" si="16"/>
        <v>Roiphet1C4-I08-0063</v>
      </c>
      <c r="D262">
        <f>VLOOKUP(C262,'RAW DATA 2023'!E:BP,63,0)</f>
        <v>2</v>
      </c>
      <c r="E262" t="str">
        <f t="shared" si="17"/>
        <v>Roiphet12</v>
      </c>
      <c r="F262">
        <f>ROUND(VLOOKUP(C262,'RAW DATA 2023'!E:BO,23,0),0)</f>
        <v>41</v>
      </c>
      <c r="G262" s="16">
        <f>VLOOKUP(C262,'RAW DATA 2023'!E:BO,27,0)</f>
        <v>1.6376622027563603</v>
      </c>
      <c r="H262" s="16">
        <f>IFERROR(VLOOKUP(F262,STD!B:G,5,0),0)</f>
        <v>1.61</v>
      </c>
      <c r="J262" s="16">
        <f t="shared" si="19"/>
        <v>-10</v>
      </c>
      <c r="K262" s="106" t="str">
        <f>VLOOKUP(C262,'RAW DATA 2023'!E:BO,36,0)</f>
        <v>Normal</v>
      </c>
      <c r="L262" s="106">
        <f>VLOOKUP(C262,'RAW DATA 2023'!E:BO,21,0)</f>
        <v>4.8045900000000001</v>
      </c>
      <c r="M262" s="106">
        <f t="shared" si="20"/>
        <v>-48.045900000000003</v>
      </c>
    </row>
    <row r="263" spans="1:13">
      <c r="A263" t="str">
        <f>'RAW DATA 2023'!B256</f>
        <v>Roiphet1</v>
      </c>
      <c r="B263" t="str">
        <f>'RAW DATA 2023'!D256</f>
        <v>C4-G07-0058</v>
      </c>
      <c r="C263" t="str">
        <f t="shared" si="16"/>
        <v>Roiphet1C4-G07-0058</v>
      </c>
      <c r="D263">
        <f>VLOOKUP(C263,'RAW DATA 2023'!E:BP,63,0)</f>
        <v>11</v>
      </c>
      <c r="E263" t="str">
        <f t="shared" si="17"/>
        <v>Roiphet111</v>
      </c>
      <c r="F263">
        <f>ROUND(VLOOKUP(C263,'RAW DATA 2023'!E:BO,23,0),0)</f>
        <v>55</v>
      </c>
      <c r="G263" s="16">
        <f>VLOOKUP(C263,'RAW DATA 2023'!E:BO,27,0)</f>
        <v>2.5364460515254597</v>
      </c>
      <c r="H263" s="16">
        <f>IFERROR(VLOOKUP(F263,STD!B:G,5,0),0)</f>
        <v>1.44</v>
      </c>
      <c r="I263" s="21">
        <f t="shared" si="18"/>
        <v>0.56772348819875773</v>
      </c>
      <c r="J263" s="16">
        <f t="shared" si="19"/>
        <v>1.3544697639751546</v>
      </c>
      <c r="K263" s="106" t="str">
        <f>VLOOKUP(C263,'RAW DATA 2023'!E:BO,36,0)</f>
        <v>Normal</v>
      </c>
      <c r="L263" s="106">
        <f>VLOOKUP(C263,'RAW DATA 2023'!E:BO,21,0)</f>
        <v>8.2258500000000012</v>
      </c>
      <c r="M263" s="106">
        <f t="shared" si="20"/>
        <v>11.141665107995028</v>
      </c>
    </row>
    <row r="264" spans="1:13">
      <c r="A264" t="str">
        <f>'RAW DATA 2023'!B257</f>
        <v>Roiphet1</v>
      </c>
      <c r="B264" t="str">
        <f>'RAW DATA 2023'!D257</f>
        <v>C4-I08-0065</v>
      </c>
      <c r="C264" t="str">
        <f t="shared" si="16"/>
        <v>Roiphet1C4-I08-0065</v>
      </c>
      <c r="D264">
        <f>VLOOKUP(C264,'RAW DATA 2023'!E:BP,63,0)</f>
        <v>12</v>
      </c>
      <c r="E264" t="str">
        <f t="shared" si="17"/>
        <v>Roiphet112</v>
      </c>
      <c r="F264">
        <f>ROUND(VLOOKUP(C264,'RAW DATA 2023'!E:BO,23,0),0)</f>
        <v>46</v>
      </c>
      <c r="G264" s="16">
        <f>VLOOKUP(C264,'RAW DATA 2023'!E:BO,27,0)</f>
        <v>2.0162764589238784</v>
      </c>
      <c r="H264" s="16">
        <f>IFERROR(VLOOKUP(F264,STD!B:G,5,0),0)</f>
        <v>1.54</v>
      </c>
      <c r="I264" s="21">
        <f t="shared" si="18"/>
        <v>0.76378414933333327</v>
      </c>
      <c r="J264" s="16">
        <f t="shared" si="19"/>
        <v>5.2756829866666655</v>
      </c>
      <c r="K264" s="106" t="str">
        <f>VLOOKUP(C264,'RAW DATA 2023'!E:BO,36,0)</f>
        <v>Normal</v>
      </c>
      <c r="L264" s="106">
        <f>VLOOKUP(C264,'RAW DATA 2023'!E:BO,21,0)</f>
        <v>4.7821699999999998</v>
      </c>
      <c r="M264" s="106">
        <f t="shared" si="20"/>
        <v>25.229212908347726</v>
      </c>
    </row>
    <row r="265" spans="1:13">
      <c r="A265" t="str">
        <f>'RAW DATA 2023'!B258</f>
        <v>Roiphet1</v>
      </c>
      <c r="B265" t="str">
        <f>'RAW DATA 2023'!D258</f>
        <v>C3-I05-0066</v>
      </c>
      <c r="C265" t="str">
        <f t="shared" si="16"/>
        <v>Roiphet1C3-I05-0066</v>
      </c>
      <c r="D265">
        <f>VLOOKUP(C265,'RAW DATA 2023'!E:BP,63,0)</f>
        <v>5</v>
      </c>
      <c r="E265" t="str">
        <f t="shared" si="17"/>
        <v>Roiphet15</v>
      </c>
      <c r="F265">
        <f>ROUND(VLOOKUP(C265,'RAW DATA 2023'!E:BO,23,0),0)</f>
        <v>124</v>
      </c>
      <c r="G265" s="16">
        <f>VLOOKUP(C265,'RAW DATA 2023'!E:BO,27,0)</f>
        <v>1.4647311439238588</v>
      </c>
      <c r="H265" s="16">
        <f>IFERROR(VLOOKUP(F265,STD!B:G,5,0),0)</f>
        <v>1.1499999999999999</v>
      </c>
      <c r="I265" s="21">
        <f t="shared" si="18"/>
        <v>0.78512702127659573</v>
      </c>
      <c r="J265" s="16">
        <f t="shared" si="19"/>
        <v>5.7025404255319145</v>
      </c>
      <c r="K265" s="106" t="str">
        <f>VLOOKUP(C265,'RAW DATA 2023'!E:BO,36,0)</f>
        <v>EHP</v>
      </c>
      <c r="L265" s="106">
        <f>VLOOKUP(C265,'RAW DATA 2023'!E:BO,21,0)</f>
        <v>1.71689</v>
      </c>
      <c r="M265" s="106">
        <f t="shared" si="20"/>
        <v>9.7906346311914891</v>
      </c>
    </row>
    <row r="266" spans="1:13">
      <c r="A266" t="str">
        <f>'RAW DATA 2023'!B259</f>
        <v>Roiphet1</v>
      </c>
      <c r="B266" t="str">
        <f>'RAW DATA 2023'!D259</f>
        <v>C3-I06-0063</v>
      </c>
      <c r="C266" t="str">
        <f t="shared" ref="C266:C329" si="21">A266&amp;B266</f>
        <v>Roiphet1C3-I06-0063</v>
      </c>
      <c r="D266">
        <f>VLOOKUP(C266,'RAW DATA 2023'!E:BP,63,0)</f>
        <v>5</v>
      </c>
      <c r="E266" t="str">
        <f t="shared" ref="E266:E329" si="22">A266&amp;D266</f>
        <v>Roiphet15</v>
      </c>
      <c r="F266">
        <f>ROUND(VLOOKUP(C266,'RAW DATA 2023'!E:BO,23,0),0)</f>
        <v>131</v>
      </c>
      <c r="G266" s="16">
        <f>VLOOKUP(C266,'RAW DATA 2023'!E:BO,27,0)</f>
        <v>1.5804128251388634</v>
      </c>
      <c r="H266" s="16">
        <f>IFERROR(VLOOKUP(F266,STD!B:G,5,0),0)</f>
        <v>1.1279999999999999</v>
      </c>
      <c r="I266" s="21">
        <f t="shared" si="18"/>
        <v>0.71373756404494371</v>
      </c>
      <c r="J266" s="16">
        <f t="shared" si="19"/>
        <v>4.2747512808988741</v>
      </c>
      <c r="K266" s="106" t="str">
        <f>VLOOKUP(C266,'RAW DATA 2023'!E:BO,36,0)</f>
        <v>EHP</v>
      </c>
      <c r="L266" s="106">
        <f>VLOOKUP(C266,'RAW DATA 2023'!E:BO,21,0)</f>
        <v>1.5203599999999999</v>
      </c>
      <c r="M266" s="106">
        <f t="shared" si="20"/>
        <v>6.4991608574274116</v>
      </c>
    </row>
    <row r="267" spans="1:13">
      <c r="A267" t="str">
        <f>'RAW DATA 2023'!B260</f>
        <v>Roiphet1</v>
      </c>
      <c r="B267" t="str">
        <f>'RAW DATA 2023'!D260</f>
        <v>C2-I04-0067</v>
      </c>
      <c r="C267" t="str">
        <f t="shared" si="21"/>
        <v>Roiphet1C2-I04-0067</v>
      </c>
      <c r="D267">
        <f>VLOOKUP(C267,'RAW DATA 2023'!E:BP,63,0)</f>
        <v>6</v>
      </c>
      <c r="E267" t="str">
        <f t="shared" si="22"/>
        <v>Roiphet16</v>
      </c>
      <c r="F267">
        <f>ROUND(VLOOKUP(C267,'RAW DATA 2023'!E:BO,23,0),0)</f>
        <v>92</v>
      </c>
      <c r="G267" s="16">
        <f>VLOOKUP(C267,'RAW DATA 2023'!E:BO,27,0)</f>
        <v>1.2233640286489613</v>
      </c>
      <c r="H267" s="16">
        <f>IFERROR(VLOOKUP(F267,STD!B:G,5,0),0)</f>
        <v>1.24</v>
      </c>
      <c r="I267" s="21">
        <f t="shared" ref="I267:I329" si="23">IFERROR(H267/G267,0)</f>
        <v>1.0135985454545453</v>
      </c>
      <c r="J267" s="16">
        <f t="shared" ref="J267:J330" si="24">(I267-$B$4)*$B$7</f>
        <v>10.271970909090907</v>
      </c>
      <c r="K267" s="106" t="str">
        <f>VLOOKUP(C267,'RAW DATA 2023'!E:BO,36,0)</f>
        <v>EHP</v>
      </c>
      <c r="L267" s="106">
        <f>VLOOKUP(C267,'RAW DATA 2023'!E:BO,21,0)</f>
        <v>2.6721900000000001</v>
      </c>
      <c r="M267" s="106">
        <f t="shared" ref="M267:M330" si="25">J267*L267</f>
        <v>27.448657943563632</v>
      </c>
    </row>
    <row r="268" spans="1:13">
      <c r="A268" t="str">
        <f>'RAW DATA 2023'!B261</f>
        <v>Roiphet1</v>
      </c>
      <c r="B268" t="str">
        <f>'RAW DATA 2023'!D261</f>
        <v>C3-G05-0074</v>
      </c>
      <c r="C268" t="str">
        <f t="shared" si="21"/>
        <v>Roiphet1C3-G05-0074</v>
      </c>
      <c r="D268">
        <f>VLOOKUP(C268,'RAW DATA 2023'!E:BP,63,0)</f>
        <v>5</v>
      </c>
      <c r="E268" t="str">
        <f t="shared" si="22"/>
        <v>Roiphet15</v>
      </c>
      <c r="F268">
        <f>ROUND(VLOOKUP(C268,'RAW DATA 2023'!E:BO,23,0),0)</f>
        <v>129</v>
      </c>
      <c r="G268" s="16">
        <f>VLOOKUP(C268,'RAW DATA 2023'!E:BO,27,0)</f>
        <v>1.2948829273494509</v>
      </c>
      <c r="H268" s="16">
        <f>IFERROR(VLOOKUP(F268,STD!B:G,5,0),0)</f>
        <v>1.129</v>
      </c>
      <c r="I268" s="21">
        <f t="shared" si="23"/>
        <v>0.87189349411764705</v>
      </c>
      <c r="J268" s="16">
        <f t="shared" si="24"/>
        <v>7.437869882352941</v>
      </c>
      <c r="K268" s="106" t="str">
        <f>VLOOKUP(C268,'RAW DATA 2023'!E:BO,36,0)</f>
        <v>EHP</v>
      </c>
      <c r="L268" s="106">
        <f>VLOOKUP(C268,'RAW DATA 2023'!E:BO,21,0)</f>
        <v>3.4846500000000002</v>
      </c>
      <c r="M268" s="106">
        <f t="shared" si="25"/>
        <v>25.918373285541179</v>
      </c>
    </row>
    <row r="269" spans="1:13">
      <c r="A269" t="str">
        <f>'RAW DATA 2023'!B262</f>
        <v>Roiphet1</v>
      </c>
      <c r="B269" t="str">
        <f>'RAW DATA 2023'!D262</f>
        <v>C2-I03-0059</v>
      </c>
      <c r="C269" t="str">
        <f t="shared" si="21"/>
        <v>Roiphet1C2-I03-0059</v>
      </c>
      <c r="D269">
        <f>VLOOKUP(C269,'RAW DATA 2023'!E:BP,63,0)</f>
        <v>6</v>
      </c>
      <c r="E269" t="str">
        <f t="shared" si="22"/>
        <v>Roiphet16</v>
      </c>
      <c r="F269">
        <f>ROUND(VLOOKUP(C269,'RAW DATA 2023'!E:BO,23,0),0)</f>
        <v>92</v>
      </c>
      <c r="G269" s="16">
        <f>VLOOKUP(C269,'RAW DATA 2023'!E:BO,27,0)</f>
        <v>1.5185456948622134</v>
      </c>
      <c r="H269" s="16">
        <f>IFERROR(VLOOKUP(F269,STD!B:G,5,0),0)</f>
        <v>1.24</v>
      </c>
      <c r="I269" s="21">
        <f t="shared" si="23"/>
        <v>0.81657075199999996</v>
      </c>
      <c r="J269" s="16">
        <f t="shared" si="24"/>
        <v>6.3314150399999995</v>
      </c>
      <c r="K269" s="106" t="str">
        <f>VLOOKUP(C269,'RAW DATA 2023'!E:BO,36,0)</f>
        <v>EHP</v>
      </c>
      <c r="L269" s="106">
        <f>VLOOKUP(C269,'RAW DATA 2023'!E:BO,21,0)</f>
        <v>2.2828900000000001</v>
      </c>
      <c r="M269" s="106">
        <f t="shared" si="25"/>
        <v>14.453924080665599</v>
      </c>
    </row>
    <row r="270" spans="1:13">
      <c r="A270" t="str">
        <f>'RAW DATA 2023'!B263</f>
        <v>Roiphet1</v>
      </c>
      <c r="B270" t="str">
        <f>'RAW DATA 2023'!D263</f>
        <v>C3-G06-0078</v>
      </c>
      <c r="C270" t="str">
        <f t="shared" si="21"/>
        <v>Roiphet1C3-G06-0078</v>
      </c>
      <c r="D270">
        <f>VLOOKUP(C270,'RAW DATA 2023'!E:BP,63,0)</f>
        <v>5</v>
      </c>
      <c r="E270" t="str">
        <f t="shared" si="22"/>
        <v>Roiphet15</v>
      </c>
      <c r="F270">
        <f>ROUND(VLOOKUP(C270,'RAW DATA 2023'!E:BO,23,0),0)</f>
        <v>149</v>
      </c>
      <c r="G270" s="16">
        <f>VLOOKUP(C270,'RAW DATA 2023'!E:BO,27,0)</f>
        <v>1.325231424672864</v>
      </c>
      <c r="H270" s="16">
        <f>IFERROR(VLOOKUP(F270,STD!B:G,5,0),0)</f>
        <v>1.0640000000000001</v>
      </c>
      <c r="I270" s="21">
        <f t="shared" si="23"/>
        <v>0.80287863703703721</v>
      </c>
      <c r="J270" s="16">
        <f t="shared" si="24"/>
        <v>6.0575727407407438</v>
      </c>
      <c r="K270" s="106" t="str">
        <f>VLOOKUP(C270,'RAW DATA 2023'!E:BO,36,0)</f>
        <v>EHP</v>
      </c>
      <c r="L270" s="106">
        <f>VLOOKUP(C270,'RAW DATA 2023'!E:BO,21,0)</f>
        <v>3.2585700000000002</v>
      </c>
      <c r="M270" s="106">
        <f t="shared" si="25"/>
        <v>19.739024805795566</v>
      </c>
    </row>
    <row r="271" spans="1:13">
      <c r="A271" t="str">
        <f>'RAW DATA 2023'!B264</f>
        <v>Roiphet1</v>
      </c>
      <c r="B271" t="str">
        <f>'RAW DATA 2023'!D264</f>
        <v>C2-G03-0066</v>
      </c>
      <c r="C271" t="str">
        <f t="shared" si="21"/>
        <v>Roiphet1C2-G03-0066</v>
      </c>
      <c r="D271">
        <f>VLOOKUP(C271,'RAW DATA 2023'!E:BP,63,0)</f>
        <v>6</v>
      </c>
      <c r="E271" t="str">
        <f t="shared" si="22"/>
        <v>Roiphet16</v>
      </c>
      <c r="F271">
        <f>ROUND(VLOOKUP(C271,'RAW DATA 2023'!E:BO,23,0),0)</f>
        <v>136</v>
      </c>
      <c r="G271" s="16">
        <f>VLOOKUP(C271,'RAW DATA 2023'!E:BO,27,0)</f>
        <v>1.3433842903419828</v>
      </c>
      <c r="H271" s="16">
        <f>IFERROR(VLOOKUP(F271,STD!B:G,5,0),0)</f>
        <v>1.107</v>
      </c>
      <c r="I271" s="21">
        <f t="shared" si="23"/>
        <v>0.82403822045454544</v>
      </c>
      <c r="J271" s="16">
        <f t="shared" si="24"/>
        <v>6.4807644090909093</v>
      </c>
      <c r="K271" s="106" t="str">
        <f>VLOOKUP(C271,'RAW DATA 2023'!E:BO,36,0)</f>
        <v>EHP</v>
      </c>
      <c r="L271" s="106">
        <f>VLOOKUP(C271,'RAW DATA 2023'!E:BO,21,0)</f>
        <v>3.7253099999999999</v>
      </c>
      <c r="M271" s="106">
        <f t="shared" si="25"/>
        <v>24.142856460830455</v>
      </c>
    </row>
    <row r="272" spans="1:13">
      <c r="A272" t="str">
        <f>'RAW DATA 2023'!B265</f>
        <v>Roiphet1</v>
      </c>
      <c r="B272" t="str">
        <f>'RAW DATA 2023'!D265</f>
        <v>C2-G04-0064</v>
      </c>
      <c r="C272" t="str">
        <f t="shared" si="21"/>
        <v>Roiphet1C2-G04-0064</v>
      </c>
      <c r="D272">
        <f>VLOOKUP(C272,'RAW DATA 2023'!E:BP,63,0)</f>
        <v>6</v>
      </c>
      <c r="E272" t="str">
        <f t="shared" si="22"/>
        <v>Roiphet16</v>
      </c>
      <c r="F272">
        <f>ROUND(VLOOKUP(C272,'RAW DATA 2023'!E:BO,23,0),0)</f>
        <v>148</v>
      </c>
      <c r="G272" s="16">
        <f>VLOOKUP(C272,'RAW DATA 2023'!E:BO,27,0)</f>
        <v>1.3539128080151639</v>
      </c>
      <c r="H272" s="16">
        <f>IFERROR(VLOOKUP(F272,STD!B:G,5,0),0)</f>
        <v>1.0640000000000001</v>
      </c>
      <c r="I272" s="21">
        <f t="shared" si="23"/>
        <v>0.78587039999999997</v>
      </c>
      <c r="J272" s="16">
        <f t="shared" si="24"/>
        <v>5.7174079999999989</v>
      </c>
      <c r="K272" s="106" t="str">
        <f>VLOOKUP(C272,'RAW DATA 2023'!E:BO,36,0)</f>
        <v>EHP</v>
      </c>
      <c r="L272" s="106">
        <f>VLOOKUP(C272,'RAW DATA 2023'!E:BO,21,0)</f>
        <v>3.5879099999999999</v>
      </c>
      <c r="M272" s="106">
        <f t="shared" si="25"/>
        <v>20.513545337279997</v>
      </c>
    </row>
    <row r="273" spans="1:14">
      <c r="A273" t="str">
        <f>'RAW DATA 2023'!B266</f>
        <v>Roiphet1</v>
      </c>
      <c r="B273" t="str">
        <f>'RAW DATA 2023'!D266</f>
        <v>B3-I06-0095</v>
      </c>
      <c r="C273" t="str">
        <f t="shared" si="21"/>
        <v>Roiphet1B3-I06-0095</v>
      </c>
      <c r="D273">
        <f>VLOOKUP(C273,'RAW DATA 2023'!E:BP,63,0)</f>
        <v>8</v>
      </c>
      <c r="E273" t="str">
        <f t="shared" si="22"/>
        <v>Roiphet18</v>
      </c>
      <c r="F273">
        <f>ROUND(VLOOKUP(C273,'RAW DATA 2023'!E:BO,23,0),0)</f>
        <v>45</v>
      </c>
      <c r="G273" s="16">
        <f>VLOOKUP(C273,'RAW DATA 2023'!E:BO,27,0)</f>
        <v>1.8275462962962963</v>
      </c>
      <c r="H273" s="16">
        <f>IFERROR(VLOOKUP(F273,STD!B:G,5,0),0)</f>
        <v>1.55</v>
      </c>
      <c r="I273" s="21">
        <f t="shared" si="23"/>
        <v>0.84813172894236866</v>
      </c>
      <c r="J273" s="16">
        <f t="shared" si="24"/>
        <v>6.9626345788473731</v>
      </c>
      <c r="K273" s="106" t="str">
        <f>VLOOKUP(C273,'RAW DATA 2023'!E:BO,36,0)</f>
        <v>EHP</v>
      </c>
      <c r="L273" s="106">
        <f>VLOOKUP(C273,'RAW DATA 2023'!E:BO,21,0)</f>
        <v>1.9955000000000001</v>
      </c>
      <c r="M273" s="106">
        <f t="shared" si="25"/>
        <v>13.893937302089933</v>
      </c>
    </row>
    <row r="274" spans="1:14">
      <c r="A274" t="str">
        <f>'RAW DATA 2023'!B267</f>
        <v>Roiphet1</v>
      </c>
      <c r="B274" t="str">
        <f>'RAW DATA 2023'!D267</f>
        <v>B6-G12-0087</v>
      </c>
      <c r="C274" t="str">
        <f t="shared" si="21"/>
        <v>Roiphet1B6-G12-0087</v>
      </c>
      <c r="D274">
        <f>VLOOKUP(C274,'RAW DATA 2023'!E:BP,63,0)</f>
        <v>6</v>
      </c>
      <c r="E274" t="str">
        <f t="shared" si="22"/>
        <v>Roiphet16</v>
      </c>
      <c r="F274">
        <f>ROUND(VLOOKUP(C274,'RAW DATA 2023'!E:BO,23,0),0)</f>
        <v>32</v>
      </c>
      <c r="G274" s="16">
        <f>VLOOKUP(C274,'RAW DATA 2023'!E:BO,27,0)</f>
        <v>2.3230247002030766</v>
      </c>
      <c r="H274" s="16">
        <f>IFERROR(VLOOKUP(F274,STD!B:G,5,0),0)</f>
        <v>1.82</v>
      </c>
      <c r="I274" s="21">
        <f t="shared" si="23"/>
        <v>0.78346132085504616</v>
      </c>
      <c r="J274" s="16">
        <f t="shared" si="24"/>
        <v>5.6692264171009228</v>
      </c>
      <c r="K274" s="106" t="str">
        <f>VLOOKUP(C274,'RAW DATA 2023'!E:BO,36,0)</f>
        <v>Normal</v>
      </c>
      <c r="L274" s="106">
        <f>VLOOKUP(C274,'RAW DATA 2023'!E:BO,21,0)</f>
        <v>8.5318799999999992</v>
      </c>
      <c r="M274" s="106">
        <f t="shared" si="25"/>
        <v>48.369159483535014</v>
      </c>
    </row>
    <row r="275" spans="1:14">
      <c r="A275" t="str">
        <f>'RAW DATA 2023'!B268</f>
        <v>Roiphet1</v>
      </c>
      <c r="B275" t="str">
        <f>'RAW DATA 2023'!D268</f>
        <v>B6-G11-0082</v>
      </c>
      <c r="C275" t="str">
        <f t="shared" si="21"/>
        <v>Roiphet1B6-G11-0082</v>
      </c>
      <c r="D275">
        <f>VLOOKUP(C275,'RAW DATA 2023'!E:BP,63,0)</f>
        <v>6</v>
      </c>
      <c r="E275" t="str">
        <f t="shared" si="22"/>
        <v>Roiphet16</v>
      </c>
      <c r="F275">
        <f>ROUND(VLOOKUP(C275,'RAW DATA 2023'!E:BO,23,0),0)</f>
        <v>31</v>
      </c>
      <c r="G275" s="16">
        <f>VLOOKUP(C275,'RAW DATA 2023'!E:BO,27,0)</f>
        <v>2.3090146057947241</v>
      </c>
      <c r="H275" s="16">
        <f>IFERROR(VLOOKUP(F275,STD!B:G,5,0),0)</f>
        <v>1.84</v>
      </c>
      <c r="I275" s="21">
        <f t="shared" si="23"/>
        <v>0.79687672628069106</v>
      </c>
      <c r="J275" s="16">
        <f t="shared" si="24"/>
        <v>5.9375345256138212</v>
      </c>
      <c r="K275" s="106" t="str">
        <f>VLOOKUP(C275,'RAW DATA 2023'!E:BO,36,0)</f>
        <v>Normal</v>
      </c>
      <c r="L275" s="106">
        <f>VLOOKUP(C275,'RAW DATA 2023'!E:BO,21,0)</f>
        <v>7.6309399999999998</v>
      </c>
      <c r="M275" s="106">
        <f t="shared" si="25"/>
        <v>45.308969712887532</v>
      </c>
    </row>
    <row r="276" spans="1:14">
      <c r="A276" t="str">
        <f>'RAW DATA 2023'!B269</f>
        <v>Roiphet1</v>
      </c>
      <c r="B276" t="str">
        <f>'RAW DATA 2023'!D269</f>
        <v>B1-I02-0096</v>
      </c>
      <c r="C276" t="str">
        <f t="shared" si="21"/>
        <v>Roiphet1B1-I02-0096</v>
      </c>
      <c r="D276">
        <f>VLOOKUP(C276,'RAW DATA 2023'!E:BP,63,0)</f>
        <v>12</v>
      </c>
      <c r="E276" t="str">
        <f t="shared" si="22"/>
        <v>Roiphet112</v>
      </c>
      <c r="F276">
        <f>ROUND(VLOOKUP(C276,'RAW DATA 2023'!E:BO,23,0),0)</f>
        <v>41</v>
      </c>
      <c r="G276" s="16">
        <f>VLOOKUP(C276,'RAW DATA 2023'!E:BO,27,0)</f>
        <v>2.0355550125236728</v>
      </c>
      <c r="H276" s="16">
        <f>IFERROR(VLOOKUP(F276,STD!B:G,5,0),0)</f>
        <v>1.61</v>
      </c>
      <c r="I276" s="21">
        <f t="shared" si="23"/>
        <v>0.79093907563025212</v>
      </c>
      <c r="J276" s="16">
        <f t="shared" si="24"/>
        <v>5.8187815126050424</v>
      </c>
      <c r="K276" s="106" t="str">
        <f>VLOOKUP(C276,'RAW DATA 2023'!E:BO,36,0)</f>
        <v>Normal</v>
      </c>
      <c r="L276" s="106">
        <f>VLOOKUP(C276,'RAW DATA 2023'!E:BO,21,0)</f>
        <v>4.5922499999999999</v>
      </c>
      <c r="M276" s="106">
        <f t="shared" si="25"/>
        <v>26.721299401260506</v>
      </c>
    </row>
    <row r="277" spans="1:14">
      <c r="A277" t="str">
        <f>'RAW DATA 2023'!B270</f>
        <v>Roiphet1</v>
      </c>
      <c r="B277" t="str">
        <f>'RAW DATA 2023'!D270</f>
        <v>B5-I10-0091</v>
      </c>
      <c r="C277" t="str">
        <f t="shared" si="21"/>
        <v>Roiphet1B5-I10-0091</v>
      </c>
      <c r="D277">
        <f>VLOOKUP(C277,'RAW DATA 2023'!E:BP,63,0)</f>
        <v>7</v>
      </c>
      <c r="E277" t="str">
        <f t="shared" si="22"/>
        <v>Roiphet17</v>
      </c>
      <c r="F277">
        <f>ROUND(VLOOKUP(C277,'RAW DATA 2023'!E:BO,23,0),0)</f>
        <v>48</v>
      </c>
      <c r="G277" s="16">
        <f>VLOOKUP(C277,'RAW DATA 2023'!E:BO,27,0)</f>
        <v>1.9072007653545127</v>
      </c>
      <c r="H277" s="16">
        <f>IFERROR(VLOOKUP(F277,STD!B:G,5,0),0)</f>
        <v>1.52</v>
      </c>
      <c r="I277" s="21">
        <f t="shared" si="23"/>
        <v>0.79697954594594589</v>
      </c>
      <c r="J277" s="16">
        <f t="shared" si="24"/>
        <v>5.9395909189189178</v>
      </c>
      <c r="K277" s="106" t="str">
        <f>VLOOKUP(C277,'RAW DATA 2023'!E:BO,36,0)</f>
        <v>ทยอยตาย</v>
      </c>
      <c r="L277" s="106">
        <f>VLOOKUP(C277,'RAW DATA 2023'!E:BO,21,0)</f>
        <v>2.5470199999999998</v>
      </c>
      <c r="M277" s="106">
        <f t="shared" si="25"/>
        <v>15.128256862304861</v>
      </c>
    </row>
    <row r="278" spans="1:14">
      <c r="A278" t="str">
        <f>'RAW DATA 2023'!B271</f>
        <v>Roiphet1</v>
      </c>
      <c r="B278" t="str">
        <f>'RAW DATA 2023'!D271</f>
        <v>B5-G10-0083</v>
      </c>
      <c r="C278" t="str">
        <f t="shared" si="21"/>
        <v>Roiphet1B5-G10-0083</v>
      </c>
      <c r="D278">
        <f>VLOOKUP(C278,'RAW DATA 2023'!E:BP,63,0)</f>
        <v>5</v>
      </c>
      <c r="E278" t="str">
        <f t="shared" si="22"/>
        <v>Roiphet15</v>
      </c>
      <c r="F278">
        <f>ROUND(VLOOKUP(C278,'RAW DATA 2023'!E:BO,23,0),0)</f>
        <v>32</v>
      </c>
      <c r="G278" s="16">
        <f>VLOOKUP(C278,'RAW DATA 2023'!E:BO,27,0)</f>
        <v>2.0423669067489802</v>
      </c>
      <c r="H278" s="16">
        <f>IFERROR(VLOOKUP(F278,STD!B:G,5,0),0)</f>
        <v>1.82</v>
      </c>
      <c r="I278" s="21">
        <f t="shared" si="23"/>
        <v>0.89112293877551041</v>
      </c>
      <c r="J278" s="16">
        <f t="shared" si="24"/>
        <v>7.8224587755102082</v>
      </c>
      <c r="K278" s="106" t="str">
        <f>VLOOKUP(C278,'RAW DATA 2023'!E:BO,36,0)</f>
        <v>Normal</v>
      </c>
      <c r="L278" s="106">
        <f>VLOOKUP(C278,'RAW DATA 2023'!E:BO,21,0)</f>
        <v>8.6575199999999999</v>
      </c>
      <c r="M278" s="106">
        <f t="shared" si="25"/>
        <v>67.723093298155135</v>
      </c>
    </row>
    <row r="279" spans="1:14">
      <c r="A279" t="str">
        <f>'RAW DATA 2023'!B272</f>
        <v>Roiphet1</v>
      </c>
      <c r="B279" t="str">
        <f>'RAW DATA 2023'!D272</f>
        <v>B1-I01-0095</v>
      </c>
      <c r="C279" t="str">
        <f t="shared" si="21"/>
        <v>Roiphet1B1-I01-0095</v>
      </c>
      <c r="D279">
        <f>VLOOKUP(C279,'RAW DATA 2023'!E:BP,63,0)</f>
        <v>6</v>
      </c>
      <c r="E279" t="str">
        <f t="shared" si="22"/>
        <v>Roiphet16</v>
      </c>
      <c r="F279">
        <f>ROUND(VLOOKUP(C279,'RAW DATA 2023'!E:BO,23,0),0)</f>
        <v>34</v>
      </c>
      <c r="G279" s="16">
        <f>VLOOKUP(C279,'RAW DATA 2023'!E:BO,27,0)</f>
        <v>1.9638395961573134</v>
      </c>
      <c r="H279" s="16">
        <f>IFERROR(VLOOKUP(F279,STD!B:G,5,0),0)</f>
        <v>1.77</v>
      </c>
      <c r="I279" s="21">
        <f t="shared" si="23"/>
        <v>0.90129560655737695</v>
      </c>
      <c r="J279" s="16">
        <f t="shared" si="24"/>
        <v>8.025912131147539</v>
      </c>
      <c r="K279" s="106" t="str">
        <f>VLOOKUP(C279,'RAW DATA 2023'!E:BO,36,0)</f>
        <v>ทยอยตาย</v>
      </c>
      <c r="L279" s="106">
        <f>VLOOKUP(C279,'RAW DATA 2023'!E:BO,21,0)</f>
        <v>4.7992400000000002</v>
      </c>
      <c r="M279" s="106">
        <f t="shared" si="25"/>
        <v>38.51827853628852</v>
      </c>
    </row>
    <row r="280" spans="1:14">
      <c r="A280" t="str">
        <f>'RAW DATA 2023'!B273</f>
        <v>Roiphet1</v>
      </c>
      <c r="B280" t="str">
        <f>'RAW DATA 2023'!D273</f>
        <v>B6-I12-0086</v>
      </c>
      <c r="C280" t="str">
        <f t="shared" si="21"/>
        <v>Roiphet1B6-I12-0086</v>
      </c>
      <c r="D280">
        <f>VLOOKUP(C280,'RAW DATA 2023'!E:BP,63,0)</f>
        <v>6</v>
      </c>
      <c r="E280" t="str">
        <f t="shared" si="22"/>
        <v>Roiphet16</v>
      </c>
      <c r="F280">
        <f>ROUND(VLOOKUP(C280,'RAW DATA 2023'!E:BO,23,0),0)</f>
        <v>37</v>
      </c>
      <c r="G280" s="16">
        <f>VLOOKUP(C280,'RAW DATA 2023'!E:BO,27,0)</f>
        <v>2.3793757097052404</v>
      </c>
      <c r="H280" s="16">
        <f>IFERROR(VLOOKUP(F280,STD!B:G,5,0),0)</f>
        <v>1.6970000000000001</v>
      </c>
      <c r="I280" s="21">
        <f t="shared" si="23"/>
        <v>0.71321229055087998</v>
      </c>
      <c r="J280" s="16">
        <f t="shared" si="24"/>
        <v>4.2642458110175996</v>
      </c>
      <c r="K280" s="106" t="str">
        <f>VLOOKUP(C280,'RAW DATA 2023'!E:BO,36,0)</f>
        <v>Normal</v>
      </c>
      <c r="L280" s="106">
        <f>VLOOKUP(C280,'RAW DATA 2023'!E:BO,21,0)</f>
        <v>4.4846300000000001</v>
      </c>
      <c r="M280" s="106">
        <f t="shared" si="25"/>
        <v>19.123564691463859</v>
      </c>
    </row>
    <row r="281" spans="1:14">
      <c r="A281" t="str">
        <f>'RAW DATA 2023'!B274</f>
        <v>Roiphet1</v>
      </c>
      <c r="B281" t="str">
        <f>'RAW DATA 2023'!D274</f>
        <v>B2-G04-0092</v>
      </c>
      <c r="C281" t="str">
        <f t="shared" si="21"/>
        <v>Roiphet1B2-G04-0092</v>
      </c>
      <c r="D281">
        <f>VLOOKUP(C281,'RAW DATA 2023'!E:BP,63,0)</f>
        <v>6</v>
      </c>
      <c r="E281" t="str">
        <f t="shared" si="22"/>
        <v>Roiphet16</v>
      </c>
      <c r="F281">
        <f>ROUND(VLOOKUP(C281,'RAW DATA 2023'!E:BO,23,0),0)</f>
        <v>40</v>
      </c>
      <c r="G281" s="16">
        <f>VLOOKUP(C281,'RAW DATA 2023'!E:BO,27,0)</f>
        <v>2.1659386224976909</v>
      </c>
      <c r="H281" s="16">
        <f>IFERROR(VLOOKUP(F281,STD!B:G,5,0),0)</f>
        <v>1.63</v>
      </c>
      <c r="I281" s="21">
        <f t="shared" si="23"/>
        <v>0.75256056800000004</v>
      </c>
      <c r="J281" s="16">
        <f t="shared" si="24"/>
        <v>5.0512113600000008</v>
      </c>
      <c r="K281" s="106" t="str">
        <f>VLOOKUP(C281,'RAW DATA 2023'!E:BO,36,0)</f>
        <v>ทยอยตาย</v>
      </c>
      <c r="L281" s="106">
        <f>VLOOKUP(C281,'RAW DATA 2023'!E:BO,21,0)</f>
        <v>5.9431700000000003</v>
      </c>
      <c r="M281" s="106">
        <f t="shared" si="25"/>
        <v>30.020207818411205</v>
      </c>
    </row>
    <row r="282" spans="1:14">
      <c r="A282" t="str">
        <f>'RAW DATA 2023'!B275</f>
        <v>Roiphet1</v>
      </c>
      <c r="B282" t="str">
        <f>'RAW DATA 2023'!D275</f>
        <v>B5-I10-0090</v>
      </c>
      <c r="C282" t="str">
        <f t="shared" si="21"/>
        <v>Roiphet1B5-I10-0090</v>
      </c>
      <c r="D282">
        <f>VLOOKUP(C282,'RAW DATA 2023'!E:BP,63,0)</f>
        <v>5</v>
      </c>
      <c r="E282" t="str">
        <f t="shared" si="22"/>
        <v>Roiphet15</v>
      </c>
      <c r="F282">
        <f>ROUND(VLOOKUP(C282,'RAW DATA 2023'!E:BO,23,0),0)</f>
        <v>30</v>
      </c>
      <c r="G282" s="16">
        <f>VLOOKUP(C282,'RAW DATA 2023'!E:BO,27,0)</f>
        <v>2.0797753633058478</v>
      </c>
      <c r="H282" s="16">
        <f>IFERROR(VLOOKUP(F282,STD!B:G,5,0),0)</f>
        <v>1.87</v>
      </c>
      <c r="I282" s="21">
        <f t="shared" si="23"/>
        <v>0.89913556675062967</v>
      </c>
      <c r="J282" s="16">
        <f t="shared" si="24"/>
        <v>7.9827113350125938</v>
      </c>
      <c r="K282" s="106" t="str">
        <f>VLOOKUP(C282,'RAW DATA 2023'!E:BO,36,0)</f>
        <v>Normal</v>
      </c>
      <c r="L282" s="106">
        <f>VLOOKUP(C282,'RAW DATA 2023'!E:BO,21,0)</f>
        <v>4.8887499999999999</v>
      </c>
      <c r="M282" s="106">
        <f t="shared" si="25"/>
        <v>39.025480039042819</v>
      </c>
    </row>
    <row r="283" spans="1:14">
      <c r="A283" t="str">
        <f>'RAW DATA 2023'!B276</f>
        <v>Roiphet1</v>
      </c>
      <c r="B283" t="str">
        <f>'RAW DATA 2023'!D276</f>
        <v>B5-I09-0093</v>
      </c>
      <c r="C283" t="str">
        <f t="shared" si="21"/>
        <v>Roiphet1B5-I09-0093</v>
      </c>
      <c r="D283">
        <f>VLOOKUP(C283,'RAW DATA 2023'!E:BP,63,0)</f>
        <v>5</v>
      </c>
      <c r="E283" t="str">
        <f t="shared" si="22"/>
        <v>Roiphet15</v>
      </c>
      <c r="F283">
        <f>ROUND(VLOOKUP(C283,'RAW DATA 2023'!E:BO,23,0),0)</f>
        <v>32</v>
      </c>
      <c r="G283" s="16">
        <f>VLOOKUP(C283,'RAW DATA 2023'!E:BO,27,0)</f>
        <v>1.9775166070516097</v>
      </c>
      <c r="H283" s="16">
        <f>IFERROR(VLOOKUP(F283,STD!B:G,5,0),0)</f>
        <v>1.82</v>
      </c>
      <c r="I283" s="21">
        <f t="shared" si="23"/>
        <v>0.9203462532299741</v>
      </c>
      <c r="J283" s="16">
        <f t="shared" si="24"/>
        <v>8.4069250645994824</v>
      </c>
      <c r="K283" s="106" t="str">
        <f>VLOOKUP(C283,'RAW DATA 2023'!E:BO,36,0)</f>
        <v>Normal</v>
      </c>
      <c r="L283" s="106">
        <f>VLOOKUP(C283,'RAW DATA 2023'!E:BO,21,0)</f>
        <v>5.0091000000000001</v>
      </c>
      <c r="M283" s="106">
        <f t="shared" si="25"/>
        <v>42.111128341085269</v>
      </c>
    </row>
    <row r="284" spans="1:14">
      <c r="A284" t="str">
        <f>'RAW DATA 2023'!B277</f>
        <v>Roiphet1</v>
      </c>
      <c r="B284" t="str">
        <f>'RAW DATA 2023'!D277</f>
        <v>B4-G07-0076</v>
      </c>
      <c r="C284" t="str">
        <f t="shared" si="21"/>
        <v>Roiphet1B4-G07-0076</v>
      </c>
      <c r="D284">
        <f>VLOOKUP(C284,'RAW DATA 2023'!E:BP,63,0)</f>
        <v>3</v>
      </c>
      <c r="E284" t="str">
        <f t="shared" si="22"/>
        <v>Roiphet13</v>
      </c>
      <c r="F284">
        <f>ROUND(VLOOKUP(C284,'RAW DATA 2023'!E:BO,23,0),0)</f>
        <v>39</v>
      </c>
      <c r="G284" s="16">
        <f>VLOOKUP(C284,'RAW DATA 2023'!E:BO,27,0)</f>
        <v>2.06412367121299</v>
      </c>
      <c r="H284" s="16">
        <f>IFERROR(VLOOKUP(F284,STD!B:G,5,0),0)</f>
        <v>1.64</v>
      </c>
      <c r="I284" s="21">
        <f t="shared" si="23"/>
        <v>0.7945260368223227</v>
      </c>
      <c r="J284" s="16">
        <f t="shared" si="24"/>
        <v>5.8905207364464545</v>
      </c>
      <c r="K284" s="106" t="str">
        <f>VLOOKUP(C284,'RAW DATA 2023'!E:BO,36,0)</f>
        <v>Normal</v>
      </c>
      <c r="L284" s="106">
        <f>VLOOKUP(C284,'RAW DATA 2023'!E:BO,21,0)</f>
        <v>7.8161800000000001</v>
      </c>
      <c r="M284" s="106">
        <f t="shared" si="25"/>
        <v>46.041370369798052</v>
      </c>
    </row>
    <row r="285" spans="1:14">
      <c r="A285" t="str">
        <f>'RAW DATA 2023'!B278</f>
        <v>Roiphet1</v>
      </c>
      <c r="B285" t="str">
        <f>'RAW DATA 2023'!D278</f>
        <v>B1-G02-0089</v>
      </c>
      <c r="C285" t="str">
        <f t="shared" si="21"/>
        <v>Roiphet1B1-G02-0089</v>
      </c>
      <c r="D285">
        <f>VLOOKUP(C285,'RAW DATA 2023'!E:BP,63,0)</f>
        <v>12</v>
      </c>
      <c r="E285" t="str">
        <f t="shared" si="22"/>
        <v>Roiphet112</v>
      </c>
      <c r="F285">
        <f>ROUND(VLOOKUP(C285,'RAW DATA 2023'!E:BO,23,0),0)</f>
        <v>38</v>
      </c>
      <c r="G285" s="16">
        <f>VLOOKUP(C285,'RAW DATA 2023'!E:BO,27,0)</f>
        <v>2.1036254165822763</v>
      </c>
      <c r="H285" s="16">
        <f>IFERROR(VLOOKUP(F285,STD!B:G,5,0),0)</f>
        <v>1.669</v>
      </c>
      <c r="I285" s="21">
        <f t="shared" si="23"/>
        <v>0.79339220131291022</v>
      </c>
      <c r="J285" s="16">
        <f t="shared" si="24"/>
        <v>5.8678440262582043</v>
      </c>
      <c r="K285" s="106" t="str">
        <f>VLOOKUP(C285,'RAW DATA 2023'!E:BO,36,0)</f>
        <v>Normal</v>
      </c>
      <c r="L285" s="106">
        <f>VLOOKUP(C285,'RAW DATA 2023'!E:BO,21,0)</f>
        <v>10.75098</v>
      </c>
      <c r="M285" s="106">
        <f t="shared" si="25"/>
        <v>63.085073769421427</v>
      </c>
    </row>
    <row r="286" spans="1:14">
      <c r="A286" t="str">
        <f>'RAW DATA 2023'!B279</f>
        <v>Roiphet1</v>
      </c>
      <c r="B286" t="str">
        <f>'RAW DATA 2023'!D279</f>
        <v>B4-I08-0089</v>
      </c>
      <c r="C286" t="str">
        <f t="shared" si="21"/>
        <v>Roiphet1B4-I08-0089</v>
      </c>
      <c r="D286">
        <f>VLOOKUP(C286,'RAW DATA 2023'!E:BP,63,0)</f>
        <v>7</v>
      </c>
      <c r="E286" t="str">
        <f t="shared" si="22"/>
        <v>Roiphet17</v>
      </c>
      <c r="F286">
        <f>ROUND(VLOOKUP(C286,'RAW DATA 2023'!E:BO,23,0),0)</f>
        <v>37</v>
      </c>
      <c r="G286" s="16">
        <f>VLOOKUP(C286,'RAW DATA 2023'!E:BO,27,0)</f>
        <v>2.0177590942803287</v>
      </c>
      <c r="H286" s="16">
        <f>IFERROR(VLOOKUP(F286,STD!B:G,5,0),0)</f>
        <v>1.6970000000000001</v>
      </c>
      <c r="I286" s="21">
        <f t="shared" si="23"/>
        <v>0.84103201656254545</v>
      </c>
      <c r="J286" s="16">
        <f t="shared" si="24"/>
        <v>6.8206403312509085</v>
      </c>
      <c r="K286" s="106" t="str">
        <f>VLOOKUP(C286,'RAW DATA 2023'!E:BO,36,0)</f>
        <v>ทยอยตาย</v>
      </c>
      <c r="L286" s="106">
        <f>VLOOKUP(C286,'RAW DATA 2023'!E:BO,21,0)</f>
        <v>3.5112100000000002</v>
      </c>
      <c r="M286" s="106">
        <f t="shared" si="25"/>
        <v>23.948700537491504</v>
      </c>
    </row>
    <row r="287" spans="1:14">
      <c r="A287" t="str">
        <f>'RAW DATA 2023'!B280</f>
        <v>Roiphet1</v>
      </c>
      <c r="B287" t="str">
        <f>'RAW DATA 2023'!D280</f>
        <v>B2-I04-0098</v>
      </c>
      <c r="C287" t="str">
        <f t="shared" si="21"/>
        <v>Roiphet1B2-I04-0098</v>
      </c>
      <c r="D287">
        <f>VLOOKUP(C287,'RAW DATA 2023'!E:BP,63,0)</f>
        <v>6</v>
      </c>
      <c r="E287" t="str">
        <f t="shared" si="22"/>
        <v>Roiphet16</v>
      </c>
      <c r="F287">
        <f>ROUND(VLOOKUP(C287,'RAW DATA 2023'!E:BO,23,0),0)</f>
        <v>41</v>
      </c>
      <c r="G287" s="16">
        <f>VLOOKUP(C287,'RAW DATA 2023'!E:BO,27,0)</f>
        <v>2.0742040897014644</v>
      </c>
      <c r="H287" s="16">
        <f>IFERROR(VLOOKUP(F287,STD!B:G,5,0),0)</f>
        <v>1.61</v>
      </c>
      <c r="I287" s="21">
        <f t="shared" si="23"/>
        <v>0.77620134296028886</v>
      </c>
      <c r="J287" s="16">
        <f t="shared" si="24"/>
        <v>5.5240268592057777</v>
      </c>
      <c r="K287" s="106" t="str">
        <f>VLOOKUP(C287,'RAW DATA 2023'!E:BO,36,0)</f>
        <v>ทยอยตาย</v>
      </c>
      <c r="L287" s="106">
        <f>VLOOKUP(C287,'RAW DATA 2023'!E:BO,21,0)</f>
        <v>3.4246300000000001</v>
      </c>
      <c r="M287" s="106">
        <f t="shared" si="25"/>
        <v>18.917748102841884</v>
      </c>
    </row>
    <row r="288" spans="1:14">
      <c r="A288" t="str">
        <f>'RAW DATA 2023'!B281</f>
        <v>Roiphet1</v>
      </c>
      <c r="B288" t="str">
        <f>'RAW DATA 2023'!D281</f>
        <v>B4-I08-0088</v>
      </c>
      <c r="C288" t="str">
        <f t="shared" si="21"/>
        <v>Roiphet1B4-I08-0088</v>
      </c>
      <c r="D288">
        <f>VLOOKUP(C288,'RAW DATA 2023'!E:BP,63,0)</f>
        <v>3</v>
      </c>
      <c r="E288" t="str">
        <f t="shared" si="22"/>
        <v>Roiphet13</v>
      </c>
      <c r="F288">
        <f>ROUND(VLOOKUP(C288,'RAW DATA 2023'!E:BO,23,0),0)</f>
        <v>37</v>
      </c>
      <c r="G288" s="16">
        <f>VLOOKUP(C288,'RAW DATA 2023'!E:BO,27,0)</f>
        <v>2.052719284956825</v>
      </c>
      <c r="H288" s="16">
        <f>IFERROR(VLOOKUP(F288,STD!B:G,5,0),0)</f>
        <v>1.6970000000000001</v>
      </c>
      <c r="I288" s="21">
        <f t="shared" si="23"/>
        <v>0.82670826568265676</v>
      </c>
      <c r="J288" s="16">
        <f t="shared" si="24"/>
        <v>6.5341653136531352</v>
      </c>
      <c r="K288" s="106" t="str">
        <f>VLOOKUP(C288,'RAW DATA 2023'!E:BO,36,0)</f>
        <v>Normal</v>
      </c>
      <c r="L288" s="106">
        <f>VLOOKUP(C288,'RAW DATA 2023'!E:BO,21,0)</f>
        <v>4.2096200000000001</v>
      </c>
      <c r="M288" s="106">
        <f t="shared" si="25"/>
        <v>27.506352987660513</v>
      </c>
      <c r="N288" s="22">
        <f>'RAW DATA 2023'!AL396</f>
        <v>22</v>
      </c>
    </row>
    <row r="289" spans="1:13">
      <c r="A289" t="str">
        <f>'RAW DATA 2023'!B282</f>
        <v>Roiphet1</v>
      </c>
      <c r="B289" t="str">
        <f>'RAW DATA 2023'!D282</f>
        <v>B1-I01-0096</v>
      </c>
      <c r="C289" t="str">
        <f t="shared" si="21"/>
        <v>Roiphet1B1-I01-0096</v>
      </c>
      <c r="D289">
        <f>VLOOKUP(C289,'RAW DATA 2023'!E:BP,63,0)</f>
        <v>12</v>
      </c>
      <c r="E289" t="str">
        <f t="shared" si="22"/>
        <v>Roiphet112</v>
      </c>
      <c r="F289">
        <f>ROUND(VLOOKUP(C289,'RAW DATA 2023'!E:BO,23,0),0)</f>
        <v>40</v>
      </c>
      <c r="G289" s="16">
        <f>VLOOKUP(C289,'RAW DATA 2023'!E:BO,27,0)</f>
        <v>2.1144789382170224</v>
      </c>
      <c r="H289" s="16">
        <f>IFERROR(VLOOKUP(F289,STD!B:G,5,0),0)</f>
        <v>1.63</v>
      </c>
      <c r="I289" s="21">
        <f t="shared" si="23"/>
        <v>0.7708754958677686</v>
      </c>
      <c r="J289" s="16">
        <f t="shared" si="24"/>
        <v>5.417509917355372</v>
      </c>
      <c r="K289" s="106" t="str">
        <f>VLOOKUP(C289,'RAW DATA 2023'!E:BO,36,0)</f>
        <v>Normal</v>
      </c>
      <c r="L289" s="106">
        <f>VLOOKUP(C289,'RAW DATA 2023'!E:BO,21,0)</f>
        <v>5.07796</v>
      </c>
      <c r="M289" s="106">
        <f t="shared" si="25"/>
        <v>27.509898659933885</v>
      </c>
    </row>
    <row r="290" spans="1:13">
      <c r="A290" t="str">
        <f>'RAW DATA 2023'!B283</f>
        <v>Roiphet1</v>
      </c>
      <c r="B290" t="str">
        <f>'RAW DATA 2023'!D283</f>
        <v>B4-I07-0088</v>
      </c>
      <c r="C290" t="str">
        <f t="shared" si="21"/>
        <v>Roiphet1B4-I07-0088</v>
      </c>
      <c r="D290">
        <f>VLOOKUP(C290,'RAW DATA 2023'!E:BP,63,0)</f>
        <v>3</v>
      </c>
      <c r="E290" t="str">
        <f t="shared" si="22"/>
        <v>Roiphet13</v>
      </c>
      <c r="F290">
        <f>ROUND(VLOOKUP(C290,'RAW DATA 2023'!E:BO,23,0),0)</f>
        <v>36</v>
      </c>
      <c r="G290" s="16">
        <f>VLOOKUP(C290,'RAW DATA 2023'!E:BO,27,0)</f>
        <v>1.9122476940928133</v>
      </c>
      <c r="H290" s="16">
        <f>IFERROR(VLOOKUP(F290,STD!B:G,5,0),0)</f>
        <v>1.726</v>
      </c>
      <c r="I290" s="21">
        <f t="shared" si="23"/>
        <v>0.90260273568734994</v>
      </c>
      <c r="J290" s="16">
        <f t="shared" si="24"/>
        <v>8.0520547137469993</v>
      </c>
      <c r="K290" s="106" t="str">
        <f>VLOOKUP(C290,'RAW DATA 2023'!E:BO,36,0)</f>
        <v>Normal</v>
      </c>
      <c r="L290" s="106">
        <f>VLOOKUP(C290,'RAW DATA 2023'!E:BO,21,0)</f>
        <v>4.6932900000000002</v>
      </c>
      <c r="M290" s="106">
        <f t="shared" si="25"/>
        <v>37.790627867481653</v>
      </c>
    </row>
    <row r="291" spans="1:13">
      <c r="A291" t="str">
        <f>'RAW DATA 2023'!B284</f>
        <v>Roiphet1</v>
      </c>
      <c r="B291" t="str">
        <f>'RAW DATA 2023'!D284</f>
        <v>B5-G09-0084</v>
      </c>
      <c r="C291" t="str">
        <f t="shared" si="21"/>
        <v>Roiphet1B5-G09-0084</v>
      </c>
      <c r="D291">
        <f>VLOOKUP(C291,'RAW DATA 2023'!E:BP,63,0)</f>
        <v>5</v>
      </c>
      <c r="E291" t="str">
        <f t="shared" si="22"/>
        <v>Roiphet15</v>
      </c>
      <c r="F291">
        <f>ROUND(VLOOKUP(C291,'RAW DATA 2023'!E:BO,23,0),0)</f>
        <v>35</v>
      </c>
      <c r="G291" s="16">
        <f>VLOOKUP(C291,'RAW DATA 2023'!E:BO,27,0)</f>
        <v>1.8882067049241376</v>
      </c>
      <c r="H291" s="16">
        <f>IFERROR(VLOOKUP(F291,STD!B:G,5,0),0)</f>
        <v>1.75</v>
      </c>
      <c r="I291" s="21">
        <f t="shared" si="23"/>
        <v>0.92680530973451325</v>
      </c>
      <c r="J291" s="16">
        <f t="shared" si="24"/>
        <v>8.5361061946902659</v>
      </c>
      <c r="K291" s="106" t="str">
        <f>VLOOKUP(C291,'RAW DATA 2023'!E:BO,36,0)</f>
        <v>Normal</v>
      </c>
      <c r="L291" s="106">
        <f>VLOOKUP(C291,'RAW DATA 2023'!E:BO,21,0)</f>
        <v>10.769600000000001</v>
      </c>
      <c r="M291" s="106">
        <f t="shared" si="25"/>
        <v>91.930449274336297</v>
      </c>
    </row>
    <row r="292" spans="1:13">
      <c r="A292" t="str">
        <f>'RAW DATA 2023'!B285</f>
        <v>Roiphet1</v>
      </c>
      <c r="B292" t="str">
        <f>'RAW DATA 2023'!D285</f>
        <v>B1-G01-0085</v>
      </c>
      <c r="C292" t="str">
        <f t="shared" si="21"/>
        <v>Roiphet1B1-G01-0085</v>
      </c>
      <c r="D292">
        <f>VLOOKUP(C292,'RAW DATA 2023'!E:BP,63,0)</f>
        <v>12</v>
      </c>
      <c r="E292" t="str">
        <f t="shared" si="22"/>
        <v>Roiphet112</v>
      </c>
      <c r="F292">
        <f>ROUND(VLOOKUP(C292,'RAW DATA 2023'!E:BO,23,0),0)</f>
        <v>38</v>
      </c>
      <c r="G292" s="16">
        <f>VLOOKUP(C292,'RAW DATA 2023'!E:BO,27,0)</f>
        <v>2.0387072807586932</v>
      </c>
      <c r="H292" s="16">
        <f>IFERROR(VLOOKUP(F292,STD!B:G,5,0),0)</f>
        <v>1.669</v>
      </c>
      <c r="I292" s="21">
        <f t="shared" si="23"/>
        <v>0.81865602568451679</v>
      </c>
      <c r="J292" s="16">
        <f t="shared" si="24"/>
        <v>6.3731205136903357</v>
      </c>
      <c r="K292" s="106" t="str">
        <f>VLOOKUP(C292,'RAW DATA 2023'!E:BO,36,0)</f>
        <v>Normal</v>
      </c>
      <c r="L292" s="106">
        <f>VLOOKUP(C292,'RAW DATA 2023'!E:BO,21,0)</f>
        <v>11.09661</v>
      </c>
      <c r="M292" s="106">
        <f t="shared" si="25"/>
        <v>70.72003282342132</v>
      </c>
    </row>
    <row r="293" spans="1:13">
      <c r="A293" t="str">
        <f>'RAW DATA 2023'!B286</f>
        <v>Roiphet1</v>
      </c>
      <c r="B293" t="str">
        <f>'RAW DATA 2023'!D286</f>
        <v>B6-I11-0083</v>
      </c>
      <c r="C293" t="str">
        <f t="shared" si="21"/>
        <v>Roiphet1B6-I11-0083</v>
      </c>
      <c r="D293">
        <f>VLOOKUP(C293,'RAW DATA 2023'!E:BP,63,0)</f>
        <v>6</v>
      </c>
      <c r="E293" t="str">
        <f t="shared" si="22"/>
        <v>Roiphet16</v>
      </c>
      <c r="F293">
        <f>ROUND(VLOOKUP(C293,'RAW DATA 2023'!E:BO,23,0),0)</f>
        <v>38</v>
      </c>
      <c r="G293" s="16">
        <f>VLOOKUP(C293,'RAW DATA 2023'!E:BO,27,0)</f>
        <v>2.2029193365564779</v>
      </c>
      <c r="H293" s="16">
        <f>IFERROR(VLOOKUP(F293,STD!B:G,5,0),0)</f>
        <v>1.669</v>
      </c>
      <c r="I293" s="21">
        <f t="shared" si="23"/>
        <v>0.75763100913577675</v>
      </c>
      <c r="J293" s="16">
        <f t="shared" si="24"/>
        <v>5.1526201827155349</v>
      </c>
      <c r="K293" s="106" t="str">
        <f>VLOOKUP(C293,'RAW DATA 2023'!E:BO,36,0)</f>
        <v>Normal</v>
      </c>
      <c r="L293" s="106">
        <f>VLOOKUP(C293,'RAW DATA 2023'!E:BO,21,0)</f>
        <v>4.4131</v>
      </c>
      <c r="M293" s="106">
        <f t="shared" si="25"/>
        <v>22.739028128341928</v>
      </c>
    </row>
    <row r="294" spans="1:13">
      <c r="A294" t="str">
        <f>'RAW DATA 2023'!B287</f>
        <v>Roiphet1</v>
      </c>
      <c r="B294" t="str">
        <f>'RAW DATA 2023'!D287</f>
        <v>B5-I09-0094</v>
      </c>
      <c r="C294" t="str">
        <f t="shared" si="21"/>
        <v>Roiphet1B5-I09-0094</v>
      </c>
      <c r="D294">
        <f>VLOOKUP(C294,'RAW DATA 2023'!E:BP,63,0)</f>
        <v>7</v>
      </c>
      <c r="E294" t="str">
        <f t="shared" si="22"/>
        <v>Roiphet17</v>
      </c>
      <c r="F294">
        <f>ROUND(VLOOKUP(C294,'RAW DATA 2023'!E:BO,23,0),0)</f>
        <v>57</v>
      </c>
      <c r="G294" s="16">
        <f>VLOOKUP(C294,'RAW DATA 2023'!E:BO,27,0)</f>
        <v>1.9380360474704827</v>
      </c>
      <c r="H294" s="16">
        <f>IFERROR(VLOOKUP(F294,STD!B:G,5,0),0)</f>
        <v>1.43</v>
      </c>
      <c r="I294" s="21">
        <f t="shared" si="23"/>
        <v>0.73786037254901971</v>
      </c>
      <c r="J294" s="16">
        <f t="shared" si="24"/>
        <v>4.7572074509803937</v>
      </c>
      <c r="K294" s="106" t="str">
        <f>VLOOKUP(C294,'RAW DATA 2023'!E:BO,36,0)</f>
        <v>ทยอยตาย</v>
      </c>
      <c r="L294" s="106">
        <f>VLOOKUP(C294,'RAW DATA 2023'!E:BO,21,0)</f>
        <v>2.7890300000000003</v>
      </c>
      <c r="M294" s="106">
        <f t="shared" si="25"/>
        <v>13.267994297007849</v>
      </c>
    </row>
    <row r="295" spans="1:13">
      <c r="A295" t="str">
        <f>'RAW DATA 2023'!B288</f>
        <v>Roiphet1</v>
      </c>
      <c r="B295" t="str">
        <f>'RAW DATA 2023'!D288</f>
        <v>B5-G09-0085</v>
      </c>
      <c r="C295" t="str">
        <f t="shared" si="21"/>
        <v>Roiphet1B5-G09-0085</v>
      </c>
      <c r="D295">
        <f>VLOOKUP(C295,'RAW DATA 2023'!E:BP,63,0)</f>
        <v>7</v>
      </c>
      <c r="E295" t="str">
        <f t="shared" si="22"/>
        <v>Roiphet17</v>
      </c>
      <c r="F295">
        <f>ROUND(VLOOKUP(C295,'RAW DATA 2023'!E:BO,23,0),0)</f>
        <v>55</v>
      </c>
      <c r="G295" s="16">
        <f>VLOOKUP(C295,'RAW DATA 2023'!E:BO,27,0)</f>
        <v>1.7259978425026969</v>
      </c>
      <c r="H295" s="16">
        <f>IFERROR(VLOOKUP(F295,STD!B:G,5,0),0)</f>
        <v>1.44</v>
      </c>
      <c r="I295" s="21">
        <f t="shared" si="23"/>
        <v>0.83429999999999993</v>
      </c>
      <c r="J295" s="16">
        <f t="shared" si="24"/>
        <v>6.6859999999999982</v>
      </c>
      <c r="K295" s="106" t="str">
        <f>VLOOKUP(C295,'RAW DATA 2023'!E:BO,36,0)</f>
        <v>ทยอยตาย</v>
      </c>
      <c r="L295" s="106">
        <f>VLOOKUP(C295,'RAW DATA 2023'!E:BO,21,0)</f>
        <v>5.8769999999999998</v>
      </c>
      <c r="M295" s="106">
        <f t="shared" si="25"/>
        <v>39.293621999999985</v>
      </c>
    </row>
    <row r="296" spans="1:13">
      <c r="A296" t="str">
        <f>'RAW DATA 2023'!B289</f>
        <v>Roiphet1</v>
      </c>
      <c r="B296" t="str">
        <f>'RAW DATA 2023'!D289</f>
        <v>B2-I03-0095</v>
      </c>
      <c r="C296" t="str">
        <f t="shared" si="21"/>
        <v>Roiphet1B2-I03-0095</v>
      </c>
      <c r="D296">
        <f>VLOOKUP(C296,'RAW DATA 2023'!E:BP,63,0)</f>
        <v>6</v>
      </c>
      <c r="E296" t="str">
        <f t="shared" si="22"/>
        <v>Roiphet16</v>
      </c>
      <c r="F296">
        <f>ROUND(VLOOKUP(C296,'RAW DATA 2023'!E:BO,23,0),0)</f>
        <v>42</v>
      </c>
      <c r="G296" s="16">
        <f>VLOOKUP(C296,'RAW DATA 2023'!E:BO,27,0)</f>
        <v>2.095452555201101</v>
      </c>
      <c r="H296" s="16">
        <f>IFERROR(VLOOKUP(F296,STD!B:G,5,0),0)</f>
        <v>1.6</v>
      </c>
      <c r="I296" s="21">
        <f t="shared" si="23"/>
        <v>0.76355820895522386</v>
      </c>
      <c r="J296" s="16">
        <f t="shared" si="24"/>
        <v>5.2711641791044777</v>
      </c>
      <c r="K296" s="106" t="str">
        <f>VLOOKUP(C296,'RAW DATA 2023'!E:BO,36,0)</f>
        <v>ทยอยตาย</v>
      </c>
      <c r="L296" s="106">
        <f>VLOOKUP(C296,'RAW DATA 2023'!E:BO,21,0)</f>
        <v>3.2833999999999999</v>
      </c>
      <c r="M296" s="106">
        <f t="shared" si="25"/>
        <v>17.30734046567164</v>
      </c>
    </row>
    <row r="297" spans="1:13">
      <c r="A297" t="str">
        <f>'RAW DATA 2023'!B290</f>
        <v>Roiphet1</v>
      </c>
      <c r="B297" t="str">
        <f>'RAW DATA 2023'!D290</f>
        <v>B3-G05-0092</v>
      </c>
      <c r="C297" t="str">
        <f t="shared" si="21"/>
        <v>Roiphet1B3-G05-0092</v>
      </c>
      <c r="D297">
        <f>VLOOKUP(C297,'RAW DATA 2023'!E:BP,63,0)</f>
        <v>5</v>
      </c>
      <c r="E297" t="str">
        <f t="shared" si="22"/>
        <v>Roiphet15</v>
      </c>
      <c r="F297">
        <f>ROUND(VLOOKUP(C297,'RAW DATA 2023'!E:BO,23,0),0)</f>
        <v>32</v>
      </c>
      <c r="G297" s="16">
        <f>VLOOKUP(C297,'RAW DATA 2023'!E:BO,27,0)</f>
        <v>2.3190802198068665</v>
      </c>
      <c r="H297" s="16">
        <f>IFERROR(VLOOKUP(F297,STD!B:G,5,0),0)</f>
        <v>1.82</v>
      </c>
      <c r="I297" s="21">
        <f t="shared" si="23"/>
        <v>0.78479389563831903</v>
      </c>
      <c r="J297" s="16">
        <f t="shared" si="24"/>
        <v>5.695877912766381</v>
      </c>
      <c r="K297" s="106" t="str">
        <f>VLOOKUP(C297,'RAW DATA 2023'!E:BO,36,0)</f>
        <v>Normal</v>
      </c>
      <c r="L297" s="106">
        <f>VLOOKUP(C297,'RAW DATA 2023'!E:BO,21,0)</f>
        <v>8.7758299999999991</v>
      </c>
      <c r="M297" s="106">
        <f t="shared" si="25"/>
        <v>49.986056263192587</v>
      </c>
    </row>
    <row r="298" spans="1:13">
      <c r="A298" t="str">
        <f>'RAW DATA 2023'!B291</f>
        <v>Roiphet1</v>
      </c>
      <c r="B298" t="str">
        <f>'RAW DATA 2023'!D291</f>
        <v>B3-G06-0081</v>
      </c>
      <c r="C298" t="str">
        <f t="shared" si="21"/>
        <v>Roiphet1B3-G06-0081</v>
      </c>
      <c r="D298">
        <f>VLOOKUP(C298,'RAW DATA 2023'!E:BP,63,0)</f>
        <v>6</v>
      </c>
      <c r="E298" t="str">
        <f t="shared" si="22"/>
        <v>Roiphet16</v>
      </c>
      <c r="F298">
        <f>ROUND(VLOOKUP(C298,'RAW DATA 2023'!E:BO,23,0),0)</f>
        <v>37</v>
      </c>
      <c r="G298" s="16">
        <f>VLOOKUP(C298,'RAW DATA 2023'!E:BO,27,0)</f>
        <v>2.1943231768756561</v>
      </c>
      <c r="H298" s="16">
        <f>IFERROR(VLOOKUP(F298,STD!B:G,5,0),0)</f>
        <v>1.6970000000000001</v>
      </c>
      <c r="I298" s="21">
        <f t="shared" si="23"/>
        <v>0.77335919243046058</v>
      </c>
      <c r="J298" s="16">
        <f t="shared" si="24"/>
        <v>5.4671838486092117</v>
      </c>
      <c r="K298" s="106" t="str">
        <f>VLOOKUP(C298,'RAW DATA 2023'!E:BO,36,0)</f>
        <v>Normal</v>
      </c>
      <c r="L298" s="106">
        <f>VLOOKUP(C298,'RAW DATA 2023'!E:BO,21,0)</f>
        <v>10.119969999999999</v>
      </c>
      <c r="M298" s="106">
        <f t="shared" si="25"/>
        <v>55.327736532409759</v>
      </c>
    </row>
    <row r="299" spans="1:13">
      <c r="A299" t="str">
        <f>'RAW DATA 2023'!B292</f>
        <v>Roiphet1</v>
      </c>
      <c r="B299" t="str">
        <f>'RAW DATA 2023'!D292</f>
        <v>B4-G08-0080</v>
      </c>
      <c r="C299" t="str">
        <f t="shared" si="21"/>
        <v>Roiphet1B4-G08-0080</v>
      </c>
      <c r="D299">
        <f>VLOOKUP(C299,'RAW DATA 2023'!E:BP,63,0)</f>
        <v>7</v>
      </c>
      <c r="E299" t="str">
        <f t="shared" si="22"/>
        <v>Roiphet17</v>
      </c>
      <c r="F299">
        <f>ROUND(VLOOKUP(C299,'RAW DATA 2023'!E:BO,23,0),0)</f>
        <v>40</v>
      </c>
      <c r="G299" s="16">
        <f>VLOOKUP(C299,'RAW DATA 2023'!E:BO,27,0)</f>
        <v>1.9792565222411649</v>
      </c>
      <c r="H299" s="16">
        <f>IFERROR(VLOOKUP(F299,STD!B:G,5,0),0)</f>
        <v>1.63</v>
      </c>
      <c r="I299" s="21">
        <f t="shared" si="23"/>
        <v>0.82354155799588191</v>
      </c>
      <c r="J299" s="16">
        <f t="shared" si="24"/>
        <v>6.4708311599176387</v>
      </c>
      <c r="K299" s="106" t="str">
        <f>VLOOKUP(C299,'RAW DATA 2023'!E:BO,36,0)</f>
        <v>ทยอยตาย</v>
      </c>
      <c r="L299" s="106">
        <f>VLOOKUP(C299,'RAW DATA 2023'!E:BO,21,0)</f>
        <v>7.56135</v>
      </c>
      <c r="M299" s="106">
        <f t="shared" si="25"/>
        <v>48.92821919104324</v>
      </c>
    </row>
    <row r="300" spans="1:13">
      <c r="A300" t="str">
        <f>'RAW DATA 2023'!B293</f>
        <v>Roiphet1</v>
      </c>
      <c r="B300" t="str">
        <f>'RAW DATA 2023'!D293</f>
        <v>B4-I07-0089</v>
      </c>
      <c r="C300" t="str">
        <f t="shared" si="21"/>
        <v>Roiphet1B4-I07-0089</v>
      </c>
      <c r="D300">
        <f>VLOOKUP(C300,'RAW DATA 2023'!E:BP,63,0)</f>
        <v>7</v>
      </c>
      <c r="E300" t="str">
        <f t="shared" si="22"/>
        <v>Roiphet17</v>
      </c>
      <c r="F300">
        <f>ROUND(VLOOKUP(C300,'RAW DATA 2023'!E:BO,23,0),0)</f>
        <v>38</v>
      </c>
      <c r="G300" s="16">
        <f>VLOOKUP(C300,'RAW DATA 2023'!E:BO,27,0)</f>
        <v>2.2524177109065469</v>
      </c>
      <c r="H300" s="16">
        <f>IFERROR(VLOOKUP(F300,STD!B:G,5,0),0)</f>
        <v>1.669</v>
      </c>
      <c r="I300" s="21">
        <f t="shared" si="23"/>
        <v>0.74098156479521982</v>
      </c>
      <c r="J300" s="16">
        <f t="shared" si="24"/>
        <v>4.8196312959043963</v>
      </c>
      <c r="K300" s="106" t="str">
        <f>VLOOKUP(C300,'RAW DATA 2023'!E:BO,36,0)</f>
        <v>ทยอยตาย</v>
      </c>
      <c r="L300" s="106">
        <f>VLOOKUP(C300,'RAW DATA 2023'!E:BO,21,0)</f>
        <v>3.6663899999999998</v>
      </c>
      <c r="M300" s="106">
        <f t="shared" si="25"/>
        <v>17.670647986990918</v>
      </c>
    </row>
    <row r="301" spans="1:13">
      <c r="A301" t="str">
        <f>'RAW DATA 2023'!B294</f>
        <v>Roiphet1</v>
      </c>
      <c r="B301" t="str">
        <f>'RAW DATA 2023'!D294</f>
        <v>B3-I05-0092</v>
      </c>
      <c r="C301" t="str">
        <f t="shared" si="21"/>
        <v>Roiphet1B3-I05-0092</v>
      </c>
      <c r="D301">
        <f>VLOOKUP(C301,'RAW DATA 2023'!E:BP,63,0)</f>
        <v>5</v>
      </c>
      <c r="E301" t="str">
        <f t="shared" si="22"/>
        <v>Roiphet15</v>
      </c>
      <c r="F301">
        <f>ROUND(VLOOKUP(C301,'RAW DATA 2023'!E:BO,23,0),0)</f>
        <v>32</v>
      </c>
      <c r="G301" s="16">
        <f>VLOOKUP(C301,'RAW DATA 2023'!E:BO,27,0)</f>
        <v>2.3241405604626042</v>
      </c>
      <c r="H301" s="16">
        <f>IFERROR(VLOOKUP(F301,STD!B:G,5,0),0)</f>
        <v>1.82</v>
      </c>
      <c r="I301" s="21">
        <f t="shared" si="23"/>
        <v>0.78308516746411483</v>
      </c>
      <c r="J301" s="16">
        <f t="shared" si="24"/>
        <v>5.6617033492822966</v>
      </c>
      <c r="K301" s="106" t="str">
        <f>VLOOKUP(C301,'RAW DATA 2023'!E:BO,36,0)</f>
        <v>Normal</v>
      </c>
      <c r="L301" s="106">
        <f>VLOOKUP(C301,'RAW DATA 2023'!E:BO,21,0)</f>
        <v>4.4723600000000001</v>
      </c>
      <c r="M301" s="106">
        <f t="shared" si="25"/>
        <v>25.321175591196173</v>
      </c>
    </row>
    <row r="302" spans="1:13">
      <c r="A302" t="str">
        <f>'RAW DATA 2023'!B295</f>
        <v>Roiphet1</v>
      </c>
      <c r="B302" t="str">
        <f>'RAW DATA 2023'!D295</f>
        <v>B4-G07-0077</v>
      </c>
      <c r="C302" t="str">
        <f t="shared" si="21"/>
        <v>Roiphet1B4-G07-0077</v>
      </c>
      <c r="D302">
        <f>VLOOKUP(C302,'RAW DATA 2023'!E:BP,63,0)</f>
        <v>7</v>
      </c>
      <c r="E302" t="str">
        <f t="shared" si="22"/>
        <v>Roiphet17</v>
      </c>
      <c r="F302">
        <f>ROUND(VLOOKUP(C302,'RAW DATA 2023'!E:BO,23,0),0)</f>
        <v>46</v>
      </c>
      <c r="G302" s="16">
        <f>VLOOKUP(C302,'RAW DATA 2023'!E:BO,27,0)</f>
        <v>2.0446436813627287</v>
      </c>
      <c r="H302" s="16">
        <f>IFERROR(VLOOKUP(F302,STD!B:G,5,0),0)</f>
        <v>1.54</v>
      </c>
      <c r="I302" s="21">
        <f t="shared" si="23"/>
        <v>0.7531874693069307</v>
      </c>
      <c r="J302" s="16">
        <f t="shared" si="24"/>
        <v>5.063749386138614</v>
      </c>
      <c r="K302" s="106" t="str">
        <f>VLOOKUP(C302,'RAW DATA 2023'!E:BO,36,0)</f>
        <v>Normal</v>
      </c>
      <c r="L302" s="106">
        <f>VLOOKUP(C302,'RAW DATA 2023'!E:BO,21,0)</f>
        <v>6.3746700000000001</v>
      </c>
      <c r="M302" s="106">
        <f t="shared" si="25"/>
        <v>32.279731299336241</v>
      </c>
    </row>
    <row r="303" spans="1:13">
      <c r="A303" t="str">
        <f>'RAW DATA 2023'!B296</f>
        <v>Roiphet1</v>
      </c>
      <c r="B303" t="str">
        <f>'RAW DATA 2023'!D296</f>
        <v>B6-I12-0087</v>
      </c>
      <c r="C303" t="str">
        <f t="shared" si="21"/>
        <v>Roiphet1B6-I12-0087</v>
      </c>
      <c r="D303">
        <f>VLOOKUP(C303,'RAW DATA 2023'!E:BP,63,0)</f>
        <v>8</v>
      </c>
      <c r="E303" t="str">
        <f t="shared" si="22"/>
        <v>Roiphet18</v>
      </c>
      <c r="F303">
        <f>ROUND(VLOOKUP(C303,'RAW DATA 2023'!E:BO,23,0),0)</f>
        <v>75</v>
      </c>
      <c r="G303" s="16">
        <f>VLOOKUP(C303,'RAW DATA 2023'!E:BO,27,0)</f>
        <v>1.4113662024840046</v>
      </c>
      <c r="H303" s="16">
        <f>IFERROR(VLOOKUP(F303,STD!B:G,5,0),0)</f>
        <v>1.31</v>
      </c>
      <c r="I303" s="21">
        <f t="shared" si="23"/>
        <v>0.92817866666666671</v>
      </c>
      <c r="J303" s="16">
        <f t="shared" si="24"/>
        <v>8.5635733333333341</v>
      </c>
      <c r="K303" s="106" t="str">
        <f>VLOOKUP(C303,'RAW DATA 2023'!E:BO,36,0)</f>
        <v>EHP</v>
      </c>
      <c r="L303" s="106">
        <f>VLOOKUP(C303,'RAW DATA 2023'!E:BO,21,0)</f>
        <v>2.3836999999999997</v>
      </c>
      <c r="M303" s="106">
        <f t="shared" si="25"/>
        <v>20.412989754666665</v>
      </c>
    </row>
    <row r="304" spans="1:13">
      <c r="A304" t="str">
        <f>'RAW DATA 2023'!B297</f>
        <v>Roiphet1</v>
      </c>
      <c r="B304" t="str">
        <f>'RAW DATA 2023'!D297</f>
        <v>B1-I02-0095</v>
      </c>
      <c r="C304" t="str">
        <f t="shared" si="21"/>
        <v>Roiphet1B1-I02-0095</v>
      </c>
      <c r="D304">
        <f>VLOOKUP(C304,'RAW DATA 2023'!E:BP,63,0)</f>
        <v>6</v>
      </c>
      <c r="E304" t="str">
        <f t="shared" si="22"/>
        <v>Roiphet16</v>
      </c>
      <c r="F304">
        <f>ROUND(VLOOKUP(C304,'RAW DATA 2023'!E:BO,23,0),0)</f>
        <v>39</v>
      </c>
      <c r="G304" s="16">
        <f>VLOOKUP(C304,'RAW DATA 2023'!E:BO,27,0)</f>
        <v>1.6755941602840942</v>
      </c>
      <c r="H304" s="16">
        <f>IFERROR(VLOOKUP(F304,STD!B:G,5,0),0)</f>
        <v>1.64</v>
      </c>
      <c r="I304" s="21">
        <f t="shared" si="23"/>
        <v>0.97875729032258063</v>
      </c>
      <c r="J304" s="16">
        <f t="shared" si="24"/>
        <v>9.5751458064516122</v>
      </c>
      <c r="K304" s="106" t="str">
        <f>VLOOKUP(C304,'RAW DATA 2023'!E:BO,36,0)</f>
        <v>ทยอยตาย</v>
      </c>
      <c r="L304" s="106">
        <f>VLOOKUP(C304,'RAW DATA 2023'!E:BO,21,0)</f>
        <v>5.6502700000000008</v>
      </c>
      <c r="M304" s="106">
        <f t="shared" si="25"/>
        <v>54.10215909581936</v>
      </c>
    </row>
    <row r="305" spans="1:13">
      <c r="A305" t="str">
        <f>'RAW DATA 2023'!B298</f>
        <v>Roiphet1</v>
      </c>
      <c r="B305" t="str">
        <f>'RAW DATA 2023'!D298</f>
        <v>B1-G01-0084</v>
      </c>
      <c r="C305" t="str">
        <f t="shared" si="21"/>
        <v>Roiphet1B1-G01-0084</v>
      </c>
      <c r="D305">
        <f>VLOOKUP(C305,'RAW DATA 2023'!E:BP,63,0)</f>
        <v>6</v>
      </c>
      <c r="E305" t="str">
        <f t="shared" si="22"/>
        <v>Roiphet16</v>
      </c>
      <c r="F305">
        <f>ROUND(VLOOKUP(C305,'RAW DATA 2023'!E:BO,23,0),0)</f>
        <v>44</v>
      </c>
      <c r="G305" s="16">
        <f>VLOOKUP(C305,'RAW DATA 2023'!E:BO,27,0)</f>
        <v>1.9410749764718185</v>
      </c>
      <c r="H305" s="16">
        <f>IFERROR(VLOOKUP(F305,STD!B:G,5,0),0)</f>
        <v>1.57</v>
      </c>
      <c r="I305" s="21">
        <f t="shared" si="23"/>
        <v>0.80883016835016841</v>
      </c>
      <c r="J305" s="16">
        <f t="shared" si="24"/>
        <v>6.1766033670033682</v>
      </c>
      <c r="K305" s="106" t="str">
        <f>VLOOKUP(C305,'RAW DATA 2023'!E:BO,36,0)</f>
        <v>ทยอยตาย</v>
      </c>
      <c r="L305" s="106">
        <f>VLOOKUP(C305,'RAW DATA 2023'!E:BO,21,0)</f>
        <v>7.9303999999999997</v>
      </c>
      <c r="M305" s="106">
        <f t="shared" si="25"/>
        <v>48.982935341683508</v>
      </c>
    </row>
    <row r="306" spans="1:13">
      <c r="A306" t="str">
        <f>'RAW DATA 2023'!B299</f>
        <v>Roiphet1</v>
      </c>
      <c r="B306" t="str">
        <f>'RAW DATA 2023'!D299</f>
        <v>B3-I05-0093</v>
      </c>
      <c r="C306" t="str">
        <f t="shared" si="21"/>
        <v>Roiphet1B3-I05-0093</v>
      </c>
      <c r="D306">
        <f>VLOOKUP(C306,'RAW DATA 2023'!E:BP,63,0)</f>
        <v>8</v>
      </c>
      <c r="E306" t="str">
        <f t="shared" si="22"/>
        <v>Roiphet18</v>
      </c>
      <c r="F306">
        <f>ROUND(VLOOKUP(C306,'RAW DATA 2023'!E:BO,23,0),0)</f>
        <v>71</v>
      </c>
      <c r="G306" s="16">
        <f>VLOOKUP(C306,'RAW DATA 2023'!E:BO,27,0)</f>
        <v>1.711881775524513</v>
      </c>
      <c r="H306" s="16">
        <f>IFERROR(VLOOKUP(F306,STD!B:G,5,0),0)</f>
        <v>1.33</v>
      </c>
      <c r="I306" s="21">
        <f t="shared" si="23"/>
        <v>0.7769228103339636</v>
      </c>
      <c r="J306" s="16">
        <f t="shared" si="24"/>
        <v>5.538456206679272</v>
      </c>
      <c r="K306" s="106" t="str">
        <f>VLOOKUP(C306,'RAW DATA 2023'!E:BO,36,0)</f>
        <v>EHP</v>
      </c>
      <c r="L306" s="106">
        <f>VLOOKUP(C306,'RAW DATA 2023'!E:BO,21,0)</f>
        <v>2.0990500000000001</v>
      </c>
      <c r="M306" s="106">
        <f t="shared" si="25"/>
        <v>11.625496500630126</v>
      </c>
    </row>
    <row r="307" spans="1:13">
      <c r="A307" t="str">
        <f>'RAW DATA 2023'!B300</f>
        <v>Roiphet1</v>
      </c>
      <c r="B307" t="str">
        <f>'RAW DATA 2023'!D300</f>
        <v>B5-G10-0084</v>
      </c>
      <c r="C307" t="str">
        <f t="shared" si="21"/>
        <v>Roiphet1B5-G10-0084</v>
      </c>
      <c r="D307">
        <f>VLOOKUP(C307,'RAW DATA 2023'!E:BP,63,0)</f>
        <v>7</v>
      </c>
      <c r="E307" t="str">
        <f t="shared" si="22"/>
        <v>Roiphet17</v>
      </c>
      <c r="F307">
        <f>ROUND(VLOOKUP(C307,'RAW DATA 2023'!E:BO,23,0),0)</f>
        <v>61</v>
      </c>
      <c r="G307" s="16">
        <f>VLOOKUP(C307,'RAW DATA 2023'!E:BO,27,0)</f>
        <v>2.9607829934209224</v>
      </c>
      <c r="H307" s="16">
        <f>IFERROR(VLOOKUP(F307,STD!B:G,5,0),0)</f>
        <v>1.4</v>
      </c>
      <c r="I307" s="21">
        <f t="shared" si="23"/>
        <v>0.47284789297658858</v>
      </c>
      <c r="J307" s="16">
        <f t="shared" si="24"/>
        <v>-0.54304214046822841</v>
      </c>
      <c r="K307" s="106" t="str">
        <f>VLOOKUP(C307,'RAW DATA 2023'!E:BO,36,0)</f>
        <v>ทยอยตาย</v>
      </c>
      <c r="L307" s="106">
        <f>VLOOKUP(C307,'RAW DATA 2023'!E:BO,21,0)</f>
        <v>2.7991700000000002</v>
      </c>
      <c r="M307" s="106">
        <f t="shared" si="25"/>
        <v>-1.5200672683344509</v>
      </c>
    </row>
    <row r="308" spans="1:13">
      <c r="A308" t="str">
        <f>'RAW DATA 2023'!B301</f>
        <v>Roiphet1</v>
      </c>
      <c r="B308" t="str">
        <f>'RAW DATA 2023'!D301</f>
        <v>B6-I11-0084</v>
      </c>
      <c r="C308" t="str">
        <f t="shared" si="21"/>
        <v>Roiphet1B6-I11-0084</v>
      </c>
      <c r="D308">
        <f>VLOOKUP(C308,'RAW DATA 2023'!E:BP,63,0)</f>
        <v>8</v>
      </c>
      <c r="E308" t="str">
        <f t="shared" si="22"/>
        <v>Roiphet18</v>
      </c>
      <c r="F308">
        <f>ROUND(VLOOKUP(C308,'RAW DATA 2023'!E:BO,23,0),0)</f>
        <v>78</v>
      </c>
      <c r="G308" s="16">
        <f>VLOOKUP(C308,'RAW DATA 2023'!E:BO,27,0)</f>
        <v>1.7582302613224217</v>
      </c>
      <c r="H308" s="16">
        <f>IFERROR(VLOOKUP(F308,STD!B:G,5,0),0)</f>
        <v>1.3</v>
      </c>
      <c r="J308" s="16">
        <f t="shared" si="24"/>
        <v>-10</v>
      </c>
      <c r="K308" s="106" t="str">
        <f>VLOOKUP(C308,'RAW DATA 2023'!E:BO,36,0)</f>
        <v>EHP</v>
      </c>
      <c r="L308" s="106">
        <f>VLOOKUP(C308,'RAW DATA 2023'!E:BO,21,0)</f>
        <v>1.92544</v>
      </c>
      <c r="M308" s="106">
        <f t="shared" si="25"/>
        <v>-19.2544</v>
      </c>
    </row>
    <row r="309" spans="1:13">
      <c r="A309" t="str">
        <f>'RAW DATA 2023'!B302</f>
        <v>Roiphet1</v>
      </c>
      <c r="B309" t="str">
        <f>'RAW DATA 2023'!D302</f>
        <v>B3-G06-0082</v>
      </c>
      <c r="C309" t="str">
        <f t="shared" si="21"/>
        <v>Roiphet1B3-G06-0082</v>
      </c>
      <c r="D309">
        <f>VLOOKUP(C309,'RAW DATA 2023'!E:BP,63,0)</f>
        <v>8</v>
      </c>
      <c r="E309" t="str">
        <f t="shared" si="22"/>
        <v>Roiphet18</v>
      </c>
      <c r="F309">
        <f>ROUND(VLOOKUP(C309,'RAW DATA 2023'!E:BO,23,0),0)</f>
        <v>72</v>
      </c>
      <c r="G309" s="16">
        <f>VLOOKUP(C309,'RAW DATA 2023'!E:BO,27,0)</f>
        <v>1.5409261748918088</v>
      </c>
      <c r="H309" s="16">
        <f>IFERROR(VLOOKUP(F309,STD!B:G,5,0),0)</f>
        <v>1.33</v>
      </c>
      <c r="I309" s="21">
        <f t="shared" si="23"/>
        <v>0.86311727431937602</v>
      </c>
      <c r="J309" s="16">
        <f t="shared" si="24"/>
        <v>7.2623454863875203</v>
      </c>
      <c r="K309" s="106" t="str">
        <f>VLOOKUP(C309,'RAW DATA 2023'!E:BO,36,0)</f>
        <v>EHP</v>
      </c>
      <c r="L309" s="106">
        <f>VLOOKUP(C309,'RAW DATA 2023'!E:BO,21,0)</f>
        <v>4.5875300000000001</v>
      </c>
      <c r="M309" s="106">
        <f t="shared" si="25"/>
        <v>33.316227789167343</v>
      </c>
    </row>
    <row r="310" spans="1:13">
      <c r="A310" t="str">
        <f>'RAW DATA 2023'!B303</f>
        <v>Roiphet1</v>
      </c>
      <c r="B310" t="str">
        <f>'RAW DATA 2023'!D303</f>
        <v>B2-G03-0080</v>
      </c>
      <c r="C310" t="str">
        <f t="shared" si="21"/>
        <v>Roiphet1B2-G03-0080</v>
      </c>
      <c r="D310">
        <f>VLOOKUP(C310,'RAW DATA 2023'!E:BP,63,0)</f>
        <v>6</v>
      </c>
      <c r="E310" t="str">
        <f t="shared" si="22"/>
        <v>Roiphet16</v>
      </c>
      <c r="F310">
        <f>ROUND(VLOOKUP(C310,'RAW DATA 2023'!E:BO,23,0),0)</f>
        <v>50</v>
      </c>
      <c r="G310" s="16">
        <f>VLOOKUP(C310,'RAW DATA 2023'!E:BO,27,0)</f>
        <v>2.1684031665795751</v>
      </c>
      <c r="H310" s="16">
        <f>IFERROR(VLOOKUP(F310,STD!B:G,5,0),0)</f>
        <v>1.49</v>
      </c>
      <c r="J310" s="16">
        <f t="shared" si="24"/>
        <v>-10</v>
      </c>
      <c r="K310" s="106" t="str">
        <f>VLOOKUP(C310,'RAW DATA 2023'!E:BO,36,0)</f>
        <v>ทยอยตาย</v>
      </c>
      <c r="L310" s="106">
        <f>VLOOKUP(C310,'RAW DATA 2023'!E:BO,21,0)</f>
        <v>5.79826</v>
      </c>
      <c r="M310" s="106">
        <f t="shared" si="25"/>
        <v>-57.982599999999998</v>
      </c>
    </row>
    <row r="311" spans="1:13">
      <c r="A311" t="str">
        <f>'RAW DATA 2023'!B304</f>
        <v>Roiphet1</v>
      </c>
      <c r="B311" t="str">
        <f>'RAW DATA 2023'!D304</f>
        <v>B3-I06-0094</v>
      </c>
      <c r="C311" t="str">
        <f t="shared" si="21"/>
        <v>Roiphet1B3-I06-0094</v>
      </c>
      <c r="D311">
        <f>VLOOKUP(C311,'RAW DATA 2023'!E:BP,63,0)</f>
        <v>6</v>
      </c>
      <c r="E311" t="str">
        <f t="shared" si="22"/>
        <v>Roiphet16</v>
      </c>
      <c r="F311">
        <f>ROUND(VLOOKUP(C311,'RAW DATA 2023'!E:BO,23,0),0)</f>
        <v>36</v>
      </c>
      <c r="G311" s="16">
        <f>VLOOKUP(C311,'RAW DATA 2023'!E:BO,27,0)</f>
        <v>2.1518302820256636</v>
      </c>
      <c r="H311" s="16">
        <f>IFERROR(VLOOKUP(F311,STD!B:G,5,0),0)</f>
        <v>1.726</v>
      </c>
      <c r="I311" s="21">
        <f t="shared" si="23"/>
        <v>0.80210786808669654</v>
      </c>
      <c r="J311" s="16">
        <f t="shared" si="24"/>
        <v>6.0421573617339313</v>
      </c>
      <c r="K311" s="106" t="str">
        <f>VLOOKUP(C311,'RAW DATA 2023'!E:BO,36,0)</f>
        <v>Normal</v>
      </c>
      <c r="L311" s="106">
        <f>VLOOKUP(C311,'RAW DATA 2023'!E:BO,21,0)</f>
        <v>5.0403700000000002</v>
      </c>
      <c r="M311" s="106">
        <f t="shared" si="25"/>
        <v>30.454708701362858</v>
      </c>
    </row>
    <row r="312" spans="1:13">
      <c r="A312" t="str">
        <f>'RAW DATA 2023'!B305</f>
        <v>Roiphet1</v>
      </c>
      <c r="B312" t="str">
        <f>'RAW DATA 2023'!D305</f>
        <v>B5-I09-0095</v>
      </c>
      <c r="C312" t="str">
        <f t="shared" si="21"/>
        <v>Roiphet1B5-I09-0095</v>
      </c>
      <c r="D312">
        <f>VLOOKUP(C312,'RAW DATA 2023'!E:BP,63,0)</f>
        <v>11</v>
      </c>
      <c r="E312" t="str">
        <f t="shared" si="22"/>
        <v>Roiphet111</v>
      </c>
      <c r="F312">
        <f>ROUND(VLOOKUP(C312,'RAW DATA 2023'!E:BO,23,0),0)</f>
        <v>71</v>
      </c>
      <c r="G312" s="16">
        <f>VLOOKUP(C312,'RAW DATA 2023'!E:BO,27,0)</f>
        <v>2.0074029102446094</v>
      </c>
      <c r="H312" s="16">
        <f>IFERROR(VLOOKUP(F312,STD!B:G,5,0),0)</f>
        <v>1.33</v>
      </c>
      <c r="I312" s="21">
        <f t="shared" si="23"/>
        <v>0.66254760975609761</v>
      </c>
      <c r="J312" s="16">
        <f t="shared" si="24"/>
        <v>3.2509521951219522</v>
      </c>
      <c r="K312" s="106" t="str">
        <f>VLOOKUP(C312,'RAW DATA 2023'!E:BO,36,0)</f>
        <v>EHP</v>
      </c>
      <c r="L312" s="106">
        <f>VLOOKUP(C312,'RAW DATA 2023'!E:BO,21,0)</f>
        <v>2.7030500000000002</v>
      </c>
      <c r="M312" s="106">
        <f t="shared" si="25"/>
        <v>8.7874863310243931</v>
      </c>
    </row>
    <row r="313" spans="1:13">
      <c r="A313" t="str">
        <f>'RAW DATA 2023'!B306</f>
        <v>Roiphet1</v>
      </c>
      <c r="B313" t="str">
        <f>'RAW DATA 2023'!D306</f>
        <v>B1-G02-0088</v>
      </c>
      <c r="C313" t="str">
        <f t="shared" si="21"/>
        <v>Roiphet1B1-G02-0088</v>
      </c>
      <c r="D313">
        <f>VLOOKUP(C313,'RAW DATA 2023'!E:BP,63,0)</f>
        <v>6</v>
      </c>
      <c r="E313" t="str">
        <f t="shared" si="22"/>
        <v>Roiphet16</v>
      </c>
      <c r="F313">
        <f>ROUND(VLOOKUP(C313,'RAW DATA 2023'!E:BO,23,0),0)</f>
        <v>47</v>
      </c>
      <c r="G313" s="16">
        <f>VLOOKUP(C313,'RAW DATA 2023'!E:BO,27,0)</f>
        <v>1.9118957176975617</v>
      </c>
      <c r="H313" s="16">
        <f>IFERROR(VLOOKUP(F313,STD!B:G,5,0),0)</f>
        <v>1.53</v>
      </c>
      <c r="I313" s="21">
        <f t="shared" si="23"/>
        <v>0.80025285157421289</v>
      </c>
      <c r="J313" s="16">
        <f t="shared" si="24"/>
        <v>6.0050570314842577</v>
      </c>
      <c r="K313" s="106" t="str">
        <f>VLOOKUP(C313,'RAW DATA 2023'!E:BO,36,0)</f>
        <v>ทยอยตาย</v>
      </c>
      <c r="L313" s="106">
        <f>VLOOKUP(C313,'RAW DATA 2023'!E:BO,21,0)</f>
        <v>8.9217099999999991</v>
      </c>
      <c r="M313" s="106">
        <f t="shared" si="25"/>
        <v>53.575377368363412</v>
      </c>
    </row>
    <row r="314" spans="1:13">
      <c r="A314" t="str">
        <f>'RAW DATA 2023'!B307</f>
        <v>Roiphet1</v>
      </c>
      <c r="B314" t="str">
        <f>'RAW DATA 2023'!D307</f>
        <v>B6-G12-0088</v>
      </c>
      <c r="C314" t="str">
        <f t="shared" si="21"/>
        <v>Roiphet1B6-G12-0088</v>
      </c>
      <c r="D314">
        <f>VLOOKUP(C314,'RAW DATA 2023'!E:BP,63,0)</f>
        <v>8</v>
      </c>
      <c r="E314" t="str">
        <f t="shared" si="22"/>
        <v>Roiphet18</v>
      </c>
      <c r="F314">
        <f>ROUND(VLOOKUP(C314,'RAW DATA 2023'!E:BO,23,0),0)</f>
        <v>102</v>
      </c>
      <c r="G314" s="16">
        <f>VLOOKUP(C314,'RAW DATA 2023'!E:BO,27,0)</f>
        <v>1.7409355290122761</v>
      </c>
      <c r="H314" s="16">
        <f>IFERROR(VLOOKUP(F314,STD!B:G,5,0),0)</f>
        <v>1.21</v>
      </c>
      <c r="I314" s="21">
        <f t="shared" si="23"/>
        <v>0.69502860952380952</v>
      </c>
      <c r="J314" s="16">
        <f t="shared" si="24"/>
        <v>3.9005721904761903</v>
      </c>
      <c r="K314" s="106" t="str">
        <f>VLOOKUP(C314,'RAW DATA 2023'!E:BO,36,0)</f>
        <v>EHP</v>
      </c>
      <c r="L314" s="106">
        <f>VLOOKUP(C314,'RAW DATA 2023'!E:BO,21,0)</f>
        <v>3.40062</v>
      </c>
      <c r="M314" s="106">
        <f t="shared" si="25"/>
        <v>13.264363802377142</v>
      </c>
    </row>
    <row r="315" spans="1:13">
      <c r="A315" t="str">
        <f>'RAW DATA 2023'!B308</f>
        <v>Roiphet1</v>
      </c>
      <c r="B315" t="str">
        <f>'RAW DATA 2023'!D308</f>
        <v>B6-G11-0083</v>
      </c>
      <c r="C315" t="str">
        <f t="shared" si="21"/>
        <v>Roiphet1B6-G11-0083</v>
      </c>
      <c r="D315">
        <f>VLOOKUP(C315,'RAW DATA 2023'!E:BP,63,0)</f>
        <v>8</v>
      </c>
      <c r="E315" t="str">
        <f t="shared" si="22"/>
        <v>Roiphet18</v>
      </c>
      <c r="F315">
        <f>ROUND(VLOOKUP(C315,'RAW DATA 2023'!E:BO,23,0),0)</f>
        <v>92</v>
      </c>
      <c r="G315" s="16">
        <f>VLOOKUP(C315,'RAW DATA 2023'!E:BO,27,0)</f>
        <v>1.7986968151461875</v>
      </c>
      <c r="H315" s="16">
        <f>IFERROR(VLOOKUP(F315,STD!B:G,5,0),0)</f>
        <v>1.24</v>
      </c>
      <c r="J315" s="16">
        <f t="shared" si="24"/>
        <v>-10</v>
      </c>
      <c r="K315" s="106" t="str">
        <f>VLOOKUP(C315,'RAW DATA 2023'!E:BO,36,0)</f>
        <v>EHP</v>
      </c>
      <c r="L315" s="106">
        <f>VLOOKUP(C315,'RAW DATA 2023'!E:BO,21,0)</f>
        <v>3.8971</v>
      </c>
      <c r="M315" s="106">
        <f t="shared" si="25"/>
        <v>-38.971000000000004</v>
      </c>
    </row>
    <row r="316" spans="1:13">
      <c r="A316" t="str">
        <f>'RAW DATA 2023'!B309</f>
        <v>Roiphet1</v>
      </c>
      <c r="B316" t="str">
        <f>'RAW DATA 2023'!D309</f>
        <v>B5-G09-0086</v>
      </c>
      <c r="C316" t="str">
        <f t="shared" si="21"/>
        <v>Roiphet1B5-G09-0086</v>
      </c>
      <c r="D316">
        <f>VLOOKUP(C316,'RAW DATA 2023'!E:BP,63,0)</f>
        <v>11</v>
      </c>
      <c r="E316" t="str">
        <f t="shared" si="22"/>
        <v>Roiphet111</v>
      </c>
      <c r="F316">
        <f>ROUND(VLOOKUP(C316,'RAW DATA 2023'!E:BO,23,0),0)</f>
        <v>79</v>
      </c>
      <c r="G316" s="16">
        <f>VLOOKUP(C316,'RAW DATA 2023'!E:BO,27,0)</f>
        <v>1.8652936546898256</v>
      </c>
      <c r="H316" s="16">
        <f>IFERROR(VLOOKUP(F316,STD!B:G,5,0),0)</f>
        <v>1.29</v>
      </c>
      <c r="I316" s="21">
        <f t="shared" si="23"/>
        <v>0.69158011488250659</v>
      </c>
      <c r="J316" s="16">
        <f t="shared" si="24"/>
        <v>3.8316022976501318</v>
      </c>
      <c r="K316" s="106" t="str">
        <f>VLOOKUP(C316,'RAW DATA 2023'!E:BO,36,0)</f>
        <v>EHP</v>
      </c>
      <c r="L316" s="106">
        <f>VLOOKUP(C316,'RAW DATA 2023'!E:BO,21,0)</f>
        <v>5.4632399999999999</v>
      </c>
      <c r="M316" s="106">
        <f t="shared" si="25"/>
        <v>20.932962936614107</v>
      </c>
    </row>
    <row r="317" spans="1:13">
      <c r="A317" t="str">
        <f>'RAW DATA 2023'!B310</f>
        <v>Roiphet1</v>
      </c>
      <c r="B317" t="str">
        <f>'RAW DATA 2023'!D310</f>
        <v>B5-G10-0085</v>
      </c>
      <c r="C317" t="str">
        <f t="shared" si="21"/>
        <v>Roiphet1B5-G10-0085</v>
      </c>
      <c r="D317">
        <f>VLOOKUP(C317,'RAW DATA 2023'!E:BP,63,0)</f>
        <v>11</v>
      </c>
      <c r="E317" t="str">
        <f t="shared" si="22"/>
        <v>Roiphet111</v>
      </c>
      <c r="F317">
        <f>ROUND(VLOOKUP(C317,'RAW DATA 2023'!E:BO,23,0),0)</f>
        <v>86</v>
      </c>
      <c r="G317" s="16">
        <f>VLOOKUP(C317,'RAW DATA 2023'!E:BO,27,0)</f>
        <v>1.8256739209583157</v>
      </c>
      <c r="H317" s="16">
        <f>IFERROR(VLOOKUP(F317,STD!B:G,5,0),0)</f>
        <v>1.26</v>
      </c>
      <c r="I317" s="21">
        <f t="shared" si="23"/>
        <v>0.69015610374639769</v>
      </c>
      <c r="J317" s="16">
        <f t="shared" si="24"/>
        <v>3.8031220749279537</v>
      </c>
      <c r="K317" s="106" t="str">
        <f>VLOOKUP(C317,'RAW DATA 2023'!E:BO,36,0)</f>
        <v>EHP</v>
      </c>
      <c r="L317" s="106">
        <f>VLOOKUP(C317,'RAW DATA 2023'!E:BO,21,0)</f>
        <v>5.0816699999999999</v>
      </c>
      <c r="M317" s="106">
        <f t="shared" si="25"/>
        <v>19.326211354499133</v>
      </c>
    </row>
    <row r="318" spans="1:13">
      <c r="A318" t="str">
        <f>'RAW DATA 2023'!B311</f>
        <v>Roiphet1</v>
      </c>
      <c r="B318" t="str">
        <f>'RAW DATA 2023'!D311</f>
        <v>B3-G05-0093</v>
      </c>
      <c r="C318" t="str">
        <f t="shared" si="21"/>
        <v>Roiphet1B3-G05-0093</v>
      </c>
      <c r="D318">
        <f>VLOOKUP(C318,'RAW DATA 2023'!E:BP,63,0)</f>
        <v>8</v>
      </c>
      <c r="E318" t="str">
        <f t="shared" si="22"/>
        <v>Roiphet18</v>
      </c>
      <c r="F318">
        <f>ROUND(VLOOKUP(C318,'RAW DATA 2023'!E:BO,23,0),0)</f>
        <v>116</v>
      </c>
      <c r="G318" s="16">
        <f>VLOOKUP(C318,'RAW DATA 2023'!E:BO,27,0)</f>
        <v>2.3500536441263358</v>
      </c>
      <c r="H318" s="16">
        <f>IFERROR(VLOOKUP(F318,STD!B:G,5,0),0)</f>
        <v>1.17</v>
      </c>
      <c r="I318" s="21">
        <f t="shared" si="23"/>
        <v>0.49786097560975601</v>
      </c>
      <c r="J318" s="16">
        <f t="shared" si="24"/>
        <v>-4.2780487804879863E-2</v>
      </c>
      <c r="K318" s="106" t="str">
        <f>VLOOKUP(C318,'RAW DATA 2023'!E:BO,36,0)</f>
        <v>EHP</v>
      </c>
      <c r="L318" s="106">
        <f>VLOOKUP(C318,'RAW DATA 2023'!E:BO,21,0)</f>
        <v>2.4975900000000002</v>
      </c>
      <c r="M318" s="106">
        <f t="shared" si="25"/>
        <v>-0.1068481185365899</v>
      </c>
    </row>
    <row r="319" spans="1:13">
      <c r="A319" t="str">
        <f>'RAW DATA 2023'!B312</f>
        <v>Roiphet1</v>
      </c>
      <c r="B319" t="str">
        <f>'RAW DATA 2023'!D312</f>
        <v>B5-I10-0092</v>
      </c>
      <c r="C319" t="str">
        <f t="shared" si="21"/>
        <v>Roiphet1B5-I10-0092</v>
      </c>
      <c r="D319">
        <f>VLOOKUP(C319,'RAW DATA 2023'!E:BP,63,0)</f>
        <v>11</v>
      </c>
      <c r="E319" t="str">
        <f t="shared" si="22"/>
        <v>Roiphet111</v>
      </c>
      <c r="F319">
        <f>ROUND(VLOOKUP(C319,'RAW DATA 2023'!E:BO,23,0),0)</f>
        <v>136</v>
      </c>
      <c r="G319" s="16">
        <f>VLOOKUP(C319,'RAW DATA 2023'!E:BO,27,0)</f>
        <v>2.8975375530065399</v>
      </c>
      <c r="H319" s="16">
        <f>IFERROR(VLOOKUP(F319,STD!B:G,5,0),0)</f>
        <v>1.107</v>
      </c>
      <c r="I319" s="21">
        <f t="shared" si="23"/>
        <v>0.3820485428571429</v>
      </c>
      <c r="J319" s="16">
        <f t="shared" si="24"/>
        <v>-2.3590291428571417</v>
      </c>
      <c r="K319" s="106" t="str">
        <f>VLOOKUP(C319,'RAW DATA 2023'!E:BO,36,0)</f>
        <v>EHP</v>
      </c>
      <c r="L319" s="106">
        <f>VLOOKUP(C319,'RAW DATA 2023'!E:BO,21,0)</f>
        <v>1.2371300000000001</v>
      </c>
      <c r="M319" s="106">
        <f t="shared" si="25"/>
        <v>-2.9184257235028559</v>
      </c>
    </row>
    <row r="320" spans="1:13">
      <c r="A320" t="str">
        <f>'RAW DATA 2023'!B313</f>
        <v>Choknavy</v>
      </c>
      <c r="B320" t="str">
        <f>'RAW DATA 2023'!D313</f>
        <v>A1-003-0037</v>
      </c>
      <c r="C320" t="str">
        <f t="shared" si="21"/>
        <v>ChoknavyA1-003-0037</v>
      </c>
      <c r="D320">
        <f>VLOOKUP(C320,'RAW DATA 2023'!E:BP,63,0)</f>
        <v>11</v>
      </c>
      <c r="E320" t="str">
        <f t="shared" si="22"/>
        <v>Choknavy11</v>
      </c>
      <c r="F320">
        <f>ROUND(VLOOKUP(C320,'RAW DATA 2023'!E:BO,23,0),0)</f>
        <v>29</v>
      </c>
      <c r="G320" s="16">
        <f>VLOOKUP(C320,'RAW DATA 2023'!E:BO,27,0)</f>
        <v>1.9231657604103054</v>
      </c>
      <c r="H320" s="16">
        <f>IFERROR(VLOOKUP(F320,STD!B:G,5,0),0)</f>
        <v>1.9</v>
      </c>
      <c r="J320" s="16">
        <f t="shared" si="24"/>
        <v>-10</v>
      </c>
      <c r="K320" s="106" t="str">
        <f>VLOOKUP(C320,'RAW DATA 2023'!E:BO,36,0)</f>
        <v>Normal</v>
      </c>
      <c r="L320" s="106">
        <f>VLOOKUP(C320,'RAW DATA 2023'!E:BO,21,0)</f>
        <v>36.386360000000003</v>
      </c>
      <c r="M320" s="106">
        <f t="shared" si="25"/>
        <v>-363.86360000000002</v>
      </c>
    </row>
    <row r="321" spans="1:13">
      <c r="A321" t="str">
        <f>'RAW DATA 2023'!B314</f>
        <v>Choknavy</v>
      </c>
      <c r="B321" t="str">
        <f>'RAW DATA 2023'!D314</f>
        <v>A1-006-0032</v>
      </c>
      <c r="C321" t="str">
        <f t="shared" si="21"/>
        <v>ChoknavyA1-006-0032</v>
      </c>
      <c r="D321">
        <f>VLOOKUP(C321,'RAW DATA 2023'!E:BP,63,0)</f>
        <v>7</v>
      </c>
      <c r="E321" t="str">
        <f t="shared" si="22"/>
        <v>Choknavy7</v>
      </c>
      <c r="F321">
        <f>ROUND(VLOOKUP(C321,'RAW DATA 2023'!E:BO,23,0),0)</f>
        <v>33</v>
      </c>
      <c r="G321" s="16">
        <f>VLOOKUP(C321,'RAW DATA 2023'!E:BO,27,0)</f>
        <v>2.4127927566518084</v>
      </c>
      <c r="H321" s="16">
        <f>IFERROR(VLOOKUP(F321,STD!B:G,5,0),0)</f>
        <v>1.8</v>
      </c>
      <c r="I321" s="21">
        <f t="shared" si="23"/>
        <v>0.74602345975948203</v>
      </c>
      <c r="J321" s="16">
        <f t="shared" si="24"/>
        <v>4.9204691951896411</v>
      </c>
      <c r="K321" s="106" t="str">
        <f>VLOOKUP(C321,'RAW DATA 2023'!E:BO,36,0)</f>
        <v>ทยอยตาย</v>
      </c>
      <c r="L321" s="106">
        <f>VLOOKUP(C321,'RAW DATA 2023'!E:BO,21,0)</f>
        <v>34.892120000000006</v>
      </c>
      <c r="M321" s="106">
        <f t="shared" si="25"/>
        <v>171.68560161486042</v>
      </c>
    </row>
    <row r="322" spans="1:13">
      <c r="A322" t="str">
        <f>'RAW DATA 2023'!B315</f>
        <v>Choknavy</v>
      </c>
      <c r="B322" t="str">
        <f>'RAW DATA 2023'!D315</f>
        <v>A1-003-0036</v>
      </c>
      <c r="C322" t="str">
        <f t="shared" si="21"/>
        <v>ChoknavyA1-003-0036</v>
      </c>
      <c r="D322">
        <f>VLOOKUP(C322,'RAW DATA 2023'!E:BP,63,0)</f>
        <v>7</v>
      </c>
      <c r="E322" t="str">
        <f t="shared" si="22"/>
        <v>Choknavy7</v>
      </c>
      <c r="F322">
        <f>ROUND(VLOOKUP(C322,'RAW DATA 2023'!E:BO,23,0),0)</f>
        <v>28</v>
      </c>
      <c r="G322" s="16">
        <f>VLOOKUP(C322,'RAW DATA 2023'!E:BO,27,0)</f>
        <v>2.5263115985622546</v>
      </c>
      <c r="H322" s="16">
        <f>IFERROR(VLOOKUP(F322,STD!B:G,5,0),0)</f>
        <v>1.93</v>
      </c>
      <c r="I322" s="21">
        <f t="shared" si="23"/>
        <v>0.76395960066777957</v>
      </c>
      <c r="J322" s="16">
        <f t="shared" si="24"/>
        <v>5.2791920133555914</v>
      </c>
      <c r="K322" s="106" t="str">
        <f>VLOOKUP(C322,'RAW DATA 2023'!E:BO,36,0)</f>
        <v>Normal</v>
      </c>
      <c r="L322" s="106">
        <f>VLOOKUP(C322,'RAW DATA 2023'!E:BO,21,0)</f>
        <v>30.78059</v>
      </c>
      <c r="M322" s="106">
        <f t="shared" si="25"/>
        <v>162.49664489437299</v>
      </c>
    </row>
    <row r="323" spans="1:13">
      <c r="A323" t="str">
        <f>'RAW DATA 2023'!B316</f>
        <v>Choknavy</v>
      </c>
      <c r="B323" t="str">
        <f>'RAW DATA 2023'!D316</f>
        <v>A1-005-0006</v>
      </c>
      <c r="C323" t="str">
        <f t="shared" si="21"/>
        <v>ChoknavyA1-005-0006</v>
      </c>
      <c r="D323">
        <f>VLOOKUP(C323,'RAW DATA 2023'!E:BP,63,0)</f>
        <v>8</v>
      </c>
      <c r="E323" t="str">
        <f t="shared" si="22"/>
        <v>Choknavy8</v>
      </c>
      <c r="F323">
        <f>ROUND(VLOOKUP(C323,'RAW DATA 2023'!E:BO,23,0),0)</f>
        <v>30</v>
      </c>
      <c r="G323" s="16">
        <f>VLOOKUP(C323,'RAW DATA 2023'!E:BO,27,0)</f>
        <v>2.133721638654309</v>
      </c>
      <c r="H323" s="16">
        <f>IFERROR(VLOOKUP(F323,STD!B:G,5,0),0)</f>
        <v>1.87</v>
      </c>
      <c r="I323" s="21">
        <f t="shared" si="23"/>
        <v>0.87640297877813511</v>
      </c>
      <c r="J323" s="16">
        <f t="shared" si="24"/>
        <v>7.5280595755627022</v>
      </c>
      <c r="K323" s="106" t="str">
        <f>VLOOKUP(C323,'RAW DATA 2023'!E:BO,36,0)</f>
        <v>Normal</v>
      </c>
      <c r="L323" s="106">
        <f>VLOOKUP(C323,'RAW DATA 2023'!E:BO,21,0)</f>
        <v>37.014600000000002</v>
      </c>
      <c r="M323" s="106">
        <f t="shared" si="25"/>
        <v>278.64811396562322</v>
      </c>
    </row>
    <row r="324" spans="1:13">
      <c r="A324" t="str">
        <f>'RAW DATA 2023'!B317</f>
        <v>Choknavy</v>
      </c>
      <c r="B324" t="str">
        <f>'RAW DATA 2023'!D317</f>
        <v>A1-001-0041</v>
      </c>
      <c r="C324" t="str">
        <f t="shared" si="21"/>
        <v>ChoknavyA1-001-0041</v>
      </c>
      <c r="D324">
        <f>VLOOKUP(C324,'RAW DATA 2023'!E:BP,63,0)</f>
        <v>9</v>
      </c>
      <c r="E324" t="str">
        <f t="shared" si="22"/>
        <v>Choknavy9</v>
      </c>
      <c r="F324">
        <f>ROUND(VLOOKUP(C324,'RAW DATA 2023'!E:BO,23,0),0)</f>
        <v>30</v>
      </c>
      <c r="G324" s="16">
        <f>VLOOKUP(C324,'RAW DATA 2023'!E:BO,27,0)</f>
        <v>2.01668399083474</v>
      </c>
      <c r="H324" s="16">
        <f>IFERROR(VLOOKUP(F324,STD!B:G,5,0),0)</f>
        <v>1.87</v>
      </c>
      <c r="I324" s="21">
        <f t="shared" si="23"/>
        <v>0.92726476160797755</v>
      </c>
      <c r="J324" s="16">
        <f t="shared" si="24"/>
        <v>8.5452952321595514</v>
      </c>
      <c r="K324" s="106" t="str">
        <f>VLOOKUP(C324,'RAW DATA 2023'!E:BO,36,0)</f>
        <v>Normal</v>
      </c>
      <c r="L324" s="106">
        <f>VLOOKUP(C324,'RAW DATA 2023'!E:BO,21,0)</f>
        <v>40.227599999999995</v>
      </c>
      <c r="M324" s="106">
        <f t="shared" si="25"/>
        <v>343.75671848122153</v>
      </c>
    </row>
    <row r="325" spans="1:13">
      <c r="A325" t="str">
        <f>'RAW DATA 2023'!B318</f>
        <v>Choknavy</v>
      </c>
      <c r="B325" t="str">
        <f>'RAW DATA 2023'!D318</f>
        <v>A1-002-0037</v>
      </c>
      <c r="C325" t="str">
        <f t="shared" si="21"/>
        <v>ChoknavyA1-002-0037</v>
      </c>
      <c r="D325">
        <f>VLOOKUP(C325,'RAW DATA 2023'!E:BP,63,0)</f>
        <v>10</v>
      </c>
      <c r="E325" t="str">
        <f t="shared" si="22"/>
        <v>Choknavy10</v>
      </c>
      <c r="F325">
        <f>ROUND(VLOOKUP(C325,'RAW DATA 2023'!E:BO,23,0),0)</f>
        <v>30</v>
      </c>
      <c r="G325" s="16">
        <f>VLOOKUP(C325,'RAW DATA 2023'!E:BO,27,0)</f>
        <v>2.3715865914296663</v>
      </c>
      <c r="H325" s="16">
        <f>IFERROR(VLOOKUP(F325,STD!B:G,5,0),0)</f>
        <v>1.87</v>
      </c>
      <c r="I325" s="21">
        <f t="shared" si="23"/>
        <v>0.7885016751054853</v>
      </c>
      <c r="J325" s="16">
        <f t="shared" si="24"/>
        <v>5.7700335021097064</v>
      </c>
      <c r="K325" s="106" t="str">
        <f>VLOOKUP(C325,'RAW DATA 2023'!E:BO,36,0)</f>
        <v>Normal</v>
      </c>
      <c r="L325" s="106">
        <f>VLOOKUP(C325,'RAW DATA 2023'!E:BO,21,0)</f>
        <v>40.70194</v>
      </c>
      <c r="M325" s="106">
        <f t="shared" si="25"/>
        <v>234.85155740085915</v>
      </c>
    </row>
    <row r="326" spans="1:13">
      <c r="A326" t="str">
        <f>'RAW DATA 2023'!B319</f>
        <v>Choknavy</v>
      </c>
      <c r="B326" t="str">
        <f>'RAW DATA 2023'!D319</f>
        <v>G1-G01-0001</v>
      </c>
      <c r="C326" t="str">
        <f t="shared" si="21"/>
        <v>ChoknavyG1-G01-0001</v>
      </c>
      <c r="D326">
        <f>VLOOKUP(C326,'RAW DATA 2023'!E:BP,63,0)</f>
        <v>5</v>
      </c>
      <c r="E326" t="str">
        <f t="shared" si="22"/>
        <v>Choknavy5</v>
      </c>
      <c r="F326">
        <f>ROUND(VLOOKUP(C326,'RAW DATA 2023'!E:BO,23,0),0)</f>
        <v>35</v>
      </c>
      <c r="G326" s="16">
        <f>VLOOKUP(C326,'RAW DATA 2023'!E:BO,27,0)</f>
        <v>2.826226611286772</v>
      </c>
      <c r="H326" s="16">
        <f>IFERROR(VLOOKUP(F326,STD!B:G,5,0),0)</f>
        <v>1.75</v>
      </c>
      <c r="I326" s="21">
        <f t="shared" si="23"/>
        <v>0.61920017064846422</v>
      </c>
      <c r="J326" s="16">
        <f t="shared" si="24"/>
        <v>2.3840034129692844</v>
      </c>
      <c r="K326" s="106" t="str">
        <f>VLOOKUP(C326,'RAW DATA 2023'!E:BO,36,0)</f>
        <v>ทยอยตาย</v>
      </c>
      <c r="L326" s="106">
        <f>VLOOKUP(C326,'RAW DATA 2023'!E:BO,21,0)</f>
        <v>5.5235900000000004</v>
      </c>
      <c r="M326" s="106">
        <f t="shared" si="25"/>
        <v>13.16825741184301</v>
      </c>
    </row>
    <row r="327" spans="1:13">
      <c r="A327" t="str">
        <f>'RAW DATA 2023'!B320</f>
        <v>Choknavy</v>
      </c>
      <c r="B327" t="str">
        <f>'RAW DATA 2023'!D320</f>
        <v>A1-002-0036</v>
      </c>
      <c r="C327" t="str">
        <f t="shared" si="21"/>
        <v>ChoknavyA1-002-0036</v>
      </c>
      <c r="D327">
        <f>VLOOKUP(C327,'RAW DATA 2023'!E:BP,63,0)</f>
        <v>4</v>
      </c>
      <c r="E327" t="str">
        <f t="shared" si="22"/>
        <v>Choknavy4</v>
      </c>
      <c r="F327">
        <f>ROUND(VLOOKUP(C327,'RAW DATA 2023'!E:BO,23,0),0)</f>
        <v>25</v>
      </c>
      <c r="G327" s="16">
        <f>VLOOKUP(C327,'RAW DATA 2023'!E:BO,27,0)</f>
        <v>2.1655161769376359</v>
      </c>
      <c r="H327" s="16">
        <f>IFERROR(VLOOKUP(F327,STD!B:G,5,0),0)</f>
        <v>2.04</v>
      </c>
      <c r="I327" s="21">
        <f t="shared" si="23"/>
        <v>0.94203867961165055</v>
      </c>
      <c r="J327" s="16">
        <f t="shared" si="24"/>
        <v>8.8407735922330115</v>
      </c>
      <c r="K327" s="106" t="str">
        <f>VLOOKUP(C327,'RAW DATA 2023'!E:BO,36,0)</f>
        <v>อัตรารอดต่ำ</v>
      </c>
      <c r="L327" s="106">
        <f>VLOOKUP(C327,'RAW DATA 2023'!E:BO,21,0)</f>
        <v>20.536580000000001</v>
      </c>
      <c r="M327" s="106">
        <f t="shared" si="25"/>
        <v>181.55925413878063</v>
      </c>
    </row>
    <row r="328" spans="1:13">
      <c r="A328" t="str">
        <f>'RAW DATA 2023'!B321</f>
        <v>Choknavy</v>
      </c>
      <c r="B328" t="str">
        <f>'RAW DATA 2023'!D321</f>
        <v>A1-001-0040</v>
      </c>
      <c r="C328" t="str">
        <f t="shared" si="21"/>
        <v>ChoknavyA1-001-0040</v>
      </c>
      <c r="D328">
        <f>VLOOKUP(C328,'RAW DATA 2023'!E:BP,63,0)</f>
        <v>4</v>
      </c>
      <c r="E328" t="str">
        <f t="shared" si="22"/>
        <v>Choknavy4</v>
      </c>
      <c r="F328">
        <f>ROUND(VLOOKUP(C328,'RAW DATA 2023'!E:BO,23,0),0)</f>
        <v>27</v>
      </c>
      <c r="G328" s="16">
        <f>VLOOKUP(C328,'RAW DATA 2023'!E:BO,27,0)</f>
        <v>2.2315673009756076</v>
      </c>
      <c r="H328" s="16">
        <f>IFERROR(VLOOKUP(F328,STD!B:G,5,0),0)</f>
        <v>1.96</v>
      </c>
      <c r="I328" s="21">
        <f t="shared" si="23"/>
        <v>0.87830647058823519</v>
      </c>
      <c r="J328" s="16">
        <f t="shared" si="24"/>
        <v>7.5661294117647042</v>
      </c>
      <c r="K328" s="106" t="str">
        <f>VLOOKUP(C328,'RAW DATA 2023'!E:BO,36,0)</f>
        <v>อัตรารอดต่ำ</v>
      </c>
      <c r="L328" s="106">
        <f>VLOOKUP(C328,'RAW DATA 2023'!E:BO,21,0)</f>
        <v>21.450299999999999</v>
      </c>
      <c r="M328" s="106">
        <f t="shared" si="25"/>
        <v>162.29574572117642</v>
      </c>
    </row>
    <row r="329" spans="1:13">
      <c r="A329" t="str">
        <f>'RAW DATA 2023'!B322</f>
        <v>Choknavy</v>
      </c>
      <c r="B329" t="str">
        <f>'RAW DATA 2023'!D322</f>
        <v>A1-006-0031</v>
      </c>
      <c r="C329" t="str">
        <f t="shared" si="21"/>
        <v>ChoknavyA1-006-0031</v>
      </c>
      <c r="D329">
        <f>VLOOKUP(C329,'RAW DATA 2023'!E:BP,63,0)</f>
        <v>3</v>
      </c>
      <c r="E329" t="str">
        <f t="shared" si="22"/>
        <v>Choknavy3</v>
      </c>
      <c r="F329">
        <f>ROUND(VLOOKUP(C329,'RAW DATA 2023'!E:BO,23,0),0)</f>
        <v>27</v>
      </c>
      <c r="G329" s="16">
        <f>VLOOKUP(C329,'RAW DATA 2023'!E:BO,27,0)</f>
        <v>2.1181836143308748</v>
      </c>
      <c r="H329" s="16">
        <f>IFERROR(VLOOKUP(F329,STD!B:G,5,0),0)</f>
        <v>1.96</v>
      </c>
      <c r="I329" s="21">
        <f t="shared" si="23"/>
        <v>0.92532110376991827</v>
      </c>
      <c r="J329" s="16">
        <f t="shared" si="24"/>
        <v>8.5064220753983655</v>
      </c>
      <c r="K329" s="106" t="str">
        <f>VLOOKUP(C329,'RAW DATA 2023'!E:BO,36,0)</f>
        <v>Normal</v>
      </c>
      <c r="L329" s="106">
        <f>VLOOKUP(C329,'RAW DATA 2023'!E:BO,21,0)</f>
        <v>31.495159999999998</v>
      </c>
      <c r="M329" s="106">
        <f t="shared" si="25"/>
        <v>267.91112429220357</v>
      </c>
    </row>
    <row r="330" spans="1:13">
      <c r="A330" t="str">
        <f>'RAW DATA 2023'!B323</f>
        <v>Choknavy</v>
      </c>
      <c r="B330" t="str">
        <f>'RAW DATA 2023'!D323</f>
        <v>A1-003-0035</v>
      </c>
      <c r="C330" t="str">
        <f t="shared" ref="C330:C393" si="26">A330&amp;B330</f>
        <v>ChoknavyA1-003-0035</v>
      </c>
      <c r="D330">
        <f>VLOOKUP(C330,'RAW DATA 2023'!E:BP,63,0)</f>
        <v>1</v>
      </c>
      <c r="E330" t="str">
        <f t="shared" ref="E330:E393" si="27">A330&amp;D330</f>
        <v>Choknavy1</v>
      </c>
      <c r="F330">
        <f>ROUND(VLOOKUP(C330,'RAW DATA 2023'!E:BO,23,0),0)</f>
        <v>0</v>
      </c>
      <c r="G330" s="16">
        <f>VLOOKUP(C330,'RAW DATA 2023'!E:BO,27,0)</f>
        <v>0</v>
      </c>
      <c r="H330" s="16">
        <f>IFERROR(VLOOKUP(F330,STD!B:G,5,0),0)</f>
        <v>0</v>
      </c>
      <c r="J330" s="16">
        <f t="shared" si="24"/>
        <v>-10</v>
      </c>
      <c r="K330" s="106" t="str">
        <f>VLOOKUP(C330,'RAW DATA 2023'!E:BO,36,0)</f>
        <v>อัตรารอดต่ำ</v>
      </c>
      <c r="L330" s="106">
        <f>VLOOKUP(C330,'RAW DATA 2023'!E:BO,21,0)</f>
        <v>0</v>
      </c>
      <c r="M330" s="106">
        <f t="shared" si="25"/>
        <v>0</v>
      </c>
    </row>
    <row r="331" spans="1:13">
      <c r="A331" t="str">
        <f>'RAW DATA 2023'!B324</f>
        <v>Maeklong1</v>
      </c>
      <c r="B331" t="str">
        <f>'RAW DATA 2023'!D324</f>
        <v>A1-017-0031</v>
      </c>
      <c r="C331" t="str">
        <f t="shared" si="26"/>
        <v>Maeklong1A1-017-0031</v>
      </c>
      <c r="D331">
        <f>VLOOKUP(C331,'RAW DATA 2023'!E:BP,63,0)</f>
        <v>8</v>
      </c>
      <c r="E331" t="str">
        <f t="shared" si="27"/>
        <v>Maeklong18</v>
      </c>
      <c r="F331">
        <f>ROUND(VLOOKUP(C331,'RAW DATA 2023'!E:BO,23,0),0)</f>
        <v>35</v>
      </c>
      <c r="G331" s="16">
        <f>VLOOKUP(C331,'RAW DATA 2023'!E:BO,27,0)</f>
        <v>1.7700134783039876</v>
      </c>
      <c r="H331" s="16">
        <f>IFERROR(VLOOKUP(F331,STD!B:G,5,0),0)</f>
        <v>1.75</v>
      </c>
      <c r="I331" s="21">
        <f t="shared" ref="I331:I394" si="28">IFERROR(H331/G331,0)</f>
        <v>0.98869303621169913</v>
      </c>
      <c r="J331" s="16">
        <f t="shared" ref="J331:J394" si="29">(I331-$B$4)*$B$7</f>
        <v>9.7738607242339821</v>
      </c>
      <c r="K331" s="106" t="str">
        <f>VLOOKUP(C331,'RAW DATA 2023'!E:BO,36,0)</f>
        <v>Normal</v>
      </c>
      <c r="L331" s="106">
        <f>VLOOKUP(C331,'RAW DATA 2023'!E:BO,21,0)</f>
        <v>36.068080000000002</v>
      </c>
      <c r="M331" s="106">
        <f t="shared" ref="M331:M394" si="30">J331*L331</f>
        <v>352.5243905105292</v>
      </c>
    </row>
    <row r="332" spans="1:13">
      <c r="A332" t="str">
        <f>'RAW DATA 2023'!B325</f>
        <v>Maeklong1</v>
      </c>
      <c r="B332" t="str">
        <f>'RAW DATA 2023'!D325</f>
        <v>A1-015-0036</v>
      </c>
      <c r="C332" t="str">
        <f t="shared" si="26"/>
        <v>Maeklong1A1-015-0036</v>
      </c>
      <c r="D332">
        <f>VLOOKUP(C332,'RAW DATA 2023'!E:BP,63,0)</f>
        <v>6</v>
      </c>
      <c r="E332" t="str">
        <f t="shared" si="27"/>
        <v>Maeklong16</v>
      </c>
      <c r="F332">
        <f>ROUND(VLOOKUP(C332,'RAW DATA 2023'!E:BO,23,0),0)</f>
        <v>34</v>
      </c>
      <c r="G332" s="16">
        <f>VLOOKUP(C332,'RAW DATA 2023'!E:BO,27,0)</f>
        <v>1.7927109160921375</v>
      </c>
      <c r="H332" s="16">
        <f>IFERROR(VLOOKUP(F332,STD!B:G,5,0),0)</f>
        <v>1.77</v>
      </c>
      <c r="J332" s="16">
        <f t="shared" si="29"/>
        <v>-10</v>
      </c>
      <c r="K332" s="106" t="str">
        <f>VLOOKUP(C332,'RAW DATA 2023'!E:BO,36,0)</f>
        <v>Normal</v>
      </c>
      <c r="L332" s="106">
        <f>VLOOKUP(C332,'RAW DATA 2023'!E:BO,21,0)</f>
        <v>27.471409999999999</v>
      </c>
      <c r="M332" s="106">
        <f t="shared" si="30"/>
        <v>-274.71409999999997</v>
      </c>
    </row>
    <row r="333" spans="1:13">
      <c r="A333" t="str">
        <f>'RAW DATA 2023'!B326</f>
        <v>Maeklong1</v>
      </c>
      <c r="B333" t="str">
        <f>'RAW DATA 2023'!D326</f>
        <v>A1-021-0025</v>
      </c>
      <c r="C333" t="str">
        <f t="shared" si="26"/>
        <v>Maeklong1A1-021-0025</v>
      </c>
      <c r="D333">
        <f>VLOOKUP(C333,'RAW DATA 2023'!E:BP,63,0)</f>
        <v>8</v>
      </c>
      <c r="E333" t="str">
        <f t="shared" si="27"/>
        <v>Maeklong18</v>
      </c>
      <c r="F333">
        <f>ROUND(VLOOKUP(C333,'RAW DATA 2023'!E:BO,23,0),0)</f>
        <v>31</v>
      </c>
      <c r="G333" s="16">
        <f>VLOOKUP(C333,'RAW DATA 2023'!E:BO,27,0)</f>
        <v>1.9750776261313931</v>
      </c>
      <c r="H333" s="16">
        <f>IFERROR(VLOOKUP(F333,STD!B:G,5,0),0)</f>
        <v>1.84</v>
      </c>
      <c r="I333" s="21">
        <f t="shared" si="28"/>
        <v>0.93160895331695337</v>
      </c>
      <c r="J333" s="16">
        <f t="shared" si="29"/>
        <v>8.6321790663390665</v>
      </c>
      <c r="K333" s="106" t="str">
        <f>VLOOKUP(C333,'RAW DATA 2023'!E:BO,36,0)</f>
        <v>Normal</v>
      </c>
      <c r="L333" s="106">
        <f>VLOOKUP(C333,'RAW DATA 2023'!E:BO,21,0)</f>
        <v>42.30377</v>
      </c>
      <c r="M333" s="106">
        <f t="shared" si="30"/>
        <v>365.17371782122262</v>
      </c>
    </row>
    <row r="334" spans="1:13">
      <c r="A334" t="str">
        <f>'RAW DATA 2023'!B327</f>
        <v>Maeklong1</v>
      </c>
      <c r="B334" t="str">
        <f>'RAW DATA 2023'!D327</f>
        <v>A1-024-0012</v>
      </c>
      <c r="C334" t="str">
        <f t="shared" si="26"/>
        <v>Maeklong1A1-024-0012</v>
      </c>
      <c r="D334">
        <f>VLOOKUP(C334,'RAW DATA 2023'!E:BP,63,0)</f>
        <v>10</v>
      </c>
      <c r="E334" t="str">
        <f t="shared" si="27"/>
        <v>Maeklong110</v>
      </c>
      <c r="F334">
        <f>ROUND(VLOOKUP(C334,'RAW DATA 2023'!E:BO,23,0),0)</f>
        <v>33</v>
      </c>
      <c r="G334" s="16">
        <f>VLOOKUP(C334,'RAW DATA 2023'!E:BO,27,0)</f>
        <v>2.2013099088846046</v>
      </c>
      <c r="H334" s="16">
        <f>IFERROR(VLOOKUP(F334,STD!B:G,5,0),0)</f>
        <v>1.8</v>
      </c>
      <c r="I334" s="21">
        <f t="shared" si="28"/>
        <v>0.81769495187165775</v>
      </c>
      <c r="J334" s="16">
        <f t="shared" si="29"/>
        <v>6.3538990374331554</v>
      </c>
      <c r="K334" s="106" t="str">
        <f>VLOOKUP(C334,'RAW DATA 2023'!E:BO,36,0)</f>
        <v>Normal</v>
      </c>
      <c r="L334" s="106">
        <f>VLOOKUP(C334,'RAW DATA 2023'!E:BO,21,0)</f>
        <v>42.80471</v>
      </c>
      <c r="M334" s="106">
        <f t="shared" si="30"/>
        <v>271.97680566660534</v>
      </c>
    </row>
    <row r="335" spans="1:13">
      <c r="A335" t="str">
        <f>'RAW DATA 2023'!B328</f>
        <v>Maeklong1</v>
      </c>
      <c r="B335" t="str">
        <f>'RAW DATA 2023'!D328</f>
        <v>A1-019-0024</v>
      </c>
      <c r="C335" t="str">
        <f t="shared" si="26"/>
        <v>Maeklong1A1-019-0024</v>
      </c>
      <c r="D335">
        <f>VLOOKUP(C335,'RAW DATA 2023'!E:BP,63,0)</f>
        <v>10</v>
      </c>
      <c r="E335" t="str">
        <f t="shared" si="27"/>
        <v>Maeklong110</v>
      </c>
      <c r="F335">
        <f>ROUND(VLOOKUP(C335,'RAW DATA 2023'!E:BO,23,0),0)</f>
        <v>32</v>
      </c>
      <c r="G335" s="16">
        <f>VLOOKUP(C335,'RAW DATA 2023'!E:BO,27,0)</f>
        <v>2.0290163744109133</v>
      </c>
      <c r="H335" s="16">
        <f>IFERROR(VLOOKUP(F335,STD!B:G,5,0),0)</f>
        <v>1.82</v>
      </c>
      <c r="I335" s="21">
        <f t="shared" si="28"/>
        <v>0.89698635405463534</v>
      </c>
      <c r="J335" s="16">
        <f t="shared" si="29"/>
        <v>7.9397270810927072</v>
      </c>
      <c r="K335" s="106" t="str">
        <f>VLOOKUP(C335,'RAW DATA 2023'!E:BO,36,0)</f>
        <v>Normal</v>
      </c>
      <c r="L335" s="106">
        <f>VLOOKUP(C335,'RAW DATA 2023'!E:BO,21,0)</f>
        <v>58.341449999999995</v>
      </c>
      <c r="M335" s="106">
        <f t="shared" si="30"/>
        <v>463.21519051521608</v>
      </c>
    </row>
    <row r="336" spans="1:13">
      <c r="A336" t="str">
        <f>'RAW DATA 2023'!B329</f>
        <v>Maeklong1</v>
      </c>
      <c r="B336" t="str">
        <f>'RAW DATA 2023'!D329</f>
        <v>A1-015-0037</v>
      </c>
      <c r="C336" t="str">
        <f t="shared" si="26"/>
        <v>Maeklong1A1-015-0037</v>
      </c>
      <c r="D336">
        <f>VLOOKUP(C336,'RAW DATA 2023'!E:BP,63,0)</f>
        <v>10</v>
      </c>
      <c r="E336" t="str">
        <f t="shared" si="27"/>
        <v>Maeklong110</v>
      </c>
      <c r="F336">
        <f>ROUND(VLOOKUP(C336,'RAW DATA 2023'!E:BO,23,0),0)</f>
        <v>41</v>
      </c>
      <c r="G336" s="16">
        <f>VLOOKUP(C336,'RAW DATA 2023'!E:BO,27,0)</f>
        <v>2.1396778615437069</v>
      </c>
      <c r="H336" s="16">
        <f>IFERROR(VLOOKUP(F336,STD!B:G,5,0),0)</f>
        <v>1.61</v>
      </c>
      <c r="I336" s="21">
        <f t="shared" si="28"/>
        <v>0.75244971635049696</v>
      </c>
      <c r="J336" s="16">
        <f t="shared" si="29"/>
        <v>5.0489943270099396</v>
      </c>
      <c r="K336" s="106" t="str">
        <f>VLOOKUP(C336,'RAW DATA 2023'!E:BO,36,0)</f>
        <v>Normal</v>
      </c>
      <c r="L336" s="106">
        <f>VLOOKUP(C336,'RAW DATA 2023'!E:BO,21,0)</f>
        <v>26.824380000000001</v>
      </c>
      <c r="M336" s="106">
        <f t="shared" si="30"/>
        <v>135.43614244555889</v>
      </c>
    </row>
    <row r="337" spans="1:13">
      <c r="A337" t="str">
        <f>'RAW DATA 2023'!B330</f>
        <v>Maeklong1</v>
      </c>
      <c r="B337" t="str">
        <f>'RAW DATA 2023'!D330</f>
        <v>A1-023-0016</v>
      </c>
      <c r="C337" t="str">
        <f t="shared" si="26"/>
        <v>Maeklong1A1-023-0016</v>
      </c>
      <c r="D337">
        <f>VLOOKUP(C337,'RAW DATA 2023'!E:BP,63,0)</f>
        <v>3</v>
      </c>
      <c r="E337" t="str">
        <f t="shared" si="27"/>
        <v>Maeklong13</v>
      </c>
      <c r="F337">
        <f>ROUND(VLOOKUP(C337,'RAW DATA 2023'!E:BO,23,0),0)</f>
        <v>27</v>
      </c>
      <c r="G337" s="16">
        <f>VLOOKUP(C337,'RAW DATA 2023'!E:BO,27,0)</f>
        <v>1.7962166323615196</v>
      </c>
      <c r="H337" s="16">
        <f>IFERROR(VLOOKUP(F337,STD!B:G,5,0),0)</f>
        <v>1.96</v>
      </c>
      <c r="I337" s="21">
        <f t="shared" si="28"/>
        <v>1.0911824134615384</v>
      </c>
      <c r="J337" s="16">
        <f t="shared" si="29"/>
        <v>11.82364826923077</v>
      </c>
      <c r="K337" s="106" t="str">
        <f>VLOOKUP(C337,'RAW DATA 2023'!E:BO,36,0)</f>
        <v>Normal</v>
      </c>
      <c r="L337" s="106">
        <f>VLOOKUP(C337,'RAW DATA 2023'!E:BO,21,0)</f>
        <v>23.567790000000002</v>
      </c>
      <c r="M337" s="106">
        <f t="shared" si="30"/>
        <v>278.65725944309429</v>
      </c>
    </row>
    <row r="338" spans="1:13">
      <c r="A338" t="str">
        <f>'RAW DATA 2023'!B331</f>
        <v>Maeklong1</v>
      </c>
      <c r="B338" t="str">
        <f>'RAW DATA 2023'!D331</f>
        <v>A1-021-0026</v>
      </c>
      <c r="C338" t="str">
        <f t="shared" si="26"/>
        <v>Maeklong1A1-021-0026</v>
      </c>
      <c r="D338">
        <f>VLOOKUP(C338,'RAW DATA 2023'!E:BP,63,0)</f>
        <v>12</v>
      </c>
      <c r="E338" t="str">
        <f t="shared" si="27"/>
        <v>Maeklong112</v>
      </c>
      <c r="F338">
        <f>ROUND(VLOOKUP(C338,'RAW DATA 2023'!E:BO,23,0),0)</f>
        <v>33</v>
      </c>
      <c r="G338" s="16">
        <f>VLOOKUP(C338,'RAW DATA 2023'!E:BO,27,0)</f>
        <v>2.2952408552181414</v>
      </c>
      <c r="H338" s="16">
        <f>IFERROR(VLOOKUP(F338,STD!B:G,5,0),0)</f>
        <v>1.8</v>
      </c>
      <c r="I338" s="21">
        <f t="shared" si="28"/>
        <v>0.78423142212189612</v>
      </c>
      <c r="J338" s="16">
        <f t="shared" si="29"/>
        <v>5.6846284424379228</v>
      </c>
      <c r="K338" s="106" t="str">
        <f>VLOOKUP(C338,'RAW DATA 2023'!E:BO,36,0)</f>
        <v>Normal</v>
      </c>
      <c r="L338" s="106">
        <f>VLOOKUP(C338,'RAW DATA 2023'!E:BO,21,0)</f>
        <v>29.49521</v>
      </c>
      <c r="M338" s="106">
        <f t="shared" si="30"/>
        <v>167.66930968167944</v>
      </c>
    </row>
    <row r="339" spans="1:13">
      <c r="A339" t="str">
        <f>'RAW DATA 2023'!B332</f>
        <v>Maeklong1</v>
      </c>
      <c r="B339" t="str">
        <f>'RAW DATA 2023'!D332</f>
        <v>A1-023-0017</v>
      </c>
      <c r="C339" t="str">
        <f t="shared" si="26"/>
        <v>Maeklong1A1-023-0017</v>
      </c>
      <c r="D339">
        <f>VLOOKUP(C339,'RAW DATA 2023'!E:BP,63,0)</f>
        <v>8</v>
      </c>
      <c r="E339" t="str">
        <f t="shared" si="27"/>
        <v>Maeklong18</v>
      </c>
      <c r="F339">
        <f>ROUND(VLOOKUP(C339,'RAW DATA 2023'!E:BO,23,0),0)</f>
        <v>32</v>
      </c>
      <c r="G339" s="16">
        <f>VLOOKUP(C339,'RAW DATA 2023'!E:BO,27,0)</f>
        <v>2.0008642425870691</v>
      </c>
      <c r="H339" s="16">
        <f>IFERROR(VLOOKUP(F339,STD!B:G,5,0),0)</f>
        <v>1.82</v>
      </c>
      <c r="I339" s="21">
        <f t="shared" si="28"/>
        <v>0.9096069394727071</v>
      </c>
      <c r="J339" s="16">
        <f t="shared" si="29"/>
        <v>8.1921387894541411</v>
      </c>
      <c r="K339" s="106" t="str">
        <f>VLOOKUP(C339,'RAW DATA 2023'!E:BO,36,0)</f>
        <v>Normal</v>
      </c>
      <c r="L339" s="106">
        <f>VLOOKUP(C339,'RAW DATA 2023'!E:BO,21,0)</f>
        <v>34.391959999999997</v>
      </c>
      <c r="M339" s="106">
        <f t="shared" si="30"/>
        <v>281.74370956135522</v>
      </c>
    </row>
    <row r="340" spans="1:13">
      <c r="A340" t="str">
        <f>'RAW DATA 2023'!B333</f>
        <v>Maeklong1</v>
      </c>
      <c r="B340" t="str">
        <f>'RAW DATA 2023'!D333</f>
        <v>A1-024-0011</v>
      </c>
      <c r="C340" t="str">
        <f t="shared" si="26"/>
        <v>Maeklong1A1-024-0011</v>
      </c>
      <c r="D340">
        <f>VLOOKUP(C340,'RAW DATA 2023'!E:BP,63,0)</f>
        <v>5</v>
      </c>
      <c r="E340" t="str">
        <f t="shared" si="27"/>
        <v>Maeklong15</v>
      </c>
      <c r="F340">
        <f>ROUND(VLOOKUP(C340,'RAW DATA 2023'!E:BO,23,0),0)</f>
        <v>31</v>
      </c>
      <c r="G340" s="16">
        <f>VLOOKUP(C340,'RAW DATA 2023'!E:BO,27,0)</f>
        <v>2.1395397743751725</v>
      </c>
      <c r="H340" s="16">
        <f>IFERROR(VLOOKUP(F340,STD!B:G,5,0),0)</f>
        <v>1.84</v>
      </c>
      <c r="I340" s="21">
        <f t="shared" si="28"/>
        <v>0.85999803417412535</v>
      </c>
      <c r="J340" s="16">
        <f t="shared" si="29"/>
        <v>7.199960683482507</v>
      </c>
      <c r="K340" s="106" t="str">
        <f>VLOOKUP(C340,'RAW DATA 2023'!E:BO,36,0)</f>
        <v>Normal</v>
      </c>
      <c r="L340" s="106">
        <f>VLOOKUP(C340,'RAW DATA 2023'!E:BO,21,0)</f>
        <v>29.701130000000003</v>
      </c>
      <c r="M340" s="106">
        <f t="shared" si="30"/>
        <v>213.84696825500282</v>
      </c>
    </row>
    <row r="341" spans="1:13">
      <c r="A341" t="str">
        <f>'RAW DATA 2023'!B334</f>
        <v>Maeklong1</v>
      </c>
      <c r="B341" t="str">
        <f>'RAW DATA 2023'!D334</f>
        <v>A1-021-0024</v>
      </c>
      <c r="C341" t="str">
        <f t="shared" si="26"/>
        <v>Maeklong1A1-021-0024</v>
      </c>
      <c r="D341">
        <f>VLOOKUP(C341,'RAW DATA 2023'!E:BP,63,0)</f>
        <v>3</v>
      </c>
      <c r="E341" t="str">
        <f t="shared" si="27"/>
        <v>Maeklong13</v>
      </c>
      <c r="F341">
        <f>ROUND(VLOOKUP(C341,'RAW DATA 2023'!E:BO,23,0),0)</f>
        <v>35</v>
      </c>
      <c r="G341" s="16">
        <f>VLOOKUP(C341,'RAW DATA 2023'!E:BO,27,0)</f>
        <v>1.7138731588788971</v>
      </c>
      <c r="H341" s="16">
        <f>IFERROR(VLOOKUP(F341,STD!B:G,5,0),0)</f>
        <v>1.75</v>
      </c>
      <c r="I341" s="21">
        <f t="shared" si="28"/>
        <v>1.0210790634849167</v>
      </c>
      <c r="J341" s="16">
        <f t="shared" si="29"/>
        <v>10.421581269698335</v>
      </c>
      <c r="K341" s="106" t="str">
        <f>VLOOKUP(C341,'RAW DATA 2023'!E:BO,36,0)</f>
        <v>Normal</v>
      </c>
      <c r="L341" s="106">
        <f>VLOOKUP(C341,'RAW DATA 2023'!E:BO,21,0)</f>
        <v>33.005379999999995</v>
      </c>
      <c r="M341" s="106">
        <f t="shared" si="30"/>
        <v>343.96825000727597</v>
      </c>
    </row>
    <row r="342" spans="1:13">
      <c r="A342" t="str">
        <f>'RAW DATA 2023'!B335</f>
        <v>Maeklong1</v>
      </c>
      <c r="B342" t="str">
        <f>'RAW DATA 2023'!D335</f>
        <v>A1-023-0018</v>
      </c>
      <c r="C342" t="str">
        <f t="shared" si="26"/>
        <v>Maeklong1A1-023-0018</v>
      </c>
      <c r="D342">
        <f>VLOOKUP(C342,'RAW DATA 2023'!E:BP,63,0)</f>
        <v>10</v>
      </c>
      <c r="E342" t="str">
        <f t="shared" si="27"/>
        <v>Maeklong110</v>
      </c>
      <c r="F342">
        <f>ROUND(VLOOKUP(C342,'RAW DATA 2023'!E:BO,23,0),0)</f>
        <v>71</v>
      </c>
      <c r="G342" s="16">
        <f>VLOOKUP(C342,'RAW DATA 2023'!E:BO,27,0)</f>
        <v>2.8791509502360024</v>
      </c>
      <c r="H342" s="16">
        <f>IFERROR(VLOOKUP(F342,STD!B:G,5,0),0)</f>
        <v>1.33</v>
      </c>
      <c r="I342" s="21">
        <f t="shared" si="28"/>
        <v>0.46194174011299433</v>
      </c>
      <c r="J342" s="16">
        <f t="shared" si="29"/>
        <v>-0.76116519774011349</v>
      </c>
      <c r="K342" s="106" t="str">
        <f>VLOOKUP(C342,'RAW DATA 2023'!E:BO,36,0)</f>
        <v>WSSV</v>
      </c>
      <c r="L342" s="106">
        <f>VLOOKUP(C342,'RAW DATA 2023'!E:BO,21,0)</f>
        <v>11.57438</v>
      </c>
      <c r="M342" s="106">
        <f t="shared" si="30"/>
        <v>-8.8100152414192152</v>
      </c>
    </row>
    <row r="343" spans="1:13">
      <c r="A343" t="str">
        <f>'RAW DATA 2023'!B336</f>
        <v>Maeklong1</v>
      </c>
      <c r="B343" t="str">
        <f>'RAW DATA 2023'!D336</f>
        <v>A1-019-0023</v>
      </c>
      <c r="C343" t="str">
        <f t="shared" si="26"/>
        <v>Maeklong1A1-019-0023</v>
      </c>
      <c r="D343">
        <f>VLOOKUP(C343,'RAW DATA 2023'!E:BP,63,0)</f>
        <v>5</v>
      </c>
      <c r="E343" t="str">
        <f t="shared" si="27"/>
        <v>Maeklong15</v>
      </c>
      <c r="F343">
        <f>ROUND(VLOOKUP(C343,'RAW DATA 2023'!E:BO,23,0),0)</f>
        <v>34</v>
      </c>
      <c r="G343" s="16">
        <f>VLOOKUP(C343,'RAW DATA 2023'!E:BO,27,0)</f>
        <v>1.9173643523777089</v>
      </c>
      <c r="H343" s="16">
        <f>IFERROR(VLOOKUP(F343,STD!B:G,5,0),0)</f>
        <v>1.77</v>
      </c>
      <c r="I343" s="21">
        <f t="shared" si="28"/>
        <v>0.92314222792607814</v>
      </c>
      <c r="J343" s="16">
        <f t="shared" si="29"/>
        <v>8.4628445585215637</v>
      </c>
      <c r="K343" s="106" t="str">
        <f>VLOOKUP(C343,'RAW DATA 2023'!E:BO,36,0)</f>
        <v>Normal</v>
      </c>
      <c r="L343" s="106">
        <f>VLOOKUP(C343,'RAW DATA 2023'!E:BO,21,0)</f>
        <v>51.633900000000004</v>
      </c>
      <c r="M343" s="106">
        <f t="shared" si="30"/>
        <v>436.9696696502466</v>
      </c>
    </row>
    <row r="344" spans="1:13">
      <c r="A344" t="str">
        <f>'RAW DATA 2023'!B337</f>
        <v>Maeklong1</v>
      </c>
      <c r="B344" t="str">
        <f>'RAW DATA 2023'!D337</f>
        <v>A1-015-0035</v>
      </c>
      <c r="C344" t="str">
        <f t="shared" si="26"/>
        <v>Maeklong1A1-015-0035</v>
      </c>
      <c r="D344">
        <f>VLOOKUP(C344,'RAW DATA 2023'!E:BP,63,0)</f>
        <v>3</v>
      </c>
      <c r="E344" t="str">
        <f t="shared" si="27"/>
        <v>Maeklong13</v>
      </c>
      <c r="F344">
        <f>ROUND(VLOOKUP(C344,'RAW DATA 2023'!E:BO,23,0),0)</f>
        <v>38</v>
      </c>
      <c r="G344" s="16">
        <f>VLOOKUP(C344,'RAW DATA 2023'!E:BO,27,0)</f>
        <v>1.7856130102511025</v>
      </c>
      <c r="H344" s="16">
        <f>IFERROR(VLOOKUP(F344,STD!B:G,5,0),0)</f>
        <v>1.669</v>
      </c>
      <c r="I344" s="21">
        <f t="shared" si="28"/>
        <v>0.93469301042183617</v>
      </c>
      <c r="J344" s="16">
        <f t="shared" si="29"/>
        <v>8.6938602084367229</v>
      </c>
      <c r="K344" s="106" t="str">
        <f>VLOOKUP(C344,'RAW DATA 2023'!E:BO,36,0)</f>
        <v>Normal</v>
      </c>
      <c r="L344" s="106">
        <f>VLOOKUP(C344,'RAW DATA 2023'!E:BO,21,0)</f>
        <v>28.619599999999998</v>
      </c>
      <c r="M344" s="106">
        <f t="shared" si="30"/>
        <v>248.81480162137561</v>
      </c>
    </row>
    <row r="345" spans="1:13">
      <c r="A345" t="str">
        <f>'RAW DATA 2023'!B338</f>
        <v>Maeklong1</v>
      </c>
      <c r="B345" t="str">
        <f>'RAW DATA 2023'!D338</f>
        <v>A1-017-0029</v>
      </c>
      <c r="C345" t="str">
        <f t="shared" si="26"/>
        <v>Maeklong1A1-017-0029</v>
      </c>
      <c r="D345">
        <f>VLOOKUP(C345,'RAW DATA 2023'!E:BP,63,0)</f>
        <v>2</v>
      </c>
      <c r="E345" t="str">
        <f t="shared" si="27"/>
        <v>Maeklong12</v>
      </c>
      <c r="F345">
        <f>ROUND(VLOOKUP(C345,'RAW DATA 2023'!E:BO,23,0),0)</f>
        <v>51</v>
      </c>
      <c r="G345" s="16">
        <f>VLOOKUP(C345,'RAW DATA 2023'!E:BO,27,0)</f>
        <v>1.8249082199761417</v>
      </c>
      <c r="H345" s="16">
        <f>IFERROR(VLOOKUP(F345,STD!B:G,5,0),0)</f>
        <v>1.48</v>
      </c>
      <c r="I345" s="21">
        <f t="shared" si="28"/>
        <v>0.81099968962787017</v>
      </c>
      <c r="J345" s="16">
        <f t="shared" si="29"/>
        <v>6.2199937925574034</v>
      </c>
      <c r="K345" s="106" t="str">
        <f>VLOOKUP(C345,'RAW DATA 2023'!E:BO,36,0)</f>
        <v>WSSV</v>
      </c>
      <c r="L345" s="106">
        <f>VLOOKUP(C345,'RAW DATA 2023'!E:BO,21,0)</f>
        <v>17.668240000000001</v>
      </c>
      <c r="M345" s="106">
        <f t="shared" si="30"/>
        <v>109.89634312541442</v>
      </c>
    </row>
    <row r="346" spans="1:13">
      <c r="A346" t="str">
        <f>'RAW DATA 2023'!B339</f>
        <v>Maeklong1</v>
      </c>
      <c r="B346" t="str">
        <f>'RAW DATA 2023'!D339</f>
        <v>A1-017-0030</v>
      </c>
      <c r="C346" t="str">
        <f t="shared" si="26"/>
        <v>Maeklong1A1-017-0030</v>
      </c>
      <c r="D346">
        <f>VLOOKUP(C346,'RAW DATA 2023'!E:BP,63,0)</f>
        <v>3</v>
      </c>
      <c r="E346" t="str">
        <f t="shared" si="27"/>
        <v>Maeklong13</v>
      </c>
      <c r="F346">
        <f>ROUND(VLOOKUP(C346,'RAW DATA 2023'!E:BO,23,0),0)</f>
        <v>0</v>
      </c>
      <c r="G346" s="16">
        <f>VLOOKUP(C346,'RAW DATA 2023'!E:BO,27,0)</f>
        <v>0</v>
      </c>
      <c r="H346" s="16">
        <f>IFERROR(VLOOKUP(F346,STD!B:G,5,0),0)</f>
        <v>0</v>
      </c>
      <c r="I346" s="21">
        <f t="shared" si="28"/>
        <v>0</v>
      </c>
      <c r="J346" s="16">
        <f t="shared" si="29"/>
        <v>-10</v>
      </c>
      <c r="K346" s="106" t="str">
        <f>VLOOKUP(C346,'RAW DATA 2023'!E:BO,36,0)</f>
        <v>WSSV</v>
      </c>
      <c r="L346" s="106">
        <f>VLOOKUP(C346,'RAW DATA 2023'!E:BO,21,0)</f>
        <v>0</v>
      </c>
      <c r="M346" s="106">
        <f t="shared" si="30"/>
        <v>0</v>
      </c>
    </row>
    <row r="347" spans="1:13">
      <c r="A347" t="str">
        <f>'RAW DATA 2023'!B340</f>
        <v>Maeklong1</v>
      </c>
      <c r="B347" t="str">
        <f>'RAW DATA 2023'!D340</f>
        <v>A1-017-0032</v>
      </c>
      <c r="C347" t="str">
        <f t="shared" si="26"/>
        <v>Maeklong1A1-017-0032</v>
      </c>
      <c r="D347">
        <f>VLOOKUP(C347,'RAW DATA 2023'!E:BP,63,0)</f>
        <v>10</v>
      </c>
      <c r="E347" t="str">
        <f t="shared" si="27"/>
        <v>Maeklong110</v>
      </c>
      <c r="F347">
        <f>ROUND(VLOOKUP(C347,'RAW DATA 2023'!E:BO,23,0),0)</f>
        <v>0</v>
      </c>
      <c r="G347" s="16">
        <f>VLOOKUP(C347,'RAW DATA 2023'!E:BO,27,0)</f>
        <v>0</v>
      </c>
      <c r="H347" s="16">
        <f>IFERROR(VLOOKUP(F347,STD!B:G,5,0),0)</f>
        <v>0</v>
      </c>
      <c r="I347" s="21">
        <f t="shared" si="28"/>
        <v>0</v>
      </c>
      <c r="J347" s="16">
        <f t="shared" si="29"/>
        <v>-10</v>
      </c>
      <c r="K347" s="106" t="str">
        <f>VLOOKUP(C347,'RAW DATA 2023'!E:BO,36,0)</f>
        <v>WSSV</v>
      </c>
      <c r="L347" s="106">
        <f>VLOOKUP(C347,'RAW DATA 2023'!E:BO,21,0)</f>
        <v>0</v>
      </c>
      <c r="M347" s="106">
        <f t="shared" si="30"/>
        <v>0</v>
      </c>
    </row>
    <row r="348" spans="1:13">
      <c r="A348" t="str">
        <f>'RAW DATA 2023'!B341</f>
        <v>Maeklong1</v>
      </c>
      <c r="B348" t="str">
        <f>'RAW DATA 2023'!D341</f>
        <v>A1-029-0014</v>
      </c>
      <c r="C348" t="str">
        <f t="shared" si="26"/>
        <v>Maeklong1A1-029-0014</v>
      </c>
      <c r="D348">
        <f>VLOOKUP(C348,'RAW DATA 2023'!E:BP,63,0)</f>
        <v>9</v>
      </c>
      <c r="E348" t="str">
        <f t="shared" si="27"/>
        <v>Maeklong19</v>
      </c>
      <c r="F348">
        <f>ROUND(VLOOKUP(C348,'RAW DATA 2023'!E:BO,23,0),0)</f>
        <v>35</v>
      </c>
      <c r="G348" s="16">
        <f>VLOOKUP(C348,'RAW DATA 2023'!E:BO,27,0)</f>
        <v>1.7914510781659116</v>
      </c>
      <c r="H348" s="16">
        <f>IFERROR(VLOOKUP(F348,STD!B:G,5,0),0)</f>
        <v>1.75</v>
      </c>
      <c r="I348" s="21">
        <f t="shared" si="28"/>
        <v>0.97686173031956347</v>
      </c>
      <c r="J348" s="16">
        <f t="shared" si="29"/>
        <v>9.5372346063912694</v>
      </c>
      <c r="K348" s="106" t="str">
        <f>VLOOKUP(C348,'RAW DATA 2023'!E:BO,36,0)</f>
        <v>Normal</v>
      </c>
      <c r="L348" s="106">
        <f>VLOOKUP(C348,'RAW DATA 2023'!E:BO,21,0)</f>
        <v>18.648479999999999</v>
      </c>
      <c r="M348" s="106">
        <f t="shared" si="30"/>
        <v>177.85492881259546</v>
      </c>
    </row>
    <row r="349" spans="1:13">
      <c r="A349" t="str">
        <f>'RAW DATA 2023'!B342</f>
        <v>Maeklong1</v>
      </c>
      <c r="B349" t="str">
        <f>'RAW DATA 2023'!D342</f>
        <v>A1-002-0034</v>
      </c>
      <c r="C349" t="str">
        <f t="shared" si="26"/>
        <v>Maeklong1A1-002-0034</v>
      </c>
      <c r="D349">
        <f>VLOOKUP(C349,'RAW DATA 2023'!E:BP,63,0)</f>
        <v>7</v>
      </c>
      <c r="E349" t="str">
        <f t="shared" si="27"/>
        <v>Maeklong17</v>
      </c>
      <c r="F349">
        <f>ROUND(VLOOKUP(C349,'RAW DATA 2023'!E:BO,23,0),0)</f>
        <v>27</v>
      </c>
      <c r="G349" s="16">
        <f>VLOOKUP(C349,'RAW DATA 2023'!E:BO,27,0)</f>
        <v>2.0201861735506776</v>
      </c>
      <c r="H349" s="16">
        <f>IFERROR(VLOOKUP(F349,STD!B:G,5,0),0)</f>
        <v>1.96</v>
      </c>
      <c r="I349" s="21">
        <f t="shared" si="28"/>
        <v>0.97020761039815728</v>
      </c>
      <c r="J349" s="16">
        <f t="shared" si="29"/>
        <v>9.4041522079631452</v>
      </c>
      <c r="K349" s="106" t="str">
        <f>VLOOKUP(C349,'RAW DATA 2023'!E:BO,36,0)</f>
        <v>Normal</v>
      </c>
      <c r="L349" s="106">
        <f>VLOOKUP(C349,'RAW DATA 2023'!E:BO,21,0)</f>
        <v>38.771920000000001</v>
      </c>
      <c r="M349" s="106">
        <f t="shared" si="30"/>
        <v>364.61703707497043</v>
      </c>
    </row>
    <row r="350" spans="1:13">
      <c r="A350" t="str">
        <f>'RAW DATA 2023'!B343</f>
        <v>Maeklong1</v>
      </c>
      <c r="B350" t="str">
        <f>'RAW DATA 2023'!D343</f>
        <v>A1-005-0044</v>
      </c>
      <c r="C350" t="str">
        <f t="shared" si="26"/>
        <v>Maeklong1A1-005-0044</v>
      </c>
      <c r="D350">
        <f>VLOOKUP(C350,'RAW DATA 2023'!E:BP,63,0)</f>
        <v>9</v>
      </c>
      <c r="E350" t="str">
        <f t="shared" si="27"/>
        <v>Maeklong19</v>
      </c>
      <c r="F350">
        <f>ROUND(VLOOKUP(C350,'RAW DATA 2023'!E:BO,23,0),0)</f>
        <v>26</v>
      </c>
      <c r="G350" s="16">
        <f>VLOOKUP(C350,'RAW DATA 2023'!E:BO,27,0)</f>
        <v>2.2677199051215431</v>
      </c>
      <c r="H350" s="16">
        <f>IFERROR(VLOOKUP(F350,STD!B:G,5,0),0)</f>
        <v>2</v>
      </c>
      <c r="I350" s="21">
        <f t="shared" si="28"/>
        <v>0.88194313393073376</v>
      </c>
      <c r="J350" s="16">
        <f t="shared" si="29"/>
        <v>7.6388626786146752</v>
      </c>
      <c r="K350" s="106" t="str">
        <f>VLOOKUP(C350,'RAW DATA 2023'!E:BO,36,0)</f>
        <v>Normal</v>
      </c>
      <c r="L350" s="106">
        <f>VLOOKUP(C350,'RAW DATA 2023'!E:BO,21,0)</f>
        <v>46.207589999999996</v>
      </c>
      <c r="M350" s="106">
        <f t="shared" si="30"/>
        <v>352.97343471972863</v>
      </c>
    </row>
    <row r="351" spans="1:13">
      <c r="A351" t="str">
        <f>'RAW DATA 2023'!B344</f>
        <v>Maeklong1</v>
      </c>
      <c r="B351" t="str">
        <f>'RAW DATA 2023'!D344</f>
        <v>A1-006-0042</v>
      </c>
      <c r="C351" t="str">
        <f t="shared" si="26"/>
        <v>Maeklong1A1-006-0042</v>
      </c>
      <c r="D351">
        <f>VLOOKUP(C351,'RAW DATA 2023'!E:BP,63,0)</f>
        <v>9</v>
      </c>
      <c r="E351" t="str">
        <f t="shared" si="27"/>
        <v>Maeklong19</v>
      </c>
      <c r="F351">
        <f>ROUND(VLOOKUP(C351,'RAW DATA 2023'!E:BO,23,0),0)</f>
        <v>27</v>
      </c>
      <c r="G351" s="16">
        <f>VLOOKUP(C351,'RAW DATA 2023'!E:BO,27,0)</f>
        <v>2.1878127402008984</v>
      </c>
      <c r="H351" s="16">
        <f>IFERROR(VLOOKUP(F351,STD!B:G,5,0),0)</f>
        <v>1.96</v>
      </c>
      <c r="I351" s="21">
        <f t="shared" si="28"/>
        <v>0.89587191992492954</v>
      </c>
      <c r="J351" s="16">
        <f t="shared" si="29"/>
        <v>7.9174383984985912</v>
      </c>
      <c r="K351" s="106" t="str">
        <f>VLOOKUP(C351,'RAW DATA 2023'!E:BO,36,0)</f>
        <v>Normal</v>
      </c>
      <c r="L351" s="106">
        <f>VLOOKUP(C351,'RAW DATA 2023'!E:BO,21,0)</f>
        <v>37.212919999999997</v>
      </c>
      <c r="M351" s="106">
        <f t="shared" si="30"/>
        <v>294.63100172825619</v>
      </c>
    </row>
    <row r="352" spans="1:13">
      <c r="A352" t="str">
        <f>'RAW DATA 2023'!B345</f>
        <v>Maeklong1</v>
      </c>
      <c r="B352" t="str">
        <f>'RAW DATA 2023'!D345</f>
        <v>A1-030-0007</v>
      </c>
      <c r="C352" t="str">
        <f t="shared" si="26"/>
        <v>Maeklong1A1-030-0007</v>
      </c>
      <c r="D352">
        <f>VLOOKUP(C352,'RAW DATA 2023'!E:BP,63,0)</f>
        <v>8</v>
      </c>
      <c r="E352" t="str">
        <f t="shared" si="27"/>
        <v>Maeklong18</v>
      </c>
      <c r="F352">
        <f>ROUND(VLOOKUP(C352,'RAW DATA 2023'!E:BO,23,0),0)</f>
        <v>32</v>
      </c>
      <c r="G352" s="16">
        <f>VLOOKUP(C352,'RAW DATA 2023'!E:BO,27,0)</f>
        <v>1.9280733134842016</v>
      </c>
      <c r="H352" s="16">
        <f>IFERROR(VLOOKUP(F352,STD!B:G,5,0),0)</f>
        <v>1.82</v>
      </c>
      <c r="J352" s="16">
        <f t="shared" si="29"/>
        <v>-10</v>
      </c>
      <c r="K352" s="106" t="str">
        <f>VLOOKUP(C352,'RAW DATA 2023'!E:BO,36,0)</f>
        <v>Normal</v>
      </c>
      <c r="L352" s="106">
        <f>VLOOKUP(C352,'RAW DATA 2023'!E:BO,21,0)</f>
        <v>14.47578</v>
      </c>
      <c r="M352" s="106">
        <f t="shared" si="30"/>
        <v>-144.7578</v>
      </c>
    </row>
    <row r="353" spans="1:13">
      <c r="A353" t="str">
        <f>'RAW DATA 2023'!B346</f>
        <v>Maeklong1</v>
      </c>
      <c r="B353" t="str">
        <f>'RAW DATA 2023'!D346</f>
        <v>A1-009-0043</v>
      </c>
      <c r="C353" t="str">
        <f t="shared" si="26"/>
        <v>Maeklong1A1-009-0043</v>
      </c>
      <c r="D353">
        <f>VLOOKUP(C353,'RAW DATA 2023'!E:BP,63,0)</f>
        <v>10</v>
      </c>
      <c r="E353" t="str">
        <f t="shared" si="27"/>
        <v>Maeklong110</v>
      </c>
      <c r="F353">
        <f>ROUND(VLOOKUP(C353,'RAW DATA 2023'!E:BO,23,0),0)</f>
        <v>32</v>
      </c>
      <c r="G353" s="16">
        <f>VLOOKUP(C353,'RAW DATA 2023'!E:BO,27,0)</f>
        <v>2.274849740188214</v>
      </c>
      <c r="H353" s="16">
        <f>IFERROR(VLOOKUP(F353,STD!B:G,5,0),0)</f>
        <v>1.82</v>
      </c>
      <c r="I353" s="21">
        <f t="shared" si="28"/>
        <v>0.80005284210526317</v>
      </c>
      <c r="J353" s="16">
        <f t="shared" si="29"/>
        <v>6.0010568421052639</v>
      </c>
      <c r="K353" s="106" t="str">
        <f>VLOOKUP(C353,'RAW DATA 2023'!E:BO,36,0)</f>
        <v>Normal</v>
      </c>
      <c r="L353" s="106">
        <f>VLOOKUP(C353,'RAW DATA 2023'!E:BO,21,0)</f>
        <v>35.246629999999996</v>
      </c>
      <c r="M353" s="106">
        <f t="shared" si="30"/>
        <v>211.51703012265264</v>
      </c>
    </row>
    <row r="354" spans="1:13">
      <c r="A354" t="str">
        <f>'RAW DATA 2023'!B347</f>
        <v>Maeklong1</v>
      </c>
      <c r="B354" t="str">
        <f>'RAW DATA 2023'!D347</f>
        <v>A1-029-0013</v>
      </c>
      <c r="C354" t="str">
        <f t="shared" si="26"/>
        <v>Maeklong1A1-029-0013</v>
      </c>
      <c r="D354">
        <f>VLOOKUP(C354,'RAW DATA 2023'!E:BP,63,0)</f>
        <v>5</v>
      </c>
      <c r="E354" t="str">
        <f t="shared" si="27"/>
        <v>Maeklong15</v>
      </c>
      <c r="F354">
        <f>ROUND(VLOOKUP(C354,'RAW DATA 2023'!E:BO,23,0),0)</f>
        <v>36</v>
      </c>
      <c r="G354" s="16">
        <f>VLOOKUP(C354,'RAW DATA 2023'!E:BO,27,0)</f>
        <v>2.0981060637328954</v>
      </c>
      <c r="H354" s="16">
        <f>IFERROR(VLOOKUP(F354,STD!B:G,5,0),0)</f>
        <v>1.726</v>
      </c>
      <c r="I354" s="21">
        <f t="shared" si="28"/>
        <v>0.82264668590163925</v>
      </c>
      <c r="J354" s="16">
        <f t="shared" si="29"/>
        <v>6.452933718032785</v>
      </c>
      <c r="K354" s="106" t="str">
        <f>VLOOKUP(C354,'RAW DATA 2023'!E:BO,36,0)</f>
        <v>Normal</v>
      </c>
      <c r="L354" s="106">
        <f>VLOOKUP(C354,'RAW DATA 2023'!E:BO,21,0)</f>
        <v>15.02492</v>
      </c>
      <c r="M354" s="106">
        <f t="shared" si="30"/>
        <v>96.954812878745145</v>
      </c>
    </row>
    <row r="355" spans="1:13">
      <c r="A355" t="str">
        <f>'RAW DATA 2023'!B348</f>
        <v>Maeklong1</v>
      </c>
      <c r="B355" t="str">
        <f>'RAW DATA 2023'!D348</f>
        <v>A1-030-0008</v>
      </c>
      <c r="C355" t="str">
        <f t="shared" si="26"/>
        <v>Maeklong1A1-030-0008</v>
      </c>
      <c r="D355">
        <f>VLOOKUP(C355,'RAW DATA 2023'!E:BP,63,0)</f>
        <v>12</v>
      </c>
      <c r="E355" t="str">
        <f t="shared" si="27"/>
        <v>Maeklong112</v>
      </c>
      <c r="F355">
        <f>ROUND(VLOOKUP(C355,'RAW DATA 2023'!E:BO,23,0),0)</f>
        <v>41</v>
      </c>
      <c r="G355" s="16">
        <f>VLOOKUP(C355,'RAW DATA 2023'!E:BO,27,0)</f>
        <v>1.7731093002442653</v>
      </c>
      <c r="H355" s="16">
        <f>IFERROR(VLOOKUP(F355,STD!B:G,5,0),0)</f>
        <v>1.61</v>
      </c>
      <c r="I355" s="21">
        <f t="shared" si="28"/>
        <v>0.90800944971537001</v>
      </c>
      <c r="J355" s="16">
        <f t="shared" si="29"/>
        <v>8.1601889943074006</v>
      </c>
      <c r="K355" s="106" t="str">
        <f>VLOOKUP(C355,'RAW DATA 2023'!E:BO,36,0)</f>
        <v>Normal</v>
      </c>
      <c r="L355" s="106">
        <f>VLOOKUP(C355,'RAW DATA 2023'!E:BO,21,0)</f>
        <v>15.3969</v>
      </c>
      <c r="M355" s="106">
        <f t="shared" si="30"/>
        <v>125.64161392645163</v>
      </c>
    </row>
    <row r="356" spans="1:13">
      <c r="A356" t="str">
        <f>'RAW DATA 2023'!B349</f>
        <v>Maeklong1</v>
      </c>
      <c r="B356" t="str">
        <f>'RAW DATA 2023'!D349</f>
        <v>A1-002-0035</v>
      </c>
      <c r="C356" t="str">
        <f t="shared" si="26"/>
        <v>Maeklong1A1-002-0035</v>
      </c>
      <c r="D356">
        <f>VLOOKUP(C356,'RAW DATA 2023'!E:BP,63,0)</f>
        <v>10</v>
      </c>
      <c r="E356" t="str">
        <f t="shared" si="27"/>
        <v>Maeklong110</v>
      </c>
      <c r="F356">
        <f>ROUND(VLOOKUP(C356,'RAW DATA 2023'!E:BO,23,0),0)</f>
        <v>45</v>
      </c>
      <c r="G356" s="16">
        <f>VLOOKUP(C356,'RAW DATA 2023'!E:BO,27,0)</f>
        <v>9.6810190033587435</v>
      </c>
      <c r="H356" s="16">
        <f>IFERROR(VLOOKUP(F356,STD!B:G,5,0),0)</f>
        <v>1.55</v>
      </c>
      <c r="I356" s="21">
        <f t="shared" si="28"/>
        <v>0.16010711263579189</v>
      </c>
      <c r="J356" s="16">
        <f t="shared" si="29"/>
        <v>-6.7978577472841621</v>
      </c>
      <c r="K356" s="106" t="str">
        <f>VLOOKUP(C356,'RAW DATA 2023'!E:BO,36,0)</f>
        <v>WSSV</v>
      </c>
      <c r="L356" s="106">
        <f>VLOOKUP(C356,'RAW DATA 2023'!E:BO,21,0)</f>
        <v>5.1885699999999995</v>
      </c>
      <c r="M356" s="106">
        <f t="shared" si="30"/>
        <v>-35.271160771826182</v>
      </c>
    </row>
    <row r="357" spans="1:13">
      <c r="A357" t="str">
        <f>'RAW DATA 2023'!B350</f>
        <v>Maeklong1</v>
      </c>
      <c r="B357" t="str">
        <f>'RAW DATA 2023'!D350</f>
        <v>A1-029-0012</v>
      </c>
      <c r="C357" t="str">
        <f t="shared" si="26"/>
        <v>Maeklong1A1-029-0012</v>
      </c>
      <c r="D357">
        <f>VLOOKUP(C357,'RAW DATA 2023'!E:BP,63,0)</f>
        <v>1</v>
      </c>
      <c r="E357" t="str">
        <f t="shared" si="27"/>
        <v>Maeklong11</v>
      </c>
      <c r="F357">
        <f>ROUND(VLOOKUP(C357,'RAW DATA 2023'!E:BO,23,0),0)</f>
        <v>44</v>
      </c>
      <c r="G357" s="16">
        <f>VLOOKUP(C357,'RAW DATA 2023'!E:BO,27,0)</f>
        <v>2.0424505380270457</v>
      </c>
      <c r="H357" s="16">
        <f>IFERROR(VLOOKUP(F357,STD!B:G,5,0),0)</f>
        <v>1.57</v>
      </c>
      <c r="I357" s="21">
        <f t="shared" si="28"/>
        <v>0.76868446543463398</v>
      </c>
      <c r="J357" s="16">
        <f t="shared" si="29"/>
        <v>5.3736893086926791</v>
      </c>
      <c r="K357" s="106" t="str">
        <f>VLOOKUP(C357,'RAW DATA 2023'!E:BO,36,0)</f>
        <v>Normal</v>
      </c>
      <c r="L357" s="106">
        <f>VLOOKUP(C357,'RAW DATA 2023'!E:BO,21,0)</f>
        <v>18.047930000000001</v>
      </c>
      <c r="M357" s="106">
        <f t="shared" si="30"/>
        <v>96.98396848503387</v>
      </c>
    </row>
    <row r="358" spans="1:13">
      <c r="A358" t="str">
        <f>'RAW DATA 2023'!B351</f>
        <v>Maeklong1</v>
      </c>
      <c r="B358" t="str">
        <f>'RAW DATA 2023'!D351</f>
        <v>A1-029-0015</v>
      </c>
      <c r="C358" t="str">
        <f t="shared" si="26"/>
        <v>Maeklong1A1-029-0015</v>
      </c>
      <c r="D358">
        <f>VLOOKUP(C358,'RAW DATA 2023'!E:BP,63,0)</f>
        <v>12</v>
      </c>
      <c r="E358" t="str">
        <f t="shared" si="27"/>
        <v>Maeklong112</v>
      </c>
      <c r="F358">
        <f>ROUND(VLOOKUP(C358,'RAW DATA 2023'!E:BO,23,0),0)</f>
        <v>64</v>
      </c>
      <c r="G358" s="16">
        <f>VLOOKUP(C358,'RAW DATA 2023'!E:BO,27,0)</f>
        <v>1.7554776897014639</v>
      </c>
      <c r="H358" s="16">
        <f>IFERROR(VLOOKUP(F358,STD!B:G,5,0),0)</f>
        <v>1.37</v>
      </c>
      <c r="I358" s="21">
        <f t="shared" si="28"/>
        <v>0.78041436130867714</v>
      </c>
      <c r="J358" s="16">
        <f t="shared" si="29"/>
        <v>5.6082872261735428</v>
      </c>
      <c r="K358" s="106" t="str">
        <f>VLOOKUP(C358,'RAW DATA 2023'!E:BO,36,0)</f>
        <v>WSSV</v>
      </c>
      <c r="L358" s="106">
        <f>VLOOKUP(C358,'RAW DATA 2023'!E:BO,21,0)</f>
        <v>10.911520000000001</v>
      </c>
      <c r="M358" s="106">
        <f t="shared" si="30"/>
        <v>61.19493823413714</v>
      </c>
    </row>
    <row r="359" spans="1:13">
      <c r="A359" t="str">
        <f>'RAW DATA 2023'!B352</f>
        <v>Maeklong1</v>
      </c>
      <c r="B359" t="str">
        <f>'RAW DATA 2023'!D352</f>
        <v>A1-006-0043</v>
      </c>
      <c r="C359" t="str">
        <f t="shared" si="26"/>
        <v>Maeklong1A1-006-0043</v>
      </c>
      <c r="D359">
        <f>VLOOKUP(C359,'RAW DATA 2023'!E:BP,63,0)</f>
        <v>12</v>
      </c>
      <c r="E359" t="str">
        <f t="shared" si="27"/>
        <v>Maeklong112</v>
      </c>
      <c r="F359">
        <f>ROUND(VLOOKUP(C359,'RAW DATA 2023'!E:BO,23,0),0)</f>
        <v>52</v>
      </c>
      <c r="G359" s="16">
        <f>VLOOKUP(C359,'RAW DATA 2023'!E:BO,27,0)</f>
        <v>2.4356850801182017</v>
      </c>
      <c r="H359" s="16">
        <f>IFERROR(VLOOKUP(F359,STD!B:G,5,0),0)</f>
        <v>1.47</v>
      </c>
      <c r="J359" s="16">
        <f t="shared" si="29"/>
        <v>-10</v>
      </c>
      <c r="K359" s="106" t="str">
        <f>VLOOKUP(C359,'RAW DATA 2023'!E:BO,36,0)</f>
        <v>Normal</v>
      </c>
      <c r="L359" s="106">
        <f>VLOOKUP(C359,'RAW DATA 2023'!E:BO,21,0)</f>
        <v>19.13007</v>
      </c>
      <c r="M359" s="106">
        <f t="shared" si="30"/>
        <v>-191.30070000000001</v>
      </c>
    </row>
    <row r="360" spans="1:13">
      <c r="A360" t="str">
        <f>'RAW DATA 2023'!B353</f>
        <v>Maeklong1</v>
      </c>
      <c r="B360" t="str">
        <f>'RAW DATA 2023'!D353</f>
        <v>A1-009-0044</v>
      </c>
      <c r="C360" t="str">
        <f t="shared" si="26"/>
        <v>Maeklong1A1-009-0044</v>
      </c>
      <c r="D360">
        <f>VLOOKUP(C360,'RAW DATA 2023'!E:BP,63,0)</f>
        <v>12</v>
      </c>
      <c r="E360" t="str">
        <f t="shared" si="27"/>
        <v>Maeklong112</v>
      </c>
      <c r="F360">
        <f>ROUND(VLOOKUP(C360,'RAW DATA 2023'!E:BO,23,0),0)</f>
        <v>84</v>
      </c>
      <c r="G360" s="16">
        <f>VLOOKUP(C360,'RAW DATA 2023'!E:BO,27,0)</f>
        <v>15.886752406700863</v>
      </c>
      <c r="H360" s="16">
        <f>IFERROR(VLOOKUP(F360,STD!B:G,5,0),0)</f>
        <v>1.27</v>
      </c>
      <c r="I360" s="21">
        <f t="shared" si="28"/>
        <v>7.9940819085487072E-2</v>
      </c>
      <c r="J360" s="16">
        <f t="shared" si="29"/>
        <v>-8.4011836182902595</v>
      </c>
      <c r="K360" s="106" t="str">
        <f>VLOOKUP(C360,'RAW DATA 2023'!E:BO,36,0)</f>
        <v>WSSV</v>
      </c>
      <c r="L360" s="106">
        <f>VLOOKUP(C360,'RAW DATA 2023'!E:BO,21,0)</f>
        <v>2.1665399999999999</v>
      </c>
      <c r="M360" s="106">
        <f t="shared" si="30"/>
        <v>-18.201500356370577</v>
      </c>
    </row>
    <row r="361" spans="1:13">
      <c r="A361" t="str">
        <f>'RAW DATA 2023'!B354</f>
        <v>Maeklong1</v>
      </c>
      <c r="B361" t="str">
        <f>'RAW DATA 2023'!D354</f>
        <v>A1-006-0041</v>
      </c>
      <c r="C361" t="str">
        <f t="shared" si="26"/>
        <v>Maeklong1A1-006-0041</v>
      </c>
      <c r="D361">
        <f>VLOOKUP(C361,'RAW DATA 2023'!E:BP,63,0)</f>
        <v>3</v>
      </c>
      <c r="E361" t="str">
        <f t="shared" si="27"/>
        <v>Maeklong13</v>
      </c>
      <c r="F361">
        <f>ROUND(VLOOKUP(C361,'RAW DATA 2023'!E:BO,23,0),0)</f>
        <v>42</v>
      </c>
      <c r="G361" s="16">
        <f>VLOOKUP(C361,'RAW DATA 2023'!E:BO,27,0)</f>
        <v>2.5691255338963996</v>
      </c>
      <c r="H361" s="16">
        <f>IFERROR(VLOOKUP(F361,STD!B:G,5,0),0)</f>
        <v>1.6</v>
      </c>
      <c r="J361" s="16">
        <f t="shared" si="29"/>
        <v>-10</v>
      </c>
      <c r="K361" s="106" t="str">
        <f>VLOOKUP(C361,'RAW DATA 2023'!E:BO,36,0)</f>
        <v>Normal</v>
      </c>
      <c r="L361" s="106">
        <f>VLOOKUP(C361,'RAW DATA 2023'!E:BO,21,0)</f>
        <v>23.152080000000002</v>
      </c>
      <c r="M361" s="106">
        <f t="shared" si="30"/>
        <v>-231.52080000000001</v>
      </c>
    </row>
    <row r="362" spans="1:13">
      <c r="A362" t="str">
        <f>'RAW DATA 2023'!B355</f>
        <v>Maeklong1</v>
      </c>
      <c r="B362" t="str">
        <f>'RAW DATA 2023'!D355</f>
        <v>A1-030-0006</v>
      </c>
      <c r="C362" t="str">
        <f t="shared" si="26"/>
        <v>Maeklong1A1-030-0006</v>
      </c>
      <c r="D362">
        <f>VLOOKUP(C362,'RAW DATA 2023'!E:BP,63,0)</f>
        <v>3</v>
      </c>
      <c r="E362" t="str">
        <f t="shared" si="27"/>
        <v>Maeklong13</v>
      </c>
      <c r="F362">
        <f>ROUND(VLOOKUP(C362,'RAW DATA 2023'!E:BO,23,0),0)</f>
        <v>40</v>
      </c>
      <c r="G362" s="16">
        <f>VLOOKUP(C362,'RAW DATA 2023'!E:BO,27,0)</f>
        <v>2.1196724136392251</v>
      </c>
      <c r="H362" s="16">
        <f>IFERROR(VLOOKUP(F362,STD!B:G,5,0),0)</f>
        <v>1.63</v>
      </c>
      <c r="I362" s="21">
        <f t="shared" si="28"/>
        <v>0.76898674979757087</v>
      </c>
      <c r="J362" s="16">
        <f t="shared" si="29"/>
        <v>5.3797349959514174</v>
      </c>
      <c r="K362" s="106" t="str">
        <f>VLOOKUP(C362,'RAW DATA 2023'!E:BO,36,0)</f>
        <v>Normal</v>
      </c>
      <c r="L362" s="106">
        <f>VLOOKUP(C362,'RAW DATA 2023'!E:BO,21,0)</f>
        <v>14.99893</v>
      </c>
      <c r="M362" s="106">
        <f t="shared" si="30"/>
        <v>80.690268622825585</v>
      </c>
    </row>
    <row r="363" spans="1:13">
      <c r="A363" t="str">
        <f>'RAW DATA 2023'!B356</f>
        <v>Maeklong1</v>
      </c>
      <c r="B363" t="str">
        <f>'RAW DATA 2023'!D356</f>
        <v>A1-005-0042</v>
      </c>
      <c r="C363" t="str">
        <f t="shared" si="26"/>
        <v>Maeklong1A1-005-0042</v>
      </c>
      <c r="D363">
        <f>VLOOKUP(C363,'RAW DATA 2023'!E:BP,63,0)</f>
        <v>1</v>
      </c>
      <c r="E363" t="str">
        <f t="shared" si="27"/>
        <v>Maeklong11</v>
      </c>
      <c r="F363">
        <f>ROUND(VLOOKUP(C363,'RAW DATA 2023'!E:BO,23,0),0)</f>
        <v>78</v>
      </c>
      <c r="G363" s="16">
        <f>VLOOKUP(C363,'RAW DATA 2023'!E:BO,27,0)</f>
        <v>1.3637645848486273</v>
      </c>
      <c r="H363" s="16">
        <f>IFERROR(VLOOKUP(F363,STD!B:G,5,0),0)</f>
        <v>1.3</v>
      </c>
      <c r="I363" s="21">
        <f t="shared" si="28"/>
        <v>0.95324370088719901</v>
      </c>
      <c r="J363" s="16">
        <f t="shared" si="29"/>
        <v>9.0648740177439802</v>
      </c>
      <c r="K363" s="106" t="str">
        <f>VLOOKUP(C363,'RAW DATA 2023'!E:BO,36,0)</f>
        <v>WSSV</v>
      </c>
      <c r="L363" s="106">
        <f>VLOOKUP(C363,'RAW DATA 2023'!E:BO,21,0)</f>
        <v>14.958639999999999</v>
      </c>
      <c r="M363" s="106">
        <f t="shared" si="30"/>
        <v>135.59818707678579</v>
      </c>
    </row>
    <row r="364" spans="1:13">
      <c r="A364" t="str">
        <f>'RAW DATA 2023'!B357</f>
        <v>Maeklong1</v>
      </c>
      <c r="B364" t="str">
        <f>'RAW DATA 2023'!D357</f>
        <v>A1-009-0042</v>
      </c>
      <c r="C364" t="str">
        <f t="shared" si="26"/>
        <v>Maeklong1A1-009-0042</v>
      </c>
      <c r="D364">
        <f>VLOOKUP(C364,'RAW DATA 2023'!E:BP,63,0)</f>
        <v>4</v>
      </c>
      <c r="E364" t="str">
        <f t="shared" si="27"/>
        <v>Maeklong14</v>
      </c>
      <c r="F364">
        <f>ROUND(VLOOKUP(C364,'RAW DATA 2023'!E:BO,23,0),0)</f>
        <v>67</v>
      </c>
      <c r="G364" s="16">
        <f>VLOOKUP(C364,'RAW DATA 2023'!E:BO,27,0)</f>
        <v>1.5823541222476121</v>
      </c>
      <c r="H364" s="16">
        <f>IFERROR(VLOOKUP(F364,STD!B:G,5,0),0)</f>
        <v>1.35</v>
      </c>
      <c r="I364" s="21">
        <f t="shared" si="28"/>
        <v>0.85315921450151067</v>
      </c>
      <c r="J364" s="16">
        <f t="shared" si="29"/>
        <v>7.0631842900302129</v>
      </c>
      <c r="K364" s="106" t="str">
        <f>VLOOKUP(C364,'RAW DATA 2023'!E:BO,36,0)</f>
        <v>WSSV</v>
      </c>
      <c r="L364" s="106">
        <f>VLOOKUP(C364,'RAW DATA 2023'!E:BO,21,0)</f>
        <v>15.83165</v>
      </c>
      <c r="M364" s="106">
        <f t="shared" si="30"/>
        <v>111.82186156525682</v>
      </c>
    </row>
    <row r="365" spans="1:13">
      <c r="A365" t="str">
        <f>'RAW DATA 2023'!B358</f>
        <v>Maeklong1</v>
      </c>
      <c r="B365" t="str">
        <f>'RAW DATA 2023'!D358</f>
        <v>A1-002-0033</v>
      </c>
      <c r="C365" t="str">
        <f t="shared" si="26"/>
        <v>Maeklong1A1-002-0033</v>
      </c>
      <c r="D365">
        <f>VLOOKUP(C365,'RAW DATA 2023'!E:BP,63,0)</f>
        <v>2</v>
      </c>
      <c r="E365" t="str">
        <f t="shared" si="27"/>
        <v>Maeklong12</v>
      </c>
      <c r="F365">
        <f>ROUND(VLOOKUP(C365,'RAW DATA 2023'!E:BO,23,0),0)</f>
        <v>74</v>
      </c>
      <c r="G365" s="16">
        <f>VLOOKUP(C365,'RAW DATA 2023'!E:BO,27,0)</f>
        <v>1.5170007648292099</v>
      </c>
      <c r="H365" s="16">
        <f>IFERROR(VLOOKUP(F365,STD!B:G,5,0),0)</f>
        <v>1.32</v>
      </c>
      <c r="I365" s="21">
        <f t="shared" si="28"/>
        <v>0.87013799241466505</v>
      </c>
      <c r="J365" s="16">
        <f t="shared" si="29"/>
        <v>7.402759848293301</v>
      </c>
      <c r="K365" s="106" t="str">
        <f>VLOOKUP(C365,'RAW DATA 2023'!E:BO,36,0)</f>
        <v>EHP</v>
      </c>
      <c r="L365" s="106">
        <f>VLOOKUP(C365,'RAW DATA 2023'!E:BO,21,0)</f>
        <v>13.604340000000001</v>
      </c>
      <c r="M365" s="106">
        <f t="shared" si="30"/>
        <v>100.70966191453049</v>
      </c>
    </row>
    <row r="366" spans="1:13">
      <c r="A366" t="str">
        <f>'RAW DATA 2023'!B359</f>
        <v>Maeklong1</v>
      </c>
      <c r="B366" t="str">
        <f>'RAW DATA 2023'!D359</f>
        <v>A1-005-0043</v>
      </c>
      <c r="C366" t="str">
        <f t="shared" si="26"/>
        <v>Maeklong1A1-005-0043</v>
      </c>
      <c r="D366">
        <f>VLOOKUP(C366,'RAW DATA 2023'!E:BP,63,0)</f>
        <v>3</v>
      </c>
      <c r="E366" t="str">
        <f t="shared" si="27"/>
        <v>Maeklong13</v>
      </c>
      <c r="F366">
        <f>ROUND(VLOOKUP(C366,'RAW DATA 2023'!E:BO,23,0),0)</f>
        <v>0</v>
      </c>
      <c r="G366" s="16">
        <f>VLOOKUP(C366,'RAW DATA 2023'!E:BO,27,0)</f>
        <v>0</v>
      </c>
      <c r="H366" s="16">
        <f>IFERROR(VLOOKUP(F366,STD!B:G,5,0),0)</f>
        <v>0</v>
      </c>
      <c r="I366" s="21">
        <f t="shared" si="28"/>
        <v>0</v>
      </c>
      <c r="J366" s="16">
        <f t="shared" si="29"/>
        <v>-10</v>
      </c>
      <c r="K366" s="106" t="str">
        <f>VLOOKUP(C366,'RAW DATA 2023'!E:BO,36,0)</f>
        <v>WSSV</v>
      </c>
      <c r="L366" s="106">
        <f>VLOOKUP(C366,'RAW DATA 2023'!E:BO,21,0)</f>
        <v>0</v>
      </c>
      <c r="M366" s="106">
        <f t="shared" si="30"/>
        <v>0</v>
      </c>
    </row>
    <row r="367" spans="1:13">
      <c r="A367" t="str">
        <f>'RAW DATA 2023'!B360</f>
        <v>PB5</v>
      </c>
      <c r="B367" t="str">
        <f>'RAW DATA 2023'!D360</f>
        <v>A1-009-0048</v>
      </c>
      <c r="C367" t="str">
        <f t="shared" si="26"/>
        <v>PB5A1-009-0048</v>
      </c>
      <c r="D367">
        <f>VLOOKUP(C367,'RAW DATA 2023'!E:BP,63,0)</f>
        <v>8</v>
      </c>
      <c r="E367" t="str">
        <f t="shared" si="27"/>
        <v>PB58</v>
      </c>
      <c r="F367">
        <f>ROUND(VLOOKUP(C367,'RAW DATA 2023'!E:BO,23,0),0)</f>
        <v>29</v>
      </c>
      <c r="G367" s="16">
        <f>VLOOKUP(C367,'RAW DATA 2023'!E:BO,27,0)</f>
        <v>2.2018849657843127</v>
      </c>
      <c r="H367" s="16">
        <f>IFERROR(VLOOKUP(F367,STD!B:G,5,0),0)</f>
        <v>1.9</v>
      </c>
      <c r="I367" s="21">
        <f t="shared" si="28"/>
        <v>0.86289703119128147</v>
      </c>
      <c r="J367" s="16">
        <f t="shared" si="29"/>
        <v>7.257940623825629</v>
      </c>
      <c r="K367" s="106" t="str">
        <f>VLOOKUP(C367,'RAW DATA 2023'!E:BO,36,0)</f>
        <v>Normal</v>
      </c>
      <c r="L367" s="106">
        <f>VLOOKUP(C367,'RAW DATA 2023'!E:BO,21,0)</f>
        <v>30.779799999999998</v>
      </c>
      <c r="M367" s="106">
        <f t="shared" si="30"/>
        <v>223.39796081322808</v>
      </c>
    </row>
    <row r="368" spans="1:13">
      <c r="A368" t="str">
        <f>'RAW DATA 2023'!B361</f>
        <v>PB5</v>
      </c>
      <c r="B368" t="str">
        <f>'RAW DATA 2023'!D361</f>
        <v>A1-011-0047</v>
      </c>
      <c r="C368" t="str">
        <f t="shared" si="26"/>
        <v>PB5A1-011-0047</v>
      </c>
      <c r="D368">
        <f>VLOOKUP(C368,'RAW DATA 2023'!E:BP,63,0)</f>
        <v>8</v>
      </c>
      <c r="E368" t="str">
        <f t="shared" si="27"/>
        <v>PB58</v>
      </c>
      <c r="F368">
        <f>ROUND(VLOOKUP(C368,'RAW DATA 2023'!E:BO,23,0),0)</f>
        <v>32</v>
      </c>
      <c r="G368" s="16">
        <f>VLOOKUP(C368,'RAW DATA 2023'!E:BO,27,0)</f>
        <v>2.6105652060139963</v>
      </c>
      <c r="H368" s="16">
        <f>IFERROR(VLOOKUP(F368,STD!B:G,5,0),0)</f>
        <v>1.82</v>
      </c>
      <c r="I368" s="21">
        <f t="shared" si="28"/>
        <v>0.69716703333333341</v>
      </c>
      <c r="J368" s="16">
        <f t="shared" si="29"/>
        <v>3.9433406666666682</v>
      </c>
      <c r="K368" s="106" t="str">
        <f>VLOOKUP(C368,'RAW DATA 2023'!E:BO,36,0)</f>
        <v>Normal</v>
      </c>
      <c r="L368" s="106">
        <f>VLOOKUP(C368,'RAW DATA 2023'!E:BO,21,0)</f>
        <v>16.53847</v>
      </c>
      <c r="M368" s="106">
        <f t="shared" si="30"/>
        <v>65.216821315446694</v>
      </c>
    </row>
    <row r="369" spans="1:13">
      <c r="A369" t="str">
        <f>'RAW DATA 2023'!B362</f>
        <v>PB5</v>
      </c>
      <c r="B369" t="str">
        <f>'RAW DATA 2023'!D362</f>
        <v>B1-021-0048</v>
      </c>
      <c r="C369" t="str">
        <f t="shared" si="26"/>
        <v>PB5B1-021-0048</v>
      </c>
      <c r="D369">
        <f>VLOOKUP(C369,'RAW DATA 2023'!E:BP,63,0)</f>
        <v>11</v>
      </c>
      <c r="E369" t="str">
        <f t="shared" si="27"/>
        <v>PB511</v>
      </c>
      <c r="F369">
        <f>ROUND(VLOOKUP(C369,'RAW DATA 2023'!E:BO,23,0),0)</f>
        <v>36</v>
      </c>
      <c r="G369" s="16">
        <f>VLOOKUP(C369,'RAW DATA 2023'!E:BO,27,0)</f>
        <v>1.9028748564947811</v>
      </c>
      <c r="H369" s="16">
        <f>IFERROR(VLOOKUP(F369,STD!B:G,5,0),0)</f>
        <v>1.726</v>
      </c>
      <c r="I369" s="21">
        <f t="shared" si="28"/>
        <v>0.90704861336987974</v>
      </c>
      <c r="J369" s="16">
        <f t="shared" si="29"/>
        <v>8.1409722673975953</v>
      </c>
      <c r="K369" s="106" t="str">
        <f>VLOOKUP(C369,'RAW DATA 2023'!E:BO,36,0)</f>
        <v>Normal</v>
      </c>
      <c r="L369" s="106">
        <f>VLOOKUP(C369,'RAW DATA 2023'!E:BO,21,0)</f>
        <v>17.783470000000001</v>
      </c>
      <c r="M369" s="106">
        <f t="shared" si="30"/>
        <v>144.77473608809711</v>
      </c>
    </row>
    <row r="370" spans="1:13">
      <c r="A370" t="str">
        <f>'RAW DATA 2023'!B363</f>
        <v>PB5</v>
      </c>
      <c r="B370" t="str">
        <f>'RAW DATA 2023'!D363</f>
        <v>B1-023-0050</v>
      </c>
      <c r="C370" t="str">
        <f t="shared" si="26"/>
        <v>PB5B1-023-0050</v>
      </c>
      <c r="D370">
        <f>VLOOKUP(C370,'RAW DATA 2023'!E:BP,63,0)</f>
        <v>11</v>
      </c>
      <c r="E370" t="str">
        <f t="shared" si="27"/>
        <v>PB511</v>
      </c>
      <c r="F370">
        <f>ROUND(VLOOKUP(C370,'RAW DATA 2023'!E:BO,23,0),0)</f>
        <v>36</v>
      </c>
      <c r="G370" s="16">
        <f>VLOOKUP(C370,'RAW DATA 2023'!E:BO,27,0)</f>
        <v>1.8047685122822343</v>
      </c>
      <c r="H370" s="16">
        <f>IFERROR(VLOOKUP(F370,STD!B:G,5,0),0)</f>
        <v>1.726</v>
      </c>
      <c r="I370" s="21">
        <f t="shared" si="28"/>
        <v>0.95635533768115943</v>
      </c>
      <c r="J370" s="16">
        <f t="shared" si="29"/>
        <v>9.1271067536231882</v>
      </c>
      <c r="K370" s="106" t="str">
        <f>VLOOKUP(C370,'RAW DATA 2023'!E:BO,36,0)</f>
        <v>Normal</v>
      </c>
      <c r="L370" s="106">
        <f>VLOOKUP(C370,'RAW DATA 2023'!E:BO,21,0)</f>
        <v>23.595299999999998</v>
      </c>
      <c r="M370" s="106">
        <f t="shared" si="30"/>
        <v>215.3568219837652</v>
      </c>
    </row>
    <row r="371" spans="1:13">
      <c r="A371" t="str">
        <f>'RAW DATA 2023'!B364</f>
        <v>PB5</v>
      </c>
      <c r="B371" t="str">
        <f>'RAW DATA 2023'!D364</f>
        <v>B1-021-0047</v>
      </c>
      <c r="C371" t="str">
        <f t="shared" si="26"/>
        <v>PB5B1-021-0047</v>
      </c>
      <c r="D371">
        <f>VLOOKUP(C371,'RAW DATA 2023'!E:BP,63,0)</f>
        <v>7</v>
      </c>
      <c r="E371" t="str">
        <f t="shared" si="27"/>
        <v>PB57</v>
      </c>
      <c r="F371">
        <f>ROUND(VLOOKUP(C371,'RAW DATA 2023'!E:BO,23,0),0)</f>
        <v>29</v>
      </c>
      <c r="G371" s="16">
        <f>VLOOKUP(C371,'RAW DATA 2023'!E:BO,27,0)</f>
        <v>2.3108833276719918</v>
      </c>
      <c r="H371" s="16">
        <f>IFERROR(VLOOKUP(F371,STD!B:G,5,0),0)</f>
        <v>1.9</v>
      </c>
      <c r="I371" s="21">
        <f t="shared" si="28"/>
        <v>0.82219642041127183</v>
      </c>
      <c r="J371" s="16">
        <f t="shared" si="29"/>
        <v>6.4439284082254371</v>
      </c>
      <c r="K371" s="106" t="str">
        <f>VLOOKUP(C371,'RAW DATA 2023'!E:BO,36,0)</f>
        <v>Normal</v>
      </c>
      <c r="L371" s="106">
        <f>VLOOKUP(C371,'RAW DATA 2023'!E:BO,21,0)</f>
        <v>28.821549999999998</v>
      </c>
      <c r="M371" s="106">
        <f t="shared" si="30"/>
        <v>185.72400481408982</v>
      </c>
    </row>
    <row r="372" spans="1:13">
      <c r="A372" t="str">
        <f>'RAW DATA 2023'!B365</f>
        <v>PB5</v>
      </c>
      <c r="B372" t="str">
        <f>'RAW DATA 2023'!D365</f>
        <v>B1-022-0051</v>
      </c>
      <c r="C372" t="str">
        <f t="shared" si="26"/>
        <v>PB5B1-022-0051</v>
      </c>
      <c r="D372">
        <f>VLOOKUP(C372,'RAW DATA 2023'!E:BP,63,0)</f>
        <v>11</v>
      </c>
      <c r="E372" t="str">
        <f t="shared" si="27"/>
        <v>PB511</v>
      </c>
      <c r="F372">
        <f>ROUND(VLOOKUP(C372,'RAW DATA 2023'!E:BO,23,0),0)</f>
        <v>35</v>
      </c>
      <c r="G372" s="16">
        <f>VLOOKUP(C372,'RAW DATA 2023'!E:BO,27,0)</f>
        <v>2.2160077535032108</v>
      </c>
      <c r="H372" s="16">
        <f>IFERROR(VLOOKUP(F372,STD!B:G,5,0),0)</f>
        <v>1.75</v>
      </c>
      <c r="I372" s="21">
        <f t="shared" si="28"/>
        <v>0.78970842824601351</v>
      </c>
      <c r="J372" s="16">
        <f t="shared" si="29"/>
        <v>5.7941685649202697</v>
      </c>
      <c r="K372" s="106" t="str">
        <f>VLOOKUP(C372,'RAW DATA 2023'!E:BO,36,0)</f>
        <v>Normal</v>
      </c>
      <c r="L372" s="106">
        <f>VLOOKUP(C372,'RAW DATA 2023'!E:BO,21,0)</f>
        <v>22.26144</v>
      </c>
      <c r="M372" s="106">
        <f t="shared" si="30"/>
        <v>128.98653585785868</v>
      </c>
    </row>
    <row r="373" spans="1:13">
      <c r="A373" t="str">
        <f>'RAW DATA 2023'!B366</f>
        <v>PB5</v>
      </c>
      <c r="B373" t="str">
        <f>'RAW DATA 2023'!D366</f>
        <v>B1-022-0050</v>
      </c>
      <c r="C373" t="str">
        <f t="shared" si="26"/>
        <v>PB5B1-022-0050</v>
      </c>
      <c r="D373">
        <f>VLOOKUP(C373,'RAW DATA 2023'!E:BP,63,0)</f>
        <v>6</v>
      </c>
      <c r="E373" t="str">
        <f t="shared" si="27"/>
        <v>PB56</v>
      </c>
      <c r="F373">
        <f>ROUND(VLOOKUP(C373,'RAW DATA 2023'!E:BO,23,0),0)</f>
        <v>43</v>
      </c>
      <c r="G373" s="16">
        <f>VLOOKUP(C373,'RAW DATA 2023'!E:BO,27,0)</f>
        <v>1.7043806789323326</v>
      </c>
      <c r="H373" s="16">
        <f>IFERROR(VLOOKUP(F373,STD!B:G,5,0),0)</f>
        <v>1.58</v>
      </c>
      <c r="I373" s="21">
        <f t="shared" si="28"/>
        <v>0.92702294712103417</v>
      </c>
      <c r="J373" s="16">
        <f t="shared" si="29"/>
        <v>8.5404589424206829</v>
      </c>
      <c r="K373" s="106" t="str">
        <f>VLOOKUP(C373,'RAW DATA 2023'!E:BO,36,0)</f>
        <v>Normal</v>
      </c>
      <c r="L373" s="106">
        <f>VLOOKUP(C373,'RAW DATA 2023'!E:BO,21,0)</f>
        <v>25.295080000000002</v>
      </c>
      <c r="M373" s="106">
        <f t="shared" si="30"/>
        <v>216.03159218524658</v>
      </c>
    </row>
    <row r="374" spans="1:13">
      <c r="A374" t="str">
        <f>'RAW DATA 2023'!B367</f>
        <v>PB5</v>
      </c>
      <c r="B374" t="str">
        <f>'RAW DATA 2023'!D367</f>
        <v>B1-021-0046</v>
      </c>
      <c r="C374" t="str">
        <f t="shared" si="26"/>
        <v>PB5B1-021-0046</v>
      </c>
      <c r="D374">
        <f>VLOOKUP(C374,'RAW DATA 2023'!E:BP,63,0)</f>
        <v>2</v>
      </c>
      <c r="E374" t="str">
        <f t="shared" si="27"/>
        <v>PB52</v>
      </c>
      <c r="F374">
        <f>ROUND(VLOOKUP(C374,'RAW DATA 2023'!E:BO,23,0),0)</f>
        <v>31</v>
      </c>
      <c r="G374" s="16">
        <f>VLOOKUP(C374,'RAW DATA 2023'!E:BO,27,0)</f>
        <v>2.130870993518601</v>
      </c>
      <c r="H374" s="16">
        <f>IFERROR(VLOOKUP(F374,STD!B:G,5,0),0)</f>
        <v>1.84</v>
      </c>
      <c r="I374" s="21">
        <f t="shared" si="28"/>
        <v>0.86349666666666658</v>
      </c>
      <c r="J374" s="16">
        <f t="shared" si="29"/>
        <v>7.2699333333333316</v>
      </c>
      <c r="K374" s="106" t="str">
        <f>VLOOKUP(C374,'RAW DATA 2023'!E:BO,36,0)</f>
        <v>Normal</v>
      </c>
      <c r="L374" s="106">
        <f>VLOOKUP(C374,'RAW DATA 2023'!E:BO,21,0)</f>
        <v>15.107379999999999</v>
      </c>
      <c r="M374" s="106">
        <f t="shared" si="30"/>
        <v>109.8296454413333</v>
      </c>
    </row>
    <row r="375" spans="1:13">
      <c r="A375" t="str">
        <f>'RAW DATA 2023'!B368</f>
        <v>PB5</v>
      </c>
      <c r="B375" t="str">
        <f>'RAW DATA 2023'!D368</f>
        <v>A1-009-0049</v>
      </c>
      <c r="C375" t="str">
        <f t="shared" si="26"/>
        <v>PB5A1-009-0049</v>
      </c>
      <c r="D375">
        <f>VLOOKUP(C375,'RAW DATA 2023'!E:BP,63,0)</f>
        <v>11</v>
      </c>
      <c r="E375" t="str">
        <f t="shared" si="27"/>
        <v>PB511</v>
      </c>
      <c r="F375">
        <f>ROUND(VLOOKUP(C375,'RAW DATA 2023'!E:BO,23,0),0)</f>
        <v>60</v>
      </c>
      <c r="G375" s="16">
        <f>VLOOKUP(C375,'RAW DATA 2023'!E:BO,27,0)</f>
        <v>2.0474643399960781</v>
      </c>
      <c r="H375" s="16">
        <f>IFERROR(VLOOKUP(F375,STD!B:G,5,0),0)</f>
        <v>1.4</v>
      </c>
      <c r="J375" s="16">
        <f t="shared" si="29"/>
        <v>-10</v>
      </c>
      <c r="K375" s="106" t="str">
        <f>VLOOKUP(C375,'RAW DATA 2023'!E:BO,36,0)</f>
        <v>ปิดฟาร์ม</v>
      </c>
      <c r="L375" s="106">
        <f>VLOOKUP(C375,'RAW DATA 2023'!E:BO,21,0)</f>
        <v>9.7808600000000006</v>
      </c>
      <c r="M375" s="106">
        <f t="shared" si="30"/>
        <v>-97.808600000000013</v>
      </c>
    </row>
    <row r="376" spans="1:13">
      <c r="A376" t="str">
        <f>'RAW DATA 2023'!B369</f>
        <v>PB5</v>
      </c>
      <c r="B376" t="str">
        <f>'RAW DATA 2023'!D369</f>
        <v>A1-011-0046</v>
      </c>
      <c r="C376" t="str">
        <f t="shared" si="26"/>
        <v>PB5A1-011-0046</v>
      </c>
      <c r="D376">
        <f>VLOOKUP(C376,'RAW DATA 2023'!E:BP,63,0)</f>
        <v>4</v>
      </c>
      <c r="E376" t="str">
        <f t="shared" si="27"/>
        <v>PB54</v>
      </c>
      <c r="F376">
        <f>ROUND(VLOOKUP(C376,'RAW DATA 2023'!E:BO,23,0),0)</f>
        <v>34</v>
      </c>
      <c r="G376" s="16">
        <f>VLOOKUP(C376,'RAW DATA 2023'!E:BO,27,0)</f>
        <v>1.8974643364772708</v>
      </c>
      <c r="H376" s="16">
        <f>IFERROR(VLOOKUP(F376,STD!B:G,5,0),0)</f>
        <v>1.77</v>
      </c>
      <c r="I376" s="21">
        <f t="shared" si="28"/>
        <v>0.93282385654008437</v>
      </c>
      <c r="J376" s="16">
        <f t="shared" si="29"/>
        <v>8.6564771308016866</v>
      </c>
      <c r="K376" s="106" t="str">
        <f>VLOOKUP(C376,'RAW DATA 2023'!E:BO,36,0)</f>
        <v>Normal</v>
      </c>
      <c r="L376" s="106">
        <f>VLOOKUP(C376,'RAW DATA 2023'!E:BO,21,0)</f>
        <v>19.045529999999999</v>
      </c>
      <c r="M376" s="106">
        <f t="shared" si="30"/>
        <v>164.86719488899743</v>
      </c>
    </row>
    <row r="377" spans="1:13">
      <c r="A377" t="str">
        <f>'RAW DATA 2023'!B370</f>
        <v>PB5</v>
      </c>
      <c r="B377" t="str">
        <f>'RAW DATA 2023'!D370</f>
        <v>A1-005-0053</v>
      </c>
      <c r="C377" t="str">
        <f t="shared" si="26"/>
        <v>PB5A1-005-0053</v>
      </c>
      <c r="D377">
        <f>VLOOKUP(C377,'RAW DATA 2023'!E:BP,63,0)</f>
        <v>11</v>
      </c>
      <c r="E377" t="str">
        <f t="shared" si="27"/>
        <v>PB511</v>
      </c>
      <c r="F377">
        <f>ROUND(VLOOKUP(C377,'RAW DATA 2023'!E:BO,23,0),0)</f>
        <v>41</v>
      </c>
      <c r="G377" s="16">
        <f>VLOOKUP(C377,'RAW DATA 2023'!E:BO,27,0)</f>
        <v>2.2390583296238558</v>
      </c>
      <c r="H377" s="16">
        <f>IFERROR(VLOOKUP(F377,STD!B:G,5,0),0)</f>
        <v>1.61</v>
      </c>
      <c r="I377" s="21">
        <f t="shared" si="28"/>
        <v>0.71905228135368293</v>
      </c>
      <c r="J377" s="16">
        <f t="shared" si="29"/>
        <v>4.3810456270736591</v>
      </c>
      <c r="K377" s="106" t="str">
        <f>VLOOKUP(C377,'RAW DATA 2023'!E:BO,36,0)</f>
        <v>Normal</v>
      </c>
      <c r="L377" s="106">
        <f>VLOOKUP(C377,'RAW DATA 2023'!E:BO,21,0)</f>
        <v>17.32227</v>
      </c>
      <c r="M377" s="106">
        <f t="shared" si="30"/>
        <v>75.889655234489226</v>
      </c>
    </row>
    <row r="378" spans="1:13">
      <c r="A378" t="str">
        <f>'RAW DATA 2023'!B371</f>
        <v>PB5</v>
      </c>
      <c r="B378" t="str">
        <f>'RAW DATA 2023'!D371</f>
        <v>A1-007-0050</v>
      </c>
      <c r="C378" t="str">
        <f t="shared" si="26"/>
        <v>PB5A1-007-0050</v>
      </c>
      <c r="D378">
        <f>VLOOKUP(C378,'RAW DATA 2023'!E:BP,63,0)</f>
        <v>3</v>
      </c>
      <c r="E378" t="str">
        <f t="shared" si="27"/>
        <v>PB53</v>
      </c>
      <c r="F378">
        <f>ROUND(VLOOKUP(C378,'RAW DATA 2023'!E:BO,23,0),0)</f>
        <v>26</v>
      </c>
      <c r="G378" s="16">
        <f>VLOOKUP(C378,'RAW DATA 2023'!E:BO,27,0)</f>
        <v>3.1315843711401961</v>
      </c>
      <c r="H378" s="16">
        <f>IFERROR(VLOOKUP(F378,STD!B:G,5,0),0)</f>
        <v>2</v>
      </c>
      <c r="I378" s="21">
        <f t="shared" si="28"/>
        <v>0.63865435606060605</v>
      </c>
      <c r="J378" s="16">
        <f t="shared" si="29"/>
        <v>2.7730871212121211</v>
      </c>
      <c r="K378" s="106" t="str">
        <f>VLOOKUP(C378,'RAW DATA 2023'!E:BO,36,0)</f>
        <v>อัตรารอดต่ำ</v>
      </c>
      <c r="L378" s="106">
        <f>VLOOKUP(C378,'RAW DATA 2023'!E:BO,21,0)</f>
        <v>7.1732200000000006</v>
      </c>
      <c r="M378" s="106">
        <f t="shared" si="30"/>
        <v>19.891963999621211</v>
      </c>
    </row>
    <row r="379" spans="1:13">
      <c r="A379" t="str">
        <f>'RAW DATA 2023'!B372</f>
        <v>PB5</v>
      </c>
      <c r="B379" t="str">
        <f>'RAW DATA 2023'!D372</f>
        <v>A1-005-0052</v>
      </c>
      <c r="C379" t="str">
        <f t="shared" si="26"/>
        <v>PB5A1-005-0052</v>
      </c>
      <c r="D379">
        <f>VLOOKUP(C379,'RAW DATA 2023'!E:BP,63,0)</f>
        <v>7</v>
      </c>
      <c r="E379" t="str">
        <f t="shared" si="27"/>
        <v>PB57</v>
      </c>
      <c r="F379">
        <f>ROUND(VLOOKUP(C379,'RAW DATA 2023'!E:BO,23,0),0)</f>
        <v>35</v>
      </c>
      <c r="G379" s="16">
        <f>VLOOKUP(C379,'RAW DATA 2023'!E:BO,27,0)</f>
        <v>3.429685091264981</v>
      </c>
      <c r="H379" s="16">
        <f>IFERROR(VLOOKUP(F379,STD!B:G,5,0),0)</f>
        <v>1.75</v>
      </c>
      <c r="J379" s="16">
        <f t="shared" si="29"/>
        <v>-10</v>
      </c>
      <c r="K379" s="106" t="str">
        <f>VLOOKUP(C379,'RAW DATA 2023'!E:BO,36,0)</f>
        <v>EHP</v>
      </c>
      <c r="L379" s="106">
        <f>VLOOKUP(C379,'RAW DATA 2023'!E:BO,21,0)</f>
        <v>11.146030000000001</v>
      </c>
      <c r="M379" s="106">
        <f t="shared" si="30"/>
        <v>-111.46030000000002</v>
      </c>
    </row>
    <row r="380" spans="1:13">
      <c r="A380" t="str">
        <f>'RAW DATA 2023'!B373</f>
        <v>PB5</v>
      </c>
      <c r="B380" t="str">
        <f>'RAW DATA 2023'!D373</f>
        <v>B1-023-0048</v>
      </c>
      <c r="C380" t="str">
        <f t="shared" si="26"/>
        <v>PB5B1-023-0048</v>
      </c>
      <c r="D380">
        <f>VLOOKUP(C380,'RAW DATA 2023'!E:BP,63,0)</f>
        <v>4</v>
      </c>
      <c r="E380" t="str">
        <f t="shared" si="27"/>
        <v>PB54</v>
      </c>
      <c r="F380">
        <f>ROUND(VLOOKUP(C380,'RAW DATA 2023'!E:BO,23,0),0)</f>
        <v>29</v>
      </c>
      <c r="G380" s="16">
        <f>VLOOKUP(C380,'RAW DATA 2023'!E:BO,27,0)</f>
        <v>1.9129967988653287</v>
      </c>
      <c r="H380" s="16">
        <f>IFERROR(VLOOKUP(F380,STD!B:G,5,0),0)</f>
        <v>1.9</v>
      </c>
      <c r="I380" s="21">
        <f t="shared" si="28"/>
        <v>0.99320605299860532</v>
      </c>
      <c r="J380" s="16">
        <f t="shared" si="29"/>
        <v>9.8641210599721063</v>
      </c>
      <c r="K380" s="106" t="str">
        <f>VLOOKUP(C380,'RAW DATA 2023'!E:BO,36,0)</f>
        <v>Normal</v>
      </c>
      <c r="L380" s="106">
        <f>VLOOKUP(C380,'RAW DATA 2023'!E:BO,21,0)</f>
        <v>18.860229999999998</v>
      </c>
      <c r="M380" s="106">
        <f t="shared" si="30"/>
        <v>186.03959193891771</v>
      </c>
    </row>
    <row r="381" spans="1:13">
      <c r="A381" t="str">
        <f>'RAW DATA 2023'!B374</f>
        <v>PB5</v>
      </c>
      <c r="B381" t="str">
        <f>'RAW DATA 2023'!D374</f>
        <v>A1-009-0047</v>
      </c>
      <c r="C381" t="str">
        <f t="shared" si="26"/>
        <v>PB5A1-009-0047</v>
      </c>
      <c r="D381">
        <f>VLOOKUP(C381,'RAW DATA 2023'!E:BP,63,0)</f>
        <v>3</v>
      </c>
      <c r="E381" t="str">
        <f t="shared" si="27"/>
        <v>PB53</v>
      </c>
      <c r="F381">
        <f>ROUND(VLOOKUP(C381,'RAW DATA 2023'!E:BO,23,0),0)</f>
        <v>28</v>
      </c>
      <c r="G381" s="16">
        <f>VLOOKUP(C381,'RAW DATA 2023'!E:BO,27,0)</f>
        <v>2.5153152593202628</v>
      </c>
      <c r="H381" s="16">
        <f>IFERROR(VLOOKUP(F381,STD!B:G,5,0),0)</f>
        <v>1.93</v>
      </c>
      <c r="I381" s="21">
        <f t="shared" si="28"/>
        <v>0.76729944401544403</v>
      </c>
      <c r="J381" s="16">
        <f t="shared" si="29"/>
        <v>5.3459888803088802</v>
      </c>
      <c r="K381" s="106" t="str">
        <f>VLOOKUP(C381,'RAW DATA 2023'!E:BO,36,0)</f>
        <v>Normal</v>
      </c>
      <c r="L381" s="106">
        <f>VLOOKUP(C381,'RAW DATA 2023'!E:BO,21,0)</f>
        <v>14.59615</v>
      </c>
      <c r="M381" s="106">
        <f t="shared" si="30"/>
        <v>78.03085559532046</v>
      </c>
    </row>
    <row r="382" spans="1:13">
      <c r="A382" t="str">
        <f>'RAW DATA 2023'!B375</f>
        <v>PB5</v>
      </c>
      <c r="B382" t="str">
        <f>'RAW DATA 2023'!D375</f>
        <v>A1-005-0051</v>
      </c>
      <c r="C382" t="str">
        <f t="shared" si="26"/>
        <v>PB5A1-005-0051</v>
      </c>
      <c r="D382">
        <f>VLOOKUP(C382,'RAW DATA 2023'!E:BP,63,0)</f>
        <v>2</v>
      </c>
      <c r="E382" t="str">
        <f t="shared" si="27"/>
        <v>PB52</v>
      </c>
      <c r="F382">
        <f>ROUND(VLOOKUP(C382,'RAW DATA 2023'!E:BO,23,0),0)</f>
        <v>27</v>
      </c>
      <c r="G382" s="16">
        <f>VLOOKUP(C382,'RAW DATA 2023'!E:BO,27,0)</f>
        <v>2.3182181552990349</v>
      </c>
      <c r="H382" s="16">
        <f>IFERROR(VLOOKUP(F382,STD!B:G,5,0),0)</f>
        <v>1.96</v>
      </c>
      <c r="I382" s="21">
        <f t="shared" si="28"/>
        <v>0.84547694336695112</v>
      </c>
      <c r="J382" s="16">
        <f t="shared" si="29"/>
        <v>6.9095388673390223</v>
      </c>
      <c r="K382" s="106" t="str">
        <f>VLOOKUP(C382,'RAW DATA 2023'!E:BO,36,0)</f>
        <v>Normal</v>
      </c>
      <c r="L382" s="106">
        <f>VLOOKUP(C382,'RAW DATA 2023'!E:BO,21,0)</f>
        <v>11.56061</v>
      </c>
      <c r="M382" s="106">
        <f t="shared" si="30"/>
        <v>79.878484125148177</v>
      </c>
    </row>
    <row r="383" spans="1:13">
      <c r="A383" t="str">
        <f>'RAW DATA 2023'!B376</f>
        <v>PB5</v>
      </c>
      <c r="B383" t="str">
        <f>'RAW DATA 2023'!D376</f>
        <v>A1-007-0051</v>
      </c>
      <c r="C383" t="str">
        <f t="shared" si="26"/>
        <v>PB5A1-007-0051</v>
      </c>
      <c r="D383">
        <f>VLOOKUP(C383,'RAW DATA 2023'!E:BP,63,0)</f>
        <v>6</v>
      </c>
      <c r="E383" t="str">
        <f t="shared" si="27"/>
        <v>PB56</v>
      </c>
      <c r="F383">
        <f>ROUND(VLOOKUP(C383,'RAW DATA 2023'!E:BO,23,0),0)</f>
        <v>60</v>
      </c>
      <c r="G383" s="16">
        <f>VLOOKUP(C383,'RAW DATA 2023'!E:BO,27,0)</f>
        <v>1.8671420615266892</v>
      </c>
      <c r="H383" s="16">
        <f>IFERROR(VLOOKUP(F383,STD!B:G,5,0),0)</f>
        <v>1.4</v>
      </c>
      <c r="I383" s="21">
        <f t="shared" si="28"/>
        <v>0.74980904176904173</v>
      </c>
      <c r="J383" s="16">
        <f t="shared" si="29"/>
        <v>4.9961808353808346</v>
      </c>
      <c r="K383" s="106" t="str">
        <f>VLOOKUP(C383,'RAW DATA 2023'!E:BO,36,0)</f>
        <v>YHV</v>
      </c>
      <c r="L383" s="106">
        <f>VLOOKUP(C383,'RAW DATA 2023'!E:BO,21,0)</f>
        <v>11.24901</v>
      </c>
      <c r="M383" s="106">
        <f t="shared" si="30"/>
        <v>56.202088179007362</v>
      </c>
    </row>
    <row r="384" spans="1:13">
      <c r="A384" t="str">
        <f>'RAW DATA 2023'!B377</f>
        <v>PB5</v>
      </c>
      <c r="B384" t="str">
        <f>'RAW DATA 2023'!D377</f>
        <v>B1-022-0049</v>
      </c>
      <c r="C384" t="str">
        <f t="shared" si="26"/>
        <v>PB5B1-022-0049</v>
      </c>
      <c r="D384">
        <f>VLOOKUP(C384,'RAW DATA 2023'!E:BP,63,0)</f>
        <v>3</v>
      </c>
      <c r="E384" t="str">
        <f t="shared" si="27"/>
        <v>PB53</v>
      </c>
      <c r="F384">
        <f>ROUND(VLOOKUP(C384,'RAW DATA 2023'!E:BO,23,0),0)</f>
        <v>28</v>
      </c>
      <c r="G384" s="16">
        <f>VLOOKUP(C384,'RAW DATA 2023'!E:BO,27,0)</f>
        <v>2.6141078537663942</v>
      </c>
      <c r="H384" s="16">
        <f>IFERROR(VLOOKUP(F384,STD!B:G,5,0),0)</f>
        <v>1.93</v>
      </c>
      <c r="I384" s="21">
        <f t="shared" si="28"/>
        <v>0.73830159578889032</v>
      </c>
      <c r="J384" s="16">
        <f t="shared" si="29"/>
        <v>4.7660319157778064</v>
      </c>
      <c r="K384" s="106" t="str">
        <f>VLOOKUP(C384,'RAW DATA 2023'!E:BO,36,0)</f>
        <v>Normal</v>
      </c>
      <c r="L384" s="106">
        <f>VLOOKUP(C384,'RAW DATA 2023'!E:BO,21,0)</f>
        <v>14.657719999999999</v>
      </c>
      <c r="M384" s="106">
        <f t="shared" si="30"/>
        <v>69.859161332534669</v>
      </c>
    </row>
    <row r="385" spans="1:13">
      <c r="A385" t="str">
        <f>'RAW DATA 2023'!B378</f>
        <v>PB5</v>
      </c>
      <c r="B385" t="str">
        <f>'RAW DATA 2023'!D378</f>
        <v>B1-023-0049</v>
      </c>
      <c r="C385" t="str">
        <f t="shared" si="26"/>
        <v>PB5B1-023-0049</v>
      </c>
      <c r="D385">
        <f>VLOOKUP(C385,'RAW DATA 2023'!E:BP,63,0)</f>
        <v>6</v>
      </c>
      <c r="E385" t="str">
        <f t="shared" si="27"/>
        <v>PB56</v>
      </c>
      <c r="F385">
        <f>ROUND(VLOOKUP(C385,'RAW DATA 2023'!E:BO,23,0),0)</f>
        <v>171</v>
      </c>
      <c r="G385" s="16">
        <f>VLOOKUP(C385,'RAW DATA 2023'!E:BO,27,0)</f>
        <v>1.7509227836292098</v>
      </c>
      <c r="H385" s="16">
        <f>IFERROR(VLOOKUP(F385,STD!B:G,5,0),0)</f>
        <v>1</v>
      </c>
      <c r="I385" s="21">
        <f t="shared" si="28"/>
        <v>0.57112741312741322</v>
      </c>
      <c r="J385" s="16">
        <f t="shared" si="29"/>
        <v>1.4225482625482644</v>
      </c>
      <c r="K385" s="106" t="str">
        <f>VLOOKUP(C385,'RAW DATA 2023'!E:BO,36,0)</f>
        <v>EHP</v>
      </c>
      <c r="L385" s="106">
        <f>VLOOKUP(C385,'RAW DATA 2023'!E:BO,21,0)</f>
        <v>7.8761000000000001</v>
      </c>
      <c r="M385" s="106">
        <f t="shared" si="30"/>
        <v>11.204132370656385</v>
      </c>
    </row>
    <row r="386" spans="1:13">
      <c r="A386" t="str">
        <f>'RAW DATA 2023'!B379</f>
        <v>PB5</v>
      </c>
      <c r="B386" t="str">
        <f>'RAW DATA 2023'!D379</f>
        <v>A1-011-0048</v>
      </c>
      <c r="C386" t="str">
        <f t="shared" si="26"/>
        <v>PB5A1-011-0048</v>
      </c>
      <c r="D386">
        <f>VLOOKUP(C386,'RAW DATA 2023'!E:BP,63,0)</f>
        <v>10</v>
      </c>
      <c r="E386" t="str">
        <f t="shared" si="27"/>
        <v>PB510</v>
      </c>
      <c r="F386">
        <f>ROUND(VLOOKUP(C386,'RAW DATA 2023'!E:BO,23,0),0)</f>
        <v>0</v>
      </c>
      <c r="G386" s="16">
        <f>VLOOKUP(C386,'RAW DATA 2023'!E:BO,27,0)</f>
        <v>0</v>
      </c>
      <c r="H386" s="16">
        <f>IFERROR(VLOOKUP(F386,STD!B:G,5,0),0)</f>
        <v>0</v>
      </c>
      <c r="I386" s="21">
        <f t="shared" si="28"/>
        <v>0</v>
      </c>
      <c r="J386" s="16">
        <f t="shared" si="29"/>
        <v>-10</v>
      </c>
      <c r="K386" s="106" t="str">
        <f>VLOOKUP(C386,'RAW DATA 2023'!E:BO,36,0)</f>
        <v>YHV</v>
      </c>
      <c r="L386" s="106">
        <f>VLOOKUP(C386,'RAW DATA 2023'!E:BO,21,0)</f>
        <v>0</v>
      </c>
      <c r="M386" s="106">
        <f t="shared" si="30"/>
        <v>0</v>
      </c>
    </row>
    <row r="387" spans="1:13">
      <c r="A387" t="str">
        <f>'RAW DATA 2023'!B380</f>
        <v>Roiphet2</v>
      </c>
      <c r="B387" t="str">
        <f>'RAW DATA 2023'!D380</f>
        <v>A1-007-0050</v>
      </c>
      <c r="C387" t="str">
        <f t="shared" si="26"/>
        <v>Roiphet2A1-007-0050</v>
      </c>
      <c r="D387">
        <f>VLOOKUP(C387,'RAW DATA 2023'!E:BP,63,0)</f>
        <v>4</v>
      </c>
      <c r="E387" t="str">
        <f t="shared" si="27"/>
        <v>Roiphet24</v>
      </c>
      <c r="F387">
        <f>ROUND(VLOOKUP(C387,'RAW DATA 2023'!E:BO,23,0),0)</f>
        <v>39</v>
      </c>
      <c r="G387" s="16">
        <f>VLOOKUP(C387,'RAW DATA 2023'!E:BO,27,0)</f>
        <v>2.0032849796885701</v>
      </c>
      <c r="H387" s="16">
        <f>IFERROR(VLOOKUP(F387,STD!B:G,5,0),0)</f>
        <v>1.64</v>
      </c>
      <c r="I387" s="21">
        <f t="shared" si="28"/>
        <v>0.81865536687394003</v>
      </c>
      <c r="J387" s="16">
        <f t="shared" si="29"/>
        <v>6.3731073374788005</v>
      </c>
      <c r="K387" s="106" t="str">
        <f>VLOOKUP(C387,'RAW DATA 2023'!E:BO,36,0)</f>
        <v>Normal</v>
      </c>
      <c r="L387" s="106">
        <f>VLOOKUP(C387,'RAW DATA 2023'!E:BO,21,0)</f>
        <v>22.53106</v>
      </c>
      <c r="M387" s="106">
        <f t="shared" si="30"/>
        <v>143.59286380717509</v>
      </c>
    </row>
    <row r="388" spans="1:13">
      <c r="A388" t="str">
        <f>'RAW DATA 2023'!B381</f>
        <v>Roiphet2</v>
      </c>
      <c r="B388" t="str">
        <f>'RAW DATA 2023'!D381</f>
        <v>A1-006-0045</v>
      </c>
      <c r="C388" t="str">
        <f t="shared" si="26"/>
        <v>Roiphet2A1-006-0045</v>
      </c>
      <c r="D388">
        <f>VLOOKUP(C388,'RAW DATA 2023'!E:BP,63,0)</f>
        <v>5</v>
      </c>
      <c r="E388" t="str">
        <f t="shared" si="27"/>
        <v>Roiphet25</v>
      </c>
      <c r="F388">
        <f>ROUND(VLOOKUP(C388,'RAW DATA 2023'!E:BO,23,0),0)</f>
        <v>32</v>
      </c>
      <c r="G388" s="16">
        <f>VLOOKUP(C388,'RAW DATA 2023'!E:BO,27,0)</f>
        <v>2.0501096707517124</v>
      </c>
      <c r="H388" s="16">
        <f>IFERROR(VLOOKUP(F388,STD!B:G,5,0),0)</f>
        <v>1.82</v>
      </c>
      <c r="I388" s="21">
        <f t="shared" si="28"/>
        <v>0.88775738486842115</v>
      </c>
      <c r="J388" s="16">
        <f t="shared" si="29"/>
        <v>7.7551476973684235</v>
      </c>
      <c r="K388" s="106" t="str">
        <f>VLOOKUP(C388,'RAW DATA 2023'!E:BO,36,0)</f>
        <v>Normal</v>
      </c>
      <c r="L388" s="106">
        <f>VLOOKUP(C388,'RAW DATA 2023'!E:BO,21,0)</f>
        <v>30.169650000000001</v>
      </c>
      <c r="M388" s="106">
        <f t="shared" si="30"/>
        <v>233.97009172791127</v>
      </c>
    </row>
    <row r="389" spans="1:13">
      <c r="A389" t="str">
        <f>'RAW DATA 2023'!B382</f>
        <v>Roiphet2</v>
      </c>
      <c r="B389" t="str">
        <f>'RAW DATA 2023'!D382</f>
        <v>A1-002-0048</v>
      </c>
      <c r="C389" t="str">
        <f t="shared" si="26"/>
        <v>Roiphet2A1-002-0048</v>
      </c>
      <c r="D389">
        <f>VLOOKUP(C389,'RAW DATA 2023'!E:BP,63,0)</f>
        <v>5</v>
      </c>
      <c r="E389" t="str">
        <f t="shared" si="27"/>
        <v>Roiphet25</v>
      </c>
      <c r="F389">
        <f>ROUND(VLOOKUP(C389,'RAW DATA 2023'!E:BO,23,0),0)</f>
        <v>34</v>
      </c>
      <c r="G389" s="16">
        <f>VLOOKUP(C389,'RAW DATA 2023'!E:BO,27,0)</f>
        <v>2.380122128242764</v>
      </c>
      <c r="H389" s="16">
        <f>IFERROR(VLOOKUP(F389,STD!B:G,5,0),0)</f>
        <v>1.77</v>
      </c>
      <c r="I389" s="21">
        <f t="shared" si="28"/>
        <v>0.74365931856899503</v>
      </c>
      <c r="J389" s="16">
        <f t="shared" si="29"/>
        <v>4.8731863713799006</v>
      </c>
      <c r="K389" s="106" t="str">
        <f>VLOOKUP(C389,'RAW DATA 2023'!E:BO,36,0)</f>
        <v>Normal</v>
      </c>
      <c r="L389" s="106">
        <f>VLOOKUP(C389,'RAW DATA 2023'!E:BO,21,0)</f>
        <v>19.021750000000001</v>
      </c>
      <c r="M389" s="106">
        <f t="shared" si="30"/>
        <v>92.696532859795624</v>
      </c>
    </row>
    <row r="390" spans="1:13">
      <c r="A390" t="str">
        <f>'RAW DATA 2023'!B383</f>
        <v>Roiphet2</v>
      </c>
      <c r="B390" t="str">
        <f>'RAW DATA 2023'!D383</f>
        <v>B1-013-0036</v>
      </c>
      <c r="C390" t="str">
        <f t="shared" si="26"/>
        <v>Roiphet2B1-013-0036</v>
      </c>
      <c r="D390">
        <f>VLOOKUP(C390,'RAW DATA 2023'!E:BP,63,0)</f>
        <v>5</v>
      </c>
      <c r="E390" t="str">
        <f t="shared" si="27"/>
        <v>Roiphet25</v>
      </c>
      <c r="F390">
        <f>ROUND(VLOOKUP(C390,'RAW DATA 2023'!E:BO,23,0),0)</f>
        <v>86</v>
      </c>
      <c r="G390" s="16">
        <f>VLOOKUP(C390,'RAW DATA 2023'!E:BO,27,0)</f>
        <v>1.3632690813885842</v>
      </c>
      <c r="H390" s="16">
        <f>IFERROR(VLOOKUP(F390,STD!B:G,5,0),0)</f>
        <v>1.26</v>
      </c>
      <c r="I390" s="21">
        <f t="shared" si="28"/>
        <v>0.92424893750000003</v>
      </c>
      <c r="J390" s="16">
        <f t="shared" si="29"/>
        <v>8.4849787499999998</v>
      </c>
      <c r="K390" s="106" t="str">
        <f>VLOOKUP(C390,'RAW DATA 2023'!E:BO,36,0)</f>
        <v>EHP</v>
      </c>
      <c r="L390" s="106">
        <f>VLOOKUP(C390,'RAW DATA 2023'!E:BO,21,0)</f>
        <v>24.274290000000001</v>
      </c>
      <c r="M390" s="106">
        <f t="shared" si="30"/>
        <v>205.9668348213375</v>
      </c>
    </row>
    <row r="391" spans="1:13">
      <c r="A391" t="str">
        <f>'RAW DATA 2023'!B384</f>
        <v>Roiphet2</v>
      </c>
      <c r="B391" t="str">
        <f>'RAW DATA 2023'!D384</f>
        <v>A1-001-0031</v>
      </c>
      <c r="C391" t="str">
        <f t="shared" si="26"/>
        <v>Roiphet2A1-001-0031</v>
      </c>
      <c r="D391">
        <f>VLOOKUP(C391,'RAW DATA 2023'!E:BP,63,0)</f>
        <v>5</v>
      </c>
      <c r="E391" t="str">
        <f t="shared" si="27"/>
        <v>Roiphet25</v>
      </c>
      <c r="F391">
        <f>ROUND(VLOOKUP(C391,'RAW DATA 2023'!E:BO,23,0),0)</f>
        <v>28</v>
      </c>
      <c r="G391" s="16">
        <f>VLOOKUP(C391,'RAW DATA 2023'!E:BO,27,0)</f>
        <v>2.8975543454612631</v>
      </c>
      <c r="H391" s="16">
        <f>IFERROR(VLOOKUP(F391,STD!B:G,5,0),0)</f>
        <v>1.93</v>
      </c>
      <c r="I391" s="21">
        <f t="shared" si="28"/>
        <v>0.66607896518771326</v>
      </c>
      <c r="J391" s="16">
        <f t="shared" si="29"/>
        <v>3.3215793037542651</v>
      </c>
      <c r="K391" s="106" t="str">
        <f>VLOOKUP(C391,'RAW DATA 2023'!E:BO,36,0)</f>
        <v>อัตรารอดต่ำ</v>
      </c>
      <c r="L391" s="106">
        <f>VLOOKUP(C391,'RAW DATA 2023'!E:BO,21,0)</f>
        <v>13.199969999999999</v>
      </c>
      <c r="M391" s="106">
        <f t="shared" si="30"/>
        <v>43.844747162177185</v>
      </c>
    </row>
    <row r="392" spans="1:13">
      <c r="A392" t="str">
        <f>'RAW DATA 2023'!B385</f>
        <v>Roiphet2</v>
      </c>
      <c r="B392" t="str">
        <f>'RAW DATA 2023'!D385</f>
        <v>B1-009-0042</v>
      </c>
      <c r="C392" t="str">
        <f t="shared" si="26"/>
        <v>Roiphet2B1-009-0042</v>
      </c>
      <c r="D392">
        <f>VLOOKUP(C392,'RAW DATA 2023'!E:BP,63,0)</f>
        <v>3</v>
      </c>
      <c r="E392" t="str">
        <f t="shared" si="27"/>
        <v>Roiphet23</v>
      </c>
      <c r="F392">
        <f>ROUND(VLOOKUP(C392,'RAW DATA 2023'!E:BO,23,0),0)</f>
        <v>31</v>
      </c>
      <c r="G392" s="16">
        <f>VLOOKUP(C392,'RAW DATA 2023'!E:BO,27,0)</f>
        <v>1.9082148649937984</v>
      </c>
      <c r="H392" s="16">
        <f>IFERROR(VLOOKUP(F392,STD!B:G,5,0),0)</f>
        <v>1.84</v>
      </c>
      <c r="I392" s="21">
        <f t="shared" si="28"/>
        <v>0.964252</v>
      </c>
      <c r="J392" s="16">
        <f t="shared" si="29"/>
        <v>9.2850400000000004</v>
      </c>
      <c r="K392" s="106" t="str">
        <f>VLOOKUP(C392,'RAW DATA 2023'!E:BO,36,0)</f>
        <v>อัตรารอดต่ำ</v>
      </c>
      <c r="L392" s="106">
        <f>VLOOKUP(C392,'RAW DATA 2023'!E:BO,21,0)</f>
        <v>18.048959999999997</v>
      </c>
      <c r="M392" s="106">
        <f t="shared" si="30"/>
        <v>167.5853155584</v>
      </c>
    </row>
    <row r="393" spans="1:13">
      <c r="A393" t="str">
        <f>'RAW DATA 2023'!B386</f>
        <v>Roiphet2</v>
      </c>
      <c r="B393" t="str">
        <f>'RAW DATA 2023'!D386</f>
        <v>B1-014-0044</v>
      </c>
      <c r="C393" t="str">
        <f t="shared" si="26"/>
        <v>Roiphet2B1-014-0044</v>
      </c>
      <c r="D393">
        <f>VLOOKUP(C393,'RAW DATA 2023'!E:BP,63,0)</f>
        <v>5</v>
      </c>
      <c r="E393" t="str">
        <f t="shared" si="27"/>
        <v>Roiphet25</v>
      </c>
      <c r="F393">
        <f>ROUND(VLOOKUP(C393,'RAW DATA 2023'!E:BO,23,0),0)</f>
        <v>39</v>
      </c>
      <c r="G393" s="16">
        <f>VLOOKUP(C393,'RAW DATA 2023'!E:BO,27,0)</f>
        <v>2.2993902817961485</v>
      </c>
      <c r="H393" s="16">
        <f>IFERROR(VLOOKUP(F393,STD!B:G,5,0),0)</f>
        <v>1.64</v>
      </c>
      <c r="I393" s="21">
        <f t="shared" si="28"/>
        <v>0.71323255255255247</v>
      </c>
      <c r="J393" s="16">
        <f t="shared" si="29"/>
        <v>4.2646510510510494</v>
      </c>
      <c r="K393" s="106" t="str">
        <f>VLOOKUP(C393,'RAW DATA 2023'!E:BO,36,0)</f>
        <v>Normal</v>
      </c>
      <c r="L393" s="106">
        <f>VLOOKUP(C393,'RAW DATA 2023'!E:BO,21,0)</f>
        <v>14.757100000000001</v>
      </c>
      <c r="M393" s="106">
        <f t="shared" si="30"/>
        <v>62.933882025465444</v>
      </c>
    </row>
    <row r="394" spans="1:13">
      <c r="A394" t="str">
        <f>'RAW DATA 2023'!B387</f>
        <v>Roiphet2</v>
      </c>
      <c r="B394" t="str">
        <f>'RAW DATA 2023'!D387</f>
        <v>A1-008-0034</v>
      </c>
      <c r="C394" t="str">
        <f t="shared" ref="C394:C457" si="31">A394&amp;B394</f>
        <v>Roiphet2A1-008-0034</v>
      </c>
      <c r="D394">
        <f>VLOOKUP(C394,'RAW DATA 2023'!E:BP,63,0)</f>
        <v>5</v>
      </c>
      <c r="E394" t="str">
        <f t="shared" ref="E394:E457" si="32">A394&amp;D394</f>
        <v>Roiphet25</v>
      </c>
      <c r="F394">
        <f>ROUND(VLOOKUP(C394,'RAW DATA 2023'!E:BO,23,0),0)</f>
        <v>39</v>
      </c>
      <c r="G394" s="16">
        <f>VLOOKUP(C394,'RAW DATA 2023'!E:BO,27,0)</f>
        <v>2.5818745762478361</v>
      </c>
      <c r="H394" s="16">
        <f>IFERROR(VLOOKUP(F394,STD!B:G,5,0),0)</f>
        <v>1.64</v>
      </c>
      <c r="I394" s="21">
        <f t="shared" si="28"/>
        <v>0.63519739304430678</v>
      </c>
      <c r="J394" s="16">
        <f t="shared" si="29"/>
        <v>2.7039478608861356</v>
      </c>
      <c r="K394" s="106" t="str">
        <f>VLOOKUP(C394,'RAW DATA 2023'!E:BO,36,0)</f>
        <v>Normal</v>
      </c>
      <c r="L394" s="106">
        <f>VLOOKUP(C394,'RAW DATA 2023'!E:BO,21,0)</f>
        <v>20.774380000000001</v>
      </c>
      <c r="M394" s="106">
        <f t="shared" si="30"/>
        <v>56.172840362235718</v>
      </c>
    </row>
    <row r="395" spans="1:13">
      <c r="A395" t="str">
        <f>'RAW DATA 2023'!B388</f>
        <v>Roiphet2</v>
      </c>
      <c r="B395" t="str">
        <f>'RAW DATA 2023'!D388</f>
        <v>B1-013-0035</v>
      </c>
      <c r="C395" t="str">
        <f t="shared" si="31"/>
        <v>Roiphet2B1-013-0035</v>
      </c>
      <c r="D395">
        <f>VLOOKUP(C395,'RAW DATA 2023'!E:BP,63,0)</f>
        <v>3</v>
      </c>
      <c r="E395" t="str">
        <f t="shared" si="32"/>
        <v>Roiphet23</v>
      </c>
      <c r="F395">
        <f>ROUND(VLOOKUP(C395,'RAW DATA 2023'!E:BO,23,0),0)</f>
        <v>50</v>
      </c>
      <c r="G395" s="16">
        <f>VLOOKUP(C395,'RAW DATA 2023'!E:BO,27,0)</f>
        <v>1.512531189645159</v>
      </c>
      <c r="H395" s="16">
        <f>IFERROR(VLOOKUP(F395,STD!B:G,5,0),0)</f>
        <v>1.49</v>
      </c>
      <c r="I395" s="21">
        <f t="shared" ref="I395:I458" si="33">IFERROR(H395/G395,0)</f>
        <v>0.98510365287049395</v>
      </c>
      <c r="J395" s="16">
        <f t="shared" ref="J395:J458" si="34">(I395-$B$4)*$B$7</f>
        <v>9.7020730574098799</v>
      </c>
      <c r="K395" s="106" t="str">
        <f>VLOOKUP(C395,'RAW DATA 2023'!E:BO,36,0)</f>
        <v>อัตรารอดต่ำ</v>
      </c>
      <c r="L395" s="106">
        <f>VLOOKUP(C395,'RAW DATA 2023'!E:BO,21,0)</f>
        <v>12.92991</v>
      </c>
      <c r="M395" s="106">
        <f t="shared" ref="M395:M458" si="35">J395*L395</f>
        <v>125.44693144573458</v>
      </c>
    </row>
    <row r="396" spans="1:13">
      <c r="A396" t="str">
        <f>'RAW DATA 2023'!B389</f>
        <v>Roiphet2</v>
      </c>
      <c r="B396" t="str">
        <f>'RAW DATA 2023'!D389</f>
        <v>B1-009-0044</v>
      </c>
      <c r="C396" t="str">
        <f t="shared" si="31"/>
        <v>Roiphet2B1-009-0044</v>
      </c>
      <c r="D396">
        <f>VLOOKUP(C396,'RAW DATA 2023'!E:BP,63,0)</f>
        <v>9</v>
      </c>
      <c r="E396" t="str">
        <f t="shared" si="32"/>
        <v>Roiphet29</v>
      </c>
      <c r="F396">
        <f>ROUND(VLOOKUP(C396,'RAW DATA 2023'!E:BO,23,0),0)</f>
        <v>61</v>
      </c>
      <c r="G396" s="16">
        <f>VLOOKUP(C396,'RAW DATA 2023'!E:BO,27,0)</f>
        <v>1.4464380473877725</v>
      </c>
      <c r="H396" s="16">
        <f>IFERROR(VLOOKUP(F396,STD!B:G,5,0),0)</f>
        <v>1.4</v>
      </c>
      <c r="I396" s="21">
        <f t="shared" si="33"/>
        <v>0.96789489361702119</v>
      </c>
      <c r="J396" s="16">
        <f t="shared" si="34"/>
        <v>9.3578978723404234</v>
      </c>
      <c r="K396" s="106" t="str">
        <f>VLOOKUP(C396,'RAW DATA 2023'!E:BO,36,0)</f>
        <v>EHP</v>
      </c>
      <c r="L396" s="106">
        <f>VLOOKUP(C396,'RAW DATA 2023'!E:BO,21,0)</f>
        <v>24.02553</v>
      </c>
      <c r="M396" s="106">
        <f t="shared" si="35"/>
        <v>224.82845606885101</v>
      </c>
    </row>
    <row r="397" spans="1:13">
      <c r="A397" t="str">
        <f>'RAW DATA 2023'!B390</f>
        <v>Roiphet2</v>
      </c>
      <c r="B397" t="str">
        <f>'RAW DATA 2023'!D390</f>
        <v>B1-014-0046</v>
      </c>
      <c r="C397" t="str">
        <f t="shared" si="31"/>
        <v>Roiphet2B1-014-0046</v>
      </c>
      <c r="D397">
        <f>VLOOKUP(C397,'RAW DATA 2023'!E:BP,63,0)</f>
        <v>10</v>
      </c>
      <c r="E397" t="str">
        <f t="shared" si="32"/>
        <v>Roiphet210</v>
      </c>
      <c r="F397">
        <f>ROUND(VLOOKUP(C397,'RAW DATA 2023'!E:BO,23,0),0)</f>
        <v>64</v>
      </c>
      <c r="G397" s="16">
        <f>VLOOKUP(C397,'RAW DATA 2023'!E:BO,27,0)</f>
        <v>1.433713569777084</v>
      </c>
      <c r="H397" s="16">
        <f>IFERROR(VLOOKUP(F397,STD!B:G,5,0),0)</f>
        <v>1.37</v>
      </c>
      <c r="I397" s="21">
        <f t="shared" si="33"/>
        <v>0.95556046122448979</v>
      </c>
      <c r="J397" s="16">
        <f t="shared" si="34"/>
        <v>9.1112092244897962</v>
      </c>
      <c r="K397" s="106" t="str">
        <f>VLOOKUP(C397,'RAW DATA 2023'!E:BO,36,0)</f>
        <v>EHP</v>
      </c>
      <c r="L397" s="106">
        <f>VLOOKUP(C397,'RAW DATA 2023'!E:BO,21,0)</f>
        <v>17.961389999999998</v>
      </c>
      <c r="M397" s="106">
        <f t="shared" si="35"/>
        <v>163.64998225265876</v>
      </c>
    </row>
    <row r="398" spans="1:13">
      <c r="A398" t="str">
        <f>'RAW DATA 2023'!B391</f>
        <v>Lamlaung</v>
      </c>
      <c r="B398" t="str">
        <f>'RAW DATA 2023'!D391</f>
        <v>A1-003-0044</v>
      </c>
      <c r="C398" t="str">
        <f t="shared" si="31"/>
        <v>LamlaungA1-003-0044</v>
      </c>
      <c r="D398">
        <f>VLOOKUP(C398,'RAW DATA 2023'!E:BP,63,0)</f>
        <v>8</v>
      </c>
      <c r="E398" t="str">
        <f t="shared" si="32"/>
        <v>Lamlaung8</v>
      </c>
      <c r="F398">
        <f>ROUND(VLOOKUP(C398,'RAW DATA 2023'!E:BO,23,0),0)</f>
        <v>32</v>
      </c>
      <c r="G398" s="16">
        <f>VLOOKUP(C398,'RAW DATA 2023'!E:BO,27,0)</f>
        <v>1.8780961536005649</v>
      </c>
      <c r="H398" s="16">
        <f>IFERROR(VLOOKUP(F398,STD!B:G,5,0),0)</f>
        <v>1.82</v>
      </c>
      <c r="I398" s="21">
        <f t="shared" si="33"/>
        <v>0.96906646473388136</v>
      </c>
      <c r="J398" s="16">
        <f t="shared" si="34"/>
        <v>9.3813292946776272</v>
      </c>
      <c r="K398" s="106" t="str">
        <f>VLOOKUP(C398,'RAW DATA 2023'!E:BO,36,0)</f>
        <v>Normal</v>
      </c>
      <c r="L398" s="106">
        <f>VLOOKUP(C398,'RAW DATA 2023'!E:BO,21,0)</f>
        <v>44.647239999999996</v>
      </c>
      <c r="M398" s="106">
        <f t="shared" si="35"/>
        <v>418.85046053850272</v>
      </c>
    </row>
    <row r="399" spans="1:13">
      <c r="A399" t="str">
        <f>'RAW DATA 2023'!B392</f>
        <v>Lamlaung</v>
      </c>
      <c r="B399" t="str">
        <f>'RAW DATA 2023'!D392</f>
        <v>A1-004-0046</v>
      </c>
      <c r="C399" t="str">
        <f t="shared" si="31"/>
        <v>LamlaungA1-004-0046</v>
      </c>
      <c r="D399">
        <f>VLOOKUP(C399,'RAW DATA 2023'!E:BP,63,0)</f>
        <v>9</v>
      </c>
      <c r="E399" t="str">
        <f t="shared" si="32"/>
        <v>Lamlaung9</v>
      </c>
      <c r="F399">
        <f>ROUND(VLOOKUP(C399,'RAW DATA 2023'!E:BO,23,0),0)</f>
        <v>25</v>
      </c>
      <c r="G399" s="16">
        <f>VLOOKUP(C399,'RAW DATA 2023'!E:BO,27,0)</f>
        <v>2.0526843854055912</v>
      </c>
      <c r="H399" s="16">
        <f>IFERROR(VLOOKUP(F399,STD!B:G,5,0),0)</f>
        <v>2.04</v>
      </c>
      <c r="I399" s="21">
        <f t="shared" si="33"/>
        <v>0.99382058659588579</v>
      </c>
      <c r="J399" s="16">
        <f t="shared" si="34"/>
        <v>9.8764117319177167</v>
      </c>
      <c r="K399" s="106" t="str">
        <f>VLOOKUP(C399,'RAW DATA 2023'!E:BO,36,0)</f>
        <v>Normal</v>
      </c>
      <c r="L399" s="106">
        <f>VLOOKUP(C399,'RAW DATA 2023'!E:BO,21,0)</f>
        <v>38.171030000000002</v>
      </c>
      <c r="M399" s="106">
        <f t="shared" si="35"/>
        <v>376.99280851138315</v>
      </c>
    </row>
    <row r="400" spans="1:13">
      <c r="A400" t="str">
        <f>'RAW DATA 2023'!B393</f>
        <v>Lamlaung</v>
      </c>
      <c r="B400" t="str">
        <f>'RAW DATA 2023'!D393</f>
        <v>B1-111-0008</v>
      </c>
      <c r="C400" t="str">
        <f t="shared" si="31"/>
        <v>LamlaungB1-111-0008</v>
      </c>
      <c r="D400">
        <f>VLOOKUP(C400,'RAW DATA 2023'!E:BP,63,0)</f>
        <v>9</v>
      </c>
      <c r="E400" t="str">
        <f t="shared" si="32"/>
        <v>Lamlaung9</v>
      </c>
      <c r="F400">
        <f>ROUND(VLOOKUP(C400,'RAW DATA 2023'!E:BO,23,0),0)</f>
        <v>26</v>
      </c>
      <c r="G400" s="16">
        <f>VLOOKUP(C400,'RAW DATA 2023'!E:BO,27,0)</f>
        <v>1.8773890752189379</v>
      </c>
      <c r="H400" s="16">
        <f>IFERROR(VLOOKUP(F400,STD!B:G,5,0),0)</f>
        <v>2</v>
      </c>
      <c r="I400" s="21">
        <f t="shared" si="33"/>
        <v>1.065309277868661</v>
      </c>
      <c r="J400" s="16">
        <f t="shared" si="34"/>
        <v>11.306185557373221</v>
      </c>
      <c r="K400" s="106" t="str">
        <f>VLOOKUP(C400,'RAW DATA 2023'!E:BO,36,0)</f>
        <v>Normal</v>
      </c>
      <c r="L400" s="106">
        <f>VLOOKUP(C400,'RAW DATA 2023'!E:BO,21,0)</f>
        <v>58.027730000000005</v>
      </c>
      <c r="M400" s="106">
        <f t="shared" si="35"/>
        <v>656.07228285315284</v>
      </c>
    </row>
    <row r="401" spans="1:13">
      <c r="A401" t="str">
        <f>'RAW DATA 2023'!B394</f>
        <v>Lamlaung</v>
      </c>
      <c r="B401" t="str">
        <f>'RAW DATA 2023'!D394</f>
        <v>A1-002-0046</v>
      </c>
      <c r="C401" t="str">
        <f t="shared" si="31"/>
        <v>LamlaungA1-002-0046</v>
      </c>
      <c r="D401">
        <f>VLOOKUP(C401,'RAW DATA 2023'!E:BP,63,0)</f>
        <v>10</v>
      </c>
      <c r="E401" t="str">
        <f t="shared" si="32"/>
        <v>Lamlaung10</v>
      </c>
      <c r="F401">
        <f>ROUND(VLOOKUP(C401,'RAW DATA 2023'!E:BO,23,0),0)</f>
        <v>29</v>
      </c>
      <c r="G401" s="16">
        <f>VLOOKUP(C401,'RAW DATA 2023'!E:BO,27,0)</f>
        <v>2.0328591656719244</v>
      </c>
      <c r="H401" s="16">
        <f>IFERROR(VLOOKUP(F401,STD!B:G,5,0),0)</f>
        <v>1.9</v>
      </c>
      <c r="I401" s="21">
        <f t="shared" si="33"/>
        <v>0.93464418592519161</v>
      </c>
      <c r="J401" s="16">
        <f t="shared" si="34"/>
        <v>8.6928837185038326</v>
      </c>
      <c r="K401" s="106" t="str">
        <f>VLOOKUP(C401,'RAW DATA 2023'!E:BO,36,0)</f>
        <v>Normal</v>
      </c>
      <c r="L401" s="106">
        <f>VLOOKUP(C401,'RAW DATA 2023'!E:BO,21,0)</f>
        <v>47.50488</v>
      </c>
      <c r="M401" s="106">
        <f t="shared" si="35"/>
        <v>412.95439790147833</v>
      </c>
    </row>
    <row r="402" spans="1:13">
      <c r="A402" t="str">
        <f>'RAW DATA 2023'!B395</f>
        <v>Lamlaung</v>
      </c>
      <c r="B402" t="str">
        <f>'RAW DATA 2023'!D395</f>
        <v>B1-112-0006</v>
      </c>
      <c r="C402" t="str">
        <f t="shared" si="31"/>
        <v>LamlaungB1-112-0006</v>
      </c>
      <c r="D402">
        <f>VLOOKUP(C402,'RAW DATA 2023'!E:BP,63,0)</f>
        <v>7</v>
      </c>
      <c r="E402" t="str">
        <f t="shared" si="32"/>
        <v>Lamlaung7</v>
      </c>
      <c r="F402">
        <f>ROUND(VLOOKUP(C402,'RAW DATA 2023'!E:BO,23,0),0)</f>
        <v>32</v>
      </c>
      <c r="G402" s="16">
        <f>VLOOKUP(C402,'RAW DATA 2023'!E:BO,27,0)</f>
        <v>2.4892031022155323</v>
      </c>
      <c r="H402" s="16">
        <f>IFERROR(VLOOKUP(F402,STD!B:G,5,0),0)</f>
        <v>1.82</v>
      </c>
      <c r="I402" s="21">
        <f t="shared" si="33"/>
        <v>0.73115769395438102</v>
      </c>
      <c r="J402" s="16">
        <f t="shared" si="34"/>
        <v>4.6231538790876208</v>
      </c>
      <c r="K402" s="106" t="str">
        <f>VLOOKUP(C402,'RAW DATA 2023'!E:BO,36,0)</f>
        <v>Normal</v>
      </c>
      <c r="L402" s="106">
        <f>VLOOKUP(C402,'RAW DATA 2023'!E:BO,21,0)</f>
        <v>57.047040000000003</v>
      </c>
      <c r="M402" s="106">
        <f t="shared" si="35"/>
        <v>263.73724426646669</v>
      </c>
    </row>
    <row r="403" spans="1:13">
      <c r="A403" t="str">
        <f>'RAW DATA 2023'!B396</f>
        <v>Lamlaung</v>
      </c>
      <c r="B403" t="str">
        <f>'RAW DATA 2023'!D396</f>
        <v>A1-005-0008</v>
      </c>
      <c r="C403" t="str">
        <f t="shared" si="31"/>
        <v>LamlaungA1-005-0008</v>
      </c>
      <c r="D403">
        <f>VLOOKUP(C403,'RAW DATA 2023'!E:BP,63,0)</f>
        <v>9</v>
      </c>
      <c r="E403" t="str">
        <f t="shared" si="32"/>
        <v>Lamlaung9</v>
      </c>
      <c r="F403">
        <f>ROUND(VLOOKUP(C403,'RAW DATA 2023'!E:BO,23,0),0)</f>
        <v>31</v>
      </c>
      <c r="G403" s="16">
        <f>VLOOKUP(C403,'RAW DATA 2023'!E:BO,27,0)</f>
        <v>1.7432105102744671</v>
      </c>
      <c r="H403" s="16">
        <f>IFERROR(VLOOKUP(F403,STD!B:G,5,0),0)</f>
        <v>1.84</v>
      </c>
      <c r="I403" s="21">
        <f t="shared" si="33"/>
        <v>1.0555236955921599</v>
      </c>
      <c r="J403" s="16">
        <f t="shared" si="34"/>
        <v>11.110473911843197</v>
      </c>
      <c r="K403" s="106" t="str">
        <f>VLOOKUP(C403,'RAW DATA 2023'!E:BO,36,0)</f>
        <v>Normal</v>
      </c>
      <c r="L403" s="106">
        <f>VLOOKUP(C403,'RAW DATA 2023'!E:BO,21,0)</f>
        <v>62.622500000000002</v>
      </c>
      <c r="M403" s="106">
        <f t="shared" si="35"/>
        <v>695.76565254440061</v>
      </c>
    </row>
    <row r="404" spans="1:13">
      <c r="A404" t="str">
        <f>'RAW DATA 2023'!B397</f>
        <v>Lamlaung</v>
      </c>
      <c r="B404" t="str">
        <f>'RAW DATA 2023'!D397</f>
        <v>B1-111-0007</v>
      </c>
      <c r="C404" t="str">
        <f t="shared" si="31"/>
        <v>LamlaungB1-111-0007</v>
      </c>
      <c r="D404">
        <f>VLOOKUP(C404,'RAW DATA 2023'!E:BP,63,0)</f>
        <v>4</v>
      </c>
      <c r="E404" t="str">
        <f t="shared" si="32"/>
        <v>Lamlaung4</v>
      </c>
      <c r="F404">
        <f>ROUND(VLOOKUP(C404,'RAW DATA 2023'!E:BO,23,0),0)</f>
        <v>35</v>
      </c>
      <c r="G404" s="16">
        <f>VLOOKUP(C404,'RAW DATA 2023'!E:BO,27,0)</f>
        <v>1.8822869013925212</v>
      </c>
      <c r="H404" s="16">
        <f>IFERROR(VLOOKUP(F404,STD!B:G,5,0),0)</f>
        <v>1.75</v>
      </c>
      <c r="I404" s="21">
        <f t="shared" si="33"/>
        <v>0.92972011796147813</v>
      </c>
      <c r="J404" s="16">
        <f t="shared" si="34"/>
        <v>8.5944023592295622</v>
      </c>
      <c r="K404" s="106" t="str">
        <f>VLOOKUP(C404,'RAW DATA 2023'!E:BO,36,0)</f>
        <v>Normal</v>
      </c>
      <c r="L404" s="106">
        <f>VLOOKUP(C404,'RAW DATA 2023'!E:BO,21,0)</f>
        <v>31.89798</v>
      </c>
      <c r="M404" s="106">
        <f t="shared" si="35"/>
        <v>274.14407456665737</v>
      </c>
    </row>
    <row r="405" spans="1:13">
      <c r="A405" t="str">
        <f>'RAW DATA 2023'!B398</f>
        <v>Lamlaung</v>
      </c>
      <c r="B405" t="str">
        <f>'RAW DATA 2023'!D398</f>
        <v>A1-003-0045</v>
      </c>
      <c r="C405" t="str">
        <f t="shared" si="31"/>
        <v>LamlaungA1-003-0045</v>
      </c>
      <c r="D405">
        <f>VLOOKUP(C405,'RAW DATA 2023'!E:BP,63,0)</f>
        <v>10</v>
      </c>
      <c r="E405" t="str">
        <f t="shared" si="32"/>
        <v>Lamlaung10</v>
      </c>
      <c r="F405">
        <f>ROUND(VLOOKUP(C405,'RAW DATA 2023'!E:BO,23,0),0)</f>
        <v>68</v>
      </c>
      <c r="G405" s="16">
        <f>VLOOKUP(C405,'RAW DATA 2023'!E:BO,27,0)</f>
        <v>1.4562065054109568</v>
      </c>
      <c r="H405" s="16">
        <f>IFERROR(VLOOKUP(F405,STD!B:G,5,0),0)</f>
        <v>1.35</v>
      </c>
      <c r="I405" s="21">
        <f t="shared" si="33"/>
        <v>0.92706631578947374</v>
      </c>
      <c r="J405" s="16">
        <f t="shared" si="34"/>
        <v>8.5413263157894743</v>
      </c>
      <c r="K405" s="106" t="str">
        <f>VLOOKUP(C405,'RAW DATA 2023'!E:BO,36,0)</f>
        <v>EHP</v>
      </c>
      <c r="L405" s="106">
        <f>VLOOKUP(C405,'RAW DATA 2023'!E:BO,21,0)</f>
        <v>26.346820000000001</v>
      </c>
      <c r="M405" s="106">
        <f t="shared" si="35"/>
        <v>225.03678700336846</v>
      </c>
    </row>
    <row r="406" spans="1:13">
      <c r="A406" t="str">
        <f>'RAW DATA 2023'!B399</f>
        <v>Lamlaung</v>
      </c>
      <c r="B406" t="str">
        <f>'RAW DATA 2023'!D399</f>
        <v>B1-112-0007</v>
      </c>
      <c r="C406" t="str">
        <f t="shared" si="31"/>
        <v>LamlaungB1-112-0007</v>
      </c>
      <c r="D406">
        <f>VLOOKUP(C406,'RAW DATA 2023'!E:BP,63,0)</f>
        <v>9</v>
      </c>
      <c r="E406" t="str">
        <f t="shared" si="32"/>
        <v>Lamlaung9</v>
      </c>
      <c r="F406">
        <f>ROUND(VLOOKUP(C406,'RAW DATA 2023'!E:BO,23,0),0)</f>
        <v>79</v>
      </c>
      <c r="G406" s="16">
        <f>VLOOKUP(C406,'RAW DATA 2023'!E:BO,27,0)</f>
        <v>1.5141003290811308</v>
      </c>
      <c r="H406" s="16">
        <f>IFERROR(VLOOKUP(F406,STD!B:G,5,0),0)</f>
        <v>1.29</v>
      </c>
      <c r="I406" s="21">
        <f t="shared" si="33"/>
        <v>0.8519910967741936</v>
      </c>
      <c r="J406" s="16">
        <f t="shared" si="34"/>
        <v>7.0398219354838716</v>
      </c>
      <c r="K406" s="106" t="str">
        <f>VLOOKUP(C406,'RAW DATA 2023'!E:BO,36,0)</f>
        <v>EHP</v>
      </c>
      <c r="L406" s="106">
        <f>VLOOKUP(C406,'RAW DATA 2023'!E:BO,21,0)</f>
        <v>24.722900000000003</v>
      </c>
      <c r="M406" s="106">
        <f t="shared" si="35"/>
        <v>174.04481372877422</v>
      </c>
    </row>
    <row r="407" spans="1:13">
      <c r="A407" t="str">
        <f>'RAW DATA 2023'!B400</f>
        <v>Lamlaung</v>
      </c>
      <c r="B407" t="str">
        <f>'RAW DATA 2023'!D400</f>
        <v>A1-002-0045</v>
      </c>
      <c r="C407" t="str">
        <f t="shared" si="31"/>
        <v>LamlaungA1-002-0045</v>
      </c>
      <c r="D407">
        <f>VLOOKUP(C407,'RAW DATA 2023'!E:BP,63,0)</f>
        <v>4</v>
      </c>
      <c r="E407" t="str">
        <f t="shared" si="32"/>
        <v>Lamlaung4</v>
      </c>
      <c r="F407">
        <f>ROUND(VLOOKUP(C407,'RAW DATA 2023'!E:BO,23,0),0)</f>
        <v>58</v>
      </c>
      <c r="G407" s="16">
        <f>VLOOKUP(C407,'RAW DATA 2023'!E:BO,27,0)</f>
        <v>1.6393346856931719</v>
      </c>
      <c r="H407" s="16">
        <f>IFERROR(VLOOKUP(F407,STD!B:G,5,0),0)</f>
        <v>1.42</v>
      </c>
      <c r="I407" s="21">
        <f t="shared" si="33"/>
        <v>0.8662050601336303</v>
      </c>
      <c r="J407" s="16">
        <f t="shared" si="34"/>
        <v>7.3241012026726064</v>
      </c>
      <c r="K407" s="106" t="str">
        <f>VLOOKUP(C407,'RAW DATA 2023'!E:BO,36,0)</f>
        <v>กุ้งไม่โต</v>
      </c>
      <c r="L407" s="106">
        <f>VLOOKUP(C407,'RAW DATA 2023'!E:BO,21,0)</f>
        <v>35.19041</v>
      </c>
      <c r="M407" s="106">
        <f t="shared" si="35"/>
        <v>257.7381242035421</v>
      </c>
    </row>
    <row r="408" spans="1:13">
      <c r="A408" t="str">
        <f>'RAW DATA 2023'!B401</f>
        <v>Lamlaung</v>
      </c>
      <c r="B408" t="str">
        <f>'RAW DATA 2023'!D401</f>
        <v>B1-110-0005</v>
      </c>
      <c r="C408" t="str">
        <f t="shared" si="31"/>
        <v>LamlaungB1-110-0005</v>
      </c>
      <c r="D408">
        <f>VLOOKUP(C408,'RAW DATA 2023'!E:BP,63,0)</f>
        <v>1</v>
      </c>
      <c r="E408" t="str">
        <f t="shared" si="32"/>
        <v>Lamlaung1</v>
      </c>
      <c r="F408">
        <f>ROUND(VLOOKUP(C408,'RAW DATA 2023'!E:BO,23,0),0)</f>
        <v>86</v>
      </c>
      <c r="G408" s="16">
        <f>VLOOKUP(C408,'RAW DATA 2023'!E:BO,27,0)</f>
        <v>1.3573916843296046</v>
      </c>
      <c r="H408" s="16">
        <f>IFERROR(VLOOKUP(F408,STD!B:G,5,0),0)</f>
        <v>1.26</v>
      </c>
      <c r="J408" s="16">
        <f t="shared" si="34"/>
        <v>-10</v>
      </c>
      <c r="K408" s="106" t="str">
        <f>VLOOKUP(C408,'RAW DATA 2023'!E:BO,36,0)</f>
        <v>EHP</v>
      </c>
      <c r="L408" s="106">
        <f>VLOOKUP(C408,'RAW DATA 2023'!E:BO,21,0)</f>
        <v>9.8045200000000001</v>
      </c>
      <c r="M408" s="106">
        <f t="shared" si="35"/>
        <v>-98.045199999999994</v>
      </c>
    </row>
    <row r="409" spans="1:13">
      <c r="A409" t="str">
        <f>'RAW DATA 2023'!B402</f>
        <v>Lamlaung</v>
      </c>
      <c r="B409" t="str">
        <f>'RAW DATA 2023'!D402</f>
        <v>A1-004-0045</v>
      </c>
      <c r="C409" t="str">
        <f t="shared" si="31"/>
        <v>LamlaungA1-004-0045</v>
      </c>
      <c r="D409">
        <f>VLOOKUP(C409,'RAW DATA 2023'!E:BP,63,0)</f>
        <v>4</v>
      </c>
      <c r="E409" t="str">
        <f t="shared" si="32"/>
        <v>Lamlaung4</v>
      </c>
      <c r="F409">
        <f>ROUND(VLOOKUP(C409,'RAW DATA 2023'!E:BO,23,0),0)</f>
        <v>57</v>
      </c>
      <c r="G409" s="16">
        <f>VLOOKUP(C409,'RAW DATA 2023'!E:BO,27,0)</f>
        <v>2.1158439360374315</v>
      </c>
      <c r="H409" s="16">
        <f>IFERROR(VLOOKUP(F409,STD!B:G,5,0),0)</f>
        <v>1.43</v>
      </c>
      <c r="I409" s="21">
        <f t="shared" si="33"/>
        <v>0.67585324968632365</v>
      </c>
      <c r="J409" s="16">
        <f t="shared" si="34"/>
        <v>3.5170649937264731</v>
      </c>
      <c r="K409" s="106" t="str">
        <f>VLOOKUP(C409,'RAW DATA 2023'!E:BO,36,0)</f>
        <v>Others</v>
      </c>
      <c r="L409" s="106">
        <f>VLOOKUP(C409,'RAW DATA 2023'!E:BO,21,0)</f>
        <v>26.450320000000001</v>
      </c>
      <c r="M409" s="106">
        <f t="shared" si="35"/>
        <v>93.027494544863217</v>
      </c>
    </row>
    <row r="410" spans="1:13">
      <c r="A410" t="str">
        <f>'RAW DATA 2023'!B403</f>
        <v>Lamlaung</v>
      </c>
      <c r="B410" t="str">
        <f>'RAW DATA 2023'!D403</f>
        <v>A1-001-0019</v>
      </c>
      <c r="C410" t="str">
        <f t="shared" si="31"/>
        <v>LamlaungA1-001-0019</v>
      </c>
      <c r="D410">
        <f>VLOOKUP(C410,'RAW DATA 2023'!E:BP,63,0)</f>
        <v>3</v>
      </c>
      <c r="E410" t="str">
        <f t="shared" si="32"/>
        <v>Lamlaung3</v>
      </c>
      <c r="F410">
        <f>ROUND(VLOOKUP(C410,'RAW DATA 2023'!E:BO,23,0),0)</f>
        <v>148</v>
      </c>
      <c r="G410" s="16">
        <f>VLOOKUP(C410,'RAW DATA 2023'!E:BO,27,0)</f>
        <v>1.2217578280732253</v>
      </c>
      <c r="H410" s="16">
        <f>IFERROR(VLOOKUP(F410,STD!B:G,5,0),0)</f>
        <v>1.0640000000000001</v>
      </c>
      <c r="I410" s="21">
        <f t="shared" si="33"/>
        <v>0.87087635172183231</v>
      </c>
      <c r="J410" s="16">
        <f t="shared" si="34"/>
        <v>7.4175270344366462</v>
      </c>
      <c r="K410" s="106" t="str">
        <f>VLOOKUP(C410,'RAW DATA 2023'!E:BO,36,0)</f>
        <v>EHP</v>
      </c>
      <c r="L410" s="106">
        <f>VLOOKUP(C410,'RAW DATA 2023'!E:BO,21,0)</f>
        <v>13.585360000000001</v>
      </c>
      <c r="M410" s="106">
        <f t="shared" si="35"/>
        <v>100.76977507255424</v>
      </c>
    </row>
    <row r="411" spans="1:13">
      <c r="A411" t="str">
        <f>'RAW DATA 2023'!B404</f>
        <v>CS4</v>
      </c>
      <c r="B411" t="str">
        <f>'RAW DATA 2023'!D404</f>
        <v>A1-011-0046</v>
      </c>
      <c r="C411" t="str">
        <f t="shared" si="31"/>
        <v>CS4A1-011-0046</v>
      </c>
      <c r="D411">
        <f>VLOOKUP(C411,'RAW DATA 2023'!E:BP,63,0)</f>
        <v>9</v>
      </c>
      <c r="E411" t="str">
        <f t="shared" si="32"/>
        <v>CS49</v>
      </c>
      <c r="F411">
        <f>ROUND(VLOOKUP(C411,'RAW DATA 2023'!E:BO,23,0),0)</f>
        <v>46</v>
      </c>
      <c r="G411" s="16">
        <f>VLOOKUP(C411,'RAW DATA 2023'!E:BO,27,0)</f>
        <v>1.1755740541150304</v>
      </c>
      <c r="H411" s="16">
        <f>IFERROR(VLOOKUP(F411,STD!B:G,5,0),0)</f>
        <v>1.54</v>
      </c>
      <c r="I411" s="21">
        <f t="shared" si="33"/>
        <v>1.3099982894393742</v>
      </c>
      <c r="J411" s="16">
        <f t="shared" si="34"/>
        <v>16.199965788787484</v>
      </c>
      <c r="K411" s="106" t="str">
        <f>VLOOKUP(C411,'RAW DATA 2023'!E:BO,36,0)</f>
        <v>WFD+EHP</v>
      </c>
      <c r="L411" s="106">
        <f>VLOOKUP(C411,'RAW DATA 2023'!E:BO,21,0)</f>
        <v>16.842130000000001</v>
      </c>
      <c r="M411" s="106">
        <f t="shared" si="35"/>
        <v>272.84192981031134</v>
      </c>
    </row>
    <row r="412" spans="1:13">
      <c r="A412" t="str">
        <f>'RAW DATA 2023'!B405</f>
        <v>CS4</v>
      </c>
      <c r="B412" t="str">
        <f>'RAW DATA 2023'!D405</f>
        <v>A1-011-0045</v>
      </c>
      <c r="C412" t="str">
        <f t="shared" si="31"/>
        <v>CS4A1-011-0045</v>
      </c>
      <c r="D412">
        <f>VLOOKUP(C412,'RAW DATA 2023'!E:BP,63,0)</f>
        <v>5</v>
      </c>
      <c r="E412" t="str">
        <f t="shared" si="32"/>
        <v>CS45</v>
      </c>
      <c r="F412">
        <f>ROUND(VLOOKUP(C412,'RAW DATA 2023'!E:BO,23,0),0)</f>
        <v>40</v>
      </c>
      <c r="G412" s="16">
        <f>VLOOKUP(C412,'RAW DATA 2023'!E:BO,27,0)</f>
        <v>1.8892971542744781</v>
      </c>
      <c r="H412" s="16">
        <f>IFERROR(VLOOKUP(F412,STD!B:G,5,0),0)</f>
        <v>1.63</v>
      </c>
      <c r="I412" s="21">
        <f t="shared" si="33"/>
        <v>0.86275470023980816</v>
      </c>
      <c r="J412" s="16">
        <f t="shared" si="34"/>
        <v>7.2550940047961632</v>
      </c>
      <c r="K412" s="106" t="str">
        <f>VLOOKUP(C412,'RAW DATA 2023'!E:BO,36,0)</f>
        <v>EHP</v>
      </c>
      <c r="L412" s="106">
        <f>VLOOKUP(C412,'RAW DATA 2023'!E:BO,21,0)</f>
        <v>11.37185</v>
      </c>
      <c r="M412" s="106">
        <f t="shared" si="35"/>
        <v>82.503840758441257</v>
      </c>
    </row>
    <row r="413" spans="1:13">
      <c r="A413" t="str">
        <f>'RAW DATA 2023'!B406</f>
        <v>CS4</v>
      </c>
      <c r="B413" t="str">
        <f>'RAW DATA 2023'!D406</f>
        <v>A1-025-0017</v>
      </c>
      <c r="C413" t="str">
        <f t="shared" si="31"/>
        <v>CS4A1-025-0017</v>
      </c>
      <c r="D413">
        <f>VLOOKUP(C413,'RAW DATA 2023'!E:BP,63,0)</f>
        <v>5</v>
      </c>
      <c r="E413" t="str">
        <f t="shared" si="32"/>
        <v>CS45</v>
      </c>
      <c r="F413">
        <f>ROUND(VLOOKUP(C413,'RAW DATA 2023'!E:BO,23,0),0)</f>
        <v>30</v>
      </c>
      <c r="G413" s="16">
        <f>VLOOKUP(C413,'RAW DATA 2023'!E:BO,27,0)</f>
        <v>2.2604930267698529</v>
      </c>
      <c r="H413" s="16">
        <f>IFERROR(VLOOKUP(F413,STD!B:G,5,0),0)</f>
        <v>1.87</v>
      </c>
      <c r="I413" s="21">
        <f t="shared" si="33"/>
        <v>0.82725316019760053</v>
      </c>
      <c r="J413" s="16">
        <f t="shared" si="34"/>
        <v>6.5450632039520107</v>
      </c>
      <c r="K413" s="106" t="str">
        <f>VLOOKUP(C413,'RAW DATA 2023'!E:BO,36,0)</f>
        <v>Normal</v>
      </c>
      <c r="L413" s="106">
        <f>VLOOKUP(C413,'RAW DATA 2023'!E:BO,21,0)</f>
        <v>15.90166</v>
      </c>
      <c r="M413" s="106">
        <f t="shared" si="35"/>
        <v>104.07736974775553</v>
      </c>
    </row>
    <row r="414" spans="1:13">
      <c r="A414" t="str">
        <f>'RAW DATA 2023'!B407</f>
        <v>CS4</v>
      </c>
      <c r="B414" t="str">
        <f>'RAW DATA 2023'!D407</f>
        <v>A1-026-0015</v>
      </c>
      <c r="C414" t="str">
        <f t="shared" si="31"/>
        <v>CS4A1-026-0015</v>
      </c>
      <c r="D414">
        <f>VLOOKUP(C414,'RAW DATA 2023'!E:BP,63,0)</f>
        <v>6</v>
      </c>
      <c r="E414" t="str">
        <f t="shared" si="32"/>
        <v>CS46</v>
      </c>
      <c r="F414">
        <f>ROUND(VLOOKUP(C414,'RAW DATA 2023'!E:BO,23,0),0)</f>
        <v>126</v>
      </c>
      <c r="G414" s="16">
        <f>VLOOKUP(C414,'RAW DATA 2023'!E:BO,27,0)</f>
        <v>1.2019986651221575</v>
      </c>
      <c r="H414" s="16">
        <f>IFERROR(VLOOKUP(F414,STD!B:G,5,0),0)</f>
        <v>1.1499999999999999</v>
      </c>
      <c r="I414" s="21">
        <f t="shared" si="33"/>
        <v>0.95673983122362871</v>
      </c>
      <c r="J414" s="16">
        <f t="shared" si="34"/>
        <v>9.1347966244725747</v>
      </c>
      <c r="K414" s="106" t="str">
        <f>VLOOKUP(C414,'RAW DATA 2023'!E:BO,36,0)</f>
        <v>EHP</v>
      </c>
      <c r="L414" s="106">
        <f>VLOOKUP(C414,'RAW DATA 2023'!E:BO,21,0)</f>
        <v>5.4647899999999998</v>
      </c>
      <c r="M414" s="106">
        <f t="shared" si="35"/>
        <v>49.91974524545148</v>
      </c>
    </row>
    <row r="415" spans="1:13">
      <c r="A415" t="str">
        <f>'RAW DATA 2023'!B408</f>
        <v>CS4</v>
      </c>
      <c r="B415" t="str">
        <f>'RAW DATA 2023'!D408</f>
        <v>A1-023-0009</v>
      </c>
      <c r="C415" t="str">
        <f t="shared" si="31"/>
        <v>CS4A1-023-0009</v>
      </c>
      <c r="D415">
        <f>VLOOKUP(C415,'RAW DATA 2023'!E:BP,63,0)</f>
        <v>5</v>
      </c>
      <c r="E415" t="str">
        <f t="shared" si="32"/>
        <v>CS45</v>
      </c>
      <c r="F415">
        <f>ROUND(VLOOKUP(C415,'RAW DATA 2023'!E:BO,23,0),0)</f>
        <v>110</v>
      </c>
      <c r="G415" s="16">
        <f>VLOOKUP(C415,'RAW DATA 2023'!E:BO,27,0)</f>
        <v>1.1984220775978296</v>
      </c>
      <c r="H415" s="16">
        <f>IFERROR(VLOOKUP(F415,STD!B:G,5,0),0)</f>
        <v>1.19</v>
      </c>
      <c r="J415" s="16">
        <f t="shared" si="34"/>
        <v>-10</v>
      </c>
      <c r="K415" s="106" t="str">
        <f>VLOOKUP(C415,'RAW DATA 2023'!E:BO,36,0)</f>
        <v>WFD+EHP</v>
      </c>
      <c r="L415" s="106">
        <f>VLOOKUP(C415,'RAW DATA 2023'!E:BO,21,0)</f>
        <v>6.2078999999999995</v>
      </c>
      <c r="M415" s="106">
        <f t="shared" si="35"/>
        <v>-62.078999999999994</v>
      </c>
    </row>
    <row r="416" spans="1:13">
      <c r="A416" t="str">
        <f>'RAW DATA 2023'!B409</f>
        <v>CS4</v>
      </c>
      <c r="B416" t="str">
        <f>'RAW DATA 2023'!D409</f>
        <v>A1-003-0037</v>
      </c>
      <c r="C416" t="str">
        <f t="shared" si="31"/>
        <v>CS4A1-003-0037</v>
      </c>
      <c r="D416">
        <f>VLOOKUP(C416,'RAW DATA 2023'!E:BP,63,0)</f>
        <v>4</v>
      </c>
      <c r="E416" t="str">
        <f t="shared" si="32"/>
        <v>CS44</v>
      </c>
      <c r="F416">
        <f>ROUND(VLOOKUP(C416,'RAW DATA 2023'!E:BO,23,0),0)</f>
        <v>34</v>
      </c>
      <c r="G416" s="16">
        <f>VLOOKUP(C416,'RAW DATA 2023'!E:BO,27,0)</f>
        <v>2.7876454431528952</v>
      </c>
      <c r="H416" s="16">
        <f>IFERROR(VLOOKUP(F416,STD!B:G,5,0),0)</f>
        <v>1.77</v>
      </c>
      <c r="I416" s="21">
        <f t="shared" si="33"/>
        <v>0.63494444903225811</v>
      </c>
      <c r="J416" s="16">
        <f t="shared" si="34"/>
        <v>2.6988889806451621</v>
      </c>
      <c r="K416" s="106" t="str">
        <f>VLOOKUP(C416,'RAW DATA 2023'!E:BO,36,0)</f>
        <v>พบขี้ขาวลอย</v>
      </c>
      <c r="L416" s="106">
        <f>VLOOKUP(C416,'RAW DATA 2023'!E:BO,21,0)</f>
        <v>14.11758</v>
      </c>
      <c r="M416" s="106">
        <f t="shared" si="35"/>
        <v>38.101781095376531</v>
      </c>
    </row>
    <row r="417" spans="1:13">
      <c r="A417" t="str">
        <f>'RAW DATA 2023'!B410</f>
        <v>CS4</v>
      </c>
      <c r="B417" t="str">
        <f>'RAW DATA 2023'!D410</f>
        <v>A1-002-0047</v>
      </c>
      <c r="C417" t="str">
        <f t="shared" si="31"/>
        <v>CS4A1-002-0047</v>
      </c>
      <c r="D417">
        <f>VLOOKUP(C417,'RAW DATA 2023'!E:BP,63,0)</f>
        <v>5</v>
      </c>
      <c r="E417" t="str">
        <f t="shared" si="32"/>
        <v>CS45</v>
      </c>
      <c r="F417">
        <f>ROUND(VLOOKUP(C417,'RAW DATA 2023'!E:BO,23,0),0)</f>
        <v>183</v>
      </c>
      <c r="G417" s="16">
        <f>VLOOKUP(C417,'RAW DATA 2023'!E:BO,27,0)</f>
        <v>1.4987439098660169</v>
      </c>
      <c r="H417" s="16">
        <f>IFERROR(VLOOKUP(F417,STD!B:G,5,0),0)</f>
        <v>0.98599999999999999</v>
      </c>
      <c r="I417" s="21">
        <f t="shared" si="33"/>
        <v>0.65788424126984135</v>
      </c>
      <c r="J417" s="16">
        <f t="shared" si="34"/>
        <v>3.157684825396827</v>
      </c>
      <c r="K417" s="106" t="str">
        <f>VLOOKUP(C417,'RAW DATA 2023'!E:BO,36,0)</f>
        <v>EHP</v>
      </c>
      <c r="L417" s="106">
        <f>VLOOKUP(C417,'RAW DATA 2023'!E:BO,21,0)</f>
        <v>4.3715200000000003</v>
      </c>
      <c r="M417" s="106">
        <f t="shared" si="35"/>
        <v>13.803882367918739</v>
      </c>
    </row>
    <row r="418" spans="1:13">
      <c r="A418" t="str">
        <f>'RAW DATA 2023'!B411</f>
        <v>CS4</v>
      </c>
      <c r="B418" t="str">
        <f>'RAW DATA 2023'!D411</f>
        <v>A1-002-0048</v>
      </c>
      <c r="C418" t="str">
        <f t="shared" si="31"/>
        <v>CS4A1-002-0048</v>
      </c>
      <c r="D418">
        <f>VLOOKUP(C418,'RAW DATA 2023'!E:BP,63,0)</f>
        <v>9</v>
      </c>
      <c r="E418" t="str">
        <f t="shared" si="32"/>
        <v>CS49</v>
      </c>
      <c r="F418">
        <f>ROUND(VLOOKUP(C418,'RAW DATA 2023'!E:BO,23,0),0)</f>
        <v>0</v>
      </c>
      <c r="G418" s="16">
        <f>VLOOKUP(C418,'RAW DATA 2023'!E:BO,27,0)</f>
        <v>0</v>
      </c>
      <c r="H418" s="16">
        <f>IFERROR(VLOOKUP(F418,STD!B:G,5,0),0)</f>
        <v>0</v>
      </c>
      <c r="I418" s="21">
        <f t="shared" si="33"/>
        <v>0</v>
      </c>
      <c r="J418" s="16">
        <f t="shared" si="34"/>
        <v>-10</v>
      </c>
      <c r="K418" s="106" t="str">
        <f>VLOOKUP(C418,'RAW DATA 2023'!E:BO,36,0)</f>
        <v>EHP</v>
      </c>
      <c r="L418" s="106">
        <f>VLOOKUP(C418,'RAW DATA 2023'!E:BO,21,0)</f>
        <v>0</v>
      </c>
      <c r="M418" s="106">
        <f t="shared" si="35"/>
        <v>0</v>
      </c>
    </row>
    <row r="419" spans="1:13">
      <c r="A419" t="str">
        <f>'RAW DATA 2023'!B412</f>
        <v>CS4</v>
      </c>
      <c r="B419" t="str">
        <f>'RAW DATA 2023'!D412</f>
        <v>A1-002-0046</v>
      </c>
      <c r="C419" t="str">
        <f t="shared" si="31"/>
        <v>CS4A1-002-0046</v>
      </c>
      <c r="D419">
        <f>VLOOKUP(C419,'RAW DATA 2023'!E:BP,63,0)</f>
        <v>2</v>
      </c>
      <c r="E419" t="str">
        <f t="shared" si="32"/>
        <v>CS42</v>
      </c>
      <c r="F419">
        <f>ROUND(VLOOKUP(C419,'RAW DATA 2023'!E:BO,23,0),0)</f>
        <v>53</v>
      </c>
      <c r="G419" s="16">
        <f>VLOOKUP(C419,'RAW DATA 2023'!E:BO,27,0)</f>
        <v>1.517156562497985</v>
      </c>
      <c r="H419" s="16">
        <f>IFERROR(VLOOKUP(F419,STD!B:G,5,0),0)</f>
        <v>1.46</v>
      </c>
      <c r="I419" s="21">
        <f t="shared" si="33"/>
        <v>0.96232652324037193</v>
      </c>
      <c r="J419" s="16">
        <f t="shared" si="34"/>
        <v>9.2465304648074387</v>
      </c>
      <c r="K419" s="106" t="str">
        <f>VLOOKUP(C419,'RAW DATA 2023'!E:BO,36,0)</f>
        <v>WSSV</v>
      </c>
      <c r="L419" s="106">
        <f>VLOOKUP(C419,'RAW DATA 2023'!E:BO,21,0)</f>
        <v>12.698040000000001</v>
      </c>
      <c r="M419" s="106">
        <f t="shared" si="35"/>
        <v>117.41281370334346</v>
      </c>
    </row>
    <row r="420" spans="1:13">
      <c r="A420" t="str">
        <f>'RAW DATA 2023'!B413</f>
        <v>CS4</v>
      </c>
      <c r="B420" t="str">
        <f>'RAW DATA 2023'!D413</f>
        <v>A1-023-0008</v>
      </c>
      <c r="C420" t="str">
        <f t="shared" si="31"/>
        <v>CS4A1-023-0008</v>
      </c>
      <c r="D420">
        <f>VLOOKUP(C420,'RAW DATA 2023'!E:BP,63,0)</f>
        <v>3</v>
      </c>
      <c r="E420" t="str">
        <f t="shared" si="32"/>
        <v>CS43</v>
      </c>
      <c r="F420">
        <f>ROUND(VLOOKUP(C420,'RAW DATA 2023'!E:BO,23,0),0)</f>
        <v>87</v>
      </c>
      <c r="G420" s="16">
        <f>VLOOKUP(C420,'RAW DATA 2023'!E:BO,27,0)</f>
        <v>1.8765477673696029</v>
      </c>
      <c r="H420" s="16">
        <f>IFERROR(VLOOKUP(F420,STD!B:G,5,0),0)</f>
        <v>1.26</v>
      </c>
      <c r="I420" s="21">
        <f t="shared" si="33"/>
        <v>0.67144573770491811</v>
      </c>
      <c r="J420" s="16">
        <f t="shared" si="34"/>
        <v>3.4289147540983622</v>
      </c>
      <c r="K420" s="106" t="str">
        <f>VLOOKUP(C420,'RAW DATA 2023'!E:BO,36,0)</f>
        <v>YHV</v>
      </c>
      <c r="L420" s="106">
        <f>VLOOKUP(C420,'RAW DATA 2023'!E:BO,21,0)</f>
        <v>3.3946499999999999</v>
      </c>
      <c r="M420" s="106">
        <f t="shared" si="35"/>
        <v>11.639965470000005</v>
      </c>
    </row>
    <row r="421" spans="1:13">
      <c r="A421" t="str">
        <f>'RAW DATA 2023'!B414</f>
        <v>CS4</v>
      </c>
      <c r="B421" t="str">
        <f>'RAW DATA 2023'!D414</f>
        <v>A1-026-0014</v>
      </c>
      <c r="C421" t="str">
        <f t="shared" si="31"/>
        <v>CS4A1-026-0014</v>
      </c>
      <c r="D421">
        <f>VLOOKUP(C421,'RAW DATA 2023'!E:BP,63,0)</f>
        <v>4</v>
      </c>
      <c r="E421" t="str">
        <f t="shared" si="32"/>
        <v>CS44</v>
      </c>
      <c r="F421">
        <f>ROUND(VLOOKUP(C421,'RAW DATA 2023'!E:BO,23,0),0)</f>
        <v>99</v>
      </c>
      <c r="G421" s="16">
        <f>VLOOKUP(C421,'RAW DATA 2023'!E:BO,27,0)</f>
        <v>1.371640037228643</v>
      </c>
      <c r="H421" s="16">
        <f>IFERROR(VLOOKUP(F421,STD!B:G,5,0),0)</f>
        <v>1.22</v>
      </c>
      <c r="I421" s="21">
        <f t="shared" si="33"/>
        <v>0.88944618623481775</v>
      </c>
      <c r="J421" s="16">
        <f t="shared" si="34"/>
        <v>7.788923724696355</v>
      </c>
      <c r="K421" s="106" t="str">
        <f>VLOOKUP(C421,'RAW DATA 2023'!E:BO,36,0)</f>
        <v>WFD</v>
      </c>
      <c r="L421" s="106">
        <f>VLOOKUP(C421,'RAW DATA 2023'!E:BO,21,0)</f>
        <v>4.7935100000000004</v>
      </c>
      <c r="M421" s="106">
        <f t="shared" si="35"/>
        <v>37.336283763569227</v>
      </c>
    </row>
    <row r="422" spans="1:13">
      <c r="A422" t="str">
        <f>'RAW DATA 2023'!B415</f>
        <v>CS1</v>
      </c>
      <c r="B422" t="str">
        <f>'RAW DATA 2023'!D415</f>
        <v>A1-007-0050</v>
      </c>
      <c r="C422" t="str">
        <f t="shared" si="31"/>
        <v>CS1A1-007-0050</v>
      </c>
      <c r="D422">
        <f>VLOOKUP(C422,'RAW DATA 2023'!E:BP,63,0)</f>
        <v>10</v>
      </c>
      <c r="E422" t="str">
        <f t="shared" si="32"/>
        <v>CS110</v>
      </c>
      <c r="F422">
        <f>ROUND(VLOOKUP(C422,'RAW DATA 2023'!E:BO,23,0),0)</f>
        <v>26</v>
      </c>
      <c r="G422" s="16">
        <f>VLOOKUP(C422,'RAW DATA 2023'!E:BO,27,0)</f>
        <v>3.3188865229288909</v>
      </c>
      <c r="H422" s="16">
        <f>IFERROR(VLOOKUP(F422,STD!B:G,5,0),0)</f>
        <v>2</v>
      </c>
      <c r="I422" s="21">
        <f t="shared" si="33"/>
        <v>0.60261174528950634</v>
      </c>
      <c r="J422" s="16">
        <f t="shared" si="34"/>
        <v>2.0522349057901268</v>
      </c>
      <c r="K422" s="106" t="str">
        <f>VLOOKUP(C422,'RAW DATA 2023'!E:BO,36,0)</f>
        <v>Normal</v>
      </c>
      <c r="L422" s="106">
        <f>VLOOKUP(C422,'RAW DATA 2023'!E:BO,21,0)</f>
        <v>23.235900000000001</v>
      </c>
      <c r="M422" s="106">
        <f t="shared" si="35"/>
        <v>47.685525047448806</v>
      </c>
    </row>
    <row r="423" spans="1:13">
      <c r="A423" t="str">
        <f>'RAW DATA 2023'!B416</f>
        <v>CS1</v>
      </c>
      <c r="B423" t="str">
        <f>'RAW DATA 2023'!D416</f>
        <v>A1-010-0051</v>
      </c>
      <c r="C423" t="str">
        <f t="shared" si="31"/>
        <v>CS1A1-010-0051</v>
      </c>
      <c r="D423">
        <f>VLOOKUP(C423,'RAW DATA 2023'!E:BP,63,0)</f>
        <v>10</v>
      </c>
      <c r="E423" t="str">
        <f t="shared" si="32"/>
        <v>CS110</v>
      </c>
      <c r="F423">
        <f>ROUND(VLOOKUP(C423,'RAW DATA 2023'!E:BO,23,0),0)</f>
        <v>32</v>
      </c>
      <c r="G423" s="16">
        <f>VLOOKUP(C423,'RAW DATA 2023'!E:BO,27,0)</f>
        <v>2.4232338797462831</v>
      </c>
      <c r="H423" s="16">
        <f>IFERROR(VLOOKUP(F423,STD!B:G,5,0),0)</f>
        <v>1.82</v>
      </c>
      <c r="I423" s="21">
        <f t="shared" si="33"/>
        <v>0.75106246046318781</v>
      </c>
      <c r="J423" s="16">
        <f t="shared" si="34"/>
        <v>5.0212492092637557</v>
      </c>
      <c r="K423" s="106" t="str">
        <f>VLOOKUP(C423,'RAW DATA 2023'!E:BO,36,0)</f>
        <v>Normal</v>
      </c>
      <c r="L423" s="106">
        <f>VLOOKUP(C423,'RAW DATA 2023'!E:BO,21,0)</f>
        <v>36.309580000000004</v>
      </c>
      <c r="M423" s="106">
        <f t="shared" si="35"/>
        <v>182.31944986369911</v>
      </c>
    </row>
    <row r="424" spans="1:13">
      <c r="A424" t="str">
        <f>'RAW DATA 2023'!B417</f>
        <v>CS1</v>
      </c>
      <c r="B424" t="str">
        <f>'RAW DATA 2023'!D417</f>
        <v>A1-004-0040</v>
      </c>
      <c r="C424" t="str">
        <f t="shared" si="31"/>
        <v>CS1A1-004-0040</v>
      </c>
      <c r="D424">
        <f>VLOOKUP(C424,'RAW DATA 2023'!E:BP,63,0)</f>
        <v>2</v>
      </c>
      <c r="E424" t="str">
        <f t="shared" si="32"/>
        <v>CS12</v>
      </c>
      <c r="F424">
        <f>ROUND(VLOOKUP(C424,'RAW DATA 2023'!E:BO,23,0),0)</f>
        <v>24</v>
      </c>
      <c r="G424" s="16">
        <f>VLOOKUP(C424,'RAW DATA 2023'!E:BO,27,0)</f>
        <v>3.2546102361877569</v>
      </c>
      <c r="H424" s="16">
        <f>IFERROR(VLOOKUP(F424,STD!B:G,5,0),0)</f>
        <v>2.08</v>
      </c>
      <c r="J424" s="16">
        <f t="shared" si="34"/>
        <v>-10</v>
      </c>
      <c r="K424" s="106" t="str">
        <f>VLOOKUP(C424,'RAW DATA 2023'!E:BO,36,0)</f>
        <v>Normal</v>
      </c>
      <c r="L424" s="106">
        <f>VLOOKUP(C424,'RAW DATA 2023'!E:BO,21,0)</f>
        <v>11.816360000000001</v>
      </c>
      <c r="M424" s="106">
        <f t="shared" si="35"/>
        <v>-118.16360000000002</v>
      </c>
    </row>
    <row r="425" spans="1:13">
      <c r="A425" t="str">
        <f>'RAW DATA 2023'!B418</f>
        <v>CS1</v>
      </c>
      <c r="B425" t="str">
        <f>'RAW DATA 2023'!D418</f>
        <v>A1-096-0028</v>
      </c>
      <c r="C425" t="str">
        <f t="shared" si="31"/>
        <v>CS1A1-096-0028</v>
      </c>
      <c r="D425">
        <f>VLOOKUP(C425,'RAW DATA 2023'!E:BP,63,0)</f>
        <v>5</v>
      </c>
      <c r="E425" t="str">
        <f t="shared" si="32"/>
        <v>CS15</v>
      </c>
      <c r="F425">
        <f>ROUND(VLOOKUP(C425,'RAW DATA 2023'!E:BO,23,0),0)</f>
        <v>45</v>
      </c>
      <c r="G425" s="16">
        <f>VLOOKUP(C425,'RAW DATA 2023'!E:BO,27,0)</f>
        <v>2.4125688229518003</v>
      </c>
      <c r="H425" s="16">
        <f>IFERROR(VLOOKUP(F425,STD!B:G,5,0),0)</f>
        <v>1.55</v>
      </c>
      <c r="I425" s="21">
        <f t="shared" si="33"/>
        <v>0.64246871851040532</v>
      </c>
      <c r="J425" s="16">
        <f t="shared" si="34"/>
        <v>2.8493743702081065</v>
      </c>
      <c r="K425" s="106" t="str">
        <f>VLOOKUP(C425,'RAW DATA 2023'!E:BO,36,0)</f>
        <v>EHP</v>
      </c>
      <c r="L425" s="106">
        <f>VLOOKUP(C425,'RAW DATA 2023'!E:BO,21,0)</f>
        <v>10.000870000000001</v>
      </c>
      <c r="M425" s="106">
        <f t="shared" si="35"/>
        <v>28.496222657783147</v>
      </c>
    </row>
    <row r="426" spans="1:13">
      <c r="A426" t="str">
        <f>'RAW DATA 2023'!B419</f>
        <v>CS1</v>
      </c>
      <c r="B426" t="str">
        <f>'RAW DATA 2023'!D419</f>
        <v>A1-014-0045</v>
      </c>
      <c r="C426" t="str">
        <f t="shared" si="31"/>
        <v>CS1A1-014-0045</v>
      </c>
      <c r="D426">
        <f>VLOOKUP(C426,'RAW DATA 2023'!E:BP,63,0)</f>
        <v>3</v>
      </c>
      <c r="E426" t="str">
        <f t="shared" si="32"/>
        <v>CS13</v>
      </c>
      <c r="F426">
        <f>ROUND(VLOOKUP(C426,'RAW DATA 2023'!E:BO,23,0),0)</f>
        <v>42</v>
      </c>
      <c r="G426" s="16">
        <f>VLOOKUP(C426,'RAW DATA 2023'!E:BO,27,0)</f>
        <v>1.3861273316877414</v>
      </c>
      <c r="H426" s="16">
        <f>IFERROR(VLOOKUP(F426,STD!B:G,5,0),0)</f>
        <v>1.6</v>
      </c>
      <c r="I426" s="21">
        <f t="shared" si="33"/>
        <v>1.1542951094196003</v>
      </c>
      <c r="J426" s="16">
        <f t="shared" si="34"/>
        <v>13.085902188392007</v>
      </c>
      <c r="K426" s="106" t="str">
        <f>VLOOKUP(C426,'RAW DATA 2023'!E:BO,36,0)</f>
        <v>Normal</v>
      </c>
      <c r="L426" s="106">
        <f>VLOOKUP(C426,'RAW DATA 2023'!E:BO,21,0)</f>
        <v>19.255689999999998</v>
      </c>
      <c r="M426" s="106">
        <f t="shared" si="35"/>
        <v>251.97807590999804</v>
      </c>
    </row>
    <row r="427" spans="1:13">
      <c r="A427" t="str">
        <f>'RAW DATA 2023'!B420</f>
        <v>CS1</v>
      </c>
      <c r="B427" t="str">
        <f>'RAW DATA 2023'!D420</f>
        <v>A1-096-0027</v>
      </c>
      <c r="C427" t="str">
        <f t="shared" si="31"/>
        <v>CS1A1-096-0027</v>
      </c>
      <c r="D427">
        <f>VLOOKUP(C427,'RAW DATA 2023'!E:BP,63,0)</f>
        <v>2</v>
      </c>
      <c r="E427" t="str">
        <f t="shared" si="32"/>
        <v>CS12</v>
      </c>
      <c r="F427">
        <f>ROUND(VLOOKUP(C427,'RAW DATA 2023'!E:BO,23,0),0)</f>
        <v>26</v>
      </c>
      <c r="G427" s="16">
        <f>VLOOKUP(C427,'RAW DATA 2023'!E:BO,27,0)</f>
        <v>2.7048811021572012</v>
      </c>
      <c r="H427" s="16">
        <f>IFERROR(VLOOKUP(F427,STD!B:G,5,0),0)</f>
        <v>2</v>
      </c>
      <c r="I427" s="21">
        <f t="shared" si="33"/>
        <v>0.73940403458213255</v>
      </c>
      <c r="J427" s="16">
        <f t="shared" si="34"/>
        <v>4.7880806916426515</v>
      </c>
      <c r="K427" s="106" t="str">
        <f>VLOOKUP(C427,'RAW DATA 2023'!E:BO,36,0)</f>
        <v>Normal</v>
      </c>
      <c r="L427" s="106">
        <f>VLOOKUP(C427,'RAW DATA 2023'!E:BO,21,0)</f>
        <v>13.088659999999999</v>
      </c>
      <c r="M427" s="106">
        <f t="shared" si="35"/>
        <v>62.6695602254755</v>
      </c>
    </row>
    <row r="428" spans="1:13">
      <c r="A428" t="str">
        <f>'RAW DATA 2023'!B421</f>
        <v>CS1</v>
      </c>
      <c r="B428" t="str">
        <f>'RAW DATA 2023'!D421</f>
        <v>A1-010-0049</v>
      </c>
      <c r="C428" t="str">
        <f t="shared" si="31"/>
        <v>CS1A1-010-0049</v>
      </c>
      <c r="D428">
        <f>VLOOKUP(C428,'RAW DATA 2023'!E:BP,63,0)</f>
        <v>2</v>
      </c>
      <c r="E428" t="str">
        <f t="shared" si="32"/>
        <v>CS12</v>
      </c>
      <c r="F428">
        <f>ROUND(VLOOKUP(C428,'RAW DATA 2023'!E:BO,23,0),0)</f>
        <v>26</v>
      </c>
      <c r="G428" s="16">
        <f>VLOOKUP(C428,'RAW DATA 2023'!E:BO,27,0)</f>
        <v>2.2647516307943869</v>
      </c>
      <c r="H428" s="16">
        <f>IFERROR(VLOOKUP(F428,STD!B:G,5,0),0)</f>
        <v>2</v>
      </c>
      <c r="I428" s="21">
        <f t="shared" si="33"/>
        <v>0.8830990439770553</v>
      </c>
      <c r="J428" s="16">
        <f t="shared" si="34"/>
        <v>7.6619808795411064</v>
      </c>
      <c r="K428" s="106" t="str">
        <f>VLOOKUP(C428,'RAW DATA 2023'!E:BO,36,0)</f>
        <v>Normal</v>
      </c>
      <c r="L428" s="106">
        <f>VLOOKUP(C428,'RAW DATA 2023'!E:BO,21,0)</f>
        <v>17.605779999999999</v>
      </c>
      <c r="M428" s="106">
        <f t="shared" si="35"/>
        <v>134.89514972940722</v>
      </c>
    </row>
    <row r="429" spans="1:13">
      <c r="A429" t="str">
        <f>'RAW DATA 2023'!B422</f>
        <v>CS1</v>
      </c>
      <c r="B429" t="str">
        <f>'RAW DATA 2023'!D422</f>
        <v>A1-007-0048</v>
      </c>
      <c r="C429" t="str">
        <f t="shared" si="31"/>
        <v>CS1A1-007-0048</v>
      </c>
      <c r="D429">
        <f>VLOOKUP(C429,'RAW DATA 2023'!E:BP,63,0)</f>
        <v>2</v>
      </c>
      <c r="E429" t="str">
        <f t="shared" si="32"/>
        <v>CS12</v>
      </c>
      <c r="F429">
        <f>ROUND(VLOOKUP(C429,'RAW DATA 2023'!E:BO,23,0),0)</f>
        <v>29</v>
      </c>
      <c r="G429" s="16">
        <f>VLOOKUP(C429,'RAW DATA 2023'!E:BO,27,0)</f>
        <v>2.050893895134736</v>
      </c>
      <c r="H429" s="16">
        <f>IFERROR(VLOOKUP(F429,STD!B:G,5,0),0)</f>
        <v>1.9</v>
      </c>
      <c r="I429" s="21">
        <f t="shared" si="33"/>
        <v>0.92642530386740318</v>
      </c>
      <c r="J429" s="16">
        <f t="shared" si="34"/>
        <v>8.5285060773480641</v>
      </c>
      <c r="K429" s="106" t="str">
        <f>VLOOKUP(C429,'RAW DATA 2023'!E:BO,36,0)</f>
        <v>Normal</v>
      </c>
      <c r="L429" s="106">
        <f>VLOOKUP(C429,'RAW DATA 2023'!E:BO,21,0)</f>
        <v>17.96584</v>
      </c>
      <c r="M429" s="106">
        <f t="shared" si="35"/>
        <v>153.22177562466294</v>
      </c>
    </row>
    <row r="430" spans="1:13">
      <c r="A430" t="str">
        <f>'RAW DATA 2023'!B423</f>
        <v>CS1</v>
      </c>
      <c r="B430" t="str">
        <f>'RAW DATA 2023'!D423</f>
        <v>A1-008-0030</v>
      </c>
      <c r="C430" t="str">
        <f t="shared" si="31"/>
        <v>CS1A1-008-0030</v>
      </c>
      <c r="D430">
        <f>VLOOKUP(C430,'RAW DATA 2023'!E:BP,63,0)</f>
        <v>3</v>
      </c>
      <c r="E430" t="str">
        <f t="shared" si="32"/>
        <v>CS13</v>
      </c>
      <c r="F430">
        <f>ROUND(VLOOKUP(C430,'RAW DATA 2023'!E:BO,23,0),0)</f>
        <v>29</v>
      </c>
      <c r="G430" s="16">
        <f>VLOOKUP(C430,'RAW DATA 2023'!E:BO,27,0)</f>
        <v>2.8167764809951494</v>
      </c>
      <c r="H430" s="16">
        <f>IFERROR(VLOOKUP(F430,STD!B:G,5,0),0)</f>
        <v>1.9</v>
      </c>
      <c r="I430" s="21">
        <f t="shared" si="33"/>
        <v>0.67452991489361691</v>
      </c>
      <c r="J430" s="16">
        <f t="shared" si="34"/>
        <v>3.4905982978723382</v>
      </c>
      <c r="K430" s="106" t="str">
        <f>VLOOKUP(C430,'RAW DATA 2023'!E:BO,36,0)</f>
        <v>Normal</v>
      </c>
      <c r="L430" s="106">
        <f>VLOOKUP(C430,'RAW DATA 2023'!E:BO,21,0)</f>
        <v>17.111729999999998</v>
      </c>
      <c r="M430" s="106">
        <f t="shared" si="35"/>
        <v>59.730175611651021</v>
      </c>
    </row>
    <row r="431" spans="1:13">
      <c r="A431" t="str">
        <f>'RAW DATA 2023'!B424</f>
        <v>CS1</v>
      </c>
      <c r="B431" t="str">
        <f>'RAW DATA 2023'!D424</f>
        <v>A1-007-0049</v>
      </c>
      <c r="C431" t="str">
        <f t="shared" si="31"/>
        <v>CS1A1-007-0049</v>
      </c>
      <c r="D431">
        <f>VLOOKUP(C431,'RAW DATA 2023'!E:BP,63,0)</f>
        <v>4</v>
      </c>
      <c r="E431" t="str">
        <f t="shared" si="32"/>
        <v>CS14</v>
      </c>
      <c r="F431">
        <f>ROUND(VLOOKUP(C431,'RAW DATA 2023'!E:BO,23,0),0)</f>
        <v>105</v>
      </c>
      <c r="G431" s="16">
        <f>VLOOKUP(C431,'RAW DATA 2023'!E:BO,27,0)</f>
        <v>1.4446153129223172</v>
      </c>
      <c r="H431" s="16">
        <f>IFERROR(VLOOKUP(F431,STD!B:G,5,0),0)</f>
        <v>1.2</v>
      </c>
      <c r="I431" s="21">
        <f t="shared" si="33"/>
        <v>0.83067096774193538</v>
      </c>
      <c r="J431" s="16">
        <f t="shared" si="34"/>
        <v>6.6134193548387081</v>
      </c>
      <c r="K431" s="106" t="str">
        <f>VLOOKUP(C431,'RAW DATA 2023'!E:BO,36,0)</f>
        <v>EHP</v>
      </c>
      <c r="L431" s="106">
        <f>VLOOKUP(C431,'RAW DATA 2023'!E:BO,21,0)</f>
        <v>8.9996399999999994</v>
      </c>
      <c r="M431" s="106">
        <f t="shared" si="35"/>
        <v>59.518393362580625</v>
      </c>
    </row>
    <row r="432" spans="1:13">
      <c r="A432" t="str">
        <f>'RAW DATA 2023'!B425</f>
        <v>CS1</v>
      </c>
      <c r="B432" t="str">
        <f>'RAW DATA 2023'!D425</f>
        <v>A1-008-0031</v>
      </c>
      <c r="C432" t="str">
        <f t="shared" si="31"/>
        <v>CS1A1-008-0031</v>
      </c>
      <c r="D432">
        <f>VLOOKUP(C432,'RAW DATA 2023'!E:BP,63,0)</f>
        <v>5</v>
      </c>
      <c r="E432" t="str">
        <f t="shared" si="32"/>
        <v>CS15</v>
      </c>
      <c r="F432">
        <f>ROUND(VLOOKUP(C432,'RAW DATA 2023'!E:BO,23,0),0)</f>
        <v>80</v>
      </c>
      <c r="G432" s="16">
        <f>VLOOKUP(C432,'RAW DATA 2023'!E:BO,27,0)</f>
        <v>3.1119360648604584</v>
      </c>
      <c r="H432" s="16">
        <f>IFERROR(VLOOKUP(F432,STD!B:G,5,0),0)</f>
        <v>1.29</v>
      </c>
      <c r="I432" s="21">
        <f t="shared" si="33"/>
        <v>0.41453293805309738</v>
      </c>
      <c r="J432" s="16">
        <f t="shared" si="34"/>
        <v>-1.7093412389380525</v>
      </c>
      <c r="K432" s="106" t="str">
        <f>VLOOKUP(C432,'RAW DATA 2023'!E:BO,36,0)</f>
        <v>EHP</v>
      </c>
      <c r="L432" s="106">
        <f>VLOOKUP(C432,'RAW DATA 2023'!E:BO,21,0)</f>
        <v>4.2311800000000002</v>
      </c>
      <c r="M432" s="106">
        <f t="shared" si="35"/>
        <v>-7.2325304633699092</v>
      </c>
    </row>
    <row r="433" spans="1:13">
      <c r="A433" t="str">
        <f>'RAW DATA 2023'!B426</f>
        <v>CS1</v>
      </c>
      <c r="B433" t="str">
        <f>'RAW DATA 2023'!D426</f>
        <v>A1-010-0050</v>
      </c>
      <c r="C433" t="str">
        <f t="shared" si="31"/>
        <v>CS1A1-010-0050</v>
      </c>
      <c r="D433">
        <f>VLOOKUP(C433,'RAW DATA 2023'!E:BP,63,0)</f>
        <v>4</v>
      </c>
      <c r="E433" t="str">
        <f t="shared" si="32"/>
        <v>CS14</v>
      </c>
      <c r="F433">
        <f>ROUND(VLOOKUP(C433,'RAW DATA 2023'!E:BO,23,0),0)</f>
        <v>141</v>
      </c>
      <c r="G433" s="16">
        <f>VLOOKUP(C433,'RAW DATA 2023'!E:BO,27,0)</f>
        <v>1.7210469702402296</v>
      </c>
      <c r="H433" s="16">
        <f>IFERROR(VLOOKUP(F433,STD!B:G,5,0),0)</f>
        <v>1.0860000000000001</v>
      </c>
      <c r="I433" s="21">
        <f t="shared" si="33"/>
        <v>0.63101125000000002</v>
      </c>
      <c r="J433" s="16">
        <f t="shared" si="34"/>
        <v>2.6202250000000005</v>
      </c>
      <c r="K433" s="106" t="str">
        <f>VLOOKUP(C433,'RAW DATA 2023'!E:BO,36,0)</f>
        <v>EHP</v>
      </c>
      <c r="L433" s="106">
        <f>VLOOKUP(C433,'RAW DATA 2023'!E:BO,21,0)</f>
        <v>7.9363400000000004</v>
      </c>
      <c r="M433" s="106">
        <f t="shared" si="35"/>
        <v>20.794996476500003</v>
      </c>
    </row>
    <row r="434" spans="1:13">
      <c r="A434" t="str">
        <f>'RAW DATA 2023'!B427</f>
        <v>CS1</v>
      </c>
      <c r="B434" t="str">
        <f>'RAW DATA 2023'!D427</f>
        <v>C1-080-0017</v>
      </c>
      <c r="C434" t="str">
        <f t="shared" si="31"/>
        <v>CS1C1-080-0017</v>
      </c>
      <c r="D434">
        <f>VLOOKUP(C434,'RAW DATA 2023'!E:BP,63,0)</f>
        <v>2</v>
      </c>
      <c r="E434" t="str">
        <f t="shared" si="32"/>
        <v>CS12</v>
      </c>
      <c r="F434">
        <f>ROUND(VLOOKUP(C434,'RAW DATA 2023'!E:BO,23,0),0)</f>
        <v>23</v>
      </c>
      <c r="G434" s="16">
        <f>VLOOKUP(C434,'RAW DATA 2023'!E:BO,27,0)</f>
        <v>2.3472456781607374</v>
      </c>
      <c r="H434" s="16">
        <f>IFERROR(VLOOKUP(F434,STD!B:G,5,0),0)</f>
        <v>2.13</v>
      </c>
      <c r="I434" s="21">
        <f t="shared" si="33"/>
        <v>0.90744655313159739</v>
      </c>
      <c r="J434" s="16">
        <f t="shared" si="34"/>
        <v>8.1489310626319487</v>
      </c>
      <c r="K434" s="106" t="str">
        <f>VLOOKUP(C434,'RAW DATA 2023'!E:BO,36,0)</f>
        <v>Normal</v>
      </c>
      <c r="L434" s="106">
        <f>VLOOKUP(C434,'RAW DATA 2023'!E:BO,21,0)</f>
        <v>15.335100000000001</v>
      </c>
      <c r="M434" s="106">
        <f t="shared" si="35"/>
        <v>124.9646727385672</v>
      </c>
    </row>
    <row r="435" spans="1:13">
      <c r="A435" t="str">
        <f>'RAW DATA 2023'!B428</f>
        <v>CS1</v>
      </c>
      <c r="B435" t="str">
        <f>'RAW DATA 2023'!D428</f>
        <v>C1-084-0018</v>
      </c>
      <c r="C435" t="str">
        <f t="shared" si="31"/>
        <v>CS1C1-084-0018</v>
      </c>
      <c r="D435">
        <f>VLOOKUP(C435,'RAW DATA 2023'!E:BP,63,0)</f>
        <v>2</v>
      </c>
      <c r="E435" t="str">
        <f t="shared" si="32"/>
        <v>CS12</v>
      </c>
      <c r="F435">
        <f>ROUND(VLOOKUP(C435,'RAW DATA 2023'!E:BO,23,0),0)</f>
        <v>24</v>
      </c>
      <c r="G435" s="16">
        <f>VLOOKUP(C435,'RAW DATA 2023'!E:BO,27,0)</f>
        <v>2.8861617270791773</v>
      </c>
      <c r="H435" s="16">
        <f>IFERROR(VLOOKUP(F435,STD!B:G,5,0),0)</f>
        <v>2.08</v>
      </c>
      <c r="I435" s="21">
        <f t="shared" si="33"/>
        <v>0.72068033488372096</v>
      </c>
      <c r="J435" s="16">
        <f t="shared" si="34"/>
        <v>4.4136066976744193</v>
      </c>
      <c r="K435" s="106" t="str">
        <f>VLOOKUP(C435,'RAW DATA 2023'!E:BO,36,0)</f>
        <v>Normal</v>
      </c>
      <c r="L435" s="106">
        <f>VLOOKUP(C435,'RAW DATA 2023'!E:BO,21,0)</f>
        <v>11.42601</v>
      </c>
      <c r="M435" s="106">
        <f t="shared" si="35"/>
        <v>50.42991426369489</v>
      </c>
    </row>
    <row r="436" spans="1:13">
      <c r="A436" t="str">
        <f>'RAW DATA 2023'!B429</f>
        <v>CS1</v>
      </c>
      <c r="B436" t="str">
        <f>'RAW DATA 2023'!D429</f>
        <v>C1-085-0019</v>
      </c>
      <c r="C436" t="str">
        <f t="shared" si="31"/>
        <v>CS1C1-085-0019</v>
      </c>
      <c r="D436">
        <f>VLOOKUP(C436,'RAW DATA 2023'!E:BP,63,0)</f>
        <v>3</v>
      </c>
      <c r="E436" t="str">
        <f t="shared" si="32"/>
        <v>CS13</v>
      </c>
      <c r="F436">
        <f>ROUND(VLOOKUP(C436,'RAW DATA 2023'!E:BO,23,0),0)</f>
        <v>27</v>
      </c>
      <c r="G436" s="16">
        <f>VLOOKUP(C436,'RAW DATA 2023'!E:BO,27,0)</f>
        <v>2.3369595780975652</v>
      </c>
      <c r="H436" s="16">
        <f>IFERROR(VLOOKUP(F436,STD!B:G,5,0),0)</f>
        <v>1.96</v>
      </c>
      <c r="I436" s="21">
        <f t="shared" si="33"/>
        <v>0.83869657754010685</v>
      </c>
      <c r="J436" s="16">
        <f t="shared" si="34"/>
        <v>6.7739315508021374</v>
      </c>
      <c r="K436" s="106" t="str">
        <f>VLOOKUP(C436,'RAW DATA 2023'!E:BO,36,0)</f>
        <v>Normal</v>
      </c>
      <c r="L436" s="106">
        <f>VLOOKUP(C436,'RAW DATA 2023'!E:BO,21,0)</f>
        <v>16.422139999999999</v>
      </c>
      <c r="M436" s="106">
        <f t="shared" si="35"/>
        <v>111.24245227768981</v>
      </c>
    </row>
    <row r="437" spans="1:13">
      <c r="A437" t="str">
        <f>'RAW DATA 2023'!B430</f>
        <v>CS1</v>
      </c>
      <c r="B437" t="str">
        <f>'RAW DATA 2023'!D430</f>
        <v>C1-083-0019</v>
      </c>
      <c r="C437" t="str">
        <f t="shared" si="31"/>
        <v>CS1C1-083-0019</v>
      </c>
      <c r="D437">
        <f>VLOOKUP(C437,'RAW DATA 2023'!E:BP,63,0)</f>
        <v>2</v>
      </c>
      <c r="E437" t="str">
        <f t="shared" si="32"/>
        <v>CS12</v>
      </c>
      <c r="F437">
        <f>ROUND(VLOOKUP(C437,'RAW DATA 2023'!E:BO,23,0),0)</f>
        <v>24</v>
      </c>
      <c r="G437" s="16">
        <f>VLOOKUP(C437,'RAW DATA 2023'!E:BO,27,0)</f>
        <v>2.2953460153296064</v>
      </c>
      <c r="H437" s="16">
        <f>IFERROR(VLOOKUP(F437,STD!B:G,5,0),0)</f>
        <v>2.08</v>
      </c>
      <c r="I437" s="21">
        <f t="shared" si="33"/>
        <v>0.9061814585289516</v>
      </c>
      <c r="J437" s="16">
        <f t="shared" si="34"/>
        <v>8.1236291705790329</v>
      </c>
      <c r="K437" s="106" t="str">
        <f>VLOOKUP(C437,'RAW DATA 2023'!E:BO,36,0)</f>
        <v>Normal</v>
      </c>
      <c r="L437" s="106">
        <f>VLOOKUP(C437,'RAW DATA 2023'!E:BO,21,0)</f>
        <v>14.17102</v>
      </c>
      <c r="M437" s="106">
        <f t="shared" si="35"/>
        <v>115.12011144885889</v>
      </c>
    </row>
    <row r="438" spans="1:13">
      <c r="A438" t="str">
        <f>'RAW DATA 2023'!B431</f>
        <v>CS1</v>
      </c>
      <c r="B438" t="str">
        <f>'RAW DATA 2023'!D431</f>
        <v>C1-080-0018</v>
      </c>
      <c r="C438" t="str">
        <f t="shared" si="31"/>
        <v>CS1C1-080-0018</v>
      </c>
      <c r="D438">
        <f>VLOOKUP(C438,'RAW DATA 2023'!E:BP,63,0)</f>
        <v>5</v>
      </c>
      <c r="E438" t="str">
        <f t="shared" si="32"/>
        <v>CS15</v>
      </c>
      <c r="F438">
        <f>ROUND(VLOOKUP(C438,'RAW DATA 2023'!E:BO,23,0),0)</f>
        <v>61</v>
      </c>
      <c r="G438" s="16">
        <f>VLOOKUP(C438,'RAW DATA 2023'!E:BO,27,0)</f>
        <v>1.9203703124511307</v>
      </c>
      <c r="H438" s="16">
        <f>IFERROR(VLOOKUP(F438,STD!B:G,5,0),0)</f>
        <v>1.4</v>
      </c>
      <c r="I438" s="21">
        <f t="shared" si="33"/>
        <v>0.72902605863192183</v>
      </c>
      <c r="J438" s="16">
        <f t="shared" si="34"/>
        <v>4.5805211726384361</v>
      </c>
      <c r="K438" s="106" t="str">
        <f>VLOOKUP(C438,'RAW DATA 2023'!E:BO,36,0)</f>
        <v>EHP</v>
      </c>
      <c r="L438" s="106">
        <f>VLOOKUP(C438,'RAW DATA 2023'!E:BO,21,0)</f>
        <v>8.2412500000000009</v>
      </c>
      <c r="M438" s="106">
        <f t="shared" si="35"/>
        <v>37.749220114006512</v>
      </c>
    </row>
    <row r="439" spans="1:13">
      <c r="A439" t="str">
        <f>'RAW DATA 2023'!B432</f>
        <v>CS1</v>
      </c>
      <c r="B439" t="str">
        <f>'RAW DATA 2023'!D432</f>
        <v>C1-062-0020</v>
      </c>
      <c r="C439" t="str">
        <f t="shared" si="31"/>
        <v>CS1C1-062-0020</v>
      </c>
      <c r="D439">
        <f>VLOOKUP(C439,'RAW DATA 2023'!E:BP,63,0)</f>
        <v>5</v>
      </c>
      <c r="E439" t="str">
        <f t="shared" si="32"/>
        <v>CS15</v>
      </c>
      <c r="F439">
        <f>ROUND(VLOOKUP(C439,'RAW DATA 2023'!E:BO,23,0),0)</f>
        <v>70</v>
      </c>
      <c r="G439" s="16">
        <f>VLOOKUP(C439,'RAW DATA 2023'!E:BO,27,0)</f>
        <v>1.3846654594302013</v>
      </c>
      <c r="H439" s="16">
        <f>IFERROR(VLOOKUP(F439,STD!B:G,5,0),0)</f>
        <v>1.34</v>
      </c>
      <c r="I439" s="21">
        <f t="shared" si="33"/>
        <v>0.96774277922077923</v>
      </c>
      <c r="J439" s="16">
        <f t="shared" si="34"/>
        <v>9.354855584415585</v>
      </c>
      <c r="K439" s="106" t="str">
        <f>VLOOKUP(C439,'RAW DATA 2023'!E:BO,36,0)</f>
        <v>EHP</v>
      </c>
      <c r="L439" s="106">
        <f>VLOOKUP(C439,'RAW DATA 2023'!E:BO,21,0)</f>
        <v>11.64682</v>
      </c>
      <c r="M439" s="106">
        <f t="shared" si="35"/>
        <v>108.95431911768313</v>
      </c>
    </row>
    <row r="440" spans="1:13">
      <c r="A440" t="str">
        <f>'RAW DATA 2023'!B433</f>
        <v>CS1</v>
      </c>
      <c r="B440" t="str">
        <f>'RAW DATA 2023'!D433</f>
        <v>C1-084-0019</v>
      </c>
      <c r="C440" t="str">
        <f t="shared" si="31"/>
        <v>CS1C1-084-0019</v>
      </c>
      <c r="D440">
        <f>VLOOKUP(C440,'RAW DATA 2023'!E:BP,63,0)</f>
        <v>5</v>
      </c>
      <c r="E440" t="str">
        <f t="shared" si="32"/>
        <v>CS15</v>
      </c>
      <c r="F440">
        <f>ROUND(VLOOKUP(C440,'RAW DATA 2023'!E:BO,23,0),0)</f>
        <v>67</v>
      </c>
      <c r="G440" s="16">
        <f>VLOOKUP(C440,'RAW DATA 2023'!E:BO,27,0)</f>
        <v>1.3898303542588859</v>
      </c>
      <c r="H440" s="16">
        <f>IFERROR(VLOOKUP(F440,STD!B:G,5,0),0)</f>
        <v>1.35</v>
      </c>
      <c r="I440" s="21">
        <f t="shared" si="33"/>
        <v>0.97134157119476283</v>
      </c>
      <c r="J440" s="16">
        <f t="shared" si="34"/>
        <v>9.4268314238952566</v>
      </c>
      <c r="K440" s="106" t="str">
        <f>VLOOKUP(C440,'RAW DATA 2023'!E:BO,36,0)</f>
        <v>EHP</v>
      </c>
      <c r="L440" s="106">
        <f>VLOOKUP(C440,'RAW DATA 2023'!E:BO,21,0)</f>
        <v>11.31587</v>
      </c>
      <c r="M440" s="106">
        <f t="shared" si="35"/>
        <v>106.67279890471362</v>
      </c>
    </row>
    <row r="441" spans="1:13">
      <c r="A441" t="str">
        <f>'RAW DATA 2023'!B434</f>
        <v>CS1</v>
      </c>
      <c r="B441" t="str">
        <f>'RAW DATA 2023'!D434</f>
        <v>C1-062-0019</v>
      </c>
      <c r="C441" t="str">
        <f t="shared" si="31"/>
        <v>CS1C1-062-0019</v>
      </c>
      <c r="D441">
        <f>VLOOKUP(C441,'RAW DATA 2023'!E:BP,63,0)</f>
        <v>2</v>
      </c>
      <c r="E441" t="str">
        <f t="shared" si="32"/>
        <v>CS12</v>
      </c>
      <c r="F441">
        <f>ROUND(VLOOKUP(C441,'RAW DATA 2023'!E:BO,23,0),0)</f>
        <v>55</v>
      </c>
      <c r="G441" s="16">
        <f>VLOOKUP(C441,'RAW DATA 2023'!E:BO,27,0)</f>
        <v>1.9514490702678906</v>
      </c>
      <c r="H441" s="16">
        <f>IFERROR(VLOOKUP(F441,STD!B:G,5,0),0)</f>
        <v>1.44</v>
      </c>
      <c r="I441" s="21">
        <f t="shared" si="33"/>
        <v>0.73791318561151065</v>
      </c>
      <c r="J441" s="16">
        <f t="shared" si="34"/>
        <v>4.7582637122302129</v>
      </c>
      <c r="K441" s="106" t="str">
        <f>VLOOKUP(C441,'RAW DATA 2023'!E:BO,36,0)</f>
        <v>Slow Growth</v>
      </c>
      <c r="L441" s="106">
        <f>VLOOKUP(C441,'RAW DATA 2023'!E:BO,21,0)</f>
        <v>9.4836399999999994</v>
      </c>
      <c r="M441" s="106">
        <f t="shared" si="35"/>
        <v>45.125660071854931</v>
      </c>
    </row>
    <row r="442" spans="1:13">
      <c r="A442" t="str">
        <f>'RAW DATA 2023'!B435</f>
        <v>CS1</v>
      </c>
      <c r="B442" t="str">
        <f>'RAW DATA 2023'!D435</f>
        <v>C1-0B4-0017</v>
      </c>
      <c r="C442" t="str">
        <f t="shared" si="31"/>
        <v>CS1C1-0B4-0017</v>
      </c>
      <c r="D442">
        <f>VLOOKUP(C442,'RAW DATA 2023'!E:BP,63,0)</f>
        <v>3</v>
      </c>
      <c r="E442" t="str">
        <f t="shared" si="32"/>
        <v>CS13</v>
      </c>
      <c r="F442">
        <f>ROUND(VLOOKUP(C442,'RAW DATA 2023'!E:BO,23,0),0)</f>
        <v>112</v>
      </c>
      <c r="G442" s="16">
        <f>VLOOKUP(C442,'RAW DATA 2023'!E:BO,27,0)</f>
        <v>1.2587347766825439</v>
      </c>
      <c r="H442" s="16">
        <f>IFERROR(VLOOKUP(F442,STD!B:G,5,0),0)</f>
        <v>1.18</v>
      </c>
      <c r="I442" s="21">
        <f t="shared" si="33"/>
        <v>0.93744927196652716</v>
      </c>
      <c r="J442" s="16">
        <f t="shared" si="34"/>
        <v>8.7489854393305428</v>
      </c>
      <c r="K442" s="106" t="str">
        <f>VLOOKUP(C442,'RAW DATA 2023'!E:BO,36,0)</f>
        <v>EHP</v>
      </c>
      <c r="L442" s="106">
        <f>VLOOKUP(C442,'RAW DATA 2023'!E:BO,21,0)</f>
        <v>5.1308299999999996</v>
      </c>
      <c r="M442" s="106">
        <f t="shared" si="35"/>
        <v>44.889556961680327</v>
      </c>
    </row>
    <row r="443" spans="1:13">
      <c r="A443" t="str">
        <f>'RAW DATA 2023'!B436</f>
        <v>CS1</v>
      </c>
      <c r="B443" t="str">
        <f>'RAW DATA 2023'!D436</f>
        <v>C1-083-0020</v>
      </c>
      <c r="C443" t="str">
        <f t="shared" si="31"/>
        <v>CS1C1-083-0020</v>
      </c>
      <c r="D443">
        <f>VLOOKUP(C443,'RAW DATA 2023'!E:BP,63,0)</f>
        <v>5</v>
      </c>
      <c r="E443" t="str">
        <f t="shared" si="32"/>
        <v>CS15</v>
      </c>
      <c r="F443">
        <f>ROUND(VLOOKUP(C443,'RAW DATA 2023'!E:BO,23,0),0)</f>
        <v>146</v>
      </c>
      <c r="G443" s="16">
        <f>VLOOKUP(C443,'RAW DATA 2023'!E:BO,27,0)</f>
        <v>1.3112832063188424</v>
      </c>
      <c r="H443" s="16">
        <f>IFERROR(VLOOKUP(F443,STD!B:G,5,0),0)</f>
        <v>1.0860000000000001</v>
      </c>
      <c r="I443" s="21">
        <f t="shared" si="33"/>
        <v>0.8281963764705883</v>
      </c>
      <c r="J443" s="16">
        <f t="shared" si="34"/>
        <v>6.5639275294117656</v>
      </c>
      <c r="K443" s="106" t="str">
        <f>VLOOKUP(C443,'RAW DATA 2023'!E:BO,36,0)</f>
        <v>EHP</v>
      </c>
      <c r="L443" s="106">
        <f>VLOOKUP(C443,'RAW DATA 2023'!E:BO,21,0)</f>
        <v>5.2756499999999997</v>
      </c>
      <c r="M443" s="106">
        <f t="shared" si="35"/>
        <v>34.628984270541181</v>
      </c>
    </row>
    <row r="444" spans="1:13">
      <c r="A444" t="str">
        <f>'RAW DATA 2023'!B437</f>
        <v>CS1</v>
      </c>
      <c r="B444" t="str">
        <f>'RAW DATA 2023'!D437</f>
        <v>C1-063-0019</v>
      </c>
      <c r="C444" t="str">
        <f t="shared" si="31"/>
        <v>CS1C1-063-0019</v>
      </c>
      <c r="D444">
        <f>VLOOKUP(C444,'RAW DATA 2023'!E:BP,63,0)</f>
        <v>2</v>
      </c>
      <c r="E444" t="str">
        <f t="shared" si="32"/>
        <v>CS12</v>
      </c>
      <c r="F444">
        <f>ROUND(VLOOKUP(C444,'RAW DATA 2023'!E:BO,23,0),0)</f>
        <v>79</v>
      </c>
      <c r="G444" s="16">
        <f>VLOOKUP(C444,'RAW DATA 2023'!E:BO,27,0)</f>
        <v>1.6878429202811205</v>
      </c>
      <c r="H444" s="16">
        <f>IFERROR(VLOOKUP(F444,STD!B:G,5,0),0)</f>
        <v>1.29</v>
      </c>
      <c r="I444" s="21">
        <f t="shared" si="33"/>
        <v>0.76428913170731716</v>
      </c>
      <c r="J444" s="16">
        <f t="shared" si="34"/>
        <v>5.2857826341463436</v>
      </c>
      <c r="K444" s="106" t="str">
        <f>VLOOKUP(C444,'RAW DATA 2023'!E:BO,36,0)</f>
        <v>Slow Growth</v>
      </c>
      <c r="L444" s="106">
        <f>VLOOKUP(C444,'RAW DATA 2023'!E:BO,21,0)</f>
        <v>9.5232600000000005</v>
      </c>
      <c r="M444" s="106">
        <f t="shared" si="35"/>
        <v>50.337882328460509</v>
      </c>
    </row>
    <row r="445" spans="1:13">
      <c r="A445" t="str">
        <f>'RAW DATA 2023'!B438</f>
        <v>CS1</v>
      </c>
      <c r="B445" t="str">
        <f>'RAW DATA 2023'!D438</f>
        <v>C1-056-0019</v>
      </c>
      <c r="C445" t="str">
        <f t="shared" si="31"/>
        <v>CS1C1-056-0019</v>
      </c>
      <c r="D445">
        <f>VLOOKUP(C445,'RAW DATA 2023'!E:BP,63,0)</f>
        <v>5</v>
      </c>
      <c r="E445" t="str">
        <f t="shared" si="32"/>
        <v>CS15</v>
      </c>
      <c r="F445">
        <f>ROUND(VLOOKUP(C445,'RAW DATA 2023'!E:BO,23,0),0)</f>
        <v>167</v>
      </c>
      <c r="G445" s="16">
        <f>VLOOKUP(C445,'RAW DATA 2023'!E:BO,27,0)</f>
        <v>1.4848242086528256</v>
      </c>
      <c r="H445" s="16">
        <f>IFERROR(VLOOKUP(F445,STD!B:G,5,0),0)</f>
        <v>1.0209999999999999</v>
      </c>
      <c r="I445" s="21">
        <f t="shared" si="33"/>
        <v>0.68762348704318921</v>
      </c>
      <c r="J445" s="16">
        <f t="shared" si="34"/>
        <v>3.7524697408637842</v>
      </c>
      <c r="K445" s="106" t="str">
        <f>VLOOKUP(C445,'RAW DATA 2023'!E:BO,36,0)</f>
        <v>EHP</v>
      </c>
      <c r="L445" s="106">
        <f>VLOOKUP(C445,'RAW DATA 2023'!E:BO,21,0)</f>
        <v>5.0719599999999998</v>
      </c>
      <c r="M445" s="106">
        <f t="shared" si="35"/>
        <v>19.03237642687148</v>
      </c>
    </row>
    <row r="446" spans="1:13">
      <c r="A446" t="str">
        <f>'RAW DATA 2023'!B439</f>
        <v>CS1</v>
      </c>
      <c r="B446" t="str">
        <f>'RAW DATA 2023'!D439</f>
        <v>C1-063-0020</v>
      </c>
      <c r="C446" t="str">
        <f t="shared" si="31"/>
        <v>CS1C1-063-0020</v>
      </c>
      <c r="D446">
        <f>VLOOKUP(C446,'RAW DATA 2023'!E:BP,63,0)</f>
        <v>5</v>
      </c>
      <c r="E446" t="str">
        <f t="shared" si="32"/>
        <v>CS15</v>
      </c>
      <c r="F446">
        <f>ROUND(VLOOKUP(C446,'RAW DATA 2023'!E:BO,23,0),0)</f>
        <v>208</v>
      </c>
      <c r="G446" s="16">
        <f>VLOOKUP(C446,'RAW DATA 2023'!E:BO,27,0)</f>
        <v>2.8064908079171658</v>
      </c>
      <c r="H446" s="16">
        <f>IFERROR(VLOOKUP(F446,STD!B:G,5,0),0)</f>
        <v>0.95699999999999996</v>
      </c>
      <c r="I446" s="21">
        <f t="shared" si="33"/>
        <v>0.3409952376470588</v>
      </c>
      <c r="J446" s="16">
        <f t="shared" si="34"/>
        <v>-3.1800952470588237</v>
      </c>
      <c r="K446" s="106" t="str">
        <f>VLOOKUP(C446,'RAW DATA 2023'!E:BO,36,0)</f>
        <v>EHP</v>
      </c>
      <c r="L446" s="106">
        <f>VLOOKUP(C446,'RAW DATA 2023'!E:BO,21,0)</f>
        <v>2.6555200000000001</v>
      </c>
      <c r="M446" s="106">
        <f t="shared" si="35"/>
        <v>-8.4448065304696485</v>
      </c>
    </row>
    <row r="447" spans="1:13">
      <c r="A447" t="str">
        <f>'RAW DATA 2023'!B440</f>
        <v>CS1</v>
      </c>
      <c r="B447" t="str">
        <f>'RAW DATA 2023'!D440</f>
        <v>C1-085-0020</v>
      </c>
      <c r="C447" t="str">
        <f t="shared" si="31"/>
        <v>CS1C1-085-0020</v>
      </c>
      <c r="D447">
        <f>VLOOKUP(C447,'RAW DATA 2023'!E:BP,63,0)</f>
        <v>9</v>
      </c>
      <c r="E447" t="str">
        <f t="shared" si="32"/>
        <v>CS19</v>
      </c>
      <c r="F447">
        <f>ROUND(VLOOKUP(C447,'RAW DATA 2023'!E:BO,23,0),0)</f>
        <v>73</v>
      </c>
      <c r="G447" s="16">
        <f>VLOOKUP(C447,'RAW DATA 2023'!E:BO,27,0)</f>
        <v>1.9295027264961375</v>
      </c>
      <c r="H447" s="16">
        <f>IFERROR(VLOOKUP(F447,STD!B:G,5,0),0)</f>
        <v>1.32</v>
      </c>
      <c r="I447" s="21">
        <f t="shared" si="33"/>
        <v>0.68411408902077153</v>
      </c>
      <c r="J447" s="16">
        <f t="shared" si="34"/>
        <v>3.6822817804154306</v>
      </c>
      <c r="K447" s="106" t="str">
        <f>VLOOKUP(C447,'RAW DATA 2023'!E:BO,36,0)</f>
        <v>EHP</v>
      </c>
      <c r="L447" s="106">
        <f>VLOOKUP(C447,'RAW DATA 2023'!E:BO,21,0)</f>
        <v>9.356819999999999</v>
      </c>
      <c r="M447" s="106">
        <f t="shared" si="35"/>
        <v>34.454447808626703</v>
      </c>
    </row>
    <row r="448" spans="1:13">
      <c r="A448" t="str">
        <f>'RAW DATA 2023'!B441</f>
        <v>CS1</v>
      </c>
      <c r="B448" t="str">
        <f>'RAW DATA 2023'!D441</f>
        <v>C1-084-0020</v>
      </c>
      <c r="C448" t="str">
        <f t="shared" si="31"/>
        <v>CS1C1-084-0020</v>
      </c>
      <c r="D448">
        <f>VLOOKUP(C448,'RAW DATA 2023'!E:BP,63,0)</f>
        <v>8</v>
      </c>
      <c r="E448" t="str">
        <f t="shared" si="32"/>
        <v>CS18</v>
      </c>
      <c r="F448">
        <f>ROUND(VLOOKUP(C448,'RAW DATA 2023'!E:BO,23,0),0)</f>
        <v>168</v>
      </c>
      <c r="G448" s="16">
        <f>VLOOKUP(C448,'RAW DATA 2023'!E:BO,27,0)</f>
        <v>2.0064817462586979</v>
      </c>
      <c r="H448" s="16">
        <f>IFERROR(VLOOKUP(F448,STD!B:G,5,0),0)</f>
        <v>1.0209999999999999</v>
      </c>
      <c r="I448" s="21">
        <f t="shared" si="33"/>
        <v>0.50885087885985747</v>
      </c>
      <c r="J448" s="16">
        <f t="shared" si="34"/>
        <v>0.17701757719714939</v>
      </c>
      <c r="K448" s="106" t="str">
        <f>VLOOKUP(C448,'RAW DATA 2023'!E:BO,36,0)</f>
        <v>EHP</v>
      </c>
      <c r="L448" s="106">
        <f>VLOOKUP(C448,'RAW DATA 2023'!E:BO,21,0)</f>
        <v>5.8761800000000006</v>
      </c>
      <c r="M448" s="106">
        <f t="shared" si="35"/>
        <v>1.0401871467743453</v>
      </c>
    </row>
    <row r="449" spans="1:13">
      <c r="A449" t="str">
        <f>'RAW DATA 2023'!B442</f>
        <v>Roiphet3</v>
      </c>
      <c r="B449" t="str">
        <f>'RAW DATA 2023'!D442</f>
        <v>A1-008-0023</v>
      </c>
      <c r="C449" t="str">
        <f t="shared" si="31"/>
        <v>Roiphet3A1-008-0023</v>
      </c>
      <c r="D449">
        <f>VLOOKUP(C449,'RAW DATA 2023'!E:BP,63,0)</f>
        <v>9</v>
      </c>
      <c r="E449" t="str">
        <f t="shared" si="32"/>
        <v>Roiphet39</v>
      </c>
      <c r="F449">
        <f>ROUND(VLOOKUP(C449,'RAW DATA 2023'!E:BO,23,0),0)</f>
        <v>34</v>
      </c>
      <c r="G449" s="16">
        <f>VLOOKUP(C449,'RAW DATA 2023'!E:BO,27,0)</f>
        <v>1.3741352379624967</v>
      </c>
      <c r="H449" s="16">
        <f>IFERROR(VLOOKUP(F449,STD!B:G,5,0),0)</f>
        <v>1.77</v>
      </c>
      <c r="I449" s="21">
        <f t="shared" si="33"/>
        <v>1.2880828255481411</v>
      </c>
      <c r="J449" s="16">
        <f t="shared" si="34"/>
        <v>15.761656510962823</v>
      </c>
      <c r="K449" s="106" t="str">
        <f>VLOOKUP(C449,'RAW DATA 2023'!E:BO,36,0)</f>
        <v>EHP</v>
      </c>
      <c r="L449" s="106">
        <f>VLOOKUP(C449,'RAW DATA 2023'!E:BO,21,0)</f>
        <v>20.467929999999999</v>
      </c>
      <c r="M449" s="106">
        <f t="shared" si="35"/>
        <v>322.60848215043126</v>
      </c>
    </row>
    <row r="450" spans="1:13">
      <c r="A450" t="str">
        <f>'RAW DATA 2023'!B443</f>
        <v>Roiphet3</v>
      </c>
      <c r="B450" t="str">
        <f>'RAW DATA 2023'!D443</f>
        <v>A1-016-0031</v>
      </c>
      <c r="C450" t="str">
        <f t="shared" si="31"/>
        <v>Roiphet3A1-016-0031</v>
      </c>
      <c r="D450">
        <f>VLOOKUP(C450,'RAW DATA 2023'!E:BP,63,0)</f>
        <v>10</v>
      </c>
      <c r="E450" t="str">
        <f t="shared" si="32"/>
        <v>Roiphet310</v>
      </c>
      <c r="F450">
        <f>ROUND(VLOOKUP(C450,'RAW DATA 2023'!E:BO,23,0),0)</f>
        <v>96</v>
      </c>
      <c r="G450" s="16">
        <f>VLOOKUP(C450,'RAW DATA 2023'!E:BO,27,0)</f>
        <v>1.3630127179753644</v>
      </c>
      <c r="H450" s="16">
        <f>IFERROR(VLOOKUP(F450,STD!B:G,5,0),0)</f>
        <v>1.23</v>
      </c>
      <c r="I450" s="21">
        <f t="shared" si="33"/>
        <v>0.90241270956521735</v>
      </c>
      <c r="J450" s="16">
        <f t="shared" si="34"/>
        <v>8.0482541913043466</v>
      </c>
      <c r="K450" s="106" t="str">
        <f>VLOOKUP(C450,'RAW DATA 2023'!E:BO,36,0)</f>
        <v>EHP</v>
      </c>
      <c r="L450" s="106">
        <f>VLOOKUP(C450,'RAW DATA 2023'!E:BO,21,0)</f>
        <v>12.61149</v>
      </c>
      <c r="M450" s="106">
        <f t="shared" si="35"/>
        <v>101.50047725109285</v>
      </c>
    </row>
    <row r="451" spans="1:13">
      <c r="A451" t="str">
        <f>'RAW DATA 2023'!B444</f>
        <v>Roiphet3</v>
      </c>
      <c r="B451" t="str">
        <f>'RAW DATA 2023'!D444</f>
        <v>A1-016-0029</v>
      </c>
      <c r="C451" t="str">
        <f t="shared" si="31"/>
        <v>Roiphet3A1-016-0029</v>
      </c>
      <c r="D451">
        <f>VLOOKUP(C451,'RAW DATA 2023'!E:BP,63,0)</f>
        <v>3</v>
      </c>
      <c r="E451" t="str">
        <f t="shared" si="32"/>
        <v>Roiphet33</v>
      </c>
      <c r="F451">
        <f>ROUND(VLOOKUP(C451,'RAW DATA 2023'!E:BO,23,0),0)</f>
        <v>29</v>
      </c>
      <c r="G451" s="16">
        <f>VLOOKUP(C451,'RAW DATA 2023'!E:BO,27,0)</f>
        <v>2.0485803551243231</v>
      </c>
      <c r="H451" s="16">
        <f>IFERROR(VLOOKUP(F451,STD!B:G,5,0),0)</f>
        <v>1.9</v>
      </c>
      <c r="I451" s="21">
        <f t="shared" si="33"/>
        <v>0.92747155133423786</v>
      </c>
      <c r="J451" s="16">
        <f t="shared" si="34"/>
        <v>8.5494310266847577</v>
      </c>
      <c r="K451" s="106" t="str">
        <f>VLOOKUP(C451,'RAW DATA 2023'!E:BO,36,0)</f>
        <v>Normal</v>
      </c>
      <c r="L451" s="106">
        <f>VLOOKUP(C451,'RAW DATA 2023'!E:BO,21,0)</f>
        <v>27.682099999999998</v>
      </c>
      <c r="M451" s="106">
        <f t="shared" si="35"/>
        <v>236.66620462379012</v>
      </c>
    </row>
    <row r="452" spans="1:13">
      <c r="A452" t="str">
        <f>'RAW DATA 2023'!B445</f>
        <v>Roiphet3</v>
      </c>
      <c r="B452" t="str">
        <f>'RAW DATA 2023'!D445</f>
        <v>A1-008-0022</v>
      </c>
      <c r="C452" t="str">
        <f t="shared" si="31"/>
        <v>Roiphet3A1-008-0022</v>
      </c>
      <c r="D452">
        <f>VLOOKUP(C452,'RAW DATA 2023'!E:BP,63,0)</f>
        <v>3</v>
      </c>
      <c r="E452" t="str">
        <f t="shared" si="32"/>
        <v>Roiphet33</v>
      </c>
      <c r="F452">
        <f>ROUND(VLOOKUP(C452,'RAW DATA 2023'!E:BO,23,0),0)</f>
        <v>28</v>
      </c>
      <c r="G452" s="16">
        <f>VLOOKUP(C452,'RAW DATA 2023'!E:BO,27,0)</f>
        <v>1.9153244668797</v>
      </c>
      <c r="H452" s="16">
        <f>IFERROR(VLOOKUP(F452,STD!B:G,5,0),0)</f>
        <v>1.93</v>
      </c>
      <c r="I452" s="21">
        <f t="shared" si="33"/>
        <v>1.0076621655359566</v>
      </c>
      <c r="J452" s="16">
        <f t="shared" si="34"/>
        <v>10.15324331071913</v>
      </c>
      <c r="K452" s="106" t="str">
        <f>VLOOKUP(C452,'RAW DATA 2023'!E:BO,36,0)</f>
        <v>Normal</v>
      </c>
      <c r="L452" s="106">
        <f>VLOOKUP(C452,'RAW DATA 2023'!E:BO,21,0)</f>
        <v>29.321249999999999</v>
      </c>
      <c r="M452" s="106">
        <f t="shared" si="35"/>
        <v>297.70578542442331</v>
      </c>
    </row>
    <row r="453" spans="1:13">
      <c r="A453" t="str">
        <f>'RAW DATA 2023'!B446</f>
        <v>Roiphet3</v>
      </c>
      <c r="B453" t="str">
        <f>'RAW DATA 2023'!D446</f>
        <v>A1-006-0011</v>
      </c>
      <c r="C453" t="str">
        <f t="shared" si="31"/>
        <v>Roiphet3A1-006-0011</v>
      </c>
      <c r="D453">
        <f>VLOOKUP(C453,'RAW DATA 2023'!E:BP,63,0)</f>
        <v>3</v>
      </c>
      <c r="E453" t="str">
        <f t="shared" si="32"/>
        <v>Roiphet33</v>
      </c>
      <c r="F453">
        <f>ROUND(VLOOKUP(C453,'RAW DATA 2023'!E:BO,23,0),0)</f>
        <v>39</v>
      </c>
      <c r="G453" s="16">
        <f>VLOOKUP(C453,'RAW DATA 2023'!E:BO,27,0)</f>
        <v>1.7658238266499728</v>
      </c>
      <c r="H453" s="16">
        <f>IFERROR(VLOOKUP(F453,STD!B:G,5,0),0)</f>
        <v>1.64</v>
      </c>
      <c r="I453" s="21">
        <f t="shared" si="33"/>
        <v>0.92874497175141235</v>
      </c>
      <c r="J453" s="16">
        <f t="shared" si="34"/>
        <v>8.5748994350282466</v>
      </c>
      <c r="K453" s="106" t="str">
        <f>VLOOKUP(C453,'RAW DATA 2023'!E:BO,36,0)</f>
        <v>EHP</v>
      </c>
      <c r="L453" s="106">
        <f>VLOOKUP(C453,'RAW DATA 2023'!E:BO,21,0)</f>
        <v>31.498709999999999</v>
      </c>
      <c r="M453" s="106">
        <f t="shared" si="35"/>
        <v>270.09827058311856</v>
      </c>
    </row>
    <row r="454" spans="1:13">
      <c r="A454" t="str">
        <f>'RAW DATA 2023'!B447</f>
        <v>Roiphet3</v>
      </c>
      <c r="B454" t="str">
        <f>'RAW DATA 2023'!D447</f>
        <v>A1-027-0027</v>
      </c>
      <c r="C454" t="str">
        <f t="shared" si="31"/>
        <v>Roiphet3A1-027-0027</v>
      </c>
      <c r="D454">
        <f>VLOOKUP(C454,'RAW DATA 2023'!E:BP,63,0)</f>
        <v>5</v>
      </c>
      <c r="E454" t="str">
        <f t="shared" si="32"/>
        <v>Roiphet35</v>
      </c>
      <c r="F454">
        <f>ROUND(VLOOKUP(C454,'RAW DATA 2023'!E:BO,23,0),0)</f>
        <v>65</v>
      </c>
      <c r="G454" s="16">
        <f>VLOOKUP(C454,'RAW DATA 2023'!E:BO,27,0)</f>
        <v>1.4519330703381685</v>
      </c>
      <c r="H454" s="16">
        <f>IFERROR(VLOOKUP(F454,STD!B:G,5,0),0)</f>
        <v>1.37</v>
      </c>
      <c r="I454" s="21">
        <f t="shared" si="33"/>
        <v>0.94356966446181612</v>
      </c>
      <c r="J454" s="16">
        <f t="shared" si="34"/>
        <v>8.8713932892363232</v>
      </c>
      <c r="K454" s="106" t="str">
        <f>VLOOKUP(C454,'RAW DATA 2023'!E:BO,36,0)</f>
        <v>EHP</v>
      </c>
      <c r="L454" s="106">
        <f>VLOOKUP(C454,'RAW DATA 2023'!E:BO,21,0)</f>
        <v>29.72588</v>
      </c>
      <c r="M454" s="106">
        <f t="shared" si="35"/>
        <v>263.70997234864421</v>
      </c>
    </row>
    <row r="455" spans="1:13">
      <c r="A455" t="str">
        <f>'RAW DATA 2023'!B448</f>
        <v>Roiphet3</v>
      </c>
      <c r="B455" t="str">
        <f>'RAW DATA 2023'!D448</f>
        <v>A1-006-0012</v>
      </c>
      <c r="C455" t="str">
        <f t="shared" si="31"/>
        <v>Roiphet3A1-006-0012</v>
      </c>
      <c r="D455">
        <f>VLOOKUP(C455,'RAW DATA 2023'!E:BP,63,0)</f>
        <v>8</v>
      </c>
      <c r="E455" t="str">
        <f t="shared" si="32"/>
        <v>Roiphet38</v>
      </c>
      <c r="F455">
        <f>ROUND(VLOOKUP(C455,'RAW DATA 2023'!E:BO,23,0),0)</f>
        <v>93</v>
      </c>
      <c r="G455" s="16">
        <f>VLOOKUP(C455,'RAW DATA 2023'!E:BO,27,0)</f>
        <v>1.2147706424239881</v>
      </c>
      <c r="H455" s="16">
        <f>IFERROR(VLOOKUP(F455,STD!B:G,5,0),0)</f>
        <v>1.24</v>
      </c>
      <c r="I455" s="21">
        <f t="shared" si="33"/>
        <v>1.0207688239202657</v>
      </c>
      <c r="J455" s="16">
        <f t="shared" si="34"/>
        <v>10.415376478405314</v>
      </c>
      <c r="K455" s="106" t="str">
        <f>VLOOKUP(C455,'RAW DATA 2023'!E:BO,36,0)</f>
        <v>EHP</v>
      </c>
      <c r="L455" s="106">
        <f>VLOOKUP(C455,'RAW DATA 2023'!E:BO,21,0)</f>
        <v>13.359669999999999</v>
      </c>
      <c r="M455" s="106">
        <f t="shared" si="35"/>
        <v>139.14599267725711</v>
      </c>
    </row>
    <row r="456" spans="1:13">
      <c r="A456" t="str">
        <f>'RAW DATA 2023'!B449</f>
        <v>Roiphet3</v>
      </c>
      <c r="B456" t="str">
        <f>'RAW DATA 2023'!D449</f>
        <v>A1-026-0022</v>
      </c>
      <c r="C456" t="str">
        <f t="shared" si="31"/>
        <v>Roiphet3A1-026-0022</v>
      </c>
      <c r="D456">
        <f>VLOOKUP(C456,'RAW DATA 2023'!E:BP,63,0)</f>
        <v>5</v>
      </c>
      <c r="E456" t="str">
        <f t="shared" si="32"/>
        <v>Roiphet35</v>
      </c>
      <c r="F456">
        <f>ROUND(VLOOKUP(C456,'RAW DATA 2023'!E:BO,23,0),0)</f>
        <v>100</v>
      </c>
      <c r="G456" s="16">
        <f>VLOOKUP(C456,'RAW DATA 2023'!E:BO,27,0)</f>
        <v>1.319653901645979</v>
      </c>
      <c r="H456" s="16">
        <f>IFERROR(VLOOKUP(F456,STD!B:G,5,0),0)</f>
        <v>1.22</v>
      </c>
      <c r="I456" s="21">
        <f t="shared" si="33"/>
        <v>0.92448482020802381</v>
      </c>
      <c r="J456" s="16">
        <f t="shared" si="34"/>
        <v>8.4896964041604761</v>
      </c>
      <c r="K456" s="106" t="str">
        <f>VLOOKUP(C456,'RAW DATA 2023'!E:BO,36,0)</f>
        <v>EHP</v>
      </c>
      <c r="L456" s="106">
        <f>VLOOKUP(C456,'RAW DATA 2023'!E:BO,21,0)</f>
        <v>27.213570000000001</v>
      </c>
      <c r="M456" s="106">
        <f t="shared" si="35"/>
        <v>231.03494737336942</v>
      </c>
    </row>
    <row r="457" spans="1:13">
      <c r="A457" t="str">
        <f>'RAW DATA 2023'!B450</f>
        <v>Roiphet3</v>
      </c>
      <c r="B457" t="str">
        <f>'RAW DATA 2023'!D450</f>
        <v>A1-024-0032</v>
      </c>
      <c r="C457" t="str">
        <f t="shared" si="31"/>
        <v>Roiphet3A1-024-0032</v>
      </c>
      <c r="D457">
        <f>VLOOKUP(C457,'RAW DATA 2023'!E:BP,63,0)</f>
        <v>5</v>
      </c>
      <c r="E457" t="str">
        <f t="shared" si="32"/>
        <v>Roiphet35</v>
      </c>
      <c r="F457">
        <f>ROUND(VLOOKUP(C457,'RAW DATA 2023'!E:BO,23,0),0)</f>
        <v>86</v>
      </c>
      <c r="G457" s="16">
        <f>VLOOKUP(C457,'RAW DATA 2023'!E:BO,27,0)</f>
        <v>1.7952274219852489</v>
      </c>
      <c r="H457" s="16">
        <f>IFERROR(VLOOKUP(F457,STD!B:G,5,0),0)</f>
        <v>1.26</v>
      </c>
      <c r="I457" s="21">
        <f t="shared" si="33"/>
        <v>0.70186093670886074</v>
      </c>
      <c r="J457" s="16">
        <f t="shared" si="34"/>
        <v>4.0372187341772143</v>
      </c>
      <c r="K457" s="106" t="str">
        <f>VLOOKUP(C457,'RAW DATA 2023'!E:BO,36,0)</f>
        <v>EHP</v>
      </c>
      <c r="L457" s="106">
        <f>VLOOKUP(C457,'RAW DATA 2023'!E:BO,21,0)</f>
        <v>14.10173</v>
      </c>
      <c r="M457" s="106">
        <f t="shared" si="35"/>
        <v>56.931768540308845</v>
      </c>
    </row>
    <row r="458" spans="1:13">
      <c r="A458" t="str">
        <f>'RAW DATA 2023'!B451</f>
        <v>Roiphet3</v>
      </c>
      <c r="B458" t="str">
        <f>'RAW DATA 2023'!D451</f>
        <v>A1-007-0012</v>
      </c>
      <c r="C458" t="str">
        <f t="shared" ref="C458:C521" si="36">A458&amp;B458</f>
        <v>Roiphet3A1-007-0012</v>
      </c>
      <c r="D458">
        <f>VLOOKUP(C458,'RAW DATA 2023'!E:BP,63,0)</f>
        <v>2</v>
      </c>
      <c r="E458" t="str">
        <f t="shared" ref="E458:E521" si="37">A458&amp;D458</f>
        <v>Roiphet32</v>
      </c>
      <c r="F458">
        <f>ROUND(VLOOKUP(C458,'RAW DATA 2023'!E:BO,23,0),0)</f>
        <v>75</v>
      </c>
      <c r="G458" s="16">
        <f>VLOOKUP(C458,'RAW DATA 2023'!E:BO,27,0)</f>
        <v>1.17790427271798</v>
      </c>
      <c r="H458" s="16">
        <f>IFERROR(VLOOKUP(F458,STD!B:G,5,0),0)</f>
        <v>1.31</v>
      </c>
      <c r="I458" s="21">
        <f t="shared" si="33"/>
        <v>1.1121447050847459</v>
      </c>
      <c r="J458" s="16">
        <f t="shared" si="34"/>
        <v>12.242894101694919</v>
      </c>
      <c r="K458" s="106" t="str">
        <f>VLOOKUP(C458,'RAW DATA 2023'!E:BO,36,0)</f>
        <v>EHP</v>
      </c>
      <c r="L458" s="106">
        <f>VLOOKUP(C458,'RAW DATA 2023'!E:BO,21,0)</f>
        <v>19.343360000000001</v>
      </c>
      <c r="M458" s="106">
        <f t="shared" si="35"/>
        <v>236.81870805096142</v>
      </c>
    </row>
    <row r="459" spans="1:13">
      <c r="A459" t="str">
        <f>'RAW DATA 2023'!B452</f>
        <v>Roiphet3</v>
      </c>
      <c r="B459" t="str">
        <f>'RAW DATA 2023'!D452</f>
        <v>A1-023-0016</v>
      </c>
      <c r="C459" t="str">
        <f t="shared" si="36"/>
        <v>Roiphet3A1-023-0016</v>
      </c>
      <c r="D459">
        <f>VLOOKUP(C459,'RAW DATA 2023'!E:BP,63,0)</f>
        <v>4</v>
      </c>
      <c r="E459" t="str">
        <f t="shared" si="37"/>
        <v>Roiphet34</v>
      </c>
      <c r="F459">
        <f>ROUND(VLOOKUP(C459,'RAW DATA 2023'!E:BO,23,0),0)</f>
        <v>90</v>
      </c>
      <c r="G459" s="16">
        <f>VLOOKUP(C459,'RAW DATA 2023'!E:BO,27,0)</f>
        <v>1.8624848720308245</v>
      </c>
      <c r="H459" s="16">
        <f>IFERROR(VLOOKUP(F459,STD!B:G,5,0),0)</f>
        <v>1.25</v>
      </c>
      <c r="J459" s="16">
        <f t="shared" ref="J459:J522" si="38">(I459-$B$4)*$B$7</f>
        <v>-10</v>
      </c>
      <c r="K459" s="106" t="str">
        <f>VLOOKUP(C459,'RAW DATA 2023'!E:BO,36,0)</f>
        <v>EHP</v>
      </c>
      <c r="L459" s="106">
        <f>VLOOKUP(C459,'RAW DATA 2023'!E:BO,21,0)</f>
        <v>17.079470000000001</v>
      </c>
      <c r="M459" s="106">
        <f t="shared" ref="M459:M522" si="39">J459*L459</f>
        <v>-170.79470000000001</v>
      </c>
    </row>
    <row r="460" spans="1:13">
      <c r="A460" t="str">
        <f>'RAW DATA 2023'!B453</f>
        <v>Roiphet3</v>
      </c>
      <c r="B460" t="str">
        <f>'RAW DATA 2023'!D453</f>
        <v>C1-046-0004</v>
      </c>
      <c r="C460" t="str">
        <f t="shared" si="36"/>
        <v>Roiphet3C1-046-0004</v>
      </c>
      <c r="D460">
        <f>VLOOKUP(C460,'RAW DATA 2023'!E:BP,63,0)</f>
        <v>4</v>
      </c>
      <c r="E460" t="str">
        <f t="shared" si="37"/>
        <v>Roiphet34</v>
      </c>
      <c r="F460">
        <f>ROUND(VLOOKUP(C460,'RAW DATA 2023'!E:BO,23,0),0)</f>
        <v>32</v>
      </c>
      <c r="G460" s="16">
        <f>VLOOKUP(C460,'RAW DATA 2023'!E:BO,27,0)</f>
        <v>1.7530451042737196</v>
      </c>
      <c r="H460" s="16">
        <f>IFERROR(VLOOKUP(F460,STD!B:G,5,0),0)</f>
        <v>1.82</v>
      </c>
      <c r="I460" s="21">
        <f t="shared" ref="I460:I522" si="40">IFERROR(H460/G460,0)</f>
        <v>1.0381934814814817</v>
      </c>
      <c r="J460" s="16">
        <f t="shared" si="38"/>
        <v>10.763869629629635</v>
      </c>
      <c r="K460" s="106" t="str">
        <f>VLOOKUP(C460,'RAW DATA 2023'!E:BO,36,0)</f>
        <v>Normal</v>
      </c>
      <c r="L460" s="106">
        <f>VLOOKUP(C460,'RAW DATA 2023'!E:BO,21,0)</f>
        <v>22.319830000000003</v>
      </c>
      <c r="M460" s="106">
        <f t="shared" si="39"/>
        <v>240.24774027549645</v>
      </c>
    </row>
    <row r="461" spans="1:13">
      <c r="A461" t="str">
        <f>'RAW DATA 2023'!B454</f>
        <v>Roiphet3</v>
      </c>
      <c r="B461" t="str">
        <f>'RAW DATA 2023'!D454</f>
        <v>C1-054-0007</v>
      </c>
      <c r="C461" t="str">
        <f t="shared" si="36"/>
        <v>Roiphet3C1-054-0007</v>
      </c>
      <c r="D461">
        <f>VLOOKUP(C461,'RAW DATA 2023'!E:BP,63,0)</f>
        <v>4</v>
      </c>
      <c r="E461" t="str">
        <f t="shared" si="37"/>
        <v>Roiphet34</v>
      </c>
      <c r="F461">
        <f>ROUND(VLOOKUP(C461,'RAW DATA 2023'!E:BO,23,0),0)</f>
        <v>38</v>
      </c>
      <c r="G461" s="16">
        <f>VLOOKUP(C461,'RAW DATA 2023'!E:BO,27,0)</f>
        <v>1.5443467846463566</v>
      </c>
      <c r="H461" s="16">
        <f>IFERROR(VLOOKUP(F461,STD!B:G,5,0),0)</f>
        <v>1.669</v>
      </c>
      <c r="J461" s="16">
        <f t="shared" si="38"/>
        <v>-10</v>
      </c>
      <c r="K461" s="106" t="str">
        <f>VLOOKUP(C461,'RAW DATA 2023'!E:BO,36,0)</f>
        <v>Normal</v>
      </c>
      <c r="L461" s="106">
        <f>VLOOKUP(C461,'RAW DATA 2023'!E:BO,21,0)</f>
        <v>25.766689999999997</v>
      </c>
      <c r="M461" s="106">
        <f t="shared" si="39"/>
        <v>-257.66689999999994</v>
      </c>
    </row>
    <row r="462" spans="1:13">
      <c r="A462" t="str">
        <f>'RAW DATA 2023'!B455</f>
        <v>Roiphet3</v>
      </c>
      <c r="B462" t="str">
        <f>'RAW DATA 2023'!D455</f>
        <v>C1-047-0011</v>
      </c>
      <c r="C462" t="str">
        <f t="shared" si="36"/>
        <v>Roiphet3C1-047-0011</v>
      </c>
      <c r="D462">
        <f>VLOOKUP(C462,'RAW DATA 2023'!E:BP,63,0)</f>
        <v>4</v>
      </c>
      <c r="E462" t="str">
        <f t="shared" si="37"/>
        <v>Roiphet34</v>
      </c>
      <c r="F462">
        <f>ROUND(VLOOKUP(C462,'RAW DATA 2023'!E:BO,23,0),0)</f>
        <v>35</v>
      </c>
      <c r="G462" s="16">
        <f>VLOOKUP(C462,'RAW DATA 2023'!E:BO,27,0)</f>
        <v>2.0221450662811034</v>
      </c>
      <c r="H462" s="16">
        <f>IFERROR(VLOOKUP(F462,STD!B:G,5,0),0)</f>
        <v>1.75</v>
      </c>
      <c r="I462" s="21">
        <f t="shared" si="40"/>
        <v>0.86541763456090648</v>
      </c>
      <c r="J462" s="16">
        <f t="shared" si="38"/>
        <v>7.3083526912181291</v>
      </c>
      <c r="K462" s="106" t="str">
        <f>VLOOKUP(C462,'RAW DATA 2023'!E:BO,36,0)</f>
        <v>Normal</v>
      </c>
      <c r="L462" s="106">
        <f>VLOOKUP(C462,'RAW DATA 2023'!E:BO,21,0)</f>
        <v>18.506709999999998</v>
      </c>
      <c r="M462" s="106">
        <f t="shared" si="39"/>
        <v>135.25356383409346</v>
      </c>
    </row>
    <row r="463" spans="1:13">
      <c r="A463" t="str">
        <f>'RAW DATA 2023'!B456</f>
        <v>Roiphet3</v>
      </c>
      <c r="B463" t="str">
        <f>'RAW DATA 2023'!D456</f>
        <v>C1-048-0021</v>
      </c>
      <c r="C463" t="str">
        <f t="shared" si="36"/>
        <v>Roiphet3C1-048-0021</v>
      </c>
      <c r="D463">
        <f>VLOOKUP(C463,'RAW DATA 2023'!E:BP,63,0)</f>
        <v>4</v>
      </c>
      <c r="E463" t="str">
        <f t="shared" si="37"/>
        <v>Roiphet34</v>
      </c>
      <c r="F463">
        <f>ROUND(VLOOKUP(C463,'RAW DATA 2023'!E:BO,23,0),0)</f>
        <v>45</v>
      </c>
      <c r="G463" s="16">
        <f>VLOOKUP(C463,'RAW DATA 2023'!E:BO,27,0)</f>
        <v>1.6395892083765196</v>
      </c>
      <c r="H463" s="16">
        <f>IFERROR(VLOOKUP(F463,STD!B:G,5,0),0)</f>
        <v>1.55</v>
      </c>
      <c r="I463" s="21">
        <f t="shared" si="40"/>
        <v>0.94535874722838131</v>
      </c>
      <c r="J463" s="16">
        <f t="shared" si="38"/>
        <v>8.9071749445676254</v>
      </c>
      <c r="K463" s="106" t="str">
        <f>VLOOKUP(C463,'RAW DATA 2023'!E:BO,36,0)</f>
        <v>Normal</v>
      </c>
      <c r="L463" s="106">
        <f>VLOOKUP(C463,'RAW DATA 2023'!E:BO,21,0)</f>
        <v>27.879939999999998</v>
      </c>
      <c r="M463" s="106">
        <f t="shared" si="39"/>
        <v>248.33150302404871</v>
      </c>
    </row>
    <row r="464" spans="1:13">
      <c r="A464" t="str">
        <f>'RAW DATA 2023'!B457</f>
        <v>Roiphet3</v>
      </c>
      <c r="B464" t="str">
        <f>'RAW DATA 2023'!D457</f>
        <v>C1-057-0017</v>
      </c>
      <c r="C464" t="str">
        <f t="shared" si="36"/>
        <v>Roiphet3C1-057-0017</v>
      </c>
      <c r="D464">
        <f>VLOOKUP(C464,'RAW DATA 2023'!E:BP,63,0)</f>
        <v>4</v>
      </c>
      <c r="E464" t="str">
        <f t="shared" si="37"/>
        <v>Roiphet34</v>
      </c>
      <c r="F464">
        <f>ROUND(VLOOKUP(C464,'RAW DATA 2023'!E:BO,23,0),0)</f>
        <v>41</v>
      </c>
      <c r="G464" s="16">
        <f>VLOOKUP(C464,'RAW DATA 2023'!E:BO,27,0)</f>
        <v>1.8982066584390433</v>
      </c>
      <c r="H464" s="16">
        <f>IFERROR(VLOOKUP(F464,STD!B:G,5,0),0)</f>
        <v>1.61</v>
      </c>
      <c r="I464" s="21">
        <f t="shared" si="40"/>
        <v>0.84816897719869722</v>
      </c>
      <c r="J464" s="16">
        <f t="shared" si="38"/>
        <v>6.9633795439739448</v>
      </c>
      <c r="K464" s="106" t="str">
        <f>VLOOKUP(C464,'RAW DATA 2023'!E:BO,36,0)</f>
        <v>Normal</v>
      </c>
      <c r="L464" s="106">
        <f>VLOOKUP(C464,'RAW DATA 2023'!E:BO,21,0)</f>
        <v>20.624380000000002</v>
      </c>
      <c r="M464" s="106">
        <f t="shared" si="39"/>
        <v>143.61538579914537</v>
      </c>
    </row>
    <row r="465" spans="1:13">
      <c r="A465" t="str">
        <f>'RAW DATA 2023'!B458</f>
        <v>Roiphet3</v>
      </c>
      <c r="B465" t="str">
        <f>'RAW DATA 2023'!D458</f>
        <v>C1-045-0025</v>
      </c>
      <c r="C465" t="str">
        <f t="shared" si="36"/>
        <v>Roiphet3C1-045-0025</v>
      </c>
      <c r="D465">
        <f>VLOOKUP(C465,'RAW DATA 2023'!E:BP,63,0)</f>
        <v>4</v>
      </c>
      <c r="E465" t="str">
        <f t="shared" si="37"/>
        <v>Roiphet34</v>
      </c>
      <c r="F465">
        <f>ROUND(VLOOKUP(C465,'RAW DATA 2023'!E:BO,23,0),0)</f>
        <v>35</v>
      </c>
      <c r="G465" s="16">
        <f>VLOOKUP(C465,'RAW DATA 2023'!E:BO,27,0)</f>
        <v>2.0156709252296032</v>
      </c>
      <c r="H465" s="16">
        <f>IFERROR(VLOOKUP(F465,STD!B:G,5,0),0)</f>
        <v>1.75</v>
      </c>
      <c r="I465" s="21">
        <f t="shared" si="40"/>
        <v>0.86819727272727276</v>
      </c>
      <c r="J465" s="16">
        <f t="shared" si="38"/>
        <v>7.3639454545454548</v>
      </c>
      <c r="K465" s="106" t="str">
        <f>VLOOKUP(C465,'RAW DATA 2023'!E:BO,36,0)</f>
        <v>Normal</v>
      </c>
      <c r="L465" s="106">
        <f>VLOOKUP(C465,'RAW DATA 2023'!E:BO,21,0)</f>
        <v>15.76337</v>
      </c>
      <c r="M465" s="106">
        <f t="shared" si="39"/>
        <v>116.08059685981819</v>
      </c>
    </row>
    <row r="466" spans="1:13">
      <c r="A466" t="str">
        <f>'RAW DATA 2023'!B459</f>
        <v>Roiphet3</v>
      </c>
      <c r="B466" t="str">
        <f>'RAW DATA 2023'!D459</f>
        <v>C1-051-0025</v>
      </c>
      <c r="C466" t="str">
        <f t="shared" si="36"/>
        <v>Roiphet3C1-051-0025</v>
      </c>
      <c r="D466">
        <f>VLOOKUP(C466,'RAW DATA 2023'!E:BP,63,0)</f>
        <v>4</v>
      </c>
      <c r="E466" t="str">
        <f t="shared" si="37"/>
        <v>Roiphet34</v>
      </c>
      <c r="F466">
        <f>ROUND(VLOOKUP(C466,'RAW DATA 2023'!E:BO,23,0),0)</f>
        <v>40</v>
      </c>
      <c r="G466" s="16">
        <f>VLOOKUP(C466,'RAW DATA 2023'!E:BO,27,0)</f>
        <v>1.5397146910162325</v>
      </c>
      <c r="H466" s="16">
        <f>IFERROR(VLOOKUP(F466,STD!B:G,5,0),0)</f>
        <v>1.63</v>
      </c>
      <c r="I466" s="21">
        <f t="shared" si="40"/>
        <v>1.0586376875602699</v>
      </c>
      <c r="J466" s="16">
        <f t="shared" si="38"/>
        <v>11.172753751205398</v>
      </c>
      <c r="K466" s="106" t="str">
        <f>VLOOKUP(C466,'RAW DATA 2023'!E:BO,36,0)</f>
        <v>Normal</v>
      </c>
      <c r="L466" s="106">
        <f>VLOOKUP(C466,'RAW DATA 2023'!E:BO,21,0)</f>
        <v>34.16507</v>
      </c>
      <c r="M466" s="106">
        <f t="shared" si="39"/>
        <v>381.71791400269501</v>
      </c>
    </row>
    <row r="467" spans="1:13">
      <c r="A467" t="str">
        <f>'RAW DATA 2023'!B460</f>
        <v>Roiphet3</v>
      </c>
      <c r="B467" t="str">
        <f>'RAW DATA 2023'!D460</f>
        <v>C1-043-0025</v>
      </c>
      <c r="C467" t="str">
        <f t="shared" si="36"/>
        <v>Roiphet3C1-043-0025</v>
      </c>
      <c r="D467">
        <f>VLOOKUP(C467,'RAW DATA 2023'!E:BP,63,0)</f>
        <v>4</v>
      </c>
      <c r="E467" t="str">
        <f t="shared" si="37"/>
        <v>Roiphet34</v>
      </c>
      <c r="F467">
        <f>ROUND(VLOOKUP(C467,'RAW DATA 2023'!E:BO,23,0),0)</f>
        <v>34</v>
      </c>
      <c r="G467" s="16">
        <f>VLOOKUP(C467,'RAW DATA 2023'!E:BO,27,0)</f>
        <v>2.0089189409446742</v>
      </c>
      <c r="H467" s="16">
        <f>IFERROR(VLOOKUP(F467,STD!B:G,5,0),0)</f>
        <v>1.77</v>
      </c>
      <c r="I467" s="21">
        <f t="shared" si="40"/>
        <v>0.88107089038031328</v>
      </c>
      <c r="J467" s="16">
        <f t="shared" si="38"/>
        <v>7.6214178076062655</v>
      </c>
      <c r="K467" s="106" t="str">
        <f>VLOOKUP(C467,'RAW DATA 2023'!E:BO,36,0)</f>
        <v>Normal</v>
      </c>
      <c r="L467" s="106">
        <f>VLOOKUP(C467,'RAW DATA 2023'!E:BO,21,0)</f>
        <v>17.108080000000001</v>
      </c>
      <c r="M467" s="106">
        <f t="shared" si="39"/>
        <v>130.3878255659526</v>
      </c>
    </row>
    <row r="468" spans="1:13">
      <c r="A468" t="str">
        <f>'RAW DATA 2023'!B461</f>
        <v>Roiphet3</v>
      </c>
      <c r="B468" t="str">
        <f>'RAW DATA 2023'!D461</f>
        <v>C1-044-0017</v>
      </c>
      <c r="C468" t="str">
        <f t="shared" si="36"/>
        <v>Roiphet3C1-044-0017</v>
      </c>
      <c r="D468">
        <f>VLOOKUP(C468,'RAW DATA 2023'!E:BP,63,0)</f>
        <v>3</v>
      </c>
      <c r="E468" t="str">
        <f t="shared" si="37"/>
        <v>Roiphet33</v>
      </c>
      <c r="F468">
        <f>ROUND(VLOOKUP(C468,'RAW DATA 2023'!E:BO,23,0),0)</f>
        <v>33</v>
      </c>
      <c r="G468" s="16">
        <f>VLOOKUP(C468,'RAW DATA 2023'!E:BO,27,0)</f>
        <v>2.200668483503919</v>
      </c>
      <c r="H468" s="16">
        <f>IFERROR(VLOOKUP(F468,STD!B:G,5,0),0)</f>
        <v>1.8</v>
      </c>
      <c r="I468" s="21">
        <f t="shared" si="40"/>
        <v>0.81793328413284139</v>
      </c>
      <c r="J468" s="16">
        <f t="shared" si="38"/>
        <v>6.3586656826568273</v>
      </c>
      <c r="K468" s="106" t="str">
        <f>VLOOKUP(C468,'RAW DATA 2023'!E:BO,36,0)</f>
        <v>Normal</v>
      </c>
      <c r="L468" s="106">
        <f>VLOOKUP(C468,'RAW DATA 2023'!E:BO,21,0)</f>
        <v>15.852259999999999</v>
      </c>
      <c r="M468" s="106">
        <f t="shared" si="39"/>
        <v>100.79922165455352</v>
      </c>
    </row>
    <row r="469" spans="1:13">
      <c r="A469" t="str">
        <f>'RAW DATA 2023'!B462</f>
        <v>Roiphet3</v>
      </c>
      <c r="B469" t="str">
        <f>'RAW DATA 2023'!D462</f>
        <v>C1-042-0015</v>
      </c>
      <c r="C469" t="str">
        <f t="shared" si="36"/>
        <v>Roiphet3C1-042-0015</v>
      </c>
      <c r="D469">
        <f>VLOOKUP(C469,'RAW DATA 2023'!E:BP,63,0)</f>
        <v>4</v>
      </c>
      <c r="E469" t="str">
        <f t="shared" si="37"/>
        <v>Roiphet34</v>
      </c>
      <c r="F469">
        <f>ROUND(VLOOKUP(C469,'RAW DATA 2023'!E:BO,23,0),0)</f>
        <v>35</v>
      </c>
      <c r="G469" s="16">
        <f>VLOOKUP(C469,'RAW DATA 2023'!E:BO,27,0)</f>
        <v>2.5076222148467426</v>
      </c>
      <c r="H469" s="16">
        <f>IFERROR(VLOOKUP(F469,STD!B:G,5,0),0)</f>
        <v>1.75</v>
      </c>
      <c r="I469" s="21">
        <f t="shared" si="40"/>
        <v>0.69787226705796035</v>
      </c>
      <c r="J469" s="16">
        <f t="shared" si="38"/>
        <v>3.957445341159207</v>
      </c>
      <c r="K469" s="106" t="str">
        <f>VLOOKUP(C469,'RAW DATA 2023'!E:BO,36,0)</f>
        <v>Normal</v>
      </c>
      <c r="L469" s="106">
        <f>VLOOKUP(C469,'RAW DATA 2023'!E:BO,21,0)</f>
        <v>14.26357</v>
      </c>
      <c r="M469" s="106">
        <f t="shared" si="39"/>
        <v>56.447298644798231</v>
      </c>
    </row>
    <row r="470" spans="1:13">
      <c r="A470" t="str">
        <f>'RAW DATA 2023'!B463</f>
        <v>Roiphet3</v>
      </c>
      <c r="B470" t="str">
        <f>'RAW DATA 2023'!D463</f>
        <v>C1-041-0005</v>
      </c>
      <c r="C470" t="str">
        <f t="shared" si="36"/>
        <v>Roiphet3C1-041-0005</v>
      </c>
      <c r="D470">
        <f>VLOOKUP(C470,'RAW DATA 2023'!E:BP,63,0)</f>
        <v>3</v>
      </c>
      <c r="E470" t="str">
        <f t="shared" si="37"/>
        <v>Roiphet33</v>
      </c>
      <c r="F470">
        <f>ROUND(VLOOKUP(C470,'RAW DATA 2023'!E:BO,23,0),0)</f>
        <v>35</v>
      </c>
      <c r="G470" s="16">
        <f>VLOOKUP(C470,'RAW DATA 2023'!E:BO,27,0)</f>
        <v>1.8054570210746683</v>
      </c>
      <c r="H470" s="16">
        <f>IFERROR(VLOOKUP(F470,STD!B:G,5,0),0)</f>
        <v>1.75</v>
      </c>
      <c r="I470" s="21">
        <f t="shared" si="40"/>
        <v>0.96928366589327142</v>
      </c>
      <c r="J470" s="16">
        <f t="shared" si="38"/>
        <v>9.3856733178654288</v>
      </c>
      <c r="K470" s="106" t="str">
        <f>VLOOKUP(C470,'RAW DATA 2023'!E:BO,36,0)</f>
        <v>Normal</v>
      </c>
      <c r="L470" s="106">
        <f>VLOOKUP(C470,'RAW DATA 2023'!E:BO,21,0)</f>
        <v>30.185040000000001</v>
      </c>
      <c r="M470" s="106">
        <f t="shared" si="39"/>
        <v>283.3069245267007</v>
      </c>
    </row>
    <row r="471" spans="1:13">
      <c r="A471" t="str">
        <f>'RAW DATA 2023'!B464</f>
        <v>Roiphet3</v>
      </c>
      <c r="B471" t="str">
        <f>'RAW DATA 2023'!D464</f>
        <v>C1-044-0018</v>
      </c>
      <c r="C471" t="str">
        <f t="shared" si="36"/>
        <v>Roiphet3C1-044-0018</v>
      </c>
      <c r="D471">
        <f>VLOOKUP(C471,'RAW DATA 2023'!E:BP,63,0)</f>
        <v>7</v>
      </c>
      <c r="E471" t="str">
        <f t="shared" si="37"/>
        <v>Roiphet37</v>
      </c>
      <c r="F471">
        <f>ROUND(VLOOKUP(C471,'RAW DATA 2023'!E:BO,23,0),0)</f>
        <v>105</v>
      </c>
      <c r="G471" s="16">
        <f>VLOOKUP(C471,'RAW DATA 2023'!E:BO,27,0)</f>
        <v>1.6611922434375046</v>
      </c>
      <c r="H471" s="16">
        <f>IFERROR(VLOOKUP(F471,STD!B:G,5,0),0)</f>
        <v>1.2</v>
      </c>
      <c r="I471" s="21">
        <f t="shared" si="40"/>
        <v>0.72237274447949529</v>
      </c>
      <c r="J471" s="16">
        <f t="shared" si="38"/>
        <v>4.4474548895899062</v>
      </c>
      <c r="K471" s="106" t="str">
        <f>VLOOKUP(C471,'RAW DATA 2023'!E:BO,36,0)</f>
        <v>EHP</v>
      </c>
      <c r="L471" s="106">
        <f>VLOOKUP(C471,'RAW DATA 2023'!E:BO,21,0)</f>
        <v>10.501340000000001</v>
      </c>
      <c r="M471" s="106">
        <f t="shared" si="39"/>
        <v>46.704235930246071</v>
      </c>
    </row>
    <row r="472" spans="1:13">
      <c r="A472" t="str">
        <f>'RAW DATA 2023'!B465</f>
        <v>Roiphet3</v>
      </c>
      <c r="B472" t="str">
        <f>'RAW DATA 2023'!D465</f>
        <v>C1-043-0028</v>
      </c>
      <c r="C472" t="str">
        <f t="shared" si="36"/>
        <v>Roiphet3C1-043-0028</v>
      </c>
      <c r="D472">
        <f>VLOOKUP(C472,'RAW DATA 2023'!E:BP,63,0)</f>
        <v>12</v>
      </c>
      <c r="E472" t="str">
        <f t="shared" si="37"/>
        <v>Roiphet312</v>
      </c>
      <c r="F472">
        <f>ROUND(VLOOKUP(C472,'RAW DATA 2023'!E:BO,23,0),0)</f>
        <v>93</v>
      </c>
      <c r="G472" s="16">
        <f>VLOOKUP(C472,'RAW DATA 2023'!E:BO,27,0)</f>
        <v>1.5760819288501797</v>
      </c>
      <c r="H472" s="16">
        <f>IFERROR(VLOOKUP(F472,STD!B:G,5,0),0)</f>
        <v>1.24</v>
      </c>
      <c r="I472" s="21">
        <f t="shared" si="40"/>
        <v>0.78676113043478257</v>
      </c>
      <c r="J472" s="16">
        <f t="shared" si="38"/>
        <v>5.7352226086956515</v>
      </c>
      <c r="K472" s="106" t="str">
        <f>VLOOKUP(C472,'RAW DATA 2023'!E:BO,36,0)</f>
        <v>EHP</v>
      </c>
      <c r="L472" s="106">
        <f>VLOOKUP(C472,'RAW DATA 2023'!E:BO,21,0)</f>
        <v>12.349740000000001</v>
      </c>
      <c r="M472" s="106">
        <f t="shared" si="39"/>
        <v>70.828508059513041</v>
      </c>
    </row>
    <row r="473" spans="1:13">
      <c r="A473" t="str">
        <f>'RAW DATA 2023'!B466</f>
        <v>Roiphet3</v>
      </c>
      <c r="B473" t="str">
        <f>'RAW DATA 2023'!D466</f>
        <v>C1-043-0026</v>
      </c>
      <c r="C473" t="str">
        <f t="shared" si="36"/>
        <v>Roiphet3C1-043-0026</v>
      </c>
      <c r="D473">
        <f>VLOOKUP(C473,'RAW DATA 2023'!E:BP,63,0)</f>
        <v>7</v>
      </c>
      <c r="E473" t="str">
        <f t="shared" si="37"/>
        <v>Roiphet37</v>
      </c>
      <c r="F473">
        <f>ROUND(VLOOKUP(C473,'RAW DATA 2023'!E:BO,23,0),0)</f>
        <v>92</v>
      </c>
      <c r="G473" s="16">
        <f>VLOOKUP(C473,'RAW DATA 2023'!E:BO,27,0)</f>
        <v>2.4405378428309299</v>
      </c>
      <c r="H473" s="16">
        <f>IFERROR(VLOOKUP(F473,STD!B:G,5,0),0)</f>
        <v>1.24</v>
      </c>
      <c r="I473" s="21">
        <f t="shared" si="40"/>
        <v>0.50808472552166939</v>
      </c>
      <c r="J473" s="16">
        <f t="shared" si="38"/>
        <v>0.16169451043338778</v>
      </c>
      <c r="K473" s="106" t="str">
        <f>VLOOKUP(C473,'RAW DATA 2023'!E:BO,36,0)</f>
        <v>Slow Growth</v>
      </c>
      <c r="L473" s="106">
        <f>VLOOKUP(C473,'RAW DATA 2023'!E:BO,21,0)</f>
        <v>7.31168</v>
      </c>
      <c r="M473" s="106">
        <f t="shared" si="39"/>
        <v>1.1822585180455927</v>
      </c>
    </row>
    <row r="474" spans="1:13">
      <c r="A474" t="str">
        <f>'RAW DATA 2023'!B467</f>
        <v>Roiphet3</v>
      </c>
      <c r="B474" t="str">
        <f>'RAW DATA 2023'!D467</f>
        <v>C1-051-0026</v>
      </c>
      <c r="C474" t="str">
        <f t="shared" si="36"/>
        <v>Roiphet3C1-051-0026</v>
      </c>
      <c r="D474">
        <f>VLOOKUP(C474,'RAW DATA 2023'!E:BP,63,0)</f>
        <v>7</v>
      </c>
      <c r="E474" t="str">
        <f t="shared" si="37"/>
        <v>Roiphet37</v>
      </c>
      <c r="F474">
        <f>ROUND(VLOOKUP(C474,'RAW DATA 2023'!E:BO,23,0),0)</f>
        <v>88</v>
      </c>
      <c r="G474" s="16">
        <f>VLOOKUP(C474,'RAW DATA 2023'!E:BO,27,0)</f>
        <v>1.9239471294265813</v>
      </c>
      <c r="H474" s="16">
        <f>IFERROR(VLOOKUP(F474,STD!B:G,5,0),0)</f>
        <v>1.26</v>
      </c>
      <c r="I474" s="21">
        <f t="shared" si="40"/>
        <v>0.65490365131578954</v>
      </c>
      <c r="J474" s="16">
        <f t="shared" si="38"/>
        <v>3.0980730263157907</v>
      </c>
      <c r="K474" s="106" t="str">
        <f>VLOOKUP(C474,'RAW DATA 2023'!E:BO,36,0)</f>
        <v>Slow Growth</v>
      </c>
      <c r="L474" s="106">
        <f>VLOOKUP(C474,'RAW DATA 2023'!E:BO,21,0)</f>
        <v>17.925650000000001</v>
      </c>
      <c r="M474" s="106">
        <f t="shared" si="39"/>
        <v>55.534972744177658</v>
      </c>
    </row>
    <row r="475" spans="1:13">
      <c r="A475" t="str">
        <f>'RAW DATA 2023'!B468</f>
        <v>Roiphet3</v>
      </c>
      <c r="B475" t="str">
        <f>'RAW DATA 2023'!D468</f>
        <v>C1-046-0005</v>
      </c>
      <c r="C475" t="str">
        <f t="shared" si="36"/>
        <v>Roiphet3C1-046-0005</v>
      </c>
      <c r="D475">
        <f>VLOOKUP(C475,'RAW DATA 2023'!E:BP,63,0)</f>
        <v>7</v>
      </c>
      <c r="E475" t="str">
        <f t="shared" si="37"/>
        <v>Roiphet37</v>
      </c>
      <c r="F475">
        <f>ROUND(VLOOKUP(C475,'RAW DATA 2023'!E:BO,23,0),0)</f>
        <v>87</v>
      </c>
      <c r="G475" s="16">
        <f>VLOOKUP(C475,'RAW DATA 2023'!E:BO,27,0)</f>
        <v>2.2034075111713824</v>
      </c>
      <c r="H475" s="16">
        <f>IFERROR(VLOOKUP(F475,STD!B:G,5,0),0)</f>
        <v>1.26</v>
      </c>
      <c r="I475" s="21">
        <f t="shared" si="40"/>
        <v>0.57184156521739138</v>
      </c>
      <c r="J475" s="16">
        <f t="shared" si="38"/>
        <v>1.4368313043478276</v>
      </c>
      <c r="K475" s="106" t="str">
        <f>VLOOKUP(C475,'RAW DATA 2023'!E:BO,36,0)</f>
        <v>Slow Growth</v>
      </c>
      <c r="L475" s="106">
        <f>VLOOKUP(C475,'RAW DATA 2023'!E:BO,21,0)</f>
        <v>10.36928</v>
      </c>
      <c r="M475" s="106">
        <f t="shared" si="39"/>
        <v>14.898906107547841</v>
      </c>
    </row>
    <row r="476" spans="1:13">
      <c r="A476" t="str">
        <f>'RAW DATA 2023'!B469</f>
        <v>Roiphet3</v>
      </c>
      <c r="B476" t="str">
        <f>'RAW DATA 2023'!D469</f>
        <v>C1-057-0018</v>
      </c>
      <c r="C476" t="str">
        <f t="shared" si="36"/>
        <v>Roiphet3C1-057-0018</v>
      </c>
      <c r="D476">
        <f>VLOOKUP(C476,'RAW DATA 2023'!E:BP,63,0)</f>
        <v>7</v>
      </c>
      <c r="E476" t="str">
        <f t="shared" si="37"/>
        <v>Roiphet37</v>
      </c>
      <c r="F476">
        <f>ROUND(VLOOKUP(C476,'RAW DATA 2023'!E:BO,23,0),0)</f>
        <v>84</v>
      </c>
      <c r="G476" s="16">
        <f>VLOOKUP(C476,'RAW DATA 2023'!E:BO,27,0)</f>
        <v>2.7902357633921064</v>
      </c>
      <c r="H476" s="16">
        <f>IFERROR(VLOOKUP(F476,STD!B:G,5,0),0)</f>
        <v>1.27</v>
      </c>
      <c r="I476" s="21">
        <f t="shared" si="40"/>
        <v>0.45515867033976132</v>
      </c>
      <c r="J476" s="16">
        <f t="shared" si="38"/>
        <v>-0.89682659320477365</v>
      </c>
      <c r="K476" s="106" t="str">
        <f>VLOOKUP(C476,'RAW DATA 2023'!E:BO,36,0)</f>
        <v>Slow Growth</v>
      </c>
      <c r="L476" s="106">
        <f>VLOOKUP(C476,'RAW DATA 2023'!E:BO,21,0)</f>
        <v>10.657200000000001</v>
      </c>
      <c r="M476" s="106">
        <f t="shared" si="39"/>
        <v>-9.5576603691019155</v>
      </c>
    </row>
    <row r="477" spans="1:13">
      <c r="A477" t="str">
        <f>'RAW DATA 2023'!B470</f>
        <v>Roiphet3</v>
      </c>
      <c r="B477" t="str">
        <f>'RAW DATA 2023'!D470</f>
        <v>C1-054-0008</v>
      </c>
      <c r="C477" t="str">
        <f t="shared" si="36"/>
        <v>Roiphet3C1-054-0008</v>
      </c>
      <c r="D477">
        <f>VLOOKUP(C477,'RAW DATA 2023'!E:BP,63,0)</f>
        <v>7</v>
      </c>
      <c r="E477" t="str">
        <f t="shared" si="37"/>
        <v>Roiphet37</v>
      </c>
      <c r="F477">
        <f>ROUND(VLOOKUP(C477,'RAW DATA 2023'!E:BO,23,0),0)</f>
        <v>97</v>
      </c>
      <c r="G477" s="16">
        <f>VLOOKUP(C477,'RAW DATA 2023'!E:BO,27,0)</f>
        <v>2.5512309173428691</v>
      </c>
      <c r="H477" s="16">
        <f>IFERROR(VLOOKUP(F477,STD!B:G,5,0),0)</f>
        <v>1.22</v>
      </c>
      <c r="I477" s="21">
        <f t="shared" si="40"/>
        <v>0.47820053908355792</v>
      </c>
      <c r="J477" s="16">
        <f t="shared" si="38"/>
        <v>-0.43598921832884163</v>
      </c>
      <c r="K477" s="106" t="str">
        <f>VLOOKUP(C477,'RAW DATA 2023'!E:BO,36,0)</f>
        <v>Slow Growth</v>
      </c>
      <c r="L477" s="106">
        <f>VLOOKUP(C477,'RAW DATA 2023'!E:BO,21,0)</f>
        <v>8.1713000000000005</v>
      </c>
      <c r="M477" s="106">
        <f t="shared" si="39"/>
        <v>-3.5625986997304637</v>
      </c>
    </row>
    <row r="478" spans="1:13">
      <c r="A478" t="str">
        <f>'RAW DATA 2023'!B471</f>
        <v>Roiphet3</v>
      </c>
      <c r="B478" t="str">
        <f>'RAW DATA 2023'!D471</f>
        <v>C1-042-0016</v>
      </c>
      <c r="C478" t="str">
        <f t="shared" si="36"/>
        <v>Roiphet3C1-042-0016</v>
      </c>
      <c r="D478">
        <f>VLOOKUP(C478,'RAW DATA 2023'!E:BP,63,0)</f>
        <v>7</v>
      </c>
      <c r="E478" t="str">
        <f t="shared" si="37"/>
        <v>Roiphet37</v>
      </c>
      <c r="F478">
        <f>ROUND(VLOOKUP(C478,'RAW DATA 2023'!E:BO,23,0),0)</f>
        <v>100</v>
      </c>
      <c r="G478" s="16">
        <f>VLOOKUP(C478,'RAW DATA 2023'!E:BO,27,0)</f>
        <v>3.3407792298982737</v>
      </c>
      <c r="H478" s="16">
        <f>IFERROR(VLOOKUP(F478,STD!B:G,5,0),0)</f>
        <v>1.22</v>
      </c>
      <c r="I478" s="21">
        <f t="shared" si="40"/>
        <v>0.36518426272577992</v>
      </c>
      <c r="J478" s="16">
        <f t="shared" si="38"/>
        <v>-2.6963147454844014</v>
      </c>
      <c r="K478" s="106" t="str">
        <f>VLOOKUP(C478,'RAW DATA 2023'!E:BO,36,0)</f>
        <v>Slow Growth</v>
      </c>
      <c r="L478" s="106">
        <f>VLOOKUP(C478,'RAW DATA 2023'!E:BO,21,0)</f>
        <v>5.2323199999999996</v>
      </c>
      <c r="M478" s="106">
        <f t="shared" si="39"/>
        <v>-14.107981569092942</v>
      </c>
    </row>
    <row r="479" spans="1:13">
      <c r="A479" t="str">
        <f>'RAW DATA 2023'!B472</f>
        <v>Roiphet3</v>
      </c>
      <c r="B479" t="str">
        <f>'RAW DATA 2023'!D472</f>
        <v>C1-045-0026</v>
      </c>
      <c r="C479" t="str">
        <f t="shared" si="36"/>
        <v>Roiphet3C1-045-0026</v>
      </c>
      <c r="D479">
        <f>VLOOKUP(C479,'RAW DATA 2023'!E:BP,63,0)</f>
        <v>7</v>
      </c>
      <c r="E479" t="str">
        <f t="shared" si="37"/>
        <v>Roiphet37</v>
      </c>
      <c r="F479">
        <f>ROUND(VLOOKUP(C479,'RAW DATA 2023'!E:BO,23,0),0)</f>
        <v>114</v>
      </c>
      <c r="G479" s="16">
        <f>VLOOKUP(C479,'RAW DATA 2023'!E:BO,27,0)</f>
        <v>4.3535168669526509</v>
      </c>
      <c r="H479" s="16">
        <f>IFERROR(VLOOKUP(F479,STD!B:G,5,0),0)</f>
        <v>1.18</v>
      </c>
      <c r="I479" s="21">
        <f t="shared" si="40"/>
        <v>0.27104523447636703</v>
      </c>
      <c r="J479" s="16">
        <f t="shared" si="38"/>
        <v>-4.5790953104726597</v>
      </c>
      <c r="K479" s="106" t="str">
        <f>VLOOKUP(C479,'RAW DATA 2023'!E:BO,36,0)</f>
        <v>EHP</v>
      </c>
      <c r="L479" s="106">
        <f>VLOOKUP(C479,'RAW DATA 2023'!E:BO,21,0)</f>
        <v>7.0961000000000007</v>
      </c>
      <c r="M479" s="106">
        <f t="shared" si="39"/>
        <v>-32.493718232645044</v>
      </c>
    </row>
    <row r="480" spans="1:13">
      <c r="A480" t="str">
        <f>'RAW DATA 2023'!B473</f>
        <v>Roiphet3</v>
      </c>
      <c r="B480" t="str">
        <f>'RAW DATA 2023'!D473</f>
        <v>C1-041-0006</v>
      </c>
      <c r="C480" t="str">
        <f t="shared" si="36"/>
        <v>Roiphet3C1-041-0006</v>
      </c>
      <c r="D480">
        <f>VLOOKUP(C480,'RAW DATA 2023'!E:BP,63,0)</f>
        <v>6</v>
      </c>
      <c r="E480" t="str">
        <f t="shared" si="37"/>
        <v>Roiphet36</v>
      </c>
      <c r="F480">
        <f>ROUND(VLOOKUP(C480,'RAW DATA 2023'!E:BO,23,0),0)</f>
        <v>146</v>
      </c>
      <c r="G480" s="16">
        <f>VLOOKUP(C480,'RAW DATA 2023'!E:BO,27,0)</f>
        <v>1.3120892564223192</v>
      </c>
      <c r="H480" s="16">
        <f>IFERROR(VLOOKUP(F480,STD!B:G,5,0),0)</f>
        <v>1.0860000000000001</v>
      </c>
      <c r="I480" s="21">
        <f t="shared" si="40"/>
        <v>0.82768759418181814</v>
      </c>
      <c r="J480" s="16">
        <f t="shared" si="38"/>
        <v>6.5537518836363624</v>
      </c>
      <c r="K480" s="106" t="str">
        <f>VLOOKUP(C480,'RAW DATA 2023'!E:BO,36,0)</f>
        <v>EHP</v>
      </c>
      <c r="L480" s="106">
        <f>VLOOKUP(C480,'RAW DATA 2023'!E:BO,21,0)</f>
        <v>11.821999999999999</v>
      </c>
      <c r="M480" s="106">
        <f t="shared" si="39"/>
        <v>77.478454768349067</v>
      </c>
    </row>
    <row r="481" spans="1:13">
      <c r="A481" t="str">
        <f>'RAW DATA 2023'!B474</f>
        <v>Roiphet3</v>
      </c>
      <c r="B481" t="str">
        <f>'RAW DATA 2023'!D474</f>
        <v>C1-044-0020</v>
      </c>
      <c r="C481" t="str">
        <f t="shared" si="36"/>
        <v>Roiphet3C1-044-0020</v>
      </c>
      <c r="D481">
        <f>VLOOKUP(C481,'RAW DATA 2023'!E:BP,63,0)</f>
        <v>12</v>
      </c>
      <c r="E481" t="str">
        <f t="shared" si="37"/>
        <v>Roiphet312</v>
      </c>
      <c r="F481">
        <f>ROUND(VLOOKUP(C481,'RAW DATA 2023'!E:BO,23,0),0)</f>
        <v>215</v>
      </c>
      <c r="G481" s="16">
        <f>VLOOKUP(C481,'RAW DATA 2023'!E:BO,27,0)</f>
        <v>1.157103705647395</v>
      </c>
      <c r="H481" s="16">
        <f>IFERROR(VLOOKUP(F481,STD!B:G,5,0),0)</f>
        <v>0.95699999999999996</v>
      </c>
      <c r="I481" s="21">
        <f t="shared" si="40"/>
        <v>0.8270650204724409</v>
      </c>
      <c r="J481" s="16">
        <f t="shared" si="38"/>
        <v>6.5413004094488176</v>
      </c>
      <c r="K481" s="106" t="str">
        <f>VLOOKUP(C481,'RAW DATA 2023'!E:BO,36,0)</f>
        <v>EHP</v>
      </c>
      <c r="L481" s="106">
        <f>VLOOKUP(C481,'RAW DATA 2023'!E:BO,21,0)</f>
        <v>6.0038400000000003</v>
      </c>
      <c r="M481" s="106">
        <f t="shared" si="39"/>
        <v>39.27292105026519</v>
      </c>
    </row>
    <row r="482" spans="1:13">
      <c r="A482" t="str">
        <f>'RAW DATA 2023'!B475</f>
        <v>Bangkachai1</v>
      </c>
      <c r="B482" t="str">
        <f>'RAW DATA 2023'!D475</f>
        <v>BG-045-0013</v>
      </c>
      <c r="C482" t="str">
        <f t="shared" si="36"/>
        <v>Bangkachai1BG-045-0013</v>
      </c>
      <c r="D482">
        <f>VLOOKUP(C482,'RAW DATA 2023'!E:BP,63,0)</f>
        <v>10</v>
      </c>
      <c r="E482" t="str">
        <f t="shared" si="37"/>
        <v>Bangkachai110</v>
      </c>
      <c r="F482">
        <f>ROUND(VLOOKUP(C482,'RAW DATA 2023'!E:BO,23,0),0)</f>
        <v>35</v>
      </c>
      <c r="G482" s="16">
        <f>VLOOKUP(C482,'RAW DATA 2023'!E:BO,27,0)</f>
        <v>2.1338101011761643</v>
      </c>
      <c r="H482" s="16">
        <f>IFERROR(VLOOKUP(F482,STD!B:G,5,0),0)</f>
        <v>1.75</v>
      </c>
      <c r="I482" s="21">
        <f t="shared" si="40"/>
        <v>0.82012921348314605</v>
      </c>
      <c r="J482" s="16">
        <f t="shared" si="38"/>
        <v>6.4025842696629205</v>
      </c>
      <c r="K482" s="106" t="str">
        <f>VLOOKUP(C482,'RAW DATA 2023'!E:BO,36,0)</f>
        <v>Normal</v>
      </c>
      <c r="L482" s="106">
        <f>VLOOKUP(C482,'RAW DATA 2023'!E:BO,21,0)</f>
        <v>15.198450000000001</v>
      </c>
      <c r="M482" s="106">
        <f t="shared" si="39"/>
        <v>97.309356893258425</v>
      </c>
    </row>
    <row r="483" spans="1:13">
      <c r="A483" t="str">
        <f>'RAW DATA 2023'!B476</f>
        <v>Bangkachai1</v>
      </c>
      <c r="B483" t="str">
        <f>'RAW DATA 2023'!D476</f>
        <v>BG-044-0010</v>
      </c>
      <c r="C483" t="str">
        <f t="shared" si="36"/>
        <v>Bangkachai1BG-044-0010</v>
      </c>
      <c r="D483">
        <f>VLOOKUP(C483,'RAW DATA 2023'!E:BP,63,0)</f>
        <v>8</v>
      </c>
      <c r="E483" t="str">
        <f t="shared" si="37"/>
        <v>Bangkachai18</v>
      </c>
      <c r="F483">
        <f>ROUND(VLOOKUP(C483,'RAW DATA 2023'!E:BO,23,0),0)</f>
        <v>39</v>
      </c>
      <c r="G483" s="16">
        <f>VLOOKUP(C483,'RAW DATA 2023'!E:BO,27,0)</f>
        <v>1.8135514098908601</v>
      </c>
      <c r="H483" s="16">
        <f>IFERROR(VLOOKUP(F483,STD!B:G,5,0),0)</f>
        <v>1.64</v>
      </c>
      <c r="I483" s="21">
        <f t="shared" si="40"/>
        <v>0.9043030106870229</v>
      </c>
      <c r="J483" s="16">
        <f t="shared" si="38"/>
        <v>8.086060213740458</v>
      </c>
      <c r="K483" s="106" t="str">
        <f>VLOOKUP(C483,'RAW DATA 2023'!E:BO,36,0)</f>
        <v>Normal</v>
      </c>
      <c r="L483" s="106">
        <f>VLOOKUP(C483,'RAW DATA 2023'!E:BO,21,0)</f>
        <v>18.47861</v>
      </c>
      <c r="M483" s="106">
        <f t="shared" si="39"/>
        <v>149.41915312622658</v>
      </c>
    </row>
    <row r="484" spans="1:13">
      <c r="A484" t="str">
        <f>'RAW DATA 2023'!B477</f>
        <v>Bangkachai1</v>
      </c>
      <c r="B484" t="str">
        <f>'RAW DATA 2023'!D477</f>
        <v>BG-045-0012</v>
      </c>
      <c r="C484" t="str">
        <f t="shared" si="36"/>
        <v>Bangkachai1BG-045-0012</v>
      </c>
      <c r="D484">
        <f>VLOOKUP(C484,'RAW DATA 2023'!E:BP,63,0)</f>
        <v>5</v>
      </c>
      <c r="E484" t="str">
        <f t="shared" si="37"/>
        <v>Bangkachai15</v>
      </c>
      <c r="F484">
        <f>ROUND(VLOOKUP(C484,'RAW DATA 2023'!E:BO,23,0),0)</f>
        <v>32</v>
      </c>
      <c r="G484" s="16">
        <f>VLOOKUP(C484,'RAW DATA 2023'!E:BO,27,0)</f>
        <v>2.1869501559977107</v>
      </c>
      <c r="H484" s="16">
        <f>IFERROR(VLOOKUP(F484,STD!B:G,5,0),0)</f>
        <v>1.82</v>
      </c>
      <c r="I484" s="21">
        <f t="shared" si="40"/>
        <v>0.83220918181818193</v>
      </c>
      <c r="J484" s="16">
        <f t="shared" si="38"/>
        <v>6.6441836363636391</v>
      </c>
      <c r="K484" s="106" t="str">
        <f>VLOOKUP(C484,'RAW DATA 2023'!E:BO,36,0)</f>
        <v>Normal</v>
      </c>
      <c r="L484" s="106">
        <f>VLOOKUP(C484,'RAW DATA 2023'!E:BO,21,0)</f>
        <v>21.377310000000001</v>
      </c>
      <c r="M484" s="106">
        <f t="shared" si="39"/>
        <v>142.03477329147279</v>
      </c>
    </row>
    <row r="485" spans="1:13">
      <c r="A485" t="str">
        <f>'RAW DATA 2023'!B478</f>
        <v>Bangkachai1</v>
      </c>
      <c r="B485" t="str">
        <f>'RAW DATA 2023'!D478</f>
        <v>A1-047-0010</v>
      </c>
      <c r="C485" t="str">
        <f t="shared" si="36"/>
        <v>Bangkachai1A1-047-0010</v>
      </c>
      <c r="D485">
        <f>VLOOKUP(C485,'RAW DATA 2023'!E:BP,63,0)</f>
        <v>8</v>
      </c>
      <c r="E485" t="str">
        <f t="shared" si="37"/>
        <v>Bangkachai18</v>
      </c>
      <c r="F485">
        <f>ROUND(VLOOKUP(C485,'RAW DATA 2023'!E:BO,23,0),0)</f>
        <v>39</v>
      </c>
      <c r="G485" s="16">
        <f>VLOOKUP(C485,'RAW DATA 2023'!E:BO,27,0)</f>
        <v>1.8269499708268977</v>
      </c>
      <c r="H485" s="16">
        <f>IFERROR(VLOOKUP(F485,STD!B:G,5,0),0)</f>
        <v>1.64</v>
      </c>
      <c r="I485" s="21">
        <f t="shared" si="40"/>
        <v>0.89767099602498579</v>
      </c>
      <c r="J485" s="16">
        <f t="shared" si="38"/>
        <v>7.9534199204997158</v>
      </c>
      <c r="K485" s="106" t="str">
        <f>VLOOKUP(C485,'RAW DATA 2023'!E:BO,36,0)</f>
        <v>Normal</v>
      </c>
      <c r="L485" s="106">
        <f>VLOOKUP(C485,'RAW DATA 2023'!E:BO,21,0)</f>
        <v>24.865539999999999</v>
      </c>
      <c r="M485" s="106">
        <f t="shared" si="39"/>
        <v>197.7660811699825</v>
      </c>
    </row>
    <row r="486" spans="1:13">
      <c r="A486" t="str">
        <f>'RAW DATA 2023'!B479</f>
        <v>Bangkachai1</v>
      </c>
      <c r="B486" t="str">
        <f>'RAW DATA 2023'!D479</f>
        <v>A1-061-0007</v>
      </c>
      <c r="C486" t="str">
        <f t="shared" si="36"/>
        <v>Bangkachai1A1-061-0007</v>
      </c>
      <c r="D486">
        <f>VLOOKUP(C486,'RAW DATA 2023'!E:BP,63,0)</f>
        <v>10</v>
      </c>
      <c r="E486" t="str">
        <f t="shared" si="37"/>
        <v>Bangkachai110</v>
      </c>
      <c r="F486">
        <f>ROUND(VLOOKUP(C486,'RAW DATA 2023'!E:BO,23,0),0)</f>
        <v>28</v>
      </c>
      <c r="G486" s="16">
        <f>VLOOKUP(C486,'RAW DATA 2023'!E:BO,27,0)</f>
        <v>2.2855373667800025</v>
      </c>
      <c r="H486" s="16">
        <f>IFERROR(VLOOKUP(F486,STD!B:G,5,0),0)</f>
        <v>1.93</v>
      </c>
      <c r="I486" s="21">
        <f t="shared" si="40"/>
        <v>0.84444036140135204</v>
      </c>
      <c r="J486" s="16">
        <f t="shared" si="38"/>
        <v>6.8888072280270407</v>
      </c>
      <c r="K486" s="106" t="str">
        <f>VLOOKUP(C486,'RAW DATA 2023'!E:BO,36,0)</f>
        <v>Normal</v>
      </c>
      <c r="L486" s="106">
        <f>VLOOKUP(C486,'RAW DATA 2023'!E:BO,21,0)</f>
        <v>18.39669</v>
      </c>
      <c r="M486" s="106">
        <f t="shared" si="39"/>
        <v>126.73125104377277</v>
      </c>
    </row>
    <row r="487" spans="1:13">
      <c r="A487" t="str">
        <f>'RAW DATA 2023'!B480</f>
        <v>Bangkachai1</v>
      </c>
      <c r="B487" t="str">
        <f>'RAW DATA 2023'!D480</f>
        <v>A1-060-0006</v>
      </c>
      <c r="C487" t="str">
        <f t="shared" si="36"/>
        <v>Bangkachai1A1-060-0006</v>
      </c>
      <c r="D487">
        <f>VLOOKUP(C487,'RAW DATA 2023'!E:BP,63,0)</f>
        <v>10</v>
      </c>
      <c r="E487" t="str">
        <f t="shared" si="37"/>
        <v>Bangkachai110</v>
      </c>
      <c r="F487">
        <f>ROUND(VLOOKUP(C487,'RAW DATA 2023'!E:BO,23,0),0)</f>
        <v>29</v>
      </c>
      <c r="G487" s="16">
        <f>VLOOKUP(C487,'RAW DATA 2023'!E:BO,27,0)</f>
        <v>2.4644001158822744</v>
      </c>
      <c r="H487" s="16">
        <f>IFERROR(VLOOKUP(F487,STD!B:G,5,0),0)</f>
        <v>1.9</v>
      </c>
      <c r="I487" s="21">
        <f t="shared" si="40"/>
        <v>0.77097870096463017</v>
      </c>
      <c r="J487" s="16">
        <f t="shared" si="38"/>
        <v>5.4195740192926039</v>
      </c>
      <c r="K487" s="106" t="str">
        <f>VLOOKUP(C487,'RAW DATA 2023'!E:BO,36,0)</f>
        <v>Normal</v>
      </c>
      <c r="L487" s="106">
        <f>VLOOKUP(C487,'RAW DATA 2023'!E:BO,21,0)</f>
        <v>16.19463</v>
      </c>
      <c r="M487" s="106">
        <f t="shared" si="39"/>
        <v>87.767996000056584</v>
      </c>
    </row>
    <row r="488" spans="1:13">
      <c r="A488" t="str">
        <f>'RAW DATA 2023'!B481</f>
        <v>Bangkachai1</v>
      </c>
      <c r="B488" t="str">
        <f>'RAW DATA 2023'!D481</f>
        <v>BG-044-0009</v>
      </c>
      <c r="C488" t="str">
        <f t="shared" si="36"/>
        <v>Bangkachai1BG-044-0009</v>
      </c>
      <c r="D488">
        <f>VLOOKUP(C488,'RAW DATA 2023'!E:BP,63,0)</f>
        <v>3</v>
      </c>
      <c r="E488" t="str">
        <f t="shared" si="37"/>
        <v>Bangkachai13</v>
      </c>
      <c r="F488">
        <f>ROUND(VLOOKUP(C488,'RAW DATA 2023'!E:BO,23,0),0)</f>
        <v>35</v>
      </c>
      <c r="G488" s="16">
        <f>VLOOKUP(C488,'RAW DATA 2023'!E:BO,27,0)</f>
        <v>2.2169406623318779</v>
      </c>
      <c r="H488" s="16">
        <f>IFERROR(VLOOKUP(F488,STD!B:G,5,0),0)</f>
        <v>1.75</v>
      </c>
      <c r="I488" s="21">
        <f t="shared" si="40"/>
        <v>0.78937611174458377</v>
      </c>
      <c r="J488" s="16">
        <f t="shared" si="38"/>
        <v>5.7875222348916751</v>
      </c>
      <c r="K488" s="106" t="str">
        <f>VLOOKUP(C488,'RAW DATA 2023'!E:BO,36,0)</f>
        <v>Normal</v>
      </c>
      <c r="L488" s="106">
        <f>VLOOKUP(C488,'RAW DATA 2023'!E:BO,21,0)</f>
        <v>20.139509999999998</v>
      </c>
      <c r="M488" s="106">
        <f t="shared" si="39"/>
        <v>116.55786192482323</v>
      </c>
    </row>
    <row r="489" spans="1:13">
      <c r="A489" t="str">
        <f>'RAW DATA 2023'!B482</f>
        <v>Bangkachai1</v>
      </c>
      <c r="B489" t="str">
        <f>'RAW DATA 2023'!D482</f>
        <v>A1-061-0006</v>
      </c>
      <c r="C489" t="str">
        <f t="shared" si="36"/>
        <v>Bangkachai1A1-061-0006</v>
      </c>
      <c r="D489">
        <f>VLOOKUP(C489,'RAW DATA 2023'!E:BP,63,0)</f>
        <v>5</v>
      </c>
      <c r="E489" t="str">
        <f t="shared" si="37"/>
        <v>Bangkachai15</v>
      </c>
      <c r="F489">
        <f>ROUND(VLOOKUP(C489,'RAW DATA 2023'!E:BO,23,0),0)</f>
        <v>37</v>
      </c>
      <c r="G489" s="16">
        <f>VLOOKUP(C489,'RAW DATA 2023'!E:BO,27,0)</f>
        <v>2.5210384783804725</v>
      </c>
      <c r="H489" s="16">
        <f>IFERROR(VLOOKUP(F489,STD!B:G,5,0),0)</f>
        <v>1.6970000000000001</v>
      </c>
      <c r="I489" s="21">
        <f t="shared" si="40"/>
        <v>0.67313530299234514</v>
      </c>
      <c r="J489" s="16">
        <f t="shared" si="38"/>
        <v>3.4627060598469028</v>
      </c>
      <c r="K489" s="106" t="str">
        <f>VLOOKUP(C489,'RAW DATA 2023'!E:BO,36,0)</f>
        <v>Normal</v>
      </c>
      <c r="L489" s="106">
        <f>VLOOKUP(C489,'RAW DATA 2023'!E:BO,21,0)</f>
        <v>14.628080000000001</v>
      </c>
      <c r="M489" s="106">
        <f t="shared" si="39"/>
        <v>50.652741259925286</v>
      </c>
    </row>
    <row r="490" spans="1:13">
      <c r="A490" t="str">
        <f>'RAW DATA 2023'!B483</f>
        <v>Bangkachai1</v>
      </c>
      <c r="B490" t="str">
        <f>'RAW DATA 2023'!D483</f>
        <v>A1-060-0005</v>
      </c>
      <c r="C490" t="str">
        <f t="shared" si="36"/>
        <v>Bangkachai1A1-060-0005</v>
      </c>
      <c r="D490">
        <f>VLOOKUP(C490,'RAW DATA 2023'!E:BP,63,0)</f>
        <v>5</v>
      </c>
      <c r="E490" t="str">
        <f t="shared" si="37"/>
        <v>Bangkachai15</v>
      </c>
      <c r="F490">
        <f>ROUND(VLOOKUP(C490,'RAW DATA 2023'!E:BO,23,0),0)</f>
        <v>42</v>
      </c>
      <c r="G490" s="16">
        <f>VLOOKUP(C490,'RAW DATA 2023'!E:BO,27,0)</f>
        <v>2.1637070229453328</v>
      </c>
      <c r="H490" s="16">
        <f>IFERROR(VLOOKUP(F490,STD!B:G,5,0),0)</f>
        <v>1.6</v>
      </c>
      <c r="I490" s="21">
        <f t="shared" si="40"/>
        <v>0.73947164890282147</v>
      </c>
      <c r="J490" s="16">
        <f t="shared" si="38"/>
        <v>4.7894329780564293</v>
      </c>
      <c r="K490" s="106" t="str">
        <f>VLOOKUP(C490,'RAW DATA 2023'!E:BO,36,0)</f>
        <v>Normal</v>
      </c>
      <c r="L490" s="106">
        <f>VLOOKUP(C490,'RAW DATA 2023'!E:BO,21,0)</f>
        <v>18.885000000000002</v>
      </c>
      <c r="M490" s="106">
        <f t="shared" si="39"/>
        <v>90.44844179059568</v>
      </c>
    </row>
    <row r="491" spans="1:13">
      <c r="A491" t="str">
        <f>'RAW DATA 2023'!B484</f>
        <v>Bangkachai1</v>
      </c>
      <c r="B491" t="str">
        <f>'RAW DATA 2023'!D484</f>
        <v>A1-047-0009</v>
      </c>
      <c r="C491" t="str">
        <f t="shared" si="36"/>
        <v>Bangkachai1A1-047-0009</v>
      </c>
      <c r="D491">
        <f>VLOOKUP(C491,'RAW DATA 2023'!E:BP,63,0)</f>
        <v>3</v>
      </c>
      <c r="E491" t="str">
        <f t="shared" si="37"/>
        <v>Bangkachai13</v>
      </c>
      <c r="F491">
        <f>ROUND(VLOOKUP(C491,'RAW DATA 2023'!E:BO,23,0),0)</f>
        <v>34</v>
      </c>
      <c r="G491" s="16">
        <f>VLOOKUP(C491,'RAW DATA 2023'!E:BO,27,0)</f>
        <v>1.9939451191283499</v>
      </c>
      <c r="H491" s="16">
        <f>IFERROR(VLOOKUP(F491,STD!B:G,5,0),0)</f>
        <v>1.77</v>
      </c>
      <c r="I491" s="21">
        <f t="shared" si="40"/>
        <v>0.88768742079207918</v>
      </c>
      <c r="J491" s="16">
        <f t="shared" si="38"/>
        <v>7.7537484158415833</v>
      </c>
      <c r="K491" s="106" t="str">
        <f>VLOOKUP(C491,'RAW DATA 2023'!E:BO,36,0)</f>
        <v>Normal</v>
      </c>
      <c r="L491" s="106">
        <f>VLOOKUP(C491,'RAW DATA 2023'!E:BO,21,0)</f>
        <v>20.661339999999999</v>
      </c>
      <c r="M491" s="106">
        <f t="shared" si="39"/>
        <v>160.20283229416432</v>
      </c>
    </row>
    <row r="492" spans="1:13">
      <c r="A492" t="str">
        <f>'RAW DATA 2023'!B485</f>
        <v>Bo Thong</v>
      </c>
      <c r="B492" t="str">
        <f>'RAW DATA 2023'!D485</f>
        <v>BG-002-0014</v>
      </c>
      <c r="C492" t="str">
        <f t="shared" si="36"/>
        <v>Bo ThongBG-002-0014</v>
      </c>
      <c r="D492">
        <f>VLOOKUP(C492,'RAW DATA 2023'!E:BP,63,0)</f>
        <v>6</v>
      </c>
      <c r="E492" t="str">
        <f t="shared" si="37"/>
        <v>Bo Thong6</v>
      </c>
      <c r="F492">
        <f>ROUND(VLOOKUP(C492,'RAW DATA 2023'!E:BO,23,0),0)</f>
        <v>45</v>
      </c>
      <c r="G492" s="16">
        <f>VLOOKUP(C492,'RAW DATA 2023'!E:BO,27,0)</f>
        <v>1.5418135399722284</v>
      </c>
      <c r="H492" s="16">
        <f>IFERROR(VLOOKUP(F492,STD!B:G,5,0),0)</f>
        <v>1.55</v>
      </c>
      <c r="I492" s="21">
        <f t="shared" si="40"/>
        <v>1.0053096303901439</v>
      </c>
      <c r="J492" s="16">
        <f t="shared" si="38"/>
        <v>10.106192607802878</v>
      </c>
      <c r="K492" s="106" t="str">
        <f>VLOOKUP(C492,'RAW DATA 2023'!E:BO,36,0)</f>
        <v>อัตรารอดต่ำ</v>
      </c>
      <c r="L492" s="106">
        <f>VLOOKUP(C492,'RAW DATA 2023'!E:BO,21,0)</f>
        <v>16.392790000000002</v>
      </c>
      <c r="M492" s="106">
        <f t="shared" si="39"/>
        <v>165.66869311926496</v>
      </c>
    </row>
    <row r="493" spans="1:13">
      <c r="A493" t="str">
        <f>'RAW DATA 2023'!B486</f>
        <v>Bo Thong</v>
      </c>
      <c r="B493" t="str">
        <f>'RAW DATA 2023'!D486</f>
        <v>BG-002-0013</v>
      </c>
      <c r="C493" t="str">
        <f t="shared" si="36"/>
        <v>Bo ThongBG-002-0013</v>
      </c>
      <c r="D493">
        <f>VLOOKUP(C493,'RAW DATA 2023'!E:BP,63,0)</f>
        <v>2</v>
      </c>
      <c r="E493" t="str">
        <f t="shared" si="37"/>
        <v>Bo Thong2</v>
      </c>
      <c r="F493">
        <f>ROUND(VLOOKUP(C493,'RAW DATA 2023'!E:BO,23,0),0)</f>
        <v>34</v>
      </c>
      <c r="G493" s="16">
        <f>VLOOKUP(C493,'RAW DATA 2023'!E:BO,27,0)</f>
        <v>1.8758176918922509</v>
      </c>
      <c r="H493" s="16">
        <f>IFERROR(VLOOKUP(F493,STD!B:G,5,0),0)</f>
        <v>1.77</v>
      </c>
      <c r="I493" s="21">
        <f t="shared" si="40"/>
        <v>0.94358849884526563</v>
      </c>
      <c r="J493" s="16">
        <f t="shared" si="38"/>
        <v>8.8717699769053127</v>
      </c>
      <c r="K493" s="106" t="str">
        <f>VLOOKUP(C493,'RAW DATA 2023'!E:BO,36,0)</f>
        <v>อัตรารอดต่ำ</v>
      </c>
      <c r="L493" s="106">
        <f>VLOOKUP(C493,'RAW DATA 2023'!E:BO,21,0)</f>
        <v>17.62433</v>
      </c>
      <c r="M493" s="106">
        <f t="shared" si="39"/>
        <v>156.35900175707161</v>
      </c>
    </row>
    <row r="494" spans="1:13">
      <c r="A494" t="str">
        <f>'RAW DATA 2023'!B487</f>
        <v>Bo Thong</v>
      </c>
      <c r="B494" t="str">
        <f>'RAW DATA 2023'!D487</f>
        <v>BG-002-0015</v>
      </c>
      <c r="C494" t="str">
        <f t="shared" si="36"/>
        <v>Bo ThongBG-002-0015</v>
      </c>
      <c r="D494">
        <f>VLOOKUP(C494,'RAW DATA 2023'!E:BP,63,0)</f>
        <v>7</v>
      </c>
      <c r="E494" t="str">
        <f t="shared" si="37"/>
        <v>Bo Thong7</v>
      </c>
      <c r="F494">
        <f>ROUND(VLOOKUP(C494,'RAW DATA 2023'!E:BO,23,0),0)</f>
        <v>0</v>
      </c>
      <c r="G494" s="16">
        <f>VLOOKUP(C494,'RAW DATA 2023'!E:BO,27,0)</f>
        <v>0</v>
      </c>
      <c r="H494" s="16">
        <f>IFERROR(VLOOKUP(F494,STD!B:G,5,0),0)</f>
        <v>0</v>
      </c>
      <c r="I494" s="21">
        <f t="shared" si="40"/>
        <v>0</v>
      </c>
      <c r="J494" s="16">
        <f t="shared" si="38"/>
        <v>-10</v>
      </c>
      <c r="K494" s="106" t="str">
        <f>VLOOKUP(C494,'RAW DATA 2023'!E:BO,36,0)</f>
        <v>EHP</v>
      </c>
      <c r="L494" s="106">
        <f>VLOOKUP(C494,'RAW DATA 2023'!E:BO,21,0)</f>
        <v>0</v>
      </c>
      <c r="M494" s="106">
        <f t="shared" si="39"/>
        <v>0</v>
      </c>
    </row>
    <row r="495" spans="1:13">
      <c r="A495" t="str">
        <f>'RAW DATA 2023'!B488</f>
        <v>Bo Thong</v>
      </c>
      <c r="B495" t="str">
        <f>'RAW DATA 2023'!D488</f>
        <v>BG-002-0016</v>
      </c>
      <c r="C495" t="str">
        <f t="shared" si="36"/>
        <v>Bo ThongBG-002-0016</v>
      </c>
      <c r="D495">
        <f>VLOOKUP(C495,'RAW DATA 2023'!E:BP,63,0)</f>
        <v>12</v>
      </c>
      <c r="E495" t="str">
        <f t="shared" si="37"/>
        <v>Bo Thong12</v>
      </c>
      <c r="F495">
        <f>ROUND(VLOOKUP(C495,'RAW DATA 2023'!E:BO,23,0),0)</f>
        <v>39</v>
      </c>
      <c r="G495" s="16">
        <f>VLOOKUP(C495,'RAW DATA 2023'!E:BO,27,0)</f>
        <v>1.9852547948429935</v>
      </c>
      <c r="H495" s="16">
        <f>IFERROR(VLOOKUP(F495,STD!B:G,5,0),0)</f>
        <v>1.64</v>
      </c>
      <c r="I495" s="21">
        <f t="shared" si="40"/>
        <v>0.82609043648208469</v>
      </c>
      <c r="J495" s="16">
        <f t="shared" si="38"/>
        <v>6.5218087296416938</v>
      </c>
      <c r="K495" s="106" t="str">
        <f>VLOOKUP(C495,'RAW DATA 2023'!E:BO,36,0)</f>
        <v>Normal</v>
      </c>
      <c r="L495" s="106">
        <f>VLOOKUP(C495,'RAW DATA 2023'!E:BO,21,0)</f>
        <v>16.0489</v>
      </c>
      <c r="M495" s="106">
        <f t="shared" si="39"/>
        <v>104.66785612114657</v>
      </c>
    </row>
    <row r="496" spans="1:13">
      <c r="A496" t="str">
        <f>'RAW DATA 2023'!B489</f>
        <v>Bo Thong</v>
      </c>
      <c r="B496" t="str">
        <f>'RAW DATA 2023'!D489</f>
        <v>B1-014-0013</v>
      </c>
      <c r="C496" t="str">
        <f t="shared" si="36"/>
        <v>Bo ThongB1-014-0013</v>
      </c>
      <c r="D496">
        <f>VLOOKUP(C496,'RAW DATA 2023'!E:BP,63,0)</f>
        <v>11</v>
      </c>
      <c r="E496" t="str">
        <f t="shared" si="37"/>
        <v>Bo Thong11</v>
      </c>
      <c r="F496">
        <f>ROUND(VLOOKUP(C496,'RAW DATA 2023'!E:BO,23,0),0)</f>
        <v>36</v>
      </c>
      <c r="G496" s="16">
        <f>VLOOKUP(C496,'RAW DATA 2023'!E:BO,27,0)</f>
        <v>1.8241668603896024</v>
      </c>
      <c r="H496" s="16">
        <f>IFERROR(VLOOKUP(F496,STD!B:G,5,0),0)</f>
        <v>1.726</v>
      </c>
      <c r="I496" s="21">
        <f t="shared" si="40"/>
        <v>0.94618537233560085</v>
      </c>
      <c r="J496" s="16">
        <f t="shared" si="38"/>
        <v>8.923707446712017</v>
      </c>
      <c r="K496" s="106" t="str">
        <f>VLOOKUP(C496,'RAW DATA 2023'!E:BO,36,0)</f>
        <v>Normal</v>
      </c>
      <c r="L496" s="106">
        <f>VLOOKUP(C496,'RAW DATA 2023'!E:BO,21,0)</f>
        <v>24.974820000000001</v>
      </c>
      <c r="M496" s="106">
        <f t="shared" si="39"/>
        <v>222.86798721429221</v>
      </c>
    </row>
    <row r="497" spans="1:13">
      <c r="A497" t="str">
        <f>'RAW DATA 2023'!B490</f>
        <v>Bo Thong</v>
      </c>
      <c r="B497" t="str">
        <f>'RAW DATA 2023'!D490</f>
        <v>B1-015-0014</v>
      </c>
      <c r="C497" t="str">
        <f t="shared" si="36"/>
        <v>Bo ThongB1-015-0014</v>
      </c>
      <c r="D497">
        <f>VLOOKUP(C497,'RAW DATA 2023'!E:BP,63,0)</f>
        <v>11</v>
      </c>
      <c r="E497" t="str">
        <f t="shared" si="37"/>
        <v>Bo Thong11</v>
      </c>
      <c r="F497">
        <f>ROUND(VLOOKUP(C497,'RAW DATA 2023'!E:BO,23,0),0)</f>
        <v>72</v>
      </c>
      <c r="G497" s="16">
        <f>VLOOKUP(C497,'RAW DATA 2023'!E:BO,27,0)</f>
        <v>1.616299132477206</v>
      </c>
      <c r="H497" s="16">
        <f>IFERROR(VLOOKUP(F497,STD!B:G,5,0),0)</f>
        <v>1.33</v>
      </c>
      <c r="I497" s="21">
        <f t="shared" si="40"/>
        <v>0.8228674836702955</v>
      </c>
      <c r="J497" s="16">
        <f t="shared" si="38"/>
        <v>6.4573496734059095</v>
      </c>
      <c r="K497" s="106" t="str">
        <f>VLOOKUP(C497,'RAW DATA 2023'!E:BO,36,0)</f>
        <v>EHP</v>
      </c>
      <c r="L497" s="106">
        <f>VLOOKUP(C497,'RAW DATA 2023'!E:BO,21,0)</f>
        <v>10.295639999999999</v>
      </c>
      <c r="M497" s="106">
        <f t="shared" si="39"/>
        <v>66.482547591504812</v>
      </c>
    </row>
    <row r="498" spans="1:13">
      <c r="A498" t="str">
        <f>'RAW DATA 2023'!B491</f>
        <v>Bo Thong</v>
      </c>
      <c r="B498" t="str">
        <f>'RAW DATA 2023'!D491</f>
        <v>B1-015-0013</v>
      </c>
      <c r="C498" t="str">
        <f t="shared" si="36"/>
        <v>Bo ThongB1-015-0013</v>
      </c>
      <c r="D498">
        <f>VLOOKUP(C498,'RAW DATA 2023'!E:BP,63,0)</f>
        <v>7</v>
      </c>
      <c r="E498" t="str">
        <f t="shared" si="37"/>
        <v>Bo Thong7</v>
      </c>
      <c r="F498">
        <f>ROUND(VLOOKUP(C498,'RAW DATA 2023'!E:BO,23,0),0)</f>
        <v>40</v>
      </c>
      <c r="G498" s="16">
        <f>VLOOKUP(C498,'RAW DATA 2023'!E:BO,27,0)</f>
        <v>2.3113662584409407</v>
      </c>
      <c r="H498" s="16">
        <f>IFERROR(VLOOKUP(F498,STD!B:G,5,0),0)</f>
        <v>1.63</v>
      </c>
      <c r="I498" s="21">
        <f t="shared" si="40"/>
        <v>0.7052106060851927</v>
      </c>
      <c r="J498" s="16">
        <f t="shared" si="38"/>
        <v>4.1042121217038545</v>
      </c>
      <c r="K498" s="106" t="str">
        <f>VLOOKUP(C498,'RAW DATA 2023'!E:BO,36,0)</f>
        <v>อัตรารอดต่ำ</v>
      </c>
      <c r="L498" s="106">
        <f>VLOOKUP(C498,'RAW DATA 2023'!E:BO,21,0)</f>
        <v>27.562060000000002</v>
      </c>
      <c r="M498" s="106">
        <f t="shared" si="39"/>
        <v>113.12054075112896</v>
      </c>
    </row>
    <row r="499" spans="1:13">
      <c r="A499" t="str">
        <f>'RAW DATA 2023'!B492</f>
        <v>Bo Thong</v>
      </c>
      <c r="B499" t="str">
        <f>'RAW DATA 2023'!D492</f>
        <v>B1-014-0012</v>
      </c>
      <c r="C499" t="str">
        <f t="shared" si="36"/>
        <v>Bo ThongB1-014-0012</v>
      </c>
      <c r="D499">
        <f>VLOOKUP(C499,'RAW DATA 2023'!E:BP,63,0)</f>
        <v>6</v>
      </c>
      <c r="E499" t="str">
        <f t="shared" si="37"/>
        <v>Bo Thong6</v>
      </c>
      <c r="F499">
        <f>ROUND(VLOOKUP(C499,'RAW DATA 2023'!E:BO,23,0),0)</f>
        <v>39</v>
      </c>
      <c r="G499" s="16">
        <f>VLOOKUP(C499,'RAW DATA 2023'!E:BO,27,0)</f>
        <v>2.0652139763163753</v>
      </c>
      <c r="H499" s="16">
        <f>IFERROR(VLOOKUP(F499,STD!B:G,5,0),0)</f>
        <v>1.64</v>
      </c>
      <c r="I499" s="21">
        <f t="shared" si="40"/>
        <v>0.79410657627118642</v>
      </c>
      <c r="J499" s="16">
        <f t="shared" si="38"/>
        <v>5.8821315254237287</v>
      </c>
      <c r="K499" s="106" t="str">
        <f>VLOOKUP(C499,'RAW DATA 2023'!E:BO,36,0)</f>
        <v>Normal</v>
      </c>
      <c r="L499" s="106">
        <f>VLOOKUP(C499,'RAW DATA 2023'!E:BO,21,0)</f>
        <v>30.03856</v>
      </c>
      <c r="M499" s="106">
        <f t="shared" si="39"/>
        <v>176.69076075433222</v>
      </c>
    </row>
    <row r="500" spans="1:13">
      <c r="A500" t="str">
        <f>'RAW DATA 2023'!B493</f>
        <v>Bo Thong</v>
      </c>
      <c r="B500" t="str">
        <f>'RAW DATA 2023'!D493</f>
        <v>B1-013-0013</v>
      </c>
      <c r="C500" t="str">
        <f t="shared" si="36"/>
        <v>Bo ThongB1-013-0013</v>
      </c>
      <c r="D500">
        <f>VLOOKUP(C500,'RAW DATA 2023'!E:BP,63,0)</f>
        <v>6</v>
      </c>
      <c r="E500" t="str">
        <f t="shared" si="37"/>
        <v>Bo Thong6</v>
      </c>
      <c r="F500">
        <f>ROUND(VLOOKUP(C500,'RAW DATA 2023'!E:BO,23,0),0)</f>
        <v>45</v>
      </c>
      <c r="G500" s="16">
        <f>VLOOKUP(C500,'RAW DATA 2023'!E:BO,27,0)</f>
        <v>2.4188190757727934</v>
      </c>
      <c r="H500" s="16">
        <f>IFERROR(VLOOKUP(F500,STD!B:G,5,0),0)</f>
        <v>1.55</v>
      </c>
      <c r="I500" s="21">
        <f t="shared" si="40"/>
        <v>0.64080857287963444</v>
      </c>
      <c r="J500" s="16">
        <f t="shared" si="38"/>
        <v>2.8161714575926888</v>
      </c>
      <c r="K500" s="106" t="str">
        <f>VLOOKUP(C500,'RAW DATA 2023'!E:BO,36,0)</f>
        <v>Melanization</v>
      </c>
      <c r="L500" s="106">
        <f>VLOOKUP(C500,'RAW DATA 2023'!E:BO,21,0)</f>
        <v>21.590479999999999</v>
      </c>
      <c r="M500" s="106">
        <f t="shared" si="39"/>
        <v>60.802493531725794</v>
      </c>
    </row>
    <row r="501" spans="1:13">
      <c r="A501" t="str">
        <f>'RAW DATA 2023'!B494</f>
        <v>Bo Thong</v>
      </c>
      <c r="B501" t="str">
        <f>'RAW DATA 2023'!D494</f>
        <v>B1-014-0011</v>
      </c>
      <c r="C501" t="str">
        <f t="shared" si="36"/>
        <v>Bo ThongB1-014-0011</v>
      </c>
      <c r="D501">
        <f>VLOOKUP(C501,'RAW DATA 2023'!E:BP,63,0)</f>
        <v>3</v>
      </c>
      <c r="E501" t="str">
        <f t="shared" si="37"/>
        <v>Bo Thong3</v>
      </c>
      <c r="F501">
        <f>ROUND(VLOOKUP(C501,'RAW DATA 2023'!E:BO,23,0),0)</f>
        <v>24</v>
      </c>
      <c r="G501" s="16">
        <f>VLOOKUP(C501,'RAW DATA 2023'!E:BO,27,0)</f>
        <v>1.9233563851157862</v>
      </c>
      <c r="H501" s="16">
        <f>IFERROR(VLOOKUP(F501,STD!B:G,5,0),0)</f>
        <v>2.08</v>
      </c>
      <c r="I501" s="21">
        <f t="shared" si="40"/>
        <v>1.0814428444444444</v>
      </c>
      <c r="J501" s="16">
        <f t="shared" si="38"/>
        <v>11.628856888888887</v>
      </c>
      <c r="K501" s="106" t="str">
        <f>VLOOKUP(C501,'RAW DATA 2023'!E:BO,36,0)</f>
        <v>Normal</v>
      </c>
      <c r="L501" s="106">
        <f>VLOOKUP(C501,'RAW DATA 2023'!E:BO,21,0)</f>
        <v>23.648599999999998</v>
      </c>
      <c r="M501" s="106">
        <f t="shared" si="39"/>
        <v>275.00618502257771</v>
      </c>
    </row>
    <row r="502" spans="1:13">
      <c r="A502" t="str">
        <f>'RAW DATA 2023'!B495</f>
        <v>Bo Thong</v>
      </c>
      <c r="B502" t="str">
        <f>'RAW DATA 2023'!D495</f>
        <v>B1-010-0010</v>
      </c>
      <c r="C502" t="str">
        <f t="shared" si="36"/>
        <v>Bo ThongB1-010-0010</v>
      </c>
      <c r="D502">
        <f>VLOOKUP(C502,'RAW DATA 2023'!E:BP,63,0)</f>
        <v>4</v>
      </c>
      <c r="E502" t="str">
        <f t="shared" si="37"/>
        <v>Bo Thong4</v>
      </c>
      <c r="F502">
        <f>ROUND(VLOOKUP(C502,'RAW DATA 2023'!E:BO,23,0),0)</f>
        <v>33</v>
      </c>
      <c r="G502" s="16">
        <f>VLOOKUP(C502,'RAW DATA 2023'!E:BO,27,0)</f>
        <v>1.9063889341011007</v>
      </c>
      <c r="H502" s="16">
        <f>IFERROR(VLOOKUP(F502,STD!B:G,5,0),0)</f>
        <v>1.8</v>
      </c>
      <c r="I502" s="21">
        <f t="shared" si="40"/>
        <v>0.94419347899159667</v>
      </c>
      <c r="J502" s="16">
        <f t="shared" si="38"/>
        <v>8.8838695798319343</v>
      </c>
      <c r="K502" s="106" t="str">
        <f>VLOOKUP(C502,'RAW DATA 2023'!E:BO,36,0)</f>
        <v>Normal</v>
      </c>
      <c r="L502" s="106">
        <f>VLOOKUP(C502,'RAW DATA 2023'!E:BO,21,0)</f>
        <v>56.293169999999996</v>
      </c>
      <c r="M502" s="106">
        <f t="shared" si="39"/>
        <v>500.10118051530759</v>
      </c>
    </row>
    <row r="503" spans="1:13">
      <c r="A503" t="str">
        <f>'RAW DATA 2023'!B496</f>
        <v>Bo Thong</v>
      </c>
      <c r="B503" t="str">
        <f>'RAW DATA 2023'!D496</f>
        <v>B1-015-0012</v>
      </c>
      <c r="C503" t="str">
        <f t="shared" si="36"/>
        <v>Bo ThongB1-015-0012</v>
      </c>
      <c r="D503">
        <f>VLOOKUP(C503,'RAW DATA 2023'!E:BP,63,0)</f>
        <v>3</v>
      </c>
      <c r="E503" t="str">
        <f t="shared" si="37"/>
        <v>Bo Thong3</v>
      </c>
      <c r="F503">
        <f>ROUND(VLOOKUP(C503,'RAW DATA 2023'!E:BO,23,0),0)</f>
        <v>25</v>
      </c>
      <c r="G503" s="16">
        <f>VLOOKUP(C503,'RAW DATA 2023'!E:BO,27,0)</f>
        <v>1.895691093057877</v>
      </c>
      <c r="H503" s="16">
        <f>IFERROR(VLOOKUP(F503,STD!B:G,5,0),0)</f>
        <v>2.04</v>
      </c>
      <c r="I503" s="21">
        <f t="shared" si="40"/>
        <v>1.0761246953528401</v>
      </c>
      <c r="J503" s="16">
        <f t="shared" si="38"/>
        <v>11.522493907056802</v>
      </c>
      <c r="K503" s="106" t="str">
        <f>VLOOKUP(C503,'RAW DATA 2023'!E:BO,36,0)</f>
        <v>Normal</v>
      </c>
      <c r="L503" s="106">
        <f>VLOOKUP(C503,'RAW DATA 2023'!E:BO,21,0)</f>
        <v>23.176130000000001</v>
      </c>
      <c r="M503" s="106">
        <f t="shared" si="39"/>
        <v>267.04681671415636</v>
      </c>
    </row>
    <row r="504" spans="1:13">
      <c r="A504" t="str">
        <f>'RAW DATA 2023'!B497</f>
        <v>Bo Thong</v>
      </c>
      <c r="B504" t="str">
        <f>'RAW DATA 2023'!D497</f>
        <v>B1-011-0012</v>
      </c>
      <c r="C504" t="str">
        <f t="shared" si="36"/>
        <v>Bo ThongB1-011-0012</v>
      </c>
      <c r="D504">
        <f>VLOOKUP(C504,'RAW DATA 2023'!E:BP,63,0)</f>
        <v>3</v>
      </c>
      <c r="E504" t="str">
        <f t="shared" si="37"/>
        <v>Bo Thong3</v>
      </c>
      <c r="F504">
        <f>ROUND(VLOOKUP(C504,'RAW DATA 2023'!E:BO,23,0),0)</f>
        <v>32</v>
      </c>
      <c r="G504" s="16">
        <f>VLOOKUP(C504,'RAW DATA 2023'!E:BO,27,0)</f>
        <v>1.8840506859517738</v>
      </c>
      <c r="H504" s="16">
        <f>IFERROR(VLOOKUP(F504,STD!B:G,5,0),0)</f>
        <v>1.82</v>
      </c>
      <c r="I504" s="21">
        <f t="shared" si="40"/>
        <v>0.96600373523421579</v>
      </c>
      <c r="J504" s="16">
        <f t="shared" si="38"/>
        <v>9.3200747046843162</v>
      </c>
      <c r="K504" s="106" t="str">
        <f>VLOOKUP(C504,'RAW DATA 2023'!E:BO,36,0)</f>
        <v>Normal</v>
      </c>
      <c r="L504" s="106">
        <f>VLOOKUP(C504,'RAW DATA 2023'!E:BO,21,0)</f>
        <v>26.540869999999998</v>
      </c>
      <c r="M504" s="106">
        <f t="shared" si="39"/>
        <v>247.36289112731481</v>
      </c>
    </row>
    <row r="505" spans="1:13">
      <c r="A505" t="str">
        <f>'RAW DATA 2023'!B498</f>
        <v>Bo Thong</v>
      </c>
      <c r="B505" t="str">
        <f>'RAW DATA 2023'!D498</f>
        <v>B1-010-0011</v>
      </c>
      <c r="C505" t="str">
        <f t="shared" si="36"/>
        <v>Bo ThongB1-010-0011</v>
      </c>
      <c r="D505">
        <f>VLOOKUP(C505,'RAW DATA 2023'!E:BP,63,0)</f>
        <v>7</v>
      </c>
      <c r="E505" t="str">
        <f t="shared" si="37"/>
        <v>Bo Thong7</v>
      </c>
      <c r="F505">
        <f>ROUND(VLOOKUP(C505,'RAW DATA 2023'!E:BO,23,0),0)</f>
        <v>57</v>
      </c>
      <c r="G505" s="16">
        <f>VLOOKUP(C505,'RAW DATA 2023'!E:BO,27,0)</f>
        <v>1.6902165118122026</v>
      </c>
      <c r="H505" s="16">
        <f>IFERROR(VLOOKUP(F505,STD!B:G,5,0),0)</f>
        <v>1.43</v>
      </c>
      <c r="I505" s="21">
        <f t="shared" si="40"/>
        <v>0.84604545631067951</v>
      </c>
      <c r="J505" s="16">
        <f t="shared" si="38"/>
        <v>6.9209091262135907</v>
      </c>
      <c r="K505" s="106" t="str">
        <f>VLOOKUP(C505,'RAW DATA 2023'!E:BO,36,0)</f>
        <v>ทยอยตาย</v>
      </c>
      <c r="L505" s="106">
        <f>VLOOKUP(C505,'RAW DATA 2023'!E:BO,21,0)</f>
        <v>40.960749999999997</v>
      </c>
      <c r="M505" s="106">
        <f t="shared" si="39"/>
        <v>283.48562849155331</v>
      </c>
    </row>
    <row r="506" spans="1:13">
      <c r="A506" t="str">
        <f>'RAW DATA 2023'!B499</f>
        <v>Bo Thong</v>
      </c>
      <c r="B506" t="str">
        <f>'RAW DATA 2023'!D499</f>
        <v>B1-013-0012</v>
      </c>
      <c r="C506" t="str">
        <f t="shared" si="36"/>
        <v>Bo ThongB1-013-0012</v>
      </c>
      <c r="D506">
        <f>VLOOKUP(C506,'RAW DATA 2023'!E:BP,63,0)</f>
        <v>3</v>
      </c>
      <c r="E506" t="str">
        <f t="shared" si="37"/>
        <v>Bo Thong3</v>
      </c>
      <c r="F506">
        <f>ROUND(VLOOKUP(C506,'RAW DATA 2023'!E:BO,23,0),0)</f>
        <v>38</v>
      </c>
      <c r="G506" s="16">
        <f>VLOOKUP(C506,'RAW DATA 2023'!E:BO,27,0)</f>
        <v>1.8112809401712338</v>
      </c>
      <c r="H506" s="16">
        <f>IFERROR(VLOOKUP(F506,STD!B:G,5,0),0)</f>
        <v>1.669</v>
      </c>
      <c r="I506" s="21">
        <f t="shared" si="40"/>
        <v>0.92144733761854591</v>
      </c>
      <c r="J506" s="16">
        <f t="shared" si="38"/>
        <v>8.4289467523709192</v>
      </c>
      <c r="K506" s="106" t="str">
        <f>VLOOKUP(C506,'RAW DATA 2023'!E:BO,36,0)</f>
        <v>Normal</v>
      </c>
      <c r="L506" s="106">
        <f>VLOOKUP(C506,'RAW DATA 2023'!E:BO,21,0)</f>
        <v>26.586929999999999</v>
      </c>
      <c r="M506" s="106">
        <f t="shared" si="39"/>
        <v>224.09981727901294</v>
      </c>
    </row>
    <row r="507" spans="1:13">
      <c r="A507" t="str">
        <f>'RAW DATA 2023'!B500</f>
        <v>Bo Thong</v>
      </c>
      <c r="B507" t="str">
        <f>'RAW DATA 2023'!D500</f>
        <v>B1-011-0013</v>
      </c>
      <c r="C507" t="str">
        <f t="shared" si="36"/>
        <v>Bo ThongB1-011-0013</v>
      </c>
      <c r="D507">
        <f>VLOOKUP(C507,'RAW DATA 2023'!E:BP,63,0)</f>
        <v>7</v>
      </c>
      <c r="E507" t="str">
        <f t="shared" si="37"/>
        <v>Bo Thong7</v>
      </c>
      <c r="F507">
        <f>ROUND(VLOOKUP(C507,'RAW DATA 2023'!E:BO,23,0),0)</f>
        <v>52</v>
      </c>
      <c r="G507" s="16">
        <f>VLOOKUP(C507,'RAW DATA 2023'!E:BO,27,0)</f>
        <v>1.6330318807575113</v>
      </c>
      <c r="H507" s="16">
        <f>IFERROR(VLOOKUP(F507,STD!B:G,5,0),0)</f>
        <v>1.47</v>
      </c>
      <c r="I507" s="21">
        <f t="shared" si="40"/>
        <v>0.90016613718411542</v>
      </c>
      <c r="J507" s="16">
        <f t="shared" si="38"/>
        <v>8.0033227436823076</v>
      </c>
      <c r="K507" s="106" t="str">
        <f>VLOOKUP(C507,'RAW DATA 2023'!E:BO,36,0)</f>
        <v>ทยอยตาย</v>
      </c>
      <c r="L507" s="106">
        <f>VLOOKUP(C507,'RAW DATA 2023'!E:BO,21,0)</f>
        <v>30.48405</v>
      </c>
      <c r="M507" s="106">
        <f t="shared" si="39"/>
        <v>243.97369068454864</v>
      </c>
    </row>
    <row r="508" spans="1:13">
      <c r="A508" t="str">
        <f>'RAW DATA 2023'!B501</f>
        <v>Bo Thong</v>
      </c>
      <c r="B508" t="str">
        <f>'RAW DATA 2023'!D501</f>
        <v>BG-001-0012</v>
      </c>
      <c r="C508" t="str">
        <f t="shared" si="36"/>
        <v>Bo ThongBG-001-0012</v>
      </c>
      <c r="D508">
        <f>VLOOKUP(C508,'RAW DATA 2023'!E:BP,63,0)</f>
        <v>7</v>
      </c>
      <c r="E508" t="str">
        <f t="shared" si="37"/>
        <v>Bo Thong7</v>
      </c>
      <c r="F508">
        <f>ROUND(VLOOKUP(C508,'RAW DATA 2023'!E:BO,23,0),0)</f>
        <v>71</v>
      </c>
      <c r="G508" s="16">
        <f>VLOOKUP(C508,'RAW DATA 2023'!E:BO,27,0)</f>
        <v>2.3237658672280683</v>
      </c>
      <c r="H508" s="16">
        <f>IFERROR(VLOOKUP(F508,STD!B:G,5,0),0)</f>
        <v>1.33</v>
      </c>
      <c r="I508" s="21">
        <f t="shared" si="40"/>
        <v>0.57234681804949061</v>
      </c>
      <c r="J508" s="16">
        <f t="shared" si="38"/>
        <v>1.4469363609898123</v>
      </c>
      <c r="K508" s="106" t="str">
        <f>VLOOKUP(C508,'RAW DATA 2023'!E:BO,36,0)</f>
        <v>EHP</v>
      </c>
      <c r="L508" s="106">
        <f>VLOOKUP(C508,'RAW DATA 2023'!E:BO,21,0)</f>
        <v>8.0410199999999996</v>
      </c>
      <c r="M508" s="106">
        <f t="shared" si="39"/>
        <v>11.6348442174463</v>
      </c>
    </row>
    <row r="509" spans="1:13">
      <c r="A509" t="str">
        <f>'RAW DATA 2023'!B502</f>
        <v>Bangsakao</v>
      </c>
      <c r="B509" t="str">
        <f>'RAW DATA 2023'!D502</f>
        <v>DG-005-0025</v>
      </c>
      <c r="C509" t="str">
        <f t="shared" si="36"/>
        <v>BangsakaoDG-005-0025</v>
      </c>
      <c r="D509">
        <f>VLOOKUP(C509,'RAW DATA 2023'!E:BP,63,0)</f>
        <v>5</v>
      </c>
      <c r="E509" t="str">
        <f t="shared" si="37"/>
        <v>Bangsakao5</v>
      </c>
      <c r="F509">
        <f>ROUND(VLOOKUP(C509,'RAW DATA 2023'!E:BO,23,0),0)</f>
        <v>27</v>
      </c>
      <c r="G509" s="16">
        <f>VLOOKUP(C509,'RAW DATA 2023'!E:BO,27,0)</f>
        <v>1.8445862445767061</v>
      </c>
      <c r="H509" s="16">
        <f>IFERROR(VLOOKUP(F509,STD!B:G,5,0),0)</f>
        <v>1.96</v>
      </c>
      <c r="I509" s="21">
        <f t="shared" si="40"/>
        <v>1.0625689125475284</v>
      </c>
      <c r="J509" s="16">
        <f t="shared" si="38"/>
        <v>11.251378250950568</v>
      </c>
      <c r="K509" s="106" t="str">
        <f>VLOOKUP(C509,'RAW DATA 2023'!E:BO,36,0)</f>
        <v>Normal</v>
      </c>
      <c r="L509" s="106">
        <f>VLOOKUP(C509,'RAW DATA 2023'!E:BO,21,0)</f>
        <v>21.881790000000002</v>
      </c>
      <c r="M509" s="106">
        <f t="shared" si="39"/>
        <v>246.20029609786766</v>
      </c>
    </row>
    <row r="510" spans="1:13">
      <c r="A510" t="str">
        <f>'RAW DATA 2023'!B503</f>
        <v>Bangsakao</v>
      </c>
      <c r="B510" t="str">
        <f>'RAW DATA 2023'!D503</f>
        <v>DG-002-0025</v>
      </c>
      <c r="C510" t="str">
        <f t="shared" si="36"/>
        <v>BangsakaoDG-002-0025</v>
      </c>
      <c r="D510">
        <f>VLOOKUP(C510,'RAW DATA 2023'!E:BP,63,0)</f>
        <v>8</v>
      </c>
      <c r="E510" t="str">
        <f t="shared" si="37"/>
        <v>Bangsakao8</v>
      </c>
      <c r="F510">
        <f>ROUND(VLOOKUP(C510,'RAW DATA 2023'!E:BO,23,0),0)</f>
        <v>30</v>
      </c>
      <c r="G510" s="16">
        <f>VLOOKUP(C510,'RAW DATA 2023'!E:BO,27,0)</f>
        <v>2.2154785274708741</v>
      </c>
      <c r="H510" s="16">
        <f>IFERROR(VLOOKUP(F510,STD!B:G,5,0),0)</f>
        <v>1.87</v>
      </c>
      <c r="I510" s="21">
        <f t="shared" si="40"/>
        <v>0.84406144172145858</v>
      </c>
      <c r="J510" s="16">
        <f t="shared" si="38"/>
        <v>6.8812288344291712</v>
      </c>
      <c r="K510" s="106" t="str">
        <f>VLOOKUP(C510,'RAW DATA 2023'!E:BO,36,0)</f>
        <v>Normal</v>
      </c>
      <c r="L510" s="106">
        <f>VLOOKUP(C510,'RAW DATA 2023'!E:BO,21,0)</f>
        <v>19.463540000000002</v>
      </c>
      <c r="M510" s="106">
        <f t="shared" si="39"/>
        <v>133.93307266806556</v>
      </c>
    </row>
    <row r="511" spans="1:13">
      <c r="A511" t="str">
        <f>'RAW DATA 2023'!B504</f>
        <v>Bangsakao</v>
      </c>
      <c r="B511" t="str">
        <f>'RAW DATA 2023'!D504</f>
        <v>DG-004-0023</v>
      </c>
      <c r="C511" t="str">
        <f t="shared" si="36"/>
        <v>BangsakaoDG-004-0023</v>
      </c>
      <c r="D511">
        <f>VLOOKUP(C511,'RAW DATA 2023'!E:BP,63,0)</f>
        <v>6</v>
      </c>
      <c r="E511" t="str">
        <f t="shared" si="37"/>
        <v>Bangsakao6</v>
      </c>
      <c r="F511">
        <f>ROUND(VLOOKUP(C511,'RAW DATA 2023'!E:BO,23,0),0)</f>
        <v>31</v>
      </c>
      <c r="G511" s="16">
        <f>VLOOKUP(C511,'RAW DATA 2023'!E:BO,27,0)</f>
        <v>2.0367967564868894</v>
      </c>
      <c r="H511" s="16">
        <f>IFERROR(VLOOKUP(F511,STD!B:G,5,0),0)</f>
        <v>1.84</v>
      </c>
      <c r="I511" s="21">
        <f t="shared" si="40"/>
        <v>0.90337928619528607</v>
      </c>
      <c r="J511" s="16">
        <f t="shared" si="38"/>
        <v>8.0675857239057223</v>
      </c>
      <c r="K511" s="106" t="str">
        <f>VLOOKUP(C511,'RAW DATA 2023'!E:BO,36,0)</f>
        <v>Normal</v>
      </c>
      <c r="L511" s="106">
        <f>VLOOKUP(C511,'RAW DATA 2023'!E:BO,21,0)</f>
        <v>22.471979999999999</v>
      </c>
      <c r="M511" s="106">
        <f t="shared" si="39"/>
        <v>181.29462503589491</v>
      </c>
    </row>
    <row r="512" spans="1:13">
      <c r="A512" t="str">
        <f>'RAW DATA 2023'!B505</f>
        <v>Bangsakao</v>
      </c>
      <c r="B512" t="str">
        <f>'RAW DATA 2023'!D505</f>
        <v>DG-003-0025</v>
      </c>
      <c r="C512" t="str">
        <f t="shared" si="36"/>
        <v>BangsakaoDG-003-0025</v>
      </c>
      <c r="D512">
        <f>VLOOKUP(C512,'RAW DATA 2023'!E:BP,63,0)</f>
        <v>7</v>
      </c>
      <c r="E512" t="str">
        <f t="shared" si="37"/>
        <v>Bangsakao7</v>
      </c>
      <c r="F512">
        <f>ROUND(VLOOKUP(C512,'RAW DATA 2023'!E:BO,23,0),0)</f>
        <v>32</v>
      </c>
      <c r="G512" s="16">
        <f>VLOOKUP(C512,'RAW DATA 2023'!E:BO,27,0)</f>
        <v>2.1408057334071087</v>
      </c>
      <c r="H512" s="16">
        <f>IFERROR(VLOOKUP(F512,STD!B:G,5,0),0)</f>
        <v>1.82</v>
      </c>
      <c r="I512" s="21">
        <f t="shared" si="40"/>
        <v>0.8501472000000001</v>
      </c>
      <c r="J512" s="16">
        <f t="shared" si="38"/>
        <v>7.0029440000000021</v>
      </c>
      <c r="K512" s="106" t="str">
        <f>VLOOKUP(C512,'RAW DATA 2023'!E:BO,36,0)</f>
        <v>Normal</v>
      </c>
      <c r="L512" s="106">
        <f>VLOOKUP(C512,'RAW DATA 2023'!E:BO,21,0)</f>
        <v>21.80368</v>
      </c>
      <c r="M512" s="106">
        <f t="shared" si="39"/>
        <v>152.68995003392004</v>
      </c>
    </row>
    <row r="513" spans="1:13">
      <c r="A513" t="str">
        <f>'RAW DATA 2023'!B506</f>
        <v>Bangsakao</v>
      </c>
      <c r="B513" t="str">
        <f>'RAW DATA 2023'!D506</f>
        <v>DG-005-0024</v>
      </c>
      <c r="C513" t="str">
        <f t="shared" si="36"/>
        <v>BangsakaoDG-005-0024</v>
      </c>
      <c r="D513">
        <f>VLOOKUP(C513,'RAW DATA 2023'!E:BP,63,0)</f>
        <v>1</v>
      </c>
      <c r="E513" t="str">
        <f t="shared" si="37"/>
        <v>Bangsakao1</v>
      </c>
      <c r="F513">
        <f>ROUND(VLOOKUP(C513,'RAW DATA 2023'!E:BO,23,0),0)</f>
        <v>32</v>
      </c>
      <c r="G513" s="16">
        <f>VLOOKUP(C513,'RAW DATA 2023'!E:BO,27,0)</f>
        <v>1.7783329039196138</v>
      </c>
      <c r="H513" s="16">
        <f>IFERROR(VLOOKUP(F513,STD!B:G,5,0),0)</f>
        <v>1.82</v>
      </c>
      <c r="I513" s="21">
        <f t="shared" si="40"/>
        <v>1.0234304251968505</v>
      </c>
      <c r="J513" s="16">
        <f t="shared" si="38"/>
        <v>10.468608503937009</v>
      </c>
      <c r="K513" s="106" t="str">
        <f>VLOOKUP(C513,'RAW DATA 2023'!E:BO,36,0)</f>
        <v>Normal</v>
      </c>
      <c r="L513" s="106">
        <f>VLOOKUP(C513,'RAW DATA 2023'!E:BO,21,0)</f>
        <v>18.253799999999998</v>
      </c>
      <c r="M513" s="106">
        <f t="shared" si="39"/>
        <v>191.09188590916537</v>
      </c>
    </row>
    <row r="514" spans="1:13">
      <c r="A514" t="str">
        <f>'RAW DATA 2023'!B507</f>
        <v>Bangsakao</v>
      </c>
      <c r="B514" t="str">
        <f>'RAW DATA 2023'!D507</f>
        <v>DG-006-0026</v>
      </c>
      <c r="C514" t="str">
        <f t="shared" si="36"/>
        <v>BangsakaoDG-006-0026</v>
      </c>
      <c r="D514">
        <f>VLOOKUP(C514,'RAW DATA 2023'!E:BP,63,0)</f>
        <v>6</v>
      </c>
      <c r="E514" t="str">
        <f t="shared" si="37"/>
        <v>Bangsakao6</v>
      </c>
      <c r="F514">
        <f>ROUND(VLOOKUP(C514,'RAW DATA 2023'!E:BO,23,0),0)</f>
        <v>42</v>
      </c>
      <c r="G514" s="16">
        <f>VLOOKUP(C514,'RAW DATA 2023'!E:BO,27,0)</f>
        <v>2.0504330106979114</v>
      </c>
      <c r="H514" s="16">
        <f>IFERROR(VLOOKUP(F514,STD!B:G,5,0),0)</f>
        <v>1.6</v>
      </c>
      <c r="I514" s="21">
        <f t="shared" si="40"/>
        <v>0.78032298136645961</v>
      </c>
      <c r="J514" s="16">
        <f t="shared" si="38"/>
        <v>5.6064596273291922</v>
      </c>
      <c r="K514" s="106" t="str">
        <f>VLOOKUP(C514,'RAW DATA 2023'!E:BO,36,0)</f>
        <v>EHP</v>
      </c>
      <c r="L514" s="106">
        <f>VLOOKUP(C514,'RAW DATA 2023'!E:BO,21,0)</f>
        <v>12.182879999999999</v>
      </c>
      <c r="M514" s="106">
        <f t="shared" si="39"/>
        <v>68.302824864596261</v>
      </c>
    </row>
    <row r="515" spans="1:13">
      <c r="A515" t="str">
        <f>'RAW DATA 2023'!B508</f>
        <v>Bangsakao</v>
      </c>
      <c r="B515" t="str">
        <f>'RAW DATA 2023'!D508</f>
        <v>DG-004-0022</v>
      </c>
      <c r="C515" t="str">
        <f t="shared" si="36"/>
        <v>BangsakaoDG-004-0022</v>
      </c>
      <c r="D515">
        <f>VLOOKUP(C515,'RAW DATA 2023'!E:BP,63,0)</f>
        <v>2</v>
      </c>
      <c r="E515" t="str">
        <f t="shared" si="37"/>
        <v>Bangsakao2</v>
      </c>
      <c r="F515">
        <f>ROUND(VLOOKUP(C515,'RAW DATA 2023'!E:BO,23,0),0)</f>
        <v>32</v>
      </c>
      <c r="G515" s="16">
        <f>VLOOKUP(C515,'RAW DATA 2023'!E:BO,27,0)</f>
        <v>1.667647134051206</v>
      </c>
      <c r="H515" s="16">
        <f>IFERROR(VLOOKUP(F515,STD!B:G,5,0),0)</f>
        <v>1.82</v>
      </c>
      <c r="I515" s="21">
        <f t="shared" si="40"/>
        <v>1.0913579754601228</v>
      </c>
      <c r="J515" s="16">
        <f t="shared" si="38"/>
        <v>11.827159509202456</v>
      </c>
      <c r="K515" s="106" t="str">
        <f>VLOOKUP(C515,'RAW DATA 2023'!E:BO,36,0)</f>
        <v>Normal</v>
      </c>
      <c r="L515" s="106">
        <f>VLOOKUP(C515,'RAW DATA 2023'!E:BO,21,0)</f>
        <v>19.7485</v>
      </c>
      <c r="M515" s="106">
        <f t="shared" si="39"/>
        <v>233.5686595674847</v>
      </c>
    </row>
    <row r="516" spans="1:13">
      <c r="A516" t="str">
        <f>'RAW DATA 2023'!B509</f>
        <v>Bangsakao</v>
      </c>
      <c r="B516" t="str">
        <f>'RAW DATA 2023'!D509</f>
        <v>DG-006-0025</v>
      </c>
      <c r="C516" t="str">
        <f t="shared" si="36"/>
        <v>BangsakaoDG-006-0025</v>
      </c>
      <c r="D516">
        <f>VLOOKUP(C516,'RAW DATA 2023'!E:BP,63,0)</f>
        <v>3</v>
      </c>
      <c r="E516" t="str">
        <f t="shared" si="37"/>
        <v>Bangsakao3</v>
      </c>
      <c r="F516">
        <f>ROUND(VLOOKUP(C516,'RAW DATA 2023'!E:BO,23,0),0)</f>
        <v>32</v>
      </c>
      <c r="G516" s="16">
        <f>VLOOKUP(C516,'RAW DATA 2023'!E:BO,27,0)</f>
        <v>1.7905260558866969</v>
      </c>
      <c r="H516" s="16">
        <f>IFERROR(VLOOKUP(F516,STD!B:G,5,0),0)</f>
        <v>1.82</v>
      </c>
      <c r="I516" s="21">
        <f t="shared" si="40"/>
        <v>1.0164610528935907</v>
      </c>
      <c r="J516" s="16">
        <f t="shared" si="38"/>
        <v>10.329221057871813</v>
      </c>
      <c r="K516" s="106" t="str">
        <f>VLOOKUP(C516,'RAW DATA 2023'!E:BO,36,0)</f>
        <v>Normal</v>
      </c>
      <c r="L516" s="106">
        <f>VLOOKUP(C516,'RAW DATA 2023'!E:BO,21,0)</f>
        <v>22.887540000000001</v>
      </c>
      <c r="M516" s="106">
        <f t="shared" si="39"/>
        <v>236.41046013088345</v>
      </c>
    </row>
    <row r="517" spans="1:13">
      <c r="A517" t="str">
        <f>'RAW DATA 2023'!B510</f>
        <v>Bangsakao</v>
      </c>
      <c r="B517" t="str">
        <f>'RAW DATA 2023'!D510</f>
        <v>DG-001-0026</v>
      </c>
      <c r="C517" t="str">
        <f t="shared" si="36"/>
        <v>BangsakaoDG-001-0026</v>
      </c>
      <c r="D517">
        <f>VLOOKUP(C517,'RAW DATA 2023'!E:BP,63,0)</f>
        <v>1</v>
      </c>
      <c r="E517" t="str">
        <f t="shared" si="37"/>
        <v>Bangsakao1</v>
      </c>
      <c r="F517">
        <f>ROUND(VLOOKUP(C517,'RAW DATA 2023'!E:BO,23,0),0)</f>
        <v>34</v>
      </c>
      <c r="G517" s="16">
        <f>VLOOKUP(C517,'RAW DATA 2023'!E:BO,27,0)</f>
        <v>1.5869848165130993</v>
      </c>
      <c r="H517" s="16">
        <f>IFERROR(VLOOKUP(F517,STD!B:G,5,0),0)</f>
        <v>1.77</v>
      </c>
      <c r="I517" s="21">
        <f t="shared" si="40"/>
        <v>1.1153225800162467</v>
      </c>
      <c r="J517" s="16">
        <f t="shared" si="38"/>
        <v>12.306451600324934</v>
      </c>
      <c r="K517" s="106" t="str">
        <f>VLOOKUP(C517,'RAW DATA 2023'!E:BO,36,0)</f>
        <v>Normal</v>
      </c>
      <c r="L517" s="106">
        <f>VLOOKUP(C517,'RAW DATA 2023'!E:BO,21,0)</f>
        <v>19.64798</v>
      </c>
      <c r="M517" s="106">
        <f t="shared" si="39"/>
        <v>241.7969149141523</v>
      </c>
    </row>
    <row r="518" spans="1:13">
      <c r="A518" t="str">
        <f>'RAW DATA 2023'!B511</f>
        <v>Bangsakao</v>
      </c>
      <c r="B518" t="str">
        <f>'RAW DATA 2023'!D511</f>
        <v>DG-003-0024</v>
      </c>
      <c r="C518" t="str">
        <f t="shared" si="36"/>
        <v>BangsakaoDG-003-0024</v>
      </c>
      <c r="D518">
        <f>VLOOKUP(C518,'RAW DATA 2023'!E:BP,63,0)</f>
        <v>2</v>
      </c>
      <c r="E518" t="str">
        <f t="shared" si="37"/>
        <v>Bangsakao2</v>
      </c>
      <c r="F518">
        <f>ROUND(VLOOKUP(C518,'RAW DATA 2023'!E:BO,23,0),0)</f>
        <v>32</v>
      </c>
      <c r="G518" s="16">
        <f>VLOOKUP(C518,'RAW DATA 2023'!E:BO,27,0)</f>
        <v>1.6311546060845419</v>
      </c>
      <c r="H518" s="16">
        <f>IFERROR(VLOOKUP(F518,STD!B:G,5,0),0)</f>
        <v>1.82</v>
      </c>
      <c r="I518" s="21">
        <f t="shared" si="40"/>
        <v>1.1157740616438356</v>
      </c>
      <c r="J518" s="16">
        <f t="shared" si="38"/>
        <v>12.315481232876714</v>
      </c>
      <c r="K518" s="106" t="str">
        <f>VLOOKUP(C518,'RAW DATA 2023'!E:BO,36,0)</f>
        <v>Normal</v>
      </c>
      <c r="L518" s="106">
        <f>VLOOKUP(C518,'RAW DATA 2023'!E:BO,21,0)</f>
        <v>18.021429999999999</v>
      </c>
      <c r="M518" s="106">
        <f t="shared" si="39"/>
        <v>221.94258295460136</v>
      </c>
    </row>
    <row r="519" spans="1:13">
      <c r="A519" t="str">
        <f>'RAW DATA 2023'!B512</f>
        <v>Bangsakao</v>
      </c>
      <c r="B519" t="str">
        <f>'RAW DATA 2023'!D512</f>
        <v>DG-002-0024</v>
      </c>
      <c r="C519" t="str">
        <f t="shared" si="36"/>
        <v>BangsakaoDG-002-0024</v>
      </c>
      <c r="D519">
        <f>VLOOKUP(C519,'RAW DATA 2023'!E:BP,63,0)</f>
        <v>3</v>
      </c>
      <c r="E519" t="str">
        <f t="shared" si="37"/>
        <v>Bangsakao3</v>
      </c>
      <c r="F519">
        <f>ROUND(VLOOKUP(C519,'RAW DATA 2023'!E:BO,23,0),0)</f>
        <v>31</v>
      </c>
      <c r="G519" s="16">
        <f>VLOOKUP(C519,'RAW DATA 2023'!E:BO,27,0)</f>
        <v>1.766098545116658</v>
      </c>
      <c r="H519" s="16">
        <f>IFERROR(VLOOKUP(F519,STD!B:G,5,0),0)</f>
        <v>1.84</v>
      </c>
      <c r="I519" s="21">
        <f t="shared" si="40"/>
        <v>1.0418444684684685</v>
      </c>
      <c r="J519" s="16">
        <f t="shared" si="38"/>
        <v>10.83688936936937</v>
      </c>
      <c r="K519" s="106" t="str">
        <f>VLOOKUP(C519,'RAW DATA 2023'!E:BO,36,0)</f>
        <v>Normal</v>
      </c>
      <c r="L519" s="106">
        <f>VLOOKUP(C519,'RAW DATA 2023'!E:BO,21,0)</f>
        <v>25.500160000000001</v>
      </c>
      <c r="M519" s="106">
        <f t="shared" si="39"/>
        <v>276.34241282121803</v>
      </c>
    </row>
    <row r="520" spans="1:13">
      <c r="A520" t="str">
        <f>'RAW DATA 2023'!B513</f>
        <v>Bangsakao</v>
      </c>
      <c r="B520" t="str">
        <f>'RAW DATA 2023'!D513</f>
        <v>DG-001-0027</v>
      </c>
      <c r="C520" t="str">
        <f t="shared" si="36"/>
        <v>BangsakaoDG-001-0027</v>
      </c>
      <c r="D520">
        <f>VLOOKUP(C520,'RAW DATA 2023'!E:BP,63,0)</f>
        <v>6</v>
      </c>
      <c r="E520" t="str">
        <f t="shared" si="37"/>
        <v>Bangsakao6</v>
      </c>
      <c r="F520">
        <f>ROUND(VLOOKUP(C520,'RAW DATA 2023'!E:BO,23,0),0)</f>
        <v>28</v>
      </c>
      <c r="G520" s="16">
        <f>VLOOKUP(C520,'RAW DATA 2023'!E:BO,27,0)</f>
        <v>2.08187845336154</v>
      </c>
      <c r="H520" s="16">
        <f>IFERROR(VLOOKUP(F520,STD!B:G,5,0),0)</f>
        <v>1.93</v>
      </c>
      <c r="I520" s="21">
        <f t="shared" si="40"/>
        <v>0.92704739649122792</v>
      </c>
      <c r="J520" s="16">
        <f t="shared" si="38"/>
        <v>8.5409479298245579</v>
      </c>
      <c r="K520" s="106" t="str">
        <f>VLOOKUP(C520,'RAW DATA 2023'!E:BO,36,0)</f>
        <v>Normal</v>
      </c>
      <c r="L520" s="106">
        <f>VLOOKUP(C520,'RAW DATA 2023'!E:BO,21,0)</f>
        <v>27.859119999999997</v>
      </c>
      <c r="M520" s="106">
        <f t="shared" si="39"/>
        <v>237.94329329073392</v>
      </c>
    </row>
    <row r="521" spans="1:13">
      <c r="A521" t="str">
        <f>'RAW DATA 2023'!B514</f>
        <v>Bangsakao</v>
      </c>
      <c r="B521" t="str">
        <f>'RAW DATA 2023'!D514</f>
        <v>CG-009-0024</v>
      </c>
      <c r="C521" t="str">
        <f t="shared" si="36"/>
        <v>BangsakaoCG-009-0024</v>
      </c>
      <c r="D521">
        <f>VLOOKUP(C521,'RAW DATA 2023'!E:BP,63,0)</f>
        <v>1</v>
      </c>
      <c r="E521" t="str">
        <f t="shared" si="37"/>
        <v>Bangsakao1</v>
      </c>
      <c r="F521">
        <f>ROUND(VLOOKUP(C521,'RAW DATA 2023'!E:BO,23,0),0)</f>
        <v>35</v>
      </c>
      <c r="G521" s="16">
        <f>VLOOKUP(C521,'RAW DATA 2023'!E:BO,27,0)</f>
        <v>1.7657340271607698</v>
      </c>
      <c r="H521" s="16">
        <f>IFERROR(VLOOKUP(F521,STD!B:G,5,0),0)</f>
        <v>1.75</v>
      </c>
      <c r="I521" s="21">
        <f t="shared" si="40"/>
        <v>0.99108924281984334</v>
      </c>
      <c r="J521" s="16">
        <f t="shared" si="38"/>
        <v>9.8217848563968673</v>
      </c>
      <c r="K521" s="106" t="str">
        <f>VLOOKUP(C521,'RAW DATA 2023'!E:BO,36,0)</f>
        <v>Normal</v>
      </c>
      <c r="L521" s="106">
        <f>VLOOKUP(C521,'RAW DATA 2023'!E:BO,21,0)</f>
        <v>27.353369999999998</v>
      </c>
      <c r="M521" s="106">
        <f t="shared" si="39"/>
        <v>268.65891523742039</v>
      </c>
    </row>
    <row r="522" spans="1:13">
      <c r="A522" t="str">
        <f>'RAW DATA 2023'!B515</f>
        <v>Bangsakao</v>
      </c>
      <c r="B522" t="str">
        <f>'RAW DATA 2023'!D515</f>
        <v>CG-008-0029</v>
      </c>
      <c r="C522" t="str">
        <f t="shared" ref="C522:C585" si="41">A522&amp;B522</f>
        <v>BangsakaoCG-008-0029</v>
      </c>
      <c r="D522">
        <f>VLOOKUP(C522,'RAW DATA 2023'!E:BP,63,0)</f>
        <v>6</v>
      </c>
      <c r="E522" t="str">
        <f t="shared" ref="E522:E585" si="42">A522&amp;D522</f>
        <v>Bangsakao6</v>
      </c>
      <c r="F522">
        <f>ROUND(VLOOKUP(C522,'RAW DATA 2023'!E:BO,23,0),0)</f>
        <v>49</v>
      </c>
      <c r="G522" s="16">
        <f>VLOOKUP(C522,'RAW DATA 2023'!E:BO,27,0)</f>
        <v>1.6429686408610251</v>
      </c>
      <c r="H522" s="16">
        <f>IFERROR(VLOOKUP(F522,STD!B:G,5,0),0)</f>
        <v>1.51</v>
      </c>
      <c r="I522" s="21">
        <f t="shared" si="40"/>
        <v>0.91906805914972267</v>
      </c>
      <c r="J522" s="16">
        <f t="shared" si="38"/>
        <v>8.3813611829944534</v>
      </c>
      <c r="K522" s="106" t="str">
        <f>VLOOKUP(C522,'RAW DATA 2023'!E:BO,36,0)</f>
        <v>EHP</v>
      </c>
      <c r="L522" s="106">
        <f>VLOOKUP(C522,'RAW DATA 2023'!E:BO,21,0)</f>
        <v>17.444099999999999</v>
      </c>
      <c r="M522" s="106">
        <f t="shared" si="39"/>
        <v>146.20530261227353</v>
      </c>
    </row>
    <row r="523" spans="1:13">
      <c r="A523" t="str">
        <f>'RAW DATA 2023'!B516</f>
        <v>Bangsakao</v>
      </c>
      <c r="B523" t="str">
        <f>'RAW DATA 2023'!D516</f>
        <v>CG-004-0025</v>
      </c>
      <c r="C523" t="str">
        <f t="shared" si="41"/>
        <v>BangsakaoCG-004-0025</v>
      </c>
      <c r="D523">
        <f>VLOOKUP(C523,'RAW DATA 2023'!E:BP,63,0)</f>
        <v>4</v>
      </c>
      <c r="E523" t="str">
        <f t="shared" si="42"/>
        <v>Bangsakao4</v>
      </c>
      <c r="F523">
        <f>ROUND(VLOOKUP(C523,'RAW DATA 2023'!E:BO,23,0),0)</f>
        <v>43</v>
      </c>
      <c r="G523" s="16">
        <f>VLOOKUP(C523,'RAW DATA 2023'!E:BO,27,0)</f>
        <v>1.5648615121261533</v>
      </c>
      <c r="H523" s="16">
        <f>IFERROR(VLOOKUP(F523,STD!B:G,5,0),0)</f>
        <v>1.58</v>
      </c>
      <c r="I523" s="21">
        <f t="shared" ref="I523:I586" si="43">IFERROR(H523/G523,0)</f>
        <v>1.0096740112505409</v>
      </c>
      <c r="J523" s="16">
        <f t="shared" ref="J523:J586" si="44">(I523-$B$4)*$B$7</f>
        <v>10.193480225010818</v>
      </c>
      <c r="K523" s="106" t="str">
        <f>VLOOKUP(C523,'RAW DATA 2023'!E:BO,36,0)</f>
        <v>WFD</v>
      </c>
      <c r="L523" s="106">
        <f>VLOOKUP(C523,'RAW DATA 2023'!E:BO,21,0)</f>
        <v>37.729959999999998</v>
      </c>
      <c r="M523" s="106">
        <f t="shared" ref="M523:M586" si="45">J523*L523</f>
        <v>384.59960115044913</v>
      </c>
    </row>
    <row r="524" spans="1:13">
      <c r="A524" t="str">
        <f>'RAW DATA 2023'!B517</f>
        <v>Bangsakao</v>
      </c>
      <c r="B524" t="str">
        <f>'RAW DATA 2023'!D517</f>
        <v>CG-009-0025</v>
      </c>
      <c r="C524" t="str">
        <f t="shared" si="41"/>
        <v>BangsakaoCG-009-0025</v>
      </c>
      <c r="D524">
        <f>VLOOKUP(C524,'RAW DATA 2023'!E:BP,63,0)</f>
        <v>6</v>
      </c>
      <c r="E524" t="str">
        <f t="shared" si="42"/>
        <v>Bangsakao6</v>
      </c>
      <c r="F524">
        <f>ROUND(VLOOKUP(C524,'RAW DATA 2023'!E:BO,23,0),0)</f>
        <v>34</v>
      </c>
      <c r="G524" s="16">
        <f>VLOOKUP(C524,'RAW DATA 2023'!E:BO,27,0)</f>
        <v>2.0243072641129194</v>
      </c>
      <c r="H524" s="16">
        <f>IFERROR(VLOOKUP(F524,STD!B:G,5,0),0)</f>
        <v>1.77</v>
      </c>
      <c r="I524" s="21">
        <f t="shared" si="43"/>
        <v>0.87437318996908286</v>
      </c>
      <c r="J524" s="16">
        <f t="shared" si="44"/>
        <v>7.4874637993816577</v>
      </c>
      <c r="K524" s="106" t="str">
        <f>VLOOKUP(C524,'RAW DATA 2023'!E:BO,36,0)</f>
        <v>Normal</v>
      </c>
      <c r="L524" s="106">
        <f>VLOOKUP(C524,'RAW DATA 2023'!E:BO,21,0)</f>
        <v>36.790570000000002</v>
      </c>
      <c r="M524" s="106">
        <f t="shared" si="45"/>
        <v>275.46806103361683</v>
      </c>
    </row>
    <row r="525" spans="1:13">
      <c r="A525" t="str">
        <f>'RAW DATA 2023'!B518</f>
        <v>Bangsakao</v>
      </c>
      <c r="B525" t="str">
        <f>'RAW DATA 2023'!D518</f>
        <v>CG-008-0030</v>
      </c>
      <c r="C525" t="str">
        <f t="shared" si="41"/>
        <v>BangsakaoCG-008-0030</v>
      </c>
      <c r="D525">
        <f>VLOOKUP(C525,'RAW DATA 2023'!E:BP,63,0)</f>
        <v>12</v>
      </c>
      <c r="E525" t="str">
        <f t="shared" si="42"/>
        <v>Bangsakao12</v>
      </c>
      <c r="F525">
        <f>ROUND(VLOOKUP(C525,'RAW DATA 2023'!E:BO,23,0),0)</f>
        <v>36</v>
      </c>
      <c r="G525" s="16">
        <f>VLOOKUP(C525,'RAW DATA 2023'!E:BO,27,0)</f>
        <v>1.8026093761805577</v>
      </c>
      <c r="H525" s="16">
        <f>IFERROR(VLOOKUP(F525,STD!B:G,5,0),0)</f>
        <v>1.726</v>
      </c>
      <c r="I525" s="21">
        <f t="shared" si="43"/>
        <v>0.9575008445019404</v>
      </c>
      <c r="J525" s="16">
        <f t="shared" si="44"/>
        <v>9.1500168900388079</v>
      </c>
      <c r="K525" s="106" t="str">
        <f>VLOOKUP(C525,'RAW DATA 2023'!E:BO,36,0)</f>
        <v>Normal</v>
      </c>
      <c r="L525" s="106">
        <f>VLOOKUP(C525,'RAW DATA 2023'!E:BO,21,0)</f>
        <v>32.833769999999994</v>
      </c>
      <c r="M525" s="106">
        <f t="shared" si="45"/>
        <v>300.42955006364946</v>
      </c>
    </row>
    <row r="526" spans="1:13">
      <c r="A526" t="str">
        <f>'RAW DATA 2023'!B519</f>
        <v>Bangsakao</v>
      </c>
      <c r="B526" t="str">
        <f>'RAW DATA 2023'!D519</f>
        <v>CG-002-0028</v>
      </c>
      <c r="C526" t="str">
        <f t="shared" si="41"/>
        <v>BangsakaoCG-002-0028</v>
      </c>
      <c r="D526">
        <f>VLOOKUP(C526,'RAW DATA 2023'!E:BP,63,0)</f>
        <v>6</v>
      </c>
      <c r="E526" t="str">
        <f t="shared" si="42"/>
        <v>Bangsakao6</v>
      </c>
      <c r="F526">
        <f>ROUND(VLOOKUP(C526,'RAW DATA 2023'!E:BO,23,0),0)</f>
        <v>41</v>
      </c>
      <c r="G526" s="16">
        <f>VLOOKUP(C526,'RAW DATA 2023'!E:BO,27,0)</f>
        <v>1.5077197996609815</v>
      </c>
      <c r="H526" s="16">
        <f>IFERROR(VLOOKUP(F526,STD!B:G,5,0),0)</f>
        <v>1.61</v>
      </c>
      <c r="I526" s="21">
        <f t="shared" si="43"/>
        <v>1.067837671404207</v>
      </c>
      <c r="J526" s="16">
        <f t="shared" si="44"/>
        <v>11.35675342808414</v>
      </c>
      <c r="K526" s="106" t="str">
        <f>VLOOKUP(C526,'RAW DATA 2023'!E:BO,36,0)</f>
        <v>Normal</v>
      </c>
      <c r="L526" s="106">
        <f>VLOOKUP(C526,'RAW DATA 2023'!E:BO,21,0)</f>
        <v>30.076560000000001</v>
      </c>
      <c r="M526" s="106">
        <f t="shared" si="45"/>
        <v>341.57207588497835</v>
      </c>
    </row>
    <row r="527" spans="1:13">
      <c r="A527" t="str">
        <f>'RAW DATA 2023'!B520</f>
        <v>Bangsakao</v>
      </c>
      <c r="B527" t="str">
        <f>'RAW DATA 2023'!D520</f>
        <v>CG-003-0025</v>
      </c>
      <c r="C527" t="str">
        <f t="shared" si="41"/>
        <v>BangsakaoCG-003-0025</v>
      </c>
      <c r="D527">
        <f>VLOOKUP(C527,'RAW DATA 2023'!E:BP,63,0)</f>
        <v>1</v>
      </c>
      <c r="E527" t="str">
        <f t="shared" si="42"/>
        <v>Bangsakao1</v>
      </c>
      <c r="F527">
        <f>ROUND(VLOOKUP(C527,'RAW DATA 2023'!E:BO,23,0),0)</f>
        <v>40</v>
      </c>
      <c r="G527" s="16">
        <f>VLOOKUP(C527,'RAW DATA 2023'!E:BO,27,0)</f>
        <v>1.7470601689820962</v>
      </c>
      <c r="H527" s="16">
        <f>IFERROR(VLOOKUP(F527,STD!B:G,5,0),0)</f>
        <v>1.63</v>
      </c>
      <c r="I527" s="21">
        <f t="shared" si="43"/>
        <v>0.93299591447368413</v>
      </c>
      <c r="J527" s="16">
        <f t="shared" si="44"/>
        <v>8.6599182894736835</v>
      </c>
      <c r="K527" s="106" t="str">
        <f>VLOOKUP(C527,'RAW DATA 2023'!E:BO,36,0)</f>
        <v>Normal</v>
      </c>
      <c r="L527" s="106">
        <f>VLOOKUP(C527,'RAW DATA 2023'!E:BO,21,0)</f>
        <v>35.66328</v>
      </c>
      <c r="M527" s="106">
        <f t="shared" si="45"/>
        <v>308.84109073462105</v>
      </c>
    </row>
    <row r="528" spans="1:13">
      <c r="A528" t="str">
        <f>'RAW DATA 2023'!B521</f>
        <v>Bangsakao</v>
      </c>
      <c r="B528" t="str">
        <f>'RAW DATA 2023'!D521</f>
        <v>CG-006-0028</v>
      </c>
      <c r="C528" t="str">
        <f t="shared" si="41"/>
        <v>BangsakaoCG-006-0028</v>
      </c>
      <c r="D528">
        <f>VLOOKUP(C528,'RAW DATA 2023'!E:BP,63,0)</f>
        <v>2</v>
      </c>
      <c r="E528" t="str">
        <f t="shared" si="42"/>
        <v>Bangsakao2</v>
      </c>
      <c r="F528">
        <f>ROUND(VLOOKUP(C528,'RAW DATA 2023'!E:BO,23,0),0)</f>
        <v>39</v>
      </c>
      <c r="G528" s="16">
        <f>VLOOKUP(C528,'RAW DATA 2023'!E:BO,27,0)</f>
        <v>1.6231991898842661</v>
      </c>
      <c r="H528" s="16">
        <f>IFERROR(VLOOKUP(F528,STD!B:G,5,0),0)</f>
        <v>1.64</v>
      </c>
      <c r="I528" s="21">
        <f t="shared" si="43"/>
        <v>1.0103504303232997</v>
      </c>
      <c r="J528" s="16">
        <f t="shared" si="44"/>
        <v>10.207008606465994</v>
      </c>
      <c r="K528" s="106" t="str">
        <f>VLOOKUP(C528,'RAW DATA 2023'!E:BO,36,0)</f>
        <v>Normal</v>
      </c>
      <c r="L528" s="106">
        <f>VLOOKUP(C528,'RAW DATA 2023'!E:BO,21,0)</f>
        <v>42.14593</v>
      </c>
      <c r="M528" s="106">
        <f t="shared" si="45"/>
        <v>430.1838702375133</v>
      </c>
    </row>
    <row r="529" spans="1:13">
      <c r="A529" t="str">
        <f>'RAW DATA 2023'!B522</f>
        <v>Bangsakao</v>
      </c>
      <c r="B529" t="str">
        <f>'RAW DATA 2023'!D522</f>
        <v>CG-003-0026</v>
      </c>
      <c r="C529" t="str">
        <f t="shared" si="41"/>
        <v>BangsakaoCG-003-0026</v>
      </c>
      <c r="D529">
        <f>VLOOKUP(C529,'RAW DATA 2023'!E:BP,63,0)</f>
        <v>4</v>
      </c>
      <c r="E529" t="str">
        <f t="shared" si="42"/>
        <v>Bangsakao4</v>
      </c>
      <c r="F529">
        <f>ROUND(VLOOKUP(C529,'RAW DATA 2023'!E:BO,23,0),0)</f>
        <v>55</v>
      </c>
      <c r="G529" s="16">
        <f>VLOOKUP(C529,'RAW DATA 2023'!E:BO,27,0)</f>
        <v>1.4979915390365073</v>
      </c>
      <c r="H529" s="16">
        <f>IFERROR(VLOOKUP(F529,STD!B:G,5,0),0)</f>
        <v>1.44</v>
      </c>
      <c r="I529" s="21">
        <f t="shared" si="43"/>
        <v>0.96128713846153835</v>
      </c>
      <c r="J529" s="16">
        <f t="shared" si="44"/>
        <v>9.2257427692307665</v>
      </c>
      <c r="K529" s="106" t="str">
        <f>VLOOKUP(C529,'RAW DATA 2023'!E:BO,36,0)</f>
        <v>WFD</v>
      </c>
      <c r="L529" s="106">
        <f>VLOOKUP(C529,'RAW DATA 2023'!E:BO,21,0)</f>
        <v>26.844549999999998</v>
      </c>
      <c r="M529" s="106">
        <f t="shared" si="45"/>
        <v>247.66091305575375</v>
      </c>
    </row>
    <row r="530" spans="1:13">
      <c r="A530" t="str">
        <f>'RAW DATA 2023'!B523</f>
        <v>Bangsakao</v>
      </c>
      <c r="B530" t="str">
        <f>'RAW DATA 2023'!D523</f>
        <v>DG-001-0028</v>
      </c>
      <c r="C530" t="str">
        <f t="shared" si="41"/>
        <v>BangsakaoDG-001-0028</v>
      </c>
      <c r="D530">
        <f>VLOOKUP(C530,'RAW DATA 2023'!E:BP,63,0)</f>
        <v>11</v>
      </c>
      <c r="E530" t="str">
        <f t="shared" si="42"/>
        <v>Bangsakao11</v>
      </c>
      <c r="F530">
        <f>ROUND(VLOOKUP(C530,'RAW DATA 2023'!E:BO,23,0),0)</f>
        <v>36</v>
      </c>
      <c r="G530" s="16">
        <f>VLOOKUP(C530,'RAW DATA 2023'!E:BO,27,0)</f>
        <v>1.8698449413768983</v>
      </c>
      <c r="H530" s="16">
        <f>IFERROR(VLOOKUP(F530,STD!B:G,5,0),0)</f>
        <v>1.726</v>
      </c>
      <c r="I530" s="21">
        <f t="shared" si="43"/>
        <v>0.92307119259259263</v>
      </c>
      <c r="J530" s="16">
        <f t="shared" si="44"/>
        <v>8.461423851851853</v>
      </c>
      <c r="K530" s="106" t="str">
        <f>VLOOKUP(C530,'RAW DATA 2023'!E:BO,36,0)</f>
        <v>Normal</v>
      </c>
      <c r="L530" s="106">
        <f>VLOOKUP(C530,'RAW DATA 2023'!E:BO,21,0)</f>
        <v>14.999700000000001</v>
      </c>
      <c r="M530" s="106">
        <f t="shared" si="45"/>
        <v>126.91881935062224</v>
      </c>
    </row>
    <row r="531" spans="1:13">
      <c r="A531" t="str">
        <f>'RAW DATA 2023'!B524</f>
        <v>Bangsakao</v>
      </c>
      <c r="B531" t="str">
        <f>'RAW DATA 2023'!D524</f>
        <v>DG-005-0026</v>
      </c>
      <c r="C531" t="str">
        <f t="shared" si="41"/>
        <v>BangsakaoDG-005-0026</v>
      </c>
      <c r="D531">
        <f>VLOOKUP(C531,'RAW DATA 2023'!E:BP,63,0)</f>
        <v>11</v>
      </c>
      <c r="E531" t="str">
        <f t="shared" si="42"/>
        <v>Bangsakao11</v>
      </c>
      <c r="F531">
        <f>ROUND(VLOOKUP(C531,'RAW DATA 2023'!E:BO,23,0),0)</f>
        <v>36</v>
      </c>
      <c r="G531" s="16">
        <f>VLOOKUP(C531,'RAW DATA 2023'!E:BO,27,0)</f>
        <v>2.1521482288120213</v>
      </c>
      <c r="H531" s="16">
        <f>IFERROR(VLOOKUP(F531,STD!B:G,5,0),0)</f>
        <v>1.726</v>
      </c>
      <c r="I531" s="21">
        <f t="shared" si="43"/>
        <v>0.80198936899097617</v>
      </c>
      <c r="J531" s="16">
        <f t="shared" si="44"/>
        <v>6.0397873798195238</v>
      </c>
      <c r="K531" s="106" t="str">
        <f>VLOOKUP(C531,'RAW DATA 2023'!E:BO,36,0)</f>
        <v>Normal</v>
      </c>
      <c r="L531" s="106">
        <f>VLOOKUP(C531,'RAW DATA 2023'!E:BO,21,0)</f>
        <v>14.560270000000001</v>
      </c>
      <c r="M531" s="106">
        <f t="shared" si="45"/>
        <v>87.940934992764824</v>
      </c>
    </row>
    <row r="532" spans="1:13">
      <c r="A532" t="str">
        <f>'RAW DATA 2023'!B525</f>
        <v>Bangsakao</v>
      </c>
      <c r="B532" t="str">
        <f>'RAW DATA 2023'!D525</f>
        <v>DG-002-0026</v>
      </c>
      <c r="C532" t="str">
        <f t="shared" si="41"/>
        <v>BangsakaoDG-002-0026</v>
      </c>
      <c r="D532">
        <f>VLOOKUP(C532,'RAW DATA 2023'!E:BP,63,0)</f>
        <v>12</v>
      </c>
      <c r="E532" t="str">
        <f t="shared" si="42"/>
        <v>Bangsakao12</v>
      </c>
      <c r="F532">
        <f>ROUND(VLOOKUP(C532,'RAW DATA 2023'!E:BO,23,0),0)</f>
        <v>38</v>
      </c>
      <c r="G532" s="16">
        <f>VLOOKUP(C532,'RAW DATA 2023'!E:BO,27,0)</f>
        <v>2.3801894113422879</v>
      </c>
      <c r="H532" s="16">
        <f>IFERROR(VLOOKUP(F532,STD!B:G,5,0),0)</f>
        <v>1.669</v>
      </c>
      <c r="I532" s="21">
        <f t="shared" si="43"/>
        <v>0.70120469910786698</v>
      </c>
      <c r="J532" s="16">
        <f t="shared" si="44"/>
        <v>4.0240939821573392</v>
      </c>
      <c r="K532" s="106" t="str">
        <f>VLOOKUP(C532,'RAW DATA 2023'!E:BO,36,0)</f>
        <v>Normal</v>
      </c>
      <c r="L532" s="106">
        <f>VLOOKUP(C532,'RAW DATA 2023'!E:BO,21,0)</f>
        <v>13.286569999999999</v>
      </c>
      <c r="M532" s="106">
        <f t="shared" si="45"/>
        <v>53.466406380512232</v>
      </c>
    </row>
    <row r="533" spans="1:13">
      <c r="A533" t="str">
        <f>'RAW DATA 2023'!B526</f>
        <v>Bangsakao</v>
      </c>
      <c r="B533" t="str">
        <f>'RAW DATA 2023'!D526</f>
        <v>DG-006-0027</v>
      </c>
      <c r="C533" t="str">
        <f t="shared" si="41"/>
        <v>BangsakaoDG-006-0027</v>
      </c>
      <c r="D533">
        <f>VLOOKUP(C533,'RAW DATA 2023'!E:BP,63,0)</f>
        <v>11</v>
      </c>
      <c r="E533" t="str">
        <f t="shared" si="42"/>
        <v>Bangsakao11</v>
      </c>
      <c r="F533">
        <f>ROUND(VLOOKUP(C533,'RAW DATA 2023'!E:BO,23,0),0)</f>
        <v>35</v>
      </c>
      <c r="G533" s="16">
        <f>VLOOKUP(C533,'RAW DATA 2023'!E:BO,27,0)</f>
        <v>2.0036483368739826</v>
      </c>
      <c r="H533" s="16">
        <f>IFERROR(VLOOKUP(F533,STD!B:G,5,0),0)</f>
        <v>1.75</v>
      </c>
      <c r="I533" s="21">
        <f t="shared" si="43"/>
        <v>0.87340675895765463</v>
      </c>
      <c r="J533" s="16">
        <f t="shared" si="44"/>
        <v>7.4681351791530926</v>
      </c>
      <c r="K533" s="106" t="str">
        <f>VLOOKUP(C533,'RAW DATA 2023'!E:BO,36,0)</f>
        <v>Normal</v>
      </c>
      <c r="L533" s="106">
        <f>VLOOKUP(C533,'RAW DATA 2023'!E:BO,21,0)</f>
        <v>15.88205</v>
      </c>
      <c r="M533" s="106">
        <f t="shared" si="45"/>
        <v>118.60929632206837</v>
      </c>
    </row>
    <row r="534" spans="1:13">
      <c r="A534" t="str">
        <f>'RAW DATA 2023'!B527</f>
        <v>Bangsakao</v>
      </c>
      <c r="B534" t="str">
        <f>'RAW DATA 2023'!D527</f>
        <v>CG-006-0031</v>
      </c>
      <c r="C534" t="str">
        <f t="shared" si="41"/>
        <v>BangsakaoCG-006-0031</v>
      </c>
      <c r="D534">
        <f>VLOOKUP(C534,'RAW DATA 2023'!E:BP,63,0)</f>
        <v>12</v>
      </c>
      <c r="E534" t="str">
        <f t="shared" si="42"/>
        <v>Bangsakao12</v>
      </c>
      <c r="F534">
        <f>ROUND(VLOOKUP(C534,'RAW DATA 2023'!E:BO,23,0),0)</f>
        <v>44</v>
      </c>
      <c r="G534" s="16">
        <f>VLOOKUP(C534,'RAW DATA 2023'!E:BO,27,0)</f>
        <v>2.0916656733273702</v>
      </c>
      <c r="H534" s="16">
        <f>IFERROR(VLOOKUP(F534,STD!B:G,5,0),0)</f>
        <v>1.57</v>
      </c>
      <c r="I534" s="21">
        <f t="shared" si="43"/>
        <v>0.75059796602316597</v>
      </c>
      <c r="J534" s="16">
        <f t="shared" si="44"/>
        <v>5.011959320463319</v>
      </c>
      <c r="K534" s="106" t="str">
        <f>VLOOKUP(C534,'RAW DATA 2023'!E:BO,36,0)</f>
        <v>Normal</v>
      </c>
      <c r="L534" s="106">
        <f>VLOOKUP(C534,'RAW DATA 2023'!E:BO,21,0)</f>
        <v>31.556189999999997</v>
      </c>
      <c r="M534" s="106">
        <f t="shared" si="45"/>
        <v>158.15834058881137</v>
      </c>
    </row>
    <row r="535" spans="1:13">
      <c r="A535" t="str">
        <f>'RAW DATA 2023'!B528</f>
        <v>Bangsakao</v>
      </c>
      <c r="B535" t="str">
        <f>'RAW DATA 2023'!D528</f>
        <v>CG-008-0028</v>
      </c>
      <c r="C535" t="str">
        <f t="shared" si="41"/>
        <v>BangsakaoCG-008-0028</v>
      </c>
      <c r="D535">
        <f>VLOOKUP(C535,'RAW DATA 2023'!E:BP,63,0)</f>
        <v>4</v>
      </c>
      <c r="E535" t="str">
        <f t="shared" si="42"/>
        <v>Bangsakao4</v>
      </c>
      <c r="F535">
        <f>ROUND(VLOOKUP(C535,'RAW DATA 2023'!E:BO,23,0),0)</f>
        <v>33</v>
      </c>
      <c r="G535" s="16">
        <f>VLOOKUP(C535,'RAW DATA 2023'!E:BO,27,0)</f>
        <v>1.8487500428782373</v>
      </c>
      <c r="H535" s="16">
        <f>IFERROR(VLOOKUP(F535,STD!B:G,5,0),0)</f>
        <v>1.8</v>
      </c>
      <c r="I535" s="21">
        <f t="shared" si="43"/>
        <v>0.97363080906148869</v>
      </c>
      <c r="J535" s="16">
        <f t="shared" si="44"/>
        <v>9.4726161812297747</v>
      </c>
      <c r="K535" s="106" t="str">
        <f>VLOOKUP(C535,'RAW DATA 2023'!E:BO,36,0)</f>
        <v>Normal</v>
      </c>
      <c r="L535" s="106">
        <f>VLOOKUP(C535,'RAW DATA 2023'!E:BO,21,0)</f>
        <v>38.166489999999996</v>
      </c>
      <c r="M535" s="106">
        <f t="shared" si="45"/>
        <v>361.53651075474437</v>
      </c>
    </row>
    <row r="536" spans="1:13">
      <c r="A536" t="str">
        <f>'RAW DATA 2023'!B529</f>
        <v>Bangsakao</v>
      </c>
      <c r="B536" t="str">
        <f>'RAW DATA 2023'!D529</f>
        <v>CG-002-0027</v>
      </c>
      <c r="C536" t="str">
        <f t="shared" si="41"/>
        <v>BangsakaoCG-002-0027</v>
      </c>
      <c r="D536">
        <f>VLOOKUP(C536,'RAW DATA 2023'!E:BP,63,0)</f>
        <v>3</v>
      </c>
      <c r="E536" t="str">
        <f t="shared" si="42"/>
        <v>Bangsakao3</v>
      </c>
      <c r="F536">
        <f>ROUND(VLOOKUP(C536,'RAW DATA 2023'!E:BO,23,0),0)</f>
        <v>36</v>
      </c>
      <c r="G536" s="16">
        <f>VLOOKUP(C536,'RAW DATA 2023'!E:BO,27,0)</f>
        <v>1.6280439992734714</v>
      </c>
      <c r="H536" s="16">
        <f>IFERROR(VLOOKUP(F536,STD!B:G,5,0),0)</f>
        <v>1.726</v>
      </c>
      <c r="I536" s="21">
        <f t="shared" si="43"/>
        <v>1.0601679074829933</v>
      </c>
      <c r="J536" s="16">
        <f t="shared" si="44"/>
        <v>11.203358149659866</v>
      </c>
      <c r="K536" s="106" t="str">
        <f>VLOOKUP(C536,'RAW DATA 2023'!E:BO,36,0)</f>
        <v>Normal</v>
      </c>
      <c r="L536" s="106">
        <f>VLOOKUP(C536,'RAW DATA 2023'!E:BO,21,0)</f>
        <v>34.349650000000004</v>
      </c>
      <c r="M536" s="106">
        <f t="shared" si="45"/>
        <v>384.83143126546406</v>
      </c>
    </row>
    <row r="537" spans="1:13">
      <c r="A537" t="str">
        <f>'RAW DATA 2023'!B530</f>
        <v>Bangsakao</v>
      </c>
      <c r="B537" t="str">
        <f>'RAW DATA 2023'!D530</f>
        <v>CG-007-0024</v>
      </c>
      <c r="C537" t="str">
        <f t="shared" si="41"/>
        <v>BangsakaoCG-007-0024</v>
      </c>
      <c r="D537">
        <f>VLOOKUP(C537,'RAW DATA 2023'!E:BP,63,0)</f>
        <v>3</v>
      </c>
      <c r="E537" t="str">
        <f t="shared" si="42"/>
        <v>Bangsakao3</v>
      </c>
      <c r="F537">
        <f>ROUND(VLOOKUP(C537,'RAW DATA 2023'!E:BO,23,0),0)</f>
        <v>36</v>
      </c>
      <c r="G537" s="16">
        <f>VLOOKUP(C537,'RAW DATA 2023'!E:BO,27,0)</f>
        <v>1.5371864649688418</v>
      </c>
      <c r="H537" s="16">
        <f>IFERROR(VLOOKUP(F537,STD!B:G,5,0),0)</f>
        <v>1.726</v>
      </c>
      <c r="I537" s="21">
        <f t="shared" si="43"/>
        <v>1.122830599497235</v>
      </c>
      <c r="J537" s="16">
        <f t="shared" si="44"/>
        <v>12.456611989944699</v>
      </c>
      <c r="K537" s="106" t="str">
        <f>VLOOKUP(C537,'RAW DATA 2023'!E:BO,36,0)</f>
        <v>Normal</v>
      </c>
      <c r="L537" s="106">
        <f>VLOOKUP(C537,'RAW DATA 2023'!E:BO,21,0)</f>
        <v>32.837980000000002</v>
      </c>
      <c r="M537" s="106">
        <f t="shared" si="45"/>
        <v>409.04997539356424</v>
      </c>
    </row>
    <row r="538" spans="1:13">
      <c r="A538" t="str">
        <f>'RAW DATA 2023'!B531</f>
        <v>Bangsakao</v>
      </c>
      <c r="B538" t="str">
        <f>'RAW DATA 2023'!D531</f>
        <v>CG-007-0025</v>
      </c>
      <c r="C538" t="str">
        <f t="shared" si="41"/>
        <v>BangsakaoCG-007-0025</v>
      </c>
      <c r="D538">
        <f>VLOOKUP(C538,'RAW DATA 2023'!E:BP,63,0)</f>
        <v>6</v>
      </c>
      <c r="E538" t="str">
        <f t="shared" si="42"/>
        <v>Bangsakao6</v>
      </c>
      <c r="F538">
        <f>ROUND(VLOOKUP(C538,'RAW DATA 2023'!E:BO,23,0),0)</f>
        <v>73</v>
      </c>
      <c r="G538" s="16">
        <f>VLOOKUP(C538,'RAW DATA 2023'!E:BO,27,0)</f>
        <v>1.5937970420462018</v>
      </c>
      <c r="H538" s="16">
        <f>IFERROR(VLOOKUP(F538,STD!B:G,5,0),0)</f>
        <v>1.32</v>
      </c>
      <c r="I538" s="21">
        <f t="shared" si="43"/>
        <v>0.82821084816753932</v>
      </c>
      <c r="J538" s="16">
        <f t="shared" si="44"/>
        <v>6.5642169633507859</v>
      </c>
      <c r="K538" s="106" t="str">
        <f>VLOOKUP(C538,'RAW DATA 2023'!E:BO,36,0)</f>
        <v>EHP</v>
      </c>
      <c r="L538" s="106">
        <f>VLOOKUP(C538,'RAW DATA 2023'!E:BO,21,0)</f>
        <v>12.613959999999999</v>
      </c>
      <c r="M538" s="106">
        <f t="shared" si="45"/>
        <v>82.800770207028265</v>
      </c>
    </row>
    <row r="539" spans="1:13">
      <c r="A539" t="str">
        <f>'RAW DATA 2023'!B532</f>
        <v>Bangsakao</v>
      </c>
      <c r="B539" t="str">
        <f>'RAW DATA 2023'!D532</f>
        <v>DG-004-0024</v>
      </c>
      <c r="C539" t="str">
        <f t="shared" si="41"/>
        <v>BangsakaoDG-004-0024</v>
      </c>
      <c r="D539">
        <f>VLOOKUP(C539,'RAW DATA 2023'!E:BP,63,0)</f>
        <v>12</v>
      </c>
      <c r="E539" t="str">
        <f t="shared" si="42"/>
        <v>Bangsakao12</v>
      </c>
      <c r="F539">
        <f>ROUND(VLOOKUP(C539,'RAW DATA 2023'!E:BO,23,0),0)</f>
        <v>40</v>
      </c>
      <c r="G539" s="16">
        <f>VLOOKUP(C539,'RAW DATA 2023'!E:BO,27,0)</f>
        <v>2.2711440232879614</v>
      </c>
      <c r="H539" s="16">
        <f>IFERROR(VLOOKUP(F539,STD!B:G,5,0),0)</f>
        <v>1.63</v>
      </c>
      <c r="I539" s="21">
        <f t="shared" si="43"/>
        <v>0.71769997115384609</v>
      </c>
      <c r="J539" s="16">
        <f t="shared" si="44"/>
        <v>4.3539994230769219</v>
      </c>
      <c r="K539" s="106" t="str">
        <f>VLOOKUP(C539,'RAW DATA 2023'!E:BO,36,0)</f>
        <v>Normal</v>
      </c>
      <c r="L539" s="106">
        <f>VLOOKUP(C539,'RAW DATA 2023'!E:BO,21,0)</f>
        <v>14.241569999999999</v>
      </c>
      <c r="M539" s="106">
        <f t="shared" si="45"/>
        <v>62.007787563709599</v>
      </c>
    </row>
    <row r="540" spans="1:13">
      <c r="A540" t="str">
        <f>'RAW DATA 2023'!B533</f>
        <v>Bangsakao</v>
      </c>
      <c r="B540" t="str">
        <f>'RAW DATA 2023'!D533</f>
        <v>DG-003-0026</v>
      </c>
      <c r="C540" t="str">
        <f t="shared" si="41"/>
        <v>BangsakaoDG-003-0026</v>
      </c>
      <c r="D540">
        <f>VLOOKUP(C540,'RAW DATA 2023'!E:BP,63,0)</f>
        <v>12</v>
      </c>
      <c r="E540" t="str">
        <f t="shared" si="42"/>
        <v>Bangsakao12</v>
      </c>
      <c r="F540">
        <f>ROUND(VLOOKUP(C540,'RAW DATA 2023'!E:BO,23,0),0)</f>
        <v>42</v>
      </c>
      <c r="G540" s="16">
        <f>VLOOKUP(C540,'RAW DATA 2023'!E:BO,27,0)</f>
        <v>2.3480130753302348</v>
      </c>
      <c r="H540" s="16">
        <f>IFERROR(VLOOKUP(F540,STD!B:G,5,0),0)</f>
        <v>1.6</v>
      </c>
      <c r="I540" s="21">
        <f t="shared" si="43"/>
        <v>0.68142721044045684</v>
      </c>
      <c r="J540" s="16">
        <f t="shared" si="44"/>
        <v>3.6285442088091369</v>
      </c>
      <c r="K540" s="106" t="str">
        <f>VLOOKUP(C540,'RAW DATA 2023'!E:BO,36,0)</f>
        <v>Normal</v>
      </c>
      <c r="L540" s="106">
        <f>VLOOKUP(C540,'RAW DATA 2023'!E:BO,21,0)</f>
        <v>13.61359</v>
      </c>
      <c r="M540" s="106">
        <f t="shared" si="45"/>
        <v>49.397513155601978</v>
      </c>
    </row>
    <row r="541" spans="1:13">
      <c r="A541" t="str">
        <f>'RAW DATA 2023'!B534</f>
        <v>Bangsakao</v>
      </c>
      <c r="B541" t="str">
        <f>'RAW DATA 2023'!D534</f>
        <v>CG-006-0029</v>
      </c>
      <c r="C541" t="str">
        <f t="shared" si="41"/>
        <v>BangsakaoCG-006-0029</v>
      </c>
      <c r="D541">
        <f>VLOOKUP(C541,'RAW DATA 2023'!E:BP,63,0)</f>
        <v>5</v>
      </c>
      <c r="E541" t="str">
        <f t="shared" si="42"/>
        <v>Bangsakao5</v>
      </c>
      <c r="F541">
        <f>ROUND(VLOOKUP(C541,'RAW DATA 2023'!E:BO,23,0),0)</f>
        <v>61</v>
      </c>
      <c r="G541" s="16">
        <f>VLOOKUP(C541,'RAW DATA 2023'!E:BO,27,0)</f>
        <v>2.1403589104311411</v>
      </c>
      <c r="H541" s="16">
        <f>IFERROR(VLOOKUP(F541,STD!B:G,5,0),0)</f>
        <v>1.4</v>
      </c>
      <c r="I541" s="21">
        <f t="shared" si="43"/>
        <v>0.65409590568060016</v>
      </c>
      <c r="J541" s="16">
        <f t="shared" si="44"/>
        <v>3.0819181136120033</v>
      </c>
      <c r="K541" s="106" t="str">
        <f>VLOOKUP(C541,'RAW DATA 2023'!E:BO,36,0)</f>
        <v>WFD</v>
      </c>
      <c r="L541" s="106">
        <f>VLOOKUP(C541,'RAW DATA 2023'!E:BO,21,0)</f>
        <v>23.295189999999998</v>
      </c>
      <c r="M541" s="106">
        <f t="shared" si="45"/>
        <v>71.793868021033191</v>
      </c>
    </row>
    <row r="542" spans="1:13">
      <c r="A542" t="str">
        <f>'RAW DATA 2023'!B535</f>
        <v>Bangsakao</v>
      </c>
      <c r="B542" t="str">
        <f>'RAW DATA 2023'!D535</f>
        <v>CG-009-0026</v>
      </c>
      <c r="C542" t="str">
        <f t="shared" si="41"/>
        <v>BangsakaoCG-009-0026</v>
      </c>
      <c r="D542">
        <f>VLOOKUP(C542,'RAW DATA 2023'!E:BP,63,0)</f>
        <v>12</v>
      </c>
      <c r="E542" t="str">
        <f t="shared" si="42"/>
        <v>Bangsakao12</v>
      </c>
      <c r="F542">
        <f>ROUND(VLOOKUP(C542,'RAW DATA 2023'!E:BO,23,0),0)</f>
        <v>47</v>
      </c>
      <c r="G542" s="16">
        <f>VLOOKUP(C542,'RAW DATA 2023'!E:BO,27,0)</f>
        <v>2.4160997024738364</v>
      </c>
      <c r="H542" s="16">
        <f>IFERROR(VLOOKUP(F542,STD!B:G,5,0),0)</f>
        <v>1.53</v>
      </c>
      <c r="I542" s="21">
        <f t="shared" si="43"/>
        <v>0.63325201291711519</v>
      </c>
      <c r="J542" s="16">
        <f t="shared" si="44"/>
        <v>2.6650402583423038</v>
      </c>
      <c r="K542" s="106" t="str">
        <f>VLOOKUP(C542,'RAW DATA 2023'!E:BO,36,0)</f>
        <v>Normal</v>
      </c>
      <c r="L542" s="106">
        <f>VLOOKUP(C542,'RAW DATA 2023'!E:BO,21,0)</f>
        <v>19.855319999999999</v>
      </c>
      <c r="M542" s="106">
        <f t="shared" si="45"/>
        <v>52.91522714226911</v>
      </c>
    </row>
    <row r="543" spans="1:13">
      <c r="A543" t="str">
        <f>'RAW DATA 2023'!B536</f>
        <v>Bangsakao</v>
      </c>
      <c r="B543" t="str">
        <f>'RAW DATA 2023'!D536</f>
        <v>CG-004-0026</v>
      </c>
      <c r="C543" t="str">
        <f t="shared" si="41"/>
        <v>BangsakaoCG-004-0026</v>
      </c>
      <c r="D543">
        <f>VLOOKUP(C543,'RAW DATA 2023'!E:BP,63,0)</f>
        <v>7</v>
      </c>
      <c r="E543" t="str">
        <f t="shared" si="42"/>
        <v>Bangsakao7</v>
      </c>
      <c r="F543">
        <f>ROUND(VLOOKUP(C543,'RAW DATA 2023'!E:BO,23,0),0)</f>
        <v>139</v>
      </c>
      <c r="G543" s="16">
        <f>VLOOKUP(C543,'RAW DATA 2023'!E:BO,27,0)</f>
        <v>1.333909365049563</v>
      </c>
      <c r="H543" s="16">
        <f>IFERROR(VLOOKUP(F543,STD!B:G,5,0),0)</f>
        <v>1.107</v>
      </c>
      <c r="I543" s="21">
        <f t="shared" si="43"/>
        <v>0.82989146714542184</v>
      </c>
      <c r="J543" s="16">
        <f t="shared" si="44"/>
        <v>6.5978293429084367</v>
      </c>
      <c r="K543" s="106" t="str">
        <f>VLOOKUP(C543,'RAW DATA 2023'!E:BO,36,0)</f>
        <v>EHP</v>
      </c>
      <c r="L543" s="106">
        <f>VLOOKUP(C543,'RAW DATA 2023'!E:BO,21,0)</f>
        <v>11.429</v>
      </c>
      <c r="M543" s="106">
        <f t="shared" si="45"/>
        <v>75.406591560100523</v>
      </c>
    </row>
    <row r="544" spans="1:13">
      <c r="A544" t="str">
        <f>'RAW DATA 2023'!B537</f>
        <v>Bangsakao</v>
      </c>
      <c r="B544" t="str">
        <f>'RAW DATA 2023'!D537</f>
        <v>CG-003-0027</v>
      </c>
      <c r="C544" t="str">
        <f t="shared" si="41"/>
        <v>BangsakaoCG-003-0027</v>
      </c>
      <c r="D544">
        <f>VLOOKUP(C544,'RAW DATA 2023'!E:BP,63,0)</f>
        <v>7</v>
      </c>
      <c r="E544" t="str">
        <f t="shared" si="42"/>
        <v>Bangsakao7</v>
      </c>
      <c r="F544">
        <f>ROUND(VLOOKUP(C544,'RAW DATA 2023'!E:BO,23,0),0)</f>
        <v>139</v>
      </c>
      <c r="G544" s="16">
        <f>VLOOKUP(C544,'RAW DATA 2023'!E:BO,27,0)</f>
        <v>1.1516778389792524</v>
      </c>
      <c r="H544" s="16">
        <f>IFERROR(VLOOKUP(F544,STD!B:G,5,0),0)</f>
        <v>1.107</v>
      </c>
      <c r="I544" s="21">
        <f t="shared" si="43"/>
        <v>0.96120630486486491</v>
      </c>
      <c r="J544" s="16">
        <f t="shared" si="44"/>
        <v>9.2241260972972974</v>
      </c>
      <c r="K544" s="106" t="str">
        <f>VLOOKUP(C544,'RAW DATA 2023'!E:BO,36,0)</f>
        <v>WFD</v>
      </c>
      <c r="L544" s="106">
        <f>VLOOKUP(C544,'RAW DATA 2023'!E:BO,21,0)</f>
        <v>12.821399999999999</v>
      </c>
      <c r="M544" s="106">
        <f t="shared" si="45"/>
        <v>118.26621034388755</v>
      </c>
    </row>
    <row r="545" spans="1:13">
      <c r="A545" t="str">
        <f>'RAW DATA 2023'!B538</f>
        <v>Bangsakao</v>
      </c>
      <c r="B545" t="str">
        <f>'RAW DATA 2023'!D538</f>
        <v>B1-006-0013</v>
      </c>
      <c r="C545" t="str">
        <f t="shared" si="41"/>
        <v>BangsakaoB1-006-0013</v>
      </c>
      <c r="D545">
        <f>VLOOKUP(C545,'RAW DATA 2023'!E:BP,63,0)</f>
        <v>6</v>
      </c>
      <c r="E545" t="str">
        <f t="shared" si="42"/>
        <v>Bangsakao6</v>
      </c>
      <c r="F545">
        <f>ROUND(VLOOKUP(C545,'RAW DATA 2023'!E:BO,23,0),0)</f>
        <v>55</v>
      </c>
      <c r="G545" s="16">
        <f>VLOOKUP(C545,'RAW DATA 2023'!E:BO,27,0)</f>
        <v>1.6713138710652735</v>
      </c>
      <c r="H545" s="16">
        <f>IFERROR(VLOOKUP(F545,STD!B:G,5,0),0)</f>
        <v>1.44</v>
      </c>
      <c r="I545" s="21">
        <f t="shared" si="43"/>
        <v>0.86159758793969854</v>
      </c>
      <c r="J545" s="16">
        <f t="shared" si="44"/>
        <v>7.2319517587939703</v>
      </c>
      <c r="K545" s="106" t="str">
        <f>VLOOKUP(C545,'RAW DATA 2023'!E:BO,36,0)</f>
        <v>EHP</v>
      </c>
      <c r="L545" s="106">
        <f>VLOOKUP(C545,'RAW DATA 2023'!E:BO,21,0)</f>
        <v>31.476849999999999</v>
      </c>
      <c r="M545" s="106">
        <f t="shared" si="45"/>
        <v>227.63906071879398</v>
      </c>
    </row>
    <row r="546" spans="1:13">
      <c r="A546" t="str">
        <f>'RAW DATA 2023'!B539</f>
        <v>Bangsakao</v>
      </c>
      <c r="B546" t="str">
        <f>'RAW DATA 2023'!D539</f>
        <v>B1-003-0010</v>
      </c>
      <c r="C546" t="str">
        <f t="shared" si="41"/>
        <v>BangsakaoB1-003-0010</v>
      </c>
      <c r="D546">
        <f>VLOOKUP(C546,'RAW DATA 2023'!E:BP,63,0)</f>
        <v>3</v>
      </c>
      <c r="E546" t="str">
        <f t="shared" si="42"/>
        <v>Bangsakao3</v>
      </c>
      <c r="F546">
        <f>ROUND(VLOOKUP(C546,'RAW DATA 2023'!E:BO,23,0),0)</f>
        <v>93</v>
      </c>
      <c r="G546" s="16">
        <f>VLOOKUP(C546,'RAW DATA 2023'!E:BO,27,0)</f>
        <v>3.0531267268159716</v>
      </c>
      <c r="H546" s="16">
        <f>IFERROR(VLOOKUP(F546,STD!B:G,5,0),0)</f>
        <v>1.24</v>
      </c>
      <c r="I546" s="21">
        <f t="shared" si="43"/>
        <v>0.40614101901140687</v>
      </c>
      <c r="J546" s="16">
        <f t="shared" si="44"/>
        <v>-1.8771796197718627</v>
      </c>
      <c r="K546" s="106" t="str">
        <f>VLOOKUP(C546,'RAW DATA 2023'!E:BO,36,0)</f>
        <v>WSSV</v>
      </c>
      <c r="L546" s="106">
        <f>VLOOKUP(C546,'RAW DATA 2023'!E:BO,21,0)</f>
        <v>5.1130600000000008</v>
      </c>
      <c r="M546" s="106">
        <f t="shared" si="45"/>
        <v>-9.5981320266707222</v>
      </c>
    </row>
    <row r="547" spans="1:13">
      <c r="A547" t="str">
        <f>'RAW DATA 2023'!B540</f>
        <v>Bangsakao</v>
      </c>
      <c r="B547" t="str">
        <f>'RAW DATA 2023'!D540</f>
        <v>B1-003-0009</v>
      </c>
      <c r="C547" t="str">
        <f t="shared" si="41"/>
        <v>BangsakaoB1-003-0009</v>
      </c>
      <c r="D547">
        <f>VLOOKUP(C547,'RAW DATA 2023'!E:BP,63,0)</f>
        <v>1</v>
      </c>
      <c r="E547" t="str">
        <f t="shared" si="42"/>
        <v>Bangsakao1</v>
      </c>
      <c r="F547">
        <f>ROUND(VLOOKUP(C547,'RAW DATA 2023'!E:BO,23,0),0)</f>
        <v>89</v>
      </c>
      <c r="G547" s="16">
        <f>VLOOKUP(C547,'RAW DATA 2023'!E:BO,27,0)</f>
        <v>2.1268773490600723</v>
      </c>
      <c r="H547" s="16">
        <f>IFERROR(VLOOKUP(F547,STD!B:G,5,0),0)</f>
        <v>1.25</v>
      </c>
      <c r="I547" s="21">
        <f t="shared" si="43"/>
        <v>0.58771607142857141</v>
      </c>
      <c r="J547" s="16">
        <f t="shared" si="44"/>
        <v>1.7543214285714281</v>
      </c>
      <c r="K547" s="106" t="str">
        <f>VLOOKUP(C547,'RAW DATA 2023'!E:BO,36,0)</f>
        <v>WSSV</v>
      </c>
      <c r="L547" s="106">
        <f>VLOOKUP(C547,'RAW DATA 2023'!E:BO,21,0)</f>
        <v>10.263389999999999</v>
      </c>
      <c r="M547" s="106">
        <f t="shared" si="45"/>
        <v>18.005285006785709</v>
      </c>
    </row>
    <row r="548" spans="1:13">
      <c r="A548" t="str">
        <f>'RAW DATA 2023'!B541</f>
        <v>Bangsakao</v>
      </c>
      <c r="B548" t="str">
        <f>'RAW DATA 2023'!D541</f>
        <v>B1-006-0015</v>
      </c>
      <c r="C548" t="str">
        <f t="shared" si="41"/>
        <v>BangsakaoB1-006-0015</v>
      </c>
      <c r="D548">
        <f>VLOOKUP(C548,'RAW DATA 2023'!E:BP,63,0)</f>
        <v>9</v>
      </c>
      <c r="E548" t="str">
        <f t="shared" si="42"/>
        <v>Bangsakao9</v>
      </c>
      <c r="F548">
        <f>ROUND(VLOOKUP(C548,'RAW DATA 2023'!E:BO,23,0),0)</f>
        <v>0</v>
      </c>
      <c r="G548" s="16">
        <f>VLOOKUP(C548,'RAW DATA 2023'!E:BO,27,0)</f>
        <v>0</v>
      </c>
      <c r="H548" s="16">
        <f>IFERROR(VLOOKUP(F548,STD!B:G,5,0),0)</f>
        <v>0</v>
      </c>
      <c r="I548" s="21">
        <f t="shared" si="43"/>
        <v>0</v>
      </c>
      <c r="J548" s="16">
        <f t="shared" si="44"/>
        <v>-10</v>
      </c>
      <c r="K548" s="106" t="str">
        <f>VLOOKUP(C548,'RAW DATA 2023'!E:BO,36,0)</f>
        <v>WSSV</v>
      </c>
      <c r="L548" s="106">
        <f>VLOOKUP(C548,'RAW DATA 2023'!E:BO,21,0)</f>
        <v>0</v>
      </c>
      <c r="M548" s="106">
        <f t="shared" si="45"/>
        <v>0</v>
      </c>
    </row>
    <row r="549" spans="1:13">
      <c r="A549" t="str">
        <f>'RAW DATA 2023'!B542</f>
        <v>Rayong3</v>
      </c>
      <c r="B549" t="str">
        <f>'RAW DATA 2023'!D542</f>
        <v>D1-030-0017</v>
      </c>
      <c r="C549" t="str">
        <f t="shared" si="41"/>
        <v>Rayong3D1-030-0017</v>
      </c>
      <c r="D549">
        <f>VLOOKUP(C549,'RAW DATA 2023'!E:BP,63,0)</f>
        <v>8</v>
      </c>
      <c r="E549" t="str">
        <f t="shared" si="42"/>
        <v>Rayong38</v>
      </c>
      <c r="F549">
        <f>ROUND(VLOOKUP(C549,'RAW DATA 2023'!E:BO,23,0),0)</f>
        <v>29</v>
      </c>
      <c r="G549" s="16">
        <f>VLOOKUP(C549,'RAW DATA 2023'!E:BO,27,0)</f>
        <v>1.5823903548010341</v>
      </c>
      <c r="H549" s="16">
        <f>IFERROR(VLOOKUP(F549,STD!B:G,5,0),0)</f>
        <v>1.9</v>
      </c>
      <c r="I549" s="21">
        <f t="shared" si="43"/>
        <v>1.2007151043579896</v>
      </c>
      <c r="J549" s="16">
        <f t="shared" si="44"/>
        <v>14.014302087159791</v>
      </c>
      <c r="K549" s="106" t="str">
        <f>VLOOKUP(C549,'RAW DATA 2023'!E:BO,36,0)</f>
        <v>Normal</v>
      </c>
      <c r="L549" s="106">
        <f>VLOOKUP(C549,'RAW DATA 2023'!E:BO,21,0)</f>
        <v>98.010210000000001</v>
      </c>
      <c r="M549" s="106">
        <f t="shared" si="45"/>
        <v>1373.5446905659694</v>
      </c>
    </row>
    <row r="550" spans="1:13">
      <c r="A550" t="str">
        <f>'RAW DATA 2023'!B543</f>
        <v>Rayong3</v>
      </c>
      <c r="B550" t="str">
        <f>'RAW DATA 2023'!D543</f>
        <v>D1-031-0041</v>
      </c>
      <c r="C550" t="str">
        <f t="shared" si="41"/>
        <v>Rayong3D1-031-0041</v>
      </c>
      <c r="D550">
        <f>VLOOKUP(C550,'RAW DATA 2023'!E:BP,63,0)</f>
        <v>4</v>
      </c>
      <c r="E550" t="str">
        <f t="shared" si="42"/>
        <v>Rayong34</v>
      </c>
      <c r="F550">
        <f>ROUND(VLOOKUP(C550,'RAW DATA 2023'!E:BO,23,0),0)</f>
        <v>26</v>
      </c>
      <c r="G550" s="16">
        <f>VLOOKUP(C550,'RAW DATA 2023'!E:BO,27,0)</f>
        <v>1.8604025498937757</v>
      </c>
      <c r="H550" s="16">
        <f>IFERROR(VLOOKUP(F550,STD!B:G,5,0),0)</f>
        <v>2</v>
      </c>
      <c r="I550" s="21">
        <f t="shared" si="43"/>
        <v>1.0750361528553027</v>
      </c>
      <c r="J550" s="16">
        <f t="shared" si="44"/>
        <v>11.500723057106054</v>
      </c>
      <c r="K550" s="106" t="str">
        <f>VLOOKUP(C550,'RAW DATA 2023'!E:BO,36,0)</f>
        <v>Normal</v>
      </c>
      <c r="L550" s="106">
        <f>VLOOKUP(C550,'RAW DATA 2023'!E:BO,21,0)</f>
        <v>63.309800000000003</v>
      </c>
      <c r="M550" s="106">
        <f t="shared" si="45"/>
        <v>728.10847660077286</v>
      </c>
    </row>
    <row r="551" spans="1:13">
      <c r="A551" t="str">
        <f>'RAW DATA 2023'!B544</f>
        <v>Rayong3</v>
      </c>
      <c r="B551" t="str">
        <f>'RAW DATA 2023'!D544</f>
        <v>D1-047-0011</v>
      </c>
      <c r="C551" t="str">
        <f t="shared" si="41"/>
        <v>Rayong3D1-047-0011</v>
      </c>
      <c r="D551">
        <f>VLOOKUP(C551,'RAW DATA 2023'!E:BP,63,0)</f>
        <v>2</v>
      </c>
      <c r="E551" t="str">
        <f t="shared" si="42"/>
        <v>Rayong32</v>
      </c>
      <c r="F551">
        <f>ROUND(VLOOKUP(C551,'RAW DATA 2023'!E:BO,23,0),0)</f>
        <v>31</v>
      </c>
      <c r="G551" s="16">
        <f>VLOOKUP(C551,'RAW DATA 2023'!E:BO,27,0)</f>
        <v>1.6823270233740848</v>
      </c>
      <c r="H551" s="16">
        <f>IFERROR(VLOOKUP(F551,STD!B:G,5,0),0)</f>
        <v>1.84</v>
      </c>
      <c r="I551" s="21">
        <f t="shared" si="43"/>
        <v>1.0937231432624113</v>
      </c>
      <c r="J551" s="16">
        <f t="shared" si="44"/>
        <v>11.874462865248226</v>
      </c>
      <c r="K551" s="106" t="str">
        <f>VLOOKUP(C551,'RAW DATA 2023'!E:BO,36,0)</f>
        <v>Normal</v>
      </c>
      <c r="L551" s="106">
        <f>VLOOKUP(C551,'RAW DATA 2023'!E:BO,21,0)</f>
        <v>21.19312</v>
      </c>
      <c r="M551" s="106">
        <f t="shared" si="45"/>
        <v>251.65691643874951</v>
      </c>
    </row>
    <row r="552" spans="1:13">
      <c r="A552" t="str">
        <f>'RAW DATA 2023'!B545</f>
        <v>Rayong3</v>
      </c>
      <c r="B552" t="str">
        <f>'RAW DATA 2023'!D545</f>
        <v>D1-046-0011</v>
      </c>
      <c r="C552" t="str">
        <f t="shared" si="41"/>
        <v>Rayong3D1-046-0011</v>
      </c>
      <c r="D552">
        <f>VLOOKUP(C552,'RAW DATA 2023'!E:BP,63,0)</f>
        <v>3</v>
      </c>
      <c r="E552" t="str">
        <f t="shared" si="42"/>
        <v>Rayong33</v>
      </c>
      <c r="F552">
        <f>ROUND(VLOOKUP(C552,'RAW DATA 2023'!E:BO,23,0),0)</f>
        <v>29</v>
      </c>
      <c r="G552" s="16">
        <f>VLOOKUP(C552,'RAW DATA 2023'!E:BO,27,0)</f>
        <v>1.9566941308517076</v>
      </c>
      <c r="H552" s="16">
        <f>IFERROR(VLOOKUP(F552,STD!B:G,5,0),0)</f>
        <v>1.9</v>
      </c>
      <c r="I552" s="21">
        <f t="shared" si="43"/>
        <v>0.97102555276381908</v>
      </c>
      <c r="J552" s="16">
        <f t="shared" si="44"/>
        <v>9.420511055276382</v>
      </c>
      <c r="K552" s="106" t="str">
        <f>VLOOKUP(C552,'RAW DATA 2023'!E:BO,36,0)</f>
        <v>Normal</v>
      </c>
      <c r="L552" s="106">
        <f>VLOOKUP(C552,'RAW DATA 2023'!E:BO,21,0)</f>
        <v>20.550429999999999</v>
      </c>
      <c r="M552" s="106">
        <f t="shared" si="45"/>
        <v>193.5955530056834</v>
      </c>
    </row>
    <row r="553" spans="1:13">
      <c r="A553" t="str">
        <f>'RAW DATA 2023'!B546</f>
        <v>Rayong3</v>
      </c>
      <c r="B553" t="str">
        <f>'RAW DATA 2023'!D546</f>
        <v>D1-030-0016</v>
      </c>
      <c r="C553" t="str">
        <f t="shared" si="41"/>
        <v>Rayong3D1-030-0016</v>
      </c>
      <c r="D553">
        <f>VLOOKUP(C553,'RAW DATA 2023'!E:BP,63,0)</f>
        <v>3</v>
      </c>
      <c r="E553" t="str">
        <f t="shared" si="42"/>
        <v>Rayong33</v>
      </c>
      <c r="F553">
        <f>ROUND(VLOOKUP(C553,'RAW DATA 2023'!E:BO,23,0),0)</f>
        <v>27</v>
      </c>
      <c r="G553" s="16">
        <f>VLOOKUP(C553,'RAW DATA 2023'!E:BO,27,0)</f>
        <v>1.8741588696552856</v>
      </c>
      <c r="H553" s="16">
        <f>IFERROR(VLOOKUP(F553,STD!B:G,5,0),0)</f>
        <v>1.96</v>
      </c>
      <c r="I553" s="21">
        <f t="shared" si="43"/>
        <v>1.0458024833084205</v>
      </c>
      <c r="J553" s="16">
        <f t="shared" si="44"/>
        <v>10.91604966616841</v>
      </c>
      <c r="K553" s="106" t="str">
        <f>VLOOKUP(C553,'RAW DATA 2023'!E:BO,36,0)</f>
        <v>Normal</v>
      </c>
      <c r="L553" s="106">
        <f>VLOOKUP(C553,'RAW DATA 2023'!E:BO,21,0)</f>
        <v>54.518839999999997</v>
      </c>
      <c r="M553" s="106">
        <f t="shared" si="45"/>
        <v>595.13036518188892</v>
      </c>
    </row>
    <row r="554" spans="1:13">
      <c r="A554" t="str">
        <f>'RAW DATA 2023'!B547</f>
        <v>Rayong3</v>
      </c>
      <c r="B554" t="str">
        <f>'RAW DATA 2023'!D547</f>
        <v>D1-031-0042</v>
      </c>
      <c r="C554" t="str">
        <f t="shared" si="41"/>
        <v>Rayong3D1-031-0042</v>
      </c>
      <c r="D554">
        <f>VLOOKUP(C554,'RAW DATA 2023'!E:BP,63,0)</f>
        <v>8</v>
      </c>
      <c r="E554" t="str">
        <f t="shared" si="42"/>
        <v>Rayong38</v>
      </c>
      <c r="F554">
        <f>ROUND(VLOOKUP(C554,'RAW DATA 2023'!E:BO,23,0),0)</f>
        <v>124</v>
      </c>
      <c r="G554" s="16">
        <f>VLOOKUP(C554,'RAW DATA 2023'!E:BO,27,0)</f>
        <v>1.2731077176981693</v>
      </c>
      <c r="H554" s="16">
        <f>IFERROR(VLOOKUP(F554,STD!B:G,5,0),0)</f>
        <v>1.1499999999999999</v>
      </c>
      <c r="I554" s="21">
        <f t="shared" si="43"/>
        <v>0.90330141276595732</v>
      </c>
      <c r="J554" s="16">
        <f t="shared" si="44"/>
        <v>8.0660282553191465</v>
      </c>
      <c r="K554" s="106" t="str">
        <f>VLOOKUP(C554,'RAW DATA 2023'!E:BO,36,0)</f>
        <v>EHP</v>
      </c>
      <c r="L554" s="106">
        <f>VLOOKUP(C554,'RAW DATA 2023'!E:BO,21,0)</f>
        <v>26.010860000000001</v>
      </c>
      <c r="M554" s="106">
        <f t="shared" si="45"/>
        <v>209.80433170515059</v>
      </c>
    </row>
    <row r="555" spans="1:13">
      <c r="A555" t="str">
        <f>'RAW DATA 2023'!B548</f>
        <v>Rayong3</v>
      </c>
      <c r="B555" t="str">
        <f>'RAW DATA 2023'!D548</f>
        <v>C1-016-0037</v>
      </c>
      <c r="C555" t="str">
        <f t="shared" si="41"/>
        <v>Rayong3C1-016-0037</v>
      </c>
      <c r="D555">
        <f>VLOOKUP(C555,'RAW DATA 2023'!E:BP,63,0)</f>
        <v>5</v>
      </c>
      <c r="E555" t="str">
        <f t="shared" si="42"/>
        <v>Rayong35</v>
      </c>
      <c r="F555">
        <f>ROUND(VLOOKUP(C555,'RAW DATA 2023'!E:BO,23,0),0)</f>
        <v>33</v>
      </c>
      <c r="G555" s="16">
        <f>VLOOKUP(C555,'RAW DATA 2023'!E:BO,27,0)</f>
        <v>1.5862399804162626</v>
      </c>
      <c r="H555" s="16">
        <f>IFERROR(VLOOKUP(F555,STD!B:G,5,0),0)</f>
        <v>1.8</v>
      </c>
      <c r="I555" s="21">
        <f t="shared" si="43"/>
        <v>1.134758940779971</v>
      </c>
      <c r="J555" s="16">
        <f t="shared" si="44"/>
        <v>12.695178815599419</v>
      </c>
      <c r="K555" s="106" t="str">
        <f>VLOOKUP(C555,'RAW DATA 2023'!E:BO,36,0)</f>
        <v>Normal</v>
      </c>
      <c r="L555" s="106">
        <f>VLOOKUP(C555,'RAW DATA 2023'!E:BO,21,0)</f>
        <v>100.50542999999999</v>
      </c>
      <c r="M555" s="106">
        <f t="shared" si="45"/>
        <v>1275.9344057887101</v>
      </c>
    </row>
    <row r="556" spans="1:13">
      <c r="A556" t="str">
        <f>'RAW DATA 2023'!B549</f>
        <v>Rayong3</v>
      </c>
      <c r="B556" t="str">
        <f>'RAW DATA 2023'!D549</f>
        <v>C1-005-0001</v>
      </c>
      <c r="C556" t="str">
        <f t="shared" si="41"/>
        <v>Rayong3C1-005-0001</v>
      </c>
      <c r="D556">
        <f>VLOOKUP(C556,'RAW DATA 2023'!E:BP,63,0)</f>
        <v>12</v>
      </c>
      <c r="E556" t="str">
        <f t="shared" si="42"/>
        <v>Rayong312</v>
      </c>
      <c r="F556">
        <f>ROUND(VLOOKUP(C556,'RAW DATA 2023'!E:BO,23,0),0)</f>
        <v>90</v>
      </c>
      <c r="G556" s="16">
        <f>VLOOKUP(C556,'RAW DATA 2023'!E:BO,27,0)</f>
        <v>1.174070847753375</v>
      </c>
      <c r="H556" s="16">
        <f>IFERROR(VLOOKUP(F556,STD!B:G,5,0),0)</f>
        <v>1.25</v>
      </c>
      <c r="I556" s="21">
        <f t="shared" si="43"/>
        <v>1.0646716954022988</v>
      </c>
      <c r="J556" s="16">
        <f t="shared" si="44"/>
        <v>11.293433908045976</v>
      </c>
      <c r="K556" s="106" t="str">
        <f>VLOOKUP(C556,'RAW DATA 2023'!E:BO,36,0)</f>
        <v>EHP</v>
      </c>
      <c r="L556" s="106">
        <f>VLOOKUP(C556,'RAW DATA 2023'!E:BO,21,0)</f>
        <v>31.916460000000001</v>
      </c>
      <c r="M556" s="106">
        <f t="shared" si="45"/>
        <v>360.44643158879308</v>
      </c>
    </row>
    <row r="557" spans="1:13">
      <c r="A557" t="str">
        <f>'RAW DATA 2023'!B550</f>
        <v>Rayong3</v>
      </c>
      <c r="B557" t="str">
        <f>'RAW DATA 2023'!D550</f>
        <v>C1-016-0038</v>
      </c>
      <c r="C557" t="str">
        <f t="shared" si="41"/>
        <v>Rayong3C1-016-0038</v>
      </c>
      <c r="D557">
        <f>VLOOKUP(C557,'RAW DATA 2023'!E:BP,63,0)</f>
        <v>8</v>
      </c>
      <c r="E557" t="str">
        <f t="shared" si="42"/>
        <v>Rayong38</v>
      </c>
      <c r="F557">
        <f>ROUND(VLOOKUP(C557,'RAW DATA 2023'!E:BO,23,0),0)</f>
        <v>97</v>
      </c>
      <c r="G557" s="16">
        <f>VLOOKUP(C557,'RAW DATA 2023'!E:BO,27,0)</f>
        <v>1.2647087468900242</v>
      </c>
      <c r="H557" s="16">
        <f>IFERROR(VLOOKUP(F557,STD!B:G,5,0),0)</f>
        <v>1.22</v>
      </c>
      <c r="I557" s="21">
        <f t="shared" si="43"/>
        <v>0.96464897787734527</v>
      </c>
      <c r="J557" s="16">
        <f t="shared" si="44"/>
        <v>9.2929795575469054</v>
      </c>
      <c r="K557" s="106" t="str">
        <f>VLOOKUP(C557,'RAW DATA 2023'!E:BO,36,0)</f>
        <v>EHP</v>
      </c>
      <c r="L557" s="106">
        <f>VLOOKUP(C557,'RAW DATA 2023'!E:BO,21,0)</f>
        <v>30.574750000000002</v>
      </c>
      <c r="M557" s="106">
        <f t="shared" si="45"/>
        <v>284.13052672710728</v>
      </c>
    </row>
    <row r="558" spans="1:13">
      <c r="A558" t="str">
        <f>'RAW DATA 2023'!B551</f>
        <v>Rayong3</v>
      </c>
      <c r="B558" t="str">
        <f>'RAW DATA 2023'!D551</f>
        <v>A1-042-0009</v>
      </c>
      <c r="C558" t="str">
        <f t="shared" si="41"/>
        <v>Rayong3A1-042-0009</v>
      </c>
      <c r="D558">
        <f>VLOOKUP(C558,'RAW DATA 2023'!E:BP,63,0)</f>
        <v>8</v>
      </c>
      <c r="E558" t="str">
        <f t="shared" si="42"/>
        <v>Rayong38</v>
      </c>
      <c r="F558">
        <f>ROUND(VLOOKUP(C558,'RAW DATA 2023'!E:BO,23,0),0)</f>
        <v>33</v>
      </c>
      <c r="G558" s="16">
        <f>VLOOKUP(C558,'RAW DATA 2023'!E:BO,27,0)</f>
        <v>1.6845847640739606</v>
      </c>
      <c r="H558" s="16">
        <f>IFERROR(VLOOKUP(F558,STD!B:G,5,0),0)</f>
        <v>1.8</v>
      </c>
      <c r="I558" s="21">
        <f t="shared" si="43"/>
        <v>1.0685125725860904</v>
      </c>
      <c r="J558" s="16">
        <f t="shared" si="44"/>
        <v>11.37025145172181</v>
      </c>
      <c r="K558" s="106" t="str">
        <f>VLOOKUP(C558,'RAW DATA 2023'!E:BO,36,0)</f>
        <v>Normal</v>
      </c>
      <c r="L558" s="106">
        <f>VLOOKUP(C558,'RAW DATA 2023'!E:BO,21,0)</f>
        <v>22.678699999999999</v>
      </c>
      <c r="M558" s="106">
        <f t="shared" si="45"/>
        <v>257.86252159816343</v>
      </c>
    </row>
    <row r="559" spans="1:13">
      <c r="A559" t="str">
        <f>'RAW DATA 2023'!B552</f>
        <v>Rayong3</v>
      </c>
      <c r="B559" t="str">
        <f>'RAW DATA 2023'!D552</f>
        <v>A1-005-0028</v>
      </c>
      <c r="C559" t="str">
        <f t="shared" si="41"/>
        <v>Rayong3A1-005-0028</v>
      </c>
      <c r="D559">
        <f>VLOOKUP(C559,'RAW DATA 2023'!E:BP,63,0)</f>
        <v>8</v>
      </c>
      <c r="E559" t="str">
        <f t="shared" si="42"/>
        <v>Rayong38</v>
      </c>
      <c r="F559">
        <f>ROUND(VLOOKUP(C559,'RAW DATA 2023'!E:BO,23,0),0)</f>
        <v>90</v>
      </c>
      <c r="G559" s="16">
        <f>VLOOKUP(C559,'RAW DATA 2023'!E:BO,27,0)</f>
        <v>1.2121417760342528</v>
      </c>
      <c r="H559" s="16">
        <f>IFERROR(VLOOKUP(F559,STD!B:G,5,0),0)</f>
        <v>1.25</v>
      </c>
      <c r="I559" s="21">
        <f t="shared" si="43"/>
        <v>1.0312325049051667</v>
      </c>
      <c r="J559" s="16">
        <f t="shared" si="44"/>
        <v>10.624650098103334</v>
      </c>
      <c r="K559" s="106" t="str">
        <f>VLOOKUP(C559,'RAW DATA 2023'!E:BO,36,0)</f>
        <v>EHP</v>
      </c>
      <c r="L559" s="106">
        <f>VLOOKUP(C559,'RAW DATA 2023'!E:BO,21,0)</f>
        <v>33.330089999999998</v>
      </c>
      <c r="M559" s="106">
        <f t="shared" si="45"/>
        <v>354.12054398829292</v>
      </c>
    </row>
    <row r="560" spans="1:13">
      <c r="A560" t="str">
        <f>'RAW DATA 2023'!B553</f>
        <v>Rayong3</v>
      </c>
      <c r="B560" t="str">
        <f>'RAW DATA 2023'!D553</f>
        <v>A1-023-0031</v>
      </c>
      <c r="C560" t="str">
        <f t="shared" si="41"/>
        <v>Rayong3A1-023-0031</v>
      </c>
      <c r="D560">
        <f>VLOOKUP(C560,'RAW DATA 2023'!E:BP,63,0)</f>
        <v>4</v>
      </c>
      <c r="E560" t="str">
        <f t="shared" si="42"/>
        <v>Rayong34</v>
      </c>
      <c r="F560">
        <f>ROUND(VLOOKUP(C560,'RAW DATA 2023'!E:BO,23,0),0)</f>
        <v>24</v>
      </c>
      <c r="G560" s="16">
        <f>VLOOKUP(C560,'RAW DATA 2023'!E:BO,27,0)</f>
        <v>2.1329738629400095</v>
      </c>
      <c r="H560" s="16">
        <f>IFERROR(VLOOKUP(F560,STD!B:G,5,0),0)</f>
        <v>2.08</v>
      </c>
      <c r="I560" s="21">
        <f t="shared" si="43"/>
        <v>0.97516431689088201</v>
      </c>
      <c r="J560" s="16">
        <f t="shared" si="44"/>
        <v>9.5032863378176398</v>
      </c>
      <c r="K560" s="106" t="str">
        <f>VLOOKUP(C560,'RAW DATA 2023'!E:BO,36,0)</f>
        <v>Normal</v>
      </c>
      <c r="L560" s="106">
        <f>VLOOKUP(C560,'RAW DATA 2023'!E:BO,21,0)</f>
        <v>47.631800000000005</v>
      </c>
      <c r="M560" s="106">
        <f t="shared" si="45"/>
        <v>452.65863418566232</v>
      </c>
    </row>
    <row r="561" spans="1:13">
      <c r="A561" t="str">
        <f>'RAW DATA 2023'!B554</f>
        <v>Rayong3</v>
      </c>
      <c r="B561" t="str">
        <f>'RAW DATA 2023'!D554</f>
        <v>A1-044-0012</v>
      </c>
      <c r="C561" t="str">
        <f t="shared" si="41"/>
        <v>Rayong3A1-044-0012</v>
      </c>
      <c r="D561">
        <f>VLOOKUP(C561,'RAW DATA 2023'!E:BP,63,0)</f>
        <v>3</v>
      </c>
      <c r="E561" t="str">
        <f t="shared" si="42"/>
        <v>Rayong33</v>
      </c>
      <c r="F561">
        <f>ROUND(VLOOKUP(C561,'RAW DATA 2023'!E:BO,23,0),0)</f>
        <v>25</v>
      </c>
      <c r="G561" s="16">
        <f>VLOOKUP(C561,'RAW DATA 2023'!E:BO,27,0)</f>
        <v>2.5848494621615981</v>
      </c>
      <c r="H561" s="16">
        <f>IFERROR(VLOOKUP(F561,STD!B:G,5,0),0)</f>
        <v>2.04</v>
      </c>
      <c r="I561" s="21">
        <f t="shared" si="43"/>
        <v>0.78921423853211015</v>
      </c>
      <c r="J561" s="16">
        <f t="shared" si="44"/>
        <v>5.7842847706422029</v>
      </c>
      <c r="K561" s="106" t="str">
        <f>VLOOKUP(C561,'RAW DATA 2023'!E:BO,36,0)</f>
        <v>Normal</v>
      </c>
      <c r="L561" s="106">
        <f>VLOOKUP(C561,'RAW DATA 2023'!E:BO,21,0)</f>
        <v>14.939080000000001</v>
      </c>
      <c r="M561" s="106">
        <f t="shared" si="45"/>
        <v>86.411892931405518</v>
      </c>
    </row>
    <row r="562" spans="1:13">
      <c r="A562" t="str">
        <f>'RAW DATA 2023'!B555</f>
        <v>Rayong3</v>
      </c>
      <c r="B562" t="str">
        <f>'RAW DATA 2023'!D555</f>
        <v>A1-045-0009</v>
      </c>
      <c r="C562" t="str">
        <f t="shared" si="41"/>
        <v>Rayong3A1-045-0009</v>
      </c>
      <c r="D562">
        <f>VLOOKUP(C562,'RAW DATA 2023'!E:BP,63,0)</f>
        <v>4</v>
      </c>
      <c r="E562" t="str">
        <f t="shared" si="42"/>
        <v>Rayong34</v>
      </c>
      <c r="F562">
        <f>ROUND(VLOOKUP(C562,'RAW DATA 2023'!E:BO,23,0),0)</f>
        <v>25</v>
      </c>
      <c r="G562" s="16">
        <f>VLOOKUP(C562,'RAW DATA 2023'!E:BO,27,0)</f>
        <v>2.7076925448840989</v>
      </c>
      <c r="H562" s="16">
        <f>IFERROR(VLOOKUP(F562,STD!B:G,5,0),0)</f>
        <v>2.04</v>
      </c>
      <c r="I562" s="21">
        <f t="shared" si="43"/>
        <v>0.75340902491103212</v>
      </c>
      <c r="J562" s="16">
        <f t="shared" si="44"/>
        <v>5.0681804982206424</v>
      </c>
      <c r="K562" s="106" t="str">
        <f>VLOOKUP(C562,'RAW DATA 2023'!E:BO,36,0)</f>
        <v>Normal</v>
      </c>
      <c r="L562" s="106">
        <f>VLOOKUP(C562,'RAW DATA 2023'!E:BO,21,0)</f>
        <v>15.716760000000001</v>
      </c>
      <c r="M562" s="106">
        <f t="shared" si="45"/>
        <v>79.655376527214273</v>
      </c>
    </row>
    <row r="563" spans="1:13">
      <c r="A563" t="str">
        <f>'RAW DATA 2023'!B556</f>
        <v>Rayong3</v>
      </c>
      <c r="B563" t="str">
        <f>'RAW DATA 2023'!D556</f>
        <v>A1-043-0009</v>
      </c>
      <c r="C563" t="str">
        <f t="shared" si="41"/>
        <v>Rayong3A1-043-0009</v>
      </c>
      <c r="D563">
        <f>VLOOKUP(C563,'RAW DATA 2023'!E:BP,63,0)</f>
        <v>3</v>
      </c>
      <c r="E563" t="str">
        <f t="shared" si="42"/>
        <v>Rayong33</v>
      </c>
      <c r="F563">
        <f>ROUND(VLOOKUP(C563,'RAW DATA 2023'!E:BO,23,0),0)</f>
        <v>25</v>
      </c>
      <c r="G563" s="16">
        <f>VLOOKUP(C563,'RAW DATA 2023'!E:BO,27,0)</f>
        <v>2.1063190538927485</v>
      </c>
      <c r="H563" s="16">
        <f>IFERROR(VLOOKUP(F563,STD!B:G,5,0),0)</f>
        <v>2.04</v>
      </c>
      <c r="I563" s="21">
        <f t="shared" si="43"/>
        <v>0.96851424110218143</v>
      </c>
      <c r="J563" s="16">
        <f t="shared" si="44"/>
        <v>9.3702848220436294</v>
      </c>
      <c r="K563" s="106" t="str">
        <f>VLOOKUP(C563,'RAW DATA 2023'!E:BO,36,0)</f>
        <v>Normal</v>
      </c>
      <c r="L563" s="106">
        <f>VLOOKUP(C563,'RAW DATA 2023'!E:BO,21,0)</f>
        <v>20.85585</v>
      </c>
      <c r="M563" s="106">
        <f t="shared" si="45"/>
        <v>195.42525470581865</v>
      </c>
    </row>
    <row r="564" spans="1:13">
      <c r="A564" t="str">
        <f>'RAW DATA 2023'!B557</f>
        <v>Lucky2</v>
      </c>
      <c r="B564" t="str">
        <f>'RAW DATA 2023'!D557</f>
        <v>AC-001-0010</v>
      </c>
      <c r="C564" t="str">
        <f t="shared" si="41"/>
        <v>Lucky2AC-001-0010</v>
      </c>
      <c r="D564">
        <f>VLOOKUP(C564,'RAW DATA 2023'!E:BP,63,0)</f>
        <v>7</v>
      </c>
      <c r="E564" t="str">
        <f t="shared" si="42"/>
        <v>Lucky27</v>
      </c>
      <c r="F564">
        <f>ROUND(VLOOKUP(C564,'RAW DATA 2023'!E:BO,23,0),0)</f>
        <v>45</v>
      </c>
      <c r="G564" s="16">
        <f>VLOOKUP(C564,'RAW DATA 2023'!E:BO,27,0)</f>
        <v>1.7634783033182682</v>
      </c>
      <c r="H564" s="16">
        <f>IFERROR(VLOOKUP(F564,STD!B:G,5,0),0)</f>
        <v>1.55</v>
      </c>
      <c r="I564" s="21">
        <f t="shared" si="43"/>
        <v>0.87894475201845446</v>
      </c>
      <c r="J564" s="16">
        <f t="shared" si="44"/>
        <v>7.5788950403690887</v>
      </c>
      <c r="K564" s="106" t="str">
        <f>VLOOKUP(C564,'RAW DATA 2023'!E:BO,36,0)</f>
        <v>Normal</v>
      </c>
      <c r="L564" s="106">
        <f>VLOOKUP(C564,'RAW DATA 2023'!E:BO,21,0)</f>
        <v>3.2082100000000002</v>
      </c>
      <c r="M564" s="106">
        <f t="shared" si="45"/>
        <v>24.314686857462515</v>
      </c>
    </row>
    <row r="565" spans="1:13">
      <c r="A565" t="str">
        <f>'RAW DATA 2023'!B558</f>
        <v>Lucky2</v>
      </c>
      <c r="B565" t="str">
        <f>'RAW DATA 2023'!D558</f>
        <v>AC-001-0009</v>
      </c>
      <c r="C565" t="str">
        <f t="shared" si="41"/>
        <v>Lucky2AC-001-0009</v>
      </c>
      <c r="D565">
        <f>VLOOKUP(C565,'RAW DATA 2023'!E:BP,63,0)</f>
        <v>5</v>
      </c>
      <c r="E565" t="str">
        <f t="shared" si="42"/>
        <v>Lucky25</v>
      </c>
      <c r="F565">
        <f>ROUND(VLOOKUP(C565,'RAW DATA 2023'!E:BO,23,0),0)</f>
        <v>56</v>
      </c>
      <c r="G565" s="16">
        <f>VLOOKUP(C565,'RAW DATA 2023'!E:BO,27,0)</f>
        <v>2.3432628288798432</v>
      </c>
      <c r="H565" s="16">
        <f>IFERROR(VLOOKUP(F565,STD!B:G,5,0),0)</f>
        <v>1.44</v>
      </c>
      <c r="I565" s="21">
        <f t="shared" si="43"/>
        <v>0.61452773553718998</v>
      </c>
      <c r="J565" s="16">
        <f t="shared" si="44"/>
        <v>2.2905547107437996</v>
      </c>
      <c r="K565" s="106" t="str">
        <f>VLOOKUP(C565,'RAW DATA 2023'!E:BO,36,0)</f>
        <v>อัตรารอดต่ำ</v>
      </c>
      <c r="L565" s="106">
        <f>VLOOKUP(C565,'RAW DATA 2023'!E:BO,21,0)</f>
        <v>2.78437</v>
      </c>
      <c r="M565" s="106">
        <f t="shared" si="45"/>
        <v>6.3777518199537129</v>
      </c>
    </row>
    <row r="566" spans="1:13">
      <c r="A566" t="str">
        <f>'RAW DATA 2023'!B559</f>
        <v>Lucky2</v>
      </c>
      <c r="B566" t="str">
        <f>'RAW DATA 2023'!D559</f>
        <v>AC-002-0010</v>
      </c>
      <c r="C566" t="str">
        <f t="shared" si="41"/>
        <v>Lucky2AC-002-0010</v>
      </c>
      <c r="D566">
        <f>VLOOKUP(C566,'RAW DATA 2023'!E:BP,63,0)</f>
        <v>7</v>
      </c>
      <c r="E566" t="str">
        <f t="shared" si="42"/>
        <v>Lucky27</v>
      </c>
      <c r="F566">
        <f>ROUND(VLOOKUP(C566,'RAW DATA 2023'!E:BO,23,0),0)</f>
        <v>53</v>
      </c>
      <c r="G566" s="16">
        <f>VLOOKUP(C566,'RAW DATA 2023'!E:BO,27,0)</f>
        <v>1.5561382747457264</v>
      </c>
      <c r="H566" s="16">
        <f>IFERROR(VLOOKUP(F566,STD!B:G,5,0),0)</f>
        <v>1.46</v>
      </c>
      <c r="I566" s="21">
        <f t="shared" si="43"/>
        <v>0.93821996649916251</v>
      </c>
      <c r="J566" s="16">
        <f t="shared" si="44"/>
        <v>8.7643993299832506</v>
      </c>
      <c r="K566" s="106" t="str">
        <f>VLOOKUP(C566,'RAW DATA 2023'!E:BO,36,0)</f>
        <v>Normal</v>
      </c>
      <c r="L566" s="106">
        <f>VLOOKUP(C566,'RAW DATA 2023'!E:BO,21,0)</f>
        <v>4.0314199999999998</v>
      </c>
      <c r="M566" s="106">
        <f t="shared" si="45"/>
        <v>35.332974746881071</v>
      </c>
    </row>
    <row r="567" spans="1:13">
      <c r="A567" t="str">
        <f>'RAW DATA 2023'!B560</f>
        <v>Lucky2</v>
      </c>
      <c r="B567" t="str">
        <f>'RAW DATA 2023'!D560</f>
        <v>AC-004-0009</v>
      </c>
      <c r="C567" t="str">
        <f t="shared" si="41"/>
        <v>Lucky2AC-004-0009</v>
      </c>
      <c r="D567">
        <f>VLOOKUP(C567,'RAW DATA 2023'!E:BP,63,0)</f>
        <v>5</v>
      </c>
      <c r="E567" t="str">
        <f t="shared" si="42"/>
        <v>Lucky25</v>
      </c>
      <c r="F567">
        <f>ROUND(VLOOKUP(C567,'RAW DATA 2023'!E:BO,23,0),0)</f>
        <v>55</v>
      </c>
      <c r="G567" s="16">
        <f>VLOOKUP(C567,'RAW DATA 2023'!E:BO,27,0)</f>
        <v>3.4561716583173876</v>
      </c>
      <c r="H567" s="16">
        <f>IFERROR(VLOOKUP(F567,STD!B:G,5,0),0)</f>
        <v>1.44</v>
      </c>
      <c r="I567" s="21">
        <f t="shared" si="43"/>
        <v>0.41664597200622078</v>
      </c>
      <c r="J567" s="16">
        <f t="shared" si="44"/>
        <v>-1.6670805598755845</v>
      </c>
      <c r="K567" s="106" t="str">
        <f>VLOOKUP(C567,'RAW DATA 2023'!E:BO,36,0)</f>
        <v>อัตรารอดต่ำ</v>
      </c>
      <c r="L567" s="106">
        <f>VLOOKUP(C567,'RAW DATA 2023'!E:BO,21,0)</f>
        <v>2.0737399999999999</v>
      </c>
      <c r="M567" s="106">
        <f t="shared" si="45"/>
        <v>-3.4570916402363943</v>
      </c>
    </row>
    <row r="568" spans="1:13">
      <c r="A568" t="str">
        <f>'RAW DATA 2023'!B561</f>
        <v>Lucky2</v>
      </c>
      <c r="B568" t="str">
        <f>'RAW DATA 2023'!D561</f>
        <v>AC-004-0008</v>
      </c>
      <c r="C568" t="str">
        <f t="shared" si="41"/>
        <v>Lucky2AC-004-0008</v>
      </c>
      <c r="D568">
        <f>VLOOKUP(C568,'RAW DATA 2023'!E:BP,63,0)</f>
        <v>2</v>
      </c>
      <c r="E568" t="str">
        <f t="shared" si="42"/>
        <v>Lucky22</v>
      </c>
      <c r="F568">
        <f>ROUND(VLOOKUP(C568,'RAW DATA 2023'!E:BO,23,0),0)</f>
        <v>23</v>
      </c>
      <c r="G568" s="16">
        <f>VLOOKUP(C568,'RAW DATA 2023'!E:BO,27,0)</f>
        <v>2.5583661232902379</v>
      </c>
      <c r="H568" s="16">
        <f>IFERROR(VLOOKUP(F568,STD!B:G,5,0),0)</f>
        <v>2.13</v>
      </c>
      <c r="I568" s="21">
        <f t="shared" si="43"/>
        <v>0.83256261901274353</v>
      </c>
      <c r="J568" s="16">
        <f t="shared" si="44"/>
        <v>6.6512523802548706</v>
      </c>
      <c r="K568" s="106" t="str">
        <f>VLOOKUP(C568,'RAW DATA 2023'!E:BO,36,0)</f>
        <v>Normal</v>
      </c>
      <c r="L568" s="106">
        <f>VLOOKUP(C568,'RAW DATA 2023'!E:BO,21,0)</f>
        <v>2.7044999999999999</v>
      </c>
      <c r="M568" s="106">
        <f t="shared" si="45"/>
        <v>17.988312062399299</v>
      </c>
    </row>
    <row r="569" spans="1:13">
      <c r="A569" t="str">
        <f>'RAW DATA 2023'!B562</f>
        <v>Lucky2</v>
      </c>
      <c r="B569" t="str">
        <f>'RAW DATA 2023'!D562</f>
        <v>AC-005-0008</v>
      </c>
      <c r="C569" t="str">
        <f t="shared" si="41"/>
        <v>Lucky2AC-005-0008</v>
      </c>
      <c r="D569">
        <f>VLOOKUP(C569,'RAW DATA 2023'!E:BP,63,0)</f>
        <v>2</v>
      </c>
      <c r="E569" t="str">
        <f t="shared" si="42"/>
        <v>Lucky22</v>
      </c>
      <c r="F569">
        <f>ROUND(VLOOKUP(C569,'RAW DATA 2023'!E:BO,23,0),0)</f>
        <v>40</v>
      </c>
      <c r="G569" s="16">
        <f>VLOOKUP(C569,'RAW DATA 2023'!E:BO,27,0)</f>
        <v>2.4463129109784547</v>
      </c>
      <c r="H569" s="16">
        <f>IFERROR(VLOOKUP(F569,STD!B:G,5,0),0)</f>
        <v>1.63</v>
      </c>
      <c r="I569" s="21">
        <f t="shared" si="43"/>
        <v>0.66630887352348023</v>
      </c>
      <c r="J569" s="16">
        <f t="shared" si="44"/>
        <v>3.3261774704696045</v>
      </c>
      <c r="K569" s="106" t="str">
        <f>VLOOKUP(C569,'RAW DATA 2023'!E:BO,36,0)</f>
        <v>Normal</v>
      </c>
      <c r="L569" s="106">
        <f>VLOOKUP(C569,'RAW DATA 2023'!E:BO,21,0)</f>
        <v>2.8737399999999997</v>
      </c>
      <c r="M569" s="106">
        <f t="shared" si="45"/>
        <v>9.5585692439873213</v>
      </c>
    </row>
    <row r="570" spans="1:13">
      <c r="A570" t="str">
        <f>'RAW DATA 2023'!B563</f>
        <v>Lucky2</v>
      </c>
      <c r="B570" t="str">
        <f>'RAW DATA 2023'!D563</f>
        <v>AC-005-0009</v>
      </c>
      <c r="C570" t="str">
        <f t="shared" si="41"/>
        <v>Lucky2AC-005-0009</v>
      </c>
      <c r="D570">
        <f>VLOOKUP(C570,'RAW DATA 2023'!E:BP,63,0)</f>
        <v>5</v>
      </c>
      <c r="E570" t="str">
        <f t="shared" si="42"/>
        <v>Lucky25</v>
      </c>
      <c r="F570">
        <f>ROUND(VLOOKUP(C570,'RAW DATA 2023'!E:BO,23,0),0)</f>
        <v>55</v>
      </c>
      <c r="G570" s="16">
        <f>VLOOKUP(C570,'RAW DATA 2023'!E:BO,27,0)</f>
        <v>2.7864633653626569</v>
      </c>
      <c r="H570" s="16">
        <f>IFERROR(VLOOKUP(F570,STD!B:G,5,0),0)</f>
        <v>1.44</v>
      </c>
      <c r="I570" s="21">
        <f t="shared" si="43"/>
        <v>0.51678411347517739</v>
      </c>
      <c r="J570" s="16">
        <f t="shared" si="44"/>
        <v>0.33568226950354774</v>
      </c>
      <c r="K570" s="106" t="str">
        <f>VLOOKUP(C570,'RAW DATA 2023'!E:BO,36,0)</f>
        <v>อัตรารอดต่ำ</v>
      </c>
      <c r="L570" s="106">
        <f>VLOOKUP(C570,'RAW DATA 2023'!E:BO,21,0)</f>
        <v>2.6307800000000001</v>
      </c>
      <c r="M570" s="106">
        <f t="shared" si="45"/>
        <v>0.8831062009645434</v>
      </c>
    </row>
    <row r="571" spans="1:13">
      <c r="A571" t="str">
        <f>'RAW DATA 2023'!B564</f>
        <v>Lucky2</v>
      </c>
      <c r="B571" t="str">
        <f>'RAW DATA 2023'!D564</f>
        <v>AC-001-0008</v>
      </c>
      <c r="C571" t="str">
        <f t="shared" si="41"/>
        <v>Lucky2AC-001-0008</v>
      </c>
      <c r="D571">
        <f>VLOOKUP(C571,'RAW DATA 2023'!E:BP,63,0)</f>
        <v>2</v>
      </c>
      <c r="E571" t="str">
        <f t="shared" si="42"/>
        <v>Lucky22</v>
      </c>
      <c r="F571">
        <f>ROUND(VLOOKUP(C571,'RAW DATA 2023'!E:BO,23,0),0)</f>
        <v>42</v>
      </c>
      <c r="G571" s="16">
        <f>VLOOKUP(C571,'RAW DATA 2023'!E:BO,27,0)</f>
        <v>2.829374943843781</v>
      </c>
      <c r="H571" s="16">
        <f>IFERROR(VLOOKUP(F571,STD!B:G,5,0),0)</f>
        <v>1.6</v>
      </c>
      <c r="I571" s="21">
        <f t="shared" si="43"/>
        <v>0.56549592463215836</v>
      </c>
      <c r="J571" s="16">
        <f t="shared" si="44"/>
        <v>1.3099184926431673</v>
      </c>
      <c r="K571" s="106" t="str">
        <f>VLOOKUP(C571,'RAW DATA 2023'!E:BO,36,0)</f>
        <v>Normal</v>
      </c>
      <c r="L571" s="106">
        <f>VLOOKUP(C571,'RAW DATA 2023'!E:BO,21,0)</f>
        <v>3.3749000000000002</v>
      </c>
      <c r="M571" s="106">
        <f t="shared" si="45"/>
        <v>4.4208439208214259</v>
      </c>
    </row>
    <row r="572" spans="1:13">
      <c r="A572" t="str">
        <f>'RAW DATA 2023'!B565</f>
        <v>Lucky2</v>
      </c>
      <c r="B572" t="str">
        <f>'RAW DATA 2023'!D565</f>
        <v>AC-002-0009</v>
      </c>
      <c r="C572" t="str">
        <f t="shared" si="41"/>
        <v>Lucky2AC-002-0009</v>
      </c>
      <c r="D572">
        <f>VLOOKUP(C572,'RAW DATA 2023'!E:BP,63,0)</f>
        <v>5</v>
      </c>
      <c r="E572" t="str">
        <f t="shared" si="42"/>
        <v>Lucky25</v>
      </c>
      <c r="F572">
        <f>ROUND(VLOOKUP(C572,'RAW DATA 2023'!E:BO,23,0),0)</f>
        <v>63</v>
      </c>
      <c r="G572" s="16">
        <f>VLOOKUP(C572,'RAW DATA 2023'!E:BO,27,0)</f>
        <v>2.1324310074608004</v>
      </c>
      <c r="H572" s="16">
        <f>IFERROR(VLOOKUP(F572,STD!B:G,5,0),0)</f>
        <v>1.38</v>
      </c>
      <c r="I572" s="21">
        <f t="shared" si="43"/>
        <v>0.64714872142252311</v>
      </c>
      <c r="J572" s="16">
        <f t="shared" si="44"/>
        <v>2.9429744284504622</v>
      </c>
      <c r="K572" s="106" t="str">
        <f>VLOOKUP(C572,'RAW DATA 2023'!E:BO,36,0)</f>
        <v>อัตรารอดต่ำ</v>
      </c>
      <c r="L572" s="106">
        <f>VLOOKUP(C572,'RAW DATA 2023'!E:BO,21,0)</f>
        <v>2.9716399999999998</v>
      </c>
      <c r="M572" s="106">
        <f t="shared" si="45"/>
        <v>8.7454605305605302</v>
      </c>
    </row>
    <row r="573" spans="1:13">
      <c r="A573" t="str">
        <f>'RAW DATA 2023'!B566</f>
        <v>Lucky2</v>
      </c>
      <c r="B573" t="str">
        <f>'RAW DATA 2023'!D566</f>
        <v>A1-045-0003</v>
      </c>
      <c r="C573" t="str">
        <f t="shared" si="41"/>
        <v>Lucky2A1-045-0003</v>
      </c>
      <c r="D573">
        <f>VLOOKUP(C573,'RAW DATA 2023'!E:BP,63,0)</f>
        <v>3</v>
      </c>
      <c r="E573" t="str">
        <f t="shared" si="42"/>
        <v>Lucky23</v>
      </c>
      <c r="F573">
        <f>ROUND(VLOOKUP(C573,'RAW DATA 2023'!E:BO,23,0),0)</f>
        <v>27</v>
      </c>
      <c r="G573" s="16">
        <f>VLOOKUP(C573,'RAW DATA 2023'!E:BO,27,0)</f>
        <v>1.6731647418231275</v>
      </c>
      <c r="H573" s="16">
        <f>IFERROR(VLOOKUP(F573,STD!B:G,5,0),0)</f>
        <v>1.96</v>
      </c>
      <c r="I573" s="21">
        <f t="shared" si="43"/>
        <v>1.1714327651109411</v>
      </c>
      <c r="J573" s="16">
        <f t="shared" si="44"/>
        <v>13.428655302218822</v>
      </c>
      <c r="K573" s="106" t="str">
        <f>VLOOKUP(C573,'RAW DATA 2023'!E:BO,36,0)</f>
        <v>Normal</v>
      </c>
      <c r="L573" s="106">
        <f>VLOOKUP(C573,'RAW DATA 2023'!E:BO,21,0)</f>
        <v>39.34272</v>
      </c>
      <c r="M573" s="106">
        <f t="shared" si="45"/>
        <v>528.31982553171042</v>
      </c>
    </row>
    <row r="574" spans="1:13">
      <c r="A574" t="str">
        <f>'RAW DATA 2023'!B567</f>
        <v>Lucky2</v>
      </c>
      <c r="B574" t="str">
        <f>'RAW DATA 2023'!D567</f>
        <v>AC-002-0008</v>
      </c>
      <c r="C574" t="str">
        <f t="shared" si="41"/>
        <v>Lucky2AC-002-0008</v>
      </c>
      <c r="D574">
        <f>VLOOKUP(C574,'RAW DATA 2023'!E:BP,63,0)</f>
        <v>2</v>
      </c>
      <c r="E574" t="str">
        <f t="shared" si="42"/>
        <v>Lucky22</v>
      </c>
      <c r="F574">
        <f>ROUND(VLOOKUP(C574,'RAW DATA 2023'!E:BO,23,0),0)</f>
        <v>46</v>
      </c>
      <c r="G574" s="16">
        <f>VLOOKUP(C574,'RAW DATA 2023'!E:BO,27,0)</f>
        <v>2.7406517495119385</v>
      </c>
      <c r="H574" s="16">
        <f>IFERROR(VLOOKUP(F574,STD!B:G,5,0),0)</f>
        <v>1.54</v>
      </c>
      <c r="I574" s="21">
        <f t="shared" si="43"/>
        <v>0.56191013698630143</v>
      </c>
      <c r="J574" s="16">
        <f t="shared" si="44"/>
        <v>1.2382027397260287</v>
      </c>
      <c r="K574" s="106" t="str">
        <f>VLOOKUP(C574,'RAW DATA 2023'!E:BO,36,0)</f>
        <v>Normal</v>
      </c>
      <c r="L574" s="106">
        <f>VLOOKUP(C574,'RAW DATA 2023'!E:BO,21,0)</f>
        <v>3.6318600000000001</v>
      </c>
      <c r="M574" s="106">
        <f t="shared" si="45"/>
        <v>4.4969790023013747</v>
      </c>
    </row>
    <row r="575" spans="1:13">
      <c r="A575" t="str">
        <f>'RAW DATA 2023'!B568</f>
        <v>Lucky2</v>
      </c>
      <c r="B575" t="str">
        <f>'RAW DATA 2023'!D568</f>
        <v>A1-045-0004</v>
      </c>
      <c r="C575" t="str">
        <f t="shared" si="41"/>
        <v>Lucky2A1-045-0004</v>
      </c>
      <c r="D575">
        <f>VLOOKUP(C575,'RAW DATA 2023'!E:BP,63,0)</f>
        <v>6</v>
      </c>
      <c r="E575" t="str">
        <f t="shared" si="42"/>
        <v>Lucky26</v>
      </c>
      <c r="F575">
        <f>ROUND(VLOOKUP(C575,'RAW DATA 2023'!E:BO,23,0),0)</f>
        <v>59</v>
      </c>
      <c r="G575" s="16">
        <f>VLOOKUP(C575,'RAW DATA 2023'!E:BO,27,0)</f>
        <v>1.2500885407834947</v>
      </c>
      <c r="H575" s="16">
        <f>IFERROR(VLOOKUP(F575,STD!B:G,5,0),0)</f>
        <v>1.41</v>
      </c>
      <c r="I575" s="21">
        <f t="shared" si="43"/>
        <v>1.1279201064560438</v>
      </c>
      <c r="J575" s="16">
        <f t="shared" si="44"/>
        <v>12.558402129120875</v>
      </c>
      <c r="K575" s="106" t="str">
        <f>VLOOKUP(C575,'RAW DATA 2023'!E:BO,36,0)</f>
        <v>Normal</v>
      </c>
      <c r="L575" s="106">
        <f>VLOOKUP(C575,'RAW DATA 2023'!E:BO,21,0)</f>
        <v>24.493189999999998</v>
      </c>
      <c r="M575" s="106">
        <f t="shared" si="45"/>
        <v>307.59532944496209</v>
      </c>
    </row>
    <row r="576" spans="1:13">
      <c r="A576" t="str">
        <f>'RAW DATA 2023'!B569</f>
        <v>Lucky2</v>
      </c>
      <c r="B576" t="str">
        <f>'RAW DATA 2023'!D569</f>
        <v>AC-003-0008</v>
      </c>
      <c r="C576" t="str">
        <f t="shared" si="41"/>
        <v>Lucky2AC-003-0008</v>
      </c>
      <c r="D576">
        <f>VLOOKUP(C576,'RAW DATA 2023'!E:BP,63,0)</f>
        <v>3</v>
      </c>
      <c r="E576" t="str">
        <f t="shared" si="42"/>
        <v>Lucky23</v>
      </c>
      <c r="F576">
        <f>ROUND(VLOOKUP(C576,'RAW DATA 2023'!E:BO,23,0),0)</f>
        <v>51</v>
      </c>
      <c r="G576" s="16">
        <f>VLOOKUP(C576,'RAW DATA 2023'!E:BO,27,0)</f>
        <v>2.6658780888162159</v>
      </c>
      <c r="H576" s="16">
        <f>IFERROR(VLOOKUP(F576,STD!B:G,5,0),0)</f>
        <v>1.48</v>
      </c>
      <c r="I576" s="21">
        <f t="shared" si="43"/>
        <v>0.55516417131332307</v>
      </c>
      <c r="J576" s="16">
        <f t="shared" si="44"/>
        <v>1.1032834262664615</v>
      </c>
      <c r="K576" s="106" t="str">
        <f>VLOOKUP(C576,'RAW DATA 2023'!E:BO,36,0)</f>
        <v>Normal</v>
      </c>
      <c r="L576" s="106">
        <f>VLOOKUP(C576,'RAW DATA 2023'!E:BO,21,0)</f>
        <v>3.19781</v>
      </c>
      <c r="M576" s="106">
        <f t="shared" si="45"/>
        <v>3.5280907733491533</v>
      </c>
    </row>
    <row r="577" spans="1:13">
      <c r="A577" t="str">
        <f>'RAW DATA 2023'!B570</f>
        <v>Lucky2</v>
      </c>
      <c r="B577" t="str">
        <f>'RAW DATA 2023'!D570</f>
        <v>A1-045-0005</v>
      </c>
      <c r="C577" t="str">
        <f t="shared" si="41"/>
        <v>Lucky2A1-045-0005</v>
      </c>
      <c r="D577">
        <f>VLOOKUP(C577,'RAW DATA 2023'!E:BP,63,0)</f>
        <v>9</v>
      </c>
      <c r="E577" t="str">
        <f t="shared" si="42"/>
        <v>Lucky29</v>
      </c>
      <c r="F577">
        <f>ROUND(VLOOKUP(C577,'RAW DATA 2023'!E:BO,23,0),0)</f>
        <v>88</v>
      </c>
      <c r="G577" s="16">
        <f>VLOOKUP(C577,'RAW DATA 2023'!E:BO,27,0)</f>
        <v>1.2749115567446765</v>
      </c>
      <c r="H577" s="16">
        <f>IFERROR(VLOOKUP(F577,STD!B:G,5,0),0)</f>
        <v>1.26</v>
      </c>
      <c r="I577" s="21">
        <f t="shared" si="43"/>
        <v>0.98830385004686028</v>
      </c>
      <c r="J577" s="16">
        <f t="shared" si="44"/>
        <v>9.7660770009372051</v>
      </c>
      <c r="K577" s="106" t="str">
        <f>VLOOKUP(C577,'RAW DATA 2023'!E:BO,36,0)</f>
        <v>EHP</v>
      </c>
      <c r="L577" s="106">
        <f>VLOOKUP(C577,'RAW DATA 2023'!E:BO,21,0)</f>
        <v>22.548020000000001</v>
      </c>
      <c r="M577" s="106">
        <f t="shared" si="45"/>
        <v>220.20569953867212</v>
      </c>
    </row>
    <row r="578" spans="1:13">
      <c r="A578" t="str">
        <f>'RAW DATA 2023'!B571</f>
        <v>Lucky2</v>
      </c>
      <c r="B578" t="str">
        <f>'RAW DATA 2023'!D571</f>
        <v>AC-004-0010</v>
      </c>
      <c r="C578" t="str">
        <f t="shared" si="41"/>
        <v>Lucky2AC-004-0010</v>
      </c>
      <c r="D578">
        <f>VLOOKUP(C578,'RAW DATA 2023'!E:BP,63,0)</f>
        <v>7</v>
      </c>
      <c r="E578" t="str">
        <f t="shared" si="42"/>
        <v>Lucky27</v>
      </c>
      <c r="F578">
        <f>ROUND(VLOOKUP(C578,'RAW DATA 2023'!E:BO,23,0),0)</f>
        <v>73</v>
      </c>
      <c r="G578" s="16">
        <f>VLOOKUP(C578,'RAW DATA 2023'!E:BO,27,0)</f>
        <v>1.1136853803482798</v>
      </c>
      <c r="H578" s="16">
        <f>IFERROR(VLOOKUP(F578,STD!B:G,5,0),0)</f>
        <v>1.32</v>
      </c>
      <c r="I578" s="21">
        <f t="shared" si="43"/>
        <v>1.1852539534883721</v>
      </c>
      <c r="J578" s="16">
        <f t="shared" si="44"/>
        <v>13.705079069767443</v>
      </c>
      <c r="K578" s="106" t="str">
        <f>VLOOKUP(C578,'RAW DATA 2023'!E:BO,36,0)</f>
        <v>Normal</v>
      </c>
      <c r="L578" s="106">
        <f>VLOOKUP(C578,'RAW DATA 2023'!E:BO,21,0)</f>
        <v>4.3881600000000001</v>
      </c>
      <c r="M578" s="106">
        <f t="shared" si="45"/>
        <v>60.140079770790706</v>
      </c>
    </row>
    <row r="579" spans="1:13">
      <c r="A579" t="str">
        <f>'RAW DATA 2023'!B572</f>
        <v>Lucky2</v>
      </c>
      <c r="B579" t="str">
        <f>'RAW DATA 2023'!D572</f>
        <v>AC-005-0010</v>
      </c>
      <c r="C579" t="str">
        <f t="shared" si="41"/>
        <v>Lucky2AC-005-0010</v>
      </c>
      <c r="D579">
        <f>VLOOKUP(C579,'RAW DATA 2023'!E:BP,63,0)</f>
        <v>7</v>
      </c>
      <c r="E579" t="str">
        <f t="shared" si="42"/>
        <v>Lucky27</v>
      </c>
      <c r="F579">
        <f>ROUND(VLOOKUP(C579,'RAW DATA 2023'!E:BO,23,0),0)</f>
        <v>72</v>
      </c>
      <c r="G579" s="16">
        <f>VLOOKUP(C579,'RAW DATA 2023'!E:BO,27,0)</f>
        <v>1.6649645550502814</v>
      </c>
      <c r="H579" s="16">
        <f>IFERROR(VLOOKUP(F579,STD!B:G,5,0),0)</f>
        <v>1.33</v>
      </c>
      <c r="I579" s="21">
        <f t="shared" si="43"/>
        <v>0.79881580419580434</v>
      </c>
      <c r="J579" s="16">
        <f t="shared" si="44"/>
        <v>5.9763160839160872</v>
      </c>
      <c r="K579" s="106" t="str">
        <f>VLOOKUP(C579,'RAW DATA 2023'!E:BO,36,0)</f>
        <v>Normal</v>
      </c>
      <c r="L579" s="106">
        <f>VLOOKUP(C579,'RAW DATA 2023'!E:BO,21,0)</f>
        <v>3.1470700000000003</v>
      </c>
      <c r="M579" s="106">
        <f t="shared" si="45"/>
        <v>18.807885058209802</v>
      </c>
    </row>
    <row r="580" spans="1:13">
      <c r="A580" t="str">
        <f>'RAW DATA 2023'!B573</f>
        <v>Lucky2</v>
      </c>
      <c r="B580" t="str">
        <f>'RAW DATA 2023'!D573</f>
        <v>AC-003-0009</v>
      </c>
      <c r="C580" t="str">
        <f t="shared" si="41"/>
        <v>Lucky2AC-003-0009</v>
      </c>
      <c r="D580">
        <f>VLOOKUP(C580,'RAW DATA 2023'!E:BP,63,0)</f>
        <v>7</v>
      </c>
      <c r="E580" t="str">
        <f t="shared" si="42"/>
        <v>Lucky27</v>
      </c>
      <c r="F580">
        <f>ROUND(VLOOKUP(C580,'RAW DATA 2023'!E:BO,23,0),0)</f>
        <v>72</v>
      </c>
      <c r="G580" s="16">
        <f>VLOOKUP(C580,'RAW DATA 2023'!E:BO,27,0)</f>
        <v>1.2419989549655466</v>
      </c>
      <c r="H580" s="16">
        <f>IFERROR(VLOOKUP(F580,STD!B:G,5,0),0)</f>
        <v>1.33</v>
      </c>
      <c r="I580" s="21">
        <f t="shared" si="43"/>
        <v>1.0708543631881677</v>
      </c>
      <c r="J580" s="16">
        <f t="shared" si="44"/>
        <v>11.417087263763355</v>
      </c>
      <c r="K580" s="106" t="str">
        <f>VLOOKUP(C580,'RAW DATA 2023'!E:BO,36,0)</f>
        <v>Normal</v>
      </c>
      <c r="L580" s="106">
        <f>VLOOKUP(C580,'RAW DATA 2023'!E:BO,21,0)</f>
        <v>5.0793599999999994</v>
      </c>
      <c r="M580" s="106">
        <f t="shared" si="45"/>
        <v>57.991496364069029</v>
      </c>
    </row>
    <row r="581" spans="1:13">
      <c r="A581" t="str">
        <f>'RAW DATA 2023'!B574</f>
        <v>Laemsing</v>
      </c>
      <c r="B581" t="str">
        <f>'RAW DATA 2023'!D574</f>
        <v>A1-002-0038</v>
      </c>
      <c r="C581" t="str">
        <f t="shared" si="41"/>
        <v>LaemsingA1-002-0038</v>
      </c>
      <c r="D581">
        <f>VLOOKUP(C581,'RAW DATA 2023'!E:BP,63,0)</f>
        <v>8</v>
      </c>
      <c r="E581" t="str">
        <f t="shared" si="42"/>
        <v>Laemsing8</v>
      </c>
      <c r="F581">
        <f>ROUND(VLOOKUP(C581,'RAW DATA 2023'!E:BO,23,0),0)</f>
        <v>23</v>
      </c>
      <c r="G581" s="16">
        <f>VLOOKUP(C581,'RAW DATA 2023'!E:BO,27,0)</f>
        <v>1.9060090979460695</v>
      </c>
      <c r="H581" s="16">
        <f>IFERROR(VLOOKUP(F581,STD!B:G,5,0),0)</f>
        <v>2.13</v>
      </c>
      <c r="I581" s="21">
        <f t="shared" si="43"/>
        <v>1.1175182753824757</v>
      </c>
      <c r="J581" s="16">
        <f t="shared" si="44"/>
        <v>12.350365507649514</v>
      </c>
      <c r="K581" s="106" t="str">
        <f>VLOOKUP(C581,'RAW DATA 2023'!E:BO,36,0)</f>
        <v>Normal</v>
      </c>
      <c r="L581" s="106">
        <f>VLOOKUP(C581,'RAW DATA 2023'!E:BO,21,0)</f>
        <v>15.397120000000001</v>
      </c>
      <c r="M581" s="106">
        <f t="shared" si="45"/>
        <v>190.16005976514049</v>
      </c>
    </row>
    <row r="582" spans="1:13">
      <c r="A582" t="str">
        <f>'RAW DATA 2023'!B575</f>
        <v>Laemsing</v>
      </c>
      <c r="B582" t="str">
        <f>'RAW DATA 2023'!D575</f>
        <v>A1-026-0016</v>
      </c>
      <c r="C582" t="str">
        <f t="shared" si="41"/>
        <v>LaemsingA1-026-0016</v>
      </c>
      <c r="D582">
        <f>VLOOKUP(C582,'RAW DATA 2023'!E:BP,63,0)</f>
        <v>8</v>
      </c>
      <c r="E582" t="str">
        <f t="shared" si="42"/>
        <v>Laemsing8</v>
      </c>
      <c r="F582">
        <f>ROUND(VLOOKUP(C582,'RAW DATA 2023'!E:BO,23,0),0)</f>
        <v>36</v>
      </c>
      <c r="G582" s="16">
        <f>VLOOKUP(C582,'RAW DATA 2023'!E:BO,27,0)</f>
        <v>1.6783059045934561</v>
      </c>
      <c r="H582" s="16">
        <f>IFERROR(VLOOKUP(F582,STD!B:G,5,0),0)</f>
        <v>1.726</v>
      </c>
      <c r="I582" s="21">
        <f t="shared" si="43"/>
        <v>1.0284179989333333</v>
      </c>
      <c r="J582" s="16">
        <f t="shared" si="44"/>
        <v>10.568359978666667</v>
      </c>
      <c r="K582" s="106" t="str">
        <f>VLOOKUP(C582,'RAW DATA 2023'!E:BO,36,0)</f>
        <v>AHPND</v>
      </c>
      <c r="L582" s="106">
        <f>VLOOKUP(C582,'RAW DATA 2023'!E:BO,21,0)</f>
        <v>17.142970000000002</v>
      </c>
      <c r="M582" s="106">
        <f t="shared" si="45"/>
        <v>181.17307806348333</v>
      </c>
    </row>
    <row r="583" spans="1:13">
      <c r="A583" t="str">
        <f>'RAW DATA 2023'!B576</f>
        <v>Laemsing</v>
      </c>
      <c r="B583" t="str">
        <f>'RAW DATA 2023'!D576</f>
        <v>A1-002-0037</v>
      </c>
      <c r="C583" t="str">
        <f t="shared" si="41"/>
        <v>LaemsingA1-002-0037</v>
      </c>
      <c r="D583">
        <f>VLOOKUP(C583,'RAW DATA 2023'!E:BP,63,0)</f>
        <v>3</v>
      </c>
      <c r="E583" t="str">
        <f t="shared" si="42"/>
        <v>Laemsing3</v>
      </c>
      <c r="F583">
        <f>ROUND(VLOOKUP(C583,'RAW DATA 2023'!E:BO,23,0),0)</f>
        <v>30</v>
      </c>
      <c r="G583" s="16">
        <f>VLOOKUP(C583,'RAW DATA 2023'!E:BO,27,0)</f>
        <v>1.7769026007200122</v>
      </c>
      <c r="H583" s="16">
        <f>IFERROR(VLOOKUP(F583,STD!B:G,5,0),0)</f>
        <v>1.87</v>
      </c>
      <c r="I583" s="21">
        <f t="shared" si="43"/>
        <v>1.0523930795319136</v>
      </c>
      <c r="J583" s="16">
        <f t="shared" si="44"/>
        <v>11.047861590638274</v>
      </c>
      <c r="K583" s="106" t="str">
        <f>VLOOKUP(C583,'RAW DATA 2023'!E:BO,36,0)</f>
        <v>Normal</v>
      </c>
      <c r="L583" s="106">
        <f>VLOOKUP(C583,'RAW DATA 2023'!E:BO,21,0)</f>
        <v>18.681630000000002</v>
      </c>
      <c r="M583" s="106">
        <f t="shared" si="45"/>
        <v>206.39206252751572</v>
      </c>
    </row>
    <row r="584" spans="1:13">
      <c r="A584" t="str">
        <f>'RAW DATA 2023'!B577</f>
        <v>Laemsing</v>
      </c>
      <c r="B584" t="str">
        <f>'RAW DATA 2023'!D577</f>
        <v>A1-025-0014</v>
      </c>
      <c r="C584" t="str">
        <f t="shared" si="41"/>
        <v>LaemsingA1-025-0014</v>
      </c>
      <c r="D584">
        <f>VLOOKUP(C584,'RAW DATA 2023'!E:BP,63,0)</f>
        <v>7</v>
      </c>
      <c r="E584" t="str">
        <f t="shared" si="42"/>
        <v>Laemsing7</v>
      </c>
      <c r="F584">
        <f>ROUND(VLOOKUP(C584,'RAW DATA 2023'!E:BO,23,0),0)</f>
        <v>48</v>
      </c>
      <c r="G584" s="16">
        <f>VLOOKUP(C584,'RAW DATA 2023'!E:BO,27,0)</f>
        <v>1.5863871320515515</v>
      </c>
      <c r="H584" s="16">
        <f>IFERROR(VLOOKUP(F584,STD!B:G,5,0),0)</f>
        <v>1.52</v>
      </c>
      <c r="I584" s="21">
        <f t="shared" si="43"/>
        <v>0.95815199788862504</v>
      </c>
      <c r="J584" s="16">
        <f t="shared" si="44"/>
        <v>9.1630399577725008</v>
      </c>
      <c r="K584" s="106" t="str">
        <f>VLOOKUP(C584,'RAW DATA 2023'!E:BO,36,0)</f>
        <v>AHPND</v>
      </c>
      <c r="L584" s="106">
        <f>VLOOKUP(C584,'RAW DATA 2023'!E:BO,21,0)</f>
        <v>12.382379999999999</v>
      </c>
      <c r="M584" s="106">
        <f t="shared" si="45"/>
        <v>113.46024271232305</v>
      </c>
    </row>
    <row r="585" spans="1:13">
      <c r="A585" t="str">
        <f>'RAW DATA 2023'!B578</f>
        <v>Laemsing</v>
      </c>
      <c r="B585" t="str">
        <f>'RAW DATA 2023'!D578</f>
        <v>A1-019-0029</v>
      </c>
      <c r="C585" t="str">
        <f t="shared" si="41"/>
        <v>LaemsingA1-019-0029</v>
      </c>
      <c r="D585">
        <f>VLOOKUP(C585,'RAW DATA 2023'!E:BP,63,0)</f>
        <v>7</v>
      </c>
      <c r="E585" t="str">
        <f t="shared" si="42"/>
        <v>Laemsing7</v>
      </c>
      <c r="F585">
        <f>ROUND(VLOOKUP(C585,'RAW DATA 2023'!E:BO,23,0),0)</f>
        <v>53</v>
      </c>
      <c r="G585" s="16">
        <f>VLOOKUP(C585,'RAW DATA 2023'!E:BO,27,0)</f>
        <v>1.5394994210165838</v>
      </c>
      <c r="H585" s="16">
        <f>IFERROR(VLOOKUP(F585,STD!B:G,5,0),0)</f>
        <v>1.46</v>
      </c>
      <c r="I585" s="21">
        <f t="shared" si="43"/>
        <v>0.948360213760855</v>
      </c>
      <c r="J585" s="16">
        <f t="shared" si="44"/>
        <v>8.9672042752170995</v>
      </c>
      <c r="K585" s="106" t="str">
        <f>VLOOKUP(C585,'RAW DATA 2023'!E:BO,36,0)</f>
        <v>WFD</v>
      </c>
      <c r="L585" s="106">
        <f>VLOOKUP(C585,'RAW DATA 2023'!E:BO,21,0)</f>
        <v>10.291120000000001</v>
      </c>
      <c r="M585" s="106">
        <f t="shared" si="45"/>
        <v>92.282575260772205</v>
      </c>
    </row>
    <row r="586" spans="1:13">
      <c r="A586" t="str">
        <f>'RAW DATA 2023'!B579</f>
        <v>Laemsing</v>
      </c>
      <c r="B586" t="str">
        <f>'RAW DATA 2023'!D579</f>
        <v>A1-019-0028</v>
      </c>
      <c r="C586" t="str">
        <f t="shared" ref="C586:C649" si="46">A586&amp;B586</f>
        <v>LaemsingA1-019-0028</v>
      </c>
      <c r="D586">
        <f>VLOOKUP(C586,'RAW DATA 2023'!E:BP,63,0)</f>
        <v>4</v>
      </c>
      <c r="E586" t="str">
        <f t="shared" ref="E586:E649" si="47">A586&amp;D586</f>
        <v>Laemsing4</v>
      </c>
      <c r="F586">
        <f>ROUND(VLOOKUP(C586,'RAW DATA 2023'!E:BO,23,0),0)</f>
        <v>31</v>
      </c>
      <c r="G586" s="16">
        <f>VLOOKUP(C586,'RAW DATA 2023'!E:BO,27,0)</f>
        <v>1.6742000713690972</v>
      </c>
      <c r="H586" s="16">
        <f>IFERROR(VLOOKUP(F586,STD!B:G,5,0),0)</f>
        <v>1.84</v>
      </c>
      <c r="I586" s="21">
        <f t="shared" si="43"/>
        <v>1.0990323268206039</v>
      </c>
      <c r="J586" s="16">
        <f t="shared" si="44"/>
        <v>11.980646536412078</v>
      </c>
      <c r="K586" s="106" t="str">
        <f>VLOOKUP(C586,'RAW DATA 2023'!E:BO,36,0)</f>
        <v>Normal</v>
      </c>
      <c r="L586" s="106">
        <f>VLOOKUP(C586,'RAW DATA 2023'!E:BO,21,0)</f>
        <v>18.324120000000001</v>
      </c>
      <c r="M586" s="106">
        <f t="shared" si="45"/>
        <v>219.53480481079927</v>
      </c>
    </row>
    <row r="587" spans="1:13">
      <c r="A587" t="str">
        <f>'RAW DATA 2023'!B580</f>
        <v>Laemsing</v>
      </c>
      <c r="B587" t="str">
        <f>'RAW DATA 2023'!D580</f>
        <v>A1-025-0013</v>
      </c>
      <c r="C587" t="str">
        <f t="shared" si="46"/>
        <v>LaemsingA1-025-0013</v>
      </c>
      <c r="D587">
        <f>VLOOKUP(C587,'RAW DATA 2023'!E:BP,63,0)</f>
        <v>4</v>
      </c>
      <c r="E587" t="str">
        <f t="shared" si="47"/>
        <v>Laemsing4</v>
      </c>
      <c r="F587">
        <f>ROUND(VLOOKUP(C587,'RAW DATA 2023'!E:BO,23,0),0)</f>
        <v>30</v>
      </c>
      <c r="G587" s="16">
        <f>VLOOKUP(C587,'RAW DATA 2023'!E:BO,27,0)</f>
        <v>1.7209304388890838</v>
      </c>
      <c r="H587" s="16">
        <f>IFERROR(VLOOKUP(F587,STD!B:G,5,0),0)</f>
        <v>1.87</v>
      </c>
      <c r="I587" s="21">
        <f t="shared" ref="I587:I650" si="48">IFERROR(H587/G587,0)</f>
        <v>1.0866214913411292</v>
      </c>
      <c r="J587" s="16">
        <f t="shared" ref="J587:J650" si="49">(I587-$B$4)*$B$7</f>
        <v>11.732429826822584</v>
      </c>
      <c r="K587" s="106" t="str">
        <f>VLOOKUP(C587,'RAW DATA 2023'!E:BO,36,0)</f>
        <v>Normal</v>
      </c>
      <c r="L587" s="106">
        <f>VLOOKUP(C587,'RAW DATA 2023'!E:BO,21,0)</f>
        <v>25.080680000000001</v>
      </c>
      <c r="M587" s="106">
        <f t="shared" ref="M587:M650" si="50">J587*L587</f>
        <v>294.25731810899265</v>
      </c>
    </row>
    <row r="588" spans="1:13">
      <c r="A588" t="str">
        <f>'RAW DATA 2023'!B581</f>
        <v>Laemsing</v>
      </c>
      <c r="B588" t="str">
        <f>'RAW DATA 2023'!D581</f>
        <v>A1-018-0026</v>
      </c>
      <c r="C588" t="str">
        <f t="shared" si="46"/>
        <v>LaemsingA1-018-0026</v>
      </c>
      <c r="D588">
        <f>VLOOKUP(C588,'RAW DATA 2023'!E:BP,63,0)</f>
        <v>6</v>
      </c>
      <c r="E588" t="str">
        <f t="shared" si="47"/>
        <v>Laemsing6</v>
      </c>
      <c r="F588">
        <f>ROUND(VLOOKUP(C588,'RAW DATA 2023'!E:BO,23,0),0)</f>
        <v>33</v>
      </c>
      <c r="G588" s="16">
        <f>VLOOKUP(C588,'RAW DATA 2023'!E:BO,27,0)</f>
        <v>1.7165232078133932</v>
      </c>
      <c r="H588" s="16">
        <f>IFERROR(VLOOKUP(F588,STD!B:G,5,0),0)</f>
        <v>1.8</v>
      </c>
      <c r="I588" s="21">
        <f t="shared" si="48"/>
        <v>1.0486313216195571</v>
      </c>
      <c r="J588" s="16">
        <f t="shared" si="49"/>
        <v>10.972626432391142</v>
      </c>
      <c r="K588" s="106" t="str">
        <f>VLOOKUP(C588,'RAW DATA 2023'!E:BO,36,0)</f>
        <v>Normal</v>
      </c>
      <c r="L588" s="106">
        <f>VLOOKUP(C588,'RAW DATA 2023'!E:BO,21,0)</f>
        <v>26.98658</v>
      </c>
      <c r="M588" s="106">
        <f t="shared" si="50"/>
        <v>296.11366102783813</v>
      </c>
    </row>
    <row r="589" spans="1:13">
      <c r="A589" t="str">
        <f>'RAW DATA 2023'!B582</f>
        <v>Laemsing</v>
      </c>
      <c r="B589" t="str">
        <f>'RAW DATA 2023'!D582</f>
        <v>A1-026-0015</v>
      </c>
      <c r="C589" t="str">
        <f t="shared" si="46"/>
        <v>LaemsingA1-026-0015</v>
      </c>
      <c r="D589">
        <f>VLOOKUP(C589,'RAW DATA 2023'!E:BP,63,0)</f>
        <v>4</v>
      </c>
      <c r="E589" t="str">
        <f t="shared" si="47"/>
        <v>Laemsing4</v>
      </c>
      <c r="F589">
        <f>ROUND(VLOOKUP(C589,'RAW DATA 2023'!E:BO,23,0),0)</f>
        <v>31</v>
      </c>
      <c r="G589" s="16">
        <f>VLOOKUP(C589,'RAW DATA 2023'!E:BO,27,0)</f>
        <v>1.9158876622437924</v>
      </c>
      <c r="H589" s="16">
        <f>IFERROR(VLOOKUP(F589,STD!B:G,5,0),0)</f>
        <v>1.84</v>
      </c>
      <c r="I589" s="21">
        <f t="shared" si="48"/>
        <v>0.96039033825453191</v>
      </c>
      <c r="J589" s="16">
        <f t="shared" si="49"/>
        <v>9.2078067650906377</v>
      </c>
      <c r="K589" s="106" t="str">
        <f>VLOOKUP(C589,'RAW DATA 2023'!E:BO,36,0)</f>
        <v>Normal</v>
      </c>
      <c r="L589" s="106">
        <f>VLOOKUP(C589,'RAW DATA 2023'!E:BO,21,0)</f>
        <v>22.607689999999998</v>
      </c>
      <c r="M589" s="106">
        <f t="shared" si="50"/>
        <v>208.16724092507195</v>
      </c>
    </row>
    <row r="590" spans="1:13">
      <c r="A590" t="str">
        <f>'RAW DATA 2023'!B583</f>
        <v>Laemsing</v>
      </c>
      <c r="B590" t="str">
        <f>'RAW DATA 2023'!D583</f>
        <v>A1-018-0025</v>
      </c>
      <c r="C590" t="str">
        <f t="shared" si="46"/>
        <v>LaemsingA1-018-0025</v>
      </c>
      <c r="D590">
        <f>VLOOKUP(C590,'RAW DATA 2023'!E:BP,63,0)</f>
        <v>1</v>
      </c>
      <c r="E590" t="str">
        <f t="shared" si="47"/>
        <v>Laemsing1</v>
      </c>
      <c r="F590">
        <f>ROUND(VLOOKUP(C590,'RAW DATA 2023'!E:BO,23,0),0)</f>
        <v>0</v>
      </c>
      <c r="G590" s="16">
        <f>VLOOKUP(C590,'RAW DATA 2023'!E:BO,27,0)</f>
        <v>0</v>
      </c>
      <c r="H590" s="16">
        <f>IFERROR(VLOOKUP(F590,STD!B:G,5,0),0)</f>
        <v>0</v>
      </c>
      <c r="I590" s="21">
        <f t="shared" si="48"/>
        <v>0</v>
      </c>
      <c r="J590" s="16">
        <f t="shared" si="49"/>
        <v>-10</v>
      </c>
      <c r="K590" s="106" t="str">
        <f>VLOOKUP(C590,'RAW DATA 2023'!E:BO,36,0)</f>
        <v>AHPND</v>
      </c>
      <c r="L590" s="106">
        <f>VLOOKUP(C590,'RAW DATA 2023'!E:BO,21,0)</f>
        <v>0</v>
      </c>
      <c r="M590" s="106">
        <f t="shared" si="50"/>
        <v>0</v>
      </c>
    </row>
    <row r="591" spans="1:13">
      <c r="A591" t="str">
        <f>'RAW DATA 2023'!B584</f>
        <v>Laemsing</v>
      </c>
      <c r="B591" t="str">
        <f>'RAW DATA 2023'!D584</f>
        <v>B1-028-0014</v>
      </c>
      <c r="C591" t="str">
        <f t="shared" si="46"/>
        <v>LaemsingB1-028-0014</v>
      </c>
      <c r="D591">
        <f>VLOOKUP(C591,'RAW DATA 2023'!E:BP,63,0)</f>
        <v>6</v>
      </c>
      <c r="E591" t="str">
        <f t="shared" si="47"/>
        <v>Laemsing6</v>
      </c>
      <c r="F591">
        <f>ROUND(VLOOKUP(C591,'RAW DATA 2023'!E:BO,23,0),0)</f>
        <v>26</v>
      </c>
      <c r="G591" s="16">
        <f>VLOOKUP(C591,'RAW DATA 2023'!E:BO,27,0)</f>
        <v>1.7652090649830765</v>
      </c>
      <c r="H591" s="16">
        <f>IFERROR(VLOOKUP(F591,STD!B:G,5,0),0)</f>
        <v>2</v>
      </c>
      <c r="I591" s="21">
        <f t="shared" si="48"/>
        <v>1.1330102703835676</v>
      </c>
      <c r="J591" s="16">
        <f t="shared" si="49"/>
        <v>12.660205407671352</v>
      </c>
      <c r="K591" s="106" t="str">
        <f>VLOOKUP(C591,'RAW DATA 2023'!E:BO,36,0)</f>
        <v>Normal</v>
      </c>
      <c r="L591" s="106">
        <f>VLOOKUP(C591,'RAW DATA 2023'!E:BO,21,0)</f>
        <v>27.468150000000001</v>
      </c>
      <c r="M591" s="106">
        <f t="shared" si="50"/>
        <v>347.75242116872789</v>
      </c>
    </row>
    <row r="592" spans="1:13">
      <c r="A592" t="str">
        <f>'RAW DATA 2023'!B585</f>
        <v>Laemsing</v>
      </c>
      <c r="B592" t="str">
        <f>'RAW DATA 2023'!D585</f>
        <v>B1-013-0033</v>
      </c>
      <c r="C592" t="str">
        <f t="shared" si="46"/>
        <v>LaemsingB1-013-0033</v>
      </c>
      <c r="D592">
        <f>VLOOKUP(C592,'RAW DATA 2023'!E:BP,63,0)</f>
        <v>7</v>
      </c>
      <c r="E592" t="str">
        <f t="shared" si="47"/>
        <v>Laemsing7</v>
      </c>
      <c r="F592">
        <f>ROUND(VLOOKUP(C592,'RAW DATA 2023'!E:BO,23,0),0)</f>
        <v>41</v>
      </c>
      <c r="G592" s="16">
        <f>VLOOKUP(C592,'RAW DATA 2023'!E:BO,27,0)</f>
        <v>1.6579350028427196</v>
      </c>
      <c r="H592" s="16">
        <f>IFERROR(VLOOKUP(F592,STD!B:G,5,0),0)</f>
        <v>1.61</v>
      </c>
      <c r="I592" s="21">
        <f t="shared" si="48"/>
        <v>0.97108752589182967</v>
      </c>
      <c r="J592" s="16">
        <f t="shared" si="49"/>
        <v>9.4217505178365926</v>
      </c>
      <c r="K592" s="106" t="str">
        <f>VLOOKUP(C592,'RAW DATA 2023'!E:BO,36,0)</f>
        <v>AHPND</v>
      </c>
      <c r="L592" s="106">
        <f>VLOOKUP(C592,'RAW DATA 2023'!E:BO,21,0)</f>
        <v>13.62365</v>
      </c>
      <c r="M592" s="106">
        <f t="shared" si="50"/>
        <v>128.35863144232448</v>
      </c>
    </row>
    <row r="593" spans="1:13">
      <c r="A593" t="str">
        <f>'RAW DATA 2023'!B586</f>
        <v>Laemsing</v>
      </c>
      <c r="B593" t="str">
        <f>'RAW DATA 2023'!D586</f>
        <v>B1-027-0015</v>
      </c>
      <c r="C593" t="str">
        <f t="shared" si="46"/>
        <v>LaemsingB1-027-0015</v>
      </c>
      <c r="D593">
        <f>VLOOKUP(C593,'RAW DATA 2023'!E:BP,63,0)</f>
        <v>7</v>
      </c>
      <c r="E593" t="str">
        <f t="shared" si="47"/>
        <v>Laemsing7</v>
      </c>
      <c r="F593">
        <f>ROUND(VLOOKUP(C593,'RAW DATA 2023'!E:BO,23,0),0)</f>
        <v>41</v>
      </c>
      <c r="G593" s="16">
        <f>VLOOKUP(C593,'RAW DATA 2023'!E:BO,27,0)</f>
        <v>1.4877989500959139</v>
      </c>
      <c r="H593" s="16">
        <f>IFERROR(VLOOKUP(F593,STD!B:G,5,0),0)</f>
        <v>1.61</v>
      </c>
      <c r="I593" s="21">
        <f t="shared" si="48"/>
        <v>1.0821354591601293</v>
      </c>
      <c r="J593" s="16">
        <f t="shared" si="49"/>
        <v>11.642709183202587</v>
      </c>
      <c r="K593" s="106" t="str">
        <f>VLOOKUP(C593,'RAW DATA 2023'!E:BO,36,0)</f>
        <v>WFD</v>
      </c>
      <c r="L593" s="106">
        <f>VLOOKUP(C593,'RAW DATA 2023'!E:BO,21,0)</f>
        <v>14.876139999999999</v>
      </c>
      <c r="M593" s="106">
        <f t="shared" si="50"/>
        <v>173.19857178860732</v>
      </c>
    </row>
    <row r="594" spans="1:13">
      <c r="A594" t="str">
        <f>'RAW DATA 2023'!B587</f>
        <v>Laemsing</v>
      </c>
      <c r="B594" t="str">
        <f>'RAW DATA 2023'!D587</f>
        <v>B1-006-0040</v>
      </c>
      <c r="C594" t="str">
        <f t="shared" si="46"/>
        <v>LaemsingB1-006-0040</v>
      </c>
      <c r="D594">
        <f>VLOOKUP(C594,'RAW DATA 2023'!E:BP,63,0)</f>
        <v>3</v>
      </c>
      <c r="E594" t="str">
        <f t="shared" si="47"/>
        <v>Laemsing3</v>
      </c>
      <c r="F594">
        <f>ROUND(VLOOKUP(C594,'RAW DATA 2023'!E:BO,23,0),0)</f>
        <v>32</v>
      </c>
      <c r="G594" s="16">
        <f>VLOOKUP(C594,'RAW DATA 2023'!E:BO,27,0)</f>
        <v>1.4923426394079284</v>
      </c>
      <c r="H594" s="16">
        <f>IFERROR(VLOOKUP(F594,STD!B:G,5,0),0)</f>
        <v>1.82</v>
      </c>
      <c r="I594" s="21">
        <f t="shared" si="48"/>
        <v>1.2195590690366298</v>
      </c>
      <c r="J594" s="16">
        <f t="shared" si="49"/>
        <v>14.391181380732597</v>
      </c>
      <c r="K594" s="106" t="str">
        <f>VLOOKUP(C594,'RAW DATA 2023'!E:BO,36,0)</f>
        <v>ทยอยตาย</v>
      </c>
      <c r="L594" s="106">
        <f>VLOOKUP(C594,'RAW DATA 2023'!E:BO,21,0)</f>
        <v>20.650500000000001</v>
      </c>
      <c r="M594" s="106">
        <f t="shared" si="50"/>
        <v>297.18509110281849</v>
      </c>
    </row>
    <row r="595" spans="1:13">
      <c r="A595" t="str">
        <f>'RAW DATA 2023'!B588</f>
        <v>Laemsing</v>
      </c>
      <c r="B595" t="str">
        <f>'RAW DATA 2023'!D588</f>
        <v>B1-027-0014</v>
      </c>
      <c r="C595" t="str">
        <f t="shared" si="46"/>
        <v>LaemsingB1-027-0014</v>
      </c>
      <c r="D595">
        <f>VLOOKUP(C595,'RAW DATA 2023'!E:BP,63,0)</f>
        <v>4</v>
      </c>
      <c r="E595" t="str">
        <f t="shared" si="47"/>
        <v>Laemsing4</v>
      </c>
      <c r="F595">
        <f>ROUND(VLOOKUP(C595,'RAW DATA 2023'!E:BO,23,0),0)</f>
        <v>29</v>
      </c>
      <c r="G595" s="16">
        <f>VLOOKUP(C595,'RAW DATA 2023'!E:BO,27,0)</f>
        <v>1.6642324318495938</v>
      </c>
      <c r="H595" s="16">
        <f>IFERROR(VLOOKUP(F595,STD!B:G,5,0),0)</f>
        <v>1.9</v>
      </c>
      <c r="I595" s="21">
        <f t="shared" si="48"/>
        <v>1.1416674519967014</v>
      </c>
      <c r="J595" s="16">
        <f t="shared" si="49"/>
        <v>12.833349039934028</v>
      </c>
      <c r="K595" s="106" t="str">
        <f>VLOOKUP(C595,'RAW DATA 2023'!E:BO,36,0)</f>
        <v>Normal</v>
      </c>
      <c r="L595" s="106">
        <f>VLOOKUP(C595,'RAW DATA 2023'!E:BO,21,0)</f>
        <v>25.74925</v>
      </c>
      <c r="M595" s="106">
        <f t="shared" si="50"/>
        <v>330.44911276652124</v>
      </c>
    </row>
    <row r="596" spans="1:13">
      <c r="A596" t="str">
        <f>'RAW DATA 2023'!B589</f>
        <v>Laemsing</v>
      </c>
      <c r="B596" t="str">
        <f>'RAW DATA 2023'!D589</f>
        <v>B1-012-0030</v>
      </c>
      <c r="C596" t="str">
        <f t="shared" si="46"/>
        <v>LaemsingB1-012-0030</v>
      </c>
      <c r="D596">
        <f>VLOOKUP(C596,'RAW DATA 2023'!E:BP,63,0)</f>
        <v>6</v>
      </c>
      <c r="E596" t="str">
        <f t="shared" si="47"/>
        <v>Laemsing6</v>
      </c>
      <c r="F596">
        <f>ROUND(VLOOKUP(C596,'RAW DATA 2023'!E:BO,23,0),0)</f>
        <v>38</v>
      </c>
      <c r="G596" s="16">
        <f>VLOOKUP(C596,'RAW DATA 2023'!E:BO,27,0)</f>
        <v>1.9647030477456029</v>
      </c>
      <c r="H596" s="16">
        <f>IFERROR(VLOOKUP(F596,STD!B:G,5,0),0)</f>
        <v>1.669</v>
      </c>
      <c r="I596" s="21">
        <f t="shared" si="48"/>
        <v>0.84949224358108111</v>
      </c>
      <c r="J596" s="16">
        <f t="shared" si="49"/>
        <v>6.9898448716216226</v>
      </c>
      <c r="K596" s="106" t="str">
        <f>VLOOKUP(C596,'RAW DATA 2023'!E:BO,36,0)</f>
        <v>Normal</v>
      </c>
      <c r="L596" s="106">
        <f>VLOOKUP(C596,'RAW DATA 2023'!E:BO,21,0)</f>
        <v>30.421689999999998</v>
      </c>
      <c r="M596" s="106">
        <f t="shared" si="50"/>
        <v>212.64289383256278</v>
      </c>
    </row>
    <row r="597" spans="1:13">
      <c r="A597" t="str">
        <f>'RAW DATA 2023'!B590</f>
        <v>Laemsing</v>
      </c>
      <c r="B597" t="str">
        <f>'RAW DATA 2023'!D590</f>
        <v>B1-013-0032</v>
      </c>
      <c r="C597" t="str">
        <f t="shared" si="46"/>
        <v>LaemsingB1-013-0032</v>
      </c>
      <c r="D597">
        <f>VLOOKUP(C597,'RAW DATA 2023'!E:BP,63,0)</f>
        <v>4</v>
      </c>
      <c r="E597" t="str">
        <f t="shared" si="47"/>
        <v>Laemsing4</v>
      </c>
      <c r="F597">
        <f>ROUND(VLOOKUP(C597,'RAW DATA 2023'!E:BO,23,0),0)</f>
        <v>28</v>
      </c>
      <c r="G597" s="16">
        <f>VLOOKUP(C597,'RAW DATA 2023'!E:BO,27,0)</f>
        <v>1.8409750474526025</v>
      </c>
      <c r="H597" s="16">
        <f>IFERROR(VLOOKUP(F597,STD!B:G,5,0),0)</f>
        <v>1.93</v>
      </c>
      <c r="I597" s="21">
        <f t="shared" si="48"/>
        <v>1.048357500918105</v>
      </c>
      <c r="J597" s="16">
        <f t="shared" si="49"/>
        <v>10.9671500183621</v>
      </c>
      <c r="K597" s="106" t="str">
        <f>VLOOKUP(C597,'RAW DATA 2023'!E:BO,36,0)</f>
        <v>Normal</v>
      </c>
      <c r="L597" s="106">
        <f>VLOOKUP(C597,'RAW DATA 2023'!E:BO,21,0)</f>
        <v>18.02919</v>
      </c>
      <c r="M597" s="106">
        <f t="shared" si="50"/>
        <v>197.72883143955377</v>
      </c>
    </row>
    <row r="598" spans="1:13">
      <c r="A598" t="str">
        <f>'RAW DATA 2023'!B591</f>
        <v>Laemsing</v>
      </c>
      <c r="B598" t="str">
        <f>'RAW DATA 2023'!D591</f>
        <v>B1-028-0013</v>
      </c>
      <c r="C598" t="str">
        <f t="shared" si="46"/>
        <v>LaemsingB1-028-0013</v>
      </c>
      <c r="D598">
        <f>VLOOKUP(C598,'RAW DATA 2023'!E:BP,63,0)</f>
        <v>1</v>
      </c>
      <c r="E598" t="str">
        <f t="shared" si="47"/>
        <v>Laemsing1</v>
      </c>
      <c r="F598">
        <f>ROUND(VLOOKUP(C598,'RAW DATA 2023'!E:BO,23,0),0)</f>
        <v>72</v>
      </c>
      <c r="G598" s="16">
        <f>VLOOKUP(C598,'RAW DATA 2023'!E:BO,27,0)</f>
        <v>1.1416575576157002</v>
      </c>
      <c r="H598" s="16">
        <f>IFERROR(VLOOKUP(F598,STD!B:G,5,0),0)</f>
        <v>1.33</v>
      </c>
      <c r="I598" s="21">
        <f t="shared" si="48"/>
        <v>1.164972798653954</v>
      </c>
      <c r="J598" s="16">
        <f t="shared" si="49"/>
        <v>13.29945597307908</v>
      </c>
      <c r="K598" s="106" t="str">
        <f>VLOOKUP(C598,'RAW DATA 2023'!E:BO,36,0)</f>
        <v>WSSV</v>
      </c>
      <c r="L598" s="106">
        <f>VLOOKUP(C598,'RAW DATA 2023'!E:BO,21,0)</f>
        <v>11.188079999999999</v>
      </c>
      <c r="M598" s="106">
        <f t="shared" si="50"/>
        <v>148.79537738328659</v>
      </c>
    </row>
    <row r="599" spans="1:13">
      <c r="A599" t="str">
        <f>'RAW DATA 2023'!B592</f>
        <v>Laemsing</v>
      </c>
      <c r="B599" t="str">
        <f>'RAW DATA 2023'!D592</f>
        <v>B1-012-0031</v>
      </c>
      <c r="C599" t="str">
        <f t="shared" si="46"/>
        <v>LaemsingB1-012-0031</v>
      </c>
      <c r="D599">
        <f>VLOOKUP(C599,'RAW DATA 2023'!E:BP,63,0)</f>
        <v>7</v>
      </c>
      <c r="E599" t="str">
        <f t="shared" si="47"/>
        <v>Laemsing7</v>
      </c>
      <c r="F599">
        <f>ROUND(VLOOKUP(C599,'RAW DATA 2023'!E:BO,23,0),0)</f>
        <v>156</v>
      </c>
      <c r="G599" s="16">
        <f>VLOOKUP(C599,'RAW DATA 2023'!E:BO,27,0)</f>
        <v>1.1729089880546701</v>
      </c>
      <c r="H599" s="16">
        <f>IFERROR(VLOOKUP(F599,STD!B:G,5,0),0)</f>
        <v>1.0429999999999999</v>
      </c>
      <c r="I599" s="21">
        <f t="shared" si="48"/>
        <v>0.88924205596707806</v>
      </c>
      <c r="J599" s="16">
        <f t="shared" si="49"/>
        <v>7.7848411193415608</v>
      </c>
      <c r="K599" s="106" t="str">
        <f>VLOOKUP(C599,'RAW DATA 2023'!E:BO,36,0)</f>
        <v>WFD</v>
      </c>
      <c r="L599" s="106">
        <f>VLOOKUP(C599,'RAW DATA 2023'!E:BO,21,0)</f>
        <v>5.5980799999999995</v>
      </c>
      <c r="M599" s="106">
        <f t="shared" si="50"/>
        <v>43.580163373363604</v>
      </c>
    </row>
    <row r="600" spans="1:13">
      <c r="A600" t="str">
        <f>'RAW DATA 2023'!B593</f>
        <v>Laemsing</v>
      </c>
      <c r="B600" t="str">
        <f>'RAW DATA 2023'!D593</f>
        <v>B1-006-0041</v>
      </c>
      <c r="C600" t="str">
        <f t="shared" si="46"/>
        <v>LaemsingB1-006-0041</v>
      </c>
      <c r="D600">
        <f>VLOOKUP(C600,'RAW DATA 2023'!E:BP,63,0)</f>
        <v>8</v>
      </c>
      <c r="E600" t="str">
        <f t="shared" si="47"/>
        <v>Laemsing8</v>
      </c>
      <c r="F600">
        <f>ROUND(VLOOKUP(C600,'RAW DATA 2023'!E:BO,23,0),0)</f>
        <v>28</v>
      </c>
      <c r="G600" s="16">
        <f>VLOOKUP(C600,'RAW DATA 2023'!E:BO,27,0)</f>
        <v>2.1430087364556951</v>
      </c>
      <c r="H600" s="16">
        <f>IFERROR(VLOOKUP(F600,STD!B:G,5,0),0)</f>
        <v>1.93</v>
      </c>
      <c r="I600" s="21">
        <f t="shared" si="48"/>
        <v>0.9006029547000407</v>
      </c>
      <c r="J600" s="16">
        <f t="shared" si="49"/>
        <v>8.012059094000815</v>
      </c>
      <c r="K600" s="106" t="str">
        <f>VLOOKUP(C600,'RAW DATA 2023'!E:BO,36,0)</f>
        <v>Normal</v>
      </c>
      <c r="L600" s="106">
        <f>VLOOKUP(C600,'RAW DATA 2023'!E:BO,21,0)</f>
        <v>17.43066</v>
      </c>
      <c r="M600" s="106">
        <f t="shared" si="50"/>
        <v>139.65547796743624</v>
      </c>
    </row>
    <row r="601" spans="1:13">
      <c r="A601" t="str">
        <f>'RAW DATA 2023'!B594</f>
        <v>Laemsing</v>
      </c>
      <c r="B601" t="str">
        <f>'RAW DATA 2023'!D594</f>
        <v>B1-028-0016</v>
      </c>
      <c r="C601" t="str">
        <f t="shared" si="46"/>
        <v>LaemsingB1-028-0016</v>
      </c>
      <c r="D601">
        <f>VLOOKUP(C601,'RAW DATA 2023'!E:BP,63,0)</f>
        <v>11</v>
      </c>
      <c r="E601" t="str">
        <f t="shared" si="47"/>
        <v>Laemsing11</v>
      </c>
      <c r="F601">
        <f>ROUND(VLOOKUP(C601,'RAW DATA 2023'!E:BO,23,0),0)</f>
        <v>64</v>
      </c>
      <c r="G601" s="16">
        <f>VLOOKUP(C601,'RAW DATA 2023'!E:BO,27,0)</f>
        <v>1.0902270084274399</v>
      </c>
      <c r="H601" s="16">
        <f>IFERROR(VLOOKUP(F601,STD!B:G,5,0),0)</f>
        <v>1.37</v>
      </c>
      <c r="I601" s="21">
        <f t="shared" si="48"/>
        <v>1.2566190246709343</v>
      </c>
      <c r="J601" s="16">
        <f t="shared" si="49"/>
        <v>15.132380493418687</v>
      </c>
      <c r="K601" s="106" t="str">
        <f>VLOOKUP(C601,'RAW DATA 2023'!E:BO,36,0)</f>
        <v>EHP</v>
      </c>
      <c r="L601" s="106">
        <f>VLOOKUP(C601,'RAW DATA 2023'!E:BO,21,0)</f>
        <v>13.032389999999999</v>
      </c>
      <c r="M601" s="106">
        <f t="shared" si="50"/>
        <v>197.21108421862476</v>
      </c>
    </row>
    <row r="602" spans="1:13">
      <c r="A602" t="str">
        <f>'RAW DATA 2023'!B595</f>
        <v>Laemsing</v>
      </c>
      <c r="B602" t="str">
        <f>'RAW DATA 2023'!D595</f>
        <v>B1-013-0034</v>
      </c>
      <c r="C602" t="str">
        <f t="shared" si="46"/>
        <v>LaemsingB1-013-0034</v>
      </c>
      <c r="D602">
        <f>VLOOKUP(C602,'RAW DATA 2023'!E:BP,63,0)</f>
        <v>12</v>
      </c>
      <c r="E602" t="str">
        <f t="shared" si="47"/>
        <v>Laemsing12</v>
      </c>
      <c r="F602">
        <f>ROUND(VLOOKUP(C602,'RAW DATA 2023'!E:BO,23,0),0)</f>
        <v>75</v>
      </c>
      <c r="G602" s="16">
        <f>VLOOKUP(C602,'RAW DATA 2023'!E:BO,27,0)</f>
        <v>1.0905034552666781</v>
      </c>
      <c r="H602" s="16">
        <f>IFERROR(VLOOKUP(F602,STD!B:G,5,0),0)</f>
        <v>1.31</v>
      </c>
      <c r="I602" s="21">
        <f t="shared" si="48"/>
        <v>1.2012800084889643</v>
      </c>
      <c r="J602" s="16">
        <f t="shared" si="49"/>
        <v>14.025600169779286</v>
      </c>
      <c r="K602" s="106" t="str">
        <f>VLOOKUP(C602,'RAW DATA 2023'!E:BO,36,0)</f>
        <v>EHP</v>
      </c>
      <c r="L602" s="106">
        <f>VLOOKUP(C602,'RAW DATA 2023'!E:BO,21,0)</f>
        <v>11.04735</v>
      </c>
      <c r="M602" s="106">
        <f t="shared" si="50"/>
        <v>154.94571403561119</v>
      </c>
    </row>
    <row r="603" spans="1:13">
      <c r="A603" t="str">
        <f>'RAW DATA 2023'!B596</f>
        <v>Lucky1</v>
      </c>
      <c r="B603" t="str">
        <f>'RAW DATA 2023'!D596</f>
        <v>BG-026-0012</v>
      </c>
      <c r="C603" t="str">
        <f t="shared" si="46"/>
        <v>Lucky1BG-026-0012</v>
      </c>
      <c r="D603">
        <f>VLOOKUP(C603,'RAW DATA 2023'!E:BP,63,0)</f>
        <v>5</v>
      </c>
      <c r="E603" t="str">
        <f t="shared" si="47"/>
        <v>Lucky15</v>
      </c>
      <c r="F603">
        <f>ROUND(VLOOKUP(C603,'RAW DATA 2023'!E:BO,23,0),0)</f>
        <v>47</v>
      </c>
      <c r="G603" s="16">
        <f>VLOOKUP(C603,'RAW DATA 2023'!E:BO,27,0)</f>
        <v>3.0353770935041116</v>
      </c>
      <c r="H603" s="16">
        <f>IFERROR(VLOOKUP(F603,STD!B:G,5,0),0)</f>
        <v>1.53</v>
      </c>
      <c r="I603" s="21">
        <f t="shared" si="48"/>
        <v>0.50405598805970153</v>
      </c>
      <c r="J603" s="16">
        <f t="shared" si="49"/>
        <v>8.1119761194030637E-2</v>
      </c>
      <c r="K603" s="106" t="str">
        <f>VLOOKUP(C603,'RAW DATA 2023'!E:BO,36,0)</f>
        <v>กุ้งร่วง</v>
      </c>
      <c r="L603" s="106">
        <f>VLOOKUP(C603,'RAW DATA 2023'!E:BO,21,0)</f>
        <v>5.9682599999999999</v>
      </c>
      <c r="M603" s="106">
        <f t="shared" si="50"/>
        <v>0.48414382594388528</v>
      </c>
    </row>
    <row r="604" spans="1:13">
      <c r="A604" t="str">
        <f>'RAW DATA 2023'!B597</f>
        <v>Lucky1</v>
      </c>
      <c r="B604" t="str">
        <f>'RAW DATA 2023'!D597</f>
        <v>BG-028-0012</v>
      </c>
      <c r="C604" t="str">
        <f t="shared" si="46"/>
        <v>Lucky1BG-028-0012</v>
      </c>
      <c r="D604">
        <f>VLOOKUP(C604,'RAW DATA 2023'!E:BP,63,0)</f>
        <v>6</v>
      </c>
      <c r="E604" t="str">
        <f t="shared" si="47"/>
        <v>Lucky16</v>
      </c>
      <c r="F604">
        <f>ROUND(VLOOKUP(C604,'RAW DATA 2023'!E:BO,23,0),0)</f>
        <v>30</v>
      </c>
      <c r="G604" s="16">
        <f>VLOOKUP(C604,'RAW DATA 2023'!E:BO,27,0)</f>
        <v>2.2071164637247174</v>
      </c>
      <c r="H604" s="16">
        <f>IFERROR(VLOOKUP(F604,STD!B:G,5,0),0)</f>
        <v>1.87</v>
      </c>
      <c r="I604" s="21">
        <f t="shared" si="48"/>
        <v>0.8472593226205194</v>
      </c>
      <c r="J604" s="16">
        <f t="shared" si="49"/>
        <v>6.9451864524103879</v>
      </c>
      <c r="K604" s="106" t="str">
        <f>VLOOKUP(C604,'RAW DATA 2023'!E:BO,36,0)</f>
        <v>ทยอยตาย</v>
      </c>
      <c r="L604" s="106">
        <f>VLOOKUP(C604,'RAW DATA 2023'!E:BO,21,0)</f>
        <v>18.877080000000003</v>
      </c>
      <c r="M604" s="106">
        <f t="shared" si="50"/>
        <v>131.1048402770671</v>
      </c>
    </row>
    <row r="605" spans="1:13">
      <c r="A605" t="str">
        <f>'RAW DATA 2023'!B598</f>
        <v>Lucky1</v>
      </c>
      <c r="B605" t="str">
        <f>'RAW DATA 2023'!D598</f>
        <v>BG-027-0012</v>
      </c>
      <c r="C605" t="str">
        <f t="shared" si="46"/>
        <v>Lucky1BG-027-0012</v>
      </c>
      <c r="D605">
        <f>VLOOKUP(C605,'RAW DATA 2023'!E:BP,63,0)</f>
        <v>10</v>
      </c>
      <c r="E605" t="str">
        <f t="shared" si="47"/>
        <v>Lucky110</v>
      </c>
      <c r="F605">
        <f>ROUND(VLOOKUP(C605,'RAW DATA 2023'!E:BO,23,0),0)</f>
        <v>35</v>
      </c>
      <c r="G605" s="16">
        <f>VLOOKUP(C605,'RAW DATA 2023'!E:BO,27,0)</f>
        <v>1.6587042826703644</v>
      </c>
      <c r="H605" s="16">
        <f>IFERROR(VLOOKUP(F605,STD!B:G,5,0),0)</f>
        <v>1.75</v>
      </c>
      <c r="I605" s="21">
        <f t="shared" si="48"/>
        <v>1.0550403819918146</v>
      </c>
      <c r="J605" s="16">
        <f t="shared" si="49"/>
        <v>11.100807639836292</v>
      </c>
      <c r="K605" s="106" t="str">
        <f>VLOOKUP(C605,'RAW DATA 2023'!E:BO,36,0)</f>
        <v>EHP</v>
      </c>
      <c r="L605" s="106">
        <f>VLOOKUP(C605,'RAW DATA 2023'!E:BO,21,0)</f>
        <v>22.795560000000002</v>
      </c>
      <c r="M605" s="106">
        <f t="shared" si="50"/>
        <v>253.0491266023466</v>
      </c>
    </row>
    <row r="606" spans="1:13">
      <c r="A606" t="str">
        <f>'RAW DATA 2023'!B599</f>
        <v>Lucky1</v>
      </c>
      <c r="B606" t="str">
        <f>'RAW DATA 2023'!D599</f>
        <v>BG-025-0010</v>
      </c>
      <c r="C606" t="str">
        <f t="shared" si="46"/>
        <v>Lucky1BG-025-0010</v>
      </c>
      <c r="D606">
        <f>VLOOKUP(C606,'RAW DATA 2023'!E:BP,63,0)</f>
        <v>8</v>
      </c>
      <c r="E606" t="str">
        <f t="shared" si="47"/>
        <v>Lucky18</v>
      </c>
      <c r="F606">
        <f>ROUND(VLOOKUP(C606,'RAW DATA 2023'!E:BO,23,0),0)</f>
        <v>25</v>
      </c>
      <c r="G606" s="16">
        <f>VLOOKUP(C606,'RAW DATA 2023'!E:BO,27,0)</f>
        <v>2.5585024800208087</v>
      </c>
      <c r="H606" s="16">
        <f>IFERROR(VLOOKUP(F606,STD!B:G,5,0),0)</f>
        <v>2.04</v>
      </c>
      <c r="I606" s="21">
        <f t="shared" si="48"/>
        <v>0.79734141980718676</v>
      </c>
      <c r="J606" s="16">
        <f t="shared" si="49"/>
        <v>5.9468283961437347</v>
      </c>
      <c r="K606" s="106" t="str">
        <f>VLOOKUP(C606,'RAW DATA 2023'!E:BO,36,0)</f>
        <v>Normal</v>
      </c>
      <c r="L606" s="106">
        <f>VLOOKUP(C606,'RAW DATA 2023'!E:BO,21,0)</f>
        <v>22.848200000000002</v>
      </c>
      <c r="M606" s="106">
        <f t="shared" si="50"/>
        <v>135.8743245607713</v>
      </c>
    </row>
    <row r="607" spans="1:13">
      <c r="A607" t="str">
        <f>'RAW DATA 2023'!B600</f>
        <v>Lucky1</v>
      </c>
      <c r="B607" t="str">
        <f>'RAW DATA 2023'!D600</f>
        <v>BG-026-0011</v>
      </c>
      <c r="C607" t="str">
        <f t="shared" si="46"/>
        <v>Lucky1BG-026-0011</v>
      </c>
      <c r="D607">
        <f>VLOOKUP(C607,'RAW DATA 2023'!E:BP,63,0)</f>
        <v>2</v>
      </c>
      <c r="E607" t="str">
        <f t="shared" si="47"/>
        <v>Lucky12</v>
      </c>
      <c r="F607">
        <f>ROUND(VLOOKUP(C607,'RAW DATA 2023'!E:BO,23,0),0)</f>
        <v>26</v>
      </c>
      <c r="G607" s="16">
        <f>VLOOKUP(C607,'RAW DATA 2023'!E:BO,27,0)</f>
        <v>4.1011605087614713</v>
      </c>
      <c r="H607" s="16">
        <f>IFERROR(VLOOKUP(F607,STD!B:G,5,0),0)</f>
        <v>2</v>
      </c>
      <c r="I607" s="21">
        <f t="shared" si="48"/>
        <v>0.48766684350132627</v>
      </c>
      <c r="J607" s="16">
        <f t="shared" si="49"/>
        <v>-0.2466631299734745</v>
      </c>
      <c r="K607" s="106" t="str">
        <f>VLOOKUP(C607,'RAW DATA 2023'!E:BO,36,0)</f>
        <v>Normal</v>
      </c>
      <c r="L607" s="106">
        <f>VLOOKUP(C607,'RAW DATA 2023'!E:BO,21,0)</f>
        <v>7.0443899999999999</v>
      </c>
      <c r="M607" s="106">
        <f t="shared" si="50"/>
        <v>-1.7375912861538441</v>
      </c>
    </row>
    <row r="608" spans="1:13">
      <c r="A608" t="str">
        <f>'RAW DATA 2023'!B601</f>
        <v>Lucky1</v>
      </c>
      <c r="B608" t="str">
        <f>'RAW DATA 2023'!D601</f>
        <v>BG-026-0013</v>
      </c>
      <c r="C608" t="str">
        <f t="shared" si="46"/>
        <v>Lucky1BG-026-0013</v>
      </c>
      <c r="D608">
        <f>VLOOKUP(C608,'RAW DATA 2023'!E:BP,63,0)</f>
        <v>8</v>
      </c>
      <c r="E608" t="str">
        <f t="shared" si="47"/>
        <v>Lucky18</v>
      </c>
      <c r="F608">
        <f>ROUND(VLOOKUP(C608,'RAW DATA 2023'!E:BO,23,0),0)</f>
        <v>59</v>
      </c>
      <c r="G608" s="16">
        <f>VLOOKUP(C608,'RAW DATA 2023'!E:BO,27,0)</f>
        <v>1.6969361525191069</v>
      </c>
      <c r="H608" s="16">
        <f>IFERROR(VLOOKUP(F608,STD!B:G,5,0),0)</f>
        <v>1.41</v>
      </c>
      <c r="I608" s="21">
        <f t="shared" si="48"/>
        <v>0.83090928194726166</v>
      </c>
      <c r="J608" s="16">
        <f t="shared" si="49"/>
        <v>6.6181856389452332</v>
      </c>
      <c r="K608" s="106" t="str">
        <f>VLOOKUP(C608,'RAW DATA 2023'!E:BO,36,0)</f>
        <v>ทยอยตาย</v>
      </c>
      <c r="L608" s="106">
        <f>VLOOKUP(C608,'RAW DATA 2023'!E:BO,21,0)</f>
        <v>8.26309</v>
      </c>
      <c r="M608" s="106">
        <f t="shared" si="50"/>
        <v>54.686663571311968</v>
      </c>
    </row>
    <row r="609" spans="1:13">
      <c r="A609" t="str">
        <f>'RAW DATA 2023'!B602</f>
        <v>Lucky1</v>
      </c>
      <c r="B609" t="str">
        <f>'RAW DATA 2023'!D602</f>
        <v>BG-025-0009</v>
      </c>
      <c r="C609" t="str">
        <f t="shared" si="46"/>
        <v>Lucky1BG-025-0009</v>
      </c>
      <c r="D609">
        <f>VLOOKUP(C609,'RAW DATA 2023'!E:BP,63,0)</f>
        <v>2</v>
      </c>
      <c r="E609" t="str">
        <f t="shared" si="47"/>
        <v>Lucky12</v>
      </c>
      <c r="F609">
        <f>ROUND(VLOOKUP(C609,'RAW DATA 2023'!E:BO,23,0),0)</f>
        <v>28</v>
      </c>
      <c r="G609" s="16">
        <f>VLOOKUP(C609,'RAW DATA 2023'!E:BO,27,0)</f>
        <v>3.5046309748025428</v>
      </c>
      <c r="H609" s="16">
        <f>IFERROR(VLOOKUP(F609,STD!B:G,5,0),0)</f>
        <v>1.93</v>
      </c>
      <c r="I609" s="21">
        <f t="shared" si="48"/>
        <v>0.55069992072667207</v>
      </c>
      <c r="J609" s="16">
        <f t="shared" si="49"/>
        <v>1.0139984145334413</v>
      </c>
      <c r="K609" s="106" t="str">
        <f>VLOOKUP(C609,'RAW DATA 2023'!E:BO,36,0)</f>
        <v>Normal</v>
      </c>
      <c r="L609" s="106">
        <f>VLOOKUP(C609,'RAW DATA 2023'!E:BO,21,0)</f>
        <v>8.7685700000000004</v>
      </c>
      <c r="M609" s="106">
        <f t="shared" si="50"/>
        <v>8.8913160777254987</v>
      </c>
    </row>
    <row r="610" spans="1:13">
      <c r="A610" t="str">
        <f>'RAW DATA 2023'!B603</f>
        <v>Lucky1</v>
      </c>
      <c r="B610" t="str">
        <f>'RAW DATA 2023'!D603</f>
        <v>BG-027-0011</v>
      </c>
      <c r="C610" t="str">
        <f t="shared" si="46"/>
        <v>Lucky1BG-027-0011</v>
      </c>
      <c r="D610">
        <f>VLOOKUP(C610,'RAW DATA 2023'!E:BP,63,0)</f>
        <v>6</v>
      </c>
      <c r="E610" t="str">
        <f t="shared" si="47"/>
        <v>Lucky16</v>
      </c>
      <c r="F610">
        <f>ROUND(VLOOKUP(C610,'RAW DATA 2023'!E:BO,23,0),0)</f>
        <v>52</v>
      </c>
      <c r="G610" s="16">
        <f>VLOOKUP(C610,'RAW DATA 2023'!E:BO,27,0)</f>
        <v>2.5095761091243132</v>
      </c>
      <c r="H610" s="16">
        <f>IFERROR(VLOOKUP(F610,STD!B:G,5,0),0)</f>
        <v>1.47</v>
      </c>
      <c r="I610" s="21">
        <f t="shared" si="48"/>
        <v>0.58575629352517988</v>
      </c>
      <c r="J610" s="16">
        <f t="shared" si="49"/>
        <v>1.7151258705035977</v>
      </c>
      <c r="K610" s="106" t="str">
        <f>VLOOKUP(C610,'RAW DATA 2023'!E:BO,36,0)</f>
        <v>ทยอยตาย</v>
      </c>
      <c r="L610" s="106">
        <f>VLOOKUP(C610,'RAW DATA 2023'!E:BO,21,0)</f>
        <v>7.30342</v>
      </c>
      <c r="M610" s="106">
        <f t="shared" si="50"/>
        <v>12.526284585153386</v>
      </c>
    </row>
    <row r="611" spans="1:13">
      <c r="A611" t="str">
        <f>'RAW DATA 2023'!B604</f>
        <v>Lucky1</v>
      </c>
      <c r="B611" t="str">
        <f>'RAW DATA 2023'!D604</f>
        <v>BG-028-0011</v>
      </c>
      <c r="C611" t="str">
        <f t="shared" si="46"/>
        <v>Lucky1BG-028-0011</v>
      </c>
      <c r="D611">
        <f>VLOOKUP(C611,'RAW DATA 2023'!E:BP,63,0)</f>
        <v>2</v>
      </c>
      <c r="E611" t="str">
        <f t="shared" si="47"/>
        <v>Lucky12</v>
      </c>
      <c r="F611">
        <f>ROUND(VLOOKUP(C611,'RAW DATA 2023'!E:BO,23,0),0)</f>
        <v>29</v>
      </c>
      <c r="G611" s="16">
        <f>VLOOKUP(C611,'RAW DATA 2023'!E:BO,27,0)</f>
        <v>3.7405539923095397</v>
      </c>
      <c r="H611" s="16">
        <f>IFERROR(VLOOKUP(F611,STD!B:G,5,0),0)</f>
        <v>1.9</v>
      </c>
      <c r="I611" s="21">
        <f t="shared" si="48"/>
        <v>0.50794615019762834</v>
      </c>
      <c r="J611" s="16">
        <f t="shared" si="49"/>
        <v>0.15892300395256687</v>
      </c>
      <c r="K611" s="106" t="str">
        <f>VLOOKUP(C611,'RAW DATA 2023'!E:BO,36,0)</f>
        <v>Normal</v>
      </c>
      <c r="L611" s="106">
        <f>VLOOKUP(C611,'RAW DATA 2023'!E:BO,21,0)</f>
        <v>8.5846299999999989</v>
      </c>
      <c r="M611" s="106">
        <f t="shared" si="50"/>
        <v>1.3642951874213238</v>
      </c>
    </row>
    <row r="612" spans="1:13">
      <c r="A612" t="str">
        <f>'RAW DATA 2023'!B605</f>
        <v>Lucky1</v>
      </c>
      <c r="B612" t="str">
        <f>'RAW DATA 2023'!D605</f>
        <v>BG-027-0010</v>
      </c>
      <c r="C612" t="str">
        <f t="shared" si="46"/>
        <v>Lucky1BG-027-0010</v>
      </c>
      <c r="D612">
        <f>VLOOKUP(C612,'RAW DATA 2023'!E:BP,63,0)</f>
        <v>2</v>
      </c>
      <c r="E612" t="str">
        <f t="shared" si="47"/>
        <v>Lucky12</v>
      </c>
      <c r="F612">
        <f>ROUND(VLOOKUP(C612,'RAW DATA 2023'!E:BO,23,0),0)</f>
        <v>27</v>
      </c>
      <c r="G612" s="16">
        <f>VLOOKUP(C612,'RAW DATA 2023'!E:BO,27,0)</f>
        <v>2.4120471894083981</v>
      </c>
      <c r="H612" s="16">
        <f>IFERROR(VLOOKUP(F612,STD!B:G,5,0),0)</f>
        <v>1.96</v>
      </c>
      <c r="I612" s="21">
        <f t="shared" si="48"/>
        <v>0.81258775060728738</v>
      </c>
      <c r="J612" s="16">
        <f t="shared" si="49"/>
        <v>6.2517550121457477</v>
      </c>
      <c r="K612" s="106" t="str">
        <f>VLOOKUP(C612,'RAW DATA 2023'!E:BO,36,0)</f>
        <v>Normal</v>
      </c>
      <c r="L612" s="106">
        <f>VLOOKUP(C612,'RAW DATA 2023'!E:BO,21,0)</f>
        <v>13.00033</v>
      </c>
      <c r="M612" s="106">
        <f t="shared" si="50"/>
        <v>81.274878237048725</v>
      </c>
    </row>
    <row r="613" spans="1:13">
      <c r="A613" t="str">
        <f>'RAW DATA 2023'!B606</f>
        <v>Lucky1</v>
      </c>
      <c r="B613" t="str">
        <f>'RAW DATA 2023'!D606</f>
        <v>BG-028-0013</v>
      </c>
      <c r="C613" t="str">
        <f t="shared" si="46"/>
        <v>Lucky1BG-028-0013</v>
      </c>
      <c r="D613">
        <f>VLOOKUP(C613,'RAW DATA 2023'!E:BP,63,0)</f>
        <v>9</v>
      </c>
      <c r="E613" t="str">
        <f t="shared" si="47"/>
        <v>Lucky19</v>
      </c>
      <c r="F613">
        <f>ROUND(VLOOKUP(C613,'RAW DATA 2023'!E:BO,23,0),0)</f>
        <v>68</v>
      </c>
      <c r="G613" s="16">
        <f>VLOOKUP(C613,'RAW DATA 2023'!E:BO,27,0)</f>
        <v>1.3132127356218337</v>
      </c>
      <c r="H613" s="16">
        <f>IFERROR(VLOOKUP(F613,STD!B:G,5,0),0)</f>
        <v>1.35</v>
      </c>
      <c r="I613" s="21">
        <f t="shared" si="48"/>
        <v>1.0280131797235021</v>
      </c>
      <c r="J613" s="16">
        <f t="shared" si="49"/>
        <v>10.560263594470044</v>
      </c>
      <c r="K613" s="106" t="str">
        <f>VLOOKUP(C613,'RAW DATA 2023'!E:BO,36,0)</f>
        <v>EHP</v>
      </c>
      <c r="L613" s="106">
        <f>VLOOKUP(C613,'RAW DATA 2023'!E:BO,21,0)</f>
        <v>12.7433</v>
      </c>
      <c r="M613" s="106">
        <f t="shared" si="50"/>
        <v>134.57260706341012</v>
      </c>
    </row>
    <row r="614" spans="1:13">
      <c r="A614" t="str">
        <f>'RAW DATA 2023'!B607</f>
        <v>Lucky1</v>
      </c>
      <c r="B614" t="str">
        <f>'RAW DATA 2023'!D607</f>
        <v>B1-015-0007</v>
      </c>
      <c r="C614" t="str">
        <f t="shared" si="46"/>
        <v>Lucky1B1-015-0007</v>
      </c>
      <c r="D614">
        <f>VLOOKUP(C614,'RAW DATA 2023'!E:BP,63,0)</f>
        <v>5</v>
      </c>
      <c r="E614" t="str">
        <f t="shared" si="47"/>
        <v>Lucky15</v>
      </c>
      <c r="F614">
        <f>ROUND(VLOOKUP(C614,'RAW DATA 2023'!E:BO,23,0),0)</f>
        <v>39</v>
      </c>
      <c r="G614" s="16">
        <f>VLOOKUP(C614,'RAW DATA 2023'!E:BO,27,0)</f>
        <v>1.7355740839683924</v>
      </c>
      <c r="H614" s="16">
        <f>IFERROR(VLOOKUP(F614,STD!B:G,5,0),0)</f>
        <v>1.64</v>
      </c>
      <c r="I614" s="21">
        <f t="shared" si="48"/>
        <v>0.94493229367088594</v>
      </c>
      <c r="J614" s="16">
        <f t="shared" si="49"/>
        <v>8.8986458734177187</v>
      </c>
      <c r="K614" s="106" t="str">
        <f>VLOOKUP(C614,'RAW DATA 2023'!E:BO,36,0)</f>
        <v>ทยอยตาย</v>
      </c>
      <c r="L614" s="106">
        <f>VLOOKUP(C614,'RAW DATA 2023'!E:BO,21,0)</f>
        <v>17.339279999999999</v>
      </c>
      <c r="M614" s="106">
        <f t="shared" si="50"/>
        <v>154.29611242003438</v>
      </c>
    </row>
    <row r="615" spans="1:13">
      <c r="A615" t="str">
        <f>'RAW DATA 2023'!B608</f>
        <v>Lucky1</v>
      </c>
      <c r="B615" t="str">
        <f>'RAW DATA 2023'!D608</f>
        <v>B1-017-0013</v>
      </c>
      <c r="C615" t="str">
        <f t="shared" si="46"/>
        <v>Lucky1B1-017-0013</v>
      </c>
      <c r="D615">
        <f>VLOOKUP(C615,'RAW DATA 2023'!E:BP,63,0)</f>
        <v>5</v>
      </c>
      <c r="E615" t="str">
        <f t="shared" si="47"/>
        <v>Lucky15</v>
      </c>
      <c r="F615">
        <f>ROUND(VLOOKUP(C615,'RAW DATA 2023'!E:BO,23,0),0)</f>
        <v>39</v>
      </c>
      <c r="G615" s="16">
        <f>VLOOKUP(C615,'RAW DATA 2023'!E:BO,27,0)</f>
        <v>1.8314736910033464</v>
      </c>
      <c r="H615" s="16">
        <f>IFERROR(VLOOKUP(F615,STD!B:G,5,0),0)</f>
        <v>1.64</v>
      </c>
      <c r="I615" s="21">
        <f t="shared" si="48"/>
        <v>0.89545375838926167</v>
      </c>
      <c r="J615" s="16">
        <f t="shared" si="49"/>
        <v>7.9090751677852333</v>
      </c>
      <c r="K615" s="106" t="str">
        <f>VLOOKUP(C615,'RAW DATA 2023'!E:BO,36,0)</f>
        <v>ทยอยตาย</v>
      </c>
      <c r="L615" s="106">
        <f>VLOOKUP(C615,'RAW DATA 2023'!E:BO,21,0)</f>
        <v>16.751049999999999</v>
      </c>
      <c r="M615" s="106">
        <f t="shared" si="50"/>
        <v>132.48531358932883</v>
      </c>
    </row>
    <row r="616" spans="1:13">
      <c r="A616" t="str">
        <f>'RAW DATA 2023'!B609</f>
        <v>Lucky1</v>
      </c>
      <c r="B616" t="str">
        <f>'RAW DATA 2023'!D609</f>
        <v>B1-020-0010</v>
      </c>
      <c r="C616" t="str">
        <f t="shared" si="46"/>
        <v>Lucky1B1-020-0010</v>
      </c>
      <c r="D616">
        <f>VLOOKUP(C616,'RAW DATA 2023'!E:BP,63,0)</f>
        <v>2</v>
      </c>
      <c r="E616" t="str">
        <f t="shared" si="47"/>
        <v>Lucky12</v>
      </c>
      <c r="F616">
        <f>ROUND(VLOOKUP(C616,'RAW DATA 2023'!E:BO,23,0),0)</f>
        <v>31</v>
      </c>
      <c r="G616" s="16">
        <f>VLOOKUP(C616,'RAW DATA 2023'!E:BO,27,0)</f>
        <v>1.791772821034878</v>
      </c>
      <c r="H616" s="16">
        <f>IFERROR(VLOOKUP(F616,STD!B:G,5,0),0)</f>
        <v>1.84</v>
      </c>
      <c r="I616" s="21">
        <f t="shared" si="48"/>
        <v>1.0269159004975126</v>
      </c>
      <c r="J616" s="16">
        <f t="shared" si="49"/>
        <v>10.538318009950252</v>
      </c>
      <c r="K616" s="106" t="str">
        <f>VLOOKUP(C616,'RAW DATA 2023'!E:BO,36,0)</f>
        <v>Normal</v>
      </c>
      <c r="L616" s="106">
        <f>VLOOKUP(C616,'RAW DATA 2023'!E:BO,21,0)</f>
        <v>16.936910000000001</v>
      </c>
      <c r="M616" s="106">
        <f t="shared" si="50"/>
        <v>178.48654368590655</v>
      </c>
    </row>
    <row r="617" spans="1:13">
      <c r="A617" t="str">
        <f>'RAW DATA 2023'!B610</f>
        <v>Lucky1</v>
      </c>
      <c r="B617" t="str">
        <f>'RAW DATA 2023'!D610</f>
        <v>B1-019-0012</v>
      </c>
      <c r="C617" t="str">
        <f t="shared" si="46"/>
        <v>Lucky1B1-019-0012</v>
      </c>
      <c r="D617">
        <f>VLOOKUP(C617,'RAW DATA 2023'!E:BP,63,0)</f>
        <v>2</v>
      </c>
      <c r="E617" t="str">
        <f t="shared" si="47"/>
        <v>Lucky12</v>
      </c>
      <c r="F617">
        <f>ROUND(VLOOKUP(C617,'RAW DATA 2023'!E:BO,23,0),0)</f>
        <v>33</v>
      </c>
      <c r="G617" s="16">
        <f>VLOOKUP(C617,'RAW DATA 2023'!E:BO,27,0)</f>
        <v>1.7461311181070271</v>
      </c>
      <c r="H617" s="16">
        <f>IFERROR(VLOOKUP(F617,STD!B:G,5,0),0)</f>
        <v>1.8</v>
      </c>
      <c r="I617" s="21">
        <f t="shared" si="48"/>
        <v>1.0308504220183488</v>
      </c>
      <c r="J617" s="16">
        <f t="shared" si="49"/>
        <v>10.617008440366975</v>
      </c>
      <c r="K617" s="106" t="str">
        <f>VLOOKUP(C617,'RAW DATA 2023'!E:BO,36,0)</f>
        <v>EHP</v>
      </c>
      <c r="L617" s="106">
        <f>VLOOKUP(C617,'RAW DATA 2023'!E:BO,21,0)</f>
        <v>15.710430000000001</v>
      </c>
      <c r="M617" s="106">
        <f t="shared" si="50"/>
        <v>166.79776791179455</v>
      </c>
    </row>
    <row r="618" spans="1:13">
      <c r="A618" t="str">
        <f>'RAW DATA 2023'!B611</f>
        <v>Lucky1</v>
      </c>
      <c r="B618" t="str">
        <f>'RAW DATA 2023'!D611</f>
        <v>B1-021-0013</v>
      </c>
      <c r="C618" t="str">
        <f t="shared" si="46"/>
        <v>Lucky1B1-021-0013</v>
      </c>
      <c r="D618">
        <f>VLOOKUP(C618,'RAW DATA 2023'!E:BP,63,0)</f>
        <v>2</v>
      </c>
      <c r="E618" t="str">
        <f t="shared" si="47"/>
        <v>Lucky12</v>
      </c>
      <c r="F618">
        <f>ROUND(VLOOKUP(C618,'RAW DATA 2023'!E:BO,23,0),0)</f>
        <v>28</v>
      </c>
      <c r="G618" s="16">
        <f>VLOOKUP(C618,'RAW DATA 2023'!E:BO,27,0)</f>
        <v>1.9629480296245996</v>
      </c>
      <c r="H618" s="16">
        <f>IFERROR(VLOOKUP(F618,STD!B:G,5,0),0)</f>
        <v>1.93</v>
      </c>
      <c r="I618" s="21">
        <f t="shared" si="48"/>
        <v>0.9832150270270269</v>
      </c>
      <c r="J618" s="16">
        <f t="shared" si="49"/>
        <v>9.6643005405405376</v>
      </c>
      <c r="K618" s="106" t="str">
        <f>VLOOKUP(C618,'RAW DATA 2023'!E:BO,36,0)</f>
        <v>Normal</v>
      </c>
      <c r="L618" s="106">
        <f>VLOOKUP(C618,'RAW DATA 2023'!E:BO,21,0)</f>
        <v>18.01126</v>
      </c>
      <c r="M618" s="106">
        <f t="shared" si="50"/>
        <v>174.06622975381617</v>
      </c>
    </row>
    <row r="619" spans="1:13">
      <c r="A619" t="str">
        <f>'RAW DATA 2023'!B612</f>
        <v>Lucky1</v>
      </c>
      <c r="B619" t="str">
        <f>'RAW DATA 2023'!D612</f>
        <v>B1-018-0011</v>
      </c>
      <c r="C619" t="str">
        <f t="shared" si="46"/>
        <v>Lucky1B1-018-0011</v>
      </c>
      <c r="D619">
        <f>VLOOKUP(C619,'RAW DATA 2023'!E:BP,63,0)</f>
        <v>2</v>
      </c>
      <c r="E619" t="str">
        <f t="shared" si="47"/>
        <v>Lucky12</v>
      </c>
      <c r="F619">
        <f>ROUND(VLOOKUP(C619,'RAW DATA 2023'!E:BO,23,0),0)</f>
        <v>32</v>
      </c>
      <c r="G619" s="16">
        <f>VLOOKUP(C619,'RAW DATA 2023'!E:BO,27,0)</f>
        <v>1.9215411066576371</v>
      </c>
      <c r="H619" s="16">
        <f>IFERROR(VLOOKUP(F619,STD!B:G,5,0),0)</f>
        <v>1.82</v>
      </c>
      <c r="I619" s="21">
        <f t="shared" si="48"/>
        <v>0.94715642236024844</v>
      </c>
      <c r="J619" s="16">
        <f t="shared" si="49"/>
        <v>8.9431284472049697</v>
      </c>
      <c r="K619" s="106" t="str">
        <f>VLOOKUP(C619,'RAW DATA 2023'!E:BO,36,0)</f>
        <v>Normal</v>
      </c>
      <c r="L619" s="106">
        <f>VLOOKUP(C619,'RAW DATA 2023'!E:BO,21,0)</f>
        <v>14.800240000000001</v>
      </c>
      <c r="M619" s="106">
        <f t="shared" si="50"/>
        <v>132.36044736946087</v>
      </c>
    </row>
    <row r="620" spans="1:13">
      <c r="A620" t="str">
        <f>'RAW DATA 2023'!B613</f>
        <v>Lucky1</v>
      </c>
      <c r="B620" t="str">
        <f>'RAW DATA 2023'!D613</f>
        <v>B1-016-0004</v>
      </c>
      <c r="C620" t="str">
        <f t="shared" si="46"/>
        <v>Lucky1B1-016-0004</v>
      </c>
      <c r="D620">
        <f>VLOOKUP(C620,'RAW DATA 2023'!E:BP,63,0)</f>
        <v>5</v>
      </c>
      <c r="E620" t="str">
        <f t="shared" si="47"/>
        <v>Lucky15</v>
      </c>
      <c r="F620">
        <f>ROUND(VLOOKUP(C620,'RAW DATA 2023'!E:BO,23,0),0)</f>
        <v>57</v>
      </c>
      <c r="G620" s="16">
        <f>VLOOKUP(C620,'RAW DATA 2023'!E:BO,27,0)</f>
        <v>1.3698174085412798</v>
      </c>
      <c r="H620" s="16">
        <f>IFERROR(VLOOKUP(F620,STD!B:G,5,0),0)</f>
        <v>1.43</v>
      </c>
      <c r="I620" s="21">
        <f t="shared" si="48"/>
        <v>1.0439347544303796</v>
      </c>
      <c r="J620" s="16">
        <f t="shared" si="49"/>
        <v>10.878695088607593</v>
      </c>
      <c r="K620" s="106" t="str">
        <f>VLOOKUP(C620,'RAW DATA 2023'!E:BO,36,0)</f>
        <v>EHP</v>
      </c>
      <c r="L620" s="106">
        <f>VLOOKUP(C620,'RAW DATA 2023'!E:BO,21,0)</f>
        <v>14.68798</v>
      </c>
      <c r="M620" s="106">
        <f t="shared" si="50"/>
        <v>159.78605588756653</v>
      </c>
    </row>
    <row r="621" spans="1:13">
      <c r="A621" t="str">
        <f>'RAW DATA 2023'!B614</f>
        <v>Lucky1</v>
      </c>
      <c r="B621" t="str">
        <f>'RAW DATA 2023'!D614</f>
        <v>B1-022-0010</v>
      </c>
      <c r="C621" t="str">
        <f t="shared" si="46"/>
        <v>Lucky1B1-022-0010</v>
      </c>
      <c r="D621">
        <f>VLOOKUP(C621,'RAW DATA 2023'!E:BP,63,0)</f>
        <v>2</v>
      </c>
      <c r="E621" t="str">
        <f t="shared" si="47"/>
        <v>Lucky12</v>
      </c>
      <c r="F621">
        <f>ROUND(VLOOKUP(C621,'RAW DATA 2023'!E:BO,23,0),0)</f>
        <v>40</v>
      </c>
      <c r="G621" s="16">
        <f>VLOOKUP(C621,'RAW DATA 2023'!E:BO,27,0)</f>
        <v>1.6223322648639684</v>
      </c>
      <c r="H621" s="16">
        <f>IFERROR(VLOOKUP(F621,STD!B:G,5,0),0)</f>
        <v>1.63</v>
      </c>
      <c r="I621" s="21">
        <f t="shared" si="48"/>
        <v>1.0047263654320988</v>
      </c>
      <c r="J621" s="16">
        <f t="shared" si="49"/>
        <v>10.094527308641975</v>
      </c>
      <c r="K621" s="106" t="str">
        <f>VLOOKUP(C621,'RAW DATA 2023'!E:BO,36,0)</f>
        <v>EHP</v>
      </c>
      <c r="L621" s="106">
        <f>VLOOKUP(C621,'RAW DATA 2023'!E:BO,21,0)</f>
        <v>12.58653</v>
      </c>
      <c r="M621" s="106">
        <f t="shared" si="50"/>
        <v>127.05507080604148</v>
      </c>
    </row>
    <row r="622" spans="1:13">
      <c r="A622" t="str">
        <f>'RAW DATA 2023'!B615</f>
        <v>Lucky1</v>
      </c>
      <c r="B622" t="str">
        <f>'RAW DATA 2023'!D615</f>
        <v>B1-017-0012</v>
      </c>
      <c r="C622" t="str">
        <f t="shared" si="46"/>
        <v>Lucky1B1-017-0012</v>
      </c>
      <c r="D622">
        <f>VLOOKUP(C622,'RAW DATA 2023'!E:BP,63,0)</f>
        <v>1</v>
      </c>
      <c r="E622" t="str">
        <f t="shared" si="47"/>
        <v>Lucky11</v>
      </c>
      <c r="F622">
        <f>ROUND(VLOOKUP(C622,'RAW DATA 2023'!E:BO,23,0),0)</f>
        <v>44</v>
      </c>
      <c r="G622" s="16">
        <f>VLOOKUP(C622,'RAW DATA 2023'!E:BO,27,0)</f>
        <v>1.7444961866178401</v>
      </c>
      <c r="H622" s="16">
        <f>IFERROR(VLOOKUP(F622,STD!B:G,5,0),0)</f>
        <v>1.57</v>
      </c>
      <c r="I622" s="21">
        <f t="shared" si="48"/>
        <v>0.89997330578512391</v>
      </c>
      <c r="J622" s="16">
        <f t="shared" si="49"/>
        <v>7.9994661157024787</v>
      </c>
      <c r="K622" s="106" t="str">
        <f>VLOOKUP(C622,'RAW DATA 2023'!E:BO,36,0)</f>
        <v>EHP</v>
      </c>
      <c r="L622" s="106">
        <f>VLOOKUP(C622,'RAW DATA 2023'!E:BO,21,0)</f>
        <v>10.541679999999999</v>
      </c>
      <c r="M622" s="106">
        <f t="shared" si="50"/>
        <v>84.327811962578508</v>
      </c>
    </row>
    <row r="623" spans="1:13">
      <c r="A623" t="str">
        <f>'RAW DATA 2023'!B616</f>
        <v>Lucky1</v>
      </c>
      <c r="B623" t="str">
        <f>'RAW DATA 2023'!D616</f>
        <v>B1-024-0011</v>
      </c>
      <c r="C623" t="str">
        <f t="shared" si="46"/>
        <v>Lucky1B1-024-0011</v>
      </c>
      <c r="D623">
        <f>VLOOKUP(C623,'RAW DATA 2023'!E:BP,63,0)</f>
        <v>1</v>
      </c>
      <c r="E623" t="str">
        <f t="shared" si="47"/>
        <v>Lucky11</v>
      </c>
      <c r="F623">
        <f>ROUND(VLOOKUP(C623,'RAW DATA 2023'!E:BO,23,0),0)</f>
        <v>48</v>
      </c>
      <c r="G623" s="16">
        <f>VLOOKUP(C623,'RAW DATA 2023'!E:BO,27,0)</f>
        <v>1.7016785876902334</v>
      </c>
      <c r="H623" s="16">
        <f>IFERROR(VLOOKUP(F623,STD!B:G,5,0),0)</f>
        <v>1.52</v>
      </c>
      <c r="I623" s="21">
        <f t="shared" si="48"/>
        <v>0.89323566212534056</v>
      </c>
      <c r="J623" s="16">
        <f t="shared" si="49"/>
        <v>7.8647132425068111</v>
      </c>
      <c r="K623" s="106" t="str">
        <f>VLOOKUP(C623,'RAW DATA 2023'!E:BO,36,0)</f>
        <v>Normal</v>
      </c>
      <c r="L623" s="106">
        <f>VLOOKUP(C623,'RAW DATA 2023'!E:BO,21,0)</f>
        <v>10.838469999999999</v>
      </c>
      <c r="M623" s="106">
        <f t="shared" si="50"/>
        <v>85.241458537512784</v>
      </c>
    </row>
    <row r="624" spans="1:13">
      <c r="A624" t="str">
        <f>'RAW DATA 2023'!B617</f>
        <v>Lucky1</v>
      </c>
      <c r="B624" t="str">
        <f>'RAW DATA 2023'!D617</f>
        <v>B1-021-0015</v>
      </c>
      <c r="C624" t="str">
        <f t="shared" si="46"/>
        <v>Lucky1B1-021-0015</v>
      </c>
      <c r="D624">
        <f>VLOOKUP(C624,'RAW DATA 2023'!E:BP,63,0)</f>
        <v>8</v>
      </c>
      <c r="E624" t="str">
        <f t="shared" si="47"/>
        <v>Lucky18</v>
      </c>
      <c r="F624">
        <f>ROUND(VLOOKUP(C624,'RAW DATA 2023'!E:BO,23,0),0)</f>
        <v>103</v>
      </c>
      <c r="G624" s="16">
        <f>VLOOKUP(C624,'RAW DATA 2023'!E:BO,27,0)</f>
        <v>1.2659247134829112</v>
      </c>
      <c r="H624" s="16">
        <f>IFERROR(VLOOKUP(F624,STD!B:G,5,0),0)</f>
        <v>1.21</v>
      </c>
      <c r="I624" s="21">
        <f t="shared" si="48"/>
        <v>0.95582303363914367</v>
      </c>
      <c r="J624" s="16">
        <f t="shared" si="49"/>
        <v>9.116460672782873</v>
      </c>
      <c r="K624" s="106" t="str">
        <f>VLOOKUP(C624,'RAW DATA 2023'!E:BO,36,0)</f>
        <v>EHP</v>
      </c>
      <c r="L624" s="106">
        <f>VLOOKUP(C624,'RAW DATA 2023'!E:BO,21,0)</f>
        <v>7.6577299999999999</v>
      </c>
      <c r="M624" s="106">
        <f t="shared" si="50"/>
        <v>69.811394387789591</v>
      </c>
    </row>
    <row r="625" spans="1:13">
      <c r="A625" t="str">
        <f>'RAW DATA 2023'!B618</f>
        <v>Lucky1</v>
      </c>
      <c r="B625" t="str">
        <f>'RAW DATA 2023'!D618</f>
        <v>B1-017-0014</v>
      </c>
      <c r="C625" t="str">
        <f t="shared" si="46"/>
        <v>Lucky1B1-017-0014</v>
      </c>
      <c r="D625">
        <f>VLOOKUP(C625,'RAW DATA 2023'!E:BP,63,0)</f>
        <v>9</v>
      </c>
      <c r="E625" t="str">
        <f t="shared" si="47"/>
        <v>Lucky19</v>
      </c>
      <c r="F625">
        <f>ROUND(VLOOKUP(C625,'RAW DATA 2023'!E:BO,23,0),0)</f>
        <v>90</v>
      </c>
      <c r="G625" s="16">
        <f>VLOOKUP(C625,'RAW DATA 2023'!E:BO,27,0)</f>
        <v>1.1637004684513375</v>
      </c>
      <c r="H625" s="16">
        <f>IFERROR(VLOOKUP(F625,STD!B:G,5,0),0)</f>
        <v>1.25</v>
      </c>
      <c r="I625" s="21">
        <f t="shared" si="48"/>
        <v>1.0741595744680852</v>
      </c>
      <c r="J625" s="16">
        <f t="shared" si="49"/>
        <v>11.483191489361705</v>
      </c>
      <c r="K625" s="106" t="str">
        <f>VLOOKUP(C625,'RAW DATA 2023'!E:BO,36,0)</f>
        <v>EHP</v>
      </c>
      <c r="L625" s="106">
        <f>VLOOKUP(C625,'RAW DATA 2023'!E:BO,21,0)</f>
        <v>11.456860000000001</v>
      </c>
      <c r="M625" s="106">
        <f t="shared" si="50"/>
        <v>131.56131724680856</v>
      </c>
    </row>
    <row r="626" spans="1:13">
      <c r="A626" t="str">
        <f>'RAW DATA 2023'!B619</f>
        <v>Lucky1</v>
      </c>
      <c r="B626" t="str">
        <f>'RAW DATA 2023'!D619</f>
        <v>B1-023-0013</v>
      </c>
      <c r="C626" t="str">
        <f t="shared" si="46"/>
        <v>Lucky1B1-023-0013</v>
      </c>
      <c r="D626">
        <f>VLOOKUP(C626,'RAW DATA 2023'!E:BP,63,0)</f>
        <v>1</v>
      </c>
      <c r="E626" t="str">
        <f t="shared" si="47"/>
        <v>Lucky11</v>
      </c>
      <c r="F626">
        <f>ROUND(VLOOKUP(C626,'RAW DATA 2023'!E:BO,23,0),0)</f>
        <v>76</v>
      </c>
      <c r="G626" s="16">
        <f>VLOOKUP(C626,'RAW DATA 2023'!E:BO,27,0)</f>
        <v>1.8556912984098461</v>
      </c>
      <c r="H626" s="16">
        <f>IFERROR(VLOOKUP(F626,STD!B:G,5,0),0)</f>
        <v>1.31</v>
      </c>
      <c r="I626" s="21">
        <f t="shared" si="48"/>
        <v>0.70593638129496405</v>
      </c>
      <c r="J626" s="16">
        <f t="shared" si="49"/>
        <v>4.1187276258992807</v>
      </c>
      <c r="K626" s="106" t="str">
        <f>VLOOKUP(C626,'RAW DATA 2023'!E:BO,36,0)</f>
        <v>WSSV</v>
      </c>
      <c r="L626" s="106">
        <f>VLOOKUP(C626,'RAW DATA 2023'!E:BO,21,0)</f>
        <v>7.6504700000000003</v>
      </c>
      <c r="M626" s="106">
        <f t="shared" si="50"/>
        <v>31.51020214011367</v>
      </c>
    </row>
    <row r="627" spans="1:13">
      <c r="A627" t="str">
        <f>'RAW DATA 2023'!B620</f>
        <v>Lucky1</v>
      </c>
      <c r="B627" t="str">
        <f>'RAW DATA 2023'!D620</f>
        <v>B1-019-0013</v>
      </c>
      <c r="C627" t="str">
        <f t="shared" si="46"/>
        <v>Lucky1B1-019-0013</v>
      </c>
      <c r="D627">
        <f>VLOOKUP(C627,'RAW DATA 2023'!E:BP,63,0)</f>
        <v>6</v>
      </c>
      <c r="E627" t="str">
        <f t="shared" si="47"/>
        <v>Lucky16</v>
      </c>
      <c r="F627">
        <f>ROUND(VLOOKUP(C627,'RAW DATA 2023'!E:BO,23,0),0)</f>
        <v>140</v>
      </c>
      <c r="G627" s="16">
        <f>VLOOKUP(C627,'RAW DATA 2023'!E:BO,27,0)</f>
        <v>1.3081089890676401</v>
      </c>
      <c r="H627" s="16">
        <f>IFERROR(VLOOKUP(F627,STD!B:G,5,0),0)</f>
        <v>1.107</v>
      </c>
      <c r="I627" s="21">
        <f t="shared" si="48"/>
        <v>0.8462597606557376</v>
      </c>
      <c r="J627" s="16">
        <f t="shared" si="49"/>
        <v>6.9251952131147521</v>
      </c>
      <c r="K627" s="106" t="str">
        <f>VLOOKUP(C627,'RAW DATA 2023'!E:BO,36,0)</f>
        <v>EHP</v>
      </c>
      <c r="L627" s="106">
        <f>VLOOKUP(C627,'RAW DATA 2023'!E:BO,21,0)</f>
        <v>3.5017199999999997</v>
      </c>
      <c r="M627" s="106">
        <f t="shared" si="50"/>
        <v>24.250094581668186</v>
      </c>
    </row>
    <row r="628" spans="1:13">
      <c r="A628" t="str">
        <f>'RAW DATA 2023'!B621</f>
        <v>Lucky1</v>
      </c>
      <c r="B628" t="str">
        <f>'RAW DATA 2023'!D621</f>
        <v>B1-021-0014</v>
      </c>
      <c r="C628" t="str">
        <f t="shared" si="46"/>
        <v>Lucky1B1-021-0014</v>
      </c>
      <c r="D628">
        <f>VLOOKUP(C628,'RAW DATA 2023'!E:BP,63,0)</f>
        <v>4</v>
      </c>
      <c r="E628" t="str">
        <f t="shared" si="47"/>
        <v>Lucky14</v>
      </c>
      <c r="F628">
        <f>ROUND(VLOOKUP(C628,'RAW DATA 2023'!E:BO,23,0),0)</f>
        <v>137</v>
      </c>
      <c r="G628" s="16">
        <f>VLOOKUP(C628,'RAW DATA 2023'!E:BO,27,0)</f>
        <v>1.2494261894537324</v>
      </c>
      <c r="H628" s="16">
        <f>IFERROR(VLOOKUP(F628,STD!B:G,5,0),0)</f>
        <v>1.107</v>
      </c>
      <c r="I628" s="21">
        <f t="shared" si="48"/>
        <v>0.88600671999999991</v>
      </c>
      <c r="J628" s="16">
        <f t="shared" si="49"/>
        <v>7.7201343999999983</v>
      </c>
      <c r="K628" s="106" t="str">
        <f>VLOOKUP(C628,'RAW DATA 2023'!E:BO,36,0)</f>
        <v>EHP</v>
      </c>
      <c r="L628" s="106">
        <f>VLOOKUP(C628,'RAW DATA 2023'!E:BO,21,0)</f>
        <v>5.8524799999999999</v>
      </c>
      <c r="M628" s="106">
        <f t="shared" si="50"/>
        <v>45.181932173311992</v>
      </c>
    </row>
    <row r="629" spans="1:13">
      <c r="A629" t="str">
        <f>'RAW DATA 2023'!B622</f>
        <v>Lucky1</v>
      </c>
      <c r="B629" t="str">
        <f>'RAW DATA 2023'!D622</f>
        <v>B1-020-0011</v>
      </c>
      <c r="C629" t="str">
        <f t="shared" si="46"/>
        <v>Lucky1B1-020-0011</v>
      </c>
      <c r="D629">
        <f>VLOOKUP(C629,'RAW DATA 2023'!E:BP,63,0)</f>
        <v>6</v>
      </c>
      <c r="E629" t="str">
        <f t="shared" si="47"/>
        <v>Lucky16</v>
      </c>
      <c r="F629">
        <f>ROUND(VLOOKUP(C629,'RAW DATA 2023'!E:BO,23,0),0)</f>
        <v>142</v>
      </c>
      <c r="G629" s="16">
        <f>VLOOKUP(C629,'RAW DATA 2023'!E:BO,27,0)</f>
        <v>1.4348619271500103</v>
      </c>
      <c r="H629" s="16">
        <f>IFERROR(VLOOKUP(F629,STD!B:G,5,0),0)</f>
        <v>1.0860000000000001</v>
      </c>
      <c r="I629" s="21">
        <f t="shared" si="48"/>
        <v>0.75686724935064931</v>
      </c>
      <c r="J629" s="16">
        <f t="shared" si="49"/>
        <v>5.1373449870129857</v>
      </c>
      <c r="K629" s="106" t="str">
        <f>VLOOKUP(C629,'RAW DATA 2023'!E:BO,36,0)</f>
        <v>EHP</v>
      </c>
      <c r="L629" s="106">
        <f>VLOOKUP(C629,'RAW DATA 2023'!E:BO,21,0)</f>
        <v>6.7665699999999998</v>
      </c>
      <c r="M629" s="106">
        <f t="shared" si="50"/>
        <v>34.76220446877246</v>
      </c>
    </row>
    <row r="630" spans="1:13">
      <c r="A630" t="str">
        <f>'RAW DATA 2023'!B623</f>
        <v>Lucky1</v>
      </c>
      <c r="B630" t="str">
        <f>'RAW DATA 2023'!D623</f>
        <v>B1-018-0012</v>
      </c>
      <c r="C630" t="str">
        <f t="shared" si="46"/>
        <v>Lucky1B1-018-0012</v>
      </c>
      <c r="D630">
        <f>VLOOKUP(C630,'RAW DATA 2023'!E:BP,63,0)</f>
        <v>5</v>
      </c>
      <c r="E630" t="str">
        <f t="shared" si="47"/>
        <v>Lucky15</v>
      </c>
      <c r="F630">
        <f>ROUND(VLOOKUP(C630,'RAW DATA 2023'!E:BO,23,0),0)</f>
        <v>0</v>
      </c>
      <c r="G630" s="16">
        <f>VLOOKUP(C630,'RAW DATA 2023'!E:BO,27,0)</f>
        <v>0</v>
      </c>
      <c r="H630" s="16">
        <f>IFERROR(VLOOKUP(F630,STD!B:G,5,0),0)</f>
        <v>0</v>
      </c>
      <c r="I630" s="21">
        <f t="shared" si="48"/>
        <v>0</v>
      </c>
      <c r="J630" s="16">
        <f t="shared" si="49"/>
        <v>-10</v>
      </c>
      <c r="K630" s="106" t="str">
        <f>VLOOKUP(C630,'RAW DATA 2023'!E:BO,36,0)</f>
        <v>EHP</v>
      </c>
      <c r="L630" s="106">
        <f>VLOOKUP(C630,'RAW DATA 2023'!E:BO,21,0)</f>
        <v>0</v>
      </c>
      <c r="M630" s="106">
        <f t="shared" si="50"/>
        <v>0</v>
      </c>
    </row>
    <row r="631" spans="1:13">
      <c r="A631" t="str">
        <f>'RAW DATA 2023'!B624</f>
        <v>Kamong</v>
      </c>
      <c r="B631" t="str">
        <f>'RAW DATA 2023'!D624</f>
        <v>AG-031-0013</v>
      </c>
      <c r="C631" t="str">
        <f t="shared" si="46"/>
        <v>KamongAG-031-0013</v>
      </c>
      <c r="D631">
        <f>VLOOKUP(C631,'RAW DATA 2023'!E:BP,63,0)</f>
        <v>9</v>
      </c>
      <c r="E631" t="str">
        <f t="shared" si="47"/>
        <v>Kamong9</v>
      </c>
      <c r="F631">
        <f>ROUND(VLOOKUP(C631,'RAW DATA 2023'!E:BO,23,0),0)</f>
        <v>38</v>
      </c>
      <c r="G631" s="16">
        <f>VLOOKUP(C631,'RAW DATA 2023'!E:BO,27,0)</f>
        <v>2.0337545974311673</v>
      </c>
      <c r="H631" s="16">
        <f>IFERROR(VLOOKUP(F631,STD!B:G,5,0),0)</f>
        <v>1.669</v>
      </c>
      <c r="I631" s="21">
        <f t="shared" si="48"/>
        <v>0.82064965070422546</v>
      </c>
      <c r="J631" s="16">
        <f t="shared" si="49"/>
        <v>6.4129930140845097</v>
      </c>
      <c r="K631" s="106" t="str">
        <f>VLOOKUP(C631,'RAW DATA 2023'!E:BO,36,0)</f>
        <v>Normal</v>
      </c>
      <c r="L631" s="106">
        <f>VLOOKUP(C631,'RAW DATA 2023'!E:BO,21,0)</f>
        <v>14.52258</v>
      </c>
      <c r="M631" s="106">
        <f t="shared" si="50"/>
        <v>93.133204086483417</v>
      </c>
    </row>
    <row r="632" spans="1:13">
      <c r="A632" t="str">
        <f>'RAW DATA 2023'!B625</f>
        <v>Kamong</v>
      </c>
      <c r="B632" t="str">
        <f>'RAW DATA 2023'!D625</f>
        <v>AG-011-0009</v>
      </c>
      <c r="C632" t="str">
        <f t="shared" si="46"/>
        <v>KamongAG-011-0009</v>
      </c>
      <c r="D632">
        <f>VLOOKUP(C632,'RAW DATA 2023'!E:BP,63,0)</f>
        <v>9</v>
      </c>
      <c r="E632" t="str">
        <f t="shared" si="47"/>
        <v>Kamong9</v>
      </c>
      <c r="F632">
        <f>ROUND(VLOOKUP(C632,'RAW DATA 2023'!E:BO,23,0),0)</f>
        <v>40</v>
      </c>
      <c r="G632" s="16">
        <f>VLOOKUP(C632,'RAW DATA 2023'!E:BO,27,0)</f>
        <v>1.9489570127016873</v>
      </c>
      <c r="H632" s="16">
        <f>IFERROR(VLOOKUP(F632,STD!B:G,5,0),0)</f>
        <v>1.63</v>
      </c>
      <c r="I632" s="21">
        <f t="shared" si="48"/>
        <v>0.83634476767676769</v>
      </c>
      <c r="J632" s="16">
        <f t="shared" si="49"/>
        <v>6.7268953535353537</v>
      </c>
      <c r="K632" s="106" t="str">
        <f>VLOOKUP(C632,'RAW DATA 2023'!E:BO,36,0)</f>
        <v>Normal</v>
      </c>
      <c r="L632" s="106">
        <f>VLOOKUP(C632,'RAW DATA 2023'!E:BO,21,0)</f>
        <v>22.706469999999999</v>
      </c>
      <c r="M632" s="106">
        <f t="shared" si="50"/>
        <v>152.7440475381899</v>
      </c>
    </row>
    <row r="633" spans="1:13">
      <c r="A633" t="str">
        <f>'RAW DATA 2023'!B626</f>
        <v>Kamong</v>
      </c>
      <c r="B633" t="str">
        <f>'RAW DATA 2023'!D626</f>
        <v>AG-031-0012</v>
      </c>
      <c r="C633" t="str">
        <f t="shared" si="46"/>
        <v>KamongAG-031-0012</v>
      </c>
      <c r="D633">
        <f>VLOOKUP(C633,'RAW DATA 2023'!E:BP,63,0)</f>
        <v>6</v>
      </c>
      <c r="E633" t="str">
        <f t="shared" si="47"/>
        <v>Kamong6</v>
      </c>
      <c r="F633">
        <f>ROUND(VLOOKUP(C633,'RAW DATA 2023'!E:BO,23,0),0)</f>
        <v>37</v>
      </c>
      <c r="G633" s="16">
        <f>VLOOKUP(C633,'RAW DATA 2023'!E:BO,27,0)</f>
        <v>2.1157047199431722</v>
      </c>
      <c r="H633" s="16">
        <f>IFERROR(VLOOKUP(F633,STD!B:G,5,0),0)</f>
        <v>1.6970000000000001</v>
      </c>
      <c r="I633" s="21">
        <f t="shared" si="48"/>
        <v>0.8020968068008949</v>
      </c>
      <c r="J633" s="16">
        <f t="shared" si="49"/>
        <v>6.041936136017898</v>
      </c>
      <c r="K633" s="106" t="str">
        <f>VLOOKUP(C633,'RAW DATA 2023'!E:BO,36,0)</f>
        <v>Normal</v>
      </c>
      <c r="L633" s="106">
        <f>VLOOKUP(C633,'RAW DATA 2023'!E:BO,21,0)</f>
        <v>26.9697</v>
      </c>
      <c r="M633" s="106">
        <f t="shared" si="50"/>
        <v>162.94920500756191</v>
      </c>
    </row>
    <row r="634" spans="1:13">
      <c r="A634" t="str">
        <f>'RAW DATA 2023'!B627</f>
        <v>Kamong</v>
      </c>
      <c r="B634" t="str">
        <f>'RAW DATA 2023'!D627</f>
        <v>C1-006-0031</v>
      </c>
      <c r="C634" t="str">
        <f t="shared" si="46"/>
        <v>KamongC1-006-0031</v>
      </c>
      <c r="D634">
        <f>VLOOKUP(C634,'RAW DATA 2023'!E:BP,63,0)</f>
        <v>8</v>
      </c>
      <c r="E634" t="str">
        <f t="shared" si="47"/>
        <v>Kamong8</v>
      </c>
      <c r="F634">
        <f>ROUND(VLOOKUP(C634,'RAW DATA 2023'!E:BO,23,0),0)</f>
        <v>32</v>
      </c>
      <c r="G634" s="16">
        <f>VLOOKUP(C634,'RAW DATA 2023'!E:BO,27,0)</f>
        <v>2.223459351624244</v>
      </c>
      <c r="H634" s="16">
        <f>IFERROR(VLOOKUP(F634,STD!B:G,5,0),0)</f>
        <v>1.82</v>
      </c>
      <c r="I634" s="21">
        <f t="shared" si="48"/>
        <v>0.81854430964545599</v>
      </c>
      <c r="J634" s="16">
        <f t="shared" si="49"/>
        <v>6.3708861929091203</v>
      </c>
      <c r="K634" s="106" t="str">
        <f>VLOOKUP(C634,'RAW DATA 2023'!E:BO,36,0)</f>
        <v>EHP</v>
      </c>
      <c r="L634" s="106">
        <f>VLOOKUP(C634,'RAW DATA 2023'!E:BO,21,0)</f>
        <v>75.109909999999999</v>
      </c>
      <c r="M634" s="106">
        <f t="shared" si="50"/>
        <v>478.51668856964665</v>
      </c>
    </row>
    <row r="635" spans="1:13">
      <c r="A635" t="str">
        <f>'RAW DATA 2023'!B628</f>
        <v>Kamong</v>
      </c>
      <c r="B635" t="str">
        <f>'RAW DATA 2023'!D628</f>
        <v>C1-026-0043</v>
      </c>
      <c r="C635" t="str">
        <f t="shared" si="46"/>
        <v>KamongC1-026-0043</v>
      </c>
      <c r="D635">
        <f>VLOOKUP(C635,'RAW DATA 2023'!E:BP,63,0)</f>
        <v>12</v>
      </c>
      <c r="E635" t="str">
        <f t="shared" si="47"/>
        <v>Kamong12</v>
      </c>
      <c r="F635">
        <f>ROUND(VLOOKUP(C635,'RAW DATA 2023'!E:BO,23,0),0)</f>
        <v>34</v>
      </c>
      <c r="G635" s="16">
        <f>VLOOKUP(C635,'RAW DATA 2023'!E:BO,27,0)</f>
        <v>1.9768891814963174</v>
      </c>
      <c r="H635" s="16">
        <f>IFERROR(VLOOKUP(F635,STD!B:G,5,0),0)</f>
        <v>1.77</v>
      </c>
      <c r="I635" s="21">
        <f t="shared" si="48"/>
        <v>0.8953460904977375</v>
      </c>
      <c r="J635" s="16">
        <f t="shared" si="49"/>
        <v>7.90692180995475</v>
      </c>
      <c r="K635" s="106" t="str">
        <f>VLOOKUP(C635,'RAW DATA 2023'!E:BO,36,0)</f>
        <v>Normal</v>
      </c>
      <c r="L635" s="106">
        <f>VLOOKUP(C635,'RAW DATA 2023'!E:BO,21,0)</f>
        <v>51.306309999999996</v>
      </c>
      <c r="M635" s="106">
        <f t="shared" si="50"/>
        <v>405.67498152729945</v>
      </c>
    </row>
    <row r="636" spans="1:13">
      <c r="A636" t="str">
        <f>'RAW DATA 2023'!B629</f>
        <v>Kamong</v>
      </c>
      <c r="B636" t="str">
        <f>'RAW DATA 2023'!D629</f>
        <v>C1-018-0018</v>
      </c>
      <c r="C636" t="str">
        <f t="shared" si="46"/>
        <v>KamongC1-018-0018</v>
      </c>
      <c r="D636">
        <f>VLOOKUP(C636,'RAW DATA 2023'!E:BP,63,0)</f>
        <v>5</v>
      </c>
      <c r="E636" t="str">
        <f t="shared" si="47"/>
        <v>Kamong5</v>
      </c>
      <c r="F636">
        <f>ROUND(VLOOKUP(C636,'RAW DATA 2023'!E:BO,23,0),0)</f>
        <v>43</v>
      </c>
      <c r="G636" s="16">
        <f>VLOOKUP(C636,'RAW DATA 2023'!E:BO,27,0)</f>
        <v>1.9375248454155822</v>
      </c>
      <c r="H636" s="16">
        <f>IFERROR(VLOOKUP(F636,STD!B:G,5,0),0)</f>
        <v>1.58</v>
      </c>
      <c r="I636" s="21">
        <f t="shared" si="48"/>
        <v>0.81547341379310356</v>
      </c>
      <c r="J636" s="16">
        <f t="shared" si="49"/>
        <v>6.3094682758620717</v>
      </c>
      <c r="K636" s="106" t="str">
        <f>VLOOKUP(C636,'RAW DATA 2023'!E:BO,36,0)</f>
        <v>ทยอยตาย</v>
      </c>
      <c r="L636" s="106">
        <f>VLOOKUP(C636,'RAW DATA 2023'!E:BO,21,0)</f>
        <v>36.822120000000005</v>
      </c>
      <c r="M636" s="106">
        <f t="shared" si="50"/>
        <v>232.32799798998633</v>
      </c>
    </row>
    <row r="637" spans="1:13">
      <c r="A637" t="str">
        <f>'RAW DATA 2023'!B630</f>
        <v>Kamong</v>
      </c>
      <c r="B637" t="str">
        <f>'RAW DATA 2023'!D630</f>
        <v>C1-006-0030</v>
      </c>
      <c r="C637" t="str">
        <f t="shared" si="46"/>
        <v>KamongC1-006-0030</v>
      </c>
      <c r="D637">
        <f>VLOOKUP(C637,'RAW DATA 2023'!E:BP,63,0)</f>
        <v>4</v>
      </c>
      <c r="E637" t="str">
        <f t="shared" si="47"/>
        <v>Kamong4</v>
      </c>
      <c r="F637">
        <f>ROUND(VLOOKUP(C637,'RAW DATA 2023'!E:BO,23,0),0)</f>
        <v>38</v>
      </c>
      <c r="G637" s="16">
        <f>VLOOKUP(C637,'RAW DATA 2023'!E:BO,27,0)</f>
        <v>1.8939205278763904</v>
      </c>
      <c r="H637" s="16">
        <f>IFERROR(VLOOKUP(F637,STD!B:G,5,0),0)</f>
        <v>1.669</v>
      </c>
      <c r="I637" s="21">
        <f t="shared" si="48"/>
        <v>0.88124077828725544</v>
      </c>
      <c r="J637" s="16">
        <f t="shared" si="49"/>
        <v>7.6248155657451093</v>
      </c>
      <c r="K637" s="106" t="str">
        <f>VLOOKUP(C637,'RAW DATA 2023'!E:BO,36,0)</f>
        <v>Normal</v>
      </c>
      <c r="L637" s="106">
        <f>VLOOKUP(C637,'RAW DATA 2023'!E:BO,21,0)</f>
        <v>78.695179999999993</v>
      </c>
      <c r="M637" s="106">
        <f t="shared" si="50"/>
        <v>600.03623341311311</v>
      </c>
    </row>
    <row r="638" spans="1:13">
      <c r="A638" t="str">
        <f>'RAW DATA 2023'!B631</f>
        <v>Kamong</v>
      </c>
      <c r="B638" t="str">
        <f>'RAW DATA 2023'!D631</f>
        <v>C1-024-0042</v>
      </c>
      <c r="C638" t="str">
        <f t="shared" si="46"/>
        <v>KamongC1-024-0042</v>
      </c>
      <c r="D638">
        <f>VLOOKUP(C638,'RAW DATA 2023'!E:BP,63,0)</f>
        <v>5</v>
      </c>
      <c r="E638" t="str">
        <f t="shared" si="47"/>
        <v>Kamong5</v>
      </c>
      <c r="F638">
        <f>ROUND(VLOOKUP(C638,'RAW DATA 2023'!E:BO,23,0),0)</f>
        <v>70</v>
      </c>
      <c r="G638" s="16">
        <f>VLOOKUP(C638,'RAW DATA 2023'!E:BO,27,0)</f>
        <v>1.9144255276264857</v>
      </c>
      <c r="H638" s="16">
        <f>IFERROR(VLOOKUP(F638,STD!B:G,5,0),0)</f>
        <v>1.34</v>
      </c>
      <c r="I638" s="21">
        <f t="shared" si="48"/>
        <v>0.69994887795992711</v>
      </c>
      <c r="J638" s="16">
        <f t="shared" si="49"/>
        <v>3.9989775591985421</v>
      </c>
      <c r="K638" s="106" t="str">
        <f>VLOOKUP(C638,'RAW DATA 2023'!E:BO,36,0)</f>
        <v>ทยอยตาย</v>
      </c>
      <c r="L638" s="106">
        <f>VLOOKUP(C638,'RAW DATA 2023'!E:BO,21,0)</f>
        <v>29.709009999999999</v>
      </c>
      <c r="M638" s="106">
        <f t="shared" si="50"/>
        <v>118.80566429600508</v>
      </c>
    </row>
    <row r="639" spans="1:13">
      <c r="A639" t="str">
        <f>'RAW DATA 2023'!B632</f>
        <v>Kamong</v>
      </c>
      <c r="B639" t="str">
        <f>'RAW DATA 2023'!D632</f>
        <v>AG-011-0008</v>
      </c>
      <c r="C639" t="str">
        <f t="shared" si="46"/>
        <v>KamongAG-011-0008</v>
      </c>
      <c r="D639">
        <f>VLOOKUP(C639,'RAW DATA 2023'!E:BP,63,0)</f>
        <v>4</v>
      </c>
      <c r="E639" t="str">
        <f t="shared" si="47"/>
        <v>Kamong4</v>
      </c>
      <c r="F639">
        <f>ROUND(VLOOKUP(C639,'RAW DATA 2023'!E:BO,23,0),0)</f>
        <v>43</v>
      </c>
      <c r="G639" s="16">
        <f>VLOOKUP(C639,'RAW DATA 2023'!E:BO,27,0)</f>
        <v>1.9603806890626247</v>
      </c>
      <c r="H639" s="16">
        <f>IFERROR(VLOOKUP(F639,STD!B:G,5,0),0)</f>
        <v>1.58</v>
      </c>
      <c r="I639" s="21">
        <f t="shared" si="48"/>
        <v>0.80596590693590875</v>
      </c>
      <c r="J639" s="16">
        <f t="shared" si="49"/>
        <v>6.1193181387181745</v>
      </c>
      <c r="K639" s="106" t="str">
        <f>VLOOKUP(C639,'RAW DATA 2023'!E:BO,36,0)</f>
        <v>Normal</v>
      </c>
      <c r="L639" s="106">
        <f>VLOOKUP(C639,'RAW DATA 2023'!E:BO,21,0)</f>
        <v>29.620480000000001</v>
      </c>
      <c r="M639" s="106">
        <f t="shared" si="50"/>
        <v>181.25714054153892</v>
      </c>
    </row>
    <row r="640" spans="1:13">
      <c r="A640" t="str">
        <f>'RAW DATA 2023'!B633</f>
        <v>Kamong</v>
      </c>
      <c r="B640" t="str">
        <f>'RAW DATA 2023'!D633</f>
        <v>D1-032-0010</v>
      </c>
      <c r="C640" t="str">
        <f t="shared" si="46"/>
        <v>KamongD1-032-0010</v>
      </c>
      <c r="D640">
        <f>VLOOKUP(C640,'RAW DATA 2023'!E:BP,63,0)</f>
        <v>8</v>
      </c>
      <c r="E640" t="str">
        <f t="shared" si="47"/>
        <v>Kamong8</v>
      </c>
      <c r="F640">
        <f>ROUND(VLOOKUP(C640,'RAW DATA 2023'!E:BO,23,0),0)</f>
        <v>110</v>
      </c>
      <c r="G640" s="16">
        <f>VLOOKUP(C640,'RAW DATA 2023'!E:BO,27,0)</f>
        <v>1.2045069907146233</v>
      </c>
      <c r="H640" s="16">
        <f>IFERROR(VLOOKUP(F640,STD!B:G,5,0),0)</f>
        <v>1.19</v>
      </c>
      <c r="I640" s="21">
        <f t="shared" si="48"/>
        <v>0.98795607594936707</v>
      </c>
      <c r="J640" s="16">
        <f t="shared" si="49"/>
        <v>9.7591215189873424</v>
      </c>
      <c r="K640" s="106" t="str">
        <f>VLOOKUP(C640,'RAW DATA 2023'!E:BO,36,0)</f>
        <v>EHP</v>
      </c>
      <c r="L640" s="106">
        <f>VLOOKUP(C640,'RAW DATA 2023'!E:BO,21,0)</f>
        <v>7.3087</v>
      </c>
      <c r="M640" s="106">
        <f t="shared" si="50"/>
        <v>71.326491445822782</v>
      </c>
    </row>
    <row r="641" spans="1:13">
      <c r="A641" t="str">
        <f>'RAW DATA 2023'!B634</f>
        <v>Kamong</v>
      </c>
      <c r="B641" t="str">
        <f>'RAW DATA 2023'!D634</f>
        <v>D1-022-0038</v>
      </c>
      <c r="C641" t="str">
        <f t="shared" si="46"/>
        <v>KamongD1-022-0038</v>
      </c>
      <c r="D641">
        <f>VLOOKUP(C641,'RAW DATA 2023'!E:BP,63,0)</f>
        <v>2</v>
      </c>
      <c r="E641" t="str">
        <f t="shared" si="47"/>
        <v>Kamong2</v>
      </c>
      <c r="F641">
        <f>ROUND(VLOOKUP(C641,'RAW DATA 2023'!E:BO,23,0),0)</f>
        <v>36</v>
      </c>
      <c r="G641" s="16">
        <f>VLOOKUP(C641,'RAW DATA 2023'!E:BO,27,0)</f>
        <v>1.8925019499499709</v>
      </c>
      <c r="H641" s="16">
        <f>IFERROR(VLOOKUP(F641,STD!B:G,5,0),0)</f>
        <v>1.726</v>
      </c>
      <c r="I641" s="21">
        <f t="shared" si="48"/>
        <v>0.91202019635732878</v>
      </c>
      <c r="J641" s="16">
        <f t="shared" si="49"/>
        <v>8.2404039271465752</v>
      </c>
      <c r="K641" s="106" t="str">
        <f>VLOOKUP(C641,'RAW DATA 2023'!E:BO,36,0)</f>
        <v>ทยอยตาย</v>
      </c>
      <c r="L641" s="106">
        <f>VLOOKUP(C641,'RAW DATA 2023'!E:BO,21,0)</f>
        <v>15.735239999999999</v>
      </c>
      <c r="M641" s="106">
        <f t="shared" si="50"/>
        <v>129.66473349059387</v>
      </c>
    </row>
    <row r="642" spans="1:13">
      <c r="A642" t="str">
        <f>'RAW DATA 2023'!B635</f>
        <v>Kamong</v>
      </c>
      <c r="B642" t="str">
        <f>'RAW DATA 2023'!D635</f>
        <v>D1-032-0008</v>
      </c>
      <c r="C642" t="str">
        <f t="shared" si="46"/>
        <v>KamongD1-032-0008</v>
      </c>
      <c r="D642">
        <f>VLOOKUP(C642,'RAW DATA 2023'!E:BP,63,0)</f>
        <v>3</v>
      </c>
      <c r="E642" t="str">
        <f t="shared" si="47"/>
        <v>Kamong3</v>
      </c>
      <c r="F642">
        <f>ROUND(VLOOKUP(C642,'RAW DATA 2023'!E:BO,23,0),0)</f>
        <v>34</v>
      </c>
      <c r="G642" s="16">
        <f>VLOOKUP(C642,'RAW DATA 2023'!E:BO,27,0)</f>
        <v>1.9261809747308267</v>
      </c>
      <c r="H642" s="16">
        <f>IFERROR(VLOOKUP(F642,STD!B:G,5,0),0)</f>
        <v>1.77</v>
      </c>
      <c r="I642" s="21">
        <f t="shared" si="48"/>
        <v>0.91891677013752449</v>
      </c>
      <c r="J642" s="16">
        <f t="shared" si="49"/>
        <v>8.3783354027504906</v>
      </c>
      <c r="K642" s="106" t="str">
        <f>VLOOKUP(C642,'RAW DATA 2023'!E:BO,36,0)</f>
        <v>Normal</v>
      </c>
      <c r="L642" s="106">
        <f>VLOOKUP(C642,'RAW DATA 2023'!E:BO,21,0)</f>
        <v>20.179009999999998</v>
      </c>
      <c r="M642" s="106">
        <f t="shared" si="50"/>
        <v>169.06651387545617</v>
      </c>
    </row>
    <row r="643" spans="1:13">
      <c r="A643" t="str">
        <f>'RAW DATA 2023'!B636</f>
        <v>Kamong</v>
      </c>
      <c r="B643" t="str">
        <f>'RAW DATA 2023'!D636</f>
        <v>D1-022-0040</v>
      </c>
      <c r="C643" t="str">
        <f t="shared" si="46"/>
        <v>KamongD1-022-0040</v>
      </c>
      <c r="D643">
        <f>VLOOKUP(C643,'RAW DATA 2023'!E:BP,63,0)</f>
        <v>7</v>
      </c>
      <c r="E643" t="str">
        <f t="shared" si="47"/>
        <v>Kamong7</v>
      </c>
      <c r="F643">
        <f>ROUND(VLOOKUP(C643,'RAW DATA 2023'!E:BO,23,0),0)</f>
        <v>111</v>
      </c>
      <c r="G643" s="16">
        <f>VLOOKUP(C643,'RAW DATA 2023'!E:BO,27,0)</f>
        <v>1.1282188237592374</v>
      </c>
      <c r="H643" s="16">
        <f>IFERROR(VLOOKUP(F643,STD!B:G,5,0),0)</f>
        <v>1.18</v>
      </c>
      <c r="I643" s="21">
        <f t="shared" si="48"/>
        <v>1.0458963945205479</v>
      </c>
      <c r="J643" s="16">
        <f t="shared" si="49"/>
        <v>10.917927890410958</v>
      </c>
      <c r="K643" s="106" t="str">
        <f>VLOOKUP(C643,'RAW DATA 2023'!E:BO,36,0)</f>
        <v>EHP</v>
      </c>
      <c r="L643" s="106">
        <f>VLOOKUP(C643,'RAW DATA 2023'!E:BO,21,0)</f>
        <v>9.0382700000000007</v>
      </c>
      <c r="M643" s="106">
        <f t="shared" si="50"/>
        <v>98.679180114064664</v>
      </c>
    </row>
    <row r="644" spans="1:13">
      <c r="A644" t="str">
        <f>'RAW DATA 2023'!B637</f>
        <v>Kamong</v>
      </c>
      <c r="B644" t="str">
        <f>'RAW DATA 2023'!D637</f>
        <v>D1-027-0001</v>
      </c>
      <c r="C644" t="str">
        <f t="shared" si="46"/>
        <v>KamongD1-027-0001</v>
      </c>
      <c r="D644">
        <f>VLOOKUP(C644,'RAW DATA 2023'!E:BP,63,0)</f>
        <v>4</v>
      </c>
      <c r="E644" t="str">
        <f t="shared" si="47"/>
        <v>Kamong4</v>
      </c>
      <c r="F644">
        <f>ROUND(VLOOKUP(C644,'RAW DATA 2023'!E:BO,23,0),0)</f>
        <v>52</v>
      </c>
      <c r="G644" s="16">
        <f>VLOOKUP(C644,'RAW DATA 2023'!E:BO,27,0)</f>
        <v>1.9603797677463999</v>
      </c>
      <c r="H644" s="16">
        <f>IFERROR(VLOOKUP(F644,STD!B:G,5,0),0)</f>
        <v>1.47</v>
      </c>
      <c r="I644" s="21">
        <f t="shared" si="48"/>
        <v>0.74985470886075944</v>
      </c>
      <c r="J644" s="16">
        <f t="shared" si="49"/>
        <v>4.9970941772151889</v>
      </c>
      <c r="K644" s="106" t="str">
        <f>VLOOKUP(C644,'RAW DATA 2023'!E:BO,36,0)</f>
        <v>ทยอยตาย</v>
      </c>
      <c r="L644" s="106">
        <f>VLOOKUP(C644,'RAW DATA 2023'!E:BO,21,0)</f>
        <v>14.761809999999999</v>
      </c>
      <c r="M644" s="106">
        <f t="shared" si="50"/>
        <v>73.76615479615694</v>
      </c>
    </row>
    <row r="645" spans="1:13">
      <c r="A645" t="str">
        <f>'RAW DATA 2023'!B638</f>
        <v>Kamong</v>
      </c>
      <c r="B645" t="str">
        <f>'RAW DATA 2023'!D638</f>
        <v>D1-027-0002</v>
      </c>
      <c r="C645" t="str">
        <f t="shared" si="46"/>
        <v>KamongD1-027-0002</v>
      </c>
      <c r="D645">
        <f>VLOOKUP(C645,'RAW DATA 2023'!E:BP,63,0)</f>
        <v>7</v>
      </c>
      <c r="E645" t="str">
        <f t="shared" si="47"/>
        <v>Kamong7</v>
      </c>
      <c r="F645">
        <f>ROUND(VLOOKUP(C645,'RAW DATA 2023'!E:BO,23,0),0)</f>
        <v>105</v>
      </c>
      <c r="G645" s="16">
        <f>VLOOKUP(C645,'RAW DATA 2023'!E:BO,27,0)</f>
        <v>1.4494381732301358</v>
      </c>
      <c r="H645" s="16">
        <f>IFERROR(VLOOKUP(F645,STD!B:G,5,0),0)</f>
        <v>1.2</v>
      </c>
      <c r="I645" s="21">
        <f t="shared" si="48"/>
        <v>0.82790699331848561</v>
      </c>
      <c r="J645" s="16">
        <f t="shared" si="49"/>
        <v>6.5581398663697126</v>
      </c>
      <c r="K645" s="106" t="str">
        <f>VLOOKUP(C645,'RAW DATA 2023'!E:BO,36,0)</f>
        <v>EHP</v>
      </c>
      <c r="L645" s="106">
        <f>VLOOKUP(C645,'RAW DATA 2023'!E:BO,21,0)</f>
        <v>8.4168400000000005</v>
      </c>
      <c r="M645" s="106">
        <f t="shared" si="50"/>
        <v>55.198813952855254</v>
      </c>
    </row>
    <row r="646" spans="1:13">
      <c r="A646" t="str">
        <f>'RAW DATA 2023'!B639</f>
        <v>Kamong</v>
      </c>
      <c r="B646" t="str">
        <f>'RAW DATA 2023'!D639</f>
        <v>D1-022-0039</v>
      </c>
      <c r="C646" t="str">
        <f t="shared" si="46"/>
        <v>KamongD1-022-0039</v>
      </c>
      <c r="D646">
        <f>VLOOKUP(C646,'RAW DATA 2023'!E:BP,63,0)</f>
        <v>4</v>
      </c>
      <c r="E646" t="str">
        <f t="shared" si="47"/>
        <v>Kamong4</v>
      </c>
      <c r="F646">
        <f>ROUND(VLOOKUP(C646,'RAW DATA 2023'!E:BO,23,0),0)</f>
        <v>175</v>
      </c>
      <c r="G646" s="16">
        <f>VLOOKUP(C646,'RAW DATA 2023'!E:BO,27,0)</f>
        <v>1.575784691533112</v>
      </c>
      <c r="H646" s="16">
        <f>IFERROR(VLOOKUP(F646,STD!B:G,5,0),0)</f>
        <v>1</v>
      </c>
      <c r="I646" s="21">
        <f t="shared" si="48"/>
        <v>0.63460446428571426</v>
      </c>
      <c r="J646" s="16">
        <f t="shared" si="49"/>
        <v>2.6920892857142853</v>
      </c>
      <c r="K646" s="106" t="str">
        <f>VLOOKUP(C646,'RAW DATA 2023'!E:BO,36,0)</f>
        <v>EHP</v>
      </c>
      <c r="L646" s="106">
        <f>VLOOKUP(C646,'RAW DATA 2023'!E:BO,21,0)</f>
        <v>7.9175699999999996</v>
      </c>
      <c r="M646" s="106">
        <f t="shared" si="50"/>
        <v>21.314805365892852</v>
      </c>
    </row>
    <row r="647" spans="1:13">
      <c r="A647" t="str">
        <f>'RAW DATA 2023'!B640</f>
        <v>Kamong</v>
      </c>
      <c r="B647" t="str">
        <f>'RAW DATA 2023'!D640</f>
        <v>D1-032-0009</v>
      </c>
      <c r="C647" t="str">
        <f t="shared" si="46"/>
        <v>KamongD1-032-0009</v>
      </c>
      <c r="D647">
        <f>VLOOKUP(C647,'RAW DATA 2023'!E:BP,63,0)</f>
        <v>5</v>
      </c>
      <c r="E647" t="str">
        <f t="shared" si="47"/>
        <v>Kamong5</v>
      </c>
      <c r="F647">
        <f>ROUND(VLOOKUP(C647,'RAW DATA 2023'!E:BO,23,0),0)</f>
        <v>0</v>
      </c>
      <c r="G647" s="16">
        <f>VLOOKUP(C647,'RAW DATA 2023'!E:BO,27,0)</f>
        <v>0</v>
      </c>
      <c r="H647" s="16">
        <f>IFERROR(VLOOKUP(F647,STD!B:G,5,0),0)</f>
        <v>0</v>
      </c>
      <c r="I647" s="21">
        <f t="shared" si="48"/>
        <v>0</v>
      </c>
      <c r="J647" s="16">
        <f t="shared" si="49"/>
        <v>-10</v>
      </c>
      <c r="K647" s="106" t="str">
        <f>VLOOKUP(C647,'RAW DATA 2023'!E:BO,36,0)</f>
        <v>EHP</v>
      </c>
      <c r="L647" s="106">
        <f>VLOOKUP(C647,'RAW DATA 2023'!E:BO,21,0)</f>
        <v>0</v>
      </c>
      <c r="M647" s="106">
        <f t="shared" si="50"/>
        <v>0</v>
      </c>
    </row>
    <row r="648" spans="1:13">
      <c r="A648" t="str">
        <f>'RAW DATA 2023'!B641</f>
        <v>Talaytong</v>
      </c>
      <c r="B648" t="str">
        <f>'RAW DATA 2023'!D641</f>
        <v>A1-039-0007</v>
      </c>
      <c r="C648" t="str">
        <f t="shared" si="46"/>
        <v>TalaytongA1-039-0007</v>
      </c>
      <c r="D648">
        <f>VLOOKUP(C648,'RAW DATA 2023'!E:BP,63,0)</f>
        <v>8</v>
      </c>
      <c r="E648" t="str">
        <f t="shared" si="47"/>
        <v>Talaytong8</v>
      </c>
      <c r="F648">
        <f>ROUND(VLOOKUP(C648,'RAW DATA 2023'!E:BO,23,0),0)</f>
        <v>45</v>
      </c>
      <c r="G648" s="16">
        <f>VLOOKUP(C648,'RAW DATA 2023'!E:BO,27,0)</f>
        <v>1.4097638211981149</v>
      </c>
      <c r="H648" s="16">
        <f>IFERROR(VLOOKUP(F648,STD!B:G,5,0),0)</f>
        <v>1.55</v>
      </c>
      <c r="I648" s="21">
        <f t="shared" si="48"/>
        <v>1.0994749451597521</v>
      </c>
      <c r="J648" s="16">
        <f t="shared" si="49"/>
        <v>11.989498903195042</v>
      </c>
      <c r="K648" s="106" t="str">
        <f>VLOOKUP(C648,'RAW DATA 2023'!E:BO,36,0)</f>
        <v>EHP</v>
      </c>
      <c r="L648" s="106">
        <f>VLOOKUP(C648,'RAW DATA 2023'!E:BO,21,0)</f>
        <v>38.810300000000005</v>
      </c>
      <c r="M648" s="106">
        <f t="shared" si="50"/>
        <v>465.31604928267058</v>
      </c>
    </row>
    <row r="649" spans="1:13">
      <c r="A649" t="str">
        <f>'RAW DATA 2023'!B642</f>
        <v>Talaytong</v>
      </c>
      <c r="B649" t="str">
        <f>'RAW DATA 2023'!D642</f>
        <v>A1-038-0010</v>
      </c>
      <c r="C649" t="str">
        <f t="shared" si="46"/>
        <v>TalaytongA1-038-0010</v>
      </c>
      <c r="D649">
        <f>VLOOKUP(C649,'RAW DATA 2023'!E:BP,63,0)</f>
        <v>10</v>
      </c>
      <c r="E649" t="str">
        <f t="shared" si="47"/>
        <v>Talaytong10</v>
      </c>
      <c r="F649">
        <f>ROUND(VLOOKUP(C649,'RAW DATA 2023'!E:BO,23,0),0)</f>
        <v>67</v>
      </c>
      <c r="G649" s="16">
        <f>VLOOKUP(C649,'RAW DATA 2023'!E:BO,27,0)</f>
        <v>1.6607095827533014</v>
      </c>
      <c r="H649" s="16">
        <f>IFERROR(VLOOKUP(F649,STD!B:G,5,0),0)</f>
        <v>1.35</v>
      </c>
      <c r="I649" s="21">
        <f t="shared" si="48"/>
        <v>0.81290552786588144</v>
      </c>
      <c r="J649" s="16">
        <f t="shared" si="49"/>
        <v>6.2581105573176288</v>
      </c>
      <c r="K649" s="106" t="str">
        <f>VLOOKUP(C649,'RAW DATA 2023'!E:BO,36,0)</f>
        <v>EHP</v>
      </c>
      <c r="L649" s="106">
        <f>VLOOKUP(C649,'RAW DATA 2023'!E:BO,21,0)</f>
        <v>34.183750000000003</v>
      </c>
      <c r="M649" s="106">
        <f t="shared" si="50"/>
        <v>213.92568676370652</v>
      </c>
    </row>
    <row r="650" spans="1:13">
      <c r="A650" t="str">
        <f>'RAW DATA 2023'!B643</f>
        <v>Talaytong</v>
      </c>
      <c r="B650" t="str">
        <f>'RAW DATA 2023'!D643</f>
        <v>A1-038-0008</v>
      </c>
      <c r="C650" t="str">
        <f t="shared" ref="C650:C713" si="51">A650&amp;B650</f>
        <v>TalaytongA1-038-0008</v>
      </c>
      <c r="D650">
        <f>VLOOKUP(C650,'RAW DATA 2023'!E:BP,63,0)</f>
        <v>5</v>
      </c>
      <c r="E650" t="str">
        <f t="shared" ref="E650:E713" si="52">A650&amp;D650</f>
        <v>Talaytong5</v>
      </c>
      <c r="F650">
        <f>ROUND(VLOOKUP(C650,'RAW DATA 2023'!E:BO,23,0),0)</f>
        <v>48</v>
      </c>
      <c r="G650" s="16">
        <f>VLOOKUP(C650,'RAW DATA 2023'!E:BO,27,0)</f>
        <v>2.0278597886443839</v>
      </c>
      <c r="H650" s="16">
        <f>IFERROR(VLOOKUP(F650,STD!B:G,5,0),0)</f>
        <v>1.52</v>
      </c>
      <c r="I650" s="21">
        <f t="shared" si="48"/>
        <v>0.74955872615636499</v>
      </c>
      <c r="J650" s="16">
        <f t="shared" si="49"/>
        <v>4.9911745231272997</v>
      </c>
      <c r="K650" s="106" t="str">
        <f>VLOOKUP(C650,'RAW DATA 2023'!E:BO,36,0)</f>
        <v>Normal</v>
      </c>
      <c r="L650" s="106">
        <f>VLOOKUP(C650,'RAW DATA 2023'!E:BO,21,0)</f>
        <v>30.777259999999998</v>
      </c>
      <c r="M650" s="106">
        <f t="shared" si="50"/>
        <v>153.6146760036649</v>
      </c>
    </row>
    <row r="651" spans="1:13">
      <c r="A651" t="str">
        <f>'RAW DATA 2023'!B644</f>
        <v>Talaytong</v>
      </c>
      <c r="B651" t="str">
        <f>'RAW DATA 2023'!D644</f>
        <v>A1-039-0006</v>
      </c>
      <c r="C651" t="str">
        <f t="shared" si="51"/>
        <v>TalaytongA1-039-0006</v>
      </c>
      <c r="D651">
        <f>VLOOKUP(C651,'RAW DATA 2023'!E:BP,63,0)</f>
        <v>4</v>
      </c>
      <c r="E651" t="str">
        <f t="shared" si="52"/>
        <v>Talaytong4</v>
      </c>
      <c r="F651">
        <f>ROUND(VLOOKUP(C651,'RAW DATA 2023'!E:BO,23,0),0)</f>
        <v>77</v>
      </c>
      <c r="G651" s="16">
        <f>VLOOKUP(C651,'RAW DATA 2023'!E:BO,27,0)</f>
        <v>2.1597178365883014</v>
      </c>
      <c r="H651" s="16">
        <f>IFERROR(VLOOKUP(F651,STD!B:G,5,0),0)</f>
        <v>1.3</v>
      </c>
      <c r="I651" s="21">
        <f t="shared" ref="I651:I714" si="53">IFERROR(H651/G651,0)</f>
        <v>0.6019304827586206</v>
      </c>
      <c r="J651" s="16">
        <f t="shared" ref="J651:J714" si="54">(I651-$B$4)*$B$7</f>
        <v>2.038609655172412</v>
      </c>
      <c r="K651" s="106" t="str">
        <f>VLOOKUP(C651,'RAW DATA 2023'!E:BO,36,0)</f>
        <v>WFD</v>
      </c>
      <c r="L651" s="106">
        <f>VLOOKUP(C651,'RAW DATA 2023'!E:BO,21,0)</f>
        <v>15.525979999999999</v>
      </c>
      <c r="M651" s="106">
        <f t="shared" ref="M651:M714" si="55">J651*L651</f>
        <v>31.651412734013764</v>
      </c>
    </row>
    <row r="652" spans="1:13">
      <c r="A652" t="str">
        <f>'RAW DATA 2023'!B645</f>
        <v>Talaytong</v>
      </c>
      <c r="B652" t="str">
        <f>'RAW DATA 2023'!D645</f>
        <v>B1-032-0008</v>
      </c>
      <c r="C652" t="str">
        <f t="shared" si="51"/>
        <v>TalaytongB1-032-0008</v>
      </c>
      <c r="D652">
        <f>VLOOKUP(C652,'RAW DATA 2023'!E:BP,63,0)</f>
        <v>1</v>
      </c>
      <c r="E652" t="str">
        <f t="shared" si="52"/>
        <v>Talaytong1</v>
      </c>
      <c r="F652">
        <f>ROUND(VLOOKUP(C652,'RAW DATA 2023'!E:BO,23,0),0)</f>
        <v>147</v>
      </c>
      <c r="G652" s="16">
        <f>VLOOKUP(C652,'RAW DATA 2023'!E:BO,27,0)</f>
        <v>1.4146605993445405</v>
      </c>
      <c r="H652" s="16">
        <f>IFERROR(VLOOKUP(F652,STD!B:G,5,0),0)</f>
        <v>1.0860000000000001</v>
      </c>
      <c r="I652" s="21">
        <f t="shared" si="53"/>
        <v>0.76767530000000017</v>
      </c>
      <c r="J652" s="16">
        <f t="shared" si="54"/>
        <v>5.353506000000003</v>
      </c>
      <c r="K652" s="106" t="str">
        <f>VLOOKUP(C652,'RAW DATA 2023'!E:BO,36,0)</f>
        <v>EHP</v>
      </c>
      <c r="L652" s="106">
        <f>VLOOKUP(C652,'RAW DATA 2023'!E:BO,21,0)</f>
        <v>5.6095600000000001</v>
      </c>
      <c r="M652" s="106">
        <f t="shared" si="55"/>
        <v>30.030813117360019</v>
      </c>
    </row>
    <row r="653" spans="1:13">
      <c r="A653" t="str">
        <f>'RAW DATA 2023'!B646</f>
        <v>Talaytong</v>
      </c>
      <c r="B653" t="str">
        <f>'RAW DATA 2023'!D646</f>
        <v>A1-034-0008</v>
      </c>
      <c r="C653" t="str">
        <f t="shared" si="51"/>
        <v>TalaytongA1-034-0008</v>
      </c>
      <c r="D653">
        <f>VLOOKUP(C653,'RAW DATA 2023'!E:BP,63,0)</f>
        <v>5</v>
      </c>
      <c r="E653" t="str">
        <f t="shared" si="52"/>
        <v>Talaytong5</v>
      </c>
      <c r="F653">
        <f>ROUND(VLOOKUP(C653,'RAW DATA 2023'!E:BO,23,0),0)</f>
        <v>104</v>
      </c>
      <c r="G653" s="16">
        <f>VLOOKUP(C653,'RAW DATA 2023'!E:BO,27,0)</f>
        <v>1.4308715538652719</v>
      </c>
      <c r="H653" s="16">
        <f>IFERROR(VLOOKUP(F653,STD!B:G,5,0),0)</f>
        <v>1.2</v>
      </c>
      <c r="I653" s="21">
        <f t="shared" si="53"/>
        <v>0.83864970042796005</v>
      </c>
      <c r="J653" s="16">
        <f t="shared" si="54"/>
        <v>6.7729940085592011</v>
      </c>
      <c r="K653" s="106" t="str">
        <f>VLOOKUP(C653,'RAW DATA 2023'!E:BO,36,0)</f>
        <v>EHP</v>
      </c>
      <c r="L653" s="106">
        <f>VLOOKUP(C653,'RAW DATA 2023'!E:BO,21,0)</f>
        <v>13.807499999999999</v>
      </c>
      <c r="M653" s="106">
        <f t="shared" si="55"/>
        <v>93.518114773181168</v>
      </c>
    </row>
    <row r="654" spans="1:13">
      <c r="A654" t="str">
        <f>'RAW DATA 2023'!B647</f>
        <v>CHBR1</v>
      </c>
      <c r="B654" t="str">
        <f>'RAW DATA 2023'!D647</f>
        <v>A1-015-0019</v>
      </c>
      <c r="C654" t="str">
        <f t="shared" si="51"/>
        <v>CHBR1A1-015-0019</v>
      </c>
      <c r="D654">
        <f>VLOOKUP(C654,'RAW DATA 2023'!E:BP,63,0)</f>
        <v>12</v>
      </c>
      <c r="E654" t="str">
        <f t="shared" si="52"/>
        <v>CHBR112</v>
      </c>
      <c r="F654">
        <f>ROUND(VLOOKUP(C654,'RAW DATA 2023'!E:BO,23,0),0)</f>
        <v>39</v>
      </c>
      <c r="G654" s="16">
        <f>VLOOKUP(C654,'RAW DATA 2023'!E:BO,27,0)</f>
        <v>1.901299301412898</v>
      </c>
      <c r="H654" s="16">
        <f>IFERROR(VLOOKUP(F654,STD!B:G,5,0),0)</f>
        <v>1.64</v>
      </c>
      <c r="I654" s="21">
        <f t="shared" si="53"/>
        <v>0.86256803375527424</v>
      </c>
      <c r="J654" s="16">
        <f t="shared" si="54"/>
        <v>7.2513606751054844</v>
      </c>
      <c r="K654" s="106" t="str">
        <f>VLOOKUP(C654,'RAW DATA 2023'!E:BO,36,0)</f>
        <v>Normal</v>
      </c>
      <c r="L654" s="106">
        <f>VLOOKUP(C654,'RAW DATA 2023'!E:BO,21,0)</f>
        <v>22.134029999999999</v>
      </c>
      <c r="M654" s="106">
        <f t="shared" si="55"/>
        <v>160.50183472360504</v>
      </c>
    </row>
    <row r="655" spans="1:13">
      <c r="A655" t="str">
        <f>'RAW DATA 2023'!B648</f>
        <v>CHBR1</v>
      </c>
      <c r="B655" t="str">
        <f>'RAW DATA 2023'!D648</f>
        <v>A1-019-0005</v>
      </c>
      <c r="C655" t="str">
        <f t="shared" si="51"/>
        <v>CHBR1A1-019-0005</v>
      </c>
      <c r="D655">
        <f>VLOOKUP(C655,'RAW DATA 2023'!E:BP,63,0)</f>
        <v>7</v>
      </c>
      <c r="E655" t="str">
        <f t="shared" si="52"/>
        <v>CHBR17</v>
      </c>
      <c r="F655">
        <f>ROUND(VLOOKUP(C655,'RAW DATA 2023'!E:BO,23,0),0)</f>
        <v>36</v>
      </c>
      <c r="G655" s="16">
        <f>VLOOKUP(C655,'RAW DATA 2023'!E:BO,27,0)</f>
        <v>2.1058436551394299</v>
      </c>
      <c r="H655" s="16">
        <f>IFERROR(VLOOKUP(F655,STD!B:G,5,0),0)</f>
        <v>1.726</v>
      </c>
      <c r="I655" s="21">
        <f t="shared" si="53"/>
        <v>0.81962399999999991</v>
      </c>
      <c r="J655" s="16">
        <f t="shared" si="54"/>
        <v>6.3924799999999982</v>
      </c>
      <c r="K655" s="106" t="str">
        <f>VLOOKUP(C655,'RAW DATA 2023'!E:BO,36,0)</f>
        <v>Normal</v>
      </c>
      <c r="L655" s="106">
        <f>VLOOKUP(C655,'RAW DATA 2023'!E:BO,21,0)</f>
        <v>10.5313</v>
      </c>
      <c r="M655" s="106">
        <f t="shared" si="55"/>
        <v>67.321124623999978</v>
      </c>
    </row>
    <row r="656" spans="1:13">
      <c r="A656" t="str">
        <f>'RAW DATA 2023'!B649</f>
        <v>CHBR1</v>
      </c>
      <c r="B656" t="str">
        <f>'RAW DATA 2023'!D649</f>
        <v>A1-016-0013</v>
      </c>
      <c r="C656" t="str">
        <f t="shared" si="51"/>
        <v>CHBR1A1-016-0013</v>
      </c>
      <c r="D656">
        <f>VLOOKUP(C656,'RAW DATA 2023'!E:BP,63,0)</f>
        <v>6</v>
      </c>
      <c r="E656" t="str">
        <f t="shared" si="52"/>
        <v>CHBR16</v>
      </c>
      <c r="F656">
        <f>ROUND(VLOOKUP(C656,'RAW DATA 2023'!E:BO,23,0),0)</f>
        <v>47</v>
      </c>
      <c r="G656" s="16">
        <f>VLOOKUP(C656,'RAW DATA 2023'!E:BO,27,0)</f>
        <v>2.447271044622036</v>
      </c>
      <c r="H656" s="16">
        <f>IFERROR(VLOOKUP(F656,STD!B:G,5,0),0)</f>
        <v>1.53</v>
      </c>
      <c r="I656" s="21">
        <f t="shared" si="53"/>
        <v>0.62518616536661464</v>
      </c>
      <c r="J656" s="16">
        <f t="shared" si="54"/>
        <v>2.5037233073322929</v>
      </c>
      <c r="K656" s="106" t="str">
        <f>VLOOKUP(C656,'RAW DATA 2023'!E:BO,36,0)</f>
        <v>กุ้งร่วง</v>
      </c>
      <c r="L656" s="106">
        <f>VLOOKUP(C656,'RAW DATA 2023'!E:BO,21,0)</f>
        <v>13.596219999999999</v>
      </c>
      <c r="M656" s="106">
        <f t="shared" si="55"/>
        <v>34.041172905617465</v>
      </c>
    </row>
    <row r="657" spans="1:13">
      <c r="A657" t="str">
        <f>'RAW DATA 2023'!B650</f>
        <v>CHBR1</v>
      </c>
      <c r="B657" t="str">
        <f>'RAW DATA 2023'!D650</f>
        <v>A1-011-0014</v>
      </c>
      <c r="C657" t="str">
        <f t="shared" si="51"/>
        <v>CHBR1A1-011-0014</v>
      </c>
      <c r="D657">
        <f>VLOOKUP(C657,'RAW DATA 2023'!E:BP,63,0)</f>
        <v>7</v>
      </c>
      <c r="E657" t="str">
        <f t="shared" si="52"/>
        <v>CHBR17</v>
      </c>
      <c r="F657">
        <f>ROUND(VLOOKUP(C657,'RAW DATA 2023'!E:BO,23,0),0)</f>
        <v>40</v>
      </c>
      <c r="G657" s="16">
        <f>VLOOKUP(C657,'RAW DATA 2023'!E:BO,27,0)</f>
        <v>2.169914612685599</v>
      </c>
      <c r="H657" s="16">
        <f>IFERROR(VLOOKUP(F657,STD!B:G,5,0),0)</f>
        <v>1.63</v>
      </c>
      <c r="I657" s="21">
        <f t="shared" si="53"/>
        <v>0.75118163197335552</v>
      </c>
      <c r="J657" s="16">
        <f t="shared" si="54"/>
        <v>5.0236326394671105</v>
      </c>
      <c r="K657" s="106" t="str">
        <f>VLOOKUP(C657,'RAW DATA 2023'!E:BO,36,0)</f>
        <v>อัตรารอดต่ำ</v>
      </c>
      <c r="L657" s="106">
        <f>VLOOKUP(C657,'RAW DATA 2023'!E:BO,21,0)</f>
        <v>14.286950000000001</v>
      </c>
      <c r="M657" s="106">
        <f t="shared" si="55"/>
        <v>71.772388338434638</v>
      </c>
    </row>
    <row r="658" spans="1:13">
      <c r="A658" t="str">
        <f>'RAW DATA 2023'!B651</f>
        <v>CHBR1</v>
      </c>
      <c r="B658" t="str">
        <f>'RAW DATA 2023'!D651</f>
        <v>A1-018-0013</v>
      </c>
      <c r="C658" t="str">
        <f t="shared" si="51"/>
        <v>CHBR1A1-018-0013</v>
      </c>
      <c r="D658">
        <f>VLOOKUP(C658,'RAW DATA 2023'!E:BP,63,0)</f>
        <v>7</v>
      </c>
      <c r="E658" t="str">
        <f t="shared" si="52"/>
        <v>CHBR17</v>
      </c>
      <c r="F658">
        <f>ROUND(VLOOKUP(C658,'RAW DATA 2023'!E:BO,23,0),0)</f>
        <v>40</v>
      </c>
      <c r="G658" s="16">
        <f>VLOOKUP(C658,'RAW DATA 2023'!E:BO,27,0)</f>
        <v>1.8255540192084907</v>
      </c>
      <c r="H658" s="16">
        <f>IFERROR(VLOOKUP(F658,STD!B:G,5,0),0)</f>
        <v>1.63</v>
      </c>
      <c r="I658" s="21">
        <f t="shared" si="53"/>
        <v>0.89287963152507666</v>
      </c>
      <c r="J658" s="16">
        <f t="shared" si="54"/>
        <v>7.8575926305015331</v>
      </c>
      <c r="K658" s="106" t="str">
        <f>VLOOKUP(C658,'RAW DATA 2023'!E:BO,36,0)</f>
        <v>ทยอยตาย</v>
      </c>
      <c r="L658" s="106">
        <f>VLOOKUP(C658,'RAW DATA 2023'!E:BO,21,0)</f>
        <v>13.666499999999999</v>
      </c>
      <c r="M658" s="106">
        <f t="shared" si="55"/>
        <v>107.3857896847492</v>
      </c>
    </row>
    <row r="659" spans="1:13">
      <c r="A659" t="str">
        <f>'RAW DATA 2023'!B652</f>
        <v>CHBR1</v>
      </c>
      <c r="B659" t="str">
        <f>'RAW DATA 2023'!D652</f>
        <v>A1-009-0033</v>
      </c>
      <c r="C659" t="str">
        <f t="shared" si="51"/>
        <v>CHBR1A1-009-0033</v>
      </c>
      <c r="D659">
        <f>VLOOKUP(C659,'RAW DATA 2023'!E:BP,63,0)</f>
        <v>5</v>
      </c>
      <c r="E659" t="str">
        <f t="shared" si="52"/>
        <v>CHBR15</v>
      </c>
      <c r="F659">
        <f>ROUND(VLOOKUP(C659,'RAW DATA 2023'!E:BO,23,0),0)</f>
        <v>42</v>
      </c>
      <c r="G659" s="16">
        <f>VLOOKUP(C659,'RAW DATA 2023'!E:BO,27,0)</f>
        <v>2.6487112687163812</v>
      </c>
      <c r="H659" s="16">
        <f>IFERROR(VLOOKUP(F659,STD!B:G,5,0),0)</f>
        <v>1.6</v>
      </c>
      <c r="I659" s="21">
        <f t="shared" si="53"/>
        <v>0.60406735112936349</v>
      </c>
      <c r="J659" s="16">
        <f t="shared" si="54"/>
        <v>2.0813470225872699</v>
      </c>
      <c r="K659" s="106" t="str">
        <f>VLOOKUP(C659,'RAW DATA 2023'!E:BO,36,0)</f>
        <v>Normal</v>
      </c>
      <c r="L659" s="106">
        <f>VLOOKUP(C659,'RAW DATA 2023'!E:BO,21,0)</f>
        <v>9.6130599999999991</v>
      </c>
      <c r="M659" s="106">
        <f t="shared" si="55"/>
        <v>20.008113808952778</v>
      </c>
    </row>
    <row r="660" spans="1:13">
      <c r="A660" t="str">
        <f>'RAW DATA 2023'!B653</f>
        <v>CHBR1</v>
      </c>
      <c r="B660" t="str">
        <f>'RAW DATA 2023'!D653</f>
        <v>A1-012-0039</v>
      </c>
      <c r="C660" t="str">
        <f t="shared" si="51"/>
        <v>CHBR1A1-012-0039</v>
      </c>
      <c r="D660">
        <f>VLOOKUP(C660,'RAW DATA 2023'!E:BP,63,0)</f>
        <v>5</v>
      </c>
      <c r="E660" t="str">
        <f t="shared" si="52"/>
        <v>CHBR15</v>
      </c>
      <c r="F660">
        <f>ROUND(VLOOKUP(C660,'RAW DATA 2023'!E:BO,23,0),0)</f>
        <v>45</v>
      </c>
      <c r="G660" s="16">
        <f>VLOOKUP(C660,'RAW DATA 2023'!E:BO,27,0)</f>
        <v>2.4203952349168985</v>
      </c>
      <c r="H660" s="16">
        <f>IFERROR(VLOOKUP(F660,STD!B:G,5,0),0)</f>
        <v>1.55</v>
      </c>
      <c r="I660" s="21">
        <f t="shared" si="53"/>
        <v>0.64039127892813652</v>
      </c>
      <c r="J660" s="16">
        <f t="shared" si="54"/>
        <v>2.8078255785627304</v>
      </c>
      <c r="K660" s="106" t="str">
        <f>VLOOKUP(C660,'RAW DATA 2023'!E:BO,36,0)</f>
        <v>อัตรารอดต่ำ</v>
      </c>
      <c r="L660" s="106">
        <f>VLOOKUP(C660,'RAW DATA 2023'!E:BO,21,0)</f>
        <v>8.81602</v>
      </c>
      <c r="M660" s="106">
        <f t="shared" si="55"/>
        <v>24.753846457120602</v>
      </c>
    </row>
    <row r="661" spans="1:13">
      <c r="A661" t="str">
        <f>'RAW DATA 2023'!B654</f>
        <v>CHBR1</v>
      </c>
      <c r="B661" t="str">
        <f>'RAW DATA 2023'!D654</f>
        <v>A1-017-0014</v>
      </c>
      <c r="C661" t="str">
        <f t="shared" si="51"/>
        <v>CHBR1A1-017-0014</v>
      </c>
      <c r="D661">
        <f>VLOOKUP(C661,'RAW DATA 2023'!E:BP,63,0)</f>
        <v>7</v>
      </c>
      <c r="E661" t="str">
        <f t="shared" si="52"/>
        <v>CHBR17</v>
      </c>
      <c r="F661">
        <f>ROUND(VLOOKUP(C661,'RAW DATA 2023'!E:BO,23,0),0)</f>
        <v>36</v>
      </c>
      <c r="G661" s="16">
        <f>VLOOKUP(C661,'RAW DATA 2023'!E:BO,27,0)</f>
        <v>1.7755264684462293</v>
      </c>
      <c r="H661" s="16">
        <f>IFERROR(VLOOKUP(F661,STD!B:G,5,0),0)</f>
        <v>1.726</v>
      </c>
      <c r="I661" s="21">
        <f t="shared" si="53"/>
        <v>0.97210603765903292</v>
      </c>
      <c r="J661" s="16">
        <f t="shared" si="54"/>
        <v>9.4421207531806584</v>
      </c>
      <c r="K661" s="106" t="str">
        <f>VLOOKUP(C661,'RAW DATA 2023'!E:BO,36,0)</f>
        <v>Normal</v>
      </c>
      <c r="L661" s="106">
        <f>VLOOKUP(C661,'RAW DATA 2023'!E:BO,21,0)</f>
        <v>16.81071</v>
      </c>
      <c r="M661" s="106">
        <f t="shared" si="55"/>
        <v>158.72875376670163</v>
      </c>
    </row>
    <row r="662" spans="1:13">
      <c r="A662" t="str">
        <f>'RAW DATA 2023'!B655</f>
        <v>CHBR1</v>
      </c>
      <c r="B662" t="str">
        <f>'RAW DATA 2023'!D655</f>
        <v>A1-012-0040</v>
      </c>
      <c r="C662" t="str">
        <f t="shared" si="51"/>
        <v>CHBR1A1-012-0040</v>
      </c>
      <c r="D662">
        <f>VLOOKUP(C662,'RAW DATA 2023'!E:BP,63,0)</f>
        <v>7</v>
      </c>
      <c r="E662" t="str">
        <f t="shared" si="52"/>
        <v>CHBR17</v>
      </c>
      <c r="F662">
        <f>ROUND(VLOOKUP(C662,'RAW DATA 2023'!E:BO,23,0),0)</f>
        <v>73</v>
      </c>
      <c r="G662" s="16">
        <f>VLOOKUP(C662,'RAW DATA 2023'!E:BO,27,0)</f>
        <v>1.5689069754378897</v>
      </c>
      <c r="H662" s="16">
        <f>IFERROR(VLOOKUP(F662,STD!B:G,5,0),0)</f>
        <v>1.32</v>
      </c>
      <c r="I662" s="21">
        <f t="shared" si="53"/>
        <v>0.84135007407407414</v>
      </c>
      <c r="J662" s="16">
        <f t="shared" si="54"/>
        <v>6.8270014814814832</v>
      </c>
      <c r="K662" s="106" t="str">
        <f>VLOOKUP(C662,'RAW DATA 2023'!E:BO,36,0)</f>
        <v>EHP</v>
      </c>
      <c r="L662" s="106">
        <f>VLOOKUP(C662,'RAW DATA 2023'!E:BO,21,0)</f>
        <v>5.6728999999999994</v>
      </c>
      <c r="M662" s="106">
        <f t="shared" si="55"/>
        <v>38.728896704296304</v>
      </c>
    </row>
    <row r="663" spans="1:13">
      <c r="A663" t="str">
        <f>'RAW DATA 2023'!B656</f>
        <v>CHBR1</v>
      </c>
      <c r="B663" t="str">
        <f>'RAW DATA 2023'!D656</f>
        <v>A1-016-0012</v>
      </c>
      <c r="C663" t="str">
        <f t="shared" si="51"/>
        <v>CHBR1A1-016-0012</v>
      </c>
      <c r="D663">
        <f>VLOOKUP(C663,'RAW DATA 2023'!E:BP,63,0)</f>
        <v>2</v>
      </c>
      <c r="E663" t="str">
        <f t="shared" si="52"/>
        <v>CHBR12</v>
      </c>
      <c r="F663">
        <f>ROUND(VLOOKUP(C663,'RAW DATA 2023'!E:BO,23,0),0)</f>
        <v>39</v>
      </c>
      <c r="G663" s="16">
        <f>VLOOKUP(C663,'RAW DATA 2023'!E:BO,27,0)</f>
        <v>1.9524009046855428</v>
      </c>
      <c r="H663" s="16">
        <f>IFERROR(VLOOKUP(F663,STD!B:G,5,0),0)</f>
        <v>1.64</v>
      </c>
      <c r="I663" s="21">
        <f t="shared" si="53"/>
        <v>0.83999141573033698</v>
      </c>
      <c r="J663" s="16">
        <f t="shared" si="54"/>
        <v>6.7998283146067395</v>
      </c>
      <c r="K663" s="106" t="str">
        <f>VLOOKUP(C663,'RAW DATA 2023'!E:BO,36,0)</f>
        <v>อัตรารอดต่ำ</v>
      </c>
      <c r="L663" s="106">
        <f>VLOOKUP(C663,'RAW DATA 2023'!E:BO,21,0)</f>
        <v>9.3969799999999992</v>
      </c>
      <c r="M663" s="106">
        <f t="shared" si="55"/>
        <v>63.897850675793237</v>
      </c>
    </row>
    <row r="664" spans="1:13">
      <c r="A664" t="str">
        <f>'RAW DATA 2023'!B657</f>
        <v>CHBR1</v>
      </c>
      <c r="B664" t="str">
        <f>'RAW DATA 2023'!D657</f>
        <v>A1-011-0013</v>
      </c>
      <c r="C664" t="str">
        <f t="shared" si="51"/>
        <v>CHBR1A1-011-0013</v>
      </c>
      <c r="D664">
        <f>VLOOKUP(C664,'RAW DATA 2023'!E:BP,63,0)</f>
        <v>2</v>
      </c>
      <c r="E664" t="str">
        <f t="shared" si="52"/>
        <v>CHBR12</v>
      </c>
      <c r="F664">
        <f>ROUND(VLOOKUP(C664,'RAW DATA 2023'!E:BO,23,0),0)</f>
        <v>42</v>
      </c>
      <c r="G664" s="16">
        <f>VLOOKUP(C664,'RAW DATA 2023'!E:BO,27,0)</f>
        <v>2.3631808867741899</v>
      </c>
      <c r="H664" s="16">
        <f>IFERROR(VLOOKUP(F664,STD!B:G,5,0),0)</f>
        <v>1.6</v>
      </c>
      <c r="I664" s="21">
        <f t="shared" si="53"/>
        <v>0.67705354632587866</v>
      </c>
      <c r="J664" s="16">
        <f t="shared" si="54"/>
        <v>3.5410709265175733</v>
      </c>
      <c r="K664" s="106" t="str">
        <f>VLOOKUP(C664,'RAW DATA 2023'!E:BO,36,0)</f>
        <v>ทยอยตาย</v>
      </c>
      <c r="L664" s="106">
        <f>VLOOKUP(C664,'RAW DATA 2023'!E:BO,21,0)</f>
        <v>6.9024300000000007</v>
      </c>
      <c r="M664" s="106">
        <f t="shared" si="55"/>
        <v>24.441994195322696</v>
      </c>
    </row>
    <row r="665" spans="1:13">
      <c r="A665" t="str">
        <f>'RAW DATA 2023'!B658</f>
        <v>CHBR1</v>
      </c>
      <c r="B665" t="str">
        <f>'RAW DATA 2023'!D658</f>
        <v>A1-015-0018</v>
      </c>
      <c r="C665" t="str">
        <f t="shared" si="51"/>
        <v>CHBR1A1-015-0018</v>
      </c>
      <c r="D665">
        <f>VLOOKUP(C665,'RAW DATA 2023'!E:BP,63,0)</f>
        <v>7</v>
      </c>
      <c r="E665" t="str">
        <f t="shared" si="52"/>
        <v>CHBR17</v>
      </c>
      <c r="F665">
        <f>ROUND(VLOOKUP(C665,'RAW DATA 2023'!E:BO,23,0),0)</f>
        <v>39</v>
      </c>
      <c r="G665" s="16">
        <f>VLOOKUP(C665,'RAW DATA 2023'!E:BO,27,0)</f>
        <v>1.7401337086725654</v>
      </c>
      <c r="H665" s="16">
        <f>IFERROR(VLOOKUP(F665,STD!B:G,5,0),0)</f>
        <v>1.64</v>
      </c>
      <c r="I665" s="21">
        <f t="shared" si="53"/>
        <v>0.94245631345826231</v>
      </c>
      <c r="J665" s="16">
        <f t="shared" si="54"/>
        <v>8.8491262691652466</v>
      </c>
      <c r="K665" s="106" t="str">
        <f>VLOOKUP(C665,'RAW DATA 2023'!E:BO,36,0)</f>
        <v>Normal</v>
      </c>
      <c r="L665" s="106">
        <f>VLOOKUP(C665,'RAW DATA 2023'!E:BO,21,0)</f>
        <v>17.166520000000002</v>
      </c>
      <c r="M665" s="106">
        <f t="shared" si="55"/>
        <v>151.90870308215059</v>
      </c>
    </row>
    <row r="666" spans="1:13">
      <c r="A666" t="str">
        <f>'RAW DATA 2023'!B659</f>
        <v>CHBR1</v>
      </c>
      <c r="B666" t="str">
        <f>'RAW DATA 2023'!D659</f>
        <v>A1-018-0012</v>
      </c>
      <c r="C666" t="str">
        <f t="shared" si="51"/>
        <v>CHBR1A1-018-0012</v>
      </c>
      <c r="D666">
        <f>VLOOKUP(C666,'RAW DATA 2023'!E:BP,63,0)</f>
        <v>3</v>
      </c>
      <c r="E666" t="str">
        <f t="shared" si="52"/>
        <v>CHBR13</v>
      </c>
      <c r="F666">
        <f>ROUND(VLOOKUP(C666,'RAW DATA 2023'!E:BO,23,0),0)</f>
        <v>39</v>
      </c>
      <c r="G666" s="16">
        <f>VLOOKUP(C666,'RAW DATA 2023'!E:BO,27,0)</f>
        <v>1.7307275280764367</v>
      </c>
      <c r="H666" s="16">
        <f>IFERROR(VLOOKUP(F666,STD!B:G,5,0),0)</f>
        <v>1.64</v>
      </c>
      <c r="I666" s="21">
        <f t="shared" si="53"/>
        <v>0.94757838735177857</v>
      </c>
      <c r="J666" s="16">
        <f t="shared" si="54"/>
        <v>8.9515677470355719</v>
      </c>
      <c r="K666" s="106" t="str">
        <f>VLOOKUP(C666,'RAW DATA 2023'!E:BO,36,0)</f>
        <v>Slow Growth</v>
      </c>
      <c r="L666" s="106">
        <f>VLOOKUP(C666,'RAW DATA 2023'!E:BO,21,0)</f>
        <v>14.75417</v>
      </c>
      <c r="M666" s="106">
        <f t="shared" si="55"/>
        <v>132.07295230627983</v>
      </c>
    </row>
    <row r="667" spans="1:13">
      <c r="A667" t="str">
        <f>'RAW DATA 2023'!B660</f>
        <v>CHBR1</v>
      </c>
      <c r="B667" t="str">
        <f>'RAW DATA 2023'!D660</f>
        <v>A1-009-0034</v>
      </c>
      <c r="C667" t="str">
        <f t="shared" si="51"/>
        <v>CHBR1A1-009-0034</v>
      </c>
      <c r="D667">
        <f>VLOOKUP(C667,'RAW DATA 2023'!E:BP,63,0)</f>
        <v>7</v>
      </c>
      <c r="E667" t="str">
        <f t="shared" si="52"/>
        <v>CHBR17</v>
      </c>
      <c r="F667">
        <f>ROUND(VLOOKUP(C667,'RAW DATA 2023'!E:BO,23,0),0)</f>
        <v>112</v>
      </c>
      <c r="G667" s="16">
        <f>VLOOKUP(C667,'RAW DATA 2023'!E:BO,27,0)</f>
        <v>1.1041213348557641</v>
      </c>
      <c r="H667" s="16">
        <f>IFERROR(VLOOKUP(F667,STD!B:G,5,0),0)</f>
        <v>1.18</v>
      </c>
      <c r="I667" s="21">
        <f t="shared" si="53"/>
        <v>1.0687231219512194</v>
      </c>
      <c r="J667" s="16">
        <f t="shared" si="54"/>
        <v>11.374462439024388</v>
      </c>
      <c r="K667" s="106" t="str">
        <f>VLOOKUP(C667,'RAW DATA 2023'!E:BO,36,0)</f>
        <v>EHP</v>
      </c>
      <c r="L667" s="106">
        <f>VLOOKUP(C667,'RAW DATA 2023'!E:BO,21,0)</f>
        <v>5.9600400000000002</v>
      </c>
      <c r="M667" s="106">
        <f t="shared" si="55"/>
        <v>67.792251115082919</v>
      </c>
    </row>
    <row r="668" spans="1:13">
      <c r="A668" t="str">
        <f>'RAW DATA 2023'!B661</f>
        <v>CHBR1</v>
      </c>
      <c r="B668" t="str">
        <f>'RAW DATA 2023'!D661</f>
        <v>A1-019-0004</v>
      </c>
      <c r="C668" t="str">
        <f t="shared" si="51"/>
        <v>CHBR1A1-019-0004</v>
      </c>
      <c r="D668">
        <f>VLOOKUP(C668,'RAW DATA 2023'!E:BP,63,0)</f>
        <v>3</v>
      </c>
      <c r="E668" t="str">
        <f t="shared" si="52"/>
        <v>CHBR13</v>
      </c>
      <c r="F668">
        <f>ROUND(VLOOKUP(C668,'RAW DATA 2023'!E:BO,23,0),0)</f>
        <v>45</v>
      </c>
      <c r="G668" s="16">
        <f>VLOOKUP(C668,'RAW DATA 2023'!E:BO,27,0)</f>
        <v>1.6598283620499104</v>
      </c>
      <c r="H668" s="16">
        <f>IFERROR(VLOOKUP(F668,STD!B:G,5,0),0)</f>
        <v>1.55</v>
      </c>
      <c r="I668" s="21">
        <f t="shared" si="53"/>
        <v>0.93383149453219927</v>
      </c>
      <c r="J668" s="16">
        <f t="shared" si="54"/>
        <v>8.6766298906439854</v>
      </c>
      <c r="K668" s="106" t="str">
        <f>VLOOKUP(C668,'RAW DATA 2023'!E:BO,36,0)</f>
        <v>Slow Growth</v>
      </c>
      <c r="L668" s="106">
        <f>VLOOKUP(C668,'RAW DATA 2023'!E:BO,21,0)</f>
        <v>12.5319</v>
      </c>
      <c r="M668" s="106">
        <f t="shared" si="55"/>
        <v>108.73465812656136</v>
      </c>
    </row>
    <row r="669" spans="1:13">
      <c r="A669" t="str">
        <f>'RAW DATA 2023'!B662</f>
        <v>CHBR1</v>
      </c>
      <c r="B669" t="str">
        <f>'RAW DATA 2023'!D662</f>
        <v>A1-017-0013</v>
      </c>
      <c r="C669" t="str">
        <f t="shared" si="51"/>
        <v>CHBR1A1-017-0013</v>
      </c>
      <c r="D669">
        <f>VLOOKUP(C669,'RAW DATA 2023'!E:BP,63,0)</f>
        <v>2</v>
      </c>
      <c r="E669" t="str">
        <f t="shared" si="52"/>
        <v>CHBR12</v>
      </c>
      <c r="F669">
        <f>ROUND(VLOOKUP(C669,'RAW DATA 2023'!E:BO,23,0),0)</f>
        <v>47</v>
      </c>
      <c r="G669" s="16">
        <f>VLOOKUP(C669,'RAW DATA 2023'!E:BO,27,0)</f>
        <v>1.9286222358593854</v>
      </c>
      <c r="H669" s="16">
        <f>IFERROR(VLOOKUP(F669,STD!B:G,5,0),0)</f>
        <v>1.53</v>
      </c>
      <c r="I669" s="21">
        <f t="shared" si="53"/>
        <v>0.79331243389830508</v>
      </c>
      <c r="J669" s="16">
        <f t="shared" si="54"/>
        <v>5.8662486779661016</v>
      </c>
      <c r="K669" s="106" t="str">
        <f>VLOOKUP(C669,'RAW DATA 2023'!E:BO,36,0)</f>
        <v>Slow Growth</v>
      </c>
      <c r="L669" s="106">
        <f>VLOOKUP(C669,'RAW DATA 2023'!E:BO,21,0)</f>
        <v>11.711919999999999</v>
      </c>
      <c r="M669" s="106">
        <f t="shared" si="55"/>
        <v>68.705035216444742</v>
      </c>
    </row>
    <row r="670" spans="1:13">
      <c r="A670" t="str">
        <f>'RAW DATA 2023'!B663</f>
        <v>CHBR1</v>
      </c>
      <c r="B670" t="str">
        <f>'RAW DATA 2023'!D663</f>
        <v>A1-015-0017</v>
      </c>
      <c r="C670" t="str">
        <f t="shared" si="51"/>
        <v>CHBR1A1-015-0017</v>
      </c>
      <c r="D670">
        <f>VLOOKUP(C670,'RAW DATA 2023'!E:BP,63,0)</f>
        <v>2</v>
      </c>
      <c r="E670" t="str">
        <f t="shared" si="52"/>
        <v>CHBR12</v>
      </c>
      <c r="F670">
        <f>ROUND(VLOOKUP(C670,'RAW DATA 2023'!E:BO,23,0),0)</f>
        <v>52</v>
      </c>
      <c r="G670" s="16">
        <f>VLOOKUP(C670,'RAW DATA 2023'!E:BO,27,0)</f>
        <v>2.4140055129702258</v>
      </c>
      <c r="H670" s="16">
        <f>IFERROR(VLOOKUP(F670,STD!B:G,5,0),0)</f>
        <v>1.47</v>
      </c>
      <c r="I670" s="21">
        <f t="shared" si="53"/>
        <v>0.60894641379310344</v>
      </c>
      <c r="J670" s="16">
        <f t="shared" si="54"/>
        <v>2.1789282758620687</v>
      </c>
      <c r="K670" s="106" t="str">
        <f>VLOOKUP(C670,'RAW DATA 2023'!E:BO,36,0)</f>
        <v>Slow Growth</v>
      </c>
      <c r="L670" s="106">
        <f>VLOOKUP(C670,'RAW DATA 2023'!E:BO,21,0)</f>
        <v>8.5692599999999999</v>
      </c>
      <c r="M670" s="106">
        <f t="shared" si="55"/>
        <v>18.671802917213792</v>
      </c>
    </row>
    <row r="671" spans="1:13">
      <c r="A671" t="str">
        <f>'RAW DATA 2023'!B664</f>
        <v>Tamai2</v>
      </c>
      <c r="B671" t="str">
        <f>'RAW DATA 2023'!D664</f>
        <v>D1-068-0004</v>
      </c>
      <c r="C671" t="str">
        <f t="shared" si="51"/>
        <v>Tamai2D1-068-0004</v>
      </c>
      <c r="D671">
        <f>VLOOKUP(C671,'RAW DATA 2023'!E:BP,63,0)</f>
        <v>7</v>
      </c>
      <c r="E671" t="str">
        <f t="shared" si="52"/>
        <v>Tamai27</v>
      </c>
      <c r="F671">
        <f>ROUND(VLOOKUP(C671,'RAW DATA 2023'!E:BO,23,0),0)</f>
        <v>39</v>
      </c>
      <c r="G671" s="16">
        <f>VLOOKUP(C671,'RAW DATA 2023'!E:BO,27,0)</f>
        <v>1.7452963186867982</v>
      </c>
      <c r="H671" s="16">
        <f>IFERROR(VLOOKUP(F671,STD!B:G,5,0),0)</f>
        <v>1.64</v>
      </c>
      <c r="I671" s="21">
        <f t="shared" si="53"/>
        <v>0.93966851499118165</v>
      </c>
      <c r="J671" s="16">
        <f t="shared" si="54"/>
        <v>8.7933702998236321</v>
      </c>
      <c r="K671" s="106" t="str">
        <f>VLOOKUP(C671,'RAW DATA 2023'!E:BO,36,0)</f>
        <v>Normal</v>
      </c>
      <c r="L671" s="106">
        <f>VLOOKUP(C671,'RAW DATA 2023'!E:BO,21,0)</f>
        <v>24.885249999999999</v>
      </c>
      <c r="M671" s="106">
        <f t="shared" si="55"/>
        <v>218.82521825368605</v>
      </c>
    </row>
    <row r="672" spans="1:13">
      <c r="A672" t="str">
        <f>'RAW DATA 2023'!B665</f>
        <v>Tamai2</v>
      </c>
      <c r="B672" t="str">
        <f>'RAW DATA 2023'!D665</f>
        <v>D1-073-0009</v>
      </c>
      <c r="C672" t="str">
        <f t="shared" si="51"/>
        <v>Tamai2D1-073-0009</v>
      </c>
      <c r="D672">
        <f>VLOOKUP(C672,'RAW DATA 2023'!E:BP,63,0)</f>
        <v>5</v>
      </c>
      <c r="E672" t="str">
        <f t="shared" si="52"/>
        <v>Tamai25</v>
      </c>
      <c r="F672">
        <f>ROUND(VLOOKUP(C672,'RAW DATA 2023'!E:BO,23,0),0)</f>
        <v>38</v>
      </c>
      <c r="G672" s="16">
        <f>VLOOKUP(C672,'RAW DATA 2023'!E:BO,27,0)</f>
        <v>1.8655124712822293</v>
      </c>
      <c r="H672" s="16">
        <f>IFERROR(VLOOKUP(F672,STD!B:G,5,0),0)</f>
        <v>1.669</v>
      </c>
      <c r="I672" s="21">
        <f t="shared" si="53"/>
        <v>0.89466032829726427</v>
      </c>
      <c r="J672" s="16">
        <f t="shared" si="54"/>
        <v>7.8932065659452855</v>
      </c>
      <c r="K672" s="106" t="str">
        <f>VLOOKUP(C672,'RAW DATA 2023'!E:BO,36,0)</f>
        <v>Normal</v>
      </c>
      <c r="L672" s="106">
        <f>VLOOKUP(C672,'RAW DATA 2023'!E:BO,21,0)</f>
        <v>33.339400000000005</v>
      </c>
      <c r="M672" s="106">
        <f t="shared" si="55"/>
        <v>263.1547709846763</v>
      </c>
    </row>
    <row r="673" spans="1:13">
      <c r="A673" t="str">
        <f>'RAW DATA 2023'!B666</f>
        <v>Tamai2</v>
      </c>
      <c r="B673" t="str">
        <f>'RAW DATA 2023'!D666</f>
        <v>D1-068-0005</v>
      </c>
      <c r="C673" t="str">
        <f t="shared" si="51"/>
        <v>Tamai2D1-068-0005</v>
      </c>
      <c r="D673">
        <f>VLOOKUP(C673,'RAW DATA 2023'!E:BP,63,0)</f>
        <v>12</v>
      </c>
      <c r="E673" t="str">
        <f t="shared" si="52"/>
        <v>Tamai212</v>
      </c>
      <c r="F673">
        <f>ROUND(VLOOKUP(C673,'RAW DATA 2023'!E:BO,23,0),0)</f>
        <v>58</v>
      </c>
      <c r="G673" s="16">
        <f>VLOOKUP(C673,'RAW DATA 2023'!E:BO,27,0)</f>
        <v>1.8271135484722678</v>
      </c>
      <c r="H673" s="16">
        <f>IFERROR(VLOOKUP(F673,STD!B:G,5,0),0)</f>
        <v>1.42</v>
      </c>
      <c r="I673" s="21">
        <f t="shared" si="53"/>
        <v>0.77718213035381745</v>
      </c>
      <c r="J673" s="16">
        <f t="shared" si="54"/>
        <v>5.5436426070763485</v>
      </c>
      <c r="K673" s="106" t="str">
        <f>VLOOKUP(C673,'RAW DATA 2023'!E:BO,36,0)</f>
        <v>ปิดฟาร์ม</v>
      </c>
      <c r="L673" s="106">
        <f>VLOOKUP(C673,'RAW DATA 2023'!E:BO,21,0)</f>
        <v>15.045309999999999</v>
      </c>
      <c r="M673" s="106">
        <f t="shared" si="55"/>
        <v>83.405821552671853</v>
      </c>
    </row>
    <row r="674" spans="1:13">
      <c r="A674" t="str">
        <f>'RAW DATA 2023'!B667</f>
        <v>Tamai2</v>
      </c>
      <c r="B674" t="str">
        <f>'RAW DATA 2023'!D667</f>
        <v>D1-039-0028</v>
      </c>
      <c r="C674" t="str">
        <f t="shared" si="51"/>
        <v>Tamai2D1-039-0028</v>
      </c>
      <c r="D674">
        <f>VLOOKUP(C674,'RAW DATA 2023'!E:BP,63,0)</f>
        <v>6</v>
      </c>
      <c r="E674" t="str">
        <f t="shared" si="52"/>
        <v>Tamai26</v>
      </c>
      <c r="F674">
        <f>ROUND(VLOOKUP(C674,'RAW DATA 2023'!E:BO,23,0),0)</f>
        <v>58</v>
      </c>
      <c r="G674" s="16">
        <f>VLOOKUP(C674,'RAW DATA 2023'!E:BO,27,0)</f>
        <v>1.5018439230709228</v>
      </c>
      <c r="H674" s="16">
        <f>IFERROR(VLOOKUP(F674,STD!B:G,5,0),0)</f>
        <v>1.42</v>
      </c>
      <c r="I674" s="21">
        <f t="shared" si="53"/>
        <v>0.94550437511271412</v>
      </c>
      <c r="J674" s="16">
        <f t="shared" si="54"/>
        <v>8.9100875022542816</v>
      </c>
      <c r="K674" s="106" t="str">
        <f>VLOOKUP(C674,'RAW DATA 2023'!E:BO,36,0)</f>
        <v>EHP</v>
      </c>
      <c r="L674" s="106">
        <f>VLOOKUP(C674,'RAW DATA 2023'!E:BO,21,0)</f>
        <v>18.805040000000002</v>
      </c>
      <c r="M674" s="106">
        <f t="shared" si="55"/>
        <v>167.55455188339187</v>
      </c>
    </row>
    <row r="675" spans="1:13">
      <c r="A675" t="str">
        <f>'RAW DATA 2023'!B668</f>
        <v>Tamai2</v>
      </c>
      <c r="B675" t="str">
        <f>'RAW DATA 2023'!D668</f>
        <v>C1-058-0011</v>
      </c>
      <c r="C675" t="str">
        <f t="shared" si="51"/>
        <v>Tamai2C1-058-0011</v>
      </c>
      <c r="D675">
        <f>VLOOKUP(C675,'RAW DATA 2023'!E:BP,63,0)</f>
        <v>8</v>
      </c>
      <c r="E675" t="str">
        <f t="shared" si="52"/>
        <v>Tamai28</v>
      </c>
      <c r="F675">
        <f>ROUND(VLOOKUP(C675,'RAW DATA 2023'!E:BO,23,0),0)</f>
        <v>124</v>
      </c>
      <c r="G675" s="16">
        <f>VLOOKUP(C675,'RAW DATA 2023'!E:BO,27,0)</f>
        <v>1.1479320396517849</v>
      </c>
      <c r="H675" s="16">
        <f>IFERROR(VLOOKUP(F675,STD!B:G,5,0),0)</f>
        <v>1.1499999999999999</v>
      </c>
      <c r="I675" s="21">
        <f t="shared" si="53"/>
        <v>1.0018014658331535</v>
      </c>
      <c r="J675" s="16">
        <f t="shared" si="54"/>
        <v>10.036029316663072</v>
      </c>
      <c r="K675" s="106" t="str">
        <f>VLOOKUP(C675,'RAW DATA 2023'!E:BO,36,0)</f>
        <v>EHP</v>
      </c>
      <c r="L675" s="106">
        <f>VLOOKUP(C675,'RAW DATA 2023'!E:BO,21,0)</f>
        <v>4.5991999999999997</v>
      </c>
      <c r="M675" s="106">
        <f t="shared" si="55"/>
        <v>46.157706033196796</v>
      </c>
    </row>
    <row r="676" spans="1:13">
      <c r="A676" t="str">
        <f>'RAW DATA 2023'!B669</f>
        <v>Tamai2</v>
      </c>
      <c r="B676" t="str">
        <f>'RAW DATA 2023'!D669</f>
        <v>D1-040-0028</v>
      </c>
      <c r="C676" t="str">
        <f t="shared" si="51"/>
        <v>Tamai2D1-040-0028</v>
      </c>
      <c r="D676">
        <f>VLOOKUP(C676,'RAW DATA 2023'!E:BP,63,0)</f>
        <v>6</v>
      </c>
      <c r="E676" t="str">
        <f t="shared" si="52"/>
        <v>Tamai26</v>
      </c>
      <c r="F676">
        <f>ROUND(VLOOKUP(C676,'RAW DATA 2023'!E:BO,23,0),0)</f>
        <v>67</v>
      </c>
      <c r="G676" s="16">
        <f>VLOOKUP(C676,'RAW DATA 2023'!E:BO,27,0)</f>
        <v>1.5374975342020678</v>
      </c>
      <c r="H676" s="16">
        <f>IFERROR(VLOOKUP(F676,STD!B:G,5,0),0)</f>
        <v>1.35</v>
      </c>
      <c r="I676" s="21">
        <f t="shared" si="53"/>
        <v>0.87805018867924534</v>
      </c>
      <c r="J676" s="16">
        <f t="shared" si="54"/>
        <v>7.5610037735849067</v>
      </c>
      <c r="K676" s="106" t="str">
        <f>VLOOKUP(C676,'RAW DATA 2023'!E:BO,36,0)</f>
        <v>EHP</v>
      </c>
      <c r="L676" s="106">
        <f>VLOOKUP(C676,'RAW DATA 2023'!E:BO,21,0)</f>
        <v>19.463380000000001</v>
      </c>
      <c r="M676" s="106">
        <f t="shared" si="55"/>
        <v>147.162689626717</v>
      </c>
    </row>
    <row r="677" spans="1:13">
      <c r="A677" t="str">
        <f>'RAW DATA 2023'!B670</f>
        <v>Tamai2</v>
      </c>
      <c r="B677" t="str">
        <f>'RAW DATA 2023'!D670</f>
        <v>D1-073-0010</v>
      </c>
      <c r="C677" t="str">
        <f t="shared" si="51"/>
        <v>Tamai2D1-073-0010</v>
      </c>
      <c r="D677">
        <f>VLOOKUP(C677,'RAW DATA 2023'!E:BP,63,0)</f>
        <v>8</v>
      </c>
      <c r="E677" t="str">
        <f t="shared" si="52"/>
        <v>Tamai28</v>
      </c>
      <c r="F677">
        <f>ROUND(VLOOKUP(C677,'RAW DATA 2023'!E:BO,23,0),0)</f>
        <v>119</v>
      </c>
      <c r="G677" s="16">
        <f>VLOOKUP(C677,'RAW DATA 2023'!E:BO,27,0)</f>
        <v>1.1675519836432404</v>
      </c>
      <c r="H677" s="16">
        <f>IFERROR(VLOOKUP(F677,STD!B:G,5,0),0)</f>
        <v>1.17</v>
      </c>
      <c r="I677" s="21">
        <f t="shared" si="53"/>
        <v>1.0020967086614172</v>
      </c>
      <c r="J677" s="16">
        <f t="shared" si="54"/>
        <v>10.041934173228345</v>
      </c>
      <c r="K677" s="106" t="str">
        <f>VLOOKUP(C677,'RAW DATA 2023'!E:BO,36,0)</f>
        <v>EHP</v>
      </c>
      <c r="L677" s="106">
        <f>VLOOKUP(C677,'RAW DATA 2023'!E:BO,21,0)</f>
        <v>5.8587299999999995</v>
      </c>
      <c r="M677" s="106">
        <f t="shared" si="55"/>
        <v>58.832980998718099</v>
      </c>
    </row>
    <row r="678" spans="1:13">
      <c r="A678" t="str">
        <f>'RAW DATA 2023'!B671</f>
        <v>Tamai2</v>
      </c>
      <c r="B678" t="str">
        <f>'RAW DATA 2023'!D671</f>
        <v>D1-068-0003</v>
      </c>
      <c r="C678" t="str">
        <f t="shared" si="51"/>
        <v>Tamai2D1-068-0003</v>
      </c>
      <c r="D678">
        <f>VLOOKUP(C678,'RAW DATA 2023'!E:BP,63,0)</f>
        <v>3</v>
      </c>
      <c r="E678" t="str">
        <f t="shared" si="52"/>
        <v>Tamai23</v>
      </c>
      <c r="F678">
        <f>ROUND(VLOOKUP(C678,'RAW DATA 2023'!E:BO,23,0),0)</f>
        <v>0</v>
      </c>
      <c r="G678" s="16">
        <f>VLOOKUP(C678,'RAW DATA 2023'!E:BO,27,0)</f>
        <v>0</v>
      </c>
      <c r="H678" s="16">
        <f>IFERROR(VLOOKUP(F678,STD!B:G,5,0),0)</f>
        <v>0</v>
      </c>
      <c r="I678" s="21">
        <f t="shared" si="53"/>
        <v>0</v>
      </c>
      <c r="J678" s="16">
        <f t="shared" si="54"/>
        <v>-10</v>
      </c>
      <c r="K678" s="106" t="str">
        <f>VLOOKUP(C678,'RAW DATA 2023'!E:BO,36,0)</f>
        <v>WSSV</v>
      </c>
      <c r="L678" s="106">
        <f>VLOOKUP(C678,'RAW DATA 2023'!E:BO,21,0)</f>
        <v>0</v>
      </c>
      <c r="M678" s="106">
        <f t="shared" si="55"/>
        <v>0</v>
      </c>
    </row>
    <row r="679" spans="1:13">
      <c r="A679" t="str">
        <f>'RAW DATA 2023'!B672</f>
        <v>Tamai2</v>
      </c>
      <c r="B679" t="str">
        <f>'RAW DATA 2023'!D672</f>
        <v>A1-006-0026</v>
      </c>
      <c r="C679" t="str">
        <f t="shared" si="51"/>
        <v>Tamai2A1-006-0026</v>
      </c>
      <c r="D679">
        <f>VLOOKUP(C679,'RAW DATA 2023'!E:BP,63,0)</f>
        <v>6</v>
      </c>
      <c r="E679" t="str">
        <f t="shared" si="52"/>
        <v>Tamai26</v>
      </c>
      <c r="F679">
        <f>ROUND(VLOOKUP(C679,'RAW DATA 2023'!E:BO,23,0),0)</f>
        <v>30</v>
      </c>
      <c r="G679" s="16">
        <f>VLOOKUP(C679,'RAW DATA 2023'!E:BO,27,0)</f>
        <v>1.8830125933042139</v>
      </c>
      <c r="H679" s="16">
        <f>IFERROR(VLOOKUP(F679,STD!B:G,5,0),0)</f>
        <v>1.87</v>
      </c>
      <c r="I679" s="21">
        <f t="shared" si="53"/>
        <v>0.99308948153056165</v>
      </c>
      <c r="J679" s="16">
        <f t="shared" si="54"/>
        <v>9.8617896306112325</v>
      </c>
      <c r="K679" s="106" t="str">
        <f>VLOOKUP(C679,'RAW DATA 2023'!E:BO,36,0)</f>
        <v>Normal</v>
      </c>
      <c r="L679" s="106">
        <f>VLOOKUP(C679,'RAW DATA 2023'!E:BO,21,0)</f>
        <v>35.666359999999997</v>
      </c>
      <c r="M679" s="106">
        <f t="shared" si="55"/>
        <v>351.7341392096472</v>
      </c>
    </row>
    <row r="680" spans="1:13">
      <c r="A680" t="str">
        <f>'RAW DATA 2023'!B673</f>
        <v>Tamai2</v>
      </c>
      <c r="B680" t="str">
        <f>'RAW DATA 2023'!D673</f>
        <v>E1-027-0035</v>
      </c>
      <c r="C680" t="str">
        <f t="shared" si="51"/>
        <v>Tamai2E1-027-0035</v>
      </c>
      <c r="D680">
        <f>VLOOKUP(C680,'RAW DATA 2023'!E:BP,63,0)</f>
        <v>5</v>
      </c>
      <c r="E680" t="str">
        <f t="shared" si="52"/>
        <v>Tamai25</v>
      </c>
      <c r="F680">
        <f>ROUND(VLOOKUP(C680,'RAW DATA 2023'!E:BO,23,0),0)</f>
        <v>28</v>
      </c>
      <c r="G680" s="16">
        <f>VLOOKUP(C680,'RAW DATA 2023'!E:BO,27,0)</f>
        <v>1.8616073607888164</v>
      </c>
      <c r="H680" s="16">
        <f>IFERROR(VLOOKUP(F680,STD!B:G,5,0),0)</f>
        <v>1.93</v>
      </c>
      <c r="I680" s="21">
        <f t="shared" si="53"/>
        <v>1.0367384877454522</v>
      </c>
      <c r="J680" s="16">
        <f t="shared" si="54"/>
        <v>10.734769754909044</v>
      </c>
      <c r="K680" s="106" t="str">
        <f>VLOOKUP(C680,'RAW DATA 2023'!E:BO,36,0)</f>
        <v>Normal</v>
      </c>
      <c r="L680" s="106">
        <f>VLOOKUP(C680,'RAW DATA 2023'!E:BO,21,0)</f>
        <v>26.30969</v>
      </c>
      <c r="M680" s="106">
        <f t="shared" si="55"/>
        <v>282.42846447303293</v>
      </c>
    </row>
    <row r="681" spans="1:13">
      <c r="A681" t="str">
        <f>'RAW DATA 2023'!B674</f>
        <v>Tamai2</v>
      </c>
      <c r="B681" t="str">
        <f>'RAW DATA 2023'!D674</f>
        <v>C1-057-0009</v>
      </c>
      <c r="C681" t="str">
        <f t="shared" si="51"/>
        <v>Tamai2C1-057-0009</v>
      </c>
      <c r="D681">
        <f>VLOOKUP(C681,'RAW DATA 2023'!E:BP,63,0)</f>
        <v>4</v>
      </c>
      <c r="E681" t="str">
        <f t="shared" si="52"/>
        <v>Tamai24</v>
      </c>
      <c r="F681">
        <f>ROUND(VLOOKUP(C681,'RAW DATA 2023'!E:BO,23,0),0)</f>
        <v>30</v>
      </c>
      <c r="G681" s="16">
        <f>VLOOKUP(C681,'RAW DATA 2023'!E:BO,27,0)</f>
        <v>1.9463804329905297</v>
      </c>
      <c r="H681" s="16">
        <f>IFERROR(VLOOKUP(F681,STD!B:G,5,0),0)</f>
        <v>1.87</v>
      </c>
      <c r="I681" s="21">
        <f t="shared" si="53"/>
        <v>0.96075770610107591</v>
      </c>
      <c r="J681" s="16">
        <f t="shared" si="54"/>
        <v>9.2151541220215183</v>
      </c>
      <c r="K681" s="106" t="str">
        <f>VLOOKUP(C681,'RAW DATA 2023'!E:BO,36,0)</f>
        <v>Normal</v>
      </c>
      <c r="L681" s="106">
        <f>VLOOKUP(C681,'RAW DATA 2023'!E:BO,21,0)</f>
        <v>23.67155</v>
      </c>
      <c r="M681" s="106">
        <f t="shared" si="55"/>
        <v>218.13698155713848</v>
      </c>
    </row>
    <row r="682" spans="1:13">
      <c r="A682" t="str">
        <f>'RAW DATA 2023'!B675</f>
        <v>Tamai2</v>
      </c>
      <c r="B682" t="str">
        <f>'RAW DATA 2023'!D675</f>
        <v>E1-032-0036</v>
      </c>
      <c r="C682" t="str">
        <f t="shared" si="51"/>
        <v>Tamai2E1-032-0036</v>
      </c>
      <c r="D682">
        <f>VLOOKUP(C682,'RAW DATA 2023'!E:BP,63,0)</f>
        <v>3</v>
      </c>
      <c r="E682" t="str">
        <f t="shared" si="52"/>
        <v>Tamai23</v>
      </c>
      <c r="F682">
        <f>ROUND(VLOOKUP(C682,'RAW DATA 2023'!E:BO,23,0),0)</f>
        <v>31</v>
      </c>
      <c r="G682" s="16">
        <f>VLOOKUP(C682,'RAW DATA 2023'!E:BO,27,0)</f>
        <v>1.6462381071064109</v>
      </c>
      <c r="H682" s="16">
        <f>IFERROR(VLOOKUP(F682,STD!B:G,5,0),0)</f>
        <v>1.84</v>
      </c>
      <c r="I682" s="21">
        <f t="shared" si="53"/>
        <v>1.1176997981380494</v>
      </c>
      <c r="J682" s="16">
        <f t="shared" si="54"/>
        <v>12.353995962760989</v>
      </c>
      <c r="K682" s="106" t="str">
        <f>VLOOKUP(C682,'RAW DATA 2023'!E:BO,36,0)</f>
        <v>Normal</v>
      </c>
      <c r="L682" s="106">
        <f>VLOOKUP(C682,'RAW DATA 2023'!E:BO,21,0)</f>
        <v>40.72345</v>
      </c>
      <c r="M682" s="106">
        <f t="shared" si="55"/>
        <v>503.09733688969897</v>
      </c>
    </row>
    <row r="683" spans="1:13">
      <c r="A683" t="str">
        <f>'RAW DATA 2023'!B676</f>
        <v>Tamai2</v>
      </c>
      <c r="B683" t="str">
        <f>'RAW DATA 2023'!D676</f>
        <v>C1-057-0011</v>
      </c>
      <c r="C683" t="str">
        <f t="shared" si="51"/>
        <v>Tamai2C1-057-0011</v>
      </c>
      <c r="D683">
        <f>VLOOKUP(C683,'RAW DATA 2023'!E:BP,63,0)</f>
        <v>8</v>
      </c>
      <c r="E683" t="str">
        <f t="shared" si="52"/>
        <v>Tamai28</v>
      </c>
      <c r="F683">
        <f>ROUND(VLOOKUP(C683,'RAW DATA 2023'!E:BO,23,0),0)</f>
        <v>102</v>
      </c>
      <c r="G683" s="16">
        <f>VLOOKUP(C683,'RAW DATA 2023'!E:BO,27,0)</f>
        <v>1.5511287613136522</v>
      </c>
      <c r="H683" s="16">
        <f>IFERROR(VLOOKUP(F683,STD!B:G,5,0),0)</f>
        <v>1.21</v>
      </c>
      <c r="I683" s="21">
        <f t="shared" si="53"/>
        <v>0.78007708333333337</v>
      </c>
      <c r="J683" s="16">
        <f t="shared" si="54"/>
        <v>5.6015416666666678</v>
      </c>
      <c r="K683" s="106" t="str">
        <f>VLOOKUP(C683,'RAW DATA 2023'!E:BO,36,0)</f>
        <v>EHP</v>
      </c>
      <c r="L683" s="106">
        <f>VLOOKUP(C683,'RAW DATA 2023'!E:BO,21,0)</f>
        <v>4.2963900000000006</v>
      </c>
      <c r="M683" s="106">
        <f t="shared" si="55"/>
        <v>24.06640760125001</v>
      </c>
    </row>
    <row r="684" spans="1:13">
      <c r="A684" t="str">
        <f>'RAW DATA 2023'!B677</f>
        <v>Tamai2</v>
      </c>
      <c r="B684" t="str">
        <f>'RAW DATA 2023'!D677</f>
        <v>A1-082-0008</v>
      </c>
      <c r="C684" t="str">
        <f t="shared" si="51"/>
        <v>Tamai2A1-082-0008</v>
      </c>
      <c r="D684">
        <f>VLOOKUP(C684,'RAW DATA 2023'!E:BP,63,0)</f>
        <v>5</v>
      </c>
      <c r="E684" t="str">
        <f t="shared" si="52"/>
        <v>Tamai25</v>
      </c>
      <c r="F684">
        <f>ROUND(VLOOKUP(C684,'RAW DATA 2023'!E:BO,23,0),0)</f>
        <v>46</v>
      </c>
      <c r="G684" s="16">
        <f>VLOOKUP(C684,'RAW DATA 2023'!E:BO,27,0)</f>
        <v>1.6596601878071178</v>
      </c>
      <c r="H684" s="16">
        <f>IFERROR(VLOOKUP(F684,STD!B:G,5,0),0)</f>
        <v>1.54</v>
      </c>
      <c r="I684" s="21">
        <f t="shared" si="53"/>
        <v>0.92790079036286166</v>
      </c>
      <c r="J684" s="16">
        <f t="shared" si="54"/>
        <v>8.5580158072572328</v>
      </c>
      <c r="K684" s="106" t="str">
        <f>VLOOKUP(C684,'RAW DATA 2023'!E:BO,36,0)</f>
        <v>WFD</v>
      </c>
      <c r="L684" s="106">
        <f>VLOOKUP(C684,'RAW DATA 2023'!E:BO,21,0)</f>
        <v>20.907209999999999</v>
      </c>
      <c r="M684" s="106">
        <f t="shared" si="55"/>
        <v>178.92423366564648</v>
      </c>
    </row>
    <row r="685" spans="1:13">
      <c r="A685" t="str">
        <f>'RAW DATA 2023'!B678</f>
        <v>Tamai2</v>
      </c>
      <c r="B685" t="str">
        <f>'RAW DATA 2023'!D678</f>
        <v>E1-032-0037</v>
      </c>
      <c r="C685" t="str">
        <f t="shared" si="51"/>
        <v>Tamai2E1-032-0037</v>
      </c>
      <c r="D685">
        <f>VLOOKUP(C685,'RAW DATA 2023'!E:BP,63,0)</f>
        <v>7</v>
      </c>
      <c r="E685" t="str">
        <f t="shared" si="52"/>
        <v>Tamai27</v>
      </c>
      <c r="F685">
        <f>ROUND(VLOOKUP(C685,'RAW DATA 2023'!E:BO,23,0),0)</f>
        <v>97</v>
      </c>
      <c r="G685" s="16">
        <f>VLOOKUP(C685,'RAW DATA 2023'!E:BO,27,0)</f>
        <v>1.3650543232620276</v>
      </c>
      <c r="H685" s="16">
        <f>IFERROR(VLOOKUP(F685,STD!B:G,5,0),0)</f>
        <v>1.22</v>
      </c>
      <c r="I685" s="21">
        <f t="shared" si="53"/>
        <v>0.89373732547478713</v>
      </c>
      <c r="J685" s="16">
        <f t="shared" si="54"/>
        <v>7.8747465094957425</v>
      </c>
      <c r="K685" s="106" t="str">
        <f>VLOOKUP(C685,'RAW DATA 2023'!E:BO,36,0)</f>
        <v>EHP</v>
      </c>
      <c r="L685" s="106">
        <f>VLOOKUP(C685,'RAW DATA 2023'!E:BO,21,0)</f>
        <v>30.062909999999999</v>
      </c>
      <c r="M685" s="106">
        <f t="shared" si="55"/>
        <v>236.73779558778463</v>
      </c>
    </row>
    <row r="686" spans="1:13">
      <c r="A686" t="str">
        <f>'RAW DATA 2023'!B679</f>
        <v>Tamai2</v>
      </c>
      <c r="B686" t="str">
        <f>'RAW DATA 2023'!D679</f>
        <v>C1-058-0010</v>
      </c>
      <c r="C686" t="str">
        <f t="shared" si="51"/>
        <v>Tamai2C1-058-0010</v>
      </c>
      <c r="D686">
        <f>VLOOKUP(C686,'RAW DATA 2023'!E:BP,63,0)</f>
        <v>4</v>
      </c>
      <c r="E686" t="str">
        <f t="shared" si="52"/>
        <v>Tamai24</v>
      </c>
      <c r="F686">
        <f>ROUND(VLOOKUP(C686,'RAW DATA 2023'!E:BO,23,0),0)</f>
        <v>118</v>
      </c>
      <c r="G686" s="16">
        <f>VLOOKUP(C686,'RAW DATA 2023'!E:BO,27,0)</f>
        <v>1.2490411924456331</v>
      </c>
      <c r="H686" s="16">
        <f>IFERROR(VLOOKUP(F686,STD!B:G,5,0),0)</f>
        <v>1.17</v>
      </c>
      <c r="I686" s="21">
        <f t="shared" si="53"/>
        <v>0.93671850622406627</v>
      </c>
      <c r="J686" s="16">
        <f t="shared" si="54"/>
        <v>8.734370124481325</v>
      </c>
      <c r="K686" s="106" t="str">
        <f>VLOOKUP(C686,'RAW DATA 2023'!E:BO,36,0)</f>
        <v>EHP</v>
      </c>
      <c r="L686" s="106">
        <f>VLOOKUP(C686,'RAW DATA 2023'!E:BO,21,0)</f>
        <v>5.1036999999999999</v>
      </c>
      <c r="M686" s="106">
        <f t="shared" si="55"/>
        <v>44.577604804315335</v>
      </c>
    </row>
    <row r="687" spans="1:13">
      <c r="A687" t="str">
        <f>'RAW DATA 2023'!B680</f>
        <v>Tamai2</v>
      </c>
      <c r="B687" t="str">
        <f>'RAW DATA 2023'!D680</f>
        <v>C1-093-0008</v>
      </c>
      <c r="C687" t="str">
        <f t="shared" si="51"/>
        <v>Tamai2C1-093-0008</v>
      </c>
      <c r="D687">
        <f>VLOOKUP(C687,'RAW DATA 2023'!E:BP,63,0)</f>
        <v>6</v>
      </c>
      <c r="E687" t="str">
        <f t="shared" si="52"/>
        <v>Tamai26</v>
      </c>
      <c r="F687">
        <f>ROUND(VLOOKUP(C687,'RAW DATA 2023'!E:BO,23,0),0)</f>
        <v>107</v>
      </c>
      <c r="G687" s="16">
        <f>VLOOKUP(C687,'RAW DATA 2023'!E:BO,27,0)</f>
        <v>1.7329714210283147</v>
      </c>
      <c r="H687" s="16">
        <f>IFERROR(VLOOKUP(F687,STD!B:G,5,0),0)</f>
        <v>1.19</v>
      </c>
      <c r="I687" s="21">
        <f t="shared" si="53"/>
        <v>0.68668183765770063</v>
      </c>
      <c r="J687" s="16">
        <f t="shared" si="54"/>
        <v>3.7336367531540127</v>
      </c>
      <c r="K687" s="106" t="str">
        <f>VLOOKUP(C687,'RAW DATA 2023'!E:BO,36,0)</f>
        <v>EHP</v>
      </c>
      <c r="L687" s="106">
        <f>VLOOKUP(C687,'RAW DATA 2023'!E:BO,21,0)</f>
        <v>5.1695200000000003</v>
      </c>
      <c r="M687" s="106">
        <f t="shared" si="55"/>
        <v>19.301109868164733</v>
      </c>
    </row>
    <row r="688" spans="1:13">
      <c r="A688" t="str">
        <f>'RAW DATA 2023'!B681</f>
        <v>Tamai2</v>
      </c>
      <c r="B688" t="str">
        <f>'RAW DATA 2023'!D681</f>
        <v>C1-057-0010</v>
      </c>
      <c r="C688" t="str">
        <f t="shared" si="51"/>
        <v>Tamai2C1-057-0010</v>
      </c>
      <c r="D688">
        <f>VLOOKUP(C688,'RAW DATA 2023'!E:BP,63,0)</f>
        <v>6</v>
      </c>
      <c r="E688" t="str">
        <f t="shared" si="52"/>
        <v>Tamai26</v>
      </c>
      <c r="F688">
        <f>ROUND(VLOOKUP(C688,'RAW DATA 2023'!E:BO,23,0),0)</f>
        <v>155</v>
      </c>
      <c r="G688" s="16">
        <f>VLOOKUP(C688,'RAW DATA 2023'!E:BO,27,0)</f>
        <v>1.2388149305787173</v>
      </c>
      <c r="H688" s="16">
        <f>IFERROR(VLOOKUP(F688,STD!B:G,5,0),0)</f>
        <v>1.0429999999999999</v>
      </c>
      <c r="I688" s="21">
        <f t="shared" si="53"/>
        <v>0.84193366923076907</v>
      </c>
      <c r="J688" s="16">
        <f t="shared" si="54"/>
        <v>6.8386733846153813</v>
      </c>
      <c r="K688" s="106" t="str">
        <f>VLOOKUP(C688,'RAW DATA 2023'!E:BO,36,0)</f>
        <v>EHP</v>
      </c>
      <c r="L688" s="106">
        <f>VLOOKUP(C688,'RAW DATA 2023'!E:BO,21,0)</f>
        <v>4.5171599999999996</v>
      </c>
      <c r="M688" s="106">
        <f t="shared" si="55"/>
        <v>30.891381866049212</v>
      </c>
    </row>
    <row r="689" spans="1:13">
      <c r="A689" t="str">
        <f>'RAW DATA 2023'!B682</f>
        <v>Tamai2</v>
      </c>
      <c r="B689" t="str">
        <f>'RAW DATA 2023'!D682</f>
        <v>A1-006-0027</v>
      </c>
      <c r="C689" t="str">
        <f t="shared" si="51"/>
        <v>Tamai2A1-006-0027</v>
      </c>
      <c r="D689">
        <f>VLOOKUP(C689,'RAW DATA 2023'!E:BP,63,0)</f>
        <v>7</v>
      </c>
      <c r="E689" t="str">
        <f t="shared" si="52"/>
        <v>Tamai27</v>
      </c>
      <c r="F689">
        <f>ROUND(VLOOKUP(C689,'RAW DATA 2023'!E:BO,23,0),0)</f>
        <v>0</v>
      </c>
      <c r="G689" s="16">
        <f>VLOOKUP(C689,'RAW DATA 2023'!E:BO,27,0)</f>
        <v>0</v>
      </c>
      <c r="H689" s="16">
        <f>IFERROR(VLOOKUP(F689,STD!B:G,5,0),0)</f>
        <v>0</v>
      </c>
      <c r="I689" s="21">
        <f t="shared" si="53"/>
        <v>0</v>
      </c>
      <c r="J689" s="16">
        <f t="shared" si="54"/>
        <v>-10</v>
      </c>
      <c r="K689" s="106" t="str">
        <f>VLOOKUP(C689,'RAW DATA 2023'!E:BO,36,0)</f>
        <v>EHP</v>
      </c>
      <c r="L689" s="106">
        <f>VLOOKUP(C689,'RAW DATA 2023'!E:BO,21,0)</f>
        <v>0</v>
      </c>
      <c r="M689" s="106">
        <f t="shared" si="55"/>
        <v>0</v>
      </c>
    </row>
    <row r="690" spans="1:13">
      <c r="A690" t="str">
        <f>'RAW DATA 2023'!B683</f>
        <v>Tamai2</v>
      </c>
      <c r="B690" t="str">
        <f>'RAW DATA 2023'!D683</f>
        <v>A1-032-0033</v>
      </c>
      <c r="C690" t="str">
        <f t="shared" si="51"/>
        <v>Tamai2A1-032-0033</v>
      </c>
      <c r="D690">
        <f>VLOOKUP(C690,'RAW DATA 2023'!E:BP,63,0)</f>
        <v>10</v>
      </c>
      <c r="E690" t="str">
        <f t="shared" si="52"/>
        <v>Tamai210</v>
      </c>
      <c r="F690">
        <f>ROUND(VLOOKUP(C690,'RAW DATA 2023'!E:BO,23,0),0)</f>
        <v>0</v>
      </c>
      <c r="G690" s="16">
        <f>VLOOKUP(C690,'RAW DATA 2023'!E:BO,27,0)</f>
        <v>0</v>
      </c>
      <c r="H690" s="16">
        <f>IFERROR(VLOOKUP(F690,STD!B:G,5,0),0)</f>
        <v>0</v>
      </c>
      <c r="I690" s="21">
        <f t="shared" si="53"/>
        <v>0</v>
      </c>
      <c r="J690" s="16">
        <f t="shared" si="54"/>
        <v>-10</v>
      </c>
      <c r="K690" s="106" t="str">
        <f>VLOOKUP(C690,'RAW DATA 2023'!E:BO,36,0)</f>
        <v>WSSV</v>
      </c>
      <c r="L690" s="106">
        <f>VLOOKUP(C690,'RAW DATA 2023'!E:BO,21,0)</f>
        <v>0</v>
      </c>
      <c r="M690" s="106">
        <f t="shared" si="55"/>
        <v>0</v>
      </c>
    </row>
    <row r="691" spans="1:13">
      <c r="A691" t="str">
        <f>'RAW DATA 2023'!B684</f>
        <v>Chantaburi3</v>
      </c>
      <c r="B691" t="str">
        <f>'RAW DATA 2023'!D684</f>
        <v>B1-023-0029</v>
      </c>
      <c r="C691" t="str">
        <f t="shared" si="51"/>
        <v>Chantaburi3B1-023-0029</v>
      </c>
      <c r="D691">
        <f>VLOOKUP(C691,'RAW DATA 2023'!E:BP,63,0)</f>
        <v>8</v>
      </c>
      <c r="E691" t="str">
        <f t="shared" si="52"/>
        <v>Chantaburi38</v>
      </c>
      <c r="F691">
        <f>ROUND(VLOOKUP(C691,'RAW DATA 2023'!E:BO,23,0),0)</f>
        <v>46</v>
      </c>
      <c r="G691" s="16">
        <f>VLOOKUP(C691,'RAW DATA 2023'!E:BO,27,0)</f>
        <v>1.5801173502808323</v>
      </c>
      <c r="H691" s="16">
        <f>IFERROR(VLOOKUP(F691,STD!B:G,5,0),0)</f>
        <v>1.54</v>
      </c>
      <c r="I691" s="21">
        <f t="shared" si="53"/>
        <v>0.97461115766262407</v>
      </c>
      <c r="J691" s="16">
        <f t="shared" si="54"/>
        <v>9.4922231532524819</v>
      </c>
      <c r="K691" s="106" t="str">
        <f>VLOOKUP(C691,'RAW DATA 2023'!E:BO,36,0)</f>
        <v>WFD</v>
      </c>
      <c r="L691" s="106">
        <f>VLOOKUP(C691,'RAW DATA 2023'!E:BO,21,0)</f>
        <v>15.015040000000001</v>
      </c>
      <c r="M691" s="106">
        <f t="shared" si="55"/>
        <v>142.52611033501216</v>
      </c>
    </row>
    <row r="692" spans="1:13">
      <c r="A692" t="str">
        <f>'RAW DATA 2023'!B685</f>
        <v>Chantaburi3</v>
      </c>
      <c r="B692" t="str">
        <f>'RAW DATA 2023'!D685</f>
        <v>A1-008-0045</v>
      </c>
      <c r="C692" t="str">
        <f t="shared" si="51"/>
        <v>Chantaburi3A1-008-0045</v>
      </c>
      <c r="D692">
        <f>VLOOKUP(C692,'RAW DATA 2023'!E:BP,63,0)</f>
        <v>11</v>
      </c>
      <c r="E692" t="str">
        <f t="shared" si="52"/>
        <v>Chantaburi311</v>
      </c>
      <c r="F692">
        <f>ROUND(VLOOKUP(C692,'RAW DATA 2023'!E:BO,23,0),0)</f>
        <v>64</v>
      </c>
      <c r="G692" s="16">
        <f>VLOOKUP(C692,'RAW DATA 2023'!E:BO,27,0)</f>
        <v>1.4654219647447555</v>
      </c>
      <c r="H692" s="16">
        <f>IFERROR(VLOOKUP(F692,STD!B:G,5,0),0)</f>
        <v>1.37</v>
      </c>
      <c r="I692" s="21">
        <f t="shared" si="53"/>
        <v>0.93488430838323366</v>
      </c>
      <c r="J692" s="16">
        <f t="shared" si="54"/>
        <v>8.6976861676646742</v>
      </c>
      <c r="K692" s="106" t="str">
        <f>VLOOKUP(C692,'RAW DATA 2023'!E:BO,36,0)</f>
        <v>EHP</v>
      </c>
      <c r="L692" s="106">
        <f>VLOOKUP(C692,'RAW DATA 2023'!E:BO,21,0)</f>
        <v>23.65193</v>
      </c>
      <c r="M692" s="106">
        <f t="shared" si="55"/>
        <v>205.71706439957313</v>
      </c>
    </row>
    <row r="693" spans="1:13">
      <c r="A693" t="str">
        <f>'RAW DATA 2023'!B686</f>
        <v>Chantaburi3</v>
      </c>
      <c r="B693" t="str">
        <f>'RAW DATA 2023'!D686</f>
        <v>B1-024-0042</v>
      </c>
      <c r="C693" t="str">
        <f t="shared" si="51"/>
        <v>Chantaburi3B1-024-0042</v>
      </c>
      <c r="D693">
        <f>VLOOKUP(C693,'RAW DATA 2023'!E:BP,63,0)</f>
        <v>7</v>
      </c>
      <c r="E693" t="str">
        <f t="shared" si="52"/>
        <v>Chantaburi37</v>
      </c>
      <c r="F693">
        <f>ROUND(VLOOKUP(C693,'RAW DATA 2023'!E:BO,23,0),0)</f>
        <v>36</v>
      </c>
      <c r="G693" s="16">
        <f>VLOOKUP(C693,'RAW DATA 2023'!E:BO,27,0)</f>
        <v>1.5255367154382606</v>
      </c>
      <c r="H693" s="16">
        <f>IFERROR(VLOOKUP(F693,STD!B:G,5,0),0)</f>
        <v>1.726</v>
      </c>
      <c r="I693" s="21">
        <f t="shared" si="53"/>
        <v>1.1314050868347338</v>
      </c>
      <c r="J693" s="16">
        <f t="shared" si="54"/>
        <v>12.628101736694678</v>
      </c>
      <c r="K693" s="106" t="str">
        <f>VLOOKUP(C693,'RAW DATA 2023'!E:BO,36,0)</f>
        <v>Normal</v>
      </c>
      <c r="L693" s="106">
        <f>VLOOKUP(C693,'RAW DATA 2023'!E:BO,21,0)</f>
        <v>29.751999999999999</v>
      </c>
      <c r="M693" s="106">
        <f t="shared" si="55"/>
        <v>375.71128287014005</v>
      </c>
    </row>
    <row r="694" spans="1:13">
      <c r="A694" t="str">
        <f>'RAW DATA 2023'!B687</f>
        <v>Chantaburi3</v>
      </c>
      <c r="B694" t="str">
        <f>'RAW DATA 2023'!D687</f>
        <v>A1-011-0043</v>
      </c>
      <c r="C694" t="str">
        <f t="shared" si="51"/>
        <v>Chantaburi3A1-011-0043</v>
      </c>
      <c r="D694">
        <f>VLOOKUP(C694,'RAW DATA 2023'!E:BP,63,0)</f>
        <v>4</v>
      </c>
      <c r="E694" t="str">
        <f t="shared" si="52"/>
        <v>Chantaburi34</v>
      </c>
      <c r="F694">
        <f>ROUND(VLOOKUP(C694,'RAW DATA 2023'!E:BO,23,0),0)</f>
        <v>51</v>
      </c>
      <c r="G694" s="16">
        <f>VLOOKUP(C694,'RAW DATA 2023'!E:BO,27,0)</f>
        <v>1.6957088062810253</v>
      </c>
      <c r="H694" s="16">
        <f>IFERROR(VLOOKUP(F694,STD!B:G,5,0),0)</f>
        <v>1.48</v>
      </c>
      <c r="I694" s="21">
        <f t="shared" si="53"/>
        <v>0.87279136283185854</v>
      </c>
      <c r="J694" s="16">
        <f t="shared" si="54"/>
        <v>7.4558272566371713</v>
      </c>
      <c r="K694" s="106" t="str">
        <f>VLOOKUP(C694,'RAW DATA 2023'!E:BO,36,0)</f>
        <v>Normal</v>
      </c>
      <c r="L694" s="106">
        <f>VLOOKUP(C694,'RAW DATA 2023'!E:BO,21,0)</f>
        <v>24.043400000000002</v>
      </c>
      <c r="M694" s="106">
        <f t="shared" si="55"/>
        <v>179.26343706223017</v>
      </c>
    </row>
    <row r="695" spans="1:13">
      <c r="A695" t="str">
        <f>'RAW DATA 2023'!B688</f>
        <v>Chantaburi3</v>
      </c>
      <c r="B695" t="str">
        <f>'RAW DATA 2023'!D688</f>
        <v>B1-023-0027</v>
      </c>
      <c r="C695" t="str">
        <f t="shared" si="51"/>
        <v>Chantaburi3B1-023-0027</v>
      </c>
      <c r="D695">
        <f>VLOOKUP(C695,'RAW DATA 2023'!E:BP,63,0)</f>
        <v>3</v>
      </c>
      <c r="E695" t="str">
        <f t="shared" si="52"/>
        <v>Chantaburi33</v>
      </c>
      <c r="F695">
        <f>ROUND(VLOOKUP(C695,'RAW DATA 2023'!E:BO,23,0),0)</f>
        <v>52</v>
      </c>
      <c r="G695" s="16">
        <f>VLOOKUP(C695,'RAW DATA 2023'!E:BO,27,0)</f>
        <v>1.4900089359489079</v>
      </c>
      <c r="H695" s="16">
        <f>IFERROR(VLOOKUP(F695,STD!B:G,5,0),0)</f>
        <v>1.47</v>
      </c>
      <c r="I695" s="21">
        <f t="shared" si="53"/>
        <v>0.98657126446280985</v>
      </c>
      <c r="J695" s="16">
        <f t="shared" si="54"/>
        <v>9.7314252892561974</v>
      </c>
      <c r="K695" s="106" t="str">
        <f>VLOOKUP(C695,'RAW DATA 2023'!E:BO,36,0)</f>
        <v>EHP</v>
      </c>
      <c r="L695" s="106">
        <f>VLOOKUP(C695,'RAW DATA 2023'!E:BO,21,0)</f>
        <v>24.69219</v>
      </c>
      <c r="M695" s="106">
        <f t="shared" si="55"/>
        <v>240.29020221311899</v>
      </c>
    </row>
    <row r="696" spans="1:13">
      <c r="A696" t="str">
        <f>'RAW DATA 2023'!B689</f>
        <v>Chantaburi3</v>
      </c>
      <c r="B696" t="str">
        <f>'RAW DATA 2023'!D689</f>
        <v>A1-009-0042</v>
      </c>
      <c r="C696" t="str">
        <f t="shared" si="51"/>
        <v>Chantaburi3A1-009-0042</v>
      </c>
      <c r="D696">
        <f>VLOOKUP(C696,'RAW DATA 2023'!E:BP,63,0)</f>
        <v>5</v>
      </c>
      <c r="E696" t="str">
        <f t="shared" si="52"/>
        <v>Chantaburi35</v>
      </c>
      <c r="F696">
        <f>ROUND(VLOOKUP(C696,'RAW DATA 2023'!E:BO,23,0),0)</f>
        <v>54</v>
      </c>
      <c r="G696" s="16">
        <f>VLOOKUP(C696,'RAW DATA 2023'!E:BO,27,0)</f>
        <v>1.7761785399476773</v>
      </c>
      <c r="H696" s="16">
        <f>IFERROR(VLOOKUP(F696,STD!B:G,5,0),0)</f>
        <v>1.45</v>
      </c>
      <c r="I696" s="21">
        <f t="shared" si="53"/>
        <v>0.81635937344604681</v>
      </c>
      <c r="J696" s="16">
        <f t="shared" si="54"/>
        <v>6.3271874689209362</v>
      </c>
      <c r="K696" s="106" t="str">
        <f>VLOOKUP(C696,'RAW DATA 2023'!E:BO,36,0)</f>
        <v>EHP</v>
      </c>
      <c r="L696" s="106">
        <f>VLOOKUP(C696,'RAW DATA 2023'!E:BO,21,0)</f>
        <v>28.92933</v>
      </c>
      <c r="M696" s="106">
        <f t="shared" si="55"/>
        <v>183.04129426027851</v>
      </c>
    </row>
    <row r="697" spans="1:13">
      <c r="A697" t="str">
        <f>'RAW DATA 2023'!B690</f>
        <v>Chantaburi3</v>
      </c>
      <c r="B697" t="str">
        <f>'RAW DATA 2023'!D690</f>
        <v>A1-010-0047</v>
      </c>
      <c r="C697" t="str">
        <f t="shared" si="51"/>
        <v>Chantaburi3A1-010-0047</v>
      </c>
      <c r="D697">
        <f>VLOOKUP(C697,'RAW DATA 2023'!E:BP,63,0)</f>
        <v>7</v>
      </c>
      <c r="E697" t="str">
        <f t="shared" si="52"/>
        <v>Chantaburi37</v>
      </c>
      <c r="F697">
        <f>ROUND(VLOOKUP(C697,'RAW DATA 2023'!E:BO,23,0),0)</f>
        <v>75</v>
      </c>
      <c r="G697" s="16">
        <f>VLOOKUP(C697,'RAW DATA 2023'!E:BO,27,0)</f>
        <v>1.4584342489850948</v>
      </c>
      <c r="H697" s="16">
        <f>IFERROR(VLOOKUP(F697,STD!B:G,5,0),0)</f>
        <v>1.31</v>
      </c>
      <c r="I697" s="21">
        <f t="shared" si="53"/>
        <v>0.89822355784061703</v>
      </c>
      <c r="J697" s="16">
        <f t="shared" si="54"/>
        <v>7.9644711568123405</v>
      </c>
      <c r="K697" s="106" t="str">
        <f>VLOOKUP(C697,'RAW DATA 2023'!E:BO,36,0)</f>
        <v>WFD</v>
      </c>
      <c r="L697" s="106">
        <f>VLOOKUP(C697,'RAW DATA 2023'!E:BO,21,0)</f>
        <v>14.336219999999999</v>
      </c>
      <c r="M697" s="106">
        <f t="shared" si="55"/>
        <v>114.1804106877162</v>
      </c>
    </row>
    <row r="698" spans="1:13">
      <c r="A698" t="str">
        <f>'RAW DATA 2023'!B691</f>
        <v>Chantaburi3</v>
      </c>
      <c r="B698" t="str">
        <f>'RAW DATA 2023'!D691</f>
        <v>A1-011-0044</v>
      </c>
      <c r="C698" t="str">
        <f t="shared" si="51"/>
        <v>Chantaburi3A1-011-0044</v>
      </c>
      <c r="D698">
        <f>VLOOKUP(C698,'RAW DATA 2023'!E:BP,63,0)</f>
        <v>7</v>
      </c>
      <c r="E698" t="str">
        <f t="shared" si="52"/>
        <v>Chantaburi37</v>
      </c>
      <c r="F698">
        <f>ROUND(VLOOKUP(C698,'RAW DATA 2023'!E:BO,23,0),0)</f>
        <v>90</v>
      </c>
      <c r="G698" s="16">
        <f>VLOOKUP(C698,'RAW DATA 2023'!E:BO,27,0)</f>
        <v>1.3535151075324554</v>
      </c>
      <c r="H698" s="16">
        <f>IFERROR(VLOOKUP(F698,STD!B:G,5,0),0)</f>
        <v>1.25</v>
      </c>
      <c r="I698" s="21">
        <f t="shared" si="53"/>
        <v>0.92352127659574479</v>
      </c>
      <c r="J698" s="16">
        <f t="shared" si="54"/>
        <v>8.4704255319148949</v>
      </c>
      <c r="K698" s="106" t="str">
        <f>VLOOKUP(C698,'RAW DATA 2023'!E:BO,36,0)</f>
        <v>EHP</v>
      </c>
      <c r="L698" s="106">
        <f>VLOOKUP(C698,'RAW DATA 2023'!E:BO,21,0)</f>
        <v>12.99869</v>
      </c>
      <c r="M698" s="106">
        <f t="shared" si="55"/>
        <v>110.10443565744683</v>
      </c>
    </row>
    <row r="699" spans="1:13">
      <c r="A699" t="str">
        <f>'RAW DATA 2023'!B692</f>
        <v>Chantaburi3</v>
      </c>
      <c r="B699" t="str">
        <f>'RAW DATA 2023'!D692</f>
        <v>B1-024-0041</v>
      </c>
      <c r="C699" t="str">
        <f t="shared" si="51"/>
        <v>Chantaburi3B1-024-0041</v>
      </c>
      <c r="D699">
        <f>VLOOKUP(C699,'RAW DATA 2023'!E:BP,63,0)</f>
        <v>2</v>
      </c>
      <c r="E699" t="str">
        <f t="shared" si="52"/>
        <v>Chantaburi32</v>
      </c>
      <c r="F699">
        <f>ROUND(VLOOKUP(C699,'RAW DATA 2023'!E:BO,23,0),0)</f>
        <v>98</v>
      </c>
      <c r="G699" s="16">
        <f>VLOOKUP(C699,'RAW DATA 2023'!E:BO,27,0)</f>
        <v>1.2513427650675382</v>
      </c>
      <c r="H699" s="16">
        <f>IFERROR(VLOOKUP(F699,STD!B:G,5,0),0)</f>
        <v>1.22</v>
      </c>
      <c r="I699" s="21">
        <f t="shared" si="53"/>
        <v>0.97495269406392693</v>
      </c>
      <c r="J699" s="16">
        <f t="shared" si="54"/>
        <v>9.4990538812785381</v>
      </c>
      <c r="K699" s="106" t="str">
        <f>VLOOKUP(C699,'RAW DATA 2023'!E:BO,36,0)</f>
        <v>EHP</v>
      </c>
      <c r="L699" s="106">
        <f>VLOOKUP(C699,'RAW DATA 2023'!E:BO,21,0)</f>
        <v>9.1286000000000005</v>
      </c>
      <c r="M699" s="106">
        <f t="shared" si="55"/>
        <v>86.713063260639274</v>
      </c>
    </row>
    <row r="700" spans="1:13">
      <c r="A700" t="str">
        <f>'RAW DATA 2023'!B693</f>
        <v>Chantaburi3</v>
      </c>
      <c r="B700" t="str">
        <f>'RAW DATA 2023'!D693</f>
        <v>A1-009-0043</v>
      </c>
      <c r="C700" t="str">
        <f t="shared" si="51"/>
        <v>Chantaburi3A1-009-0043</v>
      </c>
      <c r="D700">
        <f>VLOOKUP(C700,'RAW DATA 2023'!E:BP,63,0)</f>
        <v>7</v>
      </c>
      <c r="E700" t="str">
        <f t="shared" si="52"/>
        <v>Chantaburi37</v>
      </c>
      <c r="F700">
        <f>ROUND(VLOOKUP(C700,'RAW DATA 2023'!E:BO,23,0),0)</f>
        <v>120</v>
      </c>
      <c r="G700" s="16">
        <f>VLOOKUP(C700,'RAW DATA 2023'!E:BO,27,0)</f>
        <v>1.2148613399010773</v>
      </c>
      <c r="H700" s="16">
        <f>IFERROR(VLOOKUP(F700,STD!B:G,5,0),0)</f>
        <v>1.1599999999999999</v>
      </c>
      <c r="I700" s="21">
        <f t="shared" si="53"/>
        <v>0.95484148017621129</v>
      </c>
      <c r="J700" s="16">
        <f t="shared" si="54"/>
        <v>9.0968296035242258</v>
      </c>
      <c r="K700" s="106" t="str">
        <f>VLOOKUP(C700,'RAW DATA 2023'!E:BO,36,0)</f>
        <v>EHP</v>
      </c>
      <c r="L700" s="106">
        <f>VLOOKUP(C700,'RAW DATA 2023'!E:BO,21,0)</f>
        <v>9.8153899999999989</v>
      </c>
      <c r="M700" s="106">
        <f t="shared" si="55"/>
        <v>89.288930322135641</v>
      </c>
    </row>
    <row r="701" spans="1:13">
      <c r="A701" t="str">
        <f>'RAW DATA 2023'!B694</f>
        <v>Chantaburi3</v>
      </c>
      <c r="B701" t="str">
        <f>'RAW DATA 2023'!D694</f>
        <v>A1-010-0046</v>
      </c>
      <c r="C701" t="str">
        <f t="shared" si="51"/>
        <v>Chantaburi3A1-010-0046</v>
      </c>
      <c r="D701">
        <f>VLOOKUP(C701,'RAW DATA 2023'!E:BP,63,0)</f>
        <v>4</v>
      </c>
      <c r="E701" t="str">
        <f t="shared" si="52"/>
        <v>Chantaburi34</v>
      </c>
      <c r="F701">
        <f>ROUND(VLOOKUP(C701,'RAW DATA 2023'!E:BO,23,0),0)</f>
        <v>71</v>
      </c>
      <c r="G701" s="16">
        <f>VLOOKUP(C701,'RAW DATA 2023'!E:BO,27,0)</f>
        <v>2.2302436429590795</v>
      </c>
      <c r="H701" s="16">
        <f>IFERROR(VLOOKUP(F701,STD!B:G,5,0),0)</f>
        <v>1.33</v>
      </c>
      <c r="I701" s="21">
        <f t="shared" si="53"/>
        <v>0.59634740096618355</v>
      </c>
      <c r="J701" s="16">
        <f t="shared" si="54"/>
        <v>1.926948019323671</v>
      </c>
      <c r="K701" s="106" t="str">
        <f>VLOOKUP(C701,'RAW DATA 2023'!E:BO,36,0)</f>
        <v>ทยอยตาย</v>
      </c>
      <c r="L701" s="106">
        <f>VLOOKUP(C701,'RAW DATA 2023'!E:BO,21,0)</f>
        <v>16.692619999999998</v>
      </c>
      <c r="M701" s="106">
        <f t="shared" si="55"/>
        <v>32.165811046322695</v>
      </c>
    </row>
    <row r="702" spans="1:13">
      <c r="A702" t="str">
        <f>'RAW DATA 2023'!B695</f>
        <v>Chantaburi3</v>
      </c>
      <c r="B702" t="str">
        <f>'RAW DATA 2023'!D695</f>
        <v>B1-023-0028</v>
      </c>
      <c r="C702" t="str">
        <f t="shared" si="51"/>
        <v>Chantaburi3B1-023-0028</v>
      </c>
      <c r="D702">
        <f>VLOOKUP(C702,'RAW DATA 2023'!E:BP,63,0)</f>
        <v>5</v>
      </c>
      <c r="E702" t="str">
        <f t="shared" si="52"/>
        <v>Chantaburi35</v>
      </c>
      <c r="F702">
        <f>ROUND(VLOOKUP(C702,'RAW DATA 2023'!E:BO,23,0),0)</f>
        <v>0</v>
      </c>
      <c r="G702" s="16">
        <f>VLOOKUP(C702,'RAW DATA 2023'!E:BO,27,0)</f>
        <v>0</v>
      </c>
      <c r="H702" s="16">
        <f>IFERROR(VLOOKUP(F702,STD!B:G,5,0),0)</f>
        <v>0</v>
      </c>
      <c r="I702" s="21">
        <f t="shared" si="53"/>
        <v>0</v>
      </c>
      <c r="J702" s="16">
        <f t="shared" si="54"/>
        <v>-10</v>
      </c>
      <c r="K702" s="106" t="str">
        <f>VLOOKUP(C702,'RAW DATA 2023'!E:BO,36,0)</f>
        <v>EHP</v>
      </c>
      <c r="L702" s="106">
        <f>VLOOKUP(C702,'RAW DATA 2023'!E:BO,21,0)</f>
        <v>0</v>
      </c>
      <c r="M702" s="106">
        <f t="shared" si="55"/>
        <v>0</v>
      </c>
    </row>
    <row r="703" spans="1:13">
      <c r="A703" t="str">
        <f>'RAW DATA 2023'!B696</f>
        <v>Lucky3</v>
      </c>
      <c r="B703" t="str">
        <f>'RAW DATA 2023'!D696</f>
        <v>B1-025-0010</v>
      </c>
      <c r="C703" t="str">
        <f t="shared" si="51"/>
        <v>Lucky3B1-025-0010</v>
      </c>
      <c r="D703">
        <f>VLOOKUP(C703,'RAW DATA 2023'!E:BP,63,0)</f>
        <v>5</v>
      </c>
      <c r="E703" t="str">
        <f t="shared" si="52"/>
        <v>Lucky35</v>
      </c>
      <c r="F703">
        <f>ROUND(VLOOKUP(C703,'RAW DATA 2023'!E:BO,23,0),0)</f>
        <v>31</v>
      </c>
      <c r="G703" s="16">
        <f>VLOOKUP(C703,'RAW DATA 2023'!E:BO,27,0)</f>
        <v>2.082257866629011</v>
      </c>
      <c r="H703" s="16">
        <f>IFERROR(VLOOKUP(F703,STD!B:G,5,0),0)</f>
        <v>1.84</v>
      </c>
      <c r="I703" s="21">
        <f t="shared" si="53"/>
        <v>0.88365616453585327</v>
      </c>
      <c r="J703" s="16">
        <f t="shared" si="54"/>
        <v>7.673123290717065</v>
      </c>
      <c r="K703" s="106" t="str">
        <f>VLOOKUP(C703,'RAW DATA 2023'!E:BO,36,0)</f>
        <v>Normal</v>
      </c>
      <c r="L703" s="106">
        <f>VLOOKUP(C703,'RAW DATA 2023'!E:BO,21,0)</f>
        <v>13.32352</v>
      </c>
      <c r="M703" s="106">
        <f t="shared" si="55"/>
        <v>102.23301162633463</v>
      </c>
    </row>
    <row r="704" spans="1:13">
      <c r="A704" t="str">
        <f>'RAW DATA 2023'!B697</f>
        <v>Lucky3</v>
      </c>
      <c r="B704" t="str">
        <f>'RAW DATA 2023'!D697</f>
        <v>B1-024-0009</v>
      </c>
      <c r="C704" t="str">
        <f t="shared" si="51"/>
        <v>Lucky3B1-024-0009</v>
      </c>
      <c r="D704">
        <f>VLOOKUP(C704,'RAW DATA 2023'!E:BP,63,0)</f>
        <v>5</v>
      </c>
      <c r="E704" t="str">
        <f t="shared" si="52"/>
        <v>Lucky35</v>
      </c>
      <c r="F704">
        <f>ROUND(VLOOKUP(C704,'RAW DATA 2023'!E:BO,23,0),0)</f>
        <v>33</v>
      </c>
      <c r="G704" s="16">
        <f>VLOOKUP(C704,'RAW DATA 2023'!E:BO,27,0)</f>
        <v>2.0593396668836195</v>
      </c>
      <c r="H704" s="16">
        <f>IFERROR(VLOOKUP(F704,STD!B:G,5,0),0)</f>
        <v>1.8</v>
      </c>
      <c r="I704" s="21">
        <f t="shared" si="53"/>
        <v>0.87406658986175123</v>
      </c>
      <c r="J704" s="16">
        <f t="shared" si="54"/>
        <v>7.4813317972350246</v>
      </c>
      <c r="K704" s="106" t="str">
        <f>VLOOKUP(C704,'RAW DATA 2023'!E:BO,36,0)</f>
        <v>Normal</v>
      </c>
      <c r="L704" s="106">
        <f>VLOOKUP(C704,'RAW DATA 2023'!E:BO,21,0)</f>
        <v>13.00886</v>
      </c>
      <c r="M704" s="106">
        <f t="shared" si="55"/>
        <v>97.323597963778823</v>
      </c>
    </row>
    <row r="705" spans="1:13">
      <c r="A705" t="str">
        <f>'RAW DATA 2023'!B698</f>
        <v>Lucky3</v>
      </c>
      <c r="B705" t="str">
        <f>'RAW DATA 2023'!D698</f>
        <v>B1-011-0028</v>
      </c>
      <c r="C705" t="str">
        <f t="shared" si="51"/>
        <v>Lucky3B1-011-0028</v>
      </c>
      <c r="D705">
        <f>VLOOKUP(C705,'RAW DATA 2023'!E:BP,63,0)</f>
        <v>6</v>
      </c>
      <c r="E705" t="str">
        <f t="shared" si="52"/>
        <v>Lucky36</v>
      </c>
      <c r="F705">
        <f>ROUND(VLOOKUP(C705,'RAW DATA 2023'!E:BO,23,0),0)</f>
        <v>49</v>
      </c>
      <c r="G705" s="16">
        <f>VLOOKUP(C705,'RAW DATA 2023'!E:BO,27,0)</f>
        <v>1.8461878502157167</v>
      </c>
      <c r="H705" s="16">
        <f>IFERROR(VLOOKUP(F705,STD!B:G,5,0),0)</f>
        <v>1.51</v>
      </c>
      <c r="I705" s="21">
        <f t="shared" si="53"/>
        <v>0.81790160184596872</v>
      </c>
      <c r="J705" s="16">
        <f t="shared" si="54"/>
        <v>6.3580320369193739</v>
      </c>
      <c r="K705" s="106" t="str">
        <f>VLOOKUP(C705,'RAW DATA 2023'!E:BO,36,0)</f>
        <v>EHP</v>
      </c>
      <c r="L705" s="106">
        <f>VLOOKUP(C705,'RAW DATA 2023'!E:BO,21,0)</f>
        <v>18.32009</v>
      </c>
      <c r="M705" s="106">
        <f t="shared" si="55"/>
        <v>116.47971913924626</v>
      </c>
    </row>
    <row r="706" spans="1:13">
      <c r="A706" t="str">
        <f>'RAW DATA 2023'!B699</f>
        <v>Lucky3</v>
      </c>
      <c r="B706" t="str">
        <f>'RAW DATA 2023'!D699</f>
        <v>B1-023-0012</v>
      </c>
      <c r="C706" t="str">
        <f t="shared" si="51"/>
        <v>Lucky3B1-023-0012</v>
      </c>
      <c r="D706">
        <f>VLOOKUP(C706,'RAW DATA 2023'!E:BP,63,0)</f>
        <v>5</v>
      </c>
      <c r="E706" t="str">
        <f t="shared" si="52"/>
        <v>Lucky35</v>
      </c>
      <c r="F706">
        <f>ROUND(VLOOKUP(C706,'RAW DATA 2023'!E:BO,23,0),0)</f>
        <v>82</v>
      </c>
      <c r="G706" s="16">
        <f>VLOOKUP(C706,'RAW DATA 2023'!E:BO,27,0)</f>
        <v>1.8229285363395573</v>
      </c>
      <c r="H706" s="16">
        <f>IFERROR(VLOOKUP(F706,STD!B:G,5,0),0)</f>
        <v>1.28</v>
      </c>
      <c r="I706" s="21">
        <f t="shared" si="53"/>
        <v>0.70216685650784838</v>
      </c>
      <c r="J706" s="16">
        <f t="shared" si="54"/>
        <v>4.0433371301569672</v>
      </c>
      <c r="K706" s="106" t="str">
        <f>VLOOKUP(C706,'RAW DATA 2023'!E:BO,36,0)</f>
        <v>Nitrite</v>
      </c>
      <c r="L706" s="106">
        <f>VLOOKUP(C706,'RAW DATA 2023'!E:BO,21,0)</f>
        <v>4.7491400000000006</v>
      </c>
      <c r="M706" s="106">
        <f t="shared" si="55"/>
        <v>19.202374098313662</v>
      </c>
    </row>
    <row r="707" spans="1:13">
      <c r="A707" t="str">
        <f>'RAW DATA 2023'!B700</f>
        <v>Lucky3</v>
      </c>
      <c r="B707" t="str">
        <f>'RAW DATA 2023'!D700</f>
        <v>B1-011-0027</v>
      </c>
      <c r="C707" t="str">
        <f t="shared" si="51"/>
        <v>Lucky3B1-011-0027</v>
      </c>
      <c r="D707">
        <f>VLOOKUP(C707,'RAW DATA 2023'!E:BP,63,0)</f>
        <v>3</v>
      </c>
      <c r="E707" t="str">
        <f t="shared" si="52"/>
        <v>Lucky33</v>
      </c>
      <c r="F707">
        <f>ROUND(VLOOKUP(C707,'RAW DATA 2023'!E:BO,23,0),0)</f>
        <v>29</v>
      </c>
      <c r="G707" s="16">
        <f>VLOOKUP(C707,'RAW DATA 2023'!E:BO,27,0)</f>
        <v>1.9687123577747261</v>
      </c>
      <c r="H707" s="16">
        <f>IFERROR(VLOOKUP(F707,STD!B:G,5,0),0)</f>
        <v>1.9</v>
      </c>
      <c r="I707" s="21">
        <f t="shared" si="53"/>
        <v>0.96509781761496483</v>
      </c>
      <c r="J707" s="16">
        <f t="shared" si="54"/>
        <v>9.3019563522992961</v>
      </c>
      <c r="K707" s="106" t="str">
        <f>VLOOKUP(C707,'RAW DATA 2023'!E:BO,36,0)</f>
        <v>Normal</v>
      </c>
      <c r="L707" s="106">
        <f>VLOOKUP(C707,'RAW DATA 2023'!E:BO,21,0)</f>
        <v>27.521189999999997</v>
      </c>
      <c r="M707" s="106">
        <f t="shared" si="55"/>
        <v>256.00090814333583</v>
      </c>
    </row>
    <row r="708" spans="1:13">
      <c r="A708" t="str">
        <f>'RAW DATA 2023'!B701</f>
        <v>Lucky3</v>
      </c>
      <c r="B708" t="str">
        <f>'RAW DATA 2023'!D701</f>
        <v>BG-027-0011</v>
      </c>
      <c r="C708" t="str">
        <f t="shared" si="51"/>
        <v>Lucky3BG-027-0011</v>
      </c>
      <c r="D708">
        <f>VLOOKUP(C708,'RAW DATA 2023'!E:BP,63,0)</f>
        <v>5</v>
      </c>
      <c r="E708" t="str">
        <f t="shared" si="52"/>
        <v>Lucky35</v>
      </c>
      <c r="F708">
        <f>ROUND(VLOOKUP(C708,'RAW DATA 2023'!E:BO,23,0),0)</f>
        <v>87</v>
      </c>
      <c r="G708" s="16">
        <f>VLOOKUP(C708,'RAW DATA 2023'!E:BO,27,0)</f>
        <v>1.6080120219681298</v>
      </c>
      <c r="H708" s="16">
        <f>IFERROR(VLOOKUP(F708,STD!B:G,5,0),0)</f>
        <v>1.26</v>
      </c>
      <c r="I708" s="21">
        <f t="shared" si="53"/>
        <v>0.78357623126338338</v>
      </c>
      <c r="J708" s="16">
        <f t="shared" si="54"/>
        <v>5.6715246252676677</v>
      </c>
      <c r="K708" s="106" t="str">
        <f>VLOOKUP(C708,'RAW DATA 2023'!E:BO,36,0)</f>
        <v>ลอกคราบตาย</v>
      </c>
      <c r="L708" s="106">
        <f>VLOOKUP(C708,'RAW DATA 2023'!E:BO,21,0)</f>
        <v>4.6718900000000003</v>
      </c>
      <c r="M708" s="106">
        <f t="shared" si="55"/>
        <v>26.496739181541766</v>
      </c>
    </row>
    <row r="709" spans="1:13">
      <c r="A709" t="str">
        <f>'RAW DATA 2023'!B702</f>
        <v>Lucky3</v>
      </c>
      <c r="B709" t="str">
        <f>'RAW DATA 2023'!D702</f>
        <v>B1-022-0011</v>
      </c>
      <c r="C709" t="str">
        <f t="shared" si="51"/>
        <v>Lucky3B1-022-0011</v>
      </c>
      <c r="D709">
        <f>VLOOKUP(C709,'RAW DATA 2023'!E:BP,63,0)</f>
        <v>3</v>
      </c>
      <c r="E709" t="str">
        <f t="shared" si="52"/>
        <v>Lucky33</v>
      </c>
      <c r="F709">
        <f>ROUND(VLOOKUP(C709,'RAW DATA 2023'!E:BO,23,0),0)</f>
        <v>36</v>
      </c>
      <c r="G709" s="16">
        <f>VLOOKUP(C709,'RAW DATA 2023'!E:BO,27,0)</f>
        <v>1.8603821593752314</v>
      </c>
      <c r="H709" s="16">
        <f>IFERROR(VLOOKUP(F709,STD!B:G,5,0),0)</f>
        <v>1.726</v>
      </c>
      <c r="I709" s="21">
        <f t="shared" si="53"/>
        <v>0.92776636848616056</v>
      </c>
      <c r="J709" s="16">
        <f t="shared" si="54"/>
        <v>8.5553273697232122</v>
      </c>
      <c r="K709" s="106" t="str">
        <f>VLOOKUP(C709,'RAW DATA 2023'!E:BO,36,0)</f>
        <v>Normal</v>
      </c>
      <c r="L709" s="106">
        <f>VLOOKUP(C709,'RAW DATA 2023'!E:BO,21,0)</f>
        <v>14.09369</v>
      </c>
      <c r="M709" s="106">
        <f t="shared" si="55"/>
        <v>120.57613179739434</v>
      </c>
    </row>
    <row r="710" spans="1:13">
      <c r="A710" t="str">
        <f>'RAW DATA 2023'!B703</f>
        <v>Lucky3</v>
      </c>
      <c r="B710" t="str">
        <f>'RAW DATA 2023'!D703</f>
        <v>B1-022-0012</v>
      </c>
      <c r="C710" t="str">
        <f t="shared" si="51"/>
        <v>Lucky3B1-022-0012</v>
      </c>
      <c r="D710">
        <f>VLOOKUP(C710,'RAW DATA 2023'!E:BP,63,0)</f>
        <v>5</v>
      </c>
      <c r="E710" t="str">
        <f t="shared" si="52"/>
        <v>Lucky35</v>
      </c>
      <c r="F710">
        <f>ROUND(VLOOKUP(C710,'RAW DATA 2023'!E:BO,23,0),0)</f>
        <v>91</v>
      </c>
      <c r="G710" s="16">
        <f>VLOOKUP(C710,'RAW DATA 2023'!E:BO,27,0)</f>
        <v>3.8927244744698344</v>
      </c>
      <c r="H710" s="16">
        <f>IFERROR(VLOOKUP(F710,STD!B:G,5,0),0)</f>
        <v>1.24</v>
      </c>
      <c r="I710" s="21">
        <f t="shared" si="53"/>
        <v>0.318542966020959</v>
      </c>
      <c r="J710" s="16">
        <f t="shared" si="54"/>
        <v>-3.6291406795808201</v>
      </c>
      <c r="K710" s="106" t="str">
        <f>VLOOKUP(C710,'RAW DATA 2023'!E:BO,36,0)</f>
        <v>Nitrite</v>
      </c>
      <c r="L710" s="106">
        <f>VLOOKUP(C710,'RAW DATA 2023'!E:BO,21,0)</f>
        <v>2.60189</v>
      </c>
      <c r="M710" s="106">
        <f t="shared" si="55"/>
        <v>-9.4426248427945403</v>
      </c>
    </row>
    <row r="711" spans="1:13">
      <c r="A711" t="str">
        <f>'RAW DATA 2023'!B704</f>
        <v>Lucky3</v>
      </c>
      <c r="B711" t="str">
        <f>'RAW DATA 2023'!D704</f>
        <v>BG-026-0010</v>
      </c>
      <c r="C711" t="str">
        <f t="shared" si="51"/>
        <v>Lucky3BG-026-0010</v>
      </c>
      <c r="D711">
        <f>VLOOKUP(C711,'RAW DATA 2023'!E:BP,63,0)</f>
        <v>3</v>
      </c>
      <c r="E711" t="str">
        <f t="shared" si="52"/>
        <v>Lucky33</v>
      </c>
      <c r="F711">
        <f>ROUND(VLOOKUP(C711,'RAW DATA 2023'!E:BO,23,0),0)</f>
        <v>31</v>
      </c>
      <c r="G711" s="16">
        <f>VLOOKUP(C711,'RAW DATA 2023'!E:BO,27,0)</f>
        <v>2.3023815325751325</v>
      </c>
      <c r="H711" s="16">
        <f>IFERROR(VLOOKUP(F711,STD!B:G,5,0),0)</f>
        <v>1.84</v>
      </c>
      <c r="I711" s="21">
        <f t="shared" si="53"/>
        <v>0.79917249767983722</v>
      </c>
      <c r="J711" s="16">
        <f t="shared" si="54"/>
        <v>5.9834499535967449</v>
      </c>
      <c r="K711" s="106" t="str">
        <f>VLOOKUP(C711,'RAW DATA 2023'!E:BO,36,0)</f>
        <v>Normal</v>
      </c>
      <c r="L711" s="106">
        <f>VLOOKUP(C711,'RAW DATA 2023'!E:BO,21,0)</f>
        <v>11.130979999999999</v>
      </c>
      <c r="M711" s="106">
        <f t="shared" si="55"/>
        <v>66.601661764486295</v>
      </c>
    </row>
    <row r="712" spans="1:13">
      <c r="A712" t="str">
        <f>'RAW DATA 2023'!B705</f>
        <v>Lucky3</v>
      </c>
      <c r="B712" t="str">
        <f>'RAW DATA 2023'!D705</f>
        <v>BG-027-0010</v>
      </c>
      <c r="C712" t="str">
        <f t="shared" si="51"/>
        <v>Lucky3BG-027-0010</v>
      </c>
      <c r="D712">
        <f>VLOOKUP(C712,'RAW DATA 2023'!E:BP,63,0)</f>
        <v>3</v>
      </c>
      <c r="E712" t="str">
        <f t="shared" si="52"/>
        <v>Lucky33</v>
      </c>
      <c r="F712">
        <f>ROUND(VLOOKUP(C712,'RAW DATA 2023'!E:BO,23,0),0)</f>
        <v>36</v>
      </c>
      <c r="G712" s="16">
        <f>VLOOKUP(C712,'RAW DATA 2023'!E:BO,27,0)</f>
        <v>2.222453271235989</v>
      </c>
      <c r="H712" s="16">
        <f>IFERROR(VLOOKUP(F712,STD!B:G,5,0),0)</f>
        <v>1.726</v>
      </c>
      <c r="I712" s="21">
        <f t="shared" si="53"/>
        <v>0.77661925329935377</v>
      </c>
      <c r="J712" s="16">
        <f t="shared" si="54"/>
        <v>5.532385065987075</v>
      </c>
      <c r="K712" s="106" t="str">
        <f>VLOOKUP(C712,'RAW DATA 2023'!E:BO,36,0)</f>
        <v>Normal</v>
      </c>
      <c r="L712" s="106">
        <f>VLOOKUP(C712,'RAW DATA 2023'!E:BO,21,0)</f>
        <v>12.492100000000001</v>
      </c>
      <c r="M712" s="106">
        <f t="shared" si="55"/>
        <v>69.111107482817147</v>
      </c>
    </row>
    <row r="713" spans="1:13">
      <c r="A713" t="str">
        <f>'RAW DATA 2023'!B706</f>
        <v>Lucky3</v>
      </c>
      <c r="B713" t="str">
        <f>'RAW DATA 2023'!D706</f>
        <v>BG-026-0011</v>
      </c>
      <c r="C713" t="str">
        <f t="shared" si="51"/>
        <v>Lucky3BG-026-0011</v>
      </c>
      <c r="D713">
        <f>VLOOKUP(C713,'RAW DATA 2023'!E:BP,63,0)</f>
        <v>5</v>
      </c>
      <c r="E713" t="str">
        <f t="shared" si="52"/>
        <v>Lucky35</v>
      </c>
      <c r="F713">
        <f>ROUND(VLOOKUP(C713,'RAW DATA 2023'!E:BO,23,0),0)</f>
        <v>97</v>
      </c>
      <c r="G713" s="16">
        <f>VLOOKUP(C713,'RAW DATA 2023'!E:BO,27,0)</f>
        <v>1.843339505055166</v>
      </c>
      <c r="H713" s="16">
        <f>IFERROR(VLOOKUP(F713,STD!B:G,5,0),0)</f>
        <v>1.22</v>
      </c>
      <c r="I713" s="21">
        <f t="shared" si="53"/>
        <v>0.66184226869454998</v>
      </c>
      <c r="J713" s="16">
        <f t="shared" si="54"/>
        <v>3.2368453738909997</v>
      </c>
      <c r="K713" s="106" t="str">
        <f>VLOOKUP(C713,'RAW DATA 2023'!E:BO,36,0)</f>
        <v>ลอกคราบตาย</v>
      </c>
      <c r="L713" s="106">
        <f>VLOOKUP(C713,'RAW DATA 2023'!E:BO,21,0)</f>
        <v>4.0302199999999999</v>
      </c>
      <c r="M713" s="106">
        <f t="shared" si="55"/>
        <v>13.045198962762985</v>
      </c>
    </row>
    <row r="714" spans="1:13">
      <c r="A714" t="str">
        <f>'RAW DATA 2023'!B707</f>
        <v>Lucky3</v>
      </c>
      <c r="B714" t="str">
        <f>'RAW DATA 2023'!D707</f>
        <v>B1-024-0010</v>
      </c>
      <c r="C714" t="str">
        <f t="shared" ref="C714:C777" si="56">A714&amp;B714</f>
        <v>Lucky3B1-024-0010</v>
      </c>
      <c r="D714">
        <f>VLOOKUP(C714,'RAW DATA 2023'!E:BP,63,0)</f>
        <v>8</v>
      </c>
      <c r="E714" t="str">
        <f t="shared" ref="E714:E777" si="57">A714&amp;D714</f>
        <v>Lucky38</v>
      </c>
      <c r="F714">
        <f>ROUND(VLOOKUP(C714,'RAW DATA 2023'!E:BO,23,0),0)</f>
        <v>161</v>
      </c>
      <c r="G714" s="16">
        <f>VLOOKUP(C714,'RAW DATA 2023'!E:BO,27,0)</f>
        <v>0.93060928028900247</v>
      </c>
      <c r="H714" s="16">
        <f>IFERROR(VLOOKUP(F714,STD!B:G,5,0),0)</f>
        <v>1.0429999999999999</v>
      </c>
      <c r="I714" s="21">
        <f t="shared" si="53"/>
        <v>1.1207711142490373</v>
      </c>
      <c r="J714" s="16">
        <f t="shared" si="54"/>
        <v>12.415422284980746</v>
      </c>
      <c r="K714" s="106" t="str">
        <f>VLOOKUP(C714,'RAW DATA 2023'!E:BO,36,0)</f>
        <v>EHP</v>
      </c>
      <c r="L714" s="106">
        <f>VLOOKUP(C714,'RAW DATA 2023'!E:BO,21,0)</f>
        <v>4.7294999999999998</v>
      </c>
      <c r="M714" s="106">
        <f t="shared" si="55"/>
        <v>58.718739696816435</v>
      </c>
    </row>
    <row r="715" spans="1:13">
      <c r="A715" t="str">
        <f>'RAW DATA 2023'!B708</f>
        <v>Lucky3</v>
      </c>
      <c r="B715" t="str">
        <f>'RAW DATA 2023'!D708</f>
        <v>B1-023-0011</v>
      </c>
      <c r="C715" t="str">
        <f t="shared" si="56"/>
        <v>Lucky3B1-023-0011</v>
      </c>
      <c r="D715">
        <f>VLOOKUP(C715,'RAW DATA 2023'!E:BP,63,0)</f>
        <v>3</v>
      </c>
      <c r="E715" t="str">
        <f t="shared" si="57"/>
        <v>Lucky33</v>
      </c>
      <c r="F715">
        <f>ROUND(VLOOKUP(C715,'RAW DATA 2023'!E:BO,23,0),0)</f>
        <v>42</v>
      </c>
      <c r="G715" s="16">
        <f>VLOOKUP(C715,'RAW DATA 2023'!E:BO,27,0)</f>
        <v>1.9902652527276776</v>
      </c>
      <c r="H715" s="16">
        <f>IFERROR(VLOOKUP(F715,STD!B:G,5,0),0)</f>
        <v>1.6</v>
      </c>
      <c r="I715" s="21">
        <f t="shared" ref="I715:I778" si="58">IFERROR(H715/G715,0)</f>
        <v>0.80391294467266849</v>
      </c>
      <c r="J715" s="16">
        <f t="shared" ref="J715:J778" si="59">(I715-$B$4)*$B$7</f>
        <v>6.0782588934533699</v>
      </c>
      <c r="K715" s="106" t="str">
        <f>VLOOKUP(C715,'RAW DATA 2023'!E:BO,36,0)</f>
        <v>Normal</v>
      </c>
      <c r="L715" s="106">
        <f>VLOOKUP(C715,'RAW DATA 2023'!E:BO,21,0)</f>
        <v>11.685979999999999</v>
      </c>
      <c r="M715" s="106">
        <f t="shared" ref="M715:M778" si="60">J715*L715</f>
        <v>71.0304118637182</v>
      </c>
    </row>
    <row r="716" spans="1:13">
      <c r="A716" t="str">
        <f>'RAW DATA 2023'!B709</f>
        <v>Lucky3</v>
      </c>
      <c r="B716" t="str">
        <f>'RAW DATA 2023'!D709</f>
        <v>BG-027-0012</v>
      </c>
      <c r="C716" t="str">
        <f t="shared" si="56"/>
        <v>Lucky3BG-027-0012</v>
      </c>
      <c r="D716">
        <f>VLOOKUP(C716,'RAW DATA 2023'!E:BP,63,0)</f>
        <v>7</v>
      </c>
      <c r="E716" t="str">
        <f t="shared" si="57"/>
        <v>Lucky37</v>
      </c>
      <c r="F716">
        <f>ROUND(VLOOKUP(C716,'RAW DATA 2023'!E:BO,23,0),0)</f>
        <v>172</v>
      </c>
      <c r="G716" s="16">
        <f>VLOOKUP(C716,'RAW DATA 2023'!E:BO,27,0)</f>
        <v>0.86581000749664772</v>
      </c>
      <c r="H716" s="16">
        <f>IFERROR(VLOOKUP(F716,STD!B:G,5,0),0)</f>
        <v>1</v>
      </c>
      <c r="I716" s="21">
        <f t="shared" si="58"/>
        <v>1.1549878048780486</v>
      </c>
      <c r="J716" s="16">
        <f t="shared" si="59"/>
        <v>13.099756097560974</v>
      </c>
      <c r="K716" s="106" t="str">
        <f>VLOOKUP(C716,'RAW DATA 2023'!E:BO,36,0)</f>
        <v>EHP</v>
      </c>
      <c r="L716" s="106">
        <f>VLOOKUP(C716,'RAW DATA 2023'!E:BO,21,0)</f>
        <v>4.4683599999999997</v>
      </c>
      <c r="M716" s="106">
        <f t="shared" si="60"/>
        <v>58.534426156097545</v>
      </c>
    </row>
    <row r="717" spans="1:13">
      <c r="A717" t="str">
        <f>'RAW DATA 2023'!B710</f>
        <v>Lucky3</v>
      </c>
      <c r="B717" t="str">
        <f>'RAW DATA 2023'!D710</f>
        <v>B1-025-0011</v>
      </c>
      <c r="C717" t="str">
        <f t="shared" si="56"/>
        <v>Lucky3B1-025-0011</v>
      </c>
      <c r="D717">
        <f>VLOOKUP(C717,'RAW DATA 2023'!E:BP,63,0)</f>
        <v>8</v>
      </c>
      <c r="E717" t="str">
        <f t="shared" si="57"/>
        <v>Lucky38</v>
      </c>
      <c r="F717">
        <f>ROUND(VLOOKUP(C717,'RAW DATA 2023'!E:BO,23,0),0)</f>
        <v>0</v>
      </c>
      <c r="G717" s="16">
        <f>VLOOKUP(C717,'RAW DATA 2023'!E:BO,27,0)</f>
        <v>0</v>
      </c>
      <c r="H717" s="16">
        <f>IFERROR(VLOOKUP(F717,STD!B:G,5,0),0)</f>
        <v>0</v>
      </c>
      <c r="I717" s="21">
        <f t="shared" si="58"/>
        <v>0</v>
      </c>
      <c r="J717" s="16">
        <f t="shared" si="59"/>
        <v>-10</v>
      </c>
      <c r="K717" s="106" t="str">
        <f>VLOOKUP(C717,'RAW DATA 2023'!E:BO,36,0)</f>
        <v>EHP</v>
      </c>
      <c r="L717" s="106">
        <f>VLOOKUP(C717,'RAW DATA 2023'!E:BO,21,0)</f>
        <v>0</v>
      </c>
      <c r="M717" s="106">
        <f t="shared" si="60"/>
        <v>0</v>
      </c>
    </row>
    <row r="718" spans="1:13">
      <c r="A718" t="str">
        <f>'RAW DATA 2023'!B711</f>
        <v>Tachalab</v>
      </c>
      <c r="B718" t="str">
        <f>'RAW DATA 2023'!D711</f>
        <v>A1-012-0017</v>
      </c>
      <c r="C718" t="str">
        <f t="shared" si="56"/>
        <v>TachalabA1-012-0017</v>
      </c>
      <c r="D718">
        <f>VLOOKUP(C718,'RAW DATA 2023'!E:BP,63,0)</f>
        <v>8</v>
      </c>
      <c r="E718" t="str">
        <f t="shared" si="57"/>
        <v>Tachalab8</v>
      </c>
      <c r="F718">
        <f>ROUND(VLOOKUP(C718,'RAW DATA 2023'!E:BO,23,0),0)</f>
        <v>30</v>
      </c>
      <c r="G718" s="16">
        <f>VLOOKUP(C718,'RAW DATA 2023'!E:BO,27,0)</f>
        <v>1.8831967595037367</v>
      </c>
      <c r="H718" s="16">
        <f>IFERROR(VLOOKUP(F718,STD!B:G,5,0),0)</f>
        <v>1.87</v>
      </c>
      <c r="I718" s="21">
        <f t="shared" si="58"/>
        <v>0.99299236288659809</v>
      </c>
      <c r="J718" s="16">
        <f t="shared" si="59"/>
        <v>9.8598472577319622</v>
      </c>
      <c r="K718" s="106" t="str">
        <f>VLOOKUP(C718,'RAW DATA 2023'!E:BO,36,0)</f>
        <v>Normal</v>
      </c>
      <c r="L718" s="106">
        <f>VLOOKUP(C718,'RAW DATA 2023'!E:BO,21,0)</f>
        <v>19.73556</v>
      </c>
      <c r="M718" s="106">
        <f t="shared" si="60"/>
        <v>194.58960714580459</v>
      </c>
    </row>
    <row r="719" spans="1:13">
      <c r="A719" t="str">
        <f>'RAW DATA 2023'!B712</f>
        <v>Tachalab</v>
      </c>
      <c r="B719" t="str">
        <f>'RAW DATA 2023'!D712</f>
        <v>A1-013-0012</v>
      </c>
      <c r="C719" t="str">
        <f t="shared" si="56"/>
        <v>TachalabA1-013-0012</v>
      </c>
      <c r="D719">
        <f>VLOOKUP(C719,'RAW DATA 2023'!E:BP,63,0)</f>
        <v>7</v>
      </c>
      <c r="E719" t="str">
        <f t="shared" si="57"/>
        <v>Tachalab7</v>
      </c>
      <c r="F719">
        <f>ROUND(VLOOKUP(C719,'RAW DATA 2023'!E:BO,23,0),0)</f>
        <v>33</v>
      </c>
      <c r="G719" s="16">
        <f>VLOOKUP(C719,'RAW DATA 2023'!E:BO,27,0)</f>
        <v>2.1932725813178582</v>
      </c>
      <c r="H719" s="16">
        <f>IFERROR(VLOOKUP(F719,STD!B:G,5,0),0)</f>
        <v>1.8</v>
      </c>
      <c r="I719" s="21">
        <f t="shared" si="58"/>
        <v>0.82069142492012781</v>
      </c>
      <c r="J719" s="16">
        <f t="shared" si="59"/>
        <v>6.4138284984025562</v>
      </c>
      <c r="K719" s="106" t="str">
        <f>VLOOKUP(C719,'RAW DATA 2023'!E:BO,36,0)</f>
        <v>Normal</v>
      </c>
      <c r="L719" s="106">
        <f>VLOOKUP(C719,'RAW DATA 2023'!E:BO,21,0)</f>
        <v>18.432639999999999</v>
      </c>
      <c r="M719" s="106">
        <f t="shared" si="60"/>
        <v>118.22379173279489</v>
      </c>
    </row>
    <row r="720" spans="1:13">
      <c r="A720" t="str">
        <f>'RAW DATA 2023'!B713</f>
        <v>Tachalab</v>
      </c>
      <c r="B720" t="str">
        <f>'RAW DATA 2023'!D713</f>
        <v>A1-011-0018</v>
      </c>
      <c r="C720" t="str">
        <f t="shared" si="56"/>
        <v>TachalabA1-011-0018</v>
      </c>
      <c r="D720">
        <f>VLOOKUP(C720,'RAW DATA 2023'!E:BP,63,0)</f>
        <v>8</v>
      </c>
      <c r="E720" t="str">
        <f t="shared" si="57"/>
        <v>Tachalab8</v>
      </c>
      <c r="F720">
        <f>ROUND(VLOOKUP(C720,'RAW DATA 2023'!E:BO,23,0),0)</f>
        <v>32</v>
      </c>
      <c r="G720" s="16">
        <f>VLOOKUP(C720,'RAW DATA 2023'!E:BO,27,0)</f>
        <v>2.033903755352731</v>
      </c>
      <c r="H720" s="16">
        <f>IFERROR(VLOOKUP(F720,STD!B:G,5,0),0)</f>
        <v>1.82</v>
      </c>
      <c r="I720" s="21">
        <f t="shared" si="58"/>
        <v>0.89483093544137016</v>
      </c>
      <c r="J720" s="16">
        <f t="shared" si="59"/>
        <v>7.8966187088274031</v>
      </c>
      <c r="K720" s="106" t="str">
        <f>VLOOKUP(C720,'RAW DATA 2023'!E:BO,36,0)</f>
        <v>Normal</v>
      </c>
      <c r="L720" s="106">
        <f>VLOOKUP(C720,'RAW DATA 2023'!E:BO,21,0)</f>
        <v>28.588000000000001</v>
      </c>
      <c r="M720" s="106">
        <f t="shared" si="60"/>
        <v>225.74853564795779</v>
      </c>
    </row>
    <row r="721" spans="1:13">
      <c r="A721" t="str">
        <f>'RAW DATA 2023'!B714</f>
        <v>Tachalab</v>
      </c>
      <c r="B721" t="str">
        <f>'RAW DATA 2023'!D714</f>
        <v>A1-005-0024</v>
      </c>
      <c r="C721" t="str">
        <f t="shared" si="56"/>
        <v>TachalabA1-005-0024</v>
      </c>
      <c r="D721">
        <f>VLOOKUP(C721,'RAW DATA 2023'!E:BP,63,0)</f>
        <v>7</v>
      </c>
      <c r="E721" t="str">
        <f t="shared" si="57"/>
        <v>Tachalab7</v>
      </c>
      <c r="F721">
        <f>ROUND(VLOOKUP(C721,'RAW DATA 2023'!E:BO,23,0),0)</f>
        <v>36</v>
      </c>
      <c r="G721" s="16">
        <f>VLOOKUP(C721,'RAW DATA 2023'!E:BO,27,0)</f>
        <v>1.7528478357748811</v>
      </c>
      <c r="H721" s="16">
        <f>IFERROR(VLOOKUP(F721,STD!B:G,5,0),0)</f>
        <v>1.726</v>
      </c>
      <c r="I721" s="21">
        <f t="shared" si="58"/>
        <v>0.98468330494699641</v>
      </c>
      <c r="J721" s="16">
        <f t="shared" si="59"/>
        <v>9.6936660989399286</v>
      </c>
      <c r="K721" s="106" t="str">
        <f>VLOOKUP(C721,'RAW DATA 2023'!E:BO,36,0)</f>
        <v>Normal</v>
      </c>
      <c r="L721" s="106">
        <f>VLOOKUP(C721,'RAW DATA 2023'!E:BO,21,0)</f>
        <v>32.890309999999999</v>
      </c>
      <c r="M721" s="106">
        <f t="shared" si="60"/>
        <v>318.82768303062494</v>
      </c>
    </row>
    <row r="722" spans="1:13">
      <c r="A722" t="str">
        <f>'RAW DATA 2023'!B715</f>
        <v>Tachalab</v>
      </c>
      <c r="B722" t="str">
        <f>'RAW DATA 2023'!D715</f>
        <v>B1-025-0015</v>
      </c>
      <c r="C722" t="str">
        <f t="shared" si="56"/>
        <v>TachalabB1-025-0015</v>
      </c>
      <c r="D722">
        <f>VLOOKUP(C722,'RAW DATA 2023'!E:BP,63,0)</f>
        <v>6</v>
      </c>
      <c r="E722" t="str">
        <f t="shared" si="57"/>
        <v>Tachalab6</v>
      </c>
      <c r="F722">
        <f>ROUND(VLOOKUP(C722,'RAW DATA 2023'!E:BO,23,0),0)</f>
        <v>46</v>
      </c>
      <c r="G722" s="16">
        <f>VLOOKUP(C722,'RAW DATA 2023'!E:BO,27,0)</f>
        <v>2.359489324853731</v>
      </c>
      <c r="H722" s="16">
        <f>IFERROR(VLOOKUP(F722,STD!B:G,5,0),0)</f>
        <v>1.54</v>
      </c>
      <c r="I722" s="21">
        <f t="shared" si="58"/>
        <v>0.65268360563380279</v>
      </c>
      <c r="J722" s="16">
        <f t="shared" si="59"/>
        <v>3.0536721126760558</v>
      </c>
      <c r="K722" s="106" t="str">
        <f>VLOOKUP(C722,'RAW DATA 2023'!E:BO,36,0)</f>
        <v>EHP</v>
      </c>
      <c r="L722" s="106">
        <f>VLOOKUP(C722,'RAW DATA 2023'!E:BO,21,0)</f>
        <v>28.106750000000002</v>
      </c>
      <c r="M722" s="106">
        <f t="shared" si="60"/>
        <v>85.82879865295773</v>
      </c>
    </row>
    <row r="723" spans="1:13">
      <c r="A723" t="str">
        <f>'RAW DATA 2023'!B716</f>
        <v>Tachalab</v>
      </c>
      <c r="B723" t="str">
        <f>'RAW DATA 2023'!D716</f>
        <v>A1-006-0017</v>
      </c>
      <c r="C723" t="str">
        <f t="shared" si="56"/>
        <v>TachalabA1-006-0017</v>
      </c>
      <c r="D723">
        <f>VLOOKUP(C723,'RAW DATA 2023'!E:BP,63,0)</f>
        <v>12</v>
      </c>
      <c r="E723" t="str">
        <f t="shared" si="57"/>
        <v>Tachalab12</v>
      </c>
      <c r="F723">
        <f>ROUND(VLOOKUP(C723,'RAW DATA 2023'!E:BO,23,0),0)</f>
        <v>56</v>
      </c>
      <c r="G723" s="16">
        <f>VLOOKUP(C723,'RAW DATA 2023'!E:BO,27,0)</f>
        <v>1.456699054529353</v>
      </c>
      <c r="H723" s="16">
        <f>IFERROR(VLOOKUP(F723,STD!B:G,5,0),0)</f>
        <v>1.44</v>
      </c>
      <c r="I723" s="21">
        <f t="shared" si="58"/>
        <v>0.98853637305699471</v>
      </c>
      <c r="J723" s="16">
        <f t="shared" si="59"/>
        <v>9.7707274611398951</v>
      </c>
      <c r="K723" s="106" t="str">
        <f>VLOOKUP(C723,'RAW DATA 2023'!E:BO,36,0)</f>
        <v>ปิดฟาร์ม</v>
      </c>
      <c r="L723" s="106">
        <f>VLOOKUP(C723,'RAW DATA 2023'!E:BO,21,0)</f>
        <v>30.141549999999999</v>
      </c>
      <c r="M723" s="106">
        <f t="shared" si="60"/>
        <v>294.50487030632121</v>
      </c>
    </row>
    <row r="724" spans="1:13">
      <c r="A724" t="str">
        <f>'RAW DATA 2023'!B717</f>
        <v>Tachalab</v>
      </c>
      <c r="B724" t="str">
        <f>'RAW DATA 2023'!D717</f>
        <v>B1-023-0012</v>
      </c>
      <c r="C724" t="str">
        <f t="shared" si="56"/>
        <v>TachalabB1-023-0012</v>
      </c>
      <c r="D724">
        <f>VLOOKUP(C724,'RAW DATA 2023'!E:BP,63,0)</f>
        <v>2</v>
      </c>
      <c r="E724" t="str">
        <f t="shared" si="57"/>
        <v>Tachalab2</v>
      </c>
      <c r="F724">
        <f>ROUND(VLOOKUP(C724,'RAW DATA 2023'!E:BO,23,0),0)</f>
        <v>35</v>
      </c>
      <c r="G724" s="16">
        <f>VLOOKUP(C724,'RAW DATA 2023'!E:BO,27,0)</f>
        <v>1.8778369472159551</v>
      </c>
      <c r="H724" s="16">
        <f>IFERROR(VLOOKUP(F724,STD!B:G,5,0),0)</f>
        <v>1.75</v>
      </c>
      <c r="I724" s="21">
        <f t="shared" si="58"/>
        <v>0.93192329749103953</v>
      </c>
      <c r="J724" s="16">
        <f t="shared" si="59"/>
        <v>8.638465949820791</v>
      </c>
      <c r="K724" s="106" t="str">
        <f>VLOOKUP(C724,'RAW DATA 2023'!E:BO,36,0)</f>
        <v>Normal</v>
      </c>
      <c r="L724" s="106">
        <f>VLOOKUP(C724,'RAW DATA 2023'!E:BO,21,0)</f>
        <v>22.691200000000002</v>
      </c>
      <c r="M724" s="106">
        <f t="shared" si="60"/>
        <v>196.01715856057356</v>
      </c>
    </row>
    <row r="725" spans="1:13">
      <c r="A725" t="str">
        <f>'RAW DATA 2023'!B718</f>
        <v>Tachalab</v>
      </c>
      <c r="B725" t="str">
        <f>'RAW DATA 2023'!D718</f>
        <v>A1-003-0023</v>
      </c>
      <c r="C725" t="str">
        <f t="shared" si="56"/>
        <v>TachalabA1-003-0023</v>
      </c>
      <c r="D725">
        <f>VLOOKUP(C725,'RAW DATA 2023'!E:BP,63,0)</f>
        <v>3</v>
      </c>
      <c r="E725" t="str">
        <f t="shared" si="57"/>
        <v>Tachalab3</v>
      </c>
      <c r="F725">
        <f>ROUND(VLOOKUP(C725,'RAW DATA 2023'!E:BO,23,0),0)</f>
        <v>38</v>
      </c>
      <c r="G725" s="16">
        <f>VLOOKUP(C725,'RAW DATA 2023'!E:BO,27,0)</f>
        <v>2.3784650379919725</v>
      </c>
      <c r="H725" s="16">
        <f>IFERROR(VLOOKUP(F725,STD!B:G,5,0),0)</f>
        <v>1.669</v>
      </c>
      <c r="I725" s="21">
        <f t="shared" si="58"/>
        <v>0.70171306844563042</v>
      </c>
      <c r="J725" s="16">
        <f t="shared" si="59"/>
        <v>4.0342613689126079</v>
      </c>
      <c r="K725" s="106" t="str">
        <f>VLOOKUP(C725,'RAW DATA 2023'!E:BO,36,0)</f>
        <v>กุ้งไม่โต</v>
      </c>
      <c r="L725" s="106">
        <f>VLOOKUP(C725,'RAW DATA 2023'!E:BO,21,0)</f>
        <v>15.998959999999999</v>
      </c>
      <c r="M725" s="106">
        <f t="shared" si="60"/>
        <v>64.543986270778049</v>
      </c>
    </row>
    <row r="726" spans="1:13">
      <c r="A726" t="str">
        <f>'RAW DATA 2023'!B719</f>
        <v>Tachalab</v>
      </c>
      <c r="B726" t="str">
        <f>'RAW DATA 2023'!D719</f>
        <v>A1-013-0011</v>
      </c>
      <c r="C726" t="str">
        <f t="shared" si="56"/>
        <v>TachalabA1-013-0011</v>
      </c>
      <c r="D726">
        <f>VLOOKUP(C726,'RAW DATA 2023'!E:BP,63,0)</f>
        <v>3</v>
      </c>
      <c r="E726" t="str">
        <f t="shared" si="57"/>
        <v>Tachalab3</v>
      </c>
      <c r="F726">
        <f>ROUND(VLOOKUP(C726,'RAW DATA 2023'!E:BO,23,0),0)</f>
        <v>41</v>
      </c>
      <c r="G726" s="16">
        <f>VLOOKUP(C726,'RAW DATA 2023'!E:BO,27,0)</f>
        <v>2.3511881133700161</v>
      </c>
      <c r="H726" s="16">
        <f>IFERROR(VLOOKUP(F726,STD!B:G,5,0),0)</f>
        <v>1.61</v>
      </c>
      <c r="I726" s="21">
        <f t="shared" si="58"/>
        <v>0.68476018181818177</v>
      </c>
      <c r="J726" s="16">
        <f t="shared" si="59"/>
        <v>3.6952036363636354</v>
      </c>
      <c r="K726" s="106" t="str">
        <f>VLOOKUP(C726,'RAW DATA 2023'!E:BO,36,0)</f>
        <v>Normal</v>
      </c>
      <c r="L726" s="106">
        <f>VLOOKUP(C726,'RAW DATA 2023'!E:BO,21,0)</f>
        <v>13.369759999999999</v>
      </c>
      <c r="M726" s="106">
        <f t="shared" si="60"/>
        <v>49.403985769309074</v>
      </c>
    </row>
    <row r="727" spans="1:13">
      <c r="A727" t="str">
        <f>'RAW DATA 2023'!B720</f>
        <v>Tachalab</v>
      </c>
      <c r="B727" t="str">
        <f>'RAW DATA 2023'!D720</f>
        <v>A1-006-0016</v>
      </c>
      <c r="C727" t="str">
        <f t="shared" si="56"/>
        <v>TachalabA1-006-0016</v>
      </c>
      <c r="D727">
        <f>VLOOKUP(C727,'RAW DATA 2023'!E:BP,63,0)</f>
        <v>3</v>
      </c>
      <c r="E727" t="str">
        <f t="shared" si="57"/>
        <v>Tachalab3</v>
      </c>
      <c r="F727">
        <f>ROUND(VLOOKUP(C727,'RAW DATA 2023'!E:BO,23,0),0)</f>
        <v>42</v>
      </c>
      <c r="G727" s="16">
        <f>VLOOKUP(C727,'RAW DATA 2023'!E:BO,27,0)</f>
        <v>1.9521544686590475</v>
      </c>
      <c r="H727" s="16">
        <f>IFERROR(VLOOKUP(F727,STD!B:G,5,0),0)</f>
        <v>1.6</v>
      </c>
      <c r="I727" s="21">
        <f t="shared" si="58"/>
        <v>0.81960727272727274</v>
      </c>
      <c r="J727" s="16">
        <f t="shared" si="59"/>
        <v>6.3921454545454548</v>
      </c>
      <c r="K727" s="106" t="str">
        <f>VLOOKUP(C727,'RAW DATA 2023'!E:BO,36,0)</f>
        <v>กุ้งไม่โต</v>
      </c>
      <c r="L727" s="106">
        <f>VLOOKUP(C727,'RAW DATA 2023'!E:BO,21,0)</f>
        <v>15.465959999999999</v>
      </c>
      <c r="M727" s="106">
        <f t="shared" si="60"/>
        <v>98.860665914181823</v>
      </c>
    </row>
    <row r="728" spans="1:13">
      <c r="A728" t="str">
        <f>'RAW DATA 2023'!B721</f>
        <v>Tachalab</v>
      </c>
      <c r="B728" t="str">
        <f>'RAW DATA 2023'!D721</f>
        <v>A1-011-0017</v>
      </c>
      <c r="C728" t="str">
        <f t="shared" si="56"/>
        <v>TachalabA1-011-0017</v>
      </c>
      <c r="D728">
        <f>VLOOKUP(C728,'RAW DATA 2023'!E:BP,63,0)</f>
        <v>3</v>
      </c>
      <c r="E728" t="str">
        <f t="shared" si="57"/>
        <v>Tachalab3</v>
      </c>
      <c r="F728">
        <f>ROUND(VLOOKUP(C728,'RAW DATA 2023'!E:BO,23,0),0)</f>
        <v>47</v>
      </c>
      <c r="G728" s="16">
        <f>VLOOKUP(C728,'RAW DATA 2023'!E:BO,27,0)</f>
        <v>1.9755755197917086</v>
      </c>
      <c r="H728" s="16">
        <f>IFERROR(VLOOKUP(F728,STD!B:G,5,0),0)</f>
        <v>1.53</v>
      </c>
      <c r="I728" s="21">
        <f t="shared" si="58"/>
        <v>0.77445786540284367</v>
      </c>
      <c r="J728" s="16">
        <f t="shared" si="59"/>
        <v>5.489157308056873</v>
      </c>
      <c r="K728" s="106" t="str">
        <f>VLOOKUP(C728,'RAW DATA 2023'!E:BO,36,0)</f>
        <v>กุ้งไม่โต</v>
      </c>
      <c r="L728" s="106">
        <f>VLOOKUP(C728,'RAW DATA 2023'!E:BO,21,0)</f>
        <v>13.575610000000001</v>
      </c>
      <c r="M728" s="106">
        <f t="shared" si="60"/>
        <v>74.518658842829964</v>
      </c>
    </row>
    <row r="729" spans="1:13">
      <c r="A729" t="str">
        <f>'RAW DATA 2023'!B722</f>
        <v>Tachalab</v>
      </c>
      <c r="B729" t="str">
        <f>'RAW DATA 2023'!D722</f>
        <v>B1-025-0014</v>
      </c>
      <c r="C729" t="str">
        <f t="shared" si="56"/>
        <v>TachalabB1-025-0014</v>
      </c>
      <c r="D729">
        <f>VLOOKUP(C729,'RAW DATA 2023'!E:BP,63,0)</f>
        <v>2</v>
      </c>
      <c r="E729" t="str">
        <f t="shared" si="57"/>
        <v>Tachalab2</v>
      </c>
      <c r="F729">
        <f>ROUND(VLOOKUP(C729,'RAW DATA 2023'!E:BO,23,0),0)</f>
        <v>44</v>
      </c>
      <c r="G729" s="16">
        <f>VLOOKUP(C729,'RAW DATA 2023'!E:BO,27,0)</f>
        <v>2.5540587494014599</v>
      </c>
      <c r="H729" s="16">
        <f>IFERROR(VLOOKUP(F729,STD!B:G,5,0),0)</f>
        <v>1.57</v>
      </c>
      <c r="J729" s="16">
        <f t="shared" si="59"/>
        <v>-10</v>
      </c>
      <c r="K729" s="106" t="str">
        <f>VLOOKUP(C729,'RAW DATA 2023'!E:BO,36,0)</f>
        <v>Slow Growth</v>
      </c>
      <c r="L729" s="106">
        <f>VLOOKUP(C729,'RAW DATA 2023'!E:BO,21,0)</f>
        <v>11.8858</v>
      </c>
      <c r="M729" s="106">
        <f t="shared" si="60"/>
        <v>-118.858</v>
      </c>
    </row>
    <row r="730" spans="1:13">
      <c r="A730" t="str">
        <f>'RAW DATA 2023'!B723</f>
        <v>Tachalab</v>
      </c>
      <c r="B730" t="str">
        <f>'RAW DATA 2023'!D723</f>
        <v>A1-012-0016</v>
      </c>
      <c r="C730" t="str">
        <f t="shared" si="56"/>
        <v>TachalabA1-012-0016</v>
      </c>
      <c r="D730">
        <f>VLOOKUP(C730,'RAW DATA 2023'!E:BP,63,0)</f>
        <v>3</v>
      </c>
      <c r="E730" t="str">
        <f t="shared" si="57"/>
        <v>Tachalab3</v>
      </c>
      <c r="F730">
        <f>ROUND(VLOOKUP(C730,'RAW DATA 2023'!E:BO,23,0),0)</f>
        <v>77</v>
      </c>
      <c r="G730" s="16">
        <f>VLOOKUP(C730,'RAW DATA 2023'!E:BO,27,0)</f>
        <v>1.7390283345683313</v>
      </c>
      <c r="H730" s="16">
        <f>IFERROR(VLOOKUP(F730,STD!B:G,5,0),0)</f>
        <v>1.3</v>
      </c>
      <c r="I730" s="21">
        <f t="shared" si="58"/>
        <v>0.74754388652482273</v>
      </c>
      <c r="J730" s="16">
        <f t="shared" si="59"/>
        <v>4.9508777304964546</v>
      </c>
      <c r="K730" s="106" t="str">
        <f>VLOOKUP(C730,'RAW DATA 2023'!E:BO,36,0)</f>
        <v>กุ้งไม่โต</v>
      </c>
      <c r="L730" s="106">
        <f>VLOOKUP(C730,'RAW DATA 2023'!E:BO,21,0)</f>
        <v>10.574969999999999</v>
      </c>
      <c r="M730" s="106">
        <f t="shared" si="60"/>
        <v>52.355383473668084</v>
      </c>
    </row>
    <row r="731" spans="1:13">
      <c r="A731" t="str">
        <f>'RAW DATA 2023'!B724</f>
        <v>Andaman</v>
      </c>
      <c r="B731" t="str">
        <f>'RAW DATA 2023'!D724</f>
        <v>A1-014-0018</v>
      </c>
      <c r="C731" t="str">
        <f t="shared" si="56"/>
        <v>AndamanA1-014-0018</v>
      </c>
      <c r="D731">
        <f>VLOOKUP(C731,'RAW DATA 2023'!E:BP,63,0)</f>
        <v>5</v>
      </c>
      <c r="E731" t="str">
        <f t="shared" si="57"/>
        <v>Andaman5</v>
      </c>
      <c r="F731">
        <f>ROUND(VLOOKUP(C731,'RAW DATA 2023'!E:BO,23,0),0)</f>
        <v>31</v>
      </c>
      <c r="G731" s="16">
        <f>VLOOKUP(C731,'RAW DATA 2023'!E:BO,27,0)</f>
        <v>1.9700464104732731</v>
      </c>
      <c r="H731" s="16">
        <f>IFERROR(VLOOKUP(F731,STD!B:G,5,0),0)</f>
        <v>1.84</v>
      </c>
      <c r="I731" s="21">
        <f t="shared" si="58"/>
        <v>0.93398814881623449</v>
      </c>
      <c r="J731" s="16">
        <f t="shared" si="59"/>
        <v>8.6797629763246889</v>
      </c>
      <c r="K731" s="106" t="str">
        <f>VLOOKUP(C731,'RAW DATA 2023'!E:BO,36,0)</f>
        <v>Normal</v>
      </c>
      <c r="L731" s="106">
        <f>VLOOKUP(C731,'RAW DATA 2023'!E:BO,21,0)</f>
        <v>12.68608</v>
      </c>
      <c r="M731" s="106">
        <f t="shared" si="60"/>
        <v>110.11216749869311</v>
      </c>
    </row>
    <row r="732" spans="1:13">
      <c r="A732" t="str">
        <f>'RAW DATA 2023'!B725</f>
        <v>Andaman</v>
      </c>
      <c r="B732" t="str">
        <f>'RAW DATA 2023'!D725</f>
        <v>A1-013-0018</v>
      </c>
      <c r="C732" t="str">
        <f t="shared" si="56"/>
        <v>AndamanA1-013-0018</v>
      </c>
      <c r="D732">
        <f>VLOOKUP(C732,'RAW DATA 2023'!E:BP,63,0)</f>
        <v>6</v>
      </c>
      <c r="E732" t="str">
        <f t="shared" si="57"/>
        <v>Andaman6</v>
      </c>
      <c r="F732">
        <f>ROUND(VLOOKUP(C732,'RAW DATA 2023'!E:BO,23,0),0)</f>
        <v>28</v>
      </c>
      <c r="G732" s="16">
        <f>VLOOKUP(C732,'RAW DATA 2023'!E:BO,27,0)</f>
        <v>2.065498850019559</v>
      </c>
      <c r="H732" s="16">
        <f>IFERROR(VLOOKUP(F732,STD!B:G,5,0),0)</f>
        <v>1.93</v>
      </c>
      <c r="I732" s="21">
        <f t="shared" si="58"/>
        <v>0.93439897097097102</v>
      </c>
      <c r="J732" s="16">
        <f t="shared" si="59"/>
        <v>8.6879794194194204</v>
      </c>
      <c r="K732" s="106" t="str">
        <f>VLOOKUP(C732,'RAW DATA 2023'!E:BO,36,0)</f>
        <v>อัตรารอดต่ำ</v>
      </c>
      <c r="L732" s="106">
        <f>VLOOKUP(C732,'RAW DATA 2023'!E:BO,21,0)</f>
        <v>12.89151</v>
      </c>
      <c r="M732" s="106">
        <f t="shared" si="60"/>
        <v>112.00117356523965</v>
      </c>
    </row>
    <row r="733" spans="1:13">
      <c r="A733" t="str">
        <f>'RAW DATA 2023'!B726</f>
        <v>Andaman</v>
      </c>
      <c r="B733" t="str">
        <f>'RAW DATA 2023'!D726</f>
        <v>A1-009-0046</v>
      </c>
      <c r="C733" t="str">
        <f t="shared" si="56"/>
        <v>AndamanA1-009-0046</v>
      </c>
      <c r="D733">
        <f>VLOOKUP(C733,'RAW DATA 2023'!E:BP,63,0)</f>
        <v>3</v>
      </c>
      <c r="E733" t="str">
        <f t="shared" si="57"/>
        <v>Andaman3</v>
      </c>
      <c r="F733">
        <f>ROUND(VLOOKUP(C733,'RAW DATA 2023'!E:BO,23,0),0)</f>
        <v>26</v>
      </c>
      <c r="G733" s="16">
        <f>VLOOKUP(C733,'RAW DATA 2023'!E:BO,27,0)</f>
        <v>1.7962294990258771</v>
      </c>
      <c r="H733" s="16">
        <f>IFERROR(VLOOKUP(F733,STD!B:G,5,0),0)</f>
        <v>2</v>
      </c>
      <c r="I733" s="21">
        <f t="shared" si="58"/>
        <v>1.1134434664861204</v>
      </c>
      <c r="J733" s="16">
        <f t="shared" si="59"/>
        <v>12.268869329722406</v>
      </c>
      <c r="K733" s="106" t="str">
        <f>VLOOKUP(C733,'RAW DATA 2023'!E:BO,36,0)</f>
        <v>Normal</v>
      </c>
      <c r="L733" s="106">
        <f>VLOOKUP(C733,'RAW DATA 2023'!E:BO,21,0)</f>
        <v>21.285169999999997</v>
      </c>
      <c r="M733" s="106">
        <f t="shared" si="60"/>
        <v>261.14496939092743</v>
      </c>
    </row>
    <row r="734" spans="1:13">
      <c r="A734" t="str">
        <f>'RAW DATA 2023'!B727</f>
        <v>Andaman</v>
      </c>
      <c r="B734" t="str">
        <f>'RAW DATA 2023'!D727</f>
        <v>A1-016-0015</v>
      </c>
      <c r="C734" t="str">
        <f t="shared" si="56"/>
        <v>AndamanA1-016-0015</v>
      </c>
      <c r="D734">
        <f>VLOOKUP(C734,'RAW DATA 2023'!E:BP,63,0)</f>
        <v>9</v>
      </c>
      <c r="E734" t="str">
        <f t="shared" si="57"/>
        <v>Andaman9</v>
      </c>
      <c r="F734">
        <f>ROUND(VLOOKUP(C734,'RAW DATA 2023'!E:BO,23,0),0)</f>
        <v>31</v>
      </c>
      <c r="G734" s="16">
        <f>VLOOKUP(C734,'RAW DATA 2023'!E:BO,27,0)</f>
        <v>2.2216666213490885</v>
      </c>
      <c r="H734" s="16">
        <f>IFERROR(VLOOKUP(F734,STD!B:G,5,0),0)</f>
        <v>1.84</v>
      </c>
      <c r="I734" s="21">
        <f t="shared" si="58"/>
        <v>0.82820706865671656</v>
      </c>
      <c r="J734" s="16">
        <f t="shared" si="59"/>
        <v>6.5641413731343317</v>
      </c>
      <c r="K734" s="106" t="str">
        <f>VLOOKUP(C734,'RAW DATA 2023'!E:BO,36,0)</f>
        <v>WFD+EHP</v>
      </c>
      <c r="L734" s="106">
        <f>VLOOKUP(C734,'RAW DATA 2023'!E:BO,21,0)</f>
        <v>15.372770000000001</v>
      </c>
      <c r="M734" s="106">
        <f t="shared" si="60"/>
        <v>100.90903557667826</v>
      </c>
    </row>
    <row r="735" spans="1:13">
      <c r="A735" t="str">
        <f>'RAW DATA 2023'!B728</f>
        <v>Andaman</v>
      </c>
      <c r="B735" t="str">
        <f>'RAW DATA 2023'!D728</f>
        <v>A1-009-0047</v>
      </c>
      <c r="C735" t="str">
        <f t="shared" si="56"/>
        <v>AndamanA1-009-0047</v>
      </c>
      <c r="D735">
        <f>VLOOKUP(C735,'RAW DATA 2023'!E:BP,63,0)</f>
        <v>8</v>
      </c>
      <c r="E735" t="str">
        <f t="shared" si="57"/>
        <v>Andaman8</v>
      </c>
      <c r="F735">
        <f>ROUND(VLOOKUP(C735,'RAW DATA 2023'!E:BO,23,0),0)</f>
        <v>31</v>
      </c>
      <c r="G735" s="16">
        <f>VLOOKUP(C735,'RAW DATA 2023'!E:BO,27,0)</f>
        <v>2.2998915025187201</v>
      </c>
      <c r="H735" s="16">
        <f>IFERROR(VLOOKUP(F735,STD!B:G,5,0),0)</f>
        <v>1.84</v>
      </c>
      <c r="I735" s="21">
        <f t="shared" si="58"/>
        <v>0.80003774003466199</v>
      </c>
      <c r="J735" s="16">
        <f t="shared" si="59"/>
        <v>6.0007548006932403</v>
      </c>
      <c r="K735" s="106" t="str">
        <f>VLOOKUP(C735,'RAW DATA 2023'!E:BO,36,0)</f>
        <v>กุ้งร่วง</v>
      </c>
      <c r="L735" s="106">
        <f>VLOOKUP(C735,'RAW DATA 2023'!E:BO,21,0)</f>
        <v>26.02814</v>
      </c>
      <c r="M735" s="106">
        <f t="shared" si="60"/>
        <v>156.18848605811576</v>
      </c>
    </row>
    <row r="736" spans="1:13">
      <c r="A736" t="str">
        <f>'RAW DATA 2023'!B729</f>
        <v>Andaman</v>
      </c>
      <c r="B736" t="str">
        <f>'RAW DATA 2023'!D729</f>
        <v>A1-014-0019</v>
      </c>
      <c r="C736" t="str">
        <f t="shared" si="56"/>
        <v>AndamanA1-014-0019</v>
      </c>
      <c r="D736">
        <f>VLOOKUP(C736,'RAW DATA 2023'!E:BP,63,0)</f>
        <v>9</v>
      </c>
      <c r="E736" t="str">
        <f t="shared" si="57"/>
        <v>Andaman9</v>
      </c>
      <c r="F736">
        <f>ROUND(VLOOKUP(C736,'RAW DATA 2023'!E:BO,23,0),0)</f>
        <v>46</v>
      </c>
      <c r="G736" s="16">
        <f>VLOOKUP(C736,'RAW DATA 2023'!E:BO,27,0)</f>
        <v>2.3768724005149187</v>
      </c>
      <c r="H736" s="16">
        <f>IFERROR(VLOOKUP(F736,STD!B:G,5,0),0)</f>
        <v>1.54</v>
      </c>
      <c r="I736" s="21">
        <f t="shared" si="58"/>
        <v>0.6479102536873157</v>
      </c>
      <c r="J736" s="16">
        <f t="shared" si="59"/>
        <v>2.9582050737463139</v>
      </c>
      <c r="K736" s="106" t="str">
        <f>VLOOKUP(C736,'RAW DATA 2023'!E:BO,36,0)</f>
        <v>EHP</v>
      </c>
      <c r="L736" s="106">
        <f>VLOOKUP(C736,'RAW DATA 2023'!E:BO,21,0)</f>
        <v>7.6838800000000003</v>
      </c>
      <c r="M736" s="106">
        <f t="shared" si="60"/>
        <v>22.730492802057828</v>
      </c>
    </row>
    <row r="737" spans="1:13">
      <c r="A737" t="str">
        <f>'RAW DATA 2023'!B730</f>
        <v>Andaman</v>
      </c>
      <c r="B737" t="str">
        <f>'RAW DATA 2023'!D730</f>
        <v>A1-012-0022</v>
      </c>
      <c r="C737" t="str">
        <f t="shared" si="56"/>
        <v>AndamanA1-012-0022</v>
      </c>
      <c r="D737">
        <f>VLOOKUP(C737,'RAW DATA 2023'!E:BP,63,0)</f>
        <v>3</v>
      </c>
      <c r="E737" t="str">
        <f t="shared" si="57"/>
        <v>Andaman3</v>
      </c>
      <c r="F737">
        <f>ROUND(VLOOKUP(C737,'RAW DATA 2023'!E:BO,23,0),0)</f>
        <v>29</v>
      </c>
      <c r="G737" s="16">
        <f>VLOOKUP(C737,'RAW DATA 2023'!E:BO,27,0)</f>
        <v>1.8807603330156579</v>
      </c>
      <c r="H737" s="16">
        <f>IFERROR(VLOOKUP(F737,STD!B:G,5,0),0)</f>
        <v>1.9</v>
      </c>
      <c r="I737" s="21">
        <f t="shared" si="58"/>
        <v>1.0102297281831187</v>
      </c>
      <c r="J737" s="16">
        <f t="shared" si="59"/>
        <v>10.204594563662376</v>
      </c>
      <c r="K737" s="106" t="str">
        <f>VLOOKUP(C737,'RAW DATA 2023'!E:BO,36,0)</f>
        <v>Normal</v>
      </c>
      <c r="L737" s="106">
        <f>VLOOKUP(C737,'RAW DATA 2023'!E:BO,21,0)</f>
        <v>19.23311</v>
      </c>
      <c r="M737" s="106">
        <f t="shared" si="60"/>
        <v>196.26608974832047</v>
      </c>
    </row>
    <row r="738" spans="1:13">
      <c r="A738" t="str">
        <f>'RAW DATA 2023'!B731</f>
        <v>Andaman</v>
      </c>
      <c r="B738" t="str">
        <f>'RAW DATA 2023'!D731</f>
        <v>A1-012-0023</v>
      </c>
      <c r="C738" t="str">
        <f t="shared" si="56"/>
        <v>AndamanA1-012-0023</v>
      </c>
      <c r="D738">
        <f>VLOOKUP(C738,'RAW DATA 2023'!E:BP,63,0)</f>
        <v>7</v>
      </c>
      <c r="E738" t="str">
        <f t="shared" si="57"/>
        <v>Andaman7</v>
      </c>
      <c r="F738">
        <f>ROUND(VLOOKUP(C738,'RAW DATA 2023'!E:BO,23,0),0)</f>
        <v>38</v>
      </c>
      <c r="G738" s="16">
        <f>VLOOKUP(C738,'RAW DATA 2023'!E:BO,27,0)</f>
        <v>1.6791110381770658</v>
      </c>
      <c r="H738" s="16">
        <f>IFERROR(VLOOKUP(F738,STD!B:G,5,0),0)</f>
        <v>1.669</v>
      </c>
      <c r="J738" s="16">
        <f t="shared" si="59"/>
        <v>-10</v>
      </c>
      <c r="K738" s="106" t="str">
        <f>VLOOKUP(C738,'RAW DATA 2023'!E:BO,36,0)</f>
        <v>Normal</v>
      </c>
      <c r="L738" s="106">
        <f>VLOOKUP(C738,'RAW DATA 2023'!E:BO,21,0)</f>
        <v>17.262599999999999</v>
      </c>
      <c r="M738" s="106">
        <f t="shared" si="60"/>
        <v>-172.62599999999998</v>
      </c>
    </row>
    <row r="739" spans="1:13">
      <c r="A739" t="str">
        <f>'RAW DATA 2023'!B732</f>
        <v>Andaman</v>
      </c>
      <c r="B739" t="str">
        <f>'RAW DATA 2023'!D732</f>
        <v>A1-004-0047</v>
      </c>
      <c r="C739" t="str">
        <f t="shared" si="56"/>
        <v>AndamanA1-004-0047</v>
      </c>
      <c r="D739">
        <f>VLOOKUP(C739,'RAW DATA 2023'!E:BP,63,0)</f>
        <v>4</v>
      </c>
      <c r="E739" t="str">
        <f t="shared" si="57"/>
        <v>Andaman4</v>
      </c>
      <c r="F739">
        <f>ROUND(VLOOKUP(C739,'RAW DATA 2023'!E:BO,23,0),0)</f>
        <v>35</v>
      </c>
      <c r="G739" s="16">
        <f>VLOOKUP(C739,'RAW DATA 2023'!E:BO,27,0)</f>
        <v>2.1637365746835133</v>
      </c>
      <c r="H739" s="16">
        <f>IFERROR(VLOOKUP(F739,STD!B:G,5,0),0)</f>
        <v>1.75</v>
      </c>
      <c r="I739" s="21">
        <f t="shared" si="58"/>
        <v>0.80878606965174127</v>
      </c>
      <c r="J739" s="16">
        <f t="shared" si="59"/>
        <v>6.1757213930348254</v>
      </c>
      <c r="K739" s="106" t="str">
        <f>VLOOKUP(C739,'RAW DATA 2023'!E:BO,36,0)</f>
        <v>Normal</v>
      </c>
      <c r="L739" s="106">
        <f>VLOOKUP(C739,'RAW DATA 2023'!E:BO,21,0)</f>
        <v>16.674520000000001</v>
      </c>
      <c r="M739" s="106">
        <f t="shared" si="60"/>
        <v>102.97718988258707</v>
      </c>
    </row>
    <row r="740" spans="1:13">
      <c r="A740" t="str">
        <f>'RAW DATA 2023'!B733</f>
        <v>Andaman</v>
      </c>
      <c r="B740" t="str">
        <f>'RAW DATA 2023'!D733</f>
        <v>A1-008-0045</v>
      </c>
      <c r="C740" t="str">
        <f t="shared" si="56"/>
        <v>AndamanA1-008-0045</v>
      </c>
      <c r="D740">
        <f>VLOOKUP(C740,'RAW DATA 2023'!E:BP,63,0)</f>
        <v>3</v>
      </c>
      <c r="E740" t="str">
        <f t="shared" si="57"/>
        <v>Andaman3</v>
      </c>
      <c r="F740">
        <f>ROUND(VLOOKUP(C740,'RAW DATA 2023'!E:BO,23,0),0)</f>
        <v>34</v>
      </c>
      <c r="G740" s="16">
        <f>VLOOKUP(C740,'RAW DATA 2023'!E:BO,27,0)</f>
        <v>1.7347056782699202</v>
      </c>
      <c r="H740" s="16">
        <f>IFERROR(VLOOKUP(F740,STD!B:G,5,0),0)</f>
        <v>1.77</v>
      </c>
      <c r="I740" s="21">
        <f t="shared" si="58"/>
        <v>1.020346</v>
      </c>
      <c r="J740" s="16">
        <f t="shared" si="59"/>
        <v>10.40692</v>
      </c>
      <c r="K740" s="106" t="str">
        <f>VLOOKUP(C740,'RAW DATA 2023'!E:BO,36,0)</f>
        <v>Normal</v>
      </c>
      <c r="L740" s="106">
        <f>VLOOKUP(C740,'RAW DATA 2023'!E:BO,21,0)</f>
        <v>23.620459999999998</v>
      </c>
      <c r="M740" s="106">
        <f t="shared" si="60"/>
        <v>245.81623758319998</v>
      </c>
    </row>
    <row r="741" spans="1:13">
      <c r="A741" t="str">
        <f>'RAW DATA 2023'!B734</f>
        <v>Andaman</v>
      </c>
      <c r="B741" t="str">
        <f>'RAW DATA 2023'!D734</f>
        <v>A1-016-0014</v>
      </c>
      <c r="C741" t="str">
        <f t="shared" si="56"/>
        <v>AndamanA1-016-0014</v>
      </c>
      <c r="D741">
        <f>VLOOKUP(C741,'RAW DATA 2023'!E:BP,63,0)</f>
        <v>4</v>
      </c>
      <c r="E741" t="str">
        <f t="shared" si="57"/>
        <v>Andaman4</v>
      </c>
      <c r="F741">
        <f>ROUND(VLOOKUP(C741,'RAW DATA 2023'!E:BO,23,0),0)</f>
        <v>39</v>
      </c>
      <c r="G741" s="16">
        <f>VLOOKUP(C741,'RAW DATA 2023'!E:BO,27,0)</f>
        <v>2.3077573673039513</v>
      </c>
      <c r="H741" s="16">
        <f>IFERROR(VLOOKUP(F741,STD!B:G,5,0),0)</f>
        <v>1.64</v>
      </c>
      <c r="I741" s="21">
        <f t="shared" si="58"/>
        <v>0.71064663176265264</v>
      </c>
      <c r="J741" s="16">
        <f t="shared" si="59"/>
        <v>4.2129326352530523</v>
      </c>
      <c r="K741" s="106" t="str">
        <f>VLOOKUP(C741,'RAW DATA 2023'!E:BO,36,0)</f>
        <v>กุ้งร่วง</v>
      </c>
      <c r="L741" s="106">
        <f>VLOOKUP(C741,'RAW DATA 2023'!E:BO,21,0)</f>
        <v>12.495649999999999</v>
      </c>
      <c r="M741" s="106">
        <f t="shared" si="60"/>
        <v>52.643331683699799</v>
      </c>
    </row>
    <row r="742" spans="1:13">
      <c r="A742" t="str">
        <f>'RAW DATA 2023'!B735</f>
        <v>Andaman</v>
      </c>
      <c r="B742" t="str">
        <f>'RAW DATA 2023'!D735</f>
        <v>A1-008-0046</v>
      </c>
      <c r="C742" t="str">
        <f t="shared" si="56"/>
        <v>AndamanA1-008-0046</v>
      </c>
      <c r="D742">
        <f>VLOOKUP(C742,'RAW DATA 2023'!E:BP,63,0)</f>
        <v>8</v>
      </c>
      <c r="E742" t="str">
        <f t="shared" si="57"/>
        <v>Andaman8</v>
      </c>
      <c r="F742">
        <f>ROUND(VLOOKUP(C742,'RAW DATA 2023'!E:BO,23,0),0)</f>
        <v>38</v>
      </c>
      <c r="G742" s="16">
        <f>VLOOKUP(C742,'RAW DATA 2023'!E:BO,27,0)</f>
        <v>2.0800988422871565</v>
      </c>
      <c r="H742" s="16">
        <f>IFERROR(VLOOKUP(F742,STD!B:G,5,0),0)</f>
        <v>1.669</v>
      </c>
      <c r="I742" s="21">
        <f t="shared" si="58"/>
        <v>0.8023657174698795</v>
      </c>
      <c r="J742" s="16">
        <f t="shared" si="59"/>
        <v>6.04731434939759</v>
      </c>
      <c r="K742" s="106" t="str">
        <f>VLOOKUP(C742,'RAW DATA 2023'!E:BO,36,0)</f>
        <v>กุ้งร่วง</v>
      </c>
      <c r="L742" s="106">
        <f>VLOOKUP(C742,'RAW DATA 2023'!E:BO,21,0)</f>
        <v>24.19117</v>
      </c>
      <c r="M742" s="106">
        <f t="shared" si="60"/>
        <v>146.29160946971649</v>
      </c>
    </row>
    <row r="743" spans="1:13">
      <c r="A743" t="str">
        <f>'RAW DATA 2023'!B736</f>
        <v>Andaman</v>
      </c>
      <c r="B743" t="str">
        <f>'RAW DATA 2023'!D736</f>
        <v>A1-004-0048</v>
      </c>
      <c r="C743" t="str">
        <f t="shared" si="56"/>
        <v>AndamanA1-004-0048</v>
      </c>
      <c r="D743">
        <f>VLOOKUP(C743,'RAW DATA 2023'!E:BP,63,0)</f>
        <v>8</v>
      </c>
      <c r="E743" t="str">
        <f t="shared" si="57"/>
        <v>Andaman8</v>
      </c>
      <c r="F743">
        <f>ROUND(VLOOKUP(C743,'RAW DATA 2023'!E:BO,23,0),0)</f>
        <v>47</v>
      </c>
      <c r="G743" s="16">
        <f>VLOOKUP(C743,'RAW DATA 2023'!E:BO,27,0)</f>
        <v>2.0418801161409208</v>
      </c>
      <c r="H743" s="16">
        <f>IFERROR(VLOOKUP(F743,STD!B:G,5,0),0)</f>
        <v>1.53</v>
      </c>
      <c r="I743" s="21">
        <f t="shared" si="58"/>
        <v>0.74930941728922085</v>
      </c>
      <c r="J743" s="16">
        <f t="shared" si="59"/>
        <v>4.9861883457844165</v>
      </c>
      <c r="K743" s="106" t="str">
        <f>VLOOKUP(C743,'RAW DATA 2023'!E:BO,36,0)</f>
        <v>อัตรารอดต่ำ</v>
      </c>
      <c r="L743" s="106">
        <f>VLOOKUP(C743,'RAW DATA 2023'!E:BO,21,0)</f>
        <v>12.03027</v>
      </c>
      <c r="M743" s="106">
        <f t="shared" si="60"/>
        <v>59.98519207063989</v>
      </c>
    </row>
    <row r="744" spans="1:13">
      <c r="A744" t="str">
        <f>'RAW DATA 2023'!B737</f>
        <v>Andaman</v>
      </c>
      <c r="B744" t="str">
        <f>'RAW DATA 2023'!D737</f>
        <v>A1-013-0019</v>
      </c>
      <c r="C744" t="str">
        <f t="shared" si="56"/>
        <v>AndamanA1-013-0019</v>
      </c>
      <c r="D744">
        <f>VLOOKUP(C744,'RAW DATA 2023'!E:BP,63,0)</f>
        <v>8</v>
      </c>
      <c r="E744" t="str">
        <f t="shared" si="57"/>
        <v>Andaman8</v>
      </c>
      <c r="F744">
        <f>ROUND(VLOOKUP(C744,'RAW DATA 2023'!E:BO,23,0),0)</f>
        <v>86</v>
      </c>
      <c r="G744" s="16">
        <f>VLOOKUP(C744,'RAW DATA 2023'!E:BO,27,0)</f>
        <v>2.0478277592846732</v>
      </c>
      <c r="H744" s="16">
        <f>IFERROR(VLOOKUP(F744,STD!B:G,5,0),0)</f>
        <v>1.26</v>
      </c>
      <c r="I744" s="21">
        <f t="shared" si="58"/>
        <v>0.61528612173913033</v>
      </c>
      <c r="J744" s="16">
        <f t="shared" si="59"/>
        <v>2.3057224347826066</v>
      </c>
      <c r="K744" s="106" t="str">
        <f>VLOOKUP(C744,'RAW DATA 2023'!E:BO,36,0)</f>
        <v>EHP</v>
      </c>
      <c r="L744" s="106">
        <f>VLOOKUP(C744,'RAW DATA 2023'!E:BO,21,0)</f>
        <v>5.0317799999999995</v>
      </c>
      <c r="M744" s="106">
        <f t="shared" si="60"/>
        <v>11.601888032890423</v>
      </c>
    </row>
    <row r="745" spans="1:13">
      <c r="A745" t="str">
        <f>'RAW DATA 2023'!B738</f>
        <v>SR4</v>
      </c>
      <c r="B745" t="str">
        <f>'RAW DATA 2023'!D738</f>
        <v>H1-048-0014</v>
      </c>
      <c r="C745" t="str">
        <f t="shared" si="56"/>
        <v>SR4H1-048-0014</v>
      </c>
      <c r="D745">
        <f>VLOOKUP(C745,'RAW DATA 2023'!E:BP,63,0)</f>
        <v>9</v>
      </c>
      <c r="E745" t="str">
        <f t="shared" si="57"/>
        <v>SR49</v>
      </c>
      <c r="F745">
        <f>ROUND(VLOOKUP(C745,'RAW DATA 2023'!E:BO,23,0),0)</f>
        <v>25</v>
      </c>
      <c r="G745" s="16">
        <f>VLOOKUP(C745,'RAW DATA 2023'!E:BO,27,0)</f>
        <v>2.1485754033685804</v>
      </c>
      <c r="H745" s="16">
        <f>IFERROR(VLOOKUP(F745,STD!B:G,5,0),0)</f>
        <v>2.04</v>
      </c>
      <c r="I745" s="21">
        <f t="shared" si="58"/>
        <v>0.94946632862018543</v>
      </c>
      <c r="J745" s="16">
        <f t="shared" si="59"/>
        <v>8.9893265724037086</v>
      </c>
      <c r="K745" s="106" t="str">
        <f>VLOOKUP(C745,'RAW DATA 2023'!E:BO,36,0)</f>
        <v>อัตรารอดต่ำ</v>
      </c>
      <c r="L745" s="106">
        <f>VLOOKUP(C745,'RAW DATA 2023'!E:BO,21,0)</f>
        <v>24.374650000000003</v>
      </c>
      <c r="M745" s="106">
        <f t="shared" si="60"/>
        <v>219.11168893804009</v>
      </c>
    </row>
    <row r="746" spans="1:13">
      <c r="A746" t="str">
        <f>'RAW DATA 2023'!B739</f>
        <v>SR4</v>
      </c>
      <c r="B746" t="str">
        <f>'RAW DATA 2023'!D739</f>
        <v>H1-047-0012</v>
      </c>
      <c r="C746" t="str">
        <f t="shared" si="56"/>
        <v>SR4H1-047-0012</v>
      </c>
      <c r="D746">
        <f>VLOOKUP(C746,'RAW DATA 2023'!E:BP,63,0)</f>
        <v>10</v>
      </c>
      <c r="E746" t="str">
        <f t="shared" si="57"/>
        <v>SR410</v>
      </c>
      <c r="F746">
        <f>ROUND(VLOOKUP(C746,'RAW DATA 2023'!E:BO,23,0),0)</f>
        <v>43</v>
      </c>
      <c r="G746" s="16">
        <f>VLOOKUP(C746,'RAW DATA 2023'!E:BO,27,0)</f>
        <v>1.6875991418268672</v>
      </c>
      <c r="H746" s="16">
        <f>IFERROR(VLOOKUP(F746,STD!B:G,5,0),0)</f>
        <v>1.58</v>
      </c>
      <c r="I746" s="21">
        <f t="shared" si="58"/>
        <v>0.9362412914536159</v>
      </c>
      <c r="J746" s="16">
        <f t="shared" si="59"/>
        <v>8.7248258290723175</v>
      </c>
      <c r="K746" s="106" t="str">
        <f>VLOOKUP(C746,'RAW DATA 2023'!E:BO,36,0)</f>
        <v>EHP</v>
      </c>
      <c r="L746" s="106">
        <f>VLOOKUP(C746,'RAW DATA 2023'!E:BO,21,0)</f>
        <v>20.76529</v>
      </c>
      <c r="M746" s="106">
        <f t="shared" si="60"/>
        <v>181.17353854017711</v>
      </c>
    </row>
    <row r="747" spans="1:13">
      <c r="A747" t="str">
        <f>'RAW DATA 2023'!B740</f>
        <v>SR4</v>
      </c>
      <c r="B747" t="str">
        <f>'RAW DATA 2023'!D740</f>
        <v>G2-058-0007</v>
      </c>
      <c r="C747" t="str">
        <f t="shared" si="56"/>
        <v>SR4G2-058-0007</v>
      </c>
      <c r="D747">
        <f>VLOOKUP(C747,'RAW DATA 2023'!E:BP,63,0)</f>
        <v>7</v>
      </c>
      <c r="E747" t="str">
        <f t="shared" si="57"/>
        <v>SR47</v>
      </c>
      <c r="F747">
        <f>ROUND(VLOOKUP(C747,'RAW DATA 2023'!E:BO,23,0),0)</f>
        <v>19</v>
      </c>
      <c r="G747" s="16">
        <f>VLOOKUP(C747,'RAW DATA 2023'!E:BO,27,0)</f>
        <v>2.3202854632501926</v>
      </c>
      <c r="H747" s="16">
        <f>IFERROR(VLOOKUP(F747,STD!B:G,5,0),0)</f>
        <v>2.2970000000000002</v>
      </c>
      <c r="I747" s="21">
        <f t="shared" si="58"/>
        <v>0.98996439721792906</v>
      </c>
      <c r="J747" s="16">
        <f t="shared" si="59"/>
        <v>9.7992879443585821</v>
      </c>
      <c r="K747" s="106" t="str">
        <f>VLOOKUP(C747,'RAW DATA 2023'!E:BO,36,0)</f>
        <v>อัตรารอดต่ำ</v>
      </c>
      <c r="L747" s="106">
        <f>VLOOKUP(C747,'RAW DATA 2023'!E:BO,21,0)</f>
        <v>14.40225</v>
      </c>
      <c r="M747" s="106">
        <f t="shared" si="60"/>
        <v>141.13179479663839</v>
      </c>
    </row>
    <row r="748" spans="1:13">
      <c r="A748" t="str">
        <f>'RAW DATA 2023'!B741</f>
        <v>SR4</v>
      </c>
      <c r="B748" t="str">
        <f>'RAW DATA 2023'!D741</f>
        <v>G2-059-0011</v>
      </c>
      <c r="C748" t="str">
        <f t="shared" si="56"/>
        <v>SR4G2-059-0011</v>
      </c>
      <c r="D748">
        <f>VLOOKUP(C748,'RAW DATA 2023'!E:BP,63,0)</f>
        <v>8</v>
      </c>
      <c r="E748" t="str">
        <f t="shared" si="57"/>
        <v>SR48</v>
      </c>
      <c r="F748">
        <f>ROUND(VLOOKUP(C748,'RAW DATA 2023'!E:BO,23,0),0)</f>
        <v>24</v>
      </c>
      <c r="G748" s="16">
        <f>VLOOKUP(C748,'RAW DATA 2023'!E:BO,27,0)</f>
        <v>2.1398567285159134</v>
      </c>
      <c r="H748" s="16">
        <f>IFERROR(VLOOKUP(F748,STD!B:G,5,0),0)</f>
        <v>2.08</v>
      </c>
      <c r="I748" s="21">
        <f t="shared" si="58"/>
        <v>0.97202769338794626</v>
      </c>
      <c r="J748" s="16">
        <f t="shared" si="59"/>
        <v>9.4405538677589256</v>
      </c>
      <c r="K748" s="106" t="str">
        <f>VLOOKUP(C748,'RAW DATA 2023'!E:BO,36,0)</f>
        <v>Normal</v>
      </c>
      <c r="L748" s="106">
        <f>VLOOKUP(C748,'RAW DATA 2023'!E:BO,21,0)</f>
        <v>20.43629</v>
      </c>
      <c r="M748" s="106">
        <f t="shared" si="60"/>
        <v>192.92989660214306</v>
      </c>
    </row>
    <row r="749" spans="1:13">
      <c r="A749" t="str">
        <f>'RAW DATA 2023'!B742</f>
        <v>SR4</v>
      </c>
      <c r="B749" t="str">
        <f>'RAW DATA 2023'!D742</f>
        <v>G1-052-0012</v>
      </c>
      <c r="C749" t="str">
        <f t="shared" si="56"/>
        <v>SR4G1-052-0012</v>
      </c>
      <c r="D749">
        <f>VLOOKUP(C749,'RAW DATA 2023'!E:BP,63,0)</f>
        <v>11</v>
      </c>
      <c r="E749" t="str">
        <f t="shared" si="57"/>
        <v>SR411</v>
      </c>
      <c r="F749">
        <f>ROUND(VLOOKUP(C749,'RAW DATA 2023'!E:BO,23,0),0)</f>
        <v>23</v>
      </c>
      <c r="G749" s="16">
        <f>VLOOKUP(C749,'RAW DATA 2023'!E:BO,27,0)</f>
        <v>2.6359981464834603</v>
      </c>
      <c r="H749" s="16">
        <f>IFERROR(VLOOKUP(F749,STD!B:G,5,0),0)</f>
        <v>2.13</v>
      </c>
      <c r="I749" s="21">
        <f t="shared" si="58"/>
        <v>0.80804305679862309</v>
      </c>
      <c r="J749" s="16">
        <f t="shared" si="59"/>
        <v>6.1608611359724623</v>
      </c>
      <c r="K749" s="106" t="str">
        <f>VLOOKUP(C749,'RAW DATA 2023'!E:BO,36,0)</f>
        <v>Normal</v>
      </c>
      <c r="L749" s="106">
        <f>VLOOKUP(C749,'RAW DATA 2023'!E:BO,21,0)</f>
        <v>17.580740000000002</v>
      </c>
      <c r="M749" s="106">
        <f t="shared" si="60"/>
        <v>108.31249780763652</v>
      </c>
    </row>
    <row r="750" spans="1:13">
      <c r="A750" t="str">
        <f>'RAW DATA 2023'!B743</f>
        <v>SR4</v>
      </c>
      <c r="B750" t="str">
        <f>'RAW DATA 2023'!D743</f>
        <v>G1-053-0009</v>
      </c>
      <c r="C750" t="str">
        <f t="shared" si="56"/>
        <v>SR4G1-053-0009</v>
      </c>
      <c r="D750">
        <f>VLOOKUP(C750,'RAW DATA 2023'!E:BP,63,0)</f>
        <v>10</v>
      </c>
      <c r="E750" t="str">
        <f t="shared" si="57"/>
        <v>SR410</v>
      </c>
      <c r="F750">
        <f>ROUND(VLOOKUP(C750,'RAW DATA 2023'!E:BO,23,0),0)</f>
        <v>22</v>
      </c>
      <c r="G750" s="16">
        <f>VLOOKUP(C750,'RAW DATA 2023'!E:BO,27,0)</f>
        <v>2.2670271519718197</v>
      </c>
      <c r="H750" s="16">
        <f>IFERROR(VLOOKUP(F750,STD!B:G,5,0),0)</f>
        <v>2.177</v>
      </c>
      <c r="I750" s="21">
        <f t="shared" si="58"/>
        <v>0.96028845446623101</v>
      </c>
      <c r="J750" s="16">
        <f t="shared" si="59"/>
        <v>9.2057690893246207</v>
      </c>
      <c r="K750" s="106" t="str">
        <f>VLOOKUP(C750,'RAW DATA 2023'!E:BO,36,0)</f>
        <v>Normal</v>
      </c>
      <c r="L750" s="106">
        <f>VLOOKUP(C750,'RAW DATA 2023'!E:BO,21,0)</f>
        <v>20.64678</v>
      </c>
      <c r="M750" s="106">
        <f t="shared" si="60"/>
        <v>190.06948911808578</v>
      </c>
    </row>
    <row r="751" spans="1:13">
      <c r="A751" t="str">
        <f>'RAW DATA 2023'!B744</f>
        <v>SR4</v>
      </c>
      <c r="B751" t="str">
        <f>'RAW DATA 2023'!D744</f>
        <v>G1-051-0010</v>
      </c>
      <c r="C751" t="str">
        <f t="shared" si="56"/>
        <v>SR4G1-051-0010</v>
      </c>
      <c r="D751">
        <f>VLOOKUP(C751,'RAW DATA 2023'!E:BP,63,0)</f>
        <v>10</v>
      </c>
      <c r="E751" t="str">
        <f t="shared" si="57"/>
        <v>SR410</v>
      </c>
      <c r="F751">
        <f>ROUND(VLOOKUP(C751,'RAW DATA 2023'!E:BO,23,0),0)</f>
        <v>24</v>
      </c>
      <c r="G751" s="16">
        <f>VLOOKUP(C751,'RAW DATA 2023'!E:BO,27,0)</f>
        <v>2.3861523170607426</v>
      </c>
      <c r="H751" s="16">
        <f>IFERROR(VLOOKUP(F751,STD!B:G,5,0),0)</f>
        <v>2.08</v>
      </c>
      <c r="I751" s="21">
        <f t="shared" si="58"/>
        <v>0.87169623880597014</v>
      </c>
      <c r="J751" s="16">
        <f t="shared" si="59"/>
        <v>7.4339247761194027</v>
      </c>
      <c r="K751" s="106" t="str">
        <f>VLOOKUP(C751,'RAW DATA 2023'!E:BO,36,0)</f>
        <v>Normal</v>
      </c>
      <c r="L751" s="106">
        <f>VLOOKUP(C751,'RAW DATA 2023'!E:BO,21,0)</f>
        <v>18.741139999999998</v>
      </c>
      <c r="M751" s="106">
        <f t="shared" si="60"/>
        <v>139.32022497872236</v>
      </c>
    </row>
    <row r="752" spans="1:13">
      <c r="A752" t="str">
        <f>'RAW DATA 2023'!B745</f>
        <v>SR4</v>
      </c>
      <c r="B752" t="str">
        <f>'RAW DATA 2023'!D745</f>
        <v>G2-058-0008</v>
      </c>
      <c r="C752" t="str">
        <f t="shared" si="56"/>
        <v>SR4G2-058-0008</v>
      </c>
      <c r="D752">
        <f>VLOOKUP(C752,'RAW DATA 2023'!E:BP,63,0)</f>
        <v>12</v>
      </c>
      <c r="E752" t="str">
        <f t="shared" si="57"/>
        <v>SR412</v>
      </c>
      <c r="F752">
        <f>ROUND(VLOOKUP(C752,'RAW DATA 2023'!E:BO,23,0),0)</f>
        <v>34</v>
      </c>
      <c r="G752" s="16">
        <f>VLOOKUP(C752,'RAW DATA 2023'!E:BO,27,0)</f>
        <v>2.8686418907347147</v>
      </c>
      <c r="H752" s="16">
        <f>IFERROR(VLOOKUP(F752,STD!B:G,5,0),0)</f>
        <v>1.77</v>
      </c>
      <c r="I752" s="21">
        <f t="shared" si="58"/>
        <v>0.61701671641791045</v>
      </c>
      <c r="J752" s="16">
        <f t="shared" si="59"/>
        <v>2.340334328358209</v>
      </c>
      <c r="K752" s="106" t="str">
        <f>VLOOKUP(C752,'RAW DATA 2023'!E:BO,36,0)</f>
        <v>อัตรารอดต่ำ</v>
      </c>
      <c r="L752" s="106">
        <f>VLOOKUP(C752,'RAW DATA 2023'!E:BO,21,0)</f>
        <v>10.820200000000002</v>
      </c>
      <c r="M752" s="106">
        <f t="shared" si="60"/>
        <v>25.322885499701496</v>
      </c>
    </row>
    <row r="753" spans="1:13">
      <c r="A753" t="str">
        <f>'RAW DATA 2023'!B746</f>
        <v>SR4</v>
      </c>
      <c r="B753" t="str">
        <f>'RAW DATA 2023'!D746</f>
        <v>G1-052-0011</v>
      </c>
      <c r="C753" t="str">
        <f t="shared" si="56"/>
        <v>SR4G1-052-0011</v>
      </c>
      <c r="D753">
        <f>VLOOKUP(C753,'RAW DATA 2023'!E:BP,63,0)</f>
        <v>6</v>
      </c>
      <c r="E753" t="str">
        <f t="shared" si="57"/>
        <v>SR46</v>
      </c>
      <c r="F753">
        <f>ROUND(VLOOKUP(C753,'RAW DATA 2023'!E:BO,23,0),0)</f>
        <v>28</v>
      </c>
      <c r="G753" s="16">
        <f>VLOOKUP(C753,'RAW DATA 2023'!E:BO,27,0)</f>
        <v>2.3486966940769576</v>
      </c>
      <c r="H753" s="16">
        <f>IFERROR(VLOOKUP(F753,STD!B:G,5,0),0)</f>
        <v>1.93</v>
      </c>
      <c r="I753" s="21">
        <f t="shared" si="58"/>
        <v>0.82173232706766919</v>
      </c>
      <c r="J753" s="16">
        <f t="shared" si="59"/>
        <v>6.4346465413533842</v>
      </c>
      <c r="K753" s="106" t="str">
        <f>VLOOKUP(C753,'RAW DATA 2023'!E:BO,36,0)</f>
        <v>ปิดบ่อตามแผนจับปกติ</v>
      </c>
      <c r="L753" s="106">
        <f>VLOOKUP(C753,'RAW DATA 2023'!E:BO,21,0)</f>
        <v>22.82686</v>
      </c>
      <c r="M753" s="106">
        <f t="shared" si="60"/>
        <v>146.88277574895793</v>
      </c>
    </row>
    <row r="754" spans="1:13">
      <c r="A754" t="str">
        <f>'RAW DATA 2023'!B747</f>
        <v>SR4</v>
      </c>
      <c r="B754" t="str">
        <f>'RAW DATA 2023'!D747</f>
        <v>G2-057-0010</v>
      </c>
      <c r="C754" t="str">
        <f t="shared" si="56"/>
        <v>SR4G2-057-0010</v>
      </c>
      <c r="D754">
        <f>VLOOKUP(C754,'RAW DATA 2023'!E:BP,63,0)</f>
        <v>9</v>
      </c>
      <c r="E754" t="str">
        <f t="shared" si="57"/>
        <v>SR49</v>
      </c>
      <c r="F754">
        <f>ROUND(VLOOKUP(C754,'RAW DATA 2023'!E:BO,23,0),0)</f>
        <v>26</v>
      </c>
      <c r="G754" s="16">
        <f>VLOOKUP(C754,'RAW DATA 2023'!E:BO,27,0)</f>
        <v>2.0105255416275423</v>
      </c>
      <c r="H754" s="16">
        <f>IFERROR(VLOOKUP(F754,STD!B:G,5,0),0)</f>
        <v>2</v>
      </c>
      <c r="I754" s="21">
        <f t="shared" si="58"/>
        <v>0.994764780944279</v>
      </c>
      <c r="J754" s="16">
        <f t="shared" si="59"/>
        <v>9.8952956188855801</v>
      </c>
      <c r="K754" s="106" t="str">
        <f>VLOOKUP(C754,'RAW DATA 2023'!E:BO,36,0)</f>
        <v>Normal</v>
      </c>
      <c r="L754" s="106">
        <f>VLOOKUP(C754,'RAW DATA 2023'!E:BO,21,0)</f>
        <v>29.413650000000001</v>
      </c>
      <c r="M754" s="106">
        <f t="shared" si="60"/>
        <v>291.05676198043386</v>
      </c>
    </row>
    <row r="755" spans="1:13">
      <c r="A755" t="str">
        <f>'RAW DATA 2023'!B748</f>
        <v>SR4</v>
      </c>
      <c r="B755" t="str">
        <f>'RAW DATA 2023'!D748</f>
        <v>G1-053-0008</v>
      </c>
      <c r="C755" t="str">
        <f t="shared" si="56"/>
        <v>SR4G1-053-0008</v>
      </c>
      <c r="D755">
        <f>VLOOKUP(C755,'RAW DATA 2023'!E:BP,63,0)</f>
        <v>5</v>
      </c>
      <c r="E755" t="str">
        <f t="shared" si="57"/>
        <v>SR45</v>
      </c>
      <c r="F755">
        <f>ROUND(VLOOKUP(C755,'RAW DATA 2023'!E:BO,23,0),0)</f>
        <v>34</v>
      </c>
      <c r="G755" s="16">
        <f>VLOOKUP(C755,'RAW DATA 2023'!E:BO,27,0)</f>
        <v>3.7371912467604051</v>
      </c>
      <c r="H755" s="16">
        <f>IFERROR(VLOOKUP(F755,STD!B:G,5,0),0)</f>
        <v>1.77</v>
      </c>
      <c r="I755" s="21">
        <f t="shared" si="58"/>
        <v>0.47361772067039104</v>
      </c>
      <c r="J755" s="16">
        <f t="shared" si="59"/>
        <v>-0.52764558659217919</v>
      </c>
      <c r="K755" s="106" t="str">
        <f>VLOOKUP(C755,'RAW DATA 2023'!E:BO,36,0)</f>
        <v>Normal</v>
      </c>
      <c r="L755" s="106">
        <f>VLOOKUP(C755,'RAW DATA 2023'!E:BO,21,0)</f>
        <v>7.5345399999999998</v>
      </c>
      <c r="M755" s="106">
        <f t="shared" si="60"/>
        <v>-3.9755667780022379</v>
      </c>
    </row>
    <row r="756" spans="1:13">
      <c r="A756" t="str">
        <f>'RAW DATA 2023'!B749</f>
        <v>SR4</v>
      </c>
      <c r="B756" t="str">
        <f>'RAW DATA 2023'!D749</f>
        <v>G1-051-0009</v>
      </c>
      <c r="C756" t="str">
        <f t="shared" si="56"/>
        <v>SR4G1-051-0009</v>
      </c>
      <c r="D756">
        <f>VLOOKUP(C756,'RAW DATA 2023'!E:BP,63,0)</f>
        <v>5</v>
      </c>
      <c r="E756" t="str">
        <f t="shared" si="57"/>
        <v>SR45</v>
      </c>
      <c r="F756">
        <f>ROUND(VLOOKUP(C756,'RAW DATA 2023'!E:BO,23,0),0)</f>
        <v>28</v>
      </c>
      <c r="G756" s="16">
        <f>VLOOKUP(C756,'RAW DATA 2023'!E:BO,27,0)</f>
        <v>2.1491143109274446</v>
      </c>
      <c r="H756" s="16">
        <f>IFERROR(VLOOKUP(F756,STD!B:G,5,0),0)</f>
        <v>1.93</v>
      </c>
      <c r="I756" s="21">
        <f t="shared" si="58"/>
        <v>0.89804436654982467</v>
      </c>
      <c r="J756" s="16">
        <f t="shared" si="59"/>
        <v>7.9608873309964938</v>
      </c>
      <c r="K756" s="106" t="str">
        <f>VLOOKUP(C756,'RAW DATA 2023'!E:BO,36,0)</f>
        <v>Normal</v>
      </c>
      <c r="L756" s="106">
        <f>VLOOKUP(C756,'RAW DATA 2023'!E:BO,21,0)</f>
        <v>23.390499999999999</v>
      </c>
      <c r="M756" s="106">
        <f t="shared" si="60"/>
        <v>186.20913511567349</v>
      </c>
    </row>
    <row r="757" spans="1:13">
      <c r="A757" t="str">
        <f>'RAW DATA 2023'!B750</f>
        <v>SR4</v>
      </c>
      <c r="B757" t="str">
        <f>'RAW DATA 2023'!D750</f>
        <v>G2-059-0012</v>
      </c>
      <c r="C757" t="str">
        <f t="shared" si="56"/>
        <v>SR4G2-059-0012</v>
      </c>
      <c r="D757">
        <f>VLOOKUP(C757,'RAW DATA 2023'!E:BP,63,0)</f>
        <v>12</v>
      </c>
      <c r="E757" t="str">
        <f t="shared" si="57"/>
        <v>SR412</v>
      </c>
      <c r="F757">
        <f>ROUND(VLOOKUP(C757,'RAW DATA 2023'!E:BO,23,0),0)</f>
        <v>40</v>
      </c>
      <c r="G757" s="16">
        <f>VLOOKUP(C757,'RAW DATA 2023'!E:BO,27,0)</f>
        <v>2.3642816036831</v>
      </c>
      <c r="H757" s="16">
        <f>IFERROR(VLOOKUP(F757,STD!B:G,5,0),0)</f>
        <v>1.63</v>
      </c>
      <c r="I757" s="21">
        <f t="shared" si="58"/>
        <v>0.68942718052738328</v>
      </c>
      <c r="J757" s="16">
        <f t="shared" si="59"/>
        <v>3.7885436105476655</v>
      </c>
      <c r="K757" s="106" t="str">
        <f>VLOOKUP(C757,'RAW DATA 2023'!E:BO,36,0)</f>
        <v>EHP</v>
      </c>
      <c r="L757" s="106">
        <f>VLOOKUP(C757,'RAW DATA 2023'!E:BO,21,0)</f>
        <v>10.566000000000001</v>
      </c>
      <c r="M757" s="106">
        <f t="shared" si="60"/>
        <v>40.029751789046635</v>
      </c>
    </row>
    <row r="758" spans="1:13">
      <c r="A758" t="str">
        <f>'RAW DATA 2023'!B751</f>
        <v>SR4</v>
      </c>
      <c r="B758" t="str">
        <f>'RAW DATA 2023'!D751</f>
        <v>G2-059-0010</v>
      </c>
      <c r="C758" t="str">
        <f t="shared" si="56"/>
        <v>SR4G2-059-0010</v>
      </c>
      <c r="D758">
        <f>VLOOKUP(C758,'RAW DATA 2023'!E:BP,63,0)</f>
        <v>4</v>
      </c>
      <c r="E758" t="str">
        <f t="shared" si="57"/>
        <v>SR44</v>
      </c>
      <c r="F758">
        <f>ROUND(VLOOKUP(C758,'RAW DATA 2023'!E:BO,23,0),0)</f>
        <v>40</v>
      </c>
      <c r="G758" s="16">
        <f>VLOOKUP(C758,'RAW DATA 2023'!E:BO,27,0)</f>
        <v>2.8562133817070925</v>
      </c>
      <c r="H758" s="16">
        <f>IFERROR(VLOOKUP(F758,STD!B:G,5,0),0)</f>
        <v>1.63</v>
      </c>
      <c r="I758" s="21">
        <f t="shared" si="58"/>
        <v>0.57068565340373367</v>
      </c>
      <c r="J758" s="16">
        <f t="shared" si="59"/>
        <v>1.4137130680746735</v>
      </c>
      <c r="K758" s="106" t="str">
        <f>VLOOKUP(C758,'RAW DATA 2023'!E:BO,36,0)</f>
        <v>อัตรารอดต่ำ</v>
      </c>
      <c r="L758" s="106">
        <f>VLOOKUP(C758,'RAW DATA 2023'!E:BO,21,0)</f>
        <v>9.2876700000000003</v>
      </c>
      <c r="M758" s="106">
        <f t="shared" si="60"/>
        <v>13.130100450965102</v>
      </c>
    </row>
    <row r="759" spans="1:13">
      <c r="A759" t="str">
        <f>'RAW DATA 2023'!B752</f>
        <v>SR4</v>
      </c>
      <c r="B759" t="str">
        <f>'RAW DATA 2023'!D752</f>
        <v>G2-058-0006</v>
      </c>
      <c r="C759" t="str">
        <f t="shared" si="56"/>
        <v>SR4G2-058-0006</v>
      </c>
      <c r="D759">
        <f>VLOOKUP(C759,'RAW DATA 2023'!E:BP,63,0)</f>
        <v>2</v>
      </c>
      <c r="E759" t="str">
        <f t="shared" si="57"/>
        <v>SR42</v>
      </c>
      <c r="F759">
        <f>ROUND(VLOOKUP(C759,'RAW DATA 2023'!E:BO,23,0),0)</f>
        <v>124</v>
      </c>
      <c r="G759" s="16">
        <f>VLOOKUP(C759,'RAW DATA 2023'!E:BO,27,0)</f>
        <v>1.5327087245142155</v>
      </c>
      <c r="H759" s="16">
        <f>IFERROR(VLOOKUP(F759,STD!B:G,5,0),0)</f>
        <v>1.1499999999999999</v>
      </c>
      <c r="I759" s="21">
        <f t="shared" si="58"/>
        <v>0.75030563968668396</v>
      </c>
      <c r="J759" s="16">
        <f t="shared" si="59"/>
        <v>5.0061127937336796</v>
      </c>
      <c r="K759" s="106" t="str">
        <f>VLOOKUP(C759,'RAW DATA 2023'!E:BO,36,0)</f>
        <v>EHP</v>
      </c>
      <c r="L759" s="106">
        <f>VLOOKUP(C759,'RAW DATA 2023'!E:BO,21,0)</f>
        <v>6.4811899999999998</v>
      </c>
      <c r="M759" s="106">
        <f t="shared" si="60"/>
        <v>32.445568177618789</v>
      </c>
    </row>
    <row r="760" spans="1:13">
      <c r="A760" t="str">
        <f>'RAW DATA 2023'!B753</f>
        <v>SR4</v>
      </c>
      <c r="B760" t="str">
        <f>'RAW DATA 2023'!D753</f>
        <v>G2-057-0008</v>
      </c>
      <c r="C760" t="str">
        <f t="shared" si="56"/>
        <v>SR4G2-057-0008</v>
      </c>
      <c r="D760">
        <f>VLOOKUP(C760,'RAW DATA 2023'!E:BP,63,0)</f>
        <v>1</v>
      </c>
      <c r="E760" t="str">
        <f t="shared" si="57"/>
        <v>SR41</v>
      </c>
      <c r="F760">
        <f>ROUND(VLOOKUP(C760,'RAW DATA 2023'!E:BO,23,0),0)</f>
        <v>183</v>
      </c>
      <c r="G760" s="16">
        <f>VLOOKUP(C760,'RAW DATA 2023'!E:BO,27,0)</f>
        <v>1.3556490464667095</v>
      </c>
      <c r="H760" s="16">
        <f>IFERROR(VLOOKUP(F760,STD!B:G,5,0),0)</f>
        <v>0.98599999999999999</v>
      </c>
      <c r="I760" s="21">
        <f t="shared" si="58"/>
        <v>0.72732688638689869</v>
      </c>
      <c r="J760" s="16">
        <f t="shared" si="59"/>
        <v>4.5465377277379737</v>
      </c>
      <c r="K760" s="106" t="str">
        <f>VLOOKUP(C760,'RAW DATA 2023'!E:BO,36,0)</f>
        <v>EHP</v>
      </c>
      <c r="L760" s="106">
        <f>VLOOKUP(C760,'RAW DATA 2023'!E:BO,21,0)</f>
        <v>3.6078399999999999</v>
      </c>
      <c r="M760" s="106">
        <f t="shared" si="60"/>
        <v>16.403180675642172</v>
      </c>
    </row>
    <row r="761" spans="1:13">
      <c r="A761" t="str">
        <f>'RAW DATA 2023'!B754</f>
        <v>SR4</v>
      </c>
      <c r="B761" t="str">
        <f>'RAW DATA 2023'!D754</f>
        <v>G2-057-0009</v>
      </c>
      <c r="C761" t="str">
        <f t="shared" si="56"/>
        <v>SR4G2-057-0009</v>
      </c>
      <c r="D761">
        <f>VLOOKUP(C761,'RAW DATA 2023'!E:BP,63,0)</f>
        <v>3</v>
      </c>
      <c r="E761" t="str">
        <f t="shared" si="57"/>
        <v>SR43</v>
      </c>
      <c r="F761">
        <f>ROUND(VLOOKUP(C761,'RAW DATA 2023'!E:BO,23,0),0)</f>
        <v>0</v>
      </c>
      <c r="G761" s="16">
        <f>VLOOKUP(C761,'RAW DATA 2023'!E:BO,27,0)</f>
        <v>0</v>
      </c>
      <c r="H761" s="16">
        <f>IFERROR(VLOOKUP(F761,STD!B:G,5,0),0)</f>
        <v>0</v>
      </c>
      <c r="I761" s="21">
        <f t="shared" si="58"/>
        <v>0</v>
      </c>
      <c r="J761" s="16">
        <f t="shared" si="59"/>
        <v>-10</v>
      </c>
      <c r="K761" s="106" t="str">
        <f>VLOOKUP(C761,'RAW DATA 2023'!E:BO,36,0)</f>
        <v>EHP</v>
      </c>
      <c r="L761" s="106">
        <f>VLOOKUP(C761,'RAW DATA 2023'!E:BO,21,0)</f>
        <v>0</v>
      </c>
      <c r="M761" s="106">
        <f t="shared" si="60"/>
        <v>0</v>
      </c>
    </row>
    <row r="762" spans="1:13">
      <c r="A762" t="str">
        <f>'RAW DATA 2023'!B755</f>
        <v>SR4</v>
      </c>
      <c r="B762" t="str">
        <f>'RAW DATA 2023'!D755</f>
        <v>F1-022-0003</v>
      </c>
      <c r="C762" t="str">
        <f t="shared" si="56"/>
        <v>SR4F1-022-0003</v>
      </c>
      <c r="D762">
        <f>VLOOKUP(C762,'RAW DATA 2023'!E:BP,63,0)</f>
        <v>7</v>
      </c>
      <c r="E762" t="str">
        <f t="shared" si="57"/>
        <v>SR47</v>
      </c>
      <c r="F762">
        <f>ROUND(VLOOKUP(C762,'RAW DATA 2023'!E:BO,23,0),0)</f>
        <v>38</v>
      </c>
      <c r="G762" s="16">
        <f>VLOOKUP(C762,'RAW DATA 2023'!E:BO,27,0)</f>
        <v>1.984356134180272</v>
      </c>
      <c r="H762" s="16">
        <f>IFERROR(VLOOKUP(F762,STD!B:G,5,0),0)</f>
        <v>1.669</v>
      </c>
      <c r="I762" s="21">
        <f t="shared" si="58"/>
        <v>0.84107886243386243</v>
      </c>
      <c r="J762" s="16">
        <f t="shared" si="59"/>
        <v>6.821577248677249</v>
      </c>
      <c r="K762" s="106" t="str">
        <f>VLOOKUP(C762,'RAW DATA 2023'!E:BO,36,0)</f>
        <v>Normal</v>
      </c>
      <c r="L762" s="106">
        <f>VLOOKUP(C762,'RAW DATA 2023'!E:BO,21,0)</f>
        <v>58.747</v>
      </c>
      <c r="M762" s="106">
        <f t="shared" si="60"/>
        <v>400.74719862804233</v>
      </c>
    </row>
    <row r="763" spans="1:13">
      <c r="A763" t="str">
        <f>'RAW DATA 2023'!B756</f>
        <v>SR4</v>
      </c>
      <c r="B763" t="str">
        <f>'RAW DATA 2023'!D756</f>
        <v>B1-066-0008</v>
      </c>
      <c r="C763" t="str">
        <f t="shared" si="56"/>
        <v>SR4B1-066-0008</v>
      </c>
      <c r="D763">
        <f>VLOOKUP(C763,'RAW DATA 2023'!E:BP,63,0)</f>
        <v>7</v>
      </c>
      <c r="E763" t="str">
        <f t="shared" si="57"/>
        <v>SR47</v>
      </c>
      <c r="F763">
        <f>ROUND(VLOOKUP(C763,'RAW DATA 2023'!E:BO,23,0),0)</f>
        <v>23</v>
      </c>
      <c r="G763" s="16">
        <f>VLOOKUP(C763,'RAW DATA 2023'!E:BO,27,0)</f>
        <v>2.1427117543830696</v>
      </c>
      <c r="H763" s="16">
        <f>IFERROR(VLOOKUP(F763,STD!B:G,5,0),0)</f>
        <v>2.13</v>
      </c>
      <c r="I763" s="21">
        <f t="shared" si="58"/>
        <v>0.9940674454428754</v>
      </c>
      <c r="J763" s="16">
        <f t="shared" si="59"/>
        <v>9.8813489088575075</v>
      </c>
      <c r="K763" s="106" t="str">
        <f>VLOOKUP(C763,'RAW DATA 2023'!E:BO,36,0)</f>
        <v>Normal</v>
      </c>
      <c r="L763" s="106">
        <f>VLOOKUP(C763,'RAW DATA 2023'!E:BO,21,0)</f>
        <v>9.3589500000000001</v>
      </c>
      <c r="M763" s="106">
        <f t="shared" si="60"/>
        <v>92.479050370551974</v>
      </c>
    </row>
    <row r="764" spans="1:13">
      <c r="A764" t="str">
        <f>'RAW DATA 2023'!B757</f>
        <v>SR4</v>
      </c>
      <c r="B764" t="str">
        <f>'RAW DATA 2023'!D757</f>
        <v>B1-063-0009</v>
      </c>
      <c r="C764" t="str">
        <f t="shared" si="56"/>
        <v>SR4B1-063-0009</v>
      </c>
      <c r="D764">
        <f>VLOOKUP(C764,'RAW DATA 2023'!E:BP,63,0)</f>
        <v>10</v>
      </c>
      <c r="E764" t="str">
        <f t="shared" si="57"/>
        <v>SR410</v>
      </c>
      <c r="F764">
        <f>ROUND(VLOOKUP(C764,'RAW DATA 2023'!E:BO,23,0),0)</f>
        <v>27</v>
      </c>
      <c r="G764" s="16">
        <f>VLOOKUP(C764,'RAW DATA 2023'!E:BO,27,0)</f>
        <v>2.1699933377152387</v>
      </c>
      <c r="H764" s="16">
        <f>IFERROR(VLOOKUP(F764,STD!B:G,5,0),0)</f>
        <v>1.96</v>
      </c>
      <c r="I764" s="21">
        <f t="shared" si="58"/>
        <v>0.90322857952350288</v>
      </c>
      <c r="J764" s="16">
        <f t="shared" si="59"/>
        <v>8.0645715904700577</v>
      </c>
      <c r="K764" s="106" t="str">
        <f>VLOOKUP(C764,'RAW DATA 2023'!E:BO,36,0)</f>
        <v>Normal</v>
      </c>
      <c r="L764" s="106">
        <f>VLOOKUP(C764,'RAW DATA 2023'!E:BO,21,0)</f>
        <v>18.209259999999997</v>
      </c>
      <c r="M764" s="106">
        <f t="shared" si="60"/>
        <v>146.84988087948278</v>
      </c>
    </row>
    <row r="765" spans="1:13">
      <c r="A765" t="str">
        <f>'RAW DATA 2023'!B758</f>
        <v>SR4</v>
      </c>
      <c r="B765" t="str">
        <f>'RAW DATA 2023'!D758</f>
        <v>B1-068-0003</v>
      </c>
      <c r="C765" t="str">
        <f t="shared" si="56"/>
        <v>SR4B1-068-0003</v>
      </c>
      <c r="D765">
        <f>VLOOKUP(C765,'RAW DATA 2023'!E:BP,63,0)</f>
        <v>6</v>
      </c>
      <c r="E765" t="str">
        <f t="shared" si="57"/>
        <v>SR46</v>
      </c>
      <c r="F765">
        <f>ROUND(VLOOKUP(C765,'RAW DATA 2023'!E:BO,23,0),0)</f>
        <v>27</v>
      </c>
      <c r="G765" s="16">
        <f>VLOOKUP(C765,'RAW DATA 2023'!E:BO,27,0)</f>
        <v>2.2484383892749489</v>
      </c>
      <c r="H765" s="16">
        <f>IFERROR(VLOOKUP(F765,STD!B:G,5,0),0)</f>
        <v>1.96</v>
      </c>
      <c r="I765" s="21">
        <f t="shared" si="58"/>
        <v>0.87171612499999995</v>
      </c>
      <c r="J765" s="16">
        <f t="shared" si="59"/>
        <v>7.4343224999999986</v>
      </c>
      <c r="K765" s="106" t="str">
        <f>VLOOKUP(C765,'RAW DATA 2023'!E:BO,36,0)</f>
        <v>Normal</v>
      </c>
      <c r="L765" s="106">
        <f>VLOOKUP(C765,'RAW DATA 2023'!E:BO,21,0)</f>
        <v>11.59568</v>
      </c>
      <c r="M765" s="106">
        <f t="shared" si="60"/>
        <v>86.206024726799981</v>
      </c>
    </row>
    <row r="766" spans="1:13">
      <c r="A766" t="str">
        <f>'RAW DATA 2023'!B759</f>
        <v>SR4</v>
      </c>
      <c r="B766" t="str">
        <f>'RAW DATA 2023'!D759</f>
        <v>B1-065-0002</v>
      </c>
      <c r="C766" t="str">
        <f t="shared" si="56"/>
        <v>SR4B1-065-0002</v>
      </c>
      <c r="D766">
        <f>VLOOKUP(C766,'RAW DATA 2023'!E:BP,63,0)</f>
        <v>6</v>
      </c>
      <c r="E766" t="str">
        <f t="shared" si="57"/>
        <v>SR46</v>
      </c>
      <c r="F766">
        <f>ROUND(VLOOKUP(C766,'RAW DATA 2023'!E:BO,23,0),0)</f>
        <v>25</v>
      </c>
      <c r="G766" s="16">
        <f>VLOOKUP(C766,'RAW DATA 2023'!E:BO,27,0)</f>
        <v>2.1581542989245657</v>
      </c>
      <c r="H766" s="16">
        <f>IFERROR(VLOOKUP(F766,STD!B:G,5,0),0)</f>
        <v>2.04</v>
      </c>
      <c r="I766" s="21">
        <f t="shared" si="58"/>
        <v>0.94525215412844055</v>
      </c>
      <c r="J766" s="16">
        <f t="shared" si="59"/>
        <v>8.9050430825688114</v>
      </c>
      <c r="K766" s="106" t="str">
        <f>VLOOKUP(C766,'RAW DATA 2023'!E:BO,36,0)</f>
        <v>Normal</v>
      </c>
      <c r="L766" s="106">
        <f>VLOOKUP(C766,'RAW DATA 2023'!E:BO,21,0)</f>
        <v>12.776530000000001</v>
      </c>
      <c r="M766" s="106">
        <f t="shared" si="60"/>
        <v>113.77555009573291</v>
      </c>
    </row>
    <row r="767" spans="1:13">
      <c r="A767" t="str">
        <f>'RAW DATA 2023'!B760</f>
        <v>SR4</v>
      </c>
      <c r="B767" t="str">
        <f>'RAW DATA 2023'!D760</f>
        <v>B1-064-0008</v>
      </c>
      <c r="C767" t="str">
        <f t="shared" si="56"/>
        <v>SR4B1-064-0008</v>
      </c>
      <c r="D767">
        <f>VLOOKUP(C767,'RAW DATA 2023'!E:BP,63,0)</f>
        <v>10</v>
      </c>
      <c r="E767" t="str">
        <f t="shared" si="57"/>
        <v>SR410</v>
      </c>
      <c r="F767">
        <f>ROUND(VLOOKUP(C767,'RAW DATA 2023'!E:BO,23,0),0)</f>
        <v>29</v>
      </c>
      <c r="G767" s="16">
        <f>VLOOKUP(C767,'RAW DATA 2023'!E:BO,27,0)</f>
        <v>2.229196418474459</v>
      </c>
      <c r="H767" s="16">
        <f>IFERROR(VLOOKUP(F767,STD!B:G,5,0),0)</f>
        <v>1.9</v>
      </c>
      <c r="I767" s="21">
        <f t="shared" si="58"/>
        <v>0.85232507295173954</v>
      </c>
      <c r="J767" s="16">
        <f t="shared" si="59"/>
        <v>7.0465014590347907</v>
      </c>
      <c r="K767" s="106" t="str">
        <f>VLOOKUP(C767,'RAW DATA 2023'!E:BO,36,0)</f>
        <v>Normal</v>
      </c>
      <c r="L767" s="106">
        <f>VLOOKUP(C767,'RAW DATA 2023'!E:BO,21,0)</f>
        <v>20.18478</v>
      </c>
      <c r="M767" s="106">
        <f t="shared" si="60"/>
        <v>142.23208172029626</v>
      </c>
    </row>
    <row r="768" spans="1:13">
      <c r="A768" t="str">
        <f>'RAW DATA 2023'!B761</f>
        <v>SR4</v>
      </c>
      <c r="B768" t="str">
        <f>'RAW DATA 2023'!D761</f>
        <v>B1-067-0010</v>
      </c>
      <c r="C768" t="str">
        <f t="shared" si="56"/>
        <v>SR4B1-067-0010</v>
      </c>
      <c r="D768">
        <f>VLOOKUP(C768,'RAW DATA 2023'!E:BP,63,0)</f>
        <v>6</v>
      </c>
      <c r="E768" t="str">
        <f t="shared" si="57"/>
        <v>SR46</v>
      </c>
      <c r="F768">
        <f>ROUND(VLOOKUP(C768,'RAW DATA 2023'!E:BO,23,0),0)</f>
        <v>29</v>
      </c>
      <c r="G768" s="16">
        <f>VLOOKUP(C768,'RAW DATA 2023'!E:BO,27,0)</f>
        <v>2.3586484046885685</v>
      </c>
      <c r="H768" s="16">
        <f>IFERROR(VLOOKUP(F768,STD!B:G,5,0),0)</f>
        <v>1.9</v>
      </c>
      <c r="I768" s="21">
        <f t="shared" si="58"/>
        <v>0.80554608996539789</v>
      </c>
      <c r="J768" s="16">
        <f t="shared" si="59"/>
        <v>6.1109217993079579</v>
      </c>
      <c r="K768" s="106" t="str">
        <f>VLOOKUP(C768,'RAW DATA 2023'!E:BO,36,0)</f>
        <v>Normal</v>
      </c>
      <c r="L768" s="106">
        <f>VLOOKUP(C768,'RAW DATA 2023'!E:BO,21,0)</f>
        <v>12.46278</v>
      </c>
      <c r="M768" s="106">
        <f t="shared" si="60"/>
        <v>76.159073981979233</v>
      </c>
    </row>
    <row r="769" spans="1:13">
      <c r="A769" t="str">
        <f>'RAW DATA 2023'!B762</f>
        <v>SR4</v>
      </c>
      <c r="B769" t="str">
        <f>'RAW DATA 2023'!D762</f>
        <v>B1-067-0011</v>
      </c>
      <c r="C769" t="str">
        <f t="shared" si="56"/>
        <v>SR4B1-067-0011</v>
      </c>
      <c r="D769">
        <f>VLOOKUP(C769,'RAW DATA 2023'!E:BP,63,0)</f>
        <v>10</v>
      </c>
      <c r="E769" t="str">
        <f t="shared" si="57"/>
        <v>SR410</v>
      </c>
      <c r="F769">
        <f>ROUND(VLOOKUP(C769,'RAW DATA 2023'!E:BO,23,0),0)</f>
        <v>48</v>
      </c>
      <c r="G769" s="16">
        <f>VLOOKUP(C769,'RAW DATA 2023'!E:BO,27,0)</f>
        <v>1.9005157075054961</v>
      </c>
      <c r="H769" s="16">
        <f>IFERROR(VLOOKUP(F769,STD!B:G,5,0),0)</f>
        <v>1.52</v>
      </c>
      <c r="I769" s="21">
        <f t="shared" si="58"/>
        <v>0.79978291891891895</v>
      </c>
      <c r="J769" s="16">
        <f t="shared" si="59"/>
        <v>5.995658378378379</v>
      </c>
      <c r="K769" s="106" t="str">
        <f>VLOOKUP(C769,'RAW DATA 2023'!E:BO,36,0)</f>
        <v>EHP</v>
      </c>
      <c r="L769" s="106">
        <f>VLOOKUP(C769,'RAW DATA 2023'!E:BO,21,0)</f>
        <v>14.08408</v>
      </c>
      <c r="M769" s="106">
        <f t="shared" si="60"/>
        <v>84.443332253751365</v>
      </c>
    </row>
    <row r="770" spans="1:13">
      <c r="A770" t="str">
        <f>'RAW DATA 2023'!B763</f>
        <v>SR4</v>
      </c>
      <c r="B770" t="str">
        <f>'RAW DATA 2023'!D763</f>
        <v>B1-066-0009</v>
      </c>
      <c r="C770" t="str">
        <f t="shared" si="56"/>
        <v>SR4B1-066-0009</v>
      </c>
      <c r="D770">
        <f>VLOOKUP(C770,'RAW DATA 2023'!E:BP,63,0)</f>
        <v>10</v>
      </c>
      <c r="E770" t="str">
        <f t="shared" si="57"/>
        <v>SR410</v>
      </c>
      <c r="F770">
        <f>ROUND(VLOOKUP(C770,'RAW DATA 2023'!E:BO,23,0),0)</f>
        <v>53</v>
      </c>
      <c r="G770" s="16">
        <f>VLOOKUP(C770,'RAW DATA 2023'!E:BO,27,0)</f>
        <v>1.6899239847155765</v>
      </c>
      <c r="H770" s="16">
        <f>IFERROR(VLOOKUP(F770,STD!B:G,5,0),0)</f>
        <v>1.46</v>
      </c>
      <c r="I770" s="21">
        <f t="shared" si="58"/>
        <v>0.86394418518518512</v>
      </c>
      <c r="J770" s="16">
        <f t="shared" si="59"/>
        <v>7.278883703703702</v>
      </c>
      <c r="K770" s="106" t="str">
        <f>VLOOKUP(C770,'RAW DATA 2023'!E:BO,36,0)</f>
        <v>EHP</v>
      </c>
      <c r="L770" s="106">
        <f>VLOOKUP(C770,'RAW DATA 2023'!E:BO,21,0)</f>
        <v>9.8262299999999989</v>
      </c>
      <c r="M770" s="106">
        <f t="shared" si="60"/>
        <v>71.523985415844422</v>
      </c>
    </row>
    <row r="771" spans="1:13">
      <c r="A771" t="str">
        <f>'RAW DATA 2023'!B764</f>
        <v>SR4</v>
      </c>
      <c r="B771" t="str">
        <f>'RAW DATA 2023'!D764</f>
        <v>A1-085-0008</v>
      </c>
      <c r="C771" t="str">
        <f t="shared" si="56"/>
        <v>SR4A1-085-0008</v>
      </c>
      <c r="D771">
        <f>VLOOKUP(C771,'RAW DATA 2023'!E:BP,63,0)</f>
        <v>1</v>
      </c>
      <c r="E771" t="str">
        <f t="shared" si="57"/>
        <v>SR41</v>
      </c>
      <c r="F771">
        <f>ROUND(VLOOKUP(C771,'RAW DATA 2023'!E:BO,23,0),0)</f>
        <v>68</v>
      </c>
      <c r="G771" s="16">
        <f>VLOOKUP(C771,'RAW DATA 2023'!E:BO,27,0)</f>
        <v>1.5123702677041613</v>
      </c>
      <c r="H771" s="16">
        <f>IFERROR(VLOOKUP(F771,STD!B:G,5,0),0)</f>
        <v>1.35</v>
      </c>
      <c r="I771" s="21">
        <f t="shared" si="58"/>
        <v>0.89263854813104349</v>
      </c>
      <c r="J771" s="16">
        <f t="shared" si="59"/>
        <v>7.8527709626208697</v>
      </c>
      <c r="K771" s="106" t="str">
        <f>VLOOKUP(C771,'RAW DATA 2023'!E:BO,36,0)</f>
        <v>WFD</v>
      </c>
      <c r="L771" s="106">
        <f>VLOOKUP(C771,'RAW DATA 2023'!E:BO,21,0)</f>
        <v>4.5847499999999997</v>
      </c>
      <c r="M771" s="106">
        <f t="shared" si="60"/>
        <v>36.002991670876028</v>
      </c>
    </row>
    <row r="772" spans="1:13">
      <c r="A772" t="str">
        <f>'RAW DATA 2023'!B765</f>
        <v>SR4</v>
      </c>
      <c r="B772" t="str">
        <f>'RAW DATA 2023'!D765</f>
        <v>B1-067-0009</v>
      </c>
      <c r="C772" t="str">
        <f t="shared" si="56"/>
        <v>SR4B1-067-0009</v>
      </c>
      <c r="D772">
        <f>VLOOKUP(C772,'RAW DATA 2023'!E:BP,63,0)</f>
        <v>1</v>
      </c>
      <c r="E772" t="str">
        <f t="shared" si="57"/>
        <v>SR41</v>
      </c>
      <c r="F772">
        <f>ROUND(VLOOKUP(C772,'RAW DATA 2023'!E:BO,23,0),0)</f>
        <v>114</v>
      </c>
      <c r="G772" s="16">
        <f>VLOOKUP(C772,'RAW DATA 2023'!E:BO,27,0)</f>
        <v>1.3229415621497007</v>
      </c>
      <c r="H772" s="16">
        <f>IFERROR(VLOOKUP(F772,STD!B:G,5,0),0)</f>
        <v>1.18</v>
      </c>
      <c r="I772" s="21">
        <f t="shared" si="58"/>
        <v>0.89195171862509992</v>
      </c>
      <c r="J772" s="16">
        <f t="shared" si="59"/>
        <v>7.8390343725019989</v>
      </c>
      <c r="K772" s="106" t="str">
        <f>VLOOKUP(C772,'RAW DATA 2023'!E:BO,36,0)</f>
        <v>EHP</v>
      </c>
      <c r="L772" s="106">
        <f>VLOOKUP(C772,'RAW DATA 2023'!E:BO,21,0)</f>
        <v>2.8400599999999998</v>
      </c>
      <c r="M772" s="106">
        <f t="shared" si="60"/>
        <v>22.263327959968024</v>
      </c>
    </row>
    <row r="773" spans="1:13">
      <c r="A773" t="str">
        <f>'RAW DATA 2023'!B766</f>
        <v>SR4</v>
      </c>
      <c r="B773" t="str">
        <f>'RAW DATA 2023'!D766</f>
        <v>A1-082-0008</v>
      </c>
      <c r="C773" t="str">
        <f t="shared" si="56"/>
        <v>SR4A1-082-0008</v>
      </c>
      <c r="D773">
        <f>VLOOKUP(C773,'RAW DATA 2023'!E:BP,63,0)</f>
        <v>1</v>
      </c>
      <c r="E773" t="str">
        <f t="shared" si="57"/>
        <v>SR41</v>
      </c>
      <c r="F773">
        <f>ROUND(VLOOKUP(C773,'RAW DATA 2023'!E:BO,23,0),0)</f>
        <v>139</v>
      </c>
      <c r="G773" s="16">
        <f>VLOOKUP(C773,'RAW DATA 2023'!E:BO,27,0)</f>
        <v>1.186459504866636</v>
      </c>
      <c r="H773" s="16">
        <f>IFERROR(VLOOKUP(F773,STD!B:G,5,0),0)</f>
        <v>1.107</v>
      </c>
      <c r="I773" s="21">
        <f t="shared" si="58"/>
        <v>0.93302805149210077</v>
      </c>
      <c r="J773" s="16">
        <f t="shared" si="59"/>
        <v>8.6605610298420146</v>
      </c>
      <c r="K773" s="106" t="str">
        <f>VLOOKUP(C773,'RAW DATA 2023'!E:BO,36,0)</f>
        <v>EHP</v>
      </c>
      <c r="L773" s="106">
        <f>VLOOKUP(C773,'RAW DATA 2023'!E:BO,21,0)</f>
        <v>2.8840400000000002</v>
      </c>
      <c r="M773" s="106">
        <f t="shared" si="60"/>
        <v>24.977404432505566</v>
      </c>
    </row>
    <row r="774" spans="1:13">
      <c r="A774" t="str">
        <f>'RAW DATA 2023'!B767</f>
        <v>Kanchanadit</v>
      </c>
      <c r="B774" t="str">
        <f>'RAW DATA 2023'!D767</f>
        <v>D1-051-0006</v>
      </c>
      <c r="C774" t="str">
        <f t="shared" si="56"/>
        <v>KanchanaditD1-051-0006</v>
      </c>
      <c r="D774">
        <f>VLOOKUP(C774,'RAW DATA 2023'!E:BP,63,0)</f>
        <v>8</v>
      </c>
      <c r="E774" t="str">
        <f t="shared" si="57"/>
        <v>Kanchanadit8</v>
      </c>
      <c r="F774">
        <f>ROUND(VLOOKUP(C774,'RAW DATA 2023'!E:BO,23,0),0)</f>
        <v>24</v>
      </c>
      <c r="G774" s="16">
        <f>VLOOKUP(C774,'RAW DATA 2023'!E:BO,27,0)</f>
        <v>1.8434689729011333</v>
      </c>
      <c r="H774" s="16">
        <f>IFERROR(VLOOKUP(F774,STD!B:G,5,0),0)</f>
        <v>2.08</v>
      </c>
      <c r="I774" s="21">
        <f t="shared" si="58"/>
        <v>1.1283075715272981</v>
      </c>
      <c r="J774" s="16">
        <f t="shared" si="59"/>
        <v>12.566151430545961</v>
      </c>
      <c r="K774" s="106" t="str">
        <f>VLOOKUP(C774,'RAW DATA 2023'!E:BO,36,0)</f>
        <v>Normal</v>
      </c>
      <c r="L774" s="106">
        <f>VLOOKUP(C774,'RAW DATA 2023'!E:BO,21,0)</f>
        <v>20.048830000000002</v>
      </c>
      <c r="M774" s="106">
        <f t="shared" si="60"/>
        <v>251.93663378527282</v>
      </c>
    </row>
    <row r="775" spans="1:13">
      <c r="A775" t="str">
        <f>'RAW DATA 2023'!B768</f>
        <v>Kanchanadit</v>
      </c>
      <c r="B775" t="str">
        <f>'RAW DATA 2023'!D768</f>
        <v>D1-052-0013</v>
      </c>
      <c r="C775" t="str">
        <f t="shared" si="56"/>
        <v>KanchanaditD1-052-0013</v>
      </c>
      <c r="D775">
        <f>VLOOKUP(C775,'RAW DATA 2023'!E:BP,63,0)</f>
        <v>8</v>
      </c>
      <c r="E775" t="str">
        <f t="shared" si="57"/>
        <v>Kanchanadit8</v>
      </c>
      <c r="F775">
        <f>ROUND(VLOOKUP(C775,'RAW DATA 2023'!E:BO,23,0),0)</f>
        <v>30</v>
      </c>
      <c r="G775" s="16">
        <f>VLOOKUP(C775,'RAW DATA 2023'!E:BO,27,0)</f>
        <v>1.9590183163315031</v>
      </c>
      <c r="H775" s="16">
        <f>IFERROR(VLOOKUP(F775,STD!B:G,5,0),0)</f>
        <v>1.87</v>
      </c>
      <c r="I775" s="21">
        <f t="shared" si="58"/>
        <v>0.95455973250000004</v>
      </c>
      <c r="J775" s="16">
        <f t="shared" si="59"/>
        <v>9.0911946500000003</v>
      </c>
      <c r="K775" s="106" t="str">
        <f>VLOOKUP(C775,'RAW DATA 2023'!E:BO,36,0)</f>
        <v>Normal</v>
      </c>
      <c r="L775" s="106">
        <f>VLOOKUP(C775,'RAW DATA 2023'!E:BO,21,0)</f>
        <v>20.60839</v>
      </c>
      <c r="M775" s="106">
        <f t="shared" si="60"/>
        <v>187.35488491311349</v>
      </c>
    </row>
    <row r="776" spans="1:13">
      <c r="A776" t="str">
        <f>'RAW DATA 2023'!B769</f>
        <v>Kanchanadit</v>
      </c>
      <c r="B776" t="str">
        <f>'RAW DATA 2023'!D769</f>
        <v>C1-043-0014</v>
      </c>
      <c r="C776" t="str">
        <f t="shared" si="56"/>
        <v>KanchanaditC1-043-0014</v>
      </c>
      <c r="D776">
        <f>VLOOKUP(C776,'RAW DATA 2023'!E:BP,63,0)</f>
        <v>7</v>
      </c>
      <c r="E776" t="str">
        <f t="shared" si="57"/>
        <v>Kanchanadit7</v>
      </c>
      <c r="F776">
        <f>ROUND(VLOOKUP(C776,'RAW DATA 2023'!E:BO,23,0),0)</f>
        <v>28</v>
      </c>
      <c r="G776" s="16">
        <f>VLOOKUP(C776,'RAW DATA 2023'!E:BO,27,0)</f>
        <v>2.1574427112396104</v>
      </c>
      <c r="H776" s="16">
        <f>IFERROR(VLOOKUP(F776,STD!B:G,5,0),0)</f>
        <v>1.93</v>
      </c>
      <c r="J776" s="16">
        <f t="shared" si="59"/>
        <v>-10</v>
      </c>
      <c r="K776" s="106" t="str">
        <f>VLOOKUP(C776,'RAW DATA 2023'!E:BO,36,0)</f>
        <v>Normal</v>
      </c>
      <c r="L776" s="106">
        <f>VLOOKUP(C776,'RAW DATA 2023'!E:BO,21,0)</f>
        <v>7.6888900000000007</v>
      </c>
      <c r="M776" s="106">
        <f t="shared" si="60"/>
        <v>-76.888900000000007</v>
      </c>
    </row>
    <row r="777" spans="1:13">
      <c r="A777" t="str">
        <f>'RAW DATA 2023'!B770</f>
        <v>Kanchanadit</v>
      </c>
      <c r="B777" t="str">
        <f>'RAW DATA 2023'!D770</f>
        <v>D1-053-0006</v>
      </c>
      <c r="C777" t="str">
        <f t="shared" si="56"/>
        <v>KanchanaditD1-053-0006</v>
      </c>
      <c r="D777">
        <f>VLOOKUP(C777,'RAW DATA 2023'!E:BP,63,0)</f>
        <v>8</v>
      </c>
      <c r="E777" t="str">
        <f t="shared" si="57"/>
        <v>Kanchanadit8</v>
      </c>
      <c r="F777">
        <f>ROUND(VLOOKUP(C777,'RAW DATA 2023'!E:BO,23,0),0)</f>
        <v>23</v>
      </c>
      <c r="G777" s="16">
        <f>VLOOKUP(C777,'RAW DATA 2023'!E:BO,27,0)</f>
        <v>1.8465989700481646</v>
      </c>
      <c r="H777" s="16">
        <f>IFERROR(VLOOKUP(F777,STD!B:G,5,0),0)</f>
        <v>2.13</v>
      </c>
      <c r="J777" s="16">
        <f t="shared" si="59"/>
        <v>-10</v>
      </c>
      <c r="K777" s="106" t="str">
        <f>VLOOKUP(C777,'RAW DATA 2023'!E:BO,36,0)</f>
        <v>Normal</v>
      </c>
      <c r="L777" s="106">
        <f>VLOOKUP(C777,'RAW DATA 2023'!E:BO,21,0)</f>
        <v>22.652979999999999</v>
      </c>
      <c r="M777" s="106">
        <f t="shared" si="60"/>
        <v>-226.52979999999999</v>
      </c>
    </row>
    <row r="778" spans="1:13">
      <c r="A778" t="str">
        <f>'RAW DATA 2023'!B771</f>
        <v>Kanchanadit</v>
      </c>
      <c r="B778" t="str">
        <f>'RAW DATA 2023'!D771</f>
        <v>C1-044-0016</v>
      </c>
      <c r="C778" t="str">
        <f t="shared" ref="C778:C841" si="61">A778&amp;B778</f>
        <v>KanchanaditC1-044-0016</v>
      </c>
      <c r="D778">
        <f>VLOOKUP(C778,'RAW DATA 2023'!E:BP,63,0)</f>
        <v>12</v>
      </c>
      <c r="E778" t="str">
        <f t="shared" ref="E778:E841" si="62">A778&amp;D778</f>
        <v>Kanchanadit12</v>
      </c>
      <c r="F778">
        <f>ROUND(VLOOKUP(C778,'RAW DATA 2023'!E:BO,23,0),0)</f>
        <v>33</v>
      </c>
      <c r="G778" s="16">
        <f>VLOOKUP(C778,'RAW DATA 2023'!E:BO,27,0)</f>
        <v>1.9033709662607128</v>
      </c>
      <c r="H778" s="16">
        <f>IFERROR(VLOOKUP(F778,STD!B:G,5,0),0)</f>
        <v>1.8</v>
      </c>
      <c r="I778" s="21">
        <f t="shared" si="58"/>
        <v>0.94569058365758762</v>
      </c>
      <c r="J778" s="16">
        <f t="shared" si="59"/>
        <v>8.913811673151752</v>
      </c>
      <c r="K778" s="106" t="str">
        <f>VLOOKUP(C778,'RAW DATA 2023'!E:BO,36,0)</f>
        <v>Normal</v>
      </c>
      <c r="L778" s="106">
        <f>VLOOKUP(C778,'RAW DATA 2023'!E:BO,21,0)</f>
        <v>10.33677</v>
      </c>
      <c r="M778" s="106">
        <f t="shared" si="60"/>
        <v>92.140021088684833</v>
      </c>
    </row>
    <row r="779" spans="1:13">
      <c r="A779" t="str">
        <f>'RAW DATA 2023'!B772</f>
        <v>Kanchanadit</v>
      </c>
      <c r="B779" t="str">
        <f>'RAW DATA 2023'!D772</f>
        <v>C1-041-0015</v>
      </c>
      <c r="C779" t="str">
        <f t="shared" si="61"/>
        <v>KanchanaditC1-041-0015</v>
      </c>
      <c r="D779">
        <f>VLOOKUP(C779,'RAW DATA 2023'!E:BP,63,0)</f>
        <v>8</v>
      </c>
      <c r="E779" t="str">
        <f t="shared" si="62"/>
        <v>Kanchanadit8</v>
      </c>
      <c r="F779">
        <f>ROUND(VLOOKUP(C779,'RAW DATA 2023'!E:BO,23,0),0)</f>
        <v>27</v>
      </c>
      <c r="G779" s="16">
        <f>VLOOKUP(C779,'RAW DATA 2023'!E:BO,27,0)</f>
        <v>2.7341801297056683</v>
      </c>
      <c r="H779" s="16">
        <f>IFERROR(VLOOKUP(F779,STD!B:G,5,0),0)</f>
        <v>1.96</v>
      </c>
      <c r="I779" s="21">
        <f t="shared" ref="I779:I842" si="63">IFERROR(H779/G779,0)</f>
        <v>0.71685108771929817</v>
      </c>
      <c r="J779" s="16">
        <f t="shared" ref="J779:J842" si="64">(I779-$B$4)*$B$7</f>
        <v>4.3370217543859635</v>
      </c>
      <c r="K779" s="106" t="str">
        <f>VLOOKUP(C779,'RAW DATA 2023'!E:BO,36,0)</f>
        <v>Normal</v>
      </c>
      <c r="L779" s="106">
        <f>VLOOKUP(C779,'RAW DATA 2023'!E:BO,21,0)</f>
        <v>8.5238799999999983</v>
      </c>
      <c r="M779" s="106">
        <f t="shared" ref="M779:M842" si="65">J779*L779</f>
        <v>36.968252991775422</v>
      </c>
    </row>
    <row r="780" spans="1:13">
      <c r="A780" t="str">
        <f>'RAW DATA 2023'!B773</f>
        <v>Kanchanadit</v>
      </c>
      <c r="B780" t="str">
        <f>'RAW DATA 2023'!D773</f>
        <v>C1-047-0008</v>
      </c>
      <c r="C780" t="str">
        <f t="shared" si="61"/>
        <v>KanchanaditC1-047-0008</v>
      </c>
      <c r="D780">
        <f>VLOOKUP(C780,'RAW DATA 2023'!E:BP,63,0)</f>
        <v>11</v>
      </c>
      <c r="E780" t="str">
        <f t="shared" si="62"/>
        <v>Kanchanadit11</v>
      </c>
      <c r="F780">
        <f>ROUND(VLOOKUP(C780,'RAW DATA 2023'!E:BO,23,0),0)</f>
        <v>29</v>
      </c>
      <c r="G780" s="16">
        <f>VLOOKUP(C780,'RAW DATA 2023'!E:BO,27,0)</f>
        <v>1.9824985137931734</v>
      </c>
      <c r="H780" s="16">
        <f>IFERROR(VLOOKUP(F780,STD!B:G,5,0),0)</f>
        <v>1.9</v>
      </c>
      <c r="I780" s="21">
        <f t="shared" si="63"/>
        <v>0.95838659488559885</v>
      </c>
      <c r="J780" s="16">
        <f t="shared" si="64"/>
        <v>9.1677318977119775</v>
      </c>
      <c r="K780" s="106" t="str">
        <f>VLOOKUP(C780,'RAW DATA 2023'!E:BO,36,0)</f>
        <v>Normal</v>
      </c>
      <c r="L780" s="106">
        <f>VLOOKUP(C780,'RAW DATA 2023'!E:BO,21,0)</f>
        <v>9.5494900000000005</v>
      </c>
      <c r="M780" s="106">
        <f t="shared" si="65"/>
        <v>87.547164079881554</v>
      </c>
    </row>
    <row r="781" spans="1:13">
      <c r="A781" t="str">
        <f>'RAW DATA 2023'!B774</f>
        <v>Kanchanadit</v>
      </c>
      <c r="B781" t="str">
        <f>'RAW DATA 2023'!D774</f>
        <v>D1-050-0013</v>
      </c>
      <c r="C781" t="str">
        <f t="shared" si="61"/>
        <v>KanchanaditD1-050-0013</v>
      </c>
      <c r="D781">
        <f>VLOOKUP(C781,'RAW DATA 2023'!E:BP,63,0)</f>
        <v>8</v>
      </c>
      <c r="E781" t="str">
        <f t="shared" si="62"/>
        <v>Kanchanadit8</v>
      </c>
      <c r="F781">
        <f>ROUND(VLOOKUP(C781,'RAW DATA 2023'!E:BO,23,0),0)</f>
        <v>25</v>
      </c>
      <c r="G781" s="16">
        <f>VLOOKUP(C781,'RAW DATA 2023'!E:BO,27,0)</f>
        <v>2.1212235198216556</v>
      </c>
      <c r="H781" s="16">
        <f>IFERROR(VLOOKUP(F781,STD!B:G,5,0),0)</f>
        <v>2.04</v>
      </c>
      <c r="I781" s="21">
        <f t="shared" si="63"/>
        <v>0.9617091178451177</v>
      </c>
      <c r="J781" s="16">
        <f t="shared" si="64"/>
        <v>9.2341823569023536</v>
      </c>
      <c r="K781" s="106" t="str">
        <f>VLOOKUP(C781,'RAW DATA 2023'!E:BO,36,0)</f>
        <v>Normal</v>
      </c>
      <c r="L781" s="106">
        <f>VLOOKUP(C781,'RAW DATA 2023'!E:BO,21,0)</f>
        <v>21.650029999999997</v>
      </c>
      <c r="M781" s="106">
        <f t="shared" si="65"/>
        <v>199.92032505240664</v>
      </c>
    </row>
    <row r="782" spans="1:13">
      <c r="A782" t="str">
        <f>'RAW DATA 2023'!B775</f>
        <v>Kanchanadit</v>
      </c>
      <c r="B782" t="str">
        <f>'RAW DATA 2023'!D775</f>
        <v>D1-049-0012</v>
      </c>
      <c r="C782" t="str">
        <f t="shared" si="61"/>
        <v>KanchanaditD1-049-0012</v>
      </c>
      <c r="D782">
        <f>VLOOKUP(C782,'RAW DATA 2023'!E:BP,63,0)</f>
        <v>12</v>
      </c>
      <c r="E782" t="str">
        <f t="shared" si="62"/>
        <v>Kanchanadit12</v>
      </c>
      <c r="F782">
        <f>ROUND(VLOOKUP(C782,'RAW DATA 2023'!E:BO,23,0),0)</f>
        <v>34</v>
      </c>
      <c r="G782" s="16">
        <f>VLOOKUP(C782,'RAW DATA 2023'!E:BO,27,0)</f>
        <v>1.8558844636125962</v>
      </c>
      <c r="H782" s="16">
        <f>IFERROR(VLOOKUP(F782,STD!B:G,5,0),0)</f>
        <v>1.77</v>
      </c>
      <c r="I782" s="21">
        <f t="shared" si="63"/>
        <v>0.95372316256938938</v>
      </c>
      <c r="J782" s="16">
        <f t="shared" si="64"/>
        <v>9.0744632513877868</v>
      </c>
      <c r="K782" s="106" t="str">
        <f>VLOOKUP(C782,'RAW DATA 2023'!E:BO,36,0)</f>
        <v>Normal</v>
      </c>
      <c r="L782" s="106">
        <f>VLOOKUP(C782,'RAW DATA 2023'!E:BO,21,0)</f>
        <v>17.29251</v>
      </c>
      <c r="M782" s="106">
        <f t="shared" si="65"/>
        <v>156.92024651925581</v>
      </c>
    </row>
    <row r="783" spans="1:13">
      <c r="A783" t="str">
        <f>'RAW DATA 2023'!B776</f>
        <v>Kanchanadit</v>
      </c>
      <c r="B783" t="str">
        <f>'RAW DATA 2023'!D776</f>
        <v>C1-042-0005</v>
      </c>
      <c r="C783" t="str">
        <f t="shared" si="61"/>
        <v>KanchanaditC1-042-0005</v>
      </c>
      <c r="D783">
        <f>VLOOKUP(C783,'RAW DATA 2023'!E:BP,63,0)</f>
        <v>8</v>
      </c>
      <c r="E783" t="str">
        <f t="shared" si="62"/>
        <v>Kanchanadit8</v>
      </c>
      <c r="F783">
        <f>ROUND(VLOOKUP(C783,'RAW DATA 2023'!E:BO,23,0),0)</f>
        <v>30</v>
      </c>
      <c r="G783" s="16">
        <f>VLOOKUP(C783,'RAW DATA 2023'!E:BO,27,0)</f>
        <v>2.3685222937722696</v>
      </c>
      <c r="H783" s="16">
        <f>IFERROR(VLOOKUP(F783,STD!B:G,5,0),0)</f>
        <v>1.87</v>
      </c>
      <c r="I783" s="21">
        <f t="shared" si="63"/>
        <v>0.78952180645161285</v>
      </c>
      <c r="J783" s="16">
        <f t="shared" si="64"/>
        <v>5.7904361290322566</v>
      </c>
      <c r="K783" s="106" t="str">
        <f>VLOOKUP(C783,'RAW DATA 2023'!E:BO,36,0)</f>
        <v>Normal</v>
      </c>
      <c r="L783" s="106">
        <f>VLOOKUP(C783,'RAW DATA 2023'!E:BO,21,0)</f>
        <v>11.342079999999999</v>
      </c>
      <c r="M783" s="106">
        <f t="shared" si="65"/>
        <v>65.675589810374177</v>
      </c>
    </row>
    <row r="784" spans="1:13">
      <c r="A784" t="str">
        <f>'RAW DATA 2023'!B777</f>
        <v>Kanchanadit</v>
      </c>
      <c r="B784" t="str">
        <f>'RAW DATA 2023'!D777</f>
        <v>C1-046-0013</v>
      </c>
      <c r="C784" t="str">
        <f t="shared" si="61"/>
        <v>KanchanaditC1-046-0013</v>
      </c>
      <c r="D784">
        <f>VLOOKUP(C784,'RAW DATA 2023'!E:BP,63,0)</f>
        <v>11</v>
      </c>
      <c r="E784" t="str">
        <f t="shared" si="62"/>
        <v>Kanchanadit11</v>
      </c>
      <c r="F784">
        <f>ROUND(VLOOKUP(C784,'RAW DATA 2023'!E:BO,23,0),0)</f>
        <v>31</v>
      </c>
      <c r="G784" s="16">
        <f>VLOOKUP(C784,'RAW DATA 2023'!E:BO,27,0)</f>
        <v>1.9766130293217268</v>
      </c>
      <c r="H784" s="16">
        <f>IFERROR(VLOOKUP(F784,STD!B:G,5,0),0)</f>
        <v>1.84</v>
      </c>
      <c r="I784" s="21">
        <f t="shared" si="63"/>
        <v>0.93088529353233829</v>
      </c>
      <c r="J784" s="16">
        <f t="shared" si="64"/>
        <v>8.6177058706467662</v>
      </c>
      <c r="K784" s="106" t="str">
        <f>VLOOKUP(C784,'RAW DATA 2023'!E:BO,36,0)</f>
        <v>Normal</v>
      </c>
      <c r="L784" s="106">
        <f>VLOOKUP(C784,'RAW DATA 2023'!E:BO,21,0)</f>
        <v>10.308909999999999</v>
      </c>
      <c r="M784" s="106">
        <f t="shared" si="65"/>
        <v>88.839154226969143</v>
      </c>
    </row>
    <row r="785" spans="1:13">
      <c r="A785" t="str">
        <f>'RAW DATA 2023'!B778</f>
        <v>Kanchanadit</v>
      </c>
      <c r="B785" t="str">
        <f>'RAW DATA 2023'!D778</f>
        <v>C1-045-0012</v>
      </c>
      <c r="C785" t="str">
        <f t="shared" si="61"/>
        <v>KanchanaditC1-045-0012</v>
      </c>
      <c r="D785">
        <f>VLOOKUP(C785,'RAW DATA 2023'!E:BP,63,0)</f>
        <v>12</v>
      </c>
      <c r="E785" t="str">
        <f t="shared" si="62"/>
        <v>Kanchanadit12</v>
      </c>
      <c r="F785">
        <f>ROUND(VLOOKUP(C785,'RAW DATA 2023'!E:BO,23,0),0)</f>
        <v>30</v>
      </c>
      <c r="G785" s="16">
        <f>VLOOKUP(C785,'RAW DATA 2023'!E:BO,27,0)</f>
        <v>2.0465122843664103</v>
      </c>
      <c r="H785" s="16">
        <f>IFERROR(VLOOKUP(F785,STD!B:G,5,0),0)</f>
        <v>1.87</v>
      </c>
      <c r="I785" s="21">
        <f t="shared" si="63"/>
        <v>0.91374970689655177</v>
      </c>
      <c r="J785" s="16">
        <f t="shared" si="64"/>
        <v>8.274994137931035</v>
      </c>
      <c r="K785" s="106" t="str">
        <f>VLOOKUP(C785,'RAW DATA 2023'!E:BO,36,0)</f>
        <v>Normal</v>
      </c>
      <c r="L785" s="106">
        <f>VLOOKUP(C785,'RAW DATA 2023'!E:BO,21,0)</f>
        <v>8.6442700000000006</v>
      </c>
      <c r="M785" s="106">
        <f t="shared" si="65"/>
        <v>71.531283576693113</v>
      </c>
    </row>
    <row r="786" spans="1:13">
      <c r="A786" t="str">
        <f>'RAW DATA 2023'!B779</f>
        <v>Kanchanadit</v>
      </c>
      <c r="B786" t="str">
        <f>'RAW DATA 2023'!D779</f>
        <v>C1-045-0011</v>
      </c>
      <c r="C786" t="str">
        <f t="shared" si="61"/>
        <v>KanchanaditC1-045-0011</v>
      </c>
      <c r="D786">
        <f>VLOOKUP(C786,'RAW DATA 2023'!E:BP,63,0)</f>
        <v>6</v>
      </c>
      <c r="E786" t="str">
        <f t="shared" si="62"/>
        <v>Kanchanadit6</v>
      </c>
      <c r="F786">
        <f>ROUND(VLOOKUP(C786,'RAW DATA 2023'!E:BO,23,0),0)</f>
        <v>26</v>
      </c>
      <c r="G786" s="16">
        <f>VLOOKUP(C786,'RAW DATA 2023'!E:BO,27,0)</f>
        <v>2.6343948507639268</v>
      </c>
      <c r="H786" s="16">
        <f>IFERROR(VLOOKUP(F786,STD!B:G,5,0),0)</f>
        <v>2</v>
      </c>
      <c r="I786" s="21">
        <f t="shared" si="63"/>
        <v>0.75918763636363629</v>
      </c>
      <c r="J786" s="16">
        <f t="shared" si="64"/>
        <v>5.1837527272727257</v>
      </c>
      <c r="K786" s="106" t="str">
        <f>VLOOKUP(C786,'RAW DATA 2023'!E:BO,36,0)</f>
        <v>Normal</v>
      </c>
      <c r="L786" s="106">
        <f>VLOOKUP(C786,'RAW DATA 2023'!E:BO,21,0)</f>
        <v>10.702830000000001</v>
      </c>
      <c r="M786" s="106">
        <f t="shared" si="65"/>
        <v>55.480824202036352</v>
      </c>
    </row>
    <row r="787" spans="1:13">
      <c r="A787" t="str">
        <f>'RAW DATA 2023'!B780</f>
        <v>Kanchanadit</v>
      </c>
      <c r="B787" t="str">
        <f>'RAW DATA 2023'!D780</f>
        <v>D1-048-0013</v>
      </c>
      <c r="C787" t="str">
        <f t="shared" si="61"/>
        <v>KanchanaditD1-048-0013</v>
      </c>
      <c r="D787">
        <f>VLOOKUP(C787,'RAW DATA 2023'!E:BP,63,0)</f>
        <v>12</v>
      </c>
      <c r="E787" t="str">
        <f t="shared" si="62"/>
        <v>Kanchanadit12</v>
      </c>
      <c r="F787">
        <f>ROUND(VLOOKUP(C787,'RAW DATA 2023'!E:BO,23,0),0)</f>
        <v>34</v>
      </c>
      <c r="G787" s="16">
        <f>VLOOKUP(C787,'RAW DATA 2023'!E:BO,27,0)</f>
        <v>1.8312778733425907</v>
      </c>
      <c r="H787" s="16">
        <f>IFERROR(VLOOKUP(F787,STD!B:G,5,0),0)</f>
        <v>1.77</v>
      </c>
      <c r="I787" s="21">
        <f t="shared" si="63"/>
        <v>0.96653818940609948</v>
      </c>
      <c r="J787" s="16">
        <f t="shared" si="64"/>
        <v>9.33076378812199</v>
      </c>
      <c r="K787" s="106" t="str">
        <f>VLOOKUP(C787,'RAW DATA 2023'!E:BO,36,0)</f>
        <v>Normal</v>
      </c>
      <c r="L787" s="106">
        <f>VLOOKUP(C787,'RAW DATA 2023'!E:BO,21,0)</f>
        <v>17.249980000000001</v>
      </c>
      <c r="M787" s="106">
        <f t="shared" si="65"/>
        <v>160.95548872982857</v>
      </c>
    </row>
    <row r="788" spans="1:13">
      <c r="A788" t="str">
        <f>'RAW DATA 2023'!B781</f>
        <v>Kanchanadit</v>
      </c>
      <c r="B788" t="str">
        <f>'RAW DATA 2023'!D781</f>
        <v>C1-040-0015</v>
      </c>
      <c r="C788" t="str">
        <f t="shared" si="61"/>
        <v>KanchanaditC1-040-0015</v>
      </c>
      <c r="D788">
        <f>VLOOKUP(C788,'RAW DATA 2023'!E:BP,63,0)</f>
        <v>7</v>
      </c>
      <c r="E788" t="str">
        <f t="shared" si="62"/>
        <v>Kanchanadit7</v>
      </c>
      <c r="F788">
        <f>ROUND(VLOOKUP(C788,'RAW DATA 2023'!E:BO,23,0),0)</f>
        <v>27</v>
      </c>
      <c r="G788" s="16">
        <f>VLOOKUP(C788,'RAW DATA 2023'!E:BO,27,0)</f>
        <v>2.4877567501604321</v>
      </c>
      <c r="H788" s="16">
        <f>IFERROR(VLOOKUP(F788,STD!B:G,5,0),0)</f>
        <v>1.96</v>
      </c>
      <c r="I788" s="21">
        <f t="shared" si="63"/>
        <v>0.78785837878787879</v>
      </c>
      <c r="J788" s="16">
        <f t="shared" si="64"/>
        <v>5.7571675757575758</v>
      </c>
      <c r="K788" s="106" t="str">
        <f>VLOOKUP(C788,'RAW DATA 2023'!E:BO,36,0)</f>
        <v>Normal</v>
      </c>
      <c r="L788" s="106">
        <f>VLOOKUP(C788,'RAW DATA 2023'!E:BO,21,0)</f>
        <v>10.947010000000001</v>
      </c>
      <c r="M788" s="106">
        <f t="shared" si="65"/>
        <v>63.023771023493943</v>
      </c>
    </row>
    <row r="789" spans="1:13">
      <c r="A789" t="str">
        <f>'RAW DATA 2023'!B782</f>
        <v>Kanchanadit</v>
      </c>
      <c r="B789" t="str">
        <f>'RAW DATA 2023'!D782</f>
        <v>C1-047-0006</v>
      </c>
      <c r="C789" t="str">
        <f t="shared" si="61"/>
        <v>KanchanaditC1-047-0006</v>
      </c>
      <c r="D789">
        <f>VLOOKUP(C789,'RAW DATA 2023'!E:BP,63,0)</f>
        <v>6</v>
      </c>
      <c r="E789" t="str">
        <f t="shared" si="62"/>
        <v>Kanchanadit6</v>
      </c>
      <c r="F789">
        <f>ROUND(VLOOKUP(C789,'RAW DATA 2023'!E:BO,23,0),0)</f>
        <v>26</v>
      </c>
      <c r="G789" s="16">
        <f>VLOOKUP(C789,'RAW DATA 2023'!E:BO,27,0)</f>
        <v>2.5836498304375617</v>
      </c>
      <c r="H789" s="16">
        <f>IFERROR(VLOOKUP(F789,STD!B:G,5,0),0)</f>
        <v>2</v>
      </c>
      <c r="I789" s="21">
        <f t="shared" si="63"/>
        <v>0.77409870967741945</v>
      </c>
      <c r="J789" s="16">
        <f t="shared" si="64"/>
        <v>5.481974193548389</v>
      </c>
      <c r="K789" s="106" t="str">
        <f>VLOOKUP(C789,'RAW DATA 2023'!E:BO,36,0)</f>
        <v>Normal</v>
      </c>
      <c r="L789" s="106">
        <f>VLOOKUP(C789,'RAW DATA 2023'!E:BO,21,0)</f>
        <v>12.138530000000001</v>
      </c>
      <c r="M789" s="106">
        <f t="shared" si="65"/>
        <v>66.543108207612931</v>
      </c>
    </row>
    <row r="790" spans="1:13">
      <c r="A790" t="str">
        <f>'RAW DATA 2023'!B783</f>
        <v>Kanchanadit</v>
      </c>
      <c r="B790" t="str">
        <f>'RAW DATA 2023'!D783</f>
        <v>C1-044-0014</v>
      </c>
      <c r="C790" t="str">
        <f t="shared" si="61"/>
        <v>KanchanaditC1-044-0014</v>
      </c>
      <c r="D790">
        <f>VLOOKUP(C790,'RAW DATA 2023'!E:BP,63,0)</f>
        <v>6</v>
      </c>
      <c r="E790" t="str">
        <f t="shared" si="62"/>
        <v>Kanchanadit6</v>
      </c>
      <c r="F790">
        <f>ROUND(VLOOKUP(C790,'RAW DATA 2023'!E:BO,23,0),0)</f>
        <v>27</v>
      </c>
      <c r="G790" s="16">
        <f>VLOOKUP(C790,'RAW DATA 2023'!E:BO,27,0)</f>
        <v>2.3241861294733828</v>
      </c>
      <c r="H790" s="16">
        <f>IFERROR(VLOOKUP(F790,STD!B:G,5,0),0)</f>
        <v>1.96</v>
      </c>
      <c r="I790" s="21">
        <f t="shared" si="63"/>
        <v>0.84330595348837201</v>
      </c>
      <c r="J790" s="16">
        <f t="shared" si="64"/>
        <v>6.8661190697674401</v>
      </c>
      <c r="K790" s="106" t="str">
        <f>VLOOKUP(C790,'RAW DATA 2023'!E:BO,36,0)</f>
        <v>Normal</v>
      </c>
      <c r="L790" s="106">
        <f>VLOOKUP(C790,'RAW DATA 2023'!E:BO,21,0)</f>
        <v>13.145809999999999</v>
      </c>
      <c r="M790" s="106">
        <f t="shared" si="65"/>
        <v>90.2606967285395</v>
      </c>
    </row>
    <row r="791" spans="1:13">
      <c r="A791" t="str">
        <f>'RAW DATA 2023'!B784</f>
        <v>Kanchanadit</v>
      </c>
      <c r="B791" t="str">
        <f>'RAW DATA 2023'!D784</f>
        <v>C1-046-0012</v>
      </c>
      <c r="C791" t="str">
        <f t="shared" si="61"/>
        <v>KanchanaditC1-046-0012</v>
      </c>
      <c r="D791">
        <f>VLOOKUP(C791,'RAW DATA 2023'!E:BP,63,0)</f>
        <v>4</v>
      </c>
      <c r="E791" t="str">
        <f t="shared" si="62"/>
        <v>Kanchanadit4</v>
      </c>
      <c r="F791">
        <f>ROUND(VLOOKUP(C791,'RAW DATA 2023'!E:BO,23,0),0)</f>
        <v>25</v>
      </c>
      <c r="G791" s="16">
        <f>VLOOKUP(C791,'RAW DATA 2023'!E:BO,27,0)</f>
        <v>3.1790283967602986</v>
      </c>
      <c r="H791" s="16">
        <f>IFERROR(VLOOKUP(F791,STD!B:G,5,0),0)</f>
        <v>2.04</v>
      </c>
      <c r="I791" s="21">
        <f t="shared" si="63"/>
        <v>0.64170549784296804</v>
      </c>
      <c r="J791" s="16">
        <f t="shared" si="64"/>
        <v>2.8341099568593608</v>
      </c>
      <c r="K791" s="106" t="str">
        <f>VLOOKUP(C791,'RAW DATA 2023'!E:BO,36,0)</f>
        <v>Normal</v>
      </c>
      <c r="L791" s="106">
        <f>VLOOKUP(C791,'RAW DATA 2023'!E:BO,21,0)</f>
        <v>9.5419199999999993</v>
      </c>
      <c r="M791" s="106">
        <f t="shared" si="65"/>
        <v>27.042850479555469</v>
      </c>
    </row>
    <row r="792" spans="1:13">
      <c r="A792" t="str">
        <f>'RAW DATA 2023'!B785</f>
        <v>Kanchanadit</v>
      </c>
      <c r="B792" t="str">
        <f>'RAW DATA 2023'!D785</f>
        <v>C1-043-0013</v>
      </c>
      <c r="C792" t="str">
        <f t="shared" si="61"/>
        <v>KanchanaditC1-043-0013</v>
      </c>
      <c r="D792">
        <f>VLOOKUP(C792,'RAW DATA 2023'!E:BP,63,0)</f>
        <v>1</v>
      </c>
      <c r="E792" t="str">
        <f t="shared" si="62"/>
        <v>Kanchanadit1</v>
      </c>
      <c r="F792">
        <f>ROUND(VLOOKUP(C792,'RAW DATA 2023'!E:BO,23,0),0)</f>
        <v>81</v>
      </c>
      <c r="G792" s="16">
        <f>VLOOKUP(C792,'RAW DATA 2023'!E:BO,27,0)</f>
        <v>1.4525348259400912</v>
      </c>
      <c r="H792" s="16">
        <f>IFERROR(VLOOKUP(F792,STD!B:G,5,0),0)</f>
        <v>1.28</v>
      </c>
      <c r="I792" s="21">
        <f t="shared" si="63"/>
        <v>0.88121811411411399</v>
      </c>
      <c r="J792" s="16">
        <f t="shared" si="64"/>
        <v>7.6243622822822799</v>
      </c>
      <c r="K792" s="106" t="str">
        <f>VLOOKUP(C792,'RAW DATA 2023'!E:BO,36,0)</f>
        <v>EHP</v>
      </c>
      <c r="L792" s="106">
        <f>VLOOKUP(C792,'RAW DATA 2023'!E:BO,21,0)</f>
        <v>6.0183599999999995</v>
      </c>
      <c r="M792" s="106">
        <f t="shared" si="65"/>
        <v>45.886156985196379</v>
      </c>
    </row>
    <row r="793" spans="1:13">
      <c r="A793" t="str">
        <f>'RAW DATA 2023'!B786</f>
        <v>Kanchanadit</v>
      </c>
      <c r="B793" t="str">
        <f>'RAW DATA 2023'!D786</f>
        <v>C1-040-0016</v>
      </c>
      <c r="C793" t="str">
        <f t="shared" si="61"/>
        <v>KanchanaditC1-040-0016</v>
      </c>
      <c r="D793">
        <f>VLOOKUP(C793,'RAW DATA 2023'!E:BP,63,0)</f>
        <v>12</v>
      </c>
      <c r="E793" t="str">
        <f t="shared" si="62"/>
        <v>Kanchanadit12</v>
      </c>
      <c r="F793">
        <f>ROUND(VLOOKUP(C793,'RAW DATA 2023'!E:BO,23,0),0)</f>
        <v>125</v>
      </c>
      <c r="G793" s="16">
        <f>VLOOKUP(C793,'RAW DATA 2023'!E:BO,27,0)</f>
        <v>1.8426014843029181</v>
      </c>
      <c r="H793" s="16">
        <f>IFERROR(VLOOKUP(F793,STD!B:G,5,0),0)</f>
        <v>1.1499999999999999</v>
      </c>
      <c r="I793" s="21">
        <f t="shared" si="63"/>
        <v>0.62411759124087596</v>
      </c>
      <c r="J793" s="16">
        <f t="shared" si="64"/>
        <v>2.4823518248175191</v>
      </c>
      <c r="K793" s="106" t="str">
        <f>VLOOKUP(C793,'RAW DATA 2023'!E:BO,36,0)</f>
        <v>WSSV</v>
      </c>
      <c r="L793" s="106">
        <f>VLOOKUP(C793,'RAW DATA 2023'!E:BO,21,0)</f>
        <v>4.0044000000000004</v>
      </c>
      <c r="M793" s="106">
        <f t="shared" si="65"/>
        <v>9.9403296472992739</v>
      </c>
    </row>
    <row r="794" spans="1:13">
      <c r="A794" t="str">
        <f>'RAW DATA 2023'!B787</f>
        <v>Kanchanadit</v>
      </c>
      <c r="B794" t="str">
        <f>'RAW DATA 2023'!D787</f>
        <v>D1-049-0011</v>
      </c>
      <c r="C794" t="str">
        <f t="shared" si="61"/>
        <v>KanchanaditD1-049-0011</v>
      </c>
      <c r="D794">
        <f>VLOOKUP(C794,'RAW DATA 2023'!E:BP,63,0)</f>
        <v>7</v>
      </c>
      <c r="E794" t="str">
        <f t="shared" si="62"/>
        <v>Kanchanadit7</v>
      </c>
      <c r="F794">
        <f>ROUND(VLOOKUP(C794,'RAW DATA 2023'!E:BO,23,0),0)</f>
        <v>28</v>
      </c>
      <c r="G794" s="16">
        <f>VLOOKUP(C794,'RAW DATA 2023'!E:BO,27,0)</f>
        <v>1.9393833056288476</v>
      </c>
      <c r="H794" s="16">
        <f>IFERROR(VLOOKUP(F794,STD!B:G,5,0),0)</f>
        <v>1.93</v>
      </c>
      <c r="I794" s="21">
        <f t="shared" si="63"/>
        <v>0.99516170650659219</v>
      </c>
      <c r="J794" s="16">
        <f t="shared" si="64"/>
        <v>9.9032341301318443</v>
      </c>
      <c r="K794" s="106" t="str">
        <f>VLOOKUP(C794,'RAW DATA 2023'!E:BO,36,0)</f>
        <v>Normal</v>
      </c>
      <c r="L794" s="106">
        <f>VLOOKUP(C794,'RAW DATA 2023'!E:BO,21,0)</f>
        <v>24.481459999999998</v>
      </c>
      <c r="M794" s="106">
        <f t="shared" si="65"/>
        <v>242.44563022745751</v>
      </c>
    </row>
    <row r="795" spans="1:13">
      <c r="A795" t="str">
        <f>'RAW DATA 2023'!B788</f>
        <v>Kanchanadit</v>
      </c>
      <c r="B795" t="str">
        <f>'RAW DATA 2023'!D788</f>
        <v>D1-048-0012</v>
      </c>
      <c r="C795" t="str">
        <f t="shared" si="61"/>
        <v>KanchanaditD1-048-0012</v>
      </c>
      <c r="D795">
        <f>VLOOKUP(C795,'RAW DATA 2023'!E:BP,63,0)</f>
        <v>7</v>
      </c>
      <c r="E795" t="str">
        <f t="shared" si="62"/>
        <v>Kanchanadit7</v>
      </c>
      <c r="F795">
        <f>ROUND(VLOOKUP(C795,'RAW DATA 2023'!E:BO,23,0),0)</f>
        <v>30</v>
      </c>
      <c r="G795" s="16">
        <f>VLOOKUP(C795,'RAW DATA 2023'!E:BO,27,0)</f>
        <v>2.0724263081718179</v>
      </c>
      <c r="H795" s="16">
        <f>IFERROR(VLOOKUP(F795,STD!B:G,5,0),0)</f>
        <v>1.87</v>
      </c>
      <c r="I795" s="21">
        <f t="shared" si="63"/>
        <v>0.90232400188434814</v>
      </c>
      <c r="J795" s="16">
        <f t="shared" si="64"/>
        <v>8.0464800376869619</v>
      </c>
      <c r="K795" s="106" t="str">
        <f>VLOOKUP(C795,'RAW DATA 2023'!E:BO,36,0)</f>
        <v>Normal</v>
      </c>
      <c r="L795" s="106">
        <f>VLOOKUP(C795,'RAW DATA 2023'!E:BO,21,0)</f>
        <v>20.918849999999999</v>
      </c>
      <c r="M795" s="106">
        <f t="shared" si="65"/>
        <v>168.3231089363679</v>
      </c>
    </row>
    <row r="796" spans="1:13">
      <c r="A796" t="str">
        <f>'RAW DATA 2023'!B789</f>
        <v>Kanchanadit</v>
      </c>
      <c r="B796" t="str">
        <f>'RAW DATA 2023'!D789</f>
        <v>D1-050-0012</v>
      </c>
      <c r="C796" t="str">
        <f t="shared" si="61"/>
        <v>KanchanaditD1-050-0012</v>
      </c>
      <c r="D796">
        <f>VLOOKUP(C796,'RAW DATA 2023'!E:BP,63,0)</f>
        <v>1</v>
      </c>
      <c r="E796" t="str">
        <f t="shared" si="62"/>
        <v>Kanchanadit1</v>
      </c>
      <c r="F796">
        <f>ROUND(VLOOKUP(C796,'RAW DATA 2023'!E:BO,23,0),0)</f>
        <v>35</v>
      </c>
      <c r="G796" s="16">
        <f>VLOOKUP(C796,'RAW DATA 2023'!E:BO,27,0)</f>
        <v>2.7138378726249641</v>
      </c>
      <c r="H796" s="16">
        <f>IFERROR(VLOOKUP(F796,STD!B:G,5,0),0)</f>
        <v>1.75</v>
      </c>
      <c r="I796" s="21">
        <f t="shared" si="63"/>
        <v>0.64484323756131745</v>
      </c>
      <c r="J796" s="16">
        <f t="shared" si="64"/>
        <v>2.896864751226349</v>
      </c>
      <c r="K796" s="106" t="str">
        <f>VLOOKUP(C796,'RAW DATA 2023'!E:BO,36,0)</f>
        <v>AHPND</v>
      </c>
      <c r="L796" s="106">
        <f>VLOOKUP(C796,'RAW DATA 2023'!E:BO,21,0)</f>
        <v>13.685589999999999</v>
      </c>
      <c r="M796" s="106">
        <f t="shared" si="65"/>
        <v>39.645303270735809</v>
      </c>
    </row>
    <row r="797" spans="1:13">
      <c r="A797" t="str">
        <f>'RAW DATA 2023'!B790</f>
        <v>Kanchanadit</v>
      </c>
      <c r="B797" t="str">
        <f>'RAW DATA 2023'!D790</f>
        <v>D1-053-0005</v>
      </c>
      <c r="C797" t="str">
        <f t="shared" si="61"/>
        <v>KanchanaditD1-053-0005</v>
      </c>
      <c r="D797">
        <f>VLOOKUP(C797,'RAW DATA 2023'!E:BP,63,0)</f>
        <v>1</v>
      </c>
      <c r="E797" t="str">
        <f t="shared" si="62"/>
        <v>Kanchanadit1</v>
      </c>
      <c r="F797">
        <f>ROUND(VLOOKUP(C797,'RAW DATA 2023'!E:BO,23,0),0)</f>
        <v>46</v>
      </c>
      <c r="G797" s="16">
        <f>VLOOKUP(C797,'RAW DATA 2023'!E:BO,27,0)</f>
        <v>1.5846239706257434</v>
      </c>
      <c r="H797" s="16">
        <f>IFERROR(VLOOKUP(F797,STD!B:G,5,0),0)</f>
        <v>1.54</v>
      </c>
      <c r="I797" s="21">
        <f t="shared" si="63"/>
        <v>0.97183939442231071</v>
      </c>
      <c r="J797" s="16">
        <f t="shared" si="64"/>
        <v>9.4367878884462151</v>
      </c>
      <c r="K797" s="106" t="str">
        <f>VLOOKUP(C797,'RAW DATA 2023'!E:BO,36,0)</f>
        <v>WFD</v>
      </c>
      <c r="L797" s="106">
        <f>VLOOKUP(C797,'RAW DATA 2023'!E:BO,21,0)</f>
        <v>16.167719999999999</v>
      </c>
      <c r="M797" s="106">
        <f t="shared" si="65"/>
        <v>152.57134427978963</v>
      </c>
    </row>
    <row r="798" spans="1:13">
      <c r="A798" t="str">
        <f>'RAW DATA 2023'!B791</f>
        <v>Kanchanadit</v>
      </c>
      <c r="B798" t="str">
        <f>'RAW DATA 2023'!D791</f>
        <v>D1-048-0011</v>
      </c>
      <c r="C798" t="str">
        <f t="shared" si="61"/>
        <v>KanchanaditD1-048-0011</v>
      </c>
      <c r="D798">
        <f>VLOOKUP(C798,'RAW DATA 2023'!E:BP,63,0)</f>
        <v>1</v>
      </c>
      <c r="E798" t="str">
        <f t="shared" si="62"/>
        <v>Kanchanadit1</v>
      </c>
      <c r="F798">
        <f>ROUND(VLOOKUP(C798,'RAW DATA 2023'!E:BO,23,0),0)</f>
        <v>58</v>
      </c>
      <c r="G798" s="16">
        <f>VLOOKUP(C798,'RAW DATA 2023'!E:BO,27,0)</f>
        <v>2.249108585012038</v>
      </c>
      <c r="H798" s="16">
        <f>IFERROR(VLOOKUP(F798,STD!B:G,5,0),0)</f>
        <v>1.42</v>
      </c>
      <c r="I798" s="21">
        <f t="shared" si="63"/>
        <v>0.63136124661246606</v>
      </c>
      <c r="J798" s="16">
        <f t="shared" si="64"/>
        <v>2.6272249322493213</v>
      </c>
      <c r="K798" s="106" t="str">
        <f>VLOOKUP(C798,'RAW DATA 2023'!E:BO,36,0)</f>
        <v>WFD</v>
      </c>
      <c r="L798" s="106">
        <f>VLOOKUP(C798,'RAW DATA 2023'!E:BO,21,0)</f>
        <v>8.48325</v>
      </c>
      <c r="M798" s="106">
        <f t="shared" si="65"/>
        <v>22.287405906504056</v>
      </c>
    </row>
    <row r="799" spans="1:13">
      <c r="A799" t="str">
        <f>'RAW DATA 2023'!B792</f>
        <v>Kanchanadit</v>
      </c>
      <c r="B799" t="str">
        <f>'RAW DATA 2023'!D792</f>
        <v>D1-052-0011</v>
      </c>
      <c r="C799" t="str">
        <f t="shared" si="61"/>
        <v>KanchanaditD1-052-0011</v>
      </c>
      <c r="D799">
        <f>VLOOKUP(C799,'RAW DATA 2023'!E:BP,63,0)</f>
        <v>1</v>
      </c>
      <c r="E799" t="str">
        <f t="shared" si="62"/>
        <v>Kanchanadit1</v>
      </c>
      <c r="F799">
        <f>ROUND(VLOOKUP(C799,'RAW DATA 2023'!E:BO,23,0),0)</f>
        <v>59</v>
      </c>
      <c r="G799" s="16">
        <f>VLOOKUP(C799,'RAW DATA 2023'!E:BO,27,0)</f>
        <v>1.824600130897567</v>
      </c>
      <c r="H799" s="16">
        <f>IFERROR(VLOOKUP(F799,STD!B:G,5,0),0)</f>
        <v>1.41</v>
      </c>
      <c r="I799" s="21">
        <f t="shared" si="63"/>
        <v>0.77277205899705004</v>
      </c>
      <c r="J799" s="16">
        <f t="shared" si="64"/>
        <v>5.4554411799410012</v>
      </c>
      <c r="K799" s="106" t="str">
        <f>VLOOKUP(C799,'RAW DATA 2023'!E:BO,36,0)</f>
        <v>AHPND</v>
      </c>
      <c r="L799" s="106">
        <f>VLOOKUP(C799,'RAW DATA 2023'!E:BO,21,0)</f>
        <v>14.374559999999999</v>
      </c>
      <c r="M799" s="106">
        <f t="shared" si="65"/>
        <v>78.419566567532712</v>
      </c>
    </row>
    <row r="800" spans="1:13">
      <c r="A800" t="str">
        <f>'RAW DATA 2023'!B793</f>
        <v>Kanchanadit</v>
      </c>
      <c r="B800" t="str">
        <f>'RAW DATA 2023'!D793</f>
        <v>D1-051-0005</v>
      </c>
      <c r="C800" t="str">
        <f t="shared" si="61"/>
        <v>KanchanaditD1-051-0005</v>
      </c>
      <c r="D800">
        <f>VLOOKUP(C800,'RAW DATA 2023'!E:BP,63,0)</f>
        <v>1</v>
      </c>
      <c r="E800" t="str">
        <f t="shared" si="62"/>
        <v>Kanchanadit1</v>
      </c>
      <c r="F800">
        <f>ROUND(VLOOKUP(C800,'RAW DATA 2023'!E:BO,23,0),0)</f>
        <v>102</v>
      </c>
      <c r="G800" s="16">
        <f>VLOOKUP(C800,'RAW DATA 2023'!E:BO,27,0)</f>
        <v>1.1450296994554572</v>
      </c>
      <c r="H800" s="16">
        <f>IFERROR(VLOOKUP(F800,STD!B:G,5,0),0)</f>
        <v>1.21</v>
      </c>
      <c r="I800" s="21">
        <f t="shared" si="63"/>
        <v>1.0567411487889273</v>
      </c>
      <c r="J800" s="16">
        <f t="shared" si="64"/>
        <v>11.134822975778548</v>
      </c>
      <c r="K800" s="106" t="str">
        <f>VLOOKUP(C800,'RAW DATA 2023'!E:BO,36,0)</f>
        <v>EHP</v>
      </c>
      <c r="L800" s="106">
        <f>VLOOKUP(C800,'RAW DATA 2023'!E:BO,21,0)</f>
        <v>6.3130800000000002</v>
      </c>
      <c r="M800" s="106">
        <f t="shared" si="65"/>
        <v>70.295028231928029</v>
      </c>
    </row>
    <row r="801" spans="1:13">
      <c r="A801" t="str">
        <f>'RAW DATA 2023'!B794</f>
        <v>Kanchanadit</v>
      </c>
      <c r="B801" t="str">
        <f>'RAW DATA 2023'!D794</f>
        <v>D1-052-0012</v>
      </c>
      <c r="C801" t="str">
        <f t="shared" si="61"/>
        <v>KanchanaditD1-052-0012</v>
      </c>
      <c r="D801">
        <f>VLOOKUP(C801,'RAW DATA 2023'!E:BP,63,0)</f>
        <v>3</v>
      </c>
      <c r="E801" t="str">
        <f t="shared" si="62"/>
        <v>Kanchanadit3</v>
      </c>
      <c r="F801">
        <f>ROUND(VLOOKUP(C801,'RAW DATA 2023'!E:BO,23,0),0)</f>
        <v>0</v>
      </c>
      <c r="G801" s="16">
        <f>VLOOKUP(C801,'RAW DATA 2023'!E:BO,27,0)</f>
        <v>0</v>
      </c>
      <c r="H801" s="16">
        <f>IFERROR(VLOOKUP(F801,STD!B:G,5,0),0)</f>
        <v>0</v>
      </c>
      <c r="I801" s="21">
        <f t="shared" si="63"/>
        <v>0</v>
      </c>
      <c r="J801" s="16">
        <f t="shared" si="64"/>
        <v>-10</v>
      </c>
      <c r="K801" s="106" t="str">
        <f>VLOOKUP(C801,'RAW DATA 2023'!E:BO,36,0)</f>
        <v>EHP</v>
      </c>
      <c r="L801" s="106">
        <f>VLOOKUP(C801,'RAW DATA 2023'!E:BO,21,0)</f>
        <v>0</v>
      </c>
      <c r="M801" s="106">
        <f t="shared" si="65"/>
        <v>0</v>
      </c>
    </row>
    <row r="802" spans="1:13">
      <c r="A802" t="str">
        <f>'RAW DATA 2023'!B795</f>
        <v>Pakpanang1</v>
      </c>
      <c r="B802" t="str">
        <f>'RAW DATA 2023'!D795</f>
        <v>C1-139-0010</v>
      </c>
      <c r="C802" t="str">
        <f t="shared" si="61"/>
        <v>Pakpanang1C1-139-0010</v>
      </c>
      <c r="D802">
        <f>VLOOKUP(C802,'RAW DATA 2023'!E:BP,63,0)</f>
        <v>11</v>
      </c>
      <c r="E802" t="str">
        <f t="shared" si="62"/>
        <v>Pakpanang111</v>
      </c>
      <c r="F802">
        <f>ROUND(VLOOKUP(C802,'RAW DATA 2023'!E:BO,23,0),0)</f>
        <v>22</v>
      </c>
      <c r="G802" s="16">
        <f>VLOOKUP(C802,'RAW DATA 2023'!E:BO,27,0)</f>
        <v>1.9817702829531141</v>
      </c>
      <c r="H802" s="16">
        <f>IFERROR(VLOOKUP(F802,STD!B:G,5,0),0)</f>
        <v>2.177</v>
      </c>
      <c r="I802" s="21">
        <f t="shared" si="63"/>
        <v>1.0985127886547812</v>
      </c>
      <c r="J802" s="16">
        <f t="shared" si="64"/>
        <v>11.970255773095623</v>
      </c>
      <c r="K802" s="106" t="str">
        <f>VLOOKUP(C802,'RAW DATA 2023'!E:BO,36,0)</f>
        <v>Normal</v>
      </c>
      <c r="L802" s="106">
        <f>VLOOKUP(C802,'RAW DATA 2023'!E:BO,21,0)</f>
        <v>15.96889</v>
      </c>
      <c r="M802" s="106">
        <f t="shared" si="65"/>
        <v>191.15169771242896</v>
      </c>
    </row>
    <row r="803" spans="1:13">
      <c r="A803" t="str">
        <f>'RAW DATA 2023'!B796</f>
        <v>Pakpanang1</v>
      </c>
      <c r="B803" t="str">
        <f>'RAW DATA 2023'!D796</f>
        <v>C1-138-0011</v>
      </c>
      <c r="C803" t="str">
        <f t="shared" si="61"/>
        <v>Pakpanang1C1-138-0011</v>
      </c>
      <c r="D803">
        <f>VLOOKUP(C803,'RAW DATA 2023'!E:BP,63,0)</f>
        <v>11</v>
      </c>
      <c r="E803" t="str">
        <f t="shared" si="62"/>
        <v>Pakpanang111</v>
      </c>
      <c r="F803">
        <f>ROUND(VLOOKUP(C803,'RAW DATA 2023'!E:BO,23,0),0)</f>
        <v>33</v>
      </c>
      <c r="G803" s="16">
        <f>VLOOKUP(C803,'RAW DATA 2023'!E:BO,27,0)</f>
        <v>1.6719564485408727</v>
      </c>
      <c r="H803" s="16">
        <f>IFERROR(VLOOKUP(F803,STD!B:G,5,0),0)</f>
        <v>1.8</v>
      </c>
      <c r="I803" s="21">
        <f t="shared" si="63"/>
        <v>1.0765830662460567</v>
      </c>
      <c r="J803" s="16">
        <f t="shared" si="64"/>
        <v>11.531661324921135</v>
      </c>
      <c r="K803" s="106" t="str">
        <f>VLOOKUP(C803,'RAW DATA 2023'!E:BO,36,0)</f>
        <v>Normal</v>
      </c>
      <c r="L803" s="106">
        <f>VLOOKUP(C803,'RAW DATA 2023'!E:BO,21,0)</f>
        <v>24.964779999999998</v>
      </c>
      <c r="M803" s="106">
        <f t="shared" si="65"/>
        <v>287.88538801116465</v>
      </c>
    </row>
    <row r="804" spans="1:13">
      <c r="A804" t="str">
        <f>'RAW DATA 2023'!B797</f>
        <v>Pakpanang1</v>
      </c>
      <c r="B804" t="str">
        <f>'RAW DATA 2023'!D797</f>
        <v>D1-174-0009</v>
      </c>
      <c r="C804" t="str">
        <f t="shared" si="61"/>
        <v>Pakpanang1D1-174-0009</v>
      </c>
      <c r="D804">
        <f>VLOOKUP(C804,'RAW DATA 2023'!E:BP,63,0)</f>
        <v>11</v>
      </c>
      <c r="E804" t="str">
        <f t="shared" si="62"/>
        <v>Pakpanang111</v>
      </c>
      <c r="F804">
        <f>ROUND(VLOOKUP(C804,'RAW DATA 2023'!E:BO,23,0),0)</f>
        <v>26</v>
      </c>
      <c r="G804" s="16">
        <f>VLOOKUP(C804,'RAW DATA 2023'!E:BO,27,0)</f>
        <v>2.0833944043585868</v>
      </c>
      <c r="H804" s="16">
        <f>IFERROR(VLOOKUP(F804,STD!B:G,5,0),0)</f>
        <v>2</v>
      </c>
      <c r="J804" s="16">
        <f t="shared" si="64"/>
        <v>-10</v>
      </c>
      <c r="K804" s="106" t="str">
        <f>VLOOKUP(C804,'RAW DATA 2023'!E:BO,36,0)</f>
        <v>Normal</v>
      </c>
      <c r="L804" s="106">
        <f>VLOOKUP(C804,'RAW DATA 2023'!E:BO,21,0)</f>
        <v>24.455299999999998</v>
      </c>
      <c r="M804" s="106">
        <f t="shared" si="65"/>
        <v>-244.55299999999997</v>
      </c>
    </row>
    <row r="805" spans="1:13">
      <c r="A805" t="str">
        <f>'RAW DATA 2023'!B798</f>
        <v>Pakpanang1</v>
      </c>
      <c r="B805" t="str">
        <f>'RAW DATA 2023'!D798</f>
        <v>C1-140-0010</v>
      </c>
      <c r="C805" t="str">
        <f t="shared" si="61"/>
        <v>Pakpanang1C1-140-0010</v>
      </c>
      <c r="D805">
        <f>VLOOKUP(C805,'RAW DATA 2023'!E:BP,63,0)</f>
        <v>11</v>
      </c>
      <c r="E805" t="str">
        <f t="shared" si="62"/>
        <v>Pakpanang111</v>
      </c>
      <c r="F805">
        <f>ROUND(VLOOKUP(C805,'RAW DATA 2023'!E:BO,23,0),0)</f>
        <v>34</v>
      </c>
      <c r="G805" s="16">
        <f>VLOOKUP(C805,'RAW DATA 2023'!E:BO,27,0)</f>
        <v>1.7600861917087913</v>
      </c>
      <c r="H805" s="16">
        <f>IFERROR(VLOOKUP(F805,STD!B:G,5,0),0)</f>
        <v>1.77</v>
      </c>
      <c r="J805" s="16">
        <f t="shared" si="64"/>
        <v>-10</v>
      </c>
      <c r="K805" s="106" t="str">
        <f>VLOOKUP(C805,'RAW DATA 2023'!E:BO,36,0)</f>
        <v>Normal</v>
      </c>
      <c r="L805" s="106">
        <f>VLOOKUP(C805,'RAW DATA 2023'!E:BO,21,0)</f>
        <v>14.961799999999998</v>
      </c>
      <c r="M805" s="106">
        <f t="shared" si="65"/>
        <v>-149.61799999999999</v>
      </c>
    </row>
    <row r="806" spans="1:13">
      <c r="A806" t="str">
        <f>'RAW DATA 2023'!B799</f>
        <v>Pakpanang1</v>
      </c>
      <c r="B806" t="str">
        <f>'RAW DATA 2023'!D799</f>
        <v>D1-173-0009</v>
      </c>
      <c r="C806" t="str">
        <f t="shared" si="61"/>
        <v>Pakpanang1D1-173-0009</v>
      </c>
      <c r="D806">
        <f>VLOOKUP(C806,'RAW DATA 2023'!E:BP,63,0)</f>
        <v>10</v>
      </c>
      <c r="E806" t="str">
        <f t="shared" si="62"/>
        <v>Pakpanang110</v>
      </c>
      <c r="F806">
        <f>ROUND(VLOOKUP(C806,'RAW DATA 2023'!E:BO,23,0),0)</f>
        <v>29</v>
      </c>
      <c r="G806" s="16">
        <f>VLOOKUP(C806,'RAW DATA 2023'!E:BO,27,0)</f>
        <v>1.5727700200474664</v>
      </c>
      <c r="H806" s="16">
        <f>IFERROR(VLOOKUP(F806,STD!B:G,5,0),0)</f>
        <v>1.9</v>
      </c>
      <c r="I806" s="21">
        <f t="shared" si="63"/>
        <v>1.2080596500324043</v>
      </c>
      <c r="J806" s="16">
        <f t="shared" si="64"/>
        <v>14.161193000648087</v>
      </c>
      <c r="K806" s="106" t="str">
        <f>VLOOKUP(C806,'RAW DATA 2023'!E:BO,36,0)</f>
        <v>Normal</v>
      </c>
      <c r="L806" s="106">
        <f>VLOOKUP(C806,'RAW DATA 2023'!E:BO,21,0)</f>
        <v>24.95879</v>
      </c>
      <c r="M806" s="106">
        <f t="shared" si="65"/>
        <v>353.44624225264545</v>
      </c>
    </row>
    <row r="807" spans="1:13">
      <c r="A807" t="str">
        <f>'RAW DATA 2023'!B800</f>
        <v>Pakpanang1</v>
      </c>
      <c r="B807" t="str">
        <f>'RAW DATA 2023'!D800</f>
        <v>A1-183-0011</v>
      </c>
      <c r="C807" t="str">
        <f t="shared" si="61"/>
        <v>Pakpanang1A1-183-0011</v>
      </c>
      <c r="D807">
        <f>VLOOKUP(C807,'RAW DATA 2023'!E:BP,63,0)</f>
        <v>11</v>
      </c>
      <c r="E807" t="str">
        <f t="shared" si="62"/>
        <v>Pakpanang111</v>
      </c>
      <c r="F807">
        <f>ROUND(VLOOKUP(C807,'RAW DATA 2023'!E:BO,23,0),0)</f>
        <v>28</v>
      </c>
      <c r="G807" s="16">
        <f>VLOOKUP(C807,'RAW DATA 2023'!E:BO,27,0)</f>
        <v>1.7706375022520797</v>
      </c>
      <c r="H807" s="16">
        <f>IFERROR(VLOOKUP(F807,STD!B:G,5,0),0)</f>
        <v>1.93</v>
      </c>
      <c r="I807" s="21">
        <f t="shared" si="63"/>
        <v>1.0900028930513594</v>
      </c>
      <c r="J807" s="16">
        <f t="shared" si="64"/>
        <v>11.800057861027188</v>
      </c>
      <c r="K807" s="106" t="str">
        <f>VLOOKUP(C807,'RAW DATA 2023'!E:BO,36,0)</f>
        <v>Normal</v>
      </c>
      <c r="L807" s="106">
        <f>VLOOKUP(C807,'RAW DATA 2023'!E:BO,21,0)</f>
        <v>23.717290000000002</v>
      </c>
      <c r="M807" s="106">
        <f t="shared" si="65"/>
        <v>279.86539430676152</v>
      </c>
    </row>
    <row r="808" spans="1:13">
      <c r="A808" t="str">
        <f>'RAW DATA 2023'!B801</f>
        <v>Pakpanang1</v>
      </c>
      <c r="B808" t="str">
        <f>'RAW DATA 2023'!D801</f>
        <v>C1-137-0010</v>
      </c>
      <c r="C808" t="str">
        <f t="shared" si="61"/>
        <v>Pakpanang1C1-137-0010</v>
      </c>
      <c r="D808">
        <f>VLOOKUP(C808,'RAW DATA 2023'!E:BP,63,0)</f>
        <v>5</v>
      </c>
      <c r="E808" t="str">
        <f t="shared" si="62"/>
        <v>Pakpanang15</v>
      </c>
      <c r="F808">
        <f>ROUND(VLOOKUP(C808,'RAW DATA 2023'!E:BO,23,0),0)</f>
        <v>28</v>
      </c>
      <c r="G808" s="16">
        <f>VLOOKUP(C808,'RAW DATA 2023'!E:BO,27,0)</f>
        <v>1.8938159422306862</v>
      </c>
      <c r="H808" s="16">
        <f>IFERROR(VLOOKUP(F808,STD!B:G,5,0),0)</f>
        <v>1.93</v>
      </c>
      <c r="J808" s="16">
        <f t="shared" si="64"/>
        <v>-10</v>
      </c>
      <c r="K808" s="106" t="str">
        <f>VLOOKUP(C808,'RAW DATA 2023'!E:BO,36,0)</f>
        <v>WFD</v>
      </c>
      <c r="L808" s="106">
        <f>VLOOKUP(C808,'RAW DATA 2023'!E:BO,21,0)</f>
        <v>22.874479999999998</v>
      </c>
      <c r="M808" s="106">
        <f t="shared" si="65"/>
        <v>-228.7448</v>
      </c>
    </row>
    <row r="809" spans="1:13">
      <c r="A809" t="str">
        <f>'RAW DATA 2023'!B802</f>
        <v>Pakpanang1</v>
      </c>
      <c r="B809" t="str">
        <f>'RAW DATA 2023'!D802</f>
        <v>C1-136-0009</v>
      </c>
      <c r="C809" t="str">
        <f t="shared" si="61"/>
        <v>Pakpanang1C1-136-0009</v>
      </c>
      <c r="D809">
        <f>VLOOKUP(C809,'RAW DATA 2023'!E:BP,63,0)</f>
        <v>5</v>
      </c>
      <c r="E809" t="str">
        <f t="shared" si="62"/>
        <v>Pakpanang15</v>
      </c>
      <c r="F809">
        <f>ROUND(VLOOKUP(C809,'RAW DATA 2023'!E:BO,23,0),0)</f>
        <v>29</v>
      </c>
      <c r="G809" s="16">
        <f>VLOOKUP(C809,'RAW DATA 2023'!E:BO,27,0)</f>
        <v>2.176313574482434</v>
      </c>
      <c r="H809" s="16">
        <f>IFERROR(VLOOKUP(F809,STD!B:G,5,0),0)</f>
        <v>1.9</v>
      </c>
      <c r="I809" s="21">
        <f t="shared" si="63"/>
        <v>0.87303595505617959</v>
      </c>
      <c r="J809" s="16">
        <f t="shared" si="64"/>
        <v>7.4607191011235923</v>
      </c>
      <c r="K809" s="106" t="str">
        <f>VLOOKUP(C809,'RAW DATA 2023'!E:BO,36,0)</f>
        <v>WFD</v>
      </c>
      <c r="L809" s="106">
        <f>VLOOKUP(C809,'RAW DATA 2023'!E:BO,21,0)</f>
        <v>19.594049999999999</v>
      </c>
      <c r="M809" s="106">
        <f t="shared" si="65"/>
        <v>146.18570310337071</v>
      </c>
    </row>
    <row r="810" spans="1:13">
      <c r="A810" t="str">
        <f>'RAW DATA 2023'!B803</f>
        <v>Pakpanang1</v>
      </c>
      <c r="B810" t="str">
        <f>'RAW DATA 2023'!D803</f>
        <v>D1-171-0009</v>
      </c>
      <c r="C810" t="str">
        <f t="shared" si="61"/>
        <v>Pakpanang1D1-171-0009</v>
      </c>
      <c r="D810">
        <f>VLOOKUP(C810,'RAW DATA 2023'!E:BP,63,0)</f>
        <v>5</v>
      </c>
      <c r="E810" t="str">
        <f t="shared" si="62"/>
        <v>Pakpanang15</v>
      </c>
      <c r="F810">
        <f>ROUND(VLOOKUP(C810,'RAW DATA 2023'!E:BO,23,0),0)</f>
        <v>30</v>
      </c>
      <c r="G810" s="16">
        <f>VLOOKUP(C810,'RAW DATA 2023'!E:BO,27,0)</f>
        <v>2.041155713299633</v>
      </c>
      <c r="H810" s="16">
        <f>IFERROR(VLOOKUP(F810,STD!B:G,5,0),0)</f>
        <v>1.87</v>
      </c>
      <c r="I810" s="21">
        <f t="shared" si="63"/>
        <v>0.91614764508928581</v>
      </c>
      <c r="J810" s="16">
        <f t="shared" si="64"/>
        <v>8.3229529017857153</v>
      </c>
      <c r="K810" s="106" t="str">
        <f>VLOOKUP(C810,'RAW DATA 2023'!E:BO,36,0)</f>
        <v>WFD</v>
      </c>
      <c r="L810" s="106">
        <f>VLOOKUP(C810,'RAW DATA 2023'!E:BO,21,0)</f>
        <v>22.143349999999998</v>
      </c>
      <c r="M810" s="106">
        <f t="shared" si="65"/>
        <v>184.2980591377567</v>
      </c>
    </row>
    <row r="811" spans="1:13">
      <c r="A811" t="str">
        <f>'RAW DATA 2023'!B804</f>
        <v>Pakpanang1</v>
      </c>
      <c r="B811" t="str">
        <f>'RAW DATA 2023'!D804</f>
        <v>A1-184-0010</v>
      </c>
      <c r="C811" t="str">
        <f t="shared" si="61"/>
        <v>Pakpanang1A1-184-0010</v>
      </c>
      <c r="D811">
        <f>VLOOKUP(C811,'RAW DATA 2023'!E:BP,63,0)</f>
        <v>5</v>
      </c>
      <c r="E811" t="str">
        <f t="shared" si="62"/>
        <v>Pakpanang15</v>
      </c>
      <c r="F811">
        <f>ROUND(VLOOKUP(C811,'RAW DATA 2023'!E:BO,23,0),0)</f>
        <v>34</v>
      </c>
      <c r="G811" s="16">
        <f>VLOOKUP(C811,'RAW DATA 2023'!E:BO,27,0)</f>
        <v>2.3660755023170585</v>
      </c>
      <c r="H811" s="16">
        <f>IFERROR(VLOOKUP(F811,STD!B:G,5,0),0)</f>
        <v>1.77</v>
      </c>
      <c r="I811" s="21">
        <f t="shared" si="63"/>
        <v>0.74807418371335499</v>
      </c>
      <c r="J811" s="16">
        <f t="shared" si="64"/>
        <v>4.9614836742671002</v>
      </c>
      <c r="K811" s="106" t="str">
        <f>VLOOKUP(C811,'RAW DATA 2023'!E:BO,36,0)</f>
        <v>EHP</v>
      </c>
      <c r="L811" s="106">
        <f>VLOOKUP(C811,'RAW DATA 2023'!E:BO,21,0)</f>
        <v>16.41384</v>
      </c>
      <c r="M811" s="106">
        <f t="shared" si="65"/>
        <v>81.436999192032303</v>
      </c>
    </row>
    <row r="812" spans="1:13">
      <c r="A812" t="str">
        <f>'RAW DATA 2023'!B805</f>
        <v>Pakpanang1</v>
      </c>
      <c r="B812" t="str">
        <f>'RAW DATA 2023'!D805</f>
        <v>D1-172-0008</v>
      </c>
      <c r="C812" t="str">
        <f t="shared" si="61"/>
        <v>Pakpanang1D1-172-0008</v>
      </c>
      <c r="D812">
        <f>VLOOKUP(C812,'RAW DATA 2023'!E:BP,63,0)</f>
        <v>5</v>
      </c>
      <c r="E812" t="str">
        <f t="shared" si="62"/>
        <v>Pakpanang15</v>
      </c>
      <c r="F812">
        <f>ROUND(VLOOKUP(C812,'RAW DATA 2023'!E:BO,23,0),0)</f>
        <v>45</v>
      </c>
      <c r="G812" s="16">
        <f>VLOOKUP(C812,'RAW DATA 2023'!E:BO,27,0)</f>
        <v>1.8807410014181947</v>
      </c>
      <c r="H812" s="16">
        <f>IFERROR(VLOOKUP(F812,STD!B:G,5,0),0)</f>
        <v>1.55</v>
      </c>
      <c r="I812" s="21">
        <f t="shared" si="63"/>
        <v>0.82414324929971994</v>
      </c>
      <c r="J812" s="16">
        <f t="shared" si="64"/>
        <v>6.4828649859943983</v>
      </c>
      <c r="K812" s="106" t="str">
        <f>VLOOKUP(C812,'RAW DATA 2023'!E:BO,36,0)</f>
        <v>WFD</v>
      </c>
      <c r="L812" s="106">
        <f>VLOOKUP(C812,'RAW DATA 2023'!E:BO,21,0)</f>
        <v>14.676410000000001</v>
      </c>
      <c r="M812" s="106">
        <f t="shared" si="65"/>
        <v>95.145184509098058</v>
      </c>
    </row>
    <row r="813" spans="1:13">
      <c r="A813" t="str">
        <f>'RAW DATA 2023'!B806</f>
        <v>Pakpanang1</v>
      </c>
      <c r="B813" t="str">
        <f>'RAW DATA 2023'!D806</f>
        <v>C1-138-0010</v>
      </c>
      <c r="C813" t="str">
        <f t="shared" si="61"/>
        <v>Pakpanang1C1-138-0010</v>
      </c>
      <c r="D813">
        <f>VLOOKUP(C813,'RAW DATA 2023'!E:BP,63,0)</f>
        <v>5</v>
      </c>
      <c r="E813" t="str">
        <f t="shared" si="62"/>
        <v>Pakpanang15</v>
      </c>
      <c r="F813">
        <f>ROUND(VLOOKUP(C813,'RAW DATA 2023'!E:BO,23,0),0)</f>
        <v>36</v>
      </c>
      <c r="G813" s="16">
        <f>VLOOKUP(C813,'RAW DATA 2023'!E:BO,27,0)</f>
        <v>2.1826569585604259</v>
      </c>
      <c r="H813" s="16">
        <f>IFERROR(VLOOKUP(F813,STD!B:G,5,0),0)</f>
        <v>1.726</v>
      </c>
      <c r="I813" s="21">
        <f t="shared" si="63"/>
        <v>0.79077932665075568</v>
      </c>
      <c r="J813" s="16">
        <f t="shared" si="64"/>
        <v>5.8155865330151135</v>
      </c>
      <c r="K813" s="106" t="str">
        <f>VLOOKUP(C813,'RAW DATA 2023'!E:BO,36,0)</f>
        <v>EHP</v>
      </c>
      <c r="L813" s="106">
        <f>VLOOKUP(C813,'RAW DATA 2023'!E:BO,21,0)</f>
        <v>14.621589999999999</v>
      </c>
      <c r="M813" s="106">
        <f t="shared" si="65"/>
        <v>85.033121895268451</v>
      </c>
    </row>
    <row r="814" spans="1:13">
      <c r="A814" t="str">
        <f>'RAW DATA 2023'!B807</f>
        <v>Pakpanang1</v>
      </c>
      <c r="B814" t="str">
        <f>'RAW DATA 2023'!D807</f>
        <v>A1-183-0010</v>
      </c>
      <c r="C814" t="str">
        <f t="shared" si="61"/>
        <v>Pakpanang1A1-183-0010</v>
      </c>
      <c r="D814">
        <f>VLOOKUP(C814,'RAW DATA 2023'!E:BP,63,0)</f>
        <v>5</v>
      </c>
      <c r="E814" t="str">
        <f t="shared" si="62"/>
        <v>Pakpanang15</v>
      </c>
      <c r="F814">
        <f>ROUND(VLOOKUP(C814,'RAW DATA 2023'!E:BO,23,0),0)</f>
        <v>42</v>
      </c>
      <c r="G814" s="16">
        <f>VLOOKUP(C814,'RAW DATA 2023'!E:BO,27,0)</f>
        <v>2.1396994689993947</v>
      </c>
      <c r="H814" s="16">
        <f>IFERROR(VLOOKUP(F814,STD!B:G,5,0),0)</f>
        <v>1.6</v>
      </c>
      <c r="I814" s="21">
        <f t="shared" si="63"/>
        <v>0.74776856431535277</v>
      </c>
      <c r="J814" s="16">
        <f t="shared" si="64"/>
        <v>4.9553712863070558</v>
      </c>
      <c r="K814" s="106" t="str">
        <f>VLOOKUP(C814,'RAW DATA 2023'!E:BO,36,0)</f>
        <v>EHP</v>
      </c>
      <c r="L814" s="106">
        <f>VLOOKUP(C814,'RAW DATA 2023'!E:BO,21,0)</f>
        <v>14.36708</v>
      </c>
      <c r="M814" s="106">
        <f t="shared" si="65"/>
        <v>71.19421570007637</v>
      </c>
    </row>
    <row r="815" spans="1:13">
      <c r="A815" t="str">
        <f>'RAW DATA 2023'!B808</f>
        <v>Pakpanang1</v>
      </c>
      <c r="B815" t="str">
        <f>'RAW DATA 2023'!D808</f>
        <v>A1-181-0008</v>
      </c>
      <c r="C815" t="str">
        <f t="shared" si="61"/>
        <v>Pakpanang1A1-181-0008</v>
      </c>
      <c r="D815">
        <f>VLOOKUP(C815,'RAW DATA 2023'!E:BP,63,0)</f>
        <v>4</v>
      </c>
      <c r="E815" t="str">
        <f t="shared" si="62"/>
        <v>Pakpanang14</v>
      </c>
      <c r="F815">
        <f>ROUND(VLOOKUP(C815,'RAW DATA 2023'!E:BO,23,0),0)</f>
        <v>75</v>
      </c>
      <c r="G815" s="16">
        <f>VLOOKUP(C815,'RAW DATA 2023'!E:BO,27,0)</f>
        <v>1.3051326004853416</v>
      </c>
      <c r="H815" s="16">
        <f>IFERROR(VLOOKUP(F815,STD!B:G,5,0),0)</f>
        <v>1.31</v>
      </c>
      <c r="J815" s="16">
        <f t="shared" si="64"/>
        <v>-10</v>
      </c>
      <c r="K815" s="106" t="str">
        <f>VLOOKUP(C815,'RAW DATA 2023'!E:BO,36,0)</f>
        <v>EHP</v>
      </c>
      <c r="L815" s="106">
        <f>VLOOKUP(C815,'RAW DATA 2023'!E:BO,21,0)</f>
        <v>10.38907</v>
      </c>
      <c r="M815" s="106">
        <f t="shared" si="65"/>
        <v>-103.89070000000001</v>
      </c>
    </row>
    <row r="816" spans="1:13">
      <c r="A816" t="str">
        <f>'RAW DATA 2023'!B809</f>
        <v>Pakpanang1</v>
      </c>
      <c r="B816" t="str">
        <f>'RAW DATA 2023'!D809</f>
        <v>A1-192-0009</v>
      </c>
      <c r="C816" t="str">
        <f t="shared" si="61"/>
        <v>Pakpanang1A1-192-0009</v>
      </c>
      <c r="D816">
        <f>VLOOKUP(C816,'RAW DATA 2023'!E:BP,63,0)</f>
        <v>5</v>
      </c>
      <c r="E816" t="str">
        <f t="shared" si="62"/>
        <v>Pakpanang15</v>
      </c>
      <c r="F816">
        <f>ROUND(VLOOKUP(C816,'RAW DATA 2023'!E:BO,23,0),0)</f>
        <v>54</v>
      </c>
      <c r="G816" s="16">
        <f>VLOOKUP(C816,'RAW DATA 2023'!E:BO,27,0)</f>
        <v>1.9293158052518946</v>
      </c>
      <c r="H816" s="16">
        <f>IFERROR(VLOOKUP(F816,STD!B:G,5,0),0)</f>
        <v>1.45</v>
      </c>
      <c r="I816" s="21">
        <f t="shared" si="63"/>
        <v>0.75156176923076912</v>
      </c>
      <c r="J816" s="16">
        <f t="shared" si="64"/>
        <v>5.0312353846153819</v>
      </c>
      <c r="K816" s="106" t="str">
        <f>VLOOKUP(C816,'RAW DATA 2023'!E:BO,36,0)</f>
        <v>EHP</v>
      </c>
      <c r="L816" s="106">
        <f>VLOOKUP(C816,'RAW DATA 2023'!E:BO,21,0)</f>
        <v>10.38721</v>
      </c>
      <c r="M816" s="106">
        <f t="shared" si="65"/>
        <v>52.260498499430739</v>
      </c>
    </row>
    <row r="817" spans="1:13">
      <c r="A817" t="str">
        <f>'RAW DATA 2023'!B810</f>
        <v>Pakpanang1</v>
      </c>
      <c r="B817" t="str">
        <f>'RAW DATA 2023'!D810</f>
        <v>D1-173-0008</v>
      </c>
      <c r="C817" t="str">
        <f t="shared" si="61"/>
        <v>Pakpanang1D1-173-0008</v>
      </c>
      <c r="D817">
        <f>VLOOKUP(C817,'RAW DATA 2023'!E:BP,63,0)</f>
        <v>5</v>
      </c>
      <c r="E817" t="str">
        <f t="shared" si="62"/>
        <v>Pakpanang15</v>
      </c>
      <c r="F817">
        <f>ROUND(VLOOKUP(C817,'RAW DATA 2023'!E:BO,23,0),0)</f>
        <v>56</v>
      </c>
      <c r="G817" s="16">
        <f>VLOOKUP(C817,'RAW DATA 2023'!E:BO,27,0)</f>
        <v>2.2233305888065531</v>
      </c>
      <c r="H817" s="16">
        <f>IFERROR(VLOOKUP(F817,STD!B:G,5,0),0)</f>
        <v>1.44</v>
      </c>
      <c r="I817" s="21">
        <f t="shared" si="63"/>
        <v>0.64767696142433229</v>
      </c>
      <c r="J817" s="16">
        <f t="shared" si="64"/>
        <v>2.9535392284866457</v>
      </c>
      <c r="K817" s="106" t="str">
        <f>VLOOKUP(C817,'RAW DATA 2023'!E:BO,36,0)</f>
        <v>EHP</v>
      </c>
      <c r="L817" s="106">
        <f>VLOOKUP(C817,'RAW DATA 2023'!E:BO,21,0)</f>
        <v>8.026720000000001</v>
      </c>
      <c r="M817" s="106">
        <f t="shared" si="65"/>
        <v>23.707232396078332</v>
      </c>
    </row>
    <row r="818" spans="1:13">
      <c r="A818" t="str">
        <f>'RAW DATA 2023'!B811</f>
        <v>Pakpanang1</v>
      </c>
      <c r="B818" t="str">
        <f>'RAW DATA 2023'!D811</f>
        <v>C1-139-0009</v>
      </c>
      <c r="C818" t="str">
        <f t="shared" si="61"/>
        <v>Pakpanang1C1-139-0009</v>
      </c>
      <c r="D818">
        <f>VLOOKUP(C818,'RAW DATA 2023'!E:BP,63,0)</f>
        <v>5</v>
      </c>
      <c r="E818" t="str">
        <f t="shared" si="62"/>
        <v>Pakpanang15</v>
      </c>
      <c r="F818">
        <f>ROUND(VLOOKUP(C818,'RAW DATA 2023'!E:BO,23,0),0)</f>
        <v>54</v>
      </c>
      <c r="G818" s="16">
        <f>VLOOKUP(C818,'RAW DATA 2023'!E:BO,27,0)</f>
        <v>3.4673867908805609</v>
      </c>
      <c r="H818" s="16">
        <f>IFERROR(VLOOKUP(F818,STD!B:G,5,0),0)</f>
        <v>1.45</v>
      </c>
      <c r="I818" s="21">
        <f t="shared" si="63"/>
        <v>0.41818236252545821</v>
      </c>
      <c r="J818" s="16">
        <f t="shared" si="64"/>
        <v>-1.6363527494908359</v>
      </c>
      <c r="K818" s="106" t="str">
        <f>VLOOKUP(C818,'RAW DATA 2023'!E:BO,36,0)</f>
        <v>EHP</v>
      </c>
      <c r="L818" s="106">
        <f>VLOOKUP(C818,'RAW DATA 2023'!E:BO,21,0)</f>
        <v>7.3742600000000005</v>
      </c>
      <c r="M818" s="106">
        <f t="shared" si="65"/>
        <v>-12.066890626460292</v>
      </c>
    </row>
    <row r="819" spans="1:13">
      <c r="A819" t="str">
        <f>'RAW DATA 2023'!B812</f>
        <v>Pakpanang1</v>
      </c>
      <c r="B819" t="str">
        <f>'RAW DATA 2023'!D812</f>
        <v>C1-140-0009</v>
      </c>
      <c r="C819" t="str">
        <f t="shared" si="61"/>
        <v>Pakpanang1C1-140-0009</v>
      </c>
      <c r="D819">
        <f>VLOOKUP(C819,'RAW DATA 2023'!E:BP,63,0)</f>
        <v>4</v>
      </c>
      <c r="E819" t="str">
        <f t="shared" si="62"/>
        <v>Pakpanang14</v>
      </c>
      <c r="F819">
        <f>ROUND(VLOOKUP(C819,'RAW DATA 2023'!E:BO,23,0),0)</f>
        <v>87</v>
      </c>
      <c r="G819" s="16">
        <f>VLOOKUP(C819,'RAW DATA 2023'!E:BO,27,0)</f>
        <v>1.6400786630321713</v>
      </c>
      <c r="H819" s="16">
        <f>IFERROR(VLOOKUP(F819,STD!B:G,5,0),0)</f>
        <v>1.26</v>
      </c>
      <c r="I819" s="21">
        <f t="shared" si="63"/>
        <v>0.76825583333333336</v>
      </c>
      <c r="J819" s="16">
        <f t="shared" si="64"/>
        <v>5.3651166666666672</v>
      </c>
      <c r="K819" s="106" t="str">
        <f>VLOOKUP(C819,'RAW DATA 2023'!E:BO,36,0)</f>
        <v>EHP</v>
      </c>
      <c r="L819" s="106">
        <f>VLOOKUP(C819,'RAW DATA 2023'!E:BO,21,0)</f>
        <v>6.9070499999999999</v>
      </c>
      <c r="M819" s="106">
        <f t="shared" si="65"/>
        <v>37.057129072500004</v>
      </c>
    </row>
    <row r="820" spans="1:13">
      <c r="A820" t="str">
        <f>'RAW DATA 2023'!B813</f>
        <v>Pakpanang1</v>
      </c>
      <c r="B820" t="str">
        <f>'RAW DATA 2023'!D813</f>
        <v>C1-141-0009</v>
      </c>
      <c r="C820" t="str">
        <f t="shared" si="61"/>
        <v>Pakpanang1C1-141-0009</v>
      </c>
      <c r="D820">
        <f>VLOOKUP(C820,'RAW DATA 2023'!E:BP,63,0)</f>
        <v>5</v>
      </c>
      <c r="E820" t="str">
        <f t="shared" si="62"/>
        <v>Pakpanang15</v>
      </c>
      <c r="F820">
        <f>ROUND(VLOOKUP(C820,'RAW DATA 2023'!E:BO,23,0),0)</f>
        <v>80</v>
      </c>
      <c r="G820" s="16">
        <f>VLOOKUP(C820,'RAW DATA 2023'!E:BO,27,0)</f>
        <v>2.0343849937543084</v>
      </c>
      <c r="H820" s="16">
        <f>IFERROR(VLOOKUP(F820,STD!B:G,5,0),0)</f>
        <v>1.29</v>
      </c>
      <c r="I820" s="21">
        <f t="shared" si="63"/>
        <v>0.63409826751592357</v>
      </c>
      <c r="J820" s="16">
        <f t="shared" si="64"/>
        <v>2.6819653503184715</v>
      </c>
      <c r="K820" s="106" t="str">
        <f>VLOOKUP(C820,'RAW DATA 2023'!E:BO,36,0)</f>
        <v>EHP</v>
      </c>
      <c r="L820" s="106">
        <f>VLOOKUP(C820,'RAW DATA 2023'!E:BO,21,0)</f>
        <v>6.2929899999999996</v>
      </c>
      <c r="M820" s="106">
        <f t="shared" si="65"/>
        <v>16.877581129900637</v>
      </c>
    </row>
    <row r="821" spans="1:13">
      <c r="A821" t="str">
        <f>'RAW DATA 2023'!B814</f>
        <v>Pakpanang1</v>
      </c>
      <c r="B821" t="str">
        <f>'RAW DATA 2023'!D814</f>
        <v>A1-004-0020</v>
      </c>
      <c r="C821" t="str">
        <f t="shared" si="61"/>
        <v>Pakpanang1A1-004-0020</v>
      </c>
      <c r="D821">
        <f>VLOOKUP(C821,'RAW DATA 2023'!E:BP,63,0)</f>
        <v>11</v>
      </c>
      <c r="E821" t="str">
        <f t="shared" si="62"/>
        <v>Pakpanang111</v>
      </c>
      <c r="F821">
        <f>ROUND(VLOOKUP(C821,'RAW DATA 2023'!E:BO,23,0),0)</f>
        <v>74</v>
      </c>
      <c r="G821" s="16">
        <f>VLOOKUP(C821,'RAW DATA 2023'!E:BO,27,0)</f>
        <v>2.4975024975024973</v>
      </c>
      <c r="H821" s="16">
        <f>IFERROR(VLOOKUP(F821,STD!B:G,5,0),0)</f>
        <v>1.32</v>
      </c>
      <c r="I821" s="21">
        <f t="shared" si="63"/>
        <v>0.52852800000000011</v>
      </c>
      <c r="J821" s="16">
        <f t="shared" si="64"/>
        <v>0.57056000000000218</v>
      </c>
      <c r="K821" s="106" t="str">
        <f>VLOOKUP(C821,'RAW DATA 2023'!E:BO,36,0)</f>
        <v>EHP</v>
      </c>
      <c r="L821" s="106">
        <f>VLOOKUP(C821,'RAW DATA 2023'!E:BO,21,0)</f>
        <v>21.34468</v>
      </c>
      <c r="M821" s="106">
        <f t="shared" si="65"/>
        <v>12.178420620800047</v>
      </c>
    </row>
    <row r="822" spans="1:13">
      <c r="A822" t="str">
        <f>'RAW DATA 2023'!B815</f>
        <v>Pakpanang1</v>
      </c>
      <c r="B822" t="str">
        <f>'RAW DATA 2023'!D815</f>
        <v>D1-171-0011</v>
      </c>
      <c r="C822" t="str">
        <f t="shared" si="61"/>
        <v>Pakpanang1D1-171-0011</v>
      </c>
      <c r="D822">
        <f>VLOOKUP(C822,'RAW DATA 2023'!E:BP,63,0)</f>
        <v>11</v>
      </c>
      <c r="E822" t="str">
        <f t="shared" si="62"/>
        <v>Pakpanang111</v>
      </c>
      <c r="F822">
        <f>ROUND(VLOOKUP(C822,'RAW DATA 2023'!E:BO,23,0),0)</f>
        <v>105</v>
      </c>
      <c r="G822" s="16">
        <f>VLOOKUP(C822,'RAW DATA 2023'!E:BO,27,0)</f>
        <v>1.9696695359409639</v>
      </c>
      <c r="H822" s="16">
        <f>IFERROR(VLOOKUP(F822,STD!B:G,5,0),0)</f>
        <v>1.2</v>
      </c>
      <c r="I822" s="21">
        <f t="shared" si="63"/>
        <v>0.60923925465838502</v>
      </c>
      <c r="J822" s="16">
        <f t="shared" si="64"/>
        <v>2.1847850931677004</v>
      </c>
      <c r="K822" s="106" t="str">
        <f>VLOOKUP(C822,'RAW DATA 2023'!E:BO,36,0)</f>
        <v>EHP</v>
      </c>
      <c r="L822" s="106">
        <f>VLOOKUP(C822,'RAW DATA 2023'!E:BO,21,0)</f>
        <v>4.88598</v>
      </c>
      <c r="M822" s="106">
        <f t="shared" si="65"/>
        <v>10.674816269515521</v>
      </c>
    </row>
    <row r="823" spans="1:13">
      <c r="A823" t="str">
        <f>'RAW DATA 2023'!B816</f>
        <v>Pakpanang1</v>
      </c>
      <c r="B823" t="str">
        <f>'RAW DATA 2023'!D816</f>
        <v>D1-174-0008</v>
      </c>
      <c r="C823" t="str">
        <f t="shared" si="61"/>
        <v>Pakpanang1D1-174-0008</v>
      </c>
      <c r="D823">
        <f>VLOOKUP(C823,'RAW DATA 2023'!E:BP,63,0)</f>
        <v>4</v>
      </c>
      <c r="E823" t="str">
        <f t="shared" si="62"/>
        <v>Pakpanang14</v>
      </c>
      <c r="F823">
        <f>ROUND(VLOOKUP(C823,'RAW DATA 2023'!E:BO,23,0),0)</f>
        <v>82</v>
      </c>
      <c r="G823" s="16">
        <f>VLOOKUP(C823,'RAW DATA 2023'!E:BO,27,0)</f>
        <v>2.1139673863128925</v>
      </c>
      <c r="H823" s="16">
        <f>IFERROR(VLOOKUP(F823,STD!B:G,5,0),0)</f>
        <v>1.28</v>
      </c>
      <c r="I823" s="21">
        <f t="shared" si="63"/>
        <v>0.60549656928838957</v>
      </c>
      <c r="J823" s="16">
        <f t="shared" si="64"/>
        <v>2.1099313857677915</v>
      </c>
      <c r="K823" s="106" t="str">
        <f>VLOOKUP(C823,'RAW DATA 2023'!E:BO,36,0)</f>
        <v>EHP</v>
      </c>
      <c r="L823" s="106">
        <f>VLOOKUP(C823,'RAW DATA 2023'!E:BO,21,0)</f>
        <v>6.7791399999999999</v>
      </c>
      <c r="M823" s="106">
        <f t="shared" si="65"/>
        <v>14.303520254513867</v>
      </c>
    </row>
    <row r="824" spans="1:13">
      <c r="A824" t="str">
        <f>'RAW DATA 2023'!B817</f>
        <v>Pakpanang1</v>
      </c>
      <c r="B824" t="str">
        <f>'RAW DATA 2023'!D817</f>
        <v>D1-177-0009</v>
      </c>
      <c r="C824" t="str">
        <f t="shared" si="61"/>
        <v>Pakpanang1D1-177-0009</v>
      </c>
      <c r="D824">
        <f>VLOOKUP(C824,'RAW DATA 2023'!E:BP,63,0)</f>
        <v>4</v>
      </c>
      <c r="E824" t="str">
        <f t="shared" si="62"/>
        <v>Pakpanang14</v>
      </c>
      <c r="F824">
        <f>ROUND(VLOOKUP(C824,'RAW DATA 2023'!E:BO,23,0),0)</f>
        <v>81</v>
      </c>
      <c r="G824" s="16">
        <f>VLOOKUP(C824,'RAW DATA 2023'!E:BO,27,0)</f>
        <v>1.9831355634403214</v>
      </c>
      <c r="H824" s="16">
        <f>IFERROR(VLOOKUP(F824,STD!B:G,5,0),0)</f>
        <v>1.28</v>
      </c>
      <c r="I824" s="21">
        <f t="shared" si="63"/>
        <v>0.64544251214953274</v>
      </c>
      <c r="J824" s="16">
        <f t="shared" si="64"/>
        <v>2.9088502429906549</v>
      </c>
      <c r="K824" s="106" t="str">
        <f>VLOOKUP(C824,'RAW DATA 2023'!E:BO,36,0)</f>
        <v>EHP</v>
      </c>
      <c r="L824" s="106">
        <f>VLOOKUP(C824,'RAW DATA 2023'!E:BO,21,0)</f>
        <v>6.9843700000000002</v>
      </c>
      <c r="M824" s="106">
        <f t="shared" si="65"/>
        <v>20.316486371636639</v>
      </c>
    </row>
    <row r="825" spans="1:13">
      <c r="A825" t="str">
        <f>'RAW DATA 2023'!B818</f>
        <v>Pakpanang1</v>
      </c>
      <c r="B825" t="str">
        <f>'RAW DATA 2023'!D818</f>
        <v>D1-172-0010</v>
      </c>
      <c r="C825" t="str">
        <f t="shared" si="61"/>
        <v>Pakpanang1D1-172-0010</v>
      </c>
      <c r="D825">
        <f>VLOOKUP(C825,'RAW DATA 2023'!E:BP,63,0)</f>
        <v>11</v>
      </c>
      <c r="E825" t="str">
        <f t="shared" si="62"/>
        <v>Pakpanang111</v>
      </c>
      <c r="F825">
        <f>ROUND(VLOOKUP(C825,'RAW DATA 2023'!E:BO,23,0),0)</f>
        <v>173</v>
      </c>
      <c r="G825" s="16">
        <f>VLOOKUP(C825,'RAW DATA 2023'!E:BO,27,0)</f>
        <v>1.6460845136368956</v>
      </c>
      <c r="H825" s="16">
        <f>IFERROR(VLOOKUP(F825,STD!B:G,5,0),0)</f>
        <v>1</v>
      </c>
      <c r="I825" s="21">
        <f t="shared" si="63"/>
        <v>0.60750222222222228</v>
      </c>
      <c r="J825" s="16">
        <f t="shared" si="64"/>
        <v>2.1500444444444455</v>
      </c>
      <c r="K825" s="106" t="str">
        <f>VLOOKUP(C825,'RAW DATA 2023'!E:BO,36,0)</f>
        <v>EHP</v>
      </c>
      <c r="L825" s="106">
        <f>VLOOKUP(C825,'RAW DATA 2023'!E:BO,21,0)</f>
        <v>2.7003200000000001</v>
      </c>
      <c r="M825" s="106">
        <f t="shared" si="65"/>
        <v>5.805808014222225</v>
      </c>
    </row>
    <row r="826" spans="1:13">
      <c r="A826" t="str">
        <f>'RAW DATA 2023'!B819</f>
        <v>Pakpanang1</v>
      </c>
      <c r="B826" t="str">
        <f>'RAW DATA 2023'!D819</f>
        <v>A1-180-0009</v>
      </c>
      <c r="C826" t="str">
        <f t="shared" si="61"/>
        <v>Pakpanang1A1-180-0009</v>
      </c>
      <c r="D826">
        <f>VLOOKUP(C826,'RAW DATA 2023'!E:BP,63,0)</f>
        <v>5</v>
      </c>
      <c r="E826" t="str">
        <f t="shared" si="62"/>
        <v>Pakpanang15</v>
      </c>
      <c r="F826">
        <f>ROUND(VLOOKUP(C826,'RAW DATA 2023'!E:BO,23,0),0)</f>
        <v>116</v>
      </c>
      <c r="G826" s="16">
        <f>VLOOKUP(C826,'RAW DATA 2023'!E:BO,27,0)</f>
        <v>1.9757568321490819</v>
      </c>
      <c r="H826" s="16">
        <f>IFERROR(VLOOKUP(F826,STD!B:G,5,0),0)</f>
        <v>1.17</v>
      </c>
      <c r="I826" s="21">
        <f t="shared" si="63"/>
        <v>0.5921781369863014</v>
      </c>
      <c r="J826" s="16">
        <f t="shared" si="64"/>
        <v>1.8435627397260279</v>
      </c>
      <c r="K826" s="106" t="str">
        <f>VLOOKUP(C826,'RAW DATA 2023'!E:BO,36,0)</f>
        <v>EHP</v>
      </c>
      <c r="L826" s="106">
        <f>VLOOKUP(C826,'RAW DATA 2023'!E:BO,21,0)</f>
        <v>5.7981800000000003</v>
      </c>
      <c r="M826" s="106">
        <f t="shared" si="65"/>
        <v>10.68930860622466</v>
      </c>
    </row>
    <row r="827" spans="1:13">
      <c r="A827" t="str">
        <f>'RAW DATA 2023'!B820</f>
        <v>SR1</v>
      </c>
      <c r="B827" t="str">
        <f>'RAW DATA 2023'!D820</f>
        <v>A1-028-0037</v>
      </c>
      <c r="C827" t="str">
        <f t="shared" si="61"/>
        <v>SR1A1-028-0037</v>
      </c>
      <c r="D827">
        <f>VLOOKUP(C827,'RAW DATA 2023'!E:BP,63,0)</f>
        <v>10</v>
      </c>
      <c r="E827" t="str">
        <f t="shared" si="62"/>
        <v>SR110</v>
      </c>
      <c r="F827">
        <f>ROUND(VLOOKUP(C827,'RAW DATA 2023'!E:BO,23,0),0)</f>
        <v>35</v>
      </c>
      <c r="G827" s="16">
        <f>VLOOKUP(C827,'RAW DATA 2023'!E:BO,27,0)</f>
        <v>1.6799962140930387</v>
      </c>
      <c r="H827" s="16">
        <f>IFERROR(VLOOKUP(F827,STD!B:G,5,0),0)</f>
        <v>1.75</v>
      </c>
      <c r="I827" s="21">
        <f t="shared" si="63"/>
        <v>1.0416690140845071</v>
      </c>
      <c r="J827" s="16">
        <f t="shared" si="64"/>
        <v>10.833380281690141</v>
      </c>
      <c r="K827" s="106" t="str">
        <f>VLOOKUP(C827,'RAW DATA 2023'!E:BO,36,0)</f>
        <v>Normal</v>
      </c>
      <c r="L827" s="106">
        <f>VLOOKUP(C827,'RAW DATA 2023'!E:BO,21,0)</f>
        <v>29.019849999999998</v>
      </c>
      <c r="M827" s="106">
        <f t="shared" si="65"/>
        <v>314.38307076760566</v>
      </c>
    </row>
    <row r="828" spans="1:13">
      <c r="A828" t="str">
        <f>'RAW DATA 2023'!B821</f>
        <v>SR1</v>
      </c>
      <c r="B828" t="str">
        <f>'RAW DATA 2023'!D821</f>
        <v>A1-027-0032</v>
      </c>
      <c r="C828" t="str">
        <f t="shared" si="61"/>
        <v>SR1A1-027-0032</v>
      </c>
      <c r="D828">
        <f>VLOOKUP(C828,'RAW DATA 2023'!E:BP,63,0)</f>
        <v>9</v>
      </c>
      <c r="E828" t="str">
        <f t="shared" si="62"/>
        <v>SR19</v>
      </c>
      <c r="F828">
        <f>ROUND(VLOOKUP(C828,'RAW DATA 2023'!E:BO,23,0),0)</f>
        <v>25</v>
      </c>
      <c r="G828" s="16">
        <f>VLOOKUP(C828,'RAW DATA 2023'!E:BO,27,0)</f>
        <v>2.3167075831234434</v>
      </c>
      <c r="H828" s="16">
        <f>IFERROR(VLOOKUP(F828,STD!B:G,5,0),0)</f>
        <v>2.04</v>
      </c>
      <c r="I828" s="21">
        <f t="shared" si="63"/>
        <v>0.88055998731165752</v>
      </c>
      <c r="J828" s="16">
        <f t="shared" si="64"/>
        <v>7.6111997462331509</v>
      </c>
      <c r="K828" s="106" t="str">
        <f>VLOOKUP(C828,'RAW DATA 2023'!E:BO,36,0)</f>
        <v>WSSV</v>
      </c>
      <c r="L828" s="106">
        <f>VLOOKUP(C828,'RAW DATA 2023'!E:BO,21,0)</f>
        <v>41.250219999999999</v>
      </c>
      <c r="M828" s="106">
        <f t="shared" si="65"/>
        <v>313.96366399606165</v>
      </c>
    </row>
    <row r="829" spans="1:13">
      <c r="A829" t="str">
        <f>'RAW DATA 2023'!B822</f>
        <v>SR1</v>
      </c>
      <c r="B829" t="str">
        <f>'RAW DATA 2023'!D822</f>
        <v>A1-026-0028</v>
      </c>
      <c r="C829" t="str">
        <f t="shared" si="61"/>
        <v>SR1A1-026-0028</v>
      </c>
      <c r="D829">
        <f>VLOOKUP(C829,'RAW DATA 2023'!E:BP,63,0)</f>
        <v>9</v>
      </c>
      <c r="E829" t="str">
        <f t="shared" si="62"/>
        <v>SR19</v>
      </c>
      <c r="F829">
        <f>ROUND(VLOOKUP(C829,'RAW DATA 2023'!E:BO,23,0),0)</f>
        <v>24</v>
      </c>
      <c r="G829" s="16">
        <f>VLOOKUP(C829,'RAW DATA 2023'!E:BO,27,0)</f>
        <v>2.7383844661656966</v>
      </c>
      <c r="H829" s="16">
        <f>IFERROR(VLOOKUP(F829,STD!B:G,5,0),0)</f>
        <v>2.08</v>
      </c>
      <c r="I829" s="21">
        <f t="shared" si="63"/>
        <v>0.75957193947730406</v>
      </c>
      <c r="J829" s="16">
        <f t="shared" si="64"/>
        <v>5.1914387895460816</v>
      </c>
      <c r="K829" s="106" t="str">
        <f>VLOOKUP(C829,'RAW DATA 2023'!E:BO,36,0)</f>
        <v>Normal</v>
      </c>
      <c r="L829" s="106">
        <f>VLOOKUP(C829,'RAW DATA 2023'!E:BO,21,0)</f>
        <v>27.041409999999999</v>
      </c>
      <c r="M829" s="106">
        <f t="shared" si="65"/>
        <v>140.3838247980193</v>
      </c>
    </row>
    <row r="830" spans="1:13">
      <c r="A830" t="str">
        <f>'RAW DATA 2023'!B823</f>
        <v>SR1</v>
      </c>
      <c r="B830" t="str">
        <f>'RAW DATA 2023'!D823</f>
        <v>A1-026-0029</v>
      </c>
      <c r="C830" t="str">
        <f t="shared" si="61"/>
        <v>SR1A1-026-0029</v>
      </c>
      <c r="D830">
        <f>VLOOKUP(C830,'RAW DATA 2023'!E:BP,63,0)</f>
        <v>12</v>
      </c>
      <c r="E830" t="str">
        <f t="shared" si="62"/>
        <v>SR112</v>
      </c>
      <c r="F830">
        <f>ROUND(VLOOKUP(C830,'RAW DATA 2023'!E:BO,23,0),0)</f>
        <v>89</v>
      </c>
      <c r="G830" s="16">
        <f>VLOOKUP(C830,'RAW DATA 2023'!E:BO,27,0)</f>
        <v>1.6218107460272724</v>
      </c>
      <c r="H830" s="16">
        <f>IFERROR(VLOOKUP(F830,STD!B:G,5,0),0)</f>
        <v>1.25</v>
      </c>
      <c r="I830" s="21">
        <f t="shared" si="63"/>
        <v>0.77074344405594408</v>
      </c>
      <c r="J830" s="16">
        <f t="shared" si="64"/>
        <v>5.4148688811188812</v>
      </c>
      <c r="K830" s="106" t="str">
        <f>VLOOKUP(C830,'RAW DATA 2023'!E:BO,36,0)</f>
        <v>WSSV</v>
      </c>
      <c r="L830" s="106">
        <f>VLOOKUP(C830,'RAW DATA 2023'!E:BO,21,0)</f>
        <v>22.286110000000001</v>
      </c>
      <c r="M830" s="106">
        <f t="shared" si="65"/>
        <v>120.67636352019231</v>
      </c>
    </row>
    <row r="831" spans="1:13">
      <c r="A831" t="str">
        <f>'RAW DATA 2023'!B824</f>
        <v>SR1</v>
      </c>
      <c r="B831" t="str">
        <f>'RAW DATA 2023'!D824</f>
        <v>C1-050-0015</v>
      </c>
      <c r="C831" t="str">
        <f t="shared" si="61"/>
        <v>SR1C1-050-0015</v>
      </c>
      <c r="D831">
        <f>VLOOKUP(C831,'RAW DATA 2023'!E:BP,63,0)</f>
        <v>6</v>
      </c>
      <c r="E831" t="str">
        <f t="shared" si="62"/>
        <v>SR16</v>
      </c>
      <c r="F831">
        <f>ROUND(VLOOKUP(C831,'RAW DATA 2023'!E:BO,23,0),0)</f>
        <v>29</v>
      </c>
      <c r="G831" s="16">
        <f>VLOOKUP(C831,'RAW DATA 2023'!E:BO,27,0)</f>
        <v>2.1151658290009934</v>
      </c>
      <c r="H831" s="16">
        <f>IFERROR(VLOOKUP(F831,STD!B:G,5,0),0)</f>
        <v>1.9</v>
      </c>
      <c r="I831" s="21">
        <f t="shared" si="63"/>
        <v>0.8982747234042554</v>
      </c>
      <c r="J831" s="16">
        <f t="shared" si="64"/>
        <v>7.9654944680851081</v>
      </c>
      <c r="K831" s="106" t="str">
        <f>VLOOKUP(C831,'RAW DATA 2023'!E:BO,36,0)</f>
        <v>Normal</v>
      </c>
      <c r="L831" s="106">
        <f>VLOOKUP(C831,'RAW DATA 2023'!E:BO,21,0)</f>
        <v>10.58244</v>
      </c>
      <c r="M831" s="106">
        <f t="shared" si="65"/>
        <v>84.294367278842572</v>
      </c>
    </row>
    <row r="832" spans="1:13">
      <c r="A832" t="str">
        <f>'RAW DATA 2023'!B825</f>
        <v>SR1</v>
      </c>
      <c r="B832" t="str">
        <f>'RAW DATA 2023'!D825</f>
        <v>C1-050-0016</v>
      </c>
      <c r="C832" t="str">
        <f t="shared" si="61"/>
        <v>SR1C1-050-0016</v>
      </c>
      <c r="D832">
        <f>VLOOKUP(C832,'RAW DATA 2023'!E:BP,63,0)</f>
        <v>9</v>
      </c>
      <c r="E832" t="str">
        <f t="shared" si="62"/>
        <v>SR19</v>
      </c>
      <c r="F832">
        <f>ROUND(VLOOKUP(C832,'RAW DATA 2023'!E:BO,23,0),0)</f>
        <v>22</v>
      </c>
      <c r="G832" s="16">
        <f>VLOOKUP(C832,'RAW DATA 2023'!E:BO,27,0)</f>
        <v>2.2886794741310661</v>
      </c>
      <c r="H832" s="16">
        <f>IFERROR(VLOOKUP(F832,STD!B:G,5,0),0)</f>
        <v>2.177</v>
      </c>
      <c r="I832" s="21">
        <f t="shared" si="63"/>
        <v>0.95120353225806464</v>
      </c>
      <c r="J832" s="16">
        <f t="shared" si="64"/>
        <v>9.0240706451612933</v>
      </c>
      <c r="K832" s="106" t="str">
        <f>VLOOKUP(C832,'RAW DATA 2023'!E:BO,36,0)</f>
        <v>Normal</v>
      </c>
      <c r="L832" s="106">
        <f>VLOOKUP(C832,'RAW DATA 2023'!E:BO,21,0)</f>
        <v>18.57236</v>
      </c>
      <c r="M832" s="106">
        <f t="shared" si="65"/>
        <v>167.59828868736778</v>
      </c>
    </row>
    <row r="833" spans="1:13">
      <c r="A833" t="str">
        <f>'RAW DATA 2023'!B826</f>
        <v>SR1</v>
      </c>
      <c r="B833" t="str">
        <f>'RAW DATA 2023'!D826</f>
        <v>C1-061-0039</v>
      </c>
      <c r="C833" t="str">
        <f t="shared" si="61"/>
        <v>SR1C1-061-0039</v>
      </c>
      <c r="D833">
        <f>VLOOKUP(C833,'RAW DATA 2023'!E:BP,63,0)</f>
        <v>9</v>
      </c>
      <c r="E833" t="str">
        <f t="shared" si="62"/>
        <v>SR19</v>
      </c>
      <c r="F833">
        <f>ROUND(VLOOKUP(C833,'RAW DATA 2023'!E:BO,23,0),0)</f>
        <v>25</v>
      </c>
      <c r="G833" s="16">
        <f>VLOOKUP(C833,'RAW DATA 2023'!E:BO,27,0)</f>
        <v>1.7926294452600622</v>
      </c>
      <c r="H833" s="16">
        <f>IFERROR(VLOOKUP(F833,STD!B:G,5,0),0)</f>
        <v>2.04</v>
      </c>
      <c r="I833" s="21">
        <f t="shared" si="63"/>
        <v>1.1379931337142859</v>
      </c>
      <c r="J833" s="16">
        <f t="shared" si="64"/>
        <v>12.759862674285717</v>
      </c>
      <c r="K833" s="106" t="str">
        <f>VLOOKUP(C833,'RAW DATA 2023'!E:BO,36,0)</f>
        <v>Normal</v>
      </c>
      <c r="L833" s="106">
        <f>VLOOKUP(C833,'RAW DATA 2023'!E:BO,21,0)</f>
        <v>24.595490000000002</v>
      </c>
      <c r="M833" s="106">
        <f t="shared" si="65"/>
        <v>313.83507480676764</v>
      </c>
    </row>
    <row r="834" spans="1:13">
      <c r="A834" t="str">
        <f>'RAW DATA 2023'!B827</f>
        <v>SR1</v>
      </c>
      <c r="B834" t="str">
        <f>'RAW DATA 2023'!D827</f>
        <v>C1-059-0036</v>
      </c>
      <c r="C834" t="str">
        <f t="shared" si="61"/>
        <v>SR1C1-059-0036</v>
      </c>
      <c r="D834">
        <f>VLOOKUP(C834,'RAW DATA 2023'!E:BP,63,0)</f>
        <v>7</v>
      </c>
      <c r="E834" t="str">
        <f t="shared" si="62"/>
        <v>SR17</v>
      </c>
      <c r="F834">
        <f>ROUND(VLOOKUP(C834,'RAW DATA 2023'!E:BO,23,0),0)</f>
        <v>29</v>
      </c>
      <c r="G834" s="16">
        <f>VLOOKUP(C834,'RAW DATA 2023'!E:BO,27,0)</f>
        <v>1.8797229712855585</v>
      </c>
      <c r="H834" s="16">
        <f>IFERROR(VLOOKUP(F834,STD!B:G,5,0),0)</f>
        <v>1.9</v>
      </c>
      <c r="I834" s="21">
        <f t="shared" si="63"/>
        <v>1.0107872431332654</v>
      </c>
      <c r="J834" s="16">
        <f t="shared" si="64"/>
        <v>10.215744862665307</v>
      </c>
      <c r="K834" s="106" t="str">
        <f>VLOOKUP(C834,'RAW DATA 2023'!E:BO,36,0)</f>
        <v>Normal</v>
      </c>
      <c r="L834" s="106">
        <f>VLOOKUP(C834,'RAW DATA 2023'!E:BO,21,0)</f>
        <v>26.795669999999998</v>
      </c>
      <c r="M834" s="106">
        <f t="shared" si="65"/>
        <v>273.73772814417487</v>
      </c>
    </row>
    <row r="835" spans="1:13">
      <c r="A835" t="str">
        <f>'RAW DATA 2023'!B828</f>
        <v>SR1</v>
      </c>
      <c r="B835" t="str">
        <f>'RAW DATA 2023'!D828</f>
        <v>D1-068-0006</v>
      </c>
      <c r="C835" t="str">
        <f t="shared" si="61"/>
        <v>SR1D1-068-0006</v>
      </c>
      <c r="D835">
        <f>VLOOKUP(C835,'RAW DATA 2023'!E:BP,63,0)</f>
        <v>9</v>
      </c>
      <c r="E835" t="str">
        <f t="shared" si="62"/>
        <v>SR19</v>
      </c>
      <c r="F835">
        <f>ROUND(VLOOKUP(C835,'RAW DATA 2023'!E:BO,23,0),0)</f>
        <v>26</v>
      </c>
      <c r="G835" s="16">
        <f>VLOOKUP(C835,'RAW DATA 2023'!E:BO,27,0)</f>
        <v>1.8113367805932274</v>
      </c>
      <c r="H835" s="16">
        <f>IFERROR(VLOOKUP(F835,STD!B:G,5,0),0)</f>
        <v>2</v>
      </c>
      <c r="I835" s="21">
        <f t="shared" si="63"/>
        <v>1.1041568975069251</v>
      </c>
      <c r="J835" s="16">
        <f t="shared" si="64"/>
        <v>12.083137950138504</v>
      </c>
      <c r="K835" s="106" t="str">
        <f>VLOOKUP(C835,'RAW DATA 2023'!E:BO,36,0)</f>
        <v>Normal</v>
      </c>
      <c r="L835" s="106">
        <f>VLOOKUP(C835,'RAW DATA 2023'!E:BO,21,0)</f>
        <v>25.064509999999999</v>
      </c>
      <c r="M835" s="106">
        <f t="shared" si="65"/>
        <v>302.85793198262598</v>
      </c>
    </row>
    <row r="836" spans="1:13">
      <c r="A836" t="str">
        <f>'RAW DATA 2023'!B829</f>
        <v>SR1</v>
      </c>
      <c r="B836" t="str">
        <f>'RAW DATA 2023'!D829</f>
        <v>D1-067-0005</v>
      </c>
      <c r="C836" t="str">
        <f t="shared" si="61"/>
        <v>SR1D1-067-0005</v>
      </c>
      <c r="D836">
        <f>VLOOKUP(C836,'RAW DATA 2023'!E:BP,63,0)</f>
        <v>9</v>
      </c>
      <c r="E836" t="str">
        <f t="shared" si="62"/>
        <v>SR19</v>
      </c>
      <c r="F836">
        <f>ROUND(VLOOKUP(C836,'RAW DATA 2023'!E:BO,23,0),0)</f>
        <v>31</v>
      </c>
      <c r="G836" s="16">
        <f>VLOOKUP(C836,'RAW DATA 2023'!E:BO,27,0)</f>
        <v>2.1096263337043184</v>
      </c>
      <c r="H836" s="16">
        <f>IFERROR(VLOOKUP(F836,STD!B:G,5,0),0)</f>
        <v>1.84</v>
      </c>
      <c r="I836" s="21">
        <f t="shared" si="63"/>
        <v>0.87219237388316151</v>
      </c>
      <c r="J836" s="16">
        <f t="shared" si="64"/>
        <v>7.4438474776632297</v>
      </c>
      <c r="K836" s="106" t="str">
        <f>VLOOKUP(C836,'RAW DATA 2023'!E:BO,36,0)</f>
        <v>Normal</v>
      </c>
      <c r="L836" s="106">
        <f>VLOOKUP(C836,'RAW DATA 2023'!E:BO,21,0)</f>
        <v>17.734389999999998</v>
      </c>
      <c r="M836" s="106">
        <f t="shared" si="65"/>
        <v>132.01209426939599</v>
      </c>
    </row>
    <row r="837" spans="1:13">
      <c r="A837" t="str">
        <f>'RAW DATA 2023'!B830</f>
        <v>SR1</v>
      </c>
      <c r="B837" t="str">
        <f>'RAW DATA 2023'!D830</f>
        <v>C1-051-0032</v>
      </c>
      <c r="C837" t="str">
        <f t="shared" si="61"/>
        <v>SR1C1-051-0032</v>
      </c>
      <c r="D837">
        <f>VLOOKUP(C837,'RAW DATA 2023'!E:BP,63,0)</f>
        <v>8</v>
      </c>
      <c r="E837" t="str">
        <f t="shared" si="62"/>
        <v>SR18</v>
      </c>
      <c r="F837">
        <f>ROUND(VLOOKUP(C837,'RAW DATA 2023'!E:BO,23,0),0)</f>
        <v>32</v>
      </c>
      <c r="G837" s="16">
        <f>VLOOKUP(C837,'RAW DATA 2023'!E:BO,27,0)</f>
        <v>1.7138911494167837</v>
      </c>
      <c r="H837" s="16">
        <f>IFERROR(VLOOKUP(F837,STD!B:G,5,0),0)</f>
        <v>1.82</v>
      </c>
      <c r="I837" s="21">
        <f t="shared" si="63"/>
        <v>1.0619110791366908</v>
      </c>
      <c r="J837" s="16">
        <f t="shared" si="64"/>
        <v>11.238221582733816</v>
      </c>
      <c r="K837" s="106" t="str">
        <f>VLOOKUP(C837,'RAW DATA 2023'!E:BO,36,0)</f>
        <v>Normal</v>
      </c>
      <c r="L837" s="106">
        <f>VLOOKUP(C837,'RAW DATA 2023'!E:BO,21,0)</f>
        <v>32.824800000000003</v>
      </c>
      <c r="M837" s="106">
        <f t="shared" si="65"/>
        <v>368.89237580892103</v>
      </c>
    </row>
    <row r="838" spans="1:13">
      <c r="A838" t="str">
        <f>'RAW DATA 2023'!B831</f>
        <v>SR1</v>
      </c>
      <c r="B838" t="str">
        <f>'RAW DATA 2023'!D831</f>
        <v>C1-060-0035</v>
      </c>
      <c r="C838" t="str">
        <f t="shared" si="61"/>
        <v>SR1C1-060-0035</v>
      </c>
      <c r="D838">
        <f>VLOOKUP(C838,'RAW DATA 2023'!E:BP,63,0)</f>
        <v>2</v>
      </c>
      <c r="E838" t="str">
        <f t="shared" si="62"/>
        <v>SR12</v>
      </c>
      <c r="F838">
        <f>ROUND(VLOOKUP(C838,'RAW DATA 2023'!E:BO,23,0),0)</f>
        <v>26</v>
      </c>
      <c r="G838" s="16">
        <f>VLOOKUP(C838,'RAW DATA 2023'!E:BO,27,0)</f>
        <v>2.2675099178446199</v>
      </c>
      <c r="H838" s="16">
        <f>IFERROR(VLOOKUP(F838,STD!B:G,5,0),0)</f>
        <v>2</v>
      </c>
      <c r="I838" s="21">
        <f t="shared" si="63"/>
        <v>0.88202480803307748</v>
      </c>
      <c r="J838" s="16">
        <f t="shared" si="64"/>
        <v>7.6404961606615496</v>
      </c>
      <c r="K838" s="106" t="str">
        <f>VLOOKUP(C838,'RAW DATA 2023'!E:BO,36,0)</f>
        <v>WFD</v>
      </c>
      <c r="L838" s="106">
        <f>VLOOKUP(C838,'RAW DATA 2023'!E:BO,21,0)</f>
        <v>19.678650000000001</v>
      </c>
      <c r="M838" s="106">
        <f t="shared" si="65"/>
        <v>150.3546497720024</v>
      </c>
    </row>
    <row r="839" spans="1:13">
      <c r="A839" t="str">
        <f>'RAW DATA 2023'!B832</f>
        <v>SR1</v>
      </c>
      <c r="B839" t="str">
        <f>'RAW DATA 2023'!D832</f>
        <v>C1-060-0036</v>
      </c>
      <c r="C839" t="str">
        <f t="shared" si="61"/>
        <v>SR1C1-060-0036</v>
      </c>
      <c r="D839">
        <f>VLOOKUP(C839,'RAW DATA 2023'!E:BP,63,0)</f>
        <v>12</v>
      </c>
      <c r="E839" t="str">
        <f t="shared" si="62"/>
        <v>SR112</v>
      </c>
      <c r="F839">
        <f>ROUND(VLOOKUP(C839,'RAW DATA 2023'!E:BO,23,0),0)</f>
        <v>34</v>
      </c>
      <c r="G839" s="16">
        <f>VLOOKUP(C839,'RAW DATA 2023'!E:BO,27,0)</f>
        <v>1.9722128348211219</v>
      </c>
      <c r="H839" s="16">
        <f>IFERROR(VLOOKUP(F839,STD!B:G,5,0),0)</f>
        <v>1.77</v>
      </c>
      <c r="I839" s="21">
        <f t="shared" si="63"/>
        <v>0.89746906051371356</v>
      </c>
      <c r="J839" s="16">
        <f t="shared" si="64"/>
        <v>7.9493812102742716</v>
      </c>
      <c r="K839" s="106" t="str">
        <f>VLOOKUP(C839,'RAW DATA 2023'!E:BO,36,0)</f>
        <v>Normal</v>
      </c>
      <c r="L839" s="106">
        <f>VLOOKUP(C839,'RAW DATA 2023'!E:BO,21,0)</f>
        <v>29.627040000000001</v>
      </c>
      <c r="M839" s="106">
        <f t="shared" si="65"/>
        <v>235.51663509204425</v>
      </c>
    </row>
    <row r="840" spans="1:13">
      <c r="A840" t="str">
        <f>'RAW DATA 2023'!B833</f>
        <v>SR1</v>
      </c>
      <c r="B840" t="str">
        <f>'RAW DATA 2023'!D833</f>
        <v>D1-067-0004</v>
      </c>
      <c r="C840" t="str">
        <f t="shared" si="61"/>
        <v>SR1D1-067-0004</v>
      </c>
      <c r="D840">
        <f>VLOOKUP(C840,'RAW DATA 2023'!E:BP,63,0)</f>
        <v>3</v>
      </c>
      <c r="E840" t="str">
        <f t="shared" si="62"/>
        <v>SR13</v>
      </c>
      <c r="F840">
        <f>ROUND(VLOOKUP(C840,'RAW DATA 2023'!E:BO,23,0),0)</f>
        <v>30</v>
      </c>
      <c r="G840" s="16">
        <f>VLOOKUP(C840,'RAW DATA 2023'!E:BO,27,0)</f>
        <v>2.4944626836198083</v>
      </c>
      <c r="H840" s="16">
        <f>IFERROR(VLOOKUP(F840,STD!B:G,5,0),0)</f>
        <v>1.87</v>
      </c>
      <c r="I840" s="21">
        <f t="shared" si="63"/>
        <v>0.74966044281984323</v>
      </c>
      <c r="J840" s="16">
        <f t="shared" si="64"/>
        <v>4.9932088563968646</v>
      </c>
      <c r="K840" s="106" t="str">
        <f>VLOOKUP(C840,'RAW DATA 2023'!E:BO,36,0)</f>
        <v>Normal</v>
      </c>
      <c r="L840" s="106">
        <f>VLOOKUP(C840,'RAW DATA 2023'!E:BO,21,0)</f>
        <v>20.570910000000001</v>
      </c>
      <c r="M840" s="106">
        <f t="shared" si="65"/>
        <v>102.71484999614283</v>
      </c>
    </row>
    <row r="841" spans="1:13">
      <c r="A841" t="str">
        <f>'RAW DATA 2023'!B834</f>
        <v>SR1</v>
      </c>
      <c r="B841" t="str">
        <f>'RAW DATA 2023'!D834</f>
        <v>D1-062-0038</v>
      </c>
      <c r="C841" t="str">
        <f t="shared" si="61"/>
        <v>SR1D1-062-0038</v>
      </c>
      <c r="D841">
        <f>VLOOKUP(C841,'RAW DATA 2023'!E:BP,63,0)</f>
        <v>12</v>
      </c>
      <c r="E841" t="str">
        <f t="shared" si="62"/>
        <v>SR112</v>
      </c>
      <c r="F841">
        <f>ROUND(VLOOKUP(C841,'RAW DATA 2023'!E:BO,23,0),0)</f>
        <v>42</v>
      </c>
      <c r="G841" s="16">
        <f>VLOOKUP(C841,'RAW DATA 2023'!E:BO,27,0)</f>
        <v>1.9284774472820798</v>
      </c>
      <c r="H841" s="16">
        <f>IFERROR(VLOOKUP(F841,STD!B:G,5,0),0)</f>
        <v>1.6</v>
      </c>
      <c r="I841" s="21">
        <f t="shared" si="63"/>
        <v>0.82967006031363089</v>
      </c>
      <c r="J841" s="16">
        <f t="shared" si="64"/>
        <v>6.5934012062726177</v>
      </c>
      <c r="K841" s="106" t="str">
        <f>VLOOKUP(C841,'RAW DATA 2023'!E:BO,36,0)</f>
        <v>EHP</v>
      </c>
      <c r="L841" s="106">
        <f>VLOOKUP(C841,'RAW DATA 2023'!E:BO,21,0)</f>
        <v>22.54616</v>
      </c>
      <c r="M841" s="106">
        <f t="shared" si="65"/>
        <v>148.65587854081545</v>
      </c>
    </row>
    <row r="842" spans="1:13">
      <c r="A842" t="str">
        <f>'RAW DATA 2023'!B835</f>
        <v>SR1</v>
      </c>
      <c r="B842" t="str">
        <f>'RAW DATA 2023'!D835</f>
        <v>C1-061-0038</v>
      </c>
      <c r="C842" t="str">
        <f t="shared" ref="C842:C905" si="66">A842&amp;B842</f>
        <v>SR1C1-061-0038</v>
      </c>
      <c r="D842">
        <f>VLOOKUP(C842,'RAW DATA 2023'!E:BP,63,0)</f>
        <v>1</v>
      </c>
      <c r="E842" t="str">
        <f t="shared" ref="E842:E905" si="67">A842&amp;D842</f>
        <v>SR11</v>
      </c>
      <c r="F842">
        <f>ROUND(VLOOKUP(C842,'RAW DATA 2023'!E:BO,23,0),0)</f>
        <v>48</v>
      </c>
      <c r="G842" s="16">
        <f>VLOOKUP(C842,'RAW DATA 2023'!E:BO,27,0)</f>
        <v>1.6229367861297377</v>
      </c>
      <c r="H842" s="16">
        <f>IFERROR(VLOOKUP(F842,STD!B:G,5,0),0)</f>
        <v>1.52</v>
      </c>
      <c r="I842" s="21">
        <f t="shared" si="63"/>
        <v>0.93657375505350771</v>
      </c>
      <c r="J842" s="16">
        <f t="shared" si="64"/>
        <v>8.7314751010701546</v>
      </c>
      <c r="K842" s="106" t="str">
        <f>VLOOKUP(C842,'RAW DATA 2023'!E:BO,36,0)</f>
        <v>WFD</v>
      </c>
      <c r="L842" s="106">
        <f>VLOOKUP(C842,'RAW DATA 2023'!E:BO,21,0)</f>
        <v>13.56691</v>
      </c>
      <c r="M842" s="106">
        <f t="shared" si="65"/>
        <v>118.45913686345969</v>
      </c>
    </row>
    <row r="843" spans="1:13">
      <c r="A843" t="str">
        <f>'RAW DATA 2023'!B836</f>
        <v>SR1</v>
      </c>
      <c r="B843" t="str">
        <f>'RAW DATA 2023'!D836</f>
        <v>C1-062-0037</v>
      </c>
      <c r="C843" t="str">
        <f t="shared" si="66"/>
        <v>SR1C1-062-0037</v>
      </c>
      <c r="D843">
        <f>VLOOKUP(C843,'RAW DATA 2023'!E:BP,63,0)</f>
        <v>2</v>
      </c>
      <c r="E843" t="str">
        <f t="shared" si="67"/>
        <v>SR12</v>
      </c>
      <c r="F843">
        <f>ROUND(VLOOKUP(C843,'RAW DATA 2023'!E:BO,23,0),0)</f>
        <v>43</v>
      </c>
      <c r="G843" s="16">
        <f>VLOOKUP(C843,'RAW DATA 2023'!E:BO,27,0)</f>
        <v>2.343359981033144</v>
      </c>
      <c r="H843" s="16">
        <f>IFERROR(VLOOKUP(F843,STD!B:G,5,0),0)</f>
        <v>1.58</v>
      </c>
      <c r="I843" s="21">
        <f t="shared" ref="I843:I906" si="68">IFERROR(H843/G843,0)</f>
        <v>0.67424553324641456</v>
      </c>
      <c r="J843" s="16">
        <f t="shared" ref="J843:J906" si="69">(I843-$B$4)*$B$7</f>
        <v>3.4849106649282913</v>
      </c>
      <c r="K843" s="106" t="str">
        <f>VLOOKUP(C843,'RAW DATA 2023'!E:BO,36,0)</f>
        <v>WFD</v>
      </c>
      <c r="L843" s="106">
        <f>VLOOKUP(C843,'RAW DATA 2023'!E:BO,21,0)</f>
        <v>17.713889999999999</v>
      </c>
      <c r="M843" s="106">
        <f t="shared" ref="M843:M906" si="70">J843*L843</f>
        <v>61.731324178366606</v>
      </c>
    </row>
    <row r="844" spans="1:13">
      <c r="A844" t="str">
        <f>'RAW DATA 2023'!B837</f>
        <v>SR1</v>
      </c>
      <c r="B844" t="str">
        <f>'RAW DATA 2023'!D837</f>
        <v>D1-066-0037</v>
      </c>
      <c r="C844" t="str">
        <f t="shared" si="66"/>
        <v>SR1D1-066-0037</v>
      </c>
      <c r="D844">
        <f>VLOOKUP(C844,'RAW DATA 2023'!E:BP,63,0)</f>
        <v>3</v>
      </c>
      <c r="E844" t="str">
        <f t="shared" si="67"/>
        <v>SR13</v>
      </c>
      <c r="F844">
        <f>ROUND(VLOOKUP(C844,'RAW DATA 2023'!E:BO,23,0),0)</f>
        <v>54</v>
      </c>
      <c r="G844" s="16">
        <f>VLOOKUP(C844,'RAW DATA 2023'!E:BO,27,0)</f>
        <v>1.6600296888437596</v>
      </c>
      <c r="H844" s="16">
        <f>IFERROR(VLOOKUP(F844,STD!B:G,5,0),0)</f>
        <v>1.45</v>
      </c>
      <c r="I844" s="21">
        <f t="shared" si="68"/>
        <v>0.87347835387808692</v>
      </c>
      <c r="J844" s="16">
        <f t="shared" si="69"/>
        <v>7.469567077561738</v>
      </c>
      <c r="K844" s="106" t="str">
        <f>VLOOKUP(C844,'RAW DATA 2023'!E:BO,36,0)</f>
        <v>WFD</v>
      </c>
      <c r="L844" s="106">
        <f>VLOOKUP(C844,'RAW DATA 2023'!E:BO,21,0)</f>
        <v>14.59531</v>
      </c>
      <c r="M844" s="106">
        <f t="shared" si="70"/>
        <v>109.02064706280761</v>
      </c>
    </row>
    <row r="845" spans="1:13">
      <c r="A845" t="str">
        <f>'RAW DATA 2023'!B838</f>
        <v>SR1</v>
      </c>
      <c r="B845" t="str">
        <f>'RAW DATA 2023'!D838</f>
        <v>A1-027-0031</v>
      </c>
      <c r="C845" t="str">
        <f t="shared" si="66"/>
        <v>SR1A1-027-0031</v>
      </c>
      <c r="D845">
        <f>VLOOKUP(C845,'RAW DATA 2023'!E:BP,63,0)</f>
        <v>1</v>
      </c>
      <c r="E845" t="str">
        <f t="shared" si="67"/>
        <v>SR11</v>
      </c>
      <c r="F845">
        <f>ROUND(VLOOKUP(C845,'RAW DATA 2023'!E:BO,23,0),0)</f>
        <v>136</v>
      </c>
      <c r="G845" s="16">
        <f>VLOOKUP(C845,'RAW DATA 2023'!E:BO,27,0)</f>
        <v>1.6294388257326338</v>
      </c>
      <c r="H845" s="16">
        <f>IFERROR(VLOOKUP(F845,STD!B:G,5,0),0)</f>
        <v>1.107</v>
      </c>
      <c r="I845" s="21">
        <f t="shared" si="68"/>
        <v>0.67937499863013695</v>
      </c>
      <c r="J845" s="16">
        <f t="shared" si="69"/>
        <v>3.587499972602739</v>
      </c>
      <c r="K845" s="106" t="str">
        <f>VLOOKUP(C845,'RAW DATA 2023'!E:BO,36,0)</f>
        <v>WSSV</v>
      </c>
      <c r="L845" s="106">
        <f>VLOOKUP(C845,'RAW DATA 2023'!E:BO,21,0)</f>
        <v>5.71007</v>
      </c>
      <c r="M845" s="106">
        <f t="shared" si="70"/>
        <v>20.48487596855972</v>
      </c>
    </row>
    <row r="846" spans="1:13">
      <c r="A846" t="str">
        <f>'RAW DATA 2023'!B839</f>
        <v>SR1</v>
      </c>
      <c r="B846" t="str">
        <f>'RAW DATA 2023'!D839</f>
        <v>C1-063-0004</v>
      </c>
      <c r="C846" t="str">
        <f t="shared" si="66"/>
        <v>SR1C1-063-0004</v>
      </c>
      <c r="D846">
        <f>VLOOKUP(C846,'RAW DATA 2023'!E:BP,63,0)</f>
        <v>3</v>
      </c>
      <c r="E846" t="str">
        <f t="shared" si="67"/>
        <v>SR13</v>
      </c>
      <c r="F846">
        <f>ROUND(VLOOKUP(C846,'RAW DATA 2023'!E:BO,23,0),0)</f>
        <v>163</v>
      </c>
      <c r="G846" s="16">
        <f>VLOOKUP(C846,'RAW DATA 2023'!E:BO,27,0)</f>
        <v>1.0978085256224366</v>
      </c>
      <c r="H846" s="16">
        <f>IFERROR(VLOOKUP(F846,STD!B:G,5,0),0)</f>
        <v>1.0209999999999999</v>
      </c>
      <c r="I846" s="21">
        <f t="shared" si="68"/>
        <v>0.93003467924528305</v>
      </c>
      <c r="J846" s="16">
        <f t="shared" si="69"/>
        <v>8.6006935849056614</v>
      </c>
      <c r="K846" s="106" t="str">
        <f>VLOOKUP(C846,'RAW DATA 2023'!E:BO,36,0)</f>
        <v>EHP</v>
      </c>
      <c r="L846" s="106">
        <f>VLOOKUP(C846,'RAW DATA 2023'!E:BO,21,0)</f>
        <v>5.6879600000000003</v>
      </c>
      <c r="M846" s="106">
        <f t="shared" si="70"/>
        <v>48.920401083200012</v>
      </c>
    </row>
    <row r="847" spans="1:13">
      <c r="A847" t="str">
        <f>'RAW DATA 2023'!B840</f>
        <v>SR1</v>
      </c>
      <c r="B847" t="str">
        <f>'RAW DATA 2023'!D840</f>
        <v>C1-050-0014</v>
      </c>
      <c r="C847" t="str">
        <f t="shared" si="66"/>
        <v>SR1C1-050-0014</v>
      </c>
      <c r="D847">
        <f>VLOOKUP(C847,'RAW DATA 2023'!E:BP,63,0)</f>
        <v>2</v>
      </c>
      <c r="E847" t="str">
        <f t="shared" si="67"/>
        <v>SR12</v>
      </c>
      <c r="F847">
        <f>ROUND(VLOOKUP(C847,'RAW DATA 2023'!E:BO,23,0),0)</f>
        <v>181</v>
      </c>
      <c r="G847" s="16">
        <f>VLOOKUP(C847,'RAW DATA 2023'!E:BO,27,0)</f>
        <v>1.3688010928724765</v>
      </c>
      <c r="H847" s="16">
        <f>IFERROR(VLOOKUP(F847,STD!B:G,5,0),0)</f>
        <v>0.98599999999999999</v>
      </c>
      <c r="I847" s="21">
        <f t="shared" si="68"/>
        <v>0.72033840792079207</v>
      </c>
      <c r="J847" s="16">
        <f t="shared" si="69"/>
        <v>4.4067681584158418</v>
      </c>
      <c r="K847" s="106" t="str">
        <f>VLOOKUP(C847,'RAW DATA 2023'!E:BO,36,0)</f>
        <v>EHP</v>
      </c>
      <c r="L847" s="106">
        <f>VLOOKUP(C847,'RAW DATA 2023'!E:BO,21,0)</f>
        <v>4.0393600000000003</v>
      </c>
      <c r="M847" s="106">
        <f t="shared" si="70"/>
        <v>17.800523028378617</v>
      </c>
    </row>
    <row r="848" spans="1:13">
      <c r="A848" t="str">
        <f>'RAW DATA 2023'!B841</f>
        <v>SR1</v>
      </c>
      <c r="B848" t="str">
        <f>'RAW DATA 2023'!D841</f>
        <v>G1-130-0009</v>
      </c>
      <c r="C848" t="str">
        <f t="shared" si="66"/>
        <v>SR1G1-130-0009</v>
      </c>
      <c r="D848">
        <f>VLOOKUP(C848,'RAW DATA 2023'!E:BP,63,0)</f>
        <v>7</v>
      </c>
      <c r="E848" t="str">
        <f t="shared" si="67"/>
        <v>SR17</v>
      </c>
      <c r="F848">
        <f>ROUND(VLOOKUP(C848,'RAW DATA 2023'!E:BO,23,0),0)</f>
        <v>29</v>
      </c>
      <c r="G848" s="16">
        <f>VLOOKUP(C848,'RAW DATA 2023'!E:BO,27,0)</f>
        <v>1.8738671711135562</v>
      </c>
      <c r="H848" s="16">
        <f>IFERROR(VLOOKUP(F848,STD!B:G,5,0),0)</f>
        <v>1.9</v>
      </c>
      <c r="I848" s="21">
        <f t="shared" si="68"/>
        <v>1.013945934530095</v>
      </c>
      <c r="J848" s="16">
        <f t="shared" si="69"/>
        <v>10.278918690601898</v>
      </c>
      <c r="K848" s="106" t="str">
        <f>VLOOKUP(C848,'RAW DATA 2023'!E:BO,36,0)</f>
        <v>WFD</v>
      </c>
      <c r="L848" s="106">
        <f>VLOOKUP(C848,'RAW DATA 2023'!E:BO,21,0)</f>
        <v>12.924299999999999</v>
      </c>
      <c r="M848" s="106">
        <f t="shared" si="70"/>
        <v>132.84782883294611</v>
      </c>
    </row>
    <row r="849" spans="1:13">
      <c r="A849" t="str">
        <f>'RAW DATA 2023'!B842</f>
        <v>SR1</v>
      </c>
      <c r="B849" t="str">
        <f>'RAW DATA 2023'!D842</f>
        <v>G1-128-0006</v>
      </c>
      <c r="C849" t="str">
        <f t="shared" si="66"/>
        <v>SR1G1-128-0006</v>
      </c>
      <c r="D849">
        <f>VLOOKUP(C849,'RAW DATA 2023'!E:BP,63,0)</f>
        <v>11</v>
      </c>
      <c r="E849" t="str">
        <f t="shared" si="67"/>
        <v>SR111</v>
      </c>
      <c r="F849">
        <f>ROUND(VLOOKUP(C849,'RAW DATA 2023'!E:BO,23,0),0)</f>
        <v>24</v>
      </c>
      <c r="G849" s="16">
        <f>VLOOKUP(C849,'RAW DATA 2023'!E:BO,27,0)</f>
        <v>2.6577190126573869</v>
      </c>
      <c r="H849" s="16">
        <f>IFERROR(VLOOKUP(F849,STD!B:G,5,0),0)</f>
        <v>2.08</v>
      </c>
      <c r="I849" s="21">
        <f t="shared" si="68"/>
        <v>0.78262600000000004</v>
      </c>
      <c r="J849" s="16">
        <f t="shared" si="69"/>
        <v>5.6525200000000009</v>
      </c>
      <c r="K849" s="106" t="str">
        <f>VLOOKUP(C849,'RAW DATA 2023'!E:BO,36,0)</f>
        <v>อัตรารอดต่ำ</v>
      </c>
      <c r="L849" s="106">
        <f>VLOOKUP(C849,'RAW DATA 2023'!E:BO,21,0)</f>
        <v>13.082420000000001</v>
      </c>
      <c r="M849" s="106">
        <f t="shared" si="70"/>
        <v>73.948640698400013</v>
      </c>
    </row>
    <row r="850" spans="1:13">
      <c r="A850" t="str">
        <f>'RAW DATA 2023'!B843</f>
        <v>SR1</v>
      </c>
      <c r="B850" t="str">
        <f>'RAW DATA 2023'!D843</f>
        <v>G1-129-0009</v>
      </c>
      <c r="C850" t="str">
        <f t="shared" si="66"/>
        <v>SR1G1-129-0009</v>
      </c>
      <c r="D850">
        <f>VLOOKUP(C850,'RAW DATA 2023'!E:BP,63,0)</f>
        <v>7</v>
      </c>
      <c r="E850" t="str">
        <f t="shared" si="67"/>
        <v>SR17</v>
      </c>
      <c r="F850">
        <f>ROUND(VLOOKUP(C850,'RAW DATA 2023'!E:BO,23,0),0)</f>
        <v>33</v>
      </c>
      <c r="G850" s="16">
        <f>VLOOKUP(C850,'RAW DATA 2023'!E:BO,27,0)</f>
        <v>1.9036906473707811</v>
      </c>
      <c r="H850" s="16">
        <f>IFERROR(VLOOKUP(F850,STD!B:G,5,0),0)</f>
        <v>1.8</v>
      </c>
      <c r="I850" s="21">
        <f t="shared" si="68"/>
        <v>0.94553177664974619</v>
      </c>
      <c r="J850" s="16">
        <f t="shared" si="69"/>
        <v>8.9106355329949238</v>
      </c>
      <c r="K850" s="106" t="str">
        <f>VLOOKUP(C850,'RAW DATA 2023'!E:BO,36,0)</f>
        <v>ปรับแผนให้ตรงตามควทมต้องการของโรงงาน</v>
      </c>
      <c r="L850" s="106">
        <f>VLOOKUP(C850,'RAW DATA 2023'!E:BO,21,0)</f>
        <v>10.930819999999999</v>
      </c>
      <c r="M850" s="106">
        <f t="shared" si="70"/>
        <v>97.40055309677156</v>
      </c>
    </row>
    <row r="851" spans="1:13">
      <c r="A851" t="str">
        <f>'RAW DATA 2023'!B844</f>
        <v>SR1</v>
      </c>
      <c r="B851" t="str">
        <f>'RAW DATA 2023'!D844</f>
        <v>G1-128-0005</v>
      </c>
      <c r="C851" t="str">
        <f t="shared" si="66"/>
        <v>SR1G1-128-0005</v>
      </c>
      <c r="D851">
        <f>VLOOKUP(C851,'RAW DATA 2023'!E:BP,63,0)</f>
        <v>6</v>
      </c>
      <c r="E851" t="str">
        <f t="shared" si="67"/>
        <v>SR16</v>
      </c>
      <c r="F851">
        <f>ROUND(VLOOKUP(C851,'RAW DATA 2023'!E:BO,23,0),0)</f>
        <v>22</v>
      </c>
      <c r="G851" s="16">
        <f>VLOOKUP(C851,'RAW DATA 2023'!E:BO,27,0)</f>
        <v>3.1453819966050345</v>
      </c>
      <c r="H851" s="16">
        <f>IFERROR(VLOOKUP(F851,STD!B:G,5,0),0)</f>
        <v>2.177</v>
      </c>
      <c r="I851" s="21">
        <f t="shared" si="68"/>
        <v>0.6921257902377973</v>
      </c>
      <c r="J851" s="16">
        <f t="shared" si="69"/>
        <v>3.842515804755946</v>
      </c>
      <c r="K851" s="106" t="str">
        <f>VLOOKUP(C851,'RAW DATA 2023'!E:BO,36,0)</f>
        <v>อัตรารอดต่ำ</v>
      </c>
      <c r="L851" s="106">
        <f>VLOOKUP(C851,'RAW DATA 2023'!E:BO,21,0)</f>
        <v>12.94116</v>
      </c>
      <c r="M851" s="106">
        <f t="shared" si="70"/>
        <v>49.726611831875459</v>
      </c>
    </row>
    <row r="852" spans="1:13">
      <c r="A852" t="str">
        <f>'RAW DATA 2023'!B845</f>
        <v>SR1</v>
      </c>
      <c r="B852" t="str">
        <f>'RAW DATA 2023'!D845</f>
        <v>A1-028-0036</v>
      </c>
      <c r="C852" t="str">
        <f t="shared" si="66"/>
        <v>SR1A1-028-0036</v>
      </c>
      <c r="D852">
        <f>VLOOKUP(C852,'RAW DATA 2023'!E:BP,63,0)</f>
        <v>5</v>
      </c>
      <c r="E852" t="str">
        <f t="shared" si="67"/>
        <v>SR15</v>
      </c>
      <c r="F852">
        <f>ROUND(VLOOKUP(C852,'RAW DATA 2023'!E:BO,23,0),0)</f>
        <v>23</v>
      </c>
      <c r="G852" s="16">
        <f>VLOOKUP(C852,'RAW DATA 2023'!E:BO,27,0)</f>
        <v>2.2801062307889111</v>
      </c>
      <c r="H852" s="16">
        <f>IFERROR(VLOOKUP(F852,STD!B:G,5,0),0)</f>
        <v>2.13</v>
      </c>
      <c r="I852" s="21">
        <f t="shared" si="68"/>
        <v>0.93416700118530227</v>
      </c>
      <c r="J852" s="16">
        <f t="shared" si="69"/>
        <v>8.6833400237060445</v>
      </c>
      <c r="K852" s="106" t="str">
        <f>VLOOKUP(C852,'RAW DATA 2023'!E:BO,36,0)</f>
        <v>Normal</v>
      </c>
      <c r="L852" s="106">
        <f>VLOOKUP(C852,'RAW DATA 2023'!E:BO,21,0)</f>
        <v>28.134900000000002</v>
      </c>
      <c r="M852" s="106">
        <f t="shared" si="70"/>
        <v>244.30490323296721</v>
      </c>
    </row>
    <row r="853" spans="1:13">
      <c r="A853" t="str">
        <f>'RAW DATA 2023'!B846</f>
        <v>SR1</v>
      </c>
      <c r="B853" t="str">
        <f>'RAW DATA 2023'!D846</f>
        <v>G1-129-0010</v>
      </c>
      <c r="C853" t="str">
        <f t="shared" si="66"/>
        <v>SR1G1-129-0010</v>
      </c>
      <c r="D853">
        <f>VLOOKUP(C853,'RAW DATA 2023'!E:BP,63,0)</f>
        <v>10</v>
      </c>
      <c r="E853" t="str">
        <f t="shared" si="67"/>
        <v>SR110</v>
      </c>
      <c r="F853">
        <f>ROUND(VLOOKUP(C853,'RAW DATA 2023'!E:BO,23,0),0)</f>
        <v>61</v>
      </c>
      <c r="G853" s="16">
        <f>VLOOKUP(C853,'RAW DATA 2023'!E:BO,27,0)</f>
        <v>1.7360871295981193</v>
      </c>
      <c r="H853" s="16">
        <f>IFERROR(VLOOKUP(F853,STD!B:G,5,0),0)</f>
        <v>1.4</v>
      </c>
      <c r="I853" s="21">
        <f t="shared" si="68"/>
        <v>0.80641113924050634</v>
      </c>
      <c r="J853" s="16">
        <f t="shared" si="69"/>
        <v>6.1282227848101272</v>
      </c>
      <c r="K853" s="106" t="str">
        <f>VLOOKUP(C853,'RAW DATA 2023'!E:BO,36,0)</f>
        <v>EHP</v>
      </c>
      <c r="L853" s="106">
        <f>VLOOKUP(C853,'RAW DATA 2023'!E:BO,21,0)</f>
        <v>8.1433099999999996</v>
      </c>
      <c r="M853" s="106">
        <f t="shared" si="70"/>
        <v>49.904017885772156</v>
      </c>
    </row>
    <row r="854" spans="1:13">
      <c r="A854" t="str">
        <f>'RAW DATA 2023'!B847</f>
        <v>SR1</v>
      </c>
      <c r="B854" t="str">
        <f>'RAW DATA 2023'!D847</f>
        <v>G1-129-0008</v>
      </c>
      <c r="C854" t="str">
        <f t="shared" si="66"/>
        <v>SR1G1-129-0008</v>
      </c>
      <c r="D854">
        <f>VLOOKUP(C854,'RAW DATA 2023'!E:BP,63,0)</f>
        <v>2</v>
      </c>
      <c r="E854" t="str">
        <f t="shared" si="67"/>
        <v>SR12</v>
      </c>
      <c r="F854">
        <f>ROUND(VLOOKUP(C854,'RAW DATA 2023'!E:BO,23,0),0)</f>
        <v>74</v>
      </c>
      <c r="G854" s="16">
        <f>VLOOKUP(C854,'RAW DATA 2023'!E:BO,27,0)</f>
        <v>1.8091953814289661</v>
      </c>
      <c r="H854" s="16">
        <f>IFERROR(VLOOKUP(F854,STD!B:G,5,0),0)</f>
        <v>1.32</v>
      </c>
      <c r="I854" s="21">
        <f t="shared" si="68"/>
        <v>0.72960610752688171</v>
      </c>
      <c r="J854" s="16">
        <f t="shared" si="69"/>
        <v>4.5921221505376337</v>
      </c>
      <c r="K854" s="106" t="str">
        <f>VLOOKUP(C854,'RAW DATA 2023'!E:BO,36,0)</f>
        <v>EHP</v>
      </c>
      <c r="L854" s="106">
        <f>VLOOKUP(C854,'RAW DATA 2023'!E:BO,21,0)</f>
        <v>7.9256099999999998</v>
      </c>
      <c r="M854" s="106">
        <f t="shared" si="70"/>
        <v>36.395369237522573</v>
      </c>
    </row>
    <row r="855" spans="1:13">
      <c r="A855" t="str">
        <f>'RAW DATA 2023'!B848</f>
        <v>SR1</v>
      </c>
      <c r="B855" t="str">
        <f>'RAW DATA 2023'!D848</f>
        <v>G1-130-0010</v>
      </c>
      <c r="C855" t="str">
        <f t="shared" si="66"/>
        <v>SR1G1-130-0010</v>
      </c>
      <c r="D855">
        <f>VLOOKUP(C855,'RAW DATA 2023'!E:BP,63,0)</f>
        <v>10</v>
      </c>
      <c r="E855" t="str">
        <f t="shared" si="67"/>
        <v>SR110</v>
      </c>
      <c r="F855">
        <f>ROUND(VLOOKUP(C855,'RAW DATA 2023'!E:BO,23,0),0)</f>
        <v>117</v>
      </c>
      <c r="G855" s="16">
        <f>VLOOKUP(C855,'RAW DATA 2023'!E:BO,27,0)</f>
        <v>1.5689072313411514</v>
      </c>
      <c r="H855" s="16">
        <f>IFERROR(VLOOKUP(F855,STD!B:G,5,0),0)</f>
        <v>1.17</v>
      </c>
      <c r="I855" s="21">
        <f t="shared" si="68"/>
        <v>0.7457419894736842</v>
      </c>
      <c r="J855" s="16">
        <f t="shared" si="69"/>
        <v>4.9148397894736835</v>
      </c>
      <c r="K855" s="106" t="str">
        <f>VLOOKUP(C855,'RAW DATA 2023'!E:BO,36,0)</f>
        <v>EHP</v>
      </c>
      <c r="L855" s="106">
        <f>VLOOKUP(C855,'RAW DATA 2023'!E:BO,21,0)</f>
        <v>6.69217</v>
      </c>
      <c r="M855" s="106">
        <f t="shared" si="70"/>
        <v>32.8909433939221</v>
      </c>
    </row>
    <row r="856" spans="1:13">
      <c r="A856" t="str">
        <f>'RAW DATA 2023'!B849</f>
        <v>SR1</v>
      </c>
      <c r="B856" t="str">
        <f>'RAW DATA 2023'!D849</f>
        <v>H1-095-0037</v>
      </c>
      <c r="C856" t="str">
        <f t="shared" si="66"/>
        <v>SR1H1-095-0037</v>
      </c>
      <c r="D856">
        <f>VLOOKUP(C856,'RAW DATA 2023'!E:BP,63,0)</f>
        <v>1</v>
      </c>
      <c r="E856" t="str">
        <f t="shared" si="67"/>
        <v>SR11</v>
      </c>
      <c r="F856">
        <f>ROUND(VLOOKUP(C856,'RAW DATA 2023'!E:BO,23,0),0)</f>
        <v>89</v>
      </c>
      <c r="G856" s="16">
        <f>VLOOKUP(C856,'RAW DATA 2023'!E:BO,27,0)</f>
        <v>1.4495589716828656</v>
      </c>
      <c r="H856" s="16">
        <f>IFERROR(VLOOKUP(F856,STD!B:G,5,0),0)</f>
        <v>1.25</v>
      </c>
      <c r="I856" s="21">
        <f t="shared" si="68"/>
        <v>0.86233124999999988</v>
      </c>
      <c r="J856" s="16">
        <f t="shared" si="69"/>
        <v>7.2466249999999981</v>
      </c>
      <c r="K856" s="106" t="str">
        <f>VLOOKUP(C856,'RAW DATA 2023'!E:BO,36,0)</f>
        <v>EHP</v>
      </c>
      <c r="L856" s="106">
        <f>VLOOKUP(C856,'RAW DATA 2023'!E:BO,21,0)</f>
        <v>4.9201899999999998</v>
      </c>
      <c r="M856" s="106">
        <f t="shared" si="70"/>
        <v>35.654771858749989</v>
      </c>
    </row>
    <row r="857" spans="1:13">
      <c r="A857" t="str">
        <f>'RAW DATA 2023'!B850</f>
        <v>SR1</v>
      </c>
      <c r="B857" t="str">
        <f>'RAW DATA 2023'!D850</f>
        <v>H1-092-0039</v>
      </c>
      <c r="C857" t="str">
        <f t="shared" si="66"/>
        <v>SR1H1-092-0039</v>
      </c>
      <c r="D857">
        <f>VLOOKUP(C857,'RAW DATA 2023'!E:BP,63,0)</f>
        <v>1</v>
      </c>
      <c r="E857" t="str">
        <f t="shared" si="67"/>
        <v>SR11</v>
      </c>
      <c r="F857">
        <f>ROUND(VLOOKUP(C857,'RAW DATA 2023'!E:BO,23,0),0)</f>
        <v>82</v>
      </c>
      <c r="G857" s="16">
        <f>VLOOKUP(C857,'RAW DATA 2023'!E:BO,27,0)</f>
        <v>1.9182574796571885</v>
      </c>
      <c r="H857" s="16">
        <f>IFERROR(VLOOKUP(F857,STD!B:G,5,0),0)</f>
        <v>1.28</v>
      </c>
      <c r="I857" s="21">
        <f t="shared" si="68"/>
        <v>0.66727225806451629</v>
      </c>
      <c r="J857" s="16">
        <f t="shared" si="69"/>
        <v>3.3454451612903258</v>
      </c>
      <c r="K857" s="106" t="str">
        <f>VLOOKUP(C857,'RAW DATA 2023'!E:BO,36,0)</f>
        <v>EHP</v>
      </c>
      <c r="L857" s="106">
        <f>VLOOKUP(C857,'RAW DATA 2023'!E:BO,21,0)</f>
        <v>4.4413</v>
      </c>
      <c r="M857" s="106">
        <f t="shared" si="70"/>
        <v>14.858125594838723</v>
      </c>
    </row>
    <row r="858" spans="1:13">
      <c r="A858" t="str">
        <f>'RAW DATA 2023'!B851</f>
        <v>SR1</v>
      </c>
      <c r="B858" t="str">
        <f>'RAW DATA 2023'!D851</f>
        <v>H1-126-0008</v>
      </c>
      <c r="C858" t="str">
        <f t="shared" si="66"/>
        <v>SR1H1-126-0008</v>
      </c>
      <c r="D858">
        <f>VLOOKUP(C858,'RAW DATA 2023'!E:BP,63,0)</f>
        <v>2</v>
      </c>
      <c r="E858" t="str">
        <f t="shared" si="67"/>
        <v>SR12</v>
      </c>
      <c r="F858">
        <f>ROUND(VLOOKUP(C858,'RAW DATA 2023'!E:BO,23,0),0)</f>
        <v>108</v>
      </c>
      <c r="G858" s="16">
        <f>VLOOKUP(C858,'RAW DATA 2023'!E:BO,27,0)</f>
        <v>1.1378398547987361</v>
      </c>
      <c r="H858" s="16">
        <f>IFERROR(VLOOKUP(F858,STD!B:G,5,0),0)</f>
        <v>1.19</v>
      </c>
      <c r="I858" s="21">
        <f t="shared" si="68"/>
        <v>1.0458413765182184</v>
      </c>
      <c r="J858" s="16">
        <f t="shared" si="69"/>
        <v>10.916827530364369</v>
      </c>
      <c r="K858" s="106" t="str">
        <f>VLOOKUP(C858,'RAW DATA 2023'!E:BO,36,0)</f>
        <v>EHP</v>
      </c>
      <c r="L858" s="106">
        <f>VLOOKUP(C858,'RAW DATA 2023'!E:BO,21,0)</f>
        <v>5.7699499999999997</v>
      </c>
      <c r="M858" s="106">
        <f t="shared" si="70"/>
        <v>62.98954900882589</v>
      </c>
    </row>
    <row r="859" spans="1:13">
      <c r="A859" t="str">
        <f>'RAW DATA 2023'!B852</f>
        <v>SR1</v>
      </c>
      <c r="B859" t="str">
        <f>'RAW DATA 2023'!D852</f>
        <v>G1-130-0008</v>
      </c>
      <c r="C859" t="str">
        <f t="shared" si="66"/>
        <v>SR1G1-130-0008</v>
      </c>
      <c r="D859">
        <f>VLOOKUP(C859,'RAW DATA 2023'!E:BP,63,0)</f>
        <v>2</v>
      </c>
      <c r="E859" t="str">
        <f t="shared" si="67"/>
        <v>SR12</v>
      </c>
      <c r="F859">
        <f>ROUND(VLOOKUP(C859,'RAW DATA 2023'!E:BO,23,0),0)</f>
        <v>91</v>
      </c>
      <c r="G859" s="16">
        <f>VLOOKUP(C859,'RAW DATA 2023'!E:BO,27,0)</f>
        <v>1.5619347067703695</v>
      </c>
      <c r="H859" s="16">
        <f>IFERROR(VLOOKUP(F859,STD!B:G,5,0),0)</f>
        <v>1.24</v>
      </c>
      <c r="I859" s="21">
        <f t="shared" si="68"/>
        <v>0.79388721860465117</v>
      </c>
      <c r="J859" s="16">
        <f t="shared" si="69"/>
        <v>5.8777443720930229</v>
      </c>
      <c r="K859" s="106" t="str">
        <f>VLOOKUP(C859,'RAW DATA 2023'!E:BO,36,0)</f>
        <v>EHP</v>
      </c>
      <c r="L859" s="106">
        <f>VLOOKUP(C859,'RAW DATA 2023'!E:BO,21,0)</f>
        <v>7.2154499999999997</v>
      </c>
      <c r="M859" s="106">
        <f t="shared" si="70"/>
        <v>42.410570629618597</v>
      </c>
    </row>
    <row r="860" spans="1:13">
      <c r="A860" t="str">
        <f>'RAW DATA 2023'!B853</f>
        <v>SR1</v>
      </c>
      <c r="B860" t="str">
        <f>'RAW DATA 2023'!D853</f>
        <v>H1-125-0010</v>
      </c>
      <c r="C860" t="str">
        <f t="shared" si="66"/>
        <v>SR1H1-125-0010</v>
      </c>
      <c r="D860">
        <f>VLOOKUP(C860,'RAW DATA 2023'!E:BP,63,0)</f>
        <v>3</v>
      </c>
      <c r="E860" t="str">
        <f t="shared" si="67"/>
        <v>SR13</v>
      </c>
      <c r="F860">
        <f>ROUND(VLOOKUP(C860,'RAW DATA 2023'!E:BO,23,0),0)</f>
        <v>133</v>
      </c>
      <c r="G860" s="16">
        <f>VLOOKUP(C860,'RAW DATA 2023'!E:BO,27,0)</f>
        <v>1.3929722304245675</v>
      </c>
      <c r="H860" s="16">
        <f>IFERROR(VLOOKUP(F860,STD!B:G,5,0),0)</f>
        <v>1.1279999999999999</v>
      </c>
      <c r="I860" s="21">
        <f t="shared" si="68"/>
        <v>0.80977924423963132</v>
      </c>
      <c r="J860" s="16">
        <f t="shared" si="69"/>
        <v>6.1955848847926269</v>
      </c>
      <c r="K860" s="106" t="str">
        <f>VLOOKUP(C860,'RAW DATA 2023'!E:BO,36,0)</f>
        <v>WFD</v>
      </c>
      <c r="L860" s="106">
        <f>VLOOKUP(C860,'RAW DATA 2023'!E:BO,21,0)</f>
        <v>4.17455</v>
      </c>
      <c r="M860" s="106">
        <f t="shared" si="70"/>
        <v>25.863778880811061</v>
      </c>
    </row>
    <row r="861" spans="1:13">
      <c r="A861" t="str">
        <f>'RAW DATA 2023'!B854</f>
        <v>SR1</v>
      </c>
      <c r="B861" t="str">
        <f>'RAW DATA 2023'!D854</f>
        <v>H1-126-0009</v>
      </c>
      <c r="C861" t="str">
        <f t="shared" si="66"/>
        <v>SR1H1-126-0009</v>
      </c>
      <c r="D861">
        <f>VLOOKUP(C861,'RAW DATA 2023'!E:BP,63,0)</f>
        <v>6</v>
      </c>
      <c r="E861" t="str">
        <f t="shared" si="67"/>
        <v>SR16</v>
      </c>
      <c r="F861">
        <f>ROUND(VLOOKUP(C861,'RAW DATA 2023'!E:BO,23,0),0)</f>
        <v>57</v>
      </c>
      <c r="G861" s="16">
        <f>VLOOKUP(C861,'RAW DATA 2023'!E:BO,27,0)</f>
        <v>1.6556384152935049</v>
      </c>
      <c r="H861" s="16">
        <f>IFERROR(VLOOKUP(F861,STD!B:G,5,0),0)</f>
        <v>1.43</v>
      </c>
      <c r="I861" s="21">
        <f t="shared" si="68"/>
        <v>0.86371516074450072</v>
      </c>
      <c r="J861" s="16">
        <f t="shared" si="69"/>
        <v>7.2743032148900149</v>
      </c>
      <c r="K861" s="106" t="str">
        <f>VLOOKUP(C861,'RAW DATA 2023'!E:BO,36,0)</f>
        <v>จับกุ้งฉุกเฉินเนื่องจากไฟดับ</v>
      </c>
      <c r="L861" s="106">
        <f>VLOOKUP(C861,'RAW DATA 2023'!E:BO,21,0)</f>
        <v>9.0760499999999986</v>
      </c>
      <c r="M861" s="106">
        <f t="shared" si="70"/>
        <v>66.021939693502503</v>
      </c>
    </row>
    <row r="862" spans="1:13">
      <c r="A862" t="str">
        <f>'RAW DATA 2023'!B855</f>
        <v>SR1</v>
      </c>
      <c r="B862" t="str">
        <f>'RAW DATA 2023'!D855</f>
        <v>H1-125-0011</v>
      </c>
      <c r="C862" t="str">
        <f t="shared" si="66"/>
        <v>SR1H1-125-0011</v>
      </c>
      <c r="D862">
        <f>VLOOKUP(C862,'RAW DATA 2023'!E:BP,63,0)</f>
        <v>7</v>
      </c>
      <c r="E862" t="str">
        <f t="shared" si="67"/>
        <v>SR17</v>
      </c>
      <c r="F862">
        <f>ROUND(VLOOKUP(C862,'RAW DATA 2023'!E:BO,23,0),0)</f>
        <v>60</v>
      </c>
      <c r="G862" s="16">
        <f>VLOOKUP(C862,'RAW DATA 2023'!E:BO,27,0)</f>
        <v>1.8260379815900172</v>
      </c>
      <c r="H862" s="16">
        <f>IFERROR(VLOOKUP(F862,STD!B:G,5,0),0)</f>
        <v>1.4</v>
      </c>
      <c r="I862" s="21">
        <f t="shared" si="68"/>
        <v>0.76668722891566254</v>
      </c>
      <c r="J862" s="16">
        <f t="shared" si="69"/>
        <v>5.3337445783132509</v>
      </c>
      <c r="K862" s="106" t="str">
        <f>VLOOKUP(C862,'RAW DATA 2023'!E:BO,36,0)</f>
        <v>WFD</v>
      </c>
      <c r="L862" s="106">
        <f>VLOOKUP(C862,'RAW DATA 2023'!E:BO,21,0)</f>
        <v>4.8553599999999992</v>
      </c>
      <c r="M862" s="106">
        <f t="shared" si="70"/>
        <v>25.897250075759022</v>
      </c>
    </row>
    <row r="863" spans="1:13">
      <c r="A863" t="str">
        <f>'RAW DATA 2023'!B856</f>
        <v>SR1</v>
      </c>
      <c r="B863" t="str">
        <f>'RAW DATA 2023'!D856</f>
        <v>H1-095-0038</v>
      </c>
      <c r="C863" t="str">
        <f t="shared" si="66"/>
        <v>SR1H1-095-0038</v>
      </c>
      <c r="D863">
        <f>VLOOKUP(C863,'RAW DATA 2023'!E:BP,63,0)</f>
        <v>6</v>
      </c>
      <c r="E863" t="str">
        <f t="shared" si="67"/>
        <v>SR16</v>
      </c>
      <c r="F863">
        <f>ROUND(VLOOKUP(C863,'RAW DATA 2023'!E:BO,23,0),0)</f>
        <v>82</v>
      </c>
      <c r="G863" s="16">
        <f>VLOOKUP(C863,'RAW DATA 2023'!E:BO,27,0)</f>
        <v>1.4509840988725438</v>
      </c>
      <c r="H863" s="16">
        <f>IFERROR(VLOOKUP(F863,STD!B:G,5,0),0)</f>
        <v>1.28</v>
      </c>
      <c r="I863" s="21">
        <f t="shared" si="68"/>
        <v>0.88215990857142867</v>
      </c>
      <c r="J863" s="16">
        <f t="shared" si="69"/>
        <v>7.6431981714285735</v>
      </c>
      <c r="K863" s="106" t="str">
        <f>VLOOKUP(C863,'RAW DATA 2023'!E:BO,36,0)</f>
        <v>WFD</v>
      </c>
      <c r="L863" s="106">
        <f>VLOOKUP(C863,'RAW DATA 2023'!E:BO,21,0)</f>
        <v>6.35039</v>
      </c>
      <c r="M863" s="106">
        <f t="shared" si="70"/>
        <v>48.537289235858296</v>
      </c>
    </row>
    <row r="864" spans="1:13">
      <c r="A864" t="str">
        <f>'RAW DATA 2023'!B857</f>
        <v>SR1</v>
      </c>
      <c r="B864" t="str">
        <f>'RAW DATA 2023'!D857</f>
        <v>H1-094-0029</v>
      </c>
      <c r="C864" t="str">
        <f t="shared" si="66"/>
        <v>SR1H1-094-0029</v>
      </c>
      <c r="D864">
        <f>VLOOKUP(C864,'RAW DATA 2023'!E:BP,63,0)</f>
        <v>7</v>
      </c>
      <c r="E864" t="str">
        <f t="shared" si="67"/>
        <v>SR17</v>
      </c>
      <c r="F864">
        <f>ROUND(VLOOKUP(C864,'RAW DATA 2023'!E:BO,23,0),0)</f>
        <v>78</v>
      </c>
      <c r="G864" s="16">
        <f>VLOOKUP(C864,'RAW DATA 2023'!E:BO,27,0)</f>
        <v>1.367513734442787</v>
      </c>
      <c r="H864" s="16">
        <f>IFERROR(VLOOKUP(F864,STD!B:G,5,0),0)</f>
        <v>1.3</v>
      </c>
      <c r="I864" s="21">
        <f t="shared" si="68"/>
        <v>0.95063030612244903</v>
      </c>
      <c r="J864" s="16">
        <f t="shared" si="69"/>
        <v>9.0126061224489806</v>
      </c>
      <c r="K864" s="106" t="str">
        <f>VLOOKUP(C864,'RAW DATA 2023'!E:BO,36,0)</f>
        <v>WFD</v>
      </c>
      <c r="L864" s="106">
        <f>VLOOKUP(C864,'RAW DATA 2023'!E:BO,21,0)</f>
        <v>7.3662900000000002</v>
      </c>
      <c r="M864" s="106">
        <f t="shared" si="70"/>
        <v>66.389470353734708</v>
      </c>
    </row>
    <row r="865" spans="1:13">
      <c r="A865" t="str">
        <f>'RAW DATA 2023'!B858</f>
        <v>Nakornfarm</v>
      </c>
      <c r="B865" t="str">
        <f>'RAW DATA 2023'!D858</f>
        <v>BG-113-0010</v>
      </c>
      <c r="C865" t="str">
        <f t="shared" si="66"/>
        <v>NakornfarmBG-113-0010</v>
      </c>
      <c r="D865">
        <f>VLOOKUP(C865,'RAW DATA 2023'!E:BP,63,0)</f>
        <v>10</v>
      </c>
      <c r="E865" t="str">
        <f t="shared" si="67"/>
        <v>Nakornfarm10</v>
      </c>
      <c r="F865">
        <f>ROUND(VLOOKUP(C865,'RAW DATA 2023'!E:BO,23,0),0)</f>
        <v>26</v>
      </c>
      <c r="G865" s="16">
        <f>VLOOKUP(C865,'RAW DATA 2023'!E:BO,27,0)</f>
        <v>1.968227784724859</v>
      </c>
      <c r="H865" s="16">
        <f>IFERROR(VLOOKUP(F865,STD!B:G,5,0),0)</f>
        <v>2</v>
      </c>
      <c r="I865" s="21">
        <f t="shared" si="68"/>
        <v>1.0161425499231953</v>
      </c>
      <c r="J865" s="16">
        <f t="shared" si="69"/>
        <v>10.322850998463906</v>
      </c>
      <c r="K865" s="106" t="str">
        <f>VLOOKUP(C865,'RAW DATA 2023'!E:BO,36,0)</f>
        <v>Normal</v>
      </c>
      <c r="L865" s="106">
        <f>VLOOKUP(C865,'RAW DATA 2023'!E:BO,21,0)</f>
        <v>16.777720000000002</v>
      </c>
      <c r="M865" s="106">
        <f t="shared" si="70"/>
        <v>173.19390365394787</v>
      </c>
    </row>
    <row r="866" spans="1:13">
      <c r="A866" t="str">
        <f>'RAW DATA 2023'!B859</f>
        <v>Nakornfarm</v>
      </c>
      <c r="B866" t="str">
        <f>'RAW DATA 2023'!D859</f>
        <v>BG-101-0010</v>
      </c>
      <c r="C866" t="str">
        <f t="shared" si="66"/>
        <v>NakornfarmBG-101-0010</v>
      </c>
      <c r="D866">
        <f>VLOOKUP(C866,'RAW DATA 2023'!E:BP,63,0)</f>
        <v>7</v>
      </c>
      <c r="E866" t="str">
        <f t="shared" si="67"/>
        <v>Nakornfarm7</v>
      </c>
      <c r="F866">
        <f>ROUND(VLOOKUP(C866,'RAW DATA 2023'!E:BO,23,0),0)</f>
        <v>23</v>
      </c>
      <c r="G866" s="16">
        <f>VLOOKUP(C866,'RAW DATA 2023'!E:BO,27,0)</f>
        <v>2.4262883063452714</v>
      </c>
      <c r="H866" s="16">
        <f>IFERROR(VLOOKUP(F866,STD!B:G,5,0),0)</f>
        <v>2.13</v>
      </c>
      <c r="I866" s="21">
        <f t="shared" si="68"/>
        <v>0.87788413043478253</v>
      </c>
      <c r="J866" s="16">
        <f t="shared" si="69"/>
        <v>7.5576826086956501</v>
      </c>
      <c r="K866" s="106" t="str">
        <f>VLOOKUP(C866,'RAW DATA 2023'!E:BO,36,0)</f>
        <v>Normal</v>
      </c>
      <c r="L866" s="106">
        <f>VLOOKUP(C866,'RAW DATA 2023'!E:BO,21,0)</f>
        <v>15.559200000000001</v>
      </c>
      <c r="M866" s="106">
        <f t="shared" si="70"/>
        <v>117.59149524521736</v>
      </c>
    </row>
    <row r="867" spans="1:13">
      <c r="A867" t="str">
        <f>'RAW DATA 2023'!B860</f>
        <v>Nakornfarm</v>
      </c>
      <c r="B867" t="str">
        <f>'RAW DATA 2023'!D860</f>
        <v>BG-119-0010</v>
      </c>
      <c r="C867" t="str">
        <f t="shared" si="66"/>
        <v>NakornfarmBG-119-0010</v>
      </c>
      <c r="D867">
        <f>VLOOKUP(C867,'RAW DATA 2023'!E:BP,63,0)</f>
        <v>5</v>
      </c>
      <c r="E867" t="str">
        <f t="shared" si="67"/>
        <v>Nakornfarm5</v>
      </c>
      <c r="F867">
        <f>ROUND(VLOOKUP(C867,'RAW DATA 2023'!E:BO,23,0),0)</f>
        <v>28</v>
      </c>
      <c r="G867" s="16">
        <f>VLOOKUP(C867,'RAW DATA 2023'!E:BO,27,0)</f>
        <v>2.0010383766711377</v>
      </c>
      <c r="H867" s="16">
        <f>IFERROR(VLOOKUP(F867,STD!B:G,5,0),0)</f>
        <v>1.93</v>
      </c>
      <c r="I867" s="21">
        <f t="shared" si="68"/>
        <v>0.9644992432432431</v>
      </c>
      <c r="J867" s="16">
        <f t="shared" si="69"/>
        <v>9.2899848648648629</v>
      </c>
      <c r="K867" s="106" t="str">
        <f>VLOOKUP(C867,'RAW DATA 2023'!E:BO,36,0)</f>
        <v>Normal</v>
      </c>
      <c r="L867" s="106">
        <f>VLOOKUP(C867,'RAW DATA 2023'!E:BO,21,0)</f>
        <v>20.44444</v>
      </c>
      <c r="M867" s="106">
        <f t="shared" si="70"/>
        <v>189.92853817063781</v>
      </c>
    </row>
    <row r="868" spans="1:13">
      <c r="A868" t="str">
        <f>'RAW DATA 2023'!B861</f>
        <v>Nakornfarm</v>
      </c>
      <c r="B868" t="str">
        <f>'RAW DATA 2023'!D861</f>
        <v>BG-116-0011</v>
      </c>
      <c r="C868" t="str">
        <f t="shared" si="66"/>
        <v>NakornfarmBG-116-0011</v>
      </c>
      <c r="D868">
        <f>VLOOKUP(C868,'RAW DATA 2023'!E:BP,63,0)</f>
        <v>10</v>
      </c>
      <c r="E868" t="str">
        <f t="shared" si="67"/>
        <v>Nakornfarm10</v>
      </c>
      <c r="F868">
        <f>ROUND(VLOOKUP(C868,'RAW DATA 2023'!E:BO,23,0),0)</f>
        <v>29</v>
      </c>
      <c r="G868" s="16">
        <f>VLOOKUP(C868,'RAW DATA 2023'!E:BO,27,0)</f>
        <v>1.7806034959981101</v>
      </c>
      <c r="H868" s="16">
        <f>IFERROR(VLOOKUP(F868,STD!B:G,5,0),0)</f>
        <v>1.9</v>
      </c>
      <c r="I868" s="21">
        <f t="shared" si="68"/>
        <v>1.0670539534883721</v>
      </c>
      <c r="J868" s="16">
        <f t="shared" si="69"/>
        <v>11.341079069767442</v>
      </c>
      <c r="K868" s="106" t="str">
        <f>VLOOKUP(C868,'RAW DATA 2023'!E:BO,36,0)</f>
        <v>Normal</v>
      </c>
      <c r="L868" s="106">
        <f>VLOOKUP(C868,'RAW DATA 2023'!E:BO,21,0)</f>
        <v>23.165659999999999</v>
      </c>
      <c r="M868" s="106">
        <f t="shared" si="70"/>
        <v>262.72358176334882</v>
      </c>
    </row>
    <row r="869" spans="1:13">
      <c r="A869" t="str">
        <f>'RAW DATA 2023'!B862</f>
        <v>Nakornfarm</v>
      </c>
      <c r="B869" t="str">
        <f>'RAW DATA 2023'!D862</f>
        <v>BG-119-0011</v>
      </c>
      <c r="C869" t="str">
        <f t="shared" si="66"/>
        <v>NakornfarmBG-119-0011</v>
      </c>
      <c r="D869">
        <f>VLOOKUP(C869,'RAW DATA 2023'!E:BP,63,0)</f>
        <v>10</v>
      </c>
      <c r="E869" t="str">
        <f t="shared" si="67"/>
        <v>Nakornfarm10</v>
      </c>
      <c r="F869">
        <f>ROUND(VLOOKUP(C869,'RAW DATA 2023'!E:BO,23,0),0)</f>
        <v>31</v>
      </c>
      <c r="G869" s="16">
        <f>VLOOKUP(C869,'RAW DATA 2023'!E:BO,27,0)</f>
        <v>1.8945351597128888</v>
      </c>
      <c r="H869" s="16">
        <f>IFERROR(VLOOKUP(F869,STD!B:G,5,0),0)</f>
        <v>1.84</v>
      </c>
      <c r="I869" s="21">
        <f t="shared" si="68"/>
        <v>0.9712144905660377</v>
      </c>
      <c r="J869" s="16">
        <f t="shared" si="69"/>
        <v>9.4242898113207545</v>
      </c>
      <c r="K869" s="106" t="str">
        <f>VLOOKUP(C869,'RAW DATA 2023'!E:BO,36,0)</f>
        <v>Normal</v>
      </c>
      <c r="L869" s="106">
        <f>VLOOKUP(C869,'RAW DATA 2023'!E:BO,21,0)</f>
        <v>19.523259999999997</v>
      </c>
      <c r="M869" s="106">
        <f t="shared" si="70"/>
        <v>183.992860301766</v>
      </c>
    </row>
    <row r="870" spans="1:13">
      <c r="A870" t="str">
        <f>'RAW DATA 2023'!B863</f>
        <v>Nakornfarm</v>
      </c>
      <c r="B870" t="str">
        <f>'RAW DATA 2023'!D863</f>
        <v>BG-110-0011</v>
      </c>
      <c r="C870" t="str">
        <f t="shared" si="66"/>
        <v>NakornfarmBG-110-0011</v>
      </c>
      <c r="D870">
        <f>VLOOKUP(C870,'RAW DATA 2023'!E:BP,63,0)</f>
        <v>6</v>
      </c>
      <c r="E870" t="str">
        <f t="shared" si="67"/>
        <v>Nakornfarm6</v>
      </c>
      <c r="F870">
        <f>ROUND(VLOOKUP(C870,'RAW DATA 2023'!E:BO,23,0),0)</f>
        <v>27</v>
      </c>
      <c r="G870" s="16">
        <f>VLOOKUP(C870,'RAW DATA 2023'!E:BO,27,0)</f>
        <v>2.6593465102959564</v>
      </c>
      <c r="H870" s="16">
        <f>IFERROR(VLOOKUP(F870,STD!B:G,5,0),0)</f>
        <v>1.96</v>
      </c>
      <c r="I870" s="21">
        <f t="shared" si="68"/>
        <v>0.73702317182497334</v>
      </c>
      <c r="J870" s="16">
        <f t="shared" si="69"/>
        <v>4.7404634364994669</v>
      </c>
      <c r="K870" s="106" t="str">
        <f>VLOOKUP(C870,'RAW DATA 2023'!E:BO,36,0)</f>
        <v>Normal</v>
      </c>
      <c r="L870" s="106">
        <f>VLOOKUP(C870,'RAW DATA 2023'!E:BO,21,0)</f>
        <v>17.827110000000001</v>
      </c>
      <c r="M870" s="106">
        <f t="shared" si="70"/>
        <v>84.508763133454011</v>
      </c>
    </row>
    <row r="871" spans="1:13">
      <c r="A871" t="str">
        <f>'RAW DATA 2023'!B864</f>
        <v>Nakornfarm</v>
      </c>
      <c r="B871" t="str">
        <f>'RAW DATA 2023'!D864</f>
        <v>BG-102-0011</v>
      </c>
      <c r="C871" t="str">
        <f t="shared" si="66"/>
        <v>NakornfarmBG-102-0011</v>
      </c>
      <c r="D871">
        <f>VLOOKUP(C871,'RAW DATA 2023'!E:BP,63,0)</f>
        <v>9</v>
      </c>
      <c r="E871" t="str">
        <f t="shared" si="67"/>
        <v>Nakornfarm9</v>
      </c>
      <c r="F871">
        <f>ROUND(VLOOKUP(C871,'RAW DATA 2023'!E:BO,23,0),0)</f>
        <v>40</v>
      </c>
      <c r="G871" s="16">
        <f>VLOOKUP(C871,'RAW DATA 2023'!E:BO,27,0)</f>
        <v>1.8472512220801174</v>
      </c>
      <c r="H871" s="16">
        <f>IFERROR(VLOOKUP(F871,STD!B:G,5,0),0)</f>
        <v>1.63</v>
      </c>
      <c r="I871" s="21">
        <f t="shared" si="68"/>
        <v>0.88239216221198147</v>
      </c>
      <c r="J871" s="16">
        <f t="shared" si="69"/>
        <v>7.6478432442396294</v>
      </c>
      <c r="K871" s="106" t="str">
        <f>VLOOKUP(C871,'RAW DATA 2023'!E:BO,36,0)</f>
        <v>Normal</v>
      </c>
      <c r="L871" s="106">
        <f>VLOOKUP(C871,'RAW DATA 2023'!E:BO,21,0)</f>
        <v>15.355979999999999</v>
      </c>
      <c r="M871" s="106">
        <f t="shared" si="70"/>
        <v>117.44012790167885</v>
      </c>
    </row>
    <row r="872" spans="1:13">
      <c r="A872" t="str">
        <f>'RAW DATA 2023'!B865</f>
        <v>Nakornfarm</v>
      </c>
      <c r="B872" t="str">
        <f>'RAW DATA 2023'!D865</f>
        <v>BG-111-0010</v>
      </c>
      <c r="C872" t="str">
        <f t="shared" si="66"/>
        <v>NakornfarmBG-111-0010</v>
      </c>
      <c r="D872">
        <f>VLOOKUP(C872,'RAW DATA 2023'!E:BP,63,0)</f>
        <v>6</v>
      </c>
      <c r="E872" t="str">
        <f t="shared" si="67"/>
        <v>Nakornfarm6</v>
      </c>
      <c r="F872">
        <f>ROUND(VLOOKUP(C872,'RAW DATA 2023'!E:BO,23,0),0)</f>
        <v>29</v>
      </c>
      <c r="G872" s="16">
        <f>VLOOKUP(C872,'RAW DATA 2023'!E:BO,27,0)</f>
        <v>2.620064320805338</v>
      </c>
      <c r="H872" s="16">
        <f>IFERROR(VLOOKUP(F872,STD!B:G,5,0),0)</f>
        <v>1.9</v>
      </c>
      <c r="I872" s="21">
        <f t="shared" si="68"/>
        <v>0.7251730367504835</v>
      </c>
      <c r="J872" s="16">
        <f t="shared" si="69"/>
        <v>4.5034607350096696</v>
      </c>
      <c r="K872" s="106" t="str">
        <f>VLOOKUP(C872,'RAW DATA 2023'!E:BO,36,0)</f>
        <v>Normal</v>
      </c>
      <c r="L872" s="106">
        <f>VLOOKUP(C872,'RAW DATA 2023'!E:BO,21,0)</f>
        <v>29.698509999999999</v>
      </c>
      <c r="M872" s="106">
        <f t="shared" si="70"/>
        <v>133.74607367329202</v>
      </c>
    </row>
    <row r="873" spans="1:13">
      <c r="A873" t="str">
        <f>'RAW DATA 2023'!B866</f>
        <v>Nakornfarm</v>
      </c>
      <c r="B873" t="str">
        <f>'RAW DATA 2023'!D866</f>
        <v>BG-116-0009</v>
      </c>
      <c r="C873" t="str">
        <f t="shared" si="66"/>
        <v>NakornfarmBG-116-0009</v>
      </c>
      <c r="D873">
        <f>VLOOKUP(C873,'RAW DATA 2023'!E:BP,63,0)</f>
        <v>3</v>
      </c>
      <c r="E873" t="str">
        <f t="shared" si="67"/>
        <v>Nakornfarm3</v>
      </c>
      <c r="F873">
        <f>ROUND(VLOOKUP(C873,'RAW DATA 2023'!E:BO,23,0),0)</f>
        <v>117</v>
      </c>
      <c r="G873" s="16">
        <f>VLOOKUP(C873,'RAW DATA 2023'!E:BO,27,0)</f>
        <v>1.6924176540414935</v>
      </c>
      <c r="H873" s="16">
        <f>IFERROR(VLOOKUP(F873,STD!B:G,5,0),0)</f>
        <v>1.17</v>
      </c>
      <c r="I873" s="21">
        <f t="shared" si="68"/>
        <v>0.69131871627906971</v>
      </c>
      <c r="J873" s="16">
        <f t="shared" si="69"/>
        <v>3.8263743255813942</v>
      </c>
      <c r="K873" s="106" t="str">
        <f>VLOOKUP(C873,'RAW DATA 2023'!E:BO,36,0)</f>
        <v>EHP</v>
      </c>
      <c r="L873" s="106">
        <f>VLOOKUP(C873,'RAW DATA 2023'!E:BO,21,0)</f>
        <v>3.4699299999999997</v>
      </c>
      <c r="M873" s="106">
        <f t="shared" si="70"/>
        <v>13.277251063564647</v>
      </c>
    </row>
    <row r="874" spans="1:13">
      <c r="A874" t="str">
        <f>'RAW DATA 2023'!B867</f>
        <v>Nakornfarm</v>
      </c>
      <c r="B874" t="str">
        <f>'RAW DATA 2023'!D867</f>
        <v>BG-102-0010</v>
      </c>
      <c r="C874" t="str">
        <f t="shared" si="66"/>
        <v>NakornfarmBG-102-0010</v>
      </c>
      <c r="D874">
        <f>VLOOKUP(C874,'RAW DATA 2023'!E:BP,63,0)</f>
        <v>2</v>
      </c>
      <c r="E874" t="str">
        <f t="shared" si="67"/>
        <v>Nakornfarm2</v>
      </c>
      <c r="F874">
        <f>ROUND(VLOOKUP(C874,'RAW DATA 2023'!E:BO,23,0),0)</f>
        <v>121</v>
      </c>
      <c r="G874" s="16">
        <f>VLOOKUP(C874,'RAW DATA 2023'!E:BO,27,0)</f>
        <v>1.3852638992460022</v>
      </c>
      <c r="H874" s="16">
        <f>IFERROR(VLOOKUP(F874,STD!B:G,5,0),0)</f>
        <v>1.1599999999999999</v>
      </c>
      <c r="I874" s="21">
        <f t="shared" si="68"/>
        <v>0.83738557009345782</v>
      </c>
      <c r="J874" s="16">
        <f t="shared" si="69"/>
        <v>6.7477114018691564</v>
      </c>
      <c r="K874" s="106" t="str">
        <f>VLOOKUP(C874,'RAW DATA 2023'!E:BO,36,0)</f>
        <v>EHP</v>
      </c>
      <c r="L874" s="106">
        <f>VLOOKUP(C874,'RAW DATA 2023'!E:BO,21,0)</f>
        <v>3.9880800000000001</v>
      </c>
      <c r="M874" s="106">
        <f t="shared" si="70"/>
        <v>26.910412887566345</v>
      </c>
    </row>
    <row r="875" spans="1:13">
      <c r="A875" t="str">
        <f>'RAW DATA 2023'!B868</f>
        <v>Nakornfarm</v>
      </c>
      <c r="B875" t="str">
        <f>'RAW DATA 2023'!D868</f>
        <v>BG-110-0012</v>
      </c>
      <c r="C875" t="str">
        <f t="shared" si="66"/>
        <v>NakornfarmBG-110-0012</v>
      </c>
      <c r="D875">
        <f>VLOOKUP(C875,'RAW DATA 2023'!E:BP,63,0)</f>
        <v>8</v>
      </c>
      <c r="E875" t="str">
        <f t="shared" si="67"/>
        <v>Nakornfarm8</v>
      </c>
      <c r="F875">
        <f>ROUND(VLOOKUP(C875,'RAW DATA 2023'!E:BO,23,0),0)</f>
        <v>0</v>
      </c>
      <c r="G875" s="16">
        <f>VLOOKUP(C875,'RAW DATA 2023'!E:BO,27,0)</f>
        <v>0</v>
      </c>
      <c r="H875" s="16">
        <f>IFERROR(VLOOKUP(F875,STD!B:G,5,0),0)</f>
        <v>0</v>
      </c>
      <c r="I875" s="21">
        <f t="shared" si="68"/>
        <v>0</v>
      </c>
      <c r="J875" s="16">
        <f t="shared" si="69"/>
        <v>-10</v>
      </c>
      <c r="K875" s="106" t="str">
        <f>VLOOKUP(C875,'RAW DATA 2023'!E:BO,36,0)</f>
        <v>EHP</v>
      </c>
      <c r="L875" s="106">
        <f>VLOOKUP(C875,'RAW DATA 2023'!E:BO,21,0)</f>
        <v>0</v>
      </c>
      <c r="M875" s="106">
        <f t="shared" si="70"/>
        <v>0</v>
      </c>
    </row>
    <row r="876" spans="1:13">
      <c r="A876" t="str">
        <f>'RAW DATA 2023'!B869</f>
        <v>Nakornfarm</v>
      </c>
      <c r="B876" t="str">
        <f>'RAW DATA 2023'!D869</f>
        <v>BG-113-0009</v>
      </c>
      <c r="C876" t="str">
        <f t="shared" si="66"/>
        <v>NakornfarmBG-113-0009</v>
      </c>
      <c r="D876">
        <f>VLOOKUP(C876,'RAW DATA 2023'!E:BP,63,0)</f>
        <v>1</v>
      </c>
      <c r="E876" t="str">
        <f t="shared" si="67"/>
        <v>Nakornfarm1</v>
      </c>
      <c r="F876">
        <f>ROUND(VLOOKUP(C876,'RAW DATA 2023'!E:BO,23,0),0)</f>
        <v>0</v>
      </c>
      <c r="G876" s="16">
        <f>VLOOKUP(C876,'RAW DATA 2023'!E:BO,27,0)</f>
        <v>0</v>
      </c>
      <c r="H876" s="16">
        <f>IFERROR(VLOOKUP(F876,STD!B:G,5,0),0)</f>
        <v>0</v>
      </c>
      <c r="I876" s="21">
        <f t="shared" si="68"/>
        <v>0</v>
      </c>
      <c r="J876" s="16">
        <f t="shared" si="69"/>
        <v>-10</v>
      </c>
      <c r="K876" s="106" t="str">
        <f>VLOOKUP(C876,'RAW DATA 2023'!E:BO,36,0)</f>
        <v>EHP</v>
      </c>
      <c r="L876" s="106">
        <f>VLOOKUP(C876,'RAW DATA 2023'!E:BO,21,0)</f>
        <v>0</v>
      </c>
      <c r="M876" s="106">
        <f t="shared" si="70"/>
        <v>0</v>
      </c>
    </row>
    <row r="877" spans="1:13">
      <c r="A877" t="str">
        <f>'RAW DATA 2023'!B870</f>
        <v>Nakornfarm</v>
      </c>
      <c r="B877" t="str">
        <f>'RAW DATA 2023'!D870</f>
        <v>E1-075-0011</v>
      </c>
      <c r="C877" t="str">
        <f t="shared" si="66"/>
        <v>NakornfarmE1-075-0011</v>
      </c>
      <c r="D877">
        <f>VLOOKUP(C877,'RAW DATA 2023'!E:BP,63,0)</f>
        <v>4</v>
      </c>
      <c r="E877" t="str">
        <f t="shared" si="67"/>
        <v>Nakornfarm4</v>
      </c>
      <c r="F877">
        <f>ROUND(VLOOKUP(C877,'RAW DATA 2023'!E:BO,23,0),0)</f>
        <v>56</v>
      </c>
      <c r="G877" s="16">
        <f>VLOOKUP(C877,'RAW DATA 2023'!E:BO,27,0)</f>
        <v>1.7641907398067893</v>
      </c>
      <c r="H877" s="16">
        <f>IFERROR(VLOOKUP(F877,STD!B:G,5,0),0)</f>
        <v>1.44</v>
      </c>
      <c r="I877" s="21">
        <f t="shared" si="68"/>
        <v>0.81623827146814398</v>
      </c>
      <c r="J877" s="16">
        <f t="shared" si="69"/>
        <v>6.3247654293628797</v>
      </c>
      <c r="K877" s="106" t="str">
        <f>VLOOKUP(C877,'RAW DATA 2023'!E:BO,36,0)</f>
        <v>EHP</v>
      </c>
      <c r="L877" s="106">
        <f>VLOOKUP(C877,'RAW DATA 2023'!E:BO,21,0)</f>
        <v>10.69332</v>
      </c>
      <c r="M877" s="106">
        <f t="shared" si="70"/>
        <v>67.632740661114667</v>
      </c>
    </row>
    <row r="878" spans="1:13">
      <c r="A878" t="str">
        <f>'RAW DATA 2023'!B871</f>
        <v>Nakornfarm</v>
      </c>
      <c r="B878" t="str">
        <f>'RAW DATA 2023'!D871</f>
        <v>BG-102-0012</v>
      </c>
      <c r="C878" t="str">
        <f t="shared" si="66"/>
        <v>NakornfarmBG-102-0012</v>
      </c>
      <c r="D878">
        <f>VLOOKUP(C878,'RAW DATA 2023'!E:BP,63,0)</f>
        <v>12</v>
      </c>
      <c r="E878" t="str">
        <f t="shared" si="67"/>
        <v>Nakornfarm12</v>
      </c>
      <c r="F878">
        <f>ROUND(VLOOKUP(C878,'RAW DATA 2023'!E:BO,23,0),0)</f>
        <v>56</v>
      </c>
      <c r="G878" s="16">
        <f>VLOOKUP(C878,'RAW DATA 2023'!E:BO,27,0)</f>
        <v>1.5795085320781961</v>
      </c>
      <c r="H878" s="16">
        <f>IFERROR(VLOOKUP(F878,STD!B:G,5,0),0)</f>
        <v>1.44</v>
      </c>
      <c r="I878" s="21">
        <f t="shared" si="68"/>
        <v>0.91167598702702701</v>
      </c>
      <c r="J878" s="16">
        <f t="shared" si="69"/>
        <v>8.2335197405405403</v>
      </c>
      <c r="K878" s="106" t="str">
        <f>VLOOKUP(C878,'RAW DATA 2023'!E:BO,36,0)</f>
        <v>EHP</v>
      </c>
      <c r="L878" s="106">
        <f>VLOOKUP(C878,'RAW DATA 2023'!E:BO,21,0)</f>
        <v>14.88063</v>
      </c>
      <c r="M878" s="106">
        <f t="shared" si="70"/>
        <v>122.51996085667977</v>
      </c>
    </row>
    <row r="879" spans="1:13">
      <c r="A879" t="str">
        <f>'RAW DATA 2023'!B872</f>
        <v>Nakornfarm</v>
      </c>
      <c r="B879" t="str">
        <f>'RAW DATA 2023'!D872</f>
        <v>BG-101-0011</v>
      </c>
      <c r="C879" t="str">
        <f t="shared" si="66"/>
        <v>NakornfarmBG-101-0011</v>
      </c>
      <c r="D879">
        <f>VLOOKUP(C879,'RAW DATA 2023'!E:BP,63,0)</f>
        <v>12</v>
      </c>
      <c r="E879" t="str">
        <f t="shared" si="67"/>
        <v>Nakornfarm12</v>
      </c>
      <c r="F879">
        <f>ROUND(VLOOKUP(C879,'RAW DATA 2023'!E:BO,23,0),0)</f>
        <v>49</v>
      </c>
      <c r="G879" s="16">
        <f>VLOOKUP(C879,'RAW DATA 2023'!E:BO,27,0)</f>
        <v>1.7827131435851777</v>
      </c>
      <c r="H879" s="16">
        <f>IFERROR(VLOOKUP(F879,STD!B:G,5,0),0)</f>
        <v>1.51</v>
      </c>
      <c r="I879" s="21">
        <f t="shared" si="68"/>
        <v>0.84702354129911783</v>
      </c>
      <c r="J879" s="16">
        <f t="shared" si="69"/>
        <v>6.9404708259823567</v>
      </c>
      <c r="K879" s="106" t="str">
        <f>VLOOKUP(C879,'RAW DATA 2023'!E:BO,36,0)</f>
        <v>EHP</v>
      </c>
      <c r="L879" s="106">
        <f>VLOOKUP(C879,'RAW DATA 2023'!E:BO,21,0)</f>
        <v>17.61739</v>
      </c>
      <c r="M879" s="106">
        <f t="shared" si="70"/>
        <v>122.27298132495331</v>
      </c>
    </row>
    <row r="880" spans="1:13">
      <c r="A880" t="str">
        <f>'RAW DATA 2023'!B873</f>
        <v>Nakornfarm</v>
      </c>
      <c r="B880" t="str">
        <f>'RAW DATA 2023'!D873</f>
        <v>E1-077-0016</v>
      </c>
      <c r="C880" t="str">
        <f t="shared" si="66"/>
        <v>NakornfarmE1-077-0016</v>
      </c>
      <c r="D880">
        <f>VLOOKUP(C880,'RAW DATA 2023'!E:BP,63,0)</f>
        <v>7</v>
      </c>
      <c r="E880" t="str">
        <f t="shared" si="67"/>
        <v>Nakornfarm7</v>
      </c>
      <c r="F880">
        <f>ROUND(VLOOKUP(C880,'RAW DATA 2023'!E:BO,23,0),0)</f>
        <v>92</v>
      </c>
      <c r="G880" s="16">
        <f>VLOOKUP(C880,'RAW DATA 2023'!E:BO,27,0)</f>
        <v>1.4028986789255593</v>
      </c>
      <c r="H880" s="16">
        <f>IFERROR(VLOOKUP(F880,STD!B:G,5,0),0)</f>
        <v>1.24</v>
      </c>
      <c r="I880" s="21">
        <f t="shared" si="68"/>
        <v>0.88388421674876849</v>
      </c>
      <c r="J880" s="16">
        <f t="shared" si="69"/>
        <v>7.6776843349753694</v>
      </c>
      <c r="K880" s="106" t="str">
        <f>VLOOKUP(C880,'RAW DATA 2023'!E:BO,36,0)</f>
        <v>EHP</v>
      </c>
      <c r="L880" s="106">
        <f>VLOOKUP(C880,'RAW DATA 2023'!E:BO,21,0)</f>
        <v>4.3175100000000004</v>
      </c>
      <c r="M880" s="106">
        <f t="shared" si="70"/>
        <v>33.148478893099508</v>
      </c>
    </row>
    <row r="881" spans="1:13">
      <c r="A881" t="str">
        <f>'RAW DATA 2023'!B874</f>
        <v>Nakornfarm</v>
      </c>
      <c r="B881" t="str">
        <f>'RAW DATA 2023'!D874</f>
        <v>E1-074-0012</v>
      </c>
      <c r="C881" t="str">
        <f t="shared" si="66"/>
        <v>NakornfarmE1-074-0012</v>
      </c>
      <c r="D881">
        <f>VLOOKUP(C881,'RAW DATA 2023'!E:BP,63,0)</f>
        <v>4</v>
      </c>
      <c r="E881" t="str">
        <f t="shared" si="67"/>
        <v>Nakornfarm4</v>
      </c>
      <c r="F881">
        <f>ROUND(VLOOKUP(C881,'RAW DATA 2023'!E:BO,23,0),0)</f>
        <v>58</v>
      </c>
      <c r="G881" s="16">
        <f>VLOOKUP(C881,'RAW DATA 2023'!E:BO,27,0)</f>
        <v>1.9003756036487212</v>
      </c>
      <c r="H881" s="16">
        <f>IFERROR(VLOOKUP(F881,STD!B:G,5,0),0)</f>
        <v>1.42</v>
      </c>
      <c r="I881" s="21">
        <f t="shared" si="68"/>
        <v>0.7472207058823529</v>
      </c>
      <c r="J881" s="16">
        <f t="shared" si="69"/>
        <v>4.9444141176470584</v>
      </c>
      <c r="K881" s="106" t="str">
        <f>VLOOKUP(C881,'RAW DATA 2023'!E:BO,36,0)</f>
        <v>EHP</v>
      </c>
      <c r="L881" s="106">
        <f>VLOOKUP(C881,'RAW DATA 2023'!E:BO,21,0)</f>
        <v>6.58392</v>
      </c>
      <c r="M881" s="106">
        <f t="shared" si="70"/>
        <v>32.553626997458821</v>
      </c>
    </row>
    <row r="882" spans="1:13">
      <c r="A882" t="str">
        <f>'RAW DATA 2023'!B875</f>
        <v>Nakornfarm</v>
      </c>
      <c r="B882" t="str">
        <f>'RAW DATA 2023'!D875</f>
        <v>D1-081-0013</v>
      </c>
      <c r="C882" t="str">
        <f t="shared" si="66"/>
        <v>NakornfarmD1-081-0013</v>
      </c>
      <c r="D882">
        <f>VLOOKUP(C882,'RAW DATA 2023'!E:BP,63,0)</f>
        <v>4</v>
      </c>
      <c r="E882" t="str">
        <f t="shared" si="67"/>
        <v>Nakornfarm4</v>
      </c>
      <c r="F882">
        <f>ROUND(VLOOKUP(C882,'RAW DATA 2023'!E:BO,23,0),0)</f>
        <v>84</v>
      </c>
      <c r="G882" s="16">
        <f>VLOOKUP(C882,'RAW DATA 2023'!E:BO,27,0)</f>
        <v>1.786904840560037</v>
      </c>
      <c r="H882" s="16">
        <f>IFERROR(VLOOKUP(F882,STD!B:G,5,0),0)</f>
        <v>1.27</v>
      </c>
      <c r="I882" s="21">
        <f t="shared" si="68"/>
        <v>0.7107261512605042</v>
      </c>
      <c r="J882" s="16">
        <f t="shared" si="69"/>
        <v>4.2145230252100845</v>
      </c>
      <c r="K882" s="106" t="str">
        <f>VLOOKUP(C882,'RAW DATA 2023'!E:BO,36,0)</f>
        <v>EHP</v>
      </c>
      <c r="L882" s="106">
        <f>VLOOKUP(C882,'RAW DATA 2023'!E:BO,21,0)</f>
        <v>5.4586699999999997</v>
      </c>
      <c r="M882" s="106">
        <f t="shared" si="70"/>
        <v>23.005690402023532</v>
      </c>
    </row>
    <row r="883" spans="1:13">
      <c r="A883" t="str">
        <f>'RAW DATA 2023'!B876</f>
        <v>Nakornfarm</v>
      </c>
      <c r="B883" t="str">
        <f>'RAW DATA 2023'!D876</f>
        <v>E1-077-0015</v>
      </c>
      <c r="C883" t="str">
        <f t="shared" si="66"/>
        <v>NakornfarmE1-077-0015</v>
      </c>
      <c r="D883">
        <f>VLOOKUP(C883,'RAW DATA 2023'!E:BP,63,0)</f>
        <v>4</v>
      </c>
      <c r="E883" t="str">
        <f t="shared" si="67"/>
        <v>Nakornfarm4</v>
      </c>
      <c r="F883">
        <f>ROUND(VLOOKUP(C883,'RAW DATA 2023'!E:BO,23,0),0)</f>
        <v>102</v>
      </c>
      <c r="G883" s="16">
        <f>VLOOKUP(C883,'RAW DATA 2023'!E:BO,27,0)</f>
        <v>2.5312133930621208</v>
      </c>
      <c r="H883" s="16">
        <f>IFERROR(VLOOKUP(F883,STD!B:G,5,0),0)</f>
        <v>1.21</v>
      </c>
      <c r="I883" s="21">
        <f t="shared" si="68"/>
        <v>0.47803160465116273</v>
      </c>
      <c r="J883" s="16">
        <f t="shared" si="69"/>
        <v>-0.43936790697674533</v>
      </c>
      <c r="K883" s="106" t="str">
        <f>VLOOKUP(C883,'RAW DATA 2023'!E:BO,36,0)</f>
        <v>EHP</v>
      </c>
      <c r="L883" s="106">
        <f>VLOOKUP(C883,'RAW DATA 2023'!E:BO,21,0)</f>
        <v>4.1255800000000002</v>
      </c>
      <c r="M883" s="106">
        <f t="shared" si="70"/>
        <v>-1.812647449665121</v>
      </c>
    </row>
    <row r="884" spans="1:13">
      <c r="A884" t="str">
        <f>'RAW DATA 2023'!B877</f>
        <v>Nakornfarm</v>
      </c>
      <c r="B884" t="str">
        <f>'RAW DATA 2023'!D877</f>
        <v>D1-080-0015</v>
      </c>
      <c r="C884" t="str">
        <f t="shared" si="66"/>
        <v>NakornfarmD1-080-0015</v>
      </c>
      <c r="D884">
        <f>VLOOKUP(C884,'RAW DATA 2023'!E:BP,63,0)</f>
        <v>4</v>
      </c>
      <c r="E884" t="str">
        <f t="shared" si="67"/>
        <v>Nakornfarm4</v>
      </c>
      <c r="F884">
        <f>ROUND(VLOOKUP(C884,'RAW DATA 2023'!E:BO,23,0),0)</f>
        <v>109</v>
      </c>
      <c r="G884" s="16">
        <f>VLOOKUP(C884,'RAW DATA 2023'!E:BO,27,0)</f>
        <v>2.0604852760952381</v>
      </c>
      <c r="H884" s="16">
        <f>IFERROR(VLOOKUP(F884,STD!B:G,5,0),0)</f>
        <v>1.19</v>
      </c>
      <c r="I884" s="21">
        <f t="shared" si="68"/>
        <v>0.57753385273159152</v>
      </c>
      <c r="J884" s="16">
        <f t="shared" si="69"/>
        <v>1.5506770546318305</v>
      </c>
      <c r="K884" s="106" t="str">
        <f>VLOOKUP(C884,'RAW DATA 2023'!E:BO,36,0)</f>
        <v>EHP</v>
      </c>
      <c r="L884" s="106">
        <f>VLOOKUP(C884,'RAW DATA 2023'!E:BO,21,0)</f>
        <v>5.34802</v>
      </c>
      <c r="M884" s="106">
        <f t="shared" si="70"/>
        <v>8.293051901712122</v>
      </c>
    </row>
    <row r="885" spans="1:13">
      <c r="A885" t="str">
        <f>'RAW DATA 2023'!B878</f>
        <v>Nakornfarm</v>
      </c>
      <c r="B885" t="str">
        <f>'RAW DATA 2023'!D878</f>
        <v>D1-083-0013</v>
      </c>
      <c r="C885" t="str">
        <f t="shared" si="66"/>
        <v>NakornfarmD1-083-0013</v>
      </c>
      <c r="D885">
        <f>VLOOKUP(C885,'RAW DATA 2023'!E:BP,63,0)</f>
        <v>4</v>
      </c>
      <c r="E885" t="str">
        <f t="shared" si="67"/>
        <v>Nakornfarm4</v>
      </c>
      <c r="F885">
        <f>ROUND(VLOOKUP(C885,'RAW DATA 2023'!E:BO,23,0),0)</f>
        <v>147</v>
      </c>
      <c r="G885" s="16">
        <f>VLOOKUP(C885,'RAW DATA 2023'!E:BO,27,0)</f>
        <v>2.9177943166441138</v>
      </c>
      <c r="H885" s="16">
        <f>IFERROR(VLOOKUP(F885,STD!B:G,5,0),0)</f>
        <v>1.0860000000000001</v>
      </c>
      <c r="I885" s="21">
        <f t="shared" si="68"/>
        <v>0.37219895652173912</v>
      </c>
      <c r="J885" s="16">
        <f t="shared" si="69"/>
        <v>-2.5560208695652173</v>
      </c>
      <c r="K885" s="106" t="str">
        <f>VLOOKUP(C885,'RAW DATA 2023'!E:BO,36,0)</f>
        <v>EHP</v>
      </c>
      <c r="L885" s="106">
        <f>VLOOKUP(C885,'RAW DATA 2023'!E:BO,21,0)</f>
        <v>2.2936000000000001</v>
      </c>
      <c r="M885" s="106">
        <f t="shared" si="70"/>
        <v>-5.8624894664347824</v>
      </c>
    </row>
    <row r="886" spans="1:13">
      <c r="A886" t="str">
        <f>'RAW DATA 2023'!B879</f>
        <v>Nakornfarm</v>
      </c>
      <c r="B886" t="str">
        <f>'RAW DATA 2023'!D879</f>
        <v>FG-125-0009</v>
      </c>
      <c r="C886" t="str">
        <f t="shared" si="66"/>
        <v>NakornfarmFG-125-0009</v>
      </c>
      <c r="D886">
        <f>VLOOKUP(C886,'RAW DATA 2023'!E:BP,63,0)</f>
        <v>4</v>
      </c>
      <c r="E886" t="str">
        <f t="shared" si="67"/>
        <v>Nakornfarm4</v>
      </c>
      <c r="F886">
        <f>ROUND(VLOOKUP(C886,'RAW DATA 2023'!E:BO,23,0),0)</f>
        <v>22</v>
      </c>
      <c r="G886" s="16">
        <f>VLOOKUP(C886,'RAW DATA 2023'!E:BO,27,0)</f>
        <v>2.152769034300412</v>
      </c>
      <c r="H886" s="16">
        <f>IFERROR(VLOOKUP(F886,STD!B:G,5,0),0)</f>
        <v>2.177</v>
      </c>
      <c r="I886" s="21">
        <f t="shared" si="68"/>
        <v>1.0112557201044385</v>
      </c>
      <c r="J886" s="16">
        <f t="shared" si="69"/>
        <v>10.225114402088771</v>
      </c>
      <c r="K886" s="106" t="str">
        <f>VLOOKUP(C886,'RAW DATA 2023'!E:BO,36,0)</f>
        <v>Normal</v>
      </c>
      <c r="L886" s="106">
        <f>VLOOKUP(C886,'RAW DATA 2023'!E:BO,21,0)</f>
        <v>17.861039999999999</v>
      </c>
      <c r="M886" s="106">
        <f t="shared" si="70"/>
        <v>182.63117734028361</v>
      </c>
    </row>
    <row r="887" spans="1:13">
      <c r="A887" t="str">
        <f>'RAW DATA 2023'!B880</f>
        <v>Nakornfarm</v>
      </c>
      <c r="B887" t="str">
        <f>'RAW DATA 2023'!D880</f>
        <v>F1-089-0012</v>
      </c>
      <c r="C887" t="str">
        <f t="shared" si="66"/>
        <v>NakornfarmF1-089-0012</v>
      </c>
      <c r="D887">
        <f>VLOOKUP(C887,'RAW DATA 2023'!E:BP,63,0)</f>
        <v>4</v>
      </c>
      <c r="E887" t="str">
        <f t="shared" si="67"/>
        <v>Nakornfarm4</v>
      </c>
      <c r="F887">
        <f>ROUND(VLOOKUP(C887,'RAW DATA 2023'!E:BO,23,0),0)</f>
        <v>38</v>
      </c>
      <c r="G887" s="16">
        <f>VLOOKUP(C887,'RAW DATA 2023'!E:BO,27,0)</f>
        <v>1.9348297779390411</v>
      </c>
      <c r="H887" s="16">
        <f>IFERROR(VLOOKUP(F887,STD!B:G,5,0),0)</f>
        <v>1.669</v>
      </c>
      <c r="I887" s="21">
        <f t="shared" si="68"/>
        <v>0.8626081834329633</v>
      </c>
      <c r="J887" s="16">
        <f t="shared" si="69"/>
        <v>7.2521636686592661</v>
      </c>
      <c r="K887" s="106" t="str">
        <f>VLOOKUP(C887,'RAW DATA 2023'!E:BO,36,0)</f>
        <v>EHP</v>
      </c>
      <c r="L887" s="106">
        <f>VLOOKUP(C887,'RAW DATA 2023'!E:BO,21,0)</f>
        <v>15.40253</v>
      </c>
      <c r="M887" s="106">
        <f t="shared" si="70"/>
        <v>111.7016684714344</v>
      </c>
    </row>
    <row r="888" spans="1:13">
      <c r="A888" t="str">
        <f>'RAW DATA 2023'!B881</f>
        <v>Nakornfarm</v>
      </c>
      <c r="B888" t="str">
        <f>'RAW DATA 2023'!D881</f>
        <v>F1-090-0012</v>
      </c>
      <c r="C888" t="str">
        <f t="shared" si="66"/>
        <v>NakornfarmF1-090-0012</v>
      </c>
      <c r="D888">
        <f>VLOOKUP(C888,'RAW DATA 2023'!E:BP,63,0)</f>
        <v>3</v>
      </c>
      <c r="E888" t="str">
        <f t="shared" si="67"/>
        <v>Nakornfarm3</v>
      </c>
      <c r="F888">
        <f>ROUND(VLOOKUP(C888,'RAW DATA 2023'!E:BO,23,0),0)</f>
        <v>59</v>
      </c>
      <c r="G888" s="16">
        <f>VLOOKUP(C888,'RAW DATA 2023'!E:BO,27,0)</f>
        <v>1.4588239368333564</v>
      </c>
      <c r="H888" s="16">
        <f>IFERROR(VLOOKUP(F888,STD!B:G,5,0),0)</f>
        <v>1.41</v>
      </c>
      <c r="I888" s="21">
        <f t="shared" si="68"/>
        <v>0.96653198813056374</v>
      </c>
      <c r="J888" s="16">
        <f t="shared" si="69"/>
        <v>9.3306397626112751</v>
      </c>
      <c r="K888" s="106" t="str">
        <f>VLOOKUP(C888,'RAW DATA 2023'!E:BO,36,0)</f>
        <v>EHP</v>
      </c>
      <c r="L888" s="106">
        <f>VLOOKUP(C888,'RAW DATA 2023'!E:BO,21,0)</f>
        <v>11.878399999999999</v>
      </c>
      <c r="M888" s="106">
        <f t="shared" si="70"/>
        <v>110.83307135620176</v>
      </c>
    </row>
    <row r="889" spans="1:13">
      <c r="A889" t="str">
        <f>'RAW DATA 2023'!B882</f>
        <v>Nakornfarm</v>
      </c>
      <c r="B889" t="str">
        <f>'RAW DATA 2023'!D882</f>
        <v>F1-089-0013</v>
      </c>
      <c r="C889" t="str">
        <f t="shared" si="66"/>
        <v>NakornfarmF1-089-0013</v>
      </c>
      <c r="D889">
        <f>VLOOKUP(C889,'RAW DATA 2023'!E:BP,63,0)</f>
        <v>7</v>
      </c>
      <c r="E889" t="str">
        <f t="shared" si="67"/>
        <v>Nakornfarm7</v>
      </c>
      <c r="F889">
        <f>ROUND(VLOOKUP(C889,'RAW DATA 2023'!E:BO,23,0),0)</f>
        <v>82</v>
      </c>
      <c r="G889" s="16">
        <f>VLOOKUP(C889,'RAW DATA 2023'!E:BO,27,0)</f>
        <v>1.2128587488393756</v>
      </c>
      <c r="H889" s="16">
        <f>IFERROR(VLOOKUP(F889,STD!B:G,5,0),0)</f>
        <v>1.28</v>
      </c>
      <c r="I889" s="21">
        <f t="shared" si="68"/>
        <v>1.0553578487394959</v>
      </c>
      <c r="J889" s="16">
        <f t="shared" si="69"/>
        <v>11.107156974789918</v>
      </c>
      <c r="K889" s="106" t="str">
        <f>VLOOKUP(C889,'RAW DATA 2023'!E:BO,36,0)</f>
        <v>EHP</v>
      </c>
      <c r="L889" s="106">
        <f>VLOOKUP(C889,'RAW DATA 2023'!E:BO,21,0)</f>
        <v>10.523530000000001</v>
      </c>
      <c r="M889" s="106">
        <f t="shared" si="70"/>
        <v>116.88649963891096</v>
      </c>
    </row>
    <row r="890" spans="1:13">
      <c r="A890" t="str">
        <f>'RAW DATA 2023'!B883</f>
        <v>Nakornfarm</v>
      </c>
      <c r="B890" t="str">
        <f>'RAW DATA 2023'!D883</f>
        <v>D1-081-0015</v>
      </c>
      <c r="C890" t="str">
        <f t="shared" si="66"/>
        <v>NakornfarmD1-081-0015</v>
      </c>
      <c r="D890">
        <f>VLOOKUP(C890,'RAW DATA 2023'!E:BP,63,0)</f>
        <v>11</v>
      </c>
      <c r="E890" t="str">
        <f t="shared" si="67"/>
        <v>Nakornfarm11</v>
      </c>
      <c r="F890">
        <f>ROUND(VLOOKUP(C890,'RAW DATA 2023'!E:BO,23,0),0)</f>
        <v>53</v>
      </c>
      <c r="G890" s="16">
        <f>VLOOKUP(C890,'RAW DATA 2023'!E:BO,27,0)</f>
        <v>1.4694196582027681</v>
      </c>
      <c r="H890" s="16">
        <f>IFERROR(VLOOKUP(F890,STD!B:G,5,0),0)</f>
        <v>1.46</v>
      </c>
      <c r="I890" s="21">
        <f t="shared" si="68"/>
        <v>0.99358953846153852</v>
      </c>
      <c r="J890" s="16">
        <f t="shared" si="69"/>
        <v>9.8717907692307705</v>
      </c>
      <c r="K890" s="106" t="str">
        <f>VLOOKUP(C890,'RAW DATA 2023'!E:BO,36,0)</f>
        <v>EHP</v>
      </c>
      <c r="L890" s="106">
        <f>VLOOKUP(C890,'RAW DATA 2023'!E:BO,21,0)</f>
        <v>16.335830000000001</v>
      </c>
      <c r="M890" s="106">
        <f t="shared" si="70"/>
        <v>161.26389580172312</v>
      </c>
    </row>
    <row r="891" spans="1:13">
      <c r="A891" t="str">
        <f>'RAW DATA 2023'!B884</f>
        <v>Nakornfarm</v>
      </c>
      <c r="B891" t="str">
        <f>'RAW DATA 2023'!D884</f>
        <v>FG-125-0010</v>
      </c>
      <c r="C891" t="str">
        <f t="shared" si="66"/>
        <v>NakornfarmFG-125-0010</v>
      </c>
      <c r="D891">
        <f>VLOOKUP(C891,'RAW DATA 2023'!E:BP,63,0)</f>
        <v>8</v>
      </c>
      <c r="E891" t="str">
        <f t="shared" si="67"/>
        <v>Nakornfarm8</v>
      </c>
      <c r="F891">
        <f>ROUND(VLOOKUP(C891,'RAW DATA 2023'!E:BO,23,0),0)</f>
        <v>42</v>
      </c>
      <c r="G891" s="16">
        <f>VLOOKUP(C891,'RAW DATA 2023'!E:BO,27,0)</f>
        <v>2.0024249424213023</v>
      </c>
      <c r="H891" s="16">
        <f>IFERROR(VLOOKUP(F891,STD!B:G,5,0),0)</f>
        <v>1.6</v>
      </c>
      <c r="I891" s="21">
        <f t="shared" si="68"/>
        <v>0.79903119767640529</v>
      </c>
      <c r="J891" s="16">
        <f t="shared" si="69"/>
        <v>5.9806239535281058</v>
      </c>
      <c r="K891" s="106" t="str">
        <f>VLOOKUP(C891,'RAW DATA 2023'!E:BO,36,0)</f>
        <v>Normal</v>
      </c>
      <c r="L891" s="106">
        <f>VLOOKUP(C891,'RAW DATA 2023'!E:BO,21,0)</f>
        <v>14.798780000000001</v>
      </c>
      <c r="M891" s="106">
        <f t="shared" si="70"/>
        <v>88.505938150992662</v>
      </c>
    </row>
    <row r="892" spans="1:13">
      <c r="A892" t="str">
        <f>'RAW DATA 2023'!B885</f>
        <v>Nakornfarm</v>
      </c>
      <c r="B892" t="str">
        <f>'RAW DATA 2023'!D885</f>
        <v>F1-124-0008</v>
      </c>
      <c r="C892" t="str">
        <f t="shared" si="66"/>
        <v>NakornfarmF1-124-0008</v>
      </c>
      <c r="D892">
        <f>VLOOKUP(C892,'RAW DATA 2023'!E:BP,63,0)</f>
        <v>4</v>
      </c>
      <c r="E892" t="str">
        <f t="shared" si="67"/>
        <v>Nakornfarm4</v>
      </c>
      <c r="F892">
        <f>ROUND(VLOOKUP(C892,'RAW DATA 2023'!E:BO,23,0),0)</f>
        <v>99</v>
      </c>
      <c r="G892" s="16">
        <f>VLOOKUP(C892,'RAW DATA 2023'!E:BO,27,0)</f>
        <v>1.8486324787920771</v>
      </c>
      <c r="H892" s="16">
        <f>IFERROR(VLOOKUP(F892,STD!B:G,5,0),0)</f>
        <v>1.22</v>
      </c>
      <c r="I892" s="21">
        <f t="shared" si="68"/>
        <v>0.65994729292929299</v>
      </c>
      <c r="J892" s="16">
        <f t="shared" si="69"/>
        <v>3.1989458585858599</v>
      </c>
      <c r="K892" s="106" t="str">
        <f>VLOOKUP(C892,'RAW DATA 2023'!E:BO,36,0)</f>
        <v>EHP</v>
      </c>
      <c r="L892" s="106">
        <f>VLOOKUP(C892,'RAW DATA 2023'!E:BO,21,0)</f>
        <v>5.7753100000000002</v>
      </c>
      <c r="M892" s="106">
        <f t="shared" si="70"/>
        <v>18.474904006549504</v>
      </c>
    </row>
    <row r="893" spans="1:13">
      <c r="A893" t="str">
        <f>'RAW DATA 2023'!B886</f>
        <v>Nakornfarm</v>
      </c>
      <c r="B893" t="str">
        <f>'RAW DATA 2023'!D886</f>
        <v>D1-083-0015</v>
      </c>
      <c r="C893" t="str">
        <f t="shared" si="66"/>
        <v>NakornfarmD1-083-0015</v>
      </c>
      <c r="D893">
        <f>VLOOKUP(C893,'RAW DATA 2023'!E:BP,63,0)</f>
        <v>11</v>
      </c>
      <c r="E893" t="str">
        <f t="shared" si="67"/>
        <v>Nakornfarm11</v>
      </c>
      <c r="F893">
        <f>ROUND(VLOOKUP(C893,'RAW DATA 2023'!E:BO,23,0),0)</f>
        <v>89</v>
      </c>
      <c r="G893" s="16">
        <f>VLOOKUP(C893,'RAW DATA 2023'!E:BO,27,0)</f>
        <v>1.7462330774447601</v>
      </c>
      <c r="H893" s="16">
        <f>IFERROR(VLOOKUP(F893,STD!B:G,5,0),0)</f>
        <v>1.25</v>
      </c>
      <c r="I893" s="21">
        <f t="shared" si="68"/>
        <v>0.7158265503875969</v>
      </c>
      <c r="J893" s="16">
        <f t="shared" si="69"/>
        <v>4.3165310077519381</v>
      </c>
      <c r="K893" s="106" t="str">
        <f>VLOOKUP(C893,'RAW DATA 2023'!E:BO,36,0)</f>
        <v>EHP</v>
      </c>
      <c r="L893" s="106">
        <f>VLOOKUP(C893,'RAW DATA 2023'!E:BO,21,0)</f>
        <v>7.5093300000000003</v>
      </c>
      <c r="M893" s="106">
        <f t="shared" si="70"/>
        <v>32.414255792441864</v>
      </c>
    </row>
    <row r="894" spans="1:13">
      <c r="A894" t="str">
        <f>'RAW DATA 2023'!B887</f>
        <v>Nakornfarm</v>
      </c>
      <c r="B894" t="str">
        <f>'RAW DATA 2023'!D887</f>
        <v>F1-090-0013</v>
      </c>
      <c r="C894" t="str">
        <f t="shared" si="66"/>
        <v>NakornfarmF1-090-0013</v>
      </c>
      <c r="D894">
        <f>VLOOKUP(C894,'RAW DATA 2023'!E:BP,63,0)</f>
        <v>10</v>
      </c>
      <c r="E894" t="str">
        <f t="shared" si="67"/>
        <v>Nakornfarm10</v>
      </c>
      <c r="F894">
        <f>ROUND(VLOOKUP(C894,'RAW DATA 2023'!E:BO,23,0),0)</f>
        <v>173</v>
      </c>
      <c r="G894" s="16">
        <f>VLOOKUP(C894,'RAW DATA 2023'!E:BO,27,0)</f>
        <v>1.8165568255306161</v>
      </c>
      <c r="H894" s="16">
        <f>IFERROR(VLOOKUP(F894,STD!B:G,5,0),0)</f>
        <v>1</v>
      </c>
      <c r="I894" s="21">
        <f t="shared" si="68"/>
        <v>0.55049199999999998</v>
      </c>
      <c r="J894" s="16">
        <f t="shared" si="69"/>
        <v>1.0098399999999996</v>
      </c>
      <c r="K894" s="106" t="str">
        <f>VLOOKUP(C894,'RAW DATA 2023'!E:BO,36,0)</f>
        <v>EHP</v>
      </c>
      <c r="L894" s="106">
        <f>VLOOKUP(C894,'RAW DATA 2023'!E:BO,21,0)</f>
        <v>3.0324599999999999</v>
      </c>
      <c r="M894" s="106">
        <f t="shared" si="70"/>
        <v>3.0622994063999989</v>
      </c>
    </row>
    <row r="895" spans="1:13">
      <c r="A895" t="str">
        <f>'RAW DATA 2023'!B888</f>
        <v>Nakornfarm</v>
      </c>
      <c r="B895" t="str">
        <f>'RAW DATA 2023'!D888</f>
        <v>FG-125-0011</v>
      </c>
      <c r="C895" t="str">
        <f t="shared" si="66"/>
        <v>NakornfarmFG-125-0011</v>
      </c>
      <c r="D895">
        <f>VLOOKUP(C895,'RAW DATA 2023'!E:BP,63,0)</f>
        <v>11</v>
      </c>
      <c r="E895" t="str">
        <f t="shared" si="67"/>
        <v>Nakornfarm11</v>
      </c>
      <c r="F895">
        <f>ROUND(VLOOKUP(C895,'RAW DATA 2023'!E:BO,23,0),0)</f>
        <v>154</v>
      </c>
      <c r="G895" s="16">
        <f>VLOOKUP(C895,'RAW DATA 2023'!E:BO,27,0)</f>
        <v>2.2808505157405516</v>
      </c>
      <c r="H895" s="16">
        <f>IFERROR(VLOOKUP(F895,STD!B:G,5,0),0)</f>
        <v>1.0640000000000001</v>
      </c>
      <c r="I895" s="21">
        <f t="shared" si="68"/>
        <v>0.46649264941176477</v>
      </c>
      <c r="J895" s="16">
        <f t="shared" si="69"/>
        <v>-0.67014701176470459</v>
      </c>
      <c r="K895" s="106" t="str">
        <f>VLOOKUP(C895,'RAW DATA 2023'!E:BO,36,0)</f>
        <v>EHP</v>
      </c>
      <c r="L895" s="106">
        <f>VLOOKUP(C895,'RAW DATA 2023'!E:BO,21,0)</f>
        <v>3.1870100000000003</v>
      </c>
      <c r="M895" s="106">
        <f t="shared" si="70"/>
        <v>-2.1357652279642316</v>
      </c>
    </row>
    <row r="896" spans="1:13">
      <c r="A896" t="str">
        <f>'RAW DATA 2023'!B889</f>
        <v>Nakornfarm</v>
      </c>
      <c r="B896" t="str">
        <f>'RAW DATA 2023'!D889</f>
        <v>F1-070-0019</v>
      </c>
      <c r="C896" t="str">
        <f t="shared" si="66"/>
        <v>NakornfarmF1-070-0019</v>
      </c>
      <c r="D896">
        <f>VLOOKUP(C896,'RAW DATA 2023'!E:BP,63,0)</f>
        <v>7</v>
      </c>
      <c r="E896" t="str">
        <f t="shared" si="67"/>
        <v>Nakornfarm7</v>
      </c>
      <c r="F896">
        <f>ROUND(VLOOKUP(C896,'RAW DATA 2023'!E:BO,23,0),0)</f>
        <v>167</v>
      </c>
      <c r="G896" s="16">
        <f>VLOOKUP(C896,'RAW DATA 2023'!E:BO,27,0)</f>
        <v>1.9727765371869088</v>
      </c>
      <c r="H896" s="16">
        <f>IFERROR(VLOOKUP(F896,STD!B:G,5,0),0)</f>
        <v>1.0209999999999999</v>
      </c>
      <c r="I896" s="21">
        <f t="shared" si="68"/>
        <v>0.51754467916366254</v>
      </c>
      <c r="J896" s="16">
        <f t="shared" si="69"/>
        <v>0.35089358327325071</v>
      </c>
      <c r="K896" s="106" t="str">
        <f>VLOOKUP(C896,'RAW DATA 2023'!E:BO,36,0)</f>
        <v>EHP</v>
      </c>
      <c r="L896" s="106">
        <f>VLOOKUP(C896,'RAW DATA 2023'!E:BO,21,0)</f>
        <v>3.73935</v>
      </c>
      <c r="M896" s="106">
        <f t="shared" si="70"/>
        <v>1.3121139206128301</v>
      </c>
    </row>
    <row r="897" spans="1:13">
      <c r="A897" t="str">
        <f>'RAW DATA 2023'!B890</f>
        <v>Nakornfarm</v>
      </c>
      <c r="B897" t="str">
        <f>'RAW DATA 2023'!D890</f>
        <v>E1-075-0013</v>
      </c>
      <c r="C897" t="str">
        <f t="shared" si="66"/>
        <v>NakornfarmE1-075-0013</v>
      </c>
      <c r="D897">
        <f>VLOOKUP(C897,'RAW DATA 2023'!E:BP,63,0)</f>
        <v>11</v>
      </c>
      <c r="E897" t="str">
        <f t="shared" si="67"/>
        <v>Nakornfarm11</v>
      </c>
      <c r="F897">
        <f>ROUND(VLOOKUP(C897,'RAW DATA 2023'!E:BO,23,0),0)</f>
        <v>161</v>
      </c>
      <c r="G897" s="16">
        <f>VLOOKUP(C897,'RAW DATA 2023'!E:BO,27,0)</f>
        <v>2.6586897573662087</v>
      </c>
      <c r="H897" s="16">
        <f>IFERROR(VLOOKUP(F897,STD!B:G,5,0),0)</f>
        <v>1.0429999999999999</v>
      </c>
      <c r="I897" s="21">
        <f t="shared" si="68"/>
        <v>0.39229849857819904</v>
      </c>
      <c r="J897" s="16">
        <f t="shared" si="69"/>
        <v>-2.1540300284360194</v>
      </c>
      <c r="K897" s="106" t="str">
        <f>VLOOKUP(C897,'RAW DATA 2023'!E:BO,36,0)</f>
        <v>EHP</v>
      </c>
      <c r="L897" s="106">
        <f>VLOOKUP(C897,'RAW DATA 2023'!E:BO,21,0)</f>
        <v>2.0750600000000001</v>
      </c>
      <c r="M897" s="106">
        <f t="shared" si="70"/>
        <v>-4.4697415508064466</v>
      </c>
    </row>
    <row r="898" spans="1:13">
      <c r="A898" t="str">
        <f>'RAW DATA 2023'!B891</f>
        <v>Nakornfarm</v>
      </c>
      <c r="B898" t="str">
        <f>'RAW DATA 2023'!D891</f>
        <v>A1-099-0008</v>
      </c>
      <c r="C898" t="str">
        <f t="shared" si="66"/>
        <v>NakornfarmA1-099-0008</v>
      </c>
      <c r="D898">
        <f>VLOOKUP(C898,'RAW DATA 2023'!E:BP,63,0)</f>
        <v>6</v>
      </c>
      <c r="E898" t="str">
        <f t="shared" si="67"/>
        <v>Nakornfarm6</v>
      </c>
      <c r="F898">
        <f>ROUND(VLOOKUP(C898,'RAW DATA 2023'!E:BO,23,0),0)</f>
        <v>66</v>
      </c>
      <c r="G898" s="16">
        <f>VLOOKUP(C898,'RAW DATA 2023'!E:BO,27,0)</f>
        <v>1.4325998324735298</v>
      </c>
      <c r="H898" s="16">
        <f>IFERROR(VLOOKUP(F898,STD!B:G,5,0),0)</f>
        <v>1.36</v>
      </c>
      <c r="I898" s="21">
        <f t="shared" si="68"/>
        <v>0.9493230204081633</v>
      </c>
      <c r="J898" s="16">
        <f t="shared" si="69"/>
        <v>8.986460408163266</v>
      </c>
      <c r="K898" s="106" t="str">
        <f>VLOOKUP(C898,'RAW DATA 2023'!E:BO,36,0)</f>
        <v>EHP</v>
      </c>
      <c r="L898" s="106">
        <f>VLOOKUP(C898,'RAW DATA 2023'!E:BO,21,0)</f>
        <v>7.4157099999999998</v>
      </c>
      <c r="M898" s="106">
        <f t="shared" si="70"/>
        <v>66.640984313420418</v>
      </c>
    </row>
    <row r="899" spans="1:13">
      <c r="A899" t="str">
        <f>'RAW DATA 2023'!B892</f>
        <v>Nakornfarm</v>
      </c>
      <c r="B899" t="str">
        <f>'RAW DATA 2023'!D892</f>
        <v>A1-098-0006</v>
      </c>
      <c r="C899" t="str">
        <f t="shared" si="66"/>
        <v>NakornfarmA1-098-0006</v>
      </c>
      <c r="D899">
        <f>VLOOKUP(C899,'RAW DATA 2023'!E:BP,63,0)</f>
        <v>7</v>
      </c>
      <c r="E899" t="str">
        <f t="shared" si="67"/>
        <v>Nakornfarm7</v>
      </c>
      <c r="F899">
        <f>ROUND(VLOOKUP(C899,'RAW DATA 2023'!E:BO,23,0),0)</f>
        <v>40</v>
      </c>
      <c r="G899" s="16">
        <f>VLOOKUP(C899,'RAW DATA 2023'!E:BO,27,0)</f>
        <v>1.8989276242980926</v>
      </c>
      <c r="H899" s="16">
        <f>IFERROR(VLOOKUP(F899,STD!B:G,5,0),0)</f>
        <v>1.63</v>
      </c>
      <c r="I899" s="21">
        <f t="shared" si="68"/>
        <v>0.8583792131637995</v>
      </c>
      <c r="J899" s="16">
        <f t="shared" si="69"/>
        <v>7.1675842632759901</v>
      </c>
      <c r="K899" s="106" t="str">
        <f>VLOOKUP(C899,'RAW DATA 2023'!E:BO,36,0)</f>
        <v>Normal</v>
      </c>
      <c r="L899" s="106">
        <f>VLOOKUP(C899,'RAW DATA 2023'!E:BO,21,0)</f>
        <v>17.994040000000002</v>
      </c>
      <c r="M899" s="106">
        <f t="shared" si="70"/>
        <v>128.9737979367587</v>
      </c>
    </row>
    <row r="900" spans="1:13">
      <c r="A900" t="str">
        <f>'RAW DATA 2023'!B893</f>
        <v>Nakornfarm</v>
      </c>
      <c r="B900" t="str">
        <f>'RAW DATA 2023'!D893</f>
        <v>A1-098-0005</v>
      </c>
      <c r="C900" t="str">
        <f t="shared" si="66"/>
        <v>NakornfarmA1-098-0005</v>
      </c>
      <c r="D900">
        <f>VLOOKUP(C900,'RAW DATA 2023'!E:BP,63,0)</f>
        <v>1</v>
      </c>
      <c r="E900" t="str">
        <f t="shared" si="67"/>
        <v>Nakornfarm1</v>
      </c>
      <c r="F900">
        <f>ROUND(VLOOKUP(C900,'RAW DATA 2023'!E:BO,23,0),0)</f>
        <v>68</v>
      </c>
      <c r="G900" s="16">
        <f>VLOOKUP(C900,'RAW DATA 2023'!E:BO,27,0)</f>
        <v>1.3675557692619384</v>
      </c>
      <c r="H900" s="16">
        <f>IFERROR(VLOOKUP(F900,STD!B:G,5,0),0)</f>
        <v>1.35</v>
      </c>
      <c r="I900" s="21">
        <f t="shared" si="68"/>
        <v>0.98716266666666685</v>
      </c>
      <c r="J900" s="16">
        <f t="shared" si="69"/>
        <v>9.7432533333333371</v>
      </c>
      <c r="K900" s="106" t="str">
        <f>VLOOKUP(C900,'RAW DATA 2023'!E:BO,36,0)</f>
        <v>EHP</v>
      </c>
      <c r="L900" s="106">
        <f>VLOOKUP(C900,'RAW DATA 2023'!E:BO,21,0)</f>
        <v>7.5742200000000004</v>
      </c>
      <c r="M900" s="106">
        <f t="shared" si="70"/>
        <v>73.797544262400038</v>
      </c>
    </row>
    <row r="901" spans="1:13">
      <c r="A901" t="str">
        <f>'RAW DATA 2023'!B894</f>
        <v>Nakornfarm</v>
      </c>
      <c r="B901" t="str">
        <f>'RAW DATA 2023'!D894</f>
        <v>A1-099-0007</v>
      </c>
      <c r="C901" t="str">
        <f t="shared" si="66"/>
        <v>NakornfarmA1-099-0007</v>
      </c>
      <c r="D901">
        <f>VLOOKUP(C901,'RAW DATA 2023'!E:BP,63,0)</f>
        <v>1</v>
      </c>
      <c r="E901" t="str">
        <f t="shared" si="67"/>
        <v>Nakornfarm1</v>
      </c>
      <c r="F901">
        <f>ROUND(VLOOKUP(C901,'RAW DATA 2023'!E:BO,23,0),0)</f>
        <v>68</v>
      </c>
      <c r="G901" s="16">
        <f>VLOOKUP(C901,'RAW DATA 2023'!E:BO,27,0)</f>
        <v>1.2800328803003811</v>
      </c>
      <c r="H901" s="16">
        <f>IFERROR(VLOOKUP(F901,STD!B:G,5,0),0)</f>
        <v>1.35</v>
      </c>
      <c r="I901" s="21">
        <f t="shared" si="68"/>
        <v>1.0546604081632653</v>
      </c>
      <c r="J901" s="16">
        <f t="shared" si="69"/>
        <v>11.093208163265306</v>
      </c>
      <c r="K901" s="106" t="str">
        <f>VLOOKUP(C901,'RAW DATA 2023'!E:BO,36,0)</f>
        <v>EHP</v>
      </c>
      <c r="L901" s="106">
        <f>VLOOKUP(C901,'RAW DATA 2023'!E:BO,21,0)</f>
        <v>8.7835599999999996</v>
      </c>
      <c r="M901" s="106">
        <f t="shared" si="70"/>
        <v>97.437859494530599</v>
      </c>
    </row>
    <row r="902" spans="1:13">
      <c r="A902" t="str">
        <f>'RAW DATA 2023'!B895</f>
        <v>Nakornfarm</v>
      </c>
      <c r="B902" t="str">
        <f>'RAW DATA 2023'!D895</f>
        <v>B1-108-0006</v>
      </c>
      <c r="C902" t="str">
        <f t="shared" si="66"/>
        <v>NakornfarmB1-108-0006</v>
      </c>
      <c r="D902">
        <f>VLOOKUP(C902,'RAW DATA 2023'!E:BP,63,0)</f>
        <v>8</v>
      </c>
      <c r="E902" t="str">
        <f t="shared" si="67"/>
        <v>Nakornfarm8</v>
      </c>
      <c r="F902">
        <f>ROUND(VLOOKUP(C902,'RAW DATA 2023'!E:BO,23,0),0)</f>
        <v>102</v>
      </c>
      <c r="G902" s="16">
        <f>VLOOKUP(C902,'RAW DATA 2023'!E:BO,27,0)</f>
        <v>1.3755864443044592</v>
      </c>
      <c r="H902" s="16">
        <f>IFERROR(VLOOKUP(F902,STD!B:G,5,0),0)</f>
        <v>1.21</v>
      </c>
      <c r="I902" s="21">
        <f t="shared" si="68"/>
        <v>0.87962483565459593</v>
      </c>
      <c r="J902" s="16">
        <f t="shared" si="69"/>
        <v>7.5924967130919185</v>
      </c>
      <c r="K902" s="106" t="str">
        <f>VLOOKUP(C902,'RAW DATA 2023'!E:BO,36,0)</f>
        <v>EHP</v>
      </c>
      <c r="L902" s="106">
        <f>VLOOKUP(C902,'RAW DATA 2023'!E:BO,21,0)</f>
        <v>6.8764899999999995</v>
      </c>
      <c r="M902" s="106">
        <f t="shared" si="70"/>
        <v>52.209727722609443</v>
      </c>
    </row>
    <row r="903" spans="1:13">
      <c r="A903" t="str">
        <f>'RAW DATA 2023'!B896</f>
        <v>Nakornfarm</v>
      </c>
      <c r="B903" t="str">
        <f>'RAW DATA 2023'!D896</f>
        <v>B1-107-0005</v>
      </c>
      <c r="C903" t="str">
        <f t="shared" si="66"/>
        <v>NakornfarmB1-107-0005</v>
      </c>
      <c r="D903">
        <f>VLOOKUP(C903,'RAW DATA 2023'!E:BP,63,0)</f>
        <v>2</v>
      </c>
      <c r="E903" t="str">
        <f t="shared" si="67"/>
        <v>Nakornfarm2</v>
      </c>
      <c r="F903">
        <f>ROUND(VLOOKUP(C903,'RAW DATA 2023'!E:BO,23,0),0)</f>
        <v>122</v>
      </c>
      <c r="G903" s="16">
        <f>VLOOKUP(C903,'RAW DATA 2023'!E:BO,27,0)</f>
        <v>1.1260953303668746</v>
      </c>
      <c r="H903" s="16">
        <f>IFERROR(VLOOKUP(F903,STD!B:G,5,0),0)</f>
        <v>1.1599999999999999</v>
      </c>
      <c r="I903" s="21">
        <f t="shared" si="68"/>
        <v>1.030108169991327</v>
      </c>
      <c r="J903" s="16">
        <f t="shared" si="69"/>
        <v>10.602163399826541</v>
      </c>
      <c r="K903" s="106" t="str">
        <f>VLOOKUP(C903,'RAW DATA 2023'!E:BO,36,0)</f>
        <v>EHP</v>
      </c>
      <c r="L903" s="106">
        <f>VLOOKUP(C903,'RAW DATA 2023'!E:BO,21,0)</f>
        <v>5.2034599999999998</v>
      </c>
      <c r="M903" s="106">
        <f t="shared" si="70"/>
        <v>55.167933164461409</v>
      </c>
    </row>
    <row r="904" spans="1:13">
      <c r="A904" t="str">
        <f>'RAW DATA 2023'!B897</f>
        <v>Nakornfarm</v>
      </c>
      <c r="B904" t="str">
        <f>'RAW DATA 2023'!D897</f>
        <v>B1-108-0005</v>
      </c>
      <c r="C904" t="str">
        <f t="shared" si="66"/>
        <v>NakornfarmB1-108-0005</v>
      </c>
      <c r="D904">
        <f>VLOOKUP(C904,'RAW DATA 2023'!E:BP,63,0)</f>
        <v>2</v>
      </c>
      <c r="E904" t="str">
        <f t="shared" si="67"/>
        <v>Nakornfarm2</v>
      </c>
      <c r="F904">
        <f>ROUND(VLOOKUP(C904,'RAW DATA 2023'!E:BO,23,0),0)</f>
        <v>134</v>
      </c>
      <c r="G904" s="16">
        <f>VLOOKUP(C904,'RAW DATA 2023'!E:BO,27,0)</f>
        <v>1.0835468990261405</v>
      </c>
      <c r="H904" s="16">
        <f>IFERROR(VLOOKUP(F904,STD!B:G,5,0),0)</f>
        <v>1.1279999999999999</v>
      </c>
      <c r="I904" s="21">
        <f t="shared" si="68"/>
        <v>1.0410255439924312</v>
      </c>
      <c r="J904" s="16">
        <f t="shared" si="69"/>
        <v>10.820510879848623</v>
      </c>
      <c r="K904" s="106" t="str">
        <f>VLOOKUP(C904,'RAW DATA 2023'!E:BO,36,0)</f>
        <v>EHP</v>
      </c>
      <c r="L904" s="106">
        <f>VLOOKUP(C904,'RAW DATA 2023'!E:BO,21,0)</f>
        <v>4.9915000000000003</v>
      </c>
      <c r="M904" s="106">
        <f t="shared" si="70"/>
        <v>54.010580056764404</v>
      </c>
    </row>
    <row r="905" spans="1:13">
      <c r="A905" t="str">
        <f>'RAW DATA 2023'!B898</f>
        <v>Nakornfarm</v>
      </c>
      <c r="B905" t="str">
        <f>'RAW DATA 2023'!D898</f>
        <v>B1-107-0006</v>
      </c>
      <c r="C905" t="str">
        <f t="shared" si="66"/>
        <v>NakornfarmB1-107-0006</v>
      </c>
      <c r="D905">
        <f>VLOOKUP(C905,'RAW DATA 2023'!E:BP,63,0)</f>
        <v>8</v>
      </c>
      <c r="E905" t="str">
        <f t="shared" si="67"/>
        <v>Nakornfarm8</v>
      </c>
      <c r="F905">
        <f>ROUND(VLOOKUP(C905,'RAW DATA 2023'!E:BO,23,0),0)</f>
        <v>0</v>
      </c>
      <c r="G905" s="16">
        <f>VLOOKUP(C905,'RAW DATA 2023'!E:BO,27,0)</f>
        <v>0</v>
      </c>
      <c r="H905" s="16">
        <f>IFERROR(VLOOKUP(F905,STD!B:G,5,0),0)</f>
        <v>0</v>
      </c>
      <c r="I905" s="21">
        <f t="shared" si="68"/>
        <v>0</v>
      </c>
      <c r="J905" s="16">
        <f t="shared" si="69"/>
        <v>-10</v>
      </c>
      <c r="K905" s="106" t="str">
        <f>VLOOKUP(C905,'RAW DATA 2023'!E:BO,36,0)</f>
        <v>EHP</v>
      </c>
      <c r="L905" s="106">
        <f>VLOOKUP(C905,'RAW DATA 2023'!E:BO,21,0)</f>
        <v>0</v>
      </c>
      <c r="M905" s="106">
        <f t="shared" si="70"/>
        <v>0</v>
      </c>
    </row>
    <row r="906" spans="1:13">
      <c r="A906" t="str">
        <f>'RAW DATA 2023'!B899</f>
        <v>Ranode</v>
      </c>
      <c r="B906" t="str">
        <f>'RAW DATA 2023'!D899</f>
        <v>AG-091-0013</v>
      </c>
      <c r="C906" t="str">
        <f t="shared" ref="C906:C969" si="71">A906&amp;B906</f>
        <v>RanodeAG-091-0013</v>
      </c>
      <c r="D906">
        <f>VLOOKUP(C906,'RAW DATA 2023'!E:BP,63,0)</f>
        <v>11</v>
      </c>
      <c r="E906" t="str">
        <f t="shared" ref="E906:E969" si="72">A906&amp;D906</f>
        <v>Ranode11</v>
      </c>
      <c r="F906">
        <f>ROUND(VLOOKUP(C906,'RAW DATA 2023'!E:BO,23,0),0)</f>
        <v>28</v>
      </c>
      <c r="G906" s="16">
        <f>VLOOKUP(C906,'RAW DATA 2023'!E:BO,27,0)</f>
        <v>1.602372306452837</v>
      </c>
      <c r="H906" s="16">
        <f>IFERROR(VLOOKUP(F906,STD!B:G,5,0),0)</f>
        <v>1.93</v>
      </c>
      <c r="I906" s="21">
        <f t="shared" si="68"/>
        <v>1.204464151201184</v>
      </c>
      <c r="J906" s="16">
        <f t="shared" si="69"/>
        <v>14.089283024023679</v>
      </c>
      <c r="K906" s="106" t="str">
        <f>VLOOKUP(C906,'RAW DATA 2023'!E:BO,36,0)</f>
        <v>Normal</v>
      </c>
      <c r="L906" s="106">
        <f>VLOOKUP(C906,'RAW DATA 2023'!E:BO,21,0)</f>
        <v>27.796240000000001</v>
      </c>
      <c r="M906" s="106">
        <f t="shared" si="70"/>
        <v>391.62909236368796</v>
      </c>
    </row>
    <row r="907" spans="1:13">
      <c r="A907" t="str">
        <f>'RAW DATA 2023'!B900</f>
        <v>Ranode</v>
      </c>
      <c r="B907" t="str">
        <f>'RAW DATA 2023'!D900</f>
        <v>AG-090-0011</v>
      </c>
      <c r="C907" t="str">
        <f t="shared" si="71"/>
        <v>RanodeAG-090-0011</v>
      </c>
      <c r="D907">
        <f>VLOOKUP(C907,'RAW DATA 2023'!E:BP,63,0)</f>
        <v>12</v>
      </c>
      <c r="E907" t="str">
        <f t="shared" si="72"/>
        <v>Ranode12</v>
      </c>
      <c r="F907">
        <f>ROUND(VLOOKUP(C907,'RAW DATA 2023'!E:BO,23,0),0)</f>
        <v>27</v>
      </c>
      <c r="G907" s="16">
        <f>VLOOKUP(C907,'RAW DATA 2023'!E:BO,27,0)</f>
        <v>1.8419767429777913</v>
      </c>
      <c r="H907" s="16">
        <f>IFERROR(VLOOKUP(F907,STD!B:G,5,0),0)</f>
        <v>1.96</v>
      </c>
      <c r="I907" s="21">
        <f t="shared" ref="I907:I970" si="73">IFERROR(H907/G907,0)</f>
        <v>1.0640742384355022</v>
      </c>
      <c r="J907" s="16">
        <f t="shared" ref="J907:J970" si="74">(I907-$B$4)*$B$7</f>
        <v>11.281484768710044</v>
      </c>
      <c r="K907" s="106" t="str">
        <f>VLOOKUP(C907,'RAW DATA 2023'!E:BO,36,0)</f>
        <v>Normal</v>
      </c>
      <c r="L907" s="106">
        <f>VLOOKUP(C907,'RAW DATA 2023'!E:BO,21,0)</f>
        <v>20.21781</v>
      </c>
      <c r="M907" s="106">
        <f t="shared" ref="M907:M970" si="75">J907*L907</f>
        <v>228.08691557167361</v>
      </c>
    </row>
    <row r="908" spans="1:13">
      <c r="A908" t="str">
        <f>'RAW DATA 2023'!B901</f>
        <v>Ranode</v>
      </c>
      <c r="B908" t="str">
        <f>'RAW DATA 2023'!D901</f>
        <v>AG-091-0012</v>
      </c>
      <c r="C908" t="str">
        <f t="shared" si="71"/>
        <v>RanodeAG-091-0012</v>
      </c>
      <c r="D908">
        <f>VLOOKUP(C908,'RAW DATA 2023'!E:BP,63,0)</f>
        <v>6</v>
      </c>
      <c r="E908" t="str">
        <f t="shared" si="72"/>
        <v>Ranode6</v>
      </c>
      <c r="F908">
        <f>ROUND(VLOOKUP(C908,'RAW DATA 2023'!E:BO,23,0),0)</f>
        <v>26</v>
      </c>
      <c r="G908" s="16">
        <f>VLOOKUP(C908,'RAW DATA 2023'!E:BO,27,0)</f>
        <v>2.125159993610366</v>
      </c>
      <c r="H908" s="16">
        <f>IFERROR(VLOOKUP(F908,STD!B:G,5,0),0)</f>
        <v>2</v>
      </c>
      <c r="I908" s="21">
        <f t="shared" si="73"/>
        <v>0.9411056137012368</v>
      </c>
      <c r="J908" s="16">
        <f t="shared" si="74"/>
        <v>8.822112274024736</v>
      </c>
      <c r="K908" s="106" t="str">
        <f>VLOOKUP(C908,'RAW DATA 2023'!E:BO,36,0)</f>
        <v>Normal</v>
      </c>
      <c r="L908" s="106">
        <f>VLOOKUP(C908,'RAW DATA 2023'!E:BO,21,0)</f>
        <v>25.143549999999998</v>
      </c>
      <c r="M908" s="106">
        <f t="shared" si="75"/>
        <v>221.81922106755462</v>
      </c>
    </row>
    <row r="909" spans="1:13">
      <c r="A909" t="str">
        <f>'RAW DATA 2023'!B902</f>
        <v>Ranode</v>
      </c>
      <c r="B909" t="str">
        <f>'RAW DATA 2023'!D902</f>
        <v>AG-090-0010</v>
      </c>
      <c r="C909" t="str">
        <f t="shared" si="71"/>
        <v>RanodeAG-090-0010</v>
      </c>
      <c r="D909">
        <f>VLOOKUP(C909,'RAW DATA 2023'!E:BP,63,0)</f>
        <v>6</v>
      </c>
      <c r="E909" t="str">
        <f t="shared" si="72"/>
        <v>Ranode6</v>
      </c>
      <c r="F909">
        <f>ROUND(VLOOKUP(C909,'RAW DATA 2023'!E:BO,23,0),0)</f>
        <v>25</v>
      </c>
      <c r="G909" s="16">
        <f>VLOOKUP(C909,'RAW DATA 2023'!E:BO,27,0)</f>
        <v>2.2589396060573428</v>
      </c>
      <c r="H909" s="16">
        <f>IFERROR(VLOOKUP(F909,STD!B:G,5,0),0)</f>
        <v>2.04</v>
      </c>
      <c r="I909" s="21">
        <f t="shared" si="73"/>
        <v>0.90307859250851308</v>
      </c>
      <c r="J909" s="16">
        <f t="shared" si="74"/>
        <v>8.061571850170262</v>
      </c>
      <c r="K909" s="106" t="str">
        <f>VLOOKUP(C909,'RAW DATA 2023'!E:BO,36,0)</f>
        <v>Normal</v>
      </c>
      <c r="L909" s="106">
        <f>VLOOKUP(C909,'RAW DATA 2023'!E:BO,21,0)</f>
        <v>19.8203</v>
      </c>
      <c r="M909" s="106">
        <f t="shared" si="75"/>
        <v>159.78277254192963</v>
      </c>
    </row>
    <row r="910" spans="1:13">
      <c r="A910" t="str">
        <f>'RAW DATA 2023'!B903</f>
        <v>Ranode</v>
      </c>
      <c r="B910" t="str">
        <f>'RAW DATA 2023'!D903</f>
        <v>A1-016-0028</v>
      </c>
      <c r="C910" t="str">
        <f t="shared" si="71"/>
        <v>RanodeA1-016-0028</v>
      </c>
      <c r="D910">
        <f>VLOOKUP(C910,'RAW DATA 2023'!E:BP,63,0)</f>
        <v>11</v>
      </c>
      <c r="E910" t="str">
        <f t="shared" si="72"/>
        <v>Ranode11</v>
      </c>
      <c r="F910">
        <f>ROUND(VLOOKUP(C910,'RAW DATA 2023'!E:BO,23,0),0)</f>
        <v>45</v>
      </c>
      <c r="G910" s="16">
        <f>VLOOKUP(C910,'RAW DATA 2023'!E:BO,27,0)</f>
        <v>1.5436510382643425</v>
      </c>
      <c r="H910" s="16">
        <f>IFERROR(VLOOKUP(F910,STD!B:G,5,0),0)</f>
        <v>1.55</v>
      </c>
      <c r="I910" s="21">
        <f t="shared" si="73"/>
        <v>1.0041129514237856</v>
      </c>
      <c r="J910" s="16">
        <f t="shared" si="74"/>
        <v>10.082259028475713</v>
      </c>
      <c r="K910" s="106" t="str">
        <f>VLOOKUP(C910,'RAW DATA 2023'!E:BO,36,0)</f>
        <v>Normal</v>
      </c>
      <c r="L910" s="106">
        <f>VLOOKUP(C910,'RAW DATA 2023'!E:BO,21,0)</f>
        <v>49.899180000000001</v>
      </c>
      <c r="M910" s="106">
        <f t="shared" si="75"/>
        <v>503.09645806853473</v>
      </c>
    </row>
    <row r="911" spans="1:13">
      <c r="A911" t="str">
        <f>'RAW DATA 2023'!B904</f>
        <v>Ranode</v>
      </c>
      <c r="B911" t="str">
        <f>'RAW DATA 2023'!D904</f>
        <v>AG-093-0013</v>
      </c>
      <c r="C911" t="str">
        <f t="shared" si="71"/>
        <v>RanodeAG-093-0013</v>
      </c>
      <c r="D911">
        <f>VLOOKUP(C911,'RAW DATA 2023'!E:BP,63,0)</f>
        <v>6</v>
      </c>
      <c r="E911" t="str">
        <f t="shared" si="72"/>
        <v>Ranode6</v>
      </c>
      <c r="F911">
        <f>ROUND(VLOOKUP(C911,'RAW DATA 2023'!E:BO,23,0),0)</f>
        <v>75</v>
      </c>
      <c r="G911" s="16">
        <f>VLOOKUP(C911,'RAW DATA 2023'!E:BO,27,0)</f>
        <v>1.3619625557250443</v>
      </c>
      <c r="H911" s="16">
        <f>IFERROR(VLOOKUP(F911,STD!B:G,5,0),0)</f>
        <v>1.31</v>
      </c>
      <c r="I911" s="21">
        <f t="shared" si="73"/>
        <v>0.96184729491525423</v>
      </c>
      <c r="J911" s="16">
        <f t="shared" si="74"/>
        <v>9.2369458983050841</v>
      </c>
      <c r="K911" s="106" t="str">
        <f>VLOOKUP(C911,'RAW DATA 2023'!E:BO,36,0)</f>
        <v>EHP</v>
      </c>
      <c r="L911" s="106">
        <f>VLOOKUP(C911,'RAW DATA 2023'!E:BO,21,0)</f>
        <v>11.059959999999998</v>
      </c>
      <c r="M911" s="106">
        <f t="shared" si="75"/>
        <v>102.16025215741828</v>
      </c>
    </row>
    <row r="912" spans="1:13">
      <c r="A912" t="str">
        <f>'RAW DATA 2023'!B905</f>
        <v>Ranode</v>
      </c>
      <c r="B912" t="str">
        <f>'RAW DATA 2023'!D905</f>
        <v>AG-093-0012</v>
      </c>
      <c r="C912" t="str">
        <f t="shared" si="71"/>
        <v>RanodeAG-093-0012</v>
      </c>
      <c r="D912">
        <f>VLOOKUP(C912,'RAW DATA 2023'!E:BP,63,0)</f>
        <v>4</v>
      </c>
      <c r="E912" t="str">
        <f t="shared" si="72"/>
        <v>Ranode4</v>
      </c>
      <c r="F912">
        <f>ROUND(VLOOKUP(C912,'RAW DATA 2023'!E:BO,23,0),0)</f>
        <v>59</v>
      </c>
      <c r="G912" s="16">
        <f>VLOOKUP(C912,'RAW DATA 2023'!E:BO,27,0)</f>
        <v>2.2072262433816858</v>
      </c>
      <c r="H912" s="16">
        <f>IFERROR(VLOOKUP(F912,STD!B:G,5,0),0)</f>
        <v>1.41</v>
      </c>
      <c r="I912" s="21">
        <f t="shared" si="73"/>
        <v>0.63881081707317078</v>
      </c>
      <c r="J912" s="16">
        <f t="shared" si="74"/>
        <v>2.7762163414634156</v>
      </c>
      <c r="K912" s="106" t="str">
        <f>VLOOKUP(C912,'RAW DATA 2023'!E:BO,36,0)</f>
        <v>EHP</v>
      </c>
      <c r="L912" s="106">
        <f>VLOOKUP(C912,'RAW DATA 2023'!E:BO,21,0)</f>
        <v>7.8501400000000006</v>
      </c>
      <c r="M912" s="106">
        <f t="shared" si="75"/>
        <v>21.793686950775619</v>
      </c>
    </row>
    <row r="913" spans="1:13">
      <c r="A913" t="str">
        <f>'RAW DATA 2023'!B906</f>
        <v>Ranode</v>
      </c>
      <c r="B913" t="str">
        <f>'RAW DATA 2023'!D906</f>
        <v>AG-093-0014</v>
      </c>
      <c r="C913" t="str">
        <f t="shared" si="71"/>
        <v>RanodeAG-093-0014</v>
      </c>
      <c r="D913">
        <f>VLOOKUP(C913,'RAW DATA 2023'!E:BP,63,0)</f>
        <v>12</v>
      </c>
      <c r="E913" t="str">
        <f t="shared" si="72"/>
        <v>Ranode12</v>
      </c>
      <c r="F913">
        <f>ROUND(VLOOKUP(C913,'RAW DATA 2023'!E:BO,23,0),0)</f>
        <v>132</v>
      </c>
      <c r="G913" s="16">
        <f>VLOOKUP(C913,'RAW DATA 2023'!E:BO,27,0)</f>
        <v>1.5472359225334678</v>
      </c>
      <c r="H913" s="16">
        <f>IFERROR(VLOOKUP(F913,STD!B:G,5,0),0)</f>
        <v>1.1279999999999999</v>
      </c>
      <c r="I913" s="21">
        <f t="shared" si="73"/>
        <v>0.72904201846153849</v>
      </c>
      <c r="J913" s="16">
        <f t="shared" si="74"/>
        <v>4.5808403692307698</v>
      </c>
      <c r="K913" s="106" t="str">
        <f>VLOOKUP(C913,'RAW DATA 2023'!E:BO,36,0)</f>
        <v>EHP</v>
      </c>
      <c r="L913" s="106">
        <f>VLOOKUP(C913,'RAW DATA 2023'!E:BO,21,0)</f>
        <v>5.7732999999999999</v>
      </c>
      <c r="M913" s="106">
        <f t="shared" si="75"/>
        <v>26.446565703680001</v>
      </c>
    </row>
    <row r="914" spans="1:13">
      <c r="A914" t="str">
        <f>'RAW DATA 2023'!B907</f>
        <v>Ranode</v>
      </c>
      <c r="B914" t="str">
        <f>'RAW DATA 2023'!D907</f>
        <v>A1-082-0016</v>
      </c>
      <c r="C914" t="str">
        <f t="shared" si="71"/>
        <v>RanodeA1-082-0016</v>
      </c>
      <c r="D914">
        <f>VLOOKUP(C914,'RAW DATA 2023'!E:BP,63,0)</f>
        <v>3</v>
      </c>
      <c r="E914" t="str">
        <f t="shared" si="72"/>
        <v>Ranode3</v>
      </c>
      <c r="F914">
        <f>ROUND(VLOOKUP(C914,'RAW DATA 2023'!E:BO,23,0),0)</f>
        <v>144</v>
      </c>
      <c r="G914" s="16">
        <f>VLOOKUP(C914,'RAW DATA 2023'!E:BO,27,0)</f>
        <v>1.3515391262435246</v>
      </c>
      <c r="H914" s="16">
        <f>IFERROR(VLOOKUP(F914,STD!B:G,5,0),0)</f>
        <v>1.0860000000000001</v>
      </c>
      <c r="I914" s="21">
        <f t="shared" si="73"/>
        <v>0.80352834698795184</v>
      </c>
      <c r="J914" s="16">
        <f t="shared" si="74"/>
        <v>6.0705669397590363</v>
      </c>
      <c r="K914" s="106" t="str">
        <f>VLOOKUP(C914,'RAW DATA 2023'!E:BO,36,0)</f>
        <v>EHP</v>
      </c>
      <c r="L914" s="106">
        <f>VLOOKUP(C914,'RAW DATA 2023'!E:BO,21,0)</f>
        <v>4.82986</v>
      </c>
      <c r="M914" s="106">
        <f t="shared" si="75"/>
        <v>29.319988439664581</v>
      </c>
    </row>
    <row r="915" spans="1:13">
      <c r="A915" t="str">
        <f>'RAW DATA 2023'!B908</f>
        <v>Ranode</v>
      </c>
      <c r="B915" t="str">
        <f>'RAW DATA 2023'!D908</f>
        <v>A1-083-0016</v>
      </c>
      <c r="C915" t="str">
        <f t="shared" si="71"/>
        <v>RanodeA1-083-0016</v>
      </c>
      <c r="D915">
        <f>VLOOKUP(C915,'RAW DATA 2023'!E:BP,63,0)</f>
        <v>3</v>
      </c>
      <c r="E915" t="str">
        <f t="shared" si="72"/>
        <v>Ranode3</v>
      </c>
      <c r="F915">
        <f>ROUND(VLOOKUP(C915,'RAW DATA 2023'!E:BO,23,0),0)</f>
        <v>183</v>
      </c>
      <c r="G915" s="16">
        <f>VLOOKUP(C915,'RAW DATA 2023'!E:BO,27,0)</f>
        <v>1.4694826054268335</v>
      </c>
      <c r="H915" s="16">
        <f>IFERROR(VLOOKUP(F915,STD!B:G,5,0),0)</f>
        <v>0.98599999999999999</v>
      </c>
      <c r="I915" s="21">
        <f t="shared" si="73"/>
        <v>0.67098446511627907</v>
      </c>
      <c r="J915" s="16">
        <f t="shared" si="74"/>
        <v>3.4196893023255814</v>
      </c>
      <c r="K915" s="106" t="str">
        <f>VLOOKUP(C915,'RAW DATA 2023'!E:BO,36,0)</f>
        <v>EHP</v>
      </c>
      <c r="L915" s="106">
        <f>VLOOKUP(C915,'RAW DATA 2023'!E:BO,21,0)</f>
        <v>3.1501999999999999</v>
      </c>
      <c r="M915" s="106">
        <f t="shared" si="75"/>
        <v>10.772705240186045</v>
      </c>
    </row>
    <row r="916" spans="1:13">
      <c r="A916" t="str">
        <f>'RAW DATA 2023'!B909</f>
        <v>Ranode</v>
      </c>
      <c r="B916" t="str">
        <f>'RAW DATA 2023'!D909</f>
        <v>A1-015-0033</v>
      </c>
      <c r="C916" t="str">
        <f t="shared" si="71"/>
        <v>RanodeA1-015-0033</v>
      </c>
      <c r="D916">
        <f>VLOOKUP(C916,'RAW DATA 2023'!E:BP,63,0)</f>
        <v>7</v>
      </c>
      <c r="E916" t="str">
        <f t="shared" si="72"/>
        <v>Ranode7</v>
      </c>
      <c r="F916">
        <f>ROUND(VLOOKUP(C916,'RAW DATA 2023'!E:BO,23,0),0)</f>
        <v>207</v>
      </c>
      <c r="G916" s="16">
        <f>VLOOKUP(C916,'RAW DATA 2023'!E:BO,27,0)</f>
        <v>1.9732364983210058</v>
      </c>
      <c r="H916" s="16">
        <f>IFERROR(VLOOKUP(F916,STD!B:G,5,0),0)</f>
        <v>0.95699999999999996</v>
      </c>
      <c r="I916" s="21">
        <f t="shared" si="73"/>
        <v>0.48499001554770316</v>
      </c>
      <c r="J916" s="16">
        <f t="shared" si="74"/>
        <v>-0.30019968904593686</v>
      </c>
      <c r="K916" s="106" t="str">
        <f>VLOOKUP(C916,'RAW DATA 2023'!E:BO,36,0)</f>
        <v>EHP</v>
      </c>
      <c r="L916" s="106">
        <f>VLOOKUP(C916,'RAW DATA 2023'!E:BO,21,0)</f>
        <v>11.61844</v>
      </c>
      <c r="M916" s="106">
        <f t="shared" si="75"/>
        <v>-3.4878520751988744</v>
      </c>
    </row>
    <row r="917" spans="1:13">
      <c r="A917">
        <f>'RAW DATA 2023'!B910</f>
        <v>0</v>
      </c>
      <c r="B917">
        <f>'RAW DATA 2023'!D910</f>
        <v>0</v>
      </c>
      <c r="C917" t="str">
        <f t="shared" si="71"/>
        <v>00</v>
      </c>
      <c r="D917" t="e">
        <f>VLOOKUP(C917,'RAW DATA 2023'!E:BP,63,0)</f>
        <v>#N/A</v>
      </c>
      <c r="E917" t="e">
        <f t="shared" si="72"/>
        <v>#N/A</v>
      </c>
      <c r="F917" t="e">
        <f>ROUND(VLOOKUP(C917,'RAW DATA 2023'!E:BO,23,0),0)</f>
        <v>#N/A</v>
      </c>
      <c r="G917" s="16" t="e">
        <f>VLOOKUP(C917,'RAW DATA 2023'!E:BO,27,0)</f>
        <v>#N/A</v>
      </c>
      <c r="H917" s="16">
        <f>IFERROR(VLOOKUP(F917,STD!B:G,5,0),0)</f>
        <v>0</v>
      </c>
      <c r="I917" s="21">
        <f t="shared" si="73"/>
        <v>0</v>
      </c>
      <c r="J917" s="16">
        <f t="shared" si="74"/>
        <v>-10</v>
      </c>
      <c r="K917" s="106" t="e">
        <f>VLOOKUP(C917,'RAW DATA 2023'!E:BO,36,0)</f>
        <v>#N/A</v>
      </c>
      <c r="L917" s="106" t="e">
        <f>VLOOKUP(C917,'RAW DATA 2023'!E:BO,21,0)</f>
        <v>#N/A</v>
      </c>
      <c r="M917" s="106" t="e">
        <f t="shared" si="75"/>
        <v>#N/A</v>
      </c>
    </row>
    <row r="918" spans="1:13">
      <c r="A918">
        <f>'RAW DATA 2023'!B911</f>
        <v>0</v>
      </c>
      <c r="B918">
        <f>'RAW DATA 2023'!D911</f>
        <v>0</v>
      </c>
      <c r="C918" t="str">
        <f t="shared" si="71"/>
        <v>00</v>
      </c>
      <c r="D918" t="e">
        <f>VLOOKUP(C918,'RAW DATA 2023'!E:BP,63,0)</f>
        <v>#N/A</v>
      </c>
      <c r="E918" t="e">
        <f t="shared" si="72"/>
        <v>#N/A</v>
      </c>
      <c r="F918" t="e">
        <f>ROUND(VLOOKUP(C918,'RAW DATA 2023'!E:BO,23,0),0)</f>
        <v>#N/A</v>
      </c>
      <c r="G918" s="16" t="e">
        <f>VLOOKUP(C918,'RAW DATA 2023'!E:BO,27,0)</f>
        <v>#N/A</v>
      </c>
      <c r="H918" s="16">
        <f>IFERROR(VLOOKUP(F918,STD!B:G,5,0),0)</f>
        <v>0</v>
      </c>
      <c r="I918" s="21">
        <f t="shared" si="73"/>
        <v>0</v>
      </c>
      <c r="J918" s="16">
        <f t="shared" si="74"/>
        <v>-10</v>
      </c>
      <c r="K918" s="106" t="e">
        <f>VLOOKUP(C918,'RAW DATA 2023'!E:BO,36,0)</f>
        <v>#N/A</v>
      </c>
      <c r="L918" s="106" t="e">
        <f>VLOOKUP(C918,'RAW DATA 2023'!E:BO,21,0)</f>
        <v>#N/A</v>
      </c>
      <c r="M918" s="106" t="e">
        <f t="shared" si="75"/>
        <v>#N/A</v>
      </c>
    </row>
    <row r="919" spans="1:13">
      <c r="A919">
        <f>'RAW DATA 2023'!B912</f>
        <v>0</v>
      </c>
      <c r="B919">
        <f>'RAW DATA 2023'!D912</f>
        <v>0</v>
      </c>
      <c r="C919" t="str">
        <f t="shared" si="71"/>
        <v>00</v>
      </c>
      <c r="D919" t="e">
        <f>VLOOKUP(C919,'RAW DATA 2023'!E:BP,63,0)</f>
        <v>#N/A</v>
      </c>
      <c r="E919" t="e">
        <f t="shared" si="72"/>
        <v>#N/A</v>
      </c>
      <c r="F919" t="e">
        <f>ROUND(VLOOKUP(C919,'RAW DATA 2023'!E:BO,23,0),0)</f>
        <v>#N/A</v>
      </c>
      <c r="G919" s="16" t="e">
        <f>VLOOKUP(C919,'RAW DATA 2023'!E:BO,27,0)</f>
        <v>#N/A</v>
      </c>
      <c r="H919" s="16">
        <f>IFERROR(VLOOKUP(F919,STD!B:G,5,0),0)</f>
        <v>0</v>
      </c>
      <c r="I919" s="21">
        <f t="shared" si="73"/>
        <v>0</v>
      </c>
      <c r="J919" s="16">
        <f t="shared" si="74"/>
        <v>-10</v>
      </c>
      <c r="K919" s="106" t="e">
        <f>VLOOKUP(C919,'RAW DATA 2023'!E:BO,36,0)</f>
        <v>#N/A</v>
      </c>
      <c r="L919" s="106" t="e">
        <f>VLOOKUP(C919,'RAW DATA 2023'!E:BO,21,0)</f>
        <v>#N/A</v>
      </c>
      <c r="M919" s="106" t="e">
        <f t="shared" si="75"/>
        <v>#N/A</v>
      </c>
    </row>
    <row r="920" spans="1:13">
      <c r="A920">
        <f>'RAW DATA 2023'!B913</f>
        <v>0</v>
      </c>
      <c r="B920">
        <f>'RAW DATA 2023'!D913</f>
        <v>0</v>
      </c>
      <c r="C920" t="str">
        <f t="shared" si="71"/>
        <v>00</v>
      </c>
      <c r="D920" t="e">
        <f>VLOOKUP(C920,'RAW DATA 2023'!E:BP,63,0)</f>
        <v>#N/A</v>
      </c>
      <c r="E920" t="e">
        <f t="shared" si="72"/>
        <v>#N/A</v>
      </c>
      <c r="F920" t="e">
        <f>ROUND(VLOOKUP(C920,'RAW DATA 2023'!E:BO,23,0),0)</f>
        <v>#N/A</v>
      </c>
      <c r="G920" s="16" t="e">
        <f>VLOOKUP(C920,'RAW DATA 2023'!E:BO,27,0)</f>
        <v>#N/A</v>
      </c>
      <c r="H920" s="16">
        <f>IFERROR(VLOOKUP(F920,STD!B:G,5,0),0)</f>
        <v>0</v>
      </c>
      <c r="I920" s="21">
        <f t="shared" si="73"/>
        <v>0</v>
      </c>
      <c r="J920" s="16">
        <f t="shared" si="74"/>
        <v>-10</v>
      </c>
      <c r="K920" s="106" t="e">
        <f>VLOOKUP(C920,'RAW DATA 2023'!E:BO,36,0)</f>
        <v>#N/A</v>
      </c>
      <c r="L920" s="106" t="e">
        <f>VLOOKUP(C920,'RAW DATA 2023'!E:BO,21,0)</f>
        <v>#N/A</v>
      </c>
      <c r="M920" s="106" t="e">
        <f t="shared" si="75"/>
        <v>#N/A</v>
      </c>
    </row>
    <row r="921" spans="1:13">
      <c r="A921">
        <f>'RAW DATA 2023'!B914</f>
        <v>0</v>
      </c>
      <c r="B921">
        <f>'RAW DATA 2023'!D914</f>
        <v>0</v>
      </c>
      <c r="C921" t="str">
        <f t="shared" si="71"/>
        <v>00</v>
      </c>
      <c r="D921" t="e">
        <f>VLOOKUP(C921,'RAW DATA 2023'!E:BP,63,0)</f>
        <v>#N/A</v>
      </c>
      <c r="E921" t="e">
        <f t="shared" si="72"/>
        <v>#N/A</v>
      </c>
      <c r="F921" t="e">
        <f>ROUND(VLOOKUP(C921,'RAW DATA 2023'!E:BO,23,0),0)</f>
        <v>#N/A</v>
      </c>
      <c r="G921" s="16" t="e">
        <f>VLOOKUP(C921,'RAW DATA 2023'!E:BO,27,0)</f>
        <v>#N/A</v>
      </c>
      <c r="H921" s="16">
        <f>IFERROR(VLOOKUP(F921,STD!B:G,5,0),0)</f>
        <v>0</v>
      </c>
      <c r="I921" s="21">
        <f t="shared" si="73"/>
        <v>0</v>
      </c>
      <c r="J921" s="16">
        <f t="shared" si="74"/>
        <v>-10</v>
      </c>
      <c r="K921" s="106" t="e">
        <f>VLOOKUP(C921,'RAW DATA 2023'!E:BO,36,0)</f>
        <v>#N/A</v>
      </c>
      <c r="L921" s="106" t="e">
        <f>VLOOKUP(C921,'RAW DATA 2023'!E:BO,21,0)</f>
        <v>#N/A</v>
      </c>
      <c r="M921" s="106" t="e">
        <f t="shared" si="75"/>
        <v>#N/A</v>
      </c>
    </row>
    <row r="922" spans="1:13">
      <c r="A922">
        <f>'RAW DATA 2023'!B915</f>
        <v>0</v>
      </c>
      <c r="B922">
        <f>'RAW DATA 2023'!D915</f>
        <v>0</v>
      </c>
      <c r="C922" t="str">
        <f t="shared" si="71"/>
        <v>00</v>
      </c>
      <c r="D922" t="e">
        <f>VLOOKUP(C922,'RAW DATA 2023'!E:BP,63,0)</f>
        <v>#N/A</v>
      </c>
      <c r="E922" t="e">
        <f t="shared" si="72"/>
        <v>#N/A</v>
      </c>
      <c r="F922" t="e">
        <f>ROUND(VLOOKUP(C922,'RAW DATA 2023'!E:BO,23,0),0)</f>
        <v>#N/A</v>
      </c>
      <c r="G922" s="16" t="e">
        <f>VLOOKUP(C922,'RAW DATA 2023'!E:BO,27,0)</f>
        <v>#N/A</v>
      </c>
      <c r="H922" s="16">
        <f>IFERROR(VLOOKUP(F922,STD!B:G,5,0),0)</f>
        <v>0</v>
      </c>
      <c r="I922" s="21">
        <f t="shared" si="73"/>
        <v>0</v>
      </c>
      <c r="J922" s="16">
        <f t="shared" si="74"/>
        <v>-10</v>
      </c>
      <c r="K922" s="106" t="e">
        <f>VLOOKUP(C922,'RAW DATA 2023'!E:BO,36,0)</f>
        <v>#N/A</v>
      </c>
      <c r="L922" s="106" t="e">
        <f>VLOOKUP(C922,'RAW DATA 2023'!E:BO,21,0)</f>
        <v>#N/A</v>
      </c>
      <c r="M922" s="106" t="e">
        <f t="shared" si="75"/>
        <v>#N/A</v>
      </c>
    </row>
    <row r="923" spans="1:13">
      <c r="A923">
        <f>'RAW DATA 2023'!B916</f>
        <v>0</v>
      </c>
      <c r="B923">
        <f>'RAW DATA 2023'!D916</f>
        <v>0</v>
      </c>
      <c r="C923" t="str">
        <f t="shared" si="71"/>
        <v>00</v>
      </c>
      <c r="D923" t="e">
        <f>VLOOKUP(C923,'RAW DATA 2023'!E:BP,63,0)</f>
        <v>#N/A</v>
      </c>
      <c r="E923" t="e">
        <f t="shared" si="72"/>
        <v>#N/A</v>
      </c>
      <c r="F923" t="e">
        <f>ROUND(VLOOKUP(C923,'RAW DATA 2023'!E:BO,23,0),0)</f>
        <v>#N/A</v>
      </c>
      <c r="G923" s="16" t="e">
        <f>VLOOKUP(C923,'RAW DATA 2023'!E:BO,27,0)</f>
        <v>#N/A</v>
      </c>
      <c r="H923" s="16">
        <f>IFERROR(VLOOKUP(F923,STD!B:G,5,0),0)</f>
        <v>0</v>
      </c>
      <c r="I923" s="21">
        <f t="shared" si="73"/>
        <v>0</v>
      </c>
      <c r="J923" s="16">
        <f t="shared" si="74"/>
        <v>-10</v>
      </c>
      <c r="K923" s="106" t="e">
        <f>VLOOKUP(C923,'RAW DATA 2023'!E:BO,36,0)</f>
        <v>#N/A</v>
      </c>
      <c r="L923" s="106" t="e">
        <f>VLOOKUP(C923,'RAW DATA 2023'!E:BO,21,0)</f>
        <v>#N/A</v>
      </c>
      <c r="M923" s="106" t="e">
        <f t="shared" si="75"/>
        <v>#N/A</v>
      </c>
    </row>
    <row r="924" spans="1:13">
      <c r="A924">
        <f>'RAW DATA 2023'!B917</f>
        <v>0</v>
      </c>
      <c r="B924">
        <f>'RAW DATA 2023'!D917</f>
        <v>0</v>
      </c>
      <c r="C924" t="str">
        <f t="shared" si="71"/>
        <v>00</v>
      </c>
      <c r="D924" t="e">
        <f>VLOOKUP(C924,'RAW DATA 2023'!E:BP,63,0)</f>
        <v>#N/A</v>
      </c>
      <c r="E924" t="e">
        <f t="shared" si="72"/>
        <v>#N/A</v>
      </c>
      <c r="F924" t="e">
        <f>ROUND(VLOOKUP(C924,'RAW DATA 2023'!E:BO,23,0),0)</f>
        <v>#N/A</v>
      </c>
      <c r="G924" s="16" t="e">
        <f>VLOOKUP(C924,'RAW DATA 2023'!E:BO,27,0)</f>
        <v>#N/A</v>
      </c>
      <c r="H924" s="16">
        <f>IFERROR(VLOOKUP(F924,STD!B:G,5,0),0)</f>
        <v>0</v>
      </c>
      <c r="I924" s="21">
        <f t="shared" si="73"/>
        <v>0</v>
      </c>
      <c r="J924" s="16">
        <f t="shared" si="74"/>
        <v>-10</v>
      </c>
      <c r="K924" s="106" t="e">
        <f>VLOOKUP(C924,'RAW DATA 2023'!E:BO,36,0)</f>
        <v>#N/A</v>
      </c>
      <c r="L924" s="106" t="e">
        <f>VLOOKUP(C924,'RAW DATA 2023'!E:BO,21,0)</f>
        <v>#N/A</v>
      </c>
      <c r="M924" s="106" t="e">
        <f t="shared" si="75"/>
        <v>#N/A</v>
      </c>
    </row>
    <row r="925" spans="1:13">
      <c r="A925">
        <f>'RAW DATA 2023'!B918</f>
        <v>0</v>
      </c>
      <c r="B925">
        <f>'RAW DATA 2023'!D918</f>
        <v>0</v>
      </c>
      <c r="C925" t="str">
        <f t="shared" si="71"/>
        <v>00</v>
      </c>
      <c r="D925" t="e">
        <f>VLOOKUP(C925,'RAW DATA 2023'!E:BP,63,0)</f>
        <v>#N/A</v>
      </c>
      <c r="E925" t="e">
        <f t="shared" si="72"/>
        <v>#N/A</v>
      </c>
      <c r="F925" t="e">
        <f>ROUND(VLOOKUP(C925,'RAW DATA 2023'!E:BO,23,0),0)</f>
        <v>#N/A</v>
      </c>
      <c r="G925" s="16" t="e">
        <f>VLOOKUP(C925,'RAW DATA 2023'!E:BO,27,0)</f>
        <v>#N/A</v>
      </c>
      <c r="H925" s="16">
        <f>IFERROR(VLOOKUP(F925,STD!B:G,5,0),0)</f>
        <v>0</v>
      </c>
      <c r="I925" s="21">
        <f t="shared" si="73"/>
        <v>0</v>
      </c>
      <c r="J925" s="16">
        <f t="shared" si="74"/>
        <v>-10</v>
      </c>
      <c r="K925" s="106" t="e">
        <f>VLOOKUP(C925,'RAW DATA 2023'!E:BO,36,0)</f>
        <v>#N/A</v>
      </c>
      <c r="L925" s="106" t="e">
        <f>VLOOKUP(C925,'RAW DATA 2023'!E:BO,21,0)</f>
        <v>#N/A</v>
      </c>
      <c r="M925" s="106" t="e">
        <f t="shared" si="75"/>
        <v>#N/A</v>
      </c>
    </row>
    <row r="926" spans="1:13">
      <c r="A926">
        <f>'RAW DATA 2023'!B919</f>
        <v>0</v>
      </c>
      <c r="B926">
        <f>'RAW DATA 2023'!D919</f>
        <v>0</v>
      </c>
      <c r="C926" t="str">
        <f t="shared" si="71"/>
        <v>00</v>
      </c>
      <c r="D926" t="e">
        <f>VLOOKUP(C926,'RAW DATA 2023'!E:BP,63,0)</f>
        <v>#N/A</v>
      </c>
      <c r="E926" t="e">
        <f t="shared" si="72"/>
        <v>#N/A</v>
      </c>
      <c r="F926" t="e">
        <f>ROUND(VLOOKUP(C926,'RAW DATA 2023'!E:BO,23,0),0)</f>
        <v>#N/A</v>
      </c>
      <c r="G926" s="16" t="e">
        <f>VLOOKUP(C926,'RAW DATA 2023'!E:BO,27,0)</f>
        <v>#N/A</v>
      </c>
      <c r="H926" s="16">
        <f>IFERROR(VLOOKUP(F926,STD!B:G,5,0),0)</f>
        <v>0</v>
      </c>
      <c r="I926" s="21">
        <f t="shared" si="73"/>
        <v>0</v>
      </c>
      <c r="J926" s="16">
        <f t="shared" si="74"/>
        <v>-10</v>
      </c>
      <c r="K926" s="106" t="e">
        <f>VLOOKUP(C926,'RAW DATA 2023'!E:BO,36,0)</f>
        <v>#N/A</v>
      </c>
      <c r="L926" s="106" t="e">
        <f>VLOOKUP(C926,'RAW DATA 2023'!E:BO,21,0)</f>
        <v>#N/A</v>
      </c>
      <c r="M926" s="106" t="e">
        <f t="shared" si="75"/>
        <v>#N/A</v>
      </c>
    </row>
    <row r="927" spans="1:13">
      <c r="A927">
        <f>'RAW DATA 2023'!B920</f>
        <v>0</v>
      </c>
      <c r="B927">
        <f>'RAW DATA 2023'!D920</f>
        <v>0</v>
      </c>
      <c r="C927" t="str">
        <f t="shared" si="71"/>
        <v>00</v>
      </c>
      <c r="D927" t="e">
        <f>VLOOKUP(C927,'RAW DATA 2023'!E:BP,63,0)</f>
        <v>#N/A</v>
      </c>
      <c r="E927" t="e">
        <f t="shared" si="72"/>
        <v>#N/A</v>
      </c>
      <c r="F927" t="e">
        <f>ROUND(VLOOKUP(C927,'RAW DATA 2023'!E:BO,23,0),0)</f>
        <v>#N/A</v>
      </c>
      <c r="G927" s="16" t="e">
        <f>VLOOKUP(C927,'RAW DATA 2023'!E:BO,27,0)</f>
        <v>#N/A</v>
      </c>
      <c r="H927" s="16">
        <f>IFERROR(VLOOKUP(F927,STD!B:G,5,0),0)</f>
        <v>0</v>
      </c>
      <c r="I927" s="21">
        <f t="shared" si="73"/>
        <v>0</v>
      </c>
      <c r="J927" s="16">
        <f t="shared" si="74"/>
        <v>-10</v>
      </c>
      <c r="K927" s="106" t="e">
        <f>VLOOKUP(C927,'RAW DATA 2023'!E:BO,36,0)</f>
        <v>#N/A</v>
      </c>
      <c r="L927" s="106" t="e">
        <f>VLOOKUP(C927,'RAW DATA 2023'!E:BO,21,0)</f>
        <v>#N/A</v>
      </c>
      <c r="M927" s="106" t="e">
        <f t="shared" si="75"/>
        <v>#N/A</v>
      </c>
    </row>
    <row r="928" spans="1:13">
      <c r="A928">
        <f>'RAW DATA 2023'!B921</f>
        <v>0</v>
      </c>
      <c r="B928">
        <f>'RAW DATA 2023'!D921</f>
        <v>0</v>
      </c>
      <c r="C928" t="str">
        <f t="shared" si="71"/>
        <v>00</v>
      </c>
      <c r="D928" t="e">
        <f>VLOOKUP(C928,'RAW DATA 2023'!E:BP,63,0)</f>
        <v>#N/A</v>
      </c>
      <c r="E928" t="e">
        <f t="shared" si="72"/>
        <v>#N/A</v>
      </c>
      <c r="F928" t="e">
        <f>ROUND(VLOOKUP(C928,'RAW DATA 2023'!E:BO,23,0),0)</f>
        <v>#N/A</v>
      </c>
      <c r="G928" s="16" t="e">
        <f>VLOOKUP(C928,'RAW DATA 2023'!E:BO,27,0)</f>
        <v>#N/A</v>
      </c>
      <c r="H928" s="16">
        <f>IFERROR(VLOOKUP(F928,STD!B:G,5,0),0)</f>
        <v>0</v>
      </c>
      <c r="I928" s="21">
        <f t="shared" si="73"/>
        <v>0</v>
      </c>
      <c r="J928" s="16">
        <f t="shared" si="74"/>
        <v>-10</v>
      </c>
      <c r="K928" s="106" t="e">
        <f>VLOOKUP(C928,'RAW DATA 2023'!E:BO,36,0)</f>
        <v>#N/A</v>
      </c>
      <c r="L928" s="106" t="e">
        <f>VLOOKUP(C928,'RAW DATA 2023'!E:BO,21,0)</f>
        <v>#N/A</v>
      </c>
      <c r="M928" s="106" t="e">
        <f t="shared" si="75"/>
        <v>#N/A</v>
      </c>
    </row>
    <row r="929" spans="1:13">
      <c r="A929">
        <f>'RAW DATA 2023'!B922</f>
        <v>0</v>
      </c>
      <c r="B929">
        <f>'RAW DATA 2023'!D922</f>
        <v>0</v>
      </c>
      <c r="C929" t="str">
        <f t="shared" si="71"/>
        <v>00</v>
      </c>
      <c r="D929" t="e">
        <f>VLOOKUP(C929,'RAW DATA 2023'!E:BP,63,0)</f>
        <v>#N/A</v>
      </c>
      <c r="E929" t="e">
        <f t="shared" si="72"/>
        <v>#N/A</v>
      </c>
      <c r="F929" t="e">
        <f>ROUND(VLOOKUP(C929,'RAW DATA 2023'!E:BO,23,0),0)</f>
        <v>#N/A</v>
      </c>
      <c r="G929" s="16" t="e">
        <f>VLOOKUP(C929,'RAW DATA 2023'!E:BO,27,0)</f>
        <v>#N/A</v>
      </c>
      <c r="H929" s="16">
        <f>IFERROR(VLOOKUP(F929,STD!B:G,5,0),0)</f>
        <v>0</v>
      </c>
      <c r="I929" s="21">
        <f t="shared" si="73"/>
        <v>0</v>
      </c>
      <c r="J929" s="16">
        <f t="shared" si="74"/>
        <v>-10</v>
      </c>
      <c r="K929" s="106" t="e">
        <f>VLOOKUP(C929,'RAW DATA 2023'!E:BO,36,0)</f>
        <v>#N/A</v>
      </c>
      <c r="L929" s="106" t="e">
        <f>VLOOKUP(C929,'RAW DATA 2023'!E:BO,21,0)</f>
        <v>#N/A</v>
      </c>
      <c r="M929" s="106" t="e">
        <f t="shared" si="75"/>
        <v>#N/A</v>
      </c>
    </row>
    <row r="930" spans="1:13">
      <c r="A930">
        <f>'RAW DATA 2023'!B923</f>
        <v>0</v>
      </c>
      <c r="B930">
        <f>'RAW DATA 2023'!D923</f>
        <v>0</v>
      </c>
      <c r="C930" t="str">
        <f t="shared" si="71"/>
        <v>00</v>
      </c>
      <c r="D930" t="e">
        <f>VLOOKUP(C930,'RAW DATA 2023'!E:BP,63,0)</f>
        <v>#N/A</v>
      </c>
      <c r="E930" t="e">
        <f t="shared" si="72"/>
        <v>#N/A</v>
      </c>
      <c r="F930" t="e">
        <f>ROUND(VLOOKUP(C930,'RAW DATA 2023'!E:BO,23,0),0)</f>
        <v>#N/A</v>
      </c>
      <c r="G930" s="16" t="e">
        <f>VLOOKUP(C930,'RAW DATA 2023'!E:BO,27,0)</f>
        <v>#N/A</v>
      </c>
      <c r="H930" s="16">
        <f>IFERROR(VLOOKUP(F930,STD!B:G,5,0),0)</f>
        <v>0</v>
      </c>
      <c r="I930" s="21">
        <f t="shared" si="73"/>
        <v>0</v>
      </c>
      <c r="J930" s="16">
        <f t="shared" si="74"/>
        <v>-10</v>
      </c>
      <c r="K930" s="106" t="e">
        <f>VLOOKUP(C930,'RAW DATA 2023'!E:BO,36,0)</f>
        <v>#N/A</v>
      </c>
      <c r="L930" s="106" t="e">
        <f>VLOOKUP(C930,'RAW DATA 2023'!E:BO,21,0)</f>
        <v>#N/A</v>
      </c>
      <c r="M930" s="106" t="e">
        <f t="shared" si="75"/>
        <v>#N/A</v>
      </c>
    </row>
    <row r="931" spans="1:13">
      <c r="A931">
        <f>'RAW DATA 2023'!B924</f>
        <v>0</v>
      </c>
      <c r="B931">
        <f>'RAW DATA 2023'!D924</f>
        <v>0</v>
      </c>
      <c r="C931" t="str">
        <f t="shared" si="71"/>
        <v>00</v>
      </c>
      <c r="D931" t="e">
        <f>VLOOKUP(C931,'RAW DATA 2023'!E:BP,63,0)</f>
        <v>#N/A</v>
      </c>
      <c r="E931" t="e">
        <f t="shared" si="72"/>
        <v>#N/A</v>
      </c>
      <c r="F931" t="e">
        <f>ROUND(VLOOKUP(C931,'RAW DATA 2023'!E:BO,23,0),0)</f>
        <v>#N/A</v>
      </c>
      <c r="G931" s="16" t="e">
        <f>VLOOKUP(C931,'RAW DATA 2023'!E:BO,27,0)</f>
        <v>#N/A</v>
      </c>
      <c r="H931" s="16">
        <f>IFERROR(VLOOKUP(F931,STD!B:G,5,0),0)</f>
        <v>0</v>
      </c>
      <c r="I931" s="21">
        <f t="shared" si="73"/>
        <v>0</v>
      </c>
      <c r="J931" s="16">
        <f t="shared" si="74"/>
        <v>-10</v>
      </c>
      <c r="K931" s="106" t="e">
        <f>VLOOKUP(C931,'RAW DATA 2023'!E:BO,36,0)</f>
        <v>#N/A</v>
      </c>
      <c r="L931" s="106" t="e">
        <f>VLOOKUP(C931,'RAW DATA 2023'!E:BO,21,0)</f>
        <v>#N/A</v>
      </c>
      <c r="M931" s="106" t="e">
        <f t="shared" si="75"/>
        <v>#N/A</v>
      </c>
    </row>
    <row r="932" spans="1:13">
      <c r="A932">
        <f>'RAW DATA 2023'!B925</f>
        <v>0</v>
      </c>
      <c r="B932">
        <f>'RAW DATA 2023'!D925</f>
        <v>0</v>
      </c>
      <c r="C932" t="str">
        <f t="shared" si="71"/>
        <v>00</v>
      </c>
      <c r="D932" t="e">
        <f>VLOOKUP(C932,'RAW DATA 2023'!E:BP,63,0)</f>
        <v>#N/A</v>
      </c>
      <c r="E932" t="e">
        <f t="shared" si="72"/>
        <v>#N/A</v>
      </c>
      <c r="F932" t="e">
        <f>ROUND(VLOOKUP(C932,'RAW DATA 2023'!E:BO,23,0),0)</f>
        <v>#N/A</v>
      </c>
      <c r="G932" s="16" t="e">
        <f>VLOOKUP(C932,'RAW DATA 2023'!E:BO,27,0)</f>
        <v>#N/A</v>
      </c>
      <c r="H932" s="16">
        <f>IFERROR(VLOOKUP(F932,STD!B:G,5,0),0)</f>
        <v>0</v>
      </c>
      <c r="I932" s="21">
        <f t="shared" si="73"/>
        <v>0</v>
      </c>
      <c r="J932" s="16">
        <f t="shared" si="74"/>
        <v>-10</v>
      </c>
      <c r="K932" s="106" t="e">
        <f>VLOOKUP(C932,'RAW DATA 2023'!E:BO,36,0)</f>
        <v>#N/A</v>
      </c>
      <c r="L932" s="106" t="e">
        <f>VLOOKUP(C932,'RAW DATA 2023'!E:BO,21,0)</f>
        <v>#N/A</v>
      </c>
      <c r="M932" s="106" t="e">
        <f t="shared" si="75"/>
        <v>#N/A</v>
      </c>
    </row>
    <row r="933" spans="1:13">
      <c r="A933">
        <f>'RAW DATA 2023'!B926</f>
        <v>0</v>
      </c>
      <c r="B933">
        <f>'RAW DATA 2023'!D926</f>
        <v>0</v>
      </c>
      <c r="C933" t="str">
        <f t="shared" si="71"/>
        <v>00</v>
      </c>
      <c r="D933" t="e">
        <f>VLOOKUP(C933,'RAW DATA 2023'!E:BP,63,0)</f>
        <v>#N/A</v>
      </c>
      <c r="E933" t="e">
        <f t="shared" si="72"/>
        <v>#N/A</v>
      </c>
      <c r="F933" t="e">
        <f>ROUND(VLOOKUP(C933,'RAW DATA 2023'!E:BO,23,0),0)</f>
        <v>#N/A</v>
      </c>
      <c r="G933" s="16" t="e">
        <f>VLOOKUP(C933,'RAW DATA 2023'!E:BO,27,0)</f>
        <v>#N/A</v>
      </c>
      <c r="H933" s="16">
        <f>IFERROR(VLOOKUP(F933,STD!B:G,5,0),0)</f>
        <v>0</v>
      </c>
      <c r="I933" s="21">
        <f t="shared" si="73"/>
        <v>0</v>
      </c>
      <c r="J933" s="16">
        <f t="shared" si="74"/>
        <v>-10</v>
      </c>
      <c r="K933" s="106" t="e">
        <f>VLOOKUP(C933,'RAW DATA 2023'!E:BO,36,0)</f>
        <v>#N/A</v>
      </c>
      <c r="L933" s="106" t="e">
        <f>VLOOKUP(C933,'RAW DATA 2023'!E:BO,21,0)</f>
        <v>#N/A</v>
      </c>
      <c r="M933" s="106" t="e">
        <f t="shared" si="75"/>
        <v>#N/A</v>
      </c>
    </row>
    <row r="934" spans="1:13">
      <c r="A934">
        <f>'RAW DATA 2023'!B927</f>
        <v>0</v>
      </c>
      <c r="B934">
        <f>'RAW DATA 2023'!D927</f>
        <v>0</v>
      </c>
      <c r="C934" t="str">
        <f t="shared" si="71"/>
        <v>00</v>
      </c>
      <c r="D934" t="e">
        <f>VLOOKUP(C934,'RAW DATA 2023'!E:BP,63,0)</f>
        <v>#N/A</v>
      </c>
      <c r="E934" t="e">
        <f t="shared" si="72"/>
        <v>#N/A</v>
      </c>
      <c r="F934" t="e">
        <f>ROUND(VLOOKUP(C934,'RAW DATA 2023'!E:BO,23,0),0)</f>
        <v>#N/A</v>
      </c>
      <c r="G934" s="16" t="e">
        <f>VLOOKUP(C934,'RAW DATA 2023'!E:BO,27,0)</f>
        <v>#N/A</v>
      </c>
      <c r="H934" s="16">
        <f>IFERROR(VLOOKUP(F934,STD!B:G,5,0),0)</f>
        <v>0</v>
      </c>
      <c r="I934" s="21">
        <f t="shared" si="73"/>
        <v>0</v>
      </c>
      <c r="J934" s="16">
        <f t="shared" si="74"/>
        <v>-10</v>
      </c>
      <c r="K934" s="106" t="e">
        <f>VLOOKUP(C934,'RAW DATA 2023'!E:BO,36,0)</f>
        <v>#N/A</v>
      </c>
      <c r="L934" s="106" t="e">
        <f>VLOOKUP(C934,'RAW DATA 2023'!E:BO,21,0)</f>
        <v>#N/A</v>
      </c>
      <c r="M934" s="106" t="e">
        <f t="shared" si="75"/>
        <v>#N/A</v>
      </c>
    </row>
    <row r="935" spans="1:13">
      <c r="A935">
        <f>'RAW DATA 2023'!B928</f>
        <v>0</v>
      </c>
      <c r="B935">
        <f>'RAW DATA 2023'!D928</f>
        <v>0</v>
      </c>
      <c r="C935" t="str">
        <f t="shared" si="71"/>
        <v>00</v>
      </c>
      <c r="D935" t="e">
        <f>VLOOKUP(C935,'RAW DATA 2023'!E:BP,63,0)</f>
        <v>#N/A</v>
      </c>
      <c r="E935" t="e">
        <f t="shared" si="72"/>
        <v>#N/A</v>
      </c>
      <c r="F935" t="e">
        <f>ROUND(VLOOKUP(C935,'RAW DATA 2023'!E:BO,23,0),0)</f>
        <v>#N/A</v>
      </c>
      <c r="G935" s="16" t="e">
        <f>VLOOKUP(C935,'RAW DATA 2023'!E:BO,27,0)</f>
        <v>#N/A</v>
      </c>
      <c r="H935" s="16">
        <f>IFERROR(VLOOKUP(F935,STD!B:G,5,0),0)</f>
        <v>0</v>
      </c>
      <c r="I935" s="21">
        <f t="shared" si="73"/>
        <v>0</v>
      </c>
      <c r="J935" s="16">
        <f t="shared" si="74"/>
        <v>-10</v>
      </c>
      <c r="K935" s="106" t="e">
        <f>VLOOKUP(C935,'RAW DATA 2023'!E:BO,36,0)</f>
        <v>#N/A</v>
      </c>
      <c r="L935" s="106" t="e">
        <f>VLOOKUP(C935,'RAW DATA 2023'!E:BO,21,0)</f>
        <v>#N/A</v>
      </c>
      <c r="M935" s="106" t="e">
        <f t="shared" si="75"/>
        <v>#N/A</v>
      </c>
    </row>
    <row r="936" spans="1:13">
      <c r="A936">
        <f>'RAW DATA 2023'!B929</f>
        <v>0</v>
      </c>
      <c r="B936">
        <f>'RAW DATA 2023'!D929</f>
        <v>0</v>
      </c>
      <c r="C936" t="str">
        <f t="shared" si="71"/>
        <v>00</v>
      </c>
      <c r="D936" t="e">
        <f>VLOOKUP(C936,'RAW DATA 2023'!E:BP,63,0)</f>
        <v>#N/A</v>
      </c>
      <c r="E936" t="e">
        <f t="shared" si="72"/>
        <v>#N/A</v>
      </c>
      <c r="F936" t="e">
        <f>ROUND(VLOOKUP(C936,'RAW DATA 2023'!E:BO,23,0),0)</f>
        <v>#N/A</v>
      </c>
      <c r="G936" s="16" t="e">
        <f>VLOOKUP(C936,'RAW DATA 2023'!E:BO,27,0)</f>
        <v>#N/A</v>
      </c>
      <c r="H936" s="16">
        <f>IFERROR(VLOOKUP(F936,STD!B:G,5,0),0)</f>
        <v>0</v>
      </c>
      <c r="I936" s="21">
        <f t="shared" si="73"/>
        <v>0</v>
      </c>
      <c r="J936" s="16">
        <f t="shared" si="74"/>
        <v>-10</v>
      </c>
      <c r="K936" s="106" t="e">
        <f>VLOOKUP(C936,'RAW DATA 2023'!E:BO,36,0)</f>
        <v>#N/A</v>
      </c>
      <c r="L936" s="106" t="e">
        <f>VLOOKUP(C936,'RAW DATA 2023'!E:BO,21,0)</f>
        <v>#N/A</v>
      </c>
      <c r="M936" s="106" t="e">
        <f t="shared" si="75"/>
        <v>#N/A</v>
      </c>
    </row>
    <row r="937" spans="1:13">
      <c r="A937">
        <f>'RAW DATA 2023'!B930</f>
        <v>0</v>
      </c>
      <c r="B937">
        <f>'RAW DATA 2023'!D930</f>
        <v>0</v>
      </c>
      <c r="C937" t="str">
        <f t="shared" si="71"/>
        <v>00</v>
      </c>
      <c r="D937" t="e">
        <f>VLOOKUP(C937,'RAW DATA 2023'!E:BP,63,0)</f>
        <v>#N/A</v>
      </c>
      <c r="E937" t="e">
        <f t="shared" si="72"/>
        <v>#N/A</v>
      </c>
      <c r="F937" t="e">
        <f>ROUND(VLOOKUP(C937,'RAW DATA 2023'!E:BO,23,0),0)</f>
        <v>#N/A</v>
      </c>
      <c r="G937" s="16" t="e">
        <f>VLOOKUP(C937,'RAW DATA 2023'!E:BO,27,0)</f>
        <v>#N/A</v>
      </c>
      <c r="H937" s="16">
        <f>IFERROR(VLOOKUP(F937,STD!B:G,5,0),0)</f>
        <v>0</v>
      </c>
      <c r="I937" s="21">
        <f t="shared" si="73"/>
        <v>0</v>
      </c>
      <c r="J937" s="16">
        <f t="shared" si="74"/>
        <v>-10</v>
      </c>
      <c r="K937" s="106" t="e">
        <f>VLOOKUP(C937,'RAW DATA 2023'!E:BO,36,0)</f>
        <v>#N/A</v>
      </c>
      <c r="L937" s="106" t="e">
        <f>VLOOKUP(C937,'RAW DATA 2023'!E:BO,21,0)</f>
        <v>#N/A</v>
      </c>
      <c r="M937" s="106" t="e">
        <f t="shared" si="75"/>
        <v>#N/A</v>
      </c>
    </row>
    <row r="938" spans="1:13">
      <c r="A938">
        <f>'RAW DATA 2023'!B931</f>
        <v>0</v>
      </c>
      <c r="B938">
        <f>'RAW DATA 2023'!D931</f>
        <v>0</v>
      </c>
      <c r="C938" t="str">
        <f t="shared" si="71"/>
        <v>00</v>
      </c>
      <c r="D938" t="e">
        <f>VLOOKUP(C938,'RAW DATA 2023'!E:BP,63,0)</f>
        <v>#N/A</v>
      </c>
      <c r="E938" t="e">
        <f t="shared" si="72"/>
        <v>#N/A</v>
      </c>
      <c r="F938" t="e">
        <f>ROUND(VLOOKUP(C938,'RAW DATA 2023'!E:BO,23,0),0)</f>
        <v>#N/A</v>
      </c>
      <c r="G938" s="16" t="e">
        <f>VLOOKUP(C938,'RAW DATA 2023'!E:BO,27,0)</f>
        <v>#N/A</v>
      </c>
      <c r="H938" s="16">
        <f>IFERROR(VLOOKUP(F938,STD!B:G,5,0),0)</f>
        <v>0</v>
      </c>
      <c r="I938" s="21">
        <f t="shared" si="73"/>
        <v>0</v>
      </c>
      <c r="J938" s="16">
        <f t="shared" si="74"/>
        <v>-10</v>
      </c>
      <c r="K938" s="106" t="e">
        <f>VLOOKUP(C938,'RAW DATA 2023'!E:BO,36,0)</f>
        <v>#N/A</v>
      </c>
      <c r="L938" s="106" t="e">
        <f>VLOOKUP(C938,'RAW DATA 2023'!E:BO,21,0)</f>
        <v>#N/A</v>
      </c>
      <c r="M938" s="106" t="e">
        <f t="shared" si="75"/>
        <v>#N/A</v>
      </c>
    </row>
    <row r="939" spans="1:13">
      <c r="A939">
        <f>'RAW DATA 2023'!B932</f>
        <v>0</v>
      </c>
      <c r="B939">
        <f>'RAW DATA 2023'!D932</f>
        <v>0</v>
      </c>
      <c r="C939" t="str">
        <f t="shared" si="71"/>
        <v>00</v>
      </c>
      <c r="D939" t="e">
        <f>VLOOKUP(C939,'RAW DATA 2023'!E:BP,63,0)</f>
        <v>#N/A</v>
      </c>
      <c r="E939" t="e">
        <f t="shared" si="72"/>
        <v>#N/A</v>
      </c>
      <c r="F939" t="e">
        <f>ROUND(VLOOKUP(C939,'RAW DATA 2023'!E:BO,23,0),0)</f>
        <v>#N/A</v>
      </c>
      <c r="G939" s="16" t="e">
        <f>VLOOKUP(C939,'RAW DATA 2023'!E:BO,27,0)</f>
        <v>#N/A</v>
      </c>
      <c r="H939" s="16">
        <f>IFERROR(VLOOKUP(F939,STD!B:G,5,0),0)</f>
        <v>0</v>
      </c>
      <c r="I939" s="21">
        <f t="shared" si="73"/>
        <v>0</v>
      </c>
      <c r="J939" s="16">
        <f t="shared" si="74"/>
        <v>-10</v>
      </c>
      <c r="K939" s="106" t="e">
        <f>VLOOKUP(C939,'RAW DATA 2023'!E:BO,36,0)</f>
        <v>#N/A</v>
      </c>
      <c r="L939" s="106" t="e">
        <f>VLOOKUP(C939,'RAW DATA 2023'!E:BO,21,0)</f>
        <v>#N/A</v>
      </c>
      <c r="M939" s="106" t="e">
        <f t="shared" si="75"/>
        <v>#N/A</v>
      </c>
    </row>
    <row r="940" spans="1:13">
      <c r="A940">
        <f>'RAW DATA 2023'!B933</f>
        <v>0</v>
      </c>
      <c r="B940">
        <f>'RAW DATA 2023'!D933</f>
        <v>0</v>
      </c>
      <c r="C940" t="str">
        <f t="shared" si="71"/>
        <v>00</v>
      </c>
      <c r="D940" t="e">
        <f>VLOOKUP(C940,'RAW DATA 2023'!E:BP,63,0)</f>
        <v>#N/A</v>
      </c>
      <c r="E940" t="e">
        <f t="shared" si="72"/>
        <v>#N/A</v>
      </c>
      <c r="F940" t="e">
        <f>ROUND(VLOOKUP(C940,'RAW DATA 2023'!E:BO,23,0),0)</f>
        <v>#N/A</v>
      </c>
      <c r="G940" s="16" t="e">
        <f>VLOOKUP(C940,'RAW DATA 2023'!E:BO,27,0)</f>
        <v>#N/A</v>
      </c>
      <c r="H940" s="16">
        <f>IFERROR(VLOOKUP(F940,STD!B:G,5,0),0)</f>
        <v>0</v>
      </c>
      <c r="I940" s="21">
        <f t="shared" si="73"/>
        <v>0</v>
      </c>
      <c r="J940" s="16">
        <f t="shared" si="74"/>
        <v>-10</v>
      </c>
      <c r="K940" s="106" t="e">
        <f>VLOOKUP(C940,'RAW DATA 2023'!E:BO,36,0)</f>
        <v>#N/A</v>
      </c>
      <c r="L940" s="106" t="e">
        <f>VLOOKUP(C940,'RAW DATA 2023'!E:BO,21,0)</f>
        <v>#N/A</v>
      </c>
      <c r="M940" s="106" t="e">
        <f t="shared" si="75"/>
        <v>#N/A</v>
      </c>
    </row>
    <row r="941" spans="1:13">
      <c r="A941">
        <f>'RAW DATA 2023'!B934</f>
        <v>0</v>
      </c>
      <c r="B941">
        <f>'RAW DATA 2023'!D934</f>
        <v>0</v>
      </c>
      <c r="C941" t="str">
        <f t="shared" si="71"/>
        <v>00</v>
      </c>
      <c r="D941" t="e">
        <f>VLOOKUP(C941,'RAW DATA 2023'!E:BP,63,0)</f>
        <v>#N/A</v>
      </c>
      <c r="E941" t="e">
        <f t="shared" si="72"/>
        <v>#N/A</v>
      </c>
      <c r="F941" t="e">
        <f>ROUND(VLOOKUP(C941,'RAW DATA 2023'!E:BO,23,0),0)</f>
        <v>#N/A</v>
      </c>
      <c r="G941" s="16" t="e">
        <f>VLOOKUP(C941,'RAW DATA 2023'!E:BO,27,0)</f>
        <v>#N/A</v>
      </c>
      <c r="H941" s="16">
        <f>IFERROR(VLOOKUP(F941,STD!B:G,5,0),0)</f>
        <v>0</v>
      </c>
      <c r="I941" s="21">
        <f t="shared" si="73"/>
        <v>0</v>
      </c>
      <c r="J941" s="16">
        <f t="shared" si="74"/>
        <v>-10</v>
      </c>
      <c r="K941" s="106" t="e">
        <f>VLOOKUP(C941,'RAW DATA 2023'!E:BO,36,0)</f>
        <v>#N/A</v>
      </c>
      <c r="L941" s="106" t="e">
        <f>VLOOKUP(C941,'RAW DATA 2023'!E:BO,21,0)</f>
        <v>#N/A</v>
      </c>
      <c r="M941" s="106" t="e">
        <f t="shared" si="75"/>
        <v>#N/A</v>
      </c>
    </row>
    <row r="942" spans="1:13">
      <c r="A942">
        <f>'RAW DATA 2023'!B935</f>
        <v>0</v>
      </c>
      <c r="B942">
        <f>'RAW DATA 2023'!D935</f>
        <v>0</v>
      </c>
      <c r="C942" t="str">
        <f t="shared" si="71"/>
        <v>00</v>
      </c>
      <c r="D942" t="e">
        <f>VLOOKUP(C942,'RAW DATA 2023'!E:BP,63,0)</f>
        <v>#N/A</v>
      </c>
      <c r="E942" t="e">
        <f t="shared" si="72"/>
        <v>#N/A</v>
      </c>
      <c r="F942" t="e">
        <f>ROUND(VLOOKUP(C942,'RAW DATA 2023'!E:BO,23,0),0)</f>
        <v>#N/A</v>
      </c>
      <c r="G942" s="16" t="e">
        <f>VLOOKUP(C942,'RAW DATA 2023'!E:BO,27,0)</f>
        <v>#N/A</v>
      </c>
      <c r="H942" s="16">
        <f>IFERROR(VLOOKUP(F942,STD!B:G,5,0),0)</f>
        <v>0</v>
      </c>
      <c r="I942" s="21">
        <f t="shared" si="73"/>
        <v>0</v>
      </c>
      <c r="J942" s="16">
        <f t="shared" si="74"/>
        <v>-10</v>
      </c>
      <c r="K942" s="106" t="e">
        <f>VLOOKUP(C942,'RAW DATA 2023'!E:BO,36,0)</f>
        <v>#N/A</v>
      </c>
      <c r="L942" s="106" t="e">
        <f>VLOOKUP(C942,'RAW DATA 2023'!E:BO,21,0)</f>
        <v>#N/A</v>
      </c>
      <c r="M942" s="106" t="e">
        <f t="shared" si="75"/>
        <v>#N/A</v>
      </c>
    </row>
    <row r="943" spans="1:13">
      <c r="A943">
        <f>'RAW DATA 2023'!B936</f>
        <v>0</v>
      </c>
      <c r="B943">
        <f>'RAW DATA 2023'!D936</f>
        <v>0</v>
      </c>
      <c r="C943" t="str">
        <f t="shared" si="71"/>
        <v>00</v>
      </c>
      <c r="D943" t="e">
        <f>VLOOKUP(C943,'RAW DATA 2023'!E:BP,63,0)</f>
        <v>#N/A</v>
      </c>
      <c r="E943" t="e">
        <f t="shared" si="72"/>
        <v>#N/A</v>
      </c>
      <c r="F943" t="e">
        <f>ROUND(VLOOKUP(C943,'RAW DATA 2023'!E:BO,23,0),0)</f>
        <v>#N/A</v>
      </c>
      <c r="G943" s="16" t="e">
        <f>VLOOKUP(C943,'RAW DATA 2023'!E:BO,27,0)</f>
        <v>#N/A</v>
      </c>
      <c r="H943" s="16">
        <f>IFERROR(VLOOKUP(F943,STD!B:G,5,0),0)</f>
        <v>0</v>
      </c>
      <c r="I943" s="21">
        <f t="shared" si="73"/>
        <v>0</v>
      </c>
      <c r="J943" s="16">
        <f t="shared" si="74"/>
        <v>-10</v>
      </c>
      <c r="K943" s="106" t="e">
        <f>VLOOKUP(C943,'RAW DATA 2023'!E:BO,36,0)</f>
        <v>#N/A</v>
      </c>
      <c r="L943" s="106" t="e">
        <f>VLOOKUP(C943,'RAW DATA 2023'!E:BO,21,0)</f>
        <v>#N/A</v>
      </c>
      <c r="M943" s="106" t="e">
        <f t="shared" si="75"/>
        <v>#N/A</v>
      </c>
    </row>
    <row r="944" spans="1:13">
      <c r="A944">
        <f>'RAW DATA 2023'!B937</f>
        <v>0</v>
      </c>
      <c r="B944">
        <f>'RAW DATA 2023'!D937</f>
        <v>0</v>
      </c>
      <c r="C944" t="str">
        <f t="shared" si="71"/>
        <v>00</v>
      </c>
      <c r="D944" t="e">
        <f>VLOOKUP(C944,'RAW DATA 2023'!E:BP,63,0)</f>
        <v>#N/A</v>
      </c>
      <c r="E944" t="e">
        <f t="shared" si="72"/>
        <v>#N/A</v>
      </c>
      <c r="F944" t="e">
        <f>ROUND(VLOOKUP(C944,'RAW DATA 2023'!E:BO,23,0),0)</f>
        <v>#N/A</v>
      </c>
      <c r="G944" s="16" t="e">
        <f>VLOOKUP(C944,'RAW DATA 2023'!E:BO,27,0)</f>
        <v>#N/A</v>
      </c>
      <c r="H944" s="16">
        <f>IFERROR(VLOOKUP(F944,STD!B:G,5,0),0)</f>
        <v>0</v>
      </c>
      <c r="I944" s="21">
        <f t="shared" si="73"/>
        <v>0</v>
      </c>
      <c r="J944" s="16">
        <f t="shared" si="74"/>
        <v>-10</v>
      </c>
      <c r="K944" s="106" t="e">
        <f>VLOOKUP(C944,'RAW DATA 2023'!E:BO,36,0)</f>
        <v>#N/A</v>
      </c>
      <c r="L944" s="106" t="e">
        <f>VLOOKUP(C944,'RAW DATA 2023'!E:BO,21,0)</f>
        <v>#N/A</v>
      </c>
      <c r="M944" s="106" t="e">
        <f t="shared" si="75"/>
        <v>#N/A</v>
      </c>
    </row>
    <row r="945" spans="1:13">
      <c r="A945">
        <f>'RAW DATA 2023'!B938</f>
        <v>0</v>
      </c>
      <c r="B945">
        <f>'RAW DATA 2023'!D938</f>
        <v>0</v>
      </c>
      <c r="C945" t="str">
        <f t="shared" si="71"/>
        <v>00</v>
      </c>
      <c r="D945" t="e">
        <f>VLOOKUP(C945,'RAW DATA 2023'!E:BP,63,0)</f>
        <v>#N/A</v>
      </c>
      <c r="E945" t="e">
        <f t="shared" si="72"/>
        <v>#N/A</v>
      </c>
      <c r="F945" t="e">
        <f>ROUND(VLOOKUP(C945,'RAW DATA 2023'!E:BO,23,0),0)</f>
        <v>#N/A</v>
      </c>
      <c r="G945" s="16" t="e">
        <f>VLOOKUP(C945,'RAW DATA 2023'!E:BO,27,0)</f>
        <v>#N/A</v>
      </c>
      <c r="H945" s="16">
        <f>IFERROR(VLOOKUP(F945,STD!B:G,5,0),0)</f>
        <v>0</v>
      </c>
      <c r="I945" s="21">
        <f t="shared" si="73"/>
        <v>0</v>
      </c>
      <c r="J945" s="16">
        <f t="shared" si="74"/>
        <v>-10</v>
      </c>
      <c r="K945" s="106" t="e">
        <f>VLOOKUP(C945,'RAW DATA 2023'!E:BO,36,0)</f>
        <v>#N/A</v>
      </c>
      <c r="L945" s="106" t="e">
        <f>VLOOKUP(C945,'RAW DATA 2023'!E:BO,21,0)</f>
        <v>#N/A</v>
      </c>
      <c r="M945" s="106" t="e">
        <f t="shared" si="75"/>
        <v>#N/A</v>
      </c>
    </row>
    <row r="946" spans="1:13">
      <c r="A946">
        <f>'RAW DATA 2023'!B939</f>
        <v>0</v>
      </c>
      <c r="B946">
        <f>'RAW DATA 2023'!D939</f>
        <v>0</v>
      </c>
      <c r="C946" t="str">
        <f t="shared" si="71"/>
        <v>00</v>
      </c>
      <c r="D946" t="e">
        <f>VLOOKUP(C946,'RAW DATA 2023'!E:BP,63,0)</f>
        <v>#N/A</v>
      </c>
      <c r="E946" t="e">
        <f t="shared" si="72"/>
        <v>#N/A</v>
      </c>
      <c r="F946" t="e">
        <f>ROUND(VLOOKUP(C946,'RAW DATA 2023'!E:BO,23,0),0)</f>
        <v>#N/A</v>
      </c>
      <c r="G946" s="16" t="e">
        <f>VLOOKUP(C946,'RAW DATA 2023'!E:BO,27,0)</f>
        <v>#N/A</v>
      </c>
      <c r="H946" s="16">
        <f>IFERROR(VLOOKUP(F946,STD!B:G,5,0),0)</f>
        <v>0</v>
      </c>
      <c r="I946" s="21">
        <f t="shared" si="73"/>
        <v>0</v>
      </c>
      <c r="J946" s="16">
        <f t="shared" si="74"/>
        <v>-10</v>
      </c>
      <c r="K946" s="106" t="e">
        <f>VLOOKUP(C946,'RAW DATA 2023'!E:BO,36,0)</f>
        <v>#N/A</v>
      </c>
      <c r="L946" s="106" t="e">
        <f>VLOOKUP(C946,'RAW DATA 2023'!E:BO,21,0)</f>
        <v>#N/A</v>
      </c>
      <c r="M946" s="106" t="e">
        <f t="shared" si="75"/>
        <v>#N/A</v>
      </c>
    </row>
    <row r="947" spans="1:13">
      <c r="A947">
        <f>'RAW DATA 2023'!B940</f>
        <v>0</v>
      </c>
      <c r="B947">
        <f>'RAW DATA 2023'!D940</f>
        <v>0</v>
      </c>
      <c r="C947" t="str">
        <f t="shared" si="71"/>
        <v>00</v>
      </c>
      <c r="D947" t="e">
        <f>VLOOKUP(C947,'RAW DATA 2023'!E:BP,63,0)</f>
        <v>#N/A</v>
      </c>
      <c r="E947" t="e">
        <f t="shared" si="72"/>
        <v>#N/A</v>
      </c>
      <c r="F947" t="e">
        <f>ROUND(VLOOKUP(C947,'RAW DATA 2023'!E:BO,23,0),0)</f>
        <v>#N/A</v>
      </c>
      <c r="G947" s="16" t="e">
        <f>VLOOKUP(C947,'RAW DATA 2023'!E:BO,27,0)</f>
        <v>#N/A</v>
      </c>
      <c r="H947" s="16">
        <f>IFERROR(VLOOKUP(F947,STD!B:G,5,0),0)</f>
        <v>0</v>
      </c>
      <c r="I947" s="21">
        <f t="shared" si="73"/>
        <v>0</v>
      </c>
      <c r="J947" s="16">
        <f t="shared" si="74"/>
        <v>-10</v>
      </c>
      <c r="K947" s="106" t="e">
        <f>VLOOKUP(C947,'RAW DATA 2023'!E:BO,36,0)</f>
        <v>#N/A</v>
      </c>
      <c r="L947" s="106" t="e">
        <f>VLOOKUP(C947,'RAW DATA 2023'!E:BO,21,0)</f>
        <v>#N/A</v>
      </c>
      <c r="M947" s="106" t="e">
        <f t="shared" si="75"/>
        <v>#N/A</v>
      </c>
    </row>
    <row r="948" spans="1:13">
      <c r="A948">
        <f>'RAW DATA 2023'!B941</f>
        <v>0</v>
      </c>
      <c r="B948">
        <f>'RAW DATA 2023'!D941</f>
        <v>0</v>
      </c>
      <c r="C948" t="str">
        <f t="shared" si="71"/>
        <v>00</v>
      </c>
      <c r="D948" t="e">
        <f>VLOOKUP(C948,'RAW DATA 2023'!E:BP,63,0)</f>
        <v>#N/A</v>
      </c>
      <c r="E948" t="e">
        <f t="shared" si="72"/>
        <v>#N/A</v>
      </c>
      <c r="F948" t="e">
        <f>ROUND(VLOOKUP(C948,'RAW DATA 2023'!E:BO,23,0),0)</f>
        <v>#N/A</v>
      </c>
      <c r="G948" s="16" t="e">
        <f>VLOOKUP(C948,'RAW DATA 2023'!E:BO,27,0)</f>
        <v>#N/A</v>
      </c>
      <c r="H948" s="16">
        <f>IFERROR(VLOOKUP(F948,STD!B:G,5,0),0)</f>
        <v>0</v>
      </c>
      <c r="I948" s="21">
        <f t="shared" si="73"/>
        <v>0</v>
      </c>
      <c r="J948" s="16">
        <f t="shared" si="74"/>
        <v>-10</v>
      </c>
      <c r="K948" s="106" t="e">
        <f>VLOOKUP(C948,'RAW DATA 2023'!E:BO,36,0)</f>
        <v>#N/A</v>
      </c>
      <c r="L948" s="106" t="e">
        <f>VLOOKUP(C948,'RAW DATA 2023'!E:BO,21,0)</f>
        <v>#N/A</v>
      </c>
      <c r="M948" s="106" t="e">
        <f t="shared" si="75"/>
        <v>#N/A</v>
      </c>
    </row>
    <row r="949" spans="1:13">
      <c r="A949">
        <f>'RAW DATA 2023'!B942</f>
        <v>0</v>
      </c>
      <c r="B949">
        <f>'RAW DATA 2023'!D942</f>
        <v>0</v>
      </c>
      <c r="C949" t="str">
        <f t="shared" si="71"/>
        <v>00</v>
      </c>
      <c r="D949" t="e">
        <f>VLOOKUP(C949,'RAW DATA 2023'!E:BP,63,0)</f>
        <v>#N/A</v>
      </c>
      <c r="E949" t="e">
        <f t="shared" si="72"/>
        <v>#N/A</v>
      </c>
      <c r="F949" t="e">
        <f>ROUND(VLOOKUP(C949,'RAW DATA 2023'!E:BO,23,0),0)</f>
        <v>#N/A</v>
      </c>
      <c r="G949" s="16" t="e">
        <f>VLOOKUP(C949,'RAW DATA 2023'!E:BO,27,0)</f>
        <v>#N/A</v>
      </c>
      <c r="H949" s="16">
        <f>IFERROR(VLOOKUP(F949,STD!B:G,5,0),0)</f>
        <v>0</v>
      </c>
      <c r="I949" s="21">
        <f t="shared" si="73"/>
        <v>0</v>
      </c>
      <c r="J949" s="16">
        <f t="shared" si="74"/>
        <v>-10</v>
      </c>
      <c r="K949" s="106" t="e">
        <f>VLOOKUP(C949,'RAW DATA 2023'!E:BO,36,0)</f>
        <v>#N/A</v>
      </c>
      <c r="L949" s="106" t="e">
        <f>VLOOKUP(C949,'RAW DATA 2023'!E:BO,21,0)</f>
        <v>#N/A</v>
      </c>
      <c r="M949" s="106" t="e">
        <f t="shared" si="75"/>
        <v>#N/A</v>
      </c>
    </row>
    <row r="950" spans="1:13">
      <c r="A950">
        <f>'RAW DATA 2023'!B943</f>
        <v>0</v>
      </c>
      <c r="B950">
        <f>'RAW DATA 2023'!D943</f>
        <v>0</v>
      </c>
      <c r="C950" t="str">
        <f t="shared" si="71"/>
        <v>00</v>
      </c>
      <c r="D950" t="e">
        <f>VLOOKUP(C950,'RAW DATA 2023'!E:BP,63,0)</f>
        <v>#N/A</v>
      </c>
      <c r="E950" t="e">
        <f t="shared" si="72"/>
        <v>#N/A</v>
      </c>
      <c r="F950" t="e">
        <f>ROUND(VLOOKUP(C950,'RAW DATA 2023'!E:BO,23,0),0)</f>
        <v>#N/A</v>
      </c>
      <c r="G950" s="16" t="e">
        <f>VLOOKUP(C950,'RAW DATA 2023'!E:BO,27,0)</f>
        <v>#N/A</v>
      </c>
      <c r="H950" s="16">
        <f>IFERROR(VLOOKUP(F950,STD!B:G,5,0),0)</f>
        <v>0</v>
      </c>
      <c r="I950" s="21">
        <f t="shared" si="73"/>
        <v>0</v>
      </c>
      <c r="J950" s="16">
        <f t="shared" si="74"/>
        <v>-10</v>
      </c>
      <c r="K950" s="106" t="e">
        <f>VLOOKUP(C950,'RAW DATA 2023'!E:BO,36,0)</f>
        <v>#N/A</v>
      </c>
      <c r="L950" s="106" t="e">
        <f>VLOOKUP(C950,'RAW DATA 2023'!E:BO,21,0)</f>
        <v>#N/A</v>
      </c>
      <c r="M950" s="106" t="e">
        <f t="shared" si="75"/>
        <v>#N/A</v>
      </c>
    </row>
    <row r="951" spans="1:13">
      <c r="A951">
        <f>'RAW DATA 2023'!B944</f>
        <v>0</v>
      </c>
      <c r="B951">
        <f>'RAW DATA 2023'!D944</f>
        <v>0</v>
      </c>
      <c r="C951" t="str">
        <f t="shared" si="71"/>
        <v>00</v>
      </c>
      <c r="D951" t="e">
        <f>VLOOKUP(C951,'RAW DATA 2023'!E:BP,63,0)</f>
        <v>#N/A</v>
      </c>
      <c r="E951" t="e">
        <f t="shared" si="72"/>
        <v>#N/A</v>
      </c>
      <c r="F951" t="e">
        <f>ROUND(VLOOKUP(C951,'RAW DATA 2023'!E:BO,23,0),0)</f>
        <v>#N/A</v>
      </c>
      <c r="G951" s="16" t="e">
        <f>VLOOKUP(C951,'RAW DATA 2023'!E:BO,27,0)</f>
        <v>#N/A</v>
      </c>
      <c r="H951" s="16">
        <f>IFERROR(VLOOKUP(F951,STD!B:G,5,0),0)</f>
        <v>0</v>
      </c>
      <c r="I951" s="21">
        <f t="shared" si="73"/>
        <v>0</v>
      </c>
      <c r="J951" s="16">
        <f t="shared" si="74"/>
        <v>-10</v>
      </c>
      <c r="K951" s="106" t="e">
        <f>VLOOKUP(C951,'RAW DATA 2023'!E:BO,36,0)</f>
        <v>#N/A</v>
      </c>
      <c r="L951" s="106" t="e">
        <f>VLOOKUP(C951,'RAW DATA 2023'!E:BO,21,0)</f>
        <v>#N/A</v>
      </c>
      <c r="M951" s="106" t="e">
        <f t="shared" si="75"/>
        <v>#N/A</v>
      </c>
    </row>
    <row r="952" spans="1:13">
      <c r="A952">
        <f>'RAW DATA 2023'!B945</f>
        <v>0</v>
      </c>
      <c r="B952">
        <f>'RAW DATA 2023'!D945</f>
        <v>0</v>
      </c>
      <c r="C952" t="str">
        <f t="shared" si="71"/>
        <v>00</v>
      </c>
      <c r="D952" t="e">
        <f>VLOOKUP(C952,'RAW DATA 2023'!E:BP,63,0)</f>
        <v>#N/A</v>
      </c>
      <c r="E952" t="e">
        <f t="shared" si="72"/>
        <v>#N/A</v>
      </c>
      <c r="F952" t="e">
        <f>ROUND(VLOOKUP(C952,'RAW DATA 2023'!E:BO,23,0),0)</f>
        <v>#N/A</v>
      </c>
      <c r="G952" s="16" t="e">
        <f>VLOOKUP(C952,'RAW DATA 2023'!E:BO,27,0)</f>
        <v>#N/A</v>
      </c>
      <c r="H952" s="16">
        <f>IFERROR(VLOOKUP(F952,STD!B:G,5,0),0)</f>
        <v>0</v>
      </c>
      <c r="I952" s="21">
        <f t="shared" si="73"/>
        <v>0</v>
      </c>
      <c r="J952" s="16">
        <f t="shared" si="74"/>
        <v>-10</v>
      </c>
      <c r="K952" s="106" t="e">
        <f>VLOOKUP(C952,'RAW DATA 2023'!E:BO,36,0)</f>
        <v>#N/A</v>
      </c>
      <c r="L952" s="106" t="e">
        <f>VLOOKUP(C952,'RAW DATA 2023'!E:BO,21,0)</f>
        <v>#N/A</v>
      </c>
      <c r="M952" s="106" t="e">
        <f t="shared" si="75"/>
        <v>#N/A</v>
      </c>
    </row>
    <row r="953" spans="1:13">
      <c r="A953">
        <f>'RAW DATA 2023'!B946</f>
        <v>0</v>
      </c>
      <c r="B953">
        <f>'RAW DATA 2023'!D946</f>
        <v>0</v>
      </c>
      <c r="C953" t="str">
        <f t="shared" si="71"/>
        <v>00</v>
      </c>
      <c r="D953" t="e">
        <f>VLOOKUP(C953,'RAW DATA 2023'!E:BP,63,0)</f>
        <v>#N/A</v>
      </c>
      <c r="E953" t="e">
        <f t="shared" si="72"/>
        <v>#N/A</v>
      </c>
      <c r="F953" t="e">
        <f>ROUND(VLOOKUP(C953,'RAW DATA 2023'!E:BO,23,0),0)</f>
        <v>#N/A</v>
      </c>
      <c r="G953" s="16" t="e">
        <f>VLOOKUP(C953,'RAW DATA 2023'!E:BO,27,0)</f>
        <v>#N/A</v>
      </c>
      <c r="H953" s="16">
        <f>IFERROR(VLOOKUP(F953,STD!B:G,5,0),0)</f>
        <v>0</v>
      </c>
      <c r="I953" s="21">
        <f t="shared" si="73"/>
        <v>0</v>
      </c>
      <c r="J953" s="16">
        <f t="shared" si="74"/>
        <v>-10</v>
      </c>
      <c r="K953" s="106" t="e">
        <f>VLOOKUP(C953,'RAW DATA 2023'!E:BO,36,0)</f>
        <v>#N/A</v>
      </c>
      <c r="L953" s="106" t="e">
        <f>VLOOKUP(C953,'RAW DATA 2023'!E:BO,21,0)</f>
        <v>#N/A</v>
      </c>
      <c r="M953" s="106" t="e">
        <f t="shared" si="75"/>
        <v>#N/A</v>
      </c>
    </row>
    <row r="954" spans="1:13">
      <c r="A954">
        <f>'RAW DATA 2023'!B947</f>
        <v>0</v>
      </c>
      <c r="B954">
        <f>'RAW DATA 2023'!D947</f>
        <v>0</v>
      </c>
      <c r="C954" t="str">
        <f t="shared" si="71"/>
        <v>00</v>
      </c>
      <c r="D954" t="e">
        <f>VLOOKUP(C954,'RAW DATA 2023'!E:BP,63,0)</f>
        <v>#N/A</v>
      </c>
      <c r="E954" t="e">
        <f t="shared" si="72"/>
        <v>#N/A</v>
      </c>
      <c r="F954" t="e">
        <f>ROUND(VLOOKUP(C954,'RAW DATA 2023'!E:BO,23,0),0)</f>
        <v>#N/A</v>
      </c>
      <c r="G954" s="16" t="e">
        <f>VLOOKUP(C954,'RAW DATA 2023'!E:BO,27,0)</f>
        <v>#N/A</v>
      </c>
      <c r="H954" s="16">
        <f>IFERROR(VLOOKUP(F954,STD!B:G,5,0),0)</f>
        <v>0</v>
      </c>
      <c r="I954" s="21">
        <f t="shared" si="73"/>
        <v>0</v>
      </c>
      <c r="J954" s="16">
        <f t="shared" si="74"/>
        <v>-10</v>
      </c>
      <c r="K954" s="106" t="e">
        <f>VLOOKUP(C954,'RAW DATA 2023'!E:BO,36,0)</f>
        <v>#N/A</v>
      </c>
      <c r="L954" s="106" t="e">
        <f>VLOOKUP(C954,'RAW DATA 2023'!E:BO,21,0)</f>
        <v>#N/A</v>
      </c>
      <c r="M954" s="106" t="e">
        <f t="shared" si="75"/>
        <v>#N/A</v>
      </c>
    </row>
    <row r="955" spans="1:13">
      <c r="A955">
        <f>'RAW DATA 2023'!B948</f>
        <v>0</v>
      </c>
      <c r="B955">
        <f>'RAW DATA 2023'!D948</f>
        <v>0</v>
      </c>
      <c r="C955" t="str">
        <f t="shared" si="71"/>
        <v>00</v>
      </c>
      <c r="D955" t="e">
        <f>VLOOKUP(C955,'RAW DATA 2023'!E:BP,63,0)</f>
        <v>#N/A</v>
      </c>
      <c r="E955" t="e">
        <f t="shared" si="72"/>
        <v>#N/A</v>
      </c>
      <c r="F955" t="e">
        <f>ROUND(VLOOKUP(C955,'RAW DATA 2023'!E:BO,23,0),0)</f>
        <v>#N/A</v>
      </c>
      <c r="G955" s="16" t="e">
        <f>VLOOKUP(C955,'RAW DATA 2023'!E:BO,27,0)</f>
        <v>#N/A</v>
      </c>
      <c r="H955" s="16">
        <f>IFERROR(VLOOKUP(F955,STD!B:G,5,0),0)</f>
        <v>0</v>
      </c>
      <c r="I955" s="21">
        <f t="shared" si="73"/>
        <v>0</v>
      </c>
      <c r="J955" s="16">
        <f t="shared" si="74"/>
        <v>-10</v>
      </c>
      <c r="K955" s="106" t="e">
        <f>VLOOKUP(C955,'RAW DATA 2023'!E:BO,36,0)</f>
        <v>#N/A</v>
      </c>
      <c r="L955" s="106" t="e">
        <f>VLOOKUP(C955,'RAW DATA 2023'!E:BO,21,0)</f>
        <v>#N/A</v>
      </c>
      <c r="M955" s="106" t="e">
        <f t="shared" si="75"/>
        <v>#N/A</v>
      </c>
    </row>
    <row r="956" spans="1:13">
      <c r="A956">
        <f>'RAW DATA 2023'!B949</f>
        <v>0</v>
      </c>
      <c r="B956">
        <f>'RAW DATA 2023'!D949</f>
        <v>0</v>
      </c>
      <c r="C956" t="str">
        <f t="shared" si="71"/>
        <v>00</v>
      </c>
      <c r="D956" t="e">
        <f>VLOOKUP(C956,'RAW DATA 2023'!E:BP,63,0)</f>
        <v>#N/A</v>
      </c>
      <c r="E956" t="e">
        <f t="shared" si="72"/>
        <v>#N/A</v>
      </c>
      <c r="F956" t="e">
        <f>ROUND(VLOOKUP(C956,'RAW DATA 2023'!E:BO,23,0),0)</f>
        <v>#N/A</v>
      </c>
      <c r="G956" s="16" t="e">
        <f>VLOOKUP(C956,'RAW DATA 2023'!E:BO,27,0)</f>
        <v>#N/A</v>
      </c>
      <c r="H956" s="16">
        <f>IFERROR(VLOOKUP(F956,STD!B:G,5,0),0)</f>
        <v>0</v>
      </c>
      <c r="I956" s="21">
        <f t="shared" si="73"/>
        <v>0</v>
      </c>
      <c r="J956" s="16">
        <f t="shared" si="74"/>
        <v>-10</v>
      </c>
      <c r="K956" s="106" t="e">
        <f>VLOOKUP(C956,'RAW DATA 2023'!E:BO,36,0)</f>
        <v>#N/A</v>
      </c>
      <c r="L956" s="106" t="e">
        <f>VLOOKUP(C956,'RAW DATA 2023'!E:BO,21,0)</f>
        <v>#N/A</v>
      </c>
      <c r="M956" s="106" t="e">
        <f t="shared" si="75"/>
        <v>#N/A</v>
      </c>
    </row>
    <row r="957" spans="1:13">
      <c r="A957">
        <f>'RAW DATA 2023'!B950</f>
        <v>0</v>
      </c>
      <c r="B957">
        <f>'RAW DATA 2023'!D950</f>
        <v>0</v>
      </c>
      <c r="C957" t="str">
        <f t="shared" si="71"/>
        <v>00</v>
      </c>
      <c r="D957" t="e">
        <f>VLOOKUP(C957,'RAW DATA 2023'!E:BP,63,0)</f>
        <v>#N/A</v>
      </c>
      <c r="E957" t="e">
        <f t="shared" si="72"/>
        <v>#N/A</v>
      </c>
      <c r="F957" t="e">
        <f>ROUND(VLOOKUP(C957,'RAW DATA 2023'!E:BO,23,0),0)</f>
        <v>#N/A</v>
      </c>
      <c r="G957" s="16" t="e">
        <f>VLOOKUP(C957,'RAW DATA 2023'!E:BO,27,0)</f>
        <v>#N/A</v>
      </c>
      <c r="H957" s="16">
        <f>IFERROR(VLOOKUP(F957,STD!B:G,5,0),0)</f>
        <v>0</v>
      </c>
      <c r="I957" s="21">
        <f t="shared" si="73"/>
        <v>0</v>
      </c>
      <c r="J957" s="16">
        <f t="shared" si="74"/>
        <v>-10</v>
      </c>
      <c r="K957" s="106" t="e">
        <f>VLOOKUP(C957,'RAW DATA 2023'!E:BO,36,0)</f>
        <v>#N/A</v>
      </c>
      <c r="L957" s="106" t="e">
        <f>VLOOKUP(C957,'RAW DATA 2023'!E:BO,21,0)</f>
        <v>#N/A</v>
      </c>
      <c r="M957" s="106" t="e">
        <f t="shared" si="75"/>
        <v>#N/A</v>
      </c>
    </row>
    <row r="958" spans="1:13">
      <c r="A958">
        <f>'RAW DATA 2023'!B951</f>
        <v>0</v>
      </c>
      <c r="B958">
        <f>'RAW DATA 2023'!D951</f>
        <v>0</v>
      </c>
      <c r="C958" t="str">
        <f t="shared" si="71"/>
        <v>00</v>
      </c>
      <c r="D958" t="e">
        <f>VLOOKUP(C958,'RAW DATA 2023'!E:BP,63,0)</f>
        <v>#N/A</v>
      </c>
      <c r="E958" t="e">
        <f t="shared" si="72"/>
        <v>#N/A</v>
      </c>
      <c r="F958" t="e">
        <f>ROUND(VLOOKUP(C958,'RAW DATA 2023'!E:BO,23,0),0)</f>
        <v>#N/A</v>
      </c>
      <c r="G958" s="16" t="e">
        <f>VLOOKUP(C958,'RAW DATA 2023'!E:BO,27,0)</f>
        <v>#N/A</v>
      </c>
      <c r="H958" s="16">
        <f>IFERROR(VLOOKUP(F958,STD!B:G,5,0),0)</f>
        <v>0</v>
      </c>
      <c r="I958" s="21">
        <f t="shared" si="73"/>
        <v>0</v>
      </c>
      <c r="J958" s="16">
        <f t="shared" si="74"/>
        <v>-10</v>
      </c>
      <c r="K958" s="106" t="e">
        <f>VLOOKUP(C958,'RAW DATA 2023'!E:BO,36,0)</f>
        <v>#N/A</v>
      </c>
      <c r="L958" s="106" t="e">
        <f>VLOOKUP(C958,'RAW DATA 2023'!E:BO,21,0)</f>
        <v>#N/A</v>
      </c>
      <c r="M958" s="106" t="e">
        <f t="shared" si="75"/>
        <v>#N/A</v>
      </c>
    </row>
    <row r="959" spans="1:13">
      <c r="A959">
        <f>'RAW DATA 2023'!B952</f>
        <v>0</v>
      </c>
      <c r="B959">
        <f>'RAW DATA 2023'!D952</f>
        <v>0</v>
      </c>
      <c r="C959" t="str">
        <f t="shared" si="71"/>
        <v>00</v>
      </c>
      <c r="D959" t="e">
        <f>VLOOKUP(C959,'RAW DATA 2023'!E:BP,63,0)</f>
        <v>#N/A</v>
      </c>
      <c r="E959" t="e">
        <f t="shared" si="72"/>
        <v>#N/A</v>
      </c>
      <c r="F959" t="e">
        <f>ROUND(VLOOKUP(C959,'RAW DATA 2023'!E:BO,23,0),0)</f>
        <v>#N/A</v>
      </c>
      <c r="G959" s="16" t="e">
        <f>VLOOKUP(C959,'RAW DATA 2023'!E:BO,27,0)</f>
        <v>#N/A</v>
      </c>
      <c r="H959" s="16">
        <f>IFERROR(VLOOKUP(F959,STD!B:G,5,0),0)</f>
        <v>0</v>
      </c>
      <c r="I959" s="21">
        <f t="shared" si="73"/>
        <v>0</v>
      </c>
      <c r="J959" s="16">
        <f t="shared" si="74"/>
        <v>-10</v>
      </c>
      <c r="K959" s="106" t="e">
        <f>VLOOKUP(C959,'RAW DATA 2023'!E:BO,36,0)</f>
        <v>#N/A</v>
      </c>
      <c r="L959" s="106" t="e">
        <f>VLOOKUP(C959,'RAW DATA 2023'!E:BO,21,0)</f>
        <v>#N/A</v>
      </c>
      <c r="M959" s="106" t="e">
        <f t="shared" si="75"/>
        <v>#N/A</v>
      </c>
    </row>
    <row r="960" spans="1:13">
      <c r="A960">
        <f>'RAW DATA 2023'!B953</f>
        <v>0</v>
      </c>
      <c r="B960">
        <f>'RAW DATA 2023'!D953</f>
        <v>0</v>
      </c>
      <c r="C960" t="str">
        <f t="shared" si="71"/>
        <v>00</v>
      </c>
      <c r="D960" t="e">
        <f>VLOOKUP(C960,'RAW DATA 2023'!E:BP,63,0)</f>
        <v>#N/A</v>
      </c>
      <c r="E960" t="e">
        <f t="shared" si="72"/>
        <v>#N/A</v>
      </c>
      <c r="F960" t="e">
        <f>ROUND(VLOOKUP(C960,'RAW DATA 2023'!E:BO,23,0),0)</f>
        <v>#N/A</v>
      </c>
      <c r="G960" s="16" t="e">
        <f>VLOOKUP(C960,'RAW DATA 2023'!E:BO,27,0)</f>
        <v>#N/A</v>
      </c>
      <c r="H960" s="16">
        <f>IFERROR(VLOOKUP(F960,STD!B:G,5,0),0)</f>
        <v>0</v>
      </c>
      <c r="I960" s="21">
        <f t="shared" si="73"/>
        <v>0</v>
      </c>
      <c r="J960" s="16">
        <f t="shared" si="74"/>
        <v>-10</v>
      </c>
      <c r="K960" s="106" t="e">
        <f>VLOOKUP(C960,'RAW DATA 2023'!E:BO,36,0)</f>
        <v>#N/A</v>
      </c>
      <c r="L960" s="106" t="e">
        <f>VLOOKUP(C960,'RAW DATA 2023'!E:BO,21,0)</f>
        <v>#N/A</v>
      </c>
      <c r="M960" s="106" t="e">
        <f t="shared" si="75"/>
        <v>#N/A</v>
      </c>
    </row>
    <row r="961" spans="1:13">
      <c r="A961">
        <f>'RAW DATA 2023'!B954</f>
        <v>0</v>
      </c>
      <c r="B961">
        <f>'RAW DATA 2023'!D954</f>
        <v>0</v>
      </c>
      <c r="C961" t="str">
        <f t="shared" si="71"/>
        <v>00</v>
      </c>
      <c r="D961" t="e">
        <f>VLOOKUP(C961,'RAW DATA 2023'!E:BP,63,0)</f>
        <v>#N/A</v>
      </c>
      <c r="E961" t="e">
        <f t="shared" si="72"/>
        <v>#N/A</v>
      </c>
      <c r="F961" t="e">
        <f>ROUND(VLOOKUP(C961,'RAW DATA 2023'!E:BO,23,0),0)</f>
        <v>#N/A</v>
      </c>
      <c r="G961" s="16" t="e">
        <f>VLOOKUP(C961,'RAW DATA 2023'!E:BO,27,0)</f>
        <v>#N/A</v>
      </c>
      <c r="H961" s="16">
        <f>IFERROR(VLOOKUP(F961,STD!B:G,5,0),0)</f>
        <v>0</v>
      </c>
      <c r="I961" s="21">
        <f t="shared" si="73"/>
        <v>0</v>
      </c>
      <c r="J961" s="16">
        <f t="shared" si="74"/>
        <v>-10</v>
      </c>
      <c r="K961" s="106" t="e">
        <f>VLOOKUP(C961,'RAW DATA 2023'!E:BO,36,0)</f>
        <v>#N/A</v>
      </c>
      <c r="L961" s="106" t="e">
        <f>VLOOKUP(C961,'RAW DATA 2023'!E:BO,21,0)</f>
        <v>#N/A</v>
      </c>
      <c r="M961" s="106" t="e">
        <f t="shared" si="75"/>
        <v>#N/A</v>
      </c>
    </row>
    <row r="962" spans="1:13">
      <c r="A962">
        <f>'RAW DATA 2023'!B955</f>
        <v>0</v>
      </c>
      <c r="B962">
        <f>'RAW DATA 2023'!D955</f>
        <v>0</v>
      </c>
      <c r="C962" t="str">
        <f t="shared" si="71"/>
        <v>00</v>
      </c>
      <c r="D962" t="e">
        <f>VLOOKUP(C962,'RAW DATA 2023'!E:BP,63,0)</f>
        <v>#N/A</v>
      </c>
      <c r="E962" t="e">
        <f t="shared" si="72"/>
        <v>#N/A</v>
      </c>
      <c r="F962" t="e">
        <f>ROUND(VLOOKUP(C962,'RAW DATA 2023'!E:BO,23,0),0)</f>
        <v>#N/A</v>
      </c>
      <c r="G962" s="16" t="e">
        <f>VLOOKUP(C962,'RAW DATA 2023'!E:BO,27,0)</f>
        <v>#N/A</v>
      </c>
      <c r="H962" s="16">
        <f>IFERROR(VLOOKUP(F962,STD!B:G,5,0),0)</f>
        <v>0</v>
      </c>
      <c r="I962" s="21">
        <f t="shared" si="73"/>
        <v>0</v>
      </c>
      <c r="J962" s="16">
        <f t="shared" si="74"/>
        <v>-10</v>
      </c>
      <c r="K962" s="106" t="e">
        <f>VLOOKUP(C962,'RAW DATA 2023'!E:BO,36,0)</f>
        <v>#N/A</v>
      </c>
      <c r="L962" s="106" t="e">
        <f>VLOOKUP(C962,'RAW DATA 2023'!E:BO,21,0)</f>
        <v>#N/A</v>
      </c>
      <c r="M962" s="106" t="e">
        <f t="shared" si="75"/>
        <v>#N/A</v>
      </c>
    </row>
    <row r="963" spans="1:13">
      <c r="A963">
        <f>'RAW DATA 2023'!B956</f>
        <v>0</v>
      </c>
      <c r="B963">
        <f>'RAW DATA 2023'!D956</f>
        <v>0</v>
      </c>
      <c r="C963" t="str">
        <f t="shared" si="71"/>
        <v>00</v>
      </c>
      <c r="D963" t="e">
        <f>VLOOKUP(C963,'RAW DATA 2023'!E:BP,63,0)</f>
        <v>#N/A</v>
      </c>
      <c r="E963" t="e">
        <f t="shared" si="72"/>
        <v>#N/A</v>
      </c>
      <c r="F963" t="e">
        <f>ROUND(VLOOKUP(C963,'RAW DATA 2023'!E:BO,23,0),0)</f>
        <v>#N/A</v>
      </c>
      <c r="G963" s="16" t="e">
        <f>VLOOKUP(C963,'RAW DATA 2023'!E:BO,27,0)</f>
        <v>#N/A</v>
      </c>
      <c r="H963" s="16">
        <f>IFERROR(VLOOKUP(F963,STD!B:G,5,0),0)</f>
        <v>0</v>
      </c>
      <c r="I963" s="21">
        <f t="shared" si="73"/>
        <v>0</v>
      </c>
      <c r="J963" s="16">
        <f t="shared" si="74"/>
        <v>-10</v>
      </c>
      <c r="K963" s="106" t="e">
        <f>VLOOKUP(C963,'RAW DATA 2023'!E:BO,36,0)</f>
        <v>#N/A</v>
      </c>
      <c r="L963" s="106" t="e">
        <f>VLOOKUP(C963,'RAW DATA 2023'!E:BO,21,0)</f>
        <v>#N/A</v>
      </c>
      <c r="M963" s="106" t="e">
        <f t="shared" si="75"/>
        <v>#N/A</v>
      </c>
    </row>
    <row r="964" spans="1:13">
      <c r="A964">
        <f>'RAW DATA 2023'!B957</f>
        <v>0</v>
      </c>
      <c r="B964">
        <f>'RAW DATA 2023'!D957</f>
        <v>0</v>
      </c>
      <c r="C964" t="str">
        <f t="shared" si="71"/>
        <v>00</v>
      </c>
      <c r="D964" t="e">
        <f>VLOOKUP(C964,'RAW DATA 2023'!E:BP,63,0)</f>
        <v>#N/A</v>
      </c>
      <c r="E964" t="e">
        <f t="shared" si="72"/>
        <v>#N/A</v>
      </c>
      <c r="F964" t="e">
        <f>ROUND(VLOOKUP(C964,'RAW DATA 2023'!E:BO,23,0),0)</f>
        <v>#N/A</v>
      </c>
      <c r="G964" s="16" t="e">
        <f>VLOOKUP(C964,'RAW DATA 2023'!E:BO,27,0)</f>
        <v>#N/A</v>
      </c>
      <c r="H964" s="16">
        <f>IFERROR(VLOOKUP(F964,STD!B:G,5,0),0)</f>
        <v>0</v>
      </c>
      <c r="I964" s="21">
        <f t="shared" si="73"/>
        <v>0</v>
      </c>
      <c r="J964" s="16">
        <f t="shared" si="74"/>
        <v>-10</v>
      </c>
      <c r="K964" s="106" t="e">
        <f>VLOOKUP(C964,'RAW DATA 2023'!E:BO,36,0)</f>
        <v>#N/A</v>
      </c>
      <c r="L964" s="106" t="e">
        <f>VLOOKUP(C964,'RAW DATA 2023'!E:BO,21,0)</f>
        <v>#N/A</v>
      </c>
      <c r="M964" s="106" t="e">
        <f t="shared" si="75"/>
        <v>#N/A</v>
      </c>
    </row>
    <row r="965" spans="1:13">
      <c r="A965">
        <f>'RAW DATA 2023'!B958</f>
        <v>0</v>
      </c>
      <c r="B965">
        <f>'RAW DATA 2023'!D958</f>
        <v>0</v>
      </c>
      <c r="C965" t="str">
        <f t="shared" si="71"/>
        <v>00</v>
      </c>
      <c r="D965" t="e">
        <f>VLOOKUP(C965,'RAW DATA 2023'!E:BP,63,0)</f>
        <v>#N/A</v>
      </c>
      <c r="E965" t="e">
        <f t="shared" si="72"/>
        <v>#N/A</v>
      </c>
      <c r="F965" t="e">
        <f>ROUND(VLOOKUP(C965,'RAW DATA 2023'!E:BO,23,0),0)</f>
        <v>#N/A</v>
      </c>
      <c r="G965" s="16" t="e">
        <f>VLOOKUP(C965,'RAW DATA 2023'!E:BO,27,0)</f>
        <v>#N/A</v>
      </c>
      <c r="H965" s="16">
        <f>IFERROR(VLOOKUP(F965,STD!B:G,5,0),0)</f>
        <v>0</v>
      </c>
      <c r="I965" s="21">
        <f t="shared" si="73"/>
        <v>0</v>
      </c>
      <c r="J965" s="16">
        <f t="shared" si="74"/>
        <v>-10</v>
      </c>
      <c r="K965" s="106" t="e">
        <f>VLOOKUP(C965,'RAW DATA 2023'!E:BO,36,0)</f>
        <v>#N/A</v>
      </c>
      <c r="L965" s="106" t="e">
        <f>VLOOKUP(C965,'RAW DATA 2023'!E:BO,21,0)</f>
        <v>#N/A</v>
      </c>
      <c r="M965" s="106" t="e">
        <f t="shared" si="75"/>
        <v>#N/A</v>
      </c>
    </row>
    <row r="966" spans="1:13">
      <c r="A966">
        <f>'RAW DATA 2023'!B959</f>
        <v>0</v>
      </c>
      <c r="B966">
        <f>'RAW DATA 2023'!D959</f>
        <v>0</v>
      </c>
      <c r="C966" t="str">
        <f t="shared" si="71"/>
        <v>00</v>
      </c>
      <c r="D966" t="e">
        <f>VLOOKUP(C966,'RAW DATA 2023'!E:BP,63,0)</f>
        <v>#N/A</v>
      </c>
      <c r="E966" t="e">
        <f t="shared" si="72"/>
        <v>#N/A</v>
      </c>
      <c r="F966" t="e">
        <f>ROUND(VLOOKUP(C966,'RAW DATA 2023'!E:BO,23,0),0)</f>
        <v>#N/A</v>
      </c>
      <c r="G966" s="16" t="e">
        <f>VLOOKUP(C966,'RAW DATA 2023'!E:BO,27,0)</f>
        <v>#N/A</v>
      </c>
      <c r="H966" s="16">
        <f>IFERROR(VLOOKUP(F966,STD!B:G,5,0),0)</f>
        <v>0</v>
      </c>
      <c r="I966" s="21">
        <f t="shared" si="73"/>
        <v>0</v>
      </c>
      <c r="J966" s="16">
        <f t="shared" si="74"/>
        <v>-10</v>
      </c>
      <c r="K966" s="106" t="e">
        <f>VLOOKUP(C966,'RAW DATA 2023'!E:BO,36,0)</f>
        <v>#N/A</v>
      </c>
      <c r="L966" s="106" t="e">
        <f>VLOOKUP(C966,'RAW DATA 2023'!E:BO,21,0)</f>
        <v>#N/A</v>
      </c>
      <c r="M966" s="106" t="e">
        <f t="shared" si="75"/>
        <v>#N/A</v>
      </c>
    </row>
    <row r="967" spans="1:13">
      <c r="A967">
        <f>'RAW DATA 2023'!B960</f>
        <v>0</v>
      </c>
      <c r="B967">
        <f>'RAW DATA 2023'!D960</f>
        <v>0</v>
      </c>
      <c r="C967" t="str">
        <f t="shared" si="71"/>
        <v>00</v>
      </c>
      <c r="D967" t="e">
        <f>VLOOKUP(C967,'RAW DATA 2023'!E:BP,63,0)</f>
        <v>#N/A</v>
      </c>
      <c r="E967" t="e">
        <f t="shared" si="72"/>
        <v>#N/A</v>
      </c>
      <c r="F967" t="e">
        <f>ROUND(VLOOKUP(C967,'RAW DATA 2023'!E:BO,23,0),0)</f>
        <v>#N/A</v>
      </c>
      <c r="G967" s="16" t="e">
        <f>VLOOKUP(C967,'RAW DATA 2023'!E:BO,27,0)</f>
        <v>#N/A</v>
      </c>
      <c r="H967" s="16">
        <f>IFERROR(VLOOKUP(F967,STD!B:G,5,0),0)</f>
        <v>0</v>
      </c>
      <c r="I967" s="21">
        <f t="shared" si="73"/>
        <v>0</v>
      </c>
      <c r="J967" s="16">
        <f t="shared" si="74"/>
        <v>-10</v>
      </c>
      <c r="K967" s="106" t="e">
        <f>VLOOKUP(C967,'RAW DATA 2023'!E:BO,36,0)</f>
        <v>#N/A</v>
      </c>
      <c r="L967" s="106" t="e">
        <f>VLOOKUP(C967,'RAW DATA 2023'!E:BO,21,0)</f>
        <v>#N/A</v>
      </c>
      <c r="M967" s="106" t="e">
        <f t="shared" si="75"/>
        <v>#N/A</v>
      </c>
    </row>
    <row r="968" spans="1:13">
      <c r="A968">
        <f>'RAW DATA 2023'!B961</f>
        <v>0</v>
      </c>
      <c r="B968">
        <f>'RAW DATA 2023'!D961</f>
        <v>0</v>
      </c>
      <c r="C968" t="str">
        <f t="shared" si="71"/>
        <v>00</v>
      </c>
      <c r="D968" t="e">
        <f>VLOOKUP(C968,'RAW DATA 2023'!E:BP,63,0)</f>
        <v>#N/A</v>
      </c>
      <c r="E968" t="e">
        <f t="shared" si="72"/>
        <v>#N/A</v>
      </c>
      <c r="F968" t="e">
        <f>ROUND(VLOOKUP(C968,'RAW DATA 2023'!E:BO,23,0),0)</f>
        <v>#N/A</v>
      </c>
      <c r="G968" s="16" t="e">
        <f>VLOOKUP(C968,'RAW DATA 2023'!E:BO,27,0)</f>
        <v>#N/A</v>
      </c>
      <c r="H968" s="16">
        <f>IFERROR(VLOOKUP(F968,STD!B:G,5,0),0)</f>
        <v>0</v>
      </c>
      <c r="I968" s="21">
        <f t="shared" si="73"/>
        <v>0</v>
      </c>
      <c r="J968" s="16">
        <f t="shared" si="74"/>
        <v>-10</v>
      </c>
      <c r="K968" s="106" t="e">
        <f>VLOOKUP(C968,'RAW DATA 2023'!E:BO,36,0)</f>
        <v>#N/A</v>
      </c>
      <c r="L968" s="106" t="e">
        <f>VLOOKUP(C968,'RAW DATA 2023'!E:BO,21,0)</f>
        <v>#N/A</v>
      </c>
      <c r="M968" s="106" t="e">
        <f t="shared" si="75"/>
        <v>#N/A</v>
      </c>
    </row>
    <row r="969" spans="1:13">
      <c r="A969">
        <f>'RAW DATA 2023'!B962</f>
        <v>0</v>
      </c>
      <c r="B969">
        <f>'RAW DATA 2023'!D962</f>
        <v>0</v>
      </c>
      <c r="C969" t="str">
        <f t="shared" si="71"/>
        <v>00</v>
      </c>
      <c r="D969" t="e">
        <f>VLOOKUP(C969,'RAW DATA 2023'!E:BP,63,0)</f>
        <v>#N/A</v>
      </c>
      <c r="E969" t="e">
        <f t="shared" si="72"/>
        <v>#N/A</v>
      </c>
      <c r="F969" t="e">
        <f>ROUND(VLOOKUP(C969,'RAW DATA 2023'!E:BO,23,0),0)</f>
        <v>#N/A</v>
      </c>
      <c r="G969" s="16" t="e">
        <f>VLOOKUP(C969,'RAW DATA 2023'!E:BO,27,0)</f>
        <v>#N/A</v>
      </c>
      <c r="H969" s="16">
        <f>IFERROR(VLOOKUP(F969,STD!B:G,5,0),0)</f>
        <v>0</v>
      </c>
      <c r="I969" s="21">
        <f t="shared" si="73"/>
        <v>0</v>
      </c>
      <c r="J969" s="16">
        <f t="shared" si="74"/>
        <v>-10</v>
      </c>
      <c r="K969" s="106" t="e">
        <f>VLOOKUP(C969,'RAW DATA 2023'!E:BO,36,0)</f>
        <v>#N/A</v>
      </c>
      <c r="L969" s="106" t="e">
        <f>VLOOKUP(C969,'RAW DATA 2023'!E:BO,21,0)</f>
        <v>#N/A</v>
      </c>
      <c r="M969" s="106" t="e">
        <f t="shared" si="75"/>
        <v>#N/A</v>
      </c>
    </row>
    <row r="970" spans="1:13">
      <c r="A970">
        <f>'RAW DATA 2023'!B963</f>
        <v>0</v>
      </c>
      <c r="B970">
        <f>'RAW DATA 2023'!D963</f>
        <v>0</v>
      </c>
      <c r="C970" t="str">
        <f t="shared" ref="C970:C1033" si="76">A970&amp;B970</f>
        <v>00</v>
      </c>
      <c r="D970" t="e">
        <f>VLOOKUP(C970,'RAW DATA 2023'!E:BP,63,0)</f>
        <v>#N/A</v>
      </c>
      <c r="E970" t="e">
        <f t="shared" ref="E970:E1033" si="77">A970&amp;D970</f>
        <v>#N/A</v>
      </c>
      <c r="F970" t="e">
        <f>ROUND(VLOOKUP(C970,'RAW DATA 2023'!E:BO,23,0),0)</f>
        <v>#N/A</v>
      </c>
      <c r="G970" s="16" t="e">
        <f>VLOOKUP(C970,'RAW DATA 2023'!E:BO,27,0)</f>
        <v>#N/A</v>
      </c>
      <c r="H970" s="16">
        <f>IFERROR(VLOOKUP(F970,STD!B:G,5,0),0)</f>
        <v>0</v>
      </c>
      <c r="I970" s="21">
        <f t="shared" si="73"/>
        <v>0</v>
      </c>
      <c r="J970" s="16">
        <f t="shared" si="74"/>
        <v>-10</v>
      </c>
      <c r="K970" s="106" t="e">
        <f>VLOOKUP(C970,'RAW DATA 2023'!E:BO,36,0)</f>
        <v>#N/A</v>
      </c>
      <c r="L970" s="106" t="e">
        <f>VLOOKUP(C970,'RAW DATA 2023'!E:BO,21,0)</f>
        <v>#N/A</v>
      </c>
      <c r="M970" s="106" t="e">
        <f t="shared" si="75"/>
        <v>#N/A</v>
      </c>
    </row>
    <row r="971" spans="1:13">
      <c r="A971">
        <f>'RAW DATA 2023'!B964</f>
        <v>0</v>
      </c>
      <c r="B971">
        <f>'RAW DATA 2023'!D964</f>
        <v>0</v>
      </c>
      <c r="C971" t="str">
        <f t="shared" si="76"/>
        <v>00</v>
      </c>
      <c r="D971" t="e">
        <f>VLOOKUP(C971,'RAW DATA 2023'!E:BP,63,0)</f>
        <v>#N/A</v>
      </c>
      <c r="E971" t="e">
        <f t="shared" si="77"/>
        <v>#N/A</v>
      </c>
      <c r="F971" t="e">
        <f>ROUND(VLOOKUP(C971,'RAW DATA 2023'!E:BO,23,0),0)</f>
        <v>#N/A</v>
      </c>
      <c r="G971" s="16" t="e">
        <f>VLOOKUP(C971,'RAW DATA 2023'!E:BO,27,0)</f>
        <v>#N/A</v>
      </c>
      <c r="H971" s="16">
        <f>IFERROR(VLOOKUP(F971,STD!B:G,5,0),0)</f>
        <v>0</v>
      </c>
      <c r="I971" s="21">
        <f t="shared" ref="I971:I1034" si="78">IFERROR(H971/G971,0)</f>
        <v>0</v>
      </c>
      <c r="J971" s="16">
        <f t="shared" ref="J971:J1034" si="79">(I971-$B$4)*$B$7</f>
        <v>-10</v>
      </c>
      <c r="K971" s="106" t="e">
        <f>VLOOKUP(C971,'RAW DATA 2023'!E:BO,36,0)</f>
        <v>#N/A</v>
      </c>
      <c r="L971" s="106" t="e">
        <f>VLOOKUP(C971,'RAW DATA 2023'!E:BO,21,0)</f>
        <v>#N/A</v>
      </c>
      <c r="M971" s="106" t="e">
        <f t="shared" ref="M971:M1034" si="80">J971*L971</f>
        <v>#N/A</v>
      </c>
    </row>
    <row r="972" spans="1:13">
      <c r="A972">
        <f>'RAW DATA 2023'!B965</f>
        <v>0</v>
      </c>
      <c r="B972">
        <f>'RAW DATA 2023'!D965</f>
        <v>0</v>
      </c>
      <c r="C972" t="str">
        <f t="shared" si="76"/>
        <v>00</v>
      </c>
      <c r="D972" t="e">
        <f>VLOOKUP(C972,'RAW DATA 2023'!E:BP,63,0)</f>
        <v>#N/A</v>
      </c>
      <c r="E972" t="e">
        <f t="shared" si="77"/>
        <v>#N/A</v>
      </c>
      <c r="F972" t="e">
        <f>ROUND(VLOOKUP(C972,'RAW DATA 2023'!E:BO,23,0),0)</f>
        <v>#N/A</v>
      </c>
      <c r="G972" s="16" t="e">
        <f>VLOOKUP(C972,'RAW DATA 2023'!E:BO,27,0)</f>
        <v>#N/A</v>
      </c>
      <c r="H972" s="16">
        <f>IFERROR(VLOOKUP(F972,STD!B:G,5,0),0)</f>
        <v>0</v>
      </c>
      <c r="I972" s="21">
        <f t="shared" si="78"/>
        <v>0</v>
      </c>
      <c r="J972" s="16">
        <f t="shared" si="79"/>
        <v>-10</v>
      </c>
      <c r="K972" s="106" t="e">
        <f>VLOOKUP(C972,'RAW DATA 2023'!E:BO,36,0)</f>
        <v>#N/A</v>
      </c>
      <c r="L972" s="106" t="e">
        <f>VLOOKUP(C972,'RAW DATA 2023'!E:BO,21,0)</f>
        <v>#N/A</v>
      </c>
      <c r="M972" s="106" t="e">
        <f t="shared" si="80"/>
        <v>#N/A</v>
      </c>
    </row>
    <row r="973" spans="1:13">
      <c r="A973">
        <f>'RAW DATA 2023'!B966</f>
        <v>0</v>
      </c>
      <c r="B973">
        <f>'RAW DATA 2023'!D966</f>
        <v>0</v>
      </c>
      <c r="C973" t="str">
        <f t="shared" si="76"/>
        <v>00</v>
      </c>
      <c r="D973" t="e">
        <f>VLOOKUP(C973,'RAW DATA 2023'!E:BP,63,0)</f>
        <v>#N/A</v>
      </c>
      <c r="E973" t="e">
        <f t="shared" si="77"/>
        <v>#N/A</v>
      </c>
      <c r="F973" t="e">
        <f>ROUND(VLOOKUP(C973,'RAW DATA 2023'!E:BO,23,0),0)</f>
        <v>#N/A</v>
      </c>
      <c r="G973" s="16" t="e">
        <f>VLOOKUP(C973,'RAW DATA 2023'!E:BO,27,0)</f>
        <v>#N/A</v>
      </c>
      <c r="H973" s="16">
        <f>IFERROR(VLOOKUP(F973,STD!B:G,5,0),0)</f>
        <v>0</v>
      </c>
      <c r="I973" s="21">
        <f t="shared" si="78"/>
        <v>0</v>
      </c>
      <c r="J973" s="16">
        <f t="shared" si="79"/>
        <v>-10</v>
      </c>
      <c r="K973" s="106" t="e">
        <f>VLOOKUP(C973,'RAW DATA 2023'!E:BO,36,0)</f>
        <v>#N/A</v>
      </c>
      <c r="L973" s="106" t="e">
        <f>VLOOKUP(C973,'RAW DATA 2023'!E:BO,21,0)</f>
        <v>#N/A</v>
      </c>
      <c r="M973" s="106" t="e">
        <f t="shared" si="80"/>
        <v>#N/A</v>
      </c>
    </row>
    <row r="974" spans="1:13">
      <c r="A974">
        <f>'RAW DATA 2023'!B967</f>
        <v>0</v>
      </c>
      <c r="B974">
        <f>'RAW DATA 2023'!D967</f>
        <v>0</v>
      </c>
      <c r="C974" t="str">
        <f t="shared" si="76"/>
        <v>00</v>
      </c>
      <c r="D974" t="e">
        <f>VLOOKUP(C974,'RAW DATA 2023'!E:BP,63,0)</f>
        <v>#N/A</v>
      </c>
      <c r="E974" t="e">
        <f t="shared" si="77"/>
        <v>#N/A</v>
      </c>
      <c r="F974" t="e">
        <f>ROUND(VLOOKUP(C974,'RAW DATA 2023'!E:BO,23,0),0)</f>
        <v>#N/A</v>
      </c>
      <c r="G974" s="16" t="e">
        <f>VLOOKUP(C974,'RAW DATA 2023'!E:BO,27,0)</f>
        <v>#N/A</v>
      </c>
      <c r="H974" s="16">
        <f>IFERROR(VLOOKUP(F974,STD!B:G,5,0),0)</f>
        <v>0</v>
      </c>
      <c r="I974" s="21">
        <f t="shared" si="78"/>
        <v>0</v>
      </c>
      <c r="J974" s="16">
        <f t="shared" si="79"/>
        <v>-10</v>
      </c>
      <c r="K974" s="106" t="e">
        <f>VLOOKUP(C974,'RAW DATA 2023'!E:BO,36,0)</f>
        <v>#N/A</v>
      </c>
      <c r="L974" s="106" t="e">
        <f>VLOOKUP(C974,'RAW DATA 2023'!E:BO,21,0)</f>
        <v>#N/A</v>
      </c>
      <c r="M974" s="106" t="e">
        <f t="shared" si="80"/>
        <v>#N/A</v>
      </c>
    </row>
    <row r="975" spans="1:13">
      <c r="A975">
        <f>'RAW DATA 2023'!B968</f>
        <v>0</v>
      </c>
      <c r="B975">
        <f>'RAW DATA 2023'!D968</f>
        <v>0</v>
      </c>
      <c r="C975" t="str">
        <f t="shared" si="76"/>
        <v>00</v>
      </c>
      <c r="D975" t="e">
        <f>VLOOKUP(C975,'RAW DATA 2023'!E:BP,63,0)</f>
        <v>#N/A</v>
      </c>
      <c r="E975" t="e">
        <f t="shared" si="77"/>
        <v>#N/A</v>
      </c>
      <c r="F975" t="e">
        <f>ROUND(VLOOKUP(C975,'RAW DATA 2023'!E:BO,23,0),0)</f>
        <v>#N/A</v>
      </c>
      <c r="G975" s="16" t="e">
        <f>VLOOKUP(C975,'RAW DATA 2023'!E:BO,27,0)</f>
        <v>#N/A</v>
      </c>
      <c r="H975" s="16">
        <f>IFERROR(VLOOKUP(F975,STD!B:G,5,0),0)</f>
        <v>0</v>
      </c>
      <c r="I975" s="21">
        <f t="shared" si="78"/>
        <v>0</v>
      </c>
      <c r="J975" s="16">
        <f t="shared" si="79"/>
        <v>-10</v>
      </c>
      <c r="K975" s="106" t="e">
        <f>VLOOKUP(C975,'RAW DATA 2023'!E:BO,36,0)</f>
        <v>#N/A</v>
      </c>
      <c r="L975" s="106" t="e">
        <f>VLOOKUP(C975,'RAW DATA 2023'!E:BO,21,0)</f>
        <v>#N/A</v>
      </c>
      <c r="M975" s="106" t="e">
        <f t="shared" si="80"/>
        <v>#N/A</v>
      </c>
    </row>
    <row r="976" spans="1:13">
      <c r="A976">
        <f>'RAW DATA 2023'!B969</f>
        <v>0</v>
      </c>
      <c r="B976">
        <f>'RAW DATA 2023'!D969</f>
        <v>0</v>
      </c>
      <c r="C976" t="str">
        <f t="shared" si="76"/>
        <v>00</v>
      </c>
      <c r="D976" t="e">
        <f>VLOOKUP(C976,'RAW DATA 2023'!E:BP,63,0)</f>
        <v>#N/A</v>
      </c>
      <c r="E976" t="e">
        <f t="shared" si="77"/>
        <v>#N/A</v>
      </c>
      <c r="F976" t="e">
        <f>ROUND(VLOOKUP(C976,'RAW DATA 2023'!E:BO,23,0),0)</f>
        <v>#N/A</v>
      </c>
      <c r="G976" s="16" t="e">
        <f>VLOOKUP(C976,'RAW DATA 2023'!E:BO,27,0)</f>
        <v>#N/A</v>
      </c>
      <c r="H976" s="16">
        <f>IFERROR(VLOOKUP(F976,STD!B:G,5,0),0)</f>
        <v>0</v>
      </c>
      <c r="I976" s="21">
        <f t="shared" si="78"/>
        <v>0</v>
      </c>
      <c r="J976" s="16">
        <f t="shared" si="79"/>
        <v>-10</v>
      </c>
      <c r="K976" s="106" t="e">
        <f>VLOOKUP(C976,'RAW DATA 2023'!E:BO,36,0)</f>
        <v>#N/A</v>
      </c>
      <c r="L976" s="106" t="e">
        <f>VLOOKUP(C976,'RAW DATA 2023'!E:BO,21,0)</f>
        <v>#N/A</v>
      </c>
      <c r="M976" s="106" t="e">
        <f t="shared" si="80"/>
        <v>#N/A</v>
      </c>
    </row>
    <row r="977" spans="1:13">
      <c r="A977">
        <f>'RAW DATA 2023'!B970</f>
        <v>0</v>
      </c>
      <c r="B977">
        <f>'RAW DATA 2023'!D970</f>
        <v>0</v>
      </c>
      <c r="C977" t="str">
        <f t="shared" si="76"/>
        <v>00</v>
      </c>
      <c r="D977" t="e">
        <f>VLOOKUP(C977,'RAW DATA 2023'!E:BP,63,0)</f>
        <v>#N/A</v>
      </c>
      <c r="E977" t="e">
        <f t="shared" si="77"/>
        <v>#N/A</v>
      </c>
      <c r="F977" t="e">
        <f>ROUND(VLOOKUP(C977,'RAW DATA 2023'!E:BO,23,0),0)</f>
        <v>#N/A</v>
      </c>
      <c r="G977" s="16" t="e">
        <f>VLOOKUP(C977,'RAW DATA 2023'!E:BO,27,0)</f>
        <v>#N/A</v>
      </c>
      <c r="H977" s="16">
        <f>IFERROR(VLOOKUP(F977,STD!B:G,5,0),0)</f>
        <v>0</v>
      </c>
      <c r="I977" s="21">
        <f t="shared" si="78"/>
        <v>0</v>
      </c>
      <c r="J977" s="16">
        <f t="shared" si="79"/>
        <v>-10</v>
      </c>
      <c r="K977" s="106" t="e">
        <f>VLOOKUP(C977,'RAW DATA 2023'!E:BO,36,0)</f>
        <v>#N/A</v>
      </c>
      <c r="L977" s="106" t="e">
        <f>VLOOKUP(C977,'RAW DATA 2023'!E:BO,21,0)</f>
        <v>#N/A</v>
      </c>
      <c r="M977" s="106" t="e">
        <f t="shared" si="80"/>
        <v>#N/A</v>
      </c>
    </row>
    <row r="978" spans="1:13">
      <c r="A978">
        <f>'RAW DATA 2023'!B971</f>
        <v>0</v>
      </c>
      <c r="B978">
        <f>'RAW DATA 2023'!D971</f>
        <v>0</v>
      </c>
      <c r="C978" t="str">
        <f t="shared" si="76"/>
        <v>00</v>
      </c>
      <c r="D978" t="e">
        <f>VLOOKUP(C978,'RAW DATA 2023'!E:BP,63,0)</f>
        <v>#N/A</v>
      </c>
      <c r="E978" t="e">
        <f t="shared" si="77"/>
        <v>#N/A</v>
      </c>
      <c r="F978" t="e">
        <f>ROUND(VLOOKUP(C978,'RAW DATA 2023'!E:BO,23,0),0)</f>
        <v>#N/A</v>
      </c>
      <c r="G978" s="16" t="e">
        <f>VLOOKUP(C978,'RAW DATA 2023'!E:BO,27,0)</f>
        <v>#N/A</v>
      </c>
      <c r="H978" s="16">
        <f>IFERROR(VLOOKUP(F978,STD!B:G,5,0),0)</f>
        <v>0</v>
      </c>
      <c r="I978" s="21">
        <f t="shared" si="78"/>
        <v>0</v>
      </c>
      <c r="J978" s="16">
        <f t="shared" si="79"/>
        <v>-10</v>
      </c>
      <c r="K978" s="106" t="e">
        <f>VLOOKUP(C978,'RAW DATA 2023'!E:BO,36,0)</f>
        <v>#N/A</v>
      </c>
      <c r="L978" s="106" t="e">
        <f>VLOOKUP(C978,'RAW DATA 2023'!E:BO,21,0)</f>
        <v>#N/A</v>
      </c>
      <c r="M978" s="106" t="e">
        <f t="shared" si="80"/>
        <v>#N/A</v>
      </c>
    </row>
    <row r="979" spans="1:13">
      <c r="A979">
        <f>'RAW DATA 2023'!B972</f>
        <v>0</v>
      </c>
      <c r="B979">
        <f>'RAW DATA 2023'!D972</f>
        <v>0</v>
      </c>
      <c r="C979" t="str">
        <f t="shared" si="76"/>
        <v>00</v>
      </c>
      <c r="D979" t="e">
        <f>VLOOKUP(C979,'RAW DATA 2023'!E:BP,63,0)</f>
        <v>#N/A</v>
      </c>
      <c r="E979" t="e">
        <f t="shared" si="77"/>
        <v>#N/A</v>
      </c>
      <c r="F979" t="e">
        <f>ROUND(VLOOKUP(C979,'RAW DATA 2023'!E:BO,23,0),0)</f>
        <v>#N/A</v>
      </c>
      <c r="G979" s="16" t="e">
        <f>VLOOKUP(C979,'RAW DATA 2023'!E:BO,27,0)</f>
        <v>#N/A</v>
      </c>
      <c r="H979" s="16">
        <f>IFERROR(VLOOKUP(F979,STD!B:G,5,0),0)</f>
        <v>0</v>
      </c>
      <c r="I979" s="21">
        <f t="shared" si="78"/>
        <v>0</v>
      </c>
      <c r="J979" s="16">
        <f t="shared" si="79"/>
        <v>-10</v>
      </c>
      <c r="K979" s="106" t="e">
        <f>VLOOKUP(C979,'RAW DATA 2023'!E:BO,36,0)</f>
        <v>#N/A</v>
      </c>
      <c r="L979" s="106" t="e">
        <f>VLOOKUP(C979,'RAW DATA 2023'!E:BO,21,0)</f>
        <v>#N/A</v>
      </c>
      <c r="M979" s="106" t="e">
        <f t="shared" si="80"/>
        <v>#N/A</v>
      </c>
    </row>
    <row r="980" spans="1:13">
      <c r="A980">
        <f>'RAW DATA 2023'!B973</f>
        <v>0</v>
      </c>
      <c r="B980">
        <f>'RAW DATA 2023'!D973</f>
        <v>0</v>
      </c>
      <c r="C980" t="str">
        <f t="shared" si="76"/>
        <v>00</v>
      </c>
      <c r="D980" t="e">
        <f>VLOOKUP(C980,'RAW DATA 2023'!E:BP,63,0)</f>
        <v>#N/A</v>
      </c>
      <c r="E980" t="e">
        <f t="shared" si="77"/>
        <v>#N/A</v>
      </c>
      <c r="F980" t="e">
        <f>ROUND(VLOOKUP(C980,'RAW DATA 2023'!E:BO,23,0),0)</f>
        <v>#N/A</v>
      </c>
      <c r="G980" s="16" t="e">
        <f>VLOOKUP(C980,'RAW DATA 2023'!E:BO,27,0)</f>
        <v>#N/A</v>
      </c>
      <c r="H980" s="16">
        <f>IFERROR(VLOOKUP(F980,STD!B:G,5,0),0)</f>
        <v>0</v>
      </c>
      <c r="I980" s="21">
        <f t="shared" si="78"/>
        <v>0</v>
      </c>
      <c r="J980" s="16">
        <f t="shared" si="79"/>
        <v>-10</v>
      </c>
      <c r="K980" s="106" t="e">
        <f>VLOOKUP(C980,'RAW DATA 2023'!E:BO,36,0)</f>
        <v>#N/A</v>
      </c>
      <c r="L980" s="106" t="e">
        <f>VLOOKUP(C980,'RAW DATA 2023'!E:BO,21,0)</f>
        <v>#N/A</v>
      </c>
      <c r="M980" s="106" t="e">
        <f t="shared" si="80"/>
        <v>#N/A</v>
      </c>
    </row>
    <row r="981" spans="1:13">
      <c r="A981">
        <f>'RAW DATA 2023'!B974</f>
        <v>0</v>
      </c>
      <c r="B981">
        <f>'RAW DATA 2023'!D974</f>
        <v>0</v>
      </c>
      <c r="C981" t="str">
        <f t="shared" si="76"/>
        <v>00</v>
      </c>
      <c r="D981" t="e">
        <f>VLOOKUP(C981,'RAW DATA 2023'!E:BP,63,0)</f>
        <v>#N/A</v>
      </c>
      <c r="E981" t="e">
        <f t="shared" si="77"/>
        <v>#N/A</v>
      </c>
      <c r="F981" t="e">
        <f>ROUND(VLOOKUP(C981,'RAW DATA 2023'!E:BO,23,0),0)</f>
        <v>#N/A</v>
      </c>
      <c r="G981" s="16" t="e">
        <f>VLOOKUP(C981,'RAW DATA 2023'!E:BO,27,0)</f>
        <v>#N/A</v>
      </c>
      <c r="H981" s="16">
        <f>IFERROR(VLOOKUP(F981,STD!B:G,5,0),0)</f>
        <v>0</v>
      </c>
      <c r="I981" s="21">
        <f t="shared" si="78"/>
        <v>0</v>
      </c>
      <c r="J981" s="16">
        <f t="shared" si="79"/>
        <v>-10</v>
      </c>
      <c r="K981" s="106" t="e">
        <f>VLOOKUP(C981,'RAW DATA 2023'!E:BO,36,0)</f>
        <v>#N/A</v>
      </c>
      <c r="L981" s="106" t="e">
        <f>VLOOKUP(C981,'RAW DATA 2023'!E:BO,21,0)</f>
        <v>#N/A</v>
      </c>
      <c r="M981" s="106" t="e">
        <f t="shared" si="80"/>
        <v>#N/A</v>
      </c>
    </row>
    <row r="982" spans="1:13">
      <c r="A982">
        <f>'RAW DATA 2023'!B975</f>
        <v>0</v>
      </c>
      <c r="B982">
        <f>'RAW DATA 2023'!D975</f>
        <v>0</v>
      </c>
      <c r="C982" t="str">
        <f t="shared" si="76"/>
        <v>00</v>
      </c>
      <c r="D982" t="e">
        <f>VLOOKUP(C982,'RAW DATA 2023'!E:BP,63,0)</f>
        <v>#N/A</v>
      </c>
      <c r="E982" t="e">
        <f t="shared" si="77"/>
        <v>#N/A</v>
      </c>
      <c r="F982" t="e">
        <f>ROUND(VLOOKUP(C982,'RAW DATA 2023'!E:BO,23,0),0)</f>
        <v>#N/A</v>
      </c>
      <c r="G982" s="16" t="e">
        <f>VLOOKUP(C982,'RAW DATA 2023'!E:BO,27,0)</f>
        <v>#N/A</v>
      </c>
      <c r="H982" s="16">
        <f>IFERROR(VLOOKUP(F982,STD!B:G,5,0),0)</f>
        <v>0</v>
      </c>
      <c r="I982" s="21">
        <f t="shared" si="78"/>
        <v>0</v>
      </c>
      <c r="J982" s="16">
        <f t="shared" si="79"/>
        <v>-10</v>
      </c>
      <c r="K982" s="106" t="e">
        <f>VLOOKUP(C982,'RAW DATA 2023'!E:BO,36,0)</f>
        <v>#N/A</v>
      </c>
      <c r="L982" s="106" t="e">
        <f>VLOOKUP(C982,'RAW DATA 2023'!E:BO,21,0)</f>
        <v>#N/A</v>
      </c>
      <c r="M982" s="106" t="e">
        <f t="shared" si="80"/>
        <v>#N/A</v>
      </c>
    </row>
    <row r="983" spans="1:13">
      <c r="A983">
        <f>'RAW DATA 2023'!B976</f>
        <v>0</v>
      </c>
      <c r="B983">
        <f>'RAW DATA 2023'!D976</f>
        <v>0</v>
      </c>
      <c r="C983" t="str">
        <f t="shared" si="76"/>
        <v>00</v>
      </c>
      <c r="D983" t="e">
        <f>VLOOKUP(C983,'RAW DATA 2023'!E:BP,63,0)</f>
        <v>#N/A</v>
      </c>
      <c r="E983" t="e">
        <f t="shared" si="77"/>
        <v>#N/A</v>
      </c>
      <c r="F983" t="e">
        <f>ROUND(VLOOKUP(C983,'RAW DATA 2023'!E:BO,23,0),0)</f>
        <v>#N/A</v>
      </c>
      <c r="G983" s="16" t="e">
        <f>VLOOKUP(C983,'RAW DATA 2023'!E:BO,27,0)</f>
        <v>#N/A</v>
      </c>
      <c r="H983" s="16">
        <f>IFERROR(VLOOKUP(F983,STD!B:G,5,0),0)</f>
        <v>0</v>
      </c>
      <c r="I983" s="21">
        <f t="shared" si="78"/>
        <v>0</v>
      </c>
      <c r="J983" s="16">
        <f t="shared" si="79"/>
        <v>-10</v>
      </c>
      <c r="K983" s="106" t="e">
        <f>VLOOKUP(C983,'RAW DATA 2023'!E:BO,36,0)</f>
        <v>#N/A</v>
      </c>
      <c r="L983" s="106" t="e">
        <f>VLOOKUP(C983,'RAW DATA 2023'!E:BO,21,0)</f>
        <v>#N/A</v>
      </c>
      <c r="M983" s="106" t="e">
        <f t="shared" si="80"/>
        <v>#N/A</v>
      </c>
    </row>
    <row r="984" spans="1:13">
      <c r="A984">
        <f>'RAW DATA 2023'!B977</f>
        <v>0</v>
      </c>
      <c r="B984">
        <f>'RAW DATA 2023'!D977</f>
        <v>0</v>
      </c>
      <c r="C984" t="str">
        <f t="shared" si="76"/>
        <v>00</v>
      </c>
      <c r="D984" t="e">
        <f>VLOOKUP(C984,'RAW DATA 2023'!E:BP,63,0)</f>
        <v>#N/A</v>
      </c>
      <c r="E984" t="e">
        <f t="shared" si="77"/>
        <v>#N/A</v>
      </c>
      <c r="F984" t="e">
        <f>ROUND(VLOOKUP(C984,'RAW DATA 2023'!E:BO,23,0),0)</f>
        <v>#N/A</v>
      </c>
      <c r="G984" s="16" t="e">
        <f>VLOOKUP(C984,'RAW DATA 2023'!E:BO,27,0)</f>
        <v>#N/A</v>
      </c>
      <c r="H984" s="16">
        <f>IFERROR(VLOOKUP(F984,STD!B:G,5,0),0)</f>
        <v>0</v>
      </c>
      <c r="I984" s="21">
        <f t="shared" si="78"/>
        <v>0</v>
      </c>
      <c r="J984" s="16">
        <f t="shared" si="79"/>
        <v>-10</v>
      </c>
      <c r="K984" s="106" t="e">
        <f>VLOOKUP(C984,'RAW DATA 2023'!E:BO,36,0)</f>
        <v>#N/A</v>
      </c>
      <c r="L984" s="106" t="e">
        <f>VLOOKUP(C984,'RAW DATA 2023'!E:BO,21,0)</f>
        <v>#N/A</v>
      </c>
      <c r="M984" s="106" t="e">
        <f t="shared" si="80"/>
        <v>#N/A</v>
      </c>
    </row>
    <row r="985" spans="1:13">
      <c r="A985">
        <f>'RAW DATA 2023'!B978</f>
        <v>0</v>
      </c>
      <c r="B985">
        <f>'RAW DATA 2023'!D978</f>
        <v>0</v>
      </c>
      <c r="C985" t="str">
        <f t="shared" si="76"/>
        <v>00</v>
      </c>
      <c r="D985" t="e">
        <f>VLOOKUP(C985,'RAW DATA 2023'!E:BP,63,0)</f>
        <v>#N/A</v>
      </c>
      <c r="E985" t="e">
        <f t="shared" si="77"/>
        <v>#N/A</v>
      </c>
      <c r="F985" t="e">
        <f>ROUND(VLOOKUP(C985,'RAW DATA 2023'!E:BO,23,0),0)</f>
        <v>#N/A</v>
      </c>
      <c r="G985" s="16" t="e">
        <f>VLOOKUP(C985,'RAW DATA 2023'!E:BO,27,0)</f>
        <v>#N/A</v>
      </c>
      <c r="H985" s="16">
        <f>IFERROR(VLOOKUP(F985,STD!B:G,5,0),0)</f>
        <v>0</v>
      </c>
      <c r="I985" s="21">
        <f t="shared" si="78"/>
        <v>0</v>
      </c>
      <c r="J985" s="16">
        <f t="shared" si="79"/>
        <v>-10</v>
      </c>
      <c r="K985" s="106" t="e">
        <f>VLOOKUP(C985,'RAW DATA 2023'!E:BO,36,0)</f>
        <v>#N/A</v>
      </c>
      <c r="L985" s="106" t="e">
        <f>VLOOKUP(C985,'RAW DATA 2023'!E:BO,21,0)</f>
        <v>#N/A</v>
      </c>
      <c r="M985" s="106" t="e">
        <f t="shared" si="80"/>
        <v>#N/A</v>
      </c>
    </row>
    <row r="986" spans="1:13">
      <c r="A986">
        <f>'RAW DATA 2023'!B979</f>
        <v>0</v>
      </c>
      <c r="B986">
        <f>'RAW DATA 2023'!D979</f>
        <v>0</v>
      </c>
      <c r="C986" t="str">
        <f t="shared" si="76"/>
        <v>00</v>
      </c>
      <c r="D986" t="e">
        <f>VLOOKUP(C986,'RAW DATA 2023'!E:BP,63,0)</f>
        <v>#N/A</v>
      </c>
      <c r="E986" t="e">
        <f t="shared" si="77"/>
        <v>#N/A</v>
      </c>
      <c r="F986" t="e">
        <f>ROUND(VLOOKUP(C986,'RAW DATA 2023'!E:BO,23,0),0)</f>
        <v>#N/A</v>
      </c>
      <c r="G986" s="16" t="e">
        <f>VLOOKUP(C986,'RAW DATA 2023'!E:BO,27,0)</f>
        <v>#N/A</v>
      </c>
      <c r="H986" s="16">
        <f>IFERROR(VLOOKUP(F986,STD!B:G,5,0),0)</f>
        <v>0</v>
      </c>
      <c r="I986" s="21">
        <f t="shared" si="78"/>
        <v>0</v>
      </c>
      <c r="J986" s="16">
        <f t="shared" si="79"/>
        <v>-10</v>
      </c>
      <c r="K986" s="106" t="e">
        <f>VLOOKUP(C986,'RAW DATA 2023'!E:BO,36,0)</f>
        <v>#N/A</v>
      </c>
      <c r="L986" s="106" t="e">
        <f>VLOOKUP(C986,'RAW DATA 2023'!E:BO,21,0)</f>
        <v>#N/A</v>
      </c>
      <c r="M986" s="106" t="e">
        <f t="shared" si="80"/>
        <v>#N/A</v>
      </c>
    </row>
    <row r="987" spans="1:13">
      <c r="A987">
        <f>'RAW DATA 2023'!B980</f>
        <v>0</v>
      </c>
      <c r="B987">
        <f>'RAW DATA 2023'!D980</f>
        <v>0</v>
      </c>
      <c r="C987" t="str">
        <f t="shared" si="76"/>
        <v>00</v>
      </c>
      <c r="D987" t="e">
        <f>VLOOKUP(C987,'RAW DATA 2023'!E:BP,63,0)</f>
        <v>#N/A</v>
      </c>
      <c r="E987" t="e">
        <f t="shared" si="77"/>
        <v>#N/A</v>
      </c>
      <c r="F987" t="e">
        <f>ROUND(VLOOKUP(C987,'RAW DATA 2023'!E:BO,23,0),0)</f>
        <v>#N/A</v>
      </c>
      <c r="G987" s="16" t="e">
        <f>VLOOKUP(C987,'RAW DATA 2023'!E:BO,27,0)</f>
        <v>#N/A</v>
      </c>
      <c r="H987" s="16">
        <f>IFERROR(VLOOKUP(F987,STD!B:G,5,0),0)</f>
        <v>0</v>
      </c>
      <c r="I987" s="21">
        <f t="shared" si="78"/>
        <v>0</v>
      </c>
      <c r="J987" s="16">
        <f t="shared" si="79"/>
        <v>-10</v>
      </c>
      <c r="K987" s="106" t="e">
        <f>VLOOKUP(C987,'RAW DATA 2023'!E:BO,36,0)</f>
        <v>#N/A</v>
      </c>
      <c r="L987" s="106" t="e">
        <f>VLOOKUP(C987,'RAW DATA 2023'!E:BO,21,0)</f>
        <v>#N/A</v>
      </c>
      <c r="M987" s="106" t="e">
        <f t="shared" si="80"/>
        <v>#N/A</v>
      </c>
    </row>
    <row r="988" spans="1:13">
      <c r="A988">
        <f>'RAW DATA 2023'!B981</f>
        <v>0</v>
      </c>
      <c r="B988">
        <f>'RAW DATA 2023'!D981</f>
        <v>0</v>
      </c>
      <c r="C988" t="str">
        <f t="shared" si="76"/>
        <v>00</v>
      </c>
      <c r="D988" t="e">
        <f>VLOOKUP(C988,'RAW DATA 2023'!E:BP,63,0)</f>
        <v>#N/A</v>
      </c>
      <c r="E988" t="e">
        <f t="shared" si="77"/>
        <v>#N/A</v>
      </c>
      <c r="F988" t="e">
        <f>ROUND(VLOOKUP(C988,'RAW DATA 2023'!E:BO,23,0),0)</f>
        <v>#N/A</v>
      </c>
      <c r="G988" s="16" t="e">
        <f>VLOOKUP(C988,'RAW DATA 2023'!E:BO,27,0)</f>
        <v>#N/A</v>
      </c>
      <c r="H988" s="16">
        <f>IFERROR(VLOOKUP(F988,STD!B:G,5,0),0)</f>
        <v>0</v>
      </c>
      <c r="I988" s="21">
        <f t="shared" si="78"/>
        <v>0</v>
      </c>
      <c r="J988" s="16">
        <f t="shared" si="79"/>
        <v>-10</v>
      </c>
      <c r="K988" s="106" t="e">
        <f>VLOOKUP(C988,'RAW DATA 2023'!E:BO,36,0)</f>
        <v>#N/A</v>
      </c>
      <c r="L988" s="106" t="e">
        <f>VLOOKUP(C988,'RAW DATA 2023'!E:BO,21,0)</f>
        <v>#N/A</v>
      </c>
      <c r="M988" s="106" t="e">
        <f t="shared" si="80"/>
        <v>#N/A</v>
      </c>
    </row>
    <row r="989" spans="1:13">
      <c r="A989">
        <f>'RAW DATA 2023'!B982</f>
        <v>0</v>
      </c>
      <c r="B989">
        <f>'RAW DATA 2023'!D982</f>
        <v>0</v>
      </c>
      <c r="C989" t="str">
        <f t="shared" si="76"/>
        <v>00</v>
      </c>
      <c r="D989" t="e">
        <f>VLOOKUP(C989,'RAW DATA 2023'!E:BP,63,0)</f>
        <v>#N/A</v>
      </c>
      <c r="E989" t="e">
        <f t="shared" si="77"/>
        <v>#N/A</v>
      </c>
      <c r="F989" t="e">
        <f>ROUND(VLOOKUP(C989,'RAW DATA 2023'!E:BO,23,0),0)</f>
        <v>#N/A</v>
      </c>
      <c r="G989" s="16" t="e">
        <f>VLOOKUP(C989,'RAW DATA 2023'!E:BO,27,0)</f>
        <v>#N/A</v>
      </c>
      <c r="H989" s="16">
        <f>IFERROR(VLOOKUP(F989,STD!B:G,5,0),0)</f>
        <v>0</v>
      </c>
      <c r="I989" s="21">
        <f t="shared" si="78"/>
        <v>0</v>
      </c>
      <c r="J989" s="16">
        <f t="shared" si="79"/>
        <v>-10</v>
      </c>
      <c r="K989" s="106" t="e">
        <f>VLOOKUP(C989,'RAW DATA 2023'!E:BO,36,0)</f>
        <v>#N/A</v>
      </c>
      <c r="L989" s="106" t="e">
        <f>VLOOKUP(C989,'RAW DATA 2023'!E:BO,21,0)</f>
        <v>#N/A</v>
      </c>
      <c r="M989" s="106" t="e">
        <f t="shared" si="80"/>
        <v>#N/A</v>
      </c>
    </row>
    <row r="990" spans="1:13">
      <c r="A990">
        <f>'RAW DATA 2023'!B983</f>
        <v>0</v>
      </c>
      <c r="B990">
        <f>'RAW DATA 2023'!D983</f>
        <v>0</v>
      </c>
      <c r="C990" t="str">
        <f t="shared" si="76"/>
        <v>00</v>
      </c>
      <c r="D990" t="e">
        <f>VLOOKUP(C990,'RAW DATA 2023'!E:BP,63,0)</f>
        <v>#N/A</v>
      </c>
      <c r="E990" t="e">
        <f t="shared" si="77"/>
        <v>#N/A</v>
      </c>
      <c r="F990" t="e">
        <f>ROUND(VLOOKUP(C990,'RAW DATA 2023'!E:BO,23,0),0)</f>
        <v>#N/A</v>
      </c>
      <c r="G990" s="16" t="e">
        <f>VLOOKUP(C990,'RAW DATA 2023'!E:BO,27,0)</f>
        <v>#N/A</v>
      </c>
      <c r="H990" s="16">
        <f>IFERROR(VLOOKUP(F990,STD!B:G,5,0),0)</f>
        <v>0</v>
      </c>
      <c r="I990" s="21">
        <f t="shared" si="78"/>
        <v>0</v>
      </c>
      <c r="J990" s="16">
        <f t="shared" si="79"/>
        <v>-10</v>
      </c>
      <c r="K990" s="106" t="e">
        <f>VLOOKUP(C990,'RAW DATA 2023'!E:BO,36,0)</f>
        <v>#N/A</v>
      </c>
      <c r="L990" s="106" t="e">
        <f>VLOOKUP(C990,'RAW DATA 2023'!E:BO,21,0)</f>
        <v>#N/A</v>
      </c>
      <c r="M990" s="106" t="e">
        <f t="shared" si="80"/>
        <v>#N/A</v>
      </c>
    </row>
    <row r="991" spans="1:13">
      <c r="A991">
        <f>'RAW DATA 2023'!B984</f>
        <v>0</v>
      </c>
      <c r="B991">
        <f>'RAW DATA 2023'!D984</f>
        <v>0</v>
      </c>
      <c r="C991" t="str">
        <f t="shared" si="76"/>
        <v>00</v>
      </c>
      <c r="D991" t="e">
        <f>VLOOKUP(C991,'RAW DATA 2023'!E:BP,63,0)</f>
        <v>#N/A</v>
      </c>
      <c r="E991" t="e">
        <f t="shared" si="77"/>
        <v>#N/A</v>
      </c>
      <c r="F991" t="e">
        <f>ROUND(VLOOKUP(C991,'RAW DATA 2023'!E:BO,23,0),0)</f>
        <v>#N/A</v>
      </c>
      <c r="G991" s="16" t="e">
        <f>VLOOKUP(C991,'RAW DATA 2023'!E:BO,27,0)</f>
        <v>#N/A</v>
      </c>
      <c r="H991" s="16">
        <f>IFERROR(VLOOKUP(F991,STD!B:G,5,0),0)</f>
        <v>0</v>
      </c>
      <c r="I991" s="21">
        <f t="shared" si="78"/>
        <v>0</v>
      </c>
      <c r="J991" s="16">
        <f t="shared" si="79"/>
        <v>-10</v>
      </c>
      <c r="K991" s="106" t="e">
        <f>VLOOKUP(C991,'RAW DATA 2023'!E:BO,36,0)</f>
        <v>#N/A</v>
      </c>
      <c r="L991" s="106" t="e">
        <f>VLOOKUP(C991,'RAW DATA 2023'!E:BO,21,0)</f>
        <v>#N/A</v>
      </c>
      <c r="M991" s="106" t="e">
        <f t="shared" si="80"/>
        <v>#N/A</v>
      </c>
    </row>
    <row r="992" spans="1:13">
      <c r="A992">
        <f>'RAW DATA 2023'!B985</f>
        <v>0</v>
      </c>
      <c r="B992">
        <f>'RAW DATA 2023'!D985</f>
        <v>0</v>
      </c>
      <c r="C992" t="str">
        <f t="shared" si="76"/>
        <v>00</v>
      </c>
      <c r="D992" t="e">
        <f>VLOOKUP(C992,'RAW DATA 2023'!E:BP,63,0)</f>
        <v>#N/A</v>
      </c>
      <c r="E992" t="e">
        <f t="shared" si="77"/>
        <v>#N/A</v>
      </c>
      <c r="F992" t="e">
        <f>ROUND(VLOOKUP(C992,'RAW DATA 2023'!E:BO,23,0),0)</f>
        <v>#N/A</v>
      </c>
      <c r="G992" s="16" t="e">
        <f>VLOOKUP(C992,'RAW DATA 2023'!E:BO,27,0)</f>
        <v>#N/A</v>
      </c>
      <c r="H992" s="16">
        <f>IFERROR(VLOOKUP(F992,STD!B:G,5,0),0)</f>
        <v>0</v>
      </c>
      <c r="I992" s="21">
        <f t="shared" si="78"/>
        <v>0</v>
      </c>
      <c r="J992" s="16">
        <f t="shared" si="79"/>
        <v>-10</v>
      </c>
      <c r="K992" s="106" t="e">
        <f>VLOOKUP(C992,'RAW DATA 2023'!E:BO,36,0)</f>
        <v>#N/A</v>
      </c>
      <c r="L992" s="106" t="e">
        <f>VLOOKUP(C992,'RAW DATA 2023'!E:BO,21,0)</f>
        <v>#N/A</v>
      </c>
      <c r="M992" s="106" t="e">
        <f t="shared" si="80"/>
        <v>#N/A</v>
      </c>
    </row>
    <row r="993" spans="1:13">
      <c r="A993">
        <f>'RAW DATA 2023'!B986</f>
        <v>0</v>
      </c>
      <c r="B993">
        <f>'RAW DATA 2023'!D986</f>
        <v>0</v>
      </c>
      <c r="C993" t="str">
        <f t="shared" si="76"/>
        <v>00</v>
      </c>
      <c r="D993" t="e">
        <f>VLOOKUP(C993,'RAW DATA 2023'!E:BP,63,0)</f>
        <v>#N/A</v>
      </c>
      <c r="E993" t="e">
        <f t="shared" si="77"/>
        <v>#N/A</v>
      </c>
      <c r="F993" t="e">
        <f>ROUND(VLOOKUP(C993,'RAW DATA 2023'!E:BO,23,0),0)</f>
        <v>#N/A</v>
      </c>
      <c r="G993" s="16" t="e">
        <f>VLOOKUP(C993,'RAW DATA 2023'!E:BO,27,0)</f>
        <v>#N/A</v>
      </c>
      <c r="H993" s="16">
        <f>IFERROR(VLOOKUP(F993,STD!B:G,5,0),0)</f>
        <v>0</v>
      </c>
      <c r="I993" s="21">
        <f t="shared" si="78"/>
        <v>0</v>
      </c>
      <c r="J993" s="16">
        <f t="shared" si="79"/>
        <v>-10</v>
      </c>
      <c r="K993" s="106" t="e">
        <f>VLOOKUP(C993,'RAW DATA 2023'!E:BO,36,0)</f>
        <v>#N/A</v>
      </c>
      <c r="L993" s="106" t="e">
        <f>VLOOKUP(C993,'RAW DATA 2023'!E:BO,21,0)</f>
        <v>#N/A</v>
      </c>
      <c r="M993" s="106" t="e">
        <f t="shared" si="80"/>
        <v>#N/A</v>
      </c>
    </row>
    <row r="994" spans="1:13">
      <c r="A994">
        <f>'RAW DATA 2023'!B987</f>
        <v>0</v>
      </c>
      <c r="B994">
        <f>'RAW DATA 2023'!D987</f>
        <v>0</v>
      </c>
      <c r="C994" t="str">
        <f t="shared" si="76"/>
        <v>00</v>
      </c>
      <c r="D994" t="e">
        <f>VLOOKUP(C994,'RAW DATA 2023'!E:BP,63,0)</f>
        <v>#N/A</v>
      </c>
      <c r="E994" t="e">
        <f t="shared" si="77"/>
        <v>#N/A</v>
      </c>
      <c r="F994" t="e">
        <f>ROUND(VLOOKUP(C994,'RAW DATA 2023'!E:BO,23,0),0)</f>
        <v>#N/A</v>
      </c>
      <c r="G994" s="16" t="e">
        <f>VLOOKUP(C994,'RAW DATA 2023'!E:BO,27,0)</f>
        <v>#N/A</v>
      </c>
      <c r="H994" s="16">
        <f>IFERROR(VLOOKUP(F994,STD!B:G,5,0),0)</f>
        <v>0</v>
      </c>
      <c r="I994" s="21">
        <f t="shared" si="78"/>
        <v>0</v>
      </c>
      <c r="J994" s="16">
        <f t="shared" si="79"/>
        <v>-10</v>
      </c>
      <c r="K994" s="106" t="e">
        <f>VLOOKUP(C994,'RAW DATA 2023'!E:BO,36,0)</f>
        <v>#N/A</v>
      </c>
      <c r="L994" s="106" t="e">
        <f>VLOOKUP(C994,'RAW DATA 2023'!E:BO,21,0)</f>
        <v>#N/A</v>
      </c>
      <c r="M994" s="106" t="e">
        <f t="shared" si="80"/>
        <v>#N/A</v>
      </c>
    </row>
    <row r="995" spans="1:13">
      <c r="A995">
        <f>'RAW DATA 2023'!B988</f>
        <v>0</v>
      </c>
      <c r="B995">
        <f>'RAW DATA 2023'!D988</f>
        <v>0</v>
      </c>
      <c r="C995" t="str">
        <f t="shared" si="76"/>
        <v>00</v>
      </c>
      <c r="D995" t="e">
        <f>VLOOKUP(C995,'RAW DATA 2023'!E:BP,63,0)</f>
        <v>#N/A</v>
      </c>
      <c r="E995" t="e">
        <f t="shared" si="77"/>
        <v>#N/A</v>
      </c>
      <c r="F995" t="e">
        <f>ROUND(VLOOKUP(C995,'RAW DATA 2023'!E:BO,23,0),0)</f>
        <v>#N/A</v>
      </c>
      <c r="G995" s="16" t="e">
        <f>VLOOKUP(C995,'RAW DATA 2023'!E:BO,27,0)</f>
        <v>#N/A</v>
      </c>
      <c r="H995" s="16">
        <f>IFERROR(VLOOKUP(F995,STD!B:G,5,0),0)</f>
        <v>0</v>
      </c>
      <c r="I995" s="21">
        <f t="shared" si="78"/>
        <v>0</v>
      </c>
      <c r="J995" s="16">
        <f t="shared" si="79"/>
        <v>-10</v>
      </c>
      <c r="K995" s="106" t="e">
        <f>VLOOKUP(C995,'RAW DATA 2023'!E:BO,36,0)</f>
        <v>#N/A</v>
      </c>
      <c r="L995" s="106" t="e">
        <f>VLOOKUP(C995,'RAW DATA 2023'!E:BO,21,0)</f>
        <v>#N/A</v>
      </c>
      <c r="M995" s="106" t="e">
        <f t="shared" si="80"/>
        <v>#N/A</v>
      </c>
    </row>
    <row r="996" spans="1:13">
      <c r="A996">
        <f>'RAW DATA 2023'!B989</f>
        <v>0</v>
      </c>
      <c r="B996">
        <f>'RAW DATA 2023'!D989</f>
        <v>0</v>
      </c>
      <c r="C996" t="str">
        <f t="shared" si="76"/>
        <v>00</v>
      </c>
      <c r="D996" t="e">
        <f>VLOOKUP(C996,'RAW DATA 2023'!E:BP,63,0)</f>
        <v>#N/A</v>
      </c>
      <c r="E996" t="e">
        <f t="shared" si="77"/>
        <v>#N/A</v>
      </c>
      <c r="F996" t="e">
        <f>ROUND(VLOOKUP(C996,'RAW DATA 2023'!E:BO,23,0),0)</f>
        <v>#N/A</v>
      </c>
      <c r="G996" s="16" t="e">
        <f>VLOOKUP(C996,'RAW DATA 2023'!E:BO,27,0)</f>
        <v>#N/A</v>
      </c>
      <c r="H996" s="16">
        <f>IFERROR(VLOOKUP(F996,STD!B:G,5,0),0)</f>
        <v>0</v>
      </c>
      <c r="I996" s="21">
        <f t="shared" si="78"/>
        <v>0</v>
      </c>
      <c r="J996" s="16">
        <f t="shared" si="79"/>
        <v>-10</v>
      </c>
      <c r="K996" s="106" t="e">
        <f>VLOOKUP(C996,'RAW DATA 2023'!E:BO,36,0)</f>
        <v>#N/A</v>
      </c>
      <c r="L996" s="106" t="e">
        <f>VLOOKUP(C996,'RAW DATA 2023'!E:BO,21,0)</f>
        <v>#N/A</v>
      </c>
      <c r="M996" s="106" t="e">
        <f t="shared" si="80"/>
        <v>#N/A</v>
      </c>
    </row>
    <row r="997" spans="1:13">
      <c r="A997">
        <f>'RAW DATA 2023'!B990</f>
        <v>0</v>
      </c>
      <c r="B997">
        <f>'RAW DATA 2023'!D990</f>
        <v>0</v>
      </c>
      <c r="C997" t="str">
        <f t="shared" si="76"/>
        <v>00</v>
      </c>
      <c r="D997" t="e">
        <f>VLOOKUP(C997,'RAW DATA 2023'!E:BP,63,0)</f>
        <v>#N/A</v>
      </c>
      <c r="E997" t="e">
        <f t="shared" si="77"/>
        <v>#N/A</v>
      </c>
      <c r="F997" t="e">
        <f>ROUND(VLOOKUP(C997,'RAW DATA 2023'!E:BO,23,0),0)</f>
        <v>#N/A</v>
      </c>
      <c r="G997" s="16" t="e">
        <f>VLOOKUP(C997,'RAW DATA 2023'!E:BO,27,0)</f>
        <v>#N/A</v>
      </c>
      <c r="H997" s="16">
        <f>IFERROR(VLOOKUP(F997,STD!B:G,5,0),0)</f>
        <v>0</v>
      </c>
      <c r="I997" s="21">
        <f t="shared" si="78"/>
        <v>0</v>
      </c>
      <c r="J997" s="16">
        <f t="shared" si="79"/>
        <v>-10</v>
      </c>
      <c r="K997" s="106" t="e">
        <f>VLOOKUP(C997,'RAW DATA 2023'!E:BO,36,0)</f>
        <v>#N/A</v>
      </c>
      <c r="L997" s="106" t="e">
        <f>VLOOKUP(C997,'RAW DATA 2023'!E:BO,21,0)</f>
        <v>#N/A</v>
      </c>
      <c r="M997" s="106" t="e">
        <f t="shared" si="80"/>
        <v>#N/A</v>
      </c>
    </row>
    <row r="998" spans="1:13">
      <c r="A998">
        <f>'RAW DATA 2023'!B991</f>
        <v>0</v>
      </c>
      <c r="B998">
        <f>'RAW DATA 2023'!D991</f>
        <v>0</v>
      </c>
      <c r="C998" t="str">
        <f t="shared" si="76"/>
        <v>00</v>
      </c>
      <c r="D998" t="e">
        <f>VLOOKUP(C998,'RAW DATA 2023'!E:BP,63,0)</f>
        <v>#N/A</v>
      </c>
      <c r="E998" t="e">
        <f t="shared" si="77"/>
        <v>#N/A</v>
      </c>
      <c r="F998" t="e">
        <f>ROUND(VLOOKUP(C998,'RAW DATA 2023'!E:BO,23,0),0)</f>
        <v>#N/A</v>
      </c>
      <c r="G998" s="16" t="e">
        <f>VLOOKUP(C998,'RAW DATA 2023'!E:BO,27,0)</f>
        <v>#N/A</v>
      </c>
      <c r="H998" s="16">
        <f>IFERROR(VLOOKUP(F998,STD!B:G,5,0),0)</f>
        <v>0</v>
      </c>
      <c r="I998" s="21">
        <f t="shared" si="78"/>
        <v>0</v>
      </c>
      <c r="J998" s="16">
        <f t="shared" si="79"/>
        <v>-10</v>
      </c>
      <c r="K998" s="106" t="e">
        <f>VLOOKUP(C998,'RAW DATA 2023'!E:BO,36,0)</f>
        <v>#N/A</v>
      </c>
      <c r="L998" s="106" t="e">
        <f>VLOOKUP(C998,'RAW DATA 2023'!E:BO,21,0)</f>
        <v>#N/A</v>
      </c>
      <c r="M998" s="106" t="e">
        <f t="shared" si="80"/>
        <v>#N/A</v>
      </c>
    </row>
    <row r="999" spans="1:13">
      <c r="A999">
        <f>'RAW DATA 2023'!B992</f>
        <v>0</v>
      </c>
      <c r="B999">
        <f>'RAW DATA 2023'!D992</f>
        <v>0</v>
      </c>
      <c r="C999" t="str">
        <f t="shared" si="76"/>
        <v>00</v>
      </c>
      <c r="D999" t="e">
        <f>VLOOKUP(C999,'RAW DATA 2023'!E:BP,63,0)</f>
        <v>#N/A</v>
      </c>
      <c r="E999" t="e">
        <f t="shared" si="77"/>
        <v>#N/A</v>
      </c>
      <c r="F999" t="e">
        <f>ROUND(VLOOKUP(C999,'RAW DATA 2023'!E:BO,23,0),0)</f>
        <v>#N/A</v>
      </c>
      <c r="G999" s="16" t="e">
        <f>VLOOKUP(C999,'RAW DATA 2023'!E:BO,27,0)</f>
        <v>#N/A</v>
      </c>
      <c r="H999" s="16">
        <f>IFERROR(VLOOKUP(F999,STD!B:G,5,0),0)</f>
        <v>0</v>
      </c>
      <c r="I999" s="21">
        <f t="shared" si="78"/>
        <v>0</v>
      </c>
      <c r="J999" s="16">
        <f t="shared" si="79"/>
        <v>-10</v>
      </c>
      <c r="K999" s="106" t="e">
        <f>VLOOKUP(C999,'RAW DATA 2023'!E:BO,36,0)</f>
        <v>#N/A</v>
      </c>
      <c r="L999" s="106" t="e">
        <f>VLOOKUP(C999,'RAW DATA 2023'!E:BO,21,0)</f>
        <v>#N/A</v>
      </c>
      <c r="M999" s="106" t="e">
        <f t="shared" si="80"/>
        <v>#N/A</v>
      </c>
    </row>
    <row r="1000" spans="1:13">
      <c r="A1000">
        <f>'RAW DATA 2023'!B993</f>
        <v>0</v>
      </c>
      <c r="B1000">
        <f>'RAW DATA 2023'!D993</f>
        <v>0</v>
      </c>
      <c r="C1000" t="str">
        <f t="shared" si="76"/>
        <v>00</v>
      </c>
      <c r="D1000" t="e">
        <f>VLOOKUP(C1000,'RAW DATA 2023'!E:BP,63,0)</f>
        <v>#N/A</v>
      </c>
      <c r="E1000" t="e">
        <f t="shared" si="77"/>
        <v>#N/A</v>
      </c>
      <c r="F1000" t="e">
        <f>ROUND(VLOOKUP(C1000,'RAW DATA 2023'!E:BO,23,0),0)</f>
        <v>#N/A</v>
      </c>
      <c r="G1000" s="16" t="e">
        <f>VLOOKUP(C1000,'RAW DATA 2023'!E:BO,27,0)</f>
        <v>#N/A</v>
      </c>
      <c r="H1000" s="16">
        <f>IFERROR(VLOOKUP(F1000,STD!B:G,5,0),0)</f>
        <v>0</v>
      </c>
      <c r="I1000" s="21">
        <f t="shared" si="78"/>
        <v>0</v>
      </c>
      <c r="J1000" s="16">
        <f t="shared" si="79"/>
        <v>-10</v>
      </c>
      <c r="K1000" s="106" t="e">
        <f>VLOOKUP(C1000,'RAW DATA 2023'!E:BO,36,0)</f>
        <v>#N/A</v>
      </c>
      <c r="L1000" s="106" t="e">
        <f>VLOOKUP(C1000,'RAW DATA 2023'!E:BO,21,0)</f>
        <v>#N/A</v>
      </c>
      <c r="M1000" s="106" t="e">
        <f t="shared" si="80"/>
        <v>#N/A</v>
      </c>
    </row>
    <row r="1001" spans="1:13">
      <c r="A1001">
        <f>'RAW DATA 2023'!B994</f>
        <v>0</v>
      </c>
      <c r="B1001">
        <f>'RAW DATA 2023'!D994</f>
        <v>0</v>
      </c>
      <c r="C1001" t="str">
        <f t="shared" si="76"/>
        <v>00</v>
      </c>
      <c r="D1001" t="e">
        <f>VLOOKUP(C1001,'RAW DATA 2023'!E:BP,63,0)</f>
        <v>#N/A</v>
      </c>
      <c r="E1001" t="e">
        <f t="shared" si="77"/>
        <v>#N/A</v>
      </c>
      <c r="F1001" t="e">
        <f>ROUND(VLOOKUP(C1001,'RAW DATA 2023'!E:BO,23,0),0)</f>
        <v>#N/A</v>
      </c>
      <c r="G1001" s="16" t="e">
        <f>VLOOKUP(C1001,'RAW DATA 2023'!E:BO,27,0)</f>
        <v>#N/A</v>
      </c>
      <c r="H1001" s="16">
        <f>IFERROR(VLOOKUP(F1001,STD!B:G,5,0),0)</f>
        <v>0</v>
      </c>
      <c r="I1001" s="21">
        <f t="shared" si="78"/>
        <v>0</v>
      </c>
      <c r="J1001" s="16">
        <f t="shared" si="79"/>
        <v>-10</v>
      </c>
      <c r="K1001" s="106" t="e">
        <f>VLOOKUP(C1001,'RAW DATA 2023'!E:BO,36,0)</f>
        <v>#N/A</v>
      </c>
      <c r="L1001" s="106" t="e">
        <f>VLOOKUP(C1001,'RAW DATA 2023'!E:BO,21,0)</f>
        <v>#N/A</v>
      </c>
      <c r="M1001" s="106" t="e">
        <f t="shared" si="80"/>
        <v>#N/A</v>
      </c>
    </row>
    <row r="1002" spans="1:13">
      <c r="A1002">
        <f>'RAW DATA 2023'!B995</f>
        <v>0</v>
      </c>
      <c r="B1002">
        <f>'RAW DATA 2023'!D995</f>
        <v>0</v>
      </c>
      <c r="C1002" t="str">
        <f t="shared" si="76"/>
        <v>00</v>
      </c>
      <c r="D1002" t="e">
        <f>VLOOKUP(C1002,'RAW DATA 2023'!E:BP,63,0)</f>
        <v>#N/A</v>
      </c>
      <c r="E1002" t="e">
        <f t="shared" si="77"/>
        <v>#N/A</v>
      </c>
      <c r="F1002" t="e">
        <f>ROUND(VLOOKUP(C1002,'RAW DATA 2023'!E:BO,23,0),0)</f>
        <v>#N/A</v>
      </c>
      <c r="G1002" s="16" t="e">
        <f>VLOOKUP(C1002,'RAW DATA 2023'!E:BO,27,0)</f>
        <v>#N/A</v>
      </c>
      <c r="H1002" s="16">
        <f>IFERROR(VLOOKUP(F1002,STD!B:G,5,0),0)</f>
        <v>0</v>
      </c>
      <c r="I1002" s="21">
        <f t="shared" si="78"/>
        <v>0</v>
      </c>
      <c r="J1002" s="16">
        <f t="shared" si="79"/>
        <v>-10</v>
      </c>
      <c r="K1002" s="106" t="e">
        <f>VLOOKUP(C1002,'RAW DATA 2023'!E:BO,36,0)</f>
        <v>#N/A</v>
      </c>
      <c r="L1002" s="106" t="e">
        <f>VLOOKUP(C1002,'RAW DATA 2023'!E:BO,21,0)</f>
        <v>#N/A</v>
      </c>
      <c r="M1002" s="106" t="e">
        <f t="shared" si="80"/>
        <v>#N/A</v>
      </c>
    </row>
    <row r="1003" spans="1:13">
      <c r="A1003">
        <f>'RAW DATA 2023'!B996</f>
        <v>0</v>
      </c>
      <c r="B1003">
        <f>'RAW DATA 2023'!D996</f>
        <v>0</v>
      </c>
      <c r="C1003" t="str">
        <f t="shared" si="76"/>
        <v>00</v>
      </c>
      <c r="D1003" t="e">
        <f>VLOOKUP(C1003,'RAW DATA 2023'!E:BP,63,0)</f>
        <v>#N/A</v>
      </c>
      <c r="E1003" t="e">
        <f t="shared" si="77"/>
        <v>#N/A</v>
      </c>
      <c r="F1003" t="e">
        <f>ROUND(VLOOKUP(C1003,'RAW DATA 2023'!E:BO,23,0),0)</f>
        <v>#N/A</v>
      </c>
      <c r="G1003" s="16" t="e">
        <f>VLOOKUP(C1003,'RAW DATA 2023'!E:BO,27,0)</f>
        <v>#N/A</v>
      </c>
      <c r="H1003" s="16">
        <f>IFERROR(VLOOKUP(F1003,STD!B:G,5,0),0)</f>
        <v>0</v>
      </c>
      <c r="I1003" s="21">
        <f t="shared" si="78"/>
        <v>0</v>
      </c>
      <c r="J1003" s="16">
        <f t="shared" si="79"/>
        <v>-10</v>
      </c>
      <c r="K1003" s="106" t="e">
        <f>VLOOKUP(C1003,'RAW DATA 2023'!E:BO,36,0)</f>
        <v>#N/A</v>
      </c>
      <c r="L1003" s="106" t="e">
        <f>VLOOKUP(C1003,'RAW DATA 2023'!E:BO,21,0)</f>
        <v>#N/A</v>
      </c>
      <c r="M1003" s="106" t="e">
        <f t="shared" si="80"/>
        <v>#N/A</v>
      </c>
    </row>
    <row r="1004" spans="1:13">
      <c r="A1004">
        <f>'RAW DATA 2023'!B997</f>
        <v>0</v>
      </c>
      <c r="B1004">
        <f>'RAW DATA 2023'!D997</f>
        <v>0</v>
      </c>
      <c r="C1004" t="str">
        <f t="shared" si="76"/>
        <v>00</v>
      </c>
      <c r="D1004" t="e">
        <f>VLOOKUP(C1004,'RAW DATA 2023'!E:BP,63,0)</f>
        <v>#N/A</v>
      </c>
      <c r="E1004" t="e">
        <f t="shared" si="77"/>
        <v>#N/A</v>
      </c>
      <c r="F1004" t="e">
        <f>ROUND(VLOOKUP(C1004,'RAW DATA 2023'!E:BO,23,0),0)</f>
        <v>#N/A</v>
      </c>
      <c r="G1004" s="16" t="e">
        <f>VLOOKUP(C1004,'RAW DATA 2023'!E:BO,27,0)</f>
        <v>#N/A</v>
      </c>
      <c r="H1004" s="16">
        <f>IFERROR(VLOOKUP(F1004,STD!B:G,5,0),0)</f>
        <v>0</v>
      </c>
      <c r="I1004" s="21">
        <f t="shared" si="78"/>
        <v>0</v>
      </c>
      <c r="J1004" s="16">
        <f t="shared" si="79"/>
        <v>-10</v>
      </c>
      <c r="K1004" s="106" t="e">
        <f>VLOOKUP(C1004,'RAW DATA 2023'!E:BO,36,0)</f>
        <v>#N/A</v>
      </c>
      <c r="L1004" s="106" t="e">
        <f>VLOOKUP(C1004,'RAW DATA 2023'!E:BO,21,0)</f>
        <v>#N/A</v>
      </c>
      <c r="M1004" s="106" t="e">
        <f t="shared" si="80"/>
        <v>#N/A</v>
      </c>
    </row>
    <row r="1005" spans="1:13">
      <c r="A1005">
        <f>'RAW DATA 2023'!B998</f>
        <v>0</v>
      </c>
      <c r="B1005">
        <f>'RAW DATA 2023'!D998</f>
        <v>0</v>
      </c>
      <c r="C1005" t="str">
        <f t="shared" si="76"/>
        <v>00</v>
      </c>
      <c r="D1005" t="e">
        <f>VLOOKUP(C1005,'RAW DATA 2023'!E:BP,63,0)</f>
        <v>#N/A</v>
      </c>
      <c r="E1005" t="e">
        <f t="shared" si="77"/>
        <v>#N/A</v>
      </c>
      <c r="F1005" t="e">
        <f>ROUND(VLOOKUP(C1005,'RAW DATA 2023'!E:BO,23,0),0)</f>
        <v>#N/A</v>
      </c>
      <c r="G1005" s="16" t="e">
        <f>VLOOKUP(C1005,'RAW DATA 2023'!E:BO,27,0)</f>
        <v>#N/A</v>
      </c>
      <c r="H1005" s="16">
        <f>IFERROR(VLOOKUP(F1005,STD!B:G,5,0),0)</f>
        <v>0</v>
      </c>
      <c r="I1005" s="21">
        <f t="shared" si="78"/>
        <v>0</v>
      </c>
      <c r="J1005" s="16">
        <f t="shared" si="79"/>
        <v>-10</v>
      </c>
      <c r="K1005" s="106" t="e">
        <f>VLOOKUP(C1005,'RAW DATA 2023'!E:BO,36,0)</f>
        <v>#N/A</v>
      </c>
      <c r="L1005" s="106" t="e">
        <f>VLOOKUP(C1005,'RAW DATA 2023'!E:BO,21,0)</f>
        <v>#N/A</v>
      </c>
      <c r="M1005" s="106" t="e">
        <f t="shared" si="80"/>
        <v>#N/A</v>
      </c>
    </row>
    <row r="1006" spans="1:13">
      <c r="A1006">
        <f>'RAW DATA 2023'!B999</f>
        <v>0</v>
      </c>
      <c r="B1006">
        <f>'RAW DATA 2023'!D999</f>
        <v>0</v>
      </c>
      <c r="C1006" t="str">
        <f t="shared" si="76"/>
        <v>00</v>
      </c>
      <c r="D1006" t="e">
        <f>VLOOKUP(C1006,'RAW DATA 2023'!E:BP,63,0)</f>
        <v>#N/A</v>
      </c>
      <c r="E1006" t="e">
        <f t="shared" si="77"/>
        <v>#N/A</v>
      </c>
      <c r="F1006" t="e">
        <f>ROUND(VLOOKUP(C1006,'RAW DATA 2023'!E:BO,23,0),0)</f>
        <v>#N/A</v>
      </c>
      <c r="G1006" s="16" t="e">
        <f>VLOOKUP(C1006,'RAW DATA 2023'!E:BO,27,0)</f>
        <v>#N/A</v>
      </c>
      <c r="H1006" s="16">
        <f>IFERROR(VLOOKUP(F1006,STD!B:G,5,0),0)</f>
        <v>0</v>
      </c>
      <c r="I1006" s="21">
        <f t="shared" si="78"/>
        <v>0</v>
      </c>
      <c r="J1006" s="16">
        <f t="shared" si="79"/>
        <v>-10</v>
      </c>
      <c r="K1006" s="106" t="e">
        <f>VLOOKUP(C1006,'RAW DATA 2023'!E:BO,36,0)</f>
        <v>#N/A</v>
      </c>
      <c r="L1006" s="106" t="e">
        <f>VLOOKUP(C1006,'RAW DATA 2023'!E:BO,21,0)</f>
        <v>#N/A</v>
      </c>
      <c r="M1006" s="106" t="e">
        <f t="shared" si="80"/>
        <v>#N/A</v>
      </c>
    </row>
    <row r="1007" spans="1:13">
      <c r="A1007">
        <f>'RAW DATA 2023'!B1000</f>
        <v>0</v>
      </c>
      <c r="B1007">
        <f>'RAW DATA 2023'!D1000</f>
        <v>0</v>
      </c>
      <c r="C1007" t="str">
        <f t="shared" si="76"/>
        <v>00</v>
      </c>
      <c r="D1007" t="e">
        <f>VLOOKUP(C1007,'RAW DATA 2023'!E:BP,63,0)</f>
        <v>#N/A</v>
      </c>
      <c r="E1007" t="e">
        <f t="shared" si="77"/>
        <v>#N/A</v>
      </c>
      <c r="F1007" t="e">
        <f>ROUND(VLOOKUP(C1007,'RAW DATA 2023'!E:BO,23,0),0)</f>
        <v>#N/A</v>
      </c>
      <c r="G1007" s="16" t="e">
        <f>VLOOKUP(C1007,'RAW DATA 2023'!E:BO,27,0)</f>
        <v>#N/A</v>
      </c>
      <c r="H1007" s="16">
        <f>IFERROR(VLOOKUP(F1007,STD!B:G,5,0),0)</f>
        <v>0</v>
      </c>
      <c r="I1007" s="21">
        <f t="shared" si="78"/>
        <v>0</v>
      </c>
      <c r="J1007" s="16">
        <f t="shared" si="79"/>
        <v>-10</v>
      </c>
      <c r="K1007" s="106" t="e">
        <f>VLOOKUP(C1007,'RAW DATA 2023'!E:BO,36,0)</f>
        <v>#N/A</v>
      </c>
      <c r="L1007" s="106" t="e">
        <f>VLOOKUP(C1007,'RAW DATA 2023'!E:BO,21,0)</f>
        <v>#N/A</v>
      </c>
      <c r="M1007" s="106" t="e">
        <f t="shared" si="80"/>
        <v>#N/A</v>
      </c>
    </row>
    <row r="1008" spans="1:13">
      <c r="A1008">
        <f>'RAW DATA 2023'!B1001</f>
        <v>0</v>
      </c>
      <c r="B1008">
        <f>'RAW DATA 2023'!D1001</f>
        <v>0</v>
      </c>
      <c r="C1008" t="str">
        <f t="shared" si="76"/>
        <v>00</v>
      </c>
      <c r="D1008" t="e">
        <f>VLOOKUP(C1008,'RAW DATA 2023'!E:BP,63,0)</f>
        <v>#N/A</v>
      </c>
      <c r="E1008" t="e">
        <f t="shared" si="77"/>
        <v>#N/A</v>
      </c>
      <c r="F1008" t="e">
        <f>ROUND(VLOOKUP(C1008,'RAW DATA 2023'!E:BO,23,0),0)</f>
        <v>#N/A</v>
      </c>
      <c r="G1008" s="16" t="e">
        <f>VLOOKUP(C1008,'RAW DATA 2023'!E:BO,27,0)</f>
        <v>#N/A</v>
      </c>
      <c r="H1008" s="16">
        <f>IFERROR(VLOOKUP(F1008,STD!B:G,5,0),0)</f>
        <v>0</v>
      </c>
      <c r="I1008" s="21">
        <f t="shared" si="78"/>
        <v>0</v>
      </c>
      <c r="J1008" s="16">
        <f t="shared" si="79"/>
        <v>-10</v>
      </c>
      <c r="K1008" s="106" t="e">
        <f>VLOOKUP(C1008,'RAW DATA 2023'!E:BO,36,0)</f>
        <v>#N/A</v>
      </c>
      <c r="L1008" s="106" t="e">
        <f>VLOOKUP(C1008,'RAW DATA 2023'!E:BO,21,0)</f>
        <v>#N/A</v>
      </c>
      <c r="M1008" s="106" t="e">
        <f t="shared" si="80"/>
        <v>#N/A</v>
      </c>
    </row>
    <row r="1009" spans="1:13">
      <c r="A1009">
        <f>'RAW DATA 2023'!B1002</f>
        <v>0</v>
      </c>
      <c r="B1009">
        <f>'RAW DATA 2023'!D1002</f>
        <v>0</v>
      </c>
      <c r="C1009" t="str">
        <f t="shared" si="76"/>
        <v>00</v>
      </c>
      <c r="D1009" t="e">
        <f>VLOOKUP(C1009,'RAW DATA 2023'!E:BP,63,0)</f>
        <v>#N/A</v>
      </c>
      <c r="E1009" t="e">
        <f t="shared" si="77"/>
        <v>#N/A</v>
      </c>
      <c r="F1009" t="e">
        <f>ROUND(VLOOKUP(C1009,'RAW DATA 2023'!E:BO,23,0),0)</f>
        <v>#N/A</v>
      </c>
      <c r="G1009" s="16" t="e">
        <f>VLOOKUP(C1009,'RAW DATA 2023'!E:BO,27,0)</f>
        <v>#N/A</v>
      </c>
      <c r="H1009" s="16">
        <f>IFERROR(VLOOKUP(F1009,STD!B:G,5,0),0)</f>
        <v>0</v>
      </c>
      <c r="I1009" s="21">
        <f t="shared" si="78"/>
        <v>0</v>
      </c>
      <c r="J1009" s="16">
        <f t="shared" si="79"/>
        <v>-10</v>
      </c>
      <c r="K1009" s="106" t="e">
        <f>VLOOKUP(C1009,'RAW DATA 2023'!E:BO,36,0)</f>
        <v>#N/A</v>
      </c>
      <c r="L1009" s="106" t="e">
        <f>VLOOKUP(C1009,'RAW DATA 2023'!E:BO,21,0)</f>
        <v>#N/A</v>
      </c>
      <c r="M1009" s="106" t="e">
        <f t="shared" si="80"/>
        <v>#N/A</v>
      </c>
    </row>
    <row r="1010" spans="1:13">
      <c r="A1010">
        <f>'RAW DATA 2023'!B1003</f>
        <v>0</v>
      </c>
      <c r="B1010">
        <f>'RAW DATA 2023'!D1003</f>
        <v>0</v>
      </c>
      <c r="C1010" t="str">
        <f t="shared" si="76"/>
        <v>00</v>
      </c>
      <c r="D1010" t="e">
        <f>VLOOKUP(C1010,'RAW DATA 2023'!E:BP,63,0)</f>
        <v>#N/A</v>
      </c>
      <c r="E1010" t="e">
        <f t="shared" si="77"/>
        <v>#N/A</v>
      </c>
      <c r="F1010" t="e">
        <f>ROUND(VLOOKUP(C1010,'RAW DATA 2023'!E:BO,23,0),0)</f>
        <v>#N/A</v>
      </c>
      <c r="G1010" s="16" t="e">
        <f>VLOOKUP(C1010,'RAW DATA 2023'!E:BO,27,0)</f>
        <v>#N/A</v>
      </c>
      <c r="H1010" s="16">
        <f>IFERROR(VLOOKUP(F1010,STD!B:G,5,0),0)</f>
        <v>0</v>
      </c>
      <c r="I1010" s="21">
        <f t="shared" si="78"/>
        <v>0</v>
      </c>
      <c r="J1010" s="16">
        <f t="shared" si="79"/>
        <v>-10</v>
      </c>
      <c r="K1010" s="106" t="e">
        <f>VLOOKUP(C1010,'RAW DATA 2023'!E:BO,36,0)</f>
        <v>#N/A</v>
      </c>
      <c r="L1010" s="106" t="e">
        <f>VLOOKUP(C1010,'RAW DATA 2023'!E:BO,21,0)</f>
        <v>#N/A</v>
      </c>
      <c r="M1010" s="106" t="e">
        <f t="shared" si="80"/>
        <v>#N/A</v>
      </c>
    </row>
    <row r="1011" spans="1:13">
      <c r="A1011">
        <f>'RAW DATA 2023'!B1004</f>
        <v>0</v>
      </c>
      <c r="B1011">
        <f>'RAW DATA 2023'!D1004</f>
        <v>0</v>
      </c>
      <c r="C1011" t="str">
        <f t="shared" si="76"/>
        <v>00</v>
      </c>
      <c r="D1011" t="e">
        <f>VLOOKUP(C1011,'RAW DATA 2023'!E:BP,63,0)</f>
        <v>#N/A</v>
      </c>
      <c r="E1011" t="e">
        <f t="shared" si="77"/>
        <v>#N/A</v>
      </c>
      <c r="F1011" t="e">
        <f>ROUND(VLOOKUP(C1011,'RAW DATA 2023'!E:BO,23,0),0)</f>
        <v>#N/A</v>
      </c>
      <c r="G1011" s="16" t="e">
        <f>VLOOKUP(C1011,'RAW DATA 2023'!E:BO,27,0)</f>
        <v>#N/A</v>
      </c>
      <c r="H1011" s="16">
        <f>IFERROR(VLOOKUP(F1011,STD!B:G,5,0),0)</f>
        <v>0</v>
      </c>
      <c r="I1011" s="21">
        <f t="shared" si="78"/>
        <v>0</v>
      </c>
      <c r="J1011" s="16">
        <f t="shared" si="79"/>
        <v>-10</v>
      </c>
      <c r="K1011" s="106" t="e">
        <f>VLOOKUP(C1011,'RAW DATA 2023'!E:BO,36,0)</f>
        <v>#N/A</v>
      </c>
      <c r="L1011" s="106" t="e">
        <f>VLOOKUP(C1011,'RAW DATA 2023'!E:BO,21,0)</f>
        <v>#N/A</v>
      </c>
      <c r="M1011" s="106" t="e">
        <f t="shared" si="80"/>
        <v>#N/A</v>
      </c>
    </row>
    <row r="1012" spans="1:13">
      <c r="A1012">
        <f>'RAW DATA 2023'!B1005</f>
        <v>0</v>
      </c>
      <c r="B1012">
        <f>'RAW DATA 2023'!D1005</f>
        <v>0</v>
      </c>
      <c r="C1012" t="str">
        <f t="shared" si="76"/>
        <v>00</v>
      </c>
      <c r="D1012" t="e">
        <f>VLOOKUP(C1012,'RAW DATA 2023'!E:BP,63,0)</f>
        <v>#N/A</v>
      </c>
      <c r="E1012" t="e">
        <f t="shared" si="77"/>
        <v>#N/A</v>
      </c>
      <c r="F1012" t="e">
        <f>ROUND(VLOOKUP(C1012,'RAW DATA 2023'!E:BO,23,0),0)</f>
        <v>#N/A</v>
      </c>
      <c r="G1012" s="16" t="e">
        <f>VLOOKUP(C1012,'RAW DATA 2023'!E:BO,27,0)</f>
        <v>#N/A</v>
      </c>
      <c r="H1012" s="16">
        <f>IFERROR(VLOOKUP(F1012,STD!B:G,5,0),0)</f>
        <v>0</v>
      </c>
      <c r="I1012" s="21">
        <f t="shared" si="78"/>
        <v>0</v>
      </c>
      <c r="J1012" s="16">
        <f t="shared" si="79"/>
        <v>-10</v>
      </c>
      <c r="K1012" s="106" t="e">
        <f>VLOOKUP(C1012,'RAW DATA 2023'!E:BO,36,0)</f>
        <v>#N/A</v>
      </c>
      <c r="L1012" s="106" t="e">
        <f>VLOOKUP(C1012,'RAW DATA 2023'!E:BO,21,0)</f>
        <v>#N/A</v>
      </c>
      <c r="M1012" s="106" t="e">
        <f t="shared" si="80"/>
        <v>#N/A</v>
      </c>
    </row>
    <row r="1013" spans="1:13">
      <c r="A1013">
        <f>'RAW DATA 2023'!B1006</f>
        <v>0</v>
      </c>
      <c r="B1013">
        <f>'RAW DATA 2023'!D1006</f>
        <v>0</v>
      </c>
      <c r="C1013" t="str">
        <f t="shared" si="76"/>
        <v>00</v>
      </c>
      <c r="D1013" t="e">
        <f>VLOOKUP(C1013,'RAW DATA 2023'!E:BP,63,0)</f>
        <v>#N/A</v>
      </c>
      <c r="E1013" t="e">
        <f t="shared" si="77"/>
        <v>#N/A</v>
      </c>
      <c r="F1013" t="e">
        <f>ROUND(VLOOKUP(C1013,'RAW DATA 2023'!E:BO,23,0),0)</f>
        <v>#N/A</v>
      </c>
      <c r="G1013" s="16" t="e">
        <f>VLOOKUP(C1013,'RAW DATA 2023'!E:BO,27,0)</f>
        <v>#N/A</v>
      </c>
      <c r="H1013" s="16">
        <f>IFERROR(VLOOKUP(F1013,STD!B:G,5,0),0)</f>
        <v>0</v>
      </c>
      <c r="I1013" s="21">
        <f t="shared" si="78"/>
        <v>0</v>
      </c>
      <c r="J1013" s="16">
        <f t="shared" si="79"/>
        <v>-10</v>
      </c>
      <c r="K1013" s="106" t="e">
        <f>VLOOKUP(C1013,'RAW DATA 2023'!E:BO,36,0)</f>
        <v>#N/A</v>
      </c>
      <c r="L1013" s="106" t="e">
        <f>VLOOKUP(C1013,'RAW DATA 2023'!E:BO,21,0)</f>
        <v>#N/A</v>
      </c>
      <c r="M1013" s="106" t="e">
        <f t="shared" si="80"/>
        <v>#N/A</v>
      </c>
    </row>
    <row r="1014" spans="1:13">
      <c r="A1014">
        <f>'RAW DATA 2023'!B1007</f>
        <v>0</v>
      </c>
      <c r="B1014">
        <f>'RAW DATA 2023'!D1007</f>
        <v>0</v>
      </c>
      <c r="C1014" t="str">
        <f t="shared" si="76"/>
        <v>00</v>
      </c>
      <c r="D1014" t="e">
        <f>VLOOKUP(C1014,'RAW DATA 2023'!E:BP,63,0)</f>
        <v>#N/A</v>
      </c>
      <c r="E1014" t="e">
        <f t="shared" si="77"/>
        <v>#N/A</v>
      </c>
      <c r="F1014" t="e">
        <f>ROUND(VLOOKUP(C1014,'RAW DATA 2023'!E:BO,23,0),0)</f>
        <v>#N/A</v>
      </c>
      <c r="G1014" s="16" t="e">
        <f>VLOOKUP(C1014,'RAW DATA 2023'!E:BO,27,0)</f>
        <v>#N/A</v>
      </c>
      <c r="H1014" s="16">
        <f>IFERROR(VLOOKUP(F1014,STD!B:G,5,0),0)</f>
        <v>0</v>
      </c>
      <c r="I1014" s="21">
        <f t="shared" si="78"/>
        <v>0</v>
      </c>
      <c r="J1014" s="16">
        <f t="shared" si="79"/>
        <v>-10</v>
      </c>
      <c r="K1014" s="106" t="e">
        <f>VLOOKUP(C1014,'RAW DATA 2023'!E:BO,36,0)</f>
        <v>#N/A</v>
      </c>
      <c r="L1014" s="106" t="e">
        <f>VLOOKUP(C1014,'RAW DATA 2023'!E:BO,21,0)</f>
        <v>#N/A</v>
      </c>
      <c r="M1014" s="106" t="e">
        <f t="shared" si="80"/>
        <v>#N/A</v>
      </c>
    </row>
    <row r="1015" spans="1:13">
      <c r="A1015">
        <f>'RAW DATA 2023'!B1008</f>
        <v>0</v>
      </c>
      <c r="B1015">
        <f>'RAW DATA 2023'!D1008</f>
        <v>0</v>
      </c>
      <c r="C1015" t="str">
        <f t="shared" si="76"/>
        <v>00</v>
      </c>
      <c r="D1015" t="e">
        <f>VLOOKUP(C1015,'RAW DATA 2023'!E:BP,63,0)</f>
        <v>#N/A</v>
      </c>
      <c r="E1015" t="e">
        <f t="shared" si="77"/>
        <v>#N/A</v>
      </c>
      <c r="F1015" t="e">
        <f>ROUND(VLOOKUP(C1015,'RAW DATA 2023'!E:BO,23,0),0)</f>
        <v>#N/A</v>
      </c>
      <c r="G1015" s="16" t="e">
        <f>VLOOKUP(C1015,'RAW DATA 2023'!E:BO,27,0)</f>
        <v>#N/A</v>
      </c>
      <c r="H1015" s="16">
        <f>IFERROR(VLOOKUP(F1015,STD!B:G,5,0),0)</f>
        <v>0</v>
      </c>
      <c r="I1015" s="21">
        <f t="shared" si="78"/>
        <v>0</v>
      </c>
      <c r="J1015" s="16">
        <f t="shared" si="79"/>
        <v>-10</v>
      </c>
      <c r="K1015" s="106" t="e">
        <f>VLOOKUP(C1015,'RAW DATA 2023'!E:BO,36,0)</f>
        <v>#N/A</v>
      </c>
      <c r="L1015" s="106" t="e">
        <f>VLOOKUP(C1015,'RAW DATA 2023'!E:BO,21,0)</f>
        <v>#N/A</v>
      </c>
      <c r="M1015" s="106" t="e">
        <f t="shared" si="80"/>
        <v>#N/A</v>
      </c>
    </row>
    <row r="1016" spans="1:13">
      <c r="A1016">
        <f>'RAW DATA 2023'!B1009</f>
        <v>0</v>
      </c>
      <c r="B1016">
        <f>'RAW DATA 2023'!D1009</f>
        <v>0</v>
      </c>
      <c r="C1016" t="str">
        <f t="shared" si="76"/>
        <v>00</v>
      </c>
      <c r="D1016" t="e">
        <f>VLOOKUP(C1016,'RAW DATA 2023'!E:BP,63,0)</f>
        <v>#N/A</v>
      </c>
      <c r="E1016" t="e">
        <f t="shared" si="77"/>
        <v>#N/A</v>
      </c>
      <c r="F1016" t="e">
        <f>ROUND(VLOOKUP(C1016,'RAW DATA 2023'!E:BO,23,0),0)</f>
        <v>#N/A</v>
      </c>
      <c r="G1016" s="16" t="e">
        <f>VLOOKUP(C1016,'RAW DATA 2023'!E:BO,27,0)</f>
        <v>#N/A</v>
      </c>
      <c r="H1016" s="16">
        <f>IFERROR(VLOOKUP(F1016,STD!B:G,5,0),0)</f>
        <v>0</v>
      </c>
      <c r="I1016" s="21">
        <f t="shared" si="78"/>
        <v>0</v>
      </c>
      <c r="J1016" s="16">
        <f t="shared" si="79"/>
        <v>-10</v>
      </c>
      <c r="K1016" s="106" t="e">
        <f>VLOOKUP(C1016,'RAW DATA 2023'!E:BO,36,0)</f>
        <v>#N/A</v>
      </c>
      <c r="L1016" s="106" t="e">
        <f>VLOOKUP(C1016,'RAW DATA 2023'!E:BO,21,0)</f>
        <v>#N/A</v>
      </c>
      <c r="M1016" s="106" t="e">
        <f t="shared" si="80"/>
        <v>#N/A</v>
      </c>
    </row>
    <row r="1017" spans="1:13">
      <c r="A1017">
        <f>'RAW DATA 2023'!B1010</f>
        <v>0</v>
      </c>
      <c r="B1017">
        <f>'RAW DATA 2023'!D1010</f>
        <v>0</v>
      </c>
      <c r="C1017" t="str">
        <f t="shared" si="76"/>
        <v>00</v>
      </c>
      <c r="D1017" t="e">
        <f>VLOOKUP(C1017,'RAW DATA 2023'!E:BP,63,0)</f>
        <v>#N/A</v>
      </c>
      <c r="E1017" t="e">
        <f t="shared" si="77"/>
        <v>#N/A</v>
      </c>
      <c r="F1017" t="e">
        <f>ROUND(VLOOKUP(C1017,'RAW DATA 2023'!E:BO,23,0),0)</f>
        <v>#N/A</v>
      </c>
      <c r="G1017" s="16" t="e">
        <f>VLOOKUP(C1017,'RAW DATA 2023'!E:BO,27,0)</f>
        <v>#N/A</v>
      </c>
      <c r="H1017" s="16">
        <f>IFERROR(VLOOKUP(F1017,STD!B:G,5,0),0)</f>
        <v>0</v>
      </c>
      <c r="I1017" s="21">
        <f t="shared" si="78"/>
        <v>0</v>
      </c>
      <c r="J1017" s="16">
        <f t="shared" si="79"/>
        <v>-10</v>
      </c>
      <c r="K1017" s="106" t="e">
        <f>VLOOKUP(C1017,'RAW DATA 2023'!E:BO,36,0)</f>
        <v>#N/A</v>
      </c>
      <c r="L1017" s="106" t="e">
        <f>VLOOKUP(C1017,'RAW DATA 2023'!E:BO,21,0)</f>
        <v>#N/A</v>
      </c>
      <c r="M1017" s="106" t="e">
        <f t="shared" si="80"/>
        <v>#N/A</v>
      </c>
    </row>
    <row r="1018" spans="1:13">
      <c r="A1018">
        <f>'RAW DATA 2023'!B1011</f>
        <v>0</v>
      </c>
      <c r="B1018">
        <f>'RAW DATA 2023'!D1011</f>
        <v>0</v>
      </c>
      <c r="C1018" t="str">
        <f t="shared" si="76"/>
        <v>00</v>
      </c>
      <c r="D1018" t="e">
        <f>VLOOKUP(C1018,'RAW DATA 2023'!E:BP,63,0)</f>
        <v>#N/A</v>
      </c>
      <c r="E1018" t="e">
        <f t="shared" si="77"/>
        <v>#N/A</v>
      </c>
      <c r="F1018" t="e">
        <f>ROUND(VLOOKUP(C1018,'RAW DATA 2023'!E:BO,23,0),0)</f>
        <v>#N/A</v>
      </c>
      <c r="G1018" s="16" t="e">
        <f>VLOOKUP(C1018,'RAW DATA 2023'!E:BO,27,0)</f>
        <v>#N/A</v>
      </c>
      <c r="H1018" s="16">
        <f>IFERROR(VLOOKUP(F1018,STD!B:G,5,0),0)</f>
        <v>0</v>
      </c>
      <c r="I1018" s="21">
        <f t="shared" si="78"/>
        <v>0</v>
      </c>
      <c r="J1018" s="16">
        <f t="shared" si="79"/>
        <v>-10</v>
      </c>
      <c r="K1018" s="106" t="e">
        <f>VLOOKUP(C1018,'RAW DATA 2023'!E:BO,36,0)</f>
        <v>#N/A</v>
      </c>
      <c r="L1018" s="106" t="e">
        <f>VLOOKUP(C1018,'RAW DATA 2023'!E:BO,21,0)</f>
        <v>#N/A</v>
      </c>
      <c r="M1018" s="106" t="e">
        <f t="shared" si="80"/>
        <v>#N/A</v>
      </c>
    </row>
    <row r="1019" spans="1:13">
      <c r="A1019">
        <f>'RAW DATA 2023'!B1012</f>
        <v>0</v>
      </c>
      <c r="B1019">
        <f>'RAW DATA 2023'!D1012</f>
        <v>0</v>
      </c>
      <c r="C1019" t="str">
        <f t="shared" si="76"/>
        <v>00</v>
      </c>
      <c r="D1019" t="e">
        <f>VLOOKUP(C1019,'RAW DATA 2023'!E:BP,63,0)</f>
        <v>#N/A</v>
      </c>
      <c r="E1019" t="e">
        <f t="shared" si="77"/>
        <v>#N/A</v>
      </c>
      <c r="F1019" t="e">
        <f>ROUND(VLOOKUP(C1019,'RAW DATA 2023'!E:BO,23,0),0)</f>
        <v>#N/A</v>
      </c>
      <c r="G1019" s="16" t="e">
        <f>VLOOKUP(C1019,'RAW DATA 2023'!E:BO,27,0)</f>
        <v>#N/A</v>
      </c>
      <c r="H1019" s="16">
        <f>IFERROR(VLOOKUP(F1019,STD!B:G,5,0),0)</f>
        <v>0</v>
      </c>
      <c r="I1019" s="21">
        <f t="shared" si="78"/>
        <v>0</v>
      </c>
      <c r="J1019" s="16">
        <f t="shared" si="79"/>
        <v>-10</v>
      </c>
      <c r="K1019" s="106" t="e">
        <f>VLOOKUP(C1019,'RAW DATA 2023'!E:BO,36,0)</f>
        <v>#N/A</v>
      </c>
      <c r="L1019" s="106" t="e">
        <f>VLOOKUP(C1019,'RAW DATA 2023'!E:BO,21,0)</f>
        <v>#N/A</v>
      </c>
      <c r="M1019" s="106" t="e">
        <f t="shared" si="80"/>
        <v>#N/A</v>
      </c>
    </row>
    <row r="1020" spans="1:13">
      <c r="A1020">
        <f>'RAW DATA 2023'!B1013</f>
        <v>0</v>
      </c>
      <c r="B1020">
        <f>'RAW DATA 2023'!D1013</f>
        <v>0</v>
      </c>
      <c r="C1020" t="str">
        <f t="shared" si="76"/>
        <v>00</v>
      </c>
      <c r="D1020" t="e">
        <f>VLOOKUP(C1020,'RAW DATA 2023'!E:BP,63,0)</f>
        <v>#N/A</v>
      </c>
      <c r="E1020" t="e">
        <f t="shared" si="77"/>
        <v>#N/A</v>
      </c>
      <c r="F1020" t="e">
        <f>ROUND(VLOOKUP(C1020,'RAW DATA 2023'!E:BO,23,0),0)</f>
        <v>#N/A</v>
      </c>
      <c r="G1020" s="16" t="e">
        <f>VLOOKUP(C1020,'RAW DATA 2023'!E:BO,27,0)</f>
        <v>#N/A</v>
      </c>
      <c r="H1020" s="16">
        <f>IFERROR(VLOOKUP(F1020,STD!B:G,5,0),0)</f>
        <v>0</v>
      </c>
      <c r="I1020" s="21">
        <f t="shared" si="78"/>
        <v>0</v>
      </c>
      <c r="J1020" s="16">
        <f t="shared" si="79"/>
        <v>-10</v>
      </c>
      <c r="K1020" s="106" t="e">
        <f>VLOOKUP(C1020,'RAW DATA 2023'!E:BO,36,0)</f>
        <v>#N/A</v>
      </c>
      <c r="L1020" s="106" t="e">
        <f>VLOOKUP(C1020,'RAW DATA 2023'!E:BO,21,0)</f>
        <v>#N/A</v>
      </c>
      <c r="M1020" s="106" t="e">
        <f t="shared" si="80"/>
        <v>#N/A</v>
      </c>
    </row>
    <row r="1021" spans="1:13">
      <c r="A1021">
        <f>'RAW DATA 2023'!B1014</f>
        <v>0</v>
      </c>
      <c r="B1021">
        <f>'RAW DATA 2023'!D1014</f>
        <v>0</v>
      </c>
      <c r="C1021" t="str">
        <f t="shared" si="76"/>
        <v>00</v>
      </c>
      <c r="D1021" t="e">
        <f>VLOOKUP(C1021,'RAW DATA 2023'!E:BP,63,0)</f>
        <v>#N/A</v>
      </c>
      <c r="E1021" t="e">
        <f t="shared" si="77"/>
        <v>#N/A</v>
      </c>
      <c r="F1021" t="e">
        <f>ROUND(VLOOKUP(C1021,'RAW DATA 2023'!E:BO,23,0),0)</f>
        <v>#N/A</v>
      </c>
      <c r="G1021" s="16" t="e">
        <f>VLOOKUP(C1021,'RAW DATA 2023'!E:BO,27,0)</f>
        <v>#N/A</v>
      </c>
      <c r="H1021" s="16">
        <f>IFERROR(VLOOKUP(F1021,STD!B:G,5,0),0)</f>
        <v>0</v>
      </c>
      <c r="I1021" s="21">
        <f t="shared" si="78"/>
        <v>0</v>
      </c>
      <c r="J1021" s="16">
        <f t="shared" si="79"/>
        <v>-10</v>
      </c>
      <c r="K1021" s="106" t="e">
        <f>VLOOKUP(C1021,'RAW DATA 2023'!E:BO,36,0)</f>
        <v>#N/A</v>
      </c>
      <c r="L1021" s="106" t="e">
        <f>VLOOKUP(C1021,'RAW DATA 2023'!E:BO,21,0)</f>
        <v>#N/A</v>
      </c>
      <c r="M1021" s="106" t="e">
        <f t="shared" si="80"/>
        <v>#N/A</v>
      </c>
    </row>
    <row r="1022" spans="1:13">
      <c r="A1022">
        <f>'RAW DATA 2023'!B1015</f>
        <v>0</v>
      </c>
      <c r="B1022">
        <f>'RAW DATA 2023'!D1015</f>
        <v>0</v>
      </c>
      <c r="C1022" t="str">
        <f t="shared" si="76"/>
        <v>00</v>
      </c>
      <c r="D1022" t="e">
        <f>VLOOKUP(C1022,'RAW DATA 2023'!E:BP,63,0)</f>
        <v>#N/A</v>
      </c>
      <c r="E1022" t="e">
        <f t="shared" si="77"/>
        <v>#N/A</v>
      </c>
      <c r="F1022" t="e">
        <f>ROUND(VLOOKUP(C1022,'RAW DATA 2023'!E:BO,23,0),0)</f>
        <v>#N/A</v>
      </c>
      <c r="G1022" s="16" t="e">
        <f>VLOOKUP(C1022,'RAW DATA 2023'!E:BO,27,0)</f>
        <v>#N/A</v>
      </c>
      <c r="H1022" s="16">
        <f>IFERROR(VLOOKUP(F1022,STD!B:G,5,0),0)</f>
        <v>0</v>
      </c>
      <c r="I1022" s="21">
        <f t="shared" si="78"/>
        <v>0</v>
      </c>
      <c r="J1022" s="16">
        <f t="shared" si="79"/>
        <v>-10</v>
      </c>
      <c r="K1022" s="106" t="e">
        <f>VLOOKUP(C1022,'RAW DATA 2023'!E:BO,36,0)</f>
        <v>#N/A</v>
      </c>
      <c r="L1022" s="106" t="e">
        <f>VLOOKUP(C1022,'RAW DATA 2023'!E:BO,21,0)</f>
        <v>#N/A</v>
      </c>
      <c r="M1022" s="106" t="e">
        <f t="shared" si="80"/>
        <v>#N/A</v>
      </c>
    </row>
    <row r="1023" spans="1:13">
      <c r="A1023">
        <f>'RAW DATA 2023'!B1016</f>
        <v>0</v>
      </c>
      <c r="B1023">
        <f>'RAW DATA 2023'!D1016</f>
        <v>0</v>
      </c>
      <c r="C1023" t="str">
        <f t="shared" si="76"/>
        <v>00</v>
      </c>
      <c r="D1023" t="e">
        <f>VLOOKUP(C1023,'RAW DATA 2023'!E:BP,63,0)</f>
        <v>#N/A</v>
      </c>
      <c r="E1023" t="e">
        <f t="shared" si="77"/>
        <v>#N/A</v>
      </c>
      <c r="F1023" t="e">
        <f>ROUND(VLOOKUP(C1023,'RAW DATA 2023'!E:BO,23,0),0)</f>
        <v>#N/A</v>
      </c>
      <c r="G1023" s="16" t="e">
        <f>VLOOKUP(C1023,'RAW DATA 2023'!E:BO,27,0)</f>
        <v>#N/A</v>
      </c>
      <c r="H1023" s="16">
        <f>IFERROR(VLOOKUP(F1023,STD!B:G,5,0),0)</f>
        <v>0</v>
      </c>
      <c r="I1023" s="21">
        <f t="shared" si="78"/>
        <v>0</v>
      </c>
      <c r="J1023" s="16">
        <f t="shared" si="79"/>
        <v>-10</v>
      </c>
      <c r="K1023" s="106" t="e">
        <f>VLOOKUP(C1023,'RAW DATA 2023'!E:BO,36,0)</f>
        <v>#N/A</v>
      </c>
      <c r="L1023" s="106" t="e">
        <f>VLOOKUP(C1023,'RAW DATA 2023'!E:BO,21,0)</f>
        <v>#N/A</v>
      </c>
      <c r="M1023" s="106" t="e">
        <f t="shared" si="80"/>
        <v>#N/A</v>
      </c>
    </row>
    <row r="1024" spans="1:13">
      <c r="A1024">
        <f>'RAW DATA 2023'!B1017</f>
        <v>0</v>
      </c>
      <c r="B1024">
        <f>'RAW DATA 2023'!D1017</f>
        <v>0</v>
      </c>
      <c r="C1024" t="str">
        <f t="shared" si="76"/>
        <v>00</v>
      </c>
      <c r="D1024" t="e">
        <f>VLOOKUP(C1024,'RAW DATA 2023'!E:BP,63,0)</f>
        <v>#N/A</v>
      </c>
      <c r="E1024" t="e">
        <f t="shared" si="77"/>
        <v>#N/A</v>
      </c>
      <c r="F1024" t="e">
        <f>ROUND(VLOOKUP(C1024,'RAW DATA 2023'!E:BO,23,0),0)</f>
        <v>#N/A</v>
      </c>
      <c r="G1024" s="16" t="e">
        <f>VLOOKUP(C1024,'RAW DATA 2023'!E:BO,27,0)</f>
        <v>#N/A</v>
      </c>
      <c r="H1024" s="16">
        <f>IFERROR(VLOOKUP(F1024,STD!B:G,5,0),0)</f>
        <v>0</v>
      </c>
      <c r="I1024" s="21">
        <f t="shared" si="78"/>
        <v>0</v>
      </c>
      <c r="J1024" s="16">
        <f t="shared" si="79"/>
        <v>-10</v>
      </c>
      <c r="K1024" s="106" t="e">
        <f>VLOOKUP(C1024,'RAW DATA 2023'!E:BO,36,0)</f>
        <v>#N/A</v>
      </c>
      <c r="L1024" s="106" t="e">
        <f>VLOOKUP(C1024,'RAW DATA 2023'!E:BO,21,0)</f>
        <v>#N/A</v>
      </c>
      <c r="M1024" s="106" t="e">
        <f t="shared" si="80"/>
        <v>#N/A</v>
      </c>
    </row>
    <row r="1025" spans="1:13">
      <c r="A1025">
        <f>'RAW DATA 2023'!B1018</f>
        <v>0</v>
      </c>
      <c r="B1025">
        <f>'RAW DATA 2023'!D1018</f>
        <v>0</v>
      </c>
      <c r="C1025" t="str">
        <f t="shared" si="76"/>
        <v>00</v>
      </c>
      <c r="D1025" t="e">
        <f>VLOOKUP(C1025,'RAW DATA 2023'!E:BP,63,0)</f>
        <v>#N/A</v>
      </c>
      <c r="E1025" t="e">
        <f t="shared" si="77"/>
        <v>#N/A</v>
      </c>
      <c r="F1025" t="e">
        <f>ROUND(VLOOKUP(C1025,'RAW DATA 2023'!E:BO,23,0),0)</f>
        <v>#N/A</v>
      </c>
      <c r="G1025" s="16" t="e">
        <f>VLOOKUP(C1025,'RAW DATA 2023'!E:BO,27,0)</f>
        <v>#N/A</v>
      </c>
      <c r="H1025" s="16">
        <f>IFERROR(VLOOKUP(F1025,STD!B:G,5,0),0)</f>
        <v>0</v>
      </c>
      <c r="I1025" s="21">
        <f t="shared" si="78"/>
        <v>0</v>
      </c>
      <c r="J1025" s="16">
        <f t="shared" si="79"/>
        <v>-10</v>
      </c>
      <c r="K1025" s="106" t="e">
        <f>VLOOKUP(C1025,'RAW DATA 2023'!E:BO,36,0)</f>
        <v>#N/A</v>
      </c>
      <c r="L1025" s="106" t="e">
        <f>VLOOKUP(C1025,'RAW DATA 2023'!E:BO,21,0)</f>
        <v>#N/A</v>
      </c>
      <c r="M1025" s="106" t="e">
        <f t="shared" si="80"/>
        <v>#N/A</v>
      </c>
    </row>
    <row r="1026" spans="1:13">
      <c r="A1026">
        <f>'RAW DATA 2023'!B1019</f>
        <v>0</v>
      </c>
      <c r="B1026">
        <f>'RAW DATA 2023'!D1019</f>
        <v>0</v>
      </c>
      <c r="C1026" t="str">
        <f t="shared" si="76"/>
        <v>00</v>
      </c>
      <c r="D1026" t="e">
        <f>VLOOKUP(C1026,'RAW DATA 2023'!E:BP,63,0)</f>
        <v>#N/A</v>
      </c>
      <c r="E1026" t="e">
        <f t="shared" si="77"/>
        <v>#N/A</v>
      </c>
      <c r="F1026" t="e">
        <f>ROUND(VLOOKUP(C1026,'RAW DATA 2023'!E:BO,23,0),0)</f>
        <v>#N/A</v>
      </c>
      <c r="G1026" s="16" t="e">
        <f>VLOOKUP(C1026,'RAW DATA 2023'!E:BO,27,0)</f>
        <v>#N/A</v>
      </c>
      <c r="H1026" s="16">
        <f>IFERROR(VLOOKUP(F1026,STD!B:G,5,0),0)</f>
        <v>0</v>
      </c>
      <c r="I1026" s="21">
        <f t="shared" si="78"/>
        <v>0</v>
      </c>
      <c r="J1026" s="16">
        <f t="shared" si="79"/>
        <v>-10</v>
      </c>
      <c r="K1026" s="106" t="e">
        <f>VLOOKUP(C1026,'RAW DATA 2023'!E:BO,36,0)</f>
        <v>#N/A</v>
      </c>
      <c r="L1026" s="106" t="e">
        <f>VLOOKUP(C1026,'RAW DATA 2023'!E:BO,21,0)</f>
        <v>#N/A</v>
      </c>
      <c r="M1026" s="106" t="e">
        <f t="shared" si="80"/>
        <v>#N/A</v>
      </c>
    </row>
    <row r="1027" spans="1:13">
      <c r="A1027">
        <f>'RAW DATA 2023'!B1020</f>
        <v>0</v>
      </c>
      <c r="B1027">
        <f>'RAW DATA 2023'!D1020</f>
        <v>0</v>
      </c>
      <c r="C1027" t="str">
        <f t="shared" si="76"/>
        <v>00</v>
      </c>
      <c r="D1027" t="e">
        <f>VLOOKUP(C1027,'RAW DATA 2023'!E:BP,63,0)</f>
        <v>#N/A</v>
      </c>
      <c r="E1027" t="e">
        <f t="shared" si="77"/>
        <v>#N/A</v>
      </c>
      <c r="F1027" t="e">
        <f>ROUND(VLOOKUP(C1027,'RAW DATA 2023'!E:BO,23,0),0)</f>
        <v>#N/A</v>
      </c>
      <c r="G1027" s="16" t="e">
        <f>VLOOKUP(C1027,'RAW DATA 2023'!E:BO,27,0)</f>
        <v>#N/A</v>
      </c>
      <c r="H1027" s="16">
        <f>IFERROR(VLOOKUP(F1027,STD!B:G,5,0),0)</f>
        <v>0</v>
      </c>
      <c r="I1027" s="21">
        <f t="shared" si="78"/>
        <v>0</v>
      </c>
      <c r="J1027" s="16">
        <f t="shared" si="79"/>
        <v>-10</v>
      </c>
      <c r="K1027" s="106" t="e">
        <f>VLOOKUP(C1027,'RAW DATA 2023'!E:BO,36,0)</f>
        <v>#N/A</v>
      </c>
      <c r="L1027" s="106" t="e">
        <f>VLOOKUP(C1027,'RAW DATA 2023'!E:BO,21,0)</f>
        <v>#N/A</v>
      </c>
      <c r="M1027" s="106" t="e">
        <f t="shared" si="80"/>
        <v>#N/A</v>
      </c>
    </row>
    <row r="1028" spans="1:13">
      <c r="A1028">
        <f>'RAW DATA 2023'!B1021</f>
        <v>0</v>
      </c>
      <c r="B1028">
        <f>'RAW DATA 2023'!D1021</f>
        <v>0</v>
      </c>
      <c r="C1028" t="str">
        <f t="shared" si="76"/>
        <v>00</v>
      </c>
      <c r="D1028" t="e">
        <f>VLOOKUP(C1028,'RAW DATA 2023'!E:BP,63,0)</f>
        <v>#N/A</v>
      </c>
      <c r="E1028" t="e">
        <f t="shared" si="77"/>
        <v>#N/A</v>
      </c>
      <c r="F1028" t="e">
        <f>ROUND(VLOOKUP(C1028,'RAW DATA 2023'!E:BO,23,0),0)</f>
        <v>#N/A</v>
      </c>
      <c r="G1028" s="16" t="e">
        <f>VLOOKUP(C1028,'RAW DATA 2023'!E:BO,27,0)</f>
        <v>#N/A</v>
      </c>
      <c r="H1028" s="16">
        <f>IFERROR(VLOOKUP(F1028,STD!B:G,5,0),0)</f>
        <v>0</v>
      </c>
      <c r="I1028" s="21">
        <f t="shared" si="78"/>
        <v>0</v>
      </c>
      <c r="J1028" s="16">
        <f t="shared" si="79"/>
        <v>-10</v>
      </c>
      <c r="K1028" s="106" t="e">
        <f>VLOOKUP(C1028,'RAW DATA 2023'!E:BO,36,0)</f>
        <v>#N/A</v>
      </c>
      <c r="L1028" s="106" t="e">
        <f>VLOOKUP(C1028,'RAW DATA 2023'!E:BO,21,0)</f>
        <v>#N/A</v>
      </c>
      <c r="M1028" s="106" t="e">
        <f t="shared" si="80"/>
        <v>#N/A</v>
      </c>
    </row>
    <row r="1029" spans="1:13">
      <c r="A1029">
        <f>'RAW DATA 2023'!B1022</f>
        <v>0</v>
      </c>
      <c r="B1029">
        <f>'RAW DATA 2023'!D1022</f>
        <v>0</v>
      </c>
      <c r="C1029" t="str">
        <f t="shared" si="76"/>
        <v>00</v>
      </c>
      <c r="D1029" t="e">
        <f>VLOOKUP(C1029,'RAW DATA 2023'!E:BP,63,0)</f>
        <v>#N/A</v>
      </c>
      <c r="E1029" t="e">
        <f t="shared" si="77"/>
        <v>#N/A</v>
      </c>
      <c r="F1029" t="e">
        <f>ROUND(VLOOKUP(C1029,'RAW DATA 2023'!E:BO,23,0),0)</f>
        <v>#N/A</v>
      </c>
      <c r="G1029" s="16" t="e">
        <f>VLOOKUP(C1029,'RAW DATA 2023'!E:BO,27,0)</f>
        <v>#N/A</v>
      </c>
      <c r="H1029" s="16">
        <f>IFERROR(VLOOKUP(F1029,STD!B:G,5,0),0)</f>
        <v>0</v>
      </c>
      <c r="I1029" s="21">
        <f t="shared" si="78"/>
        <v>0</v>
      </c>
      <c r="J1029" s="16">
        <f t="shared" si="79"/>
        <v>-10</v>
      </c>
      <c r="K1029" s="106" t="e">
        <f>VLOOKUP(C1029,'RAW DATA 2023'!E:BO,36,0)</f>
        <v>#N/A</v>
      </c>
      <c r="L1029" s="106" t="e">
        <f>VLOOKUP(C1029,'RAW DATA 2023'!E:BO,21,0)</f>
        <v>#N/A</v>
      </c>
      <c r="M1029" s="106" t="e">
        <f t="shared" si="80"/>
        <v>#N/A</v>
      </c>
    </row>
    <row r="1030" spans="1:13">
      <c r="A1030">
        <f>'RAW DATA 2023'!B1023</f>
        <v>0</v>
      </c>
      <c r="B1030">
        <f>'RAW DATA 2023'!D1023</f>
        <v>0</v>
      </c>
      <c r="C1030" t="str">
        <f t="shared" si="76"/>
        <v>00</v>
      </c>
      <c r="D1030" t="e">
        <f>VLOOKUP(C1030,'RAW DATA 2023'!E:BP,63,0)</f>
        <v>#N/A</v>
      </c>
      <c r="E1030" t="e">
        <f t="shared" si="77"/>
        <v>#N/A</v>
      </c>
      <c r="F1030" t="e">
        <f>ROUND(VLOOKUP(C1030,'RAW DATA 2023'!E:BO,23,0),0)</f>
        <v>#N/A</v>
      </c>
      <c r="G1030" s="16" t="e">
        <f>VLOOKUP(C1030,'RAW DATA 2023'!E:BO,27,0)</f>
        <v>#N/A</v>
      </c>
      <c r="H1030" s="16">
        <f>IFERROR(VLOOKUP(F1030,STD!B:G,5,0),0)</f>
        <v>0</v>
      </c>
      <c r="I1030" s="21">
        <f t="shared" si="78"/>
        <v>0</v>
      </c>
      <c r="J1030" s="16">
        <f t="shared" si="79"/>
        <v>-10</v>
      </c>
      <c r="K1030" s="106" t="e">
        <f>VLOOKUP(C1030,'RAW DATA 2023'!E:BO,36,0)</f>
        <v>#N/A</v>
      </c>
      <c r="L1030" s="106" t="e">
        <f>VLOOKUP(C1030,'RAW DATA 2023'!E:BO,21,0)</f>
        <v>#N/A</v>
      </c>
      <c r="M1030" s="106" t="e">
        <f t="shared" si="80"/>
        <v>#N/A</v>
      </c>
    </row>
    <row r="1031" spans="1:13">
      <c r="A1031">
        <f>'RAW DATA 2023'!B1024</f>
        <v>0</v>
      </c>
      <c r="B1031">
        <f>'RAW DATA 2023'!D1024</f>
        <v>0</v>
      </c>
      <c r="C1031" t="str">
        <f t="shared" si="76"/>
        <v>00</v>
      </c>
      <c r="D1031" t="e">
        <f>VLOOKUP(C1031,'RAW DATA 2023'!E:BP,63,0)</f>
        <v>#N/A</v>
      </c>
      <c r="E1031" t="e">
        <f t="shared" si="77"/>
        <v>#N/A</v>
      </c>
      <c r="F1031" t="e">
        <f>ROUND(VLOOKUP(C1031,'RAW DATA 2023'!E:BO,23,0),0)</f>
        <v>#N/A</v>
      </c>
      <c r="G1031" s="16" t="e">
        <f>VLOOKUP(C1031,'RAW DATA 2023'!E:BO,27,0)</f>
        <v>#N/A</v>
      </c>
      <c r="H1031" s="16">
        <f>IFERROR(VLOOKUP(F1031,STD!B:G,5,0),0)</f>
        <v>0</v>
      </c>
      <c r="I1031" s="21">
        <f t="shared" si="78"/>
        <v>0</v>
      </c>
      <c r="J1031" s="16">
        <f t="shared" si="79"/>
        <v>-10</v>
      </c>
      <c r="K1031" s="106" t="e">
        <f>VLOOKUP(C1031,'RAW DATA 2023'!E:BO,36,0)</f>
        <v>#N/A</v>
      </c>
      <c r="L1031" s="106" t="e">
        <f>VLOOKUP(C1031,'RAW DATA 2023'!E:BO,21,0)</f>
        <v>#N/A</v>
      </c>
      <c r="M1031" s="106" t="e">
        <f t="shared" si="80"/>
        <v>#N/A</v>
      </c>
    </row>
    <row r="1032" spans="1:13">
      <c r="A1032">
        <f>'RAW DATA 2023'!B1025</f>
        <v>0</v>
      </c>
      <c r="B1032">
        <f>'RAW DATA 2023'!D1025</f>
        <v>0</v>
      </c>
      <c r="C1032" t="str">
        <f t="shared" si="76"/>
        <v>00</v>
      </c>
      <c r="D1032" t="e">
        <f>VLOOKUP(C1032,'RAW DATA 2023'!E:BP,63,0)</f>
        <v>#N/A</v>
      </c>
      <c r="E1032" t="e">
        <f t="shared" si="77"/>
        <v>#N/A</v>
      </c>
      <c r="F1032" t="e">
        <f>ROUND(VLOOKUP(C1032,'RAW DATA 2023'!E:BO,23,0),0)</f>
        <v>#N/A</v>
      </c>
      <c r="G1032" s="16" t="e">
        <f>VLOOKUP(C1032,'RAW DATA 2023'!E:BO,27,0)</f>
        <v>#N/A</v>
      </c>
      <c r="H1032" s="16">
        <f>IFERROR(VLOOKUP(F1032,STD!B:G,5,0),0)</f>
        <v>0</v>
      </c>
      <c r="I1032" s="21">
        <f t="shared" si="78"/>
        <v>0</v>
      </c>
      <c r="J1032" s="16">
        <f t="shared" si="79"/>
        <v>-10</v>
      </c>
      <c r="K1032" s="106" t="e">
        <f>VLOOKUP(C1032,'RAW DATA 2023'!E:BO,36,0)</f>
        <v>#N/A</v>
      </c>
      <c r="L1032" s="106" t="e">
        <f>VLOOKUP(C1032,'RAW DATA 2023'!E:BO,21,0)</f>
        <v>#N/A</v>
      </c>
      <c r="M1032" s="106" t="e">
        <f t="shared" si="80"/>
        <v>#N/A</v>
      </c>
    </row>
    <row r="1033" spans="1:13">
      <c r="A1033">
        <f>'RAW DATA 2023'!B1026</f>
        <v>0</v>
      </c>
      <c r="B1033">
        <f>'RAW DATA 2023'!D1026</f>
        <v>0</v>
      </c>
      <c r="C1033" t="str">
        <f t="shared" si="76"/>
        <v>00</v>
      </c>
      <c r="D1033" t="e">
        <f>VLOOKUP(C1033,'RAW DATA 2023'!E:BP,63,0)</f>
        <v>#N/A</v>
      </c>
      <c r="E1033" t="e">
        <f t="shared" si="77"/>
        <v>#N/A</v>
      </c>
      <c r="F1033" t="e">
        <f>ROUND(VLOOKUP(C1033,'RAW DATA 2023'!E:BO,23,0),0)</f>
        <v>#N/A</v>
      </c>
      <c r="G1033" s="16" t="e">
        <f>VLOOKUP(C1033,'RAW DATA 2023'!E:BO,27,0)</f>
        <v>#N/A</v>
      </c>
      <c r="H1033" s="16">
        <f>IFERROR(VLOOKUP(F1033,STD!B:G,5,0),0)</f>
        <v>0</v>
      </c>
      <c r="I1033" s="21">
        <f t="shared" si="78"/>
        <v>0</v>
      </c>
      <c r="J1033" s="16">
        <f t="shared" si="79"/>
        <v>-10</v>
      </c>
      <c r="K1033" s="106" t="e">
        <f>VLOOKUP(C1033,'RAW DATA 2023'!E:BO,36,0)</f>
        <v>#N/A</v>
      </c>
      <c r="L1033" s="106" t="e">
        <f>VLOOKUP(C1033,'RAW DATA 2023'!E:BO,21,0)</f>
        <v>#N/A</v>
      </c>
      <c r="M1033" s="106" t="e">
        <f t="shared" si="80"/>
        <v>#N/A</v>
      </c>
    </row>
    <row r="1034" spans="1:13">
      <c r="A1034">
        <f>'RAW DATA 2023'!B1027</f>
        <v>0</v>
      </c>
      <c r="B1034">
        <f>'RAW DATA 2023'!D1027</f>
        <v>0</v>
      </c>
      <c r="C1034" t="str">
        <f t="shared" ref="C1034:C1097" si="81">A1034&amp;B1034</f>
        <v>00</v>
      </c>
      <c r="D1034" t="e">
        <f>VLOOKUP(C1034,'RAW DATA 2023'!E:BP,63,0)</f>
        <v>#N/A</v>
      </c>
      <c r="E1034" t="e">
        <f t="shared" ref="E1034:E1097" si="82">A1034&amp;D1034</f>
        <v>#N/A</v>
      </c>
      <c r="F1034" t="e">
        <f>ROUND(VLOOKUP(C1034,'RAW DATA 2023'!E:BO,23,0),0)</f>
        <v>#N/A</v>
      </c>
      <c r="G1034" s="16" t="e">
        <f>VLOOKUP(C1034,'RAW DATA 2023'!E:BO,27,0)</f>
        <v>#N/A</v>
      </c>
      <c r="H1034" s="16">
        <f>IFERROR(VLOOKUP(F1034,STD!B:G,5,0),0)</f>
        <v>0</v>
      </c>
      <c r="I1034" s="21">
        <f t="shared" si="78"/>
        <v>0</v>
      </c>
      <c r="J1034" s="16">
        <f t="shared" si="79"/>
        <v>-10</v>
      </c>
      <c r="K1034" s="106" t="e">
        <f>VLOOKUP(C1034,'RAW DATA 2023'!E:BO,36,0)</f>
        <v>#N/A</v>
      </c>
      <c r="L1034" s="106" t="e">
        <f>VLOOKUP(C1034,'RAW DATA 2023'!E:BO,21,0)</f>
        <v>#N/A</v>
      </c>
      <c r="M1034" s="106" t="e">
        <f t="shared" si="80"/>
        <v>#N/A</v>
      </c>
    </row>
    <row r="1035" spans="1:13">
      <c r="A1035">
        <f>'RAW DATA 2023'!B1028</f>
        <v>0</v>
      </c>
      <c r="B1035">
        <f>'RAW DATA 2023'!D1028</f>
        <v>0</v>
      </c>
      <c r="C1035" t="str">
        <f t="shared" si="81"/>
        <v>00</v>
      </c>
      <c r="D1035" t="e">
        <f>VLOOKUP(C1035,'RAW DATA 2023'!E:BP,63,0)</f>
        <v>#N/A</v>
      </c>
      <c r="E1035" t="e">
        <f t="shared" si="82"/>
        <v>#N/A</v>
      </c>
      <c r="F1035" t="e">
        <f>ROUND(VLOOKUP(C1035,'RAW DATA 2023'!E:BO,23,0),0)</f>
        <v>#N/A</v>
      </c>
      <c r="G1035" s="16" t="e">
        <f>VLOOKUP(C1035,'RAW DATA 2023'!E:BO,27,0)</f>
        <v>#N/A</v>
      </c>
      <c r="H1035" s="16">
        <f>IFERROR(VLOOKUP(F1035,STD!B:G,5,0),0)</f>
        <v>0</v>
      </c>
      <c r="I1035" s="21">
        <f t="shared" ref="I1035:I1098" si="83">IFERROR(H1035/G1035,0)</f>
        <v>0</v>
      </c>
      <c r="J1035" s="16">
        <f t="shared" ref="J1035:J1098" si="84">(I1035-$B$4)*$B$7</f>
        <v>-10</v>
      </c>
      <c r="K1035" s="106" t="e">
        <f>VLOOKUP(C1035,'RAW DATA 2023'!E:BO,36,0)</f>
        <v>#N/A</v>
      </c>
      <c r="L1035" s="106" t="e">
        <f>VLOOKUP(C1035,'RAW DATA 2023'!E:BO,21,0)</f>
        <v>#N/A</v>
      </c>
      <c r="M1035" s="106" t="e">
        <f t="shared" ref="M1035:M1098" si="85">J1035*L1035</f>
        <v>#N/A</v>
      </c>
    </row>
    <row r="1036" spans="1:13">
      <c r="A1036">
        <f>'RAW DATA 2023'!B1029</f>
        <v>0</v>
      </c>
      <c r="B1036">
        <f>'RAW DATA 2023'!D1029</f>
        <v>0</v>
      </c>
      <c r="C1036" t="str">
        <f t="shared" si="81"/>
        <v>00</v>
      </c>
      <c r="D1036" t="e">
        <f>VLOOKUP(C1036,'RAW DATA 2023'!E:BP,63,0)</f>
        <v>#N/A</v>
      </c>
      <c r="E1036" t="e">
        <f t="shared" si="82"/>
        <v>#N/A</v>
      </c>
      <c r="F1036" t="e">
        <f>ROUND(VLOOKUP(C1036,'RAW DATA 2023'!E:BO,23,0),0)</f>
        <v>#N/A</v>
      </c>
      <c r="G1036" s="16" t="e">
        <f>VLOOKUP(C1036,'RAW DATA 2023'!E:BO,27,0)</f>
        <v>#N/A</v>
      </c>
      <c r="H1036" s="16">
        <f>IFERROR(VLOOKUP(F1036,STD!B:G,5,0),0)</f>
        <v>0</v>
      </c>
      <c r="I1036" s="21">
        <f t="shared" si="83"/>
        <v>0</v>
      </c>
      <c r="J1036" s="16">
        <f t="shared" si="84"/>
        <v>-10</v>
      </c>
      <c r="K1036" s="106" t="e">
        <f>VLOOKUP(C1036,'RAW DATA 2023'!E:BO,36,0)</f>
        <v>#N/A</v>
      </c>
      <c r="L1036" s="106" t="e">
        <f>VLOOKUP(C1036,'RAW DATA 2023'!E:BO,21,0)</f>
        <v>#N/A</v>
      </c>
      <c r="M1036" s="106" t="e">
        <f t="shared" si="85"/>
        <v>#N/A</v>
      </c>
    </row>
    <row r="1037" spans="1:13">
      <c r="A1037">
        <f>'RAW DATA 2023'!B1030</f>
        <v>0</v>
      </c>
      <c r="B1037">
        <f>'RAW DATA 2023'!D1030</f>
        <v>0</v>
      </c>
      <c r="C1037" t="str">
        <f t="shared" si="81"/>
        <v>00</v>
      </c>
      <c r="D1037" t="e">
        <f>VLOOKUP(C1037,'RAW DATA 2023'!E:BP,63,0)</f>
        <v>#N/A</v>
      </c>
      <c r="E1037" t="e">
        <f t="shared" si="82"/>
        <v>#N/A</v>
      </c>
      <c r="F1037" t="e">
        <f>ROUND(VLOOKUP(C1037,'RAW DATA 2023'!E:BO,23,0),0)</f>
        <v>#N/A</v>
      </c>
      <c r="G1037" s="16" t="e">
        <f>VLOOKUP(C1037,'RAW DATA 2023'!E:BO,27,0)</f>
        <v>#N/A</v>
      </c>
      <c r="H1037" s="16">
        <f>IFERROR(VLOOKUP(F1037,STD!B:G,5,0),0)</f>
        <v>0</v>
      </c>
      <c r="I1037" s="21">
        <f t="shared" si="83"/>
        <v>0</v>
      </c>
      <c r="J1037" s="16">
        <f t="shared" si="84"/>
        <v>-10</v>
      </c>
      <c r="K1037" s="106" t="e">
        <f>VLOOKUP(C1037,'RAW DATA 2023'!E:BO,36,0)</f>
        <v>#N/A</v>
      </c>
      <c r="L1037" s="106" t="e">
        <f>VLOOKUP(C1037,'RAW DATA 2023'!E:BO,21,0)</f>
        <v>#N/A</v>
      </c>
      <c r="M1037" s="106" t="e">
        <f t="shared" si="85"/>
        <v>#N/A</v>
      </c>
    </row>
    <row r="1038" spans="1:13">
      <c r="A1038">
        <f>'RAW DATA 2023'!B1031</f>
        <v>0</v>
      </c>
      <c r="B1038">
        <f>'RAW DATA 2023'!D1031</f>
        <v>0</v>
      </c>
      <c r="C1038" t="str">
        <f t="shared" si="81"/>
        <v>00</v>
      </c>
      <c r="D1038" t="e">
        <f>VLOOKUP(C1038,'RAW DATA 2023'!E:BP,63,0)</f>
        <v>#N/A</v>
      </c>
      <c r="E1038" t="e">
        <f t="shared" si="82"/>
        <v>#N/A</v>
      </c>
      <c r="F1038" t="e">
        <f>ROUND(VLOOKUP(C1038,'RAW DATA 2023'!E:BO,23,0),0)</f>
        <v>#N/A</v>
      </c>
      <c r="G1038" s="16" t="e">
        <f>VLOOKUP(C1038,'RAW DATA 2023'!E:BO,27,0)</f>
        <v>#N/A</v>
      </c>
      <c r="H1038" s="16">
        <f>IFERROR(VLOOKUP(F1038,STD!B:G,5,0),0)</f>
        <v>0</v>
      </c>
      <c r="I1038" s="21">
        <f t="shared" si="83"/>
        <v>0</v>
      </c>
      <c r="J1038" s="16">
        <f t="shared" si="84"/>
        <v>-10</v>
      </c>
      <c r="K1038" s="106" t="e">
        <f>VLOOKUP(C1038,'RAW DATA 2023'!E:BO,36,0)</f>
        <v>#N/A</v>
      </c>
      <c r="L1038" s="106" t="e">
        <f>VLOOKUP(C1038,'RAW DATA 2023'!E:BO,21,0)</f>
        <v>#N/A</v>
      </c>
      <c r="M1038" s="106" t="e">
        <f t="shared" si="85"/>
        <v>#N/A</v>
      </c>
    </row>
    <row r="1039" spans="1:13">
      <c r="A1039">
        <f>'RAW DATA 2023'!B1032</f>
        <v>0</v>
      </c>
      <c r="B1039">
        <f>'RAW DATA 2023'!D1032</f>
        <v>0</v>
      </c>
      <c r="C1039" t="str">
        <f t="shared" si="81"/>
        <v>00</v>
      </c>
      <c r="D1039" t="e">
        <f>VLOOKUP(C1039,'RAW DATA 2023'!E:BP,63,0)</f>
        <v>#N/A</v>
      </c>
      <c r="E1039" t="e">
        <f t="shared" si="82"/>
        <v>#N/A</v>
      </c>
      <c r="F1039" t="e">
        <f>ROUND(VLOOKUP(C1039,'RAW DATA 2023'!E:BO,23,0),0)</f>
        <v>#N/A</v>
      </c>
      <c r="G1039" s="16" t="e">
        <f>VLOOKUP(C1039,'RAW DATA 2023'!E:BO,27,0)</f>
        <v>#N/A</v>
      </c>
      <c r="H1039" s="16">
        <f>IFERROR(VLOOKUP(F1039,STD!B:G,5,0),0)</f>
        <v>0</v>
      </c>
      <c r="I1039" s="21">
        <f t="shared" si="83"/>
        <v>0</v>
      </c>
      <c r="J1039" s="16">
        <f t="shared" si="84"/>
        <v>-10</v>
      </c>
      <c r="K1039" s="106" t="e">
        <f>VLOOKUP(C1039,'RAW DATA 2023'!E:BO,36,0)</f>
        <v>#N/A</v>
      </c>
      <c r="L1039" s="106" t="e">
        <f>VLOOKUP(C1039,'RAW DATA 2023'!E:BO,21,0)</f>
        <v>#N/A</v>
      </c>
      <c r="M1039" s="106" t="e">
        <f t="shared" si="85"/>
        <v>#N/A</v>
      </c>
    </row>
    <row r="1040" spans="1:13">
      <c r="A1040">
        <f>'RAW DATA 2023'!B1033</f>
        <v>0</v>
      </c>
      <c r="B1040">
        <f>'RAW DATA 2023'!D1033</f>
        <v>0</v>
      </c>
      <c r="C1040" t="str">
        <f t="shared" si="81"/>
        <v>00</v>
      </c>
      <c r="D1040" t="e">
        <f>VLOOKUP(C1040,'RAW DATA 2023'!E:BP,63,0)</f>
        <v>#N/A</v>
      </c>
      <c r="E1040" t="e">
        <f t="shared" si="82"/>
        <v>#N/A</v>
      </c>
      <c r="F1040" t="e">
        <f>ROUND(VLOOKUP(C1040,'RAW DATA 2023'!E:BO,23,0),0)</f>
        <v>#N/A</v>
      </c>
      <c r="G1040" s="16" t="e">
        <f>VLOOKUP(C1040,'RAW DATA 2023'!E:BO,27,0)</f>
        <v>#N/A</v>
      </c>
      <c r="H1040" s="16">
        <f>IFERROR(VLOOKUP(F1040,STD!B:G,5,0),0)</f>
        <v>0</v>
      </c>
      <c r="I1040" s="21">
        <f t="shared" si="83"/>
        <v>0</v>
      </c>
      <c r="J1040" s="16">
        <f t="shared" si="84"/>
        <v>-10</v>
      </c>
      <c r="K1040" s="106" t="e">
        <f>VLOOKUP(C1040,'RAW DATA 2023'!E:BO,36,0)</f>
        <v>#N/A</v>
      </c>
      <c r="L1040" s="106" t="e">
        <f>VLOOKUP(C1040,'RAW DATA 2023'!E:BO,21,0)</f>
        <v>#N/A</v>
      </c>
      <c r="M1040" s="106" t="e">
        <f t="shared" si="85"/>
        <v>#N/A</v>
      </c>
    </row>
    <row r="1041" spans="1:13">
      <c r="A1041">
        <f>'RAW DATA 2023'!B1034</f>
        <v>0</v>
      </c>
      <c r="B1041">
        <f>'RAW DATA 2023'!D1034</f>
        <v>0</v>
      </c>
      <c r="C1041" t="str">
        <f t="shared" si="81"/>
        <v>00</v>
      </c>
      <c r="D1041" t="e">
        <f>VLOOKUP(C1041,'RAW DATA 2023'!E:BP,63,0)</f>
        <v>#N/A</v>
      </c>
      <c r="E1041" t="e">
        <f t="shared" si="82"/>
        <v>#N/A</v>
      </c>
      <c r="F1041" t="e">
        <f>ROUND(VLOOKUP(C1041,'RAW DATA 2023'!E:BO,23,0),0)</f>
        <v>#N/A</v>
      </c>
      <c r="G1041" s="16" t="e">
        <f>VLOOKUP(C1041,'RAW DATA 2023'!E:BO,27,0)</f>
        <v>#N/A</v>
      </c>
      <c r="H1041" s="16">
        <f>IFERROR(VLOOKUP(F1041,STD!B:G,5,0),0)</f>
        <v>0</v>
      </c>
      <c r="I1041" s="21">
        <f t="shared" si="83"/>
        <v>0</v>
      </c>
      <c r="J1041" s="16">
        <f t="shared" si="84"/>
        <v>-10</v>
      </c>
      <c r="K1041" s="106" t="e">
        <f>VLOOKUP(C1041,'RAW DATA 2023'!E:BO,36,0)</f>
        <v>#N/A</v>
      </c>
      <c r="L1041" s="106" t="e">
        <f>VLOOKUP(C1041,'RAW DATA 2023'!E:BO,21,0)</f>
        <v>#N/A</v>
      </c>
      <c r="M1041" s="106" t="e">
        <f t="shared" si="85"/>
        <v>#N/A</v>
      </c>
    </row>
    <row r="1042" spans="1:13">
      <c r="A1042">
        <f>'RAW DATA 2023'!B1035</f>
        <v>0</v>
      </c>
      <c r="B1042">
        <f>'RAW DATA 2023'!D1035</f>
        <v>0</v>
      </c>
      <c r="C1042" t="str">
        <f t="shared" si="81"/>
        <v>00</v>
      </c>
      <c r="D1042" t="e">
        <f>VLOOKUP(C1042,'RAW DATA 2023'!E:BP,63,0)</f>
        <v>#N/A</v>
      </c>
      <c r="E1042" t="e">
        <f t="shared" si="82"/>
        <v>#N/A</v>
      </c>
      <c r="F1042" t="e">
        <f>ROUND(VLOOKUP(C1042,'RAW DATA 2023'!E:BO,23,0),0)</f>
        <v>#N/A</v>
      </c>
      <c r="G1042" s="16" t="e">
        <f>VLOOKUP(C1042,'RAW DATA 2023'!E:BO,27,0)</f>
        <v>#N/A</v>
      </c>
      <c r="H1042" s="16">
        <f>IFERROR(VLOOKUP(F1042,STD!B:G,5,0),0)</f>
        <v>0</v>
      </c>
      <c r="I1042" s="21">
        <f t="shared" si="83"/>
        <v>0</v>
      </c>
      <c r="J1042" s="16">
        <f t="shared" si="84"/>
        <v>-10</v>
      </c>
      <c r="K1042" s="106" t="e">
        <f>VLOOKUP(C1042,'RAW DATA 2023'!E:BO,36,0)</f>
        <v>#N/A</v>
      </c>
      <c r="L1042" s="106" t="e">
        <f>VLOOKUP(C1042,'RAW DATA 2023'!E:BO,21,0)</f>
        <v>#N/A</v>
      </c>
      <c r="M1042" s="106" t="e">
        <f t="shared" si="85"/>
        <v>#N/A</v>
      </c>
    </row>
    <row r="1043" spans="1:13">
      <c r="A1043">
        <f>'RAW DATA 2023'!B1036</f>
        <v>0</v>
      </c>
      <c r="B1043">
        <f>'RAW DATA 2023'!D1036</f>
        <v>0</v>
      </c>
      <c r="C1043" t="str">
        <f t="shared" si="81"/>
        <v>00</v>
      </c>
      <c r="D1043" t="e">
        <f>VLOOKUP(C1043,'RAW DATA 2023'!E:BP,63,0)</f>
        <v>#N/A</v>
      </c>
      <c r="E1043" t="e">
        <f t="shared" si="82"/>
        <v>#N/A</v>
      </c>
      <c r="F1043" t="e">
        <f>ROUND(VLOOKUP(C1043,'RAW DATA 2023'!E:BO,23,0),0)</f>
        <v>#N/A</v>
      </c>
      <c r="G1043" s="16" t="e">
        <f>VLOOKUP(C1043,'RAW DATA 2023'!E:BO,27,0)</f>
        <v>#N/A</v>
      </c>
      <c r="H1043" s="16">
        <f>IFERROR(VLOOKUP(F1043,STD!B:G,5,0),0)</f>
        <v>0</v>
      </c>
      <c r="I1043" s="21">
        <f t="shared" si="83"/>
        <v>0</v>
      </c>
      <c r="J1043" s="16">
        <f t="shared" si="84"/>
        <v>-10</v>
      </c>
      <c r="K1043" s="106" t="e">
        <f>VLOOKUP(C1043,'RAW DATA 2023'!E:BO,36,0)</f>
        <v>#N/A</v>
      </c>
      <c r="L1043" s="106" t="e">
        <f>VLOOKUP(C1043,'RAW DATA 2023'!E:BO,21,0)</f>
        <v>#N/A</v>
      </c>
      <c r="M1043" s="106" t="e">
        <f t="shared" si="85"/>
        <v>#N/A</v>
      </c>
    </row>
    <row r="1044" spans="1:13">
      <c r="A1044">
        <f>'RAW DATA 2023'!B1037</f>
        <v>0</v>
      </c>
      <c r="B1044">
        <f>'RAW DATA 2023'!D1037</f>
        <v>0</v>
      </c>
      <c r="C1044" t="str">
        <f t="shared" si="81"/>
        <v>00</v>
      </c>
      <c r="D1044" t="e">
        <f>VLOOKUP(C1044,'RAW DATA 2023'!E:BP,63,0)</f>
        <v>#N/A</v>
      </c>
      <c r="E1044" t="e">
        <f t="shared" si="82"/>
        <v>#N/A</v>
      </c>
      <c r="F1044" t="e">
        <f>ROUND(VLOOKUP(C1044,'RAW DATA 2023'!E:BO,23,0),0)</f>
        <v>#N/A</v>
      </c>
      <c r="G1044" s="16" t="e">
        <f>VLOOKUP(C1044,'RAW DATA 2023'!E:BO,27,0)</f>
        <v>#N/A</v>
      </c>
      <c r="H1044" s="16">
        <f>IFERROR(VLOOKUP(F1044,STD!B:G,5,0),0)</f>
        <v>0</v>
      </c>
      <c r="I1044" s="21">
        <f t="shared" si="83"/>
        <v>0</v>
      </c>
      <c r="J1044" s="16">
        <f t="shared" si="84"/>
        <v>-10</v>
      </c>
      <c r="K1044" s="106" t="e">
        <f>VLOOKUP(C1044,'RAW DATA 2023'!E:BO,36,0)</f>
        <v>#N/A</v>
      </c>
      <c r="L1044" s="106" t="e">
        <f>VLOOKUP(C1044,'RAW DATA 2023'!E:BO,21,0)</f>
        <v>#N/A</v>
      </c>
      <c r="M1044" s="106" t="e">
        <f t="shared" si="85"/>
        <v>#N/A</v>
      </c>
    </row>
    <row r="1045" spans="1:13">
      <c r="A1045">
        <f>'RAW DATA 2023'!B1038</f>
        <v>0</v>
      </c>
      <c r="B1045">
        <f>'RAW DATA 2023'!D1038</f>
        <v>0</v>
      </c>
      <c r="C1045" t="str">
        <f t="shared" si="81"/>
        <v>00</v>
      </c>
      <c r="D1045" t="e">
        <f>VLOOKUP(C1045,'RAW DATA 2023'!E:BP,63,0)</f>
        <v>#N/A</v>
      </c>
      <c r="E1045" t="e">
        <f t="shared" si="82"/>
        <v>#N/A</v>
      </c>
      <c r="F1045" t="e">
        <f>ROUND(VLOOKUP(C1045,'RAW DATA 2023'!E:BO,23,0),0)</f>
        <v>#N/A</v>
      </c>
      <c r="G1045" s="16" t="e">
        <f>VLOOKUP(C1045,'RAW DATA 2023'!E:BO,27,0)</f>
        <v>#N/A</v>
      </c>
      <c r="H1045" s="16">
        <f>IFERROR(VLOOKUP(F1045,STD!B:G,5,0),0)</f>
        <v>0</v>
      </c>
      <c r="I1045" s="21">
        <f t="shared" si="83"/>
        <v>0</v>
      </c>
      <c r="J1045" s="16">
        <f t="shared" si="84"/>
        <v>-10</v>
      </c>
      <c r="K1045" s="106" t="e">
        <f>VLOOKUP(C1045,'RAW DATA 2023'!E:BO,36,0)</f>
        <v>#N/A</v>
      </c>
      <c r="L1045" s="106" t="e">
        <f>VLOOKUP(C1045,'RAW DATA 2023'!E:BO,21,0)</f>
        <v>#N/A</v>
      </c>
      <c r="M1045" s="106" t="e">
        <f t="shared" si="85"/>
        <v>#N/A</v>
      </c>
    </row>
    <row r="1046" spans="1:13">
      <c r="A1046">
        <f>'RAW DATA 2023'!B1039</f>
        <v>0</v>
      </c>
      <c r="B1046">
        <f>'RAW DATA 2023'!D1039</f>
        <v>0</v>
      </c>
      <c r="C1046" t="str">
        <f t="shared" si="81"/>
        <v>00</v>
      </c>
      <c r="D1046" t="e">
        <f>VLOOKUP(C1046,'RAW DATA 2023'!E:BP,63,0)</f>
        <v>#N/A</v>
      </c>
      <c r="E1046" t="e">
        <f t="shared" si="82"/>
        <v>#N/A</v>
      </c>
      <c r="F1046" t="e">
        <f>ROUND(VLOOKUP(C1046,'RAW DATA 2023'!E:BO,23,0),0)</f>
        <v>#N/A</v>
      </c>
      <c r="G1046" s="16" t="e">
        <f>VLOOKUP(C1046,'RAW DATA 2023'!E:BO,27,0)</f>
        <v>#N/A</v>
      </c>
      <c r="H1046" s="16">
        <f>IFERROR(VLOOKUP(F1046,STD!B:G,5,0),0)</f>
        <v>0</v>
      </c>
      <c r="I1046" s="21">
        <f t="shared" si="83"/>
        <v>0</v>
      </c>
      <c r="J1046" s="16">
        <f t="shared" si="84"/>
        <v>-10</v>
      </c>
      <c r="K1046" s="106" t="e">
        <f>VLOOKUP(C1046,'RAW DATA 2023'!E:BO,36,0)</f>
        <v>#N/A</v>
      </c>
      <c r="L1046" s="106" t="e">
        <f>VLOOKUP(C1046,'RAW DATA 2023'!E:BO,21,0)</f>
        <v>#N/A</v>
      </c>
      <c r="M1046" s="106" t="e">
        <f t="shared" si="85"/>
        <v>#N/A</v>
      </c>
    </row>
    <row r="1047" spans="1:13">
      <c r="A1047">
        <f>'RAW DATA 2023'!B1040</f>
        <v>0</v>
      </c>
      <c r="B1047">
        <f>'RAW DATA 2023'!D1040</f>
        <v>0</v>
      </c>
      <c r="C1047" t="str">
        <f t="shared" si="81"/>
        <v>00</v>
      </c>
      <c r="D1047" t="e">
        <f>VLOOKUP(C1047,'RAW DATA 2023'!E:BP,63,0)</f>
        <v>#N/A</v>
      </c>
      <c r="E1047" t="e">
        <f t="shared" si="82"/>
        <v>#N/A</v>
      </c>
      <c r="F1047" t="e">
        <f>ROUND(VLOOKUP(C1047,'RAW DATA 2023'!E:BO,23,0),0)</f>
        <v>#N/A</v>
      </c>
      <c r="G1047" s="16" t="e">
        <f>VLOOKUP(C1047,'RAW DATA 2023'!E:BO,27,0)</f>
        <v>#N/A</v>
      </c>
      <c r="H1047" s="16">
        <f>IFERROR(VLOOKUP(F1047,STD!B:G,5,0),0)</f>
        <v>0</v>
      </c>
      <c r="I1047" s="21">
        <f t="shared" si="83"/>
        <v>0</v>
      </c>
      <c r="J1047" s="16">
        <f t="shared" si="84"/>
        <v>-10</v>
      </c>
      <c r="K1047" s="106" t="e">
        <f>VLOOKUP(C1047,'RAW DATA 2023'!E:BO,36,0)</f>
        <v>#N/A</v>
      </c>
      <c r="L1047" s="106" t="e">
        <f>VLOOKUP(C1047,'RAW DATA 2023'!E:BO,21,0)</f>
        <v>#N/A</v>
      </c>
      <c r="M1047" s="106" t="e">
        <f t="shared" si="85"/>
        <v>#N/A</v>
      </c>
    </row>
    <row r="1048" spans="1:13">
      <c r="A1048">
        <f>'RAW DATA 2023'!B1041</f>
        <v>0</v>
      </c>
      <c r="B1048">
        <f>'RAW DATA 2023'!D1041</f>
        <v>0</v>
      </c>
      <c r="C1048" t="str">
        <f t="shared" si="81"/>
        <v>00</v>
      </c>
      <c r="D1048" t="e">
        <f>VLOOKUP(C1048,'RAW DATA 2023'!E:BP,63,0)</f>
        <v>#N/A</v>
      </c>
      <c r="E1048" t="e">
        <f t="shared" si="82"/>
        <v>#N/A</v>
      </c>
      <c r="F1048" t="e">
        <f>ROUND(VLOOKUP(C1048,'RAW DATA 2023'!E:BO,23,0),0)</f>
        <v>#N/A</v>
      </c>
      <c r="G1048" s="16" t="e">
        <f>VLOOKUP(C1048,'RAW DATA 2023'!E:BO,27,0)</f>
        <v>#N/A</v>
      </c>
      <c r="H1048" s="16">
        <f>IFERROR(VLOOKUP(F1048,STD!B:G,5,0),0)</f>
        <v>0</v>
      </c>
      <c r="I1048" s="21">
        <f t="shared" si="83"/>
        <v>0</v>
      </c>
      <c r="J1048" s="16">
        <f t="shared" si="84"/>
        <v>-10</v>
      </c>
      <c r="K1048" s="106" t="e">
        <f>VLOOKUP(C1048,'RAW DATA 2023'!E:BO,36,0)</f>
        <v>#N/A</v>
      </c>
      <c r="L1048" s="106" t="e">
        <f>VLOOKUP(C1048,'RAW DATA 2023'!E:BO,21,0)</f>
        <v>#N/A</v>
      </c>
      <c r="M1048" s="106" t="e">
        <f t="shared" si="85"/>
        <v>#N/A</v>
      </c>
    </row>
    <row r="1049" spans="1:13">
      <c r="A1049">
        <f>'RAW DATA 2023'!B1042</f>
        <v>0</v>
      </c>
      <c r="B1049">
        <f>'RAW DATA 2023'!D1042</f>
        <v>0</v>
      </c>
      <c r="C1049" t="str">
        <f t="shared" si="81"/>
        <v>00</v>
      </c>
      <c r="D1049" t="e">
        <f>VLOOKUP(C1049,'RAW DATA 2023'!E:BP,63,0)</f>
        <v>#N/A</v>
      </c>
      <c r="E1049" t="e">
        <f t="shared" si="82"/>
        <v>#N/A</v>
      </c>
      <c r="F1049" t="e">
        <f>ROUND(VLOOKUP(C1049,'RAW DATA 2023'!E:BO,23,0),0)</f>
        <v>#N/A</v>
      </c>
      <c r="G1049" s="16" t="e">
        <f>VLOOKUP(C1049,'RAW DATA 2023'!E:BO,27,0)</f>
        <v>#N/A</v>
      </c>
      <c r="H1049" s="16">
        <f>IFERROR(VLOOKUP(F1049,STD!B:G,5,0),0)</f>
        <v>0</v>
      </c>
      <c r="I1049" s="21">
        <f t="shared" si="83"/>
        <v>0</v>
      </c>
      <c r="J1049" s="16">
        <f t="shared" si="84"/>
        <v>-10</v>
      </c>
      <c r="K1049" s="106" t="e">
        <f>VLOOKUP(C1049,'RAW DATA 2023'!E:BO,36,0)</f>
        <v>#N/A</v>
      </c>
      <c r="L1049" s="106" t="e">
        <f>VLOOKUP(C1049,'RAW DATA 2023'!E:BO,21,0)</f>
        <v>#N/A</v>
      </c>
      <c r="M1049" s="106" t="e">
        <f t="shared" si="85"/>
        <v>#N/A</v>
      </c>
    </row>
    <row r="1050" spans="1:13">
      <c r="A1050">
        <f>'RAW DATA 2023'!B1043</f>
        <v>0</v>
      </c>
      <c r="B1050">
        <f>'RAW DATA 2023'!D1043</f>
        <v>0</v>
      </c>
      <c r="C1050" t="str">
        <f t="shared" si="81"/>
        <v>00</v>
      </c>
      <c r="D1050" t="e">
        <f>VLOOKUP(C1050,'RAW DATA 2023'!E:BP,63,0)</f>
        <v>#N/A</v>
      </c>
      <c r="E1050" t="e">
        <f t="shared" si="82"/>
        <v>#N/A</v>
      </c>
      <c r="F1050" t="e">
        <f>ROUND(VLOOKUP(C1050,'RAW DATA 2023'!E:BO,23,0),0)</f>
        <v>#N/A</v>
      </c>
      <c r="G1050" s="16" t="e">
        <f>VLOOKUP(C1050,'RAW DATA 2023'!E:BO,27,0)</f>
        <v>#N/A</v>
      </c>
      <c r="H1050" s="16">
        <f>IFERROR(VLOOKUP(F1050,STD!B:G,5,0),0)</f>
        <v>0</v>
      </c>
      <c r="I1050" s="21">
        <f t="shared" si="83"/>
        <v>0</v>
      </c>
      <c r="J1050" s="16">
        <f t="shared" si="84"/>
        <v>-10</v>
      </c>
      <c r="K1050" s="106" t="e">
        <f>VLOOKUP(C1050,'RAW DATA 2023'!E:BO,36,0)</f>
        <v>#N/A</v>
      </c>
      <c r="L1050" s="106" t="e">
        <f>VLOOKUP(C1050,'RAW DATA 2023'!E:BO,21,0)</f>
        <v>#N/A</v>
      </c>
      <c r="M1050" s="106" t="e">
        <f t="shared" si="85"/>
        <v>#N/A</v>
      </c>
    </row>
    <row r="1051" spans="1:13">
      <c r="A1051">
        <f>'RAW DATA 2023'!B1044</f>
        <v>0</v>
      </c>
      <c r="B1051">
        <f>'RAW DATA 2023'!D1044</f>
        <v>0</v>
      </c>
      <c r="C1051" t="str">
        <f t="shared" si="81"/>
        <v>00</v>
      </c>
      <c r="D1051" t="e">
        <f>VLOOKUP(C1051,'RAW DATA 2023'!E:BP,63,0)</f>
        <v>#N/A</v>
      </c>
      <c r="E1051" t="e">
        <f t="shared" si="82"/>
        <v>#N/A</v>
      </c>
      <c r="F1051" t="e">
        <f>ROUND(VLOOKUP(C1051,'RAW DATA 2023'!E:BO,23,0),0)</f>
        <v>#N/A</v>
      </c>
      <c r="G1051" s="16" t="e">
        <f>VLOOKUP(C1051,'RAW DATA 2023'!E:BO,27,0)</f>
        <v>#N/A</v>
      </c>
      <c r="H1051" s="16">
        <f>IFERROR(VLOOKUP(F1051,STD!B:G,5,0),0)</f>
        <v>0</v>
      </c>
      <c r="I1051" s="21">
        <f t="shared" si="83"/>
        <v>0</v>
      </c>
      <c r="J1051" s="16">
        <f t="shared" si="84"/>
        <v>-10</v>
      </c>
      <c r="K1051" s="106" t="e">
        <f>VLOOKUP(C1051,'RAW DATA 2023'!E:BO,36,0)</f>
        <v>#N/A</v>
      </c>
      <c r="L1051" s="106" t="e">
        <f>VLOOKUP(C1051,'RAW DATA 2023'!E:BO,21,0)</f>
        <v>#N/A</v>
      </c>
      <c r="M1051" s="106" t="e">
        <f t="shared" si="85"/>
        <v>#N/A</v>
      </c>
    </row>
    <row r="1052" spans="1:13">
      <c r="A1052">
        <f>'RAW DATA 2023'!B1045</f>
        <v>0</v>
      </c>
      <c r="B1052">
        <f>'RAW DATA 2023'!D1045</f>
        <v>0</v>
      </c>
      <c r="C1052" t="str">
        <f t="shared" si="81"/>
        <v>00</v>
      </c>
      <c r="D1052" t="e">
        <f>VLOOKUP(C1052,'RAW DATA 2023'!E:BP,63,0)</f>
        <v>#N/A</v>
      </c>
      <c r="E1052" t="e">
        <f t="shared" si="82"/>
        <v>#N/A</v>
      </c>
      <c r="F1052" t="e">
        <f>ROUND(VLOOKUP(C1052,'RAW DATA 2023'!E:BO,23,0),0)</f>
        <v>#N/A</v>
      </c>
      <c r="G1052" s="16" t="e">
        <f>VLOOKUP(C1052,'RAW DATA 2023'!E:BO,27,0)</f>
        <v>#N/A</v>
      </c>
      <c r="H1052" s="16">
        <f>IFERROR(VLOOKUP(F1052,STD!B:G,5,0),0)</f>
        <v>0</v>
      </c>
      <c r="I1052" s="21">
        <f t="shared" si="83"/>
        <v>0</v>
      </c>
      <c r="J1052" s="16">
        <f t="shared" si="84"/>
        <v>-10</v>
      </c>
      <c r="K1052" s="106" t="e">
        <f>VLOOKUP(C1052,'RAW DATA 2023'!E:BO,36,0)</f>
        <v>#N/A</v>
      </c>
      <c r="L1052" s="106" t="e">
        <f>VLOOKUP(C1052,'RAW DATA 2023'!E:BO,21,0)</f>
        <v>#N/A</v>
      </c>
      <c r="M1052" s="106" t="e">
        <f t="shared" si="85"/>
        <v>#N/A</v>
      </c>
    </row>
    <row r="1053" spans="1:13">
      <c r="A1053">
        <f>'RAW DATA 2023'!B1046</f>
        <v>0</v>
      </c>
      <c r="B1053">
        <f>'RAW DATA 2023'!D1046</f>
        <v>0</v>
      </c>
      <c r="C1053" t="str">
        <f t="shared" si="81"/>
        <v>00</v>
      </c>
      <c r="D1053" t="e">
        <f>VLOOKUP(C1053,'RAW DATA 2023'!E:BP,63,0)</f>
        <v>#N/A</v>
      </c>
      <c r="E1053" t="e">
        <f t="shared" si="82"/>
        <v>#N/A</v>
      </c>
      <c r="F1053" t="e">
        <f>ROUND(VLOOKUP(C1053,'RAW DATA 2023'!E:BO,23,0),0)</f>
        <v>#N/A</v>
      </c>
      <c r="G1053" s="16" t="e">
        <f>VLOOKUP(C1053,'RAW DATA 2023'!E:BO,27,0)</f>
        <v>#N/A</v>
      </c>
      <c r="H1053" s="16">
        <f>IFERROR(VLOOKUP(F1053,STD!B:G,5,0),0)</f>
        <v>0</v>
      </c>
      <c r="I1053" s="21">
        <f t="shared" si="83"/>
        <v>0</v>
      </c>
      <c r="J1053" s="16">
        <f t="shared" si="84"/>
        <v>-10</v>
      </c>
      <c r="K1053" s="106" t="e">
        <f>VLOOKUP(C1053,'RAW DATA 2023'!E:BO,36,0)</f>
        <v>#N/A</v>
      </c>
      <c r="L1053" s="106" t="e">
        <f>VLOOKUP(C1053,'RAW DATA 2023'!E:BO,21,0)</f>
        <v>#N/A</v>
      </c>
      <c r="M1053" s="106" t="e">
        <f t="shared" si="85"/>
        <v>#N/A</v>
      </c>
    </row>
    <row r="1054" spans="1:13">
      <c r="A1054">
        <f>'RAW DATA 2023'!B1047</f>
        <v>0</v>
      </c>
      <c r="B1054">
        <f>'RAW DATA 2023'!D1047</f>
        <v>0</v>
      </c>
      <c r="C1054" t="str">
        <f t="shared" si="81"/>
        <v>00</v>
      </c>
      <c r="D1054" t="e">
        <f>VLOOKUP(C1054,'RAW DATA 2023'!E:BP,63,0)</f>
        <v>#N/A</v>
      </c>
      <c r="E1054" t="e">
        <f t="shared" si="82"/>
        <v>#N/A</v>
      </c>
      <c r="F1054" t="e">
        <f>ROUND(VLOOKUP(C1054,'RAW DATA 2023'!E:BO,23,0),0)</f>
        <v>#N/A</v>
      </c>
      <c r="G1054" s="16" t="e">
        <f>VLOOKUP(C1054,'RAW DATA 2023'!E:BO,27,0)</f>
        <v>#N/A</v>
      </c>
      <c r="H1054" s="16">
        <f>IFERROR(VLOOKUP(F1054,STD!B:G,5,0),0)</f>
        <v>0</v>
      </c>
      <c r="I1054" s="21">
        <f t="shared" si="83"/>
        <v>0</v>
      </c>
      <c r="J1054" s="16">
        <f t="shared" si="84"/>
        <v>-10</v>
      </c>
      <c r="K1054" s="106" t="e">
        <f>VLOOKUP(C1054,'RAW DATA 2023'!E:BO,36,0)</f>
        <v>#N/A</v>
      </c>
      <c r="L1054" s="106" t="e">
        <f>VLOOKUP(C1054,'RAW DATA 2023'!E:BO,21,0)</f>
        <v>#N/A</v>
      </c>
      <c r="M1054" s="106" t="e">
        <f t="shared" si="85"/>
        <v>#N/A</v>
      </c>
    </row>
    <row r="1055" spans="1:13">
      <c r="A1055">
        <f>'RAW DATA 2023'!B1048</f>
        <v>0</v>
      </c>
      <c r="B1055">
        <f>'RAW DATA 2023'!D1048</f>
        <v>0</v>
      </c>
      <c r="C1055" t="str">
        <f t="shared" si="81"/>
        <v>00</v>
      </c>
      <c r="D1055" t="e">
        <f>VLOOKUP(C1055,'RAW DATA 2023'!E:BP,63,0)</f>
        <v>#N/A</v>
      </c>
      <c r="E1055" t="e">
        <f t="shared" si="82"/>
        <v>#N/A</v>
      </c>
      <c r="F1055" t="e">
        <f>ROUND(VLOOKUP(C1055,'RAW DATA 2023'!E:BO,23,0),0)</f>
        <v>#N/A</v>
      </c>
      <c r="G1055" s="16" t="e">
        <f>VLOOKUP(C1055,'RAW DATA 2023'!E:BO,27,0)</f>
        <v>#N/A</v>
      </c>
      <c r="H1055" s="16">
        <f>IFERROR(VLOOKUP(F1055,STD!B:G,5,0),0)</f>
        <v>0</v>
      </c>
      <c r="I1055" s="21">
        <f t="shared" si="83"/>
        <v>0</v>
      </c>
      <c r="J1055" s="16">
        <f t="shared" si="84"/>
        <v>-10</v>
      </c>
      <c r="K1055" s="106" t="e">
        <f>VLOOKUP(C1055,'RAW DATA 2023'!E:BO,36,0)</f>
        <v>#N/A</v>
      </c>
      <c r="L1055" s="106" t="e">
        <f>VLOOKUP(C1055,'RAW DATA 2023'!E:BO,21,0)</f>
        <v>#N/A</v>
      </c>
      <c r="M1055" s="106" t="e">
        <f t="shared" si="85"/>
        <v>#N/A</v>
      </c>
    </row>
    <row r="1056" spans="1:13">
      <c r="A1056">
        <f>'RAW DATA 2023'!B1049</f>
        <v>0</v>
      </c>
      <c r="B1056">
        <f>'RAW DATA 2023'!D1049</f>
        <v>0</v>
      </c>
      <c r="C1056" t="str">
        <f t="shared" si="81"/>
        <v>00</v>
      </c>
      <c r="D1056" t="e">
        <f>VLOOKUP(C1056,'RAW DATA 2023'!E:BP,63,0)</f>
        <v>#N/A</v>
      </c>
      <c r="E1056" t="e">
        <f t="shared" si="82"/>
        <v>#N/A</v>
      </c>
      <c r="F1056" t="e">
        <f>ROUND(VLOOKUP(C1056,'RAW DATA 2023'!E:BO,23,0),0)</f>
        <v>#N/A</v>
      </c>
      <c r="G1056" s="16" t="e">
        <f>VLOOKUP(C1056,'RAW DATA 2023'!E:BO,27,0)</f>
        <v>#N/A</v>
      </c>
      <c r="H1056" s="16">
        <f>IFERROR(VLOOKUP(F1056,STD!B:G,5,0),0)</f>
        <v>0</v>
      </c>
      <c r="I1056" s="21">
        <f t="shared" si="83"/>
        <v>0</v>
      </c>
      <c r="J1056" s="16">
        <f t="shared" si="84"/>
        <v>-10</v>
      </c>
      <c r="K1056" s="106" t="e">
        <f>VLOOKUP(C1056,'RAW DATA 2023'!E:BO,36,0)</f>
        <v>#N/A</v>
      </c>
      <c r="L1056" s="106" t="e">
        <f>VLOOKUP(C1056,'RAW DATA 2023'!E:BO,21,0)</f>
        <v>#N/A</v>
      </c>
      <c r="M1056" s="106" t="e">
        <f t="shared" si="85"/>
        <v>#N/A</v>
      </c>
    </row>
    <row r="1057" spans="1:13">
      <c r="A1057">
        <f>'RAW DATA 2023'!B1050</f>
        <v>0</v>
      </c>
      <c r="B1057">
        <f>'RAW DATA 2023'!D1050</f>
        <v>0</v>
      </c>
      <c r="C1057" t="str">
        <f t="shared" si="81"/>
        <v>00</v>
      </c>
      <c r="D1057" t="e">
        <f>VLOOKUP(C1057,'RAW DATA 2023'!E:BP,63,0)</f>
        <v>#N/A</v>
      </c>
      <c r="E1057" t="e">
        <f t="shared" si="82"/>
        <v>#N/A</v>
      </c>
      <c r="F1057" t="e">
        <f>ROUND(VLOOKUP(C1057,'RAW DATA 2023'!E:BO,23,0),0)</f>
        <v>#N/A</v>
      </c>
      <c r="G1057" s="16" t="e">
        <f>VLOOKUP(C1057,'RAW DATA 2023'!E:BO,27,0)</f>
        <v>#N/A</v>
      </c>
      <c r="H1057" s="16">
        <f>IFERROR(VLOOKUP(F1057,STD!B:G,5,0),0)</f>
        <v>0</v>
      </c>
      <c r="I1057" s="21">
        <f t="shared" si="83"/>
        <v>0</v>
      </c>
      <c r="J1057" s="16">
        <f t="shared" si="84"/>
        <v>-10</v>
      </c>
      <c r="K1057" s="106" t="e">
        <f>VLOOKUP(C1057,'RAW DATA 2023'!E:BO,36,0)</f>
        <v>#N/A</v>
      </c>
      <c r="L1057" s="106" t="e">
        <f>VLOOKUP(C1057,'RAW DATA 2023'!E:BO,21,0)</f>
        <v>#N/A</v>
      </c>
      <c r="M1057" s="106" t="e">
        <f t="shared" si="85"/>
        <v>#N/A</v>
      </c>
    </row>
    <row r="1058" spans="1:13">
      <c r="A1058">
        <f>'RAW DATA 2023'!B1051</f>
        <v>0</v>
      </c>
      <c r="B1058">
        <f>'RAW DATA 2023'!D1051</f>
        <v>0</v>
      </c>
      <c r="C1058" t="str">
        <f t="shared" si="81"/>
        <v>00</v>
      </c>
      <c r="D1058" t="e">
        <f>VLOOKUP(C1058,'RAW DATA 2023'!E:BP,63,0)</f>
        <v>#N/A</v>
      </c>
      <c r="E1058" t="e">
        <f t="shared" si="82"/>
        <v>#N/A</v>
      </c>
      <c r="F1058" t="e">
        <f>ROUND(VLOOKUP(C1058,'RAW DATA 2023'!E:BO,23,0),0)</f>
        <v>#N/A</v>
      </c>
      <c r="G1058" s="16" t="e">
        <f>VLOOKUP(C1058,'RAW DATA 2023'!E:BO,27,0)</f>
        <v>#N/A</v>
      </c>
      <c r="H1058" s="16">
        <f>IFERROR(VLOOKUP(F1058,STD!B:G,5,0),0)</f>
        <v>0</v>
      </c>
      <c r="I1058" s="21">
        <f t="shared" si="83"/>
        <v>0</v>
      </c>
      <c r="J1058" s="16">
        <f t="shared" si="84"/>
        <v>-10</v>
      </c>
      <c r="K1058" s="106" t="e">
        <f>VLOOKUP(C1058,'RAW DATA 2023'!E:BO,36,0)</f>
        <v>#N/A</v>
      </c>
      <c r="L1058" s="106" t="e">
        <f>VLOOKUP(C1058,'RAW DATA 2023'!E:BO,21,0)</f>
        <v>#N/A</v>
      </c>
      <c r="M1058" s="106" t="e">
        <f t="shared" si="85"/>
        <v>#N/A</v>
      </c>
    </row>
    <row r="1059" spans="1:13">
      <c r="A1059">
        <f>'RAW DATA 2023'!B1052</f>
        <v>0</v>
      </c>
      <c r="B1059">
        <f>'RAW DATA 2023'!D1052</f>
        <v>0</v>
      </c>
      <c r="C1059" t="str">
        <f t="shared" si="81"/>
        <v>00</v>
      </c>
      <c r="D1059" t="e">
        <f>VLOOKUP(C1059,'RAW DATA 2023'!E:BP,63,0)</f>
        <v>#N/A</v>
      </c>
      <c r="E1059" t="e">
        <f t="shared" si="82"/>
        <v>#N/A</v>
      </c>
      <c r="F1059" t="e">
        <f>ROUND(VLOOKUP(C1059,'RAW DATA 2023'!E:BO,23,0),0)</f>
        <v>#N/A</v>
      </c>
      <c r="G1059" s="16" t="e">
        <f>VLOOKUP(C1059,'RAW DATA 2023'!E:BO,27,0)</f>
        <v>#N/A</v>
      </c>
      <c r="H1059" s="16">
        <f>IFERROR(VLOOKUP(F1059,STD!B:G,5,0),0)</f>
        <v>0</v>
      </c>
      <c r="I1059" s="21">
        <f t="shared" si="83"/>
        <v>0</v>
      </c>
      <c r="J1059" s="16">
        <f t="shared" si="84"/>
        <v>-10</v>
      </c>
      <c r="K1059" s="106" t="e">
        <f>VLOOKUP(C1059,'RAW DATA 2023'!E:BO,36,0)</f>
        <v>#N/A</v>
      </c>
      <c r="L1059" s="106" t="e">
        <f>VLOOKUP(C1059,'RAW DATA 2023'!E:BO,21,0)</f>
        <v>#N/A</v>
      </c>
      <c r="M1059" s="106" t="e">
        <f t="shared" si="85"/>
        <v>#N/A</v>
      </c>
    </row>
    <row r="1060" spans="1:13">
      <c r="A1060">
        <f>'RAW DATA 2023'!B1053</f>
        <v>0</v>
      </c>
      <c r="B1060">
        <f>'RAW DATA 2023'!D1053</f>
        <v>0</v>
      </c>
      <c r="C1060" t="str">
        <f t="shared" si="81"/>
        <v>00</v>
      </c>
      <c r="D1060" t="e">
        <f>VLOOKUP(C1060,'RAW DATA 2023'!E:BP,63,0)</f>
        <v>#N/A</v>
      </c>
      <c r="E1060" t="e">
        <f t="shared" si="82"/>
        <v>#N/A</v>
      </c>
      <c r="F1060" t="e">
        <f>ROUND(VLOOKUP(C1060,'RAW DATA 2023'!E:BO,23,0),0)</f>
        <v>#N/A</v>
      </c>
      <c r="G1060" s="16" t="e">
        <f>VLOOKUP(C1060,'RAW DATA 2023'!E:BO,27,0)</f>
        <v>#N/A</v>
      </c>
      <c r="H1060" s="16">
        <f>IFERROR(VLOOKUP(F1060,STD!B:G,5,0),0)</f>
        <v>0</v>
      </c>
      <c r="I1060" s="21">
        <f t="shared" si="83"/>
        <v>0</v>
      </c>
      <c r="J1060" s="16">
        <f t="shared" si="84"/>
        <v>-10</v>
      </c>
      <c r="K1060" s="106" t="e">
        <f>VLOOKUP(C1060,'RAW DATA 2023'!E:BO,36,0)</f>
        <v>#N/A</v>
      </c>
      <c r="L1060" s="106" t="e">
        <f>VLOOKUP(C1060,'RAW DATA 2023'!E:BO,21,0)</f>
        <v>#N/A</v>
      </c>
      <c r="M1060" s="106" t="e">
        <f t="shared" si="85"/>
        <v>#N/A</v>
      </c>
    </row>
    <row r="1061" spans="1:13">
      <c r="A1061">
        <f>'RAW DATA 2023'!B1054</f>
        <v>0</v>
      </c>
      <c r="B1061">
        <f>'RAW DATA 2023'!D1054</f>
        <v>0</v>
      </c>
      <c r="C1061" t="str">
        <f t="shared" si="81"/>
        <v>00</v>
      </c>
      <c r="D1061" t="e">
        <f>VLOOKUP(C1061,'RAW DATA 2023'!E:BP,63,0)</f>
        <v>#N/A</v>
      </c>
      <c r="E1061" t="e">
        <f t="shared" si="82"/>
        <v>#N/A</v>
      </c>
      <c r="F1061" t="e">
        <f>ROUND(VLOOKUP(C1061,'RAW DATA 2023'!E:BO,23,0),0)</f>
        <v>#N/A</v>
      </c>
      <c r="G1061" s="16" t="e">
        <f>VLOOKUP(C1061,'RAW DATA 2023'!E:BO,27,0)</f>
        <v>#N/A</v>
      </c>
      <c r="H1061" s="16">
        <f>IFERROR(VLOOKUP(F1061,STD!B:G,5,0),0)</f>
        <v>0</v>
      </c>
      <c r="I1061" s="21">
        <f t="shared" si="83"/>
        <v>0</v>
      </c>
      <c r="J1061" s="16">
        <f t="shared" si="84"/>
        <v>-10</v>
      </c>
      <c r="K1061" s="106" t="e">
        <f>VLOOKUP(C1061,'RAW DATA 2023'!E:BO,36,0)</f>
        <v>#N/A</v>
      </c>
      <c r="L1061" s="106" t="e">
        <f>VLOOKUP(C1061,'RAW DATA 2023'!E:BO,21,0)</f>
        <v>#N/A</v>
      </c>
      <c r="M1061" s="106" t="e">
        <f t="shared" si="85"/>
        <v>#N/A</v>
      </c>
    </row>
    <row r="1062" spans="1:13">
      <c r="A1062">
        <f>'RAW DATA 2023'!B1055</f>
        <v>0</v>
      </c>
      <c r="B1062">
        <f>'RAW DATA 2023'!D1055</f>
        <v>0</v>
      </c>
      <c r="C1062" t="str">
        <f t="shared" si="81"/>
        <v>00</v>
      </c>
      <c r="D1062" t="e">
        <f>VLOOKUP(C1062,'RAW DATA 2023'!E:BP,63,0)</f>
        <v>#N/A</v>
      </c>
      <c r="E1062" t="e">
        <f t="shared" si="82"/>
        <v>#N/A</v>
      </c>
      <c r="F1062" t="e">
        <f>ROUND(VLOOKUP(C1062,'RAW DATA 2023'!E:BO,23,0),0)</f>
        <v>#N/A</v>
      </c>
      <c r="G1062" s="16" t="e">
        <f>VLOOKUP(C1062,'RAW DATA 2023'!E:BO,27,0)</f>
        <v>#N/A</v>
      </c>
      <c r="H1062" s="16">
        <f>IFERROR(VLOOKUP(F1062,STD!B:G,5,0),0)</f>
        <v>0</v>
      </c>
      <c r="I1062" s="21">
        <f t="shared" si="83"/>
        <v>0</v>
      </c>
      <c r="J1062" s="16">
        <f t="shared" si="84"/>
        <v>-10</v>
      </c>
      <c r="K1062" s="106" t="e">
        <f>VLOOKUP(C1062,'RAW DATA 2023'!E:BO,36,0)</f>
        <v>#N/A</v>
      </c>
      <c r="L1062" s="106" t="e">
        <f>VLOOKUP(C1062,'RAW DATA 2023'!E:BO,21,0)</f>
        <v>#N/A</v>
      </c>
      <c r="M1062" s="106" t="e">
        <f t="shared" si="85"/>
        <v>#N/A</v>
      </c>
    </row>
    <row r="1063" spans="1:13">
      <c r="A1063">
        <f>'RAW DATA 2023'!B1056</f>
        <v>0</v>
      </c>
      <c r="B1063">
        <f>'RAW DATA 2023'!D1056</f>
        <v>0</v>
      </c>
      <c r="C1063" t="str">
        <f t="shared" si="81"/>
        <v>00</v>
      </c>
      <c r="D1063" t="e">
        <f>VLOOKUP(C1063,'RAW DATA 2023'!E:BP,63,0)</f>
        <v>#N/A</v>
      </c>
      <c r="E1063" t="e">
        <f t="shared" si="82"/>
        <v>#N/A</v>
      </c>
      <c r="F1063" t="e">
        <f>ROUND(VLOOKUP(C1063,'RAW DATA 2023'!E:BO,23,0),0)</f>
        <v>#N/A</v>
      </c>
      <c r="G1063" s="16" t="e">
        <f>VLOOKUP(C1063,'RAW DATA 2023'!E:BO,27,0)</f>
        <v>#N/A</v>
      </c>
      <c r="H1063" s="16">
        <f>IFERROR(VLOOKUP(F1063,STD!B:G,5,0),0)</f>
        <v>0</v>
      </c>
      <c r="I1063" s="21">
        <f t="shared" si="83"/>
        <v>0</v>
      </c>
      <c r="J1063" s="16">
        <f t="shared" si="84"/>
        <v>-10</v>
      </c>
      <c r="K1063" s="106" t="e">
        <f>VLOOKUP(C1063,'RAW DATA 2023'!E:BO,36,0)</f>
        <v>#N/A</v>
      </c>
      <c r="L1063" s="106" t="e">
        <f>VLOOKUP(C1063,'RAW DATA 2023'!E:BO,21,0)</f>
        <v>#N/A</v>
      </c>
      <c r="M1063" s="106" t="e">
        <f t="shared" si="85"/>
        <v>#N/A</v>
      </c>
    </row>
    <row r="1064" spans="1:13">
      <c r="A1064">
        <f>'RAW DATA 2023'!B1057</f>
        <v>0</v>
      </c>
      <c r="B1064">
        <f>'RAW DATA 2023'!D1057</f>
        <v>0</v>
      </c>
      <c r="C1064" t="str">
        <f t="shared" si="81"/>
        <v>00</v>
      </c>
      <c r="D1064" t="e">
        <f>VLOOKUP(C1064,'RAW DATA 2023'!E:BP,63,0)</f>
        <v>#N/A</v>
      </c>
      <c r="E1064" t="e">
        <f t="shared" si="82"/>
        <v>#N/A</v>
      </c>
      <c r="F1064" t="e">
        <f>ROUND(VLOOKUP(C1064,'RAW DATA 2023'!E:BO,23,0),0)</f>
        <v>#N/A</v>
      </c>
      <c r="G1064" s="16" t="e">
        <f>VLOOKUP(C1064,'RAW DATA 2023'!E:BO,27,0)</f>
        <v>#N/A</v>
      </c>
      <c r="H1064" s="16">
        <f>IFERROR(VLOOKUP(F1064,STD!B:G,5,0),0)</f>
        <v>0</v>
      </c>
      <c r="I1064" s="21">
        <f t="shared" si="83"/>
        <v>0</v>
      </c>
      <c r="J1064" s="16">
        <f t="shared" si="84"/>
        <v>-10</v>
      </c>
      <c r="K1064" s="106" t="e">
        <f>VLOOKUP(C1064,'RAW DATA 2023'!E:BO,36,0)</f>
        <v>#N/A</v>
      </c>
      <c r="L1064" s="106" t="e">
        <f>VLOOKUP(C1064,'RAW DATA 2023'!E:BO,21,0)</f>
        <v>#N/A</v>
      </c>
      <c r="M1064" s="106" t="e">
        <f t="shared" si="85"/>
        <v>#N/A</v>
      </c>
    </row>
    <row r="1065" spans="1:13">
      <c r="A1065">
        <f>'RAW DATA 2023'!B1058</f>
        <v>0</v>
      </c>
      <c r="B1065">
        <f>'RAW DATA 2023'!D1058</f>
        <v>0</v>
      </c>
      <c r="C1065" t="str">
        <f t="shared" si="81"/>
        <v>00</v>
      </c>
      <c r="D1065" t="e">
        <f>VLOOKUP(C1065,'RAW DATA 2023'!E:BP,63,0)</f>
        <v>#N/A</v>
      </c>
      <c r="E1065" t="e">
        <f t="shared" si="82"/>
        <v>#N/A</v>
      </c>
      <c r="F1065" t="e">
        <f>ROUND(VLOOKUP(C1065,'RAW DATA 2023'!E:BO,23,0),0)</f>
        <v>#N/A</v>
      </c>
      <c r="G1065" s="16" t="e">
        <f>VLOOKUP(C1065,'RAW DATA 2023'!E:BO,27,0)</f>
        <v>#N/A</v>
      </c>
      <c r="H1065" s="16">
        <f>IFERROR(VLOOKUP(F1065,STD!B:G,5,0),0)</f>
        <v>0</v>
      </c>
      <c r="I1065" s="21">
        <f t="shared" si="83"/>
        <v>0</v>
      </c>
      <c r="J1065" s="16">
        <f t="shared" si="84"/>
        <v>-10</v>
      </c>
      <c r="K1065" s="106" t="e">
        <f>VLOOKUP(C1065,'RAW DATA 2023'!E:BO,36,0)</f>
        <v>#N/A</v>
      </c>
      <c r="L1065" s="106" t="e">
        <f>VLOOKUP(C1065,'RAW DATA 2023'!E:BO,21,0)</f>
        <v>#N/A</v>
      </c>
      <c r="M1065" s="106" t="e">
        <f t="shared" si="85"/>
        <v>#N/A</v>
      </c>
    </row>
    <row r="1066" spans="1:13">
      <c r="A1066">
        <f>'RAW DATA 2023'!B1059</f>
        <v>0</v>
      </c>
      <c r="B1066">
        <f>'RAW DATA 2023'!D1059</f>
        <v>0</v>
      </c>
      <c r="C1066" t="str">
        <f t="shared" si="81"/>
        <v>00</v>
      </c>
      <c r="D1066" t="e">
        <f>VLOOKUP(C1066,'RAW DATA 2023'!E:BP,63,0)</f>
        <v>#N/A</v>
      </c>
      <c r="E1066" t="e">
        <f t="shared" si="82"/>
        <v>#N/A</v>
      </c>
      <c r="F1066" t="e">
        <f>ROUND(VLOOKUP(C1066,'RAW DATA 2023'!E:BO,23,0),0)</f>
        <v>#N/A</v>
      </c>
      <c r="G1066" s="16" t="e">
        <f>VLOOKUP(C1066,'RAW DATA 2023'!E:BO,27,0)</f>
        <v>#N/A</v>
      </c>
      <c r="H1066" s="16">
        <f>IFERROR(VLOOKUP(F1066,STD!B:G,5,0),0)</f>
        <v>0</v>
      </c>
      <c r="I1066" s="21">
        <f t="shared" si="83"/>
        <v>0</v>
      </c>
      <c r="J1066" s="16">
        <f t="shared" si="84"/>
        <v>-10</v>
      </c>
      <c r="K1066" s="106" t="e">
        <f>VLOOKUP(C1066,'RAW DATA 2023'!E:BO,36,0)</f>
        <v>#N/A</v>
      </c>
      <c r="L1066" s="106" t="e">
        <f>VLOOKUP(C1066,'RAW DATA 2023'!E:BO,21,0)</f>
        <v>#N/A</v>
      </c>
      <c r="M1066" s="106" t="e">
        <f t="shared" si="85"/>
        <v>#N/A</v>
      </c>
    </row>
    <row r="1067" spans="1:13">
      <c r="A1067">
        <f>'RAW DATA 2023'!B1060</f>
        <v>0</v>
      </c>
      <c r="B1067">
        <f>'RAW DATA 2023'!D1060</f>
        <v>0</v>
      </c>
      <c r="C1067" t="str">
        <f t="shared" si="81"/>
        <v>00</v>
      </c>
      <c r="D1067" t="e">
        <f>VLOOKUP(C1067,'RAW DATA 2023'!E:BP,63,0)</f>
        <v>#N/A</v>
      </c>
      <c r="E1067" t="e">
        <f t="shared" si="82"/>
        <v>#N/A</v>
      </c>
      <c r="F1067" t="e">
        <f>ROUND(VLOOKUP(C1067,'RAW DATA 2023'!E:BO,23,0),0)</f>
        <v>#N/A</v>
      </c>
      <c r="G1067" s="16" t="e">
        <f>VLOOKUP(C1067,'RAW DATA 2023'!E:BO,27,0)</f>
        <v>#N/A</v>
      </c>
      <c r="H1067" s="16">
        <f>IFERROR(VLOOKUP(F1067,STD!B:G,5,0),0)</f>
        <v>0</v>
      </c>
      <c r="I1067" s="21">
        <f t="shared" si="83"/>
        <v>0</v>
      </c>
      <c r="J1067" s="16">
        <f t="shared" si="84"/>
        <v>-10</v>
      </c>
      <c r="K1067" s="106" t="e">
        <f>VLOOKUP(C1067,'RAW DATA 2023'!E:BO,36,0)</f>
        <v>#N/A</v>
      </c>
      <c r="L1067" s="106" t="e">
        <f>VLOOKUP(C1067,'RAW DATA 2023'!E:BO,21,0)</f>
        <v>#N/A</v>
      </c>
      <c r="M1067" s="106" t="e">
        <f t="shared" si="85"/>
        <v>#N/A</v>
      </c>
    </row>
    <row r="1068" spans="1:13">
      <c r="A1068">
        <f>'RAW DATA 2023'!B1061</f>
        <v>0</v>
      </c>
      <c r="B1068">
        <f>'RAW DATA 2023'!D1061</f>
        <v>0</v>
      </c>
      <c r="C1068" t="str">
        <f t="shared" si="81"/>
        <v>00</v>
      </c>
      <c r="D1068" t="e">
        <f>VLOOKUP(C1068,'RAW DATA 2023'!E:BP,63,0)</f>
        <v>#N/A</v>
      </c>
      <c r="E1068" t="e">
        <f t="shared" si="82"/>
        <v>#N/A</v>
      </c>
      <c r="F1068" t="e">
        <f>ROUND(VLOOKUP(C1068,'RAW DATA 2023'!E:BO,23,0),0)</f>
        <v>#N/A</v>
      </c>
      <c r="G1068" s="16" t="e">
        <f>VLOOKUP(C1068,'RAW DATA 2023'!E:BO,27,0)</f>
        <v>#N/A</v>
      </c>
      <c r="H1068" s="16">
        <f>IFERROR(VLOOKUP(F1068,STD!B:G,5,0),0)</f>
        <v>0</v>
      </c>
      <c r="I1068" s="21">
        <f t="shared" si="83"/>
        <v>0</v>
      </c>
      <c r="J1068" s="16">
        <f t="shared" si="84"/>
        <v>-10</v>
      </c>
      <c r="K1068" s="106" t="e">
        <f>VLOOKUP(C1068,'RAW DATA 2023'!E:BO,36,0)</f>
        <v>#N/A</v>
      </c>
      <c r="L1068" s="106" t="e">
        <f>VLOOKUP(C1068,'RAW DATA 2023'!E:BO,21,0)</f>
        <v>#N/A</v>
      </c>
      <c r="M1068" s="106" t="e">
        <f t="shared" si="85"/>
        <v>#N/A</v>
      </c>
    </row>
    <row r="1069" spans="1:13">
      <c r="A1069">
        <f>'RAW DATA 2023'!B1062</f>
        <v>0</v>
      </c>
      <c r="B1069">
        <f>'RAW DATA 2023'!D1062</f>
        <v>0</v>
      </c>
      <c r="C1069" t="str">
        <f t="shared" si="81"/>
        <v>00</v>
      </c>
      <c r="D1069" t="e">
        <f>VLOOKUP(C1069,'RAW DATA 2023'!E:BP,63,0)</f>
        <v>#N/A</v>
      </c>
      <c r="E1069" t="e">
        <f t="shared" si="82"/>
        <v>#N/A</v>
      </c>
      <c r="F1069" t="e">
        <f>ROUND(VLOOKUP(C1069,'RAW DATA 2023'!E:BO,23,0),0)</f>
        <v>#N/A</v>
      </c>
      <c r="G1069" s="16" t="e">
        <f>VLOOKUP(C1069,'RAW DATA 2023'!E:BO,27,0)</f>
        <v>#N/A</v>
      </c>
      <c r="H1069" s="16">
        <f>IFERROR(VLOOKUP(F1069,STD!B:G,5,0),0)</f>
        <v>0</v>
      </c>
      <c r="I1069" s="21">
        <f t="shared" si="83"/>
        <v>0</v>
      </c>
      <c r="J1069" s="16">
        <f t="shared" si="84"/>
        <v>-10</v>
      </c>
      <c r="K1069" s="106" t="e">
        <f>VLOOKUP(C1069,'RAW DATA 2023'!E:BO,36,0)</f>
        <v>#N/A</v>
      </c>
      <c r="L1069" s="106" t="e">
        <f>VLOOKUP(C1069,'RAW DATA 2023'!E:BO,21,0)</f>
        <v>#N/A</v>
      </c>
      <c r="M1069" s="106" t="e">
        <f t="shared" si="85"/>
        <v>#N/A</v>
      </c>
    </row>
    <row r="1070" spans="1:13">
      <c r="A1070">
        <f>'RAW DATA 2023'!B1063</f>
        <v>0</v>
      </c>
      <c r="B1070">
        <f>'RAW DATA 2023'!D1063</f>
        <v>0</v>
      </c>
      <c r="C1070" t="str">
        <f t="shared" si="81"/>
        <v>00</v>
      </c>
      <c r="D1070" t="e">
        <f>VLOOKUP(C1070,'RAW DATA 2023'!E:BP,63,0)</f>
        <v>#N/A</v>
      </c>
      <c r="E1070" t="e">
        <f t="shared" si="82"/>
        <v>#N/A</v>
      </c>
      <c r="F1070" t="e">
        <f>ROUND(VLOOKUP(C1070,'RAW DATA 2023'!E:BO,23,0),0)</f>
        <v>#N/A</v>
      </c>
      <c r="G1070" s="16" t="e">
        <f>VLOOKUP(C1070,'RAW DATA 2023'!E:BO,27,0)</f>
        <v>#N/A</v>
      </c>
      <c r="H1070" s="16">
        <f>IFERROR(VLOOKUP(F1070,STD!B:G,5,0),0)</f>
        <v>0</v>
      </c>
      <c r="I1070" s="21">
        <f t="shared" si="83"/>
        <v>0</v>
      </c>
      <c r="J1070" s="16">
        <f t="shared" si="84"/>
        <v>-10</v>
      </c>
      <c r="K1070" s="106" t="e">
        <f>VLOOKUP(C1070,'RAW DATA 2023'!E:BO,36,0)</f>
        <v>#N/A</v>
      </c>
      <c r="L1070" s="106" t="e">
        <f>VLOOKUP(C1070,'RAW DATA 2023'!E:BO,21,0)</f>
        <v>#N/A</v>
      </c>
      <c r="M1070" s="106" t="e">
        <f t="shared" si="85"/>
        <v>#N/A</v>
      </c>
    </row>
    <row r="1071" spans="1:13">
      <c r="A1071">
        <f>'RAW DATA 2023'!B1064</f>
        <v>0</v>
      </c>
      <c r="B1071">
        <f>'RAW DATA 2023'!D1064</f>
        <v>0</v>
      </c>
      <c r="C1071" t="str">
        <f t="shared" si="81"/>
        <v>00</v>
      </c>
      <c r="D1071" t="e">
        <f>VLOOKUP(C1071,'RAW DATA 2023'!E:BP,63,0)</f>
        <v>#N/A</v>
      </c>
      <c r="E1071" t="e">
        <f t="shared" si="82"/>
        <v>#N/A</v>
      </c>
      <c r="F1071" t="e">
        <f>ROUND(VLOOKUP(C1071,'RAW DATA 2023'!E:BO,23,0),0)</f>
        <v>#N/A</v>
      </c>
      <c r="G1071" s="16" t="e">
        <f>VLOOKUP(C1071,'RAW DATA 2023'!E:BO,27,0)</f>
        <v>#N/A</v>
      </c>
      <c r="H1071" s="16">
        <f>IFERROR(VLOOKUP(F1071,STD!B:G,5,0),0)</f>
        <v>0</v>
      </c>
      <c r="I1071" s="21">
        <f t="shared" si="83"/>
        <v>0</v>
      </c>
      <c r="J1071" s="16">
        <f t="shared" si="84"/>
        <v>-10</v>
      </c>
      <c r="K1071" s="106" t="e">
        <f>VLOOKUP(C1071,'RAW DATA 2023'!E:BO,36,0)</f>
        <v>#N/A</v>
      </c>
      <c r="L1071" s="106" t="e">
        <f>VLOOKUP(C1071,'RAW DATA 2023'!E:BO,21,0)</f>
        <v>#N/A</v>
      </c>
      <c r="M1071" s="106" t="e">
        <f t="shared" si="85"/>
        <v>#N/A</v>
      </c>
    </row>
    <row r="1072" spans="1:13">
      <c r="A1072">
        <f>'RAW DATA 2023'!B1065</f>
        <v>0</v>
      </c>
      <c r="B1072">
        <f>'RAW DATA 2023'!D1065</f>
        <v>0</v>
      </c>
      <c r="C1072" t="str">
        <f t="shared" si="81"/>
        <v>00</v>
      </c>
      <c r="D1072" t="e">
        <f>VLOOKUP(C1072,'RAW DATA 2023'!E:BP,63,0)</f>
        <v>#N/A</v>
      </c>
      <c r="E1072" t="e">
        <f t="shared" si="82"/>
        <v>#N/A</v>
      </c>
      <c r="F1072" t="e">
        <f>ROUND(VLOOKUP(C1072,'RAW DATA 2023'!E:BO,23,0),0)</f>
        <v>#N/A</v>
      </c>
      <c r="G1072" s="16" t="e">
        <f>VLOOKUP(C1072,'RAW DATA 2023'!E:BO,27,0)</f>
        <v>#N/A</v>
      </c>
      <c r="H1072" s="16">
        <f>IFERROR(VLOOKUP(F1072,STD!B:G,5,0),0)</f>
        <v>0</v>
      </c>
      <c r="I1072" s="21">
        <f t="shared" si="83"/>
        <v>0</v>
      </c>
      <c r="J1072" s="16">
        <f t="shared" si="84"/>
        <v>-10</v>
      </c>
      <c r="K1072" s="106" t="e">
        <f>VLOOKUP(C1072,'RAW DATA 2023'!E:BO,36,0)</f>
        <v>#N/A</v>
      </c>
      <c r="L1072" s="106" t="e">
        <f>VLOOKUP(C1072,'RAW DATA 2023'!E:BO,21,0)</f>
        <v>#N/A</v>
      </c>
      <c r="M1072" s="106" t="e">
        <f t="shared" si="85"/>
        <v>#N/A</v>
      </c>
    </row>
    <row r="1073" spans="1:13">
      <c r="A1073">
        <f>'RAW DATA 2023'!B1066</f>
        <v>0</v>
      </c>
      <c r="B1073">
        <f>'RAW DATA 2023'!D1066</f>
        <v>0</v>
      </c>
      <c r="C1073" t="str">
        <f t="shared" si="81"/>
        <v>00</v>
      </c>
      <c r="D1073" t="e">
        <f>VLOOKUP(C1073,'RAW DATA 2023'!E:BP,63,0)</f>
        <v>#N/A</v>
      </c>
      <c r="E1073" t="e">
        <f t="shared" si="82"/>
        <v>#N/A</v>
      </c>
      <c r="F1073" t="e">
        <f>ROUND(VLOOKUP(C1073,'RAW DATA 2023'!E:BO,23,0),0)</f>
        <v>#N/A</v>
      </c>
      <c r="G1073" s="16" t="e">
        <f>VLOOKUP(C1073,'RAW DATA 2023'!E:BO,27,0)</f>
        <v>#N/A</v>
      </c>
      <c r="H1073" s="16">
        <f>IFERROR(VLOOKUP(F1073,STD!B:G,5,0),0)</f>
        <v>0</v>
      </c>
      <c r="I1073" s="21">
        <f t="shared" si="83"/>
        <v>0</v>
      </c>
      <c r="J1073" s="16">
        <f t="shared" si="84"/>
        <v>-10</v>
      </c>
      <c r="K1073" s="106" t="e">
        <f>VLOOKUP(C1073,'RAW DATA 2023'!E:BO,36,0)</f>
        <v>#N/A</v>
      </c>
      <c r="L1073" s="106" t="e">
        <f>VLOOKUP(C1073,'RAW DATA 2023'!E:BO,21,0)</f>
        <v>#N/A</v>
      </c>
      <c r="M1073" s="106" t="e">
        <f t="shared" si="85"/>
        <v>#N/A</v>
      </c>
    </row>
    <row r="1074" spans="1:13">
      <c r="A1074">
        <f>'RAW DATA 2023'!B1067</f>
        <v>0</v>
      </c>
      <c r="B1074">
        <f>'RAW DATA 2023'!D1067</f>
        <v>0</v>
      </c>
      <c r="C1074" t="str">
        <f t="shared" si="81"/>
        <v>00</v>
      </c>
      <c r="D1074" t="e">
        <f>VLOOKUP(C1074,'RAW DATA 2023'!E:BP,63,0)</f>
        <v>#N/A</v>
      </c>
      <c r="E1074" t="e">
        <f t="shared" si="82"/>
        <v>#N/A</v>
      </c>
      <c r="F1074" t="e">
        <f>ROUND(VLOOKUP(C1074,'RAW DATA 2023'!E:BO,23,0),0)</f>
        <v>#N/A</v>
      </c>
      <c r="G1074" s="16" t="e">
        <f>VLOOKUP(C1074,'RAW DATA 2023'!E:BO,27,0)</f>
        <v>#N/A</v>
      </c>
      <c r="H1074" s="16">
        <f>IFERROR(VLOOKUP(F1074,STD!B:G,5,0),0)</f>
        <v>0</v>
      </c>
      <c r="I1074" s="21">
        <f t="shared" si="83"/>
        <v>0</v>
      </c>
      <c r="J1074" s="16">
        <f t="shared" si="84"/>
        <v>-10</v>
      </c>
      <c r="K1074" s="106" t="e">
        <f>VLOOKUP(C1074,'RAW DATA 2023'!E:BO,36,0)</f>
        <v>#N/A</v>
      </c>
      <c r="L1074" s="106" t="e">
        <f>VLOOKUP(C1074,'RAW DATA 2023'!E:BO,21,0)</f>
        <v>#N/A</v>
      </c>
      <c r="M1074" s="106" t="e">
        <f t="shared" si="85"/>
        <v>#N/A</v>
      </c>
    </row>
    <row r="1075" spans="1:13">
      <c r="A1075">
        <f>'RAW DATA 2023'!B1068</f>
        <v>0</v>
      </c>
      <c r="B1075">
        <f>'RAW DATA 2023'!D1068</f>
        <v>0</v>
      </c>
      <c r="C1075" t="str">
        <f t="shared" si="81"/>
        <v>00</v>
      </c>
      <c r="D1075" t="e">
        <f>VLOOKUP(C1075,'RAW DATA 2023'!E:BP,63,0)</f>
        <v>#N/A</v>
      </c>
      <c r="E1075" t="e">
        <f t="shared" si="82"/>
        <v>#N/A</v>
      </c>
      <c r="F1075" t="e">
        <f>ROUND(VLOOKUP(C1075,'RAW DATA 2023'!E:BO,23,0),0)</f>
        <v>#N/A</v>
      </c>
      <c r="G1075" s="16" t="e">
        <f>VLOOKUP(C1075,'RAW DATA 2023'!E:BO,27,0)</f>
        <v>#N/A</v>
      </c>
      <c r="H1075" s="16">
        <f>IFERROR(VLOOKUP(F1075,STD!B:G,5,0),0)</f>
        <v>0</v>
      </c>
      <c r="I1075" s="21">
        <f t="shared" si="83"/>
        <v>0</v>
      </c>
      <c r="J1075" s="16">
        <f t="shared" si="84"/>
        <v>-10</v>
      </c>
      <c r="K1075" s="106" t="e">
        <f>VLOOKUP(C1075,'RAW DATA 2023'!E:BO,36,0)</f>
        <v>#N/A</v>
      </c>
      <c r="L1075" s="106" t="e">
        <f>VLOOKUP(C1075,'RAW DATA 2023'!E:BO,21,0)</f>
        <v>#N/A</v>
      </c>
      <c r="M1075" s="106" t="e">
        <f t="shared" si="85"/>
        <v>#N/A</v>
      </c>
    </row>
    <row r="1076" spans="1:13">
      <c r="A1076">
        <f>'RAW DATA 2023'!B1069</f>
        <v>0</v>
      </c>
      <c r="B1076">
        <f>'RAW DATA 2023'!D1069</f>
        <v>0</v>
      </c>
      <c r="C1076" t="str">
        <f t="shared" si="81"/>
        <v>00</v>
      </c>
      <c r="D1076" t="e">
        <f>VLOOKUP(C1076,'RAW DATA 2023'!E:BP,63,0)</f>
        <v>#N/A</v>
      </c>
      <c r="E1076" t="e">
        <f t="shared" si="82"/>
        <v>#N/A</v>
      </c>
      <c r="F1076" t="e">
        <f>ROUND(VLOOKUP(C1076,'RAW DATA 2023'!E:BO,23,0),0)</f>
        <v>#N/A</v>
      </c>
      <c r="G1076" s="16" t="e">
        <f>VLOOKUP(C1076,'RAW DATA 2023'!E:BO,27,0)</f>
        <v>#N/A</v>
      </c>
      <c r="H1076" s="16">
        <f>IFERROR(VLOOKUP(F1076,STD!B:G,5,0),0)</f>
        <v>0</v>
      </c>
      <c r="I1076" s="21">
        <f t="shared" si="83"/>
        <v>0</v>
      </c>
      <c r="J1076" s="16">
        <f t="shared" si="84"/>
        <v>-10</v>
      </c>
      <c r="K1076" s="106" t="e">
        <f>VLOOKUP(C1076,'RAW DATA 2023'!E:BO,36,0)</f>
        <v>#N/A</v>
      </c>
      <c r="L1076" s="106" t="e">
        <f>VLOOKUP(C1076,'RAW DATA 2023'!E:BO,21,0)</f>
        <v>#N/A</v>
      </c>
      <c r="M1076" s="106" t="e">
        <f t="shared" si="85"/>
        <v>#N/A</v>
      </c>
    </row>
    <row r="1077" spans="1:13">
      <c r="A1077">
        <f>'RAW DATA 2023'!B1070</f>
        <v>0</v>
      </c>
      <c r="B1077">
        <f>'RAW DATA 2023'!D1070</f>
        <v>0</v>
      </c>
      <c r="C1077" t="str">
        <f t="shared" si="81"/>
        <v>00</v>
      </c>
      <c r="D1077" t="e">
        <f>VLOOKUP(C1077,'RAW DATA 2023'!E:BP,63,0)</f>
        <v>#N/A</v>
      </c>
      <c r="E1077" t="e">
        <f t="shared" si="82"/>
        <v>#N/A</v>
      </c>
      <c r="F1077" t="e">
        <f>ROUND(VLOOKUP(C1077,'RAW DATA 2023'!E:BO,23,0),0)</f>
        <v>#N/A</v>
      </c>
      <c r="G1077" s="16" t="e">
        <f>VLOOKUP(C1077,'RAW DATA 2023'!E:BO,27,0)</f>
        <v>#N/A</v>
      </c>
      <c r="H1077" s="16">
        <f>IFERROR(VLOOKUP(F1077,STD!B:G,5,0),0)</f>
        <v>0</v>
      </c>
      <c r="I1077" s="21">
        <f t="shared" si="83"/>
        <v>0</v>
      </c>
      <c r="J1077" s="16">
        <f t="shared" si="84"/>
        <v>-10</v>
      </c>
      <c r="K1077" s="106" t="e">
        <f>VLOOKUP(C1077,'RAW DATA 2023'!E:BO,36,0)</f>
        <v>#N/A</v>
      </c>
      <c r="L1077" s="106" t="e">
        <f>VLOOKUP(C1077,'RAW DATA 2023'!E:BO,21,0)</f>
        <v>#N/A</v>
      </c>
      <c r="M1077" s="106" t="e">
        <f t="shared" si="85"/>
        <v>#N/A</v>
      </c>
    </row>
    <row r="1078" spans="1:13">
      <c r="A1078">
        <f>'RAW DATA 2023'!B1071</f>
        <v>0</v>
      </c>
      <c r="B1078">
        <f>'RAW DATA 2023'!D1071</f>
        <v>0</v>
      </c>
      <c r="C1078" t="str">
        <f t="shared" si="81"/>
        <v>00</v>
      </c>
      <c r="D1078" t="e">
        <f>VLOOKUP(C1078,'RAW DATA 2023'!E:BP,63,0)</f>
        <v>#N/A</v>
      </c>
      <c r="E1078" t="e">
        <f t="shared" si="82"/>
        <v>#N/A</v>
      </c>
      <c r="F1078" t="e">
        <f>ROUND(VLOOKUP(C1078,'RAW DATA 2023'!E:BO,23,0),0)</f>
        <v>#N/A</v>
      </c>
      <c r="G1078" s="16" t="e">
        <f>VLOOKUP(C1078,'RAW DATA 2023'!E:BO,27,0)</f>
        <v>#N/A</v>
      </c>
      <c r="H1078" s="16">
        <f>IFERROR(VLOOKUP(F1078,STD!B:G,5,0),0)</f>
        <v>0</v>
      </c>
      <c r="I1078" s="21">
        <f t="shared" si="83"/>
        <v>0</v>
      </c>
      <c r="J1078" s="16">
        <f t="shared" si="84"/>
        <v>-10</v>
      </c>
      <c r="K1078" s="106" t="e">
        <f>VLOOKUP(C1078,'RAW DATA 2023'!E:BO,36,0)</f>
        <v>#N/A</v>
      </c>
      <c r="L1078" s="106" t="e">
        <f>VLOOKUP(C1078,'RAW DATA 2023'!E:BO,21,0)</f>
        <v>#N/A</v>
      </c>
      <c r="M1078" s="106" t="e">
        <f t="shared" si="85"/>
        <v>#N/A</v>
      </c>
    </row>
    <row r="1079" spans="1:13">
      <c r="A1079">
        <f>'RAW DATA 2023'!B1072</f>
        <v>0</v>
      </c>
      <c r="B1079">
        <f>'RAW DATA 2023'!D1072</f>
        <v>0</v>
      </c>
      <c r="C1079" t="str">
        <f t="shared" si="81"/>
        <v>00</v>
      </c>
      <c r="D1079" t="e">
        <f>VLOOKUP(C1079,'RAW DATA 2023'!E:BP,63,0)</f>
        <v>#N/A</v>
      </c>
      <c r="E1079" t="e">
        <f t="shared" si="82"/>
        <v>#N/A</v>
      </c>
      <c r="F1079" t="e">
        <f>ROUND(VLOOKUP(C1079,'RAW DATA 2023'!E:BO,23,0),0)</f>
        <v>#N/A</v>
      </c>
      <c r="G1079" s="16" t="e">
        <f>VLOOKUP(C1079,'RAW DATA 2023'!E:BO,27,0)</f>
        <v>#N/A</v>
      </c>
      <c r="H1079" s="16">
        <f>IFERROR(VLOOKUP(F1079,STD!B:G,5,0),0)</f>
        <v>0</v>
      </c>
      <c r="I1079" s="21">
        <f t="shared" si="83"/>
        <v>0</v>
      </c>
      <c r="J1079" s="16">
        <f t="shared" si="84"/>
        <v>-10</v>
      </c>
      <c r="K1079" s="106" t="e">
        <f>VLOOKUP(C1079,'RAW DATA 2023'!E:BO,36,0)</f>
        <v>#N/A</v>
      </c>
      <c r="L1079" s="106" t="e">
        <f>VLOOKUP(C1079,'RAW DATA 2023'!E:BO,21,0)</f>
        <v>#N/A</v>
      </c>
      <c r="M1079" s="106" t="e">
        <f t="shared" si="85"/>
        <v>#N/A</v>
      </c>
    </row>
    <row r="1080" spans="1:13">
      <c r="A1080">
        <f>'RAW DATA 2023'!B1073</f>
        <v>0</v>
      </c>
      <c r="B1080">
        <f>'RAW DATA 2023'!D1073</f>
        <v>0</v>
      </c>
      <c r="C1080" t="str">
        <f t="shared" si="81"/>
        <v>00</v>
      </c>
      <c r="D1080" t="e">
        <f>VLOOKUP(C1080,'RAW DATA 2023'!E:BP,63,0)</f>
        <v>#N/A</v>
      </c>
      <c r="E1080" t="e">
        <f t="shared" si="82"/>
        <v>#N/A</v>
      </c>
      <c r="F1080" t="e">
        <f>ROUND(VLOOKUP(C1080,'RAW DATA 2023'!E:BO,23,0),0)</f>
        <v>#N/A</v>
      </c>
      <c r="G1080" s="16" t="e">
        <f>VLOOKUP(C1080,'RAW DATA 2023'!E:BO,27,0)</f>
        <v>#N/A</v>
      </c>
      <c r="H1080" s="16">
        <f>IFERROR(VLOOKUP(F1080,STD!B:G,5,0),0)</f>
        <v>0</v>
      </c>
      <c r="I1080" s="21">
        <f t="shared" si="83"/>
        <v>0</v>
      </c>
      <c r="J1080" s="16">
        <f t="shared" si="84"/>
        <v>-10</v>
      </c>
      <c r="K1080" s="106" t="e">
        <f>VLOOKUP(C1080,'RAW DATA 2023'!E:BO,36,0)</f>
        <v>#N/A</v>
      </c>
      <c r="L1080" s="106" t="e">
        <f>VLOOKUP(C1080,'RAW DATA 2023'!E:BO,21,0)</f>
        <v>#N/A</v>
      </c>
      <c r="M1080" s="106" t="e">
        <f t="shared" si="85"/>
        <v>#N/A</v>
      </c>
    </row>
    <row r="1081" spans="1:13">
      <c r="A1081">
        <f>'RAW DATA 2023'!B1074</f>
        <v>0</v>
      </c>
      <c r="B1081">
        <f>'RAW DATA 2023'!D1074</f>
        <v>0</v>
      </c>
      <c r="C1081" t="str">
        <f t="shared" si="81"/>
        <v>00</v>
      </c>
      <c r="D1081" t="e">
        <f>VLOOKUP(C1081,'RAW DATA 2023'!E:BP,63,0)</f>
        <v>#N/A</v>
      </c>
      <c r="E1081" t="e">
        <f t="shared" si="82"/>
        <v>#N/A</v>
      </c>
      <c r="F1081" t="e">
        <f>ROUND(VLOOKUP(C1081,'RAW DATA 2023'!E:BO,23,0),0)</f>
        <v>#N/A</v>
      </c>
      <c r="G1081" s="16" t="e">
        <f>VLOOKUP(C1081,'RAW DATA 2023'!E:BO,27,0)</f>
        <v>#N/A</v>
      </c>
      <c r="H1081" s="16">
        <f>IFERROR(VLOOKUP(F1081,STD!B:G,5,0),0)</f>
        <v>0</v>
      </c>
      <c r="I1081" s="21">
        <f t="shared" si="83"/>
        <v>0</v>
      </c>
      <c r="J1081" s="16">
        <f t="shared" si="84"/>
        <v>-10</v>
      </c>
      <c r="K1081" s="106" t="e">
        <f>VLOOKUP(C1081,'RAW DATA 2023'!E:BO,36,0)</f>
        <v>#N/A</v>
      </c>
      <c r="L1081" s="106" t="e">
        <f>VLOOKUP(C1081,'RAW DATA 2023'!E:BO,21,0)</f>
        <v>#N/A</v>
      </c>
      <c r="M1081" s="106" t="e">
        <f t="shared" si="85"/>
        <v>#N/A</v>
      </c>
    </row>
    <row r="1082" spans="1:13">
      <c r="A1082">
        <f>'RAW DATA 2023'!B1075</f>
        <v>0</v>
      </c>
      <c r="B1082">
        <f>'RAW DATA 2023'!D1075</f>
        <v>0</v>
      </c>
      <c r="C1082" t="str">
        <f t="shared" si="81"/>
        <v>00</v>
      </c>
      <c r="D1082" t="e">
        <f>VLOOKUP(C1082,'RAW DATA 2023'!E:BP,63,0)</f>
        <v>#N/A</v>
      </c>
      <c r="E1082" t="e">
        <f t="shared" si="82"/>
        <v>#N/A</v>
      </c>
      <c r="F1082" t="e">
        <f>ROUND(VLOOKUP(C1082,'RAW DATA 2023'!E:BO,23,0),0)</f>
        <v>#N/A</v>
      </c>
      <c r="G1082" s="16" t="e">
        <f>VLOOKUP(C1082,'RAW DATA 2023'!E:BO,27,0)</f>
        <v>#N/A</v>
      </c>
      <c r="H1082" s="16">
        <f>IFERROR(VLOOKUP(F1082,STD!B:G,5,0),0)</f>
        <v>0</v>
      </c>
      <c r="I1082" s="21">
        <f t="shared" si="83"/>
        <v>0</v>
      </c>
      <c r="J1082" s="16">
        <f t="shared" si="84"/>
        <v>-10</v>
      </c>
      <c r="K1082" s="106" t="e">
        <f>VLOOKUP(C1082,'RAW DATA 2023'!E:BO,36,0)</f>
        <v>#N/A</v>
      </c>
      <c r="L1082" s="106" t="e">
        <f>VLOOKUP(C1082,'RAW DATA 2023'!E:BO,21,0)</f>
        <v>#N/A</v>
      </c>
      <c r="M1082" s="106" t="e">
        <f t="shared" si="85"/>
        <v>#N/A</v>
      </c>
    </row>
    <row r="1083" spans="1:13">
      <c r="A1083">
        <f>'RAW DATA 2023'!B1076</f>
        <v>0</v>
      </c>
      <c r="B1083">
        <f>'RAW DATA 2023'!D1076</f>
        <v>0</v>
      </c>
      <c r="C1083" t="str">
        <f t="shared" si="81"/>
        <v>00</v>
      </c>
      <c r="D1083" t="e">
        <f>VLOOKUP(C1083,'RAW DATA 2023'!E:BP,63,0)</f>
        <v>#N/A</v>
      </c>
      <c r="E1083" t="e">
        <f t="shared" si="82"/>
        <v>#N/A</v>
      </c>
      <c r="F1083" t="e">
        <f>ROUND(VLOOKUP(C1083,'RAW DATA 2023'!E:BO,23,0),0)</f>
        <v>#N/A</v>
      </c>
      <c r="G1083" s="16" t="e">
        <f>VLOOKUP(C1083,'RAW DATA 2023'!E:BO,27,0)</f>
        <v>#N/A</v>
      </c>
      <c r="H1083" s="16">
        <f>IFERROR(VLOOKUP(F1083,STD!B:G,5,0),0)</f>
        <v>0</v>
      </c>
      <c r="I1083" s="21">
        <f t="shared" si="83"/>
        <v>0</v>
      </c>
      <c r="J1083" s="16">
        <f t="shared" si="84"/>
        <v>-10</v>
      </c>
      <c r="K1083" s="106" t="e">
        <f>VLOOKUP(C1083,'RAW DATA 2023'!E:BO,36,0)</f>
        <v>#N/A</v>
      </c>
      <c r="L1083" s="106" t="e">
        <f>VLOOKUP(C1083,'RAW DATA 2023'!E:BO,21,0)</f>
        <v>#N/A</v>
      </c>
      <c r="M1083" s="106" t="e">
        <f t="shared" si="85"/>
        <v>#N/A</v>
      </c>
    </row>
    <row r="1084" spans="1:13">
      <c r="A1084">
        <f>'RAW DATA 2023'!B1077</f>
        <v>0</v>
      </c>
      <c r="B1084">
        <f>'RAW DATA 2023'!D1077</f>
        <v>0</v>
      </c>
      <c r="C1084" t="str">
        <f t="shared" si="81"/>
        <v>00</v>
      </c>
      <c r="D1084" t="e">
        <f>VLOOKUP(C1084,'RAW DATA 2023'!E:BP,63,0)</f>
        <v>#N/A</v>
      </c>
      <c r="E1084" t="e">
        <f t="shared" si="82"/>
        <v>#N/A</v>
      </c>
      <c r="F1084" t="e">
        <f>ROUND(VLOOKUP(C1084,'RAW DATA 2023'!E:BO,23,0),0)</f>
        <v>#N/A</v>
      </c>
      <c r="G1084" s="16" t="e">
        <f>VLOOKUP(C1084,'RAW DATA 2023'!E:BO,27,0)</f>
        <v>#N/A</v>
      </c>
      <c r="H1084" s="16">
        <f>IFERROR(VLOOKUP(F1084,STD!B:G,5,0),0)</f>
        <v>0</v>
      </c>
      <c r="I1084" s="21">
        <f t="shared" si="83"/>
        <v>0</v>
      </c>
      <c r="J1084" s="16">
        <f t="shared" si="84"/>
        <v>-10</v>
      </c>
      <c r="K1084" s="106" t="e">
        <f>VLOOKUP(C1084,'RAW DATA 2023'!E:BO,36,0)</f>
        <v>#N/A</v>
      </c>
      <c r="L1084" s="106" t="e">
        <f>VLOOKUP(C1084,'RAW DATA 2023'!E:BO,21,0)</f>
        <v>#N/A</v>
      </c>
      <c r="M1084" s="106" t="e">
        <f t="shared" si="85"/>
        <v>#N/A</v>
      </c>
    </row>
    <row r="1085" spans="1:13">
      <c r="A1085">
        <f>'RAW DATA 2023'!B1078</f>
        <v>0</v>
      </c>
      <c r="B1085">
        <f>'RAW DATA 2023'!D1078</f>
        <v>0</v>
      </c>
      <c r="C1085" t="str">
        <f t="shared" si="81"/>
        <v>00</v>
      </c>
      <c r="D1085" t="e">
        <f>VLOOKUP(C1085,'RAW DATA 2023'!E:BP,63,0)</f>
        <v>#N/A</v>
      </c>
      <c r="E1085" t="e">
        <f t="shared" si="82"/>
        <v>#N/A</v>
      </c>
      <c r="F1085" t="e">
        <f>ROUND(VLOOKUP(C1085,'RAW DATA 2023'!E:BO,23,0),0)</f>
        <v>#N/A</v>
      </c>
      <c r="G1085" s="16" t="e">
        <f>VLOOKUP(C1085,'RAW DATA 2023'!E:BO,27,0)</f>
        <v>#N/A</v>
      </c>
      <c r="H1085" s="16">
        <f>IFERROR(VLOOKUP(F1085,STD!B:G,5,0),0)</f>
        <v>0</v>
      </c>
      <c r="I1085" s="21">
        <f t="shared" si="83"/>
        <v>0</v>
      </c>
      <c r="J1085" s="16">
        <f t="shared" si="84"/>
        <v>-10</v>
      </c>
      <c r="K1085" s="106" t="e">
        <f>VLOOKUP(C1085,'RAW DATA 2023'!E:BO,36,0)</f>
        <v>#N/A</v>
      </c>
      <c r="L1085" s="106" t="e">
        <f>VLOOKUP(C1085,'RAW DATA 2023'!E:BO,21,0)</f>
        <v>#N/A</v>
      </c>
      <c r="M1085" s="106" t="e">
        <f t="shared" si="85"/>
        <v>#N/A</v>
      </c>
    </row>
    <row r="1086" spans="1:13">
      <c r="A1086">
        <f>'RAW DATA 2023'!B1079</f>
        <v>0</v>
      </c>
      <c r="B1086">
        <f>'RAW DATA 2023'!D1079</f>
        <v>0</v>
      </c>
      <c r="C1086" t="str">
        <f t="shared" si="81"/>
        <v>00</v>
      </c>
      <c r="D1086" t="e">
        <f>VLOOKUP(C1086,'RAW DATA 2023'!E:BP,63,0)</f>
        <v>#N/A</v>
      </c>
      <c r="E1086" t="e">
        <f t="shared" si="82"/>
        <v>#N/A</v>
      </c>
      <c r="F1086" t="e">
        <f>ROUND(VLOOKUP(C1086,'RAW DATA 2023'!E:BO,23,0),0)</f>
        <v>#N/A</v>
      </c>
      <c r="G1086" s="16" t="e">
        <f>VLOOKUP(C1086,'RAW DATA 2023'!E:BO,27,0)</f>
        <v>#N/A</v>
      </c>
      <c r="H1086" s="16">
        <f>IFERROR(VLOOKUP(F1086,STD!B:G,5,0),0)</f>
        <v>0</v>
      </c>
      <c r="I1086" s="21">
        <f t="shared" si="83"/>
        <v>0</v>
      </c>
      <c r="J1086" s="16">
        <f t="shared" si="84"/>
        <v>-10</v>
      </c>
      <c r="K1086" s="106" t="e">
        <f>VLOOKUP(C1086,'RAW DATA 2023'!E:BO,36,0)</f>
        <v>#N/A</v>
      </c>
      <c r="L1086" s="106" t="e">
        <f>VLOOKUP(C1086,'RAW DATA 2023'!E:BO,21,0)</f>
        <v>#N/A</v>
      </c>
      <c r="M1086" s="106" t="e">
        <f t="shared" si="85"/>
        <v>#N/A</v>
      </c>
    </row>
    <row r="1087" spans="1:13">
      <c r="A1087">
        <f>'RAW DATA 2023'!B1080</f>
        <v>0</v>
      </c>
      <c r="B1087">
        <f>'RAW DATA 2023'!D1080</f>
        <v>0</v>
      </c>
      <c r="C1087" t="str">
        <f t="shared" si="81"/>
        <v>00</v>
      </c>
      <c r="D1087" t="e">
        <f>VLOOKUP(C1087,'RAW DATA 2023'!E:BP,63,0)</f>
        <v>#N/A</v>
      </c>
      <c r="E1087" t="e">
        <f t="shared" si="82"/>
        <v>#N/A</v>
      </c>
      <c r="F1087" t="e">
        <f>ROUND(VLOOKUP(C1087,'RAW DATA 2023'!E:BO,23,0),0)</f>
        <v>#N/A</v>
      </c>
      <c r="G1087" s="16" t="e">
        <f>VLOOKUP(C1087,'RAW DATA 2023'!E:BO,27,0)</f>
        <v>#N/A</v>
      </c>
      <c r="H1087" s="16">
        <f>IFERROR(VLOOKUP(F1087,STD!B:G,5,0),0)</f>
        <v>0</v>
      </c>
      <c r="I1087" s="21">
        <f t="shared" si="83"/>
        <v>0</v>
      </c>
      <c r="J1087" s="16">
        <f t="shared" si="84"/>
        <v>-10</v>
      </c>
      <c r="K1087" s="106" t="e">
        <f>VLOOKUP(C1087,'RAW DATA 2023'!E:BO,36,0)</f>
        <v>#N/A</v>
      </c>
      <c r="L1087" s="106" t="e">
        <f>VLOOKUP(C1087,'RAW DATA 2023'!E:BO,21,0)</f>
        <v>#N/A</v>
      </c>
      <c r="M1087" s="106" t="e">
        <f t="shared" si="85"/>
        <v>#N/A</v>
      </c>
    </row>
    <row r="1088" spans="1:13">
      <c r="A1088">
        <f>'RAW DATA 2023'!B1081</f>
        <v>0</v>
      </c>
      <c r="B1088">
        <f>'RAW DATA 2023'!D1081</f>
        <v>0</v>
      </c>
      <c r="C1088" t="str">
        <f t="shared" si="81"/>
        <v>00</v>
      </c>
      <c r="D1088" t="e">
        <f>VLOOKUP(C1088,'RAW DATA 2023'!E:BP,63,0)</f>
        <v>#N/A</v>
      </c>
      <c r="E1088" t="e">
        <f t="shared" si="82"/>
        <v>#N/A</v>
      </c>
      <c r="F1088" t="e">
        <f>ROUND(VLOOKUP(C1088,'RAW DATA 2023'!E:BO,23,0),0)</f>
        <v>#N/A</v>
      </c>
      <c r="G1088" s="16" t="e">
        <f>VLOOKUP(C1088,'RAW DATA 2023'!E:BO,27,0)</f>
        <v>#N/A</v>
      </c>
      <c r="H1088" s="16">
        <f>IFERROR(VLOOKUP(F1088,STD!B:G,5,0),0)</f>
        <v>0</v>
      </c>
      <c r="I1088" s="21">
        <f t="shared" si="83"/>
        <v>0</v>
      </c>
      <c r="J1088" s="16">
        <f t="shared" si="84"/>
        <v>-10</v>
      </c>
      <c r="K1088" s="106" t="e">
        <f>VLOOKUP(C1088,'RAW DATA 2023'!E:BO,36,0)</f>
        <v>#N/A</v>
      </c>
      <c r="L1088" s="106" t="e">
        <f>VLOOKUP(C1088,'RAW DATA 2023'!E:BO,21,0)</f>
        <v>#N/A</v>
      </c>
      <c r="M1088" s="106" t="e">
        <f t="shared" si="85"/>
        <v>#N/A</v>
      </c>
    </row>
    <row r="1089" spans="1:13">
      <c r="A1089">
        <f>'RAW DATA 2023'!B1082</f>
        <v>0</v>
      </c>
      <c r="B1089">
        <f>'RAW DATA 2023'!D1082</f>
        <v>0</v>
      </c>
      <c r="C1089" t="str">
        <f t="shared" si="81"/>
        <v>00</v>
      </c>
      <c r="D1089" t="e">
        <f>VLOOKUP(C1089,'RAW DATA 2023'!E:BP,63,0)</f>
        <v>#N/A</v>
      </c>
      <c r="E1089" t="e">
        <f t="shared" si="82"/>
        <v>#N/A</v>
      </c>
      <c r="F1089" t="e">
        <f>ROUND(VLOOKUP(C1089,'RAW DATA 2023'!E:BO,23,0),0)</f>
        <v>#N/A</v>
      </c>
      <c r="G1089" s="16" t="e">
        <f>VLOOKUP(C1089,'RAW DATA 2023'!E:BO,27,0)</f>
        <v>#N/A</v>
      </c>
      <c r="H1089" s="16">
        <f>IFERROR(VLOOKUP(F1089,STD!B:G,5,0),0)</f>
        <v>0</v>
      </c>
      <c r="I1089" s="21">
        <f t="shared" si="83"/>
        <v>0</v>
      </c>
      <c r="J1089" s="16">
        <f t="shared" si="84"/>
        <v>-10</v>
      </c>
      <c r="K1089" s="106" t="e">
        <f>VLOOKUP(C1089,'RAW DATA 2023'!E:BO,36,0)</f>
        <v>#N/A</v>
      </c>
      <c r="L1089" s="106" t="e">
        <f>VLOOKUP(C1089,'RAW DATA 2023'!E:BO,21,0)</f>
        <v>#N/A</v>
      </c>
      <c r="M1089" s="106" t="e">
        <f t="shared" si="85"/>
        <v>#N/A</v>
      </c>
    </row>
    <row r="1090" spans="1:13">
      <c r="A1090">
        <f>'RAW DATA 2023'!B1083</f>
        <v>0</v>
      </c>
      <c r="B1090">
        <f>'RAW DATA 2023'!D1083</f>
        <v>0</v>
      </c>
      <c r="C1090" t="str">
        <f t="shared" si="81"/>
        <v>00</v>
      </c>
      <c r="D1090" t="e">
        <f>VLOOKUP(C1090,'RAW DATA 2023'!E:BP,63,0)</f>
        <v>#N/A</v>
      </c>
      <c r="E1090" t="e">
        <f t="shared" si="82"/>
        <v>#N/A</v>
      </c>
      <c r="F1090" t="e">
        <f>ROUND(VLOOKUP(C1090,'RAW DATA 2023'!E:BO,23,0),0)</f>
        <v>#N/A</v>
      </c>
      <c r="G1090" s="16" t="e">
        <f>VLOOKUP(C1090,'RAW DATA 2023'!E:BO,27,0)</f>
        <v>#N/A</v>
      </c>
      <c r="H1090" s="16">
        <f>IFERROR(VLOOKUP(F1090,STD!B:G,5,0),0)</f>
        <v>0</v>
      </c>
      <c r="I1090" s="21">
        <f t="shared" si="83"/>
        <v>0</v>
      </c>
      <c r="J1090" s="16">
        <f t="shared" si="84"/>
        <v>-10</v>
      </c>
      <c r="K1090" s="106" t="e">
        <f>VLOOKUP(C1090,'RAW DATA 2023'!E:BO,36,0)</f>
        <v>#N/A</v>
      </c>
      <c r="L1090" s="106" t="e">
        <f>VLOOKUP(C1090,'RAW DATA 2023'!E:BO,21,0)</f>
        <v>#N/A</v>
      </c>
      <c r="M1090" s="106" t="e">
        <f t="shared" si="85"/>
        <v>#N/A</v>
      </c>
    </row>
    <row r="1091" spans="1:13">
      <c r="A1091">
        <f>'RAW DATA 2023'!B1084</f>
        <v>0</v>
      </c>
      <c r="B1091">
        <f>'RAW DATA 2023'!D1084</f>
        <v>0</v>
      </c>
      <c r="C1091" t="str">
        <f t="shared" si="81"/>
        <v>00</v>
      </c>
      <c r="D1091" t="e">
        <f>VLOOKUP(C1091,'RAW DATA 2023'!E:BP,63,0)</f>
        <v>#N/A</v>
      </c>
      <c r="E1091" t="e">
        <f t="shared" si="82"/>
        <v>#N/A</v>
      </c>
      <c r="F1091" t="e">
        <f>ROUND(VLOOKUP(C1091,'RAW DATA 2023'!E:BO,23,0),0)</f>
        <v>#N/A</v>
      </c>
      <c r="G1091" s="16" t="e">
        <f>VLOOKUP(C1091,'RAW DATA 2023'!E:BO,27,0)</f>
        <v>#N/A</v>
      </c>
      <c r="H1091" s="16">
        <f>IFERROR(VLOOKUP(F1091,STD!B:G,5,0),0)</f>
        <v>0</v>
      </c>
      <c r="I1091" s="21">
        <f t="shared" si="83"/>
        <v>0</v>
      </c>
      <c r="J1091" s="16">
        <f t="shared" si="84"/>
        <v>-10</v>
      </c>
      <c r="K1091" s="106" t="e">
        <f>VLOOKUP(C1091,'RAW DATA 2023'!E:BO,36,0)</f>
        <v>#N/A</v>
      </c>
      <c r="L1091" s="106" t="e">
        <f>VLOOKUP(C1091,'RAW DATA 2023'!E:BO,21,0)</f>
        <v>#N/A</v>
      </c>
      <c r="M1091" s="106" t="e">
        <f t="shared" si="85"/>
        <v>#N/A</v>
      </c>
    </row>
    <row r="1092" spans="1:13">
      <c r="A1092">
        <f>'RAW DATA 2023'!B1085</f>
        <v>0</v>
      </c>
      <c r="B1092">
        <f>'RAW DATA 2023'!D1085</f>
        <v>0</v>
      </c>
      <c r="C1092" t="str">
        <f t="shared" si="81"/>
        <v>00</v>
      </c>
      <c r="D1092" t="e">
        <f>VLOOKUP(C1092,'RAW DATA 2023'!E:BP,63,0)</f>
        <v>#N/A</v>
      </c>
      <c r="E1092" t="e">
        <f t="shared" si="82"/>
        <v>#N/A</v>
      </c>
      <c r="F1092" t="e">
        <f>ROUND(VLOOKUP(C1092,'RAW DATA 2023'!E:BO,23,0),0)</f>
        <v>#N/A</v>
      </c>
      <c r="G1092" s="16" t="e">
        <f>VLOOKUP(C1092,'RAW DATA 2023'!E:BO,27,0)</f>
        <v>#N/A</v>
      </c>
      <c r="H1092" s="16">
        <f>IFERROR(VLOOKUP(F1092,STD!B:G,5,0),0)</f>
        <v>0</v>
      </c>
      <c r="I1092" s="21">
        <f t="shared" si="83"/>
        <v>0</v>
      </c>
      <c r="J1092" s="16">
        <f t="shared" si="84"/>
        <v>-10</v>
      </c>
      <c r="K1092" s="106" t="e">
        <f>VLOOKUP(C1092,'RAW DATA 2023'!E:BO,36,0)</f>
        <v>#N/A</v>
      </c>
      <c r="L1092" s="106" t="e">
        <f>VLOOKUP(C1092,'RAW DATA 2023'!E:BO,21,0)</f>
        <v>#N/A</v>
      </c>
      <c r="M1092" s="106" t="e">
        <f t="shared" si="85"/>
        <v>#N/A</v>
      </c>
    </row>
    <row r="1093" spans="1:13">
      <c r="A1093">
        <f>'RAW DATA 2023'!B1086</f>
        <v>0</v>
      </c>
      <c r="B1093">
        <f>'RAW DATA 2023'!D1086</f>
        <v>0</v>
      </c>
      <c r="C1093" t="str">
        <f t="shared" si="81"/>
        <v>00</v>
      </c>
      <c r="D1093" t="e">
        <f>VLOOKUP(C1093,'RAW DATA 2023'!E:BP,63,0)</f>
        <v>#N/A</v>
      </c>
      <c r="E1093" t="e">
        <f t="shared" si="82"/>
        <v>#N/A</v>
      </c>
      <c r="F1093" t="e">
        <f>ROUND(VLOOKUP(C1093,'RAW DATA 2023'!E:BO,23,0),0)</f>
        <v>#N/A</v>
      </c>
      <c r="G1093" s="16" t="e">
        <f>VLOOKUP(C1093,'RAW DATA 2023'!E:BO,27,0)</f>
        <v>#N/A</v>
      </c>
      <c r="H1093" s="16">
        <f>IFERROR(VLOOKUP(F1093,STD!B:G,5,0),0)</f>
        <v>0</v>
      </c>
      <c r="I1093" s="21">
        <f t="shared" si="83"/>
        <v>0</v>
      </c>
      <c r="J1093" s="16">
        <f t="shared" si="84"/>
        <v>-10</v>
      </c>
      <c r="K1093" s="106" t="e">
        <f>VLOOKUP(C1093,'RAW DATA 2023'!E:BO,36,0)</f>
        <v>#N/A</v>
      </c>
      <c r="L1093" s="106" t="e">
        <f>VLOOKUP(C1093,'RAW DATA 2023'!E:BO,21,0)</f>
        <v>#N/A</v>
      </c>
      <c r="M1093" s="106" t="e">
        <f t="shared" si="85"/>
        <v>#N/A</v>
      </c>
    </row>
    <row r="1094" spans="1:13">
      <c r="A1094">
        <f>'RAW DATA 2023'!B1087</f>
        <v>0</v>
      </c>
      <c r="B1094">
        <f>'RAW DATA 2023'!D1087</f>
        <v>0</v>
      </c>
      <c r="C1094" t="str">
        <f t="shared" si="81"/>
        <v>00</v>
      </c>
      <c r="D1094" t="e">
        <f>VLOOKUP(C1094,'RAW DATA 2023'!E:BP,63,0)</f>
        <v>#N/A</v>
      </c>
      <c r="E1094" t="e">
        <f t="shared" si="82"/>
        <v>#N/A</v>
      </c>
      <c r="F1094" t="e">
        <f>ROUND(VLOOKUP(C1094,'RAW DATA 2023'!E:BO,23,0),0)</f>
        <v>#N/A</v>
      </c>
      <c r="G1094" s="16" t="e">
        <f>VLOOKUP(C1094,'RAW DATA 2023'!E:BO,27,0)</f>
        <v>#N/A</v>
      </c>
      <c r="H1094" s="16">
        <f>IFERROR(VLOOKUP(F1094,STD!B:G,5,0),0)</f>
        <v>0</v>
      </c>
      <c r="I1094" s="21">
        <f t="shared" si="83"/>
        <v>0</v>
      </c>
      <c r="J1094" s="16">
        <f t="shared" si="84"/>
        <v>-10</v>
      </c>
      <c r="K1094" s="106" t="e">
        <f>VLOOKUP(C1094,'RAW DATA 2023'!E:BO,36,0)</f>
        <v>#N/A</v>
      </c>
      <c r="L1094" s="106" t="e">
        <f>VLOOKUP(C1094,'RAW DATA 2023'!E:BO,21,0)</f>
        <v>#N/A</v>
      </c>
      <c r="M1094" s="106" t="e">
        <f t="shared" si="85"/>
        <v>#N/A</v>
      </c>
    </row>
    <row r="1095" spans="1:13">
      <c r="A1095">
        <f>'RAW DATA 2023'!B1088</f>
        <v>0</v>
      </c>
      <c r="B1095">
        <f>'RAW DATA 2023'!D1088</f>
        <v>0</v>
      </c>
      <c r="C1095" t="str">
        <f t="shared" si="81"/>
        <v>00</v>
      </c>
      <c r="D1095" t="e">
        <f>VLOOKUP(C1095,'RAW DATA 2023'!E:BP,63,0)</f>
        <v>#N/A</v>
      </c>
      <c r="E1095" t="e">
        <f t="shared" si="82"/>
        <v>#N/A</v>
      </c>
      <c r="F1095" t="e">
        <f>ROUND(VLOOKUP(C1095,'RAW DATA 2023'!E:BO,23,0),0)</f>
        <v>#N/A</v>
      </c>
      <c r="G1095" s="16" t="e">
        <f>VLOOKUP(C1095,'RAW DATA 2023'!E:BO,27,0)</f>
        <v>#N/A</v>
      </c>
      <c r="H1095" s="16">
        <f>IFERROR(VLOOKUP(F1095,STD!B:G,5,0),0)</f>
        <v>0</v>
      </c>
      <c r="I1095" s="21">
        <f t="shared" si="83"/>
        <v>0</v>
      </c>
      <c r="J1095" s="16">
        <f t="shared" si="84"/>
        <v>-10</v>
      </c>
      <c r="K1095" s="106" t="e">
        <f>VLOOKUP(C1095,'RAW DATA 2023'!E:BO,36,0)</f>
        <v>#N/A</v>
      </c>
      <c r="L1095" s="106" t="e">
        <f>VLOOKUP(C1095,'RAW DATA 2023'!E:BO,21,0)</f>
        <v>#N/A</v>
      </c>
      <c r="M1095" s="106" t="e">
        <f t="shared" si="85"/>
        <v>#N/A</v>
      </c>
    </row>
    <row r="1096" spans="1:13">
      <c r="A1096">
        <f>'RAW DATA 2023'!B1089</f>
        <v>0</v>
      </c>
      <c r="B1096">
        <f>'RAW DATA 2023'!D1089</f>
        <v>0</v>
      </c>
      <c r="C1096" t="str">
        <f t="shared" si="81"/>
        <v>00</v>
      </c>
      <c r="D1096" t="e">
        <f>VLOOKUP(C1096,'RAW DATA 2023'!E:BP,63,0)</f>
        <v>#N/A</v>
      </c>
      <c r="E1096" t="e">
        <f t="shared" si="82"/>
        <v>#N/A</v>
      </c>
      <c r="F1096" t="e">
        <f>ROUND(VLOOKUP(C1096,'RAW DATA 2023'!E:BO,23,0),0)</f>
        <v>#N/A</v>
      </c>
      <c r="G1096" s="16" t="e">
        <f>VLOOKUP(C1096,'RAW DATA 2023'!E:BO,27,0)</f>
        <v>#N/A</v>
      </c>
      <c r="H1096" s="16">
        <f>IFERROR(VLOOKUP(F1096,STD!B:G,5,0),0)</f>
        <v>0</v>
      </c>
      <c r="I1096" s="21">
        <f t="shared" si="83"/>
        <v>0</v>
      </c>
      <c r="J1096" s="16">
        <f t="shared" si="84"/>
        <v>-10</v>
      </c>
      <c r="K1096" s="106" t="e">
        <f>VLOOKUP(C1096,'RAW DATA 2023'!E:BO,36,0)</f>
        <v>#N/A</v>
      </c>
      <c r="L1096" s="106" t="e">
        <f>VLOOKUP(C1096,'RAW DATA 2023'!E:BO,21,0)</f>
        <v>#N/A</v>
      </c>
      <c r="M1096" s="106" t="e">
        <f t="shared" si="85"/>
        <v>#N/A</v>
      </c>
    </row>
    <row r="1097" spans="1:13">
      <c r="A1097">
        <f>'RAW DATA 2023'!B1090</f>
        <v>0</v>
      </c>
      <c r="B1097">
        <f>'RAW DATA 2023'!D1090</f>
        <v>0</v>
      </c>
      <c r="C1097" t="str">
        <f t="shared" si="81"/>
        <v>00</v>
      </c>
      <c r="D1097" t="e">
        <f>VLOOKUP(C1097,'RAW DATA 2023'!E:BP,63,0)</f>
        <v>#N/A</v>
      </c>
      <c r="E1097" t="e">
        <f t="shared" si="82"/>
        <v>#N/A</v>
      </c>
      <c r="F1097" t="e">
        <f>ROUND(VLOOKUP(C1097,'RAW DATA 2023'!E:BO,23,0),0)</f>
        <v>#N/A</v>
      </c>
      <c r="G1097" s="16" t="e">
        <f>VLOOKUP(C1097,'RAW DATA 2023'!E:BO,27,0)</f>
        <v>#N/A</v>
      </c>
      <c r="H1097" s="16">
        <f>IFERROR(VLOOKUP(F1097,STD!B:G,5,0),0)</f>
        <v>0</v>
      </c>
      <c r="I1097" s="21">
        <f t="shared" si="83"/>
        <v>0</v>
      </c>
      <c r="J1097" s="16">
        <f t="shared" si="84"/>
        <v>-10</v>
      </c>
      <c r="K1097" s="106" t="e">
        <f>VLOOKUP(C1097,'RAW DATA 2023'!E:BO,36,0)</f>
        <v>#N/A</v>
      </c>
      <c r="L1097" s="106" t="e">
        <f>VLOOKUP(C1097,'RAW DATA 2023'!E:BO,21,0)</f>
        <v>#N/A</v>
      </c>
      <c r="M1097" s="106" t="e">
        <f t="shared" si="85"/>
        <v>#N/A</v>
      </c>
    </row>
    <row r="1098" spans="1:13">
      <c r="A1098">
        <f>'RAW DATA 2023'!B1091</f>
        <v>0</v>
      </c>
      <c r="B1098">
        <f>'RAW DATA 2023'!D1091</f>
        <v>0</v>
      </c>
      <c r="C1098" t="str">
        <f t="shared" ref="C1098:C1161" si="86">A1098&amp;B1098</f>
        <v>00</v>
      </c>
      <c r="D1098" t="e">
        <f>VLOOKUP(C1098,'RAW DATA 2023'!E:BP,63,0)</f>
        <v>#N/A</v>
      </c>
      <c r="E1098" t="e">
        <f t="shared" ref="E1098:E1161" si="87">A1098&amp;D1098</f>
        <v>#N/A</v>
      </c>
      <c r="F1098" t="e">
        <f>ROUND(VLOOKUP(C1098,'RAW DATA 2023'!E:BO,23,0),0)</f>
        <v>#N/A</v>
      </c>
      <c r="G1098" s="16" t="e">
        <f>VLOOKUP(C1098,'RAW DATA 2023'!E:BO,27,0)</f>
        <v>#N/A</v>
      </c>
      <c r="H1098" s="16">
        <f>IFERROR(VLOOKUP(F1098,STD!B:G,5,0),0)</f>
        <v>0</v>
      </c>
      <c r="I1098" s="21">
        <f t="shared" si="83"/>
        <v>0</v>
      </c>
      <c r="J1098" s="16">
        <f t="shared" si="84"/>
        <v>-10</v>
      </c>
      <c r="K1098" s="106" t="e">
        <f>VLOOKUP(C1098,'RAW DATA 2023'!E:BO,36,0)</f>
        <v>#N/A</v>
      </c>
      <c r="L1098" s="106" t="e">
        <f>VLOOKUP(C1098,'RAW DATA 2023'!E:BO,21,0)</f>
        <v>#N/A</v>
      </c>
      <c r="M1098" s="106" t="e">
        <f t="shared" si="85"/>
        <v>#N/A</v>
      </c>
    </row>
    <row r="1099" spans="1:13">
      <c r="A1099">
        <f>'RAW DATA 2023'!B1092</f>
        <v>0</v>
      </c>
      <c r="B1099">
        <f>'RAW DATA 2023'!D1092</f>
        <v>0</v>
      </c>
      <c r="C1099" t="str">
        <f t="shared" si="86"/>
        <v>00</v>
      </c>
      <c r="D1099" t="e">
        <f>VLOOKUP(C1099,'RAW DATA 2023'!E:BP,63,0)</f>
        <v>#N/A</v>
      </c>
      <c r="E1099" t="e">
        <f t="shared" si="87"/>
        <v>#N/A</v>
      </c>
      <c r="F1099" t="e">
        <f>ROUND(VLOOKUP(C1099,'RAW DATA 2023'!E:BO,23,0),0)</f>
        <v>#N/A</v>
      </c>
      <c r="G1099" s="16" t="e">
        <f>VLOOKUP(C1099,'RAW DATA 2023'!E:BO,27,0)</f>
        <v>#N/A</v>
      </c>
      <c r="H1099" s="16">
        <f>IFERROR(VLOOKUP(F1099,STD!B:G,5,0),0)</f>
        <v>0</v>
      </c>
      <c r="I1099" s="21">
        <f t="shared" ref="I1099:I1162" si="88">IFERROR(H1099/G1099,0)</f>
        <v>0</v>
      </c>
      <c r="J1099" s="16">
        <f t="shared" ref="J1099:J1162" si="89">(I1099-$B$4)*$B$7</f>
        <v>-10</v>
      </c>
      <c r="K1099" s="106" t="e">
        <f>VLOOKUP(C1099,'RAW DATA 2023'!E:BO,36,0)</f>
        <v>#N/A</v>
      </c>
      <c r="L1099" s="106" t="e">
        <f>VLOOKUP(C1099,'RAW DATA 2023'!E:BO,21,0)</f>
        <v>#N/A</v>
      </c>
      <c r="M1099" s="106" t="e">
        <f t="shared" ref="M1099:M1162" si="90">J1099*L1099</f>
        <v>#N/A</v>
      </c>
    </row>
    <row r="1100" spans="1:13">
      <c r="A1100">
        <f>'RAW DATA 2023'!B1093</f>
        <v>0</v>
      </c>
      <c r="B1100">
        <f>'RAW DATA 2023'!D1093</f>
        <v>0</v>
      </c>
      <c r="C1100" t="str">
        <f t="shared" si="86"/>
        <v>00</v>
      </c>
      <c r="D1100" t="e">
        <f>VLOOKUP(C1100,'RAW DATA 2023'!E:BP,63,0)</f>
        <v>#N/A</v>
      </c>
      <c r="E1100" t="e">
        <f t="shared" si="87"/>
        <v>#N/A</v>
      </c>
      <c r="F1100" t="e">
        <f>ROUND(VLOOKUP(C1100,'RAW DATA 2023'!E:BO,23,0),0)</f>
        <v>#N/A</v>
      </c>
      <c r="G1100" s="16" t="e">
        <f>VLOOKUP(C1100,'RAW DATA 2023'!E:BO,27,0)</f>
        <v>#N/A</v>
      </c>
      <c r="H1100" s="16">
        <f>IFERROR(VLOOKUP(F1100,STD!B:G,5,0),0)</f>
        <v>0</v>
      </c>
      <c r="I1100" s="21">
        <f t="shared" si="88"/>
        <v>0</v>
      </c>
      <c r="J1100" s="16">
        <f t="shared" si="89"/>
        <v>-10</v>
      </c>
      <c r="K1100" s="106" t="e">
        <f>VLOOKUP(C1100,'RAW DATA 2023'!E:BO,36,0)</f>
        <v>#N/A</v>
      </c>
      <c r="L1100" s="106" t="e">
        <f>VLOOKUP(C1100,'RAW DATA 2023'!E:BO,21,0)</f>
        <v>#N/A</v>
      </c>
      <c r="M1100" s="106" t="e">
        <f t="shared" si="90"/>
        <v>#N/A</v>
      </c>
    </row>
    <row r="1101" spans="1:13">
      <c r="A1101">
        <f>'RAW DATA 2023'!B1094</f>
        <v>0</v>
      </c>
      <c r="B1101">
        <f>'RAW DATA 2023'!D1094</f>
        <v>0</v>
      </c>
      <c r="C1101" t="str">
        <f t="shared" si="86"/>
        <v>00</v>
      </c>
      <c r="D1101" t="e">
        <f>VLOOKUP(C1101,'RAW DATA 2023'!E:BP,63,0)</f>
        <v>#N/A</v>
      </c>
      <c r="E1101" t="e">
        <f t="shared" si="87"/>
        <v>#N/A</v>
      </c>
      <c r="F1101" t="e">
        <f>ROUND(VLOOKUP(C1101,'RAW DATA 2023'!E:BO,23,0),0)</f>
        <v>#N/A</v>
      </c>
      <c r="G1101" s="16" t="e">
        <f>VLOOKUP(C1101,'RAW DATA 2023'!E:BO,27,0)</f>
        <v>#N/A</v>
      </c>
      <c r="H1101" s="16">
        <f>IFERROR(VLOOKUP(F1101,STD!B:G,5,0),0)</f>
        <v>0</v>
      </c>
      <c r="I1101" s="21">
        <f t="shared" si="88"/>
        <v>0</v>
      </c>
      <c r="J1101" s="16">
        <f t="shared" si="89"/>
        <v>-10</v>
      </c>
      <c r="K1101" s="106" t="e">
        <f>VLOOKUP(C1101,'RAW DATA 2023'!E:BO,36,0)</f>
        <v>#N/A</v>
      </c>
      <c r="L1101" s="106" t="e">
        <f>VLOOKUP(C1101,'RAW DATA 2023'!E:BO,21,0)</f>
        <v>#N/A</v>
      </c>
      <c r="M1101" s="106" t="e">
        <f t="shared" si="90"/>
        <v>#N/A</v>
      </c>
    </row>
    <row r="1102" spans="1:13">
      <c r="A1102">
        <f>'RAW DATA 2023'!B1095</f>
        <v>0</v>
      </c>
      <c r="B1102">
        <f>'RAW DATA 2023'!D1095</f>
        <v>0</v>
      </c>
      <c r="C1102" t="str">
        <f t="shared" si="86"/>
        <v>00</v>
      </c>
      <c r="D1102" t="e">
        <f>VLOOKUP(C1102,'RAW DATA 2023'!E:BP,63,0)</f>
        <v>#N/A</v>
      </c>
      <c r="E1102" t="e">
        <f t="shared" si="87"/>
        <v>#N/A</v>
      </c>
      <c r="F1102" t="e">
        <f>ROUND(VLOOKUP(C1102,'RAW DATA 2023'!E:BO,23,0),0)</f>
        <v>#N/A</v>
      </c>
      <c r="G1102" s="16" t="e">
        <f>VLOOKUP(C1102,'RAW DATA 2023'!E:BO,27,0)</f>
        <v>#N/A</v>
      </c>
      <c r="H1102" s="16">
        <f>IFERROR(VLOOKUP(F1102,STD!B:G,5,0),0)</f>
        <v>0</v>
      </c>
      <c r="I1102" s="21">
        <f t="shared" si="88"/>
        <v>0</v>
      </c>
      <c r="J1102" s="16">
        <f t="shared" si="89"/>
        <v>-10</v>
      </c>
      <c r="K1102" s="106" t="e">
        <f>VLOOKUP(C1102,'RAW DATA 2023'!E:BO,36,0)</f>
        <v>#N/A</v>
      </c>
      <c r="L1102" s="106" t="e">
        <f>VLOOKUP(C1102,'RAW DATA 2023'!E:BO,21,0)</f>
        <v>#N/A</v>
      </c>
      <c r="M1102" s="106" t="e">
        <f t="shared" si="90"/>
        <v>#N/A</v>
      </c>
    </row>
    <row r="1103" spans="1:13">
      <c r="A1103">
        <f>'RAW DATA 2023'!B1096</f>
        <v>0</v>
      </c>
      <c r="B1103">
        <f>'RAW DATA 2023'!D1096</f>
        <v>0</v>
      </c>
      <c r="C1103" t="str">
        <f t="shared" si="86"/>
        <v>00</v>
      </c>
      <c r="D1103" t="e">
        <f>VLOOKUP(C1103,'RAW DATA 2023'!E:BP,63,0)</f>
        <v>#N/A</v>
      </c>
      <c r="E1103" t="e">
        <f t="shared" si="87"/>
        <v>#N/A</v>
      </c>
      <c r="F1103" t="e">
        <f>ROUND(VLOOKUP(C1103,'RAW DATA 2023'!E:BO,23,0),0)</f>
        <v>#N/A</v>
      </c>
      <c r="G1103" s="16" t="e">
        <f>VLOOKUP(C1103,'RAW DATA 2023'!E:BO,27,0)</f>
        <v>#N/A</v>
      </c>
      <c r="H1103" s="16">
        <f>IFERROR(VLOOKUP(F1103,STD!B:G,5,0),0)</f>
        <v>0</v>
      </c>
      <c r="I1103" s="21">
        <f t="shared" si="88"/>
        <v>0</v>
      </c>
      <c r="J1103" s="16">
        <f t="shared" si="89"/>
        <v>-10</v>
      </c>
      <c r="K1103" s="106" t="e">
        <f>VLOOKUP(C1103,'RAW DATA 2023'!E:BO,36,0)</f>
        <v>#N/A</v>
      </c>
      <c r="L1103" s="106" t="e">
        <f>VLOOKUP(C1103,'RAW DATA 2023'!E:BO,21,0)</f>
        <v>#N/A</v>
      </c>
      <c r="M1103" s="106" t="e">
        <f t="shared" si="90"/>
        <v>#N/A</v>
      </c>
    </row>
    <row r="1104" spans="1:13">
      <c r="A1104">
        <f>'RAW DATA 2023'!B1097</f>
        <v>0</v>
      </c>
      <c r="B1104">
        <f>'RAW DATA 2023'!D1097</f>
        <v>0</v>
      </c>
      <c r="C1104" t="str">
        <f t="shared" si="86"/>
        <v>00</v>
      </c>
      <c r="D1104" t="e">
        <f>VLOOKUP(C1104,'RAW DATA 2023'!E:BP,63,0)</f>
        <v>#N/A</v>
      </c>
      <c r="E1104" t="e">
        <f t="shared" si="87"/>
        <v>#N/A</v>
      </c>
      <c r="F1104" t="e">
        <f>ROUND(VLOOKUP(C1104,'RAW DATA 2023'!E:BO,23,0),0)</f>
        <v>#N/A</v>
      </c>
      <c r="G1104" s="16" t="e">
        <f>VLOOKUP(C1104,'RAW DATA 2023'!E:BO,27,0)</f>
        <v>#N/A</v>
      </c>
      <c r="H1104" s="16">
        <f>IFERROR(VLOOKUP(F1104,STD!B:G,5,0),0)</f>
        <v>0</v>
      </c>
      <c r="I1104" s="21">
        <f t="shared" si="88"/>
        <v>0</v>
      </c>
      <c r="J1104" s="16">
        <f t="shared" si="89"/>
        <v>-10</v>
      </c>
      <c r="K1104" s="106" t="e">
        <f>VLOOKUP(C1104,'RAW DATA 2023'!E:BO,36,0)</f>
        <v>#N/A</v>
      </c>
      <c r="L1104" s="106" t="e">
        <f>VLOOKUP(C1104,'RAW DATA 2023'!E:BO,21,0)</f>
        <v>#N/A</v>
      </c>
      <c r="M1104" s="106" t="e">
        <f t="shared" si="90"/>
        <v>#N/A</v>
      </c>
    </row>
    <row r="1105" spans="1:13">
      <c r="A1105">
        <f>'RAW DATA 2023'!B1098</f>
        <v>0</v>
      </c>
      <c r="B1105">
        <f>'RAW DATA 2023'!D1098</f>
        <v>0</v>
      </c>
      <c r="C1105" t="str">
        <f t="shared" si="86"/>
        <v>00</v>
      </c>
      <c r="D1105" t="e">
        <f>VLOOKUP(C1105,'RAW DATA 2023'!E:BP,63,0)</f>
        <v>#N/A</v>
      </c>
      <c r="E1105" t="e">
        <f t="shared" si="87"/>
        <v>#N/A</v>
      </c>
      <c r="F1105" t="e">
        <f>ROUND(VLOOKUP(C1105,'RAW DATA 2023'!E:BO,23,0),0)</f>
        <v>#N/A</v>
      </c>
      <c r="G1105" s="16" t="e">
        <f>VLOOKUP(C1105,'RAW DATA 2023'!E:BO,27,0)</f>
        <v>#N/A</v>
      </c>
      <c r="H1105" s="16">
        <f>IFERROR(VLOOKUP(F1105,STD!B:G,5,0),0)</f>
        <v>0</v>
      </c>
      <c r="I1105" s="21">
        <f t="shared" si="88"/>
        <v>0</v>
      </c>
      <c r="J1105" s="16">
        <f t="shared" si="89"/>
        <v>-10</v>
      </c>
      <c r="K1105" s="106" t="e">
        <f>VLOOKUP(C1105,'RAW DATA 2023'!E:BO,36,0)</f>
        <v>#N/A</v>
      </c>
      <c r="L1105" s="106" t="e">
        <f>VLOOKUP(C1105,'RAW DATA 2023'!E:BO,21,0)</f>
        <v>#N/A</v>
      </c>
      <c r="M1105" s="106" t="e">
        <f t="shared" si="90"/>
        <v>#N/A</v>
      </c>
    </row>
    <row r="1106" spans="1:13">
      <c r="A1106">
        <f>'RAW DATA 2023'!B1099</f>
        <v>0</v>
      </c>
      <c r="B1106">
        <f>'RAW DATA 2023'!D1099</f>
        <v>0</v>
      </c>
      <c r="C1106" t="str">
        <f t="shared" si="86"/>
        <v>00</v>
      </c>
      <c r="D1106" t="e">
        <f>VLOOKUP(C1106,'RAW DATA 2023'!E:BP,63,0)</f>
        <v>#N/A</v>
      </c>
      <c r="E1106" t="e">
        <f t="shared" si="87"/>
        <v>#N/A</v>
      </c>
      <c r="F1106" t="e">
        <f>ROUND(VLOOKUP(C1106,'RAW DATA 2023'!E:BO,23,0),0)</f>
        <v>#N/A</v>
      </c>
      <c r="G1106" s="16" t="e">
        <f>VLOOKUP(C1106,'RAW DATA 2023'!E:BO,27,0)</f>
        <v>#N/A</v>
      </c>
      <c r="H1106" s="16">
        <f>IFERROR(VLOOKUP(F1106,STD!B:G,5,0),0)</f>
        <v>0</v>
      </c>
      <c r="I1106" s="21">
        <f t="shared" si="88"/>
        <v>0</v>
      </c>
      <c r="J1106" s="16">
        <f t="shared" si="89"/>
        <v>-10</v>
      </c>
      <c r="K1106" s="106" t="e">
        <f>VLOOKUP(C1106,'RAW DATA 2023'!E:BO,36,0)</f>
        <v>#N/A</v>
      </c>
      <c r="L1106" s="106" t="e">
        <f>VLOOKUP(C1106,'RAW DATA 2023'!E:BO,21,0)</f>
        <v>#N/A</v>
      </c>
      <c r="M1106" s="106" t="e">
        <f t="shared" si="90"/>
        <v>#N/A</v>
      </c>
    </row>
    <row r="1107" spans="1:13">
      <c r="A1107">
        <f>'RAW DATA 2023'!B1100</f>
        <v>0</v>
      </c>
      <c r="B1107">
        <f>'RAW DATA 2023'!D1100</f>
        <v>0</v>
      </c>
      <c r="C1107" t="str">
        <f t="shared" si="86"/>
        <v>00</v>
      </c>
      <c r="D1107" t="e">
        <f>VLOOKUP(C1107,'RAW DATA 2023'!E:BP,63,0)</f>
        <v>#N/A</v>
      </c>
      <c r="E1107" t="e">
        <f t="shared" si="87"/>
        <v>#N/A</v>
      </c>
      <c r="F1107" t="e">
        <f>ROUND(VLOOKUP(C1107,'RAW DATA 2023'!E:BO,23,0),0)</f>
        <v>#N/A</v>
      </c>
      <c r="G1107" s="16" t="e">
        <f>VLOOKUP(C1107,'RAW DATA 2023'!E:BO,27,0)</f>
        <v>#N/A</v>
      </c>
      <c r="H1107" s="16">
        <f>IFERROR(VLOOKUP(F1107,STD!B:G,5,0),0)</f>
        <v>0</v>
      </c>
      <c r="I1107" s="21">
        <f t="shared" si="88"/>
        <v>0</v>
      </c>
      <c r="J1107" s="16">
        <f t="shared" si="89"/>
        <v>-10</v>
      </c>
      <c r="K1107" s="106" t="e">
        <f>VLOOKUP(C1107,'RAW DATA 2023'!E:BO,36,0)</f>
        <v>#N/A</v>
      </c>
      <c r="L1107" s="106" t="e">
        <f>VLOOKUP(C1107,'RAW DATA 2023'!E:BO,21,0)</f>
        <v>#N/A</v>
      </c>
      <c r="M1107" s="106" t="e">
        <f t="shared" si="90"/>
        <v>#N/A</v>
      </c>
    </row>
    <row r="1108" spans="1:13">
      <c r="A1108">
        <f>'RAW DATA 2023'!B1101</f>
        <v>0</v>
      </c>
      <c r="B1108">
        <f>'RAW DATA 2023'!D1101</f>
        <v>0</v>
      </c>
      <c r="C1108" t="str">
        <f t="shared" si="86"/>
        <v>00</v>
      </c>
      <c r="D1108" t="e">
        <f>VLOOKUP(C1108,'RAW DATA 2023'!E:BP,63,0)</f>
        <v>#N/A</v>
      </c>
      <c r="E1108" t="e">
        <f t="shared" si="87"/>
        <v>#N/A</v>
      </c>
      <c r="F1108" t="e">
        <f>ROUND(VLOOKUP(C1108,'RAW DATA 2023'!E:BO,23,0),0)</f>
        <v>#N/A</v>
      </c>
      <c r="G1108" s="16" t="e">
        <f>VLOOKUP(C1108,'RAW DATA 2023'!E:BO,27,0)</f>
        <v>#N/A</v>
      </c>
      <c r="H1108" s="16">
        <f>IFERROR(VLOOKUP(F1108,STD!B:G,5,0),0)</f>
        <v>0</v>
      </c>
      <c r="I1108" s="21">
        <f t="shared" si="88"/>
        <v>0</v>
      </c>
      <c r="J1108" s="16">
        <f t="shared" si="89"/>
        <v>-10</v>
      </c>
      <c r="K1108" s="106" t="e">
        <f>VLOOKUP(C1108,'RAW DATA 2023'!E:BO,36,0)</f>
        <v>#N/A</v>
      </c>
      <c r="L1108" s="106" t="e">
        <f>VLOOKUP(C1108,'RAW DATA 2023'!E:BO,21,0)</f>
        <v>#N/A</v>
      </c>
      <c r="M1108" s="106" t="e">
        <f t="shared" si="90"/>
        <v>#N/A</v>
      </c>
    </row>
    <row r="1109" spans="1:13">
      <c r="A1109">
        <f>'RAW DATA 2023'!B1102</f>
        <v>0</v>
      </c>
      <c r="B1109">
        <f>'RAW DATA 2023'!D1102</f>
        <v>0</v>
      </c>
      <c r="C1109" t="str">
        <f t="shared" si="86"/>
        <v>00</v>
      </c>
      <c r="D1109" t="e">
        <f>VLOOKUP(C1109,'RAW DATA 2023'!E:BP,63,0)</f>
        <v>#N/A</v>
      </c>
      <c r="E1109" t="e">
        <f t="shared" si="87"/>
        <v>#N/A</v>
      </c>
      <c r="F1109" t="e">
        <f>ROUND(VLOOKUP(C1109,'RAW DATA 2023'!E:BO,23,0),0)</f>
        <v>#N/A</v>
      </c>
      <c r="G1109" s="16" t="e">
        <f>VLOOKUP(C1109,'RAW DATA 2023'!E:BO,27,0)</f>
        <v>#N/A</v>
      </c>
      <c r="H1109" s="16">
        <f>IFERROR(VLOOKUP(F1109,STD!B:G,5,0),0)</f>
        <v>0</v>
      </c>
      <c r="I1109" s="21">
        <f t="shared" si="88"/>
        <v>0</v>
      </c>
      <c r="J1109" s="16">
        <f t="shared" si="89"/>
        <v>-10</v>
      </c>
      <c r="K1109" s="106" t="e">
        <f>VLOOKUP(C1109,'RAW DATA 2023'!E:BO,36,0)</f>
        <v>#N/A</v>
      </c>
      <c r="L1109" s="106" t="e">
        <f>VLOOKUP(C1109,'RAW DATA 2023'!E:BO,21,0)</f>
        <v>#N/A</v>
      </c>
      <c r="M1109" s="106" t="e">
        <f t="shared" si="90"/>
        <v>#N/A</v>
      </c>
    </row>
    <row r="1110" spans="1:13">
      <c r="A1110">
        <f>'RAW DATA 2023'!B1103</f>
        <v>0</v>
      </c>
      <c r="B1110">
        <f>'RAW DATA 2023'!D1103</f>
        <v>0</v>
      </c>
      <c r="C1110" t="str">
        <f t="shared" si="86"/>
        <v>00</v>
      </c>
      <c r="D1110" t="e">
        <f>VLOOKUP(C1110,'RAW DATA 2023'!E:BP,63,0)</f>
        <v>#N/A</v>
      </c>
      <c r="E1110" t="e">
        <f t="shared" si="87"/>
        <v>#N/A</v>
      </c>
      <c r="F1110" t="e">
        <f>ROUND(VLOOKUP(C1110,'RAW DATA 2023'!E:BO,23,0),0)</f>
        <v>#N/A</v>
      </c>
      <c r="G1110" s="16" t="e">
        <f>VLOOKUP(C1110,'RAW DATA 2023'!E:BO,27,0)</f>
        <v>#N/A</v>
      </c>
      <c r="H1110" s="16">
        <f>IFERROR(VLOOKUP(F1110,STD!B:G,5,0),0)</f>
        <v>0</v>
      </c>
      <c r="I1110" s="21">
        <f t="shared" si="88"/>
        <v>0</v>
      </c>
      <c r="J1110" s="16">
        <f t="shared" si="89"/>
        <v>-10</v>
      </c>
      <c r="K1110" s="106" t="e">
        <f>VLOOKUP(C1110,'RAW DATA 2023'!E:BO,36,0)</f>
        <v>#N/A</v>
      </c>
      <c r="L1110" s="106" t="e">
        <f>VLOOKUP(C1110,'RAW DATA 2023'!E:BO,21,0)</f>
        <v>#N/A</v>
      </c>
      <c r="M1110" s="106" t="e">
        <f t="shared" si="90"/>
        <v>#N/A</v>
      </c>
    </row>
    <row r="1111" spans="1:13">
      <c r="A1111">
        <f>'RAW DATA 2023'!B1104</f>
        <v>0</v>
      </c>
      <c r="B1111">
        <f>'RAW DATA 2023'!D1104</f>
        <v>0</v>
      </c>
      <c r="C1111" t="str">
        <f t="shared" si="86"/>
        <v>00</v>
      </c>
      <c r="D1111" t="e">
        <f>VLOOKUP(C1111,'RAW DATA 2023'!E:BP,63,0)</f>
        <v>#N/A</v>
      </c>
      <c r="E1111" t="e">
        <f t="shared" si="87"/>
        <v>#N/A</v>
      </c>
      <c r="F1111" t="e">
        <f>ROUND(VLOOKUP(C1111,'RAW DATA 2023'!E:BO,23,0),0)</f>
        <v>#N/A</v>
      </c>
      <c r="G1111" s="16" t="e">
        <f>VLOOKUP(C1111,'RAW DATA 2023'!E:BO,27,0)</f>
        <v>#N/A</v>
      </c>
      <c r="H1111" s="16">
        <f>IFERROR(VLOOKUP(F1111,STD!B:G,5,0),0)</f>
        <v>0</v>
      </c>
      <c r="I1111" s="21">
        <f t="shared" si="88"/>
        <v>0</v>
      </c>
      <c r="J1111" s="16">
        <f t="shared" si="89"/>
        <v>-10</v>
      </c>
      <c r="K1111" s="106" t="e">
        <f>VLOOKUP(C1111,'RAW DATA 2023'!E:BO,36,0)</f>
        <v>#N/A</v>
      </c>
      <c r="L1111" s="106" t="e">
        <f>VLOOKUP(C1111,'RAW DATA 2023'!E:BO,21,0)</f>
        <v>#N/A</v>
      </c>
      <c r="M1111" s="106" t="e">
        <f t="shared" si="90"/>
        <v>#N/A</v>
      </c>
    </row>
    <row r="1112" spans="1:13">
      <c r="A1112">
        <f>'RAW DATA 2023'!B1105</f>
        <v>0</v>
      </c>
      <c r="B1112">
        <f>'RAW DATA 2023'!D1105</f>
        <v>0</v>
      </c>
      <c r="C1112" t="str">
        <f t="shared" si="86"/>
        <v>00</v>
      </c>
      <c r="D1112" t="e">
        <f>VLOOKUP(C1112,'RAW DATA 2023'!E:BP,63,0)</f>
        <v>#N/A</v>
      </c>
      <c r="E1112" t="e">
        <f t="shared" si="87"/>
        <v>#N/A</v>
      </c>
      <c r="F1112" t="e">
        <f>ROUND(VLOOKUP(C1112,'RAW DATA 2023'!E:BO,23,0),0)</f>
        <v>#N/A</v>
      </c>
      <c r="G1112" s="16" t="e">
        <f>VLOOKUP(C1112,'RAW DATA 2023'!E:BO,27,0)</f>
        <v>#N/A</v>
      </c>
      <c r="H1112" s="16">
        <f>IFERROR(VLOOKUP(F1112,STD!B:G,5,0),0)</f>
        <v>0</v>
      </c>
      <c r="I1112" s="21">
        <f t="shared" si="88"/>
        <v>0</v>
      </c>
      <c r="J1112" s="16">
        <f t="shared" si="89"/>
        <v>-10</v>
      </c>
      <c r="K1112" s="106" t="e">
        <f>VLOOKUP(C1112,'RAW DATA 2023'!E:BO,36,0)</f>
        <v>#N/A</v>
      </c>
      <c r="L1112" s="106" t="e">
        <f>VLOOKUP(C1112,'RAW DATA 2023'!E:BO,21,0)</f>
        <v>#N/A</v>
      </c>
      <c r="M1112" s="106" t="e">
        <f t="shared" si="90"/>
        <v>#N/A</v>
      </c>
    </row>
    <row r="1113" spans="1:13">
      <c r="A1113">
        <f>'RAW DATA 2023'!B1106</f>
        <v>0</v>
      </c>
      <c r="B1113">
        <f>'RAW DATA 2023'!D1106</f>
        <v>0</v>
      </c>
      <c r="C1113" t="str">
        <f t="shared" si="86"/>
        <v>00</v>
      </c>
      <c r="D1113" t="e">
        <f>VLOOKUP(C1113,'RAW DATA 2023'!E:BP,63,0)</f>
        <v>#N/A</v>
      </c>
      <c r="E1113" t="e">
        <f t="shared" si="87"/>
        <v>#N/A</v>
      </c>
      <c r="F1113" t="e">
        <f>ROUND(VLOOKUP(C1113,'RAW DATA 2023'!E:BO,23,0),0)</f>
        <v>#N/A</v>
      </c>
      <c r="G1113" s="16" t="e">
        <f>VLOOKUP(C1113,'RAW DATA 2023'!E:BO,27,0)</f>
        <v>#N/A</v>
      </c>
      <c r="H1113" s="16">
        <f>IFERROR(VLOOKUP(F1113,STD!B:G,5,0),0)</f>
        <v>0</v>
      </c>
      <c r="I1113" s="21">
        <f t="shared" si="88"/>
        <v>0</v>
      </c>
      <c r="J1113" s="16">
        <f t="shared" si="89"/>
        <v>-10</v>
      </c>
      <c r="K1113" s="106" t="e">
        <f>VLOOKUP(C1113,'RAW DATA 2023'!E:BO,36,0)</f>
        <v>#N/A</v>
      </c>
      <c r="L1113" s="106" t="e">
        <f>VLOOKUP(C1113,'RAW DATA 2023'!E:BO,21,0)</f>
        <v>#N/A</v>
      </c>
      <c r="M1113" s="106" t="e">
        <f t="shared" si="90"/>
        <v>#N/A</v>
      </c>
    </row>
    <row r="1114" spans="1:13">
      <c r="A1114">
        <f>'RAW DATA 2023'!B1107</f>
        <v>0</v>
      </c>
      <c r="B1114">
        <f>'RAW DATA 2023'!D1107</f>
        <v>0</v>
      </c>
      <c r="C1114" t="str">
        <f t="shared" si="86"/>
        <v>00</v>
      </c>
      <c r="D1114" t="e">
        <f>VLOOKUP(C1114,'RAW DATA 2023'!E:BP,63,0)</f>
        <v>#N/A</v>
      </c>
      <c r="E1114" t="e">
        <f t="shared" si="87"/>
        <v>#N/A</v>
      </c>
      <c r="F1114" t="e">
        <f>ROUND(VLOOKUP(C1114,'RAW DATA 2023'!E:BO,23,0),0)</f>
        <v>#N/A</v>
      </c>
      <c r="G1114" s="16" t="e">
        <f>VLOOKUP(C1114,'RAW DATA 2023'!E:BO,27,0)</f>
        <v>#N/A</v>
      </c>
      <c r="H1114" s="16">
        <f>IFERROR(VLOOKUP(F1114,STD!B:G,5,0),0)</f>
        <v>0</v>
      </c>
      <c r="I1114" s="21">
        <f t="shared" si="88"/>
        <v>0</v>
      </c>
      <c r="J1114" s="16">
        <f t="shared" si="89"/>
        <v>-10</v>
      </c>
      <c r="K1114" s="106" t="e">
        <f>VLOOKUP(C1114,'RAW DATA 2023'!E:BO,36,0)</f>
        <v>#N/A</v>
      </c>
      <c r="L1114" s="106" t="e">
        <f>VLOOKUP(C1114,'RAW DATA 2023'!E:BO,21,0)</f>
        <v>#N/A</v>
      </c>
      <c r="M1114" s="106" t="e">
        <f t="shared" si="90"/>
        <v>#N/A</v>
      </c>
    </row>
    <row r="1115" spans="1:13">
      <c r="A1115">
        <f>'RAW DATA 2023'!B1108</f>
        <v>0</v>
      </c>
      <c r="B1115">
        <f>'RAW DATA 2023'!D1108</f>
        <v>0</v>
      </c>
      <c r="C1115" t="str">
        <f t="shared" si="86"/>
        <v>00</v>
      </c>
      <c r="D1115" t="e">
        <f>VLOOKUP(C1115,'RAW DATA 2023'!E:BP,63,0)</f>
        <v>#N/A</v>
      </c>
      <c r="E1115" t="e">
        <f t="shared" si="87"/>
        <v>#N/A</v>
      </c>
      <c r="F1115" t="e">
        <f>ROUND(VLOOKUP(C1115,'RAW DATA 2023'!E:BO,23,0),0)</f>
        <v>#N/A</v>
      </c>
      <c r="G1115" s="16" t="e">
        <f>VLOOKUP(C1115,'RAW DATA 2023'!E:BO,27,0)</f>
        <v>#N/A</v>
      </c>
      <c r="H1115" s="16">
        <f>IFERROR(VLOOKUP(F1115,STD!B:G,5,0),0)</f>
        <v>0</v>
      </c>
      <c r="I1115" s="21">
        <f t="shared" si="88"/>
        <v>0</v>
      </c>
      <c r="J1115" s="16">
        <f t="shared" si="89"/>
        <v>-10</v>
      </c>
      <c r="K1115" s="106" t="e">
        <f>VLOOKUP(C1115,'RAW DATA 2023'!E:BO,36,0)</f>
        <v>#N/A</v>
      </c>
      <c r="L1115" s="106" t="e">
        <f>VLOOKUP(C1115,'RAW DATA 2023'!E:BO,21,0)</f>
        <v>#N/A</v>
      </c>
      <c r="M1115" s="106" t="e">
        <f t="shared" si="90"/>
        <v>#N/A</v>
      </c>
    </row>
    <row r="1116" spans="1:13">
      <c r="A1116">
        <f>'RAW DATA 2023'!B1109</f>
        <v>0</v>
      </c>
      <c r="B1116">
        <f>'RAW DATA 2023'!D1109</f>
        <v>0</v>
      </c>
      <c r="C1116" t="str">
        <f t="shared" si="86"/>
        <v>00</v>
      </c>
      <c r="D1116" t="e">
        <f>VLOOKUP(C1116,'RAW DATA 2023'!E:BP,63,0)</f>
        <v>#N/A</v>
      </c>
      <c r="E1116" t="e">
        <f t="shared" si="87"/>
        <v>#N/A</v>
      </c>
      <c r="F1116" t="e">
        <f>ROUND(VLOOKUP(C1116,'RAW DATA 2023'!E:BO,23,0),0)</f>
        <v>#N/A</v>
      </c>
      <c r="G1116" s="16" t="e">
        <f>VLOOKUP(C1116,'RAW DATA 2023'!E:BO,27,0)</f>
        <v>#N/A</v>
      </c>
      <c r="H1116" s="16">
        <f>IFERROR(VLOOKUP(F1116,STD!B:G,5,0),0)</f>
        <v>0</v>
      </c>
      <c r="I1116" s="21">
        <f t="shared" si="88"/>
        <v>0</v>
      </c>
      <c r="J1116" s="16">
        <f t="shared" si="89"/>
        <v>-10</v>
      </c>
      <c r="K1116" s="106" t="e">
        <f>VLOOKUP(C1116,'RAW DATA 2023'!E:BO,36,0)</f>
        <v>#N/A</v>
      </c>
      <c r="L1116" s="106" t="e">
        <f>VLOOKUP(C1116,'RAW DATA 2023'!E:BO,21,0)</f>
        <v>#N/A</v>
      </c>
      <c r="M1116" s="106" t="e">
        <f t="shared" si="90"/>
        <v>#N/A</v>
      </c>
    </row>
    <row r="1117" spans="1:13">
      <c r="A1117">
        <f>'RAW DATA 2023'!B1110</f>
        <v>0</v>
      </c>
      <c r="B1117">
        <f>'RAW DATA 2023'!D1110</f>
        <v>0</v>
      </c>
      <c r="C1117" t="str">
        <f t="shared" si="86"/>
        <v>00</v>
      </c>
      <c r="D1117" t="e">
        <f>VLOOKUP(C1117,'RAW DATA 2023'!E:BP,63,0)</f>
        <v>#N/A</v>
      </c>
      <c r="E1117" t="e">
        <f t="shared" si="87"/>
        <v>#N/A</v>
      </c>
      <c r="F1117" t="e">
        <f>ROUND(VLOOKUP(C1117,'RAW DATA 2023'!E:BO,23,0),0)</f>
        <v>#N/A</v>
      </c>
      <c r="G1117" s="16" t="e">
        <f>VLOOKUP(C1117,'RAW DATA 2023'!E:BO,27,0)</f>
        <v>#N/A</v>
      </c>
      <c r="H1117" s="16">
        <f>IFERROR(VLOOKUP(F1117,STD!B:G,5,0),0)</f>
        <v>0</v>
      </c>
      <c r="I1117" s="21">
        <f t="shared" si="88"/>
        <v>0</v>
      </c>
      <c r="J1117" s="16">
        <f t="shared" si="89"/>
        <v>-10</v>
      </c>
      <c r="K1117" s="106" t="e">
        <f>VLOOKUP(C1117,'RAW DATA 2023'!E:BO,36,0)</f>
        <v>#N/A</v>
      </c>
      <c r="L1117" s="106" t="e">
        <f>VLOOKUP(C1117,'RAW DATA 2023'!E:BO,21,0)</f>
        <v>#N/A</v>
      </c>
      <c r="M1117" s="106" t="e">
        <f t="shared" si="90"/>
        <v>#N/A</v>
      </c>
    </row>
    <row r="1118" spans="1:13">
      <c r="A1118">
        <f>'RAW DATA 2023'!B1111</f>
        <v>0</v>
      </c>
      <c r="B1118">
        <f>'RAW DATA 2023'!D1111</f>
        <v>0</v>
      </c>
      <c r="C1118" t="str">
        <f t="shared" si="86"/>
        <v>00</v>
      </c>
      <c r="D1118" t="e">
        <f>VLOOKUP(C1118,'RAW DATA 2023'!E:BP,63,0)</f>
        <v>#N/A</v>
      </c>
      <c r="E1118" t="e">
        <f t="shared" si="87"/>
        <v>#N/A</v>
      </c>
      <c r="F1118" t="e">
        <f>ROUND(VLOOKUP(C1118,'RAW DATA 2023'!E:BO,23,0),0)</f>
        <v>#N/A</v>
      </c>
      <c r="G1118" s="16" t="e">
        <f>VLOOKUP(C1118,'RAW DATA 2023'!E:BO,27,0)</f>
        <v>#N/A</v>
      </c>
      <c r="H1118" s="16">
        <f>IFERROR(VLOOKUP(F1118,STD!B:G,5,0),0)</f>
        <v>0</v>
      </c>
      <c r="I1118" s="21">
        <f t="shared" si="88"/>
        <v>0</v>
      </c>
      <c r="J1118" s="16">
        <f t="shared" si="89"/>
        <v>-10</v>
      </c>
      <c r="K1118" s="106" t="e">
        <f>VLOOKUP(C1118,'RAW DATA 2023'!E:BO,36,0)</f>
        <v>#N/A</v>
      </c>
      <c r="L1118" s="106" t="e">
        <f>VLOOKUP(C1118,'RAW DATA 2023'!E:BO,21,0)</f>
        <v>#N/A</v>
      </c>
      <c r="M1118" s="106" t="e">
        <f t="shared" si="90"/>
        <v>#N/A</v>
      </c>
    </row>
    <row r="1119" spans="1:13">
      <c r="A1119">
        <f>'RAW DATA 2023'!B1112</f>
        <v>0</v>
      </c>
      <c r="B1119">
        <f>'RAW DATA 2023'!D1112</f>
        <v>0</v>
      </c>
      <c r="C1119" t="str">
        <f t="shared" si="86"/>
        <v>00</v>
      </c>
      <c r="D1119" t="e">
        <f>VLOOKUP(C1119,'RAW DATA 2023'!E:BP,63,0)</f>
        <v>#N/A</v>
      </c>
      <c r="E1119" t="e">
        <f t="shared" si="87"/>
        <v>#N/A</v>
      </c>
      <c r="F1119" t="e">
        <f>ROUND(VLOOKUP(C1119,'RAW DATA 2023'!E:BO,23,0),0)</f>
        <v>#N/A</v>
      </c>
      <c r="G1119" s="16" t="e">
        <f>VLOOKUP(C1119,'RAW DATA 2023'!E:BO,27,0)</f>
        <v>#N/A</v>
      </c>
      <c r="H1119" s="16">
        <f>IFERROR(VLOOKUP(F1119,STD!B:G,5,0),0)</f>
        <v>0</v>
      </c>
      <c r="I1119" s="21">
        <f t="shared" si="88"/>
        <v>0</v>
      </c>
      <c r="J1119" s="16">
        <f t="shared" si="89"/>
        <v>-10</v>
      </c>
      <c r="K1119" s="106" t="e">
        <f>VLOOKUP(C1119,'RAW DATA 2023'!E:BO,36,0)</f>
        <v>#N/A</v>
      </c>
      <c r="L1119" s="106" t="e">
        <f>VLOOKUP(C1119,'RAW DATA 2023'!E:BO,21,0)</f>
        <v>#N/A</v>
      </c>
      <c r="M1119" s="106" t="e">
        <f t="shared" si="90"/>
        <v>#N/A</v>
      </c>
    </row>
    <row r="1120" spans="1:13">
      <c r="A1120">
        <f>'RAW DATA 2023'!B1113</f>
        <v>0</v>
      </c>
      <c r="B1120">
        <f>'RAW DATA 2023'!D1113</f>
        <v>0</v>
      </c>
      <c r="C1120" t="str">
        <f t="shared" si="86"/>
        <v>00</v>
      </c>
      <c r="D1120" t="e">
        <f>VLOOKUP(C1120,'RAW DATA 2023'!E:BP,63,0)</f>
        <v>#N/A</v>
      </c>
      <c r="E1120" t="e">
        <f t="shared" si="87"/>
        <v>#N/A</v>
      </c>
      <c r="F1120" t="e">
        <f>ROUND(VLOOKUP(C1120,'RAW DATA 2023'!E:BO,23,0),0)</f>
        <v>#N/A</v>
      </c>
      <c r="G1120" s="16" t="e">
        <f>VLOOKUP(C1120,'RAW DATA 2023'!E:BO,27,0)</f>
        <v>#N/A</v>
      </c>
      <c r="H1120" s="16">
        <f>IFERROR(VLOOKUP(F1120,STD!B:G,5,0),0)</f>
        <v>0</v>
      </c>
      <c r="I1120" s="21">
        <f t="shared" si="88"/>
        <v>0</v>
      </c>
      <c r="J1120" s="16">
        <f t="shared" si="89"/>
        <v>-10</v>
      </c>
      <c r="K1120" s="106" t="e">
        <f>VLOOKUP(C1120,'RAW DATA 2023'!E:BO,36,0)</f>
        <v>#N/A</v>
      </c>
      <c r="L1120" s="106" t="e">
        <f>VLOOKUP(C1120,'RAW DATA 2023'!E:BO,21,0)</f>
        <v>#N/A</v>
      </c>
      <c r="M1120" s="106" t="e">
        <f t="shared" si="90"/>
        <v>#N/A</v>
      </c>
    </row>
    <row r="1121" spans="1:13">
      <c r="A1121">
        <f>'RAW DATA 2023'!B1114</f>
        <v>0</v>
      </c>
      <c r="B1121">
        <f>'RAW DATA 2023'!D1114</f>
        <v>0</v>
      </c>
      <c r="C1121" t="str">
        <f t="shared" si="86"/>
        <v>00</v>
      </c>
      <c r="D1121" t="e">
        <f>VLOOKUP(C1121,'RAW DATA 2023'!E:BP,63,0)</f>
        <v>#N/A</v>
      </c>
      <c r="E1121" t="e">
        <f t="shared" si="87"/>
        <v>#N/A</v>
      </c>
      <c r="F1121" t="e">
        <f>ROUND(VLOOKUP(C1121,'RAW DATA 2023'!E:BO,23,0),0)</f>
        <v>#N/A</v>
      </c>
      <c r="G1121" s="16" t="e">
        <f>VLOOKUP(C1121,'RAW DATA 2023'!E:BO,27,0)</f>
        <v>#N/A</v>
      </c>
      <c r="H1121" s="16">
        <f>IFERROR(VLOOKUP(F1121,STD!B:G,5,0),0)</f>
        <v>0</v>
      </c>
      <c r="I1121" s="21">
        <f t="shared" si="88"/>
        <v>0</v>
      </c>
      <c r="J1121" s="16">
        <f t="shared" si="89"/>
        <v>-10</v>
      </c>
      <c r="K1121" s="106" t="e">
        <f>VLOOKUP(C1121,'RAW DATA 2023'!E:BO,36,0)</f>
        <v>#N/A</v>
      </c>
      <c r="L1121" s="106" t="e">
        <f>VLOOKUP(C1121,'RAW DATA 2023'!E:BO,21,0)</f>
        <v>#N/A</v>
      </c>
      <c r="M1121" s="106" t="e">
        <f t="shared" si="90"/>
        <v>#N/A</v>
      </c>
    </row>
    <row r="1122" spans="1:13">
      <c r="A1122">
        <f>'RAW DATA 2023'!B1115</f>
        <v>0</v>
      </c>
      <c r="B1122">
        <f>'RAW DATA 2023'!D1115</f>
        <v>0</v>
      </c>
      <c r="C1122" t="str">
        <f t="shared" si="86"/>
        <v>00</v>
      </c>
      <c r="D1122" t="e">
        <f>VLOOKUP(C1122,'RAW DATA 2023'!E:BP,63,0)</f>
        <v>#N/A</v>
      </c>
      <c r="E1122" t="e">
        <f t="shared" si="87"/>
        <v>#N/A</v>
      </c>
      <c r="F1122" t="e">
        <f>ROUND(VLOOKUP(C1122,'RAW DATA 2023'!E:BO,23,0),0)</f>
        <v>#N/A</v>
      </c>
      <c r="G1122" s="16" t="e">
        <f>VLOOKUP(C1122,'RAW DATA 2023'!E:BO,27,0)</f>
        <v>#N/A</v>
      </c>
      <c r="H1122" s="16">
        <f>IFERROR(VLOOKUP(F1122,STD!B:G,5,0),0)</f>
        <v>0</v>
      </c>
      <c r="I1122" s="21">
        <f t="shared" si="88"/>
        <v>0</v>
      </c>
      <c r="J1122" s="16">
        <f t="shared" si="89"/>
        <v>-10</v>
      </c>
      <c r="K1122" s="106" t="e">
        <f>VLOOKUP(C1122,'RAW DATA 2023'!E:BO,36,0)</f>
        <v>#N/A</v>
      </c>
      <c r="L1122" s="106" t="e">
        <f>VLOOKUP(C1122,'RAW DATA 2023'!E:BO,21,0)</f>
        <v>#N/A</v>
      </c>
      <c r="M1122" s="106" t="e">
        <f t="shared" si="90"/>
        <v>#N/A</v>
      </c>
    </row>
    <row r="1123" spans="1:13">
      <c r="A1123">
        <f>'RAW DATA 2023'!B1116</f>
        <v>0</v>
      </c>
      <c r="B1123">
        <f>'RAW DATA 2023'!D1116</f>
        <v>0</v>
      </c>
      <c r="C1123" t="str">
        <f t="shared" si="86"/>
        <v>00</v>
      </c>
      <c r="D1123" t="e">
        <f>VLOOKUP(C1123,'RAW DATA 2023'!E:BP,63,0)</f>
        <v>#N/A</v>
      </c>
      <c r="E1123" t="e">
        <f t="shared" si="87"/>
        <v>#N/A</v>
      </c>
      <c r="F1123" t="e">
        <f>ROUND(VLOOKUP(C1123,'RAW DATA 2023'!E:BO,23,0),0)</f>
        <v>#N/A</v>
      </c>
      <c r="G1123" s="16" t="e">
        <f>VLOOKUP(C1123,'RAW DATA 2023'!E:BO,27,0)</f>
        <v>#N/A</v>
      </c>
      <c r="H1123" s="16">
        <f>IFERROR(VLOOKUP(F1123,STD!B:G,5,0),0)</f>
        <v>0</v>
      </c>
      <c r="I1123" s="21">
        <f t="shared" si="88"/>
        <v>0</v>
      </c>
      <c r="J1123" s="16">
        <f t="shared" si="89"/>
        <v>-10</v>
      </c>
      <c r="K1123" s="106" t="e">
        <f>VLOOKUP(C1123,'RAW DATA 2023'!E:BO,36,0)</f>
        <v>#N/A</v>
      </c>
      <c r="L1123" s="106" t="e">
        <f>VLOOKUP(C1123,'RAW DATA 2023'!E:BO,21,0)</f>
        <v>#N/A</v>
      </c>
      <c r="M1123" s="106" t="e">
        <f t="shared" si="90"/>
        <v>#N/A</v>
      </c>
    </row>
    <row r="1124" spans="1:13">
      <c r="A1124">
        <f>'RAW DATA 2023'!B1117</f>
        <v>0</v>
      </c>
      <c r="B1124">
        <f>'RAW DATA 2023'!D1117</f>
        <v>0</v>
      </c>
      <c r="C1124" t="str">
        <f t="shared" si="86"/>
        <v>00</v>
      </c>
      <c r="D1124" t="e">
        <f>VLOOKUP(C1124,'RAW DATA 2023'!E:BP,63,0)</f>
        <v>#N/A</v>
      </c>
      <c r="E1124" t="e">
        <f t="shared" si="87"/>
        <v>#N/A</v>
      </c>
      <c r="F1124" t="e">
        <f>ROUND(VLOOKUP(C1124,'RAW DATA 2023'!E:BO,23,0),0)</f>
        <v>#N/A</v>
      </c>
      <c r="G1124" s="16" t="e">
        <f>VLOOKUP(C1124,'RAW DATA 2023'!E:BO,27,0)</f>
        <v>#N/A</v>
      </c>
      <c r="H1124" s="16">
        <f>IFERROR(VLOOKUP(F1124,STD!B:G,5,0),0)</f>
        <v>0</v>
      </c>
      <c r="I1124" s="21">
        <f t="shared" si="88"/>
        <v>0</v>
      </c>
      <c r="J1124" s="16">
        <f t="shared" si="89"/>
        <v>-10</v>
      </c>
      <c r="K1124" s="106" t="e">
        <f>VLOOKUP(C1124,'RAW DATA 2023'!E:BO,36,0)</f>
        <v>#N/A</v>
      </c>
      <c r="L1124" s="106" t="e">
        <f>VLOOKUP(C1124,'RAW DATA 2023'!E:BO,21,0)</f>
        <v>#N/A</v>
      </c>
      <c r="M1124" s="106" t="e">
        <f t="shared" si="90"/>
        <v>#N/A</v>
      </c>
    </row>
    <row r="1125" spans="1:13">
      <c r="A1125">
        <f>'RAW DATA 2023'!B1118</f>
        <v>0</v>
      </c>
      <c r="B1125">
        <f>'RAW DATA 2023'!D1118</f>
        <v>0</v>
      </c>
      <c r="C1125" t="str">
        <f t="shared" si="86"/>
        <v>00</v>
      </c>
      <c r="D1125" t="e">
        <f>VLOOKUP(C1125,'RAW DATA 2023'!E:BP,63,0)</f>
        <v>#N/A</v>
      </c>
      <c r="E1125" t="e">
        <f t="shared" si="87"/>
        <v>#N/A</v>
      </c>
      <c r="F1125" t="e">
        <f>ROUND(VLOOKUP(C1125,'RAW DATA 2023'!E:BO,23,0),0)</f>
        <v>#N/A</v>
      </c>
      <c r="G1125" s="16" t="e">
        <f>VLOOKUP(C1125,'RAW DATA 2023'!E:BO,27,0)</f>
        <v>#N/A</v>
      </c>
      <c r="H1125" s="16">
        <f>IFERROR(VLOOKUP(F1125,STD!B:G,5,0),0)</f>
        <v>0</v>
      </c>
      <c r="I1125" s="21">
        <f t="shared" si="88"/>
        <v>0</v>
      </c>
      <c r="J1125" s="16">
        <f t="shared" si="89"/>
        <v>-10</v>
      </c>
      <c r="K1125" s="106" t="e">
        <f>VLOOKUP(C1125,'RAW DATA 2023'!E:BO,36,0)</f>
        <v>#N/A</v>
      </c>
      <c r="L1125" s="106" t="e">
        <f>VLOOKUP(C1125,'RAW DATA 2023'!E:BO,21,0)</f>
        <v>#N/A</v>
      </c>
      <c r="M1125" s="106" t="e">
        <f t="shared" si="90"/>
        <v>#N/A</v>
      </c>
    </row>
    <row r="1126" spans="1:13">
      <c r="A1126">
        <f>'RAW DATA 2023'!B1119</f>
        <v>0</v>
      </c>
      <c r="B1126">
        <f>'RAW DATA 2023'!D1119</f>
        <v>0</v>
      </c>
      <c r="C1126" t="str">
        <f t="shared" si="86"/>
        <v>00</v>
      </c>
      <c r="D1126" t="e">
        <f>VLOOKUP(C1126,'RAW DATA 2023'!E:BP,63,0)</f>
        <v>#N/A</v>
      </c>
      <c r="E1126" t="e">
        <f t="shared" si="87"/>
        <v>#N/A</v>
      </c>
      <c r="F1126" t="e">
        <f>ROUND(VLOOKUP(C1126,'RAW DATA 2023'!E:BO,23,0),0)</f>
        <v>#N/A</v>
      </c>
      <c r="G1126" s="16" t="e">
        <f>VLOOKUP(C1126,'RAW DATA 2023'!E:BO,27,0)</f>
        <v>#N/A</v>
      </c>
      <c r="H1126" s="16">
        <f>IFERROR(VLOOKUP(F1126,STD!B:G,5,0),0)</f>
        <v>0</v>
      </c>
      <c r="I1126" s="21">
        <f t="shared" si="88"/>
        <v>0</v>
      </c>
      <c r="J1126" s="16">
        <f t="shared" si="89"/>
        <v>-10</v>
      </c>
      <c r="K1126" s="106" t="e">
        <f>VLOOKUP(C1126,'RAW DATA 2023'!E:BO,36,0)</f>
        <v>#N/A</v>
      </c>
      <c r="L1126" s="106" t="e">
        <f>VLOOKUP(C1126,'RAW DATA 2023'!E:BO,21,0)</f>
        <v>#N/A</v>
      </c>
      <c r="M1126" s="106" t="e">
        <f t="shared" si="90"/>
        <v>#N/A</v>
      </c>
    </row>
    <row r="1127" spans="1:13">
      <c r="A1127">
        <f>'RAW DATA 2023'!B1120</f>
        <v>0</v>
      </c>
      <c r="B1127">
        <f>'RAW DATA 2023'!D1120</f>
        <v>0</v>
      </c>
      <c r="C1127" t="str">
        <f t="shared" si="86"/>
        <v>00</v>
      </c>
      <c r="D1127" t="e">
        <f>VLOOKUP(C1127,'RAW DATA 2023'!E:BP,63,0)</f>
        <v>#N/A</v>
      </c>
      <c r="E1127" t="e">
        <f t="shared" si="87"/>
        <v>#N/A</v>
      </c>
      <c r="F1127" t="e">
        <f>ROUND(VLOOKUP(C1127,'RAW DATA 2023'!E:BO,23,0),0)</f>
        <v>#N/A</v>
      </c>
      <c r="G1127" s="16" t="e">
        <f>VLOOKUP(C1127,'RAW DATA 2023'!E:BO,27,0)</f>
        <v>#N/A</v>
      </c>
      <c r="H1127" s="16">
        <f>IFERROR(VLOOKUP(F1127,STD!B:G,5,0),0)</f>
        <v>0</v>
      </c>
      <c r="I1127" s="21">
        <f t="shared" si="88"/>
        <v>0</v>
      </c>
      <c r="J1127" s="16">
        <f t="shared" si="89"/>
        <v>-10</v>
      </c>
      <c r="K1127" s="106" t="e">
        <f>VLOOKUP(C1127,'RAW DATA 2023'!E:BO,36,0)</f>
        <v>#N/A</v>
      </c>
      <c r="L1127" s="106" t="e">
        <f>VLOOKUP(C1127,'RAW DATA 2023'!E:BO,21,0)</f>
        <v>#N/A</v>
      </c>
      <c r="M1127" s="106" t="e">
        <f t="shared" si="90"/>
        <v>#N/A</v>
      </c>
    </row>
    <row r="1128" spans="1:13">
      <c r="A1128">
        <f>'RAW DATA 2023'!B1121</f>
        <v>0</v>
      </c>
      <c r="B1128">
        <f>'RAW DATA 2023'!D1121</f>
        <v>0</v>
      </c>
      <c r="C1128" t="str">
        <f t="shared" si="86"/>
        <v>00</v>
      </c>
      <c r="D1128" t="e">
        <f>VLOOKUP(C1128,'RAW DATA 2023'!E:BP,63,0)</f>
        <v>#N/A</v>
      </c>
      <c r="E1128" t="e">
        <f t="shared" si="87"/>
        <v>#N/A</v>
      </c>
      <c r="F1128" t="e">
        <f>ROUND(VLOOKUP(C1128,'RAW DATA 2023'!E:BO,23,0),0)</f>
        <v>#N/A</v>
      </c>
      <c r="G1128" s="16" t="e">
        <f>VLOOKUP(C1128,'RAW DATA 2023'!E:BO,27,0)</f>
        <v>#N/A</v>
      </c>
      <c r="H1128" s="16">
        <f>IFERROR(VLOOKUP(F1128,STD!B:G,5,0),0)</f>
        <v>0</v>
      </c>
      <c r="I1128" s="21">
        <f t="shared" si="88"/>
        <v>0</v>
      </c>
      <c r="J1128" s="16">
        <f t="shared" si="89"/>
        <v>-10</v>
      </c>
      <c r="K1128" s="106" t="e">
        <f>VLOOKUP(C1128,'RAW DATA 2023'!E:BO,36,0)</f>
        <v>#N/A</v>
      </c>
      <c r="L1128" s="106" t="e">
        <f>VLOOKUP(C1128,'RAW DATA 2023'!E:BO,21,0)</f>
        <v>#N/A</v>
      </c>
      <c r="M1128" s="106" t="e">
        <f t="shared" si="90"/>
        <v>#N/A</v>
      </c>
    </row>
    <row r="1129" spans="1:13">
      <c r="A1129">
        <f>'RAW DATA 2023'!B1122</f>
        <v>0</v>
      </c>
      <c r="B1129">
        <f>'RAW DATA 2023'!D1122</f>
        <v>0</v>
      </c>
      <c r="C1129" t="str">
        <f t="shared" si="86"/>
        <v>00</v>
      </c>
      <c r="D1129" t="e">
        <f>VLOOKUP(C1129,'RAW DATA 2023'!E:BP,63,0)</f>
        <v>#N/A</v>
      </c>
      <c r="E1129" t="e">
        <f t="shared" si="87"/>
        <v>#N/A</v>
      </c>
      <c r="F1129" t="e">
        <f>ROUND(VLOOKUP(C1129,'RAW DATA 2023'!E:BO,23,0),0)</f>
        <v>#N/A</v>
      </c>
      <c r="G1129" s="16" t="e">
        <f>VLOOKUP(C1129,'RAW DATA 2023'!E:BO,27,0)</f>
        <v>#N/A</v>
      </c>
      <c r="H1129" s="16">
        <f>IFERROR(VLOOKUP(F1129,STD!B:G,5,0),0)</f>
        <v>0</v>
      </c>
      <c r="I1129" s="21">
        <f t="shared" si="88"/>
        <v>0</v>
      </c>
      <c r="J1129" s="16">
        <f t="shared" si="89"/>
        <v>-10</v>
      </c>
      <c r="K1129" s="106" t="e">
        <f>VLOOKUP(C1129,'RAW DATA 2023'!E:BO,36,0)</f>
        <v>#N/A</v>
      </c>
      <c r="L1129" s="106" t="e">
        <f>VLOOKUP(C1129,'RAW DATA 2023'!E:BO,21,0)</f>
        <v>#N/A</v>
      </c>
      <c r="M1129" s="106" t="e">
        <f t="shared" si="90"/>
        <v>#N/A</v>
      </c>
    </row>
    <row r="1130" spans="1:13">
      <c r="A1130">
        <f>'RAW DATA 2023'!B1123</f>
        <v>0</v>
      </c>
      <c r="B1130">
        <f>'RAW DATA 2023'!D1123</f>
        <v>0</v>
      </c>
      <c r="C1130" t="str">
        <f t="shared" si="86"/>
        <v>00</v>
      </c>
      <c r="D1130" t="e">
        <f>VLOOKUP(C1130,'RAW DATA 2023'!E:BP,63,0)</f>
        <v>#N/A</v>
      </c>
      <c r="E1130" t="e">
        <f t="shared" si="87"/>
        <v>#N/A</v>
      </c>
      <c r="F1130" t="e">
        <f>ROUND(VLOOKUP(C1130,'RAW DATA 2023'!E:BO,23,0),0)</f>
        <v>#N/A</v>
      </c>
      <c r="G1130" s="16" t="e">
        <f>VLOOKUP(C1130,'RAW DATA 2023'!E:BO,27,0)</f>
        <v>#N/A</v>
      </c>
      <c r="H1130" s="16">
        <f>IFERROR(VLOOKUP(F1130,STD!B:G,5,0),0)</f>
        <v>0</v>
      </c>
      <c r="I1130" s="21">
        <f t="shared" si="88"/>
        <v>0</v>
      </c>
      <c r="J1130" s="16">
        <f t="shared" si="89"/>
        <v>-10</v>
      </c>
      <c r="K1130" s="106" t="e">
        <f>VLOOKUP(C1130,'RAW DATA 2023'!E:BO,36,0)</f>
        <v>#N/A</v>
      </c>
      <c r="L1130" s="106" t="e">
        <f>VLOOKUP(C1130,'RAW DATA 2023'!E:BO,21,0)</f>
        <v>#N/A</v>
      </c>
      <c r="M1130" s="106" t="e">
        <f t="shared" si="90"/>
        <v>#N/A</v>
      </c>
    </row>
    <row r="1131" spans="1:13">
      <c r="A1131">
        <f>'RAW DATA 2023'!B1124</f>
        <v>0</v>
      </c>
      <c r="B1131">
        <f>'RAW DATA 2023'!D1124</f>
        <v>0</v>
      </c>
      <c r="C1131" t="str">
        <f t="shared" si="86"/>
        <v>00</v>
      </c>
      <c r="D1131" t="e">
        <f>VLOOKUP(C1131,'RAW DATA 2023'!E:BP,63,0)</f>
        <v>#N/A</v>
      </c>
      <c r="E1131" t="e">
        <f t="shared" si="87"/>
        <v>#N/A</v>
      </c>
      <c r="F1131" t="e">
        <f>ROUND(VLOOKUP(C1131,'RAW DATA 2023'!E:BO,23,0),0)</f>
        <v>#N/A</v>
      </c>
      <c r="G1131" s="16" t="e">
        <f>VLOOKUP(C1131,'RAW DATA 2023'!E:BO,27,0)</f>
        <v>#N/A</v>
      </c>
      <c r="H1131" s="16">
        <f>IFERROR(VLOOKUP(F1131,STD!B:G,5,0),0)</f>
        <v>0</v>
      </c>
      <c r="I1131" s="21">
        <f t="shared" si="88"/>
        <v>0</v>
      </c>
      <c r="J1131" s="16">
        <f t="shared" si="89"/>
        <v>-10</v>
      </c>
      <c r="K1131" s="106" t="e">
        <f>VLOOKUP(C1131,'RAW DATA 2023'!E:BO,36,0)</f>
        <v>#N/A</v>
      </c>
      <c r="L1131" s="106" t="e">
        <f>VLOOKUP(C1131,'RAW DATA 2023'!E:BO,21,0)</f>
        <v>#N/A</v>
      </c>
      <c r="M1131" s="106" t="e">
        <f t="shared" si="90"/>
        <v>#N/A</v>
      </c>
    </row>
    <row r="1132" spans="1:13">
      <c r="A1132">
        <f>'RAW DATA 2023'!B1125</f>
        <v>0</v>
      </c>
      <c r="B1132">
        <f>'RAW DATA 2023'!D1125</f>
        <v>0</v>
      </c>
      <c r="C1132" t="str">
        <f t="shared" si="86"/>
        <v>00</v>
      </c>
      <c r="D1132" t="e">
        <f>VLOOKUP(C1132,'RAW DATA 2023'!E:BP,63,0)</f>
        <v>#N/A</v>
      </c>
      <c r="E1132" t="e">
        <f t="shared" si="87"/>
        <v>#N/A</v>
      </c>
      <c r="F1132" t="e">
        <f>ROUND(VLOOKUP(C1132,'RAW DATA 2023'!E:BO,23,0),0)</f>
        <v>#N/A</v>
      </c>
      <c r="G1132" s="16" t="e">
        <f>VLOOKUP(C1132,'RAW DATA 2023'!E:BO,27,0)</f>
        <v>#N/A</v>
      </c>
      <c r="H1132" s="16">
        <f>IFERROR(VLOOKUP(F1132,STD!B:G,5,0),0)</f>
        <v>0</v>
      </c>
      <c r="I1132" s="21">
        <f t="shared" si="88"/>
        <v>0</v>
      </c>
      <c r="J1132" s="16">
        <f t="shared" si="89"/>
        <v>-10</v>
      </c>
      <c r="K1132" s="106" t="e">
        <f>VLOOKUP(C1132,'RAW DATA 2023'!E:BO,36,0)</f>
        <v>#N/A</v>
      </c>
      <c r="L1132" s="106" t="e">
        <f>VLOOKUP(C1132,'RAW DATA 2023'!E:BO,21,0)</f>
        <v>#N/A</v>
      </c>
      <c r="M1132" s="106" t="e">
        <f t="shared" si="90"/>
        <v>#N/A</v>
      </c>
    </row>
    <row r="1133" spans="1:13">
      <c r="A1133">
        <f>'RAW DATA 2023'!B1126</f>
        <v>0</v>
      </c>
      <c r="B1133">
        <f>'RAW DATA 2023'!D1126</f>
        <v>0</v>
      </c>
      <c r="C1133" t="str">
        <f t="shared" si="86"/>
        <v>00</v>
      </c>
      <c r="D1133" t="e">
        <f>VLOOKUP(C1133,'RAW DATA 2023'!E:BP,63,0)</f>
        <v>#N/A</v>
      </c>
      <c r="E1133" t="e">
        <f t="shared" si="87"/>
        <v>#N/A</v>
      </c>
      <c r="F1133" t="e">
        <f>ROUND(VLOOKUP(C1133,'RAW DATA 2023'!E:BO,23,0),0)</f>
        <v>#N/A</v>
      </c>
      <c r="G1133" s="16" t="e">
        <f>VLOOKUP(C1133,'RAW DATA 2023'!E:BO,27,0)</f>
        <v>#N/A</v>
      </c>
      <c r="H1133" s="16">
        <f>IFERROR(VLOOKUP(F1133,STD!B:G,5,0),0)</f>
        <v>0</v>
      </c>
      <c r="I1133" s="21">
        <f t="shared" si="88"/>
        <v>0</v>
      </c>
      <c r="J1133" s="16">
        <f t="shared" si="89"/>
        <v>-10</v>
      </c>
      <c r="K1133" s="106" t="e">
        <f>VLOOKUP(C1133,'RAW DATA 2023'!E:BO,36,0)</f>
        <v>#N/A</v>
      </c>
      <c r="L1133" s="106" t="e">
        <f>VLOOKUP(C1133,'RAW DATA 2023'!E:BO,21,0)</f>
        <v>#N/A</v>
      </c>
      <c r="M1133" s="106" t="e">
        <f t="shared" si="90"/>
        <v>#N/A</v>
      </c>
    </row>
    <row r="1134" spans="1:13">
      <c r="A1134">
        <f>'RAW DATA 2023'!B1127</f>
        <v>0</v>
      </c>
      <c r="B1134">
        <f>'RAW DATA 2023'!D1127</f>
        <v>0</v>
      </c>
      <c r="C1134" t="str">
        <f t="shared" si="86"/>
        <v>00</v>
      </c>
      <c r="D1134" t="e">
        <f>VLOOKUP(C1134,'RAW DATA 2023'!E:BP,63,0)</f>
        <v>#N/A</v>
      </c>
      <c r="E1134" t="e">
        <f t="shared" si="87"/>
        <v>#N/A</v>
      </c>
      <c r="F1134" t="e">
        <f>ROUND(VLOOKUP(C1134,'RAW DATA 2023'!E:BO,23,0),0)</f>
        <v>#N/A</v>
      </c>
      <c r="G1134" s="16" t="e">
        <f>VLOOKUP(C1134,'RAW DATA 2023'!E:BO,27,0)</f>
        <v>#N/A</v>
      </c>
      <c r="H1134" s="16">
        <f>IFERROR(VLOOKUP(F1134,STD!B:G,5,0),0)</f>
        <v>0</v>
      </c>
      <c r="I1134" s="21">
        <f t="shared" si="88"/>
        <v>0</v>
      </c>
      <c r="J1134" s="16">
        <f t="shared" si="89"/>
        <v>-10</v>
      </c>
      <c r="K1134" s="106" t="e">
        <f>VLOOKUP(C1134,'RAW DATA 2023'!E:BO,36,0)</f>
        <v>#N/A</v>
      </c>
      <c r="L1134" s="106" t="e">
        <f>VLOOKUP(C1134,'RAW DATA 2023'!E:BO,21,0)</f>
        <v>#N/A</v>
      </c>
      <c r="M1134" s="106" t="e">
        <f t="shared" si="90"/>
        <v>#N/A</v>
      </c>
    </row>
    <row r="1135" spans="1:13">
      <c r="A1135">
        <f>'RAW DATA 2023'!B1128</f>
        <v>0</v>
      </c>
      <c r="B1135">
        <f>'RAW DATA 2023'!D1128</f>
        <v>0</v>
      </c>
      <c r="C1135" t="str">
        <f t="shared" si="86"/>
        <v>00</v>
      </c>
      <c r="D1135" t="e">
        <f>VLOOKUP(C1135,'RAW DATA 2023'!E:BP,63,0)</f>
        <v>#N/A</v>
      </c>
      <c r="E1135" t="e">
        <f t="shared" si="87"/>
        <v>#N/A</v>
      </c>
      <c r="F1135" t="e">
        <f>ROUND(VLOOKUP(C1135,'RAW DATA 2023'!E:BO,23,0),0)</f>
        <v>#N/A</v>
      </c>
      <c r="G1135" s="16" t="e">
        <f>VLOOKUP(C1135,'RAW DATA 2023'!E:BO,27,0)</f>
        <v>#N/A</v>
      </c>
      <c r="H1135" s="16">
        <f>IFERROR(VLOOKUP(F1135,STD!B:G,5,0),0)</f>
        <v>0</v>
      </c>
      <c r="I1135" s="21">
        <f t="shared" si="88"/>
        <v>0</v>
      </c>
      <c r="J1135" s="16">
        <f t="shared" si="89"/>
        <v>-10</v>
      </c>
      <c r="K1135" s="106" t="e">
        <f>VLOOKUP(C1135,'RAW DATA 2023'!E:BO,36,0)</f>
        <v>#N/A</v>
      </c>
      <c r="L1135" s="106" t="e">
        <f>VLOOKUP(C1135,'RAW DATA 2023'!E:BO,21,0)</f>
        <v>#N/A</v>
      </c>
      <c r="M1135" s="106" t="e">
        <f t="shared" si="90"/>
        <v>#N/A</v>
      </c>
    </row>
    <row r="1136" spans="1:13">
      <c r="A1136">
        <f>'RAW DATA 2023'!B1129</f>
        <v>0</v>
      </c>
      <c r="B1136">
        <f>'RAW DATA 2023'!D1129</f>
        <v>0</v>
      </c>
      <c r="C1136" t="str">
        <f t="shared" si="86"/>
        <v>00</v>
      </c>
      <c r="D1136" t="e">
        <f>VLOOKUP(C1136,'RAW DATA 2023'!E:BP,63,0)</f>
        <v>#N/A</v>
      </c>
      <c r="E1136" t="e">
        <f t="shared" si="87"/>
        <v>#N/A</v>
      </c>
      <c r="F1136" t="e">
        <f>ROUND(VLOOKUP(C1136,'RAW DATA 2023'!E:BO,23,0),0)</f>
        <v>#N/A</v>
      </c>
      <c r="G1136" s="16" t="e">
        <f>VLOOKUP(C1136,'RAW DATA 2023'!E:BO,27,0)</f>
        <v>#N/A</v>
      </c>
      <c r="H1136" s="16">
        <f>IFERROR(VLOOKUP(F1136,STD!B:G,5,0),0)</f>
        <v>0</v>
      </c>
      <c r="I1136" s="21">
        <f t="shared" si="88"/>
        <v>0</v>
      </c>
      <c r="J1136" s="16">
        <f t="shared" si="89"/>
        <v>-10</v>
      </c>
      <c r="K1136" s="106" t="e">
        <f>VLOOKUP(C1136,'RAW DATA 2023'!E:BO,36,0)</f>
        <v>#N/A</v>
      </c>
      <c r="L1136" s="106" t="e">
        <f>VLOOKUP(C1136,'RAW DATA 2023'!E:BO,21,0)</f>
        <v>#N/A</v>
      </c>
      <c r="M1136" s="106" t="e">
        <f t="shared" si="90"/>
        <v>#N/A</v>
      </c>
    </row>
    <row r="1137" spans="1:13">
      <c r="A1137">
        <f>'RAW DATA 2023'!B1130</f>
        <v>0</v>
      </c>
      <c r="B1137">
        <f>'RAW DATA 2023'!D1130</f>
        <v>0</v>
      </c>
      <c r="C1137" t="str">
        <f t="shared" si="86"/>
        <v>00</v>
      </c>
      <c r="D1137" t="e">
        <f>VLOOKUP(C1137,'RAW DATA 2023'!E:BP,63,0)</f>
        <v>#N/A</v>
      </c>
      <c r="E1137" t="e">
        <f t="shared" si="87"/>
        <v>#N/A</v>
      </c>
      <c r="F1137" t="e">
        <f>ROUND(VLOOKUP(C1137,'RAW DATA 2023'!E:BO,23,0),0)</f>
        <v>#N/A</v>
      </c>
      <c r="G1137" s="16" t="e">
        <f>VLOOKUP(C1137,'RAW DATA 2023'!E:BO,27,0)</f>
        <v>#N/A</v>
      </c>
      <c r="H1137" s="16">
        <f>IFERROR(VLOOKUP(F1137,STD!B:G,5,0),0)</f>
        <v>0</v>
      </c>
      <c r="I1137" s="21">
        <f t="shared" si="88"/>
        <v>0</v>
      </c>
      <c r="J1137" s="16">
        <f t="shared" si="89"/>
        <v>-10</v>
      </c>
      <c r="K1137" s="106" t="e">
        <f>VLOOKUP(C1137,'RAW DATA 2023'!E:BO,36,0)</f>
        <v>#N/A</v>
      </c>
      <c r="L1137" s="106" t="e">
        <f>VLOOKUP(C1137,'RAW DATA 2023'!E:BO,21,0)</f>
        <v>#N/A</v>
      </c>
      <c r="M1137" s="106" t="e">
        <f t="shared" si="90"/>
        <v>#N/A</v>
      </c>
    </row>
    <row r="1138" spans="1:13">
      <c r="A1138">
        <f>'RAW DATA 2023'!B1131</f>
        <v>0</v>
      </c>
      <c r="B1138">
        <f>'RAW DATA 2023'!D1131</f>
        <v>0</v>
      </c>
      <c r="C1138" t="str">
        <f t="shared" si="86"/>
        <v>00</v>
      </c>
      <c r="D1138" t="e">
        <f>VLOOKUP(C1138,'RAW DATA 2023'!E:BP,63,0)</f>
        <v>#N/A</v>
      </c>
      <c r="E1138" t="e">
        <f t="shared" si="87"/>
        <v>#N/A</v>
      </c>
      <c r="F1138" t="e">
        <f>ROUND(VLOOKUP(C1138,'RAW DATA 2023'!E:BO,23,0),0)</f>
        <v>#N/A</v>
      </c>
      <c r="G1138" s="16" t="e">
        <f>VLOOKUP(C1138,'RAW DATA 2023'!E:BO,27,0)</f>
        <v>#N/A</v>
      </c>
      <c r="H1138" s="16">
        <f>IFERROR(VLOOKUP(F1138,STD!B:G,5,0),0)</f>
        <v>0</v>
      </c>
      <c r="I1138" s="21">
        <f t="shared" si="88"/>
        <v>0</v>
      </c>
      <c r="J1138" s="16">
        <f t="shared" si="89"/>
        <v>-10</v>
      </c>
      <c r="K1138" s="106" t="e">
        <f>VLOOKUP(C1138,'RAW DATA 2023'!E:BO,36,0)</f>
        <v>#N/A</v>
      </c>
      <c r="L1138" s="106" t="e">
        <f>VLOOKUP(C1138,'RAW DATA 2023'!E:BO,21,0)</f>
        <v>#N/A</v>
      </c>
      <c r="M1138" s="106" t="e">
        <f t="shared" si="90"/>
        <v>#N/A</v>
      </c>
    </row>
    <row r="1139" spans="1:13">
      <c r="A1139">
        <f>'RAW DATA 2023'!B1132</f>
        <v>0</v>
      </c>
      <c r="B1139">
        <f>'RAW DATA 2023'!D1132</f>
        <v>0</v>
      </c>
      <c r="C1139" t="str">
        <f t="shared" si="86"/>
        <v>00</v>
      </c>
      <c r="D1139" t="e">
        <f>VLOOKUP(C1139,'RAW DATA 2023'!E:BP,63,0)</f>
        <v>#N/A</v>
      </c>
      <c r="E1139" t="e">
        <f t="shared" si="87"/>
        <v>#N/A</v>
      </c>
      <c r="F1139" t="e">
        <f>ROUND(VLOOKUP(C1139,'RAW DATA 2023'!E:BO,23,0),0)</f>
        <v>#N/A</v>
      </c>
      <c r="G1139" s="16" t="e">
        <f>VLOOKUP(C1139,'RAW DATA 2023'!E:BO,27,0)</f>
        <v>#N/A</v>
      </c>
      <c r="H1139" s="16">
        <f>IFERROR(VLOOKUP(F1139,STD!B:G,5,0),0)</f>
        <v>0</v>
      </c>
      <c r="I1139" s="21">
        <f t="shared" si="88"/>
        <v>0</v>
      </c>
      <c r="J1139" s="16">
        <f t="shared" si="89"/>
        <v>-10</v>
      </c>
      <c r="K1139" s="106" t="e">
        <f>VLOOKUP(C1139,'RAW DATA 2023'!E:BO,36,0)</f>
        <v>#N/A</v>
      </c>
      <c r="L1139" s="106" t="e">
        <f>VLOOKUP(C1139,'RAW DATA 2023'!E:BO,21,0)</f>
        <v>#N/A</v>
      </c>
      <c r="M1139" s="106" t="e">
        <f t="shared" si="90"/>
        <v>#N/A</v>
      </c>
    </row>
    <row r="1140" spans="1:13">
      <c r="A1140">
        <f>'RAW DATA 2023'!B1133</f>
        <v>0</v>
      </c>
      <c r="B1140">
        <f>'RAW DATA 2023'!D1133</f>
        <v>0</v>
      </c>
      <c r="C1140" t="str">
        <f t="shared" si="86"/>
        <v>00</v>
      </c>
      <c r="D1140" t="e">
        <f>VLOOKUP(C1140,'RAW DATA 2023'!E:BP,63,0)</f>
        <v>#N/A</v>
      </c>
      <c r="E1140" t="e">
        <f t="shared" si="87"/>
        <v>#N/A</v>
      </c>
      <c r="F1140" t="e">
        <f>ROUND(VLOOKUP(C1140,'RAW DATA 2023'!E:BO,23,0),0)</f>
        <v>#N/A</v>
      </c>
      <c r="G1140" s="16" t="e">
        <f>VLOOKUP(C1140,'RAW DATA 2023'!E:BO,27,0)</f>
        <v>#N/A</v>
      </c>
      <c r="H1140" s="16">
        <f>IFERROR(VLOOKUP(F1140,STD!B:G,5,0),0)</f>
        <v>0</v>
      </c>
      <c r="I1140" s="21">
        <f t="shared" si="88"/>
        <v>0</v>
      </c>
      <c r="J1140" s="16">
        <f t="shared" si="89"/>
        <v>-10</v>
      </c>
      <c r="K1140" s="106" t="e">
        <f>VLOOKUP(C1140,'RAW DATA 2023'!E:BO,36,0)</f>
        <v>#N/A</v>
      </c>
      <c r="L1140" s="106" t="e">
        <f>VLOOKUP(C1140,'RAW DATA 2023'!E:BO,21,0)</f>
        <v>#N/A</v>
      </c>
      <c r="M1140" s="106" t="e">
        <f t="shared" si="90"/>
        <v>#N/A</v>
      </c>
    </row>
    <row r="1141" spans="1:13">
      <c r="A1141">
        <f>'RAW DATA 2023'!B1134</f>
        <v>0</v>
      </c>
      <c r="B1141">
        <f>'RAW DATA 2023'!D1134</f>
        <v>0</v>
      </c>
      <c r="C1141" t="str">
        <f t="shared" si="86"/>
        <v>00</v>
      </c>
      <c r="D1141" t="e">
        <f>VLOOKUP(C1141,'RAW DATA 2023'!E:BP,63,0)</f>
        <v>#N/A</v>
      </c>
      <c r="E1141" t="e">
        <f t="shared" si="87"/>
        <v>#N/A</v>
      </c>
      <c r="F1141" t="e">
        <f>ROUND(VLOOKUP(C1141,'RAW DATA 2023'!E:BO,23,0),0)</f>
        <v>#N/A</v>
      </c>
      <c r="G1141" s="16" t="e">
        <f>VLOOKUP(C1141,'RAW DATA 2023'!E:BO,27,0)</f>
        <v>#N/A</v>
      </c>
      <c r="H1141" s="16">
        <f>IFERROR(VLOOKUP(F1141,STD!B:G,5,0),0)</f>
        <v>0</v>
      </c>
      <c r="I1141" s="21">
        <f t="shared" si="88"/>
        <v>0</v>
      </c>
      <c r="J1141" s="16">
        <f t="shared" si="89"/>
        <v>-10</v>
      </c>
      <c r="K1141" s="106" t="e">
        <f>VLOOKUP(C1141,'RAW DATA 2023'!E:BO,36,0)</f>
        <v>#N/A</v>
      </c>
      <c r="L1141" s="106" t="e">
        <f>VLOOKUP(C1141,'RAW DATA 2023'!E:BO,21,0)</f>
        <v>#N/A</v>
      </c>
      <c r="M1141" s="106" t="e">
        <f t="shared" si="90"/>
        <v>#N/A</v>
      </c>
    </row>
    <row r="1142" spans="1:13">
      <c r="A1142">
        <f>'RAW DATA 2023'!B1135</f>
        <v>0</v>
      </c>
      <c r="B1142">
        <f>'RAW DATA 2023'!D1135</f>
        <v>0</v>
      </c>
      <c r="C1142" t="str">
        <f t="shared" si="86"/>
        <v>00</v>
      </c>
      <c r="D1142" t="e">
        <f>VLOOKUP(C1142,'RAW DATA 2023'!E:BP,63,0)</f>
        <v>#N/A</v>
      </c>
      <c r="E1142" t="e">
        <f t="shared" si="87"/>
        <v>#N/A</v>
      </c>
      <c r="F1142" t="e">
        <f>ROUND(VLOOKUP(C1142,'RAW DATA 2023'!E:BO,23,0),0)</f>
        <v>#N/A</v>
      </c>
      <c r="G1142" s="16" t="e">
        <f>VLOOKUP(C1142,'RAW DATA 2023'!E:BO,27,0)</f>
        <v>#N/A</v>
      </c>
      <c r="H1142" s="16">
        <f>IFERROR(VLOOKUP(F1142,STD!B:G,5,0),0)</f>
        <v>0</v>
      </c>
      <c r="I1142" s="21">
        <f t="shared" si="88"/>
        <v>0</v>
      </c>
      <c r="J1142" s="16">
        <f t="shared" si="89"/>
        <v>-10</v>
      </c>
      <c r="K1142" s="106" t="e">
        <f>VLOOKUP(C1142,'RAW DATA 2023'!E:BO,36,0)</f>
        <v>#N/A</v>
      </c>
      <c r="L1142" s="106" t="e">
        <f>VLOOKUP(C1142,'RAW DATA 2023'!E:BO,21,0)</f>
        <v>#N/A</v>
      </c>
      <c r="M1142" s="106" t="e">
        <f t="shared" si="90"/>
        <v>#N/A</v>
      </c>
    </row>
    <row r="1143" spans="1:13">
      <c r="A1143">
        <f>'RAW DATA 2023'!B1136</f>
        <v>0</v>
      </c>
      <c r="B1143">
        <f>'RAW DATA 2023'!D1136</f>
        <v>0</v>
      </c>
      <c r="C1143" t="str">
        <f t="shared" si="86"/>
        <v>00</v>
      </c>
      <c r="D1143" t="e">
        <f>VLOOKUP(C1143,'RAW DATA 2023'!E:BP,63,0)</f>
        <v>#N/A</v>
      </c>
      <c r="E1143" t="e">
        <f t="shared" si="87"/>
        <v>#N/A</v>
      </c>
      <c r="F1143" t="e">
        <f>ROUND(VLOOKUP(C1143,'RAW DATA 2023'!E:BO,23,0),0)</f>
        <v>#N/A</v>
      </c>
      <c r="G1143" s="16" t="e">
        <f>VLOOKUP(C1143,'RAW DATA 2023'!E:BO,27,0)</f>
        <v>#N/A</v>
      </c>
      <c r="H1143" s="16">
        <f>IFERROR(VLOOKUP(F1143,STD!B:G,5,0),0)</f>
        <v>0</v>
      </c>
      <c r="I1143" s="21">
        <f t="shared" si="88"/>
        <v>0</v>
      </c>
      <c r="J1143" s="16">
        <f t="shared" si="89"/>
        <v>-10</v>
      </c>
      <c r="K1143" s="106" t="e">
        <f>VLOOKUP(C1143,'RAW DATA 2023'!E:BO,36,0)</f>
        <v>#N/A</v>
      </c>
      <c r="L1143" s="106" t="e">
        <f>VLOOKUP(C1143,'RAW DATA 2023'!E:BO,21,0)</f>
        <v>#N/A</v>
      </c>
      <c r="M1143" s="106" t="e">
        <f t="shared" si="90"/>
        <v>#N/A</v>
      </c>
    </row>
    <row r="1144" spans="1:13">
      <c r="A1144">
        <f>'RAW DATA 2023'!B1137</f>
        <v>0</v>
      </c>
      <c r="B1144">
        <f>'RAW DATA 2023'!D1137</f>
        <v>0</v>
      </c>
      <c r="C1144" t="str">
        <f t="shared" si="86"/>
        <v>00</v>
      </c>
      <c r="D1144" t="e">
        <f>VLOOKUP(C1144,'RAW DATA 2023'!E:BP,63,0)</f>
        <v>#N/A</v>
      </c>
      <c r="E1144" t="e">
        <f t="shared" si="87"/>
        <v>#N/A</v>
      </c>
      <c r="F1144" t="e">
        <f>ROUND(VLOOKUP(C1144,'RAW DATA 2023'!E:BO,23,0),0)</f>
        <v>#N/A</v>
      </c>
      <c r="G1144" s="16" t="e">
        <f>VLOOKUP(C1144,'RAW DATA 2023'!E:BO,27,0)</f>
        <v>#N/A</v>
      </c>
      <c r="H1144" s="16">
        <f>IFERROR(VLOOKUP(F1144,STD!B:G,5,0),0)</f>
        <v>0</v>
      </c>
      <c r="I1144" s="21">
        <f t="shared" si="88"/>
        <v>0</v>
      </c>
      <c r="J1144" s="16">
        <f t="shared" si="89"/>
        <v>-10</v>
      </c>
      <c r="K1144" s="106" t="e">
        <f>VLOOKUP(C1144,'RAW DATA 2023'!E:BO,36,0)</f>
        <v>#N/A</v>
      </c>
      <c r="L1144" s="106" t="e">
        <f>VLOOKUP(C1144,'RAW DATA 2023'!E:BO,21,0)</f>
        <v>#N/A</v>
      </c>
      <c r="M1144" s="106" t="e">
        <f t="shared" si="90"/>
        <v>#N/A</v>
      </c>
    </row>
    <row r="1145" spans="1:13">
      <c r="A1145">
        <f>'RAW DATA 2023'!B1138</f>
        <v>0</v>
      </c>
      <c r="B1145">
        <f>'RAW DATA 2023'!D1138</f>
        <v>0</v>
      </c>
      <c r="C1145" t="str">
        <f t="shared" si="86"/>
        <v>00</v>
      </c>
      <c r="D1145" t="e">
        <f>VLOOKUP(C1145,'RAW DATA 2023'!E:BP,63,0)</f>
        <v>#N/A</v>
      </c>
      <c r="E1145" t="e">
        <f t="shared" si="87"/>
        <v>#N/A</v>
      </c>
      <c r="F1145" t="e">
        <f>ROUND(VLOOKUP(C1145,'RAW DATA 2023'!E:BO,23,0),0)</f>
        <v>#N/A</v>
      </c>
      <c r="G1145" s="16" t="e">
        <f>VLOOKUP(C1145,'RAW DATA 2023'!E:BO,27,0)</f>
        <v>#N/A</v>
      </c>
      <c r="H1145" s="16">
        <f>IFERROR(VLOOKUP(F1145,STD!B:G,5,0),0)</f>
        <v>0</v>
      </c>
      <c r="I1145" s="21">
        <f t="shared" si="88"/>
        <v>0</v>
      </c>
      <c r="J1145" s="16">
        <f t="shared" si="89"/>
        <v>-10</v>
      </c>
      <c r="K1145" s="106" t="e">
        <f>VLOOKUP(C1145,'RAW DATA 2023'!E:BO,36,0)</f>
        <v>#N/A</v>
      </c>
      <c r="L1145" s="106" t="e">
        <f>VLOOKUP(C1145,'RAW DATA 2023'!E:BO,21,0)</f>
        <v>#N/A</v>
      </c>
      <c r="M1145" s="106" t="e">
        <f t="shared" si="90"/>
        <v>#N/A</v>
      </c>
    </row>
    <row r="1146" spans="1:13">
      <c r="A1146">
        <f>'RAW DATA 2023'!B1139</f>
        <v>0</v>
      </c>
      <c r="B1146">
        <f>'RAW DATA 2023'!D1139</f>
        <v>0</v>
      </c>
      <c r="C1146" t="str">
        <f t="shared" si="86"/>
        <v>00</v>
      </c>
      <c r="D1146" t="e">
        <f>VLOOKUP(C1146,'RAW DATA 2023'!E:BP,63,0)</f>
        <v>#N/A</v>
      </c>
      <c r="E1146" t="e">
        <f t="shared" si="87"/>
        <v>#N/A</v>
      </c>
      <c r="F1146" t="e">
        <f>ROUND(VLOOKUP(C1146,'RAW DATA 2023'!E:BO,23,0),0)</f>
        <v>#N/A</v>
      </c>
      <c r="G1146" s="16" t="e">
        <f>VLOOKUP(C1146,'RAW DATA 2023'!E:BO,27,0)</f>
        <v>#N/A</v>
      </c>
      <c r="H1146" s="16">
        <f>IFERROR(VLOOKUP(F1146,STD!B:G,5,0),0)</f>
        <v>0</v>
      </c>
      <c r="I1146" s="21">
        <f t="shared" si="88"/>
        <v>0</v>
      </c>
      <c r="J1146" s="16">
        <f t="shared" si="89"/>
        <v>-10</v>
      </c>
      <c r="K1146" s="106" t="e">
        <f>VLOOKUP(C1146,'RAW DATA 2023'!E:BO,36,0)</f>
        <v>#N/A</v>
      </c>
      <c r="L1146" s="106" t="e">
        <f>VLOOKUP(C1146,'RAW DATA 2023'!E:BO,21,0)</f>
        <v>#N/A</v>
      </c>
      <c r="M1146" s="106" t="e">
        <f t="shared" si="90"/>
        <v>#N/A</v>
      </c>
    </row>
    <row r="1147" spans="1:13">
      <c r="A1147">
        <f>'RAW DATA 2023'!B1140</f>
        <v>0</v>
      </c>
      <c r="B1147">
        <f>'RAW DATA 2023'!D1140</f>
        <v>0</v>
      </c>
      <c r="C1147" t="str">
        <f t="shared" si="86"/>
        <v>00</v>
      </c>
      <c r="D1147" t="e">
        <f>VLOOKUP(C1147,'RAW DATA 2023'!E:BP,63,0)</f>
        <v>#N/A</v>
      </c>
      <c r="E1147" t="e">
        <f t="shared" si="87"/>
        <v>#N/A</v>
      </c>
      <c r="F1147" t="e">
        <f>ROUND(VLOOKUP(C1147,'RAW DATA 2023'!E:BO,23,0),0)</f>
        <v>#N/A</v>
      </c>
      <c r="G1147" s="16" t="e">
        <f>VLOOKUP(C1147,'RAW DATA 2023'!E:BO,27,0)</f>
        <v>#N/A</v>
      </c>
      <c r="H1147" s="16">
        <f>IFERROR(VLOOKUP(F1147,STD!B:G,5,0),0)</f>
        <v>0</v>
      </c>
      <c r="I1147" s="21">
        <f t="shared" si="88"/>
        <v>0</v>
      </c>
      <c r="J1147" s="16">
        <f t="shared" si="89"/>
        <v>-10</v>
      </c>
      <c r="K1147" s="106" t="e">
        <f>VLOOKUP(C1147,'RAW DATA 2023'!E:BO,36,0)</f>
        <v>#N/A</v>
      </c>
      <c r="L1147" s="106" t="e">
        <f>VLOOKUP(C1147,'RAW DATA 2023'!E:BO,21,0)</f>
        <v>#N/A</v>
      </c>
      <c r="M1147" s="106" t="e">
        <f t="shared" si="90"/>
        <v>#N/A</v>
      </c>
    </row>
    <row r="1148" spans="1:13">
      <c r="A1148">
        <f>'RAW DATA 2023'!B1141</f>
        <v>0</v>
      </c>
      <c r="B1148">
        <f>'RAW DATA 2023'!D1141</f>
        <v>0</v>
      </c>
      <c r="C1148" t="str">
        <f t="shared" si="86"/>
        <v>00</v>
      </c>
      <c r="D1148" t="e">
        <f>VLOOKUP(C1148,'RAW DATA 2023'!E:BP,63,0)</f>
        <v>#N/A</v>
      </c>
      <c r="E1148" t="e">
        <f t="shared" si="87"/>
        <v>#N/A</v>
      </c>
      <c r="F1148" t="e">
        <f>ROUND(VLOOKUP(C1148,'RAW DATA 2023'!E:BO,23,0),0)</f>
        <v>#N/A</v>
      </c>
      <c r="G1148" s="16" t="e">
        <f>VLOOKUP(C1148,'RAW DATA 2023'!E:BO,27,0)</f>
        <v>#N/A</v>
      </c>
      <c r="H1148" s="16">
        <f>IFERROR(VLOOKUP(F1148,STD!B:G,5,0),0)</f>
        <v>0</v>
      </c>
      <c r="I1148" s="21">
        <f t="shared" si="88"/>
        <v>0</v>
      </c>
      <c r="J1148" s="16">
        <f t="shared" si="89"/>
        <v>-10</v>
      </c>
      <c r="K1148" s="106" t="e">
        <f>VLOOKUP(C1148,'RAW DATA 2023'!E:BO,36,0)</f>
        <v>#N/A</v>
      </c>
      <c r="L1148" s="106" t="e">
        <f>VLOOKUP(C1148,'RAW DATA 2023'!E:BO,21,0)</f>
        <v>#N/A</v>
      </c>
      <c r="M1148" s="106" t="e">
        <f t="shared" si="90"/>
        <v>#N/A</v>
      </c>
    </row>
    <row r="1149" spans="1:13">
      <c r="A1149">
        <f>'RAW DATA 2023'!B1142</f>
        <v>0</v>
      </c>
      <c r="B1149">
        <f>'RAW DATA 2023'!D1142</f>
        <v>0</v>
      </c>
      <c r="C1149" t="str">
        <f t="shared" si="86"/>
        <v>00</v>
      </c>
      <c r="D1149" t="e">
        <f>VLOOKUP(C1149,'RAW DATA 2023'!E:BP,63,0)</f>
        <v>#N/A</v>
      </c>
      <c r="E1149" t="e">
        <f t="shared" si="87"/>
        <v>#N/A</v>
      </c>
      <c r="F1149" t="e">
        <f>ROUND(VLOOKUP(C1149,'RAW DATA 2023'!E:BO,23,0),0)</f>
        <v>#N/A</v>
      </c>
      <c r="G1149" s="16" t="e">
        <f>VLOOKUP(C1149,'RAW DATA 2023'!E:BO,27,0)</f>
        <v>#N/A</v>
      </c>
      <c r="H1149" s="16">
        <f>IFERROR(VLOOKUP(F1149,STD!B:G,5,0),0)</f>
        <v>0</v>
      </c>
      <c r="I1149" s="21">
        <f t="shared" si="88"/>
        <v>0</v>
      </c>
      <c r="J1149" s="16">
        <f t="shared" si="89"/>
        <v>-10</v>
      </c>
      <c r="K1149" s="106" t="e">
        <f>VLOOKUP(C1149,'RAW DATA 2023'!E:BO,36,0)</f>
        <v>#N/A</v>
      </c>
      <c r="L1149" s="106" t="e">
        <f>VLOOKUP(C1149,'RAW DATA 2023'!E:BO,21,0)</f>
        <v>#N/A</v>
      </c>
      <c r="M1149" s="106" t="e">
        <f t="shared" si="90"/>
        <v>#N/A</v>
      </c>
    </row>
    <row r="1150" spans="1:13">
      <c r="A1150">
        <f>'RAW DATA 2023'!B1143</f>
        <v>0</v>
      </c>
      <c r="B1150">
        <f>'RAW DATA 2023'!D1143</f>
        <v>0</v>
      </c>
      <c r="C1150" t="str">
        <f t="shared" si="86"/>
        <v>00</v>
      </c>
      <c r="D1150" t="e">
        <f>VLOOKUP(C1150,'RAW DATA 2023'!E:BP,63,0)</f>
        <v>#N/A</v>
      </c>
      <c r="E1150" t="e">
        <f t="shared" si="87"/>
        <v>#N/A</v>
      </c>
      <c r="F1150" t="e">
        <f>ROUND(VLOOKUP(C1150,'RAW DATA 2023'!E:BO,23,0),0)</f>
        <v>#N/A</v>
      </c>
      <c r="G1150" s="16" t="e">
        <f>VLOOKUP(C1150,'RAW DATA 2023'!E:BO,27,0)</f>
        <v>#N/A</v>
      </c>
      <c r="H1150" s="16">
        <f>IFERROR(VLOOKUP(F1150,STD!B:G,5,0),0)</f>
        <v>0</v>
      </c>
      <c r="I1150" s="21">
        <f t="shared" si="88"/>
        <v>0</v>
      </c>
      <c r="J1150" s="16">
        <f t="shared" si="89"/>
        <v>-10</v>
      </c>
      <c r="K1150" s="106" t="e">
        <f>VLOOKUP(C1150,'RAW DATA 2023'!E:BO,36,0)</f>
        <v>#N/A</v>
      </c>
      <c r="L1150" s="106" t="e">
        <f>VLOOKUP(C1150,'RAW DATA 2023'!E:BO,21,0)</f>
        <v>#N/A</v>
      </c>
      <c r="M1150" s="106" t="e">
        <f t="shared" si="90"/>
        <v>#N/A</v>
      </c>
    </row>
    <row r="1151" spans="1:13">
      <c r="A1151">
        <f>'RAW DATA 2023'!B1144</f>
        <v>0</v>
      </c>
      <c r="B1151">
        <f>'RAW DATA 2023'!D1144</f>
        <v>0</v>
      </c>
      <c r="C1151" t="str">
        <f t="shared" si="86"/>
        <v>00</v>
      </c>
      <c r="D1151" t="e">
        <f>VLOOKUP(C1151,'RAW DATA 2023'!E:BP,63,0)</f>
        <v>#N/A</v>
      </c>
      <c r="E1151" t="e">
        <f t="shared" si="87"/>
        <v>#N/A</v>
      </c>
      <c r="F1151" t="e">
        <f>ROUND(VLOOKUP(C1151,'RAW DATA 2023'!E:BO,23,0),0)</f>
        <v>#N/A</v>
      </c>
      <c r="G1151" s="16" t="e">
        <f>VLOOKUP(C1151,'RAW DATA 2023'!E:BO,27,0)</f>
        <v>#N/A</v>
      </c>
      <c r="H1151" s="16">
        <f>IFERROR(VLOOKUP(F1151,STD!B:G,5,0),0)</f>
        <v>0</v>
      </c>
      <c r="I1151" s="21">
        <f t="shared" si="88"/>
        <v>0</v>
      </c>
      <c r="J1151" s="16">
        <f t="shared" si="89"/>
        <v>-10</v>
      </c>
      <c r="K1151" s="106" t="e">
        <f>VLOOKUP(C1151,'RAW DATA 2023'!E:BO,36,0)</f>
        <v>#N/A</v>
      </c>
      <c r="L1151" s="106" t="e">
        <f>VLOOKUP(C1151,'RAW DATA 2023'!E:BO,21,0)</f>
        <v>#N/A</v>
      </c>
      <c r="M1151" s="106" t="e">
        <f t="shared" si="90"/>
        <v>#N/A</v>
      </c>
    </row>
    <row r="1152" spans="1:13">
      <c r="A1152">
        <f>'RAW DATA 2023'!B1145</f>
        <v>0</v>
      </c>
      <c r="B1152">
        <f>'RAW DATA 2023'!D1145</f>
        <v>0</v>
      </c>
      <c r="C1152" t="str">
        <f t="shared" si="86"/>
        <v>00</v>
      </c>
      <c r="D1152" t="e">
        <f>VLOOKUP(C1152,'RAW DATA 2023'!E:BP,63,0)</f>
        <v>#N/A</v>
      </c>
      <c r="E1152" t="e">
        <f t="shared" si="87"/>
        <v>#N/A</v>
      </c>
      <c r="F1152" t="e">
        <f>ROUND(VLOOKUP(C1152,'RAW DATA 2023'!E:BO,23,0),0)</f>
        <v>#N/A</v>
      </c>
      <c r="G1152" s="16" t="e">
        <f>VLOOKUP(C1152,'RAW DATA 2023'!E:BO,27,0)</f>
        <v>#N/A</v>
      </c>
      <c r="H1152" s="16">
        <f>IFERROR(VLOOKUP(F1152,STD!B:G,5,0),0)</f>
        <v>0</v>
      </c>
      <c r="I1152" s="21">
        <f t="shared" si="88"/>
        <v>0</v>
      </c>
      <c r="J1152" s="16">
        <f t="shared" si="89"/>
        <v>-10</v>
      </c>
      <c r="K1152" s="106" t="e">
        <f>VLOOKUP(C1152,'RAW DATA 2023'!E:BO,36,0)</f>
        <v>#N/A</v>
      </c>
      <c r="L1152" s="106" t="e">
        <f>VLOOKUP(C1152,'RAW DATA 2023'!E:BO,21,0)</f>
        <v>#N/A</v>
      </c>
      <c r="M1152" s="106" t="e">
        <f t="shared" si="90"/>
        <v>#N/A</v>
      </c>
    </row>
    <row r="1153" spans="1:13">
      <c r="A1153">
        <f>'RAW DATA 2023'!B1146</f>
        <v>0</v>
      </c>
      <c r="B1153">
        <f>'RAW DATA 2023'!D1146</f>
        <v>0</v>
      </c>
      <c r="C1153" t="str">
        <f t="shared" si="86"/>
        <v>00</v>
      </c>
      <c r="D1153" t="e">
        <f>VLOOKUP(C1153,'RAW DATA 2023'!E:BP,63,0)</f>
        <v>#N/A</v>
      </c>
      <c r="E1153" t="e">
        <f t="shared" si="87"/>
        <v>#N/A</v>
      </c>
      <c r="F1153" t="e">
        <f>ROUND(VLOOKUP(C1153,'RAW DATA 2023'!E:BO,23,0),0)</f>
        <v>#N/A</v>
      </c>
      <c r="G1153" s="16" t="e">
        <f>VLOOKUP(C1153,'RAW DATA 2023'!E:BO,27,0)</f>
        <v>#N/A</v>
      </c>
      <c r="H1153" s="16">
        <f>IFERROR(VLOOKUP(F1153,STD!B:G,5,0),0)</f>
        <v>0</v>
      </c>
      <c r="I1153" s="21">
        <f t="shared" si="88"/>
        <v>0</v>
      </c>
      <c r="J1153" s="16">
        <f t="shared" si="89"/>
        <v>-10</v>
      </c>
      <c r="K1153" s="106" t="e">
        <f>VLOOKUP(C1153,'RAW DATA 2023'!E:BO,36,0)</f>
        <v>#N/A</v>
      </c>
      <c r="L1153" s="106" t="e">
        <f>VLOOKUP(C1153,'RAW DATA 2023'!E:BO,21,0)</f>
        <v>#N/A</v>
      </c>
      <c r="M1153" s="106" t="e">
        <f t="shared" si="90"/>
        <v>#N/A</v>
      </c>
    </row>
    <row r="1154" spans="1:13">
      <c r="A1154">
        <f>'RAW DATA 2023'!B1147</f>
        <v>0</v>
      </c>
      <c r="B1154">
        <f>'RAW DATA 2023'!D1147</f>
        <v>0</v>
      </c>
      <c r="C1154" t="str">
        <f t="shared" si="86"/>
        <v>00</v>
      </c>
      <c r="D1154" t="e">
        <f>VLOOKUP(C1154,'RAW DATA 2023'!E:BP,63,0)</f>
        <v>#N/A</v>
      </c>
      <c r="E1154" t="e">
        <f t="shared" si="87"/>
        <v>#N/A</v>
      </c>
      <c r="F1154" t="e">
        <f>ROUND(VLOOKUP(C1154,'RAW DATA 2023'!E:BO,23,0),0)</f>
        <v>#N/A</v>
      </c>
      <c r="G1154" s="16" t="e">
        <f>VLOOKUP(C1154,'RAW DATA 2023'!E:BO,27,0)</f>
        <v>#N/A</v>
      </c>
      <c r="H1154" s="16">
        <f>IFERROR(VLOOKUP(F1154,STD!B:G,5,0),0)</f>
        <v>0</v>
      </c>
      <c r="I1154" s="21">
        <f t="shared" si="88"/>
        <v>0</v>
      </c>
      <c r="J1154" s="16">
        <f t="shared" si="89"/>
        <v>-10</v>
      </c>
      <c r="K1154" s="106" t="e">
        <f>VLOOKUP(C1154,'RAW DATA 2023'!E:BO,36,0)</f>
        <v>#N/A</v>
      </c>
      <c r="L1154" s="106" t="e">
        <f>VLOOKUP(C1154,'RAW DATA 2023'!E:BO,21,0)</f>
        <v>#N/A</v>
      </c>
      <c r="M1154" s="106" t="e">
        <f t="shared" si="90"/>
        <v>#N/A</v>
      </c>
    </row>
    <row r="1155" spans="1:13">
      <c r="A1155">
        <f>'RAW DATA 2023'!B1148</f>
        <v>0</v>
      </c>
      <c r="B1155">
        <f>'RAW DATA 2023'!D1148</f>
        <v>0</v>
      </c>
      <c r="C1155" t="str">
        <f t="shared" si="86"/>
        <v>00</v>
      </c>
      <c r="D1155" t="e">
        <f>VLOOKUP(C1155,'RAW DATA 2023'!E:BP,63,0)</f>
        <v>#N/A</v>
      </c>
      <c r="E1155" t="e">
        <f t="shared" si="87"/>
        <v>#N/A</v>
      </c>
      <c r="F1155" t="e">
        <f>ROUND(VLOOKUP(C1155,'RAW DATA 2023'!E:BO,23,0),0)</f>
        <v>#N/A</v>
      </c>
      <c r="G1155" s="16" t="e">
        <f>VLOOKUP(C1155,'RAW DATA 2023'!E:BO,27,0)</f>
        <v>#N/A</v>
      </c>
      <c r="H1155" s="16">
        <f>IFERROR(VLOOKUP(F1155,STD!B:G,5,0),0)</f>
        <v>0</v>
      </c>
      <c r="I1155" s="21">
        <f t="shared" si="88"/>
        <v>0</v>
      </c>
      <c r="J1155" s="16">
        <f t="shared" si="89"/>
        <v>-10</v>
      </c>
      <c r="K1155" s="106" t="e">
        <f>VLOOKUP(C1155,'RAW DATA 2023'!E:BO,36,0)</f>
        <v>#N/A</v>
      </c>
      <c r="L1155" s="106" t="e">
        <f>VLOOKUP(C1155,'RAW DATA 2023'!E:BO,21,0)</f>
        <v>#N/A</v>
      </c>
      <c r="M1155" s="106" t="e">
        <f t="shared" si="90"/>
        <v>#N/A</v>
      </c>
    </row>
    <row r="1156" spans="1:13">
      <c r="A1156">
        <f>'RAW DATA 2023'!B1149</f>
        <v>0</v>
      </c>
      <c r="B1156">
        <f>'RAW DATA 2023'!D1149</f>
        <v>0</v>
      </c>
      <c r="C1156" t="str">
        <f t="shared" si="86"/>
        <v>00</v>
      </c>
      <c r="D1156" t="e">
        <f>VLOOKUP(C1156,'RAW DATA 2023'!E:BP,63,0)</f>
        <v>#N/A</v>
      </c>
      <c r="E1156" t="e">
        <f t="shared" si="87"/>
        <v>#N/A</v>
      </c>
      <c r="F1156" t="e">
        <f>ROUND(VLOOKUP(C1156,'RAW DATA 2023'!E:BO,23,0),0)</f>
        <v>#N/A</v>
      </c>
      <c r="G1156" s="16" t="e">
        <f>VLOOKUP(C1156,'RAW DATA 2023'!E:BO,27,0)</f>
        <v>#N/A</v>
      </c>
      <c r="H1156" s="16">
        <f>IFERROR(VLOOKUP(F1156,STD!B:G,5,0),0)</f>
        <v>0</v>
      </c>
      <c r="I1156" s="21">
        <f t="shared" si="88"/>
        <v>0</v>
      </c>
      <c r="J1156" s="16">
        <f t="shared" si="89"/>
        <v>-10</v>
      </c>
      <c r="K1156" s="106" t="e">
        <f>VLOOKUP(C1156,'RAW DATA 2023'!E:BO,36,0)</f>
        <v>#N/A</v>
      </c>
      <c r="L1156" s="106" t="e">
        <f>VLOOKUP(C1156,'RAW DATA 2023'!E:BO,21,0)</f>
        <v>#N/A</v>
      </c>
      <c r="M1156" s="106" t="e">
        <f t="shared" si="90"/>
        <v>#N/A</v>
      </c>
    </row>
    <row r="1157" spans="1:13">
      <c r="A1157">
        <f>'RAW DATA 2023'!B1150</f>
        <v>0</v>
      </c>
      <c r="B1157">
        <f>'RAW DATA 2023'!D1150</f>
        <v>0</v>
      </c>
      <c r="C1157" t="str">
        <f t="shared" si="86"/>
        <v>00</v>
      </c>
      <c r="D1157" t="e">
        <f>VLOOKUP(C1157,'RAW DATA 2023'!E:BP,63,0)</f>
        <v>#N/A</v>
      </c>
      <c r="E1157" t="e">
        <f t="shared" si="87"/>
        <v>#N/A</v>
      </c>
      <c r="F1157" t="e">
        <f>ROUND(VLOOKUP(C1157,'RAW DATA 2023'!E:BO,23,0),0)</f>
        <v>#N/A</v>
      </c>
      <c r="G1157" s="16" t="e">
        <f>VLOOKUP(C1157,'RAW DATA 2023'!E:BO,27,0)</f>
        <v>#N/A</v>
      </c>
      <c r="H1157" s="16">
        <f>IFERROR(VLOOKUP(F1157,STD!B:G,5,0),0)</f>
        <v>0</v>
      </c>
      <c r="I1157" s="21">
        <f t="shared" si="88"/>
        <v>0</v>
      </c>
      <c r="J1157" s="16">
        <f t="shared" si="89"/>
        <v>-10</v>
      </c>
      <c r="K1157" s="106" t="e">
        <f>VLOOKUP(C1157,'RAW DATA 2023'!E:BO,36,0)</f>
        <v>#N/A</v>
      </c>
      <c r="L1157" s="106" t="e">
        <f>VLOOKUP(C1157,'RAW DATA 2023'!E:BO,21,0)</f>
        <v>#N/A</v>
      </c>
      <c r="M1157" s="106" t="e">
        <f t="shared" si="90"/>
        <v>#N/A</v>
      </c>
    </row>
    <row r="1158" spans="1:13">
      <c r="A1158">
        <f>'RAW DATA 2023'!B1151</f>
        <v>0</v>
      </c>
      <c r="B1158">
        <f>'RAW DATA 2023'!D1151</f>
        <v>0</v>
      </c>
      <c r="C1158" t="str">
        <f t="shared" si="86"/>
        <v>00</v>
      </c>
      <c r="D1158" t="e">
        <f>VLOOKUP(C1158,'RAW DATA 2023'!E:BP,63,0)</f>
        <v>#N/A</v>
      </c>
      <c r="E1158" t="e">
        <f t="shared" si="87"/>
        <v>#N/A</v>
      </c>
      <c r="F1158" t="e">
        <f>ROUND(VLOOKUP(C1158,'RAW DATA 2023'!E:BO,23,0),0)</f>
        <v>#N/A</v>
      </c>
      <c r="G1158" s="16" t="e">
        <f>VLOOKUP(C1158,'RAW DATA 2023'!E:BO,27,0)</f>
        <v>#N/A</v>
      </c>
      <c r="H1158" s="16">
        <f>IFERROR(VLOOKUP(F1158,STD!B:G,5,0),0)</f>
        <v>0</v>
      </c>
      <c r="I1158" s="21">
        <f t="shared" si="88"/>
        <v>0</v>
      </c>
      <c r="J1158" s="16">
        <f t="shared" si="89"/>
        <v>-10</v>
      </c>
      <c r="K1158" s="106" t="e">
        <f>VLOOKUP(C1158,'RAW DATA 2023'!E:BO,36,0)</f>
        <v>#N/A</v>
      </c>
      <c r="L1158" s="106" t="e">
        <f>VLOOKUP(C1158,'RAW DATA 2023'!E:BO,21,0)</f>
        <v>#N/A</v>
      </c>
      <c r="M1158" s="106" t="e">
        <f t="shared" si="90"/>
        <v>#N/A</v>
      </c>
    </row>
    <row r="1159" spans="1:13">
      <c r="A1159">
        <f>'RAW DATA 2023'!B1152</f>
        <v>0</v>
      </c>
      <c r="B1159">
        <f>'RAW DATA 2023'!D1152</f>
        <v>0</v>
      </c>
      <c r="C1159" t="str">
        <f t="shared" si="86"/>
        <v>00</v>
      </c>
      <c r="D1159" t="e">
        <f>VLOOKUP(C1159,'RAW DATA 2023'!E:BP,63,0)</f>
        <v>#N/A</v>
      </c>
      <c r="E1159" t="e">
        <f t="shared" si="87"/>
        <v>#N/A</v>
      </c>
      <c r="F1159" t="e">
        <f>ROUND(VLOOKUP(C1159,'RAW DATA 2023'!E:BO,23,0),0)</f>
        <v>#N/A</v>
      </c>
      <c r="G1159" s="16" t="e">
        <f>VLOOKUP(C1159,'RAW DATA 2023'!E:BO,27,0)</f>
        <v>#N/A</v>
      </c>
      <c r="H1159" s="16">
        <f>IFERROR(VLOOKUP(F1159,STD!B:G,5,0),0)</f>
        <v>0</v>
      </c>
      <c r="I1159" s="21">
        <f t="shared" si="88"/>
        <v>0</v>
      </c>
      <c r="J1159" s="16">
        <f t="shared" si="89"/>
        <v>-10</v>
      </c>
      <c r="K1159" s="106" t="e">
        <f>VLOOKUP(C1159,'RAW DATA 2023'!E:BO,36,0)</f>
        <v>#N/A</v>
      </c>
      <c r="L1159" s="106" t="e">
        <f>VLOOKUP(C1159,'RAW DATA 2023'!E:BO,21,0)</f>
        <v>#N/A</v>
      </c>
      <c r="M1159" s="106" t="e">
        <f t="shared" si="90"/>
        <v>#N/A</v>
      </c>
    </row>
    <row r="1160" spans="1:13">
      <c r="A1160">
        <f>'RAW DATA 2023'!B1153</f>
        <v>0</v>
      </c>
      <c r="B1160">
        <f>'RAW DATA 2023'!D1153</f>
        <v>0</v>
      </c>
      <c r="C1160" t="str">
        <f t="shared" si="86"/>
        <v>00</v>
      </c>
      <c r="D1160" t="e">
        <f>VLOOKUP(C1160,'RAW DATA 2023'!E:BP,63,0)</f>
        <v>#N/A</v>
      </c>
      <c r="E1160" t="e">
        <f t="shared" si="87"/>
        <v>#N/A</v>
      </c>
      <c r="F1160" t="e">
        <f>ROUND(VLOOKUP(C1160,'RAW DATA 2023'!E:BO,23,0),0)</f>
        <v>#N/A</v>
      </c>
      <c r="G1160" s="16" t="e">
        <f>VLOOKUP(C1160,'RAW DATA 2023'!E:BO,27,0)</f>
        <v>#N/A</v>
      </c>
      <c r="H1160" s="16">
        <f>IFERROR(VLOOKUP(F1160,STD!B:G,5,0),0)</f>
        <v>0</v>
      </c>
      <c r="I1160" s="21">
        <f t="shared" si="88"/>
        <v>0</v>
      </c>
      <c r="J1160" s="16">
        <f t="shared" si="89"/>
        <v>-10</v>
      </c>
      <c r="K1160" s="106" t="e">
        <f>VLOOKUP(C1160,'RAW DATA 2023'!E:BO,36,0)</f>
        <v>#N/A</v>
      </c>
      <c r="L1160" s="106" t="e">
        <f>VLOOKUP(C1160,'RAW DATA 2023'!E:BO,21,0)</f>
        <v>#N/A</v>
      </c>
      <c r="M1160" s="106" t="e">
        <f t="shared" si="90"/>
        <v>#N/A</v>
      </c>
    </row>
    <row r="1161" spans="1:13">
      <c r="A1161">
        <f>'RAW DATA 2023'!B1154</f>
        <v>0</v>
      </c>
      <c r="B1161">
        <f>'RAW DATA 2023'!D1154</f>
        <v>0</v>
      </c>
      <c r="C1161" t="str">
        <f t="shared" si="86"/>
        <v>00</v>
      </c>
      <c r="D1161" t="e">
        <f>VLOOKUP(C1161,'RAW DATA 2023'!E:BP,63,0)</f>
        <v>#N/A</v>
      </c>
      <c r="E1161" t="e">
        <f t="shared" si="87"/>
        <v>#N/A</v>
      </c>
      <c r="F1161" t="e">
        <f>ROUND(VLOOKUP(C1161,'RAW DATA 2023'!E:BO,23,0),0)</f>
        <v>#N/A</v>
      </c>
      <c r="G1161" s="16" t="e">
        <f>VLOOKUP(C1161,'RAW DATA 2023'!E:BO,27,0)</f>
        <v>#N/A</v>
      </c>
      <c r="H1161" s="16">
        <f>IFERROR(VLOOKUP(F1161,STD!B:G,5,0),0)</f>
        <v>0</v>
      </c>
      <c r="I1161" s="21">
        <f t="shared" si="88"/>
        <v>0</v>
      </c>
      <c r="J1161" s="16">
        <f t="shared" si="89"/>
        <v>-10</v>
      </c>
      <c r="K1161" s="106" t="e">
        <f>VLOOKUP(C1161,'RAW DATA 2023'!E:BO,36,0)</f>
        <v>#N/A</v>
      </c>
      <c r="L1161" s="106" t="e">
        <f>VLOOKUP(C1161,'RAW DATA 2023'!E:BO,21,0)</f>
        <v>#N/A</v>
      </c>
      <c r="M1161" s="106" t="e">
        <f t="shared" si="90"/>
        <v>#N/A</v>
      </c>
    </row>
    <row r="1162" spans="1:13">
      <c r="A1162">
        <f>'RAW DATA 2023'!B1155</f>
        <v>0</v>
      </c>
      <c r="B1162">
        <f>'RAW DATA 2023'!D1155</f>
        <v>0</v>
      </c>
      <c r="C1162" t="str">
        <f t="shared" ref="C1162:C1225" si="91">A1162&amp;B1162</f>
        <v>00</v>
      </c>
      <c r="D1162" t="e">
        <f>VLOOKUP(C1162,'RAW DATA 2023'!E:BP,63,0)</f>
        <v>#N/A</v>
      </c>
      <c r="E1162" t="e">
        <f t="shared" ref="E1162:E1225" si="92">A1162&amp;D1162</f>
        <v>#N/A</v>
      </c>
      <c r="F1162" t="e">
        <f>ROUND(VLOOKUP(C1162,'RAW DATA 2023'!E:BO,23,0),0)</f>
        <v>#N/A</v>
      </c>
      <c r="G1162" s="16" t="e">
        <f>VLOOKUP(C1162,'RAW DATA 2023'!E:BO,27,0)</f>
        <v>#N/A</v>
      </c>
      <c r="H1162" s="16">
        <f>IFERROR(VLOOKUP(F1162,STD!B:G,5,0),0)</f>
        <v>0</v>
      </c>
      <c r="I1162" s="21">
        <f t="shared" si="88"/>
        <v>0</v>
      </c>
      <c r="J1162" s="16">
        <f t="shared" si="89"/>
        <v>-10</v>
      </c>
      <c r="K1162" s="106" t="e">
        <f>VLOOKUP(C1162,'RAW DATA 2023'!E:BO,36,0)</f>
        <v>#N/A</v>
      </c>
      <c r="L1162" s="106" t="e">
        <f>VLOOKUP(C1162,'RAW DATA 2023'!E:BO,21,0)</f>
        <v>#N/A</v>
      </c>
      <c r="M1162" s="106" t="e">
        <f t="shared" si="90"/>
        <v>#N/A</v>
      </c>
    </row>
    <row r="1163" spans="1:13">
      <c r="A1163">
        <f>'RAW DATA 2023'!B1156</f>
        <v>0</v>
      </c>
      <c r="B1163">
        <f>'RAW DATA 2023'!D1156</f>
        <v>0</v>
      </c>
      <c r="C1163" t="str">
        <f t="shared" si="91"/>
        <v>00</v>
      </c>
      <c r="D1163" t="e">
        <f>VLOOKUP(C1163,'RAW DATA 2023'!E:BP,63,0)</f>
        <v>#N/A</v>
      </c>
      <c r="E1163" t="e">
        <f t="shared" si="92"/>
        <v>#N/A</v>
      </c>
      <c r="F1163" t="e">
        <f>ROUND(VLOOKUP(C1163,'RAW DATA 2023'!E:BO,23,0),0)</f>
        <v>#N/A</v>
      </c>
      <c r="G1163" s="16" t="e">
        <f>VLOOKUP(C1163,'RAW DATA 2023'!E:BO,27,0)</f>
        <v>#N/A</v>
      </c>
      <c r="H1163" s="16">
        <f>IFERROR(VLOOKUP(F1163,STD!B:G,5,0),0)</f>
        <v>0</v>
      </c>
      <c r="I1163" s="21">
        <f t="shared" ref="I1163:I1226" si="93">IFERROR(H1163/G1163,0)</f>
        <v>0</v>
      </c>
      <c r="J1163" s="16">
        <f t="shared" ref="J1163:J1226" si="94">(I1163-$B$4)*$B$7</f>
        <v>-10</v>
      </c>
      <c r="K1163" s="106" t="e">
        <f>VLOOKUP(C1163,'RAW DATA 2023'!E:BO,36,0)</f>
        <v>#N/A</v>
      </c>
      <c r="L1163" s="106" t="e">
        <f>VLOOKUP(C1163,'RAW DATA 2023'!E:BO,21,0)</f>
        <v>#N/A</v>
      </c>
      <c r="M1163" s="106" t="e">
        <f t="shared" ref="M1163:M1226" si="95">J1163*L1163</f>
        <v>#N/A</v>
      </c>
    </row>
    <row r="1164" spans="1:13">
      <c r="A1164">
        <f>'RAW DATA 2023'!B1157</f>
        <v>0</v>
      </c>
      <c r="B1164">
        <f>'RAW DATA 2023'!D1157</f>
        <v>0</v>
      </c>
      <c r="C1164" t="str">
        <f t="shared" si="91"/>
        <v>00</v>
      </c>
      <c r="D1164" t="e">
        <f>VLOOKUP(C1164,'RAW DATA 2023'!E:BP,63,0)</f>
        <v>#N/A</v>
      </c>
      <c r="E1164" t="e">
        <f t="shared" si="92"/>
        <v>#N/A</v>
      </c>
      <c r="F1164" t="e">
        <f>ROUND(VLOOKUP(C1164,'RAW DATA 2023'!E:BO,23,0),0)</f>
        <v>#N/A</v>
      </c>
      <c r="G1164" s="16" t="e">
        <f>VLOOKUP(C1164,'RAW DATA 2023'!E:BO,27,0)</f>
        <v>#N/A</v>
      </c>
      <c r="H1164" s="16">
        <f>IFERROR(VLOOKUP(F1164,STD!B:G,5,0),0)</f>
        <v>0</v>
      </c>
      <c r="I1164" s="21">
        <f t="shared" si="93"/>
        <v>0</v>
      </c>
      <c r="J1164" s="16">
        <f t="shared" si="94"/>
        <v>-10</v>
      </c>
      <c r="K1164" s="106" t="e">
        <f>VLOOKUP(C1164,'RAW DATA 2023'!E:BO,36,0)</f>
        <v>#N/A</v>
      </c>
      <c r="L1164" s="106" t="e">
        <f>VLOOKUP(C1164,'RAW DATA 2023'!E:BO,21,0)</f>
        <v>#N/A</v>
      </c>
      <c r="M1164" s="106" t="e">
        <f t="shared" si="95"/>
        <v>#N/A</v>
      </c>
    </row>
    <row r="1165" spans="1:13">
      <c r="A1165">
        <f>'RAW DATA 2023'!B1158</f>
        <v>0</v>
      </c>
      <c r="B1165">
        <f>'RAW DATA 2023'!D1158</f>
        <v>0</v>
      </c>
      <c r="C1165" t="str">
        <f t="shared" si="91"/>
        <v>00</v>
      </c>
      <c r="D1165" t="e">
        <f>VLOOKUP(C1165,'RAW DATA 2023'!E:BP,63,0)</f>
        <v>#N/A</v>
      </c>
      <c r="E1165" t="e">
        <f t="shared" si="92"/>
        <v>#N/A</v>
      </c>
      <c r="F1165" t="e">
        <f>ROUND(VLOOKUP(C1165,'RAW DATA 2023'!E:BO,23,0),0)</f>
        <v>#N/A</v>
      </c>
      <c r="G1165" s="16" t="e">
        <f>VLOOKUP(C1165,'RAW DATA 2023'!E:BO,27,0)</f>
        <v>#N/A</v>
      </c>
      <c r="H1165" s="16">
        <f>IFERROR(VLOOKUP(F1165,STD!B:G,5,0),0)</f>
        <v>0</v>
      </c>
      <c r="I1165" s="21">
        <f t="shared" si="93"/>
        <v>0</v>
      </c>
      <c r="J1165" s="16">
        <f t="shared" si="94"/>
        <v>-10</v>
      </c>
      <c r="K1165" s="106" t="e">
        <f>VLOOKUP(C1165,'RAW DATA 2023'!E:BO,36,0)</f>
        <v>#N/A</v>
      </c>
      <c r="L1165" s="106" t="e">
        <f>VLOOKUP(C1165,'RAW DATA 2023'!E:BO,21,0)</f>
        <v>#N/A</v>
      </c>
      <c r="M1165" s="106" t="e">
        <f t="shared" si="95"/>
        <v>#N/A</v>
      </c>
    </row>
    <row r="1166" spans="1:13">
      <c r="A1166">
        <f>'RAW DATA 2023'!B1159</f>
        <v>0</v>
      </c>
      <c r="B1166">
        <f>'RAW DATA 2023'!D1159</f>
        <v>0</v>
      </c>
      <c r="C1166" t="str">
        <f t="shared" si="91"/>
        <v>00</v>
      </c>
      <c r="D1166" t="e">
        <f>VLOOKUP(C1166,'RAW DATA 2023'!E:BP,63,0)</f>
        <v>#N/A</v>
      </c>
      <c r="E1166" t="e">
        <f t="shared" si="92"/>
        <v>#N/A</v>
      </c>
      <c r="F1166" t="e">
        <f>ROUND(VLOOKUP(C1166,'RAW DATA 2023'!E:BO,23,0),0)</f>
        <v>#N/A</v>
      </c>
      <c r="G1166" s="16" t="e">
        <f>VLOOKUP(C1166,'RAW DATA 2023'!E:BO,27,0)</f>
        <v>#N/A</v>
      </c>
      <c r="H1166" s="16">
        <f>IFERROR(VLOOKUP(F1166,STD!B:G,5,0),0)</f>
        <v>0</v>
      </c>
      <c r="I1166" s="21">
        <f t="shared" si="93"/>
        <v>0</v>
      </c>
      <c r="J1166" s="16">
        <f t="shared" si="94"/>
        <v>-10</v>
      </c>
      <c r="K1166" s="106" t="e">
        <f>VLOOKUP(C1166,'RAW DATA 2023'!E:BO,36,0)</f>
        <v>#N/A</v>
      </c>
      <c r="L1166" s="106" t="e">
        <f>VLOOKUP(C1166,'RAW DATA 2023'!E:BO,21,0)</f>
        <v>#N/A</v>
      </c>
      <c r="M1166" s="106" t="e">
        <f t="shared" si="95"/>
        <v>#N/A</v>
      </c>
    </row>
    <row r="1167" spans="1:13">
      <c r="A1167">
        <f>'RAW DATA 2023'!B1160</f>
        <v>0</v>
      </c>
      <c r="B1167">
        <f>'RAW DATA 2023'!D1160</f>
        <v>0</v>
      </c>
      <c r="C1167" t="str">
        <f t="shared" si="91"/>
        <v>00</v>
      </c>
      <c r="D1167" t="e">
        <f>VLOOKUP(C1167,'RAW DATA 2023'!E:BP,63,0)</f>
        <v>#N/A</v>
      </c>
      <c r="E1167" t="e">
        <f t="shared" si="92"/>
        <v>#N/A</v>
      </c>
      <c r="F1167" t="e">
        <f>ROUND(VLOOKUP(C1167,'RAW DATA 2023'!E:BO,23,0),0)</f>
        <v>#N/A</v>
      </c>
      <c r="G1167" s="16" t="e">
        <f>VLOOKUP(C1167,'RAW DATA 2023'!E:BO,27,0)</f>
        <v>#N/A</v>
      </c>
      <c r="H1167" s="16">
        <f>IFERROR(VLOOKUP(F1167,STD!B:G,5,0),0)</f>
        <v>0</v>
      </c>
      <c r="I1167" s="21">
        <f t="shared" si="93"/>
        <v>0</v>
      </c>
      <c r="J1167" s="16">
        <f t="shared" si="94"/>
        <v>-10</v>
      </c>
      <c r="K1167" s="106" t="e">
        <f>VLOOKUP(C1167,'RAW DATA 2023'!E:BO,36,0)</f>
        <v>#N/A</v>
      </c>
      <c r="L1167" s="106" t="e">
        <f>VLOOKUP(C1167,'RAW DATA 2023'!E:BO,21,0)</f>
        <v>#N/A</v>
      </c>
      <c r="M1167" s="106" t="e">
        <f t="shared" si="95"/>
        <v>#N/A</v>
      </c>
    </row>
    <row r="1168" spans="1:13">
      <c r="A1168">
        <f>'RAW DATA 2023'!B1161</f>
        <v>0</v>
      </c>
      <c r="B1168">
        <f>'RAW DATA 2023'!D1161</f>
        <v>0</v>
      </c>
      <c r="C1168" t="str">
        <f t="shared" si="91"/>
        <v>00</v>
      </c>
      <c r="D1168" t="e">
        <f>VLOOKUP(C1168,'RAW DATA 2023'!E:BP,63,0)</f>
        <v>#N/A</v>
      </c>
      <c r="E1168" t="e">
        <f t="shared" si="92"/>
        <v>#N/A</v>
      </c>
      <c r="F1168" t="e">
        <f>ROUND(VLOOKUP(C1168,'RAW DATA 2023'!E:BO,23,0),0)</f>
        <v>#N/A</v>
      </c>
      <c r="G1168" s="16" t="e">
        <f>VLOOKUP(C1168,'RAW DATA 2023'!E:BO,27,0)</f>
        <v>#N/A</v>
      </c>
      <c r="H1168" s="16">
        <f>IFERROR(VLOOKUP(F1168,STD!B:G,5,0),0)</f>
        <v>0</v>
      </c>
      <c r="I1168" s="21">
        <f t="shared" si="93"/>
        <v>0</v>
      </c>
      <c r="J1168" s="16">
        <f t="shared" si="94"/>
        <v>-10</v>
      </c>
      <c r="K1168" s="106" t="e">
        <f>VLOOKUP(C1168,'RAW DATA 2023'!E:BO,36,0)</f>
        <v>#N/A</v>
      </c>
      <c r="L1168" s="106" t="e">
        <f>VLOOKUP(C1168,'RAW DATA 2023'!E:BO,21,0)</f>
        <v>#N/A</v>
      </c>
      <c r="M1168" s="106" t="e">
        <f t="shared" si="95"/>
        <v>#N/A</v>
      </c>
    </row>
    <row r="1169" spans="1:13">
      <c r="A1169">
        <f>'RAW DATA 2023'!B1162</f>
        <v>0</v>
      </c>
      <c r="B1169">
        <f>'RAW DATA 2023'!D1162</f>
        <v>0</v>
      </c>
      <c r="C1169" t="str">
        <f t="shared" si="91"/>
        <v>00</v>
      </c>
      <c r="D1169" t="e">
        <f>VLOOKUP(C1169,'RAW DATA 2023'!E:BP,63,0)</f>
        <v>#N/A</v>
      </c>
      <c r="E1169" t="e">
        <f t="shared" si="92"/>
        <v>#N/A</v>
      </c>
      <c r="F1169" t="e">
        <f>ROUND(VLOOKUP(C1169,'RAW DATA 2023'!E:BO,23,0),0)</f>
        <v>#N/A</v>
      </c>
      <c r="G1169" s="16" t="e">
        <f>VLOOKUP(C1169,'RAW DATA 2023'!E:BO,27,0)</f>
        <v>#N/A</v>
      </c>
      <c r="H1169" s="16">
        <f>IFERROR(VLOOKUP(F1169,STD!B:G,5,0),0)</f>
        <v>0</v>
      </c>
      <c r="I1169" s="21">
        <f t="shared" si="93"/>
        <v>0</v>
      </c>
      <c r="J1169" s="16">
        <f t="shared" si="94"/>
        <v>-10</v>
      </c>
      <c r="K1169" s="106" t="e">
        <f>VLOOKUP(C1169,'RAW DATA 2023'!E:BO,36,0)</f>
        <v>#N/A</v>
      </c>
      <c r="L1169" s="106" t="e">
        <f>VLOOKUP(C1169,'RAW DATA 2023'!E:BO,21,0)</f>
        <v>#N/A</v>
      </c>
      <c r="M1169" s="106" t="e">
        <f t="shared" si="95"/>
        <v>#N/A</v>
      </c>
    </row>
    <row r="1170" spans="1:13">
      <c r="A1170">
        <f>'RAW DATA 2023'!B1163</f>
        <v>0</v>
      </c>
      <c r="B1170">
        <f>'RAW DATA 2023'!D1163</f>
        <v>0</v>
      </c>
      <c r="C1170" t="str">
        <f t="shared" si="91"/>
        <v>00</v>
      </c>
      <c r="D1170" t="e">
        <f>VLOOKUP(C1170,'RAW DATA 2023'!E:BP,63,0)</f>
        <v>#N/A</v>
      </c>
      <c r="E1170" t="e">
        <f t="shared" si="92"/>
        <v>#N/A</v>
      </c>
      <c r="F1170" t="e">
        <f>ROUND(VLOOKUP(C1170,'RAW DATA 2023'!E:BO,23,0),0)</f>
        <v>#N/A</v>
      </c>
      <c r="G1170" s="16" t="e">
        <f>VLOOKUP(C1170,'RAW DATA 2023'!E:BO,27,0)</f>
        <v>#N/A</v>
      </c>
      <c r="H1170" s="16">
        <f>IFERROR(VLOOKUP(F1170,STD!B:G,5,0),0)</f>
        <v>0</v>
      </c>
      <c r="I1170" s="21">
        <f t="shared" si="93"/>
        <v>0</v>
      </c>
      <c r="J1170" s="16">
        <f t="shared" si="94"/>
        <v>-10</v>
      </c>
      <c r="K1170" s="106" t="e">
        <f>VLOOKUP(C1170,'RAW DATA 2023'!E:BO,36,0)</f>
        <v>#N/A</v>
      </c>
      <c r="L1170" s="106" t="e">
        <f>VLOOKUP(C1170,'RAW DATA 2023'!E:BO,21,0)</f>
        <v>#N/A</v>
      </c>
      <c r="M1170" s="106" t="e">
        <f t="shared" si="95"/>
        <v>#N/A</v>
      </c>
    </row>
    <row r="1171" spans="1:13">
      <c r="A1171">
        <f>'RAW DATA 2023'!B1164</f>
        <v>0</v>
      </c>
      <c r="B1171">
        <f>'RAW DATA 2023'!D1164</f>
        <v>0</v>
      </c>
      <c r="C1171" t="str">
        <f t="shared" si="91"/>
        <v>00</v>
      </c>
      <c r="D1171" t="e">
        <f>VLOOKUP(C1171,'RAW DATA 2023'!E:BP,63,0)</f>
        <v>#N/A</v>
      </c>
      <c r="E1171" t="e">
        <f t="shared" si="92"/>
        <v>#N/A</v>
      </c>
      <c r="F1171" t="e">
        <f>ROUND(VLOOKUP(C1171,'RAW DATA 2023'!E:BO,23,0),0)</f>
        <v>#N/A</v>
      </c>
      <c r="G1171" s="16" t="e">
        <f>VLOOKUP(C1171,'RAW DATA 2023'!E:BO,27,0)</f>
        <v>#N/A</v>
      </c>
      <c r="H1171" s="16">
        <f>IFERROR(VLOOKUP(F1171,STD!B:G,5,0),0)</f>
        <v>0</v>
      </c>
      <c r="I1171" s="21">
        <f t="shared" si="93"/>
        <v>0</v>
      </c>
      <c r="J1171" s="16">
        <f t="shared" si="94"/>
        <v>-10</v>
      </c>
      <c r="K1171" s="106" t="e">
        <f>VLOOKUP(C1171,'RAW DATA 2023'!E:BO,36,0)</f>
        <v>#N/A</v>
      </c>
      <c r="L1171" s="106" t="e">
        <f>VLOOKUP(C1171,'RAW DATA 2023'!E:BO,21,0)</f>
        <v>#N/A</v>
      </c>
      <c r="M1171" s="106" t="e">
        <f t="shared" si="95"/>
        <v>#N/A</v>
      </c>
    </row>
    <row r="1172" spans="1:13">
      <c r="A1172">
        <f>'RAW DATA 2023'!B1165</f>
        <v>0</v>
      </c>
      <c r="B1172">
        <f>'RAW DATA 2023'!D1165</f>
        <v>0</v>
      </c>
      <c r="C1172" t="str">
        <f t="shared" si="91"/>
        <v>00</v>
      </c>
      <c r="D1172" t="e">
        <f>VLOOKUP(C1172,'RAW DATA 2023'!E:BP,63,0)</f>
        <v>#N/A</v>
      </c>
      <c r="E1172" t="e">
        <f t="shared" si="92"/>
        <v>#N/A</v>
      </c>
      <c r="F1172" t="e">
        <f>ROUND(VLOOKUP(C1172,'RAW DATA 2023'!E:BO,23,0),0)</f>
        <v>#N/A</v>
      </c>
      <c r="G1172" s="16" t="e">
        <f>VLOOKUP(C1172,'RAW DATA 2023'!E:BO,27,0)</f>
        <v>#N/A</v>
      </c>
      <c r="H1172" s="16">
        <f>IFERROR(VLOOKUP(F1172,STD!B:G,5,0),0)</f>
        <v>0</v>
      </c>
      <c r="I1172" s="21">
        <f t="shared" si="93"/>
        <v>0</v>
      </c>
      <c r="J1172" s="16">
        <f t="shared" si="94"/>
        <v>-10</v>
      </c>
      <c r="K1172" s="106" t="e">
        <f>VLOOKUP(C1172,'RAW DATA 2023'!E:BO,36,0)</f>
        <v>#N/A</v>
      </c>
      <c r="L1172" s="106" t="e">
        <f>VLOOKUP(C1172,'RAW DATA 2023'!E:BO,21,0)</f>
        <v>#N/A</v>
      </c>
      <c r="M1172" s="106" t="e">
        <f t="shared" si="95"/>
        <v>#N/A</v>
      </c>
    </row>
    <row r="1173" spans="1:13">
      <c r="A1173">
        <f>'RAW DATA 2023'!B1166</f>
        <v>0</v>
      </c>
      <c r="B1173">
        <f>'RAW DATA 2023'!D1166</f>
        <v>0</v>
      </c>
      <c r="C1173" t="str">
        <f t="shared" si="91"/>
        <v>00</v>
      </c>
      <c r="D1173" t="e">
        <f>VLOOKUP(C1173,'RAW DATA 2023'!E:BP,63,0)</f>
        <v>#N/A</v>
      </c>
      <c r="E1173" t="e">
        <f t="shared" si="92"/>
        <v>#N/A</v>
      </c>
      <c r="F1173" t="e">
        <f>ROUND(VLOOKUP(C1173,'RAW DATA 2023'!E:BO,23,0),0)</f>
        <v>#N/A</v>
      </c>
      <c r="G1173" s="16" t="e">
        <f>VLOOKUP(C1173,'RAW DATA 2023'!E:BO,27,0)</f>
        <v>#N/A</v>
      </c>
      <c r="H1173" s="16">
        <f>IFERROR(VLOOKUP(F1173,STD!B:G,5,0),0)</f>
        <v>0</v>
      </c>
      <c r="I1173" s="21">
        <f t="shared" si="93"/>
        <v>0</v>
      </c>
      <c r="J1173" s="16">
        <f t="shared" si="94"/>
        <v>-10</v>
      </c>
      <c r="K1173" s="106" t="e">
        <f>VLOOKUP(C1173,'RAW DATA 2023'!E:BO,36,0)</f>
        <v>#N/A</v>
      </c>
      <c r="L1173" s="106" t="e">
        <f>VLOOKUP(C1173,'RAW DATA 2023'!E:BO,21,0)</f>
        <v>#N/A</v>
      </c>
      <c r="M1173" s="106" t="e">
        <f t="shared" si="95"/>
        <v>#N/A</v>
      </c>
    </row>
    <row r="1174" spans="1:13">
      <c r="A1174">
        <f>'RAW DATA 2023'!B1167</f>
        <v>0</v>
      </c>
      <c r="B1174">
        <f>'RAW DATA 2023'!D1167</f>
        <v>0</v>
      </c>
      <c r="C1174" t="str">
        <f t="shared" si="91"/>
        <v>00</v>
      </c>
      <c r="D1174" t="e">
        <f>VLOOKUP(C1174,'RAW DATA 2023'!E:BP,63,0)</f>
        <v>#N/A</v>
      </c>
      <c r="E1174" t="e">
        <f t="shared" si="92"/>
        <v>#N/A</v>
      </c>
      <c r="F1174" t="e">
        <f>ROUND(VLOOKUP(C1174,'RAW DATA 2023'!E:BO,23,0),0)</f>
        <v>#N/A</v>
      </c>
      <c r="G1174" s="16" t="e">
        <f>VLOOKUP(C1174,'RAW DATA 2023'!E:BO,27,0)</f>
        <v>#N/A</v>
      </c>
      <c r="H1174" s="16">
        <f>IFERROR(VLOOKUP(F1174,STD!B:G,5,0),0)</f>
        <v>0</v>
      </c>
      <c r="I1174" s="21">
        <f t="shared" si="93"/>
        <v>0</v>
      </c>
      <c r="J1174" s="16">
        <f t="shared" si="94"/>
        <v>-10</v>
      </c>
      <c r="K1174" s="106" t="e">
        <f>VLOOKUP(C1174,'RAW DATA 2023'!E:BO,36,0)</f>
        <v>#N/A</v>
      </c>
      <c r="L1174" s="106" t="e">
        <f>VLOOKUP(C1174,'RAW DATA 2023'!E:BO,21,0)</f>
        <v>#N/A</v>
      </c>
      <c r="M1174" s="106" t="e">
        <f t="shared" si="95"/>
        <v>#N/A</v>
      </c>
    </row>
    <row r="1175" spans="1:13">
      <c r="A1175">
        <f>'RAW DATA 2023'!B1168</f>
        <v>0</v>
      </c>
      <c r="B1175">
        <f>'RAW DATA 2023'!D1168</f>
        <v>0</v>
      </c>
      <c r="C1175" t="str">
        <f t="shared" si="91"/>
        <v>00</v>
      </c>
      <c r="D1175" t="e">
        <f>VLOOKUP(C1175,'RAW DATA 2023'!E:BP,63,0)</f>
        <v>#N/A</v>
      </c>
      <c r="E1175" t="e">
        <f t="shared" si="92"/>
        <v>#N/A</v>
      </c>
      <c r="F1175" t="e">
        <f>ROUND(VLOOKUP(C1175,'RAW DATA 2023'!E:BO,23,0),0)</f>
        <v>#N/A</v>
      </c>
      <c r="G1175" s="16" t="e">
        <f>VLOOKUP(C1175,'RAW DATA 2023'!E:BO,27,0)</f>
        <v>#N/A</v>
      </c>
      <c r="H1175" s="16">
        <f>IFERROR(VLOOKUP(F1175,STD!B:G,5,0),0)</f>
        <v>0</v>
      </c>
      <c r="I1175" s="21">
        <f t="shared" si="93"/>
        <v>0</v>
      </c>
      <c r="J1175" s="16">
        <f t="shared" si="94"/>
        <v>-10</v>
      </c>
      <c r="K1175" s="106" t="e">
        <f>VLOOKUP(C1175,'RAW DATA 2023'!E:BO,36,0)</f>
        <v>#N/A</v>
      </c>
      <c r="L1175" s="106" t="e">
        <f>VLOOKUP(C1175,'RAW DATA 2023'!E:BO,21,0)</f>
        <v>#N/A</v>
      </c>
      <c r="M1175" s="106" t="e">
        <f t="shared" si="95"/>
        <v>#N/A</v>
      </c>
    </row>
    <row r="1176" spans="1:13">
      <c r="A1176">
        <f>'RAW DATA 2023'!B1169</f>
        <v>0</v>
      </c>
      <c r="B1176">
        <f>'RAW DATA 2023'!D1169</f>
        <v>0</v>
      </c>
      <c r="C1176" t="str">
        <f t="shared" si="91"/>
        <v>00</v>
      </c>
      <c r="D1176" t="e">
        <f>VLOOKUP(C1176,'RAW DATA 2023'!E:BP,63,0)</f>
        <v>#N/A</v>
      </c>
      <c r="E1176" t="e">
        <f t="shared" si="92"/>
        <v>#N/A</v>
      </c>
      <c r="F1176" t="e">
        <f>ROUND(VLOOKUP(C1176,'RAW DATA 2023'!E:BO,23,0),0)</f>
        <v>#N/A</v>
      </c>
      <c r="G1176" s="16" t="e">
        <f>VLOOKUP(C1176,'RAW DATA 2023'!E:BO,27,0)</f>
        <v>#N/A</v>
      </c>
      <c r="H1176" s="16">
        <f>IFERROR(VLOOKUP(F1176,STD!B:G,5,0),0)</f>
        <v>0</v>
      </c>
      <c r="I1176" s="21">
        <f t="shared" si="93"/>
        <v>0</v>
      </c>
      <c r="J1176" s="16">
        <f t="shared" si="94"/>
        <v>-10</v>
      </c>
      <c r="K1176" s="106" t="e">
        <f>VLOOKUP(C1176,'RAW DATA 2023'!E:BO,36,0)</f>
        <v>#N/A</v>
      </c>
      <c r="L1176" s="106" t="e">
        <f>VLOOKUP(C1176,'RAW DATA 2023'!E:BO,21,0)</f>
        <v>#N/A</v>
      </c>
      <c r="M1176" s="106" t="e">
        <f t="shared" si="95"/>
        <v>#N/A</v>
      </c>
    </row>
    <row r="1177" spans="1:13">
      <c r="A1177">
        <f>'RAW DATA 2023'!B1170</f>
        <v>0</v>
      </c>
      <c r="B1177">
        <f>'RAW DATA 2023'!D1170</f>
        <v>0</v>
      </c>
      <c r="C1177" t="str">
        <f t="shared" si="91"/>
        <v>00</v>
      </c>
      <c r="D1177" t="e">
        <f>VLOOKUP(C1177,'RAW DATA 2023'!E:BP,63,0)</f>
        <v>#N/A</v>
      </c>
      <c r="E1177" t="e">
        <f t="shared" si="92"/>
        <v>#N/A</v>
      </c>
      <c r="F1177" t="e">
        <f>ROUND(VLOOKUP(C1177,'RAW DATA 2023'!E:BO,23,0),0)</f>
        <v>#N/A</v>
      </c>
      <c r="G1177" s="16" t="e">
        <f>VLOOKUP(C1177,'RAW DATA 2023'!E:BO,27,0)</f>
        <v>#N/A</v>
      </c>
      <c r="H1177" s="16">
        <f>IFERROR(VLOOKUP(F1177,STD!B:G,5,0),0)</f>
        <v>0</v>
      </c>
      <c r="I1177" s="21">
        <f t="shared" si="93"/>
        <v>0</v>
      </c>
      <c r="J1177" s="16">
        <f t="shared" si="94"/>
        <v>-10</v>
      </c>
      <c r="K1177" s="106" t="e">
        <f>VLOOKUP(C1177,'RAW DATA 2023'!E:BO,36,0)</f>
        <v>#N/A</v>
      </c>
      <c r="L1177" s="106" t="e">
        <f>VLOOKUP(C1177,'RAW DATA 2023'!E:BO,21,0)</f>
        <v>#N/A</v>
      </c>
      <c r="M1177" s="106" t="e">
        <f t="shared" si="95"/>
        <v>#N/A</v>
      </c>
    </row>
    <row r="1178" spans="1:13">
      <c r="A1178">
        <f>'RAW DATA 2023'!B1171</f>
        <v>0</v>
      </c>
      <c r="B1178">
        <f>'RAW DATA 2023'!D1171</f>
        <v>0</v>
      </c>
      <c r="C1178" t="str">
        <f t="shared" si="91"/>
        <v>00</v>
      </c>
      <c r="D1178" t="e">
        <f>VLOOKUP(C1178,'RAW DATA 2023'!E:BP,63,0)</f>
        <v>#N/A</v>
      </c>
      <c r="E1178" t="e">
        <f t="shared" si="92"/>
        <v>#N/A</v>
      </c>
      <c r="F1178" t="e">
        <f>ROUND(VLOOKUP(C1178,'RAW DATA 2023'!E:BO,23,0),0)</f>
        <v>#N/A</v>
      </c>
      <c r="G1178" s="16" t="e">
        <f>VLOOKUP(C1178,'RAW DATA 2023'!E:BO,27,0)</f>
        <v>#N/A</v>
      </c>
      <c r="H1178" s="16">
        <f>IFERROR(VLOOKUP(F1178,STD!B:G,5,0),0)</f>
        <v>0</v>
      </c>
      <c r="I1178" s="21">
        <f t="shared" si="93"/>
        <v>0</v>
      </c>
      <c r="J1178" s="16">
        <f t="shared" si="94"/>
        <v>-10</v>
      </c>
      <c r="K1178" s="106" t="e">
        <f>VLOOKUP(C1178,'RAW DATA 2023'!E:BO,36,0)</f>
        <v>#N/A</v>
      </c>
      <c r="L1178" s="106" t="e">
        <f>VLOOKUP(C1178,'RAW DATA 2023'!E:BO,21,0)</f>
        <v>#N/A</v>
      </c>
      <c r="M1178" s="106" t="e">
        <f t="shared" si="95"/>
        <v>#N/A</v>
      </c>
    </row>
    <row r="1179" spans="1:13">
      <c r="A1179">
        <f>'RAW DATA 2023'!B1172</f>
        <v>0</v>
      </c>
      <c r="B1179">
        <f>'RAW DATA 2023'!D1172</f>
        <v>0</v>
      </c>
      <c r="C1179" t="str">
        <f t="shared" si="91"/>
        <v>00</v>
      </c>
      <c r="D1179" t="e">
        <f>VLOOKUP(C1179,'RAW DATA 2023'!E:BP,63,0)</f>
        <v>#N/A</v>
      </c>
      <c r="E1179" t="e">
        <f t="shared" si="92"/>
        <v>#N/A</v>
      </c>
      <c r="F1179" t="e">
        <f>ROUND(VLOOKUP(C1179,'RAW DATA 2023'!E:BO,23,0),0)</f>
        <v>#N/A</v>
      </c>
      <c r="G1179" s="16" t="e">
        <f>VLOOKUP(C1179,'RAW DATA 2023'!E:BO,27,0)</f>
        <v>#N/A</v>
      </c>
      <c r="H1179" s="16">
        <f>IFERROR(VLOOKUP(F1179,STD!B:G,5,0),0)</f>
        <v>0</v>
      </c>
      <c r="I1179" s="21">
        <f t="shared" si="93"/>
        <v>0</v>
      </c>
      <c r="J1179" s="16">
        <f t="shared" si="94"/>
        <v>-10</v>
      </c>
      <c r="K1179" s="106" t="e">
        <f>VLOOKUP(C1179,'RAW DATA 2023'!E:BO,36,0)</f>
        <v>#N/A</v>
      </c>
      <c r="L1179" s="106" t="e">
        <f>VLOOKUP(C1179,'RAW DATA 2023'!E:BO,21,0)</f>
        <v>#N/A</v>
      </c>
      <c r="M1179" s="106" t="e">
        <f t="shared" si="95"/>
        <v>#N/A</v>
      </c>
    </row>
    <row r="1180" spans="1:13">
      <c r="A1180">
        <f>'RAW DATA 2023'!B1173</f>
        <v>0</v>
      </c>
      <c r="B1180">
        <f>'RAW DATA 2023'!D1173</f>
        <v>0</v>
      </c>
      <c r="C1180" t="str">
        <f t="shared" si="91"/>
        <v>00</v>
      </c>
      <c r="D1180" t="e">
        <f>VLOOKUP(C1180,'RAW DATA 2023'!E:BP,63,0)</f>
        <v>#N/A</v>
      </c>
      <c r="E1180" t="e">
        <f t="shared" si="92"/>
        <v>#N/A</v>
      </c>
      <c r="F1180" t="e">
        <f>ROUND(VLOOKUP(C1180,'RAW DATA 2023'!E:BO,23,0),0)</f>
        <v>#N/A</v>
      </c>
      <c r="G1180" s="16" t="e">
        <f>VLOOKUP(C1180,'RAW DATA 2023'!E:BO,27,0)</f>
        <v>#N/A</v>
      </c>
      <c r="H1180" s="16">
        <f>IFERROR(VLOOKUP(F1180,STD!B:G,5,0),0)</f>
        <v>0</v>
      </c>
      <c r="I1180" s="21">
        <f t="shared" si="93"/>
        <v>0</v>
      </c>
      <c r="J1180" s="16">
        <f t="shared" si="94"/>
        <v>-10</v>
      </c>
      <c r="K1180" s="106" t="e">
        <f>VLOOKUP(C1180,'RAW DATA 2023'!E:BO,36,0)</f>
        <v>#N/A</v>
      </c>
      <c r="L1180" s="106" t="e">
        <f>VLOOKUP(C1180,'RAW DATA 2023'!E:BO,21,0)</f>
        <v>#N/A</v>
      </c>
      <c r="M1180" s="106" t="e">
        <f t="shared" si="95"/>
        <v>#N/A</v>
      </c>
    </row>
    <row r="1181" spans="1:13">
      <c r="A1181">
        <f>'RAW DATA 2023'!B1174</f>
        <v>0</v>
      </c>
      <c r="B1181">
        <f>'RAW DATA 2023'!D1174</f>
        <v>0</v>
      </c>
      <c r="C1181" t="str">
        <f t="shared" si="91"/>
        <v>00</v>
      </c>
      <c r="D1181" t="e">
        <f>VLOOKUP(C1181,'RAW DATA 2023'!E:BP,63,0)</f>
        <v>#N/A</v>
      </c>
      <c r="E1181" t="e">
        <f t="shared" si="92"/>
        <v>#N/A</v>
      </c>
      <c r="F1181" t="e">
        <f>ROUND(VLOOKUP(C1181,'RAW DATA 2023'!E:BO,23,0),0)</f>
        <v>#N/A</v>
      </c>
      <c r="G1181" s="16" t="e">
        <f>VLOOKUP(C1181,'RAW DATA 2023'!E:BO,27,0)</f>
        <v>#N/A</v>
      </c>
      <c r="H1181" s="16">
        <f>IFERROR(VLOOKUP(F1181,STD!B:G,5,0),0)</f>
        <v>0</v>
      </c>
      <c r="I1181" s="21">
        <f t="shared" si="93"/>
        <v>0</v>
      </c>
      <c r="J1181" s="16">
        <f t="shared" si="94"/>
        <v>-10</v>
      </c>
      <c r="K1181" s="106" t="e">
        <f>VLOOKUP(C1181,'RAW DATA 2023'!E:BO,36,0)</f>
        <v>#N/A</v>
      </c>
      <c r="L1181" s="106" t="e">
        <f>VLOOKUP(C1181,'RAW DATA 2023'!E:BO,21,0)</f>
        <v>#N/A</v>
      </c>
      <c r="M1181" s="106" t="e">
        <f t="shared" si="95"/>
        <v>#N/A</v>
      </c>
    </row>
    <row r="1182" spans="1:13">
      <c r="A1182">
        <f>'RAW DATA 2023'!B1175</f>
        <v>0</v>
      </c>
      <c r="B1182">
        <f>'RAW DATA 2023'!D1175</f>
        <v>0</v>
      </c>
      <c r="C1182" t="str">
        <f t="shared" si="91"/>
        <v>00</v>
      </c>
      <c r="D1182" t="e">
        <f>VLOOKUP(C1182,'RAW DATA 2023'!E:BP,63,0)</f>
        <v>#N/A</v>
      </c>
      <c r="E1182" t="e">
        <f t="shared" si="92"/>
        <v>#N/A</v>
      </c>
      <c r="F1182" t="e">
        <f>ROUND(VLOOKUP(C1182,'RAW DATA 2023'!E:BO,23,0),0)</f>
        <v>#N/A</v>
      </c>
      <c r="G1182" s="16" t="e">
        <f>VLOOKUP(C1182,'RAW DATA 2023'!E:BO,27,0)</f>
        <v>#N/A</v>
      </c>
      <c r="H1182" s="16">
        <f>IFERROR(VLOOKUP(F1182,STD!B:G,5,0),0)</f>
        <v>0</v>
      </c>
      <c r="I1182" s="21">
        <f t="shared" si="93"/>
        <v>0</v>
      </c>
      <c r="J1182" s="16">
        <f t="shared" si="94"/>
        <v>-10</v>
      </c>
      <c r="K1182" s="106" t="e">
        <f>VLOOKUP(C1182,'RAW DATA 2023'!E:BO,36,0)</f>
        <v>#N/A</v>
      </c>
      <c r="L1182" s="106" t="e">
        <f>VLOOKUP(C1182,'RAW DATA 2023'!E:BO,21,0)</f>
        <v>#N/A</v>
      </c>
      <c r="M1182" s="106" t="e">
        <f t="shared" si="95"/>
        <v>#N/A</v>
      </c>
    </row>
    <row r="1183" spans="1:13">
      <c r="A1183">
        <f>'RAW DATA 2023'!B1176</f>
        <v>0</v>
      </c>
      <c r="B1183">
        <f>'RAW DATA 2023'!D1176</f>
        <v>0</v>
      </c>
      <c r="C1183" t="str">
        <f t="shared" si="91"/>
        <v>00</v>
      </c>
      <c r="D1183" t="e">
        <f>VLOOKUP(C1183,'RAW DATA 2023'!E:BP,63,0)</f>
        <v>#N/A</v>
      </c>
      <c r="E1183" t="e">
        <f t="shared" si="92"/>
        <v>#N/A</v>
      </c>
      <c r="F1183" t="e">
        <f>ROUND(VLOOKUP(C1183,'RAW DATA 2023'!E:BO,23,0),0)</f>
        <v>#N/A</v>
      </c>
      <c r="G1183" s="16" t="e">
        <f>VLOOKUP(C1183,'RAW DATA 2023'!E:BO,27,0)</f>
        <v>#N/A</v>
      </c>
      <c r="H1183" s="16">
        <f>IFERROR(VLOOKUP(F1183,STD!B:G,5,0),0)</f>
        <v>0</v>
      </c>
      <c r="I1183" s="21">
        <f t="shared" si="93"/>
        <v>0</v>
      </c>
      <c r="J1183" s="16">
        <f t="shared" si="94"/>
        <v>-10</v>
      </c>
      <c r="K1183" s="106" t="e">
        <f>VLOOKUP(C1183,'RAW DATA 2023'!E:BO,36,0)</f>
        <v>#N/A</v>
      </c>
      <c r="L1183" s="106" t="e">
        <f>VLOOKUP(C1183,'RAW DATA 2023'!E:BO,21,0)</f>
        <v>#N/A</v>
      </c>
      <c r="M1183" s="106" t="e">
        <f t="shared" si="95"/>
        <v>#N/A</v>
      </c>
    </row>
    <row r="1184" spans="1:13">
      <c r="A1184">
        <f>'RAW DATA 2023'!B1177</f>
        <v>0</v>
      </c>
      <c r="B1184">
        <f>'RAW DATA 2023'!D1177</f>
        <v>0</v>
      </c>
      <c r="C1184" t="str">
        <f t="shared" si="91"/>
        <v>00</v>
      </c>
      <c r="D1184" t="e">
        <f>VLOOKUP(C1184,'RAW DATA 2023'!E:BP,63,0)</f>
        <v>#N/A</v>
      </c>
      <c r="E1184" t="e">
        <f t="shared" si="92"/>
        <v>#N/A</v>
      </c>
      <c r="F1184" t="e">
        <f>ROUND(VLOOKUP(C1184,'RAW DATA 2023'!E:BO,23,0),0)</f>
        <v>#N/A</v>
      </c>
      <c r="G1184" s="16" t="e">
        <f>VLOOKUP(C1184,'RAW DATA 2023'!E:BO,27,0)</f>
        <v>#N/A</v>
      </c>
      <c r="H1184" s="16">
        <f>IFERROR(VLOOKUP(F1184,STD!B:G,5,0),0)</f>
        <v>0</v>
      </c>
      <c r="I1184" s="21">
        <f t="shared" si="93"/>
        <v>0</v>
      </c>
      <c r="J1184" s="16">
        <f t="shared" si="94"/>
        <v>-10</v>
      </c>
      <c r="K1184" s="106" t="e">
        <f>VLOOKUP(C1184,'RAW DATA 2023'!E:BO,36,0)</f>
        <v>#N/A</v>
      </c>
      <c r="L1184" s="106" t="e">
        <f>VLOOKUP(C1184,'RAW DATA 2023'!E:BO,21,0)</f>
        <v>#N/A</v>
      </c>
      <c r="M1184" s="106" t="e">
        <f t="shared" si="95"/>
        <v>#N/A</v>
      </c>
    </row>
    <row r="1185" spans="1:13">
      <c r="A1185">
        <f>'RAW DATA 2023'!B1178</f>
        <v>0</v>
      </c>
      <c r="B1185">
        <f>'RAW DATA 2023'!D1178</f>
        <v>0</v>
      </c>
      <c r="C1185" t="str">
        <f t="shared" si="91"/>
        <v>00</v>
      </c>
      <c r="D1185" t="e">
        <f>VLOOKUP(C1185,'RAW DATA 2023'!E:BP,63,0)</f>
        <v>#N/A</v>
      </c>
      <c r="E1185" t="e">
        <f t="shared" si="92"/>
        <v>#N/A</v>
      </c>
      <c r="F1185" t="e">
        <f>ROUND(VLOOKUP(C1185,'RAW DATA 2023'!E:BO,23,0),0)</f>
        <v>#N/A</v>
      </c>
      <c r="G1185" s="16" t="e">
        <f>VLOOKUP(C1185,'RAW DATA 2023'!E:BO,27,0)</f>
        <v>#N/A</v>
      </c>
      <c r="H1185" s="16">
        <f>IFERROR(VLOOKUP(F1185,STD!B:G,5,0),0)</f>
        <v>0</v>
      </c>
      <c r="I1185" s="21">
        <f t="shared" si="93"/>
        <v>0</v>
      </c>
      <c r="J1185" s="16">
        <f t="shared" si="94"/>
        <v>-10</v>
      </c>
      <c r="K1185" s="106" t="e">
        <f>VLOOKUP(C1185,'RAW DATA 2023'!E:BO,36,0)</f>
        <v>#N/A</v>
      </c>
      <c r="L1185" s="106" t="e">
        <f>VLOOKUP(C1185,'RAW DATA 2023'!E:BO,21,0)</f>
        <v>#N/A</v>
      </c>
      <c r="M1185" s="106" t="e">
        <f t="shared" si="95"/>
        <v>#N/A</v>
      </c>
    </row>
    <row r="1186" spans="1:13">
      <c r="A1186">
        <f>'RAW DATA 2023'!B1179</f>
        <v>0</v>
      </c>
      <c r="B1186">
        <f>'RAW DATA 2023'!D1179</f>
        <v>0</v>
      </c>
      <c r="C1186" t="str">
        <f t="shared" si="91"/>
        <v>00</v>
      </c>
      <c r="D1186" t="e">
        <f>VLOOKUP(C1186,'RAW DATA 2023'!E:BP,63,0)</f>
        <v>#N/A</v>
      </c>
      <c r="E1186" t="e">
        <f t="shared" si="92"/>
        <v>#N/A</v>
      </c>
      <c r="F1186" t="e">
        <f>ROUND(VLOOKUP(C1186,'RAW DATA 2023'!E:BO,23,0),0)</f>
        <v>#N/A</v>
      </c>
      <c r="G1186" s="16" t="e">
        <f>VLOOKUP(C1186,'RAW DATA 2023'!E:BO,27,0)</f>
        <v>#N/A</v>
      </c>
      <c r="H1186" s="16">
        <f>IFERROR(VLOOKUP(F1186,STD!B:G,5,0),0)</f>
        <v>0</v>
      </c>
      <c r="I1186" s="21">
        <f t="shared" si="93"/>
        <v>0</v>
      </c>
      <c r="J1186" s="16">
        <f t="shared" si="94"/>
        <v>-10</v>
      </c>
      <c r="K1186" s="106" t="e">
        <f>VLOOKUP(C1186,'RAW DATA 2023'!E:BO,36,0)</f>
        <v>#N/A</v>
      </c>
      <c r="L1186" s="106" t="e">
        <f>VLOOKUP(C1186,'RAW DATA 2023'!E:BO,21,0)</f>
        <v>#N/A</v>
      </c>
      <c r="M1186" s="106" t="e">
        <f t="shared" si="95"/>
        <v>#N/A</v>
      </c>
    </row>
    <row r="1187" spans="1:13">
      <c r="A1187">
        <f>'RAW DATA 2023'!B1180</f>
        <v>0</v>
      </c>
      <c r="B1187">
        <f>'RAW DATA 2023'!D1180</f>
        <v>0</v>
      </c>
      <c r="C1187" t="str">
        <f t="shared" si="91"/>
        <v>00</v>
      </c>
      <c r="D1187" t="e">
        <f>VLOOKUP(C1187,'RAW DATA 2023'!E:BP,63,0)</f>
        <v>#N/A</v>
      </c>
      <c r="E1187" t="e">
        <f t="shared" si="92"/>
        <v>#N/A</v>
      </c>
      <c r="F1187" t="e">
        <f>ROUND(VLOOKUP(C1187,'RAW DATA 2023'!E:BO,23,0),0)</f>
        <v>#N/A</v>
      </c>
      <c r="G1187" s="16" t="e">
        <f>VLOOKUP(C1187,'RAW DATA 2023'!E:BO,27,0)</f>
        <v>#N/A</v>
      </c>
      <c r="H1187" s="16">
        <f>IFERROR(VLOOKUP(F1187,STD!B:G,5,0),0)</f>
        <v>0</v>
      </c>
      <c r="I1187" s="21">
        <f t="shared" si="93"/>
        <v>0</v>
      </c>
      <c r="J1187" s="16">
        <f t="shared" si="94"/>
        <v>-10</v>
      </c>
      <c r="K1187" s="106" t="e">
        <f>VLOOKUP(C1187,'RAW DATA 2023'!E:BO,36,0)</f>
        <v>#N/A</v>
      </c>
      <c r="L1187" s="106" t="e">
        <f>VLOOKUP(C1187,'RAW DATA 2023'!E:BO,21,0)</f>
        <v>#N/A</v>
      </c>
      <c r="M1187" s="106" t="e">
        <f t="shared" si="95"/>
        <v>#N/A</v>
      </c>
    </row>
    <row r="1188" spans="1:13">
      <c r="A1188">
        <f>'RAW DATA 2023'!B1181</f>
        <v>0</v>
      </c>
      <c r="B1188">
        <f>'RAW DATA 2023'!D1181</f>
        <v>0</v>
      </c>
      <c r="C1188" t="str">
        <f t="shared" si="91"/>
        <v>00</v>
      </c>
      <c r="D1188" t="e">
        <f>VLOOKUP(C1188,'RAW DATA 2023'!E:BP,63,0)</f>
        <v>#N/A</v>
      </c>
      <c r="E1188" t="e">
        <f t="shared" si="92"/>
        <v>#N/A</v>
      </c>
      <c r="F1188" t="e">
        <f>ROUND(VLOOKUP(C1188,'RAW DATA 2023'!E:BO,23,0),0)</f>
        <v>#N/A</v>
      </c>
      <c r="G1188" s="16" t="e">
        <f>VLOOKUP(C1188,'RAW DATA 2023'!E:BO,27,0)</f>
        <v>#N/A</v>
      </c>
      <c r="H1188" s="16">
        <f>IFERROR(VLOOKUP(F1188,STD!B:G,5,0),0)</f>
        <v>0</v>
      </c>
      <c r="I1188" s="21">
        <f t="shared" si="93"/>
        <v>0</v>
      </c>
      <c r="J1188" s="16">
        <f t="shared" si="94"/>
        <v>-10</v>
      </c>
      <c r="K1188" s="106" t="e">
        <f>VLOOKUP(C1188,'RAW DATA 2023'!E:BO,36,0)</f>
        <v>#N/A</v>
      </c>
      <c r="L1188" s="106" t="e">
        <f>VLOOKUP(C1188,'RAW DATA 2023'!E:BO,21,0)</f>
        <v>#N/A</v>
      </c>
      <c r="M1188" s="106" t="e">
        <f t="shared" si="95"/>
        <v>#N/A</v>
      </c>
    </row>
    <row r="1189" spans="1:13">
      <c r="A1189">
        <f>'RAW DATA 2023'!B1182</f>
        <v>0</v>
      </c>
      <c r="B1189">
        <f>'RAW DATA 2023'!D1182</f>
        <v>0</v>
      </c>
      <c r="C1189" t="str">
        <f t="shared" si="91"/>
        <v>00</v>
      </c>
      <c r="D1189" t="e">
        <f>VLOOKUP(C1189,'RAW DATA 2023'!E:BP,63,0)</f>
        <v>#N/A</v>
      </c>
      <c r="E1189" t="e">
        <f t="shared" si="92"/>
        <v>#N/A</v>
      </c>
      <c r="F1189" t="e">
        <f>ROUND(VLOOKUP(C1189,'RAW DATA 2023'!E:BO,23,0),0)</f>
        <v>#N/A</v>
      </c>
      <c r="G1189" s="16" t="e">
        <f>VLOOKUP(C1189,'RAW DATA 2023'!E:BO,27,0)</f>
        <v>#N/A</v>
      </c>
      <c r="H1189" s="16">
        <f>IFERROR(VLOOKUP(F1189,STD!B:G,5,0),0)</f>
        <v>0</v>
      </c>
      <c r="I1189" s="21">
        <f t="shared" si="93"/>
        <v>0</v>
      </c>
      <c r="J1189" s="16">
        <f t="shared" si="94"/>
        <v>-10</v>
      </c>
      <c r="K1189" s="106" t="e">
        <f>VLOOKUP(C1189,'RAW DATA 2023'!E:BO,36,0)</f>
        <v>#N/A</v>
      </c>
      <c r="L1189" s="106" t="e">
        <f>VLOOKUP(C1189,'RAW DATA 2023'!E:BO,21,0)</f>
        <v>#N/A</v>
      </c>
      <c r="M1189" s="106" t="e">
        <f t="shared" si="95"/>
        <v>#N/A</v>
      </c>
    </row>
    <row r="1190" spans="1:13">
      <c r="A1190">
        <f>'RAW DATA 2023'!B1183</f>
        <v>0</v>
      </c>
      <c r="B1190">
        <f>'RAW DATA 2023'!D1183</f>
        <v>0</v>
      </c>
      <c r="C1190" t="str">
        <f t="shared" si="91"/>
        <v>00</v>
      </c>
      <c r="D1190" t="e">
        <f>VLOOKUP(C1190,'RAW DATA 2023'!E:BP,63,0)</f>
        <v>#N/A</v>
      </c>
      <c r="E1190" t="e">
        <f t="shared" si="92"/>
        <v>#N/A</v>
      </c>
      <c r="F1190" t="e">
        <f>ROUND(VLOOKUP(C1190,'RAW DATA 2023'!E:BO,23,0),0)</f>
        <v>#N/A</v>
      </c>
      <c r="G1190" s="16" t="e">
        <f>VLOOKUP(C1190,'RAW DATA 2023'!E:BO,27,0)</f>
        <v>#N/A</v>
      </c>
      <c r="H1190" s="16">
        <f>IFERROR(VLOOKUP(F1190,STD!B:G,5,0),0)</f>
        <v>0</v>
      </c>
      <c r="I1190" s="21">
        <f t="shared" si="93"/>
        <v>0</v>
      </c>
      <c r="J1190" s="16">
        <f t="shared" si="94"/>
        <v>-10</v>
      </c>
      <c r="K1190" s="106" t="e">
        <f>VLOOKUP(C1190,'RAW DATA 2023'!E:BO,36,0)</f>
        <v>#N/A</v>
      </c>
      <c r="L1190" s="106" t="e">
        <f>VLOOKUP(C1190,'RAW DATA 2023'!E:BO,21,0)</f>
        <v>#N/A</v>
      </c>
      <c r="M1190" s="106" t="e">
        <f t="shared" si="95"/>
        <v>#N/A</v>
      </c>
    </row>
    <row r="1191" spans="1:13">
      <c r="A1191">
        <f>'RAW DATA 2023'!B1184</f>
        <v>0</v>
      </c>
      <c r="B1191">
        <f>'RAW DATA 2023'!D1184</f>
        <v>0</v>
      </c>
      <c r="C1191" t="str">
        <f t="shared" si="91"/>
        <v>00</v>
      </c>
      <c r="D1191" t="e">
        <f>VLOOKUP(C1191,'RAW DATA 2023'!E:BP,63,0)</f>
        <v>#N/A</v>
      </c>
      <c r="E1191" t="e">
        <f t="shared" si="92"/>
        <v>#N/A</v>
      </c>
      <c r="F1191" t="e">
        <f>ROUND(VLOOKUP(C1191,'RAW DATA 2023'!E:BO,23,0),0)</f>
        <v>#N/A</v>
      </c>
      <c r="G1191" s="16" t="e">
        <f>VLOOKUP(C1191,'RAW DATA 2023'!E:BO,27,0)</f>
        <v>#N/A</v>
      </c>
      <c r="H1191" s="16">
        <f>IFERROR(VLOOKUP(F1191,STD!B:G,5,0),0)</f>
        <v>0</v>
      </c>
      <c r="I1191" s="21">
        <f t="shared" si="93"/>
        <v>0</v>
      </c>
      <c r="J1191" s="16">
        <f t="shared" si="94"/>
        <v>-10</v>
      </c>
      <c r="K1191" s="106" t="e">
        <f>VLOOKUP(C1191,'RAW DATA 2023'!E:BO,36,0)</f>
        <v>#N/A</v>
      </c>
      <c r="L1191" s="106" t="e">
        <f>VLOOKUP(C1191,'RAW DATA 2023'!E:BO,21,0)</f>
        <v>#N/A</v>
      </c>
      <c r="M1191" s="106" t="e">
        <f t="shared" si="95"/>
        <v>#N/A</v>
      </c>
    </row>
    <row r="1192" spans="1:13">
      <c r="A1192">
        <f>'RAW DATA 2023'!B1185</f>
        <v>0</v>
      </c>
      <c r="B1192">
        <f>'RAW DATA 2023'!D1185</f>
        <v>0</v>
      </c>
      <c r="C1192" t="str">
        <f t="shared" si="91"/>
        <v>00</v>
      </c>
      <c r="D1192" t="e">
        <f>VLOOKUP(C1192,'RAW DATA 2023'!E:BP,63,0)</f>
        <v>#N/A</v>
      </c>
      <c r="E1192" t="e">
        <f t="shared" si="92"/>
        <v>#N/A</v>
      </c>
      <c r="F1192" t="e">
        <f>ROUND(VLOOKUP(C1192,'RAW DATA 2023'!E:BO,23,0),0)</f>
        <v>#N/A</v>
      </c>
      <c r="G1192" s="16" t="e">
        <f>VLOOKUP(C1192,'RAW DATA 2023'!E:BO,27,0)</f>
        <v>#N/A</v>
      </c>
      <c r="H1192" s="16">
        <f>IFERROR(VLOOKUP(F1192,STD!B:G,5,0),0)</f>
        <v>0</v>
      </c>
      <c r="I1192" s="21">
        <f t="shared" si="93"/>
        <v>0</v>
      </c>
      <c r="J1192" s="16">
        <f t="shared" si="94"/>
        <v>-10</v>
      </c>
      <c r="K1192" s="106" t="e">
        <f>VLOOKUP(C1192,'RAW DATA 2023'!E:BO,36,0)</f>
        <v>#N/A</v>
      </c>
      <c r="L1192" s="106" t="e">
        <f>VLOOKUP(C1192,'RAW DATA 2023'!E:BO,21,0)</f>
        <v>#N/A</v>
      </c>
      <c r="M1192" s="106" t="e">
        <f t="shared" si="95"/>
        <v>#N/A</v>
      </c>
    </row>
    <row r="1193" spans="1:13">
      <c r="A1193">
        <f>'RAW DATA 2023'!B1186</f>
        <v>0</v>
      </c>
      <c r="B1193">
        <f>'RAW DATA 2023'!D1186</f>
        <v>0</v>
      </c>
      <c r="C1193" t="str">
        <f t="shared" si="91"/>
        <v>00</v>
      </c>
      <c r="D1193" t="e">
        <f>VLOOKUP(C1193,'RAW DATA 2023'!E:BP,63,0)</f>
        <v>#N/A</v>
      </c>
      <c r="E1193" t="e">
        <f t="shared" si="92"/>
        <v>#N/A</v>
      </c>
      <c r="F1193" t="e">
        <f>ROUND(VLOOKUP(C1193,'RAW DATA 2023'!E:BO,23,0),0)</f>
        <v>#N/A</v>
      </c>
      <c r="G1193" s="16" t="e">
        <f>VLOOKUP(C1193,'RAW DATA 2023'!E:BO,27,0)</f>
        <v>#N/A</v>
      </c>
      <c r="H1193" s="16">
        <f>IFERROR(VLOOKUP(F1193,STD!B:G,5,0),0)</f>
        <v>0</v>
      </c>
      <c r="I1193" s="21">
        <f t="shared" si="93"/>
        <v>0</v>
      </c>
      <c r="J1193" s="16">
        <f t="shared" si="94"/>
        <v>-10</v>
      </c>
      <c r="K1193" s="106" t="e">
        <f>VLOOKUP(C1193,'RAW DATA 2023'!E:BO,36,0)</f>
        <v>#N/A</v>
      </c>
      <c r="L1193" s="106" t="e">
        <f>VLOOKUP(C1193,'RAW DATA 2023'!E:BO,21,0)</f>
        <v>#N/A</v>
      </c>
      <c r="M1193" s="106" t="e">
        <f t="shared" si="95"/>
        <v>#N/A</v>
      </c>
    </row>
    <row r="1194" spans="1:13">
      <c r="A1194">
        <f>'RAW DATA 2023'!B1187</f>
        <v>0</v>
      </c>
      <c r="B1194">
        <f>'RAW DATA 2023'!D1187</f>
        <v>0</v>
      </c>
      <c r="C1194" t="str">
        <f t="shared" si="91"/>
        <v>00</v>
      </c>
      <c r="D1194" t="e">
        <f>VLOOKUP(C1194,'RAW DATA 2023'!E:BP,63,0)</f>
        <v>#N/A</v>
      </c>
      <c r="E1194" t="e">
        <f t="shared" si="92"/>
        <v>#N/A</v>
      </c>
      <c r="F1194" t="e">
        <f>ROUND(VLOOKUP(C1194,'RAW DATA 2023'!E:BO,23,0),0)</f>
        <v>#N/A</v>
      </c>
      <c r="G1194" s="16" t="e">
        <f>VLOOKUP(C1194,'RAW DATA 2023'!E:BO,27,0)</f>
        <v>#N/A</v>
      </c>
      <c r="H1194" s="16">
        <f>IFERROR(VLOOKUP(F1194,STD!B:G,5,0),0)</f>
        <v>0</v>
      </c>
      <c r="I1194" s="21">
        <f t="shared" si="93"/>
        <v>0</v>
      </c>
      <c r="J1194" s="16">
        <f t="shared" si="94"/>
        <v>-10</v>
      </c>
      <c r="K1194" s="106" t="e">
        <f>VLOOKUP(C1194,'RAW DATA 2023'!E:BO,36,0)</f>
        <v>#N/A</v>
      </c>
      <c r="L1194" s="106" t="e">
        <f>VLOOKUP(C1194,'RAW DATA 2023'!E:BO,21,0)</f>
        <v>#N/A</v>
      </c>
      <c r="M1194" s="106" t="e">
        <f t="shared" si="95"/>
        <v>#N/A</v>
      </c>
    </row>
    <row r="1195" spans="1:13">
      <c r="A1195">
        <f>'RAW DATA 2023'!B1188</f>
        <v>0</v>
      </c>
      <c r="B1195">
        <f>'RAW DATA 2023'!D1188</f>
        <v>0</v>
      </c>
      <c r="C1195" t="str">
        <f t="shared" si="91"/>
        <v>00</v>
      </c>
      <c r="D1195" t="e">
        <f>VLOOKUP(C1195,'RAW DATA 2023'!E:BP,63,0)</f>
        <v>#N/A</v>
      </c>
      <c r="E1195" t="e">
        <f t="shared" si="92"/>
        <v>#N/A</v>
      </c>
      <c r="F1195" t="e">
        <f>ROUND(VLOOKUP(C1195,'RAW DATA 2023'!E:BO,23,0),0)</f>
        <v>#N/A</v>
      </c>
      <c r="G1195" s="16" t="e">
        <f>VLOOKUP(C1195,'RAW DATA 2023'!E:BO,27,0)</f>
        <v>#N/A</v>
      </c>
      <c r="H1195" s="16">
        <f>IFERROR(VLOOKUP(F1195,STD!B:G,5,0),0)</f>
        <v>0</v>
      </c>
      <c r="I1195" s="21">
        <f t="shared" si="93"/>
        <v>0</v>
      </c>
      <c r="J1195" s="16">
        <f t="shared" si="94"/>
        <v>-10</v>
      </c>
      <c r="K1195" s="106" t="e">
        <f>VLOOKUP(C1195,'RAW DATA 2023'!E:BO,36,0)</f>
        <v>#N/A</v>
      </c>
      <c r="L1195" s="106" t="e">
        <f>VLOOKUP(C1195,'RAW DATA 2023'!E:BO,21,0)</f>
        <v>#N/A</v>
      </c>
      <c r="M1195" s="106" t="e">
        <f t="shared" si="95"/>
        <v>#N/A</v>
      </c>
    </row>
    <row r="1196" spans="1:13">
      <c r="A1196">
        <f>'RAW DATA 2023'!B1189</f>
        <v>0</v>
      </c>
      <c r="B1196">
        <f>'RAW DATA 2023'!D1189</f>
        <v>0</v>
      </c>
      <c r="C1196" t="str">
        <f t="shared" si="91"/>
        <v>00</v>
      </c>
      <c r="D1196" t="e">
        <f>VLOOKUP(C1196,'RAW DATA 2023'!E:BP,63,0)</f>
        <v>#N/A</v>
      </c>
      <c r="E1196" t="e">
        <f t="shared" si="92"/>
        <v>#N/A</v>
      </c>
      <c r="F1196" t="e">
        <f>ROUND(VLOOKUP(C1196,'RAW DATA 2023'!E:BO,23,0),0)</f>
        <v>#N/A</v>
      </c>
      <c r="G1196" s="16" t="e">
        <f>VLOOKUP(C1196,'RAW DATA 2023'!E:BO,27,0)</f>
        <v>#N/A</v>
      </c>
      <c r="H1196" s="16">
        <f>IFERROR(VLOOKUP(F1196,STD!B:G,5,0),0)</f>
        <v>0</v>
      </c>
      <c r="I1196" s="21">
        <f t="shared" si="93"/>
        <v>0</v>
      </c>
      <c r="J1196" s="16">
        <f t="shared" si="94"/>
        <v>-10</v>
      </c>
      <c r="K1196" s="106" t="e">
        <f>VLOOKUP(C1196,'RAW DATA 2023'!E:BO,36,0)</f>
        <v>#N/A</v>
      </c>
      <c r="L1196" s="106" t="e">
        <f>VLOOKUP(C1196,'RAW DATA 2023'!E:BO,21,0)</f>
        <v>#N/A</v>
      </c>
      <c r="M1196" s="106" t="e">
        <f t="shared" si="95"/>
        <v>#N/A</v>
      </c>
    </row>
    <row r="1197" spans="1:13">
      <c r="A1197">
        <f>'RAW DATA 2023'!B1190</f>
        <v>0</v>
      </c>
      <c r="B1197">
        <f>'RAW DATA 2023'!D1190</f>
        <v>0</v>
      </c>
      <c r="C1197" t="str">
        <f t="shared" si="91"/>
        <v>00</v>
      </c>
      <c r="D1197" t="e">
        <f>VLOOKUP(C1197,'RAW DATA 2023'!E:BP,63,0)</f>
        <v>#N/A</v>
      </c>
      <c r="E1197" t="e">
        <f t="shared" si="92"/>
        <v>#N/A</v>
      </c>
      <c r="F1197" t="e">
        <f>ROUND(VLOOKUP(C1197,'RAW DATA 2023'!E:BO,23,0),0)</f>
        <v>#N/A</v>
      </c>
      <c r="G1197" s="16" t="e">
        <f>VLOOKUP(C1197,'RAW DATA 2023'!E:BO,27,0)</f>
        <v>#N/A</v>
      </c>
      <c r="H1197" s="16">
        <f>IFERROR(VLOOKUP(F1197,STD!B:G,5,0),0)</f>
        <v>0</v>
      </c>
      <c r="I1197" s="21">
        <f t="shared" si="93"/>
        <v>0</v>
      </c>
      <c r="J1197" s="16">
        <f t="shared" si="94"/>
        <v>-10</v>
      </c>
      <c r="K1197" s="106" t="e">
        <f>VLOOKUP(C1197,'RAW DATA 2023'!E:BO,36,0)</f>
        <v>#N/A</v>
      </c>
      <c r="L1197" s="106" t="e">
        <f>VLOOKUP(C1197,'RAW DATA 2023'!E:BO,21,0)</f>
        <v>#N/A</v>
      </c>
      <c r="M1197" s="106" t="e">
        <f t="shared" si="95"/>
        <v>#N/A</v>
      </c>
    </row>
    <row r="1198" spans="1:13">
      <c r="A1198">
        <f>'RAW DATA 2023'!B1191</f>
        <v>0</v>
      </c>
      <c r="B1198">
        <f>'RAW DATA 2023'!D1191</f>
        <v>0</v>
      </c>
      <c r="C1198" t="str">
        <f t="shared" si="91"/>
        <v>00</v>
      </c>
      <c r="D1198" t="e">
        <f>VLOOKUP(C1198,'RAW DATA 2023'!E:BP,63,0)</f>
        <v>#N/A</v>
      </c>
      <c r="E1198" t="e">
        <f t="shared" si="92"/>
        <v>#N/A</v>
      </c>
      <c r="F1198" t="e">
        <f>ROUND(VLOOKUP(C1198,'RAW DATA 2023'!E:BO,23,0),0)</f>
        <v>#N/A</v>
      </c>
      <c r="G1198" s="16" t="e">
        <f>VLOOKUP(C1198,'RAW DATA 2023'!E:BO,27,0)</f>
        <v>#N/A</v>
      </c>
      <c r="H1198" s="16">
        <f>IFERROR(VLOOKUP(F1198,STD!B:G,5,0),0)</f>
        <v>0</v>
      </c>
      <c r="I1198" s="21">
        <f t="shared" si="93"/>
        <v>0</v>
      </c>
      <c r="J1198" s="16">
        <f t="shared" si="94"/>
        <v>-10</v>
      </c>
      <c r="K1198" s="106" t="e">
        <f>VLOOKUP(C1198,'RAW DATA 2023'!E:BO,36,0)</f>
        <v>#N/A</v>
      </c>
      <c r="L1198" s="106" t="e">
        <f>VLOOKUP(C1198,'RAW DATA 2023'!E:BO,21,0)</f>
        <v>#N/A</v>
      </c>
      <c r="M1198" s="106" t="e">
        <f t="shared" si="95"/>
        <v>#N/A</v>
      </c>
    </row>
    <row r="1199" spans="1:13">
      <c r="A1199">
        <f>'RAW DATA 2023'!B1192</f>
        <v>0</v>
      </c>
      <c r="B1199">
        <f>'RAW DATA 2023'!D1192</f>
        <v>0</v>
      </c>
      <c r="C1199" t="str">
        <f t="shared" si="91"/>
        <v>00</v>
      </c>
      <c r="D1199" t="e">
        <f>VLOOKUP(C1199,'RAW DATA 2023'!E:BP,63,0)</f>
        <v>#N/A</v>
      </c>
      <c r="E1199" t="e">
        <f t="shared" si="92"/>
        <v>#N/A</v>
      </c>
      <c r="F1199" t="e">
        <f>ROUND(VLOOKUP(C1199,'RAW DATA 2023'!E:BO,23,0),0)</f>
        <v>#N/A</v>
      </c>
      <c r="G1199" s="16" t="e">
        <f>VLOOKUP(C1199,'RAW DATA 2023'!E:BO,27,0)</f>
        <v>#N/A</v>
      </c>
      <c r="H1199" s="16">
        <f>IFERROR(VLOOKUP(F1199,STD!B:G,5,0),0)</f>
        <v>0</v>
      </c>
      <c r="I1199" s="21">
        <f t="shared" si="93"/>
        <v>0</v>
      </c>
      <c r="J1199" s="16">
        <f t="shared" si="94"/>
        <v>-10</v>
      </c>
      <c r="K1199" s="106" t="e">
        <f>VLOOKUP(C1199,'RAW DATA 2023'!E:BO,36,0)</f>
        <v>#N/A</v>
      </c>
      <c r="L1199" s="106" t="e">
        <f>VLOOKUP(C1199,'RAW DATA 2023'!E:BO,21,0)</f>
        <v>#N/A</v>
      </c>
      <c r="M1199" s="106" t="e">
        <f t="shared" si="95"/>
        <v>#N/A</v>
      </c>
    </row>
    <row r="1200" spans="1:13">
      <c r="A1200">
        <f>'RAW DATA 2023'!B1193</f>
        <v>0</v>
      </c>
      <c r="B1200">
        <f>'RAW DATA 2023'!D1193</f>
        <v>0</v>
      </c>
      <c r="C1200" t="str">
        <f t="shared" si="91"/>
        <v>00</v>
      </c>
      <c r="D1200" t="e">
        <f>VLOOKUP(C1200,'RAW DATA 2023'!E:BP,63,0)</f>
        <v>#N/A</v>
      </c>
      <c r="E1200" t="e">
        <f t="shared" si="92"/>
        <v>#N/A</v>
      </c>
      <c r="F1200" t="e">
        <f>ROUND(VLOOKUP(C1200,'RAW DATA 2023'!E:BO,23,0),0)</f>
        <v>#N/A</v>
      </c>
      <c r="G1200" s="16" t="e">
        <f>VLOOKUP(C1200,'RAW DATA 2023'!E:BO,27,0)</f>
        <v>#N/A</v>
      </c>
      <c r="H1200" s="16">
        <f>IFERROR(VLOOKUP(F1200,STD!B:G,5,0),0)</f>
        <v>0</v>
      </c>
      <c r="I1200" s="21">
        <f t="shared" si="93"/>
        <v>0</v>
      </c>
      <c r="J1200" s="16">
        <f t="shared" si="94"/>
        <v>-10</v>
      </c>
      <c r="K1200" s="106" t="e">
        <f>VLOOKUP(C1200,'RAW DATA 2023'!E:BO,36,0)</f>
        <v>#N/A</v>
      </c>
      <c r="L1200" s="106" t="e">
        <f>VLOOKUP(C1200,'RAW DATA 2023'!E:BO,21,0)</f>
        <v>#N/A</v>
      </c>
      <c r="M1200" s="106" t="e">
        <f t="shared" si="95"/>
        <v>#N/A</v>
      </c>
    </row>
    <row r="1201" spans="1:13">
      <c r="A1201">
        <f>'RAW DATA 2023'!B1194</f>
        <v>0</v>
      </c>
      <c r="B1201">
        <f>'RAW DATA 2023'!D1194</f>
        <v>0</v>
      </c>
      <c r="C1201" t="str">
        <f t="shared" si="91"/>
        <v>00</v>
      </c>
      <c r="D1201" t="e">
        <f>VLOOKUP(C1201,'RAW DATA 2023'!E:BP,63,0)</f>
        <v>#N/A</v>
      </c>
      <c r="E1201" t="e">
        <f t="shared" si="92"/>
        <v>#N/A</v>
      </c>
      <c r="F1201" t="e">
        <f>ROUND(VLOOKUP(C1201,'RAW DATA 2023'!E:BO,23,0),0)</f>
        <v>#N/A</v>
      </c>
      <c r="G1201" s="16" t="e">
        <f>VLOOKUP(C1201,'RAW DATA 2023'!E:BO,27,0)</f>
        <v>#N/A</v>
      </c>
      <c r="H1201" s="16">
        <f>IFERROR(VLOOKUP(F1201,STD!B:G,5,0),0)</f>
        <v>0</v>
      </c>
      <c r="I1201" s="21">
        <f t="shared" si="93"/>
        <v>0</v>
      </c>
      <c r="J1201" s="16">
        <f t="shared" si="94"/>
        <v>-10</v>
      </c>
      <c r="K1201" s="106" t="e">
        <f>VLOOKUP(C1201,'RAW DATA 2023'!E:BO,36,0)</f>
        <v>#N/A</v>
      </c>
      <c r="L1201" s="106" t="e">
        <f>VLOOKUP(C1201,'RAW DATA 2023'!E:BO,21,0)</f>
        <v>#N/A</v>
      </c>
      <c r="M1201" s="106" t="e">
        <f t="shared" si="95"/>
        <v>#N/A</v>
      </c>
    </row>
    <row r="1202" spans="1:13">
      <c r="A1202">
        <f>'RAW DATA 2023'!B1195</f>
        <v>0</v>
      </c>
      <c r="B1202">
        <f>'RAW DATA 2023'!D1195</f>
        <v>0</v>
      </c>
      <c r="C1202" t="str">
        <f t="shared" si="91"/>
        <v>00</v>
      </c>
      <c r="D1202" t="e">
        <f>VLOOKUP(C1202,'RAW DATA 2023'!E:BP,63,0)</f>
        <v>#N/A</v>
      </c>
      <c r="E1202" t="e">
        <f t="shared" si="92"/>
        <v>#N/A</v>
      </c>
      <c r="F1202" t="e">
        <f>ROUND(VLOOKUP(C1202,'RAW DATA 2023'!E:BO,23,0),0)</f>
        <v>#N/A</v>
      </c>
      <c r="G1202" s="16" t="e">
        <f>VLOOKUP(C1202,'RAW DATA 2023'!E:BO,27,0)</f>
        <v>#N/A</v>
      </c>
      <c r="H1202" s="16">
        <f>IFERROR(VLOOKUP(F1202,STD!B:G,5,0),0)</f>
        <v>0</v>
      </c>
      <c r="I1202" s="21">
        <f t="shared" si="93"/>
        <v>0</v>
      </c>
      <c r="J1202" s="16">
        <f t="shared" si="94"/>
        <v>-10</v>
      </c>
      <c r="K1202" s="106" t="e">
        <f>VLOOKUP(C1202,'RAW DATA 2023'!E:BO,36,0)</f>
        <v>#N/A</v>
      </c>
      <c r="L1202" s="106" t="e">
        <f>VLOOKUP(C1202,'RAW DATA 2023'!E:BO,21,0)</f>
        <v>#N/A</v>
      </c>
      <c r="M1202" s="106" t="e">
        <f t="shared" si="95"/>
        <v>#N/A</v>
      </c>
    </row>
    <row r="1203" spans="1:13">
      <c r="A1203">
        <f>'RAW DATA 2023'!B1196</f>
        <v>0</v>
      </c>
      <c r="B1203">
        <f>'RAW DATA 2023'!D1196</f>
        <v>0</v>
      </c>
      <c r="C1203" t="str">
        <f t="shared" si="91"/>
        <v>00</v>
      </c>
      <c r="D1203" t="e">
        <f>VLOOKUP(C1203,'RAW DATA 2023'!E:BP,63,0)</f>
        <v>#N/A</v>
      </c>
      <c r="E1203" t="e">
        <f t="shared" si="92"/>
        <v>#N/A</v>
      </c>
      <c r="F1203" t="e">
        <f>ROUND(VLOOKUP(C1203,'RAW DATA 2023'!E:BO,23,0),0)</f>
        <v>#N/A</v>
      </c>
      <c r="G1203" s="16" t="e">
        <f>VLOOKUP(C1203,'RAW DATA 2023'!E:BO,27,0)</f>
        <v>#N/A</v>
      </c>
      <c r="H1203" s="16">
        <f>IFERROR(VLOOKUP(F1203,STD!B:G,5,0),0)</f>
        <v>0</v>
      </c>
      <c r="I1203" s="21">
        <f t="shared" si="93"/>
        <v>0</v>
      </c>
      <c r="J1203" s="16">
        <f t="shared" si="94"/>
        <v>-10</v>
      </c>
      <c r="K1203" s="106" t="e">
        <f>VLOOKUP(C1203,'RAW DATA 2023'!E:BO,36,0)</f>
        <v>#N/A</v>
      </c>
      <c r="L1203" s="106" t="e">
        <f>VLOOKUP(C1203,'RAW DATA 2023'!E:BO,21,0)</f>
        <v>#N/A</v>
      </c>
      <c r="M1203" s="106" t="e">
        <f t="shared" si="95"/>
        <v>#N/A</v>
      </c>
    </row>
    <row r="1204" spans="1:13">
      <c r="A1204">
        <f>'RAW DATA 2023'!B1197</f>
        <v>0</v>
      </c>
      <c r="B1204">
        <f>'RAW DATA 2023'!D1197</f>
        <v>0</v>
      </c>
      <c r="C1204" t="str">
        <f t="shared" si="91"/>
        <v>00</v>
      </c>
      <c r="D1204" t="e">
        <f>VLOOKUP(C1204,'RAW DATA 2023'!E:BP,63,0)</f>
        <v>#N/A</v>
      </c>
      <c r="E1204" t="e">
        <f t="shared" si="92"/>
        <v>#N/A</v>
      </c>
      <c r="F1204" t="e">
        <f>ROUND(VLOOKUP(C1204,'RAW DATA 2023'!E:BO,23,0),0)</f>
        <v>#N/A</v>
      </c>
      <c r="G1204" s="16" t="e">
        <f>VLOOKUP(C1204,'RAW DATA 2023'!E:BO,27,0)</f>
        <v>#N/A</v>
      </c>
      <c r="H1204" s="16">
        <f>IFERROR(VLOOKUP(F1204,STD!B:G,5,0),0)</f>
        <v>0</v>
      </c>
      <c r="I1204" s="21">
        <f t="shared" si="93"/>
        <v>0</v>
      </c>
      <c r="J1204" s="16">
        <f t="shared" si="94"/>
        <v>-10</v>
      </c>
      <c r="K1204" s="106" t="e">
        <f>VLOOKUP(C1204,'RAW DATA 2023'!E:BO,36,0)</f>
        <v>#N/A</v>
      </c>
      <c r="L1204" s="106" t="e">
        <f>VLOOKUP(C1204,'RAW DATA 2023'!E:BO,21,0)</f>
        <v>#N/A</v>
      </c>
      <c r="M1204" s="106" t="e">
        <f t="shared" si="95"/>
        <v>#N/A</v>
      </c>
    </row>
    <row r="1205" spans="1:13">
      <c r="A1205">
        <f>'RAW DATA 2023'!B1198</f>
        <v>0</v>
      </c>
      <c r="B1205">
        <f>'RAW DATA 2023'!D1198</f>
        <v>0</v>
      </c>
      <c r="C1205" t="str">
        <f t="shared" si="91"/>
        <v>00</v>
      </c>
      <c r="D1205" t="e">
        <f>VLOOKUP(C1205,'RAW DATA 2023'!E:BP,63,0)</f>
        <v>#N/A</v>
      </c>
      <c r="E1205" t="e">
        <f t="shared" si="92"/>
        <v>#N/A</v>
      </c>
      <c r="F1205" t="e">
        <f>ROUND(VLOOKUP(C1205,'RAW DATA 2023'!E:BO,23,0),0)</f>
        <v>#N/A</v>
      </c>
      <c r="G1205" s="16" t="e">
        <f>VLOOKUP(C1205,'RAW DATA 2023'!E:BO,27,0)</f>
        <v>#N/A</v>
      </c>
      <c r="H1205" s="16">
        <f>IFERROR(VLOOKUP(F1205,STD!B:G,5,0),0)</f>
        <v>0</v>
      </c>
      <c r="I1205" s="21">
        <f t="shared" si="93"/>
        <v>0</v>
      </c>
      <c r="J1205" s="16">
        <f t="shared" si="94"/>
        <v>-10</v>
      </c>
      <c r="K1205" s="106" t="e">
        <f>VLOOKUP(C1205,'RAW DATA 2023'!E:BO,36,0)</f>
        <v>#N/A</v>
      </c>
      <c r="L1205" s="106" t="e">
        <f>VLOOKUP(C1205,'RAW DATA 2023'!E:BO,21,0)</f>
        <v>#N/A</v>
      </c>
      <c r="M1205" s="106" t="e">
        <f t="shared" si="95"/>
        <v>#N/A</v>
      </c>
    </row>
    <row r="1206" spans="1:13">
      <c r="A1206">
        <f>'RAW DATA 2023'!B1199</f>
        <v>0</v>
      </c>
      <c r="B1206">
        <f>'RAW DATA 2023'!D1199</f>
        <v>0</v>
      </c>
      <c r="C1206" t="str">
        <f t="shared" si="91"/>
        <v>00</v>
      </c>
      <c r="D1206" t="e">
        <f>VLOOKUP(C1206,'RAW DATA 2023'!E:BP,63,0)</f>
        <v>#N/A</v>
      </c>
      <c r="E1206" t="e">
        <f t="shared" si="92"/>
        <v>#N/A</v>
      </c>
      <c r="F1206" t="e">
        <f>ROUND(VLOOKUP(C1206,'RAW DATA 2023'!E:BO,23,0),0)</f>
        <v>#N/A</v>
      </c>
      <c r="G1206" s="16" t="e">
        <f>VLOOKUP(C1206,'RAW DATA 2023'!E:BO,27,0)</f>
        <v>#N/A</v>
      </c>
      <c r="H1206" s="16">
        <f>IFERROR(VLOOKUP(F1206,STD!B:G,5,0),0)</f>
        <v>0</v>
      </c>
      <c r="I1206" s="21">
        <f t="shared" si="93"/>
        <v>0</v>
      </c>
      <c r="J1206" s="16">
        <f t="shared" si="94"/>
        <v>-10</v>
      </c>
      <c r="K1206" s="106" t="e">
        <f>VLOOKUP(C1206,'RAW DATA 2023'!E:BO,36,0)</f>
        <v>#N/A</v>
      </c>
      <c r="L1206" s="106" t="e">
        <f>VLOOKUP(C1206,'RAW DATA 2023'!E:BO,21,0)</f>
        <v>#N/A</v>
      </c>
      <c r="M1206" s="106" t="e">
        <f t="shared" si="95"/>
        <v>#N/A</v>
      </c>
    </row>
    <row r="1207" spans="1:13">
      <c r="A1207">
        <f>'RAW DATA 2023'!B1200</f>
        <v>0</v>
      </c>
      <c r="B1207">
        <f>'RAW DATA 2023'!D1200</f>
        <v>0</v>
      </c>
      <c r="C1207" t="str">
        <f t="shared" si="91"/>
        <v>00</v>
      </c>
      <c r="D1207" t="e">
        <f>VLOOKUP(C1207,'RAW DATA 2023'!E:BP,63,0)</f>
        <v>#N/A</v>
      </c>
      <c r="E1207" t="e">
        <f t="shared" si="92"/>
        <v>#N/A</v>
      </c>
      <c r="F1207" t="e">
        <f>ROUND(VLOOKUP(C1207,'RAW DATA 2023'!E:BO,23,0),0)</f>
        <v>#N/A</v>
      </c>
      <c r="G1207" s="16" t="e">
        <f>VLOOKUP(C1207,'RAW DATA 2023'!E:BO,27,0)</f>
        <v>#N/A</v>
      </c>
      <c r="H1207" s="16">
        <f>IFERROR(VLOOKUP(F1207,STD!B:G,5,0),0)</f>
        <v>0</v>
      </c>
      <c r="I1207" s="21">
        <f t="shared" si="93"/>
        <v>0</v>
      </c>
      <c r="J1207" s="16">
        <f t="shared" si="94"/>
        <v>-10</v>
      </c>
      <c r="K1207" s="106" t="e">
        <f>VLOOKUP(C1207,'RAW DATA 2023'!E:BO,36,0)</f>
        <v>#N/A</v>
      </c>
      <c r="L1207" s="106" t="e">
        <f>VLOOKUP(C1207,'RAW DATA 2023'!E:BO,21,0)</f>
        <v>#N/A</v>
      </c>
      <c r="M1207" s="106" t="e">
        <f t="shared" si="95"/>
        <v>#N/A</v>
      </c>
    </row>
    <row r="1208" spans="1:13">
      <c r="A1208">
        <f>'RAW DATA 2023'!B1201</f>
        <v>0</v>
      </c>
      <c r="B1208">
        <f>'RAW DATA 2023'!D1201</f>
        <v>0</v>
      </c>
      <c r="C1208" t="str">
        <f t="shared" si="91"/>
        <v>00</v>
      </c>
      <c r="D1208" t="e">
        <f>VLOOKUP(C1208,'RAW DATA 2023'!E:BP,63,0)</f>
        <v>#N/A</v>
      </c>
      <c r="E1208" t="e">
        <f t="shared" si="92"/>
        <v>#N/A</v>
      </c>
      <c r="F1208" t="e">
        <f>ROUND(VLOOKUP(C1208,'RAW DATA 2023'!E:BO,23,0),0)</f>
        <v>#N/A</v>
      </c>
      <c r="G1208" s="16" t="e">
        <f>VLOOKUP(C1208,'RAW DATA 2023'!E:BO,27,0)</f>
        <v>#N/A</v>
      </c>
      <c r="H1208" s="16">
        <f>IFERROR(VLOOKUP(F1208,STD!B:G,5,0),0)</f>
        <v>0</v>
      </c>
      <c r="I1208" s="21">
        <f t="shared" si="93"/>
        <v>0</v>
      </c>
      <c r="J1208" s="16">
        <f t="shared" si="94"/>
        <v>-10</v>
      </c>
      <c r="K1208" s="106" t="e">
        <f>VLOOKUP(C1208,'RAW DATA 2023'!E:BO,36,0)</f>
        <v>#N/A</v>
      </c>
      <c r="L1208" s="106" t="e">
        <f>VLOOKUP(C1208,'RAW DATA 2023'!E:BO,21,0)</f>
        <v>#N/A</v>
      </c>
      <c r="M1208" s="106" t="e">
        <f t="shared" si="95"/>
        <v>#N/A</v>
      </c>
    </row>
    <row r="1209" spans="1:13">
      <c r="A1209">
        <f>'RAW DATA 2023'!B1202</f>
        <v>0</v>
      </c>
      <c r="B1209">
        <f>'RAW DATA 2023'!D1202</f>
        <v>0</v>
      </c>
      <c r="C1209" t="str">
        <f t="shared" si="91"/>
        <v>00</v>
      </c>
      <c r="D1209" t="e">
        <f>VLOOKUP(C1209,'RAW DATA 2023'!E:BP,63,0)</f>
        <v>#N/A</v>
      </c>
      <c r="E1209" t="e">
        <f t="shared" si="92"/>
        <v>#N/A</v>
      </c>
      <c r="F1209" t="e">
        <f>ROUND(VLOOKUP(C1209,'RAW DATA 2023'!E:BO,23,0),0)</f>
        <v>#N/A</v>
      </c>
      <c r="G1209" s="16" t="e">
        <f>VLOOKUP(C1209,'RAW DATA 2023'!E:BO,27,0)</f>
        <v>#N/A</v>
      </c>
      <c r="H1209" s="16">
        <f>IFERROR(VLOOKUP(F1209,STD!B:G,5,0),0)</f>
        <v>0</v>
      </c>
      <c r="I1209" s="21">
        <f t="shared" si="93"/>
        <v>0</v>
      </c>
      <c r="J1209" s="16">
        <f t="shared" si="94"/>
        <v>-10</v>
      </c>
      <c r="K1209" s="106" t="e">
        <f>VLOOKUP(C1209,'RAW DATA 2023'!E:BO,36,0)</f>
        <v>#N/A</v>
      </c>
      <c r="L1209" s="106" t="e">
        <f>VLOOKUP(C1209,'RAW DATA 2023'!E:BO,21,0)</f>
        <v>#N/A</v>
      </c>
      <c r="M1209" s="106" t="e">
        <f t="shared" si="95"/>
        <v>#N/A</v>
      </c>
    </row>
    <row r="1210" spans="1:13">
      <c r="A1210">
        <f>'RAW DATA 2023'!B1203</f>
        <v>0</v>
      </c>
      <c r="B1210">
        <f>'RAW DATA 2023'!D1203</f>
        <v>0</v>
      </c>
      <c r="C1210" t="str">
        <f t="shared" si="91"/>
        <v>00</v>
      </c>
      <c r="D1210" t="e">
        <f>VLOOKUP(C1210,'RAW DATA 2023'!E:BP,63,0)</f>
        <v>#N/A</v>
      </c>
      <c r="E1210" t="e">
        <f t="shared" si="92"/>
        <v>#N/A</v>
      </c>
      <c r="F1210" t="e">
        <f>ROUND(VLOOKUP(C1210,'RAW DATA 2023'!E:BO,23,0),0)</f>
        <v>#N/A</v>
      </c>
      <c r="G1210" s="16" t="e">
        <f>VLOOKUP(C1210,'RAW DATA 2023'!E:BO,27,0)</f>
        <v>#N/A</v>
      </c>
      <c r="H1210" s="16">
        <f>IFERROR(VLOOKUP(F1210,STD!B:G,5,0),0)</f>
        <v>0</v>
      </c>
      <c r="I1210" s="21">
        <f t="shared" si="93"/>
        <v>0</v>
      </c>
      <c r="J1210" s="16">
        <f t="shared" si="94"/>
        <v>-10</v>
      </c>
      <c r="K1210" s="106" t="e">
        <f>VLOOKUP(C1210,'RAW DATA 2023'!E:BO,36,0)</f>
        <v>#N/A</v>
      </c>
      <c r="L1210" s="106" t="e">
        <f>VLOOKUP(C1210,'RAW DATA 2023'!E:BO,21,0)</f>
        <v>#N/A</v>
      </c>
      <c r="M1210" s="106" t="e">
        <f t="shared" si="95"/>
        <v>#N/A</v>
      </c>
    </row>
    <row r="1211" spans="1:13">
      <c r="A1211">
        <f>'RAW DATA 2023'!B1204</f>
        <v>0</v>
      </c>
      <c r="B1211">
        <f>'RAW DATA 2023'!D1204</f>
        <v>0</v>
      </c>
      <c r="C1211" t="str">
        <f t="shared" si="91"/>
        <v>00</v>
      </c>
      <c r="D1211" t="e">
        <f>VLOOKUP(C1211,'RAW DATA 2023'!E:BP,63,0)</f>
        <v>#N/A</v>
      </c>
      <c r="E1211" t="e">
        <f t="shared" si="92"/>
        <v>#N/A</v>
      </c>
      <c r="F1211" t="e">
        <f>ROUND(VLOOKUP(C1211,'RAW DATA 2023'!E:BO,23,0),0)</f>
        <v>#N/A</v>
      </c>
      <c r="G1211" s="16" t="e">
        <f>VLOOKUP(C1211,'RAW DATA 2023'!E:BO,27,0)</f>
        <v>#N/A</v>
      </c>
      <c r="H1211" s="16">
        <f>IFERROR(VLOOKUP(F1211,STD!B:G,5,0),0)</f>
        <v>0</v>
      </c>
      <c r="I1211" s="21">
        <f t="shared" si="93"/>
        <v>0</v>
      </c>
      <c r="J1211" s="16">
        <f t="shared" si="94"/>
        <v>-10</v>
      </c>
      <c r="K1211" s="106" t="e">
        <f>VLOOKUP(C1211,'RAW DATA 2023'!E:BO,36,0)</f>
        <v>#N/A</v>
      </c>
      <c r="L1211" s="106" t="e">
        <f>VLOOKUP(C1211,'RAW DATA 2023'!E:BO,21,0)</f>
        <v>#N/A</v>
      </c>
      <c r="M1211" s="106" t="e">
        <f t="shared" si="95"/>
        <v>#N/A</v>
      </c>
    </row>
    <row r="1212" spans="1:13">
      <c r="A1212">
        <f>'RAW DATA 2023'!B1205</f>
        <v>0</v>
      </c>
      <c r="B1212">
        <f>'RAW DATA 2023'!D1205</f>
        <v>0</v>
      </c>
      <c r="C1212" t="str">
        <f t="shared" si="91"/>
        <v>00</v>
      </c>
      <c r="D1212" t="e">
        <f>VLOOKUP(C1212,'RAW DATA 2023'!E:BP,63,0)</f>
        <v>#N/A</v>
      </c>
      <c r="E1212" t="e">
        <f t="shared" si="92"/>
        <v>#N/A</v>
      </c>
      <c r="F1212" t="e">
        <f>ROUND(VLOOKUP(C1212,'RAW DATA 2023'!E:BO,23,0),0)</f>
        <v>#N/A</v>
      </c>
      <c r="G1212" s="16" t="e">
        <f>VLOOKUP(C1212,'RAW DATA 2023'!E:BO,27,0)</f>
        <v>#N/A</v>
      </c>
      <c r="H1212" s="16">
        <f>IFERROR(VLOOKUP(F1212,STD!B:G,5,0),0)</f>
        <v>0</v>
      </c>
      <c r="I1212" s="21">
        <f t="shared" si="93"/>
        <v>0</v>
      </c>
      <c r="J1212" s="16">
        <f t="shared" si="94"/>
        <v>-10</v>
      </c>
      <c r="K1212" s="106" t="e">
        <f>VLOOKUP(C1212,'RAW DATA 2023'!E:BO,36,0)</f>
        <v>#N/A</v>
      </c>
      <c r="L1212" s="106" t="e">
        <f>VLOOKUP(C1212,'RAW DATA 2023'!E:BO,21,0)</f>
        <v>#N/A</v>
      </c>
      <c r="M1212" s="106" t="e">
        <f t="shared" si="95"/>
        <v>#N/A</v>
      </c>
    </row>
    <row r="1213" spans="1:13">
      <c r="A1213">
        <f>'RAW DATA 2023'!B1206</f>
        <v>0</v>
      </c>
      <c r="B1213">
        <f>'RAW DATA 2023'!D1206</f>
        <v>0</v>
      </c>
      <c r="C1213" t="str">
        <f t="shared" si="91"/>
        <v>00</v>
      </c>
      <c r="D1213" t="e">
        <f>VLOOKUP(C1213,'RAW DATA 2023'!E:BP,63,0)</f>
        <v>#N/A</v>
      </c>
      <c r="E1213" t="e">
        <f t="shared" si="92"/>
        <v>#N/A</v>
      </c>
      <c r="F1213" t="e">
        <f>ROUND(VLOOKUP(C1213,'RAW DATA 2023'!E:BO,23,0),0)</f>
        <v>#N/A</v>
      </c>
      <c r="G1213" s="16" t="e">
        <f>VLOOKUP(C1213,'RAW DATA 2023'!E:BO,27,0)</f>
        <v>#N/A</v>
      </c>
      <c r="H1213" s="16">
        <f>IFERROR(VLOOKUP(F1213,STD!B:G,5,0),0)</f>
        <v>0</v>
      </c>
      <c r="I1213" s="21">
        <f t="shared" si="93"/>
        <v>0</v>
      </c>
      <c r="J1213" s="16">
        <f t="shared" si="94"/>
        <v>-10</v>
      </c>
      <c r="K1213" s="106" t="e">
        <f>VLOOKUP(C1213,'RAW DATA 2023'!E:BO,36,0)</f>
        <v>#N/A</v>
      </c>
      <c r="L1213" s="106" t="e">
        <f>VLOOKUP(C1213,'RAW DATA 2023'!E:BO,21,0)</f>
        <v>#N/A</v>
      </c>
      <c r="M1213" s="106" t="e">
        <f t="shared" si="95"/>
        <v>#N/A</v>
      </c>
    </row>
    <row r="1214" spans="1:13">
      <c r="A1214">
        <f>'RAW DATA 2023'!B1207</f>
        <v>0</v>
      </c>
      <c r="B1214">
        <f>'RAW DATA 2023'!D1207</f>
        <v>0</v>
      </c>
      <c r="C1214" t="str">
        <f t="shared" si="91"/>
        <v>00</v>
      </c>
      <c r="D1214" t="e">
        <f>VLOOKUP(C1214,'RAW DATA 2023'!E:BP,63,0)</f>
        <v>#N/A</v>
      </c>
      <c r="E1214" t="e">
        <f t="shared" si="92"/>
        <v>#N/A</v>
      </c>
      <c r="F1214" t="e">
        <f>ROUND(VLOOKUP(C1214,'RAW DATA 2023'!E:BO,23,0),0)</f>
        <v>#N/A</v>
      </c>
      <c r="G1214" s="16" t="e">
        <f>VLOOKUP(C1214,'RAW DATA 2023'!E:BO,27,0)</f>
        <v>#N/A</v>
      </c>
      <c r="H1214" s="16">
        <f>IFERROR(VLOOKUP(F1214,STD!B:G,5,0),0)</f>
        <v>0</v>
      </c>
      <c r="I1214" s="21">
        <f t="shared" si="93"/>
        <v>0</v>
      </c>
      <c r="J1214" s="16">
        <f t="shared" si="94"/>
        <v>-10</v>
      </c>
      <c r="K1214" s="106" t="e">
        <f>VLOOKUP(C1214,'RAW DATA 2023'!E:BO,36,0)</f>
        <v>#N/A</v>
      </c>
      <c r="L1214" s="106" t="e">
        <f>VLOOKUP(C1214,'RAW DATA 2023'!E:BO,21,0)</f>
        <v>#N/A</v>
      </c>
      <c r="M1214" s="106" t="e">
        <f t="shared" si="95"/>
        <v>#N/A</v>
      </c>
    </row>
    <row r="1215" spans="1:13">
      <c r="A1215">
        <f>'RAW DATA 2023'!B1208</f>
        <v>0</v>
      </c>
      <c r="B1215">
        <f>'RAW DATA 2023'!D1208</f>
        <v>0</v>
      </c>
      <c r="C1215" t="str">
        <f t="shared" si="91"/>
        <v>00</v>
      </c>
      <c r="D1215" t="e">
        <f>VLOOKUP(C1215,'RAW DATA 2023'!E:BP,63,0)</f>
        <v>#N/A</v>
      </c>
      <c r="E1215" t="e">
        <f t="shared" si="92"/>
        <v>#N/A</v>
      </c>
      <c r="F1215" t="e">
        <f>ROUND(VLOOKUP(C1215,'RAW DATA 2023'!E:BO,23,0),0)</f>
        <v>#N/A</v>
      </c>
      <c r="G1215" s="16" t="e">
        <f>VLOOKUP(C1215,'RAW DATA 2023'!E:BO,27,0)</f>
        <v>#N/A</v>
      </c>
      <c r="H1215" s="16">
        <f>IFERROR(VLOOKUP(F1215,STD!B:G,5,0),0)</f>
        <v>0</v>
      </c>
      <c r="I1215" s="21">
        <f t="shared" si="93"/>
        <v>0</v>
      </c>
      <c r="J1215" s="16">
        <f t="shared" si="94"/>
        <v>-10</v>
      </c>
      <c r="K1215" s="106" t="e">
        <f>VLOOKUP(C1215,'RAW DATA 2023'!E:BO,36,0)</f>
        <v>#N/A</v>
      </c>
      <c r="L1215" s="106" t="e">
        <f>VLOOKUP(C1215,'RAW DATA 2023'!E:BO,21,0)</f>
        <v>#N/A</v>
      </c>
      <c r="M1215" s="106" t="e">
        <f t="shared" si="95"/>
        <v>#N/A</v>
      </c>
    </row>
    <row r="1216" spans="1:13">
      <c r="A1216">
        <f>'RAW DATA 2023'!B1209</f>
        <v>0</v>
      </c>
      <c r="B1216">
        <f>'RAW DATA 2023'!D1209</f>
        <v>0</v>
      </c>
      <c r="C1216" t="str">
        <f t="shared" si="91"/>
        <v>00</v>
      </c>
      <c r="D1216" t="e">
        <f>VLOOKUP(C1216,'RAW DATA 2023'!E:BP,63,0)</f>
        <v>#N/A</v>
      </c>
      <c r="E1216" t="e">
        <f t="shared" si="92"/>
        <v>#N/A</v>
      </c>
      <c r="F1216" t="e">
        <f>ROUND(VLOOKUP(C1216,'RAW DATA 2023'!E:BO,23,0),0)</f>
        <v>#N/A</v>
      </c>
      <c r="G1216" s="16" t="e">
        <f>VLOOKUP(C1216,'RAW DATA 2023'!E:BO,27,0)</f>
        <v>#N/A</v>
      </c>
      <c r="H1216" s="16">
        <f>IFERROR(VLOOKUP(F1216,STD!B:G,5,0),0)</f>
        <v>0</v>
      </c>
      <c r="I1216" s="21">
        <f t="shared" si="93"/>
        <v>0</v>
      </c>
      <c r="J1216" s="16">
        <f t="shared" si="94"/>
        <v>-10</v>
      </c>
      <c r="K1216" s="106" t="e">
        <f>VLOOKUP(C1216,'RAW DATA 2023'!E:BO,36,0)</f>
        <v>#N/A</v>
      </c>
      <c r="L1216" s="106" t="e">
        <f>VLOOKUP(C1216,'RAW DATA 2023'!E:BO,21,0)</f>
        <v>#N/A</v>
      </c>
      <c r="M1216" s="106" t="e">
        <f t="shared" si="95"/>
        <v>#N/A</v>
      </c>
    </row>
    <row r="1217" spans="1:13">
      <c r="A1217">
        <f>'RAW DATA 2023'!B1210</f>
        <v>0</v>
      </c>
      <c r="B1217">
        <f>'RAW DATA 2023'!D1210</f>
        <v>0</v>
      </c>
      <c r="C1217" t="str">
        <f t="shared" si="91"/>
        <v>00</v>
      </c>
      <c r="D1217" t="e">
        <f>VLOOKUP(C1217,'RAW DATA 2023'!E:BP,63,0)</f>
        <v>#N/A</v>
      </c>
      <c r="E1217" t="e">
        <f t="shared" si="92"/>
        <v>#N/A</v>
      </c>
      <c r="F1217" t="e">
        <f>ROUND(VLOOKUP(C1217,'RAW DATA 2023'!E:BO,23,0),0)</f>
        <v>#N/A</v>
      </c>
      <c r="G1217" s="16" t="e">
        <f>VLOOKUP(C1217,'RAW DATA 2023'!E:BO,27,0)</f>
        <v>#N/A</v>
      </c>
      <c r="H1217" s="16">
        <f>IFERROR(VLOOKUP(F1217,STD!B:G,5,0),0)</f>
        <v>0</v>
      </c>
      <c r="I1217" s="21">
        <f t="shared" si="93"/>
        <v>0</v>
      </c>
      <c r="J1217" s="16">
        <f t="shared" si="94"/>
        <v>-10</v>
      </c>
      <c r="K1217" s="106" t="e">
        <f>VLOOKUP(C1217,'RAW DATA 2023'!E:BO,36,0)</f>
        <v>#N/A</v>
      </c>
      <c r="L1217" s="106" t="e">
        <f>VLOOKUP(C1217,'RAW DATA 2023'!E:BO,21,0)</f>
        <v>#N/A</v>
      </c>
      <c r="M1217" s="106" t="e">
        <f t="shared" si="95"/>
        <v>#N/A</v>
      </c>
    </row>
    <row r="1218" spans="1:13">
      <c r="A1218">
        <f>'RAW DATA 2023'!B1211</f>
        <v>0</v>
      </c>
      <c r="B1218">
        <f>'RAW DATA 2023'!D1211</f>
        <v>0</v>
      </c>
      <c r="C1218" t="str">
        <f t="shared" si="91"/>
        <v>00</v>
      </c>
      <c r="D1218" t="e">
        <f>VLOOKUP(C1218,'RAW DATA 2023'!E:BP,63,0)</f>
        <v>#N/A</v>
      </c>
      <c r="E1218" t="e">
        <f t="shared" si="92"/>
        <v>#N/A</v>
      </c>
      <c r="F1218" t="e">
        <f>ROUND(VLOOKUP(C1218,'RAW DATA 2023'!E:BO,23,0),0)</f>
        <v>#N/A</v>
      </c>
      <c r="G1218" s="16" t="e">
        <f>VLOOKUP(C1218,'RAW DATA 2023'!E:BO,27,0)</f>
        <v>#N/A</v>
      </c>
      <c r="H1218" s="16">
        <f>IFERROR(VLOOKUP(F1218,STD!B:G,5,0),0)</f>
        <v>0</v>
      </c>
      <c r="I1218" s="21">
        <f t="shared" si="93"/>
        <v>0</v>
      </c>
      <c r="J1218" s="16">
        <f t="shared" si="94"/>
        <v>-10</v>
      </c>
      <c r="K1218" s="106" t="e">
        <f>VLOOKUP(C1218,'RAW DATA 2023'!E:BO,36,0)</f>
        <v>#N/A</v>
      </c>
      <c r="L1218" s="106" t="e">
        <f>VLOOKUP(C1218,'RAW DATA 2023'!E:BO,21,0)</f>
        <v>#N/A</v>
      </c>
      <c r="M1218" s="106" t="e">
        <f t="shared" si="95"/>
        <v>#N/A</v>
      </c>
    </row>
    <row r="1219" spans="1:13">
      <c r="A1219">
        <f>'RAW DATA 2023'!B1212</f>
        <v>0</v>
      </c>
      <c r="B1219">
        <f>'RAW DATA 2023'!D1212</f>
        <v>0</v>
      </c>
      <c r="C1219" t="str">
        <f t="shared" si="91"/>
        <v>00</v>
      </c>
      <c r="D1219" t="e">
        <f>VLOOKUP(C1219,'RAW DATA 2023'!E:BP,63,0)</f>
        <v>#N/A</v>
      </c>
      <c r="E1219" t="e">
        <f t="shared" si="92"/>
        <v>#N/A</v>
      </c>
      <c r="F1219" t="e">
        <f>ROUND(VLOOKUP(C1219,'RAW DATA 2023'!E:BO,23,0),0)</f>
        <v>#N/A</v>
      </c>
      <c r="G1219" s="16" t="e">
        <f>VLOOKUP(C1219,'RAW DATA 2023'!E:BO,27,0)</f>
        <v>#N/A</v>
      </c>
      <c r="H1219" s="16">
        <f>IFERROR(VLOOKUP(F1219,STD!B:G,5,0),0)</f>
        <v>0</v>
      </c>
      <c r="I1219" s="21">
        <f t="shared" si="93"/>
        <v>0</v>
      </c>
      <c r="J1219" s="16">
        <f t="shared" si="94"/>
        <v>-10</v>
      </c>
      <c r="K1219" s="106" t="e">
        <f>VLOOKUP(C1219,'RAW DATA 2023'!E:BO,36,0)</f>
        <v>#N/A</v>
      </c>
      <c r="L1219" s="106" t="e">
        <f>VLOOKUP(C1219,'RAW DATA 2023'!E:BO,21,0)</f>
        <v>#N/A</v>
      </c>
      <c r="M1219" s="106" t="e">
        <f t="shared" si="95"/>
        <v>#N/A</v>
      </c>
    </row>
    <row r="1220" spans="1:13">
      <c r="A1220">
        <f>'RAW DATA 2023'!B1213</f>
        <v>0</v>
      </c>
      <c r="B1220">
        <f>'RAW DATA 2023'!D1213</f>
        <v>0</v>
      </c>
      <c r="C1220" t="str">
        <f t="shared" si="91"/>
        <v>00</v>
      </c>
      <c r="D1220" t="e">
        <f>VLOOKUP(C1220,'RAW DATA 2023'!E:BP,63,0)</f>
        <v>#N/A</v>
      </c>
      <c r="E1220" t="e">
        <f t="shared" si="92"/>
        <v>#N/A</v>
      </c>
      <c r="F1220" t="e">
        <f>ROUND(VLOOKUP(C1220,'RAW DATA 2023'!E:BO,23,0),0)</f>
        <v>#N/A</v>
      </c>
      <c r="G1220" s="16" t="e">
        <f>VLOOKUP(C1220,'RAW DATA 2023'!E:BO,27,0)</f>
        <v>#N/A</v>
      </c>
      <c r="H1220" s="16">
        <f>IFERROR(VLOOKUP(F1220,STD!B:G,5,0),0)</f>
        <v>0</v>
      </c>
      <c r="I1220" s="21">
        <f t="shared" si="93"/>
        <v>0</v>
      </c>
      <c r="J1220" s="16">
        <f t="shared" si="94"/>
        <v>-10</v>
      </c>
      <c r="K1220" s="106" t="e">
        <f>VLOOKUP(C1220,'RAW DATA 2023'!E:BO,36,0)</f>
        <v>#N/A</v>
      </c>
      <c r="L1220" s="106" t="e">
        <f>VLOOKUP(C1220,'RAW DATA 2023'!E:BO,21,0)</f>
        <v>#N/A</v>
      </c>
      <c r="M1220" s="106" t="e">
        <f t="shared" si="95"/>
        <v>#N/A</v>
      </c>
    </row>
    <row r="1221" spans="1:13">
      <c r="A1221">
        <f>'RAW DATA 2023'!B1214</f>
        <v>0</v>
      </c>
      <c r="B1221">
        <f>'RAW DATA 2023'!D1214</f>
        <v>0</v>
      </c>
      <c r="C1221" t="str">
        <f t="shared" si="91"/>
        <v>00</v>
      </c>
      <c r="D1221" t="e">
        <f>VLOOKUP(C1221,'RAW DATA 2023'!E:BP,63,0)</f>
        <v>#N/A</v>
      </c>
      <c r="E1221" t="e">
        <f t="shared" si="92"/>
        <v>#N/A</v>
      </c>
      <c r="F1221" t="e">
        <f>ROUND(VLOOKUP(C1221,'RAW DATA 2023'!E:BO,23,0),0)</f>
        <v>#N/A</v>
      </c>
      <c r="G1221" s="16" t="e">
        <f>VLOOKUP(C1221,'RAW DATA 2023'!E:BO,27,0)</f>
        <v>#N/A</v>
      </c>
      <c r="H1221" s="16">
        <f>IFERROR(VLOOKUP(F1221,STD!B:G,5,0),0)</f>
        <v>0</v>
      </c>
      <c r="I1221" s="21">
        <f t="shared" si="93"/>
        <v>0</v>
      </c>
      <c r="J1221" s="16">
        <f t="shared" si="94"/>
        <v>-10</v>
      </c>
      <c r="K1221" s="106" t="e">
        <f>VLOOKUP(C1221,'RAW DATA 2023'!E:BO,36,0)</f>
        <v>#N/A</v>
      </c>
      <c r="L1221" s="106" t="e">
        <f>VLOOKUP(C1221,'RAW DATA 2023'!E:BO,21,0)</f>
        <v>#N/A</v>
      </c>
      <c r="M1221" s="106" t="e">
        <f t="shared" si="95"/>
        <v>#N/A</v>
      </c>
    </row>
    <row r="1222" spans="1:13">
      <c r="A1222">
        <f>'RAW DATA 2023'!B1215</f>
        <v>0</v>
      </c>
      <c r="B1222">
        <f>'RAW DATA 2023'!D1215</f>
        <v>0</v>
      </c>
      <c r="C1222" t="str">
        <f t="shared" si="91"/>
        <v>00</v>
      </c>
      <c r="D1222" t="e">
        <f>VLOOKUP(C1222,'RAW DATA 2023'!E:BP,63,0)</f>
        <v>#N/A</v>
      </c>
      <c r="E1222" t="e">
        <f t="shared" si="92"/>
        <v>#N/A</v>
      </c>
      <c r="F1222" t="e">
        <f>ROUND(VLOOKUP(C1222,'RAW DATA 2023'!E:BO,23,0),0)</f>
        <v>#N/A</v>
      </c>
      <c r="G1222" s="16" t="e">
        <f>VLOOKUP(C1222,'RAW DATA 2023'!E:BO,27,0)</f>
        <v>#N/A</v>
      </c>
      <c r="H1222" s="16">
        <f>IFERROR(VLOOKUP(F1222,STD!B:G,5,0),0)</f>
        <v>0</v>
      </c>
      <c r="I1222" s="21">
        <f t="shared" si="93"/>
        <v>0</v>
      </c>
      <c r="J1222" s="16">
        <f t="shared" si="94"/>
        <v>-10</v>
      </c>
      <c r="K1222" s="106" t="e">
        <f>VLOOKUP(C1222,'RAW DATA 2023'!E:BO,36,0)</f>
        <v>#N/A</v>
      </c>
      <c r="L1222" s="106" t="e">
        <f>VLOOKUP(C1222,'RAW DATA 2023'!E:BO,21,0)</f>
        <v>#N/A</v>
      </c>
      <c r="M1222" s="106" t="e">
        <f t="shared" si="95"/>
        <v>#N/A</v>
      </c>
    </row>
    <row r="1223" spans="1:13">
      <c r="A1223">
        <f>'RAW DATA 2023'!B1216</f>
        <v>0</v>
      </c>
      <c r="B1223">
        <f>'RAW DATA 2023'!D1216</f>
        <v>0</v>
      </c>
      <c r="C1223" t="str">
        <f t="shared" si="91"/>
        <v>00</v>
      </c>
      <c r="D1223" t="e">
        <f>VLOOKUP(C1223,'RAW DATA 2023'!E:BP,63,0)</f>
        <v>#N/A</v>
      </c>
      <c r="E1223" t="e">
        <f t="shared" si="92"/>
        <v>#N/A</v>
      </c>
      <c r="F1223" t="e">
        <f>ROUND(VLOOKUP(C1223,'RAW DATA 2023'!E:BO,23,0),0)</f>
        <v>#N/A</v>
      </c>
      <c r="G1223" s="16" t="e">
        <f>VLOOKUP(C1223,'RAW DATA 2023'!E:BO,27,0)</f>
        <v>#N/A</v>
      </c>
      <c r="H1223" s="16">
        <f>IFERROR(VLOOKUP(F1223,STD!B:G,5,0),0)</f>
        <v>0</v>
      </c>
      <c r="I1223" s="21">
        <f t="shared" si="93"/>
        <v>0</v>
      </c>
      <c r="J1223" s="16">
        <f t="shared" si="94"/>
        <v>-10</v>
      </c>
      <c r="K1223" s="106" t="e">
        <f>VLOOKUP(C1223,'RAW DATA 2023'!E:BO,36,0)</f>
        <v>#N/A</v>
      </c>
      <c r="L1223" s="106" t="e">
        <f>VLOOKUP(C1223,'RAW DATA 2023'!E:BO,21,0)</f>
        <v>#N/A</v>
      </c>
      <c r="M1223" s="106" t="e">
        <f t="shared" si="95"/>
        <v>#N/A</v>
      </c>
    </row>
    <row r="1224" spans="1:13">
      <c r="A1224">
        <f>'RAW DATA 2023'!B1217</f>
        <v>0</v>
      </c>
      <c r="B1224">
        <f>'RAW DATA 2023'!D1217</f>
        <v>0</v>
      </c>
      <c r="C1224" t="str">
        <f t="shared" si="91"/>
        <v>00</v>
      </c>
      <c r="D1224" t="e">
        <f>VLOOKUP(C1224,'RAW DATA 2023'!E:BP,63,0)</f>
        <v>#N/A</v>
      </c>
      <c r="E1224" t="e">
        <f t="shared" si="92"/>
        <v>#N/A</v>
      </c>
      <c r="F1224" t="e">
        <f>ROUND(VLOOKUP(C1224,'RAW DATA 2023'!E:BO,23,0),0)</f>
        <v>#N/A</v>
      </c>
      <c r="G1224" s="16" t="e">
        <f>VLOOKUP(C1224,'RAW DATA 2023'!E:BO,27,0)</f>
        <v>#N/A</v>
      </c>
      <c r="H1224" s="16">
        <f>IFERROR(VLOOKUP(F1224,STD!B:G,5,0),0)</f>
        <v>0</v>
      </c>
      <c r="I1224" s="21">
        <f t="shared" si="93"/>
        <v>0</v>
      </c>
      <c r="J1224" s="16">
        <f t="shared" si="94"/>
        <v>-10</v>
      </c>
      <c r="K1224" s="106" t="e">
        <f>VLOOKUP(C1224,'RAW DATA 2023'!E:BO,36,0)</f>
        <v>#N/A</v>
      </c>
      <c r="L1224" s="106" t="e">
        <f>VLOOKUP(C1224,'RAW DATA 2023'!E:BO,21,0)</f>
        <v>#N/A</v>
      </c>
      <c r="M1224" s="106" t="e">
        <f t="shared" si="95"/>
        <v>#N/A</v>
      </c>
    </row>
    <row r="1225" spans="1:13">
      <c r="A1225">
        <f>'RAW DATA 2023'!B1218</f>
        <v>0</v>
      </c>
      <c r="B1225">
        <f>'RAW DATA 2023'!D1218</f>
        <v>0</v>
      </c>
      <c r="C1225" t="str">
        <f t="shared" si="91"/>
        <v>00</v>
      </c>
      <c r="D1225" t="e">
        <f>VLOOKUP(C1225,'RAW DATA 2023'!E:BP,63,0)</f>
        <v>#N/A</v>
      </c>
      <c r="E1225" t="e">
        <f t="shared" si="92"/>
        <v>#N/A</v>
      </c>
      <c r="F1225" t="e">
        <f>ROUND(VLOOKUP(C1225,'RAW DATA 2023'!E:BO,23,0),0)</f>
        <v>#N/A</v>
      </c>
      <c r="G1225" s="16" t="e">
        <f>VLOOKUP(C1225,'RAW DATA 2023'!E:BO,27,0)</f>
        <v>#N/A</v>
      </c>
      <c r="H1225" s="16">
        <f>IFERROR(VLOOKUP(F1225,STD!B:G,5,0),0)</f>
        <v>0</v>
      </c>
      <c r="I1225" s="21">
        <f t="shared" si="93"/>
        <v>0</v>
      </c>
      <c r="J1225" s="16">
        <f t="shared" si="94"/>
        <v>-10</v>
      </c>
      <c r="K1225" s="106" t="e">
        <f>VLOOKUP(C1225,'RAW DATA 2023'!E:BO,36,0)</f>
        <v>#N/A</v>
      </c>
      <c r="L1225" s="106" t="e">
        <f>VLOOKUP(C1225,'RAW DATA 2023'!E:BO,21,0)</f>
        <v>#N/A</v>
      </c>
      <c r="M1225" s="106" t="e">
        <f t="shared" si="95"/>
        <v>#N/A</v>
      </c>
    </row>
    <row r="1226" spans="1:13">
      <c r="A1226">
        <f>'RAW DATA 2023'!B1219</f>
        <v>0</v>
      </c>
      <c r="B1226">
        <f>'RAW DATA 2023'!D1219</f>
        <v>0</v>
      </c>
      <c r="C1226" t="str">
        <f t="shared" ref="C1226:C1289" si="96">A1226&amp;B1226</f>
        <v>00</v>
      </c>
      <c r="D1226" t="e">
        <f>VLOOKUP(C1226,'RAW DATA 2023'!E:BP,63,0)</f>
        <v>#N/A</v>
      </c>
      <c r="E1226" t="e">
        <f t="shared" ref="E1226:E1289" si="97">A1226&amp;D1226</f>
        <v>#N/A</v>
      </c>
      <c r="F1226" t="e">
        <f>ROUND(VLOOKUP(C1226,'RAW DATA 2023'!E:BO,23,0),0)</f>
        <v>#N/A</v>
      </c>
      <c r="G1226" s="16" t="e">
        <f>VLOOKUP(C1226,'RAW DATA 2023'!E:BO,27,0)</f>
        <v>#N/A</v>
      </c>
      <c r="H1226" s="16">
        <f>IFERROR(VLOOKUP(F1226,STD!B:G,5,0),0)</f>
        <v>0</v>
      </c>
      <c r="I1226" s="21">
        <f t="shared" si="93"/>
        <v>0</v>
      </c>
      <c r="J1226" s="16">
        <f t="shared" si="94"/>
        <v>-10</v>
      </c>
      <c r="K1226" s="106" t="e">
        <f>VLOOKUP(C1226,'RAW DATA 2023'!E:BO,36,0)</f>
        <v>#N/A</v>
      </c>
      <c r="L1226" s="106" t="e">
        <f>VLOOKUP(C1226,'RAW DATA 2023'!E:BO,21,0)</f>
        <v>#N/A</v>
      </c>
      <c r="M1226" s="106" t="e">
        <f t="shared" si="95"/>
        <v>#N/A</v>
      </c>
    </row>
    <row r="1227" spans="1:13">
      <c r="A1227">
        <f>'RAW DATA 2023'!B1220</f>
        <v>0</v>
      </c>
      <c r="B1227">
        <f>'RAW DATA 2023'!D1220</f>
        <v>0</v>
      </c>
      <c r="C1227" t="str">
        <f t="shared" si="96"/>
        <v>00</v>
      </c>
      <c r="D1227" t="e">
        <f>VLOOKUP(C1227,'RAW DATA 2023'!E:BP,63,0)</f>
        <v>#N/A</v>
      </c>
      <c r="E1227" t="e">
        <f t="shared" si="97"/>
        <v>#N/A</v>
      </c>
      <c r="F1227" t="e">
        <f>ROUND(VLOOKUP(C1227,'RAW DATA 2023'!E:BO,23,0),0)</f>
        <v>#N/A</v>
      </c>
      <c r="G1227" s="16" t="e">
        <f>VLOOKUP(C1227,'RAW DATA 2023'!E:BO,27,0)</f>
        <v>#N/A</v>
      </c>
      <c r="H1227" s="16">
        <f>IFERROR(VLOOKUP(F1227,STD!B:G,5,0),0)</f>
        <v>0</v>
      </c>
      <c r="I1227" s="21">
        <f t="shared" ref="I1227:I1290" si="98">IFERROR(H1227/G1227,0)</f>
        <v>0</v>
      </c>
      <c r="J1227" s="16">
        <f t="shared" ref="J1227:J1290" si="99">(I1227-$B$4)*$B$7</f>
        <v>-10</v>
      </c>
      <c r="K1227" s="106" t="e">
        <f>VLOOKUP(C1227,'RAW DATA 2023'!E:BO,36,0)</f>
        <v>#N/A</v>
      </c>
      <c r="L1227" s="106" t="e">
        <f>VLOOKUP(C1227,'RAW DATA 2023'!E:BO,21,0)</f>
        <v>#N/A</v>
      </c>
      <c r="M1227" s="106" t="e">
        <f t="shared" ref="M1227:M1290" si="100">J1227*L1227</f>
        <v>#N/A</v>
      </c>
    </row>
    <row r="1228" spans="1:13">
      <c r="A1228">
        <f>'RAW DATA 2023'!B1221</f>
        <v>0</v>
      </c>
      <c r="B1228">
        <f>'RAW DATA 2023'!D1221</f>
        <v>0</v>
      </c>
      <c r="C1228" t="str">
        <f t="shared" si="96"/>
        <v>00</v>
      </c>
      <c r="D1228" t="e">
        <f>VLOOKUP(C1228,'RAW DATA 2023'!E:BP,63,0)</f>
        <v>#N/A</v>
      </c>
      <c r="E1228" t="e">
        <f t="shared" si="97"/>
        <v>#N/A</v>
      </c>
      <c r="F1228" t="e">
        <f>ROUND(VLOOKUP(C1228,'RAW DATA 2023'!E:BO,23,0),0)</f>
        <v>#N/A</v>
      </c>
      <c r="G1228" s="16" t="e">
        <f>VLOOKUP(C1228,'RAW DATA 2023'!E:BO,27,0)</f>
        <v>#N/A</v>
      </c>
      <c r="H1228" s="16">
        <f>IFERROR(VLOOKUP(F1228,STD!B:G,5,0),0)</f>
        <v>0</v>
      </c>
      <c r="I1228" s="21">
        <f t="shared" si="98"/>
        <v>0</v>
      </c>
      <c r="J1228" s="16">
        <f t="shared" si="99"/>
        <v>-10</v>
      </c>
      <c r="K1228" s="106" t="e">
        <f>VLOOKUP(C1228,'RAW DATA 2023'!E:BO,36,0)</f>
        <v>#N/A</v>
      </c>
      <c r="L1228" s="106" t="e">
        <f>VLOOKUP(C1228,'RAW DATA 2023'!E:BO,21,0)</f>
        <v>#N/A</v>
      </c>
      <c r="M1228" s="106" t="e">
        <f t="shared" si="100"/>
        <v>#N/A</v>
      </c>
    </row>
    <row r="1229" spans="1:13">
      <c r="A1229">
        <f>'RAW DATA 2023'!B1222</f>
        <v>0</v>
      </c>
      <c r="B1229">
        <f>'RAW DATA 2023'!D1222</f>
        <v>0</v>
      </c>
      <c r="C1229" t="str">
        <f t="shared" si="96"/>
        <v>00</v>
      </c>
      <c r="D1229" t="e">
        <f>VLOOKUP(C1229,'RAW DATA 2023'!E:BP,63,0)</f>
        <v>#N/A</v>
      </c>
      <c r="E1229" t="e">
        <f t="shared" si="97"/>
        <v>#N/A</v>
      </c>
      <c r="F1229" t="e">
        <f>ROUND(VLOOKUP(C1229,'RAW DATA 2023'!E:BO,23,0),0)</f>
        <v>#N/A</v>
      </c>
      <c r="G1229" s="16" t="e">
        <f>VLOOKUP(C1229,'RAW DATA 2023'!E:BO,27,0)</f>
        <v>#N/A</v>
      </c>
      <c r="H1229" s="16">
        <f>IFERROR(VLOOKUP(F1229,STD!B:G,5,0),0)</f>
        <v>0</v>
      </c>
      <c r="I1229" s="21">
        <f t="shared" si="98"/>
        <v>0</v>
      </c>
      <c r="J1229" s="16">
        <f t="shared" si="99"/>
        <v>-10</v>
      </c>
      <c r="K1229" s="106" t="e">
        <f>VLOOKUP(C1229,'RAW DATA 2023'!E:BO,36,0)</f>
        <v>#N/A</v>
      </c>
      <c r="L1229" s="106" t="e">
        <f>VLOOKUP(C1229,'RAW DATA 2023'!E:BO,21,0)</f>
        <v>#N/A</v>
      </c>
      <c r="M1229" s="106" t="e">
        <f t="shared" si="100"/>
        <v>#N/A</v>
      </c>
    </row>
    <row r="1230" spans="1:13">
      <c r="A1230">
        <f>'RAW DATA 2023'!B1223</f>
        <v>0</v>
      </c>
      <c r="B1230">
        <f>'RAW DATA 2023'!D1223</f>
        <v>0</v>
      </c>
      <c r="C1230" t="str">
        <f t="shared" si="96"/>
        <v>00</v>
      </c>
      <c r="D1230" t="e">
        <f>VLOOKUP(C1230,'RAW DATA 2023'!E:BP,63,0)</f>
        <v>#N/A</v>
      </c>
      <c r="E1230" t="e">
        <f t="shared" si="97"/>
        <v>#N/A</v>
      </c>
      <c r="F1230" t="e">
        <f>ROUND(VLOOKUP(C1230,'RAW DATA 2023'!E:BO,23,0),0)</f>
        <v>#N/A</v>
      </c>
      <c r="G1230" s="16" t="e">
        <f>VLOOKUP(C1230,'RAW DATA 2023'!E:BO,27,0)</f>
        <v>#N/A</v>
      </c>
      <c r="H1230" s="16">
        <f>IFERROR(VLOOKUP(F1230,STD!B:G,5,0),0)</f>
        <v>0</v>
      </c>
      <c r="I1230" s="21">
        <f t="shared" si="98"/>
        <v>0</v>
      </c>
      <c r="J1230" s="16">
        <f t="shared" si="99"/>
        <v>-10</v>
      </c>
      <c r="K1230" s="106" t="e">
        <f>VLOOKUP(C1230,'RAW DATA 2023'!E:BO,36,0)</f>
        <v>#N/A</v>
      </c>
      <c r="L1230" s="106" t="e">
        <f>VLOOKUP(C1230,'RAW DATA 2023'!E:BO,21,0)</f>
        <v>#N/A</v>
      </c>
      <c r="M1230" s="106" t="e">
        <f t="shared" si="100"/>
        <v>#N/A</v>
      </c>
    </row>
    <row r="1231" spans="1:13">
      <c r="A1231">
        <f>'RAW DATA 2023'!B1224</f>
        <v>0</v>
      </c>
      <c r="B1231">
        <f>'RAW DATA 2023'!D1224</f>
        <v>0</v>
      </c>
      <c r="C1231" t="str">
        <f t="shared" si="96"/>
        <v>00</v>
      </c>
      <c r="D1231" t="e">
        <f>VLOOKUP(C1231,'RAW DATA 2023'!E:BP,63,0)</f>
        <v>#N/A</v>
      </c>
      <c r="E1231" t="e">
        <f t="shared" si="97"/>
        <v>#N/A</v>
      </c>
      <c r="F1231" t="e">
        <f>ROUND(VLOOKUP(C1231,'RAW DATA 2023'!E:BO,23,0),0)</f>
        <v>#N/A</v>
      </c>
      <c r="G1231" s="16" t="e">
        <f>VLOOKUP(C1231,'RAW DATA 2023'!E:BO,27,0)</f>
        <v>#N/A</v>
      </c>
      <c r="H1231" s="16">
        <f>IFERROR(VLOOKUP(F1231,STD!B:G,5,0),0)</f>
        <v>0</v>
      </c>
      <c r="I1231" s="21">
        <f t="shared" si="98"/>
        <v>0</v>
      </c>
      <c r="J1231" s="16">
        <f t="shared" si="99"/>
        <v>-10</v>
      </c>
      <c r="K1231" s="106" t="e">
        <f>VLOOKUP(C1231,'RAW DATA 2023'!E:BO,36,0)</f>
        <v>#N/A</v>
      </c>
      <c r="L1231" s="106" t="e">
        <f>VLOOKUP(C1231,'RAW DATA 2023'!E:BO,21,0)</f>
        <v>#N/A</v>
      </c>
      <c r="M1231" s="106" t="e">
        <f t="shared" si="100"/>
        <v>#N/A</v>
      </c>
    </row>
    <row r="1232" spans="1:13">
      <c r="A1232">
        <f>'RAW DATA 2023'!B1225</f>
        <v>0</v>
      </c>
      <c r="B1232">
        <f>'RAW DATA 2023'!D1225</f>
        <v>0</v>
      </c>
      <c r="C1232" t="str">
        <f t="shared" si="96"/>
        <v>00</v>
      </c>
      <c r="D1232" t="e">
        <f>VLOOKUP(C1232,'RAW DATA 2023'!E:BP,63,0)</f>
        <v>#N/A</v>
      </c>
      <c r="E1232" t="e">
        <f t="shared" si="97"/>
        <v>#N/A</v>
      </c>
      <c r="F1232" t="e">
        <f>ROUND(VLOOKUP(C1232,'RAW DATA 2023'!E:BO,23,0),0)</f>
        <v>#N/A</v>
      </c>
      <c r="G1232" s="16" t="e">
        <f>VLOOKUP(C1232,'RAW DATA 2023'!E:BO,27,0)</f>
        <v>#N/A</v>
      </c>
      <c r="H1232" s="16">
        <f>IFERROR(VLOOKUP(F1232,STD!B:G,5,0),0)</f>
        <v>0</v>
      </c>
      <c r="I1232" s="21">
        <f t="shared" si="98"/>
        <v>0</v>
      </c>
      <c r="J1232" s="16">
        <f t="shared" si="99"/>
        <v>-10</v>
      </c>
      <c r="K1232" s="106" t="e">
        <f>VLOOKUP(C1232,'RAW DATA 2023'!E:BO,36,0)</f>
        <v>#N/A</v>
      </c>
      <c r="L1232" s="106" t="e">
        <f>VLOOKUP(C1232,'RAW DATA 2023'!E:BO,21,0)</f>
        <v>#N/A</v>
      </c>
      <c r="M1232" s="106" t="e">
        <f t="shared" si="100"/>
        <v>#N/A</v>
      </c>
    </row>
    <row r="1233" spans="1:13">
      <c r="A1233">
        <f>'RAW DATA 2023'!B1226</f>
        <v>0</v>
      </c>
      <c r="B1233">
        <f>'RAW DATA 2023'!D1226</f>
        <v>0</v>
      </c>
      <c r="C1233" t="str">
        <f t="shared" si="96"/>
        <v>00</v>
      </c>
      <c r="D1233" t="e">
        <f>VLOOKUP(C1233,'RAW DATA 2023'!E:BP,63,0)</f>
        <v>#N/A</v>
      </c>
      <c r="E1233" t="e">
        <f t="shared" si="97"/>
        <v>#N/A</v>
      </c>
      <c r="F1233" t="e">
        <f>ROUND(VLOOKUP(C1233,'RAW DATA 2023'!E:BO,23,0),0)</f>
        <v>#N/A</v>
      </c>
      <c r="G1233" s="16" t="e">
        <f>VLOOKUP(C1233,'RAW DATA 2023'!E:BO,27,0)</f>
        <v>#N/A</v>
      </c>
      <c r="H1233" s="16">
        <f>IFERROR(VLOOKUP(F1233,STD!B:G,5,0),0)</f>
        <v>0</v>
      </c>
      <c r="I1233" s="21">
        <f t="shared" si="98"/>
        <v>0</v>
      </c>
      <c r="J1233" s="16">
        <f t="shared" si="99"/>
        <v>-10</v>
      </c>
      <c r="K1233" s="106" t="e">
        <f>VLOOKUP(C1233,'RAW DATA 2023'!E:BO,36,0)</f>
        <v>#N/A</v>
      </c>
      <c r="L1233" s="106" t="e">
        <f>VLOOKUP(C1233,'RAW DATA 2023'!E:BO,21,0)</f>
        <v>#N/A</v>
      </c>
      <c r="M1233" s="106" t="e">
        <f t="shared" si="100"/>
        <v>#N/A</v>
      </c>
    </row>
    <row r="1234" spans="1:13">
      <c r="A1234">
        <f>'RAW DATA 2023'!B1227</f>
        <v>0</v>
      </c>
      <c r="B1234">
        <f>'RAW DATA 2023'!D1227</f>
        <v>0</v>
      </c>
      <c r="C1234" t="str">
        <f t="shared" si="96"/>
        <v>00</v>
      </c>
      <c r="D1234" t="e">
        <f>VLOOKUP(C1234,'RAW DATA 2023'!E:BP,63,0)</f>
        <v>#N/A</v>
      </c>
      <c r="E1234" t="e">
        <f t="shared" si="97"/>
        <v>#N/A</v>
      </c>
      <c r="F1234" t="e">
        <f>ROUND(VLOOKUP(C1234,'RAW DATA 2023'!E:BO,23,0),0)</f>
        <v>#N/A</v>
      </c>
      <c r="G1234" s="16" t="e">
        <f>VLOOKUP(C1234,'RAW DATA 2023'!E:BO,27,0)</f>
        <v>#N/A</v>
      </c>
      <c r="H1234" s="16">
        <f>IFERROR(VLOOKUP(F1234,STD!B:G,5,0),0)</f>
        <v>0</v>
      </c>
      <c r="I1234" s="21">
        <f t="shared" si="98"/>
        <v>0</v>
      </c>
      <c r="J1234" s="16">
        <f t="shared" si="99"/>
        <v>-10</v>
      </c>
      <c r="K1234" s="106" t="e">
        <f>VLOOKUP(C1234,'RAW DATA 2023'!E:BO,36,0)</f>
        <v>#N/A</v>
      </c>
      <c r="L1234" s="106" t="e">
        <f>VLOOKUP(C1234,'RAW DATA 2023'!E:BO,21,0)</f>
        <v>#N/A</v>
      </c>
      <c r="M1234" s="106" t="e">
        <f t="shared" si="100"/>
        <v>#N/A</v>
      </c>
    </row>
    <row r="1235" spans="1:13">
      <c r="A1235">
        <f>'RAW DATA 2023'!B1228</f>
        <v>0</v>
      </c>
      <c r="B1235">
        <f>'RAW DATA 2023'!D1228</f>
        <v>0</v>
      </c>
      <c r="C1235" t="str">
        <f t="shared" si="96"/>
        <v>00</v>
      </c>
      <c r="D1235" t="e">
        <f>VLOOKUP(C1235,'RAW DATA 2023'!E:BP,63,0)</f>
        <v>#N/A</v>
      </c>
      <c r="E1235" t="e">
        <f t="shared" si="97"/>
        <v>#N/A</v>
      </c>
      <c r="F1235" t="e">
        <f>ROUND(VLOOKUP(C1235,'RAW DATA 2023'!E:BO,23,0),0)</f>
        <v>#N/A</v>
      </c>
      <c r="G1235" s="16" t="e">
        <f>VLOOKUP(C1235,'RAW DATA 2023'!E:BO,27,0)</f>
        <v>#N/A</v>
      </c>
      <c r="H1235" s="16">
        <f>IFERROR(VLOOKUP(F1235,STD!B:G,5,0),0)</f>
        <v>0</v>
      </c>
      <c r="I1235" s="21">
        <f t="shared" si="98"/>
        <v>0</v>
      </c>
      <c r="J1235" s="16">
        <f t="shared" si="99"/>
        <v>-10</v>
      </c>
      <c r="K1235" s="106" t="e">
        <f>VLOOKUP(C1235,'RAW DATA 2023'!E:BO,36,0)</f>
        <v>#N/A</v>
      </c>
      <c r="L1235" s="106" t="e">
        <f>VLOOKUP(C1235,'RAW DATA 2023'!E:BO,21,0)</f>
        <v>#N/A</v>
      </c>
      <c r="M1235" s="106" t="e">
        <f t="shared" si="100"/>
        <v>#N/A</v>
      </c>
    </row>
    <row r="1236" spans="1:13">
      <c r="A1236">
        <f>'RAW DATA 2023'!B1229</f>
        <v>0</v>
      </c>
      <c r="B1236">
        <f>'RAW DATA 2023'!D1229</f>
        <v>0</v>
      </c>
      <c r="C1236" t="str">
        <f t="shared" si="96"/>
        <v>00</v>
      </c>
      <c r="D1236" t="e">
        <f>VLOOKUP(C1236,'RAW DATA 2023'!E:BP,63,0)</f>
        <v>#N/A</v>
      </c>
      <c r="E1236" t="e">
        <f t="shared" si="97"/>
        <v>#N/A</v>
      </c>
      <c r="F1236" t="e">
        <f>ROUND(VLOOKUP(C1236,'RAW DATA 2023'!E:BO,23,0),0)</f>
        <v>#N/A</v>
      </c>
      <c r="G1236" s="16" t="e">
        <f>VLOOKUP(C1236,'RAW DATA 2023'!E:BO,27,0)</f>
        <v>#N/A</v>
      </c>
      <c r="H1236" s="16">
        <f>IFERROR(VLOOKUP(F1236,STD!B:G,5,0),0)</f>
        <v>0</v>
      </c>
      <c r="I1236" s="21">
        <f t="shared" si="98"/>
        <v>0</v>
      </c>
      <c r="J1236" s="16">
        <f t="shared" si="99"/>
        <v>-10</v>
      </c>
      <c r="K1236" s="106" t="e">
        <f>VLOOKUP(C1236,'RAW DATA 2023'!E:BO,36,0)</f>
        <v>#N/A</v>
      </c>
      <c r="L1236" s="106" t="e">
        <f>VLOOKUP(C1236,'RAW DATA 2023'!E:BO,21,0)</f>
        <v>#N/A</v>
      </c>
      <c r="M1236" s="106" t="e">
        <f t="shared" si="100"/>
        <v>#N/A</v>
      </c>
    </row>
    <row r="1237" spans="1:13">
      <c r="A1237">
        <f>'RAW DATA 2023'!B1230</f>
        <v>0</v>
      </c>
      <c r="C1237" t="str">
        <f t="shared" si="96"/>
        <v>0</v>
      </c>
      <c r="D1237" t="e">
        <f>VLOOKUP(C1237,'RAW DATA 2023'!E:BP,63,0)</f>
        <v>#N/A</v>
      </c>
      <c r="E1237" t="e">
        <f t="shared" si="97"/>
        <v>#N/A</v>
      </c>
      <c r="F1237" t="e">
        <f>ROUND(VLOOKUP(C1237,'RAW DATA 2023'!E:BO,23,0),0)</f>
        <v>#N/A</v>
      </c>
      <c r="G1237" s="16" t="e">
        <f>VLOOKUP(C1237,'RAW DATA 2023'!E:BO,27,0)</f>
        <v>#N/A</v>
      </c>
      <c r="H1237" s="16">
        <f>IFERROR(VLOOKUP(F1237,STD!B:G,5,0),0)</f>
        <v>0</v>
      </c>
      <c r="I1237" s="21">
        <f t="shared" si="98"/>
        <v>0</v>
      </c>
      <c r="J1237" s="16">
        <f t="shared" si="99"/>
        <v>-10</v>
      </c>
      <c r="K1237" s="106" t="e">
        <f>VLOOKUP(C1237,'RAW DATA 2023'!E:BO,36,0)</f>
        <v>#N/A</v>
      </c>
      <c r="L1237" s="106" t="e">
        <f>VLOOKUP(C1237,'RAW DATA 2023'!E:BO,21,0)</f>
        <v>#N/A</v>
      </c>
      <c r="M1237" s="106" t="e">
        <f t="shared" si="100"/>
        <v>#N/A</v>
      </c>
    </row>
    <row r="1238" spans="1:13">
      <c r="A1238">
        <f>'RAW DATA 2023'!B1231</f>
        <v>0</v>
      </c>
      <c r="C1238" t="str">
        <f t="shared" si="96"/>
        <v>0</v>
      </c>
      <c r="D1238" t="e">
        <f>VLOOKUP(C1238,'RAW DATA 2023'!E:BP,63,0)</f>
        <v>#N/A</v>
      </c>
      <c r="E1238" t="e">
        <f t="shared" si="97"/>
        <v>#N/A</v>
      </c>
      <c r="F1238" t="e">
        <f>ROUND(VLOOKUP(C1238,'RAW DATA 2023'!E:BO,23,0),0)</f>
        <v>#N/A</v>
      </c>
      <c r="G1238" s="16" t="e">
        <f>VLOOKUP(C1238,'RAW DATA 2023'!E:BO,27,0)</f>
        <v>#N/A</v>
      </c>
      <c r="H1238" s="16">
        <f>IFERROR(VLOOKUP(F1238,STD!B:G,5,0),0)</f>
        <v>0</v>
      </c>
      <c r="I1238" s="21">
        <f t="shared" si="98"/>
        <v>0</v>
      </c>
      <c r="J1238" s="16">
        <f t="shared" si="99"/>
        <v>-10</v>
      </c>
      <c r="K1238" s="106" t="e">
        <f>VLOOKUP(C1238,'RAW DATA 2023'!E:BO,36,0)</f>
        <v>#N/A</v>
      </c>
      <c r="L1238" s="106" t="e">
        <f>VLOOKUP(C1238,'RAW DATA 2023'!E:BO,21,0)</f>
        <v>#N/A</v>
      </c>
      <c r="M1238" s="106" t="e">
        <f t="shared" si="100"/>
        <v>#N/A</v>
      </c>
    </row>
    <row r="1239" spans="1:13">
      <c r="A1239">
        <f>'RAW DATA 2023'!B1232</f>
        <v>0</v>
      </c>
      <c r="C1239" t="str">
        <f t="shared" si="96"/>
        <v>0</v>
      </c>
      <c r="D1239" t="e">
        <f>VLOOKUP(C1239,'RAW DATA 2023'!E:BP,63,0)</f>
        <v>#N/A</v>
      </c>
      <c r="E1239" t="e">
        <f t="shared" si="97"/>
        <v>#N/A</v>
      </c>
      <c r="F1239" t="e">
        <f>ROUND(VLOOKUP(C1239,'RAW DATA 2023'!E:BO,23,0),0)</f>
        <v>#N/A</v>
      </c>
      <c r="G1239" s="16" t="e">
        <f>VLOOKUP(C1239,'RAW DATA 2023'!E:BO,27,0)</f>
        <v>#N/A</v>
      </c>
      <c r="H1239" s="16">
        <f>IFERROR(VLOOKUP(F1239,STD!B:G,5,0),0)</f>
        <v>0</v>
      </c>
      <c r="I1239" s="21">
        <f t="shared" si="98"/>
        <v>0</v>
      </c>
      <c r="J1239" s="16">
        <f t="shared" si="99"/>
        <v>-10</v>
      </c>
      <c r="K1239" s="106" t="e">
        <f>VLOOKUP(C1239,'RAW DATA 2023'!E:BO,36,0)</f>
        <v>#N/A</v>
      </c>
      <c r="L1239" s="106" t="e">
        <f>VLOOKUP(C1239,'RAW DATA 2023'!E:BO,21,0)</f>
        <v>#N/A</v>
      </c>
      <c r="M1239" s="106" t="e">
        <f t="shared" si="100"/>
        <v>#N/A</v>
      </c>
    </row>
    <row r="1240" spans="1:13">
      <c r="A1240">
        <f>'RAW DATA 2023'!B1233</f>
        <v>0</v>
      </c>
      <c r="C1240" t="str">
        <f t="shared" si="96"/>
        <v>0</v>
      </c>
      <c r="D1240" t="e">
        <f>VLOOKUP(C1240,'RAW DATA 2023'!E:BP,63,0)</f>
        <v>#N/A</v>
      </c>
      <c r="E1240" t="e">
        <f t="shared" si="97"/>
        <v>#N/A</v>
      </c>
      <c r="F1240" t="e">
        <f>ROUND(VLOOKUP(C1240,'RAW DATA 2023'!E:BO,23,0),0)</f>
        <v>#N/A</v>
      </c>
      <c r="G1240" s="16" t="e">
        <f>VLOOKUP(C1240,'RAW DATA 2023'!E:BO,27,0)</f>
        <v>#N/A</v>
      </c>
      <c r="H1240" s="16">
        <f>IFERROR(VLOOKUP(F1240,STD!B:G,5,0),0)</f>
        <v>0</v>
      </c>
      <c r="I1240" s="21">
        <f t="shared" si="98"/>
        <v>0</v>
      </c>
      <c r="J1240" s="16">
        <f t="shared" si="99"/>
        <v>-10</v>
      </c>
      <c r="K1240" s="106" t="e">
        <f>VLOOKUP(C1240,'RAW DATA 2023'!E:BO,36,0)</f>
        <v>#N/A</v>
      </c>
      <c r="L1240" s="106" t="e">
        <f>VLOOKUP(C1240,'RAW DATA 2023'!E:BO,21,0)</f>
        <v>#N/A</v>
      </c>
      <c r="M1240" s="106" t="e">
        <f t="shared" si="100"/>
        <v>#N/A</v>
      </c>
    </row>
    <row r="1241" spans="1:13">
      <c r="A1241">
        <f>'RAW DATA 2023'!B1234</f>
        <v>0</v>
      </c>
      <c r="C1241" t="str">
        <f t="shared" si="96"/>
        <v>0</v>
      </c>
      <c r="D1241" t="e">
        <f>VLOOKUP(C1241,'RAW DATA 2023'!E:BP,63,0)</f>
        <v>#N/A</v>
      </c>
      <c r="E1241" t="e">
        <f t="shared" si="97"/>
        <v>#N/A</v>
      </c>
      <c r="F1241" t="e">
        <f>ROUND(VLOOKUP(C1241,'RAW DATA 2023'!E:BO,23,0),0)</f>
        <v>#N/A</v>
      </c>
      <c r="G1241" s="16" t="e">
        <f>VLOOKUP(C1241,'RAW DATA 2023'!E:BO,27,0)</f>
        <v>#N/A</v>
      </c>
      <c r="H1241" s="16">
        <f>IFERROR(VLOOKUP(F1241,STD!B:G,5,0),0)</f>
        <v>0</v>
      </c>
      <c r="I1241" s="21">
        <f t="shared" si="98"/>
        <v>0</v>
      </c>
      <c r="J1241" s="16">
        <f t="shared" si="99"/>
        <v>-10</v>
      </c>
      <c r="K1241" s="106" t="e">
        <f>VLOOKUP(C1241,'RAW DATA 2023'!E:BO,36,0)</f>
        <v>#N/A</v>
      </c>
      <c r="L1241" s="106" t="e">
        <f>VLOOKUP(C1241,'RAW DATA 2023'!E:BO,21,0)</f>
        <v>#N/A</v>
      </c>
      <c r="M1241" s="106" t="e">
        <f t="shared" si="100"/>
        <v>#N/A</v>
      </c>
    </row>
    <row r="1242" spans="1:13">
      <c r="A1242">
        <f>'RAW DATA 2023'!B1235</f>
        <v>0</v>
      </c>
      <c r="C1242" t="str">
        <f t="shared" si="96"/>
        <v>0</v>
      </c>
      <c r="D1242" t="e">
        <f>VLOOKUP(C1242,'RAW DATA 2023'!E:BP,63,0)</f>
        <v>#N/A</v>
      </c>
      <c r="E1242" t="e">
        <f t="shared" si="97"/>
        <v>#N/A</v>
      </c>
      <c r="F1242" t="e">
        <f>ROUND(VLOOKUP(C1242,'RAW DATA 2023'!E:BO,23,0),0)</f>
        <v>#N/A</v>
      </c>
      <c r="G1242" s="16" t="e">
        <f>VLOOKUP(C1242,'RAW DATA 2023'!E:BO,27,0)</f>
        <v>#N/A</v>
      </c>
      <c r="H1242" s="16">
        <f>IFERROR(VLOOKUP(F1242,STD!B:G,5,0),0)</f>
        <v>0</v>
      </c>
      <c r="I1242" s="21">
        <f t="shared" si="98"/>
        <v>0</v>
      </c>
      <c r="J1242" s="16">
        <f t="shared" si="99"/>
        <v>-10</v>
      </c>
      <c r="K1242" s="106" t="e">
        <f>VLOOKUP(C1242,'RAW DATA 2023'!E:BO,36,0)</f>
        <v>#N/A</v>
      </c>
      <c r="L1242" s="106" t="e">
        <f>VLOOKUP(C1242,'RAW DATA 2023'!E:BO,21,0)</f>
        <v>#N/A</v>
      </c>
      <c r="M1242" s="106" t="e">
        <f t="shared" si="100"/>
        <v>#N/A</v>
      </c>
    </row>
    <row r="1243" spans="1:13">
      <c r="A1243">
        <f>'RAW DATA 2023'!B1236</f>
        <v>0</v>
      </c>
      <c r="C1243" t="str">
        <f t="shared" si="96"/>
        <v>0</v>
      </c>
      <c r="D1243" t="e">
        <f>VLOOKUP(C1243,'RAW DATA 2023'!E:BP,63,0)</f>
        <v>#N/A</v>
      </c>
      <c r="E1243" t="e">
        <f t="shared" si="97"/>
        <v>#N/A</v>
      </c>
      <c r="F1243" t="e">
        <f>ROUND(VLOOKUP(C1243,'RAW DATA 2023'!E:BO,23,0),0)</f>
        <v>#N/A</v>
      </c>
      <c r="G1243" s="16" t="e">
        <f>VLOOKUP(C1243,'RAW DATA 2023'!E:BO,27,0)</f>
        <v>#N/A</v>
      </c>
      <c r="H1243" s="16">
        <f>IFERROR(VLOOKUP(F1243,STD!B:G,5,0),0)</f>
        <v>0</v>
      </c>
      <c r="I1243" s="21">
        <f t="shared" si="98"/>
        <v>0</v>
      </c>
      <c r="J1243" s="16">
        <f t="shared" si="99"/>
        <v>-10</v>
      </c>
      <c r="K1243" s="106" t="e">
        <f>VLOOKUP(C1243,'RAW DATA 2023'!E:BO,36,0)</f>
        <v>#N/A</v>
      </c>
      <c r="L1243" s="106" t="e">
        <f>VLOOKUP(C1243,'RAW DATA 2023'!E:BO,21,0)</f>
        <v>#N/A</v>
      </c>
      <c r="M1243" s="106" t="e">
        <f t="shared" si="100"/>
        <v>#N/A</v>
      </c>
    </row>
    <row r="1244" spans="1:13">
      <c r="A1244">
        <f>'RAW DATA 2023'!B1237</f>
        <v>0</v>
      </c>
      <c r="C1244" t="str">
        <f t="shared" si="96"/>
        <v>0</v>
      </c>
      <c r="D1244" t="e">
        <f>VLOOKUP(C1244,'RAW DATA 2023'!E:BP,63,0)</f>
        <v>#N/A</v>
      </c>
      <c r="E1244" t="e">
        <f t="shared" si="97"/>
        <v>#N/A</v>
      </c>
      <c r="F1244" t="e">
        <f>ROUND(VLOOKUP(C1244,'RAW DATA 2023'!E:BO,23,0),0)</f>
        <v>#N/A</v>
      </c>
      <c r="G1244" s="16" t="e">
        <f>VLOOKUP(C1244,'RAW DATA 2023'!E:BO,27,0)</f>
        <v>#N/A</v>
      </c>
      <c r="H1244" s="16">
        <f>IFERROR(VLOOKUP(F1244,STD!B:G,5,0),0)</f>
        <v>0</v>
      </c>
      <c r="I1244" s="21">
        <f t="shared" si="98"/>
        <v>0</v>
      </c>
      <c r="J1244" s="16">
        <f t="shared" si="99"/>
        <v>-10</v>
      </c>
      <c r="K1244" s="106" t="e">
        <f>VLOOKUP(C1244,'RAW DATA 2023'!E:BO,36,0)</f>
        <v>#N/A</v>
      </c>
      <c r="L1244" s="106" t="e">
        <f>VLOOKUP(C1244,'RAW DATA 2023'!E:BO,21,0)</f>
        <v>#N/A</v>
      </c>
      <c r="M1244" s="106" t="e">
        <f t="shared" si="100"/>
        <v>#N/A</v>
      </c>
    </row>
    <row r="1245" spans="1:13">
      <c r="A1245">
        <f>'RAW DATA 2023'!B1238</f>
        <v>0</v>
      </c>
      <c r="C1245" t="str">
        <f t="shared" si="96"/>
        <v>0</v>
      </c>
      <c r="D1245" t="e">
        <f>VLOOKUP(C1245,'RAW DATA 2023'!E:BP,63,0)</f>
        <v>#N/A</v>
      </c>
      <c r="E1245" t="e">
        <f t="shared" si="97"/>
        <v>#N/A</v>
      </c>
      <c r="F1245" t="e">
        <f>ROUND(VLOOKUP(C1245,'RAW DATA 2023'!E:BO,23,0),0)</f>
        <v>#N/A</v>
      </c>
      <c r="G1245" s="16" t="e">
        <f>VLOOKUP(C1245,'RAW DATA 2023'!E:BO,27,0)</f>
        <v>#N/A</v>
      </c>
      <c r="H1245" s="16">
        <f>IFERROR(VLOOKUP(F1245,STD!B:G,5,0),0)</f>
        <v>0</v>
      </c>
      <c r="I1245" s="21">
        <f t="shared" si="98"/>
        <v>0</v>
      </c>
      <c r="J1245" s="16">
        <f t="shared" si="99"/>
        <v>-10</v>
      </c>
      <c r="K1245" s="106" t="e">
        <f>VLOOKUP(C1245,'RAW DATA 2023'!E:BO,36,0)</f>
        <v>#N/A</v>
      </c>
      <c r="L1245" s="106" t="e">
        <f>VLOOKUP(C1245,'RAW DATA 2023'!E:BO,21,0)</f>
        <v>#N/A</v>
      </c>
      <c r="M1245" s="106" t="e">
        <f t="shared" si="100"/>
        <v>#N/A</v>
      </c>
    </row>
    <row r="1246" spans="1:13">
      <c r="A1246">
        <f>'RAW DATA 2023'!B1239</f>
        <v>0</v>
      </c>
      <c r="C1246" t="str">
        <f t="shared" si="96"/>
        <v>0</v>
      </c>
      <c r="D1246" t="e">
        <f>VLOOKUP(C1246,'RAW DATA 2023'!E:BP,63,0)</f>
        <v>#N/A</v>
      </c>
      <c r="E1246" t="e">
        <f t="shared" si="97"/>
        <v>#N/A</v>
      </c>
      <c r="F1246" t="e">
        <f>ROUND(VLOOKUP(C1246,'RAW DATA 2023'!E:BO,23,0),0)</f>
        <v>#N/A</v>
      </c>
      <c r="G1246" s="16" t="e">
        <f>VLOOKUP(C1246,'RAW DATA 2023'!E:BO,27,0)</f>
        <v>#N/A</v>
      </c>
      <c r="H1246" s="16">
        <f>IFERROR(VLOOKUP(F1246,STD!B:G,5,0),0)</f>
        <v>0</v>
      </c>
      <c r="I1246" s="21">
        <f t="shared" si="98"/>
        <v>0</v>
      </c>
      <c r="J1246" s="16">
        <f t="shared" si="99"/>
        <v>-10</v>
      </c>
      <c r="K1246" s="106" t="e">
        <f>VLOOKUP(C1246,'RAW DATA 2023'!E:BO,36,0)</f>
        <v>#N/A</v>
      </c>
      <c r="L1246" s="106" t="e">
        <f>VLOOKUP(C1246,'RAW DATA 2023'!E:BO,21,0)</f>
        <v>#N/A</v>
      </c>
      <c r="M1246" s="106" t="e">
        <f t="shared" si="100"/>
        <v>#N/A</v>
      </c>
    </row>
    <row r="1247" spans="1:13">
      <c r="A1247">
        <f>'RAW DATA 2023'!B1240</f>
        <v>0</v>
      </c>
      <c r="C1247" t="str">
        <f t="shared" si="96"/>
        <v>0</v>
      </c>
      <c r="D1247" t="e">
        <f>VLOOKUP(C1247,'RAW DATA 2023'!E:BP,63,0)</f>
        <v>#N/A</v>
      </c>
      <c r="E1247" t="e">
        <f t="shared" si="97"/>
        <v>#N/A</v>
      </c>
      <c r="F1247" t="e">
        <f>ROUND(VLOOKUP(C1247,'RAW DATA 2023'!E:BO,23,0),0)</f>
        <v>#N/A</v>
      </c>
      <c r="G1247" s="16" t="e">
        <f>VLOOKUP(C1247,'RAW DATA 2023'!E:BO,27,0)</f>
        <v>#N/A</v>
      </c>
      <c r="H1247" s="16">
        <f>IFERROR(VLOOKUP(F1247,STD!B:G,5,0),0)</f>
        <v>0</v>
      </c>
      <c r="I1247" s="21">
        <f t="shared" si="98"/>
        <v>0</v>
      </c>
      <c r="J1247" s="16">
        <f t="shared" si="99"/>
        <v>-10</v>
      </c>
      <c r="K1247" s="106" t="e">
        <f>VLOOKUP(C1247,'RAW DATA 2023'!E:BO,36,0)</f>
        <v>#N/A</v>
      </c>
      <c r="L1247" s="106" t="e">
        <f>VLOOKUP(C1247,'RAW DATA 2023'!E:BO,21,0)</f>
        <v>#N/A</v>
      </c>
      <c r="M1247" s="106" t="e">
        <f t="shared" si="100"/>
        <v>#N/A</v>
      </c>
    </row>
    <row r="1248" spans="1:13">
      <c r="A1248">
        <f>'RAW DATA 2023'!B1241</f>
        <v>0</v>
      </c>
      <c r="C1248" t="str">
        <f t="shared" si="96"/>
        <v>0</v>
      </c>
      <c r="D1248" t="e">
        <f>VLOOKUP(C1248,'RAW DATA 2023'!E:BP,63,0)</f>
        <v>#N/A</v>
      </c>
      <c r="E1248" t="e">
        <f t="shared" si="97"/>
        <v>#N/A</v>
      </c>
      <c r="F1248" t="e">
        <f>ROUND(VLOOKUP(C1248,'RAW DATA 2023'!E:BO,23,0),0)</f>
        <v>#N/A</v>
      </c>
      <c r="G1248" s="16" t="e">
        <f>VLOOKUP(C1248,'RAW DATA 2023'!E:BO,27,0)</f>
        <v>#N/A</v>
      </c>
      <c r="H1248" s="16">
        <f>IFERROR(VLOOKUP(F1248,STD!B:G,5,0),0)</f>
        <v>0</v>
      </c>
      <c r="I1248" s="21">
        <f t="shared" si="98"/>
        <v>0</v>
      </c>
      <c r="J1248" s="16">
        <f t="shared" si="99"/>
        <v>-10</v>
      </c>
      <c r="K1248" s="106" t="e">
        <f>VLOOKUP(C1248,'RAW DATA 2023'!E:BO,36,0)</f>
        <v>#N/A</v>
      </c>
      <c r="L1248" s="106" t="e">
        <f>VLOOKUP(C1248,'RAW DATA 2023'!E:BO,21,0)</f>
        <v>#N/A</v>
      </c>
      <c r="M1248" s="106" t="e">
        <f t="shared" si="100"/>
        <v>#N/A</v>
      </c>
    </row>
    <row r="1249" spans="1:13">
      <c r="A1249">
        <f>'RAW DATA 2023'!B1242</f>
        <v>0</v>
      </c>
      <c r="C1249" t="str">
        <f t="shared" si="96"/>
        <v>0</v>
      </c>
      <c r="D1249" t="e">
        <f>VLOOKUP(C1249,'RAW DATA 2023'!E:BP,63,0)</f>
        <v>#N/A</v>
      </c>
      <c r="E1249" t="e">
        <f t="shared" si="97"/>
        <v>#N/A</v>
      </c>
      <c r="F1249" t="e">
        <f>ROUND(VLOOKUP(C1249,'RAW DATA 2023'!E:BO,23,0),0)</f>
        <v>#N/A</v>
      </c>
      <c r="G1249" s="16" t="e">
        <f>VLOOKUP(C1249,'RAW DATA 2023'!E:BO,27,0)</f>
        <v>#N/A</v>
      </c>
      <c r="H1249" s="16">
        <f>IFERROR(VLOOKUP(F1249,STD!B:G,5,0),0)</f>
        <v>0</v>
      </c>
      <c r="I1249" s="21">
        <f t="shared" si="98"/>
        <v>0</v>
      </c>
      <c r="J1249" s="16">
        <f t="shared" si="99"/>
        <v>-10</v>
      </c>
      <c r="K1249" s="106" t="e">
        <f>VLOOKUP(C1249,'RAW DATA 2023'!E:BO,36,0)</f>
        <v>#N/A</v>
      </c>
      <c r="L1249" s="106" t="e">
        <f>VLOOKUP(C1249,'RAW DATA 2023'!E:BO,21,0)</f>
        <v>#N/A</v>
      </c>
      <c r="M1249" s="106" t="e">
        <f t="shared" si="100"/>
        <v>#N/A</v>
      </c>
    </row>
    <row r="1250" spans="1:13">
      <c r="A1250">
        <f>'RAW DATA 2023'!B1243</f>
        <v>0</v>
      </c>
      <c r="C1250" t="str">
        <f t="shared" si="96"/>
        <v>0</v>
      </c>
      <c r="D1250" t="e">
        <f>VLOOKUP(C1250,'RAW DATA 2023'!E:BP,63,0)</f>
        <v>#N/A</v>
      </c>
      <c r="E1250" t="e">
        <f t="shared" si="97"/>
        <v>#N/A</v>
      </c>
      <c r="F1250" t="e">
        <f>ROUND(VLOOKUP(C1250,'RAW DATA 2023'!E:BO,23,0),0)</f>
        <v>#N/A</v>
      </c>
      <c r="G1250" s="16" t="e">
        <f>VLOOKUP(C1250,'RAW DATA 2023'!E:BO,27,0)</f>
        <v>#N/A</v>
      </c>
      <c r="H1250" s="16">
        <f>IFERROR(VLOOKUP(F1250,STD!B:G,5,0),0)</f>
        <v>0</v>
      </c>
      <c r="I1250" s="21">
        <f t="shared" si="98"/>
        <v>0</v>
      </c>
      <c r="J1250" s="16">
        <f t="shared" si="99"/>
        <v>-10</v>
      </c>
      <c r="K1250" s="106" t="e">
        <f>VLOOKUP(C1250,'RAW DATA 2023'!E:BO,36,0)</f>
        <v>#N/A</v>
      </c>
      <c r="L1250" s="106" t="e">
        <f>VLOOKUP(C1250,'RAW DATA 2023'!E:BO,21,0)</f>
        <v>#N/A</v>
      </c>
      <c r="M1250" s="106" t="e">
        <f t="shared" si="100"/>
        <v>#N/A</v>
      </c>
    </row>
    <row r="1251" spans="1:13">
      <c r="A1251">
        <f>'RAW DATA 2023'!B1244</f>
        <v>0</v>
      </c>
      <c r="C1251" t="str">
        <f t="shared" si="96"/>
        <v>0</v>
      </c>
      <c r="D1251" t="e">
        <f>VLOOKUP(C1251,'RAW DATA 2023'!E:BP,63,0)</f>
        <v>#N/A</v>
      </c>
      <c r="E1251" t="e">
        <f t="shared" si="97"/>
        <v>#N/A</v>
      </c>
      <c r="F1251" t="e">
        <f>ROUND(VLOOKUP(C1251,'RAW DATA 2023'!E:BO,23,0),0)</f>
        <v>#N/A</v>
      </c>
      <c r="G1251" s="16" t="e">
        <f>VLOOKUP(C1251,'RAW DATA 2023'!E:BO,27,0)</f>
        <v>#N/A</v>
      </c>
      <c r="H1251" s="16">
        <f>IFERROR(VLOOKUP(F1251,STD!B:G,5,0),0)</f>
        <v>0</v>
      </c>
      <c r="I1251" s="21">
        <f t="shared" si="98"/>
        <v>0</v>
      </c>
      <c r="J1251" s="16">
        <f t="shared" si="99"/>
        <v>-10</v>
      </c>
      <c r="K1251" s="106" t="e">
        <f>VLOOKUP(C1251,'RAW DATA 2023'!E:BO,36,0)</f>
        <v>#N/A</v>
      </c>
      <c r="L1251" s="106" t="e">
        <f>VLOOKUP(C1251,'RAW DATA 2023'!E:BO,21,0)</f>
        <v>#N/A</v>
      </c>
      <c r="M1251" s="106" t="e">
        <f t="shared" si="100"/>
        <v>#N/A</v>
      </c>
    </row>
    <row r="1252" spans="1:13">
      <c r="A1252">
        <f>'RAW DATA 2023'!B1245</f>
        <v>0</v>
      </c>
      <c r="C1252" t="str">
        <f t="shared" si="96"/>
        <v>0</v>
      </c>
      <c r="D1252" t="e">
        <f>VLOOKUP(C1252,'RAW DATA 2023'!E:BP,63,0)</f>
        <v>#N/A</v>
      </c>
      <c r="E1252" t="e">
        <f t="shared" si="97"/>
        <v>#N/A</v>
      </c>
      <c r="F1252" t="e">
        <f>ROUND(VLOOKUP(C1252,'RAW DATA 2023'!E:BO,23,0),0)</f>
        <v>#N/A</v>
      </c>
      <c r="G1252" s="16" t="e">
        <f>VLOOKUP(C1252,'RAW DATA 2023'!E:BO,27,0)</f>
        <v>#N/A</v>
      </c>
      <c r="H1252" s="16">
        <f>IFERROR(VLOOKUP(F1252,STD!B:G,5,0),0)</f>
        <v>0</v>
      </c>
      <c r="I1252" s="21">
        <f t="shared" si="98"/>
        <v>0</v>
      </c>
      <c r="J1252" s="16">
        <f t="shared" si="99"/>
        <v>-10</v>
      </c>
      <c r="K1252" s="106" t="e">
        <f>VLOOKUP(C1252,'RAW DATA 2023'!E:BO,36,0)</f>
        <v>#N/A</v>
      </c>
      <c r="L1252" s="106" t="e">
        <f>VLOOKUP(C1252,'RAW DATA 2023'!E:BO,21,0)</f>
        <v>#N/A</v>
      </c>
      <c r="M1252" s="106" t="e">
        <f t="shared" si="100"/>
        <v>#N/A</v>
      </c>
    </row>
    <row r="1253" spans="1:13">
      <c r="A1253">
        <f>'RAW DATA 2023'!B1246</f>
        <v>0</v>
      </c>
      <c r="C1253" t="str">
        <f t="shared" si="96"/>
        <v>0</v>
      </c>
      <c r="D1253" t="e">
        <f>VLOOKUP(C1253,'RAW DATA 2023'!E:BP,63,0)</f>
        <v>#N/A</v>
      </c>
      <c r="E1253" t="e">
        <f t="shared" si="97"/>
        <v>#N/A</v>
      </c>
      <c r="F1253" t="e">
        <f>ROUND(VLOOKUP(C1253,'RAW DATA 2023'!E:BO,23,0),0)</f>
        <v>#N/A</v>
      </c>
      <c r="G1253" s="16" t="e">
        <f>VLOOKUP(C1253,'RAW DATA 2023'!E:BO,27,0)</f>
        <v>#N/A</v>
      </c>
      <c r="H1253" s="16">
        <f>IFERROR(VLOOKUP(F1253,STD!B:G,5,0),0)</f>
        <v>0</v>
      </c>
      <c r="I1253" s="21">
        <f t="shared" si="98"/>
        <v>0</v>
      </c>
      <c r="J1253" s="16">
        <f t="shared" si="99"/>
        <v>-10</v>
      </c>
      <c r="K1253" s="106" t="e">
        <f>VLOOKUP(C1253,'RAW DATA 2023'!E:BO,36,0)</f>
        <v>#N/A</v>
      </c>
      <c r="L1253" s="106" t="e">
        <f>VLOOKUP(C1253,'RAW DATA 2023'!E:BO,21,0)</f>
        <v>#N/A</v>
      </c>
      <c r="M1253" s="106" t="e">
        <f t="shared" si="100"/>
        <v>#N/A</v>
      </c>
    </row>
    <row r="1254" spans="1:13">
      <c r="A1254">
        <f>'RAW DATA 2023'!B1247</f>
        <v>0</v>
      </c>
      <c r="C1254" t="str">
        <f t="shared" si="96"/>
        <v>0</v>
      </c>
      <c r="D1254" t="e">
        <f>VLOOKUP(C1254,'RAW DATA 2023'!E:BP,63,0)</f>
        <v>#N/A</v>
      </c>
      <c r="E1254" t="e">
        <f t="shared" si="97"/>
        <v>#N/A</v>
      </c>
      <c r="F1254" t="e">
        <f>ROUND(VLOOKUP(C1254,'RAW DATA 2023'!E:BO,23,0),0)</f>
        <v>#N/A</v>
      </c>
      <c r="G1254" s="16" t="e">
        <f>VLOOKUP(C1254,'RAW DATA 2023'!E:BO,27,0)</f>
        <v>#N/A</v>
      </c>
      <c r="H1254" s="16">
        <f>IFERROR(VLOOKUP(F1254,STD!B:G,5,0),0)</f>
        <v>0</v>
      </c>
      <c r="I1254" s="21">
        <f t="shared" si="98"/>
        <v>0</v>
      </c>
      <c r="J1254" s="16">
        <f t="shared" si="99"/>
        <v>-10</v>
      </c>
      <c r="K1254" s="106" t="e">
        <f>VLOOKUP(C1254,'RAW DATA 2023'!E:BO,36,0)</f>
        <v>#N/A</v>
      </c>
      <c r="L1254" s="106" t="e">
        <f>VLOOKUP(C1254,'RAW DATA 2023'!E:BO,21,0)</f>
        <v>#N/A</v>
      </c>
      <c r="M1254" s="106" t="e">
        <f t="shared" si="100"/>
        <v>#N/A</v>
      </c>
    </row>
    <row r="1255" spans="1:13">
      <c r="A1255">
        <f>'RAW DATA 2023'!B1248</f>
        <v>0</v>
      </c>
      <c r="C1255" t="str">
        <f t="shared" si="96"/>
        <v>0</v>
      </c>
      <c r="D1255" t="e">
        <f>VLOOKUP(C1255,'RAW DATA 2023'!E:BP,63,0)</f>
        <v>#N/A</v>
      </c>
      <c r="E1255" t="e">
        <f t="shared" si="97"/>
        <v>#N/A</v>
      </c>
      <c r="F1255" t="e">
        <f>ROUND(VLOOKUP(C1255,'RAW DATA 2023'!E:BO,23,0),0)</f>
        <v>#N/A</v>
      </c>
      <c r="G1255" s="16" t="e">
        <f>VLOOKUP(C1255,'RAW DATA 2023'!E:BO,27,0)</f>
        <v>#N/A</v>
      </c>
      <c r="H1255" s="16">
        <f>IFERROR(VLOOKUP(F1255,STD!B:G,5,0),0)</f>
        <v>0</v>
      </c>
      <c r="I1255" s="21">
        <f t="shared" si="98"/>
        <v>0</v>
      </c>
      <c r="J1255" s="16">
        <f t="shared" si="99"/>
        <v>-10</v>
      </c>
      <c r="K1255" s="106" t="e">
        <f>VLOOKUP(C1255,'RAW DATA 2023'!E:BO,36,0)</f>
        <v>#N/A</v>
      </c>
      <c r="L1255" s="106" t="e">
        <f>VLOOKUP(C1255,'RAW DATA 2023'!E:BO,21,0)</f>
        <v>#N/A</v>
      </c>
      <c r="M1255" s="106" t="e">
        <f t="shared" si="100"/>
        <v>#N/A</v>
      </c>
    </row>
    <row r="1256" spans="1:13">
      <c r="A1256">
        <f>'RAW DATA 2023'!B1249</f>
        <v>0</v>
      </c>
      <c r="C1256" t="str">
        <f t="shared" si="96"/>
        <v>0</v>
      </c>
      <c r="D1256" t="e">
        <f>VLOOKUP(C1256,'RAW DATA 2023'!E:BP,63,0)</f>
        <v>#N/A</v>
      </c>
      <c r="E1256" t="e">
        <f t="shared" si="97"/>
        <v>#N/A</v>
      </c>
      <c r="F1256" t="e">
        <f>ROUND(VLOOKUP(C1256,'RAW DATA 2023'!E:BO,23,0),0)</f>
        <v>#N/A</v>
      </c>
      <c r="G1256" s="16" t="e">
        <f>VLOOKUP(C1256,'RAW DATA 2023'!E:BO,27,0)</f>
        <v>#N/A</v>
      </c>
      <c r="H1256" s="16">
        <f>IFERROR(VLOOKUP(F1256,STD!B:G,5,0),0)</f>
        <v>0</v>
      </c>
      <c r="I1256" s="21">
        <f t="shared" si="98"/>
        <v>0</v>
      </c>
      <c r="J1256" s="16">
        <f t="shared" si="99"/>
        <v>-10</v>
      </c>
      <c r="K1256" s="106" t="e">
        <f>VLOOKUP(C1256,'RAW DATA 2023'!E:BO,36,0)</f>
        <v>#N/A</v>
      </c>
      <c r="L1256" s="106" t="e">
        <f>VLOOKUP(C1256,'RAW DATA 2023'!E:BO,21,0)</f>
        <v>#N/A</v>
      </c>
      <c r="M1256" s="106" t="e">
        <f t="shared" si="100"/>
        <v>#N/A</v>
      </c>
    </row>
    <row r="1257" spans="1:13">
      <c r="A1257">
        <f>'RAW DATA 2023'!B1250</f>
        <v>0</v>
      </c>
      <c r="C1257" t="str">
        <f t="shared" si="96"/>
        <v>0</v>
      </c>
      <c r="D1257" t="e">
        <f>VLOOKUP(C1257,'RAW DATA 2023'!E:BP,63,0)</f>
        <v>#N/A</v>
      </c>
      <c r="E1257" t="e">
        <f t="shared" si="97"/>
        <v>#N/A</v>
      </c>
      <c r="F1257" t="e">
        <f>ROUND(VLOOKUP(C1257,'RAW DATA 2023'!E:BO,23,0),0)</f>
        <v>#N/A</v>
      </c>
      <c r="G1257" s="16" t="e">
        <f>VLOOKUP(C1257,'RAW DATA 2023'!E:BO,27,0)</f>
        <v>#N/A</v>
      </c>
      <c r="H1257" s="16">
        <f>IFERROR(VLOOKUP(F1257,STD!B:G,5,0),0)</f>
        <v>0</v>
      </c>
      <c r="I1257" s="21">
        <f t="shared" si="98"/>
        <v>0</v>
      </c>
      <c r="J1257" s="16">
        <f t="shared" si="99"/>
        <v>-10</v>
      </c>
      <c r="K1257" s="106" t="e">
        <f>VLOOKUP(C1257,'RAW DATA 2023'!E:BO,36,0)</f>
        <v>#N/A</v>
      </c>
      <c r="L1257" s="106" t="e">
        <f>VLOOKUP(C1257,'RAW DATA 2023'!E:BO,21,0)</f>
        <v>#N/A</v>
      </c>
      <c r="M1257" s="106" t="e">
        <f t="shared" si="100"/>
        <v>#N/A</v>
      </c>
    </row>
    <row r="1258" spans="1:13">
      <c r="A1258">
        <f>'RAW DATA 2023'!B1251</f>
        <v>0</v>
      </c>
      <c r="C1258" t="str">
        <f t="shared" si="96"/>
        <v>0</v>
      </c>
      <c r="D1258" t="e">
        <f>VLOOKUP(C1258,'RAW DATA 2023'!E:BP,63,0)</f>
        <v>#N/A</v>
      </c>
      <c r="E1258" t="e">
        <f t="shared" si="97"/>
        <v>#N/A</v>
      </c>
      <c r="F1258" t="e">
        <f>ROUND(VLOOKUP(C1258,'RAW DATA 2023'!E:BO,23,0),0)</f>
        <v>#N/A</v>
      </c>
      <c r="G1258" s="16" t="e">
        <f>VLOOKUP(C1258,'RAW DATA 2023'!E:BO,27,0)</f>
        <v>#N/A</v>
      </c>
      <c r="H1258" s="16">
        <f>IFERROR(VLOOKUP(F1258,STD!B:G,5,0),0)</f>
        <v>0</v>
      </c>
      <c r="I1258" s="21">
        <f t="shared" si="98"/>
        <v>0</v>
      </c>
      <c r="J1258" s="16">
        <f t="shared" si="99"/>
        <v>-10</v>
      </c>
      <c r="K1258" s="106" t="e">
        <f>VLOOKUP(C1258,'RAW DATA 2023'!E:BO,36,0)</f>
        <v>#N/A</v>
      </c>
      <c r="L1258" s="106" t="e">
        <f>VLOOKUP(C1258,'RAW DATA 2023'!E:BO,21,0)</f>
        <v>#N/A</v>
      </c>
      <c r="M1258" s="106" t="e">
        <f t="shared" si="100"/>
        <v>#N/A</v>
      </c>
    </row>
    <row r="1259" spans="1:13">
      <c r="A1259">
        <f>'RAW DATA 2023'!B1252</f>
        <v>0</v>
      </c>
      <c r="C1259" t="str">
        <f t="shared" si="96"/>
        <v>0</v>
      </c>
      <c r="D1259" t="e">
        <f>VLOOKUP(C1259,'RAW DATA 2023'!E:BP,63,0)</f>
        <v>#N/A</v>
      </c>
      <c r="E1259" t="e">
        <f t="shared" si="97"/>
        <v>#N/A</v>
      </c>
      <c r="F1259" t="e">
        <f>ROUND(VLOOKUP(C1259,'RAW DATA 2023'!E:BO,23,0),0)</f>
        <v>#N/A</v>
      </c>
      <c r="G1259" s="16" t="e">
        <f>VLOOKUP(C1259,'RAW DATA 2023'!E:BO,27,0)</f>
        <v>#N/A</v>
      </c>
      <c r="H1259" s="16">
        <f>IFERROR(VLOOKUP(F1259,STD!B:G,5,0),0)</f>
        <v>0</v>
      </c>
      <c r="I1259" s="21">
        <f t="shared" si="98"/>
        <v>0</v>
      </c>
      <c r="J1259" s="16">
        <f t="shared" si="99"/>
        <v>-10</v>
      </c>
      <c r="K1259" s="106" t="e">
        <f>VLOOKUP(C1259,'RAW DATA 2023'!E:BO,36,0)</f>
        <v>#N/A</v>
      </c>
      <c r="L1259" s="106" t="e">
        <f>VLOOKUP(C1259,'RAW DATA 2023'!E:BO,21,0)</f>
        <v>#N/A</v>
      </c>
      <c r="M1259" s="106" t="e">
        <f t="shared" si="100"/>
        <v>#N/A</v>
      </c>
    </row>
    <row r="1260" spans="1:13">
      <c r="A1260">
        <f>'RAW DATA 2023'!B1253</f>
        <v>0</v>
      </c>
      <c r="C1260" t="str">
        <f t="shared" si="96"/>
        <v>0</v>
      </c>
      <c r="D1260" t="e">
        <f>VLOOKUP(C1260,'RAW DATA 2023'!E:BP,63,0)</f>
        <v>#N/A</v>
      </c>
      <c r="E1260" t="e">
        <f t="shared" si="97"/>
        <v>#N/A</v>
      </c>
      <c r="F1260" t="e">
        <f>ROUND(VLOOKUP(C1260,'RAW DATA 2023'!E:BO,23,0),0)</f>
        <v>#N/A</v>
      </c>
      <c r="G1260" s="16" t="e">
        <f>VLOOKUP(C1260,'RAW DATA 2023'!E:BO,27,0)</f>
        <v>#N/A</v>
      </c>
      <c r="H1260" s="16">
        <f>IFERROR(VLOOKUP(F1260,STD!B:G,5,0),0)</f>
        <v>0</v>
      </c>
      <c r="I1260" s="21">
        <f t="shared" si="98"/>
        <v>0</v>
      </c>
      <c r="J1260" s="16">
        <f t="shared" si="99"/>
        <v>-10</v>
      </c>
      <c r="K1260" s="106" t="e">
        <f>VLOOKUP(C1260,'RAW DATA 2023'!E:BO,36,0)</f>
        <v>#N/A</v>
      </c>
      <c r="L1260" s="106" t="e">
        <f>VLOOKUP(C1260,'RAW DATA 2023'!E:BO,21,0)</f>
        <v>#N/A</v>
      </c>
      <c r="M1260" s="106" t="e">
        <f t="shared" si="100"/>
        <v>#N/A</v>
      </c>
    </row>
    <row r="1261" spans="1:13">
      <c r="A1261">
        <f>'RAW DATA 2023'!B1254</f>
        <v>0</v>
      </c>
      <c r="C1261" t="str">
        <f t="shared" si="96"/>
        <v>0</v>
      </c>
      <c r="D1261" t="e">
        <f>VLOOKUP(C1261,'RAW DATA 2023'!E:BP,63,0)</f>
        <v>#N/A</v>
      </c>
      <c r="E1261" t="e">
        <f t="shared" si="97"/>
        <v>#N/A</v>
      </c>
      <c r="F1261" t="e">
        <f>ROUND(VLOOKUP(C1261,'RAW DATA 2023'!E:BO,23,0),0)</f>
        <v>#N/A</v>
      </c>
      <c r="G1261" s="16" t="e">
        <f>VLOOKUP(C1261,'RAW DATA 2023'!E:BO,27,0)</f>
        <v>#N/A</v>
      </c>
      <c r="H1261" s="16">
        <f>IFERROR(VLOOKUP(F1261,STD!B:G,5,0),0)</f>
        <v>0</v>
      </c>
      <c r="I1261" s="21">
        <f t="shared" si="98"/>
        <v>0</v>
      </c>
      <c r="J1261" s="16">
        <f t="shared" si="99"/>
        <v>-10</v>
      </c>
      <c r="K1261" s="106" t="e">
        <f>VLOOKUP(C1261,'RAW DATA 2023'!E:BO,36,0)</f>
        <v>#N/A</v>
      </c>
      <c r="L1261" s="106" t="e">
        <f>VLOOKUP(C1261,'RAW DATA 2023'!E:BO,21,0)</f>
        <v>#N/A</v>
      </c>
      <c r="M1261" s="106" t="e">
        <f t="shared" si="100"/>
        <v>#N/A</v>
      </c>
    </row>
    <row r="1262" spans="1:13">
      <c r="A1262">
        <f>'RAW DATA 2023'!B1255</f>
        <v>0</v>
      </c>
      <c r="C1262" t="str">
        <f t="shared" si="96"/>
        <v>0</v>
      </c>
      <c r="D1262" t="e">
        <f>VLOOKUP(C1262,'RAW DATA 2023'!E:BP,63,0)</f>
        <v>#N/A</v>
      </c>
      <c r="E1262" t="e">
        <f t="shared" si="97"/>
        <v>#N/A</v>
      </c>
      <c r="F1262" t="e">
        <f>ROUND(VLOOKUP(C1262,'RAW DATA 2023'!E:BO,23,0),0)</f>
        <v>#N/A</v>
      </c>
      <c r="G1262" s="16" t="e">
        <f>VLOOKUP(C1262,'RAW DATA 2023'!E:BO,27,0)</f>
        <v>#N/A</v>
      </c>
      <c r="H1262" s="16">
        <f>IFERROR(VLOOKUP(F1262,STD!B:G,5,0),0)</f>
        <v>0</v>
      </c>
      <c r="I1262" s="21">
        <f t="shared" si="98"/>
        <v>0</v>
      </c>
      <c r="J1262" s="16">
        <f t="shared" si="99"/>
        <v>-10</v>
      </c>
      <c r="K1262" s="106" t="e">
        <f>VLOOKUP(C1262,'RAW DATA 2023'!E:BO,36,0)</f>
        <v>#N/A</v>
      </c>
      <c r="L1262" s="106" t="e">
        <f>VLOOKUP(C1262,'RAW DATA 2023'!E:BO,21,0)</f>
        <v>#N/A</v>
      </c>
      <c r="M1262" s="106" t="e">
        <f t="shared" si="100"/>
        <v>#N/A</v>
      </c>
    </row>
    <row r="1263" spans="1:13">
      <c r="A1263">
        <f>'RAW DATA 2023'!B1256</f>
        <v>0</v>
      </c>
      <c r="C1263" t="str">
        <f t="shared" si="96"/>
        <v>0</v>
      </c>
      <c r="D1263" t="e">
        <f>VLOOKUP(C1263,'RAW DATA 2023'!E:BP,63,0)</f>
        <v>#N/A</v>
      </c>
      <c r="E1263" t="e">
        <f t="shared" si="97"/>
        <v>#N/A</v>
      </c>
      <c r="F1263" t="e">
        <f>ROUND(VLOOKUP(C1263,'RAW DATA 2023'!E:BO,23,0),0)</f>
        <v>#N/A</v>
      </c>
      <c r="G1263" s="16" t="e">
        <f>VLOOKUP(C1263,'RAW DATA 2023'!E:BO,27,0)</f>
        <v>#N/A</v>
      </c>
      <c r="H1263" s="16">
        <f>IFERROR(VLOOKUP(F1263,STD!B:G,5,0),0)</f>
        <v>0</v>
      </c>
      <c r="I1263" s="21">
        <f t="shared" si="98"/>
        <v>0</v>
      </c>
      <c r="J1263" s="16">
        <f t="shared" si="99"/>
        <v>-10</v>
      </c>
      <c r="K1263" s="106" t="e">
        <f>VLOOKUP(C1263,'RAW DATA 2023'!E:BO,36,0)</f>
        <v>#N/A</v>
      </c>
      <c r="L1263" s="106" t="e">
        <f>VLOOKUP(C1263,'RAW DATA 2023'!E:BO,21,0)</f>
        <v>#N/A</v>
      </c>
      <c r="M1263" s="106" t="e">
        <f t="shared" si="100"/>
        <v>#N/A</v>
      </c>
    </row>
    <row r="1264" spans="1:13">
      <c r="A1264">
        <f>'RAW DATA 2023'!B1257</f>
        <v>0</v>
      </c>
      <c r="C1264" t="str">
        <f t="shared" si="96"/>
        <v>0</v>
      </c>
      <c r="D1264" t="e">
        <f>VLOOKUP(C1264,'RAW DATA 2023'!E:BP,63,0)</f>
        <v>#N/A</v>
      </c>
      <c r="E1264" t="e">
        <f t="shared" si="97"/>
        <v>#N/A</v>
      </c>
      <c r="F1264" t="e">
        <f>ROUND(VLOOKUP(C1264,'RAW DATA 2023'!E:BO,23,0),0)</f>
        <v>#N/A</v>
      </c>
      <c r="G1264" s="16" t="e">
        <f>VLOOKUP(C1264,'RAW DATA 2023'!E:BO,27,0)</f>
        <v>#N/A</v>
      </c>
      <c r="H1264" s="16">
        <f>IFERROR(VLOOKUP(F1264,STD!B:G,5,0),0)</f>
        <v>0</v>
      </c>
      <c r="I1264" s="21">
        <f t="shared" si="98"/>
        <v>0</v>
      </c>
      <c r="J1264" s="16">
        <f t="shared" si="99"/>
        <v>-10</v>
      </c>
      <c r="K1264" s="106" t="e">
        <f>VLOOKUP(C1264,'RAW DATA 2023'!E:BO,36,0)</f>
        <v>#N/A</v>
      </c>
      <c r="L1264" s="106" t="e">
        <f>VLOOKUP(C1264,'RAW DATA 2023'!E:BO,21,0)</f>
        <v>#N/A</v>
      </c>
      <c r="M1264" s="106" t="e">
        <f t="shared" si="100"/>
        <v>#N/A</v>
      </c>
    </row>
    <row r="1265" spans="1:13">
      <c r="A1265">
        <f>'RAW DATA 2023'!B1258</f>
        <v>0</v>
      </c>
      <c r="C1265" t="str">
        <f t="shared" si="96"/>
        <v>0</v>
      </c>
      <c r="D1265" t="e">
        <f>VLOOKUP(C1265,'RAW DATA 2023'!E:BP,63,0)</f>
        <v>#N/A</v>
      </c>
      <c r="E1265" t="e">
        <f t="shared" si="97"/>
        <v>#N/A</v>
      </c>
      <c r="F1265" t="e">
        <f>ROUND(VLOOKUP(C1265,'RAW DATA 2023'!E:BO,23,0),0)</f>
        <v>#N/A</v>
      </c>
      <c r="G1265" s="16" t="e">
        <f>VLOOKUP(C1265,'RAW DATA 2023'!E:BO,27,0)</f>
        <v>#N/A</v>
      </c>
      <c r="H1265" s="16">
        <f>IFERROR(VLOOKUP(F1265,STD!B:G,5,0),0)</f>
        <v>0</v>
      </c>
      <c r="I1265" s="21">
        <f t="shared" si="98"/>
        <v>0</v>
      </c>
      <c r="J1265" s="16">
        <f t="shared" si="99"/>
        <v>-10</v>
      </c>
      <c r="K1265" s="106" t="e">
        <f>VLOOKUP(C1265,'RAW DATA 2023'!E:BO,36,0)</f>
        <v>#N/A</v>
      </c>
      <c r="L1265" s="106" t="e">
        <f>VLOOKUP(C1265,'RAW DATA 2023'!E:BO,21,0)</f>
        <v>#N/A</v>
      </c>
      <c r="M1265" s="106" t="e">
        <f t="shared" si="100"/>
        <v>#N/A</v>
      </c>
    </row>
    <row r="1266" spans="1:13">
      <c r="A1266">
        <f>'RAW DATA 2023'!B1259</f>
        <v>0</v>
      </c>
      <c r="C1266" t="str">
        <f t="shared" si="96"/>
        <v>0</v>
      </c>
      <c r="D1266" t="e">
        <f>VLOOKUP(C1266,'RAW DATA 2023'!E:BP,63,0)</f>
        <v>#N/A</v>
      </c>
      <c r="E1266" t="e">
        <f t="shared" si="97"/>
        <v>#N/A</v>
      </c>
      <c r="F1266" t="e">
        <f>ROUND(VLOOKUP(C1266,'RAW DATA 2023'!E:BO,23,0),0)</f>
        <v>#N/A</v>
      </c>
      <c r="G1266" s="16" t="e">
        <f>VLOOKUP(C1266,'RAW DATA 2023'!E:BO,27,0)</f>
        <v>#N/A</v>
      </c>
      <c r="H1266" s="16">
        <f>IFERROR(VLOOKUP(F1266,STD!B:G,5,0),0)</f>
        <v>0</v>
      </c>
      <c r="I1266" s="21">
        <f t="shared" si="98"/>
        <v>0</v>
      </c>
      <c r="J1266" s="16">
        <f t="shared" si="99"/>
        <v>-10</v>
      </c>
      <c r="K1266" s="106" t="e">
        <f>VLOOKUP(C1266,'RAW DATA 2023'!E:BO,36,0)</f>
        <v>#N/A</v>
      </c>
      <c r="L1266" s="106" t="e">
        <f>VLOOKUP(C1266,'RAW DATA 2023'!E:BO,21,0)</f>
        <v>#N/A</v>
      </c>
      <c r="M1266" s="106" t="e">
        <f t="shared" si="100"/>
        <v>#N/A</v>
      </c>
    </row>
    <row r="1267" spans="1:13">
      <c r="A1267">
        <f>'RAW DATA 2023'!B1260</f>
        <v>0</v>
      </c>
      <c r="C1267" t="str">
        <f t="shared" si="96"/>
        <v>0</v>
      </c>
      <c r="D1267" t="e">
        <f>VLOOKUP(C1267,'RAW DATA 2023'!E:BP,63,0)</f>
        <v>#N/A</v>
      </c>
      <c r="E1267" t="e">
        <f t="shared" si="97"/>
        <v>#N/A</v>
      </c>
      <c r="F1267" t="e">
        <f>ROUND(VLOOKUP(C1267,'RAW DATA 2023'!E:BO,23,0),0)</f>
        <v>#N/A</v>
      </c>
      <c r="G1267" s="16" t="e">
        <f>VLOOKUP(C1267,'RAW DATA 2023'!E:BO,27,0)</f>
        <v>#N/A</v>
      </c>
      <c r="H1267" s="16">
        <f>IFERROR(VLOOKUP(F1267,STD!B:G,5,0),0)</f>
        <v>0</v>
      </c>
      <c r="I1267" s="21">
        <f t="shared" si="98"/>
        <v>0</v>
      </c>
      <c r="J1267" s="16">
        <f t="shared" si="99"/>
        <v>-10</v>
      </c>
      <c r="K1267" s="106" t="e">
        <f>VLOOKUP(C1267,'RAW DATA 2023'!E:BO,36,0)</f>
        <v>#N/A</v>
      </c>
      <c r="L1267" s="106" t="e">
        <f>VLOOKUP(C1267,'RAW DATA 2023'!E:BO,21,0)</f>
        <v>#N/A</v>
      </c>
      <c r="M1267" s="106" t="e">
        <f t="shared" si="100"/>
        <v>#N/A</v>
      </c>
    </row>
    <row r="1268" spans="1:13">
      <c r="A1268">
        <f>'RAW DATA 2023'!B1261</f>
        <v>0</v>
      </c>
      <c r="C1268" t="str">
        <f t="shared" si="96"/>
        <v>0</v>
      </c>
      <c r="D1268" t="e">
        <f>VLOOKUP(C1268,'RAW DATA 2023'!E:BP,63,0)</f>
        <v>#N/A</v>
      </c>
      <c r="E1268" t="e">
        <f t="shared" si="97"/>
        <v>#N/A</v>
      </c>
      <c r="F1268" t="e">
        <f>ROUND(VLOOKUP(C1268,'RAW DATA 2023'!E:BO,23,0),0)</f>
        <v>#N/A</v>
      </c>
      <c r="G1268" s="16" t="e">
        <f>VLOOKUP(C1268,'RAW DATA 2023'!E:BO,27,0)</f>
        <v>#N/A</v>
      </c>
      <c r="H1268" s="16">
        <f>IFERROR(VLOOKUP(F1268,STD!B:G,5,0),0)</f>
        <v>0</v>
      </c>
      <c r="I1268" s="21">
        <f t="shared" si="98"/>
        <v>0</v>
      </c>
      <c r="J1268" s="16">
        <f t="shared" si="99"/>
        <v>-10</v>
      </c>
      <c r="K1268" s="106" t="e">
        <f>VLOOKUP(C1268,'RAW DATA 2023'!E:BO,36,0)</f>
        <v>#N/A</v>
      </c>
      <c r="L1268" s="106" t="e">
        <f>VLOOKUP(C1268,'RAW DATA 2023'!E:BO,21,0)</f>
        <v>#N/A</v>
      </c>
      <c r="M1268" s="106" t="e">
        <f t="shared" si="100"/>
        <v>#N/A</v>
      </c>
    </row>
    <row r="1269" spans="1:13">
      <c r="A1269">
        <f>'RAW DATA 2023'!B1262</f>
        <v>0</v>
      </c>
      <c r="C1269" t="str">
        <f t="shared" si="96"/>
        <v>0</v>
      </c>
      <c r="D1269" t="e">
        <f>VLOOKUP(C1269,'RAW DATA 2023'!E:BP,63,0)</f>
        <v>#N/A</v>
      </c>
      <c r="E1269" t="e">
        <f t="shared" si="97"/>
        <v>#N/A</v>
      </c>
      <c r="F1269" t="e">
        <f>ROUND(VLOOKUP(C1269,'RAW DATA 2023'!E:BO,23,0),0)</f>
        <v>#N/A</v>
      </c>
      <c r="G1269" s="16" t="e">
        <f>VLOOKUP(C1269,'RAW DATA 2023'!E:BO,27,0)</f>
        <v>#N/A</v>
      </c>
      <c r="H1269" s="16">
        <f>IFERROR(VLOOKUP(F1269,STD!B:G,5,0),0)</f>
        <v>0</v>
      </c>
      <c r="I1269" s="21">
        <f t="shared" si="98"/>
        <v>0</v>
      </c>
      <c r="J1269" s="16">
        <f t="shared" si="99"/>
        <v>-10</v>
      </c>
      <c r="K1269" s="106" t="e">
        <f>VLOOKUP(C1269,'RAW DATA 2023'!E:BO,36,0)</f>
        <v>#N/A</v>
      </c>
      <c r="L1269" s="106" t="e">
        <f>VLOOKUP(C1269,'RAW DATA 2023'!E:BO,21,0)</f>
        <v>#N/A</v>
      </c>
      <c r="M1269" s="106" t="e">
        <f t="shared" si="100"/>
        <v>#N/A</v>
      </c>
    </row>
    <row r="1270" spans="1:13">
      <c r="A1270">
        <f>'RAW DATA 2023'!B1263</f>
        <v>0</v>
      </c>
      <c r="C1270" t="str">
        <f t="shared" si="96"/>
        <v>0</v>
      </c>
      <c r="D1270" t="e">
        <f>VLOOKUP(C1270,'RAW DATA 2023'!E:BP,63,0)</f>
        <v>#N/A</v>
      </c>
      <c r="E1270" t="e">
        <f t="shared" si="97"/>
        <v>#N/A</v>
      </c>
      <c r="F1270" t="e">
        <f>ROUND(VLOOKUP(C1270,'RAW DATA 2023'!E:BO,23,0),0)</f>
        <v>#N/A</v>
      </c>
      <c r="G1270" s="16" t="e">
        <f>VLOOKUP(C1270,'RAW DATA 2023'!E:BO,27,0)</f>
        <v>#N/A</v>
      </c>
      <c r="H1270" s="16">
        <f>IFERROR(VLOOKUP(F1270,STD!B:G,5,0),0)</f>
        <v>0</v>
      </c>
      <c r="I1270" s="21">
        <f t="shared" si="98"/>
        <v>0</v>
      </c>
      <c r="J1270" s="16">
        <f t="shared" si="99"/>
        <v>-10</v>
      </c>
      <c r="K1270" s="106" t="e">
        <f>VLOOKUP(C1270,'RAW DATA 2023'!E:BO,36,0)</f>
        <v>#N/A</v>
      </c>
      <c r="L1270" s="106" t="e">
        <f>VLOOKUP(C1270,'RAW DATA 2023'!E:BO,21,0)</f>
        <v>#N/A</v>
      </c>
      <c r="M1270" s="106" t="e">
        <f t="shared" si="100"/>
        <v>#N/A</v>
      </c>
    </row>
    <row r="1271" spans="1:13">
      <c r="A1271">
        <f>'RAW DATA 2023'!B1264</f>
        <v>0</v>
      </c>
      <c r="C1271" t="str">
        <f t="shared" si="96"/>
        <v>0</v>
      </c>
      <c r="D1271" t="e">
        <f>VLOOKUP(C1271,'RAW DATA 2023'!E:BP,63,0)</f>
        <v>#N/A</v>
      </c>
      <c r="E1271" t="e">
        <f t="shared" si="97"/>
        <v>#N/A</v>
      </c>
      <c r="F1271" t="e">
        <f>ROUND(VLOOKUP(C1271,'RAW DATA 2023'!E:BO,23,0),0)</f>
        <v>#N/A</v>
      </c>
      <c r="G1271" s="16" t="e">
        <f>VLOOKUP(C1271,'RAW DATA 2023'!E:BO,27,0)</f>
        <v>#N/A</v>
      </c>
      <c r="H1271" s="16">
        <f>IFERROR(VLOOKUP(F1271,STD!B:G,5,0),0)</f>
        <v>0</v>
      </c>
      <c r="I1271" s="21">
        <f t="shared" si="98"/>
        <v>0</v>
      </c>
      <c r="J1271" s="16">
        <f t="shared" si="99"/>
        <v>-10</v>
      </c>
      <c r="K1271" s="106" t="e">
        <f>VLOOKUP(C1271,'RAW DATA 2023'!E:BO,36,0)</f>
        <v>#N/A</v>
      </c>
      <c r="L1271" s="106" t="e">
        <f>VLOOKUP(C1271,'RAW DATA 2023'!E:BO,21,0)</f>
        <v>#N/A</v>
      </c>
      <c r="M1271" s="106" t="e">
        <f t="shared" si="100"/>
        <v>#N/A</v>
      </c>
    </row>
    <row r="1272" spans="1:13">
      <c r="A1272">
        <f>'RAW DATA 2023'!B1265</f>
        <v>0</v>
      </c>
      <c r="C1272" t="str">
        <f t="shared" si="96"/>
        <v>0</v>
      </c>
      <c r="D1272" t="e">
        <f>VLOOKUP(C1272,'RAW DATA 2023'!E:BP,63,0)</f>
        <v>#N/A</v>
      </c>
      <c r="E1272" t="e">
        <f t="shared" si="97"/>
        <v>#N/A</v>
      </c>
      <c r="F1272" t="e">
        <f>ROUND(VLOOKUP(C1272,'RAW DATA 2023'!E:BO,23,0),0)</f>
        <v>#N/A</v>
      </c>
      <c r="G1272" s="16" t="e">
        <f>VLOOKUP(C1272,'RAW DATA 2023'!E:BO,27,0)</f>
        <v>#N/A</v>
      </c>
      <c r="H1272" s="16">
        <f>IFERROR(VLOOKUP(F1272,STD!B:G,5,0),0)</f>
        <v>0</v>
      </c>
      <c r="I1272" s="21">
        <f t="shared" si="98"/>
        <v>0</v>
      </c>
      <c r="J1272" s="16">
        <f t="shared" si="99"/>
        <v>-10</v>
      </c>
      <c r="K1272" s="106" t="e">
        <f>VLOOKUP(C1272,'RAW DATA 2023'!E:BO,36,0)</f>
        <v>#N/A</v>
      </c>
      <c r="L1272" s="106" t="e">
        <f>VLOOKUP(C1272,'RAW DATA 2023'!E:BO,21,0)</f>
        <v>#N/A</v>
      </c>
      <c r="M1272" s="106" t="e">
        <f t="shared" si="100"/>
        <v>#N/A</v>
      </c>
    </row>
    <row r="1273" spans="1:13">
      <c r="A1273">
        <f>'RAW DATA 2023'!B1266</f>
        <v>0</v>
      </c>
      <c r="C1273" t="str">
        <f t="shared" si="96"/>
        <v>0</v>
      </c>
      <c r="D1273" t="e">
        <f>VLOOKUP(C1273,'RAW DATA 2023'!E:BP,63,0)</f>
        <v>#N/A</v>
      </c>
      <c r="E1273" t="e">
        <f t="shared" si="97"/>
        <v>#N/A</v>
      </c>
      <c r="F1273" t="e">
        <f>ROUND(VLOOKUP(C1273,'RAW DATA 2023'!E:BO,23,0),0)</f>
        <v>#N/A</v>
      </c>
      <c r="G1273" s="16" t="e">
        <f>VLOOKUP(C1273,'RAW DATA 2023'!E:BO,27,0)</f>
        <v>#N/A</v>
      </c>
      <c r="H1273" s="16">
        <f>IFERROR(VLOOKUP(F1273,STD!B:G,5,0),0)</f>
        <v>0</v>
      </c>
      <c r="I1273" s="21">
        <f t="shared" si="98"/>
        <v>0</v>
      </c>
      <c r="J1273" s="16">
        <f t="shared" si="99"/>
        <v>-10</v>
      </c>
      <c r="K1273" s="106" t="e">
        <f>VLOOKUP(C1273,'RAW DATA 2023'!E:BO,36,0)</f>
        <v>#N/A</v>
      </c>
      <c r="L1273" s="106" t="e">
        <f>VLOOKUP(C1273,'RAW DATA 2023'!E:BO,21,0)</f>
        <v>#N/A</v>
      </c>
      <c r="M1273" s="106" t="e">
        <f t="shared" si="100"/>
        <v>#N/A</v>
      </c>
    </row>
    <row r="1274" spans="1:13">
      <c r="A1274">
        <f>'RAW DATA 2023'!B1267</f>
        <v>0</v>
      </c>
      <c r="C1274" t="str">
        <f t="shared" si="96"/>
        <v>0</v>
      </c>
      <c r="D1274" t="e">
        <f>VLOOKUP(C1274,'RAW DATA 2023'!E:BP,63,0)</f>
        <v>#N/A</v>
      </c>
      <c r="E1274" t="e">
        <f t="shared" si="97"/>
        <v>#N/A</v>
      </c>
      <c r="F1274" t="e">
        <f>ROUND(VLOOKUP(C1274,'RAW DATA 2023'!E:BO,23,0),0)</f>
        <v>#N/A</v>
      </c>
      <c r="G1274" s="16" t="e">
        <f>VLOOKUP(C1274,'RAW DATA 2023'!E:BO,27,0)</f>
        <v>#N/A</v>
      </c>
      <c r="H1274" s="16">
        <f>IFERROR(VLOOKUP(F1274,STD!B:G,5,0),0)</f>
        <v>0</v>
      </c>
      <c r="I1274" s="21">
        <f t="shared" si="98"/>
        <v>0</v>
      </c>
      <c r="J1274" s="16">
        <f t="shared" si="99"/>
        <v>-10</v>
      </c>
      <c r="K1274" s="106" t="e">
        <f>VLOOKUP(C1274,'RAW DATA 2023'!E:BO,36,0)</f>
        <v>#N/A</v>
      </c>
      <c r="L1274" s="106" t="e">
        <f>VLOOKUP(C1274,'RAW DATA 2023'!E:BO,21,0)</f>
        <v>#N/A</v>
      </c>
      <c r="M1274" s="106" t="e">
        <f t="shared" si="100"/>
        <v>#N/A</v>
      </c>
    </row>
    <row r="1275" spans="1:13">
      <c r="A1275">
        <f>'RAW DATA 2023'!B1268</f>
        <v>0</v>
      </c>
      <c r="C1275" t="str">
        <f t="shared" si="96"/>
        <v>0</v>
      </c>
      <c r="D1275" t="e">
        <f>VLOOKUP(C1275,'RAW DATA 2023'!E:BP,63,0)</f>
        <v>#N/A</v>
      </c>
      <c r="E1275" t="e">
        <f t="shared" si="97"/>
        <v>#N/A</v>
      </c>
      <c r="F1275" t="e">
        <f>ROUND(VLOOKUP(C1275,'RAW DATA 2023'!E:BO,23,0),0)</f>
        <v>#N/A</v>
      </c>
      <c r="G1275" s="16" t="e">
        <f>VLOOKUP(C1275,'RAW DATA 2023'!E:BO,27,0)</f>
        <v>#N/A</v>
      </c>
      <c r="H1275" s="16">
        <f>IFERROR(VLOOKUP(F1275,STD!B:G,5,0),0)</f>
        <v>0</v>
      </c>
      <c r="I1275" s="21">
        <f t="shared" si="98"/>
        <v>0</v>
      </c>
      <c r="J1275" s="16">
        <f t="shared" si="99"/>
        <v>-10</v>
      </c>
      <c r="K1275" s="106" t="e">
        <f>VLOOKUP(C1275,'RAW DATA 2023'!E:BO,36,0)</f>
        <v>#N/A</v>
      </c>
      <c r="L1275" s="106" t="e">
        <f>VLOOKUP(C1275,'RAW DATA 2023'!E:BO,21,0)</f>
        <v>#N/A</v>
      </c>
      <c r="M1275" s="106" t="e">
        <f t="shared" si="100"/>
        <v>#N/A</v>
      </c>
    </row>
    <row r="1276" spans="1:13">
      <c r="A1276">
        <f>'RAW DATA 2023'!B1269</f>
        <v>0</v>
      </c>
      <c r="C1276" t="str">
        <f t="shared" si="96"/>
        <v>0</v>
      </c>
      <c r="D1276" t="e">
        <f>VLOOKUP(C1276,'RAW DATA 2023'!E:BP,63,0)</f>
        <v>#N/A</v>
      </c>
      <c r="E1276" t="e">
        <f t="shared" si="97"/>
        <v>#N/A</v>
      </c>
      <c r="F1276" t="e">
        <f>ROUND(VLOOKUP(C1276,'RAW DATA 2023'!E:BO,23,0),0)</f>
        <v>#N/A</v>
      </c>
      <c r="G1276" s="16" t="e">
        <f>VLOOKUP(C1276,'RAW DATA 2023'!E:BO,27,0)</f>
        <v>#N/A</v>
      </c>
      <c r="H1276" s="16">
        <f>IFERROR(VLOOKUP(F1276,STD!B:G,5,0),0)</f>
        <v>0</v>
      </c>
      <c r="I1276" s="21">
        <f t="shared" si="98"/>
        <v>0</v>
      </c>
      <c r="J1276" s="16">
        <f t="shared" si="99"/>
        <v>-10</v>
      </c>
      <c r="K1276" s="106" t="e">
        <f>VLOOKUP(C1276,'RAW DATA 2023'!E:BO,36,0)</f>
        <v>#N/A</v>
      </c>
      <c r="L1276" s="106" t="e">
        <f>VLOOKUP(C1276,'RAW DATA 2023'!E:BO,21,0)</f>
        <v>#N/A</v>
      </c>
      <c r="M1276" s="106" t="e">
        <f t="shared" si="100"/>
        <v>#N/A</v>
      </c>
    </row>
    <row r="1277" spans="1:13">
      <c r="A1277">
        <f>'RAW DATA 2023'!B1270</f>
        <v>0</v>
      </c>
      <c r="C1277" t="str">
        <f t="shared" si="96"/>
        <v>0</v>
      </c>
      <c r="D1277" t="e">
        <f>VLOOKUP(C1277,'RAW DATA 2023'!E:BP,63,0)</f>
        <v>#N/A</v>
      </c>
      <c r="E1277" t="e">
        <f t="shared" si="97"/>
        <v>#N/A</v>
      </c>
      <c r="F1277" t="e">
        <f>ROUND(VLOOKUP(C1277,'RAW DATA 2023'!E:BO,23,0),0)</f>
        <v>#N/A</v>
      </c>
      <c r="G1277" s="16" t="e">
        <f>VLOOKUP(C1277,'RAW DATA 2023'!E:BO,27,0)</f>
        <v>#N/A</v>
      </c>
      <c r="H1277" s="16">
        <f>IFERROR(VLOOKUP(F1277,STD!B:G,5,0),0)</f>
        <v>0</v>
      </c>
      <c r="I1277" s="21">
        <f t="shared" si="98"/>
        <v>0</v>
      </c>
      <c r="J1277" s="16">
        <f t="shared" si="99"/>
        <v>-10</v>
      </c>
      <c r="K1277" s="106" t="e">
        <f>VLOOKUP(C1277,'RAW DATA 2023'!E:BO,36,0)</f>
        <v>#N/A</v>
      </c>
      <c r="L1277" s="106" t="e">
        <f>VLOOKUP(C1277,'RAW DATA 2023'!E:BO,21,0)</f>
        <v>#N/A</v>
      </c>
      <c r="M1277" s="106" t="e">
        <f t="shared" si="100"/>
        <v>#N/A</v>
      </c>
    </row>
    <row r="1278" spans="1:13">
      <c r="A1278">
        <f>'RAW DATA 2023'!B1271</f>
        <v>0</v>
      </c>
      <c r="C1278" t="str">
        <f t="shared" si="96"/>
        <v>0</v>
      </c>
      <c r="D1278" t="e">
        <f>VLOOKUP(C1278,'RAW DATA 2023'!E:BP,63,0)</f>
        <v>#N/A</v>
      </c>
      <c r="E1278" t="e">
        <f t="shared" si="97"/>
        <v>#N/A</v>
      </c>
      <c r="F1278" t="e">
        <f>ROUND(VLOOKUP(C1278,'RAW DATA 2023'!E:BO,23,0),0)</f>
        <v>#N/A</v>
      </c>
      <c r="G1278" s="16" t="e">
        <f>VLOOKUP(C1278,'RAW DATA 2023'!E:BO,27,0)</f>
        <v>#N/A</v>
      </c>
      <c r="H1278" s="16">
        <f>IFERROR(VLOOKUP(F1278,STD!B:G,5,0),0)</f>
        <v>0</v>
      </c>
      <c r="I1278" s="21">
        <f t="shared" si="98"/>
        <v>0</v>
      </c>
      <c r="J1278" s="16">
        <f t="shared" si="99"/>
        <v>-10</v>
      </c>
      <c r="K1278" s="106" t="e">
        <f>VLOOKUP(C1278,'RAW DATA 2023'!E:BO,36,0)</f>
        <v>#N/A</v>
      </c>
      <c r="L1278" s="106" t="e">
        <f>VLOOKUP(C1278,'RAW DATA 2023'!E:BO,21,0)</f>
        <v>#N/A</v>
      </c>
      <c r="M1278" s="106" t="e">
        <f t="shared" si="100"/>
        <v>#N/A</v>
      </c>
    </row>
    <row r="1279" spans="1:13">
      <c r="A1279">
        <f>'RAW DATA 2023'!B1272</f>
        <v>0</v>
      </c>
      <c r="C1279" t="str">
        <f t="shared" si="96"/>
        <v>0</v>
      </c>
      <c r="D1279" t="e">
        <f>VLOOKUP(C1279,'RAW DATA 2023'!E:BP,63,0)</f>
        <v>#N/A</v>
      </c>
      <c r="E1279" t="e">
        <f t="shared" si="97"/>
        <v>#N/A</v>
      </c>
      <c r="F1279" t="e">
        <f>ROUND(VLOOKUP(C1279,'RAW DATA 2023'!E:BO,23,0),0)</f>
        <v>#N/A</v>
      </c>
      <c r="G1279" s="16" t="e">
        <f>VLOOKUP(C1279,'RAW DATA 2023'!E:BO,27,0)</f>
        <v>#N/A</v>
      </c>
      <c r="H1279" s="16">
        <f>IFERROR(VLOOKUP(F1279,STD!B:G,5,0),0)</f>
        <v>0</v>
      </c>
      <c r="I1279" s="21">
        <f t="shared" si="98"/>
        <v>0</v>
      </c>
      <c r="J1279" s="16">
        <f t="shared" si="99"/>
        <v>-10</v>
      </c>
      <c r="K1279" s="106" t="e">
        <f>VLOOKUP(C1279,'RAW DATA 2023'!E:BO,36,0)</f>
        <v>#N/A</v>
      </c>
      <c r="L1279" s="106" t="e">
        <f>VLOOKUP(C1279,'RAW DATA 2023'!E:BO,21,0)</f>
        <v>#N/A</v>
      </c>
      <c r="M1279" s="106" t="e">
        <f t="shared" si="100"/>
        <v>#N/A</v>
      </c>
    </row>
    <row r="1280" spans="1:13">
      <c r="A1280">
        <f>'RAW DATA 2023'!B1273</f>
        <v>0</v>
      </c>
      <c r="C1280" t="str">
        <f t="shared" si="96"/>
        <v>0</v>
      </c>
      <c r="D1280" t="e">
        <f>VLOOKUP(C1280,'RAW DATA 2023'!E:BP,63,0)</f>
        <v>#N/A</v>
      </c>
      <c r="E1280" t="e">
        <f t="shared" si="97"/>
        <v>#N/A</v>
      </c>
      <c r="F1280" t="e">
        <f>ROUND(VLOOKUP(C1280,'RAW DATA 2023'!E:BO,23,0),0)</f>
        <v>#N/A</v>
      </c>
      <c r="G1280" s="16" t="e">
        <f>VLOOKUP(C1280,'RAW DATA 2023'!E:BO,27,0)</f>
        <v>#N/A</v>
      </c>
      <c r="H1280" s="16">
        <f>IFERROR(VLOOKUP(F1280,STD!B:G,5,0),0)</f>
        <v>0</v>
      </c>
      <c r="I1280" s="21">
        <f t="shared" si="98"/>
        <v>0</v>
      </c>
      <c r="J1280" s="16">
        <f t="shared" si="99"/>
        <v>-10</v>
      </c>
      <c r="K1280" s="106" t="e">
        <f>VLOOKUP(C1280,'RAW DATA 2023'!E:BO,36,0)</f>
        <v>#N/A</v>
      </c>
      <c r="L1280" s="106" t="e">
        <f>VLOOKUP(C1280,'RAW DATA 2023'!E:BO,21,0)</f>
        <v>#N/A</v>
      </c>
      <c r="M1280" s="106" t="e">
        <f t="shared" si="100"/>
        <v>#N/A</v>
      </c>
    </row>
    <row r="1281" spans="1:13">
      <c r="A1281">
        <f>'RAW DATA 2023'!B1274</f>
        <v>0</v>
      </c>
      <c r="C1281" t="str">
        <f t="shared" si="96"/>
        <v>0</v>
      </c>
      <c r="D1281" t="e">
        <f>VLOOKUP(C1281,'RAW DATA 2023'!E:BP,63,0)</f>
        <v>#N/A</v>
      </c>
      <c r="E1281" t="e">
        <f t="shared" si="97"/>
        <v>#N/A</v>
      </c>
      <c r="F1281" t="e">
        <f>ROUND(VLOOKUP(C1281,'RAW DATA 2023'!E:BO,23,0),0)</f>
        <v>#N/A</v>
      </c>
      <c r="G1281" s="16" t="e">
        <f>VLOOKUP(C1281,'RAW DATA 2023'!E:BO,27,0)</f>
        <v>#N/A</v>
      </c>
      <c r="H1281" s="16">
        <f>IFERROR(VLOOKUP(F1281,STD!B:G,5,0),0)</f>
        <v>0</v>
      </c>
      <c r="I1281" s="21">
        <f t="shared" si="98"/>
        <v>0</v>
      </c>
      <c r="J1281" s="16">
        <f t="shared" si="99"/>
        <v>-10</v>
      </c>
      <c r="K1281" s="106" t="e">
        <f>VLOOKUP(C1281,'RAW DATA 2023'!E:BO,36,0)</f>
        <v>#N/A</v>
      </c>
      <c r="L1281" s="106" t="e">
        <f>VLOOKUP(C1281,'RAW DATA 2023'!E:BO,21,0)</f>
        <v>#N/A</v>
      </c>
      <c r="M1281" s="106" t="e">
        <f t="shared" si="100"/>
        <v>#N/A</v>
      </c>
    </row>
    <row r="1282" spans="1:13">
      <c r="A1282">
        <f>'RAW DATA 2023'!B1275</f>
        <v>0</v>
      </c>
      <c r="C1282" t="str">
        <f t="shared" si="96"/>
        <v>0</v>
      </c>
      <c r="D1282" t="e">
        <f>VLOOKUP(C1282,'RAW DATA 2023'!E:BP,63,0)</f>
        <v>#N/A</v>
      </c>
      <c r="E1282" t="e">
        <f t="shared" si="97"/>
        <v>#N/A</v>
      </c>
      <c r="F1282" t="e">
        <f>ROUND(VLOOKUP(C1282,'RAW DATA 2023'!E:BO,23,0),0)</f>
        <v>#N/A</v>
      </c>
      <c r="G1282" s="16" t="e">
        <f>VLOOKUP(C1282,'RAW DATA 2023'!E:BO,27,0)</f>
        <v>#N/A</v>
      </c>
      <c r="H1282" s="16">
        <f>IFERROR(VLOOKUP(F1282,STD!B:G,5,0),0)</f>
        <v>0</v>
      </c>
      <c r="I1282" s="21">
        <f t="shared" si="98"/>
        <v>0</v>
      </c>
      <c r="J1282" s="16">
        <f t="shared" si="99"/>
        <v>-10</v>
      </c>
      <c r="K1282" s="106" t="e">
        <f>VLOOKUP(C1282,'RAW DATA 2023'!E:BO,36,0)</f>
        <v>#N/A</v>
      </c>
      <c r="L1282" s="106" t="e">
        <f>VLOOKUP(C1282,'RAW DATA 2023'!E:BO,21,0)</f>
        <v>#N/A</v>
      </c>
      <c r="M1282" s="106" t="e">
        <f t="shared" si="100"/>
        <v>#N/A</v>
      </c>
    </row>
    <row r="1283" spans="1:13">
      <c r="A1283">
        <f>'RAW DATA 2023'!B1276</f>
        <v>0</v>
      </c>
      <c r="C1283" t="str">
        <f t="shared" si="96"/>
        <v>0</v>
      </c>
      <c r="D1283" t="e">
        <f>VLOOKUP(C1283,'RAW DATA 2023'!E:BP,63,0)</f>
        <v>#N/A</v>
      </c>
      <c r="E1283" t="e">
        <f t="shared" si="97"/>
        <v>#N/A</v>
      </c>
      <c r="F1283" t="e">
        <f>ROUND(VLOOKUP(C1283,'RAW DATA 2023'!E:BO,23,0),0)</f>
        <v>#N/A</v>
      </c>
      <c r="G1283" s="16" t="e">
        <f>VLOOKUP(C1283,'RAW DATA 2023'!E:BO,27,0)</f>
        <v>#N/A</v>
      </c>
      <c r="H1283" s="16">
        <f>IFERROR(VLOOKUP(F1283,STD!B:G,5,0),0)</f>
        <v>0</v>
      </c>
      <c r="I1283" s="21">
        <f t="shared" si="98"/>
        <v>0</v>
      </c>
      <c r="J1283" s="16">
        <f t="shared" si="99"/>
        <v>-10</v>
      </c>
      <c r="K1283" s="106" t="e">
        <f>VLOOKUP(C1283,'RAW DATA 2023'!E:BO,36,0)</f>
        <v>#N/A</v>
      </c>
      <c r="L1283" s="106" t="e">
        <f>VLOOKUP(C1283,'RAW DATA 2023'!E:BO,21,0)</f>
        <v>#N/A</v>
      </c>
      <c r="M1283" s="106" t="e">
        <f t="shared" si="100"/>
        <v>#N/A</v>
      </c>
    </row>
    <row r="1284" spans="1:13">
      <c r="A1284">
        <f>'RAW DATA 2023'!B1277</f>
        <v>0</v>
      </c>
      <c r="C1284" t="str">
        <f t="shared" si="96"/>
        <v>0</v>
      </c>
      <c r="D1284" t="e">
        <f>VLOOKUP(C1284,'RAW DATA 2023'!E:BP,63,0)</f>
        <v>#N/A</v>
      </c>
      <c r="E1284" t="e">
        <f t="shared" si="97"/>
        <v>#N/A</v>
      </c>
      <c r="F1284" t="e">
        <f>ROUND(VLOOKUP(C1284,'RAW DATA 2023'!E:BO,23,0),0)</f>
        <v>#N/A</v>
      </c>
      <c r="G1284" s="16" t="e">
        <f>VLOOKUP(C1284,'RAW DATA 2023'!E:BO,27,0)</f>
        <v>#N/A</v>
      </c>
      <c r="H1284" s="16">
        <f>IFERROR(VLOOKUP(F1284,STD!B:G,5,0),0)</f>
        <v>0</v>
      </c>
      <c r="I1284" s="21">
        <f t="shared" si="98"/>
        <v>0</v>
      </c>
      <c r="J1284" s="16">
        <f t="shared" si="99"/>
        <v>-10</v>
      </c>
      <c r="K1284" s="106" t="e">
        <f>VLOOKUP(C1284,'RAW DATA 2023'!E:BO,36,0)</f>
        <v>#N/A</v>
      </c>
      <c r="L1284" s="106" t="e">
        <f>VLOOKUP(C1284,'RAW DATA 2023'!E:BO,21,0)</f>
        <v>#N/A</v>
      </c>
      <c r="M1284" s="106" t="e">
        <f t="shared" si="100"/>
        <v>#N/A</v>
      </c>
    </row>
    <row r="1285" spans="1:13">
      <c r="A1285">
        <f>'RAW DATA 2023'!B1278</f>
        <v>0</v>
      </c>
      <c r="C1285" t="str">
        <f t="shared" si="96"/>
        <v>0</v>
      </c>
      <c r="D1285" t="e">
        <f>VLOOKUP(C1285,'RAW DATA 2023'!E:BP,63,0)</f>
        <v>#N/A</v>
      </c>
      <c r="E1285" t="e">
        <f t="shared" si="97"/>
        <v>#N/A</v>
      </c>
      <c r="F1285" t="e">
        <f>ROUND(VLOOKUP(C1285,'RAW DATA 2023'!E:BO,23,0),0)</f>
        <v>#N/A</v>
      </c>
      <c r="G1285" s="16" t="e">
        <f>VLOOKUP(C1285,'RAW DATA 2023'!E:BO,27,0)</f>
        <v>#N/A</v>
      </c>
      <c r="H1285" s="16">
        <f>IFERROR(VLOOKUP(F1285,STD!B:G,5,0),0)</f>
        <v>0</v>
      </c>
      <c r="I1285" s="21">
        <f t="shared" si="98"/>
        <v>0</v>
      </c>
      <c r="J1285" s="16">
        <f t="shared" si="99"/>
        <v>-10</v>
      </c>
      <c r="K1285" s="106" t="e">
        <f>VLOOKUP(C1285,'RAW DATA 2023'!E:BO,36,0)</f>
        <v>#N/A</v>
      </c>
      <c r="L1285" s="106" t="e">
        <f>VLOOKUP(C1285,'RAW DATA 2023'!E:BO,21,0)</f>
        <v>#N/A</v>
      </c>
      <c r="M1285" s="106" t="e">
        <f t="shared" si="100"/>
        <v>#N/A</v>
      </c>
    </row>
    <row r="1286" spans="1:13">
      <c r="A1286">
        <f>'RAW DATA 2023'!B1279</f>
        <v>0</v>
      </c>
      <c r="C1286" t="str">
        <f t="shared" si="96"/>
        <v>0</v>
      </c>
      <c r="D1286" t="e">
        <f>VLOOKUP(C1286,'RAW DATA 2023'!E:BP,63,0)</f>
        <v>#N/A</v>
      </c>
      <c r="E1286" t="e">
        <f t="shared" si="97"/>
        <v>#N/A</v>
      </c>
      <c r="F1286" t="e">
        <f>ROUND(VLOOKUP(C1286,'RAW DATA 2023'!E:BO,23,0),0)</f>
        <v>#N/A</v>
      </c>
      <c r="G1286" s="16" t="e">
        <f>VLOOKUP(C1286,'RAW DATA 2023'!E:BO,27,0)</f>
        <v>#N/A</v>
      </c>
      <c r="H1286" s="16">
        <f>IFERROR(VLOOKUP(F1286,STD!B:G,5,0),0)</f>
        <v>0</v>
      </c>
      <c r="I1286" s="21">
        <f t="shared" si="98"/>
        <v>0</v>
      </c>
      <c r="J1286" s="16">
        <f t="shared" si="99"/>
        <v>-10</v>
      </c>
      <c r="K1286" s="106" t="e">
        <f>VLOOKUP(C1286,'RAW DATA 2023'!E:BO,36,0)</f>
        <v>#N/A</v>
      </c>
      <c r="L1286" s="106" t="e">
        <f>VLOOKUP(C1286,'RAW DATA 2023'!E:BO,21,0)</f>
        <v>#N/A</v>
      </c>
      <c r="M1286" s="106" t="e">
        <f t="shared" si="100"/>
        <v>#N/A</v>
      </c>
    </row>
    <row r="1287" spans="1:13">
      <c r="C1287" t="str">
        <f t="shared" si="96"/>
        <v/>
      </c>
      <c r="D1287" t="e">
        <f>VLOOKUP(C1287,'RAW DATA 2023'!E:BP,63,0)</f>
        <v>#N/A</v>
      </c>
      <c r="E1287" t="e">
        <f t="shared" si="97"/>
        <v>#N/A</v>
      </c>
      <c r="F1287" t="e">
        <f>ROUND(VLOOKUP(C1287,'RAW DATA 2023'!E:BO,23,0),0)</f>
        <v>#N/A</v>
      </c>
      <c r="G1287" s="16" t="e">
        <f>VLOOKUP(C1287,'RAW DATA 2023'!E:BO,27,0)</f>
        <v>#N/A</v>
      </c>
      <c r="H1287" s="16">
        <f>IFERROR(VLOOKUP(F1287,STD!B:G,5,0),0)</f>
        <v>0</v>
      </c>
      <c r="I1287" s="21">
        <f t="shared" si="98"/>
        <v>0</v>
      </c>
      <c r="J1287" s="16">
        <f t="shared" si="99"/>
        <v>-10</v>
      </c>
      <c r="K1287" s="106" t="e">
        <f>VLOOKUP(C1287,'RAW DATA 2023'!E:BO,36,0)</f>
        <v>#N/A</v>
      </c>
      <c r="L1287" s="106" t="e">
        <f>VLOOKUP(C1287,'RAW DATA 2023'!E:BO,21,0)</f>
        <v>#N/A</v>
      </c>
      <c r="M1287" s="106" t="e">
        <f t="shared" si="100"/>
        <v>#N/A</v>
      </c>
    </row>
    <row r="1288" spans="1:13">
      <c r="C1288" t="str">
        <f t="shared" si="96"/>
        <v/>
      </c>
      <c r="D1288" t="e">
        <f>VLOOKUP(C1288,'RAW DATA 2023'!E:BP,63,0)</f>
        <v>#N/A</v>
      </c>
      <c r="E1288" t="e">
        <f t="shared" si="97"/>
        <v>#N/A</v>
      </c>
      <c r="F1288" t="e">
        <f>ROUND(VLOOKUP(C1288,'RAW DATA 2023'!E:BO,23,0),0)</f>
        <v>#N/A</v>
      </c>
      <c r="G1288" s="16" t="e">
        <f>VLOOKUP(C1288,'RAW DATA 2023'!E:BO,27,0)</f>
        <v>#N/A</v>
      </c>
      <c r="H1288" s="16">
        <f>IFERROR(VLOOKUP(F1288,STD!B:G,5,0),0)</f>
        <v>0</v>
      </c>
      <c r="I1288" s="21">
        <f t="shared" si="98"/>
        <v>0</v>
      </c>
      <c r="J1288" s="16">
        <f t="shared" si="99"/>
        <v>-10</v>
      </c>
      <c r="K1288" s="106" t="e">
        <f>VLOOKUP(C1288,'RAW DATA 2023'!E:BO,36,0)</f>
        <v>#N/A</v>
      </c>
      <c r="L1288" s="106" t="e">
        <f>VLOOKUP(C1288,'RAW DATA 2023'!E:BO,21,0)</f>
        <v>#N/A</v>
      </c>
      <c r="M1288" s="106" t="e">
        <f t="shared" si="100"/>
        <v>#N/A</v>
      </c>
    </row>
    <row r="1289" spans="1:13">
      <c r="C1289" t="str">
        <f t="shared" si="96"/>
        <v/>
      </c>
      <c r="D1289" t="e">
        <f>VLOOKUP(C1289,'RAW DATA 2023'!E:BP,63,0)</f>
        <v>#N/A</v>
      </c>
      <c r="E1289" t="e">
        <f t="shared" si="97"/>
        <v>#N/A</v>
      </c>
      <c r="F1289" t="e">
        <f>ROUND(VLOOKUP(C1289,'RAW DATA 2023'!E:BO,23,0),0)</f>
        <v>#N/A</v>
      </c>
      <c r="G1289" s="16" t="e">
        <f>VLOOKUP(C1289,'RAW DATA 2023'!E:BO,27,0)</f>
        <v>#N/A</v>
      </c>
      <c r="H1289" s="16">
        <f>IFERROR(VLOOKUP(F1289,STD!B:G,5,0),0)</f>
        <v>0</v>
      </c>
      <c r="I1289" s="21">
        <f t="shared" si="98"/>
        <v>0</v>
      </c>
      <c r="J1289" s="16">
        <f t="shared" si="99"/>
        <v>-10</v>
      </c>
      <c r="K1289" s="106" t="e">
        <f>VLOOKUP(C1289,'RAW DATA 2023'!E:BO,36,0)</f>
        <v>#N/A</v>
      </c>
      <c r="L1289" s="106" t="e">
        <f>VLOOKUP(C1289,'RAW DATA 2023'!E:BO,21,0)</f>
        <v>#N/A</v>
      </c>
      <c r="M1289" s="106" t="e">
        <f t="shared" si="100"/>
        <v>#N/A</v>
      </c>
    </row>
    <row r="1290" spans="1:13">
      <c r="C1290" t="str">
        <f t="shared" ref="C1290:C1297" si="101">A1290&amp;B1290</f>
        <v/>
      </c>
      <c r="D1290" t="e">
        <f>VLOOKUP(C1290,'RAW DATA 2023'!E:BP,63,0)</f>
        <v>#N/A</v>
      </c>
      <c r="E1290" t="e">
        <f t="shared" ref="E1290:E1297" si="102">A1290&amp;D1290</f>
        <v>#N/A</v>
      </c>
      <c r="F1290" t="e">
        <f>ROUND(VLOOKUP(C1290,'RAW DATA 2023'!E:BO,23,0),0)</f>
        <v>#N/A</v>
      </c>
      <c r="G1290" s="16" t="e">
        <f>VLOOKUP(C1290,'RAW DATA 2023'!E:BO,27,0)</f>
        <v>#N/A</v>
      </c>
      <c r="H1290" s="16">
        <f>IFERROR(VLOOKUP(F1290,STD!B:G,5,0),0)</f>
        <v>0</v>
      </c>
      <c r="I1290" s="21">
        <f t="shared" si="98"/>
        <v>0</v>
      </c>
      <c r="J1290" s="16">
        <f t="shared" si="99"/>
        <v>-10</v>
      </c>
      <c r="K1290" s="106" t="e">
        <f>VLOOKUP(C1290,'RAW DATA 2023'!E:BO,36,0)</f>
        <v>#N/A</v>
      </c>
      <c r="L1290" s="106" t="e">
        <f>VLOOKUP(C1290,'RAW DATA 2023'!E:BO,21,0)</f>
        <v>#N/A</v>
      </c>
      <c r="M1290" s="106" t="e">
        <f t="shared" si="100"/>
        <v>#N/A</v>
      </c>
    </row>
    <row r="1291" spans="1:13">
      <c r="C1291" t="str">
        <f t="shared" si="101"/>
        <v/>
      </c>
      <c r="D1291" t="e">
        <f>VLOOKUP(C1291,'RAW DATA 2023'!E:BP,63,0)</f>
        <v>#N/A</v>
      </c>
      <c r="E1291" t="e">
        <f t="shared" si="102"/>
        <v>#N/A</v>
      </c>
      <c r="F1291" t="e">
        <f>ROUND(VLOOKUP(C1291,'RAW DATA 2023'!E:BO,23,0),0)</f>
        <v>#N/A</v>
      </c>
      <c r="G1291" s="16" t="e">
        <f>VLOOKUP(C1291,'RAW DATA 2023'!E:BO,27,0)</f>
        <v>#N/A</v>
      </c>
      <c r="H1291" s="16">
        <f>IFERROR(VLOOKUP(F1291,STD!B:G,5,0),0)</f>
        <v>0</v>
      </c>
      <c r="I1291" s="21">
        <f t="shared" ref="I1291:I1297" si="103">IFERROR(H1291/G1291,0)</f>
        <v>0</v>
      </c>
      <c r="J1291" s="16">
        <f t="shared" ref="J1291:J1297" si="104">(I1291-$B$4)*$B$7</f>
        <v>-10</v>
      </c>
      <c r="K1291" s="106" t="e">
        <f>VLOOKUP(C1291,'RAW DATA 2023'!E:BO,36,0)</f>
        <v>#N/A</v>
      </c>
      <c r="L1291" s="106" t="e">
        <f>VLOOKUP(C1291,'RAW DATA 2023'!E:BO,21,0)</f>
        <v>#N/A</v>
      </c>
      <c r="M1291" s="106" t="e">
        <f t="shared" ref="M1291:M1297" si="105">J1291*L1291</f>
        <v>#N/A</v>
      </c>
    </row>
    <row r="1292" spans="1:13">
      <c r="C1292" t="str">
        <f t="shared" si="101"/>
        <v/>
      </c>
      <c r="D1292" t="e">
        <f>VLOOKUP(C1292,'RAW DATA 2023'!E:BP,63,0)</f>
        <v>#N/A</v>
      </c>
      <c r="E1292" t="e">
        <f t="shared" si="102"/>
        <v>#N/A</v>
      </c>
      <c r="F1292" t="e">
        <f>ROUND(VLOOKUP(C1292,'RAW DATA 2023'!E:BO,23,0),0)</f>
        <v>#N/A</v>
      </c>
      <c r="G1292" s="16" t="e">
        <f>VLOOKUP(C1292,'RAW DATA 2023'!E:BO,27,0)</f>
        <v>#N/A</v>
      </c>
      <c r="H1292" s="16">
        <f>IFERROR(VLOOKUP(F1292,STD!B:G,5,0),0)</f>
        <v>0</v>
      </c>
      <c r="I1292" s="21">
        <f t="shared" si="103"/>
        <v>0</v>
      </c>
      <c r="J1292" s="16">
        <f t="shared" si="104"/>
        <v>-10</v>
      </c>
      <c r="K1292" s="106" t="e">
        <f>VLOOKUP(C1292,'RAW DATA 2023'!E:BO,36,0)</f>
        <v>#N/A</v>
      </c>
      <c r="L1292" s="106" t="e">
        <f>VLOOKUP(C1292,'RAW DATA 2023'!E:BO,21,0)</f>
        <v>#N/A</v>
      </c>
      <c r="M1292" s="106" t="e">
        <f t="shared" si="105"/>
        <v>#N/A</v>
      </c>
    </row>
    <row r="1293" spans="1:13">
      <c r="C1293" t="str">
        <f t="shared" si="101"/>
        <v/>
      </c>
      <c r="D1293" t="e">
        <f>VLOOKUP(C1293,'RAW DATA 2023'!E:BP,63,0)</f>
        <v>#N/A</v>
      </c>
      <c r="E1293" t="e">
        <f t="shared" si="102"/>
        <v>#N/A</v>
      </c>
      <c r="F1293" t="e">
        <f>ROUND(VLOOKUP(C1293,'RAW DATA 2023'!E:BO,23,0),0)</f>
        <v>#N/A</v>
      </c>
      <c r="G1293" s="16" t="e">
        <f>VLOOKUP(C1293,'RAW DATA 2023'!E:BO,27,0)</f>
        <v>#N/A</v>
      </c>
      <c r="H1293" s="16">
        <f>IFERROR(VLOOKUP(F1293,STD!B:G,5,0),0)</f>
        <v>0</v>
      </c>
      <c r="I1293" s="21">
        <f t="shared" si="103"/>
        <v>0</v>
      </c>
      <c r="J1293" s="16">
        <f t="shared" si="104"/>
        <v>-10</v>
      </c>
      <c r="K1293" s="106" t="e">
        <f>VLOOKUP(C1293,'RAW DATA 2023'!E:BO,36,0)</f>
        <v>#N/A</v>
      </c>
      <c r="L1293" s="106" t="e">
        <f>VLOOKUP(C1293,'RAW DATA 2023'!E:BO,21,0)</f>
        <v>#N/A</v>
      </c>
      <c r="M1293" s="106" t="e">
        <f t="shared" si="105"/>
        <v>#N/A</v>
      </c>
    </row>
    <row r="1294" spans="1:13">
      <c r="C1294" t="str">
        <f t="shared" si="101"/>
        <v/>
      </c>
      <c r="D1294" t="e">
        <f>VLOOKUP(C1294,'RAW DATA 2023'!E:BP,63,0)</f>
        <v>#N/A</v>
      </c>
      <c r="E1294" t="e">
        <f t="shared" si="102"/>
        <v>#N/A</v>
      </c>
      <c r="F1294" t="e">
        <f>ROUND(VLOOKUP(C1294,'RAW DATA 2023'!E:BO,23,0),0)</f>
        <v>#N/A</v>
      </c>
      <c r="G1294" s="16" t="e">
        <f>VLOOKUP(C1294,'RAW DATA 2023'!E:BO,27,0)</f>
        <v>#N/A</v>
      </c>
      <c r="H1294" s="16">
        <f>IFERROR(VLOOKUP(F1294,STD!B:G,5,0),0)</f>
        <v>0</v>
      </c>
      <c r="I1294" s="21">
        <f t="shared" si="103"/>
        <v>0</v>
      </c>
      <c r="J1294" s="16">
        <f t="shared" si="104"/>
        <v>-10</v>
      </c>
      <c r="K1294" s="106" t="e">
        <f>VLOOKUP(C1294,'RAW DATA 2023'!E:BO,36,0)</f>
        <v>#N/A</v>
      </c>
      <c r="L1294" s="106" t="e">
        <f>VLOOKUP(C1294,'RAW DATA 2023'!E:BO,21,0)</f>
        <v>#N/A</v>
      </c>
      <c r="M1294" s="106" t="e">
        <f t="shared" si="105"/>
        <v>#N/A</v>
      </c>
    </row>
    <row r="1295" spans="1:13">
      <c r="C1295" t="str">
        <f t="shared" si="101"/>
        <v/>
      </c>
      <c r="D1295" t="e">
        <f>VLOOKUP(C1295,'RAW DATA 2023'!E:BP,63,0)</f>
        <v>#N/A</v>
      </c>
      <c r="E1295" t="e">
        <f t="shared" si="102"/>
        <v>#N/A</v>
      </c>
      <c r="F1295" t="e">
        <f>ROUND(VLOOKUP(C1295,'RAW DATA 2023'!E:BO,23,0),0)</f>
        <v>#N/A</v>
      </c>
      <c r="G1295" s="16" t="e">
        <f>VLOOKUP(C1295,'RAW DATA 2023'!E:BO,27,0)</f>
        <v>#N/A</v>
      </c>
      <c r="H1295" s="16">
        <f>IFERROR(VLOOKUP(F1295,STD!B:G,5,0),0)</f>
        <v>0</v>
      </c>
      <c r="I1295" s="21">
        <f t="shared" si="103"/>
        <v>0</v>
      </c>
      <c r="J1295" s="16">
        <f t="shared" si="104"/>
        <v>-10</v>
      </c>
      <c r="K1295" s="106" t="e">
        <f>VLOOKUP(C1295,'RAW DATA 2023'!E:BO,36,0)</f>
        <v>#N/A</v>
      </c>
      <c r="L1295" s="106" t="e">
        <f>VLOOKUP(C1295,'RAW DATA 2023'!E:BO,21,0)</f>
        <v>#N/A</v>
      </c>
      <c r="M1295" s="106" t="e">
        <f t="shared" si="105"/>
        <v>#N/A</v>
      </c>
    </row>
    <row r="1296" spans="1:13">
      <c r="C1296" t="str">
        <f t="shared" si="101"/>
        <v/>
      </c>
      <c r="D1296" t="e">
        <f>VLOOKUP(C1296,'RAW DATA 2023'!E:BP,63,0)</f>
        <v>#N/A</v>
      </c>
      <c r="E1296" t="e">
        <f t="shared" si="102"/>
        <v>#N/A</v>
      </c>
      <c r="F1296" t="e">
        <f>ROUND(VLOOKUP(C1296,'RAW DATA 2023'!E:BO,23,0),0)</f>
        <v>#N/A</v>
      </c>
      <c r="G1296" s="16" t="e">
        <f>VLOOKUP(C1296,'RAW DATA 2023'!E:BO,27,0)</f>
        <v>#N/A</v>
      </c>
      <c r="H1296" s="16">
        <f>IFERROR(VLOOKUP(F1296,STD!B:G,5,0),0)</f>
        <v>0</v>
      </c>
      <c r="I1296" s="21">
        <f t="shared" si="103"/>
        <v>0</v>
      </c>
      <c r="J1296" s="16">
        <f t="shared" si="104"/>
        <v>-10</v>
      </c>
      <c r="K1296" s="106" t="e">
        <f>VLOOKUP(C1296,'RAW DATA 2023'!E:BO,36,0)</f>
        <v>#N/A</v>
      </c>
      <c r="L1296" s="106" t="e">
        <f>VLOOKUP(C1296,'RAW DATA 2023'!E:BO,21,0)</f>
        <v>#N/A</v>
      </c>
      <c r="M1296" s="106" t="e">
        <f t="shared" si="105"/>
        <v>#N/A</v>
      </c>
    </row>
    <row r="1297" spans="3:13">
      <c r="C1297" t="str">
        <f t="shared" si="101"/>
        <v/>
      </c>
      <c r="D1297" t="e">
        <f>VLOOKUP(C1297,'RAW DATA 2023'!E:BP,63,0)</f>
        <v>#N/A</v>
      </c>
      <c r="E1297" t="e">
        <f t="shared" si="102"/>
        <v>#N/A</v>
      </c>
      <c r="F1297" t="e">
        <f>ROUND(VLOOKUP(C1297,'RAW DATA 2023'!E:BO,23,0),0)</f>
        <v>#N/A</v>
      </c>
      <c r="G1297" s="16" t="e">
        <f>VLOOKUP(C1297,'RAW DATA 2023'!E:BO,27,0)</f>
        <v>#N/A</v>
      </c>
      <c r="H1297" s="16">
        <f>IFERROR(VLOOKUP(F1297,STD!B:G,5,0),0)</f>
        <v>0</v>
      </c>
      <c r="I1297" s="21">
        <f t="shared" si="103"/>
        <v>0</v>
      </c>
      <c r="J1297" s="16">
        <f t="shared" si="104"/>
        <v>-10</v>
      </c>
      <c r="K1297" s="106" t="e">
        <f>VLOOKUP(C1297,'RAW DATA 2023'!E:BO,36,0)</f>
        <v>#N/A</v>
      </c>
      <c r="L1297" s="106" t="e">
        <f>VLOOKUP(C1297,'RAW DATA 2023'!E:BO,21,0)</f>
        <v>#N/A</v>
      </c>
      <c r="M1297" s="106" t="e">
        <f t="shared" si="105"/>
        <v>#N/A</v>
      </c>
    </row>
  </sheetData>
  <autoFilter ref="A9:M1297" xr:uid="{EB156954-87C2-DE4C-BD61-25E6F0964768}">
    <sortState xmlns:xlrd2="http://schemas.microsoft.com/office/spreadsheetml/2017/richdata2" ref="A10:M1297">
      <sortCondition ref="C9:C1297"/>
    </sortState>
  </autoFilter>
  <pageMargins left="0.7" right="0.7" top="0.75" bottom="0.75" header="0.3" footer="0.3"/>
  <pageSetup paperSize="9"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A8FC4-6EB1-3A46-95CE-3FA87CF517C5}">
  <dimension ref="A1:AL1297"/>
  <sheetViews>
    <sheetView topLeftCell="G1" zoomScale="130" zoomScaleNormal="130" workbookViewId="0">
      <selection activeCell="AD1" sqref="AD1:AG7"/>
    </sheetView>
  </sheetViews>
  <sheetFormatPr baseColWidth="10" defaultRowHeight="16"/>
  <cols>
    <col min="1" max="2" width="13" style="63" customWidth="1"/>
    <col min="3" max="3" width="29.6640625" style="63" customWidth="1"/>
    <col min="4" max="4" width="12.5" style="63" customWidth="1"/>
    <col min="5" max="5" width="17" style="63" customWidth="1"/>
    <col min="6" max="8" width="13" style="63" customWidth="1"/>
    <col min="9" max="9" width="15.33203125" style="63" customWidth="1"/>
    <col min="10" max="10" width="13" style="106" customWidth="1"/>
    <col min="11" max="11" width="14.33203125" style="106" customWidth="1"/>
    <col min="12" max="12" width="13" style="63" hidden="1" customWidth="1"/>
    <col min="13" max="14" width="13" style="63" customWidth="1"/>
    <col min="15" max="21" width="10.83203125" style="63"/>
    <col min="22" max="22" width="14" style="63" customWidth="1"/>
    <col min="23" max="24" width="10.83203125" style="68"/>
    <col min="25" max="25" width="10.83203125" style="63"/>
    <col min="26" max="26" width="15.1640625" style="63" customWidth="1"/>
    <col min="27" max="32" width="10.83203125" style="63"/>
    <col min="33" max="33" width="15.83203125" style="63" customWidth="1"/>
    <col min="34" max="36" width="10.83203125" style="63"/>
    <col min="37" max="38" width="13" style="106" customWidth="1"/>
    <col min="39" max="16384" width="10.83203125" style="63"/>
  </cols>
  <sheetData>
    <row r="1" spans="1:33" ht="17">
      <c r="C1" s="68"/>
      <c r="E1" s="106"/>
      <c r="W1" s="422" t="s">
        <v>75</v>
      </c>
      <c r="X1" s="422"/>
      <c r="Y1" s="422"/>
      <c r="Z1" s="422"/>
      <c r="AA1" s="420"/>
      <c r="AB1" s="420"/>
      <c r="AC1" s="420"/>
      <c r="AD1" s="422" t="s">
        <v>67</v>
      </c>
      <c r="AE1" s="422"/>
      <c r="AF1" s="422"/>
      <c r="AG1" s="422"/>
    </row>
    <row r="2" spans="1:33" ht="17">
      <c r="A2" s="48" t="s">
        <v>1848</v>
      </c>
      <c r="B2" s="48"/>
      <c r="C2" s="68"/>
      <c r="D2" s="68"/>
      <c r="E2" s="68"/>
      <c r="F2" s="68"/>
      <c r="N2" s="63" t="s">
        <v>1930</v>
      </c>
      <c r="Q2" s="107" t="s">
        <v>1839</v>
      </c>
      <c r="R2" s="68" t="s">
        <v>1844</v>
      </c>
      <c r="S2" s="68" t="s">
        <v>1845</v>
      </c>
      <c r="W2" s="422" t="s">
        <v>2580</v>
      </c>
      <c r="X2" s="422" t="s">
        <v>2582</v>
      </c>
      <c r="Y2" s="423" t="s">
        <v>2581</v>
      </c>
      <c r="Z2" s="423" t="s">
        <v>2576</v>
      </c>
      <c r="AA2" s="420"/>
      <c r="AB2" s="421" t="s">
        <v>2575</v>
      </c>
      <c r="AC2" s="420"/>
      <c r="AD2" s="422" t="s">
        <v>2580</v>
      </c>
      <c r="AE2" s="422" t="s">
        <v>2582</v>
      </c>
      <c r="AF2" s="423" t="s">
        <v>2581</v>
      </c>
      <c r="AG2" s="423" t="s">
        <v>2576</v>
      </c>
    </row>
    <row r="3" spans="1:33" ht="17">
      <c r="A3" s="113" t="s">
        <v>1826</v>
      </c>
      <c r="B3" s="280">
        <v>1.25</v>
      </c>
      <c r="C3" s="284"/>
      <c r="E3" s="284"/>
      <c r="F3" s="68"/>
      <c r="H3" s="106"/>
      <c r="I3" s="106"/>
      <c r="N3" s="63" t="s">
        <v>1826</v>
      </c>
      <c r="O3" s="105" t="e">
        <f>MAX(J10:J952)</f>
        <v>#N/A</v>
      </c>
      <c r="Q3" s="63" t="s">
        <v>1840</v>
      </c>
      <c r="R3" s="63">
        <f>COUNTIF(M10:M952,"&gt;10")</f>
        <v>90</v>
      </c>
      <c r="S3" s="100">
        <f>R3/$R$6</f>
        <v>0.11083743842364532</v>
      </c>
      <c r="W3" s="424">
        <v>0</v>
      </c>
      <c r="X3" s="424">
        <f>(Y3+Y4)/2</f>
        <v>110</v>
      </c>
      <c r="Y3" s="423">
        <v>100</v>
      </c>
      <c r="Z3" s="423">
        <f>AB3/1000</f>
        <v>6.806</v>
      </c>
      <c r="AA3" s="420"/>
      <c r="AB3" s="421">
        <v>6806</v>
      </c>
      <c r="AC3" s="420"/>
      <c r="AD3" s="422"/>
      <c r="AE3" s="422"/>
      <c r="AF3" s="423">
        <v>100</v>
      </c>
      <c r="AG3" s="423"/>
    </row>
    <row r="4" spans="1:33" ht="17">
      <c r="A4" s="194" t="s">
        <v>1827</v>
      </c>
      <c r="B4" s="281">
        <v>0.5</v>
      </c>
      <c r="C4" s="284"/>
      <c r="D4" s="284"/>
      <c r="E4" s="284"/>
      <c r="N4" s="63" t="s">
        <v>1827</v>
      </c>
      <c r="O4" s="105" t="e">
        <f>MIN(J10:J952)</f>
        <v>#N/A</v>
      </c>
      <c r="Q4" s="63" t="s">
        <v>1841</v>
      </c>
      <c r="R4" s="63">
        <f>COUNTIF(M10:M952,"0")</f>
        <v>0</v>
      </c>
      <c r="S4" s="100">
        <f>R4/$R$6</f>
        <v>0</v>
      </c>
      <c r="W4" s="424">
        <f>X3+1</f>
        <v>111</v>
      </c>
      <c r="X4" s="424">
        <f>(Y4+Y5)/2</f>
        <v>135</v>
      </c>
      <c r="Y4" s="423">
        <v>120</v>
      </c>
      <c r="Z4" s="423">
        <f>AB4/1000</f>
        <v>7.3529999999999998</v>
      </c>
      <c r="AA4" s="420"/>
      <c r="AB4" s="421">
        <v>7353</v>
      </c>
      <c r="AC4" s="420"/>
      <c r="AD4" s="422"/>
      <c r="AE4" s="422"/>
      <c r="AF4" s="423">
        <v>120</v>
      </c>
      <c r="AG4" s="423"/>
    </row>
    <row r="5" spans="1:33" ht="17">
      <c r="A5" s="113" t="s">
        <v>1833</v>
      </c>
      <c r="B5" s="282">
        <f>B3-B4</f>
        <v>0.75</v>
      </c>
      <c r="C5" s="284"/>
      <c r="D5" s="284"/>
      <c r="E5" s="284"/>
      <c r="F5" s="68"/>
      <c r="N5" s="63" t="s">
        <v>1837</v>
      </c>
      <c r="O5" s="105" t="e">
        <f>AVERAGE(J10:J952)</f>
        <v>#N/A</v>
      </c>
      <c r="Q5" s="63" t="s">
        <v>1842</v>
      </c>
      <c r="R5" s="63">
        <f>R6-R4-R3</f>
        <v>722</v>
      </c>
      <c r="S5" s="100">
        <f>R5/$R$6</f>
        <v>0.88916256157635465</v>
      </c>
      <c r="W5" s="424">
        <f>X4+1</f>
        <v>136</v>
      </c>
      <c r="X5" s="424">
        <f>(Y5+Y6)/2</f>
        <v>165</v>
      </c>
      <c r="Y5" s="423">
        <v>150</v>
      </c>
      <c r="Z5" s="423">
        <f>AB5/1000</f>
        <v>9.1999999999999993</v>
      </c>
      <c r="AA5" s="420"/>
      <c r="AB5" s="421">
        <v>9200</v>
      </c>
      <c r="AC5" s="420"/>
      <c r="AD5" s="424">
        <v>0</v>
      </c>
      <c r="AE5" s="424">
        <f>(AF5+AF6)/2</f>
        <v>165</v>
      </c>
      <c r="AF5" s="423">
        <v>150</v>
      </c>
      <c r="AG5" s="423">
        <v>9.1999999999999993</v>
      </c>
    </row>
    <row r="6" spans="1:33" ht="17">
      <c r="A6" s="113" t="s">
        <v>1832</v>
      </c>
      <c r="B6" s="282">
        <v>10</v>
      </c>
      <c r="C6" s="284"/>
      <c r="D6" s="284"/>
      <c r="E6" s="284"/>
      <c r="F6" s="68"/>
      <c r="N6" s="63" t="s">
        <v>1838</v>
      </c>
      <c r="O6" s="105" t="e">
        <f>MEDIAN(J10:J952)</f>
        <v>#N/A</v>
      </c>
      <c r="Q6" s="63" t="s">
        <v>1843</v>
      </c>
      <c r="R6" s="63">
        <f>COUNT(D10:D821)</f>
        <v>812</v>
      </c>
      <c r="S6" s="100">
        <f>R6/$R$6</f>
        <v>1</v>
      </c>
      <c r="W6" s="424">
        <f>X5+1</f>
        <v>166</v>
      </c>
      <c r="X6" s="424">
        <f>(Y6+Y7)/2</f>
        <v>190</v>
      </c>
      <c r="Y6" s="423">
        <v>180</v>
      </c>
      <c r="Z6" s="423">
        <f>AB6/1000</f>
        <v>10.247</v>
      </c>
      <c r="AA6" s="420"/>
      <c r="AB6" s="421">
        <v>10247</v>
      </c>
      <c r="AC6" s="420"/>
      <c r="AD6" s="424">
        <f>AE5+1</f>
        <v>166</v>
      </c>
      <c r="AE6" s="424">
        <f>(AF6+AF7)/2</f>
        <v>190</v>
      </c>
      <c r="AF6" s="423">
        <v>180</v>
      </c>
      <c r="AG6" s="423">
        <v>10.247</v>
      </c>
    </row>
    <row r="7" spans="1:33" ht="17" customHeight="1">
      <c r="A7" s="113" t="s">
        <v>1835</v>
      </c>
      <c r="B7" s="283">
        <f>B6/B5</f>
        <v>13.333333333333334</v>
      </c>
      <c r="C7" s="199"/>
      <c r="D7" s="199"/>
      <c r="E7" s="199"/>
      <c r="F7" s="199"/>
      <c r="W7" s="424">
        <f>X6+1</f>
        <v>191</v>
      </c>
      <c r="X7" s="424" t="s">
        <v>2579</v>
      </c>
      <c r="Y7" s="423">
        <v>200</v>
      </c>
      <c r="Z7" s="423">
        <f>AB7/1000</f>
        <v>11.259</v>
      </c>
      <c r="AA7" s="420"/>
      <c r="AB7" s="421">
        <v>11259</v>
      </c>
      <c r="AC7" s="420"/>
      <c r="AD7" s="424">
        <f>AE6+1</f>
        <v>191</v>
      </c>
      <c r="AE7" s="424" t="s">
        <v>2579</v>
      </c>
      <c r="AF7" s="423">
        <v>200</v>
      </c>
      <c r="AG7" s="423">
        <v>11.259</v>
      </c>
    </row>
    <row r="8" spans="1:33">
      <c r="Q8" s="72"/>
      <c r="S8" s="72"/>
    </row>
    <row r="9" spans="1:33" ht="17">
      <c r="A9" s="63" t="str">
        <f>'RAW DATA 2023'!B2</f>
        <v>Farm</v>
      </c>
      <c r="B9" s="63" t="str">
        <f>'RAW DATA 2023'!D2</f>
        <v>Pond</v>
      </c>
      <c r="C9" s="71" t="s">
        <v>1903</v>
      </c>
      <c r="D9" s="76" t="s">
        <v>1873</v>
      </c>
      <c r="E9" s="125" t="s">
        <v>1953</v>
      </c>
      <c r="F9" s="63" t="str">
        <f>'RAW DATA 2023'!I2</f>
        <v>Pond Type</v>
      </c>
      <c r="G9" s="63" t="s">
        <v>2574</v>
      </c>
      <c r="H9" s="111" t="s">
        <v>2581</v>
      </c>
      <c r="I9" s="111" t="s">
        <v>2577</v>
      </c>
      <c r="J9" s="106" t="str">
        <f>'RAW DATA 2023'!Z2</f>
        <v>Yield (Ton/Rai)</v>
      </c>
      <c r="K9" s="77" t="s">
        <v>2578</v>
      </c>
      <c r="L9" s="326" t="s">
        <v>1834</v>
      </c>
      <c r="M9" s="63" t="s">
        <v>1829</v>
      </c>
      <c r="N9" s="323" t="s">
        <v>2626</v>
      </c>
      <c r="O9" s="68" t="s">
        <v>2624</v>
      </c>
      <c r="P9" s="68" t="s">
        <v>2625</v>
      </c>
    </row>
    <row r="10" spans="1:33">
      <c r="A10" s="63" t="str">
        <f>'RAW DATA 2023'!B3</f>
        <v>Lamae</v>
      </c>
      <c r="B10" s="63" t="str">
        <f>'RAW DATA 2023'!D3</f>
        <v>A1-013-0016</v>
      </c>
      <c r="C10" s="63" t="str">
        <f t="shared" ref="C10:C73" si="0">A10&amp;B10</f>
        <v>LamaeA1-013-0016</v>
      </c>
      <c r="D10" s="68">
        <f>VLOOKUP(C10,'RAW DATA 2023'!E:BP,63,0)</f>
        <v>9</v>
      </c>
      <c r="E10" s="68" t="str">
        <f t="shared" ref="E10:E73" si="1">A10&amp;D10</f>
        <v>Lamae9</v>
      </c>
      <c r="F10" s="63" t="str">
        <f>VLOOKUP(C10,'RAW DATA 2023'!E:BO,5,0)</f>
        <v>Outdoor</v>
      </c>
      <c r="G10" s="63">
        <f>VLOOKUP(C10,'RAW DATA 2023'!E:BO,13,0)</f>
        <v>135</v>
      </c>
      <c r="H10" s="63">
        <f t="shared" ref="H10:H15" si="2">IF(G10&gt;190,200,IF(G10&gt;165,180,IF(G10&gt;=135,150,IF(D3&gt;=110,120,100))))</f>
        <v>150</v>
      </c>
      <c r="I10" s="63">
        <f t="shared" ref="I10:I73" si="3">IF(F10=$W$1,VLOOKUP(H10,Y:Z,2,0),VLOOKUP(H10,AF:AG,2,0))</f>
        <v>9.1999999999999993</v>
      </c>
      <c r="J10" s="106">
        <f>VLOOKUP(C10,'RAW DATA 2023'!E:BO,22,0)</f>
        <v>5.1040025</v>
      </c>
      <c r="K10" s="70">
        <f t="shared" ref="K10:K74" si="4">J10/I10</f>
        <v>0.55478288043478263</v>
      </c>
      <c r="L10" s="72">
        <f t="shared" ref="L10:L73" si="5">IF(J10=0,0,IF(F10=$B$2,J10-$B$6,IF(F10=$C$1,J10-$C$6,IF(AND(F10=$C$2,G10&lt;=$C$3),J10-$C$6,IF(AND(F10=$C$2,G10&lt;=$E$3),J10-$D$6,J10-$E$6)))))</f>
        <v>5.1040025</v>
      </c>
      <c r="M10" s="109">
        <f>(K10-$B$4)*$B$7</f>
        <v>0.73043840579710184</v>
      </c>
      <c r="N10" s="123" t="str">
        <f>VLOOKUP(C10,'RAW DATA 2023'!E:BO,36,0)</f>
        <v>Normal</v>
      </c>
      <c r="O10" s="63">
        <f>VLOOKUP(C10,'RAW DATA 2023'!E:BO,2,0)</f>
        <v>4</v>
      </c>
      <c r="P10" s="322">
        <f>M10*O10</f>
        <v>2.9217536231884074</v>
      </c>
      <c r="Q10" s="72"/>
    </row>
    <row r="11" spans="1:33">
      <c r="A11" s="63" t="str">
        <f>'RAW DATA 2023'!B4</f>
        <v>Lamae</v>
      </c>
      <c r="B11" s="63" t="str">
        <f>'RAW DATA 2023'!D4</f>
        <v>A1-012-0013</v>
      </c>
      <c r="C11" s="63" t="str">
        <f t="shared" si="0"/>
        <v>LamaeA1-012-0013</v>
      </c>
      <c r="D11" s="68">
        <f>VLOOKUP(C11,'RAW DATA 2023'!E:BP,63,0)</f>
        <v>6</v>
      </c>
      <c r="E11" s="68" t="str">
        <f t="shared" si="1"/>
        <v>Lamae6</v>
      </c>
      <c r="F11" s="63" t="str">
        <f>VLOOKUP(C11,'RAW DATA 2023'!E:BO,5,0)</f>
        <v>Outdoor</v>
      </c>
      <c r="G11" s="63">
        <f>VLOOKUP(C11,'RAW DATA 2023'!E:BO,13,0)</f>
        <v>156</v>
      </c>
      <c r="H11" s="63">
        <f t="shared" si="2"/>
        <v>150</v>
      </c>
      <c r="I11" s="63">
        <f t="shared" si="3"/>
        <v>9.1999999999999993</v>
      </c>
      <c r="J11" s="106">
        <f>VLOOKUP(C11,'RAW DATA 2023'!E:BO,22,0)</f>
        <v>9.184075</v>
      </c>
      <c r="K11" s="70">
        <f t="shared" si="4"/>
        <v>0.99826902173913046</v>
      </c>
      <c r="L11" s="72">
        <f t="shared" si="5"/>
        <v>9.184075</v>
      </c>
      <c r="M11" s="109">
        <f>(K11-$B$4)*$B$7</f>
        <v>6.64358695652174</v>
      </c>
      <c r="N11" s="123" t="str">
        <f>VLOOKUP(C11,'RAW DATA 2023'!E:BO,36,0)</f>
        <v>Normal</v>
      </c>
      <c r="O11" s="63">
        <f>VLOOKUP(C11,'RAW DATA 2023'!E:BO,2,0)</f>
        <v>4</v>
      </c>
      <c r="P11" s="322">
        <f t="shared" ref="P11:P74" si="6">M11*O11</f>
        <v>26.57434782608696</v>
      </c>
      <c r="Q11" s="72"/>
    </row>
    <row r="12" spans="1:33">
      <c r="A12" s="63" t="str">
        <f>'RAW DATA 2023'!B5</f>
        <v>Lamae</v>
      </c>
      <c r="B12" s="63" t="str">
        <f>'RAW DATA 2023'!D5</f>
        <v>A1-011-0023</v>
      </c>
      <c r="C12" s="63" t="str">
        <f t="shared" si="0"/>
        <v>LamaeA1-011-0023</v>
      </c>
      <c r="D12" s="68">
        <f>VLOOKUP(C12,'RAW DATA 2023'!E:BP,63,0)</f>
        <v>9</v>
      </c>
      <c r="E12" s="68" t="str">
        <f t="shared" si="1"/>
        <v>Lamae9</v>
      </c>
      <c r="F12" s="63" t="str">
        <f>VLOOKUP(C12,'RAW DATA 2023'!E:BO,5,0)</f>
        <v>Outdoor</v>
      </c>
      <c r="G12" s="63">
        <f>VLOOKUP(C12,'RAW DATA 2023'!E:BO,13,0)</f>
        <v>135</v>
      </c>
      <c r="H12" s="63">
        <f t="shared" si="2"/>
        <v>150</v>
      </c>
      <c r="I12" s="63">
        <f t="shared" si="3"/>
        <v>9.1999999999999993</v>
      </c>
      <c r="J12" s="106">
        <f>VLOOKUP(C12,'RAW DATA 2023'!E:BO,22,0)</f>
        <v>5.1962924999999993</v>
      </c>
      <c r="K12" s="70">
        <f t="shared" si="4"/>
        <v>0.56481440217391299</v>
      </c>
      <c r="L12" s="72">
        <f t="shared" si="5"/>
        <v>5.1962924999999993</v>
      </c>
      <c r="M12" s="109">
        <f t="shared" ref="M12:M75" si="7">(K12-$B$4)*$B$7</f>
        <v>0.86419202898550651</v>
      </c>
      <c r="N12" s="123" t="str">
        <f>VLOOKUP(C12,'RAW DATA 2023'!E:BO,36,0)</f>
        <v>Normal</v>
      </c>
      <c r="O12" s="63">
        <f>VLOOKUP(C12,'RAW DATA 2023'!E:BO,2,0)</f>
        <v>4</v>
      </c>
      <c r="P12" s="322">
        <f t="shared" si="6"/>
        <v>3.456768115942026</v>
      </c>
      <c r="Q12" s="72"/>
    </row>
    <row r="13" spans="1:33">
      <c r="A13" s="63" t="str">
        <f>'RAW DATA 2023'!B6</f>
        <v>Lamae</v>
      </c>
      <c r="B13" s="63" t="str">
        <f>'RAW DATA 2023'!D6</f>
        <v>A1-012-0014</v>
      </c>
      <c r="C13" s="63" t="str">
        <f t="shared" si="0"/>
        <v>LamaeA1-012-0014</v>
      </c>
      <c r="D13" s="68">
        <f>VLOOKUP(C13,'RAW DATA 2023'!E:BP,63,0)</f>
        <v>9</v>
      </c>
      <c r="E13" s="68" t="str">
        <f t="shared" si="1"/>
        <v>Lamae9</v>
      </c>
      <c r="F13" s="63" t="str">
        <f>VLOOKUP(C13,'RAW DATA 2023'!E:BO,5,0)</f>
        <v>Outdoor</v>
      </c>
      <c r="G13" s="63">
        <f>VLOOKUP(C13,'RAW DATA 2023'!E:BO,13,0)</f>
        <v>135</v>
      </c>
      <c r="H13" s="63">
        <f t="shared" si="2"/>
        <v>150</v>
      </c>
      <c r="I13" s="63">
        <f t="shared" si="3"/>
        <v>9.1999999999999993</v>
      </c>
      <c r="J13" s="106">
        <f>VLOOKUP(C13,'RAW DATA 2023'!E:BO,22,0)</f>
        <v>7.8668900000000006</v>
      </c>
      <c r="K13" s="70">
        <f t="shared" si="4"/>
        <v>0.85509673913043494</v>
      </c>
      <c r="L13" s="72">
        <f t="shared" si="5"/>
        <v>7.8668900000000006</v>
      </c>
      <c r="M13" s="109">
        <f t="shared" si="7"/>
        <v>4.7346231884057994</v>
      </c>
      <c r="N13" s="123" t="str">
        <f>VLOOKUP(C13,'RAW DATA 2023'!E:BO,36,0)</f>
        <v>Normal</v>
      </c>
      <c r="O13" s="63">
        <f>VLOOKUP(C13,'RAW DATA 2023'!E:BO,2,0)</f>
        <v>4</v>
      </c>
      <c r="P13" s="322">
        <f t="shared" si="6"/>
        <v>18.938492753623198</v>
      </c>
      <c r="Q13" s="72"/>
    </row>
    <row r="14" spans="1:33">
      <c r="A14" s="63" t="str">
        <f>'RAW DATA 2023'!B7</f>
        <v>Lamae</v>
      </c>
      <c r="B14" s="63" t="str">
        <f>'RAW DATA 2023'!D7</f>
        <v>B1-018-0013</v>
      </c>
      <c r="C14" s="63" t="str">
        <f t="shared" si="0"/>
        <v>LamaeB1-018-0013</v>
      </c>
      <c r="D14" s="68">
        <f>VLOOKUP(C14,'RAW DATA 2023'!E:BP,63,0)</f>
        <v>7</v>
      </c>
      <c r="E14" s="68" t="str">
        <f t="shared" si="1"/>
        <v>Lamae7</v>
      </c>
      <c r="F14" s="63" t="str">
        <f>VLOOKUP(C14,'RAW DATA 2023'!E:BO,5,0)</f>
        <v>Outdoor</v>
      </c>
      <c r="G14" s="63">
        <f>VLOOKUP(C14,'RAW DATA 2023'!E:BO,13,0)</f>
        <v>104</v>
      </c>
      <c r="H14" s="63">
        <f t="shared" si="2"/>
        <v>100</v>
      </c>
      <c r="I14" s="63">
        <f t="shared" si="3"/>
        <v>6.806</v>
      </c>
      <c r="J14" s="106">
        <f>VLOOKUP(C14,'RAW DATA 2023'!E:BO,22,0)</f>
        <v>4.2321749999999998</v>
      </c>
      <c r="K14" s="70">
        <f t="shared" si="4"/>
        <v>0.62183000293858359</v>
      </c>
      <c r="L14" s="72">
        <f t="shared" si="5"/>
        <v>4.2321749999999998</v>
      </c>
      <c r="M14" s="109">
        <f t="shared" si="7"/>
        <v>1.6244000391811146</v>
      </c>
      <c r="N14" s="123" t="str">
        <f>VLOOKUP(C14,'RAW DATA 2023'!E:BO,36,0)</f>
        <v>Normal</v>
      </c>
      <c r="O14" s="63">
        <f>VLOOKUP(C14,'RAW DATA 2023'!E:BO,2,0)</f>
        <v>6</v>
      </c>
      <c r="P14" s="322">
        <f t="shared" si="6"/>
        <v>9.7464002350866874</v>
      </c>
      <c r="Q14" s="72"/>
    </row>
    <row r="15" spans="1:33">
      <c r="A15" s="63" t="str">
        <f>'RAW DATA 2023'!B8</f>
        <v>Lamae</v>
      </c>
      <c r="B15" s="63" t="str">
        <f>'RAW DATA 2023'!D8</f>
        <v>A1-007-0045</v>
      </c>
      <c r="C15" s="63" t="str">
        <f t="shared" si="0"/>
        <v>LamaeA1-007-0045</v>
      </c>
      <c r="D15" s="68">
        <f>VLOOKUP(C15,'RAW DATA 2023'!E:BP,63,0)</f>
        <v>7</v>
      </c>
      <c r="E15" s="68" t="str">
        <f t="shared" si="1"/>
        <v>Lamae7</v>
      </c>
      <c r="F15" s="63" t="str">
        <f>VLOOKUP(C15,'RAW DATA 2023'!E:BO,5,0)</f>
        <v>Outdoor</v>
      </c>
      <c r="G15" s="63">
        <f>VLOOKUP(C15,'RAW DATA 2023'!E:BO,13,0)</f>
        <v>94</v>
      </c>
      <c r="H15" s="63">
        <f t="shared" si="2"/>
        <v>100</v>
      </c>
      <c r="I15" s="63">
        <f t="shared" si="3"/>
        <v>6.806</v>
      </c>
      <c r="J15" s="106">
        <f>VLOOKUP(C15,'RAW DATA 2023'!E:BO,22,0)</f>
        <v>2.8335987500000002</v>
      </c>
      <c r="K15" s="70">
        <f t="shared" si="4"/>
        <v>0.41633834116955631</v>
      </c>
      <c r="L15" s="72">
        <f t="shared" si="5"/>
        <v>2.8335987500000002</v>
      </c>
      <c r="M15" s="109">
        <f t="shared" si="7"/>
        <v>-1.1154887844059158</v>
      </c>
      <c r="N15" s="123" t="str">
        <f>VLOOKUP(C15,'RAW DATA 2023'!E:BO,36,0)</f>
        <v>Normal</v>
      </c>
      <c r="O15" s="63">
        <f>VLOOKUP(C15,'RAW DATA 2023'!E:BO,2,0)</f>
        <v>8</v>
      </c>
      <c r="P15" s="322">
        <f t="shared" si="6"/>
        <v>-8.9239102752473265</v>
      </c>
      <c r="Q15" s="72"/>
    </row>
    <row r="16" spans="1:33">
      <c r="A16" s="63" t="str">
        <f>'RAW DATA 2023'!B9</f>
        <v>Lamae</v>
      </c>
      <c r="B16" s="63" t="str">
        <f>'RAW DATA 2023'!D9</f>
        <v>B1-021-0012</v>
      </c>
      <c r="C16" s="63" t="str">
        <f t="shared" si="0"/>
        <v>LamaeB1-021-0012</v>
      </c>
      <c r="D16" s="68">
        <f>VLOOKUP(C16,'RAW DATA 2023'!E:BP,63,0)</f>
        <v>2</v>
      </c>
      <c r="E16" s="68" t="str">
        <f t="shared" si="1"/>
        <v>Lamae2</v>
      </c>
      <c r="F16" s="63" t="str">
        <f>VLOOKUP(C16,'RAW DATA 2023'!E:BO,5,0)</f>
        <v>Outdoor</v>
      </c>
      <c r="G16" s="63">
        <f>VLOOKUP(C16,'RAW DATA 2023'!E:BO,13,0)</f>
        <v>147</v>
      </c>
      <c r="H16" s="63">
        <f t="shared" ref="H16:H74" si="8">IF(G16&gt;190,200,IF(G16&gt;165,180,IF(G16&gt;=135,150,IF(D9&gt;=110,120,100))))</f>
        <v>150</v>
      </c>
      <c r="I16" s="63">
        <f t="shared" si="3"/>
        <v>9.1999999999999993</v>
      </c>
      <c r="J16" s="106">
        <f>VLOOKUP(C16,'RAW DATA 2023'!E:BO,22,0)</f>
        <v>2.7157788235294116</v>
      </c>
      <c r="K16" s="70">
        <f t="shared" si="4"/>
        <v>0.2951933503836317</v>
      </c>
      <c r="L16" s="72">
        <f t="shared" si="5"/>
        <v>2.7157788235294116</v>
      </c>
      <c r="M16" s="109">
        <f t="shared" si="7"/>
        <v>-2.730755328218244</v>
      </c>
      <c r="N16" s="123" t="str">
        <f>VLOOKUP(C16,'RAW DATA 2023'!E:BO,36,0)</f>
        <v>อัตรารอดต่ำ</v>
      </c>
      <c r="O16" s="63">
        <f>VLOOKUP(C16,'RAW DATA 2023'!E:BO,2,0)</f>
        <v>8.5</v>
      </c>
      <c r="P16" s="322">
        <f t="shared" si="6"/>
        <v>-23.211420289855074</v>
      </c>
      <c r="Q16" s="72"/>
    </row>
    <row r="17" spans="1:17">
      <c r="A17" s="63" t="str">
        <f>'RAW DATA 2023'!B10</f>
        <v>Lamae</v>
      </c>
      <c r="B17" s="63" t="str">
        <f>'RAW DATA 2023'!D10</f>
        <v>A1-007-0046</v>
      </c>
      <c r="C17" s="63" t="str">
        <f t="shared" si="0"/>
        <v>LamaeA1-007-0046</v>
      </c>
      <c r="D17" s="68">
        <f>VLOOKUP(C17,'RAW DATA 2023'!E:BP,63,0)</f>
        <v>11</v>
      </c>
      <c r="E17" s="68" t="str">
        <f t="shared" si="1"/>
        <v>Lamae11</v>
      </c>
      <c r="F17" s="63" t="str">
        <f>VLOOKUP(C17,'RAW DATA 2023'!E:BO,5,0)</f>
        <v>Outdoor</v>
      </c>
      <c r="G17" s="63">
        <f>VLOOKUP(C17,'RAW DATA 2023'!E:BO,13,0)</f>
        <v>130</v>
      </c>
      <c r="H17" s="63">
        <f t="shared" si="8"/>
        <v>100</v>
      </c>
      <c r="I17" s="63">
        <f t="shared" si="3"/>
        <v>6.806</v>
      </c>
      <c r="J17" s="106">
        <f>VLOOKUP(C17,'RAW DATA 2023'!E:BO,22,0)</f>
        <v>5.5114425000000002</v>
      </c>
      <c r="K17" s="70">
        <f t="shared" si="4"/>
        <v>0.80979172788715847</v>
      </c>
      <c r="L17" s="72">
        <f t="shared" si="5"/>
        <v>5.5114425000000002</v>
      </c>
      <c r="M17" s="109">
        <f t="shared" si="7"/>
        <v>4.1305563718287797</v>
      </c>
      <c r="N17" s="123" t="str">
        <f>VLOOKUP(C17,'RAW DATA 2023'!E:BO,36,0)</f>
        <v>Normal</v>
      </c>
      <c r="O17" s="63">
        <f>VLOOKUP(C17,'RAW DATA 2023'!E:BO,2,0)</f>
        <v>8</v>
      </c>
      <c r="P17" s="322">
        <f>M17*O17</f>
        <v>33.044450974630237</v>
      </c>
      <c r="Q17" s="72"/>
    </row>
    <row r="18" spans="1:17">
      <c r="A18" s="63" t="str">
        <f>'RAW DATA 2023'!B11</f>
        <v>Lamae</v>
      </c>
      <c r="B18" s="63" t="str">
        <f>'RAW DATA 2023'!D11</f>
        <v>B1-022-0011</v>
      </c>
      <c r="C18" s="63" t="str">
        <f t="shared" si="0"/>
        <v>LamaeB1-022-0011</v>
      </c>
      <c r="D18" s="68">
        <f>VLOOKUP(C18,'RAW DATA 2023'!E:BP,63,0)</f>
        <v>2</v>
      </c>
      <c r="E18" s="68" t="str">
        <f t="shared" si="1"/>
        <v>Lamae2</v>
      </c>
      <c r="F18" s="63" t="str">
        <f>VLOOKUP(C18,'RAW DATA 2023'!E:BO,5,0)</f>
        <v>Outdoor</v>
      </c>
      <c r="G18" s="63">
        <f>VLOOKUP(C18,'RAW DATA 2023'!E:BO,13,0)</f>
        <v>147</v>
      </c>
      <c r="H18" s="63">
        <f t="shared" si="8"/>
        <v>150</v>
      </c>
      <c r="I18" s="63">
        <f t="shared" si="3"/>
        <v>9.1999999999999993</v>
      </c>
      <c r="J18" s="106">
        <f>VLOOKUP(C18,'RAW DATA 2023'!E:BO,22,0)</f>
        <v>2.8354752941176469</v>
      </c>
      <c r="K18" s="70">
        <f t="shared" si="4"/>
        <v>0.30820383631713555</v>
      </c>
      <c r="L18" s="72">
        <f t="shared" si="5"/>
        <v>2.8354752941176469</v>
      </c>
      <c r="M18" s="109">
        <f t="shared" si="7"/>
        <v>-2.5572821824381928</v>
      </c>
      <c r="N18" s="123" t="str">
        <f>VLOOKUP(C18,'RAW DATA 2023'!E:BO,36,0)</f>
        <v>อัตรารอดต่ำ</v>
      </c>
      <c r="O18" s="63">
        <f>VLOOKUP(C18,'RAW DATA 2023'!E:BO,2,0)</f>
        <v>8.5</v>
      </c>
      <c r="P18" s="322">
        <f t="shared" si="6"/>
        <v>-21.736898550724639</v>
      </c>
      <c r="Q18" s="72"/>
    </row>
    <row r="19" spans="1:17">
      <c r="A19" s="63" t="str">
        <f>'RAW DATA 2023'!B12</f>
        <v>Lamae</v>
      </c>
      <c r="B19" s="63" t="str">
        <f>'RAW DATA 2023'!D12</f>
        <v>B1-021-0014</v>
      </c>
      <c r="C19" s="63" t="str">
        <f t="shared" si="0"/>
        <v>LamaeB1-021-0014</v>
      </c>
      <c r="D19" s="68">
        <f>VLOOKUP(C19,'RAW DATA 2023'!E:BP,63,0)</f>
        <v>12</v>
      </c>
      <c r="E19" s="68" t="str">
        <f t="shared" si="1"/>
        <v>Lamae12</v>
      </c>
      <c r="F19" s="63" t="str">
        <f>VLOOKUP(C19,'RAW DATA 2023'!E:BO,5,0)</f>
        <v>Outdoor</v>
      </c>
      <c r="G19" s="63">
        <f>VLOOKUP(C19,'RAW DATA 2023'!E:BO,13,0)</f>
        <v>96</v>
      </c>
      <c r="H19" s="63">
        <f t="shared" si="8"/>
        <v>100</v>
      </c>
      <c r="I19" s="63">
        <f t="shared" si="3"/>
        <v>6.806</v>
      </c>
      <c r="J19" s="106">
        <f>VLOOKUP(C19,'RAW DATA 2023'!E:BO,22,0)</f>
        <v>4.275932941176471</v>
      </c>
      <c r="K19" s="70">
        <f t="shared" si="4"/>
        <v>0.6282593213600457</v>
      </c>
      <c r="L19" s="72">
        <f t="shared" si="5"/>
        <v>4.275932941176471</v>
      </c>
      <c r="M19" s="109">
        <f t="shared" si="7"/>
        <v>1.7101242848006093</v>
      </c>
      <c r="N19" s="123" t="str">
        <f>VLOOKUP(C19,'RAW DATA 2023'!E:BO,36,0)</f>
        <v>Normal</v>
      </c>
      <c r="O19" s="63">
        <f>VLOOKUP(C19,'RAW DATA 2023'!E:BO,2,0)</f>
        <v>8.5</v>
      </c>
      <c r="P19" s="322">
        <f t="shared" si="6"/>
        <v>14.536056420805179</v>
      </c>
      <c r="Q19" s="72"/>
    </row>
    <row r="20" spans="1:17">
      <c r="A20" s="63" t="str">
        <f>'RAW DATA 2023'!B13</f>
        <v>Lamae</v>
      </c>
      <c r="B20" s="63" t="str">
        <f>'RAW DATA 2023'!D13</f>
        <v>B1-021-0013</v>
      </c>
      <c r="C20" s="63" t="str">
        <f t="shared" si="0"/>
        <v>LamaeB1-021-0013</v>
      </c>
      <c r="D20" s="68">
        <f>VLOOKUP(C20,'RAW DATA 2023'!E:BP,63,0)</f>
        <v>8</v>
      </c>
      <c r="E20" s="68" t="str">
        <f t="shared" si="1"/>
        <v>Lamae8</v>
      </c>
      <c r="F20" s="63" t="str">
        <f>VLOOKUP(C20,'RAW DATA 2023'!E:BO,5,0)</f>
        <v>Outdoor</v>
      </c>
      <c r="G20" s="63">
        <f>VLOOKUP(C20,'RAW DATA 2023'!E:BO,13,0)</f>
        <v>96</v>
      </c>
      <c r="H20" s="63">
        <f t="shared" si="8"/>
        <v>100</v>
      </c>
      <c r="I20" s="63">
        <f t="shared" si="3"/>
        <v>6.806</v>
      </c>
      <c r="J20" s="106">
        <f>VLOOKUP(C20,'RAW DATA 2023'!E:BO,22,0)</f>
        <v>5.3971247058823533</v>
      </c>
      <c r="K20" s="70">
        <f t="shared" si="4"/>
        <v>0.79299510812259089</v>
      </c>
      <c r="L20" s="72">
        <f t="shared" si="5"/>
        <v>5.3971247058823533</v>
      </c>
      <c r="M20" s="109">
        <f t="shared" si="7"/>
        <v>3.9066014416345451</v>
      </c>
      <c r="N20" s="123" t="str">
        <f>VLOOKUP(C20,'RAW DATA 2023'!E:BO,36,0)</f>
        <v>Normal</v>
      </c>
      <c r="O20" s="63">
        <f>VLOOKUP(C20,'RAW DATA 2023'!E:BO,2,0)</f>
        <v>8.5</v>
      </c>
      <c r="P20" s="322">
        <f t="shared" si="6"/>
        <v>33.206112253893636</v>
      </c>
      <c r="Q20" s="72"/>
    </row>
    <row r="21" spans="1:17">
      <c r="A21" s="63" t="str">
        <f>'RAW DATA 2023'!B14</f>
        <v>Lamae</v>
      </c>
      <c r="B21" s="63" t="str">
        <f>'RAW DATA 2023'!D14</f>
        <v>B1-018-0014</v>
      </c>
      <c r="C21" s="63" t="str">
        <f t="shared" si="0"/>
        <v>LamaeB1-018-0014</v>
      </c>
      <c r="D21" s="68">
        <f>VLOOKUP(C21,'RAW DATA 2023'!E:BP,63,0)</f>
        <v>12</v>
      </c>
      <c r="E21" s="68" t="str">
        <f t="shared" si="1"/>
        <v>Lamae12</v>
      </c>
      <c r="F21" s="63" t="str">
        <f>VLOOKUP(C21,'RAW DATA 2023'!E:BO,5,0)</f>
        <v>Outdoor</v>
      </c>
      <c r="G21" s="63">
        <f>VLOOKUP(C21,'RAW DATA 2023'!E:BO,13,0)</f>
        <v>113</v>
      </c>
      <c r="H21" s="63">
        <f t="shared" si="8"/>
        <v>100</v>
      </c>
      <c r="I21" s="63">
        <f t="shared" si="3"/>
        <v>6.806</v>
      </c>
      <c r="J21" s="106">
        <f>VLOOKUP(C21,'RAW DATA 2023'!E:BO,22,0)</f>
        <v>4.9012199999999995</v>
      </c>
      <c r="K21" s="70">
        <f t="shared" si="4"/>
        <v>0.72013223626212153</v>
      </c>
      <c r="L21" s="72">
        <f t="shared" si="5"/>
        <v>4.9012199999999995</v>
      </c>
      <c r="M21" s="109">
        <f t="shared" si="7"/>
        <v>2.935096483494954</v>
      </c>
      <c r="N21" s="123" t="str">
        <f>VLOOKUP(C21,'RAW DATA 2023'!E:BO,36,0)</f>
        <v>Normal</v>
      </c>
      <c r="O21" s="63">
        <f>VLOOKUP(C21,'RAW DATA 2023'!E:BO,2,0)</f>
        <v>6</v>
      </c>
      <c r="P21" s="322">
        <f t="shared" si="6"/>
        <v>17.610578900969724</v>
      </c>
      <c r="Q21" s="72"/>
    </row>
    <row r="22" spans="1:17">
      <c r="A22" s="63" t="str">
        <f>'RAW DATA 2023'!B15</f>
        <v>Lamae</v>
      </c>
      <c r="B22" s="63" t="str">
        <f>'RAW DATA 2023'!D15</f>
        <v>B1-022-0013</v>
      </c>
      <c r="C22" s="63" t="str">
        <f t="shared" si="0"/>
        <v>LamaeB1-022-0013</v>
      </c>
      <c r="D22" s="68">
        <f>VLOOKUP(C22,'RAW DATA 2023'!E:BP,63,0)</f>
        <v>12</v>
      </c>
      <c r="E22" s="68" t="str">
        <f t="shared" si="1"/>
        <v>Lamae12</v>
      </c>
      <c r="F22" s="63" t="str">
        <f>VLOOKUP(C22,'RAW DATA 2023'!E:BO,5,0)</f>
        <v>Outdoor</v>
      </c>
      <c r="G22" s="63">
        <f>VLOOKUP(C22,'RAW DATA 2023'!E:BO,13,0)</f>
        <v>96</v>
      </c>
      <c r="H22" s="63">
        <f t="shared" si="8"/>
        <v>100</v>
      </c>
      <c r="I22" s="63">
        <f t="shared" si="3"/>
        <v>6.806</v>
      </c>
      <c r="J22" s="106">
        <f>VLOOKUP(C22,'RAW DATA 2023'!E:BO,22,0)</f>
        <v>2.9943258823529413</v>
      </c>
      <c r="K22" s="70">
        <f t="shared" si="4"/>
        <v>0.43995384695165168</v>
      </c>
      <c r="L22" s="72">
        <f t="shared" si="5"/>
        <v>2.9943258823529413</v>
      </c>
      <c r="M22" s="109">
        <f t="shared" si="7"/>
        <v>-0.80061537397797755</v>
      </c>
      <c r="N22" s="123" t="str">
        <f>VLOOKUP(C22,'RAW DATA 2023'!E:BO,36,0)</f>
        <v>Normal</v>
      </c>
      <c r="O22" s="63">
        <f>VLOOKUP(C22,'RAW DATA 2023'!E:BO,2,0)</f>
        <v>8.5</v>
      </c>
      <c r="P22" s="322">
        <f t="shared" si="6"/>
        <v>-6.8052306788128094</v>
      </c>
      <c r="Q22" s="72"/>
    </row>
    <row r="23" spans="1:17">
      <c r="A23" s="63" t="str">
        <f>'RAW DATA 2023'!B16</f>
        <v>Lamae</v>
      </c>
      <c r="B23" s="63" t="str">
        <f>'RAW DATA 2023'!D16</f>
        <v>B1-018-0012</v>
      </c>
      <c r="C23" s="63" t="str">
        <f t="shared" si="0"/>
        <v>LamaeB1-018-0012</v>
      </c>
      <c r="D23" s="68">
        <f>VLOOKUP(C23,'RAW DATA 2023'!E:BP,63,0)</f>
        <v>3</v>
      </c>
      <c r="E23" s="68" t="str">
        <f t="shared" si="1"/>
        <v>Lamae3</v>
      </c>
      <c r="F23" s="63" t="str">
        <f>VLOOKUP(C23,'RAW DATA 2023'!E:BO,5,0)</f>
        <v>Outdoor</v>
      </c>
      <c r="G23" s="63">
        <f>VLOOKUP(C23,'RAW DATA 2023'!E:BO,13,0)</f>
        <v>217</v>
      </c>
      <c r="H23" s="63">
        <f t="shared" si="8"/>
        <v>200</v>
      </c>
      <c r="I23" s="63">
        <f t="shared" si="3"/>
        <v>11.259</v>
      </c>
      <c r="J23" s="106">
        <f>VLOOKUP(C23,'RAW DATA 2023'!E:BO,22,0)</f>
        <v>5.7046016666666661</v>
      </c>
      <c r="K23" s="70">
        <f t="shared" si="4"/>
        <v>0.50667036740977578</v>
      </c>
      <c r="L23" s="72">
        <f t="shared" si="5"/>
        <v>5.7046016666666661</v>
      </c>
      <c r="M23" s="109">
        <f t="shared" si="7"/>
        <v>8.8938232130343728E-2</v>
      </c>
      <c r="N23" s="123" t="str">
        <f>VLOOKUP(C23,'RAW DATA 2023'!E:BO,36,0)</f>
        <v>Normal</v>
      </c>
      <c r="O23" s="63">
        <f>VLOOKUP(C23,'RAW DATA 2023'!E:BO,2,0)</f>
        <v>6</v>
      </c>
      <c r="P23" s="322">
        <f t="shared" si="6"/>
        <v>0.53362939278206234</v>
      </c>
      <c r="Q23" s="72"/>
    </row>
    <row r="24" spans="1:17">
      <c r="A24" s="63" t="str">
        <f>'RAW DATA 2023'!B17</f>
        <v>Lamae</v>
      </c>
      <c r="B24" s="63" t="str">
        <f>'RAW DATA 2023'!D17</f>
        <v>A1-013-0015</v>
      </c>
      <c r="C24" s="63" t="str">
        <f t="shared" si="0"/>
        <v>LamaeA1-013-0015</v>
      </c>
      <c r="D24" s="68">
        <f>VLOOKUP(C24,'RAW DATA 2023'!E:BP,63,0)</f>
        <v>5</v>
      </c>
      <c r="E24" s="68" t="str">
        <f t="shared" si="1"/>
        <v>Lamae5</v>
      </c>
      <c r="F24" s="63" t="str">
        <f>VLOOKUP(C24,'RAW DATA 2023'!E:BO,5,0)</f>
        <v>Outdoor</v>
      </c>
      <c r="G24" s="63">
        <f>VLOOKUP(C24,'RAW DATA 2023'!E:BO,13,0)</f>
        <v>208</v>
      </c>
      <c r="H24" s="63">
        <f t="shared" si="8"/>
        <v>200</v>
      </c>
      <c r="I24" s="63">
        <f t="shared" si="3"/>
        <v>11.259</v>
      </c>
      <c r="J24" s="106">
        <f>VLOOKUP(C24,'RAW DATA 2023'!E:BO,22,0)</f>
        <v>8.9127475</v>
      </c>
      <c r="K24" s="70">
        <f t="shared" si="4"/>
        <v>0.79161093347544187</v>
      </c>
      <c r="L24" s="72">
        <f t="shared" si="5"/>
        <v>8.9127475</v>
      </c>
      <c r="M24" s="109">
        <f t="shared" si="7"/>
        <v>3.8881457796725583</v>
      </c>
      <c r="N24" s="123" t="str">
        <f>VLOOKUP(C24,'RAW DATA 2023'!E:BO,36,0)</f>
        <v>Normal</v>
      </c>
      <c r="O24" s="63">
        <f>VLOOKUP(C24,'RAW DATA 2023'!E:BO,2,0)</f>
        <v>4</v>
      </c>
      <c r="P24" s="322">
        <f t="shared" si="6"/>
        <v>15.552583118690233</v>
      </c>
      <c r="Q24" s="72"/>
    </row>
    <row r="25" spans="1:17">
      <c r="A25" s="63" t="str">
        <f>'RAW DATA 2023'!B18</f>
        <v>Lamae</v>
      </c>
      <c r="B25" s="63" t="str">
        <f>'RAW DATA 2023'!D18</f>
        <v>A1-009-0021</v>
      </c>
      <c r="C25" s="63" t="str">
        <f t="shared" si="0"/>
        <v>LamaeA1-009-0021</v>
      </c>
      <c r="D25" s="68">
        <f>VLOOKUP(C25,'RAW DATA 2023'!E:BP,63,0)</f>
        <v>12</v>
      </c>
      <c r="E25" s="68" t="str">
        <f t="shared" si="1"/>
        <v>Lamae12</v>
      </c>
      <c r="F25" s="63" t="str">
        <f>VLOOKUP(C25,'RAW DATA 2023'!E:BO,5,0)</f>
        <v>Outdoor</v>
      </c>
      <c r="G25" s="63">
        <f>VLOOKUP(C25,'RAW DATA 2023'!E:BO,13,0)</f>
        <v>116</v>
      </c>
      <c r="H25" s="63">
        <f t="shared" si="8"/>
        <v>100</v>
      </c>
      <c r="I25" s="63">
        <f t="shared" si="3"/>
        <v>6.806</v>
      </c>
      <c r="J25" s="106">
        <f>VLOOKUP(C25,'RAW DATA 2023'!E:BO,22,0)</f>
        <v>5.3640120000000007</v>
      </c>
      <c r="K25" s="70">
        <f t="shared" si="4"/>
        <v>0.78812988539523954</v>
      </c>
      <c r="L25" s="72">
        <f t="shared" si="5"/>
        <v>5.3640120000000007</v>
      </c>
      <c r="M25" s="109">
        <f t="shared" si="7"/>
        <v>3.8417318052698608</v>
      </c>
      <c r="N25" s="123" t="str">
        <f>VLOOKUP(C25,'RAW DATA 2023'!E:BO,36,0)</f>
        <v>Normal</v>
      </c>
      <c r="O25" s="63">
        <f>VLOOKUP(C25,'RAW DATA 2023'!E:BO,2,0)</f>
        <v>5</v>
      </c>
      <c r="P25" s="322">
        <f t="shared" si="6"/>
        <v>19.208659026349302</v>
      </c>
      <c r="Q25" s="72"/>
    </row>
    <row r="26" spans="1:17">
      <c r="A26" s="63" t="str">
        <f>'RAW DATA 2023'!B19</f>
        <v>Lamae</v>
      </c>
      <c r="B26" s="63" t="str">
        <f>'RAW DATA 2023'!D19</f>
        <v>B1-022-0012</v>
      </c>
      <c r="C26" s="63" t="str">
        <f t="shared" si="0"/>
        <v>LamaeB1-022-0012</v>
      </c>
      <c r="D26" s="68">
        <f>VLOOKUP(C26,'RAW DATA 2023'!E:BP,63,0)</f>
        <v>9</v>
      </c>
      <c r="E26" s="68" t="str">
        <f t="shared" si="1"/>
        <v>Lamae9</v>
      </c>
      <c r="F26" s="63" t="str">
        <f>VLOOKUP(C26,'RAW DATA 2023'!E:BO,5,0)</f>
        <v>Outdoor</v>
      </c>
      <c r="G26" s="63">
        <f>VLOOKUP(C26,'RAW DATA 2023'!E:BO,13,0)</f>
        <v>96</v>
      </c>
      <c r="H26" s="63">
        <f t="shared" si="8"/>
        <v>100</v>
      </c>
      <c r="I26" s="63">
        <f t="shared" si="3"/>
        <v>6.806</v>
      </c>
      <c r="J26" s="106">
        <f>VLOOKUP(C26,'RAW DATA 2023'!E:BO,22,0)</f>
        <v>5.0910517647058828</v>
      </c>
      <c r="K26" s="70">
        <f t="shared" si="4"/>
        <v>0.74802406181397041</v>
      </c>
      <c r="L26" s="72">
        <f t="shared" si="5"/>
        <v>5.0910517647058828</v>
      </c>
      <c r="M26" s="109">
        <f t="shared" si="7"/>
        <v>3.3069874908529391</v>
      </c>
      <c r="N26" s="123" t="str">
        <f>VLOOKUP(C26,'RAW DATA 2023'!E:BO,36,0)</f>
        <v>Normal</v>
      </c>
      <c r="O26" s="63">
        <f>VLOOKUP(C26,'RAW DATA 2023'!E:BO,2,0)</f>
        <v>8.5</v>
      </c>
      <c r="P26" s="322">
        <f t="shared" si="6"/>
        <v>28.109393672249983</v>
      </c>
      <c r="Q26" s="72"/>
    </row>
    <row r="27" spans="1:17">
      <c r="A27" s="63" t="str">
        <f>'RAW DATA 2023'!B20</f>
        <v>Lamae</v>
      </c>
      <c r="B27" s="63" t="str">
        <f>'RAW DATA 2023'!D20</f>
        <v>A1-011-0022</v>
      </c>
      <c r="C27" s="63" t="str">
        <f t="shared" si="0"/>
        <v>LamaeA1-011-0022</v>
      </c>
      <c r="D27" s="68">
        <f>VLOOKUP(C27,'RAW DATA 2023'!E:BP,63,0)</f>
        <v>6</v>
      </c>
      <c r="E27" s="68" t="str">
        <f t="shared" si="1"/>
        <v>Lamae6</v>
      </c>
      <c r="F27" s="63" t="str">
        <f>VLOOKUP(C27,'RAW DATA 2023'!E:BO,5,0)</f>
        <v>Outdoor</v>
      </c>
      <c r="G27" s="63">
        <f>VLOOKUP(C27,'RAW DATA 2023'!E:BO,13,0)</f>
        <v>260</v>
      </c>
      <c r="H27" s="63">
        <f t="shared" si="8"/>
        <v>200</v>
      </c>
      <c r="I27" s="63">
        <f t="shared" si="3"/>
        <v>11.259</v>
      </c>
      <c r="J27" s="106">
        <f>VLOOKUP(C27,'RAW DATA 2023'!E:BO,22,0)</f>
        <v>7.2499599999999997</v>
      </c>
      <c r="K27" s="70">
        <f t="shared" si="4"/>
        <v>0.64392574829025662</v>
      </c>
      <c r="L27" s="72">
        <f t="shared" si="5"/>
        <v>7.2499599999999997</v>
      </c>
      <c r="M27" s="109">
        <f t="shared" si="7"/>
        <v>1.9190099772034217</v>
      </c>
      <c r="N27" s="123" t="str">
        <f>VLOOKUP(C27,'RAW DATA 2023'!E:BO,36,0)</f>
        <v>Normal</v>
      </c>
      <c r="O27" s="63">
        <f>VLOOKUP(C27,'RAW DATA 2023'!E:BO,2,0)</f>
        <v>4</v>
      </c>
      <c r="P27" s="322">
        <f t="shared" si="6"/>
        <v>7.6760399088136868</v>
      </c>
    </row>
    <row r="28" spans="1:17">
      <c r="A28" s="63" t="str">
        <f>'RAW DATA 2023'!B21</f>
        <v>Lamae</v>
      </c>
      <c r="B28" s="63" t="str">
        <f>'RAW DATA 2023'!D21</f>
        <v>A1-010-0023</v>
      </c>
      <c r="C28" s="63" t="str">
        <f t="shared" si="0"/>
        <v>LamaeA1-010-0023</v>
      </c>
      <c r="D28" s="68">
        <f>VLOOKUP(C28,'RAW DATA 2023'!E:BP,63,0)</f>
        <v>12</v>
      </c>
      <c r="E28" s="68" t="str">
        <f t="shared" si="1"/>
        <v>Lamae12</v>
      </c>
      <c r="F28" s="63" t="str">
        <f>VLOOKUP(C28,'RAW DATA 2023'!E:BO,5,0)</f>
        <v>Outdoor</v>
      </c>
      <c r="G28" s="63">
        <f>VLOOKUP(C28,'RAW DATA 2023'!E:BO,13,0)</f>
        <v>135</v>
      </c>
      <c r="H28" s="63">
        <f t="shared" si="8"/>
        <v>150</v>
      </c>
      <c r="I28" s="63">
        <f t="shared" si="3"/>
        <v>9.1999999999999993</v>
      </c>
      <c r="J28" s="106">
        <f>VLOOKUP(C28,'RAW DATA 2023'!E:BO,22,0)</f>
        <v>5.7888440000000001</v>
      </c>
      <c r="K28" s="70">
        <f t="shared" si="4"/>
        <v>0.62922217391304358</v>
      </c>
      <c r="L28" s="72">
        <f t="shared" si="5"/>
        <v>5.7888440000000001</v>
      </c>
      <c r="M28" s="109">
        <f t="shared" si="7"/>
        <v>1.7229623188405812</v>
      </c>
      <c r="N28" s="123" t="str">
        <f>VLOOKUP(C28,'RAW DATA 2023'!E:BO,36,0)</f>
        <v>Normal</v>
      </c>
      <c r="O28" s="63">
        <f>VLOOKUP(C28,'RAW DATA 2023'!E:BO,2,0)</f>
        <v>5</v>
      </c>
      <c r="P28" s="322">
        <f t="shared" si="6"/>
        <v>8.6148115942029051</v>
      </c>
    </row>
    <row r="29" spans="1:17">
      <c r="A29" s="63" t="str">
        <f>'RAW DATA 2023'!B22</f>
        <v>Lamae</v>
      </c>
      <c r="B29" s="63" t="str">
        <f>'RAW DATA 2023'!D22</f>
        <v>A1-012-0012</v>
      </c>
      <c r="C29" s="63" t="str">
        <f t="shared" si="0"/>
        <v>LamaeA1-012-0012</v>
      </c>
      <c r="D29" s="68">
        <f>VLOOKUP(C29,'RAW DATA 2023'!E:BP,63,0)</f>
        <v>2</v>
      </c>
      <c r="E29" s="68" t="str">
        <f t="shared" si="1"/>
        <v>Lamae2</v>
      </c>
      <c r="F29" s="63" t="str">
        <f>VLOOKUP(C29,'RAW DATA 2023'!E:BO,5,0)</f>
        <v>Outdoor</v>
      </c>
      <c r="G29" s="63">
        <f>VLOOKUP(C29,'RAW DATA 2023'!E:BO,13,0)</f>
        <v>226</v>
      </c>
      <c r="H29" s="63">
        <f t="shared" si="8"/>
        <v>200</v>
      </c>
      <c r="I29" s="63">
        <f t="shared" si="3"/>
        <v>11.259</v>
      </c>
      <c r="J29" s="106">
        <f>VLOOKUP(C29,'RAW DATA 2023'!E:BO,22,0)</f>
        <v>3.16974</v>
      </c>
      <c r="K29" s="70">
        <f t="shared" si="4"/>
        <v>0.28152944311217692</v>
      </c>
      <c r="L29" s="72">
        <f t="shared" si="5"/>
        <v>3.16974</v>
      </c>
      <c r="M29" s="109">
        <f t="shared" si="7"/>
        <v>-2.9129407585043077</v>
      </c>
      <c r="N29" s="123" t="str">
        <f>VLOOKUP(C29,'RAW DATA 2023'!E:BO,36,0)</f>
        <v>Normal</v>
      </c>
      <c r="O29" s="63">
        <f>VLOOKUP(C29,'RAW DATA 2023'!E:BO,2,0)</f>
        <v>4</v>
      </c>
      <c r="P29" s="322">
        <f t="shared" si="6"/>
        <v>-11.651763034017231</v>
      </c>
    </row>
    <row r="30" spans="1:17">
      <c r="A30" s="63" t="str">
        <f>'RAW DATA 2023'!B23</f>
        <v>Lamae</v>
      </c>
      <c r="B30" s="63" t="str">
        <f>'RAW DATA 2023'!D23</f>
        <v>A1-010-0022</v>
      </c>
      <c r="C30" s="63" t="str">
        <f t="shared" si="0"/>
        <v>LamaeA1-010-0022</v>
      </c>
      <c r="D30" s="68">
        <f>VLOOKUP(C30,'RAW DATA 2023'!E:BP,63,0)</f>
        <v>8</v>
      </c>
      <c r="E30" s="68" t="str">
        <f t="shared" si="1"/>
        <v>Lamae8</v>
      </c>
      <c r="F30" s="63" t="str">
        <f>VLOOKUP(C30,'RAW DATA 2023'!E:BO,5,0)</f>
        <v>Outdoor</v>
      </c>
      <c r="G30" s="63">
        <f>VLOOKUP(C30,'RAW DATA 2023'!E:BO,13,0)</f>
        <v>125</v>
      </c>
      <c r="H30" s="63">
        <f t="shared" si="8"/>
        <v>100</v>
      </c>
      <c r="I30" s="63">
        <f t="shared" si="3"/>
        <v>6.806</v>
      </c>
      <c r="J30" s="106">
        <f>VLOOKUP(C30,'RAW DATA 2023'!E:BO,22,0)</f>
        <v>6.4384479999999993</v>
      </c>
      <c r="K30" s="70">
        <f t="shared" si="4"/>
        <v>0.94599588598295614</v>
      </c>
      <c r="L30" s="72">
        <f t="shared" si="5"/>
        <v>6.4384479999999993</v>
      </c>
      <c r="M30" s="109">
        <f t="shared" si="7"/>
        <v>5.9466118131060819</v>
      </c>
      <c r="N30" s="123" t="str">
        <f>VLOOKUP(C30,'RAW DATA 2023'!E:BO,36,0)</f>
        <v>Normal</v>
      </c>
      <c r="O30" s="63">
        <f>VLOOKUP(C30,'RAW DATA 2023'!E:BO,2,0)</f>
        <v>5</v>
      </c>
      <c r="P30" s="322">
        <f t="shared" si="6"/>
        <v>29.733059065530409</v>
      </c>
    </row>
    <row r="31" spans="1:17">
      <c r="A31" s="63" t="str">
        <f>'RAW DATA 2023'!B24</f>
        <v>Lamae</v>
      </c>
      <c r="B31" s="63" t="str">
        <f>'RAW DATA 2023'!D24</f>
        <v>A1-009-0020</v>
      </c>
      <c r="C31" s="63" t="str">
        <f t="shared" si="0"/>
        <v>LamaeA1-009-0020</v>
      </c>
      <c r="D31" s="68">
        <f>VLOOKUP(C31,'RAW DATA 2023'!E:BP,63,0)</f>
        <v>8</v>
      </c>
      <c r="E31" s="68" t="str">
        <f t="shared" si="1"/>
        <v>Lamae8</v>
      </c>
      <c r="F31" s="63" t="str">
        <f>VLOOKUP(C31,'RAW DATA 2023'!E:BO,5,0)</f>
        <v>Outdoor</v>
      </c>
      <c r="G31" s="63">
        <f>VLOOKUP(C31,'RAW DATA 2023'!E:BO,13,0)</f>
        <v>208</v>
      </c>
      <c r="H31" s="63">
        <f t="shared" si="8"/>
        <v>200</v>
      </c>
      <c r="I31" s="63">
        <f t="shared" si="3"/>
        <v>11.259</v>
      </c>
      <c r="J31" s="106">
        <f>VLOOKUP(C31,'RAW DATA 2023'!E:BO,22,0)</f>
        <v>6.7963700000000005</v>
      </c>
      <c r="K31" s="70">
        <f t="shared" si="4"/>
        <v>0.60363886668443023</v>
      </c>
      <c r="L31" s="72">
        <f t="shared" si="5"/>
        <v>6.7963700000000005</v>
      </c>
      <c r="M31" s="109">
        <f t="shared" si="7"/>
        <v>1.3818515557924032</v>
      </c>
      <c r="N31" s="123" t="str">
        <f>VLOOKUP(C31,'RAW DATA 2023'!E:BO,36,0)</f>
        <v>Normal</v>
      </c>
      <c r="O31" s="63">
        <f>VLOOKUP(C31,'RAW DATA 2023'!E:BO,2,0)</f>
        <v>5</v>
      </c>
      <c r="P31" s="322">
        <f t="shared" si="6"/>
        <v>6.909257778962016</v>
      </c>
    </row>
    <row r="32" spans="1:17">
      <c r="A32" s="63" t="str">
        <f>'RAW DATA 2023'!B25</f>
        <v>Lamae</v>
      </c>
      <c r="B32" s="63" t="str">
        <f>'RAW DATA 2023'!D25</f>
        <v>A1-007-0044</v>
      </c>
      <c r="C32" s="63" t="str">
        <f t="shared" si="0"/>
        <v>LamaeA1-007-0044</v>
      </c>
      <c r="D32" s="68">
        <f>VLOOKUP(C32,'RAW DATA 2023'!E:BP,63,0)</f>
        <v>2</v>
      </c>
      <c r="E32" s="68" t="str">
        <f t="shared" si="1"/>
        <v>Lamae2</v>
      </c>
      <c r="F32" s="63" t="str">
        <f>VLOOKUP(C32,'RAW DATA 2023'!E:BO,5,0)</f>
        <v>Outdoor</v>
      </c>
      <c r="G32" s="63">
        <f>VLOOKUP(C32,'RAW DATA 2023'!E:BO,13,0)</f>
        <v>136</v>
      </c>
      <c r="H32" s="63">
        <f t="shared" si="8"/>
        <v>150</v>
      </c>
      <c r="I32" s="63">
        <f t="shared" si="3"/>
        <v>9.1999999999999993</v>
      </c>
      <c r="J32" s="106">
        <f>VLOOKUP(C32,'RAW DATA 2023'!E:BO,22,0)</f>
        <v>0.99416499999999997</v>
      </c>
      <c r="K32" s="70">
        <f t="shared" si="4"/>
        <v>0.10806141304347827</v>
      </c>
      <c r="L32" s="72">
        <f t="shared" si="5"/>
        <v>0.99416499999999997</v>
      </c>
      <c r="M32" s="109">
        <f t="shared" si="7"/>
        <v>-5.225847826086957</v>
      </c>
      <c r="N32" s="123" t="str">
        <f>VLOOKUP(C32,'RAW DATA 2023'!E:BO,36,0)</f>
        <v>อัตรารอดต่ำ</v>
      </c>
      <c r="O32" s="63">
        <f>VLOOKUP(C32,'RAW DATA 2023'!E:BO,2,0)</f>
        <v>8</v>
      </c>
      <c r="P32" s="322">
        <f t="shared" si="6"/>
        <v>-41.806782608695656</v>
      </c>
    </row>
    <row r="33" spans="1:16">
      <c r="A33" s="63" t="str">
        <f>'RAW DATA 2023'!B26</f>
        <v>Lamae</v>
      </c>
      <c r="B33" s="63" t="str">
        <f>'RAW DATA 2023'!D26</f>
        <v>A1-007-0047</v>
      </c>
      <c r="C33" s="63" t="str">
        <f t="shared" si="0"/>
        <v>LamaeA1-007-0047</v>
      </c>
      <c r="D33" s="68">
        <f>VLOOKUP(C33,'RAW DATA 2023'!E:BP,63,0)</f>
        <v>12</v>
      </c>
      <c r="E33" s="68" t="str">
        <f t="shared" si="1"/>
        <v>Lamae12</v>
      </c>
      <c r="F33" s="63" t="str">
        <f>VLOOKUP(C33,'RAW DATA 2023'!E:BO,5,0)</f>
        <v>Outdoor</v>
      </c>
      <c r="G33" s="63">
        <f>VLOOKUP(C33,'RAW DATA 2023'!E:BO,13,0)</f>
        <v>102</v>
      </c>
      <c r="H33" s="63">
        <f t="shared" si="8"/>
        <v>100</v>
      </c>
      <c r="I33" s="63">
        <f t="shared" si="3"/>
        <v>6.806</v>
      </c>
      <c r="J33" s="106">
        <f>VLOOKUP(C33,'RAW DATA 2023'!E:BO,22,0)</f>
        <v>0</v>
      </c>
      <c r="K33" s="70">
        <f t="shared" si="4"/>
        <v>0</v>
      </c>
      <c r="L33" s="72">
        <f t="shared" si="5"/>
        <v>0</v>
      </c>
      <c r="M33" s="109">
        <f t="shared" si="7"/>
        <v>-6.666666666666667</v>
      </c>
      <c r="N33" s="123" t="str">
        <f>VLOOKUP(C33,'RAW DATA 2023'!E:BO,36,0)</f>
        <v>WSSV</v>
      </c>
      <c r="O33" s="63">
        <f>VLOOKUP(C33,'RAW DATA 2023'!E:BO,2,0)</f>
        <v>8</v>
      </c>
      <c r="P33" s="322">
        <f t="shared" si="6"/>
        <v>-53.333333333333336</v>
      </c>
    </row>
    <row r="34" spans="1:16">
      <c r="A34" s="63" t="str">
        <f>'RAW DATA 2023'!B27</f>
        <v>Lamae</v>
      </c>
      <c r="B34" s="63" t="str">
        <f>'RAW DATA 2023'!D27</f>
        <v>A1-011-0024</v>
      </c>
      <c r="C34" s="63" t="str">
        <f t="shared" si="0"/>
        <v>LamaeA1-011-0024</v>
      </c>
      <c r="D34" s="68">
        <f>VLOOKUP(C34,'RAW DATA 2023'!E:BP,63,0)</f>
        <v>12</v>
      </c>
      <c r="E34" s="68" t="str">
        <f t="shared" si="1"/>
        <v>Lamae12</v>
      </c>
      <c r="F34" s="63" t="str">
        <f>VLOOKUP(C34,'RAW DATA 2023'!E:BO,5,0)</f>
        <v>Outdoor</v>
      </c>
      <c r="G34" s="63">
        <f>VLOOKUP(C34,'RAW DATA 2023'!E:BO,13,0)</f>
        <v>135</v>
      </c>
      <c r="H34" s="63">
        <f t="shared" si="8"/>
        <v>150</v>
      </c>
      <c r="I34" s="63">
        <f t="shared" si="3"/>
        <v>9.1999999999999993</v>
      </c>
      <c r="J34" s="106">
        <f>VLOOKUP(C34,'RAW DATA 2023'!E:BO,22,0)</f>
        <v>0</v>
      </c>
      <c r="K34" s="70">
        <f t="shared" si="4"/>
        <v>0</v>
      </c>
      <c r="L34" s="72">
        <f t="shared" si="5"/>
        <v>0</v>
      </c>
      <c r="M34" s="109">
        <f t="shared" si="7"/>
        <v>-6.666666666666667</v>
      </c>
      <c r="N34" s="123" t="str">
        <f>VLOOKUP(C34,'RAW DATA 2023'!E:BO,36,0)</f>
        <v>WSSV</v>
      </c>
      <c r="O34" s="63">
        <f>VLOOKUP(C34,'RAW DATA 2023'!E:BO,2,0)</f>
        <v>4</v>
      </c>
      <c r="P34" s="322">
        <f t="shared" si="6"/>
        <v>-26.666666666666668</v>
      </c>
    </row>
    <row r="35" spans="1:16">
      <c r="A35" s="63" t="str">
        <f>'RAW DATA 2023'!B28</f>
        <v>Lamae</v>
      </c>
      <c r="B35" s="63" t="str">
        <f>'RAW DATA 2023'!D28</f>
        <v>A1-012-0015</v>
      </c>
      <c r="C35" s="63" t="str">
        <f t="shared" si="0"/>
        <v>LamaeA1-012-0015</v>
      </c>
      <c r="D35" s="68">
        <f>VLOOKUP(C35,'RAW DATA 2023'!E:BP,63,0)</f>
        <v>12</v>
      </c>
      <c r="E35" s="68" t="str">
        <f t="shared" si="1"/>
        <v>Lamae12</v>
      </c>
      <c r="F35" s="63" t="str">
        <f>VLOOKUP(C35,'RAW DATA 2023'!E:BO,5,0)</f>
        <v>Outdoor</v>
      </c>
      <c r="G35" s="63">
        <f>VLOOKUP(C35,'RAW DATA 2023'!E:BO,13,0)</f>
        <v>110</v>
      </c>
      <c r="H35" s="63">
        <f t="shared" si="8"/>
        <v>100</v>
      </c>
      <c r="I35" s="63">
        <f t="shared" si="3"/>
        <v>6.806</v>
      </c>
      <c r="J35" s="106">
        <f>VLOOKUP(C35,'RAW DATA 2023'!E:BO,22,0)</f>
        <v>0</v>
      </c>
      <c r="K35" s="70">
        <f t="shared" si="4"/>
        <v>0</v>
      </c>
      <c r="L35" s="72">
        <f t="shared" si="5"/>
        <v>0</v>
      </c>
      <c r="M35" s="109">
        <f t="shared" si="7"/>
        <v>-6.666666666666667</v>
      </c>
      <c r="N35" s="123" t="str">
        <f>VLOOKUP(C35,'RAW DATA 2023'!E:BO,36,0)</f>
        <v>WSSV</v>
      </c>
      <c r="O35" s="63">
        <f>VLOOKUP(C35,'RAW DATA 2023'!E:BO,2,0)</f>
        <v>4</v>
      </c>
      <c r="P35" s="322">
        <f t="shared" si="6"/>
        <v>-26.666666666666668</v>
      </c>
    </row>
    <row r="36" spans="1:16">
      <c r="A36" s="63" t="str">
        <f>'RAW DATA 2023'!B29</f>
        <v>Lamae</v>
      </c>
      <c r="B36" s="63" t="str">
        <f>'RAW DATA 2023'!D29</f>
        <v>A1-013-0017</v>
      </c>
      <c r="C36" s="63" t="str">
        <f t="shared" si="0"/>
        <v>LamaeA1-013-0017</v>
      </c>
      <c r="D36" s="68">
        <f>VLOOKUP(C36,'RAW DATA 2023'!E:BP,63,0)</f>
        <v>12</v>
      </c>
      <c r="E36" s="68" t="str">
        <f t="shared" si="1"/>
        <v>Lamae12</v>
      </c>
      <c r="F36" s="63" t="str">
        <f>VLOOKUP(C36,'RAW DATA 2023'!E:BO,5,0)</f>
        <v>Outdoor</v>
      </c>
      <c r="G36" s="63">
        <f>VLOOKUP(C36,'RAW DATA 2023'!E:BO,13,0)</f>
        <v>135</v>
      </c>
      <c r="H36" s="63">
        <f t="shared" si="8"/>
        <v>150</v>
      </c>
      <c r="I36" s="63">
        <f t="shared" si="3"/>
        <v>9.1999999999999993</v>
      </c>
      <c r="J36" s="106">
        <f>VLOOKUP(C36,'RAW DATA 2023'!E:BO,22,0)</f>
        <v>0</v>
      </c>
      <c r="K36" s="70">
        <f t="shared" si="4"/>
        <v>0</v>
      </c>
      <c r="L36" s="72">
        <f t="shared" si="5"/>
        <v>0</v>
      </c>
      <c r="M36" s="109">
        <f t="shared" si="7"/>
        <v>-6.666666666666667</v>
      </c>
      <c r="N36" s="123" t="str">
        <f>VLOOKUP(C36,'RAW DATA 2023'!E:BO,36,0)</f>
        <v>Others</v>
      </c>
      <c r="O36" s="63">
        <f>VLOOKUP(C36,'RAW DATA 2023'!E:BO,2,0)</f>
        <v>4</v>
      </c>
      <c r="P36" s="322">
        <f t="shared" si="6"/>
        <v>-26.666666666666668</v>
      </c>
    </row>
    <row r="37" spans="1:16">
      <c r="A37" s="63" t="str">
        <f>'RAW DATA 2023'!B30</f>
        <v>Bansang</v>
      </c>
      <c r="B37" s="63" t="str">
        <f>'RAW DATA 2023'!D30</f>
        <v>A1-008-0015</v>
      </c>
      <c r="C37" s="63" t="str">
        <f t="shared" si="0"/>
        <v>BansangA1-008-0015</v>
      </c>
      <c r="D37" s="68">
        <f>VLOOKUP(C37,'RAW DATA 2023'!E:BP,63,0)</f>
        <v>9</v>
      </c>
      <c r="E37" s="68" t="str">
        <f t="shared" si="1"/>
        <v>Bansang9</v>
      </c>
      <c r="F37" s="63" t="str">
        <f>VLOOKUP(C37,'RAW DATA 2023'!E:BO,5,0)</f>
        <v>Outdoor</v>
      </c>
      <c r="G37" s="63">
        <f>VLOOKUP(C37,'RAW DATA 2023'!E:BO,13,0)</f>
        <v>123</v>
      </c>
      <c r="H37" s="63">
        <f t="shared" si="8"/>
        <v>100</v>
      </c>
      <c r="I37" s="63">
        <f t="shared" si="3"/>
        <v>6.806</v>
      </c>
      <c r="J37" s="106">
        <f>VLOOKUP(C37,'RAW DATA 2023'!E:BO,22,0)</f>
        <v>7.7165828402366863</v>
      </c>
      <c r="K37" s="70">
        <f t="shared" si="4"/>
        <v>1.1337911901611353</v>
      </c>
      <c r="L37" s="72">
        <f t="shared" si="5"/>
        <v>7.7165828402366863</v>
      </c>
      <c r="M37" s="109">
        <f t="shared" si="7"/>
        <v>8.4505492021484709</v>
      </c>
      <c r="N37" s="123" t="str">
        <f>VLOOKUP(C37,'RAW DATA 2023'!E:BO,36,0)</f>
        <v>Normal</v>
      </c>
      <c r="O37" s="63">
        <f>VLOOKUP(C37,'RAW DATA 2023'!E:BO,2,0)</f>
        <v>3.38</v>
      </c>
      <c r="P37" s="322">
        <f t="shared" si="6"/>
        <v>28.562856303261832</v>
      </c>
    </row>
    <row r="38" spans="1:16">
      <c r="A38" s="63" t="str">
        <f>'RAW DATA 2023'!B31</f>
        <v>Bansang</v>
      </c>
      <c r="B38" s="63" t="str">
        <f>'RAW DATA 2023'!D31</f>
        <v>A1-006-0015</v>
      </c>
      <c r="C38" s="63" t="str">
        <f t="shared" si="0"/>
        <v>BansangA1-006-0015</v>
      </c>
      <c r="D38" s="68">
        <f>VLOOKUP(C38,'RAW DATA 2023'!E:BP,63,0)</f>
        <v>10</v>
      </c>
      <c r="E38" s="68" t="str">
        <f t="shared" si="1"/>
        <v>Bansang10</v>
      </c>
      <c r="F38" s="63" t="str">
        <f>VLOOKUP(C38,'RAW DATA 2023'!E:BO,5,0)</f>
        <v>Outdoor</v>
      </c>
      <c r="G38" s="63">
        <f>VLOOKUP(C38,'RAW DATA 2023'!E:BO,13,0)</f>
        <v>99</v>
      </c>
      <c r="H38" s="63">
        <f t="shared" si="8"/>
        <v>100</v>
      </c>
      <c r="I38" s="63">
        <f t="shared" si="3"/>
        <v>6.806</v>
      </c>
      <c r="J38" s="106">
        <f>VLOOKUP(C38,'RAW DATA 2023'!E:BO,22,0)</f>
        <v>7.3721005917159763</v>
      </c>
      <c r="K38" s="70">
        <f t="shared" si="4"/>
        <v>1.0831766958148656</v>
      </c>
      <c r="L38" s="72">
        <f t="shared" si="5"/>
        <v>7.3721005917159763</v>
      </c>
      <c r="M38" s="109">
        <f t="shared" si="7"/>
        <v>7.7756892775315425</v>
      </c>
      <c r="N38" s="123" t="str">
        <f>VLOOKUP(C38,'RAW DATA 2023'!E:BO,36,0)</f>
        <v>Normal</v>
      </c>
      <c r="O38" s="63">
        <f>VLOOKUP(C38,'RAW DATA 2023'!E:BO,2,0)</f>
        <v>3.38</v>
      </c>
      <c r="P38" s="322">
        <f t="shared" si="6"/>
        <v>26.281829758056613</v>
      </c>
    </row>
    <row r="39" spans="1:16">
      <c r="A39" s="63" t="str">
        <f>'RAW DATA 2023'!B32</f>
        <v>Bansang</v>
      </c>
      <c r="B39" s="63" t="str">
        <f>'RAW DATA 2023'!D32</f>
        <v>A1-005-0016</v>
      </c>
      <c r="C39" s="63" t="str">
        <f t="shared" si="0"/>
        <v>BansangA1-005-0016</v>
      </c>
      <c r="D39" s="68">
        <f>VLOOKUP(C39,'RAW DATA 2023'!E:BP,63,0)</f>
        <v>9</v>
      </c>
      <c r="E39" s="68" t="str">
        <f t="shared" si="1"/>
        <v>Bansang9</v>
      </c>
      <c r="F39" s="63" t="str">
        <f>VLOOKUP(C39,'RAW DATA 2023'!E:BO,5,0)</f>
        <v>Outdoor</v>
      </c>
      <c r="G39" s="63">
        <f>VLOOKUP(C39,'RAW DATA 2023'!E:BO,13,0)</f>
        <v>86</v>
      </c>
      <c r="H39" s="63">
        <f t="shared" si="8"/>
        <v>100</v>
      </c>
      <c r="I39" s="63">
        <f t="shared" si="3"/>
        <v>6.806</v>
      </c>
      <c r="J39" s="106">
        <f>VLOOKUP(C39,'RAW DATA 2023'!E:BO,22,0)</f>
        <v>3.0149704142011835</v>
      </c>
      <c r="K39" s="70">
        <f t="shared" si="4"/>
        <v>0.4429871310903884</v>
      </c>
      <c r="L39" s="72">
        <f t="shared" si="5"/>
        <v>3.0149704142011835</v>
      </c>
      <c r="M39" s="109">
        <f t="shared" si="7"/>
        <v>-0.76017158546148811</v>
      </c>
      <c r="N39" s="123" t="str">
        <f>VLOOKUP(C39,'RAW DATA 2023'!E:BO,36,0)</f>
        <v>EHP</v>
      </c>
      <c r="O39" s="63">
        <f>VLOOKUP(C39,'RAW DATA 2023'!E:BO,2,0)</f>
        <v>3.38</v>
      </c>
      <c r="P39" s="322">
        <f t="shared" si="6"/>
        <v>-2.5693799588598298</v>
      </c>
    </row>
    <row r="40" spans="1:16">
      <c r="A40" s="63" t="str">
        <f>'RAW DATA 2023'!B33</f>
        <v>Bansang</v>
      </c>
      <c r="B40" s="63" t="str">
        <f>'RAW DATA 2023'!D33</f>
        <v>A1-006-0013</v>
      </c>
      <c r="C40" s="63" t="str">
        <f t="shared" si="0"/>
        <v>BansangA1-006-0013</v>
      </c>
      <c r="D40" s="68">
        <f>VLOOKUP(C40,'RAW DATA 2023'!E:BP,63,0)</f>
        <v>1</v>
      </c>
      <c r="E40" s="68" t="str">
        <f t="shared" si="1"/>
        <v>Bansang1</v>
      </c>
      <c r="F40" s="63" t="str">
        <f>VLOOKUP(C40,'RAW DATA 2023'!E:BO,5,0)</f>
        <v>Outdoor</v>
      </c>
      <c r="G40" s="63">
        <f>VLOOKUP(C40,'RAW DATA 2023'!E:BO,13,0)</f>
        <v>99</v>
      </c>
      <c r="H40" s="63">
        <f t="shared" si="8"/>
        <v>100</v>
      </c>
      <c r="I40" s="63">
        <f t="shared" si="3"/>
        <v>6.806</v>
      </c>
      <c r="J40" s="106">
        <f>VLOOKUP(C40,'RAW DATA 2023'!E:BO,22,0)</f>
        <v>4.6969674556213024</v>
      </c>
      <c r="K40" s="70">
        <f t="shared" si="4"/>
        <v>0.69012157737603619</v>
      </c>
      <c r="L40" s="72">
        <f t="shared" si="5"/>
        <v>4.6969674556213024</v>
      </c>
      <c r="M40" s="109">
        <f t="shared" si="7"/>
        <v>2.534954365013816</v>
      </c>
      <c r="N40" s="123" t="str">
        <f>VLOOKUP(C40,'RAW DATA 2023'!E:BO,36,0)</f>
        <v>Normal</v>
      </c>
      <c r="O40" s="63">
        <f>VLOOKUP(C40,'RAW DATA 2023'!E:BO,2,0)</f>
        <v>3.38</v>
      </c>
      <c r="P40" s="322">
        <f t="shared" si="6"/>
        <v>8.5681457537466983</v>
      </c>
    </row>
    <row r="41" spans="1:16">
      <c r="A41" s="63" t="str">
        <f>'RAW DATA 2023'!B34</f>
        <v>Bansang</v>
      </c>
      <c r="B41" s="63" t="str">
        <f>'RAW DATA 2023'!D34</f>
        <v>A1-005-0014</v>
      </c>
      <c r="C41" s="63" t="str">
        <f t="shared" si="0"/>
        <v>BansangA1-005-0014</v>
      </c>
      <c r="D41" s="68">
        <f>VLOOKUP(C41,'RAW DATA 2023'!E:BP,63,0)</f>
        <v>1</v>
      </c>
      <c r="E41" s="68" t="str">
        <f t="shared" si="1"/>
        <v>Bansang1</v>
      </c>
      <c r="F41" s="63" t="str">
        <f>VLOOKUP(C41,'RAW DATA 2023'!E:BO,5,0)</f>
        <v>Outdoor</v>
      </c>
      <c r="G41" s="63">
        <f>VLOOKUP(C41,'RAW DATA 2023'!E:BO,13,0)</f>
        <v>99</v>
      </c>
      <c r="H41" s="63">
        <f t="shared" si="8"/>
        <v>100</v>
      </c>
      <c r="I41" s="63">
        <f t="shared" si="3"/>
        <v>6.806</v>
      </c>
      <c r="J41" s="106">
        <f>VLOOKUP(C41,'RAW DATA 2023'!E:BO,22,0)</f>
        <v>5.0772189349112429</v>
      </c>
      <c r="K41" s="70">
        <f t="shared" si="4"/>
        <v>0.74599161547329462</v>
      </c>
      <c r="L41" s="72">
        <f t="shared" si="5"/>
        <v>5.0772189349112429</v>
      </c>
      <c r="M41" s="109">
        <f t="shared" si="7"/>
        <v>3.279888206310595</v>
      </c>
      <c r="N41" s="123" t="str">
        <f>VLOOKUP(C41,'RAW DATA 2023'!E:BO,36,0)</f>
        <v>Normal</v>
      </c>
      <c r="O41" s="63">
        <f>VLOOKUP(C41,'RAW DATA 2023'!E:BO,2,0)</f>
        <v>3.38</v>
      </c>
      <c r="P41" s="322">
        <f t="shared" si="6"/>
        <v>11.086022137329811</v>
      </c>
    </row>
    <row r="42" spans="1:16">
      <c r="A42" s="63" t="str">
        <f>'RAW DATA 2023'!B35</f>
        <v>Bansang</v>
      </c>
      <c r="B42" s="63" t="str">
        <f>'RAW DATA 2023'!D35</f>
        <v>A1-007-0017</v>
      </c>
      <c r="C42" s="63" t="str">
        <f t="shared" si="0"/>
        <v>BansangA1-007-0017</v>
      </c>
      <c r="D42" s="68">
        <f>VLOOKUP(C42,'RAW DATA 2023'!E:BP,63,0)</f>
        <v>8</v>
      </c>
      <c r="E42" s="68" t="str">
        <f t="shared" si="1"/>
        <v>Bansang8</v>
      </c>
      <c r="F42" s="63" t="str">
        <f>VLOOKUP(C42,'RAW DATA 2023'!E:BO,5,0)</f>
        <v>Outdoor</v>
      </c>
      <c r="G42" s="63">
        <f>VLOOKUP(C42,'RAW DATA 2023'!E:BO,13,0)</f>
        <v>123</v>
      </c>
      <c r="H42" s="63">
        <f t="shared" si="8"/>
        <v>100</v>
      </c>
      <c r="I42" s="63">
        <f t="shared" si="3"/>
        <v>6.806</v>
      </c>
      <c r="J42" s="106">
        <f>VLOOKUP(C42,'RAW DATA 2023'!E:BO,22,0)</f>
        <v>8.1066153846153846</v>
      </c>
      <c r="K42" s="70">
        <f t="shared" si="4"/>
        <v>1.1910983521327336</v>
      </c>
      <c r="L42" s="72">
        <f t="shared" si="5"/>
        <v>8.1066153846153846</v>
      </c>
      <c r="M42" s="109">
        <f t="shared" si="7"/>
        <v>9.2146446951031162</v>
      </c>
      <c r="N42" s="123" t="str">
        <f>VLOOKUP(C42,'RAW DATA 2023'!E:BO,36,0)</f>
        <v>Normal</v>
      </c>
      <c r="O42" s="63">
        <f>VLOOKUP(C42,'RAW DATA 2023'!E:BO,2,0)</f>
        <v>3.38</v>
      </c>
      <c r="P42" s="322">
        <f t="shared" si="6"/>
        <v>31.145499069448533</v>
      </c>
    </row>
    <row r="43" spans="1:16">
      <c r="A43" s="63" t="str">
        <f>'RAW DATA 2023'!B36</f>
        <v>Bansang</v>
      </c>
      <c r="B43" s="63" t="str">
        <f>'RAW DATA 2023'!D36</f>
        <v>A1-005-0015</v>
      </c>
      <c r="C43" s="63" t="str">
        <f t="shared" si="0"/>
        <v>BansangA1-005-0015</v>
      </c>
      <c r="D43" s="68">
        <f>VLOOKUP(C43,'RAW DATA 2023'!E:BP,63,0)</f>
        <v>6</v>
      </c>
      <c r="E43" s="68" t="str">
        <f t="shared" si="1"/>
        <v>Bansang6</v>
      </c>
      <c r="F43" s="63" t="str">
        <f>VLOOKUP(C43,'RAW DATA 2023'!E:BO,5,0)</f>
        <v>Outdoor</v>
      </c>
      <c r="G43" s="63">
        <f>VLOOKUP(C43,'RAW DATA 2023'!E:BO,13,0)</f>
        <v>103</v>
      </c>
      <c r="H43" s="63">
        <f t="shared" si="8"/>
        <v>100</v>
      </c>
      <c r="I43" s="63">
        <f t="shared" si="3"/>
        <v>6.806</v>
      </c>
      <c r="J43" s="106">
        <f>VLOOKUP(C43,'RAW DATA 2023'!E:BO,22,0)</f>
        <v>7.1529585798816573</v>
      </c>
      <c r="K43" s="70">
        <f t="shared" si="4"/>
        <v>1.0509783396828765</v>
      </c>
      <c r="L43" s="72">
        <f t="shared" si="5"/>
        <v>7.1529585798816573</v>
      </c>
      <c r="M43" s="109">
        <f t="shared" si="7"/>
        <v>7.3463778624383531</v>
      </c>
      <c r="N43" s="123" t="str">
        <f>VLOOKUP(C43,'RAW DATA 2023'!E:BO,36,0)</f>
        <v>Normal</v>
      </c>
      <c r="O43" s="63">
        <f>VLOOKUP(C43,'RAW DATA 2023'!E:BO,2,0)</f>
        <v>3.38</v>
      </c>
      <c r="P43" s="322">
        <f t="shared" si="6"/>
        <v>24.830757175041633</v>
      </c>
    </row>
    <row r="44" spans="1:16">
      <c r="A44" s="63" t="str">
        <f>'RAW DATA 2023'!B37</f>
        <v>Bansang</v>
      </c>
      <c r="B44" s="63" t="str">
        <f>'RAW DATA 2023'!D37</f>
        <v>A1-006-0014</v>
      </c>
      <c r="C44" s="63" t="str">
        <f t="shared" si="0"/>
        <v>BansangA1-006-0014</v>
      </c>
      <c r="D44" s="68">
        <f>VLOOKUP(C44,'RAW DATA 2023'!E:BP,63,0)</f>
        <v>6</v>
      </c>
      <c r="E44" s="68" t="str">
        <f t="shared" si="1"/>
        <v>Bansang6</v>
      </c>
      <c r="F44" s="63" t="str">
        <f>VLOOKUP(C44,'RAW DATA 2023'!E:BO,5,0)</f>
        <v>Outdoor</v>
      </c>
      <c r="G44" s="63">
        <f>VLOOKUP(C44,'RAW DATA 2023'!E:BO,13,0)</f>
        <v>123</v>
      </c>
      <c r="H44" s="63">
        <f t="shared" si="8"/>
        <v>100</v>
      </c>
      <c r="I44" s="63">
        <f t="shared" si="3"/>
        <v>6.806</v>
      </c>
      <c r="J44" s="106">
        <f>VLOOKUP(C44,'RAW DATA 2023'!E:BO,22,0)</f>
        <v>7.0364881656804741</v>
      </c>
      <c r="K44" s="70">
        <f t="shared" si="4"/>
        <v>1.0338654372142924</v>
      </c>
      <c r="L44" s="72">
        <f t="shared" si="5"/>
        <v>7.0364881656804741</v>
      </c>
      <c r="M44" s="109">
        <f t="shared" si="7"/>
        <v>7.1182058295238981</v>
      </c>
      <c r="N44" s="123" t="str">
        <f>VLOOKUP(C44,'RAW DATA 2023'!E:BO,36,0)</f>
        <v>Normal</v>
      </c>
      <c r="O44" s="63">
        <f>VLOOKUP(C44,'RAW DATA 2023'!E:BO,2,0)</f>
        <v>3.38</v>
      </c>
      <c r="P44" s="322">
        <f t="shared" si="6"/>
        <v>24.059535703790775</v>
      </c>
    </row>
    <row r="45" spans="1:16">
      <c r="A45" s="63" t="str">
        <f>'RAW DATA 2023'!B38</f>
        <v>Bansang</v>
      </c>
      <c r="B45" s="63" t="str">
        <f>'RAW DATA 2023'!D38</f>
        <v>A1-008-0014</v>
      </c>
      <c r="C45" s="63" t="str">
        <f t="shared" si="0"/>
        <v>BansangA1-008-0014</v>
      </c>
      <c r="D45" s="68">
        <f>VLOOKUP(C45,'RAW DATA 2023'!E:BP,63,0)</f>
        <v>5</v>
      </c>
      <c r="E45" s="68" t="str">
        <f t="shared" si="1"/>
        <v>Bansang5</v>
      </c>
      <c r="F45" s="63" t="str">
        <f>VLOOKUP(C45,'RAW DATA 2023'!E:BO,5,0)</f>
        <v>Outdoor</v>
      </c>
      <c r="G45" s="63">
        <f>VLOOKUP(C45,'RAW DATA 2023'!E:BO,13,0)</f>
        <v>123</v>
      </c>
      <c r="H45" s="63">
        <f t="shared" si="8"/>
        <v>100</v>
      </c>
      <c r="I45" s="63">
        <f t="shared" si="3"/>
        <v>6.806</v>
      </c>
      <c r="J45" s="106">
        <f>VLOOKUP(C45,'RAW DATA 2023'!E:BO,22,0)</f>
        <v>6.8228491124260353</v>
      </c>
      <c r="K45" s="70">
        <f t="shared" si="4"/>
        <v>1.0024756262747627</v>
      </c>
      <c r="L45" s="72">
        <f t="shared" si="5"/>
        <v>6.8228491124260353</v>
      </c>
      <c r="M45" s="109">
        <f t="shared" si="7"/>
        <v>6.6996750169968369</v>
      </c>
      <c r="N45" s="123" t="str">
        <f>VLOOKUP(C45,'RAW DATA 2023'!E:BO,36,0)</f>
        <v>Normal</v>
      </c>
      <c r="O45" s="63">
        <f>VLOOKUP(C45,'RAW DATA 2023'!E:BO,2,0)</f>
        <v>3.38</v>
      </c>
      <c r="P45" s="322">
        <f t="shared" si="6"/>
        <v>22.644901557449309</v>
      </c>
    </row>
    <row r="46" spans="1:16">
      <c r="A46" s="63" t="str">
        <f>'RAW DATA 2023'!B39</f>
        <v>Bansang</v>
      </c>
      <c r="B46" s="63" t="str">
        <f>'RAW DATA 2023'!D39</f>
        <v>A1-007-0016</v>
      </c>
      <c r="C46" s="63" t="str">
        <f t="shared" si="0"/>
        <v>BansangA1-007-0016</v>
      </c>
      <c r="D46" s="68">
        <f>VLOOKUP(C46,'RAW DATA 2023'!E:BP,63,0)</f>
        <v>3</v>
      </c>
      <c r="E46" s="68" t="str">
        <f t="shared" si="1"/>
        <v>Bansang3</v>
      </c>
      <c r="F46" s="63" t="str">
        <f>VLOOKUP(C46,'RAW DATA 2023'!E:BO,5,0)</f>
        <v>Outdoor</v>
      </c>
      <c r="G46" s="63">
        <f>VLOOKUP(C46,'RAW DATA 2023'!E:BO,13,0)</f>
        <v>103</v>
      </c>
      <c r="H46" s="63">
        <f t="shared" si="8"/>
        <v>100</v>
      </c>
      <c r="I46" s="63">
        <f t="shared" si="3"/>
        <v>6.806</v>
      </c>
      <c r="J46" s="106">
        <f>VLOOKUP(C46,'RAW DATA 2023'!E:BO,22,0)</f>
        <v>6.0915798816568048</v>
      </c>
      <c r="K46" s="70">
        <f t="shared" si="4"/>
        <v>0.89503083773975978</v>
      </c>
      <c r="L46" s="72">
        <f t="shared" si="5"/>
        <v>6.0915798816568048</v>
      </c>
      <c r="M46" s="109">
        <f t="shared" si="7"/>
        <v>5.267077836530131</v>
      </c>
      <c r="N46" s="123" t="str">
        <f>VLOOKUP(C46,'RAW DATA 2023'!E:BO,36,0)</f>
        <v>Normal</v>
      </c>
      <c r="O46" s="63">
        <f>VLOOKUP(C46,'RAW DATA 2023'!E:BO,2,0)</f>
        <v>3.38</v>
      </c>
      <c r="P46" s="322">
        <f t="shared" si="6"/>
        <v>17.802723087471843</v>
      </c>
    </row>
    <row r="47" spans="1:16">
      <c r="A47" s="63" t="str">
        <f>'RAW DATA 2023'!B40</f>
        <v>Bansang</v>
      </c>
      <c r="B47" s="63" t="str">
        <f>'RAW DATA 2023'!D40</f>
        <v>A1-007-0018</v>
      </c>
      <c r="C47" s="63" t="str">
        <f t="shared" si="0"/>
        <v>BansangA1-007-0018</v>
      </c>
      <c r="D47" s="68">
        <f>VLOOKUP(C47,'RAW DATA 2023'!E:BP,63,0)</f>
        <v>10</v>
      </c>
      <c r="E47" s="68" t="str">
        <f t="shared" si="1"/>
        <v>Bansang10</v>
      </c>
      <c r="F47" s="63" t="str">
        <f>VLOOKUP(C47,'RAW DATA 2023'!E:BO,5,0)</f>
        <v>Outdoor</v>
      </c>
      <c r="G47" s="63">
        <f>VLOOKUP(C47,'RAW DATA 2023'!E:BO,13,0)</f>
        <v>99</v>
      </c>
      <c r="H47" s="63">
        <f t="shared" si="8"/>
        <v>100</v>
      </c>
      <c r="I47" s="63">
        <f t="shared" si="3"/>
        <v>6.806</v>
      </c>
      <c r="J47" s="106">
        <f>VLOOKUP(C47,'RAW DATA 2023'!E:BO,22,0)</f>
        <v>1.5410828402366863</v>
      </c>
      <c r="K47" s="70">
        <f t="shared" si="4"/>
        <v>0.22643003823636296</v>
      </c>
      <c r="L47" s="72">
        <f t="shared" si="5"/>
        <v>1.5410828402366863</v>
      </c>
      <c r="M47" s="109">
        <f t="shared" si="7"/>
        <v>-3.6475994901818272</v>
      </c>
      <c r="N47" s="123" t="str">
        <f>VLOOKUP(C47,'RAW DATA 2023'!E:BO,36,0)</f>
        <v>EHP</v>
      </c>
      <c r="O47" s="63">
        <f>VLOOKUP(C47,'RAW DATA 2023'!E:BO,2,0)</f>
        <v>3.38</v>
      </c>
      <c r="P47" s="322">
        <f t="shared" si="6"/>
        <v>-12.328886276814575</v>
      </c>
    </row>
    <row r="48" spans="1:16">
      <c r="A48" s="63" t="str">
        <f>'RAW DATA 2023'!B41</f>
        <v>Petchburi5</v>
      </c>
      <c r="B48" s="63" t="str">
        <f>'RAW DATA 2023'!D41</f>
        <v>B1-127-0009</v>
      </c>
      <c r="C48" s="63" t="str">
        <f t="shared" si="0"/>
        <v>Petchburi5B1-127-0009</v>
      </c>
      <c r="D48" s="68">
        <f>VLOOKUP(C48,'RAW DATA 2023'!E:BP,63,0)</f>
        <v>10</v>
      </c>
      <c r="E48" s="68" t="str">
        <f t="shared" si="1"/>
        <v>Petchburi510</v>
      </c>
      <c r="F48" s="63" t="str">
        <f>VLOOKUP(C48,'RAW DATA 2023'!E:BO,5,0)</f>
        <v>Outdoor</v>
      </c>
      <c r="G48" s="63">
        <f>VLOOKUP(C48,'RAW DATA 2023'!E:BO,13,0)</f>
        <v>278</v>
      </c>
      <c r="H48" s="63">
        <f t="shared" si="8"/>
        <v>200</v>
      </c>
      <c r="I48" s="63">
        <f t="shared" si="3"/>
        <v>11.259</v>
      </c>
      <c r="J48" s="106">
        <f>VLOOKUP(C48,'RAW DATA 2023'!E:BO,22,0)</f>
        <v>17.984146666666668</v>
      </c>
      <c r="K48" s="70">
        <f t="shared" si="4"/>
        <v>1.5973129644432602</v>
      </c>
      <c r="L48" s="72">
        <f t="shared" si="5"/>
        <v>17.984146666666668</v>
      </c>
      <c r="M48" s="109">
        <f t="shared" si="7"/>
        <v>14.630839525910137</v>
      </c>
      <c r="N48" s="123" t="str">
        <f>VLOOKUP(C48,'RAW DATA 2023'!E:BO,36,0)</f>
        <v>Normal</v>
      </c>
      <c r="O48" s="63">
        <f>VLOOKUP(C48,'RAW DATA 2023'!E:BO,2,0)</f>
        <v>1.5</v>
      </c>
      <c r="P48" s="322">
        <f t="shared" si="6"/>
        <v>21.946259288865207</v>
      </c>
    </row>
    <row r="49" spans="1:16">
      <c r="A49" s="63" t="str">
        <f>'RAW DATA 2023'!B42</f>
        <v>Petchburi5</v>
      </c>
      <c r="B49" s="63" t="str">
        <f>'RAW DATA 2023'!D42</f>
        <v>B1-124-0008</v>
      </c>
      <c r="C49" s="63" t="str">
        <f t="shared" si="0"/>
        <v>Petchburi5B1-124-0008</v>
      </c>
      <c r="D49" s="68">
        <f>VLOOKUP(C49,'RAW DATA 2023'!E:BP,63,0)</f>
        <v>7</v>
      </c>
      <c r="E49" s="68" t="str">
        <f t="shared" si="1"/>
        <v>Petchburi57</v>
      </c>
      <c r="F49" s="63" t="str">
        <f>VLOOKUP(C49,'RAW DATA 2023'!E:BO,5,0)</f>
        <v>Outdoor</v>
      </c>
      <c r="G49" s="63">
        <f>VLOOKUP(C49,'RAW DATA 2023'!E:BO,13,0)</f>
        <v>185</v>
      </c>
      <c r="H49" s="63">
        <f t="shared" si="8"/>
        <v>180</v>
      </c>
      <c r="I49" s="63">
        <f t="shared" si="3"/>
        <v>10.247</v>
      </c>
      <c r="J49" s="106">
        <f>VLOOKUP(C49,'RAW DATA 2023'!E:BO,22,0)</f>
        <v>11.595406666666667</v>
      </c>
      <c r="K49" s="70">
        <f t="shared" si="4"/>
        <v>1.1315903841774828</v>
      </c>
      <c r="L49" s="72">
        <f t="shared" si="5"/>
        <v>11.595406666666667</v>
      </c>
      <c r="M49" s="109">
        <f t="shared" si="7"/>
        <v>8.4212051223664375</v>
      </c>
      <c r="N49" s="123" t="str">
        <f>VLOOKUP(C49,'RAW DATA 2023'!E:BO,36,0)</f>
        <v>Normal</v>
      </c>
      <c r="O49" s="63">
        <f>VLOOKUP(C49,'RAW DATA 2023'!E:BO,2,0)</f>
        <v>1.5</v>
      </c>
      <c r="P49" s="322">
        <f t="shared" si="6"/>
        <v>12.631807683549656</v>
      </c>
    </row>
    <row r="50" spans="1:16">
      <c r="A50" s="63" t="str">
        <f>'RAW DATA 2023'!B43</f>
        <v>Petchburi5</v>
      </c>
      <c r="B50" s="63" t="str">
        <f>'RAW DATA 2023'!D43</f>
        <v>B1-124-0009</v>
      </c>
      <c r="C50" s="63" t="str">
        <f t="shared" si="0"/>
        <v>Petchburi5B1-124-0009</v>
      </c>
      <c r="D50" s="68">
        <f>VLOOKUP(C50,'RAW DATA 2023'!E:BP,63,0)</f>
        <v>11</v>
      </c>
      <c r="E50" s="68" t="str">
        <f t="shared" si="1"/>
        <v>Petchburi511</v>
      </c>
      <c r="F50" s="63" t="str">
        <f>VLOOKUP(C50,'RAW DATA 2023'!E:BO,5,0)</f>
        <v>Outdoor</v>
      </c>
      <c r="G50" s="63">
        <f>VLOOKUP(C50,'RAW DATA 2023'!E:BO,13,0)</f>
        <v>222</v>
      </c>
      <c r="H50" s="63">
        <f t="shared" si="8"/>
        <v>200</v>
      </c>
      <c r="I50" s="63">
        <f t="shared" si="3"/>
        <v>11.259</v>
      </c>
      <c r="J50" s="106">
        <f>VLOOKUP(C50,'RAW DATA 2023'!E:BO,22,0)</f>
        <v>12.908613333333333</v>
      </c>
      <c r="K50" s="70">
        <f t="shared" si="4"/>
        <v>1.1465150842289131</v>
      </c>
      <c r="L50" s="72">
        <f t="shared" si="5"/>
        <v>12.908613333333333</v>
      </c>
      <c r="M50" s="109">
        <f t="shared" si="7"/>
        <v>8.6202011230521762</v>
      </c>
      <c r="N50" s="123" t="str">
        <f>VLOOKUP(C50,'RAW DATA 2023'!E:BO,36,0)</f>
        <v>Normal</v>
      </c>
      <c r="O50" s="63">
        <f>VLOOKUP(C50,'RAW DATA 2023'!E:BO,2,0)</f>
        <v>1.5</v>
      </c>
      <c r="P50" s="322">
        <f t="shared" si="6"/>
        <v>12.930301684578264</v>
      </c>
    </row>
    <row r="51" spans="1:16">
      <c r="A51" s="63" t="str">
        <f>'RAW DATA 2023'!B44</f>
        <v>Petchburi5</v>
      </c>
      <c r="B51" s="63" t="str">
        <f>'RAW DATA 2023'!D44</f>
        <v>B1-126-0009</v>
      </c>
      <c r="C51" s="63" t="str">
        <f t="shared" si="0"/>
        <v>Petchburi5B1-126-0009</v>
      </c>
      <c r="D51" s="68">
        <f>VLOOKUP(C51,'RAW DATA 2023'!E:BP,63,0)</f>
        <v>11</v>
      </c>
      <c r="E51" s="68" t="str">
        <f t="shared" si="1"/>
        <v>Petchburi511</v>
      </c>
      <c r="F51" s="63" t="str">
        <f>VLOOKUP(C51,'RAW DATA 2023'!E:BO,5,0)</f>
        <v>Outdoor</v>
      </c>
      <c r="G51" s="63">
        <f>VLOOKUP(C51,'RAW DATA 2023'!E:BO,13,0)</f>
        <v>417</v>
      </c>
      <c r="H51" s="63">
        <f t="shared" si="8"/>
        <v>200</v>
      </c>
      <c r="I51" s="63">
        <f t="shared" si="3"/>
        <v>11.259</v>
      </c>
      <c r="J51" s="106">
        <f>VLOOKUP(C51,'RAW DATA 2023'!E:BO,22,0)</f>
        <v>20.607353333333332</v>
      </c>
      <c r="K51" s="70">
        <f t="shared" si="4"/>
        <v>1.8303005003404682</v>
      </c>
      <c r="L51" s="72">
        <f t="shared" si="5"/>
        <v>20.607353333333332</v>
      </c>
      <c r="M51" s="109">
        <f t="shared" si="7"/>
        <v>17.737340004539575</v>
      </c>
      <c r="N51" s="123" t="str">
        <f>VLOOKUP(C51,'RAW DATA 2023'!E:BO,36,0)</f>
        <v>Normal</v>
      </c>
      <c r="O51" s="63">
        <f>VLOOKUP(C51,'RAW DATA 2023'!E:BO,2,0)</f>
        <v>1.5</v>
      </c>
      <c r="P51" s="322">
        <f t="shared" si="6"/>
        <v>26.606010006809363</v>
      </c>
    </row>
    <row r="52" spans="1:16">
      <c r="A52" s="63" t="str">
        <f>'RAW DATA 2023'!B45</f>
        <v>Petchburi5</v>
      </c>
      <c r="B52" s="63" t="str">
        <f>'RAW DATA 2023'!D45</f>
        <v>B1-125-0009</v>
      </c>
      <c r="C52" s="63" t="str">
        <f t="shared" si="0"/>
        <v>Petchburi5B1-125-0009</v>
      </c>
      <c r="D52" s="68">
        <f>VLOOKUP(C52,'RAW DATA 2023'!E:BP,63,0)</f>
        <v>11</v>
      </c>
      <c r="E52" s="68" t="str">
        <f t="shared" si="1"/>
        <v>Petchburi511</v>
      </c>
      <c r="F52" s="63" t="str">
        <f>VLOOKUP(C52,'RAW DATA 2023'!E:BO,5,0)</f>
        <v>Outdoor</v>
      </c>
      <c r="G52" s="63">
        <f>VLOOKUP(C52,'RAW DATA 2023'!E:BO,13,0)</f>
        <v>208</v>
      </c>
      <c r="H52" s="63">
        <f t="shared" si="8"/>
        <v>200</v>
      </c>
      <c r="I52" s="63">
        <f t="shared" si="3"/>
        <v>11.259</v>
      </c>
      <c r="J52" s="106">
        <f>VLOOKUP(C52,'RAW DATA 2023'!E:BO,22,0)</f>
        <v>15.928933333333333</v>
      </c>
      <c r="K52" s="70">
        <f t="shared" si="4"/>
        <v>1.4147733664919915</v>
      </c>
      <c r="L52" s="72">
        <f t="shared" si="5"/>
        <v>15.928933333333333</v>
      </c>
      <c r="M52" s="109">
        <f t="shared" si="7"/>
        <v>12.19697821989322</v>
      </c>
      <c r="N52" s="123" t="str">
        <f>VLOOKUP(C52,'RAW DATA 2023'!E:BO,36,0)</f>
        <v>Normal</v>
      </c>
      <c r="O52" s="63">
        <f>VLOOKUP(C52,'RAW DATA 2023'!E:BO,2,0)</f>
        <v>1.5</v>
      </c>
      <c r="P52" s="322">
        <f t="shared" si="6"/>
        <v>18.29546732983983</v>
      </c>
    </row>
    <row r="53" spans="1:16">
      <c r="A53" s="63" t="str">
        <f>'RAW DATA 2023'!B46</f>
        <v>Petchburi5</v>
      </c>
      <c r="B53" s="63" t="str">
        <f>'RAW DATA 2023'!D46</f>
        <v>B1-116-0007</v>
      </c>
      <c r="C53" s="63" t="str">
        <f t="shared" si="0"/>
        <v>Petchburi5B1-116-0007</v>
      </c>
      <c r="D53" s="68">
        <f>VLOOKUP(C53,'RAW DATA 2023'!E:BP,63,0)</f>
        <v>9</v>
      </c>
      <c r="E53" s="68" t="str">
        <f t="shared" si="1"/>
        <v>Petchburi59</v>
      </c>
      <c r="F53" s="63" t="str">
        <f>VLOOKUP(C53,'RAW DATA 2023'!E:BO,5,0)</f>
        <v>Outdoor</v>
      </c>
      <c r="G53" s="63">
        <f>VLOOKUP(C53,'RAW DATA 2023'!E:BO,13,0)</f>
        <v>225</v>
      </c>
      <c r="H53" s="63">
        <f t="shared" si="8"/>
        <v>200</v>
      </c>
      <c r="I53" s="63">
        <f t="shared" si="3"/>
        <v>11.259</v>
      </c>
      <c r="J53" s="106">
        <f>VLOOKUP(C53,'RAW DATA 2023'!E:BO,22,0)</f>
        <v>18.532497297297297</v>
      </c>
      <c r="K53" s="70">
        <f t="shared" si="4"/>
        <v>1.6460162800690379</v>
      </c>
      <c r="L53" s="72">
        <f t="shared" si="5"/>
        <v>18.532497297297297</v>
      </c>
      <c r="M53" s="109">
        <f t="shared" si="7"/>
        <v>15.280217067587172</v>
      </c>
      <c r="N53" s="123" t="str">
        <f>VLOOKUP(C53,'RAW DATA 2023'!E:BO,36,0)</f>
        <v>Normal</v>
      </c>
      <c r="O53" s="63">
        <f>VLOOKUP(C53,'RAW DATA 2023'!E:BO,2,0)</f>
        <v>1.85</v>
      </c>
      <c r="P53" s="322">
        <f t="shared" si="6"/>
        <v>28.268401575036268</v>
      </c>
    </row>
    <row r="54" spans="1:16">
      <c r="A54" s="63" t="str">
        <f>'RAW DATA 2023'!B47</f>
        <v>Petchburi5</v>
      </c>
      <c r="B54" s="63" t="str">
        <f>'RAW DATA 2023'!D47</f>
        <v>B1-125-0008</v>
      </c>
      <c r="C54" s="63" t="str">
        <f t="shared" si="0"/>
        <v>Petchburi5B1-125-0008</v>
      </c>
      <c r="D54" s="68">
        <f>VLOOKUP(C54,'RAW DATA 2023'!E:BP,63,0)</f>
        <v>6</v>
      </c>
      <c r="E54" s="68" t="str">
        <f t="shared" si="1"/>
        <v>Petchburi56</v>
      </c>
      <c r="F54" s="63" t="str">
        <f>VLOOKUP(C54,'RAW DATA 2023'!E:BO,5,0)</f>
        <v>Outdoor</v>
      </c>
      <c r="G54" s="63">
        <f>VLOOKUP(C54,'RAW DATA 2023'!E:BO,13,0)</f>
        <v>174</v>
      </c>
      <c r="H54" s="63">
        <f t="shared" si="8"/>
        <v>180</v>
      </c>
      <c r="I54" s="63">
        <f t="shared" si="3"/>
        <v>10.247</v>
      </c>
      <c r="J54" s="106">
        <f>VLOOKUP(C54,'RAW DATA 2023'!E:BO,22,0)</f>
        <v>13.083980000000002</v>
      </c>
      <c r="K54" s="70">
        <f t="shared" si="4"/>
        <v>1.2768595686542406</v>
      </c>
      <c r="L54" s="72">
        <f t="shared" si="5"/>
        <v>13.083980000000002</v>
      </c>
      <c r="M54" s="109">
        <f t="shared" si="7"/>
        <v>10.358127582056541</v>
      </c>
      <c r="N54" s="123" t="str">
        <f>VLOOKUP(C54,'RAW DATA 2023'!E:BO,36,0)</f>
        <v>Normal</v>
      </c>
      <c r="O54" s="63">
        <f>VLOOKUP(C54,'RAW DATA 2023'!E:BO,2,0)</f>
        <v>1.5</v>
      </c>
      <c r="P54" s="322">
        <f t="shared" si="6"/>
        <v>15.537191373084813</v>
      </c>
    </row>
    <row r="55" spans="1:16">
      <c r="A55" s="63" t="str">
        <f>'RAW DATA 2023'!B48</f>
        <v>Petchburi5</v>
      </c>
      <c r="B55" s="63" t="str">
        <f>'RAW DATA 2023'!D48</f>
        <v>B1-126-0008</v>
      </c>
      <c r="C55" s="63" t="str">
        <f t="shared" si="0"/>
        <v>Petchburi5B1-126-0008</v>
      </c>
      <c r="D55" s="68">
        <f>VLOOKUP(C55,'RAW DATA 2023'!E:BP,63,0)</f>
        <v>6</v>
      </c>
      <c r="E55" s="68" t="str">
        <f t="shared" si="1"/>
        <v>Petchburi56</v>
      </c>
      <c r="F55" s="63" t="str">
        <f>VLOOKUP(C55,'RAW DATA 2023'!E:BO,5,0)</f>
        <v>Outdoor</v>
      </c>
      <c r="G55" s="63">
        <f>VLOOKUP(C55,'RAW DATA 2023'!E:BO,13,0)</f>
        <v>231</v>
      </c>
      <c r="H55" s="63">
        <f t="shared" si="8"/>
        <v>200</v>
      </c>
      <c r="I55" s="63">
        <f t="shared" si="3"/>
        <v>11.259</v>
      </c>
      <c r="J55" s="106">
        <f>VLOOKUP(C55,'RAW DATA 2023'!E:BO,22,0)</f>
        <v>18.21078</v>
      </c>
      <c r="K55" s="70">
        <f t="shared" si="4"/>
        <v>1.6174420463629096</v>
      </c>
      <c r="L55" s="72">
        <f t="shared" si="5"/>
        <v>18.21078</v>
      </c>
      <c r="M55" s="109">
        <f t="shared" si="7"/>
        <v>14.899227284838794</v>
      </c>
      <c r="N55" s="123" t="str">
        <f>VLOOKUP(C55,'RAW DATA 2023'!E:BO,36,0)</f>
        <v>Normal</v>
      </c>
      <c r="O55" s="63">
        <f>VLOOKUP(C55,'RAW DATA 2023'!E:BO,2,0)</f>
        <v>1.5</v>
      </c>
      <c r="P55" s="322">
        <f t="shared" si="6"/>
        <v>22.348840927258191</v>
      </c>
    </row>
    <row r="56" spans="1:16">
      <c r="A56" s="63" t="str">
        <f>'RAW DATA 2023'!B49</f>
        <v>Petchburi5</v>
      </c>
      <c r="B56" s="63" t="str">
        <f>'RAW DATA 2023'!D49</f>
        <v>B1-115-0008</v>
      </c>
      <c r="C56" s="63" t="str">
        <f t="shared" si="0"/>
        <v>Petchburi5B1-115-0008</v>
      </c>
      <c r="D56" s="68">
        <f>VLOOKUP(C56,'RAW DATA 2023'!E:BP,63,0)</f>
        <v>9</v>
      </c>
      <c r="E56" s="68" t="str">
        <f t="shared" si="1"/>
        <v>Petchburi59</v>
      </c>
      <c r="F56" s="63" t="str">
        <f>VLOOKUP(C56,'RAW DATA 2023'!E:BO,5,0)</f>
        <v>Outdoor</v>
      </c>
      <c r="G56" s="63">
        <f>VLOOKUP(C56,'RAW DATA 2023'!E:BO,13,0)</f>
        <v>308</v>
      </c>
      <c r="H56" s="63">
        <f t="shared" si="8"/>
        <v>200</v>
      </c>
      <c r="I56" s="63">
        <f t="shared" si="3"/>
        <v>11.259</v>
      </c>
      <c r="J56" s="106">
        <f>VLOOKUP(C56,'RAW DATA 2023'!E:BO,22,0)</f>
        <v>18.812399014778325</v>
      </c>
      <c r="K56" s="70">
        <f t="shared" si="4"/>
        <v>1.6708765445224554</v>
      </c>
      <c r="L56" s="72">
        <f t="shared" si="5"/>
        <v>18.812399014778325</v>
      </c>
      <c r="M56" s="109">
        <f t="shared" si="7"/>
        <v>15.611687260299405</v>
      </c>
      <c r="N56" s="123" t="str">
        <f>VLOOKUP(C56,'RAW DATA 2023'!E:BO,36,0)</f>
        <v>Normal</v>
      </c>
      <c r="O56" s="63">
        <f>VLOOKUP(C56,'RAW DATA 2023'!E:BO,2,0)</f>
        <v>2.0299999999999998</v>
      </c>
      <c r="P56" s="322">
        <f t="shared" si="6"/>
        <v>31.69172513840779</v>
      </c>
    </row>
    <row r="57" spans="1:16">
      <c r="A57" s="63" t="str">
        <f>'RAW DATA 2023'!B50</f>
        <v>Petchburi5</v>
      </c>
      <c r="B57" s="63" t="str">
        <f>'RAW DATA 2023'!D50</f>
        <v>B1-125-0007</v>
      </c>
      <c r="C57" s="63" t="str">
        <f t="shared" si="0"/>
        <v>Petchburi5B1-125-0007</v>
      </c>
      <c r="D57" s="68">
        <f>VLOOKUP(C57,'RAW DATA 2023'!E:BP,63,0)</f>
        <v>2</v>
      </c>
      <c r="E57" s="68" t="str">
        <f t="shared" si="1"/>
        <v>Petchburi52</v>
      </c>
      <c r="F57" s="63" t="str">
        <f>VLOOKUP(C57,'RAW DATA 2023'!E:BO,5,0)</f>
        <v>Outdoor</v>
      </c>
      <c r="G57" s="63">
        <f>VLOOKUP(C57,'RAW DATA 2023'!E:BO,13,0)</f>
        <v>167</v>
      </c>
      <c r="H57" s="63">
        <f t="shared" si="8"/>
        <v>180</v>
      </c>
      <c r="I57" s="63">
        <f t="shared" si="3"/>
        <v>10.247</v>
      </c>
      <c r="J57" s="106">
        <f>VLOOKUP(C57,'RAW DATA 2023'!E:BO,22,0)</f>
        <v>10.67226</v>
      </c>
      <c r="K57" s="70">
        <f t="shared" si="4"/>
        <v>1.0415009271006148</v>
      </c>
      <c r="L57" s="72">
        <f t="shared" si="5"/>
        <v>10.67226</v>
      </c>
      <c r="M57" s="109">
        <f t="shared" si="7"/>
        <v>7.2200123613415315</v>
      </c>
      <c r="N57" s="123" t="str">
        <f>VLOOKUP(C57,'RAW DATA 2023'!E:BO,36,0)</f>
        <v>Normal</v>
      </c>
      <c r="O57" s="63">
        <f>VLOOKUP(C57,'RAW DATA 2023'!E:BO,2,0)</f>
        <v>1.5</v>
      </c>
      <c r="P57" s="322">
        <f t="shared" si="6"/>
        <v>10.830018542012297</v>
      </c>
    </row>
    <row r="58" spans="1:16">
      <c r="A58" s="63" t="str">
        <f>'RAW DATA 2023'!B51</f>
        <v>Petchburi5</v>
      </c>
      <c r="B58" s="63" t="str">
        <f>'RAW DATA 2023'!D51</f>
        <v>B1-127-0007</v>
      </c>
      <c r="C58" s="63" t="str">
        <f t="shared" si="0"/>
        <v>Petchburi5B1-127-0007</v>
      </c>
      <c r="D58" s="68">
        <f>VLOOKUP(C58,'RAW DATA 2023'!E:BP,63,0)</f>
        <v>1</v>
      </c>
      <c r="E58" s="68" t="str">
        <f t="shared" si="1"/>
        <v>Petchburi51</v>
      </c>
      <c r="F58" s="63" t="str">
        <f>VLOOKUP(C58,'RAW DATA 2023'!E:BO,5,0)</f>
        <v>Outdoor</v>
      </c>
      <c r="G58" s="63">
        <f>VLOOKUP(C58,'RAW DATA 2023'!E:BO,13,0)</f>
        <v>104</v>
      </c>
      <c r="H58" s="63">
        <f t="shared" si="8"/>
        <v>100</v>
      </c>
      <c r="I58" s="63">
        <f t="shared" si="3"/>
        <v>6.806</v>
      </c>
      <c r="J58" s="106">
        <f>VLOOKUP(C58,'RAW DATA 2023'!E:BO,22,0)</f>
        <v>8.6354400000000009</v>
      </c>
      <c r="K58" s="70">
        <f t="shared" si="4"/>
        <v>1.2687981193064943</v>
      </c>
      <c r="L58" s="72">
        <f t="shared" si="5"/>
        <v>8.6354400000000009</v>
      </c>
      <c r="M58" s="109">
        <f t="shared" si="7"/>
        <v>10.250641590753258</v>
      </c>
      <c r="N58" s="123" t="str">
        <f>VLOOKUP(C58,'RAW DATA 2023'!E:BO,36,0)</f>
        <v>Normal</v>
      </c>
      <c r="O58" s="63">
        <f>VLOOKUP(C58,'RAW DATA 2023'!E:BO,2,0)</f>
        <v>1.5</v>
      </c>
      <c r="P58" s="322">
        <f t="shared" si="6"/>
        <v>15.375962386129887</v>
      </c>
    </row>
    <row r="59" spans="1:16">
      <c r="A59" s="63" t="str">
        <f>'RAW DATA 2023'!B52</f>
        <v>Petchburi5</v>
      </c>
      <c r="B59" s="63" t="str">
        <f>'RAW DATA 2023'!D52</f>
        <v>B1-127-0008</v>
      </c>
      <c r="C59" s="63" t="str">
        <f t="shared" si="0"/>
        <v>Petchburi5B1-127-0008</v>
      </c>
      <c r="D59" s="68">
        <f>VLOOKUP(C59,'RAW DATA 2023'!E:BP,63,0)</f>
        <v>5</v>
      </c>
      <c r="E59" s="68" t="str">
        <f t="shared" si="1"/>
        <v>Petchburi55</v>
      </c>
      <c r="F59" s="63" t="str">
        <f>VLOOKUP(C59,'RAW DATA 2023'!E:BO,5,0)</f>
        <v>Outdoor</v>
      </c>
      <c r="G59" s="63">
        <f>VLOOKUP(C59,'RAW DATA 2023'!E:BO,13,0)</f>
        <v>150</v>
      </c>
      <c r="H59" s="63">
        <f t="shared" si="8"/>
        <v>150</v>
      </c>
      <c r="I59" s="63">
        <f t="shared" si="3"/>
        <v>9.1999999999999993</v>
      </c>
      <c r="J59" s="106">
        <f>VLOOKUP(C59,'RAW DATA 2023'!E:BO,22,0)</f>
        <v>12.938273333333333</v>
      </c>
      <c r="K59" s="70">
        <f t="shared" si="4"/>
        <v>1.4063340579710146</v>
      </c>
      <c r="L59" s="72">
        <f t="shared" si="5"/>
        <v>12.938273333333333</v>
      </c>
      <c r="M59" s="109">
        <f t="shared" si="7"/>
        <v>12.084454106280196</v>
      </c>
      <c r="N59" s="123" t="str">
        <f>VLOOKUP(C59,'RAW DATA 2023'!E:BO,36,0)</f>
        <v>Normal</v>
      </c>
      <c r="O59" s="63">
        <f>VLOOKUP(C59,'RAW DATA 2023'!E:BO,2,0)</f>
        <v>1.5</v>
      </c>
      <c r="P59" s="322">
        <f t="shared" si="6"/>
        <v>18.126681159420293</v>
      </c>
    </row>
    <row r="60" spans="1:16">
      <c r="A60" s="63" t="str">
        <f>'RAW DATA 2023'!B53</f>
        <v>Petchburi5</v>
      </c>
      <c r="B60" s="63" t="str">
        <f>'RAW DATA 2023'!D53</f>
        <v>B1-116-0006</v>
      </c>
      <c r="C60" s="63" t="str">
        <f t="shared" si="0"/>
        <v>Petchburi5B1-116-0006</v>
      </c>
      <c r="D60" s="68">
        <f>VLOOKUP(C60,'RAW DATA 2023'!E:BP,63,0)</f>
        <v>4</v>
      </c>
      <c r="E60" s="68" t="str">
        <f t="shared" si="1"/>
        <v>Petchburi54</v>
      </c>
      <c r="F60" s="63" t="str">
        <f>VLOOKUP(C60,'RAW DATA 2023'!E:BO,5,0)</f>
        <v>Outdoor</v>
      </c>
      <c r="G60" s="63">
        <f>VLOOKUP(C60,'RAW DATA 2023'!E:BO,13,0)</f>
        <v>188</v>
      </c>
      <c r="H60" s="63">
        <f t="shared" si="8"/>
        <v>180</v>
      </c>
      <c r="I60" s="63">
        <f t="shared" si="3"/>
        <v>10.247</v>
      </c>
      <c r="J60" s="106">
        <f>VLOOKUP(C60,'RAW DATA 2023'!E:BO,22,0)</f>
        <v>17.090070270270271</v>
      </c>
      <c r="K60" s="70">
        <f t="shared" si="4"/>
        <v>1.6678120689245897</v>
      </c>
      <c r="L60" s="72">
        <f t="shared" si="5"/>
        <v>17.090070270270271</v>
      </c>
      <c r="M60" s="109">
        <f t="shared" si="7"/>
        <v>15.570827585661196</v>
      </c>
      <c r="N60" s="123" t="str">
        <f>VLOOKUP(C60,'RAW DATA 2023'!E:BO,36,0)</f>
        <v>Normal</v>
      </c>
      <c r="O60" s="63">
        <f>VLOOKUP(C60,'RAW DATA 2023'!E:BO,2,0)</f>
        <v>1.85</v>
      </c>
      <c r="P60" s="322">
        <f t="shared" si="6"/>
        <v>28.806031033473214</v>
      </c>
    </row>
    <row r="61" spans="1:16">
      <c r="A61" s="63" t="str">
        <f>'RAW DATA 2023'!B54</f>
        <v>Petchburi5</v>
      </c>
      <c r="B61" s="63" t="str">
        <f>'RAW DATA 2023'!D54</f>
        <v>B1-115-0007</v>
      </c>
      <c r="C61" s="63" t="str">
        <f t="shared" si="0"/>
        <v>Petchburi5B1-115-0007</v>
      </c>
      <c r="D61" s="68">
        <f>VLOOKUP(C61,'RAW DATA 2023'!E:BP,63,0)</f>
        <v>4</v>
      </c>
      <c r="E61" s="68" t="str">
        <f t="shared" si="1"/>
        <v>Petchburi54</v>
      </c>
      <c r="F61" s="63" t="str">
        <f>VLOOKUP(C61,'RAW DATA 2023'!E:BO,5,0)</f>
        <v>Outdoor</v>
      </c>
      <c r="G61" s="63">
        <f>VLOOKUP(C61,'RAW DATA 2023'!E:BO,13,0)</f>
        <v>154</v>
      </c>
      <c r="H61" s="63">
        <f t="shared" si="8"/>
        <v>150</v>
      </c>
      <c r="I61" s="63">
        <f t="shared" si="3"/>
        <v>9.1999999999999993</v>
      </c>
      <c r="J61" s="106">
        <f>VLOOKUP(C61,'RAW DATA 2023'!E:BO,22,0)</f>
        <v>13.288310344827588</v>
      </c>
      <c r="K61" s="70">
        <f t="shared" si="4"/>
        <v>1.4443815592203901</v>
      </c>
      <c r="L61" s="72">
        <f t="shared" si="5"/>
        <v>13.288310344827588</v>
      </c>
      <c r="M61" s="109">
        <f t="shared" si="7"/>
        <v>12.591754122938536</v>
      </c>
      <c r="N61" s="123" t="str">
        <f>VLOOKUP(C61,'RAW DATA 2023'!E:BO,36,0)</f>
        <v>Normal</v>
      </c>
      <c r="O61" s="63">
        <f>VLOOKUP(C61,'RAW DATA 2023'!E:BO,2,0)</f>
        <v>2.0299999999999998</v>
      </c>
      <c r="P61" s="322">
        <f t="shared" si="6"/>
        <v>25.561260869565224</v>
      </c>
    </row>
    <row r="62" spans="1:16">
      <c r="A62" s="63" t="str">
        <f>'RAW DATA 2023'!B55</f>
        <v>Petchburi5</v>
      </c>
      <c r="B62" s="63" t="str">
        <f>'RAW DATA 2023'!D55</f>
        <v>B1-124-0007</v>
      </c>
      <c r="C62" s="63" t="str">
        <f t="shared" si="0"/>
        <v>Petchburi5B1-124-0007</v>
      </c>
      <c r="D62" s="68">
        <f>VLOOKUP(C62,'RAW DATA 2023'!E:BP,63,0)</f>
        <v>3</v>
      </c>
      <c r="E62" s="68" t="str">
        <f t="shared" si="1"/>
        <v>Petchburi53</v>
      </c>
      <c r="F62" s="63" t="str">
        <f>VLOOKUP(C62,'RAW DATA 2023'!E:BO,5,0)</f>
        <v>Outdoor</v>
      </c>
      <c r="G62" s="63">
        <f>VLOOKUP(C62,'RAW DATA 2023'!E:BO,13,0)</f>
        <v>125</v>
      </c>
      <c r="H62" s="63">
        <f t="shared" si="8"/>
        <v>100</v>
      </c>
      <c r="I62" s="63">
        <f t="shared" si="3"/>
        <v>6.806</v>
      </c>
      <c r="J62" s="106">
        <f>VLOOKUP(C62,'RAW DATA 2023'!E:BO,22,0)</f>
        <v>9.7495333333333338</v>
      </c>
      <c r="K62" s="70">
        <f t="shared" si="4"/>
        <v>1.4324909393672252</v>
      </c>
      <c r="L62" s="72">
        <f t="shared" si="5"/>
        <v>9.7495333333333338</v>
      </c>
      <c r="M62" s="109">
        <f t="shared" si="7"/>
        <v>12.433212524896335</v>
      </c>
      <c r="N62" s="123" t="str">
        <f>VLOOKUP(C62,'RAW DATA 2023'!E:BO,36,0)</f>
        <v>Normal</v>
      </c>
      <c r="O62" s="63">
        <f>VLOOKUP(C62,'RAW DATA 2023'!E:BO,2,0)</f>
        <v>1.5</v>
      </c>
      <c r="P62" s="322">
        <f t="shared" si="6"/>
        <v>18.649818787344504</v>
      </c>
    </row>
    <row r="63" spans="1:16">
      <c r="A63" s="63" t="str">
        <f>'RAW DATA 2023'!B56</f>
        <v>Petchburi5</v>
      </c>
      <c r="B63" s="63" t="str">
        <f>'RAW DATA 2023'!D56</f>
        <v>B1-126-0007</v>
      </c>
      <c r="C63" s="63" t="str">
        <f t="shared" si="0"/>
        <v>Petchburi5B1-126-0007</v>
      </c>
      <c r="D63" s="68">
        <f>VLOOKUP(C63,'RAW DATA 2023'!E:BP,63,0)</f>
        <v>3</v>
      </c>
      <c r="E63" s="68" t="str">
        <f t="shared" si="1"/>
        <v>Petchburi53</v>
      </c>
      <c r="F63" s="63" t="str">
        <f>VLOOKUP(C63,'RAW DATA 2023'!E:BO,5,0)</f>
        <v>Outdoor</v>
      </c>
      <c r="G63" s="63">
        <f>VLOOKUP(C63,'RAW DATA 2023'!E:BO,13,0)</f>
        <v>208</v>
      </c>
      <c r="H63" s="63">
        <f t="shared" si="8"/>
        <v>200</v>
      </c>
      <c r="I63" s="63">
        <f t="shared" si="3"/>
        <v>11.259</v>
      </c>
      <c r="J63" s="106">
        <f>VLOOKUP(C63,'RAW DATA 2023'!E:BO,22,0)</f>
        <v>11.284626666666666</v>
      </c>
      <c r="K63" s="70">
        <f t="shared" si="4"/>
        <v>1.0022761050418922</v>
      </c>
      <c r="L63" s="72">
        <f t="shared" si="5"/>
        <v>11.284626666666666</v>
      </c>
      <c r="M63" s="109">
        <f t="shared" si="7"/>
        <v>6.6970147338918968</v>
      </c>
      <c r="N63" s="123" t="str">
        <f>VLOOKUP(C63,'RAW DATA 2023'!E:BO,36,0)</f>
        <v>Normal</v>
      </c>
      <c r="O63" s="63">
        <f>VLOOKUP(C63,'RAW DATA 2023'!E:BO,2,0)</f>
        <v>1.5</v>
      </c>
      <c r="P63" s="322">
        <f t="shared" si="6"/>
        <v>10.045522100837845</v>
      </c>
    </row>
    <row r="64" spans="1:16">
      <c r="A64" s="63" t="str">
        <f>'RAW DATA 2023'!B57</f>
        <v>Petchburi5</v>
      </c>
      <c r="B64" s="63" t="str">
        <f>'RAW DATA 2023'!D57</f>
        <v>B1-115-0009</v>
      </c>
      <c r="C64" s="63" t="str">
        <f t="shared" si="0"/>
        <v>Petchburi5B1-115-0009</v>
      </c>
      <c r="D64" s="68">
        <f>VLOOKUP(C64,'RAW DATA 2023'!E:BP,63,0)</f>
        <v>12</v>
      </c>
      <c r="E64" s="68" t="str">
        <f t="shared" si="1"/>
        <v>Petchburi512</v>
      </c>
      <c r="F64" s="63" t="str">
        <f>VLOOKUP(C64,'RAW DATA 2023'!E:BO,5,0)</f>
        <v>Outdoor</v>
      </c>
      <c r="G64" s="63">
        <f>VLOOKUP(C64,'RAW DATA 2023'!E:BO,13,0)</f>
        <v>154</v>
      </c>
      <c r="H64" s="63">
        <f t="shared" si="8"/>
        <v>150</v>
      </c>
      <c r="I64" s="63">
        <f t="shared" si="3"/>
        <v>9.1999999999999993</v>
      </c>
      <c r="J64" s="106">
        <f>VLOOKUP(C64,'RAW DATA 2023'!E:BO,22,0)</f>
        <v>11.844748768472908</v>
      </c>
      <c r="K64" s="70">
        <f t="shared" si="4"/>
        <v>1.2874726922253161</v>
      </c>
      <c r="L64" s="72">
        <f t="shared" si="5"/>
        <v>11.844748768472908</v>
      </c>
      <c r="M64" s="109">
        <f t="shared" si="7"/>
        <v>10.49963589633755</v>
      </c>
      <c r="N64" s="123" t="str">
        <f>VLOOKUP(C64,'RAW DATA 2023'!E:BO,36,0)</f>
        <v>Normal</v>
      </c>
      <c r="O64" s="63">
        <f>VLOOKUP(C64,'RAW DATA 2023'!E:BO,2,0)</f>
        <v>2.0299999999999998</v>
      </c>
      <c r="P64" s="322">
        <f t="shared" si="6"/>
        <v>21.314260869565224</v>
      </c>
    </row>
    <row r="65" spans="1:16">
      <c r="A65" s="63" t="str">
        <f>'RAW DATA 2023'!B58</f>
        <v>Petchburi5</v>
      </c>
      <c r="B65" s="63" t="str">
        <f>'RAW DATA 2023'!D58</f>
        <v>B1-116-0008</v>
      </c>
      <c r="C65" s="63" t="str">
        <f t="shared" si="0"/>
        <v>Petchburi5B1-116-0008</v>
      </c>
      <c r="D65" s="68">
        <f>VLOOKUP(C65,'RAW DATA 2023'!E:BP,63,0)</f>
        <v>12</v>
      </c>
      <c r="E65" s="68" t="str">
        <f t="shared" si="1"/>
        <v>Petchburi512</v>
      </c>
      <c r="F65" s="63" t="str">
        <f>VLOOKUP(C65,'RAW DATA 2023'!E:BO,5,0)</f>
        <v>Outdoor</v>
      </c>
      <c r="G65" s="63">
        <f>VLOOKUP(C65,'RAW DATA 2023'!E:BO,13,0)</f>
        <v>169</v>
      </c>
      <c r="H65" s="63">
        <f t="shared" si="8"/>
        <v>180</v>
      </c>
      <c r="I65" s="63">
        <f t="shared" si="3"/>
        <v>10.247</v>
      </c>
      <c r="J65" s="106">
        <f>VLOOKUP(C65,'RAW DATA 2023'!E:BO,22,0)</f>
        <v>9.4034702702702688</v>
      </c>
      <c r="K65" s="70">
        <f t="shared" si="4"/>
        <v>0.91768032304774749</v>
      </c>
      <c r="L65" s="72">
        <f t="shared" si="5"/>
        <v>9.4034702702702688</v>
      </c>
      <c r="M65" s="109">
        <f t="shared" si="7"/>
        <v>5.5690709739699669</v>
      </c>
      <c r="N65" s="123" t="str">
        <f>VLOOKUP(C65,'RAW DATA 2023'!E:BO,36,0)</f>
        <v>EHP</v>
      </c>
      <c r="O65" s="63">
        <f>VLOOKUP(C65,'RAW DATA 2023'!E:BO,2,0)</f>
        <v>1.85</v>
      </c>
      <c r="P65" s="322">
        <f t="shared" si="6"/>
        <v>10.302781301844439</v>
      </c>
    </row>
    <row r="66" spans="1:16">
      <c r="A66" s="63" t="str">
        <f>'RAW DATA 2023'!B59</f>
        <v>Petchburi5</v>
      </c>
      <c r="B66" s="63" t="str">
        <f>'RAW DATA 2023'!D59</f>
        <v>AG-002-0013</v>
      </c>
      <c r="C66" s="63" t="str">
        <f t="shared" si="0"/>
        <v>Petchburi5AG-002-0013</v>
      </c>
      <c r="D66" s="68">
        <f>VLOOKUP(C66,'RAW DATA 2023'!E:BP,63,0)</f>
        <v>8</v>
      </c>
      <c r="E66" s="68" t="str">
        <f t="shared" si="1"/>
        <v>Petchburi58</v>
      </c>
      <c r="F66" s="63" t="str">
        <f>VLOOKUP(C66,'RAW DATA 2023'!E:BO,5,0)</f>
        <v>Greenhouse</v>
      </c>
      <c r="G66" s="63">
        <f>VLOOKUP(C66,'RAW DATA 2023'!E:BO,13,0)</f>
        <v>185</v>
      </c>
      <c r="H66" s="63">
        <f t="shared" si="8"/>
        <v>180</v>
      </c>
      <c r="I66" s="63">
        <f t="shared" si="3"/>
        <v>10.247</v>
      </c>
      <c r="J66" s="106">
        <f>VLOOKUP(C66,'RAW DATA 2023'!E:BO,22,0)</f>
        <v>10.219306666666666</v>
      </c>
      <c r="K66" s="70">
        <f t="shared" si="4"/>
        <v>0.99729742038320157</v>
      </c>
      <c r="L66" s="72">
        <f t="shared" si="5"/>
        <v>10.219306666666666</v>
      </c>
      <c r="M66" s="109">
        <f t="shared" si="7"/>
        <v>6.6306322717760215</v>
      </c>
      <c r="N66" s="123" t="str">
        <f>VLOOKUP(C66,'RAW DATA 2023'!E:BO,36,0)</f>
        <v>Normal</v>
      </c>
      <c r="O66" s="63">
        <f>VLOOKUP(C66,'RAW DATA 2023'!E:BO,2,0)</f>
        <v>1.5</v>
      </c>
      <c r="P66" s="322">
        <f t="shared" si="6"/>
        <v>9.9459484076640319</v>
      </c>
    </row>
    <row r="67" spans="1:16">
      <c r="A67" s="63" t="str">
        <f>'RAW DATA 2023'!B60</f>
        <v>Petchburi5</v>
      </c>
      <c r="B67" s="63" t="str">
        <f>'RAW DATA 2023'!D60</f>
        <v>AG-003-0011</v>
      </c>
      <c r="C67" s="63" t="str">
        <f t="shared" si="0"/>
        <v>Petchburi5AG-003-0011</v>
      </c>
      <c r="D67" s="68">
        <f>VLOOKUP(C67,'RAW DATA 2023'!E:BP,63,0)</f>
        <v>1</v>
      </c>
      <c r="E67" s="68" t="str">
        <f t="shared" si="1"/>
        <v>Petchburi51</v>
      </c>
      <c r="F67" s="63" t="str">
        <f>VLOOKUP(C67,'RAW DATA 2023'!E:BO,5,0)</f>
        <v>Greenhouse</v>
      </c>
      <c r="G67" s="63">
        <f>VLOOKUP(C67,'RAW DATA 2023'!E:BO,13,0)</f>
        <v>167</v>
      </c>
      <c r="H67" s="63">
        <f t="shared" si="8"/>
        <v>180</v>
      </c>
      <c r="I67" s="63">
        <f t="shared" si="3"/>
        <v>10.247</v>
      </c>
      <c r="J67" s="106">
        <f>VLOOKUP(C67,'RAW DATA 2023'!E:BO,22,0)</f>
        <v>12.104693333333335</v>
      </c>
      <c r="K67" s="70">
        <f t="shared" si="4"/>
        <v>1.1812914348915131</v>
      </c>
      <c r="L67" s="72">
        <f t="shared" si="5"/>
        <v>12.104693333333335</v>
      </c>
      <c r="M67" s="109">
        <f t="shared" si="7"/>
        <v>9.0838857985535082</v>
      </c>
      <c r="N67" s="123" t="str">
        <f>VLOOKUP(C67,'RAW DATA 2023'!E:BO,36,0)</f>
        <v>Normal</v>
      </c>
      <c r="O67" s="63">
        <f>VLOOKUP(C67,'RAW DATA 2023'!E:BO,2,0)</f>
        <v>1.5</v>
      </c>
      <c r="P67" s="322">
        <f t="shared" si="6"/>
        <v>13.625828697830261</v>
      </c>
    </row>
    <row r="68" spans="1:16">
      <c r="A68" s="63" t="str">
        <f>'RAW DATA 2023'!B61</f>
        <v>Petchburi5</v>
      </c>
      <c r="B68" s="63" t="str">
        <f>'RAW DATA 2023'!D61</f>
        <v>AG-006-0010</v>
      </c>
      <c r="C68" s="63" t="str">
        <f t="shared" si="0"/>
        <v>Petchburi5AG-006-0010</v>
      </c>
      <c r="D68" s="68">
        <f>VLOOKUP(C68,'RAW DATA 2023'!E:BP,63,0)</f>
        <v>1</v>
      </c>
      <c r="E68" s="68" t="str">
        <f t="shared" si="1"/>
        <v>Petchburi51</v>
      </c>
      <c r="F68" s="63" t="str">
        <f>VLOOKUP(C68,'RAW DATA 2023'!E:BO,5,0)</f>
        <v>Greenhouse</v>
      </c>
      <c r="G68" s="63">
        <f>VLOOKUP(C68,'RAW DATA 2023'!E:BO,13,0)</f>
        <v>200</v>
      </c>
      <c r="H68" s="63">
        <f t="shared" si="8"/>
        <v>200</v>
      </c>
      <c r="I68" s="63">
        <f t="shared" si="3"/>
        <v>11.259</v>
      </c>
      <c r="J68" s="106">
        <f>VLOOKUP(C68,'RAW DATA 2023'!E:BO,22,0)</f>
        <v>16.101566666666667</v>
      </c>
      <c r="K68" s="70">
        <f t="shared" si="4"/>
        <v>1.4301062853420967</v>
      </c>
      <c r="L68" s="72">
        <f t="shared" si="5"/>
        <v>16.101566666666667</v>
      </c>
      <c r="M68" s="109">
        <f t="shared" si="7"/>
        <v>12.401417137894624</v>
      </c>
      <c r="N68" s="123" t="str">
        <f>VLOOKUP(C68,'RAW DATA 2023'!E:BO,36,0)</f>
        <v>Normal</v>
      </c>
      <c r="O68" s="63">
        <f>VLOOKUP(C68,'RAW DATA 2023'!E:BO,2,0)</f>
        <v>1.5</v>
      </c>
      <c r="P68" s="322">
        <f t="shared" si="6"/>
        <v>18.602125706841935</v>
      </c>
    </row>
    <row r="69" spans="1:16">
      <c r="A69" s="63" t="str">
        <f>'RAW DATA 2023'!B62</f>
        <v>Petchburi5</v>
      </c>
      <c r="B69" s="63" t="str">
        <f>'RAW DATA 2023'!D62</f>
        <v>AG-006-0012</v>
      </c>
      <c r="C69" s="63" t="str">
        <f t="shared" si="0"/>
        <v>Petchburi5AG-006-0012</v>
      </c>
      <c r="D69" s="68">
        <f>VLOOKUP(C69,'RAW DATA 2023'!E:BP,63,0)</f>
        <v>10</v>
      </c>
      <c r="E69" s="68" t="str">
        <f t="shared" si="1"/>
        <v>Petchburi510</v>
      </c>
      <c r="F69" s="63" t="str">
        <f>VLOOKUP(C69,'RAW DATA 2023'!E:BO,5,0)</f>
        <v>Greenhouse</v>
      </c>
      <c r="G69" s="63">
        <f>VLOOKUP(C69,'RAW DATA 2023'!E:BO,13,0)</f>
        <v>231</v>
      </c>
      <c r="H69" s="63">
        <f t="shared" si="8"/>
        <v>200</v>
      </c>
      <c r="I69" s="63">
        <f t="shared" si="3"/>
        <v>11.259</v>
      </c>
      <c r="J69" s="106">
        <f>VLOOKUP(C69,'RAW DATA 2023'!E:BO,22,0)</f>
        <v>12.897513333333334</v>
      </c>
      <c r="K69" s="70">
        <f t="shared" si="4"/>
        <v>1.1455292062646181</v>
      </c>
      <c r="L69" s="72">
        <f t="shared" si="5"/>
        <v>12.897513333333334</v>
      </c>
      <c r="M69" s="109">
        <f t="shared" si="7"/>
        <v>8.6070560835282421</v>
      </c>
      <c r="N69" s="123" t="str">
        <f>VLOOKUP(C69,'RAW DATA 2023'!E:BO,36,0)</f>
        <v>Normal</v>
      </c>
      <c r="O69" s="63">
        <f>VLOOKUP(C69,'RAW DATA 2023'!E:BO,2,0)</f>
        <v>1.5</v>
      </c>
      <c r="P69" s="322">
        <f t="shared" si="6"/>
        <v>12.910584125292363</v>
      </c>
    </row>
    <row r="70" spans="1:16">
      <c r="A70" s="63" t="str">
        <f>'RAW DATA 2023'!B63</f>
        <v>Petchburi5</v>
      </c>
      <c r="B70" s="63" t="str">
        <f>'RAW DATA 2023'!D63</f>
        <v>AG-001-0013</v>
      </c>
      <c r="C70" s="63" t="str">
        <f t="shared" si="0"/>
        <v>Petchburi5AG-001-0013</v>
      </c>
      <c r="D70" s="68">
        <f>VLOOKUP(C70,'RAW DATA 2023'!E:BP,63,0)</f>
        <v>6</v>
      </c>
      <c r="E70" s="68" t="str">
        <f t="shared" si="1"/>
        <v>Petchburi56</v>
      </c>
      <c r="F70" s="63" t="str">
        <f>VLOOKUP(C70,'RAW DATA 2023'!E:BO,5,0)</f>
        <v>Greenhouse</v>
      </c>
      <c r="G70" s="63">
        <f>VLOOKUP(C70,'RAW DATA 2023'!E:BO,13,0)</f>
        <v>185</v>
      </c>
      <c r="H70" s="63">
        <f t="shared" si="8"/>
        <v>180</v>
      </c>
      <c r="I70" s="63">
        <f t="shared" si="3"/>
        <v>10.247</v>
      </c>
      <c r="J70" s="106">
        <f>VLOOKUP(C70,'RAW DATA 2023'!E:BO,22,0)</f>
        <v>6.5484133333333334</v>
      </c>
      <c r="K70" s="70">
        <f t="shared" si="4"/>
        <v>0.63905663446211902</v>
      </c>
      <c r="L70" s="72">
        <f t="shared" si="5"/>
        <v>6.5484133333333334</v>
      </c>
      <c r="M70" s="109">
        <f t="shared" si="7"/>
        <v>1.8540884594949203</v>
      </c>
      <c r="N70" s="123" t="str">
        <f>VLOOKUP(C70,'RAW DATA 2023'!E:BO,36,0)</f>
        <v>ทยอยตาย</v>
      </c>
      <c r="O70" s="63">
        <f>VLOOKUP(C70,'RAW DATA 2023'!E:BO,2,0)</f>
        <v>1.5</v>
      </c>
      <c r="P70" s="322">
        <f t="shared" si="6"/>
        <v>2.7811326892423804</v>
      </c>
    </row>
    <row r="71" spans="1:16">
      <c r="A71" s="63" t="str">
        <f>'RAW DATA 2023'!B64</f>
        <v>Petchburi5</v>
      </c>
      <c r="B71" s="63" t="str">
        <f>'RAW DATA 2023'!D64</f>
        <v>AG-001-0014</v>
      </c>
      <c r="C71" s="63" t="str">
        <f t="shared" si="0"/>
        <v>Petchburi5AG-001-0014</v>
      </c>
      <c r="D71" s="68">
        <f>VLOOKUP(C71,'RAW DATA 2023'!E:BP,63,0)</f>
        <v>11</v>
      </c>
      <c r="E71" s="68" t="str">
        <f t="shared" si="1"/>
        <v>Petchburi511</v>
      </c>
      <c r="F71" s="63" t="str">
        <f>VLOOKUP(C71,'RAW DATA 2023'!E:BO,5,0)</f>
        <v>Greenhouse</v>
      </c>
      <c r="G71" s="63">
        <f>VLOOKUP(C71,'RAW DATA 2023'!E:BO,13,0)</f>
        <v>185</v>
      </c>
      <c r="H71" s="63">
        <f t="shared" si="8"/>
        <v>180</v>
      </c>
      <c r="I71" s="63">
        <f t="shared" si="3"/>
        <v>10.247</v>
      </c>
      <c r="J71" s="106">
        <f>VLOOKUP(C71,'RAW DATA 2023'!E:BO,22,0)</f>
        <v>14.252193333333333</v>
      </c>
      <c r="K71" s="70">
        <f t="shared" si="4"/>
        <v>1.3908649686086985</v>
      </c>
      <c r="L71" s="72">
        <f t="shared" si="5"/>
        <v>14.252193333333333</v>
      </c>
      <c r="M71" s="109">
        <f t="shared" si="7"/>
        <v>11.878199581449314</v>
      </c>
      <c r="N71" s="123" t="str">
        <f>VLOOKUP(C71,'RAW DATA 2023'!E:BO,36,0)</f>
        <v>Normal</v>
      </c>
      <c r="O71" s="63">
        <f>VLOOKUP(C71,'RAW DATA 2023'!E:BO,2,0)</f>
        <v>1.5</v>
      </c>
      <c r="P71" s="322">
        <f t="shared" si="6"/>
        <v>17.81729937217397</v>
      </c>
    </row>
    <row r="72" spans="1:16">
      <c r="A72" s="63" t="str">
        <f>'RAW DATA 2023'!B65</f>
        <v>Petchburi5</v>
      </c>
      <c r="B72" s="63" t="str">
        <f>'RAW DATA 2023'!D65</f>
        <v>AG-004-0012</v>
      </c>
      <c r="C72" s="63" t="str">
        <f t="shared" si="0"/>
        <v>Petchburi5AG-004-0012</v>
      </c>
      <c r="D72" s="68">
        <f>VLOOKUP(C72,'RAW DATA 2023'!E:BP,63,0)</f>
        <v>10</v>
      </c>
      <c r="E72" s="68" t="str">
        <f t="shared" si="1"/>
        <v>Petchburi510</v>
      </c>
      <c r="F72" s="63" t="str">
        <f>VLOOKUP(C72,'RAW DATA 2023'!E:BO,5,0)</f>
        <v>Greenhouse</v>
      </c>
      <c r="G72" s="63">
        <f>VLOOKUP(C72,'RAW DATA 2023'!E:BO,13,0)</f>
        <v>231</v>
      </c>
      <c r="H72" s="63">
        <f t="shared" si="8"/>
        <v>200</v>
      </c>
      <c r="I72" s="63">
        <f t="shared" si="3"/>
        <v>11.259</v>
      </c>
      <c r="J72" s="106">
        <f>VLOOKUP(C72,'RAW DATA 2023'!E:BO,22,0)</f>
        <v>12.276633333333335</v>
      </c>
      <c r="K72" s="70">
        <f t="shared" si="4"/>
        <v>1.0903839891050124</v>
      </c>
      <c r="L72" s="72">
        <f t="shared" si="5"/>
        <v>12.276633333333335</v>
      </c>
      <c r="M72" s="109">
        <f t="shared" si="7"/>
        <v>7.8717865214001659</v>
      </c>
      <c r="N72" s="123" t="str">
        <f>VLOOKUP(C72,'RAW DATA 2023'!E:BO,36,0)</f>
        <v>Normal</v>
      </c>
      <c r="O72" s="63">
        <f>VLOOKUP(C72,'RAW DATA 2023'!E:BO,2,0)</f>
        <v>1.5</v>
      </c>
      <c r="P72" s="322">
        <f t="shared" si="6"/>
        <v>11.807679782100248</v>
      </c>
    </row>
    <row r="73" spans="1:16">
      <c r="A73" s="63" t="str">
        <f>'RAW DATA 2023'!B66</f>
        <v>Petchburi5</v>
      </c>
      <c r="B73" s="63" t="str">
        <f>'RAW DATA 2023'!D66</f>
        <v>AG-001-0012</v>
      </c>
      <c r="C73" s="63" t="str">
        <f t="shared" si="0"/>
        <v>Petchburi5AG-001-0012</v>
      </c>
      <c r="D73" s="68">
        <f>VLOOKUP(C73,'RAW DATA 2023'!E:BP,63,0)</f>
        <v>3</v>
      </c>
      <c r="E73" s="68" t="str">
        <f t="shared" si="1"/>
        <v>Petchburi53</v>
      </c>
      <c r="F73" s="63" t="str">
        <f>VLOOKUP(C73,'RAW DATA 2023'!E:BO,5,0)</f>
        <v>Greenhouse</v>
      </c>
      <c r="G73" s="63">
        <f>VLOOKUP(C73,'RAW DATA 2023'!E:BO,13,0)</f>
        <v>167</v>
      </c>
      <c r="H73" s="63">
        <f t="shared" si="8"/>
        <v>180</v>
      </c>
      <c r="I73" s="63">
        <f t="shared" si="3"/>
        <v>10.247</v>
      </c>
      <c r="J73" s="106">
        <f>VLOOKUP(C73,'RAW DATA 2023'!E:BO,22,0)</f>
        <v>12.677373333333335</v>
      </c>
      <c r="K73" s="70">
        <f t="shared" si="4"/>
        <v>1.2371790117432746</v>
      </c>
      <c r="L73" s="72">
        <f t="shared" si="5"/>
        <v>12.677373333333335</v>
      </c>
      <c r="M73" s="109">
        <f t="shared" si="7"/>
        <v>9.8290534899103292</v>
      </c>
      <c r="N73" s="123" t="str">
        <f>VLOOKUP(C73,'RAW DATA 2023'!E:BO,36,0)</f>
        <v>Normal</v>
      </c>
      <c r="O73" s="63">
        <f>VLOOKUP(C73,'RAW DATA 2023'!E:BO,2,0)</f>
        <v>1.5</v>
      </c>
      <c r="P73" s="322">
        <f t="shared" si="6"/>
        <v>14.743580234865494</v>
      </c>
    </row>
    <row r="74" spans="1:16">
      <c r="A74" s="63" t="str">
        <f>'RAW DATA 2023'!B67</f>
        <v>Petchburi5</v>
      </c>
      <c r="B74" s="63" t="str">
        <f>'RAW DATA 2023'!D67</f>
        <v>AG-003-0012</v>
      </c>
      <c r="C74" s="63" t="str">
        <f t="shared" ref="C74:C137" si="9">A74&amp;B74</f>
        <v>Petchburi5AG-003-0012</v>
      </c>
      <c r="D74" s="68">
        <f>VLOOKUP(C74,'RAW DATA 2023'!E:BP,63,0)</f>
        <v>6</v>
      </c>
      <c r="E74" s="68" t="str">
        <f t="shared" ref="E74:E137" si="10">A74&amp;D74</f>
        <v>Petchburi56</v>
      </c>
      <c r="F74" s="63" t="str">
        <f>VLOOKUP(C74,'RAW DATA 2023'!E:BO,5,0)</f>
        <v>Greenhouse</v>
      </c>
      <c r="G74" s="63">
        <f>VLOOKUP(C74,'RAW DATA 2023'!E:BO,13,0)</f>
        <v>167</v>
      </c>
      <c r="H74" s="63">
        <f t="shared" si="8"/>
        <v>180</v>
      </c>
      <c r="I74" s="63">
        <f t="shared" ref="I74:I137" si="11">IF(F74=$W$1,VLOOKUP(H74,Y:Z,2,0),VLOOKUP(H74,AF:AG,2,0))</f>
        <v>10.247</v>
      </c>
      <c r="J74" s="106">
        <f>VLOOKUP(C74,'RAW DATA 2023'!E:BO,22,0)</f>
        <v>14.17966</v>
      </c>
      <c r="K74" s="70">
        <f t="shared" si="4"/>
        <v>1.3837864740899777</v>
      </c>
      <c r="L74" s="72">
        <f t="shared" ref="L74:L137" si="12">IF(J74=0,0,IF(F74=$B$2,J74-$B$6,IF(F74=$C$1,J74-$C$6,IF(AND(F74=$C$2,G74&lt;=$C$3),J74-$C$6,IF(AND(F74=$C$2,G74&lt;=$E$3),J74-$D$6,J74-$E$6)))))</f>
        <v>14.17966</v>
      </c>
      <c r="M74" s="109">
        <f t="shared" si="7"/>
        <v>11.783819654533037</v>
      </c>
      <c r="N74" s="123" t="str">
        <f>VLOOKUP(C74,'RAW DATA 2023'!E:BO,36,0)</f>
        <v>Normal</v>
      </c>
      <c r="O74" s="63">
        <f>VLOOKUP(C74,'RAW DATA 2023'!E:BO,2,0)</f>
        <v>1.5</v>
      </c>
      <c r="P74" s="322">
        <f t="shared" si="6"/>
        <v>17.675729481799557</v>
      </c>
    </row>
    <row r="75" spans="1:16">
      <c r="A75" s="63" t="str">
        <f>'RAW DATA 2023'!B68</f>
        <v>Petchburi5</v>
      </c>
      <c r="B75" s="63" t="str">
        <f>'RAW DATA 2023'!D68</f>
        <v>AG-005-0012</v>
      </c>
      <c r="C75" s="63" t="str">
        <f t="shared" si="9"/>
        <v>Petchburi5AG-005-0012</v>
      </c>
      <c r="D75" s="68">
        <f>VLOOKUP(C75,'RAW DATA 2023'!E:BP,63,0)</f>
        <v>10</v>
      </c>
      <c r="E75" s="68" t="str">
        <f t="shared" si="10"/>
        <v>Petchburi510</v>
      </c>
      <c r="F75" s="63" t="str">
        <f>VLOOKUP(C75,'RAW DATA 2023'!E:BO,5,0)</f>
        <v>Greenhouse</v>
      </c>
      <c r="G75" s="63">
        <f>VLOOKUP(C75,'RAW DATA 2023'!E:BO,13,0)</f>
        <v>231</v>
      </c>
      <c r="H75" s="63">
        <f t="shared" ref="H75:H138" si="13">IF(G75&gt;190,200,IF(G75&gt;165,180,IF(G75&gt;=135,150,IF(D68&gt;=110,120,100))))</f>
        <v>200</v>
      </c>
      <c r="I75" s="63">
        <f t="shared" si="11"/>
        <v>11.259</v>
      </c>
      <c r="J75" s="106">
        <f>VLOOKUP(C75,'RAW DATA 2023'!E:BO,22,0)</f>
        <v>14.321266666666668</v>
      </c>
      <c r="K75" s="70">
        <f t="shared" ref="K75:K138" si="14">J75/I75</f>
        <v>1.2719838943659887</v>
      </c>
      <c r="L75" s="72">
        <f t="shared" si="12"/>
        <v>14.321266666666668</v>
      </c>
      <c r="M75" s="109">
        <f t="shared" si="7"/>
        <v>10.293118591546516</v>
      </c>
      <c r="N75" s="123" t="str">
        <f>VLOOKUP(C75,'RAW DATA 2023'!E:BO,36,0)</f>
        <v>Normal</v>
      </c>
      <c r="O75" s="63">
        <f>VLOOKUP(C75,'RAW DATA 2023'!E:BO,2,0)</f>
        <v>1.5</v>
      </c>
      <c r="P75" s="322">
        <f t="shared" ref="P75:P138" si="15">M75*O75</f>
        <v>15.439677887319775</v>
      </c>
    </row>
    <row r="76" spans="1:16">
      <c r="A76" s="63" t="str">
        <f>'RAW DATA 2023'!B69</f>
        <v>Petchburi5</v>
      </c>
      <c r="B76" s="63" t="str">
        <f>'RAW DATA 2023'!D69</f>
        <v>AG-003-0013</v>
      </c>
      <c r="C76" s="63" t="str">
        <f t="shared" si="9"/>
        <v>Petchburi5AG-003-0013</v>
      </c>
      <c r="D76" s="68">
        <f>VLOOKUP(C76,'RAW DATA 2023'!E:BP,63,0)</f>
        <v>10</v>
      </c>
      <c r="E76" s="68" t="str">
        <f t="shared" si="10"/>
        <v>Petchburi510</v>
      </c>
      <c r="F76" s="63" t="str">
        <f>VLOOKUP(C76,'RAW DATA 2023'!E:BO,5,0)</f>
        <v>Greenhouse</v>
      </c>
      <c r="G76" s="63">
        <f>VLOOKUP(C76,'RAW DATA 2023'!E:BO,13,0)</f>
        <v>231</v>
      </c>
      <c r="H76" s="63">
        <f t="shared" si="13"/>
        <v>200</v>
      </c>
      <c r="I76" s="63">
        <f t="shared" si="11"/>
        <v>11.259</v>
      </c>
      <c r="J76" s="106">
        <f>VLOOKUP(C76,'RAW DATA 2023'!E:BO,22,0)</f>
        <v>7.8171933333333348</v>
      </c>
      <c r="K76" s="70">
        <f t="shared" si="14"/>
        <v>0.69430618468188421</v>
      </c>
      <c r="L76" s="72">
        <f t="shared" si="12"/>
        <v>7.8171933333333348</v>
      </c>
      <c r="M76" s="109">
        <f t="shared" ref="M76:M139" si="16">(K76-$B$4)*$B$7</f>
        <v>2.5907491290917894</v>
      </c>
      <c r="N76" s="123" t="str">
        <f>VLOOKUP(C76,'RAW DATA 2023'!E:BO,36,0)</f>
        <v>Normal</v>
      </c>
      <c r="O76" s="63">
        <f>VLOOKUP(C76,'RAW DATA 2023'!E:BO,2,0)</f>
        <v>1.5</v>
      </c>
      <c r="P76" s="322">
        <f t="shared" si="15"/>
        <v>3.8861236936376842</v>
      </c>
    </row>
    <row r="77" spans="1:16">
      <c r="A77" s="63" t="str">
        <f>'RAW DATA 2023'!B70</f>
        <v>Petchburi5</v>
      </c>
      <c r="B77" s="63" t="str">
        <f>'RAW DATA 2023'!D70</f>
        <v>AG-002-0012</v>
      </c>
      <c r="C77" s="63" t="str">
        <f t="shared" si="9"/>
        <v>Petchburi5AG-002-0012</v>
      </c>
      <c r="D77" s="68">
        <f>VLOOKUP(C77,'RAW DATA 2023'!E:BP,63,0)</f>
        <v>4</v>
      </c>
      <c r="E77" s="68" t="str">
        <f t="shared" si="10"/>
        <v>Petchburi54</v>
      </c>
      <c r="F77" s="63" t="str">
        <f>VLOOKUP(C77,'RAW DATA 2023'!E:BO,5,0)</f>
        <v>Greenhouse</v>
      </c>
      <c r="G77" s="63">
        <f>VLOOKUP(C77,'RAW DATA 2023'!E:BO,13,0)</f>
        <v>167</v>
      </c>
      <c r="H77" s="63">
        <f t="shared" si="13"/>
        <v>180</v>
      </c>
      <c r="I77" s="63">
        <f t="shared" si="11"/>
        <v>10.247</v>
      </c>
      <c r="J77" s="106">
        <f>VLOOKUP(C77,'RAW DATA 2023'!E:BO,22,0)</f>
        <v>12.428493333333334</v>
      </c>
      <c r="K77" s="70">
        <f t="shared" si="14"/>
        <v>1.2128909274259134</v>
      </c>
      <c r="L77" s="72">
        <f t="shared" si="12"/>
        <v>12.428493333333334</v>
      </c>
      <c r="M77" s="109">
        <f t="shared" si="16"/>
        <v>9.5052123656788456</v>
      </c>
      <c r="N77" s="123" t="str">
        <f>VLOOKUP(C77,'RAW DATA 2023'!E:BO,36,0)</f>
        <v>Normal</v>
      </c>
      <c r="O77" s="63">
        <f>VLOOKUP(C77,'RAW DATA 2023'!E:BO,2,0)</f>
        <v>1.5</v>
      </c>
      <c r="P77" s="322">
        <f t="shared" si="15"/>
        <v>14.257818548518269</v>
      </c>
    </row>
    <row r="78" spans="1:16">
      <c r="A78" s="63" t="str">
        <f>'RAW DATA 2023'!B71</f>
        <v>Petchburi5</v>
      </c>
      <c r="B78" s="63" t="str">
        <f>'RAW DATA 2023'!D71</f>
        <v>AG-006-0011</v>
      </c>
      <c r="C78" s="63" t="str">
        <f t="shared" si="9"/>
        <v>Petchburi5AG-006-0011</v>
      </c>
      <c r="D78" s="68">
        <f>VLOOKUP(C78,'RAW DATA 2023'!E:BP,63,0)</f>
        <v>5</v>
      </c>
      <c r="E78" s="68" t="str">
        <f t="shared" si="10"/>
        <v>Petchburi55</v>
      </c>
      <c r="F78" s="63" t="str">
        <f>VLOOKUP(C78,'RAW DATA 2023'!E:BO,5,0)</f>
        <v>Greenhouse</v>
      </c>
      <c r="G78" s="63">
        <f>VLOOKUP(C78,'RAW DATA 2023'!E:BO,13,0)</f>
        <v>167</v>
      </c>
      <c r="H78" s="63">
        <f t="shared" si="13"/>
        <v>180</v>
      </c>
      <c r="I78" s="63">
        <f t="shared" si="11"/>
        <v>10.247</v>
      </c>
      <c r="J78" s="106">
        <f>VLOOKUP(C78,'RAW DATA 2023'!E:BO,22,0)</f>
        <v>13.364973333333332</v>
      </c>
      <c r="K78" s="70">
        <f t="shared" si="14"/>
        <v>1.3042815783481343</v>
      </c>
      <c r="L78" s="72">
        <f t="shared" si="12"/>
        <v>13.364973333333332</v>
      </c>
      <c r="M78" s="109">
        <f t="shared" si="16"/>
        <v>10.723754377975125</v>
      </c>
      <c r="N78" s="123" t="str">
        <f>VLOOKUP(C78,'RAW DATA 2023'!E:BO,36,0)</f>
        <v>Normal</v>
      </c>
      <c r="O78" s="63">
        <f>VLOOKUP(C78,'RAW DATA 2023'!E:BO,2,0)</f>
        <v>1.5</v>
      </c>
      <c r="P78" s="322">
        <f t="shared" si="15"/>
        <v>16.085631566962686</v>
      </c>
    </row>
    <row r="79" spans="1:16">
      <c r="A79" s="63" t="str">
        <f>'RAW DATA 2023'!B72</f>
        <v>Petchburi5</v>
      </c>
      <c r="B79" s="63" t="str">
        <f>'RAW DATA 2023'!D72</f>
        <v>AG-004-0011</v>
      </c>
      <c r="C79" s="63" t="str">
        <f t="shared" si="9"/>
        <v>Petchburi5AG-004-0011</v>
      </c>
      <c r="D79" s="68">
        <f>VLOOKUP(C79,'RAW DATA 2023'!E:BP,63,0)</f>
        <v>5</v>
      </c>
      <c r="E79" s="68" t="str">
        <f t="shared" si="10"/>
        <v>Petchburi55</v>
      </c>
      <c r="F79" s="63" t="str">
        <f>VLOOKUP(C79,'RAW DATA 2023'!E:BO,5,0)</f>
        <v>Greenhouse</v>
      </c>
      <c r="G79" s="63">
        <f>VLOOKUP(C79,'RAW DATA 2023'!E:BO,13,0)</f>
        <v>167</v>
      </c>
      <c r="H79" s="63">
        <f t="shared" si="13"/>
        <v>180</v>
      </c>
      <c r="I79" s="63">
        <f t="shared" si="11"/>
        <v>10.247</v>
      </c>
      <c r="J79" s="106">
        <f>VLOOKUP(C79,'RAW DATA 2023'!E:BO,22,0)</f>
        <v>11.570819999999999</v>
      </c>
      <c r="K79" s="70">
        <f t="shared" si="14"/>
        <v>1.1291909827266517</v>
      </c>
      <c r="L79" s="72">
        <f t="shared" si="12"/>
        <v>11.570819999999999</v>
      </c>
      <c r="M79" s="109">
        <f t="shared" si="16"/>
        <v>8.3892131030220245</v>
      </c>
      <c r="N79" s="123" t="str">
        <f>VLOOKUP(C79,'RAW DATA 2023'!E:BO,36,0)</f>
        <v>Normal</v>
      </c>
      <c r="O79" s="63">
        <f>VLOOKUP(C79,'RAW DATA 2023'!E:BO,2,0)</f>
        <v>1.5</v>
      </c>
      <c r="P79" s="322">
        <f t="shared" si="15"/>
        <v>12.583819654533038</v>
      </c>
    </row>
    <row r="80" spans="1:16">
      <c r="A80" s="63" t="str">
        <f>'RAW DATA 2023'!B73</f>
        <v>Petchburi5</v>
      </c>
      <c r="B80" s="63" t="str">
        <f>'RAW DATA 2023'!D73</f>
        <v>AG-005-0011</v>
      </c>
      <c r="C80" s="63" t="str">
        <f t="shared" si="9"/>
        <v>Petchburi5AG-005-0011</v>
      </c>
      <c r="D80" s="68">
        <f>VLOOKUP(C80,'RAW DATA 2023'!E:BP,63,0)</f>
        <v>5</v>
      </c>
      <c r="E80" s="68" t="str">
        <f t="shared" si="10"/>
        <v>Petchburi55</v>
      </c>
      <c r="F80" s="63" t="str">
        <f>VLOOKUP(C80,'RAW DATA 2023'!E:BO,5,0)</f>
        <v>Greenhouse</v>
      </c>
      <c r="G80" s="63">
        <f>VLOOKUP(C80,'RAW DATA 2023'!E:BO,13,0)</f>
        <v>167</v>
      </c>
      <c r="H80" s="63">
        <f t="shared" si="13"/>
        <v>180</v>
      </c>
      <c r="I80" s="63">
        <f t="shared" si="11"/>
        <v>10.247</v>
      </c>
      <c r="J80" s="106">
        <f>VLOOKUP(C80,'RAW DATA 2023'!E:BO,22,0)</f>
        <v>13.07582</v>
      </c>
      <c r="K80" s="70">
        <f t="shared" si="14"/>
        <v>1.2760632380208843</v>
      </c>
      <c r="L80" s="72">
        <f t="shared" si="12"/>
        <v>13.07582</v>
      </c>
      <c r="M80" s="109">
        <f t="shared" si="16"/>
        <v>10.347509840278457</v>
      </c>
      <c r="N80" s="123" t="str">
        <f>VLOOKUP(C80,'RAW DATA 2023'!E:BO,36,0)</f>
        <v>Normal</v>
      </c>
      <c r="O80" s="63">
        <f>VLOOKUP(C80,'RAW DATA 2023'!E:BO,2,0)</f>
        <v>1.5</v>
      </c>
      <c r="P80" s="322">
        <f t="shared" si="15"/>
        <v>15.521264760417687</v>
      </c>
    </row>
    <row r="81" spans="1:16">
      <c r="A81" s="63" t="str">
        <f>'RAW DATA 2023'!B74</f>
        <v>Petchburi5</v>
      </c>
      <c r="B81" s="63" t="str">
        <f>'RAW DATA 2023'!D74</f>
        <v>A1-021-0020</v>
      </c>
      <c r="C81" s="63" t="str">
        <f t="shared" si="9"/>
        <v>Petchburi5A1-021-0020</v>
      </c>
      <c r="D81" s="68">
        <f>VLOOKUP(C81,'RAW DATA 2023'!E:BP,63,0)</f>
        <v>9</v>
      </c>
      <c r="E81" s="68" t="str">
        <f t="shared" si="10"/>
        <v>Petchburi59</v>
      </c>
      <c r="F81" s="63" t="str">
        <f>VLOOKUP(C81,'RAW DATA 2023'!E:BO,5,0)</f>
        <v>Outdoor</v>
      </c>
      <c r="G81" s="63">
        <f>VLOOKUP(C81,'RAW DATA 2023'!E:BO,13,0)</f>
        <v>167</v>
      </c>
      <c r="H81" s="63">
        <f t="shared" si="13"/>
        <v>180</v>
      </c>
      <c r="I81" s="63">
        <f t="shared" si="11"/>
        <v>10.247</v>
      </c>
      <c r="J81" s="106">
        <f>VLOOKUP(C81,'RAW DATA 2023'!E:BO,22,0)</f>
        <v>11.693893333333333</v>
      </c>
      <c r="K81" s="70">
        <f t="shared" si="14"/>
        <v>1.1412016525161837</v>
      </c>
      <c r="L81" s="72">
        <f t="shared" si="12"/>
        <v>11.693893333333333</v>
      </c>
      <c r="M81" s="109">
        <f t="shared" si="16"/>
        <v>8.54935536688245</v>
      </c>
      <c r="N81" s="123" t="str">
        <f>VLOOKUP(C81,'RAW DATA 2023'!E:BO,36,0)</f>
        <v>Normal</v>
      </c>
      <c r="O81" s="63">
        <f>VLOOKUP(C81,'RAW DATA 2023'!E:BO,2,0)</f>
        <v>1.5</v>
      </c>
      <c r="P81" s="322">
        <f t="shared" si="15"/>
        <v>12.824033050323674</v>
      </c>
    </row>
    <row r="82" spans="1:16">
      <c r="A82" s="63" t="str">
        <f>'RAW DATA 2023'!B75</f>
        <v>Petchburi5</v>
      </c>
      <c r="B82" s="63" t="str">
        <f>'RAW DATA 2023'!D75</f>
        <v>A1-034-0008</v>
      </c>
      <c r="C82" s="63" t="str">
        <f t="shared" si="9"/>
        <v>Petchburi5A1-034-0008</v>
      </c>
      <c r="D82" s="68">
        <f>VLOOKUP(C82,'RAW DATA 2023'!E:BP,63,0)</f>
        <v>5</v>
      </c>
      <c r="E82" s="68" t="str">
        <f t="shared" si="10"/>
        <v>Petchburi55</v>
      </c>
      <c r="F82" s="63" t="str">
        <f>VLOOKUP(C82,'RAW DATA 2023'!E:BO,5,0)</f>
        <v>Outdoor</v>
      </c>
      <c r="G82" s="63">
        <f>VLOOKUP(C82,'RAW DATA 2023'!E:BO,13,0)</f>
        <v>153</v>
      </c>
      <c r="H82" s="63">
        <f t="shared" si="13"/>
        <v>150</v>
      </c>
      <c r="I82" s="63">
        <f t="shared" si="11"/>
        <v>9.1999999999999993</v>
      </c>
      <c r="J82" s="106">
        <f>VLOOKUP(C82,'RAW DATA 2023'!E:BO,22,0)</f>
        <v>15.976226666666667</v>
      </c>
      <c r="K82" s="70">
        <f t="shared" si="14"/>
        <v>1.7365463768115943</v>
      </c>
      <c r="L82" s="72">
        <f t="shared" si="12"/>
        <v>15.976226666666667</v>
      </c>
      <c r="M82" s="109">
        <f t="shared" si="16"/>
        <v>16.487285024154591</v>
      </c>
      <c r="N82" s="123" t="str">
        <f>VLOOKUP(C82,'RAW DATA 2023'!E:BO,36,0)</f>
        <v>Normal</v>
      </c>
      <c r="O82" s="63">
        <f>VLOOKUP(C82,'RAW DATA 2023'!E:BO,2,0)</f>
        <v>1.5</v>
      </c>
      <c r="P82" s="322">
        <f t="shared" si="15"/>
        <v>24.730927536231889</v>
      </c>
    </row>
    <row r="83" spans="1:16">
      <c r="A83" s="63" t="str">
        <f>'RAW DATA 2023'!B76</f>
        <v>Petchburi5</v>
      </c>
      <c r="B83" s="63" t="str">
        <f>'RAW DATA 2023'!D76</f>
        <v>A1-035-0007</v>
      </c>
      <c r="C83" s="63" t="str">
        <f t="shared" si="9"/>
        <v>Petchburi5A1-035-0007</v>
      </c>
      <c r="D83" s="68">
        <f>VLOOKUP(C83,'RAW DATA 2023'!E:BP,63,0)</f>
        <v>9</v>
      </c>
      <c r="E83" s="68" t="str">
        <f t="shared" si="10"/>
        <v>Petchburi59</v>
      </c>
      <c r="F83" s="63" t="str">
        <f>VLOOKUP(C83,'RAW DATA 2023'!E:BO,5,0)</f>
        <v>Outdoor</v>
      </c>
      <c r="G83" s="63">
        <f>VLOOKUP(C83,'RAW DATA 2023'!E:BO,13,0)</f>
        <v>194</v>
      </c>
      <c r="H83" s="63">
        <f t="shared" si="13"/>
        <v>200</v>
      </c>
      <c r="I83" s="63">
        <f t="shared" si="11"/>
        <v>11.259</v>
      </c>
      <c r="J83" s="106">
        <f>VLOOKUP(C83,'RAW DATA 2023'!E:BO,22,0)</f>
        <v>17.3657</v>
      </c>
      <c r="K83" s="70">
        <f t="shared" si="14"/>
        <v>1.5423838706812327</v>
      </c>
      <c r="L83" s="72">
        <f t="shared" si="12"/>
        <v>17.3657</v>
      </c>
      <c r="M83" s="109">
        <f t="shared" si="16"/>
        <v>13.898451609083104</v>
      </c>
      <c r="N83" s="123" t="str">
        <f>VLOOKUP(C83,'RAW DATA 2023'!E:BO,36,0)</f>
        <v>Normal</v>
      </c>
      <c r="O83" s="63">
        <f>VLOOKUP(C83,'RAW DATA 2023'!E:BO,2,0)</f>
        <v>1.5</v>
      </c>
      <c r="P83" s="322">
        <f t="shared" si="15"/>
        <v>20.847677413624655</v>
      </c>
    </row>
    <row r="84" spans="1:16">
      <c r="A84" s="63" t="str">
        <f>'RAW DATA 2023'!B77</f>
        <v>Petchburi5</v>
      </c>
      <c r="B84" s="63" t="str">
        <f>'RAW DATA 2023'!D77</f>
        <v>A1-032-0009</v>
      </c>
      <c r="C84" s="63" t="str">
        <f t="shared" si="9"/>
        <v>Petchburi5A1-032-0009</v>
      </c>
      <c r="D84" s="68">
        <f>VLOOKUP(C84,'RAW DATA 2023'!E:BP,63,0)</f>
        <v>12</v>
      </c>
      <c r="E84" s="68" t="str">
        <f t="shared" si="10"/>
        <v>Petchburi512</v>
      </c>
      <c r="F84" s="63" t="str">
        <f>VLOOKUP(C84,'RAW DATA 2023'!E:BO,5,0)</f>
        <v>Outdoor</v>
      </c>
      <c r="G84" s="63">
        <f>VLOOKUP(C84,'RAW DATA 2023'!E:BO,13,0)</f>
        <v>208</v>
      </c>
      <c r="H84" s="63">
        <f t="shared" si="13"/>
        <v>200</v>
      </c>
      <c r="I84" s="63">
        <f t="shared" si="11"/>
        <v>11.259</v>
      </c>
      <c r="J84" s="106">
        <f>VLOOKUP(C84,'RAW DATA 2023'!E:BO,22,0)</f>
        <v>19.498560000000001</v>
      </c>
      <c r="K84" s="70">
        <f t="shared" si="14"/>
        <v>1.7318198774313882</v>
      </c>
      <c r="L84" s="72">
        <f t="shared" si="12"/>
        <v>19.498560000000001</v>
      </c>
      <c r="M84" s="109">
        <f t="shared" si="16"/>
        <v>16.424265032418511</v>
      </c>
      <c r="N84" s="123" t="str">
        <f>VLOOKUP(C84,'RAW DATA 2023'!E:BO,36,0)</f>
        <v>Normal</v>
      </c>
      <c r="O84" s="63">
        <f>VLOOKUP(C84,'RAW DATA 2023'!E:BO,2,0)</f>
        <v>1.5</v>
      </c>
      <c r="P84" s="322">
        <f t="shared" si="15"/>
        <v>24.636397548627766</v>
      </c>
    </row>
    <row r="85" spans="1:16">
      <c r="A85" s="63" t="str">
        <f>'RAW DATA 2023'!B78</f>
        <v>Petchburi5</v>
      </c>
      <c r="B85" s="63" t="str">
        <f>'RAW DATA 2023'!D78</f>
        <v>A1-020-0016</v>
      </c>
      <c r="C85" s="63" t="str">
        <f t="shared" si="9"/>
        <v>Petchburi5A1-020-0016</v>
      </c>
      <c r="D85" s="68">
        <f>VLOOKUP(C85,'RAW DATA 2023'!E:BP,63,0)</f>
        <v>9</v>
      </c>
      <c r="E85" s="68" t="str">
        <f t="shared" si="10"/>
        <v>Petchburi59</v>
      </c>
      <c r="F85" s="63" t="str">
        <f>VLOOKUP(C85,'RAW DATA 2023'!E:BO,5,0)</f>
        <v>Outdoor</v>
      </c>
      <c r="G85" s="63">
        <f>VLOOKUP(C85,'RAW DATA 2023'!E:BO,13,0)</f>
        <v>167</v>
      </c>
      <c r="H85" s="63">
        <f t="shared" si="13"/>
        <v>180</v>
      </c>
      <c r="I85" s="63">
        <f t="shared" si="11"/>
        <v>10.247</v>
      </c>
      <c r="J85" s="106">
        <f>VLOOKUP(C85,'RAW DATA 2023'!E:BO,22,0)</f>
        <v>14.299446666666666</v>
      </c>
      <c r="K85" s="70">
        <f t="shared" si="14"/>
        <v>1.3954763995966299</v>
      </c>
      <c r="L85" s="72">
        <f t="shared" si="12"/>
        <v>14.299446666666666</v>
      </c>
      <c r="M85" s="109">
        <f t="shared" si="16"/>
        <v>11.939685327955067</v>
      </c>
      <c r="N85" s="123" t="str">
        <f>VLOOKUP(C85,'RAW DATA 2023'!E:BO,36,0)</f>
        <v>Normal</v>
      </c>
      <c r="O85" s="63">
        <f>VLOOKUP(C85,'RAW DATA 2023'!E:BO,2,0)</f>
        <v>1.5</v>
      </c>
      <c r="P85" s="322">
        <f t="shared" si="15"/>
        <v>17.909527991932599</v>
      </c>
    </row>
    <row r="86" spans="1:16">
      <c r="A86" s="63" t="str">
        <f>'RAW DATA 2023'!B79</f>
        <v>Petchburi5</v>
      </c>
      <c r="B86" s="63" t="str">
        <f>'RAW DATA 2023'!D79</f>
        <v>A1-033-0009</v>
      </c>
      <c r="C86" s="63" t="str">
        <f t="shared" si="9"/>
        <v>Petchburi5A1-033-0009</v>
      </c>
      <c r="D86" s="68">
        <f>VLOOKUP(C86,'RAW DATA 2023'!E:BP,63,0)</f>
        <v>7</v>
      </c>
      <c r="E86" s="68" t="str">
        <f t="shared" si="10"/>
        <v>Petchburi57</v>
      </c>
      <c r="F86" s="63" t="str">
        <f>VLOOKUP(C86,'RAW DATA 2023'!E:BO,5,0)</f>
        <v>Outdoor</v>
      </c>
      <c r="G86" s="63">
        <f>VLOOKUP(C86,'RAW DATA 2023'!E:BO,13,0)</f>
        <v>181</v>
      </c>
      <c r="H86" s="63">
        <f t="shared" si="13"/>
        <v>180</v>
      </c>
      <c r="I86" s="63">
        <f t="shared" si="11"/>
        <v>10.247</v>
      </c>
      <c r="J86" s="106">
        <f>VLOOKUP(C86,'RAW DATA 2023'!E:BO,22,0)</f>
        <v>17.384446666666665</v>
      </c>
      <c r="K86" s="70">
        <f t="shared" si="14"/>
        <v>1.6965401255652059</v>
      </c>
      <c r="L86" s="72">
        <f t="shared" si="12"/>
        <v>17.384446666666665</v>
      </c>
      <c r="M86" s="109">
        <f t="shared" si="16"/>
        <v>15.953868340869413</v>
      </c>
      <c r="N86" s="123" t="str">
        <f>VLOOKUP(C86,'RAW DATA 2023'!E:BO,36,0)</f>
        <v>Normal</v>
      </c>
      <c r="O86" s="63">
        <f>VLOOKUP(C86,'RAW DATA 2023'!E:BO,2,0)</f>
        <v>1.5</v>
      </c>
      <c r="P86" s="322">
        <f t="shared" si="15"/>
        <v>23.930802511304119</v>
      </c>
    </row>
    <row r="87" spans="1:16">
      <c r="A87" s="63" t="str">
        <f>'RAW DATA 2023'!B80</f>
        <v>Petchburi5</v>
      </c>
      <c r="B87" s="63" t="str">
        <f>'RAW DATA 2023'!D80</f>
        <v>A1-033-0010</v>
      </c>
      <c r="C87" s="63" t="str">
        <f t="shared" si="9"/>
        <v>Petchburi5A1-033-0010</v>
      </c>
      <c r="D87" s="68">
        <f>VLOOKUP(C87,'RAW DATA 2023'!E:BP,63,0)</f>
        <v>11</v>
      </c>
      <c r="E87" s="68" t="str">
        <f t="shared" si="10"/>
        <v>Petchburi511</v>
      </c>
      <c r="F87" s="63" t="str">
        <f>VLOOKUP(C87,'RAW DATA 2023'!E:BO,5,0)</f>
        <v>Outdoor</v>
      </c>
      <c r="G87" s="63">
        <f>VLOOKUP(C87,'RAW DATA 2023'!E:BO,13,0)</f>
        <v>306</v>
      </c>
      <c r="H87" s="63">
        <f t="shared" si="13"/>
        <v>200</v>
      </c>
      <c r="I87" s="63">
        <f t="shared" si="11"/>
        <v>11.259</v>
      </c>
      <c r="J87" s="106">
        <f>VLOOKUP(C87,'RAW DATA 2023'!E:BO,22,0)</f>
        <v>11.946233333333332</v>
      </c>
      <c r="K87" s="70">
        <f t="shared" si="14"/>
        <v>1.0610385765461703</v>
      </c>
      <c r="L87" s="72">
        <f t="shared" si="12"/>
        <v>11.946233333333332</v>
      </c>
      <c r="M87" s="109">
        <f t="shared" si="16"/>
        <v>7.4805143539489372</v>
      </c>
      <c r="N87" s="123" t="str">
        <f>VLOOKUP(C87,'RAW DATA 2023'!E:BO,36,0)</f>
        <v>Normal</v>
      </c>
      <c r="O87" s="63">
        <f>VLOOKUP(C87,'RAW DATA 2023'!E:BO,2,0)</f>
        <v>1.5</v>
      </c>
      <c r="P87" s="322">
        <f t="shared" si="15"/>
        <v>11.220771530923406</v>
      </c>
    </row>
    <row r="88" spans="1:16">
      <c r="A88" s="63" t="str">
        <f>'RAW DATA 2023'!B81</f>
        <v>Petchburi5</v>
      </c>
      <c r="B88" s="63" t="str">
        <f>'RAW DATA 2023'!D81</f>
        <v>A1-020-0015</v>
      </c>
      <c r="C88" s="63" t="str">
        <f t="shared" si="9"/>
        <v>Petchburi5A1-020-0015</v>
      </c>
      <c r="D88" s="68">
        <f>VLOOKUP(C88,'RAW DATA 2023'!E:BP,63,0)</f>
        <v>4</v>
      </c>
      <c r="E88" s="68" t="str">
        <f t="shared" si="10"/>
        <v>Petchburi54</v>
      </c>
      <c r="F88" s="63" t="str">
        <f>VLOOKUP(C88,'RAW DATA 2023'!E:BO,5,0)</f>
        <v>Outdoor</v>
      </c>
      <c r="G88" s="63">
        <f>VLOOKUP(C88,'RAW DATA 2023'!E:BO,13,0)</f>
        <v>167</v>
      </c>
      <c r="H88" s="63">
        <f t="shared" si="13"/>
        <v>180</v>
      </c>
      <c r="I88" s="63">
        <f t="shared" si="11"/>
        <v>10.247</v>
      </c>
      <c r="J88" s="106">
        <f>VLOOKUP(C88,'RAW DATA 2023'!E:BO,22,0)</f>
        <v>12.641353333333333</v>
      </c>
      <c r="K88" s="70">
        <f t="shared" si="14"/>
        <v>1.233663836570053</v>
      </c>
      <c r="L88" s="72">
        <f t="shared" si="12"/>
        <v>12.641353333333333</v>
      </c>
      <c r="M88" s="109">
        <f t="shared" si="16"/>
        <v>9.7821844876007074</v>
      </c>
      <c r="N88" s="123" t="str">
        <f>VLOOKUP(C88,'RAW DATA 2023'!E:BO,36,0)</f>
        <v>Normal</v>
      </c>
      <c r="O88" s="63">
        <f>VLOOKUP(C88,'RAW DATA 2023'!E:BO,2,0)</f>
        <v>1.5</v>
      </c>
      <c r="P88" s="322">
        <f t="shared" si="15"/>
        <v>14.67327673140106</v>
      </c>
    </row>
    <row r="89" spans="1:16">
      <c r="A89" s="63" t="str">
        <f>'RAW DATA 2023'!B82</f>
        <v>Petchburi5</v>
      </c>
      <c r="B89" s="63" t="str">
        <f>'RAW DATA 2023'!D82</f>
        <v>A1-032-0008</v>
      </c>
      <c r="C89" s="63" t="str">
        <f t="shared" si="9"/>
        <v>Petchburi5A1-032-0008</v>
      </c>
      <c r="D89" s="68">
        <f>VLOOKUP(C89,'RAW DATA 2023'!E:BP,63,0)</f>
        <v>7</v>
      </c>
      <c r="E89" s="68" t="str">
        <f t="shared" si="10"/>
        <v>Petchburi57</v>
      </c>
      <c r="F89" s="63" t="str">
        <f>VLOOKUP(C89,'RAW DATA 2023'!E:BO,5,0)</f>
        <v>Outdoor</v>
      </c>
      <c r="G89" s="63">
        <f>VLOOKUP(C89,'RAW DATA 2023'!E:BO,13,0)</f>
        <v>181</v>
      </c>
      <c r="H89" s="63">
        <f t="shared" si="13"/>
        <v>180</v>
      </c>
      <c r="I89" s="63">
        <f t="shared" si="11"/>
        <v>10.247</v>
      </c>
      <c r="J89" s="106">
        <f>VLOOKUP(C89,'RAW DATA 2023'!E:BO,22,0)</f>
        <v>20.371466666666667</v>
      </c>
      <c r="K89" s="70">
        <f t="shared" si="14"/>
        <v>1.9880420285612048</v>
      </c>
      <c r="L89" s="72">
        <f t="shared" si="12"/>
        <v>20.371466666666667</v>
      </c>
      <c r="M89" s="109">
        <f t="shared" si="16"/>
        <v>19.840560380816065</v>
      </c>
      <c r="N89" s="123" t="str">
        <f>VLOOKUP(C89,'RAW DATA 2023'!E:BO,36,0)</f>
        <v>Normal</v>
      </c>
      <c r="O89" s="63">
        <f>VLOOKUP(C89,'RAW DATA 2023'!E:BO,2,0)</f>
        <v>1.5</v>
      </c>
      <c r="P89" s="322">
        <f t="shared" si="15"/>
        <v>29.760840571224097</v>
      </c>
    </row>
    <row r="90" spans="1:16">
      <c r="A90" s="63" t="str">
        <f>'RAW DATA 2023'!B83</f>
        <v>Petchburi5</v>
      </c>
      <c r="B90" s="63" t="str">
        <f>'RAW DATA 2023'!D83</f>
        <v>A1-033-0008</v>
      </c>
      <c r="C90" s="63" t="str">
        <f t="shared" si="9"/>
        <v>Petchburi5A1-033-0008</v>
      </c>
      <c r="D90" s="68">
        <f>VLOOKUP(C90,'RAW DATA 2023'!E:BP,63,0)</f>
        <v>3</v>
      </c>
      <c r="E90" s="68" t="str">
        <f t="shared" si="10"/>
        <v>Petchburi53</v>
      </c>
      <c r="F90" s="63" t="str">
        <f>VLOOKUP(C90,'RAW DATA 2023'!E:BO,5,0)</f>
        <v>Outdoor</v>
      </c>
      <c r="G90" s="63">
        <f>VLOOKUP(C90,'RAW DATA 2023'!E:BO,13,0)</f>
        <v>131</v>
      </c>
      <c r="H90" s="63">
        <f t="shared" si="13"/>
        <v>100</v>
      </c>
      <c r="I90" s="63">
        <f t="shared" si="11"/>
        <v>6.806</v>
      </c>
      <c r="J90" s="106">
        <f>VLOOKUP(C90,'RAW DATA 2023'!E:BO,22,0)</f>
        <v>17.575926666666664</v>
      </c>
      <c r="K90" s="70">
        <f t="shared" si="14"/>
        <v>2.5824164952492894</v>
      </c>
      <c r="L90" s="72">
        <f t="shared" si="12"/>
        <v>17.575926666666664</v>
      </c>
      <c r="M90" s="109">
        <f t="shared" si="16"/>
        <v>27.765553269990527</v>
      </c>
      <c r="N90" s="123" t="str">
        <f>VLOOKUP(C90,'RAW DATA 2023'!E:BO,36,0)</f>
        <v>Normal</v>
      </c>
      <c r="O90" s="63">
        <f>VLOOKUP(C90,'RAW DATA 2023'!E:BO,2,0)</f>
        <v>1.5</v>
      </c>
      <c r="P90" s="322">
        <f t="shared" si="15"/>
        <v>41.648329904985786</v>
      </c>
    </row>
    <row r="91" spans="1:16">
      <c r="A91" s="63" t="str">
        <f>'RAW DATA 2023'!B84</f>
        <v>Petchburi5</v>
      </c>
      <c r="B91" s="63" t="str">
        <f>'RAW DATA 2023'!D84</f>
        <v>A1-034-0009</v>
      </c>
      <c r="C91" s="63" t="str">
        <f t="shared" si="9"/>
        <v>Petchburi5A1-034-0009</v>
      </c>
      <c r="D91" s="68">
        <f>VLOOKUP(C91,'RAW DATA 2023'!E:BP,63,0)</f>
        <v>11</v>
      </c>
      <c r="E91" s="68" t="str">
        <f t="shared" si="10"/>
        <v>Petchburi511</v>
      </c>
      <c r="F91" s="63" t="str">
        <f>VLOOKUP(C91,'RAW DATA 2023'!E:BO,5,0)</f>
        <v>Outdoor</v>
      </c>
      <c r="G91" s="63">
        <f>VLOOKUP(C91,'RAW DATA 2023'!E:BO,13,0)</f>
        <v>208</v>
      </c>
      <c r="H91" s="63">
        <f t="shared" si="13"/>
        <v>200</v>
      </c>
      <c r="I91" s="63">
        <f t="shared" si="11"/>
        <v>11.259</v>
      </c>
      <c r="J91" s="106">
        <f>VLOOKUP(C91,'RAW DATA 2023'!E:BO,22,0)</f>
        <v>18.355313333333335</v>
      </c>
      <c r="K91" s="70">
        <f t="shared" si="14"/>
        <v>1.6302791840601594</v>
      </c>
      <c r="L91" s="72">
        <f t="shared" si="12"/>
        <v>18.355313333333335</v>
      </c>
      <c r="M91" s="109">
        <f t="shared" si="16"/>
        <v>15.070389120802126</v>
      </c>
      <c r="N91" s="123" t="str">
        <f>VLOOKUP(C91,'RAW DATA 2023'!E:BO,36,0)</f>
        <v>Normal</v>
      </c>
      <c r="O91" s="63">
        <f>VLOOKUP(C91,'RAW DATA 2023'!E:BO,2,0)</f>
        <v>1.5</v>
      </c>
      <c r="P91" s="322">
        <f t="shared" si="15"/>
        <v>22.605583681203189</v>
      </c>
    </row>
    <row r="92" spans="1:16">
      <c r="A92" s="63" t="str">
        <f>'RAW DATA 2023'!B85</f>
        <v>Petchburi5</v>
      </c>
      <c r="B92" s="63" t="str">
        <f>'RAW DATA 2023'!D85</f>
        <v>A1-021-0019</v>
      </c>
      <c r="C92" s="63" t="str">
        <f t="shared" si="9"/>
        <v>Petchburi5A1-021-0019</v>
      </c>
      <c r="D92" s="68">
        <f>VLOOKUP(C92,'RAW DATA 2023'!E:BP,63,0)</f>
        <v>4</v>
      </c>
      <c r="E92" s="68" t="str">
        <f t="shared" si="10"/>
        <v>Petchburi54</v>
      </c>
      <c r="F92" s="63" t="str">
        <f>VLOOKUP(C92,'RAW DATA 2023'!E:BO,5,0)</f>
        <v>Outdoor</v>
      </c>
      <c r="G92" s="63">
        <f>VLOOKUP(C92,'RAW DATA 2023'!E:BO,13,0)</f>
        <v>125</v>
      </c>
      <c r="H92" s="63">
        <f t="shared" si="13"/>
        <v>100</v>
      </c>
      <c r="I92" s="63">
        <f t="shared" si="11"/>
        <v>6.806</v>
      </c>
      <c r="J92" s="106">
        <f>VLOOKUP(C92,'RAW DATA 2023'!E:BO,22,0)</f>
        <v>11.105693333333335</v>
      </c>
      <c r="K92" s="70">
        <f t="shared" si="14"/>
        <v>1.6317504162993439</v>
      </c>
      <c r="L92" s="72">
        <f t="shared" si="12"/>
        <v>11.105693333333335</v>
      </c>
      <c r="M92" s="109">
        <f t="shared" si="16"/>
        <v>15.090005550657919</v>
      </c>
      <c r="N92" s="123" t="str">
        <f>VLOOKUP(C92,'RAW DATA 2023'!E:BO,36,0)</f>
        <v>Normal</v>
      </c>
      <c r="O92" s="63">
        <f>VLOOKUP(C92,'RAW DATA 2023'!E:BO,2,0)</f>
        <v>1.5</v>
      </c>
      <c r="P92" s="322">
        <f t="shared" si="15"/>
        <v>22.635008325986878</v>
      </c>
    </row>
    <row r="93" spans="1:16">
      <c r="A93" s="63" t="str">
        <f>'RAW DATA 2023'!B86</f>
        <v>Petchburi5</v>
      </c>
      <c r="B93" s="63" t="str">
        <f>'RAW DATA 2023'!D86</f>
        <v>A1-035-0006</v>
      </c>
      <c r="C93" s="63" t="str">
        <f t="shared" si="9"/>
        <v>Petchburi5A1-035-0006</v>
      </c>
      <c r="D93" s="68">
        <f>VLOOKUP(C93,'RAW DATA 2023'!E:BP,63,0)</f>
        <v>4</v>
      </c>
      <c r="E93" s="68" t="str">
        <f t="shared" si="10"/>
        <v>Petchburi54</v>
      </c>
      <c r="F93" s="63" t="str">
        <f>VLOOKUP(C93,'RAW DATA 2023'!E:BO,5,0)</f>
        <v>Outdoor</v>
      </c>
      <c r="G93" s="63">
        <f>VLOOKUP(C93,'RAW DATA 2023'!E:BO,13,0)</f>
        <v>63</v>
      </c>
      <c r="H93" s="63">
        <f t="shared" si="13"/>
        <v>100</v>
      </c>
      <c r="I93" s="63">
        <f t="shared" si="11"/>
        <v>6.806</v>
      </c>
      <c r="J93" s="106">
        <f>VLOOKUP(C93,'RAW DATA 2023'!E:BO,22,0)</f>
        <v>10.178833333333333</v>
      </c>
      <c r="K93" s="70">
        <f t="shared" si="14"/>
        <v>1.4955676363992556</v>
      </c>
      <c r="L93" s="72">
        <f t="shared" si="12"/>
        <v>10.178833333333333</v>
      </c>
      <c r="M93" s="109">
        <f t="shared" si="16"/>
        <v>13.274235151990075</v>
      </c>
      <c r="N93" s="123" t="str">
        <f>VLOOKUP(C93,'RAW DATA 2023'!E:BO,36,0)</f>
        <v>Normal</v>
      </c>
      <c r="O93" s="63">
        <f>VLOOKUP(C93,'RAW DATA 2023'!E:BO,2,0)</f>
        <v>1.5</v>
      </c>
      <c r="P93" s="322">
        <f t="shared" si="15"/>
        <v>19.911352727985111</v>
      </c>
    </row>
    <row r="94" spans="1:16">
      <c r="A94" s="63" t="str">
        <f>'RAW DATA 2023'!B87</f>
        <v>Petchburi5</v>
      </c>
      <c r="B94" s="63" t="str">
        <f>'RAW DATA 2023'!D87</f>
        <v>A1-032-0007</v>
      </c>
      <c r="C94" s="63" t="str">
        <f t="shared" si="9"/>
        <v>Petchburi5A1-032-0007</v>
      </c>
      <c r="D94" s="68">
        <f>VLOOKUP(C94,'RAW DATA 2023'!E:BP,63,0)</f>
        <v>3</v>
      </c>
      <c r="E94" s="68" t="str">
        <f t="shared" si="10"/>
        <v>Petchburi53</v>
      </c>
      <c r="F94" s="63" t="str">
        <f>VLOOKUP(C94,'RAW DATA 2023'!E:BO,5,0)</f>
        <v>Outdoor</v>
      </c>
      <c r="G94" s="63">
        <f>VLOOKUP(C94,'RAW DATA 2023'!E:BO,13,0)</f>
        <v>54</v>
      </c>
      <c r="H94" s="63">
        <f t="shared" si="13"/>
        <v>100</v>
      </c>
      <c r="I94" s="63">
        <f t="shared" si="11"/>
        <v>6.806</v>
      </c>
      <c r="J94" s="106">
        <f>VLOOKUP(C94,'RAW DATA 2023'!E:BO,22,0)</f>
        <v>12.026986666666666</v>
      </c>
      <c r="K94" s="70">
        <f t="shared" si="14"/>
        <v>1.7671152904300127</v>
      </c>
      <c r="L94" s="72">
        <f t="shared" si="12"/>
        <v>12.026986666666666</v>
      </c>
      <c r="M94" s="109">
        <f t="shared" si="16"/>
        <v>16.894870539066837</v>
      </c>
      <c r="N94" s="123" t="str">
        <f>VLOOKUP(C94,'RAW DATA 2023'!E:BO,36,0)</f>
        <v>Normal</v>
      </c>
      <c r="O94" s="63">
        <f>VLOOKUP(C94,'RAW DATA 2023'!E:BO,2,0)</f>
        <v>1.5</v>
      </c>
      <c r="P94" s="322">
        <f t="shared" si="15"/>
        <v>25.342305808600255</v>
      </c>
    </row>
    <row r="95" spans="1:16">
      <c r="A95" s="63" t="str">
        <f>'RAW DATA 2023'!B88</f>
        <v>Petchburi5</v>
      </c>
      <c r="B95" s="63" t="str">
        <f>'RAW DATA 2023'!D88</f>
        <v>A1-034-0007</v>
      </c>
      <c r="C95" s="63" t="str">
        <f t="shared" si="9"/>
        <v>Petchburi5A1-034-0007</v>
      </c>
      <c r="D95" s="68">
        <f>VLOOKUP(C95,'RAW DATA 2023'!E:BP,63,0)</f>
        <v>1</v>
      </c>
      <c r="E95" s="68" t="str">
        <f t="shared" si="10"/>
        <v>Petchburi51</v>
      </c>
      <c r="F95" s="63" t="str">
        <f>VLOOKUP(C95,'RAW DATA 2023'!E:BO,5,0)</f>
        <v>Outdoor</v>
      </c>
      <c r="G95" s="63">
        <f>VLOOKUP(C95,'RAW DATA 2023'!E:BO,13,0)</f>
        <v>167</v>
      </c>
      <c r="H95" s="63">
        <f t="shared" si="13"/>
        <v>180</v>
      </c>
      <c r="I95" s="63">
        <f t="shared" si="11"/>
        <v>10.247</v>
      </c>
      <c r="J95" s="106">
        <f>VLOOKUP(C95,'RAW DATA 2023'!E:BO,22,0)</f>
        <v>0</v>
      </c>
      <c r="K95" s="70">
        <f t="shared" si="14"/>
        <v>0</v>
      </c>
      <c r="L95" s="72">
        <f t="shared" si="12"/>
        <v>0</v>
      </c>
      <c r="M95" s="109">
        <f t="shared" si="16"/>
        <v>-6.666666666666667</v>
      </c>
      <c r="N95" s="123" t="str">
        <f>VLOOKUP(C95,'RAW DATA 2023'!E:BO,36,0)</f>
        <v>WSSV</v>
      </c>
      <c r="O95" s="63">
        <f>VLOOKUP(C95,'RAW DATA 2023'!E:BO,2,0)</f>
        <v>1.5</v>
      </c>
      <c r="P95" s="322">
        <f t="shared" si="15"/>
        <v>-10</v>
      </c>
    </row>
    <row r="96" spans="1:16">
      <c r="A96" s="63" t="str">
        <f>'RAW DATA 2023'!B89</f>
        <v>Petchburi5</v>
      </c>
      <c r="B96" s="63" t="str">
        <f>'RAW DATA 2023'!D89</f>
        <v>AG-002-0014</v>
      </c>
      <c r="C96" s="63" t="str">
        <f t="shared" si="9"/>
        <v>Petchburi5AG-002-0014</v>
      </c>
      <c r="D96" s="68">
        <f>VLOOKUP(C96,'RAW DATA 2023'!E:BP,63,0)</f>
        <v>12</v>
      </c>
      <c r="E96" s="68" t="str">
        <f t="shared" si="10"/>
        <v>Petchburi512</v>
      </c>
      <c r="F96" s="63" t="str">
        <f>VLOOKUP(C96,'RAW DATA 2023'!E:BO,5,0)</f>
        <v>Greenhouse</v>
      </c>
      <c r="G96" s="63">
        <f>VLOOKUP(C96,'RAW DATA 2023'!E:BO,13,0)</f>
        <v>162</v>
      </c>
      <c r="H96" s="63">
        <f t="shared" si="13"/>
        <v>150</v>
      </c>
      <c r="I96" s="63">
        <f t="shared" si="11"/>
        <v>9.1999999999999993</v>
      </c>
      <c r="J96" s="106">
        <f>VLOOKUP(C96,'RAW DATA 2023'!E:BO,22,0)</f>
        <v>10.213279999999999</v>
      </c>
      <c r="K96" s="70">
        <f t="shared" si="14"/>
        <v>1.1101391304347825</v>
      </c>
      <c r="L96" s="72">
        <f t="shared" si="12"/>
        <v>10.213279999999999</v>
      </c>
      <c r="M96" s="109">
        <f t="shared" si="16"/>
        <v>8.1351884057971002</v>
      </c>
      <c r="N96" s="123" t="str">
        <f>VLOOKUP(C96,'RAW DATA 2023'!E:BO,36,0)</f>
        <v>Normal</v>
      </c>
      <c r="O96" s="63">
        <f>VLOOKUP(C96,'RAW DATA 2023'!E:BO,2,0)</f>
        <v>1.5</v>
      </c>
      <c r="P96" s="322">
        <f t="shared" si="15"/>
        <v>12.202782608695649</v>
      </c>
    </row>
    <row r="97" spans="1:16">
      <c r="A97" s="63" t="str">
        <f>'RAW DATA 2023'!B90</f>
        <v>Petchburi5</v>
      </c>
      <c r="B97" s="63" t="str">
        <f>'RAW DATA 2023'!D90</f>
        <v>G1-G01-0002</v>
      </c>
      <c r="C97" s="63" t="str">
        <f t="shared" si="9"/>
        <v>Petchburi5G1-G01-0002</v>
      </c>
      <c r="D97" s="68">
        <f>VLOOKUP(C97,'RAW DATA 2023'!E:BP,63,0)</f>
        <v>1</v>
      </c>
      <c r="E97" s="68" t="str">
        <f t="shared" si="10"/>
        <v>Petchburi51</v>
      </c>
      <c r="F97" s="63" t="str">
        <f>VLOOKUP(C97,'RAW DATA 2023'!E:BO,5,0)</f>
        <v>Greenhouse</v>
      </c>
      <c r="G97" s="63">
        <f>VLOOKUP(C97,'RAW DATA 2023'!E:BO,13,0)</f>
        <v>173</v>
      </c>
      <c r="H97" s="63">
        <f t="shared" si="13"/>
        <v>180</v>
      </c>
      <c r="I97" s="63">
        <f t="shared" si="11"/>
        <v>10.247</v>
      </c>
      <c r="J97" s="106">
        <f>VLOOKUP(C97,'RAW DATA 2023'!E:BO,22,0)</f>
        <v>13.1435</v>
      </c>
      <c r="K97" s="70">
        <f t="shared" si="14"/>
        <v>1.2826680979798966</v>
      </c>
      <c r="L97" s="72">
        <f t="shared" si="12"/>
        <v>13.1435</v>
      </c>
      <c r="M97" s="109">
        <f t="shared" si="16"/>
        <v>10.435574639731955</v>
      </c>
      <c r="N97" s="123" t="str">
        <f>VLOOKUP(C97,'RAW DATA 2023'!E:BO,36,0)</f>
        <v>Normal</v>
      </c>
      <c r="O97" s="63">
        <f>VLOOKUP(C97,'RAW DATA 2023'!E:BO,2,0)</f>
        <v>1</v>
      </c>
      <c r="P97" s="322">
        <f t="shared" si="15"/>
        <v>10.435574639731955</v>
      </c>
    </row>
    <row r="98" spans="1:16">
      <c r="A98" s="63" t="str">
        <f>'RAW DATA 2023'!B91</f>
        <v>Petchburi5</v>
      </c>
      <c r="B98" s="63" t="str">
        <f>'RAW DATA 2023'!D91</f>
        <v>G1-G02-0002</v>
      </c>
      <c r="C98" s="63" t="str">
        <f t="shared" si="9"/>
        <v>Petchburi5G1-G02-0002</v>
      </c>
      <c r="D98" s="68">
        <f>VLOOKUP(C98,'RAW DATA 2023'!E:BP,63,0)</f>
        <v>8</v>
      </c>
      <c r="E98" s="68" t="str">
        <f t="shared" si="10"/>
        <v>Petchburi58</v>
      </c>
      <c r="F98" s="63" t="str">
        <f>VLOOKUP(C98,'RAW DATA 2023'!E:BO,5,0)</f>
        <v>Greenhouse</v>
      </c>
      <c r="G98" s="63">
        <f>VLOOKUP(C98,'RAW DATA 2023'!E:BO,13,0)</f>
        <v>284</v>
      </c>
      <c r="H98" s="63">
        <f t="shared" si="13"/>
        <v>200</v>
      </c>
      <c r="I98" s="63">
        <f t="shared" si="11"/>
        <v>11.259</v>
      </c>
      <c r="J98" s="106">
        <f>VLOOKUP(C98,'RAW DATA 2023'!E:BO,22,0)</f>
        <v>20.16797</v>
      </c>
      <c r="K98" s="70">
        <f t="shared" si="14"/>
        <v>1.7912754241051603</v>
      </c>
      <c r="L98" s="72">
        <f t="shared" si="12"/>
        <v>20.16797</v>
      </c>
      <c r="M98" s="109">
        <f t="shared" si="16"/>
        <v>17.21700565473547</v>
      </c>
      <c r="N98" s="123" t="str">
        <f>VLOOKUP(C98,'RAW DATA 2023'!E:BO,36,0)</f>
        <v>Normal</v>
      </c>
      <c r="O98" s="63">
        <f>VLOOKUP(C98,'RAW DATA 2023'!E:BO,2,0)</f>
        <v>1</v>
      </c>
      <c r="P98" s="322">
        <f t="shared" si="15"/>
        <v>17.21700565473547</v>
      </c>
    </row>
    <row r="99" spans="1:16">
      <c r="A99" s="63" t="str">
        <f>'RAW DATA 2023'!B92</f>
        <v>Petchburi5</v>
      </c>
      <c r="B99" s="63" t="str">
        <f>'RAW DATA 2023'!D92</f>
        <v>G1-G02-0001</v>
      </c>
      <c r="C99" s="63" t="str">
        <f t="shared" si="9"/>
        <v>Petchburi5G1-G02-0001</v>
      </c>
      <c r="D99" s="68">
        <f>VLOOKUP(C99,'RAW DATA 2023'!E:BP,63,0)</f>
        <v>4</v>
      </c>
      <c r="E99" s="68" t="str">
        <f t="shared" si="10"/>
        <v>Petchburi54</v>
      </c>
      <c r="F99" s="63" t="str">
        <f>VLOOKUP(C99,'RAW DATA 2023'!E:BO,5,0)</f>
        <v>Greenhouse</v>
      </c>
      <c r="G99" s="63">
        <f>VLOOKUP(C99,'RAW DATA 2023'!E:BO,13,0)</f>
        <v>142</v>
      </c>
      <c r="H99" s="63">
        <f t="shared" si="13"/>
        <v>150</v>
      </c>
      <c r="I99" s="63">
        <f t="shared" si="11"/>
        <v>9.1999999999999993</v>
      </c>
      <c r="J99" s="106">
        <f>VLOOKUP(C99,'RAW DATA 2023'!E:BO,22,0)</f>
        <v>15.27791</v>
      </c>
      <c r="K99" s="70">
        <f t="shared" si="14"/>
        <v>1.660642391304348</v>
      </c>
      <c r="L99" s="72">
        <f t="shared" si="12"/>
        <v>15.27791</v>
      </c>
      <c r="M99" s="109">
        <f t="shared" si="16"/>
        <v>15.475231884057974</v>
      </c>
      <c r="N99" s="123" t="str">
        <f>VLOOKUP(C99,'RAW DATA 2023'!E:BO,36,0)</f>
        <v>Normal</v>
      </c>
      <c r="O99" s="63">
        <f>VLOOKUP(C99,'RAW DATA 2023'!E:BO,2,0)</f>
        <v>1</v>
      </c>
      <c r="P99" s="322">
        <f t="shared" si="15"/>
        <v>15.475231884057974</v>
      </c>
    </row>
    <row r="100" spans="1:16">
      <c r="A100" s="63" t="str">
        <f>'RAW DATA 2023'!B93</f>
        <v>Petchburi5</v>
      </c>
      <c r="B100" s="63" t="str">
        <f>'RAW DATA 2023'!D93</f>
        <v>G1-G01-0004</v>
      </c>
      <c r="C100" s="63" t="str">
        <f t="shared" si="9"/>
        <v>Petchburi5G1-G01-0004</v>
      </c>
      <c r="D100" s="68">
        <f>VLOOKUP(C100,'RAW DATA 2023'!E:BP,63,0)</f>
        <v>11</v>
      </c>
      <c r="E100" s="68" t="str">
        <f t="shared" si="10"/>
        <v>Petchburi511</v>
      </c>
      <c r="F100" s="63" t="str">
        <f>VLOOKUP(C100,'RAW DATA 2023'!E:BO,5,0)</f>
        <v>Greenhouse</v>
      </c>
      <c r="G100" s="63">
        <f>VLOOKUP(C100,'RAW DATA 2023'!E:BO,13,0)</f>
        <v>200</v>
      </c>
      <c r="H100" s="63">
        <f t="shared" si="13"/>
        <v>200</v>
      </c>
      <c r="I100" s="63">
        <f t="shared" si="11"/>
        <v>11.259</v>
      </c>
      <c r="J100" s="106">
        <f>VLOOKUP(C100,'RAW DATA 2023'!E:BO,22,0)</f>
        <v>16.447740000000003</v>
      </c>
      <c r="K100" s="70">
        <f t="shared" si="14"/>
        <v>1.4608526512123636</v>
      </c>
      <c r="L100" s="72">
        <f t="shared" si="12"/>
        <v>16.447740000000003</v>
      </c>
      <c r="M100" s="109">
        <f t="shared" si="16"/>
        <v>12.811368682831516</v>
      </c>
      <c r="N100" s="123" t="str">
        <f>VLOOKUP(C100,'RAW DATA 2023'!E:BO,36,0)</f>
        <v>Normal</v>
      </c>
      <c r="O100" s="63">
        <f>VLOOKUP(C100,'RAW DATA 2023'!E:BO,2,0)</f>
        <v>1</v>
      </c>
      <c r="P100" s="322">
        <f t="shared" si="15"/>
        <v>12.811368682831516</v>
      </c>
    </row>
    <row r="101" spans="1:16">
      <c r="A101" s="63" t="str">
        <f>'RAW DATA 2023'!B94</f>
        <v>Petchburi5</v>
      </c>
      <c r="B101" s="63" t="str">
        <f>'RAW DATA 2023'!D94</f>
        <v>G1-G01-0003</v>
      </c>
      <c r="C101" s="63" t="str">
        <f t="shared" si="9"/>
        <v>Petchburi5G1-G01-0003</v>
      </c>
      <c r="D101" s="68">
        <f>VLOOKUP(C101,'RAW DATA 2023'!E:BP,63,0)</f>
        <v>6</v>
      </c>
      <c r="E101" s="68" t="str">
        <f t="shared" si="10"/>
        <v>Petchburi56</v>
      </c>
      <c r="F101" s="63" t="str">
        <f>VLOOKUP(C101,'RAW DATA 2023'!E:BO,5,0)</f>
        <v>Greenhouse</v>
      </c>
      <c r="G101" s="63">
        <f>VLOOKUP(C101,'RAW DATA 2023'!E:BO,13,0)</f>
        <v>284</v>
      </c>
      <c r="H101" s="63">
        <f t="shared" si="13"/>
        <v>200</v>
      </c>
      <c r="I101" s="63">
        <f t="shared" si="11"/>
        <v>11.259</v>
      </c>
      <c r="J101" s="106">
        <f>VLOOKUP(C101,'RAW DATA 2023'!E:BO,22,0)</f>
        <v>14.975200000000001</v>
      </c>
      <c r="K101" s="70">
        <f t="shared" si="14"/>
        <v>1.3300648370192736</v>
      </c>
      <c r="L101" s="72">
        <f t="shared" si="12"/>
        <v>14.975200000000001</v>
      </c>
      <c r="M101" s="109">
        <f t="shared" si="16"/>
        <v>11.067531160256982</v>
      </c>
      <c r="N101" s="123" t="str">
        <f>VLOOKUP(C101,'RAW DATA 2023'!E:BO,36,0)</f>
        <v>Normal</v>
      </c>
      <c r="O101" s="63">
        <f>VLOOKUP(C101,'RAW DATA 2023'!E:BO,2,0)</f>
        <v>1</v>
      </c>
      <c r="P101" s="322">
        <f t="shared" si="15"/>
        <v>11.067531160256982</v>
      </c>
    </row>
    <row r="102" spans="1:16">
      <c r="A102" s="63" t="str">
        <f>'RAW DATA 2023'!B95</f>
        <v>Roiphet1</v>
      </c>
      <c r="B102" s="63" t="str">
        <f>'RAW DATA 2023'!D95</f>
        <v>A5-I09-0099</v>
      </c>
      <c r="C102" s="63" t="str">
        <f t="shared" si="9"/>
        <v>Roiphet1A5-I09-0099</v>
      </c>
      <c r="D102" s="68">
        <f>VLOOKUP(C102,'RAW DATA 2023'!E:BP,63,0)</f>
        <v>10</v>
      </c>
      <c r="E102" s="68" t="str">
        <f t="shared" si="10"/>
        <v>Roiphet110</v>
      </c>
      <c r="F102" s="63" t="str">
        <f>VLOOKUP(C102,'RAW DATA 2023'!E:BO,5,0)</f>
        <v>Greenhouse</v>
      </c>
      <c r="G102" s="63">
        <f>VLOOKUP(C102,'RAW DATA 2023'!E:BO,13,0)</f>
        <v>167</v>
      </c>
      <c r="H102" s="63">
        <f t="shared" si="13"/>
        <v>180</v>
      </c>
      <c r="I102" s="63">
        <f t="shared" si="11"/>
        <v>10.247</v>
      </c>
      <c r="J102" s="106">
        <f>VLOOKUP(C102,'RAW DATA 2023'!E:BO,22,0)</f>
        <v>4.5623472222222219</v>
      </c>
      <c r="K102" s="70">
        <f t="shared" si="14"/>
        <v>0.44523735944395648</v>
      </c>
      <c r="L102" s="72">
        <f t="shared" si="12"/>
        <v>4.5623472222222219</v>
      </c>
      <c r="M102" s="109">
        <f t="shared" si="16"/>
        <v>-0.73016854074724691</v>
      </c>
      <c r="N102" s="123" t="str">
        <f>VLOOKUP(C102,'RAW DATA 2023'!E:BO,36,0)</f>
        <v>อัตรารอดต่ำ</v>
      </c>
      <c r="O102" s="63">
        <f>VLOOKUP(C102,'RAW DATA 2023'!E:BO,2,0)</f>
        <v>0.72</v>
      </c>
      <c r="P102" s="322">
        <f t="shared" si="15"/>
        <v>-0.52572134933801773</v>
      </c>
    </row>
    <row r="103" spans="1:16">
      <c r="A103" s="63" t="str">
        <f>'RAW DATA 2023'!B96</f>
        <v>Roiphet1</v>
      </c>
      <c r="B103" s="63" t="str">
        <f>'RAW DATA 2023'!D96</f>
        <v>A3-G05-0077</v>
      </c>
      <c r="C103" s="63" t="str">
        <f t="shared" si="9"/>
        <v>Roiphet1A3-G05-0077</v>
      </c>
      <c r="D103" s="68">
        <f>VLOOKUP(C103,'RAW DATA 2023'!E:BP,63,0)</f>
        <v>10</v>
      </c>
      <c r="E103" s="68" t="str">
        <f t="shared" si="10"/>
        <v>Roiphet110</v>
      </c>
      <c r="F103" s="63" t="str">
        <f>VLOOKUP(C103,'RAW DATA 2023'!E:BO,5,0)</f>
        <v>Greenhouse</v>
      </c>
      <c r="G103" s="63">
        <f>VLOOKUP(C103,'RAW DATA 2023'!E:BO,13,0)</f>
        <v>187</v>
      </c>
      <c r="H103" s="63">
        <f t="shared" si="13"/>
        <v>180</v>
      </c>
      <c r="I103" s="63">
        <f t="shared" si="11"/>
        <v>10.247</v>
      </c>
      <c r="J103" s="106">
        <f>VLOOKUP(C103,'RAW DATA 2023'!E:BO,22,0)</f>
        <v>5.6074867256637173</v>
      </c>
      <c r="K103" s="70">
        <f t="shared" si="14"/>
        <v>0.54723204114996749</v>
      </c>
      <c r="L103" s="72">
        <f t="shared" si="12"/>
        <v>5.6074867256637173</v>
      </c>
      <c r="M103" s="109">
        <f t="shared" si="16"/>
        <v>0.62976054866623321</v>
      </c>
      <c r="N103" s="123" t="str">
        <f>VLOOKUP(C103,'RAW DATA 2023'!E:BO,36,0)</f>
        <v>อัตรารอดต่ำ</v>
      </c>
      <c r="O103" s="63">
        <f>VLOOKUP(C103,'RAW DATA 2023'!E:BO,2,0)</f>
        <v>1.1299999999999999</v>
      </c>
      <c r="P103" s="322">
        <f t="shared" si="15"/>
        <v>0.71162941999284346</v>
      </c>
    </row>
    <row r="104" spans="1:16">
      <c r="A104" s="63" t="str">
        <f>'RAW DATA 2023'!B97</f>
        <v>Roiphet1</v>
      </c>
      <c r="B104" s="63" t="str">
        <f>'RAW DATA 2023'!D97</f>
        <v>A5-G09-0084</v>
      </c>
      <c r="C104" s="63" t="str">
        <f t="shared" si="9"/>
        <v>Roiphet1A5-G09-0084</v>
      </c>
      <c r="D104" s="68">
        <f>VLOOKUP(C104,'RAW DATA 2023'!E:BP,63,0)</f>
        <v>10</v>
      </c>
      <c r="E104" s="68" t="str">
        <f t="shared" si="10"/>
        <v>Roiphet110</v>
      </c>
      <c r="F104" s="63" t="str">
        <f>VLOOKUP(C104,'RAW DATA 2023'!E:BO,5,0)</f>
        <v>Greenhouse</v>
      </c>
      <c r="G104" s="63">
        <f>VLOOKUP(C104,'RAW DATA 2023'!E:BO,13,0)</f>
        <v>203</v>
      </c>
      <c r="H104" s="63">
        <f t="shared" si="13"/>
        <v>200</v>
      </c>
      <c r="I104" s="63">
        <f t="shared" si="11"/>
        <v>11.259</v>
      </c>
      <c r="J104" s="106">
        <f>VLOOKUP(C104,'RAW DATA 2023'!E:BO,22,0)</f>
        <v>6.6824955752212398</v>
      </c>
      <c r="K104" s="70">
        <f t="shared" si="14"/>
        <v>0.59352478685684695</v>
      </c>
      <c r="L104" s="72">
        <f t="shared" si="12"/>
        <v>6.6824955752212398</v>
      </c>
      <c r="M104" s="109">
        <f t="shared" si="16"/>
        <v>1.2469971580912929</v>
      </c>
      <c r="N104" s="123" t="str">
        <f>VLOOKUP(C104,'RAW DATA 2023'!E:BO,36,0)</f>
        <v>อัตรารอดต่ำ</v>
      </c>
      <c r="O104" s="63">
        <f>VLOOKUP(C104,'RAW DATA 2023'!E:BO,2,0)</f>
        <v>1.1299999999999999</v>
      </c>
      <c r="P104" s="322">
        <f t="shared" si="15"/>
        <v>1.4091067886431607</v>
      </c>
    </row>
    <row r="105" spans="1:16">
      <c r="A105" s="63" t="str">
        <f>'RAW DATA 2023'!B98</f>
        <v>Roiphet1</v>
      </c>
      <c r="B105" s="63" t="str">
        <f>'RAW DATA 2023'!D98</f>
        <v>A5-I10-0095</v>
      </c>
      <c r="C105" s="63" t="str">
        <f t="shared" si="9"/>
        <v>Roiphet1A5-I10-0095</v>
      </c>
      <c r="D105" s="68">
        <f>VLOOKUP(C105,'RAW DATA 2023'!E:BP,63,0)</f>
        <v>10</v>
      </c>
      <c r="E105" s="68" t="str">
        <f t="shared" si="10"/>
        <v>Roiphet110</v>
      </c>
      <c r="F105" s="63" t="str">
        <f>VLOOKUP(C105,'RAW DATA 2023'!E:BO,5,0)</f>
        <v>Greenhouse</v>
      </c>
      <c r="G105" s="63">
        <f>VLOOKUP(C105,'RAW DATA 2023'!E:BO,13,0)</f>
        <v>134</v>
      </c>
      <c r="H105" s="63">
        <f t="shared" si="13"/>
        <v>100</v>
      </c>
      <c r="I105" s="63">
        <f t="shared" si="11"/>
        <v>0</v>
      </c>
      <c r="J105" s="106">
        <f>VLOOKUP(C105,'RAW DATA 2023'!E:BO,22,0)</f>
        <v>4.4443055555555553</v>
      </c>
      <c r="K105" s="70" t="e">
        <f t="shared" si="14"/>
        <v>#DIV/0!</v>
      </c>
      <c r="L105" s="72">
        <f t="shared" si="12"/>
        <v>4.4443055555555553</v>
      </c>
      <c r="M105" s="109" t="e">
        <f t="shared" si="16"/>
        <v>#DIV/0!</v>
      </c>
      <c r="N105" s="123" t="str">
        <f>VLOOKUP(C105,'RAW DATA 2023'!E:BO,36,0)</f>
        <v>อัตรารอดต่ำ</v>
      </c>
      <c r="O105" s="63">
        <f>VLOOKUP(C105,'RAW DATA 2023'!E:BO,2,0)</f>
        <v>0.72</v>
      </c>
      <c r="P105" s="322" t="e">
        <f t="shared" si="15"/>
        <v>#DIV/0!</v>
      </c>
    </row>
    <row r="106" spans="1:16">
      <c r="A106" s="63" t="str">
        <f>'RAW DATA 2023'!B99</f>
        <v>Roiphet1</v>
      </c>
      <c r="B106" s="63" t="str">
        <f>'RAW DATA 2023'!D99</f>
        <v>A3-I05-0085</v>
      </c>
      <c r="C106" s="63" t="str">
        <f t="shared" si="9"/>
        <v>Roiphet1A3-I05-0085</v>
      </c>
      <c r="D106" s="68">
        <f>VLOOKUP(C106,'RAW DATA 2023'!E:BP,63,0)</f>
        <v>10</v>
      </c>
      <c r="E106" s="68" t="str">
        <f t="shared" si="10"/>
        <v>Roiphet110</v>
      </c>
      <c r="F106" s="63" t="str">
        <f>VLOOKUP(C106,'RAW DATA 2023'!E:BO,5,0)</f>
        <v>Greenhouse</v>
      </c>
      <c r="G106" s="63">
        <f>VLOOKUP(C106,'RAW DATA 2023'!E:BO,13,0)</f>
        <v>195</v>
      </c>
      <c r="H106" s="63">
        <f t="shared" si="13"/>
        <v>200</v>
      </c>
      <c r="I106" s="63">
        <f t="shared" si="11"/>
        <v>11.259</v>
      </c>
      <c r="J106" s="106">
        <f>VLOOKUP(C106,'RAW DATA 2023'!E:BO,22,0)</f>
        <v>4.4227638888888894</v>
      </c>
      <c r="K106" s="70">
        <f t="shared" si="14"/>
        <v>0.39282031165191306</v>
      </c>
      <c r="L106" s="72">
        <f t="shared" si="12"/>
        <v>4.4227638888888894</v>
      </c>
      <c r="M106" s="109">
        <f t="shared" si="16"/>
        <v>-1.4290625113078259</v>
      </c>
      <c r="N106" s="123" t="str">
        <f>VLOOKUP(C106,'RAW DATA 2023'!E:BO,36,0)</f>
        <v>อัตรารอดต่ำ</v>
      </c>
      <c r="O106" s="63">
        <f>VLOOKUP(C106,'RAW DATA 2023'!E:BO,2,0)</f>
        <v>0.72</v>
      </c>
      <c r="P106" s="322">
        <f t="shared" si="15"/>
        <v>-1.0289250081416346</v>
      </c>
    </row>
    <row r="107" spans="1:16">
      <c r="A107" s="63" t="str">
        <f>'RAW DATA 2023'!B100</f>
        <v>Roiphet1</v>
      </c>
      <c r="B107" s="63" t="str">
        <f>'RAW DATA 2023'!D100</f>
        <v>A6-I11-0102</v>
      </c>
      <c r="C107" s="63" t="str">
        <f t="shared" si="9"/>
        <v>Roiphet1A6-I11-0102</v>
      </c>
      <c r="D107" s="68">
        <f>VLOOKUP(C107,'RAW DATA 2023'!E:BP,63,0)</f>
        <v>10</v>
      </c>
      <c r="E107" s="68" t="str">
        <f t="shared" si="10"/>
        <v>Roiphet110</v>
      </c>
      <c r="F107" s="63" t="str">
        <f>VLOOKUP(C107,'RAW DATA 2023'!E:BO,5,0)</f>
        <v>Greenhouse</v>
      </c>
      <c r="G107" s="63">
        <f>VLOOKUP(C107,'RAW DATA 2023'!E:BO,13,0)</f>
        <v>134</v>
      </c>
      <c r="H107" s="63">
        <f t="shared" si="13"/>
        <v>100</v>
      </c>
      <c r="I107" s="63">
        <f t="shared" si="11"/>
        <v>0</v>
      </c>
      <c r="J107" s="106">
        <f>VLOOKUP(C107,'RAW DATA 2023'!E:BO,22,0)</f>
        <v>3.9314166666666663</v>
      </c>
      <c r="K107" s="70" t="e">
        <f t="shared" si="14"/>
        <v>#DIV/0!</v>
      </c>
      <c r="L107" s="72">
        <f t="shared" si="12"/>
        <v>3.9314166666666663</v>
      </c>
      <c r="M107" s="109" t="e">
        <f t="shared" si="16"/>
        <v>#DIV/0!</v>
      </c>
      <c r="N107" s="123" t="str">
        <f>VLOOKUP(C107,'RAW DATA 2023'!E:BO,36,0)</f>
        <v>อัตรารอดต่ำ</v>
      </c>
      <c r="O107" s="63">
        <f>VLOOKUP(C107,'RAW DATA 2023'!E:BO,2,0)</f>
        <v>0.72</v>
      </c>
      <c r="P107" s="322" t="e">
        <f t="shared" si="15"/>
        <v>#DIV/0!</v>
      </c>
    </row>
    <row r="108" spans="1:16">
      <c r="A108" s="63" t="str">
        <f>'RAW DATA 2023'!B101</f>
        <v>Roiphet1</v>
      </c>
      <c r="B108" s="63" t="str">
        <f>'RAW DATA 2023'!D101</f>
        <v>A5-G10-0069</v>
      </c>
      <c r="C108" s="63" t="str">
        <f t="shared" si="9"/>
        <v>Roiphet1A5-G10-0069</v>
      </c>
      <c r="D108" s="68">
        <f>VLOOKUP(C108,'RAW DATA 2023'!E:BP,63,0)</f>
        <v>10</v>
      </c>
      <c r="E108" s="68" t="str">
        <f t="shared" si="10"/>
        <v>Roiphet110</v>
      </c>
      <c r="F108" s="63" t="str">
        <f>VLOOKUP(C108,'RAW DATA 2023'!E:BO,5,0)</f>
        <v>Greenhouse</v>
      </c>
      <c r="G108" s="63">
        <f>VLOOKUP(C108,'RAW DATA 2023'!E:BO,13,0)</f>
        <v>203</v>
      </c>
      <c r="H108" s="63">
        <f t="shared" si="13"/>
        <v>200</v>
      </c>
      <c r="I108" s="63">
        <f t="shared" si="11"/>
        <v>11.259</v>
      </c>
      <c r="J108" s="106">
        <f>VLOOKUP(C108,'RAW DATA 2023'!E:BO,22,0)</f>
        <v>5.7100619469026554</v>
      </c>
      <c r="K108" s="70">
        <f t="shared" si="14"/>
        <v>0.50715533767676124</v>
      </c>
      <c r="L108" s="72">
        <f t="shared" si="12"/>
        <v>5.7100619469026554</v>
      </c>
      <c r="M108" s="109">
        <f t="shared" si="16"/>
        <v>9.5404502356816565E-2</v>
      </c>
      <c r="N108" s="123" t="str">
        <f>VLOOKUP(C108,'RAW DATA 2023'!E:BO,36,0)</f>
        <v>อัตรารอดต่ำ</v>
      </c>
      <c r="O108" s="63">
        <f>VLOOKUP(C108,'RAW DATA 2023'!E:BO,2,0)</f>
        <v>1.1299999999999999</v>
      </c>
      <c r="P108" s="322">
        <f t="shared" si="15"/>
        <v>0.10780708766320271</v>
      </c>
    </row>
    <row r="109" spans="1:16">
      <c r="A109" s="63" t="str">
        <f>'RAW DATA 2023'!B102</f>
        <v>Roiphet1</v>
      </c>
      <c r="B109" s="63" t="str">
        <f>'RAW DATA 2023'!D102</f>
        <v>A6-G11-0092</v>
      </c>
      <c r="C109" s="63" t="str">
        <f t="shared" si="9"/>
        <v>Roiphet1A6-G11-0092</v>
      </c>
      <c r="D109" s="68">
        <f>VLOOKUP(C109,'RAW DATA 2023'!E:BP,63,0)</f>
        <v>10</v>
      </c>
      <c r="E109" s="68" t="str">
        <f t="shared" si="10"/>
        <v>Roiphet110</v>
      </c>
      <c r="F109" s="63" t="str">
        <f>VLOOKUP(C109,'RAW DATA 2023'!E:BO,5,0)</f>
        <v>Greenhouse</v>
      </c>
      <c r="G109" s="63">
        <f>VLOOKUP(C109,'RAW DATA 2023'!E:BO,13,0)</f>
        <v>203</v>
      </c>
      <c r="H109" s="63">
        <f t="shared" si="13"/>
        <v>200</v>
      </c>
      <c r="I109" s="63">
        <f t="shared" si="11"/>
        <v>11.259</v>
      </c>
      <c r="J109" s="106">
        <f>VLOOKUP(C109,'RAW DATA 2023'!E:BO,22,0)</f>
        <v>6.3925752212389382</v>
      </c>
      <c r="K109" s="70">
        <f t="shared" si="14"/>
        <v>0.56777468880352944</v>
      </c>
      <c r="L109" s="72">
        <f t="shared" si="12"/>
        <v>6.3925752212389382</v>
      </c>
      <c r="M109" s="109">
        <f t="shared" si="16"/>
        <v>0.90366251738039249</v>
      </c>
      <c r="N109" s="123" t="str">
        <f>VLOOKUP(C109,'RAW DATA 2023'!E:BO,36,0)</f>
        <v>อัตรารอดต่ำ</v>
      </c>
      <c r="O109" s="63">
        <f>VLOOKUP(C109,'RAW DATA 2023'!E:BO,2,0)</f>
        <v>1.1299999999999999</v>
      </c>
      <c r="P109" s="322">
        <f t="shared" si="15"/>
        <v>1.0211386446398434</v>
      </c>
    </row>
    <row r="110" spans="1:16">
      <c r="A110" s="63" t="str">
        <f>'RAW DATA 2023'!B103</f>
        <v>Roiphet1</v>
      </c>
      <c r="B110" s="63" t="str">
        <f>'RAW DATA 2023'!D103</f>
        <v>A4-I07-0095</v>
      </c>
      <c r="C110" s="63" t="str">
        <f t="shared" si="9"/>
        <v>Roiphet1A4-I07-0095</v>
      </c>
      <c r="D110" s="68">
        <f>VLOOKUP(C110,'RAW DATA 2023'!E:BP,63,0)</f>
        <v>10</v>
      </c>
      <c r="E110" s="68" t="str">
        <f t="shared" si="10"/>
        <v>Roiphet110</v>
      </c>
      <c r="F110" s="63" t="str">
        <f>VLOOKUP(C110,'RAW DATA 2023'!E:BO,5,0)</f>
        <v>Greenhouse</v>
      </c>
      <c r="G110" s="63">
        <f>VLOOKUP(C110,'RAW DATA 2023'!E:BO,13,0)</f>
        <v>167</v>
      </c>
      <c r="H110" s="63">
        <f t="shared" si="13"/>
        <v>180</v>
      </c>
      <c r="I110" s="63">
        <f t="shared" si="11"/>
        <v>10.247</v>
      </c>
      <c r="J110" s="106">
        <f>VLOOKUP(C110,'RAW DATA 2023'!E:BO,22,0)</f>
        <v>5.4604722222222222</v>
      </c>
      <c r="K110" s="70">
        <f t="shared" si="14"/>
        <v>0.53288496362078874</v>
      </c>
      <c r="L110" s="72">
        <f t="shared" si="12"/>
        <v>5.4604722222222222</v>
      </c>
      <c r="M110" s="109">
        <f t="shared" si="16"/>
        <v>0.43846618161051659</v>
      </c>
      <c r="N110" s="123" t="str">
        <f>VLOOKUP(C110,'RAW DATA 2023'!E:BO,36,0)</f>
        <v>อัตรารอดต่ำ</v>
      </c>
      <c r="O110" s="63">
        <f>VLOOKUP(C110,'RAW DATA 2023'!E:BO,2,0)</f>
        <v>0.72</v>
      </c>
      <c r="P110" s="322">
        <f t="shared" si="15"/>
        <v>0.31569565075957196</v>
      </c>
    </row>
    <row r="111" spans="1:16">
      <c r="A111" s="63" t="str">
        <f>'RAW DATA 2023'!B104</f>
        <v>Roiphet1</v>
      </c>
      <c r="B111" s="63" t="str">
        <f>'RAW DATA 2023'!D104</f>
        <v>A4-G07-0072</v>
      </c>
      <c r="C111" s="63" t="str">
        <f t="shared" si="9"/>
        <v>Roiphet1A4-G07-0072</v>
      </c>
      <c r="D111" s="68">
        <f>VLOOKUP(C111,'RAW DATA 2023'!E:BP,63,0)</f>
        <v>10</v>
      </c>
      <c r="E111" s="68" t="str">
        <f t="shared" si="10"/>
        <v>Roiphet110</v>
      </c>
      <c r="F111" s="63" t="str">
        <f>VLOOKUP(C111,'RAW DATA 2023'!E:BO,5,0)</f>
        <v>Greenhouse</v>
      </c>
      <c r="G111" s="63">
        <f>VLOOKUP(C111,'RAW DATA 2023'!E:BO,13,0)</f>
        <v>203</v>
      </c>
      <c r="H111" s="63">
        <f t="shared" si="13"/>
        <v>200</v>
      </c>
      <c r="I111" s="63">
        <f t="shared" si="11"/>
        <v>11.259</v>
      </c>
      <c r="J111" s="106">
        <f>VLOOKUP(C111,'RAW DATA 2023'!E:BO,22,0)</f>
        <v>6.4483628318584074</v>
      </c>
      <c r="K111" s="70">
        <f t="shared" si="14"/>
        <v>0.57272962357744095</v>
      </c>
      <c r="L111" s="72">
        <f t="shared" si="12"/>
        <v>6.4483628318584074</v>
      </c>
      <c r="M111" s="109">
        <f t="shared" si="16"/>
        <v>0.96972831436587936</v>
      </c>
      <c r="N111" s="123" t="str">
        <f>VLOOKUP(C111,'RAW DATA 2023'!E:BO,36,0)</f>
        <v>อัตรารอดต่ำ</v>
      </c>
      <c r="O111" s="63">
        <f>VLOOKUP(C111,'RAW DATA 2023'!E:BO,2,0)</f>
        <v>1.1299999999999999</v>
      </c>
      <c r="P111" s="322">
        <f t="shared" si="15"/>
        <v>1.0957929952334435</v>
      </c>
    </row>
    <row r="112" spans="1:16">
      <c r="A112" s="63" t="str">
        <f>'RAW DATA 2023'!B105</f>
        <v>Roiphet1</v>
      </c>
      <c r="B112" s="63" t="str">
        <f>'RAW DATA 2023'!D105</f>
        <v>D6-I12-0085</v>
      </c>
      <c r="C112" s="63" t="str">
        <f t="shared" si="9"/>
        <v>Roiphet1D6-I12-0085</v>
      </c>
      <c r="D112" s="68">
        <f>VLOOKUP(C112,'RAW DATA 2023'!E:BP,63,0)</f>
        <v>6</v>
      </c>
      <c r="E112" s="68" t="str">
        <f t="shared" si="10"/>
        <v>Roiphet16</v>
      </c>
      <c r="F112" s="63" t="str">
        <f>VLOOKUP(C112,'RAW DATA 2023'!E:BO,5,0)</f>
        <v>Greenhouse</v>
      </c>
      <c r="G112" s="63">
        <f>VLOOKUP(C112,'RAW DATA 2023'!E:BO,13,0)</f>
        <v>134</v>
      </c>
      <c r="H112" s="63">
        <f t="shared" si="13"/>
        <v>100</v>
      </c>
      <c r="I112" s="63">
        <f t="shared" si="11"/>
        <v>0</v>
      </c>
      <c r="J112" s="106">
        <f>VLOOKUP(C112,'RAW DATA 2023'!E:BO,22,0)</f>
        <v>3.915430555555556</v>
      </c>
      <c r="K112" s="70" t="e">
        <f t="shared" si="14"/>
        <v>#DIV/0!</v>
      </c>
      <c r="L112" s="72">
        <f t="shared" si="12"/>
        <v>3.915430555555556</v>
      </c>
      <c r="M112" s="109" t="e">
        <f t="shared" si="16"/>
        <v>#DIV/0!</v>
      </c>
      <c r="N112" s="123" t="str">
        <f>VLOOKUP(C112,'RAW DATA 2023'!E:BO,36,0)</f>
        <v>Normal</v>
      </c>
      <c r="O112" s="63">
        <f>VLOOKUP(C112,'RAW DATA 2023'!E:BO,2,0)</f>
        <v>0.72</v>
      </c>
      <c r="P112" s="322" t="e">
        <f t="shared" si="15"/>
        <v>#DIV/0!</v>
      </c>
    </row>
    <row r="113" spans="1:16">
      <c r="A113" s="63" t="str">
        <f>'RAW DATA 2023'!B106</f>
        <v>Roiphet1</v>
      </c>
      <c r="B113" s="63" t="str">
        <f>'RAW DATA 2023'!D106</f>
        <v>D4-G08-0059</v>
      </c>
      <c r="C113" s="63" t="str">
        <f t="shared" si="9"/>
        <v>Roiphet1D4-G08-0059</v>
      </c>
      <c r="D113" s="68">
        <f>VLOOKUP(C113,'RAW DATA 2023'!E:BP,63,0)</f>
        <v>5</v>
      </c>
      <c r="E113" s="68" t="str">
        <f t="shared" si="10"/>
        <v>Roiphet15</v>
      </c>
      <c r="F113" s="63" t="str">
        <f>VLOOKUP(C113,'RAW DATA 2023'!E:BO,5,0)</f>
        <v>Greenhouse</v>
      </c>
      <c r="G113" s="63">
        <f>VLOOKUP(C113,'RAW DATA 2023'!E:BO,13,0)</f>
        <v>173</v>
      </c>
      <c r="H113" s="63">
        <f t="shared" si="13"/>
        <v>180</v>
      </c>
      <c r="I113" s="63">
        <f t="shared" si="11"/>
        <v>10.247</v>
      </c>
      <c r="J113" s="106">
        <f>VLOOKUP(C113,'RAW DATA 2023'!E:BO,22,0)</f>
        <v>8.5474070796460175</v>
      </c>
      <c r="K113" s="70">
        <f t="shared" si="14"/>
        <v>0.83413751143222581</v>
      </c>
      <c r="L113" s="72">
        <f t="shared" si="12"/>
        <v>8.5474070796460175</v>
      </c>
      <c r="M113" s="109">
        <f t="shared" si="16"/>
        <v>4.4551668190963447</v>
      </c>
      <c r="N113" s="123" t="str">
        <f>VLOOKUP(C113,'RAW DATA 2023'!E:BO,36,0)</f>
        <v>Normal</v>
      </c>
      <c r="O113" s="63">
        <f>VLOOKUP(C113,'RAW DATA 2023'!E:BO,2,0)</f>
        <v>1.1299999999999999</v>
      </c>
      <c r="P113" s="322">
        <f t="shared" si="15"/>
        <v>5.0343385055788694</v>
      </c>
    </row>
    <row r="114" spans="1:16">
      <c r="A114" s="63" t="str">
        <f>'RAW DATA 2023'!B107</f>
        <v>Roiphet1</v>
      </c>
      <c r="B114" s="63" t="str">
        <f>'RAW DATA 2023'!D107</f>
        <v>D4-I08-0071</v>
      </c>
      <c r="C114" s="63" t="str">
        <f t="shared" si="9"/>
        <v>Roiphet1D4-I08-0071</v>
      </c>
      <c r="D114" s="68">
        <f>VLOOKUP(C114,'RAW DATA 2023'!E:BP,63,0)</f>
        <v>5</v>
      </c>
      <c r="E114" s="68" t="str">
        <f t="shared" si="10"/>
        <v>Roiphet15</v>
      </c>
      <c r="F114" s="63" t="str">
        <f>VLOOKUP(C114,'RAW DATA 2023'!E:BO,5,0)</f>
        <v>Greenhouse</v>
      </c>
      <c r="G114" s="63">
        <f>VLOOKUP(C114,'RAW DATA 2023'!E:BO,13,0)</f>
        <v>174</v>
      </c>
      <c r="H114" s="63">
        <f t="shared" si="13"/>
        <v>180</v>
      </c>
      <c r="I114" s="63">
        <f t="shared" si="11"/>
        <v>10.247</v>
      </c>
      <c r="J114" s="106">
        <f>VLOOKUP(C114,'RAW DATA 2023'!E:BO,22,0)</f>
        <v>5.6074722222222224</v>
      </c>
      <c r="K114" s="70">
        <f t="shared" si="14"/>
        <v>0.54723062576580683</v>
      </c>
      <c r="L114" s="72">
        <f t="shared" si="12"/>
        <v>5.6074722222222224</v>
      </c>
      <c r="M114" s="109">
        <f t="shared" si="16"/>
        <v>0.62974167687742444</v>
      </c>
      <c r="N114" s="123" t="str">
        <f>VLOOKUP(C114,'RAW DATA 2023'!E:BO,36,0)</f>
        <v>Normal</v>
      </c>
      <c r="O114" s="63">
        <f>VLOOKUP(C114,'RAW DATA 2023'!E:BO,2,0)</f>
        <v>0.72</v>
      </c>
      <c r="P114" s="322">
        <f t="shared" si="15"/>
        <v>0.45341400735174558</v>
      </c>
    </row>
    <row r="115" spans="1:16">
      <c r="A115" s="63" t="str">
        <f>'RAW DATA 2023'!B108</f>
        <v>Roiphet1</v>
      </c>
      <c r="B115" s="63" t="str">
        <f>'RAW DATA 2023'!D108</f>
        <v>D6-G12-0079</v>
      </c>
      <c r="C115" s="63" t="str">
        <f t="shared" si="9"/>
        <v>Roiphet1D6-G12-0079</v>
      </c>
      <c r="D115" s="68">
        <f>VLOOKUP(C115,'RAW DATA 2023'!E:BP,63,0)</f>
        <v>6</v>
      </c>
      <c r="E115" s="68" t="str">
        <f t="shared" si="10"/>
        <v>Roiphet16</v>
      </c>
      <c r="F115" s="63" t="str">
        <f>VLOOKUP(C115,'RAW DATA 2023'!E:BO,5,0)</f>
        <v>Greenhouse</v>
      </c>
      <c r="G115" s="63">
        <f>VLOOKUP(C115,'RAW DATA 2023'!E:BO,13,0)</f>
        <v>147</v>
      </c>
      <c r="H115" s="63">
        <f t="shared" si="13"/>
        <v>150</v>
      </c>
      <c r="I115" s="63">
        <f t="shared" si="11"/>
        <v>9.1999999999999993</v>
      </c>
      <c r="J115" s="106">
        <f>VLOOKUP(C115,'RAW DATA 2023'!E:BO,22,0)</f>
        <v>5.8067964601769919</v>
      </c>
      <c r="K115" s="70">
        <f t="shared" si="14"/>
        <v>0.63117352828010787</v>
      </c>
      <c r="L115" s="72">
        <f t="shared" si="12"/>
        <v>5.8067964601769919</v>
      </c>
      <c r="M115" s="109">
        <f t="shared" si="16"/>
        <v>1.7489803770681049</v>
      </c>
      <c r="N115" s="123" t="str">
        <f>VLOOKUP(C115,'RAW DATA 2023'!E:BO,36,0)</f>
        <v>ทยอยตาย</v>
      </c>
      <c r="O115" s="63">
        <f>VLOOKUP(C115,'RAW DATA 2023'!E:BO,2,0)</f>
        <v>1.1299999999999999</v>
      </c>
      <c r="P115" s="322">
        <f t="shared" si="15"/>
        <v>1.9763478260869585</v>
      </c>
    </row>
    <row r="116" spans="1:16">
      <c r="A116" s="63" t="str">
        <f>'RAW DATA 2023'!B109</f>
        <v>Roiphet1</v>
      </c>
      <c r="B116" s="63" t="str">
        <f>'RAW DATA 2023'!D109</f>
        <v>D6-I11-0083</v>
      </c>
      <c r="C116" s="63" t="str">
        <f t="shared" si="9"/>
        <v>Roiphet1D6-I11-0083</v>
      </c>
      <c r="D116" s="68">
        <f>VLOOKUP(C116,'RAW DATA 2023'!E:BP,63,0)</f>
        <v>6</v>
      </c>
      <c r="E116" s="68" t="str">
        <f t="shared" si="10"/>
        <v>Roiphet16</v>
      </c>
      <c r="F116" s="63" t="str">
        <f>VLOOKUP(C116,'RAW DATA 2023'!E:BO,5,0)</f>
        <v>Greenhouse</v>
      </c>
      <c r="G116" s="63">
        <f>VLOOKUP(C116,'RAW DATA 2023'!E:BO,13,0)</f>
        <v>134</v>
      </c>
      <c r="H116" s="63">
        <f t="shared" si="13"/>
        <v>100</v>
      </c>
      <c r="I116" s="63">
        <f t="shared" si="11"/>
        <v>0</v>
      </c>
      <c r="J116" s="106">
        <f>VLOOKUP(C116,'RAW DATA 2023'!E:BO,22,0)</f>
        <v>3.5612499999999998</v>
      </c>
      <c r="K116" s="70" t="e">
        <f t="shared" si="14"/>
        <v>#DIV/0!</v>
      </c>
      <c r="L116" s="72">
        <f t="shared" si="12"/>
        <v>3.5612499999999998</v>
      </c>
      <c r="M116" s="109" t="e">
        <f t="shared" si="16"/>
        <v>#DIV/0!</v>
      </c>
      <c r="N116" s="123" t="str">
        <f>VLOOKUP(C116,'RAW DATA 2023'!E:BO,36,0)</f>
        <v>ทยอยตาย</v>
      </c>
      <c r="O116" s="63">
        <f>VLOOKUP(C116,'RAW DATA 2023'!E:BO,2,0)</f>
        <v>0.72</v>
      </c>
      <c r="P116" s="322" t="e">
        <f t="shared" si="15"/>
        <v>#DIV/0!</v>
      </c>
    </row>
    <row r="117" spans="1:16">
      <c r="A117" s="63" t="str">
        <f>'RAW DATA 2023'!B110</f>
        <v>Roiphet1</v>
      </c>
      <c r="B117" s="63" t="str">
        <f>'RAW DATA 2023'!D110</f>
        <v>D1-I02-0088</v>
      </c>
      <c r="C117" s="63" t="str">
        <f t="shared" si="9"/>
        <v>Roiphet1D1-I02-0088</v>
      </c>
      <c r="D117" s="68">
        <f>VLOOKUP(C117,'RAW DATA 2023'!E:BP,63,0)</f>
        <v>1</v>
      </c>
      <c r="E117" s="68" t="str">
        <f t="shared" si="10"/>
        <v>Roiphet11</v>
      </c>
      <c r="F117" s="63" t="str">
        <f>VLOOKUP(C117,'RAW DATA 2023'!E:BO,5,0)</f>
        <v>Greenhouse</v>
      </c>
      <c r="G117" s="63">
        <f>VLOOKUP(C117,'RAW DATA 2023'!E:BO,13,0)</f>
        <v>150</v>
      </c>
      <c r="H117" s="63">
        <f t="shared" si="13"/>
        <v>150</v>
      </c>
      <c r="I117" s="63">
        <f t="shared" si="11"/>
        <v>9.1999999999999993</v>
      </c>
      <c r="J117" s="106">
        <f>VLOOKUP(C117,'RAW DATA 2023'!E:BO,22,0)</f>
        <v>5.7323611111111115</v>
      </c>
      <c r="K117" s="70">
        <f t="shared" si="14"/>
        <v>0.62308272946859911</v>
      </c>
      <c r="L117" s="72">
        <f t="shared" si="12"/>
        <v>5.7323611111111115</v>
      </c>
      <c r="M117" s="109">
        <f t="shared" si="16"/>
        <v>1.6411030595813214</v>
      </c>
      <c r="N117" s="123" t="str">
        <f>VLOOKUP(C117,'RAW DATA 2023'!E:BO,36,0)</f>
        <v>ไฟฟ้าดับ</v>
      </c>
      <c r="O117" s="63">
        <f>VLOOKUP(C117,'RAW DATA 2023'!E:BO,2,0)</f>
        <v>0.72</v>
      </c>
      <c r="P117" s="322">
        <f t="shared" si="15"/>
        <v>1.1815942028985513</v>
      </c>
    </row>
    <row r="118" spans="1:16">
      <c r="A118" s="63" t="str">
        <f>'RAW DATA 2023'!B111</f>
        <v>Roiphet1</v>
      </c>
      <c r="B118" s="63" t="str">
        <f>'RAW DATA 2023'!D111</f>
        <v>D4-G07-0062</v>
      </c>
      <c r="C118" s="63" t="str">
        <f t="shared" si="9"/>
        <v>Roiphet1D4-G07-0062</v>
      </c>
      <c r="D118" s="68">
        <f>VLOOKUP(C118,'RAW DATA 2023'!E:BP,63,0)</f>
        <v>5</v>
      </c>
      <c r="E118" s="68" t="str">
        <f t="shared" si="10"/>
        <v>Roiphet15</v>
      </c>
      <c r="F118" s="63" t="str">
        <f>VLOOKUP(C118,'RAW DATA 2023'!E:BO,5,0)</f>
        <v>Greenhouse</v>
      </c>
      <c r="G118" s="63">
        <f>VLOOKUP(C118,'RAW DATA 2023'!E:BO,13,0)</f>
        <v>173</v>
      </c>
      <c r="H118" s="63">
        <f t="shared" si="13"/>
        <v>180</v>
      </c>
      <c r="I118" s="63">
        <f t="shared" si="11"/>
        <v>10.247</v>
      </c>
      <c r="J118" s="106">
        <f>VLOOKUP(C118,'RAW DATA 2023'!E:BO,22,0)</f>
        <v>7.3515663716814172</v>
      </c>
      <c r="K118" s="70">
        <f t="shared" si="14"/>
        <v>0.71743596874025739</v>
      </c>
      <c r="L118" s="72">
        <f t="shared" si="12"/>
        <v>7.3515663716814172</v>
      </c>
      <c r="M118" s="109">
        <f t="shared" si="16"/>
        <v>2.8991462498700988</v>
      </c>
      <c r="N118" s="123" t="str">
        <f>VLOOKUP(C118,'RAW DATA 2023'!E:BO,36,0)</f>
        <v>Normal</v>
      </c>
      <c r="O118" s="63">
        <f>VLOOKUP(C118,'RAW DATA 2023'!E:BO,2,0)</f>
        <v>1.1299999999999999</v>
      </c>
      <c r="P118" s="322">
        <f t="shared" si="15"/>
        <v>3.2760352623532114</v>
      </c>
    </row>
    <row r="119" spans="1:16">
      <c r="A119" s="63" t="str">
        <f>'RAW DATA 2023'!B112</f>
        <v>Roiphet1</v>
      </c>
      <c r="B119" s="63" t="str">
        <f>'RAW DATA 2023'!D112</f>
        <v>D4-I07-0076</v>
      </c>
      <c r="C119" s="63" t="str">
        <f t="shared" si="9"/>
        <v>Roiphet1D4-I07-0076</v>
      </c>
      <c r="D119" s="68">
        <f>VLOOKUP(C119,'RAW DATA 2023'!E:BP,63,0)</f>
        <v>5</v>
      </c>
      <c r="E119" s="68" t="str">
        <f t="shared" si="10"/>
        <v>Roiphet15</v>
      </c>
      <c r="F119" s="63" t="str">
        <f>VLOOKUP(C119,'RAW DATA 2023'!E:BO,5,0)</f>
        <v>Greenhouse</v>
      </c>
      <c r="G119" s="63">
        <f>VLOOKUP(C119,'RAW DATA 2023'!E:BO,13,0)</f>
        <v>174</v>
      </c>
      <c r="H119" s="63">
        <f t="shared" si="13"/>
        <v>180</v>
      </c>
      <c r="I119" s="63">
        <f t="shared" si="11"/>
        <v>10.247</v>
      </c>
      <c r="J119" s="106">
        <f>VLOOKUP(C119,'RAW DATA 2023'!E:BO,22,0)</f>
        <v>6.9358055555555556</v>
      </c>
      <c r="K119" s="70">
        <f t="shared" si="14"/>
        <v>0.67686206260911053</v>
      </c>
      <c r="L119" s="72">
        <f t="shared" si="12"/>
        <v>6.9358055555555556</v>
      </c>
      <c r="M119" s="109">
        <f t="shared" si="16"/>
        <v>2.3581608347881406</v>
      </c>
      <c r="N119" s="123" t="str">
        <f>VLOOKUP(C119,'RAW DATA 2023'!E:BO,36,0)</f>
        <v>Normal</v>
      </c>
      <c r="O119" s="63">
        <f>VLOOKUP(C119,'RAW DATA 2023'!E:BO,2,0)</f>
        <v>0.72</v>
      </c>
      <c r="P119" s="322">
        <f t="shared" si="15"/>
        <v>1.6978758010474613</v>
      </c>
    </row>
    <row r="120" spans="1:16">
      <c r="A120" s="63" t="str">
        <f>'RAW DATA 2023'!B113</f>
        <v>Roiphet1</v>
      </c>
      <c r="B120" s="63" t="str">
        <f>'RAW DATA 2023'!D113</f>
        <v>D2-G03-0080</v>
      </c>
      <c r="C120" s="63" t="str">
        <f t="shared" si="9"/>
        <v>Roiphet1D2-G03-0080</v>
      </c>
      <c r="D120" s="68">
        <f>VLOOKUP(C120,'RAW DATA 2023'!E:BP,63,0)</f>
        <v>4</v>
      </c>
      <c r="E120" s="68" t="str">
        <f t="shared" si="10"/>
        <v>Roiphet14</v>
      </c>
      <c r="F120" s="63" t="str">
        <f>VLOOKUP(C120,'RAW DATA 2023'!E:BO,5,0)</f>
        <v>Greenhouse</v>
      </c>
      <c r="G120" s="63">
        <f>VLOOKUP(C120,'RAW DATA 2023'!E:BO,13,0)</f>
        <v>173</v>
      </c>
      <c r="H120" s="63">
        <f t="shared" si="13"/>
        <v>180</v>
      </c>
      <c r="I120" s="63">
        <f t="shared" si="11"/>
        <v>10.247</v>
      </c>
      <c r="J120" s="106">
        <f>VLOOKUP(C120,'RAW DATA 2023'!E:BO,22,0)</f>
        <v>8.4893097345132755</v>
      </c>
      <c r="K120" s="70">
        <f t="shared" si="14"/>
        <v>0.8284678183383698</v>
      </c>
      <c r="L120" s="72">
        <f t="shared" si="12"/>
        <v>8.4893097345132755</v>
      </c>
      <c r="M120" s="109">
        <f t="shared" si="16"/>
        <v>4.3795709111782646</v>
      </c>
      <c r="N120" s="123" t="str">
        <f>VLOOKUP(C120,'RAW DATA 2023'!E:BO,36,0)</f>
        <v>Normal</v>
      </c>
      <c r="O120" s="63">
        <f>VLOOKUP(C120,'RAW DATA 2023'!E:BO,2,0)</f>
        <v>1.1299999999999999</v>
      </c>
      <c r="P120" s="322">
        <f t="shared" si="15"/>
        <v>4.9489151296314384</v>
      </c>
    </row>
    <row r="121" spans="1:16">
      <c r="A121" s="63" t="str">
        <f>'RAW DATA 2023'!B114</f>
        <v>Roiphet1</v>
      </c>
      <c r="B121" s="63" t="str">
        <f>'RAW DATA 2023'!D114</f>
        <v>D5-I09-0082</v>
      </c>
      <c r="C121" s="63" t="str">
        <f t="shared" si="9"/>
        <v>Roiphet1D5-I09-0082</v>
      </c>
      <c r="D121" s="68">
        <f>VLOOKUP(C121,'RAW DATA 2023'!E:BP,63,0)</f>
        <v>5</v>
      </c>
      <c r="E121" s="68" t="str">
        <f t="shared" si="10"/>
        <v>Roiphet15</v>
      </c>
      <c r="F121" s="63" t="str">
        <f>VLOOKUP(C121,'RAW DATA 2023'!E:BO,5,0)</f>
        <v>Greenhouse</v>
      </c>
      <c r="G121" s="63">
        <f>VLOOKUP(C121,'RAW DATA 2023'!E:BO,13,0)</f>
        <v>168</v>
      </c>
      <c r="H121" s="63">
        <f t="shared" si="13"/>
        <v>180</v>
      </c>
      <c r="I121" s="63">
        <f t="shared" si="11"/>
        <v>10.247</v>
      </c>
      <c r="J121" s="106">
        <f>VLOOKUP(C121,'RAW DATA 2023'!E:BO,22,0)</f>
        <v>6.8775694444444451</v>
      </c>
      <c r="K121" s="70">
        <f t="shared" si="14"/>
        <v>0.67117882740747981</v>
      </c>
      <c r="L121" s="72">
        <f t="shared" si="12"/>
        <v>6.8775694444444451</v>
      </c>
      <c r="M121" s="109">
        <f t="shared" si="16"/>
        <v>2.2823843654330642</v>
      </c>
      <c r="N121" s="123" t="str">
        <f>VLOOKUP(C121,'RAW DATA 2023'!E:BO,36,0)</f>
        <v>Normal</v>
      </c>
      <c r="O121" s="63">
        <f>VLOOKUP(C121,'RAW DATA 2023'!E:BO,2,0)</f>
        <v>0.72</v>
      </c>
      <c r="P121" s="322">
        <f t="shared" si="15"/>
        <v>1.6433167431118061</v>
      </c>
    </row>
    <row r="122" spans="1:16">
      <c r="A122" s="63" t="str">
        <f>'RAW DATA 2023'!B115</f>
        <v>Roiphet1</v>
      </c>
      <c r="B122" s="63" t="str">
        <f>'RAW DATA 2023'!D115</f>
        <v>D2-I04-0091</v>
      </c>
      <c r="C122" s="63" t="str">
        <f t="shared" si="9"/>
        <v>Roiphet1D2-I04-0091</v>
      </c>
      <c r="D122" s="68">
        <f>VLOOKUP(C122,'RAW DATA 2023'!E:BP,63,0)</f>
        <v>5</v>
      </c>
      <c r="E122" s="68" t="str">
        <f t="shared" si="10"/>
        <v>Roiphet15</v>
      </c>
      <c r="F122" s="63" t="str">
        <f>VLOOKUP(C122,'RAW DATA 2023'!E:BO,5,0)</f>
        <v>Greenhouse</v>
      </c>
      <c r="G122" s="63">
        <f>VLOOKUP(C122,'RAW DATA 2023'!E:BO,13,0)</f>
        <v>167</v>
      </c>
      <c r="H122" s="63">
        <f t="shared" si="13"/>
        <v>180</v>
      </c>
      <c r="I122" s="63">
        <f t="shared" si="11"/>
        <v>10.247</v>
      </c>
      <c r="J122" s="106">
        <f>VLOOKUP(C122,'RAW DATA 2023'!E:BO,22,0)</f>
        <v>6.1246111111111112</v>
      </c>
      <c r="K122" s="70">
        <f t="shared" si="14"/>
        <v>0.59769797122192947</v>
      </c>
      <c r="L122" s="72">
        <f t="shared" si="12"/>
        <v>6.1246111111111112</v>
      </c>
      <c r="M122" s="109">
        <f t="shared" si="16"/>
        <v>1.302639616292393</v>
      </c>
      <c r="N122" s="123" t="str">
        <f>VLOOKUP(C122,'RAW DATA 2023'!E:BO,36,0)</f>
        <v>Normal</v>
      </c>
      <c r="O122" s="63">
        <f>VLOOKUP(C122,'RAW DATA 2023'!E:BO,2,0)</f>
        <v>0.72</v>
      </c>
      <c r="P122" s="322">
        <f t="shared" si="15"/>
        <v>0.93790052373052291</v>
      </c>
    </row>
    <row r="123" spans="1:16">
      <c r="A123" s="63" t="str">
        <f>'RAW DATA 2023'!B116</f>
        <v>Roiphet1</v>
      </c>
      <c r="B123" s="63" t="str">
        <f>'RAW DATA 2023'!D116</f>
        <v>D6-G11-0076</v>
      </c>
      <c r="C123" s="63" t="str">
        <f t="shared" si="9"/>
        <v>Roiphet1D6-G11-0076</v>
      </c>
      <c r="D123" s="68">
        <f>VLOOKUP(C123,'RAW DATA 2023'!E:BP,63,0)</f>
        <v>6</v>
      </c>
      <c r="E123" s="68" t="str">
        <f t="shared" si="10"/>
        <v>Roiphet16</v>
      </c>
      <c r="F123" s="63" t="str">
        <f>VLOOKUP(C123,'RAW DATA 2023'!E:BO,5,0)</f>
        <v>Greenhouse</v>
      </c>
      <c r="G123" s="63">
        <f>VLOOKUP(C123,'RAW DATA 2023'!E:BO,13,0)</f>
        <v>147</v>
      </c>
      <c r="H123" s="63">
        <f t="shared" si="13"/>
        <v>150</v>
      </c>
      <c r="I123" s="63">
        <f t="shared" si="11"/>
        <v>9.1999999999999993</v>
      </c>
      <c r="J123" s="106">
        <f>VLOOKUP(C123,'RAW DATA 2023'!E:BO,22,0)</f>
        <v>5.658283185840709</v>
      </c>
      <c r="K123" s="70">
        <f t="shared" si="14"/>
        <v>0.61503078106964237</v>
      </c>
      <c r="L123" s="72">
        <f t="shared" si="12"/>
        <v>5.658283185840709</v>
      </c>
      <c r="M123" s="109">
        <f t="shared" si="16"/>
        <v>1.5337437475952318</v>
      </c>
      <c r="N123" s="123" t="str">
        <f>VLOOKUP(C123,'RAW DATA 2023'!E:BO,36,0)</f>
        <v>Normal</v>
      </c>
      <c r="O123" s="63">
        <f>VLOOKUP(C123,'RAW DATA 2023'!E:BO,2,0)</f>
        <v>1.1299999999999999</v>
      </c>
      <c r="P123" s="322">
        <f t="shared" si="15"/>
        <v>1.7331304347826118</v>
      </c>
    </row>
    <row r="124" spans="1:16">
      <c r="A124" s="63" t="str">
        <f>'RAW DATA 2023'!B117</f>
        <v>Roiphet1</v>
      </c>
      <c r="B124" s="63" t="str">
        <f>'RAW DATA 2023'!D117</f>
        <v>D2-I03-0085</v>
      </c>
      <c r="C124" s="63" t="str">
        <f t="shared" si="9"/>
        <v>Roiphet1D2-I03-0085</v>
      </c>
      <c r="D124" s="68">
        <f>VLOOKUP(C124,'RAW DATA 2023'!E:BP,63,0)</f>
        <v>4</v>
      </c>
      <c r="E124" s="68" t="str">
        <f t="shared" si="10"/>
        <v>Roiphet14</v>
      </c>
      <c r="F124" s="63" t="str">
        <f>VLOOKUP(C124,'RAW DATA 2023'!E:BO,5,0)</f>
        <v>Greenhouse</v>
      </c>
      <c r="G124" s="63">
        <f>VLOOKUP(C124,'RAW DATA 2023'!E:BO,13,0)</f>
        <v>120</v>
      </c>
      <c r="H124" s="63">
        <f t="shared" si="13"/>
        <v>100</v>
      </c>
      <c r="I124" s="63">
        <f t="shared" si="11"/>
        <v>0</v>
      </c>
      <c r="J124" s="106">
        <f>VLOOKUP(C124,'RAW DATA 2023'!E:BO,22,0)</f>
        <v>6.0539722222222228</v>
      </c>
      <c r="K124" s="70" t="e">
        <f t="shared" si="14"/>
        <v>#DIV/0!</v>
      </c>
      <c r="L124" s="72">
        <f t="shared" si="12"/>
        <v>6.0539722222222228</v>
      </c>
      <c r="M124" s="109" t="e">
        <f t="shared" si="16"/>
        <v>#DIV/0!</v>
      </c>
      <c r="N124" s="123" t="str">
        <f>VLOOKUP(C124,'RAW DATA 2023'!E:BO,36,0)</f>
        <v>Normal</v>
      </c>
      <c r="O124" s="63">
        <f>VLOOKUP(C124,'RAW DATA 2023'!E:BO,2,0)</f>
        <v>0.72</v>
      </c>
      <c r="P124" s="322" t="e">
        <f t="shared" si="15"/>
        <v>#DIV/0!</v>
      </c>
    </row>
    <row r="125" spans="1:16">
      <c r="A125" s="63" t="str">
        <f>'RAW DATA 2023'!B118</f>
        <v>Roiphet1</v>
      </c>
      <c r="B125" s="63" t="str">
        <f>'RAW DATA 2023'!D118</f>
        <v>D5-I10-0074</v>
      </c>
      <c r="C125" s="63" t="str">
        <f t="shared" si="9"/>
        <v>Roiphet1D5-I10-0074</v>
      </c>
      <c r="D125" s="68">
        <f>VLOOKUP(C125,'RAW DATA 2023'!E:BP,63,0)</f>
        <v>5</v>
      </c>
      <c r="E125" s="68" t="str">
        <f t="shared" si="10"/>
        <v>Roiphet15</v>
      </c>
      <c r="F125" s="63" t="str">
        <f>VLOOKUP(C125,'RAW DATA 2023'!E:BO,5,0)</f>
        <v>Greenhouse</v>
      </c>
      <c r="G125" s="63">
        <f>VLOOKUP(C125,'RAW DATA 2023'!E:BO,13,0)</f>
        <v>174</v>
      </c>
      <c r="H125" s="63">
        <f t="shared" si="13"/>
        <v>180</v>
      </c>
      <c r="I125" s="63">
        <f t="shared" si="11"/>
        <v>10.247</v>
      </c>
      <c r="J125" s="106">
        <f>VLOOKUP(C125,'RAW DATA 2023'!E:BO,22,0)</f>
        <v>9.1990138888888886</v>
      </c>
      <c r="K125" s="70">
        <f t="shared" si="14"/>
        <v>0.89772751916550098</v>
      </c>
      <c r="L125" s="72">
        <f t="shared" si="12"/>
        <v>9.1990138888888886</v>
      </c>
      <c r="M125" s="109">
        <f t="shared" si="16"/>
        <v>5.3030335888733466</v>
      </c>
      <c r="N125" s="123" t="str">
        <f>VLOOKUP(C125,'RAW DATA 2023'!E:BO,36,0)</f>
        <v>Normal</v>
      </c>
      <c r="O125" s="63">
        <f>VLOOKUP(C125,'RAW DATA 2023'!E:BO,2,0)</f>
        <v>0.72</v>
      </c>
      <c r="P125" s="322">
        <f t="shared" si="15"/>
        <v>3.8181841839888095</v>
      </c>
    </row>
    <row r="126" spans="1:16">
      <c r="A126" s="63" t="str">
        <f>'RAW DATA 2023'!B119</f>
        <v>Roiphet1</v>
      </c>
      <c r="B126" s="63" t="str">
        <f>'RAW DATA 2023'!D119</f>
        <v>D5-G10-0069</v>
      </c>
      <c r="C126" s="63" t="str">
        <f t="shared" si="9"/>
        <v>Roiphet1D5-G10-0069</v>
      </c>
      <c r="D126" s="68">
        <f>VLOOKUP(C126,'RAW DATA 2023'!E:BP,63,0)</f>
        <v>5</v>
      </c>
      <c r="E126" s="68" t="str">
        <f t="shared" si="10"/>
        <v>Roiphet15</v>
      </c>
      <c r="F126" s="63" t="str">
        <f>VLOOKUP(C126,'RAW DATA 2023'!E:BO,5,0)</f>
        <v>Greenhouse</v>
      </c>
      <c r="G126" s="63">
        <f>VLOOKUP(C126,'RAW DATA 2023'!E:BO,13,0)</f>
        <v>173</v>
      </c>
      <c r="H126" s="63">
        <f t="shared" si="13"/>
        <v>180</v>
      </c>
      <c r="I126" s="63">
        <f t="shared" si="11"/>
        <v>10.247</v>
      </c>
      <c r="J126" s="106">
        <f>VLOOKUP(C126,'RAW DATA 2023'!E:BO,22,0)</f>
        <v>9.6553628318584082</v>
      </c>
      <c r="K126" s="70">
        <f t="shared" si="14"/>
        <v>0.94226240185990129</v>
      </c>
      <c r="L126" s="72">
        <f t="shared" si="12"/>
        <v>9.6553628318584082</v>
      </c>
      <c r="M126" s="109">
        <f t="shared" si="16"/>
        <v>5.8968320247986838</v>
      </c>
      <c r="N126" s="123" t="str">
        <f>VLOOKUP(C126,'RAW DATA 2023'!E:BO,36,0)</f>
        <v>Normal</v>
      </c>
      <c r="O126" s="63">
        <f>VLOOKUP(C126,'RAW DATA 2023'!E:BO,2,0)</f>
        <v>1.1299999999999999</v>
      </c>
      <c r="P126" s="322">
        <f t="shared" si="15"/>
        <v>6.6634201880225117</v>
      </c>
    </row>
    <row r="127" spans="1:16">
      <c r="A127" s="63" t="str">
        <f>'RAW DATA 2023'!B120</f>
        <v>Roiphet1</v>
      </c>
      <c r="B127" s="63" t="str">
        <f>'RAW DATA 2023'!D120</f>
        <v>D2-G04-0079</v>
      </c>
      <c r="C127" s="63" t="str">
        <f t="shared" si="9"/>
        <v>Roiphet1D2-G04-0079</v>
      </c>
      <c r="D127" s="68">
        <f>VLOOKUP(C127,'RAW DATA 2023'!E:BP,63,0)</f>
        <v>5</v>
      </c>
      <c r="E127" s="68" t="str">
        <f t="shared" si="10"/>
        <v>Roiphet15</v>
      </c>
      <c r="F127" s="63" t="str">
        <f>VLOOKUP(C127,'RAW DATA 2023'!E:BO,5,0)</f>
        <v>Greenhouse</v>
      </c>
      <c r="G127" s="63">
        <f>VLOOKUP(C127,'RAW DATA 2023'!E:BO,13,0)</f>
        <v>166</v>
      </c>
      <c r="H127" s="63">
        <f t="shared" si="13"/>
        <v>180</v>
      </c>
      <c r="I127" s="63">
        <f t="shared" si="11"/>
        <v>10.247</v>
      </c>
      <c r="J127" s="106">
        <f>VLOOKUP(C127,'RAW DATA 2023'!E:BO,22,0)</f>
        <v>7.0548141592920359</v>
      </c>
      <c r="K127" s="70">
        <f t="shared" si="14"/>
        <v>0.68847605731355865</v>
      </c>
      <c r="L127" s="72">
        <f t="shared" si="12"/>
        <v>7.0548141592920359</v>
      </c>
      <c r="M127" s="109">
        <f t="shared" si="16"/>
        <v>2.5130140975141155</v>
      </c>
      <c r="N127" s="123" t="str">
        <f>VLOOKUP(C127,'RAW DATA 2023'!E:BO,36,0)</f>
        <v>Normal</v>
      </c>
      <c r="O127" s="63">
        <f>VLOOKUP(C127,'RAW DATA 2023'!E:BO,2,0)</f>
        <v>1.1299999999999999</v>
      </c>
      <c r="P127" s="322">
        <f t="shared" si="15"/>
        <v>2.8397059301909504</v>
      </c>
    </row>
    <row r="128" spans="1:16">
      <c r="A128" s="63" t="str">
        <f>'RAW DATA 2023'!B121</f>
        <v>Roiphet1</v>
      </c>
      <c r="B128" s="63" t="str">
        <f>'RAW DATA 2023'!D121</f>
        <v>D6-I11-0082</v>
      </c>
      <c r="C128" s="63" t="str">
        <f t="shared" si="9"/>
        <v>Roiphet1D6-I11-0082</v>
      </c>
      <c r="D128" s="68">
        <f>VLOOKUP(C128,'RAW DATA 2023'!E:BP,63,0)</f>
        <v>2</v>
      </c>
      <c r="E128" s="68" t="str">
        <f t="shared" si="10"/>
        <v>Roiphet12</v>
      </c>
      <c r="F128" s="63" t="str">
        <f>VLOOKUP(C128,'RAW DATA 2023'!E:BO,5,0)</f>
        <v>Greenhouse</v>
      </c>
      <c r="G128" s="63">
        <f>VLOOKUP(C128,'RAW DATA 2023'!E:BO,13,0)</f>
        <v>167</v>
      </c>
      <c r="H128" s="63">
        <f t="shared" si="13"/>
        <v>180</v>
      </c>
      <c r="I128" s="63">
        <f t="shared" si="11"/>
        <v>10.247</v>
      </c>
      <c r="J128" s="106">
        <f>VLOOKUP(C128,'RAW DATA 2023'!E:BO,22,0)</f>
        <v>5.7737083333333334</v>
      </c>
      <c r="K128" s="70">
        <f t="shared" si="14"/>
        <v>0.56345353111479779</v>
      </c>
      <c r="L128" s="72">
        <f t="shared" si="12"/>
        <v>5.7737083333333334</v>
      </c>
      <c r="M128" s="109">
        <f t="shared" si="16"/>
        <v>0.84604708153063723</v>
      </c>
      <c r="N128" s="123" t="str">
        <f>VLOOKUP(C128,'RAW DATA 2023'!E:BO,36,0)</f>
        <v>Normal</v>
      </c>
      <c r="O128" s="63">
        <f>VLOOKUP(C128,'RAW DATA 2023'!E:BO,2,0)</f>
        <v>0.72</v>
      </c>
      <c r="P128" s="322">
        <f t="shared" si="15"/>
        <v>0.60915389870205883</v>
      </c>
    </row>
    <row r="129" spans="1:16">
      <c r="A129" s="63" t="str">
        <f>'RAW DATA 2023'!B122</f>
        <v>Roiphet1</v>
      </c>
      <c r="B129" s="63" t="str">
        <f>'RAW DATA 2023'!D122</f>
        <v>D1-G02-0078</v>
      </c>
      <c r="C129" s="63" t="str">
        <f t="shared" si="9"/>
        <v>Roiphet1D1-G02-0078</v>
      </c>
      <c r="D129" s="68">
        <f>VLOOKUP(C129,'RAW DATA 2023'!E:BP,63,0)</f>
        <v>2</v>
      </c>
      <c r="E129" s="68" t="str">
        <f t="shared" si="10"/>
        <v>Roiphet12</v>
      </c>
      <c r="F129" s="63" t="str">
        <f>VLOOKUP(C129,'RAW DATA 2023'!E:BO,5,0)</f>
        <v>Greenhouse</v>
      </c>
      <c r="G129" s="63">
        <f>VLOOKUP(C129,'RAW DATA 2023'!E:BO,13,0)</f>
        <v>173</v>
      </c>
      <c r="H129" s="63">
        <f t="shared" si="13"/>
        <v>180</v>
      </c>
      <c r="I129" s="63">
        <f t="shared" si="11"/>
        <v>10.247</v>
      </c>
      <c r="J129" s="106">
        <f>VLOOKUP(C129,'RAW DATA 2023'!E:BO,22,0)</f>
        <v>10.446716814159293</v>
      </c>
      <c r="K129" s="70">
        <f t="shared" si="14"/>
        <v>1.0194902717048202</v>
      </c>
      <c r="L129" s="72">
        <f t="shared" si="12"/>
        <v>10.446716814159293</v>
      </c>
      <c r="M129" s="109">
        <f t="shared" si="16"/>
        <v>6.92653695606427</v>
      </c>
      <c r="N129" s="123" t="str">
        <f>VLOOKUP(C129,'RAW DATA 2023'!E:BO,36,0)</f>
        <v>Normal</v>
      </c>
      <c r="O129" s="63">
        <f>VLOOKUP(C129,'RAW DATA 2023'!E:BO,2,0)</f>
        <v>1.1299999999999999</v>
      </c>
      <c r="P129" s="322">
        <f t="shared" si="15"/>
        <v>7.8269867603526242</v>
      </c>
    </row>
    <row r="130" spans="1:16">
      <c r="A130" s="63" t="str">
        <f>'RAW DATA 2023'!B123</f>
        <v>Roiphet1</v>
      </c>
      <c r="B130" s="63" t="str">
        <f>'RAW DATA 2023'!D123</f>
        <v>D6-G11-0075</v>
      </c>
      <c r="C130" s="63" t="str">
        <f t="shared" si="9"/>
        <v>Roiphet1D6-G11-0075</v>
      </c>
      <c r="D130" s="68">
        <f>VLOOKUP(C130,'RAW DATA 2023'!E:BP,63,0)</f>
        <v>2</v>
      </c>
      <c r="E130" s="68" t="str">
        <f t="shared" si="10"/>
        <v>Roiphet12</v>
      </c>
      <c r="F130" s="63" t="str">
        <f>VLOOKUP(C130,'RAW DATA 2023'!E:BO,5,0)</f>
        <v>Greenhouse</v>
      </c>
      <c r="G130" s="63">
        <f>VLOOKUP(C130,'RAW DATA 2023'!E:BO,13,0)</f>
        <v>201</v>
      </c>
      <c r="H130" s="63">
        <f t="shared" si="13"/>
        <v>200</v>
      </c>
      <c r="I130" s="63">
        <f t="shared" si="11"/>
        <v>11.259</v>
      </c>
      <c r="J130" s="106">
        <f>VLOOKUP(C130,'RAW DATA 2023'!E:BO,22,0)</f>
        <v>8.3763893805309753</v>
      </c>
      <c r="K130" s="70">
        <f t="shared" si="14"/>
        <v>0.74397276672270851</v>
      </c>
      <c r="L130" s="72">
        <f t="shared" si="12"/>
        <v>8.3763893805309753</v>
      </c>
      <c r="M130" s="109">
        <f t="shared" si="16"/>
        <v>3.2529702229694468</v>
      </c>
      <c r="N130" s="123" t="str">
        <f>VLOOKUP(C130,'RAW DATA 2023'!E:BO,36,0)</f>
        <v>Normal</v>
      </c>
      <c r="O130" s="63">
        <f>VLOOKUP(C130,'RAW DATA 2023'!E:BO,2,0)</f>
        <v>1.1299999999999999</v>
      </c>
      <c r="P130" s="322">
        <f t="shared" si="15"/>
        <v>3.6758563519554746</v>
      </c>
    </row>
    <row r="131" spans="1:16">
      <c r="A131" s="63" t="str">
        <f>'RAW DATA 2023'!B124</f>
        <v>Roiphet1</v>
      </c>
      <c r="B131" s="63" t="str">
        <f>'RAW DATA 2023'!D124</f>
        <v>D1-I01-0091</v>
      </c>
      <c r="C131" s="63" t="str">
        <f t="shared" si="9"/>
        <v>Roiphet1D1-I01-0091</v>
      </c>
      <c r="D131" s="68">
        <f>VLOOKUP(C131,'RAW DATA 2023'!E:BP,63,0)</f>
        <v>6</v>
      </c>
      <c r="E131" s="68" t="str">
        <f t="shared" si="10"/>
        <v>Roiphet16</v>
      </c>
      <c r="F131" s="63" t="str">
        <f>VLOOKUP(C131,'RAW DATA 2023'!E:BO,5,0)</f>
        <v>Greenhouse</v>
      </c>
      <c r="G131" s="63">
        <f>VLOOKUP(C131,'RAW DATA 2023'!E:BO,13,0)</f>
        <v>134</v>
      </c>
      <c r="H131" s="63">
        <f t="shared" si="13"/>
        <v>100</v>
      </c>
      <c r="I131" s="63">
        <f t="shared" si="11"/>
        <v>0</v>
      </c>
      <c r="J131" s="106">
        <f>VLOOKUP(C131,'RAW DATA 2023'!E:BO,22,0)</f>
        <v>5.9523333333333337</v>
      </c>
      <c r="K131" s="70" t="e">
        <f t="shared" si="14"/>
        <v>#DIV/0!</v>
      </c>
      <c r="L131" s="72">
        <f t="shared" si="12"/>
        <v>5.9523333333333337</v>
      </c>
      <c r="M131" s="109" t="e">
        <f t="shared" si="16"/>
        <v>#DIV/0!</v>
      </c>
      <c r="N131" s="123" t="str">
        <f>VLOOKUP(C131,'RAW DATA 2023'!E:BO,36,0)</f>
        <v>Normal</v>
      </c>
      <c r="O131" s="63">
        <f>VLOOKUP(C131,'RAW DATA 2023'!E:BO,2,0)</f>
        <v>0.72</v>
      </c>
      <c r="P131" s="322" t="e">
        <f t="shared" si="15"/>
        <v>#DIV/0!</v>
      </c>
    </row>
    <row r="132" spans="1:16">
      <c r="A132" s="63" t="str">
        <f>'RAW DATA 2023'!B125</f>
        <v>Roiphet1</v>
      </c>
      <c r="B132" s="63" t="str">
        <f>'RAW DATA 2023'!D125</f>
        <v>D6-G12-0078</v>
      </c>
      <c r="C132" s="63" t="str">
        <f t="shared" si="9"/>
        <v>Roiphet1D6-G12-0078</v>
      </c>
      <c r="D132" s="68">
        <f>VLOOKUP(C132,'RAW DATA 2023'!E:BP,63,0)</f>
        <v>2</v>
      </c>
      <c r="E132" s="68" t="str">
        <f t="shared" si="10"/>
        <v>Roiphet12</v>
      </c>
      <c r="F132" s="63" t="str">
        <f>VLOOKUP(C132,'RAW DATA 2023'!E:BO,5,0)</f>
        <v>Greenhouse</v>
      </c>
      <c r="G132" s="63">
        <f>VLOOKUP(C132,'RAW DATA 2023'!E:BO,13,0)</f>
        <v>201</v>
      </c>
      <c r="H132" s="63">
        <f t="shared" si="13"/>
        <v>200</v>
      </c>
      <c r="I132" s="63">
        <f t="shared" si="11"/>
        <v>11.259</v>
      </c>
      <c r="J132" s="106">
        <f>VLOOKUP(C132,'RAW DATA 2023'!E:BO,22,0)</f>
        <v>6.9734247787610624</v>
      </c>
      <c r="K132" s="70">
        <f t="shared" si="14"/>
        <v>0.61936448874332195</v>
      </c>
      <c r="L132" s="72">
        <f t="shared" si="12"/>
        <v>6.9734247787610624</v>
      </c>
      <c r="M132" s="109">
        <f t="shared" si="16"/>
        <v>1.591526516577626</v>
      </c>
      <c r="N132" s="123" t="str">
        <f>VLOOKUP(C132,'RAW DATA 2023'!E:BO,36,0)</f>
        <v>Normal</v>
      </c>
      <c r="O132" s="63">
        <f>VLOOKUP(C132,'RAW DATA 2023'!E:BO,2,0)</f>
        <v>1.1299999999999999</v>
      </c>
      <c r="P132" s="322">
        <f t="shared" si="15"/>
        <v>1.7984249637327172</v>
      </c>
    </row>
    <row r="133" spans="1:16">
      <c r="A133" s="63" t="str">
        <f>'RAW DATA 2023'!B126</f>
        <v>Roiphet1</v>
      </c>
      <c r="B133" s="63" t="str">
        <f>'RAW DATA 2023'!D126</f>
        <v>D3-G05-0080</v>
      </c>
      <c r="C133" s="63" t="str">
        <f t="shared" si="9"/>
        <v>Roiphet1D3-G05-0080</v>
      </c>
      <c r="D133" s="68">
        <f>VLOOKUP(C133,'RAW DATA 2023'!E:BP,63,0)</f>
        <v>4</v>
      </c>
      <c r="E133" s="68" t="str">
        <f t="shared" si="10"/>
        <v>Roiphet14</v>
      </c>
      <c r="F133" s="63" t="str">
        <f>VLOOKUP(C133,'RAW DATA 2023'!E:BO,5,0)</f>
        <v>Greenhouse</v>
      </c>
      <c r="G133" s="63">
        <f>VLOOKUP(C133,'RAW DATA 2023'!E:BO,13,0)</f>
        <v>166</v>
      </c>
      <c r="H133" s="63">
        <f t="shared" si="13"/>
        <v>180</v>
      </c>
      <c r="I133" s="63">
        <f t="shared" si="11"/>
        <v>10.247</v>
      </c>
      <c r="J133" s="106">
        <f>VLOOKUP(C133,'RAW DATA 2023'!E:BO,22,0)</f>
        <v>8.0369469026548668</v>
      </c>
      <c r="K133" s="70">
        <f t="shared" si="14"/>
        <v>0.78432193838731989</v>
      </c>
      <c r="L133" s="72">
        <f t="shared" si="12"/>
        <v>8.0369469026548668</v>
      </c>
      <c r="M133" s="109">
        <f t="shared" si="16"/>
        <v>3.7909591784975989</v>
      </c>
      <c r="N133" s="123" t="str">
        <f>VLOOKUP(C133,'RAW DATA 2023'!E:BO,36,0)</f>
        <v>Normal</v>
      </c>
      <c r="O133" s="63">
        <f>VLOOKUP(C133,'RAW DATA 2023'!E:BO,2,0)</f>
        <v>1.1299999999999999</v>
      </c>
      <c r="P133" s="322">
        <f t="shared" si="15"/>
        <v>4.283783871702286</v>
      </c>
    </row>
    <row r="134" spans="1:16">
      <c r="A134" s="63" t="str">
        <f>'RAW DATA 2023'!B127</f>
        <v>Roiphet1</v>
      </c>
      <c r="B134" s="63" t="str">
        <f>'RAW DATA 2023'!D127</f>
        <v>D3-I06-0080</v>
      </c>
      <c r="C134" s="63" t="str">
        <f t="shared" si="9"/>
        <v>Roiphet1D3-I06-0080</v>
      </c>
      <c r="D134" s="68">
        <f>VLOOKUP(C134,'RAW DATA 2023'!E:BP,63,0)</f>
        <v>4</v>
      </c>
      <c r="E134" s="68" t="str">
        <f t="shared" si="10"/>
        <v>Roiphet14</v>
      </c>
      <c r="F134" s="63" t="str">
        <f>VLOOKUP(C134,'RAW DATA 2023'!E:BO,5,0)</f>
        <v>Greenhouse</v>
      </c>
      <c r="G134" s="63">
        <f>VLOOKUP(C134,'RAW DATA 2023'!E:BO,13,0)</f>
        <v>167</v>
      </c>
      <c r="H134" s="63">
        <f t="shared" si="13"/>
        <v>180</v>
      </c>
      <c r="I134" s="63">
        <f t="shared" si="11"/>
        <v>10.247</v>
      </c>
      <c r="J134" s="106">
        <f>VLOOKUP(C134,'RAW DATA 2023'!E:BO,22,0)</f>
        <v>6.4425833333333333</v>
      </c>
      <c r="K134" s="70">
        <f t="shared" si="14"/>
        <v>0.62872873361309001</v>
      </c>
      <c r="L134" s="72">
        <f t="shared" si="12"/>
        <v>6.4425833333333333</v>
      </c>
      <c r="M134" s="109">
        <f t="shared" si="16"/>
        <v>1.7163831148412001</v>
      </c>
      <c r="N134" s="123" t="str">
        <f>VLOOKUP(C134,'RAW DATA 2023'!E:BO,36,0)</f>
        <v>Normal</v>
      </c>
      <c r="O134" s="63">
        <f>VLOOKUP(C134,'RAW DATA 2023'!E:BO,2,0)</f>
        <v>0.72</v>
      </c>
      <c r="P134" s="322">
        <f t="shared" si="15"/>
        <v>1.2357958426856641</v>
      </c>
    </row>
    <row r="135" spans="1:16">
      <c r="A135" s="63" t="str">
        <f>'RAW DATA 2023'!B128</f>
        <v>Roiphet1</v>
      </c>
      <c r="B135" s="63" t="str">
        <f>'RAW DATA 2023'!D128</f>
        <v>D5-G09-0068</v>
      </c>
      <c r="C135" s="63" t="str">
        <f t="shared" si="9"/>
        <v>Roiphet1D5-G09-0068</v>
      </c>
      <c r="D135" s="68">
        <f>VLOOKUP(C135,'RAW DATA 2023'!E:BP,63,0)</f>
        <v>5</v>
      </c>
      <c r="E135" s="68" t="str">
        <f t="shared" si="10"/>
        <v>Roiphet15</v>
      </c>
      <c r="F135" s="63" t="str">
        <f>VLOOKUP(C135,'RAW DATA 2023'!E:BO,5,0)</f>
        <v>Greenhouse</v>
      </c>
      <c r="G135" s="63">
        <f>VLOOKUP(C135,'RAW DATA 2023'!E:BO,13,0)</f>
        <v>181</v>
      </c>
      <c r="H135" s="63">
        <f t="shared" si="13"/>
        <v>180</v>
      </c>
      <c r="I135" s="63">
        <f t="shared" si="11"/>
        <v>10.247</v>
      </c>
      <c r="J135" s="106">
        <f>VLOOKUP(C135,'RAW DATA 2023'!E:BO,22,0)</f>
        <v>10.665699115044248</v>
      </c>
      <c r="K135" s="70">
        <f t="shared" si="14"/>
        <v>1.0408606533662776</v>
      </c>
      <c r="L135" s="72">
        <f t="shared" si="12"/>
        <v>10.665699115044248</v>
      </c>
      <c r="M135" s="109">
        <f t="shared" si="16"/>
        <v>7.2114753782170355</v>
      </c>
      <c r="N135" s="123" t="str">
        <f>VLOOKUP(C135,'RAW DATA 2023'!E:BO,36,0)</f>
        <v>Normal</v>
      </c>
      <c r="O135" s="63">
        <f>VLOOKUP(C135,'RAW DATA 2023'!E:BO,2,0)</f>
        <v>1.1299999999999999</v>
      </c>
      <c r="P135" s="322">
        <f t="shared" si="15"/>
        <v>8.1489671773852486</v>
      </c>
    </row>
    <row r="136" spans="1:16">
      <c r="A136" s="63" t="str">
        <f>'RAW DATA 2023'!B129</f>
        <v>Roiphet1</v>
      </c>
      <c r="B136" s="63" t="str">
        <f>'RAW DATA 2023'!D129</f>
        <v>D3-I05-0094</v>
      </c>
      <c r="C136" s="63" t="str">
        <f t="shared" si="9"/>
        <v>Roiphet1D3-I05-0094</v>
      </c>
      <c r="D136" s="68">
        <f>VLOOKUP(C136,'RAW DATA 2023'!E:BP,63,0)</f>
        <v>4</v>
      </c>
      <c r="E136" s="68" t="str">
        <f t="shared" si="10"/>
        <v>Roiphet14</v>
      </c>
      <c r="F136" s="63" t="str">
        <f>VLOOKUP(C136,'RAW DATA 2023'!E:BO,5,0)</f>
        <v>Greenhouse</v>
      </c>
      <c r="G136" s="63">
        <f>VLOOKUP(C136,'RAW DATA 2023'!E:BO,13,0)</f>
        <v>167</v>
      </c>
      <c r="H136" s="63">
        <f t="shared" si="13"/>
        <v>180</v>
      </c>
      <c r="I136" s="63">
        <f t="shared" si="11"/>
        <v>10.247</v>
      </c>
      <c r="J136" s="106">
        <f>VLOOKUP(C136,'RAW DATA 2023'!E:BO,22,0)</f>
        <v>6.4069722222222234</v>
      </c>
      <c r="K136" s="70">
        <f t="shared" si="14"/>
        <v>0.62525346171779284</v>
      </c>
      <c r="L136" s="72">
        <f t="shared" si="12"/>
        <v>6.4069722222222234</v>
      </c>
      <c r="M136" s="109">
        <f t="shared" si="16"/>
        <v>1.670046156237238</v>
      </c>
      <c r="N136" s="123" t="str">
        <f>VLOOKUP(C136,'RAW DATA 2023'!E:BO,36,0)</f>
        <v>Normal</v>
      </c>
      <c r="O136" s="63">
        <f>VLOOKUP(C136,'RAW DATA 2023'!E:BO,2,0)</f>
        <v>0.72</v>
      </c>
      <c r="P136" s="322">
        <f t="shared" si="15"/>
        <v>1.2024332324908114</v>
      </c>
    </row>
    <row r="137" spans="1:16">
      <c r="A137" s="63" t="str">
        <f>'RAW DATA 2023'!B130</f>
        <v>Roiphet1</v>
      </c>
      <c r="B137" s="63" t="str">
        <f>'RAW DATA 2023'!D130</f>
        <v>D1-I01-0090</v>
      </c>
      <c r="C137" s="63" t="str">
        <f t="shared" si="9"/>
        <v>Roiphet1D1-I01-0090</v>
      </c>
      <c r="D137" s="68">
        <f>VLOOKUP(C137,'RAW DATA 2023'!E:BP,63,0)</f>
        <v>2</v>
      </c>
      <c r="E137" s="68" t="str">
        <f t="shared" si="10"/>
        <v>Roiphet12</v>
      </c>
      <c r="F137" s="63" t="str">
        <f>VLOOKUP(C137,'RAW DATA 2023'!E:BO,5,0)</f>
        <v>Greenhouse</v>
      </c>
      <c r="G137" s="63">
        <f>VLOOKUP(C137,'RAW DATA 2023'!E:BO,13,0)</f>
        <v>150</v>
      </c>
      <c r="H137" s="63">
        <f t="shared" si="13"/>
        <v>150</v>
      </c>
      <c r="I137" s="63">
        <f t="shared" si="11"/>
        <v>9.1999999999999993</v>
      </c>
      <c r="J137" s="106">
        <f>VLOOKUP(C137,'RAW DATA 2023'!E:BO,22,0)</f>
        <v>6.4015972222222217</v>
      </c>
      <c r="K137" s="70">
        <f t="shared" si="14"/>
        <v>0.6958257850241546</v>
      </c>
      <c r="L137" s="72">
        <f t="shared" si="12"/>
        <v>6.4015972222222217</v>
      </c>
      <c r="M137" s="109">
        <f t="shared" si="16"/>
        <v>2.611010466988728</v>
      </c>
      <c r="N137" s="123" t="str">
        <f>VLOOKUP(C137,'RAW DATA 2023'!E:BO,36,0)</f>
        <v>Normal</v>
      </c>
      <c r="O137" s="63">
        <f>VLOOKUP(C137,'RAW DATA 2023'!E:BO,2,0)</f>
        <v>0.72</v>
      </c>
      <c r="P137" s="322">
        <f t="shared" si="15"/>
        <v>1.8799275362318841</v>
      </c>
    </row>
    <row r="138" spans="1:16">
      <c r="A138" s="63" t="str">
        <f>'RAW DATA 2023'!B131</f>
        <v>Roiphet1</v>
      </c>
      <c r="B138" s="63" t="str">
        <f>'RAW DATA 2023'!D131</f>
        <v>D3-G06-0083</v>
      </c>
      <c r="C138" s="63" t="str">
        <f t="shared" ref="C138:C201" si="17">A138&amp;B138</f>
        <v>Roiphet1D3-G06-0083</v>
      </c>
      <c r="D138" s="68">
        <f>VLOOKUP(C138,'RAW DATA 2023'!E:BP,63,0)</f>
        <v>4</v>
      </c>
      <c r="E138" s="68" t="str">
        <f t="shared" ref="E138:E201" si="18">A138&amp;D138</f>
        <v>Roiphet14</v>
      </c>
      <c r="F138" s="63" t="str">
        <f>VLOOKUP(C138,'RAW DATA 2023'!E:BO,5,0)</f>
        <v>Greenhouse</v>
      </c>
      <c r="G138" s="63">
        <f>VLOOKUP(C138,'RAW DATA 2023'!E:BO,13,0)</f>
        <v>166</v>
      </c>
      <c r="H138" s="63">
        <f t="shared" si="13"/>
        <v>180</v>
      </c>
      <c r="I138" s="63">
        <f t="shared" ref="I138:I201" si="19">IF(F138=$W$1,VLOOKUP(H138,Y:Z,2,0),VLOOKUP(H138,AF:AG,2,0))</f>
        <v>10.247</v>
      </c>
      <c r="J138" s="106">
        <f>VLOOKUP(C138,'RAW DATA 2023'!E:BO,22,0)</f>
        <v>9.6466548672566379</v>
      </c>
      <c r="K138" s="70">
        <f t="shared" si="14"/>
        <v>0.94141259561399804</v>
      </c>
      <c r="L138" s="72">
        <f t="shared" ref="L138:L201" si="20">IF(J138=0,0,IF(F138=$B$2,J138-$B$6,IF(F138=$C$1,J138-$C$6,IF(AND(F138=$C$2,G138&lt;=$C$3),J138-$C$6,IF(AND(F138=$C$2,G138&lt;=$E$3),J138-$D$6,J138-$E$6)))))</f>
        <v>9.6466548672566379</v>
      </c>
      <c r="M138" s="109">
        <f t="shared" si="16"/>
        <v>5.8855012748533078</v>
      </c>
      <c r="N138" s="123" t="str">
        <f>VLOOKUP(C138,'RAW DATA 2023'!E:BO,36,0)</f>
        <v>Normal</v>
      </c>
      <c r="O138" s="63">
        <f>VLOOKUP(C138,'RAW DATA 2023'!E:BO,2,0)</f>
        <v>1.1299999999999999</v>
      </c>
      <c r="P138" s="322">
        <f t="shared" si="15"/>
        <v>6.650616440584237</v>
      </c>
    </row>
    <row r="139" spans="1:16">
      <c r="A139" s="63" t="str">
        <f>'RAW DATA 2023'!B132</f>
        <v>Roiphet1</v>
      </c>
      <c r="B139" s="63" t="str">
        <f>'RAW DATA 2023'!D132</f>
        <v>D1-I02-0089</v>
      </c>
      <c r="C139" s="63" t="str">
        <f t="shared" si="17"/>
        <v>Roiphet1D1-I02-0089</v>
      </c>
      <c r="D139" s="68">
        <f>VLOOKUP(C139,'RAW DATA 2023'!E:BP,63,0)</f>
        <v>6</v>
      </c>
      <c r="E139" s="68" t="str">
        <f t="shared" si="18"/>
        <v>Roiphet16</v>
      </c>
      <c r="F139" s="63" t="str">
        <f>VLOOKUP(C139,'RAW DATA 2023'!E:BO,5,0)</f>
        <v>Greenhouse</v>
      </c>
      <c r="G139" s="63">
        <f>VLOOKUP(C139,'RAW DATA 2023'!E:BO,13,0)</f>
        <v>134</v>
      </c>
      <c r="H139" s="63">
        <f t="shared" ref="H139:H202" si="21">IF(G139&gt;190,200,IF(G139&gt;165,180,IF(G139&gt;=135,150,IF(D132&gt;=110,120,100))))</f>
        <v>100</v>
      </c>
      <c r="I139" s="63">
        <f t="shared" si="19"/>
        <v>0</v>
      </c>
      <c r="J139" s="106">
        <f>VLOOKUP(C139,'RAW DATA 2023'!E:BO,22,0)</f>
        <v>6.6756388888888898</v>
      </c>
      <c r="K139" s="70" t="e">
        <f t="shared" ref="K139:K202" si="22">J139/I139</f>
        <v>#DIV/0!</v>
      </c>
      <c r="L139" s="72">
        <f t="shared" si="20"/>
        <v>6.6756388888888898</v>
      </c>
      <c r="M139" s="109" t="e">
        <f t="shared" si="16"/>
        <v>#DIV/0!</v>
      </c>
      <c r="N139" s="123" t="str">
        <f>VLOOKUP(C139,'RAW DATA 2023'!E:BO,36,0)</f>
        <v>Normal</v>
      </c>
      <c r="O139" s="63">
        <f>VLOOKUP(C139,'RAW DATA 2023'!E:BO,2,0)</f>
        <v>0.72</v>
      </c>
      <c r="P139" s="322" t="e">
        <f t="shared" ref="P139:P202" si="23">M139*O139</f>
        <v>#DIV/0!</v>
      </c>
    </row>
    <row r="140" spans="1:16">
      <c r="A140" s="63" t="str">
        <f>'RAW DATA 2023'!B133</f>
        <v>Roiphet1</v>
      </c>
      <c r="B140" s="63" t="str">
        <f>'RAW DATA 2023'!D133</f>
        <v>D1-G01-0076</v>
      </c>
      <c r="C140" s="63" t="str">
        <f t="shared" si="17"/>
        <v>Roiphet1D1-G01-0076</v>
      </c>
      <c r="D140" s="68">
        <f>VLOOKUP(C140,'RAW DATA 2023'!E:BP,63,0)</f>
        <v>2</v>
      </c>
      <c r="E140" s="68" t="str">
        <f t="shared" si="18"/>
        <v>Roiphet12</v>
      </c>
      <c r="F140" s="63" t="str">
        <f>VLOOKUP(C140,'RAW DATA 2023'!E:BO,5,0)</f>
        <v>Greenhouse</v>
      </c>
      <c r="G140" s="63">
        <f>VLOOKUP(C140,'RAW DATA 2023'!E:BO,13,0)</f>
        <v>173</v>
      </c>
      <c r="H140" s="63">
        <f t="shared" si="21"/>
        <v>180</v>
      </c>
      <c r="I140" s="63">
        <f t="shared" si="19"/>
        <v>10.247</v>
      </c>
      <c r="J140" s="106">
        <f>VLOOKUP(C140,'RAW DATA 2023'!E:BO,22,0)</f>
        <v>9.3965486725663734</v>
      </c>
      <c r="K140" s="70">
        <f t="shared" si="22"/>
        <v>0.91700484752282363</v>
      </c>
      <c r="L140" s="72">
        <f t="shared" si="20"/>
        <v>9.3965486725663734</v>
      </c>
      <c r="M140" s="109">
        <f t="shared" ref="M140:M203" si="24">(K140-$B$4)*$B$7</f>
        <v>5.5600646336376487</v>
      </c>
      <c r="N140" s="123" t="str">
        <f>VLOOKUP(C140,'RAW DATA 2023'!E:BO,36,0)</f>
        <v>Normal</v>
      </c>
      <c r="O140" s="63">
        <f>VLOOKUP(C140,'RAW DATA 2023'!E:BO,2,0)</f>
        <v>1.1299999999999999</v>
      </c>
      <c r="P140" s="322">
        <f t="shared" si="23"/>
        <v>6.2828730360105425</v>
      </c>
    </row>
    <row r="141" spans="1:16">
      <c r="A141" s="63" t="str">
        <f>'RAW DATA 2023'!B134</f>
        <v>Roiphet1</v>
      </c>
      <c r="B141" s="63" t="str">
        <f>'RAW DATA 2023'!D134</f>
        <v>D4-I08-0070</v>
      </c>
      <c r="C141" s="63" t="str">
        <f t="shared" si="17"/>
        <v>Roiphet1D4-I08-0070</v>
      </c>
      <c r="D141" s="68">
        <f>VLOOKUP(C141,'RAW DATA 2023'!E:BP,63,0)</f>
        <v>1</v>
      </c>
      <c r="E141" s="68" t="str">
        <f t="shared" si="18"/>
        <v>Roiphet11</v>
      </c>
      <c r="F141" s="63" t="str">
        <f>VLOOKUP(C141,'RAW DATA 2023'!E:BO,5,0)</f>
        <v>Greenhouse</v>
      </c>
      <c r="G141" s="63">
        <f>VLOOKUP(C141,'RAW DATA 2023'!E:BO,13,0)</f>
        <v>167</v>
      </c>
      <c r="H141" s="63">
        <f t="shared" si="21"/>
        <v>180</v>
      </c>
      <c r="I141" s="63">
        <f t="shared" si="19"/>
        <v>10.247</v>
      </c>
      <c r="J141" s="106">
        <f>VLOOKUP(C141,'RAW DATA 2023'!E:BO,22,0)</f>
        <v>7.9090277777777773</v>
      </c>
      <c r="K141" s="70">
        <f t="shared" si="22"/>
        <v>0.77183837003784306</v>
      </c>
      <c r="L141" s="72">
        <f t="shared" si="20"/>
        <v>7.9090277777777773</v>
      </c>
      <c r="M141" s="109">
        <f t="shared" si="24"/>
        <v>3.6245116005045741</v>
      </c>
      <c r="N141" s="123" t="str">
        <f>VLOOKUP(C141,'RAW DATA 2023'!E:BO,36,0)</f>
        <v>Normal</v>
      </c>
      <c r="O141" s="63">
        <f>VLOOKUP(C141,'RAW DATA 2023'!E:BO,2,0)</f>
        <v>0.72</v>
      </c>
      <c r="P141" s="322">
        <f t="shared" si="23"/>
        <v>2.6096483523632932</v>
      </c>
    </row>
    <row r="142" spans="1:16">
      <c r="A142" s="63" t="str">
        <f>'RAW DATA 2023'!B135</f>
        <v>Roiphet1</v>
      </c>
      <c r="B142" s="63" t="str">
        <f>'RAW DATA 2023'!D135</f>
        <v>D4-I07-0075</v>
      </c>
      <c r="C142" s="63" t="str">
        <f t="shared" si="17"/>
        <v>Roiphet1D4-I07-0075</v>
      </c>
      <c r="D142" s="68">
        <f>VLOOKUP(C142,'RAW DATA 2023'!E:BP,63,0)</f>
        <v>1</v>
      </c>
      <c r="E142" s="68" t="str">
        <f t="shared" si="18"/>
        <v>Roiphet11</v>
      </c>
      <c r="F142" s="63" t="str">
        <f>VLOOKUP(C142,'RAW DATA 2023'!E:BO,5,0)</f>
        <v>Greenhouse</v>
      </c>
      <c r="G142" s="63">
        <f>VLOOKUP(C142,'RAW DATA 2023'!E:BO,13,0)</f>
        <v>167</v>
      </c>
      <c r="H142" s="63">
        <f t="shared" si="21"/>
        <v>180</v>
      </c>
      <c r="I142" s="63">
        <f t="shared" si="19"/>
        <v>10.247</v>
      </c>
      <c r="J142" s="106">
        <f>VLOOKUP(C142,'RAW DATA 2023'!E:BO,22,0)</f>
        <v>5.3092916666666667</v>
      </c>
      <c r="K142" s="70">
        <f t="shared" si="22"/>
        <v>0.51813132298884224</v>
      </c>
      <c r="L142" s="72">
        <f t="shared" si="20"/>
        <v>5.3092916666666667</v>
      </c>
      <c r="M142" s="109">
        <f t="shared" si="24"/>
        <v>0.24175097318456315</v>
      </c>
      <c r="N142" s="123" t="str">
        <f>VLOOKUP(C142,'RAW DATA 2023'!E:BO,36,0)</f>
        <v>Normal</v>
      </c>
      <c r="O142" s="63">
        <f>VLOOKUP(C142,'RAW DATA 2023'!E:BO,2,0)</f>
        <v>0.72</v>
      </c>
      <c r="P142" s="322">
        <f t="shared" si="23"/>
        <v>0.17406070069288546</v>
      </c>
    </row>
    <row r="143" spans="1:16">
      <c r="A143" s="63" t="str">
        <f>'RAW DATA 2023'!B136</f>
        <v>Roiphet1</v>
      </c>
      <c r="B143" s="63" t="str">
        <f>'RAW DATA 2023'!D136</f>
        <v>D4-G08-0058</v>
      </c>
      <c r="C143" s="63" t="str">
        <f t="shared" si="17"/>
        <v>Roiphet1D4-G08-0058</v>
      </c>
      <c r="D143" s="68">
        <f>VLOOKUP(C143,'RAW DATA 2023'!E:BP,63,0)</f>
        <v>1</v>
      </c>
      <c r="E143" s="68" t="str">
        <f t="shared" si="18"/>
        <v>Roiphet11</v>
      </c>
      <c r="F143" s="63" t="str">
        <f>VLOOKUP(C143,'RAW DATA 2023'!E:BO,5,0)</f>
        <v>Greenhouse</v>
      </c>
      <c r="G143" s="63">
        <f>VLOOKUP(C143,'RAW DATA 2023'!E:BO,13,0)</f>
        <v>166</v>
      </c>
      <c r="H143" s="63">
        <f t="shared" si="21"/>
        <v>180</v>
      </c>
      <c r="I143" s="63">
        <f t="shared" si="19"/>
        <v>10.247</v>
      </c>
      <c r="J143" s="106">
        <f>VLOOKUP(C143,'RAW DATA 2023'!E:BO,22,0)</f>
        <v>6.8455044247787624</v>
      </c>
      <c r="K143" s="70">
        <f t="shared" si="22"/>
        <v>0.66804961693947129</v>
      </c>
      <c r="L143" s="72">
        <f t="shared" si="20"/>
        <v>6.8455044247787624</v>
      </c>
      <c r="M143" s="109">
        <f t="shared" si="24"/>
        <v>2.2406615591929508</v>
      </c>
      <c r="N143" s="123" t="str">
        <f>VLOOKUP(C143,'RAW DATA 2023'!E:BO,36,0)</f>
        <v>เคลียร์บ่อเพื่อลงกุ้งชุดใหม่</v>
      </c>
      <c r="O143" s="63">
        <f>VLOOKUP(C143,'RAW DATA 2023'!E:BO,2,0)</f>
        <v>1.1299999999999999</v>
      </c>
      <c r="P143" s="322">
        <f t="shared" si="23"/>
        <v>2.531947561888034</v>
      </c>
    </row>
    <row r="144" spans="1:16">
      <c r="A144" s="63" t="str">
        <f>'RAW DATA 2023'!B137</f>
        <v>Roiphet1</v>
      </c>
      <c r="B144" s="63" t="str">
        <f>'RAW DATA 2023'!D137</f>
        <v>D1-G02-0079</v>
      </c>
      <c r="C144" s="63" t="str">
        <f t="shared" si="17"/>
        <v>Roiphet1D1-G02-0079</v>
      </c>
      <c r="D144" s="68">
        <f>VLOOKUP(C144,'RAW DATA 2023'!E:BP,63,0)</f>
        <v>6</v>
      </c>
      <c r="E144" s="68" t="str">
        <f t="shared" si="18"/>
        <v>Roiphet16</v>
      </c>
      <c r="F144" s="63" t="str">
        <f>VLOOKUP(C144,'RAW DATA 2023'!E:BO,5,0)</f>
        <v>Greenhouse</v>
      </c>
      <c r="G144" s="63">
        <f>VLOOKUP(C144,'RAW DATA 2023'!E:BO,13,0)</f>
        <v>147</v>
      </c>
      <c r="H144" s="63">
        <f t="shared" si="21"/>
        <v>150</v>
      </c>
      <c r="I144" s="63">
        <f t="shared" si="19"/>
        <v>9.1999999999999993</v>
      </c>
      <c r="J144" s="106">
        <f>VLOOKUP(C144,'RAW DATA 2023'!E:BO,22,0)</f>
        <v>7.0125663716814168</v>
      </c>
      <c r="K144" s="70">
        <f t="shared" si="22"/>
        <v>0.7622354751827628</v>
      </c>
      <c r="L144" s="72">
        <f t="shared" si="20"/>
        <v>7.0125663716814168</v>
      </c>
      <c r="M144" s="109">
        <f t="shared" si="24"/>
        <v>3.4964730024368373</v>
      </c>
      <c r="N144" s="123" t="str">
        <f>VLOOKUP(C144,'RAW DATA 2023'!E:BO,36,0)</f>
        <v>Normal</v>
      </c>
      <c r="O144" s="63">
        <f>VLOOKUP(C144,'RAW DATA 2023'!E:BO,2,0)</f>
        <v>1.1299999999999999</v>
      </c>
      <c r="P144" s="322">
        <f t="shared" si="23"/>
        <v>3.9510144927536257</v>
      </c>
    </row>
    <row r="145" spans="1:16">
      <c r="A145" s="63" t="str">
        <f>'RAW DATA 2023'!B138</f>
        <v>Roiphet1</v>
      </c>
      <c r="B145" s="63" t="str">
        <f>'RAW DATA 2023'!D138</f>
        <v>D1-G01-0077</v>
      </c>
      <c r="C145" s="63" t="str">
        <f t="shared" si="17"/>
        <v>Roiphet1D1-G01-0077</v>
      </c>
      <c r="D145" s="68">
        <f>VLOOKUP(C145,'RAW DATA 2023'!E:BP,63,0)</f>
        <v>6</v>
      </c>
      <c r="E145" s="68" t="str">
        <f t="shared" si="18"/>
        <v>Roiphet16</v>
      </c>
      <c r="F145" s="63" t="str">
        <f>VLOOKUP(C145,'RAW DATA 2023'!E:BO,5,0)</f>
        <v>Greenhouse</v>
      </c>
      <c r="G145" s="63">
        <f>VLOOKUP(C145,'RAW DATA 2023'!E:BO,13,0)</f>
        <v>147</v>
      </c>
      <c r="H145" s="63">
        <f t="shared" si="21"/>
        <v>150</v>
      </c>
      <c r="I145" s="63">
        <f t="shared" si="19"/>
        <v>9.1999999999999993</v>
      </c>
      <c r="J145" s="106">
        <f>VLOOKUP(C145,'RAW DATA 2023'!E:BO,22,0)</f>
        <v>6.2035840707964613</v>
      </c>
      <c r="K145" s="70">
        <f t="shared" si="22"/>
        <v>0.67430261639091982</v>
      </c>
      <c r="L145" s="72">
        <f t="shared" si="20"/>
        <v>6.2035840707964613</v>
      </c>
      <c r="M145" s="109">
        <f t="shared" si="24"/>
        <v>2.3240348852122645</v>
      </c>
      <c r="N145" s="123" t="str">
        <f>VLOOKUP(C145,'RAW DATA 2023'!E:BO,36,0)</f>
        <v>Normal</v>
      </c>
      <c r="O145" s="63">
        <f>VLOOKUP(C145,'RAW DATA 2023'!E:BO,2,0)</f>
        <v>1.1299999999999999</v>
      </c>
      <c r="P145" s="322">
        <f t="shared" si="23"/>
        <v>2.6261594202898588</v>
      </c>
    </row>
    <row r="146" spans="1:16">
      <c r="A146" s="63" t="str">
        <f>'RAW DATA 2023'!B139</f>
        <v>Roiphet1</v>
      </c>
      <c r="B146" s="63" t="str">
        <f>'RAW DATA 2023'!D139</f>
        <v>A2-I04-0100</v>
      </c>
      <c r="C146" s="63" t="str">
        <f t="shared" si="17"/>
        <v>Roiphet1A2-I04-0100</v>
      </c>
      <c r="D146" s="68">
        <f>VLOOKUP(C146,'RAW DATA 2023'!E:BP,63,0)</f>
        <v>9</v>
      </c>
      <c r="E146" s="68" t="str">
        <f t="shared" si="18"/>
        <v>Roiphet19</v>
      </c>
      <c r="F146" s="63" t="str">
        <f>VLOOKUP(C146,'RAW DATA 2023'!E:BO,5,0)</f>
        <v>Greenhouse</v>
      </c>
      <c r="G146" s="63">
        <f>VLOOKUP(C146,'RAW DATA 2023'!E:BO,13,0)</f>
        <v>167</v>
      </c>
      <c r="H146" s="63">
        <f t="shared" si="21"/>
        <v>180</v>
      </c>
      <c r="I146" s="63">
        <f t="shared" si="19"/>
        <v>10.247</v>
      </c>
      <c r="J146" s="106">
        <f>VLOOKUP(C146,'RAW DATA 2023'!E:BO,22,0)</f>
        <v>4.1594722222222229</v>
      </c>
      <c r="K146" s="70">
        <f t="shared" si="22"/>
        <v>0.40592097416045897</v>
      </c>
      <c r="L146" s="72">
        <f t="shared" si="20"/>
        <v>4.1594722222222229</v>
      </c>
      <c r="M146" s="109">
        <f t="shared" si="24"/>
        <v>-1.2543870111938804</v>
      </c>
      <c r="N146" s="123" t="str">
        <f>VLOOKUP(C146,'RAW DATA 2023'!E:BO,36,0)</f>
        <v>Normal</v>
      </c>
      <c r="O146" s="63">
        <f>VLOOKUP(C146,'RAW DATA 2023'!E:BO,2,0)</f>
        <v>0.72</v>
      </c>
      <c r="P146" s="322">
        <f t="shared" si="23"/>
        <v>-0.90315864805959389</v>
      </c>
    </row>
    <row r="147" spans="1:16">
      <c r="A147" s="63" t="str">
        <f>'RAW DATA 2023'!B140</f>
        <v>Roiphet1</v>
      </c>
      <c r="B147" s="63" t="str">
        <f>'RAW DATA 2023'!D140</f>
        <v>A2-G03-0083</v>
      </c>
      <c r="C147" s="63" t="str">
        <f t="shared" si="17"/>
        <v>Roiphet1A2-G03-0083</v>
      </c>
      <c r="D147" s="68">
        <f>VLOOKUP(C147,'RAW DATA 2023'!E:BP,63,0)</f>
        <v>9</v>
      </c>
      <c r="E147" s="68" t="str">
        <f t="shared" si="18"/>
        <v>Roiphet19</v>
      </c>
      <c r="F147" s="63" t="str">
        <f>VLOOKUP(C147,'RAW DATA 2023'!E:BO,5,0)</f>
        <v>Greenhouse</v>
      </c>
      <c r="G147" s="63">
        <f>VLOOKUP(C147,'RAW DATA 2023'!E:BO,13,0)</f>
        <v>203</v>
      </c>
      <c r="H147" s="63">
        <f t="shared" si="21"/>
        <v>200</v>
      </c>
      <c r="I147" s="63">
        <f t="shared" si="19"/>
        <v>11.259</v>
      </c>
      <c r="J147" s="106">
        <f>VLOOKUP(C147,'RAW DATA 2023'!E:BO,22,0)</f>
        <v>4.7650619469026552</v>
      </c>
      <c r="K147" s="70">
        <f t="shared" si="22"/>
        <v>0.42322248395973489</v>
      </c>
      <c r="L147" s="72">
        <f t="shared" si="20"/>
        <v>4.7650619469026552</v>
      </c>
      <c r="M147" s="109">
        <f t="shared" si="24"/>
        <v>-1.0237002138702016</v>
      </c>
      <c r="N147" s="123" t="str">
        <f>VLOOKUP(C147,'RAW DATA 2023'!E:BO,36,0)</f>
        <v>อัตรารอดต่ำ</v>
      </c>
      <c r="O147" s="63">
        <f>VLOOKUP(C147,'RAW DATA 2023'!E:BO,2,0)</f>
        <v>1.1299999999999999</v>
      </c>
      <c r="P147" s="322">
        <f t="shared" si="23"/>
        <v>-1.1567812416733276</v>
      </c>
    </row>
    <row r="148" spans="1:16">
      <c r="A148" s="63" t="str">
        <f>'RAW DATA 2023'!B141</f>
        <v>Roiphet1</v>
      </c>
      <c r="B148" s="63" t="str">
        <f>'RAW DATA 2023'!D141</f>
        <v>A2-I03-0095</v>
      </c>
      <c r="C148" s="63" t="str">
        <f t="shared" si="17"/>
        <v>Roiphet1A2-I03-0095</v>
      </c>
      <c r="D148" s="68">
        <f>VLOOKUP(C148,'RAW DATA 2023'!E:BP,63,0)</f>
        <v>9</v>
      </c>
      <c r="E148" s="68" t="str">
        <f t="shared" si="18"/>
        <v>Roiphet19</v>
      </c>
      <c r="F148" s="63" t="str">
        <f>VLOOKUP(C148,'RAW DATA 2023'!E:BO,5,0)</f>
        <v>Greenhouse</v>
      </c>
      <c r="G148" s="63">
        <f>VLOOKUP(C148,'RAW DATA 2023'!E:BO,13,0)</f>
        <v>167</v>
      </c>
      <c r="H148" s="63">
        <f t="shared" si="21"/>
        <v>180</v>
      </c>
      <c r="I148" s="63">
        <f t="shared" si="19"/>
        <v>10.247</v>
      </c>
      <c r="J148" s="106">
        <f>VLOOKUP(C148,'RAW DATA 2023'!E:BO,22,0)</f>
        <v>4.8289444444444447</v>
      </c>
      <c r="K148" s="70">
        <f t="shared" si="22"/>
        <v>0.47125445929974086</v>
      </c>
      <c r="L148" s="72">
        <f t="shared" si="20"/>
        <v>4.8289444444444447</v>
      </c>
      <c r="M148" s="109">
        <f t="shared" si="24"/>
        <v>-0.38327387600345525</v>
      </c>
      <c r="N148" s="123" t="str">
        <f>VLOOKUP(C148,'RAW DATA 2023'!E:BO,36,0)</f>
        <v>อัตรารอดต่ำ</v>
      </c>
      <c r="O148" s="63">
        <f>VLOOKUP(C148,'RAW DATA 2023'!E:BO,2,0)</f>
        <v>0.72</v>
      </c>
      <c r="P148" s="322">
        <f t="shared" si="23"/>
        <v>-0.27595719072248776</v>
      </c>
    </row>
    <row r="149" spans="1:16">
      <c r="A149" s="63" t="str">
        <f>'RAW DATA 2023'!B142</f>
        <v>Roiphet1</v>
      </c>
      <c r="B149" s="63" t="str">
        <f>'RAW DATA 2023'!D142</f>
        <v>A2-G04-0082</v>
      </c>
      <c r="C149" s="63" t="str">
        <f t="shared" si="17"/>
        <v>Roiphet1A2-G04-0082</v>
      </c>
      <c r="D149" s="68">
        <f>VLOOKUP(C149,'RAW DATA 2023'!E:BP,63,0)</f>
        <v>9</v>
      </c>
      <c r="E149" s="68" t="str">
        <f t="shared" si="18"/>
        <v>Roiphet19</v>
      </c>
      <c r="F149" s="63" t="str">
        <f>VLOOKUP(C149,'RAW DATA 2023'!E:BO,5,0)</f>
        <v>Greenhouse</v>
      </c>
      <c r="G149" s="63">
        <f>VLOOKUP(C149,'RAW DATA 2023'!E:BO,13,0)</f>
        <v>184</v>
      </c>
      <c r="H149" s="63">
        <f t="shared" si="21"/>
        <v>180</v>
      </c>
      <c r="I149" s="63">
        <f t="shared" si="19"/>
        <v>10.247</v>
      </c>
      <c r="J149" s="106">
        <f>VLOOKUP(C149,'RAW DATA 2023'!E:BO,22,0)</f>
        <v>5.5695044247787617</v>
      </c>
      <c r="K149" s="70">
        <f t="shared" si="22"/>
        <v>0.54352536593917844</v>
      </c>
      <c r="L149" s="72">
        <f t="shared" si="20"/>
        <v>5.5695044247787617</v>
      </c>
      <c r="M149" s="109">
        <f t="shared" si="24"/>
        <v>0.58033821252237927</v>
      </c>
      <c r="N149" s="123" t="str">
        <f>VLOOKUP(C149,'RAW DATA 2023'!E:BO,36,0)</f>
        <v>Normal</v>
      </c>
      <c r="O149" s="63">
        <f>VLOOKUP(C149,'RAW DATA 2023'!E:BO,2,0)</f>
        <v>1.1299999999999999</v>
      </c>
      <c r="P149" s="322">
        <f t="shared" si="23"/>
        <v>0.65578218015028855</v>
      </c>
    </row>
    <row r="150" spans="1:16">
      <c r="A150" s="63" t="str">
        <f>'RAW DATA 2023'!B143</f>
        <v>Roiphet1</v>
      </c>
      <c r="B150" s="63" t="str">
        <f>'RAW DATA 2023'!D143</f>
        <v>A1-I02-0095</v>
      </c>
      <c r="C150" s="63" t="str">
        <f t="shared" si="17"/>
        <v>Roiphet1A1-I02-0095</v>
      </c>
      <c r="D150" s="68">
        <f>VLOOKUP(C150,'RAW DATA 2023'!E:BP,63,0)</f>
        <v>9</v>
      </c>
      <c r="E150" s="68" t="str">
        <f t="shared" si="18"/>
        <v>Roiphet19</v>
      </c>
      <c r="F150" s="63" t="str">
        <f>VLOOKUP(C150,'RAW DATA 2023'!E:BO,5,0)</f>
        <v>Greenhouse</v>
      </c>
      <c r="G150" s="63">
        <f>VLOOKUP(C150,'RAW DATA 2023'!E:BO,13,0)</f>
        <v>134</v>
      </c>
      <c r="H150" s="63">
        <f t="shared" si="21"/>
        <v>100</v>
      </c>
      <c r="I150" s="63">
        <f t="shared" si="19"/>
        <v>0</v>
      </c>
      <c r="J150" s="106">
        <f>VLOOKUP(C150,'RAW DATA 2023'!E:BO,22,0)</f>
        <v>4.4508888888888887</v>
      </c>
      <c r="K150" s="70" t="e">
        <f t="shared" si="22"/>
        <v>#DIV/0!</v>
      </c>
      <c r="L150" s="72">
        <f t="shared" si="20"/>
        <v>4.4508888888888887</v>
      </c>
      <c r="M150" s="109" t="e">
        <f t="shared" si="24"/>
        <v>#DIV/0!</v>
      </c>
      <c r="N150" s="123" t="str">
        <f>VLOOKUP(C150,'RAW DATA 2023'!E:BO,36,0)</f>
        <v>Normal</v>
      </c>
      <c r="O150" s="63">
        <f>VLOOKUP(C150,'RAW DATA 2023'!E:BO,2,0)</f>
        <v>0.72</v>
      </c>
      <c r="P150" s="322" t="e">
        <f t="shared" si="23"/>
        <v>#DIV/0!</v>
      </c>
    </row>
    <row r="151" spans="1:16">
      <c r="A151" s="63" t="str">
        <f>'RAW DATA 2023'!B144</f>
        <v>Roiphet1</v>
      </c>
      <c r="B151" s="63" t="str">
        <f>'RAW DATA 2023'!D144</f>
        <v>A1-G02-0075</v>
      </c>
      <c r="C151" s="63" t="str">
        <f t="shared" si="17"/>
        <v>Roiphet1A1-G02-0075</v>
      </c>
      <c r="D151" s="68">
        <f>VLOOKUP(C151,'RAW DATA 2023'!E:BP,63,0)</f>
        <v>9</v>
      </c>
      <c r="E151" s="68" t="str">
        <f t="shared" si="18"/>
        <v>Roiphet19</v>
      </c>
      <c r="F151" s="63" t="str">
        <f>VLOOKUP(C151,'RAW DATA 2023'!E:BO,5,0)</f>
        <v>Greenhouse</v>
      </c>
      <c r="G151" s="63">
        <f>VLOOKUP(C151,'RAW DATA 2023'!E:BO,13,0)</f>
        <v>203</v>
      </c>
      <c r="H151" s="63">
        <f t="shared" si="21"/>
        <v>200</v>
      </c>
      <c r="I151" s="63">
        <f t="shared" si="19"/>
        <v>11.259</v>
      </c>
      <c r="J151" s="106">
        <f>VLOOKUP(C151,'RAW DATA 2023'!E:BO,22,0)</f>
        <v>6.3674247787610616</v>
      </c>
      <c r="K151" s="70">
        <f t="shared" si="22"/>
        <v>0.56554088096287958</v>
      </c>
      <c r="L151" s="72">
        <f t="shared" si="20"/>
        <v>6.3674247787610616</v>
      </c>
      <c r="M151" s="109">
        <f t="shared" si="24"/>
        <v>0.8738784128383944</v>
      </c>
      <c r="N151" s="123" t="str">
        <f>VLOOKUP(C151,'RAW DATA 2023'!E:BO,36,0)</f>
        <v>Normal</v>
      </c>
      <c r="O151" s="63">
        <f>VLOOKUP(C151,'RAW DATA 2023'!E:BO,2,0)</f>
        <v>1.1299999999999999</v>
      </c>
      <c r="P151" s="322">
        <f t="shared" si="23"/>
        <v>0.98748260650738562</v>
      </c>
    </row>
    <row r="152" spans="1:16">
      <c r="A152" s="63" t="str">
        <f>'RAW DATA 2023'!B145</f>
        <v>Roiphet1</v>
      </c>
      <c r="B152" s="63" t="str">
        <f>'RAW DATA 2023'!D145</f>
        <v>A1-I01-0089</v>
      </c>
      <c r="C152" s="63" t="str">
        <f t="shared" si="17"/>
        <v>Roiphet1A1-I01-0089</v>
      </c>
      <c r="D152" s="68">
        <f>VLOOKUP(C152,'RAW DATA 2023'!E:BP,63,0)</f>
        <v>9</v>
      </c>
      <c r="E152" s="68" t="str">
        <f t="shared" si="18"/>
        <v>Roiphet19</v>
      </c>
      <c r="F152" s="63" t="str">
        <f>VLOOKUP(C152,'RAW DATA 2023'!E:BO,5,0)</f>
        <v>Greenhouse</v>
      </c>
      <c r="G152" s="63">
        <f>VLOOKUP(C152,'RAW DATA 2023'!E:BO,13,0)</f>
        <v>167</v>
      </c>
      <c r="H152" s="63">
        <f t="shared" si="21"/>
        <v>180</v>
      </c>
      <c r="I152" s="63">
        <f t="shared" si="19"/>
        <v>10.247</v>
      </c>
      <c r="J152" s="106">
        <f>VLOOKUP(C152,'RAW DATA 2023'!E:BO,22,0)</f>
        <v>4.473958333333333</v>
      </c>
      <c r="K152" s="70">
        <f t="shared" si="22"/>
        <v>0.43661152857746982</v>
      </c>
      <c r="L152" s="72">
        <f t="shared" si="20"/>
        <v>4.473958333333333</v>
      </c>
      <c r="M152" s="109">
        <f t="shared" si="24"/>
        <v>-0.84517961896706906</v>
      </c>
      <c r="N152" s="123" t="str">
        <f>VLOOKUP(C152,'RAW DATA 2023'!E:BO,36,0)</f>
        <v>อัตรารอดต่ำ</v>
      </c>
      <c r="O152" s="63">
        <f>VLOOKUP(C152,'RAW DATA 2023'!E:BO,2,0)</f>
        <v>0.72</v>
      </c>
      <c r="P152" s="322">
        <f t="shared" si="23"/>
        <v>-0.6085293256562897</v>
      </c>
    </row>
    <row r="153" spans="1:16">
      <c r="A153" s="63" t="str">
        <f>'RAW DATA 2023'!B146</f>
        <v>Roiphet1</v>
      </c>
      <c r="B153" s="63" t="str">
        <f>'RAW DATA 2023'!D146</f>
        <v>A1-G01-0063</v>
      </c>
      <c r="C153" s="63" t="str">
        <f t="shared" si="17"/>
        <v>Roiphet1A1-G01-0063</v>
      </c>
      <c r="D153" s="68">
        <f>VLOOKUP(C153,'RAW DATA 2023'!E:BP,63,0)</f>
        <v>6</v>
      </c>
      <c r="E153" s="68" t="str">
        <f t="shared" si="18"/>
        <v>Roiphet16</v>
      </c>
      <c r="F153" s="63" t="str">
        <f>VLOOKUP(C153,'RAW DATA 2023'!E:BO,5,0)</f>
        <v>Greenhouse</v>
      </c>
      <c r="G153" s="63">
        <f>VLOOKUP(C153,'RAW DATA 2023'!E:BO,13,0)</f>
        <v>173</v>
      </c>
      <c r="H153" s="63">
        <f t="shared" si="21"/>
        <v>180</v>
      </c>
      <c r="I153" s="63">
        <f t="shared" si="19"/>
        <v>10.247</v>
      </c>
      <c r="J153" s="106">
        <f>VLOOKUP(C153,'RAW DATA 2023'!E:BO,22,0)</f>
        <v>5.8968053097345141</v>
      </c>
      <c r="K153" s="70">
        <f t="shared" si="22"/>
        <v>0.57546650822040735</v>
      </c>
      <c r="L153" s="72">
        <f t="shared" si="20"/>
        <v>5.8968053097345141</v>
      </c>
      <c r="M153" s="109">
        <f t="shared" si="24"/>
        <v>1.0062201096054313</v>
      </c>
      <c r="N153" s="123" t="str">
        <f>VLOOKUP(C153,'RAW DATA 2023'!E:BO,36,0)</f>
        <v>Normal</v>
      </c>
      <c r="O153" s="63">
        <f>VLOOKUP(C153,'RAW DATA 2023'!E:BO,2,0)</f>
        <v>1.1299999999999999</v>
      </c>
      <c r="P153" s="322">
        <f t="shared" si="23"/>
        <v>1.1370287238541372</v>
      </c>
    </row>
    <row r="154" spans="1:16">
      <c r="A154" s="63" t="str">
        <f>'RAW DATA 2023'!B147</f>
        <v>Roiphet1</v>
      </c>
      <c r="B154" s="63" t="str">
        <f>'RAW DATA 2023'!D147</f>
        <v>A1-I01-0087</v>
      </c>
      <c r="C154" s="63" t="str">
        <f t="shared" si="17"/>
        <v>Roiphet1A1-I01-0087</v>
      </c>
      <c r="D154" s="68">
        <f>VLOOKUP(C154,'RAW DATA 2023'!E:BP,63,0)</f>
        <v>1</v>
      </c>
      <c r="E154" s="68" t="str">
        <f t="shared" si="18"/>
        <v>Roiphet11</v>
      </c>
      <c r="F154" s="63" t="str">
        <f>VLOOKUP(C154,'RAW DATA 2023'!E:BO,5,0)</f>
        <v>Greenhouse</v>
      </c>
      <c r="G154" s="63">
        <f>VLOOKUP(C154,'RAW DATA 2023'!E:BO,13,0)</f>
        <v>174</v>
      </c>
      <c r="H154" s="63">
        <f t="shared" si="21"/>
        <v>180</v>
      </c>
      <c r="I154" s="63">
        <f t="shared" si="19"/>
        <v>10.247</v>
      </c>
      <c r="J154" s="106">
        <f>VLOOKUP(C154,'RAW DATA 2023'!E:BO,22,0)</f>
        <v>4.4229722222222225</v>
      </c>
      <c r="K154" s="70">
        <f t="shared" si="22"/>
        <v>0.43163581752924979</v>
      </c>
      <c r="L154" s="72">
        <f t="shared" si="20"/>
        <v>4.4229722222222225</v>
      </c>
      <c r="M154" s="109">
        <f t="shared" si="24"/>
        <v>-0.91152243294333624</v>
      </c>
      <c r="N154" s="123" t="str">
        <f>VLOOKUP(C154,'RAW DATA 2023'!E:BO,36,0)</f>
        <v>Normal</v>
      </c>
      <c r="O154" s="63">
        <f>VLOOKUP(C154,'RAW DATA 2023'!E:BO,2,0)</f>
        <v>0.72</v>
      </c>
      <c r="P154" s="322">
        <f t="shared" si="23"/>
        <v>-0.65629615171920208</v>
      </c>
    </row>
    <row r="155" spans="1:16">
      <c r="A155" s="63" t="str">
        <f>'RAW DATA 2023'!B148</f>
        <v>Roiphet1</v>
      </c>
      <c r="B155" s="63" t="str">
        <f>'RAW DATA 2023'!D148</f>
        <v>A1-I01-0088</v>
      </c>
      <c r="C155" s="63" t="str">
        <f t="shared" si="17"/>
        <v>Roiphet1A1-I01-0088</v>
      </c>
      <c r="D155" s="68">
        <f>VLOOKUP(C155,'RAW DATA 2023'!E:BP,63,0)</f>
        <v>6</v>
      </c>
      <c r="E155" s="68" t="str">
        <f t="shared" si="18"/>
        <v>Roiphet16</v>
      </c>
      <c r="F155" s="63" t="str">
        <f>VLOOKUP(C155,'RAW DATA 2023'!E:BO,5,0)</f>
        <v>Greenhouse</v>
      </c>
      <c r="G155" s="63">
        <f>VLOOKUP(C155,'RAW DATA 2023'!E:BO,13,0)</f>
        <v>174</v>
      </c>
      <c r="H155" s="63">
        <f t="shared" si="21"/>
        <v>180</v>
      </c>
      <c r="I155" s="63">
        <f t="shared" si="19"/>
        <v>10.247</v>
      </c>
      <c r="J155" s="106">
        <f>VLOOKUP(C155,'RAW DATA 2023'!E:BO,22,0)</f>
        <v>6.5020138888888885</v>
      </c>
      <c r="K155" s="70">
        <f t="shared" si="22"/>
        <v>0.6345285340967004</v>
      </c>
      <c r="L155" s="72">
        <f t="shared" si="20"/>
        <v>6.5020138888888885</v>
      </c>
      <c r="M155" s="109">
        <f t="shared" si="24"/>
        <v>1.7937137879560054</v>
      </c>
      <c r="N155" s="123" t="str">
        <f>VLOOKUP(C155,'RAW DATA 2023'!E:BO,36,0)</f>
        <v>Normal</v>
      </c>
      <c r="O155" s="63">
        <f>VLOOKUP(C155,'RAW DATA 2023'!E:BO,2,0)</f>
        <v>0.72</v>
      </c>
      <c r="P155" s="322">
        <f t="shared" si="23"/>
        <v>1.2914739273283238</v>
      </c>
    </row>
    <row r="156" spans="1:16">
      <c r="A156" s="63" t="str">
        <f>'RAW DATA 2023'!B149</f>
        <v>Roiphet1</v>
      </c>
      <c r="B156" s="63" t="str">
        <f>'RAW DATA 2023'!D149</f>
        <v>A6-G11-0091</v>
      </c>
      <c r="C156" s="63" t="str">
        <f t="shared" si="17"/>
        <v>Roiphet1A6-G11-0091</v>
      </c>
      <c r="D156" s="68">
        <f>VLOOKUP(C156,'RAW DATA 2023'!E:BP,63,0)</f>
        <v>5</v>
      </c>
      <c r="E156" s="68" t="str">
        <f t="shared" si="18"/>
        <v>Roiphet15</v>
      </c>
      <c r="F156" s="63" t="str">
        <f>VLOOKUP(C156,'RAW DATA 2023'!E:BO,5,0)</f>
        <v>Greenhouse</v>
      </c>
      <c r="G156" s="63">
        <f>VLOOKUP(C156,'RAW DATA 2023'!E:BO,13,0)</f>
        <v>155</v>
      </c>
      <c r="H156" s="63">
        <f t="shared" si="21"/>
        <v>150</v>
      </c>
      <c r="I156" s="63">
        <f t="shared" si="19"/>
        <v>9.1999999999999993</v>
      </c>
      <c r="J156" s="106">
        <f>VLOOKUP(C156,'RAW DATA 2023'!E:BO,22,0)</f>
        <v>5.2871858407079655</v>
      </c>
      <c r="K156" s="70">
        <f t="shared" si="22"/>
        <v>0.57469411312043106</v>
      </c>
      <c r="L156" s="72">
        <f t="shared" si="20"/>
        <v>5.2871858407079655</v>
      </c>
      <c r="M156" s="109">
        <f t="shared" si="24"/>
        <v>0.99592150827241421</v>
      </c>
      <c r="N156" s="123" t="str">
        <f>VLOOKUP(C156,'RAW DATA 2023'!E:BO,36,0)</f>
        <v>Normal</v>
      </c>
      <c r="O156" s="63">
        <f>VLOOKUP(C156,'RAW DATA 2023'!E:BO,2,0)</f>
        <v>1.1299999999999999</v>
      </c>
      <c r="P156" s="322">
        <f t="shared" si="23"/>
        <v>1.1253913043478279</v>
      </c>
    </row>
    <row r="157" spans="1:16">
      <c r="A157" s="63" t="str">
        <f>'RAW DATA 2023'!B150</f>
        <v>Roiphet1</v>
      </c>
      <c r="B157" s="63" t="str">
        <f>'RAW DATA 2023'!D150</f>
        <v>A6-I11-0101</v>
      </c>
      <c r="C157" s="63" t="str">
        <f t="shared" si="17"/>
        <v>Roiphet1A6-I11-0101</v>
      </c>
      <c r="D157" s="68">
        <f>VLOOKUP(C157,'RAW DATA 2023'!E:BP,63,0)</f>
        <v>5</v>
      </c>
      <c r="E157" s="68" t="str">
        <f t="shared" si="18"/>
        <v>Roiphet15</v>
      </c>
      <c r="F157" s="63" t="str">
        <f>VLOOKUP(C157,'RAW DATA 2023'!E:BO,5,0)</f>
        <v>Greenhouse</v>
      </c>
      <c r="G157" s="63">
        <f>VLOOKUP(C157,'RAW DATA 2023'!E:BO,13,0)</f>
        <v>147</v>
      </c>
      <c r="H157" s="63">
        <f t="shared" si="21"/>
        <v>150</v>
      </c>
      <c r="I157" s="63">
        <f t="shared" si="19"/>
        <v>9.1999999999999993</v>
      </c>
      <c r="J157" s="106">
        <f>VLOOKUP(C157,'RAW DATA 2023'!E:BO,22,0)</f>
        <v>4.6213055555555558</v>
      </c>
      <c r="K157" s="70">
        <f t="shared" si="22"/>
        <v>0.50231582125603869</v>
      </c>
      <c r="L157" s="72">
        <f t="shared" si="20"/>
        <v>4.6213055555555558</v>
      </c>
      <c r="M157" s="109">
        <f t="shared" si="24"/>
        <v>3.0877616747182479E-2</v>
      </c>
      <c r="N157" s="123" t="str">
        <f>VLOOKUP(C157,'RAW DATA 2023'!E:BO,36,0)</f>
        <v>Normal</v>
      </c>
      <c r="O157" s="63">
        <f>VLOOKUP(C157,'RAW DATA 2023'!E:BO,2,0)</f>
        <v>0.72</v>
      </c>
      <c r="P157" s="322">
        <f t="shared" si="23"/>
        <v>2.2231884057971385E-2</v>
      </c>
    </row>
    <row r="158" spans="1:16">
      <c r="A158" s="63" t="str">
        <f>'RAW DATA 2023'!B151</f>
        <v>Roiphet1</v>
      </c>
      <c r="B158" s="63" t="str">
        <f>'RAW DATA 2023'!D151</f>
        <v>A1-I02-0094</v>
      </c>
      <c r="C158" s="63" t="str">
        <f t="shared" si="17"/>
        <v>Roiphet1A1-I02-0094</v>
      </c>
      <c r="D158" s="68">
        <f>VLOOKUP(C158,'RAW DATA 2023'!E:BP,63,0)</f>
        <v>5</v>
      </c>
      <c r="E158" s="68" t="str">
        <f t="shared" si="18"/>
        <v>Roiphet15</v>
      </c>
      <c r="F158" s="63" t="str">
        <f>VLOOKUP(C158,'RAW DATA 2023'!E:BO,5,0)</f>
        <v>Greenhouse</v>
      </c>
      <c r="G158" s="63">
        <f>VLOOKUP(C158,'RAW DATA 2023'!E:BO,13,0)</f>
        <v>174</v>
      </c>
      <c r="H158" s="63">
        <f t="shared" si="21"/>
        <v>180</v>
      </c>
      <c r="I158" s="63">
        <f t="shared" si="19"/>
        <v>10.247</v>
      </c>
      <c r="J158" s="106">
        <f>VLOOKUP(C158,'RAW DATA 2023'!E:BO,22,0)</f>
        <v>6.9745833333333334</v>
      </c>
      <c r="K158" s="70">
        <f t="shared" si="22"/>
        <v>0.6806463680426792</v>
      </c>
      <c r="L158" s="72">
        <f t="shared" si="20"/>
        <v>6.9745833333333334</v>
      </c>
      <c r="M158" s="109">
        <f t="shared" si="24"/>
        <v>2.4086182405690559</v>
      </c>
      <c r="N158" s="123" t="str">
        <f>VLOOKUP(C158,'RAW DATA 2023'!E:BO,36,0)</f>
        <v>Normal</v>
      </c>
      <c r="O158" s="63">
        <f>VLOOKUP(C158,'RAW DATA 2023'!E:BO,2,0)</f>
        <v>0.72</v>
      </c>
      <c r="P158" s="322">
        <f t="shared" si="23"/>
        <v>1.7342051332097201</v>
      </c>
    </row>
    <row r="159" spans="1:16">
      <c r="A159" s="63" t="str">
        <f>'RAW DATA 2023'!B152</f>
        <v>Roiphet1</v>
      </c>
      <c r="B159" s="63" t="str">
        <f>'RAW DATA 2023'!D152</f>
        <v>A2-I03-0094</v>
      </c>
      <c r="C159" s="63" t="str">
        <f t="shared" si="17"/>
        <v>Roiphet1A2-I03-0094</v>
      </c>
      <c r="D159" s="68">
        <f>VLOOKUP(C159,'RAW DATA 2023'!E:BP,63,0)</f>
        <v>4</v>
      </c>
      <c r="E159" s="68" t="str">
        <f t="shared" si="18"/>
        <v>Roiphet14</v>
      </c>
      <c r="F159" s="63" t="str">
        <f>VLOOKUP(C159,'RAW DATA 2023'!E:BO,5,0)</f>
        <v>Greenhouse</v>
      </c>
      <c r="G159" s="63">
        <f>VLOOKUP(C159,'RAW DATA 2023'!E:BO,13,0)</f>
        <v>134</v>
      </c>
      <c r="H159" s="63">
        <f t="shared" si="21"/>
        <v>100</v>
      </c>
      <c r="I159" s="63">
        <f t="shared" si="19"/>
        <v>0</v>
      </c>
      <c r="J159" s="106">
        <f>VLOOKUP(C159,'RAW DATA 2023'!E:BO,22,0)</f>
        <v>6.6172222222222219</v>
      </c>
      <c r="K159" s="70" t="e">
        <f t="shared" si="22"/>
        <v>#DIV/0!</v>
      </c>
      <c r="L159" s="72">
        <f t="shared" si="20"/>
        <v>6.6172222222222219</v>
      </c>
      <c r="M159" s="109" t="e">
        <f t="shared" si="24"/>
        <v>#DIV/0!</v>
      </c>
      <c r="N159" s="123" t="str">
        <f>VLOOKUP(C159,'RAW DATA 2023'!E:BO,36,0)</f>
        <v>Normal</v>
      </c>
      <c r="O159" s="63">
        <f>VLOOKUP(C159,'RAW DATA 2023'!E:BO,2,0)</f>
        <v>0.72</v>
      </c>
      <c r="P159" s="322" t="e">
        <f t="shared" si="23"/>
        <v>#DIV/0!</v>
      </c>
    </row>
    <row r="160" spans="1:16">
      <c r="A160" s="63" t="str">
        <f>'RAW DATA 2023'!B153</f>
        <v>Roiphet1</v>
      </c>
      <c r="B160" s="63" t="str">
        <f>'RAW DATA 2023'!D153</f>
        <v>A2-G03-0082</v>
      </c>
      <c r="C160" s="63" t="str">
        <f t="shared" si="17"/>
        <v>Roiphet1A2-G03-0082</v>
      </c>
      <c r="D160" s="68">
        <f>VLOOKUP(C160,'RAW DATA 2023'!E:BP,63,0)</f>
        <v>5</v>
      </c>
      <c r="E160" s="68" t="str">
        <f t="shared" si="18"/>
        <v>Roiphet15</v>
      </c>
      <c r="F160" s="63" t="str">
        <f>VLOOKUP(C160,'RAW DATA 2023'!E:BO,5,0)</f>
        <v>Greenhouse</v>
      </c>
      <c r="G160" s="63">
        <f>VLOOKUP(C160,'RAW DATA 2023'!E:BO,13,0)</f>
        <v>147</v>
      </c>
      <c r="H160" s="63">
        <f t="shared" si="21"/>
        <v>150</v>
      </c>
      <c r="I160" s="63">
        <f t="shared" si="19"/>
        <v>9.1999999999999993</v>
      </c>
      <c r="J160" s="106">
        <f>VLOOKUP(C160,'RAW DATA 2023'!E:BO,22,0)</f>
        <v>6.8285044247787621</v>
      </c>
      <c r="K160" s="70">
        <f t="shared" si="22"/>
        <v>0.74222874182377852</v>
      </c>
      <c r="L160" s="72">
        <f t="shared" si="20"/>
        <v>6.8285044247787621</v>
      </c>
      <c r="M160" s="109">
        <f t="shared" si="24"/>
        <v>3.2297165576503803</v>
      </c>
      <c r="N160" s="123" t="str">
        <f>VLOOKUP(C160,'RAW DATA 2023'!E:BO,36,0)</f>
        <v>Normal</v>
      </c>
      <c r="O160" s="63">
        <f>VLOOKUP(C160,'RAW DATA 2023'!E:BO,2,0)</f>
        <v>1.1299999999999999</v>
      </c>
      <c r="P160" s="322">
        <f t="shared" si="23"/>
        <v>3.6495797101449297</v>
      </c>
    </row>
    <row r="161" spans="1:16">
      <c r="A161" s="63" t="str">
        <f>'RAW DATA 2023'!B154</f>
        <v>Roiphet1</v>
      </c>
      <c r="B161" s="63" t="str">
        <f>'RAW DATA 2023'!D154</f>
        <v>A4-G07-0071</v>
      </c>
      <c r="C161" s="63" t="str">
        <f t="shared" si="17"/>
        <v>Roiphet1A4-G07-0071</v>
      </c>
      <c r="D161" s="68">
        <f>VLOOKUP(C161,'RAW DATA 2023'!E:BP,63,0)</f>
        <v>5</v>
      </c>
      <c r="E161" s="68" t="str">
        <f t="shared" si="18"/>
        <v>Roiphet15</v>
      </c>
      <c r="F161" s="63" t="str">
        <f>VLOOKUP(C161,'RAW DATA 2023'!E:BO,5,0)</f>
        <v>Greenhouse</v>
      </c>
      <c r="G161" s="63">
        <f>VLOOKUP(C161,'RAW DATA 2023'!E:BO,13,0)</f>
        <v>199</v>
      </c>
      <c r="H161" s="63">
        <f t="shared" si="21"/>
        <v>200</v>
      </c>
      <c r="I161" s="63">
        <f t="shared" si="19"/>
        <v>11.259</v>
      </c>
      <c r="J161" s="106">
        <f>VLOOKUP(C161,'RAW DATA 2023'!E:BO,22,0)</f>
        <v>8.834398230088496</v>
      </c>
      <c r="K161" s="70">
        <f t="shared" si="22"/>
        <v>0.78465212097775072</v>
      </c>
      <c r="L161" s="72">
        <f t="shared" si="20"/>
        <v>8.834398230088496</v>
      </c>
      <c r="M161" s="109">
        <f t="shared" si="24"/>
        <v>3.7953616130366763</v>
      </c>
      <c r="N161" s="123" t="str">
        <f>VLOOKUP(C161,'RAW DATA 2023'!E:BO,36,0)</f>
        <v>Normal</v>
      </c>
      <c r="O161" s="63">
        <f>VLOOKUP(C161,'RAW DATA 2023'!E:BO,2,0)</f>
        <v>1.1299999999999999</v>
      </c>
      <c r="P161" s="322">
        <f t="shared" si="23"/>
        <v>4.2887586227314438</v>
      </c>
    </row>
    <row r="162" spans="1:16">
      <c r="A162" s="63" t="str">
        <f>'RAW DATA 2023'!B155</f>
        <v>Roiphet1</v>
      </c>
      <c r="B162" s="63" t="str">
        <f>'RAW DATA 2023'!D155</f>
        <v>A3-G05-0076</v>
      </c>
      <c r="C162" s="63" t="str">
        <f t="shared" si="17"/>
        <v>Roiphet1A3-G05-0076</v>
      </c>
      <c r="D162" s="68">
        <f>VLOOKUP(C162,'RAW DATA 2023'!E:BP,63,0)</f>
        <v>6</v>
      </c>
      <c r="E162" s="68" t="str">
        <f t="shared" si="18"/>
        <v>Roiphet16</v>
      </c>
      <c r="F162" s="63" t="str">
        <f>VLOOKUP(C162,'RAW DATA 2023'!E:BO,5,0)</f>
        <v>Greenhouse</v>
      </c>
      <c r="G162" s="63">
        <f>VLOOKUP(C162,'RAW DATA 2023'!E:BO,13,0)</f>
        <v>173</v>
      </c>
      <c r="H162" s="63">
        <f t="shared" si="21"/>
        <v>180</v>
      </c>
      <c r="I162" s="63">
        <f t="shared" si="19"/>
        <v>10.247</v>
      </c>
      <c r="J162" s="106">
        <f>VLOOKUP(C162,'RAW DATA 2023'!E:BO,22,0)</f>
        <v>6.2335840707964607</v>
      </c>
      <c r="K162" s="70">
        <f t="shared" si="22"/>
        <v>0.60833259205586621</v>
      </c>
      <c r="L162" s="72">
        <f t="shared" si="20"/>
        <v>6.2335840707964607</v>
      </c>
      <c r="M162" s="109">
        <f t="shared" si="24"/>
        <v>1.4444345607448827</v>
      </c>
      <c r="N162" s="123" t="str">
        <f>VLOOKUP(C162,'RAW DATA 2023'!E:BO,36,0)</f>
        <v>Normal</v>
      </c>
      <c r="O162" s="63">
        <f>VLOOKUP(C162,'RAW DATA 2023'!E:BO,2,0)</f>
        <v>1.1299999999999999</v>
      </c>
      <c r="P162" s="322">
        <f t="shared" si="23"/>
        <v>1.6322110536417174</v>
      </c>
    </row>
    <row r="163" spans="1:16">
      <c r="A163" s="63" t="str">
        <f>'RAW DATA 2023'!B156</f>
        <v>Roiphet1</v>
      </c>
      <c r="B163" s="63" t="str">
        <f>'RAW DATA 2023'!D156</f>
        <v>A2-I04-0099</v>
      </c>
      <c r="C163" s="63" t="str">
        <f t="shared" si="17"/>
        <v>Roiphet1A2-I04-0099</v>
      </c>
      <c r="D163" s="68">
        <f>VLOOKUP(C163,'RAW DATA 2023'!E:BP,63,0)</f>
        <v>5</v>
      </c>
      <c r="E163" s="68" t="str">
        <f t="shared" si="18"/>
        <v>Roiphet15</v>
      </c>
      <c r="F163" s="63" t="str">
        <f>VLOOKUP(C163,'RAW DATA 2023'!E:BO,5,0)</f>
        <v>Greenhouse</v>
      </c>
      <c r="G163" s="63">
        <f>VLOOKUP(C163,'RAW DATA 2023'!E:BO,13,0)</f>
        <v>174</v>
      </c>
      <c r="H163" s="63">
        <f t="shared" si="21"/>
        <v>180</v>
      </c>
      <c r="I163" s="63">
        <f t="shared" si="19"/>
        <v>10.247</v>
      </c>
      <c r="J163" s="106">
        <f>VLOOKUP(C163,'RAW DATA 2023'!E:BO,22,0)</f>
        <v>6.1501250000000001</v>
      </c>
      <c r="K163" s="70">
        <f t="shared" si="22"/>
        <v>0.60018785986142287</v>
      </c>
      <c r="L163" s="72">
        <f t="shared" si="20"/>
        <v>6.1501250000000001</v>
      </c>
      <c r="M163" s="109">
        <f t="shared" si="24"/>
        <v>1.3358381314856382</v>
      </c>
      <c r="N163" s="123" t="str">
        <f>VLOOKUP(C163,'RAW DATA 2023'!E:BO,36,0)</f>
        <v>Normal</v>
      </c>
      <c r="O163" s="63">
        <f>VLOOKUP(C163,'RAW DATA 2023'!E:BO,2,0)</f>
        <v>0.72</v>
      </c>
      <c r="P163" s="322">
        <f t="shared" si="23"/>
        <v>0.96180345466965944</v>
      </c>
    </row>
    <row r="164" spans="1:16">
      <c r="A164" s="63" t="str">
        <f>'RAW DATA 2023'!B157</f>
        <v>Roiphet1</v>
      </c>
      <c r="B164" s="63" t="str">
        <f>'RAW DATA 2023'!D157</f>
        <v>A4-G08-0070</v>
      </c>
      <c r="C164" s="63" t="str">
        <f t="shared" si="17"/>
        <v>Roiphet1A4-G08-0070</v>
      </c>
      <c r="D164" s="68">
        <f>VLOOKUP(C164,'RAW DATA 2023'!E:BP,63,0)</f>
        <v>9</v>
      </c>
      <c r="E164" s="68" t="str">
        <f t="shared" si="18"/>
        <v>Roiphet19</v>
      </c>
      <c r="F164" s="63" t="str">
        <f>VLOOKUP(C164,'RAW DATA 2023'!E:BO,5,0)</f>
        <v>Greenhouse</v>
      </c>
      <c r="G164" s="63">
        <f>VLOOKUP(C164,'RAW DATA 2023'!E:BO,13,0)</f>
        <v>203</v>
      </c>
      <c r="H164" s="63">
        <f t="shared" si="21"/>
        <v>200</v>
      </c>
      <c r="I164" s="63">
        <f t="shared" si="19"/>
        <v>11.259</v>
      </c>
      <c r="J164" s="106">
        <f>VLOOKUP(C164,'RAW DATA 2023'!E:BO,22,0)</f>
        <v>5.1540707964601777</v>
      </c>
      <c r="K164" s="70">
        <f t="shared" si="22"/>
        <v>0.45777340762591506</v>
      </c>
      <c r="L164" s="72">
        <f t="shared" si="20"/>
        <v>5.1540707964601777</v>
      </c>
      <c r="M164" s="109">
        <f t="shared" si="24"/>
        <v>-0.56302123165446583</v>
      </c>
      <c r="N164" s="123" t="str">
        <f>VLOOKUP(C164,'RAW DATA 2023'!E:BO,36,0)</f>
        <v>อัตรารอดต่ำ</v>
      </c>
      <c r="O164" s="63">
        <f>VLOOKUP(C164,'RAW DATA 2023'!E:BO,2,0)</f>
        <v>1.1299999999999999</v>
      </c>
      <c r="P164" s="322">
        <f t="shared" si="23"/>
        <v>-0.63621399176954629</v>
      </c>
    </row>
    <row r="165" spans="1:16">
      <c r="A165" s="63" t="str">
        <f>'RAW DATA 2023'!B158</f>
        <v>Roiphet1</v>
      </c>
      <c r="B165" s="63" t="str">
        <f>'RAW DATA 2023'!D158</f>
        <v>A5-I10-0094</v>
      </c>
      <c r="C165" s="63" t="str">
        <f t="shared" si="17"/>
        <v>Roiphet1A5-I10-0094</v>
      </c>
      <c r="D165" s="68">
        <f>VLOOKUP(C165,'RAW DATA 2023'!E:BP,63,0)</f>
        <v>5</v>
      </c>
      <c r="E165" s="68" t="str">
        <f t="shared" si="18"/>
        <v>Roiphet15</v>
      </c>
      <c r="F165" s="63" t="str">
        <f>VLOOKUP(C165,'RAW DATA 2023'!E:BO,5,0)</f>
        <v>Greenhouse</v>
      </c>
      <c r="G165" s="63">
        <f>VLOOKUP(C165,'RAW DATA 2023'!E:BO,13,0)</f>
        <v>174</v>
      </c>
      <c r="H165" s="63">
        <f t="shared" si="21"/>
        <v>180</v>
      </c>
      <c r="I165" s="63">
        <f t="shared" si="19"/>
        <v>10.247</v>
      </c>
      <c r="J165" s="106">
        <f>VLOOKUP(C165,'RAW DATA 2023'!E:BO,22,0)</f>
        <v>4.8111805555555565</v>
      </c>
      <c r="K165" s="70">
        <f t="shared" si="22"/>
        <v>0.46952088958285904</v>
      </c>
      <c r="L165" s="72">
        <f t="shared" si="20"/>
        <v>4.8111805555555565</v>
      </c>
      <c r="M165" s="109">
        <f t="shared" si="24"/>
        <v>-0.40638813889521286</v>
      </c>
      <c r="N165" s="123" t="str">
        <f>VLOOKUP(C165,'RAW DATA 2023'!E:BO,36,0)</f>
        <v>Normal</v>
      </c>
      <c r="O165" s="63">
        <f>VLOOKUP(C165,'RAW DATA 2023'!E:BO,2,0)</f>
        <v>0.72</v>
      </c>
      <c r="P165" s="322">
        <f t="shared" si="23"/>
        <v>-0.29259946000455322</v>
      </c>
    </row>
    <row r="166" spans="1:16">
      <c r="A166" s="63" t="str">
        <f>'RAW DATA 2023'!B159</f>
        <v>Roiphet1</v>
      </c>
      <c r="B166" s="63" t="str">
        <f>'RAW DATA 2023'!D159</f>
        <v>A2-G04-0081</v>
      </c>
      <c r="C166" s="63" t="str">
        <f t="shared" si="17"/>
        <v>Roiphet1A2-G04-0081</v>
      </c>
      <c r="D166" s="68">
        <f>VLOOKUP(C166,'RAW DATA 2023'!E:BP,63,0)</f>
        <v>5</v>
      </c>
      <c r="E166" s="68" t="str">
        <f t="shared" si="18"/>
        <v>Roiphet15</v>
      </c>
      <c r="F166" s="63" t="str">
        <f>VLOOKUP(C166,'RAW DATA 2023'!E:BO,5,0)</f>
        <v>Greenhouse</v>
      </c>
      <c r="G166" s="63">
        <f>VLOOKUP(C166,'RAW DATA 2023'!E:BO,13,0)</f>
        <v>173</v>
      </c>
      <c r="H166" s="63">
        <f t="shared" si="21"/>
        <v>180</v>
      </c>
      <c r="I166" s="63">
        <f t="shared" si="19"/>
        <v>10.247</v>
      </c>
      <c r="J166" s="106">
        <f>VLOOKUP(C166,'RAW DATA 2023'!E:BO,22,0)</f>
        <v>7.4836725663716823</v>
      </c>
      <c r="K166" s="70">
        <f t="shared" si="22"/>
        <v>0.73032815130005679</v>
      </c>
      <c r="L166" s="72">
        <f t="shared" si="20"/>
        <v>7.4836725663716823</v>
      </c>
      <c r="M166" s="109">
        <f t="shared" si="24"/>
        <v>3.0710420173340909</v>
      </c>
      <c r="N166" s="123" t="str">
        <f>VLOOKUP(C166,'RAW DATA 2023'!E:BO,36,0)</f>
        <v>Normal</v>
      </c>
      <c r="O166" s="63">
        <f>VLOOKUP(C166,'RAW DATA 2023'!E:BO,2,0)</f>
        <v>1.1299999999999999</v>
      </c>
      <c r="P166" s="322">
        <f t="shared" si="23"/>
        <v>3.4702774795875224</v>
      </c>
    </row>
    <row r="167" spans="1:16">
      <c r="A167" s="63" t="str">
        <f>'RAW DATA 2023'!B160</f>
        <v>Roiphet1</v>
      </c>
      <c r="B167" s="63" t="str">
        <f>'RAW DATA 2023'!D160</f>
        <v>A3-I05-0083</v>
      </c>
      <c r="C167" s="63" t="str">
        <f t="shared" si="17"/>
        <v>Roiphet1A3-I05-0083</v>
      </c>
      <c r="D167" s="68">
        <f>VLOOKUP(C167,'RAW DATA 2023'!E:BP,63,0)</f>
        <v>1</v>
      </c>
      <c r="E167" s="68" t="str">
        <f t="shared" si="18"/>
        <v>Roiphet11</v>
      </c>
      <c r="F167" s="63" t="str">
        <f>VLOOKUP(C167,'RAW DATA 2023'!E:BO,5,0)</f>
        <v>Greenhouse</v>
      </c>
      <c r="G167" s="63">
        <f>VLOOKUP(C167,'RAW DATA 2023'!E:BO,13,0)</f>
        <v>174</v>
      </c>
      <c r="H167" s="63">
        <f t="shared" si="21"/>
        <v>180</v>
      </c>
      <c r="I167" s="63">
        <f t="shared" si="19"/>
        <v>10.247</v>
      </c>
      <c r="J167" s="106">
        <f>VLOOKUP(C167,'RAW DATA 2023'!E:BO,22,0)</f>
        <v>4.2550277777777774</v>
      </c>
      <c r="K167" s="70">
        <f t="shared" si="22"/>
        <v>0.41524619671882285</v>
      </c>
      <c r="L167" s="72">
        <f t="shared" si="20"/>
        <v>4.2550277777777774</v>
      </c>
      <c r="M167" s="109">
        <f t="shared" si="24"/>
        <v>-1.1300507104156954</v>
      </c>
      <c r="N167" s="123" t="str">
        <f>VLOOKUP(C167,'RAW DATA 2023'!E:BO,36,0)</f>
        <v>Normal</v>
      </c>
      <c r="O167" s="63">
        <f>VLOOKUP(C167,'RAW DATA 2023'!E:BO,2,0)</f>
        <v>0.72</v>
      </c>
      <c r="P167" s="322">
        <f t="shared" si="23"/>
        <v>-0.81363651149930061</v>
      </c>
    </row>
    <row r="168" spans="1:16">
      <c r="A168" s="63" t="str">
        <f>'RAW DATA 2023'!B161</f>
        <v>Roiphet1</v>
      </c>
      <c r="B168" s="63" t="str">
        <f>'RAW DATA 2023'!D161</f>
        <v>A3-I06-0089</v>
      </c>
      <c r="C168" s="63" t="str">
        <f t="shared" si="17"/>
        <v>Roiphet1A3-I06-0089</v>
      </c>
      <c r="D168" s="68">
        <f>VLOOKUP(C168,'RAW DATA 2023'!E:BP,63,0)</f>
        <v>6</v>
      </c>
      <c r="E168" s="68" t="str">
        <f t="shared" si="18"/>
        <v>Roiphet16</v>
      </c>
      <c r="F168" s="63" t="str">
        <f>VLOOKUP(C168,'RAW DATA 2023'!E:BO,5,0)</f>
        <v>Greenhouse</v>
      </c>
      <c r="G168" s="63">
        <f>VLOOKUP(C168,'RAW DATA 2023'!E:BO,13,0)</f>
        <v>147</v>
      </c>
      <c r="H168" s="63">
        <f t="shared" si="21"/>
        <v>150</v>
      </c>
      <c r="I168" s="63">
        <f t="shared" si="19"/>
        <v>9.1999999999999993</v>
      </c>
      <c r="J168" s="106">
        <f>VLOOKUP(C168,'RAW DATA 2023'!E:BO,22,0)</f>
        <v>4.8982083333333337</v>
      </c>
      <c r="K168" s="70">
        <f t="shared" si="22"/>
        <v>0.53241394927536245</v>
      </c>
      <c r="L168" s="72">
        <f t="shared" si="20"/>
        <v>4.8982083333333337</v>
      </c>
      <c r="M168" s="109">
        <f t="shared" si="24"/>
        <v>0.43218599033816607</v>
      </c>
      <c r="N168" s="123" t="str">
        <f>VLOOKUP(C168,'RAW DATA 2023'!E:BO,36,0)</f>
        <v>Normal</v>
      </c>
      <c r="O168" s="63">
        <f>VLOOKUP(C168,'RAW DATA 2023'!E:BO,2,0)</f>
        <v>0.72</v>
      </c>
      <c r="P168" s="322">
        <f t="shared" si="23"/>
        <v>0.31117391304347958</v>
      </c>
    </row>
    <row r="169" spans="1:16">
      <c r="A169" s="63" t="str">
        <f>'RAW DATA 2023'!B162</f>
        <v>Roiphet1</v>
      </c>
      <c r="B169" s="63" t="str">
        <f>'RAW DATA 2023'!D162</f>
        <v>A1-G02-0074</v>
      </c>
      <c r="C169" s="63" t="str">
        <f t="shared" si="17"/>
        <v>Roiphet1A1-G02-0074</v>
      </c>
      <c r="D169" s="68">
        <f>VLOOKUP(C169,'RAW DATA 2023'!E:BP,63,0)</f>
        <v>5</v>
      </c>
      <c r="E169" s="68" t="str">
        <f t="shared" si="18"/>
        <v>Roiphet15</v>
      </c>
      <c r="F169" s="63" t="str">
        <f>VLOOKUP(C169,'RAW DATA 2023'!E:BO,5,0)</f>
        <v>Greenhouse</v>
      </c>
      <c r="G169" s="63">
        <f>VLOOKUP(C169,'RAW DATA 2023'!E:BO,13,0)</f>
        <v>173</v>
      </c>
      <c r="H169" s="63">
        <f t="shared" si="21"/>
        <v>180</v>
      </c>
      <c r="I169" s="63">
        <f t="shared" si="19"/>
        <v>10.247</v>
      </c>
      <c r="J169" s="106">
        <f>VLOOKUP(C169,'RAW DATA 2023'!E:BO,22,0)</f>
        <v>7.919734513274336</v>
      </c>
      <c r="K169" s="70">
        <f t="shared" si="22"/>
        <v>0.77288323541273896</v>
      </c>
      <c r="L169" s="72">
        <f t="shared" si="20"/>
        <v>7.919734513274336</v>
      </c>
      <c r="M169" s="109">
        <f t="shared" si="24"/>
        <v>3.6384431388365197</v>
      </c>
      <c r="N169" s="123" t="str">
        <f>VLOOKUP(C169,'RAW DATA 2023'!E:BO,36,0)</f>
        <v>Normal</v>
      </c>
      <c r="O169" s="63">
        <f>VLOOKUP(C169,'RAW DATA 2023'!E:BO,2,0)</f>
        <v>1.1299999999999999</v>
      </c>
      <c r="P169" s="322">
        <f t="shared" si="23"/>
        <v>4.1114407468852665</v>
      </c>
    </row>
    <row r="170" spans="1:16">
      <c r="A170" s="63" t="str">
        <f>'RAW DATA 2023'!B163</f>
        <v>Roiphet1</v>
      </c>
      <c r="B170" s="63" t="str">
        <f>'RAW DATA 2023'!D163</f>
        <v>A5-I09-0098</v>
      </c>
      <c r="C170" s="63" t="str">
        <f t="shared" si="17"/>
        <v>Roiphet1A5-I09-0098</v>
      </c>
      <c r="D170" s="68">
        <f>VLOOKUP(C170,'RAW DATA 2023'!E:BP,63,0)</f>
        <v>6</v>
      </c>
      <c r="E170" s="68" t="str">
        <f t="shared" si="18"/>
        <v>Roiphet16</v>
      </c>
      <c r="F170" s="63" t="str">
        <f>VLOOKUP(C170,'RAW DATA 2023'!E:BO,5,0)</f>
        <v>Greenhouse</v>
      </c>
      <c r="G170" s="63">
        <f>VLOOKUP(C170,'RAW DATA 2023'!E:BO,13,0)</f>
        <v>174</v>
      </c>
      <c r="H170" s="63">
        <f t="shared" si="21"/>
        <v>180</v>
      </c>
      <c r="I170" s="63">
        <f t="shared" si="19"/>
        <v>10.247</v>
      </c>
      <c r="J170" s="106">
        <f>VLOOKUP(C170,'RAW DATA 2023'!E:BO,22,0)</f>
        <v>5.469611111111111</v>
      </c>
      <c r="K170" s="70">
        <f t="shared" si="22"/>
        <v>0.53377682356895784</v>
      </c>
      <c r="L170" s="72">
        <f t="shared" si="20"/>
        <v>5.469611111111111</v>
      </c>
      <c r="M170" s="109">
        <f t="shared" si="24"/>
        <v>0.45035764758610453</v>
      </c>
      <c r="N170" s="123" t="str">
        <f>VLOOKUP(C170,'RAW DATA 2023'!E:BO,36,0)</f>
        <v>Normal</v>
      </c>
      <c r="O170" s="63">
        <f>VLOOKUP(C170,'RAW DATA 2023'!E:BO,2,0)</f>
        <v>0.72</v>
      </c>
      <c r="P170" s="322">
        <f t="shared" si="23"/>
        <v>0.32425750626199523</v>
      </c>
    </row>
    <row r="171" spans="1:16">
      <c r="A171" s="63" t="str">
        <f>'RAW DATA 2023'!B164</f>
        <v>Roiphet1</v>
      </c>
      <c r="B171" s="63" t="str">
        <f>'RAW DATA 2023'!D164</f>
        <v>A3-I05-0084</v>
      </c>
      <c r="C171" s="63" t="str">
        <f t="shared" si="17"/>
        <v>Roiphet1A3-I05-0084</v>
      </c>
      <c r="D171" s="68">
        <f>VLOOKUP(C171,'RAW DATA 2023'!E:BP,63,0)</f>
        <v>6</v>
      </c>
      <c r="E171" s="68" t="str">
        <f t="shared" si="18"/>
        <v>Roiphet16</v>
      </c>
      <c r="F171" s="63" t="str">
        <f>VLOOKUP(C171,'RAW DATA 2023'!E:BO,5,0)</f>
        <v>Greenhouse</v>
      </c>
      <c r="G171" s="63">
        <f>VLOOKUP(C171,'RAW DATA 2023'!E:BO,13,0)</f>
        <v>174</v>
      </c>
      <c r="H171" s="63">
        <f t="shared" si="21"/>
        <v>180</v>
      </c>
      <c r="I171" s="63">
        <f t="shared" si="19"/>
        <v>10.247</v>
      </c>
      <c r="J171" s="106">
        <f>VLOOKUP(C171,'RAW DATA 2023'!E:BO,22,0)</f>
        <v>5.431055555555556</v>
      </c>
      <c r="K171" s="70">
        <f t="shared" si="22"/>
        <v>0.53001420469947846</v>
      </c>
      <c r="L171" s="72">
        <f t="shared" si="20"/>
        <v>5.431055555555556</v>
      </c>
      <c r="M171" s="109">
        <f t="shared" si="24"/>
        <v>0.4001893959930462</v>
      </c>
      <c r="N171" s="123" t="str">
        <f>VLOOKUP(C171,'RAW DATA 2023'!E:BO,36,0)</f>
        <v>Normal</v>
      </c>
      <c r="O171" s="63">
        <f>VLOOKUP(C171,'RAW DATA 2023'!E:BO,2,0)</f>
        <v>0.72</v>
      </c>
      <c r="P171" s="322">
        <f t="shared" si="23"/>
        <v>0.28813636511499324</v>
      </c>
    </row>
    <row r="172" spans="1:16">
      <c r="A172" s="63" t="str">
        <f>'RAW DATA 2023'!B165</f>
        <v>Roiphet1</v>
      </c>
      <c r="B172" s="63" t="str">
        <f>'RAW DATA 2023'!D165</f>
        <v>A1-G01-0064</v>
      </c>
      <c r="C172" s="63" t="str">
        <f t="shared" si="17"/>
        <v>Roiphet1A1-G01-0064</v>
      </c>
      <c r="D172" s="68">
        <f>VLOOKUP(C172,'RAW DATA 2023'!E:BP,63,0)</f>
        <v>9</v>
      </c>
      <c r="E172" s="68" t="str">
        <f t="shared" si="18"/>
        <v>Roiphet19</v>
      </c>
      <c r="F172" s="63" t="str">
        <f>VLOOKUP(C172,'RAW DATA 2023'!E:BO,5,0)</f>
        <v>Greenhouse</v>
      </c>
      <c r="G172" s="63">
        <f>VLOOKUP(C172,'RAW DATA 2023'!E:BO,13,0)</f>
        <v>203</v>
      </c>
      <c r="H172" s="63">
        <f t="shared" si="21"/>
        <v>200</v>
      </c>
      <c r="I172" s="63">
        <f t="shared" si="19"/>
        <v>11.259</v>
      </c>
      <c r="J172" s="106">
        <f>VLOOKUP(C172,'RAW DATA 2023'!E:BO,22,0)</f>
        <v>4.6014424778761063</v>
      </c>
      <c r="K172" s="70">
        <f t="shared" si="22"/>
        <v>0.40869015701892764</v>
      </c>
      <c r="L172" s="72">
        <f t="shared" si="20"/>
        <v>4.6014424778761063</v>
      </c>
      <c r="M172" s="109">
        <f t="shared" si="24"/>
        <v>-1.217464573080965</v>
      </c>
      <c r="N172" s="123" t="str">
        <f>VLOOKUP(C172,'RAW DATA 2023'!E:BO,36,0)</f>
        <v>อัตรารอดต่ำ</v>
      </c>
      <c r="O172" s="63">
        <f>VLOOKUP(C172,'RAW DATA 2023'!E:BO,2,0)</f>
        <v>1.1299999999999999</v>
      </c>
      <c r="P172" s="322">
        <f t="shared" si="23"/>
        <v>-1.3757349675814903</v>
      </c>
    </row>
    <row r="173" spans="1:16">
      <c r="A173" s="63" t="str">
        <f>'RAW DATA 2023'!B166</f>
        <v>Roiphet1</v>
      </c>
      <c r="B173" s="63" t="str">
        <f>'RAW DATA 2023'!D166</f>
        <v>A4-I08-0100</v>
      </c>
      <c r="C173" s="63" t="str">
        <f t="shared" si="17"/>
        <v>Roiphet1A4-I08-0100</v>
      </c>
      <c r="D173" s="68">
        <f>VLOOKUP(C173,'RAW DATA 2023'!E:BP,63,0)</f>
        <v>9</v>
      </c>
      <c r="E173" s="68" t="str">
        <f t="shared" si="18"/>
        <v>Roiphet19</v>
      </c>
      <c r="F173" s="63" t="str">
        <f>VLOOKUP(C173,'RAW DATA 2023'!E:BO,5,0)</f>
        <v>Greenhouse</v>
      </c>
      <c r="G173" s="63">
        <f>VLOOKUP(C173,'RAW DATA 2023'!E:BO,13,0)</f>
        <v>167</v>
      </c>
      <c r="H173" s="63">
        <f t="shared" si="21"/>
        <v>180</v>
      </c>
      <c r="I173" s="63">
        <f t="shared" si="19"/>
        <v>10.247</v>
      </c>
      <c r="J173" s="106">
        <f>VLOOKUP(C173,'RAW DATA 2023'!E:BO,22,0)</f>
        <v>3.8858194444444445</v>
      </c>
      <c r="K173" s="70">
        <f t="shared" si="22"/>
        <v>0.37921532589484186</v>
      </c>
      <c r="L173" s="72">
        <f t="shared" si="20"/>
        <v>3.8858194444444445</v>
      </c>
      <c r="M173" s="109">
        <f t="shared" si="24"/>
        <v>-1.6104623214021085</v>
      </c>
      <c r="N173" s="123" t="str">
        <f>VLOOKUP(C173,'RAW DATA 2023'!E:BO,36,0)</f>
        <v>อัตรารอดต่ำ</v>
      </c>
      <c r="O173" s="63">
        <f>VLOOKUP(C173,'RAW DATA 2023'!E:BO,2,0)</f>
        <v>0.72</v>
      </c>
      <c r="P173" s="322">
        <f t="shared" si="23"/>
        <v>-1.1595328714095181</v>
      </c>
    </row>
    <row r="174" spans="1:16">
      <c r="A174" s="63" t="str">
        <f>'RAW DATA 2023'!B167</f>
        <v>Roiphet1</v>
      </c>
      <c r="B174" s="63" t="str">
        <f>'RAW DATA 2023'!D167</f>
        <v>A4-I07-0094</v>
      </c>
      <c r="C174" s="63" t="str">
        <f t="shared" si="17"/>
        <v>Roiphet1A4-I07-0094</v>
      </c>
      <c r="D174" s="68">
        <f>VLOOKUP(C174,'RAW DATA 2023'!E:BP,63,0)</f>
        <v>5</v>
      </c>
      <c r="E174" s="68" t="str">
        <f t="shared" si="18"/>
        <v>Roiphet15</v>
      </c>
      <c r="F174" s="63" t="str">
        <f>VLOOKUP(C174,'RAW DATA 2023'!E:BO,5,0)</f>
        <v>Greenhouse</v>
      </c>
      <c r="G174" s="63">
        <f>VLOOKUP(C174,'RAW DATA 2023'!E:BO,13,0)</f>
        <v>174</v>
      </c>
      <c r="H174" s="63">
        <f t="shared" si="21"/>
        <v>180</v>
      </c>
      <c r="I174" s="63">
        <f t="shared" si="19"/>
        <v>10.247</v>
      </c>
      <c r="J174" s="106">
        <f>VLOOKUP(C174,'RAW DATA 2023'!E:BO,22,0)</f>
        <v>7.109430555555555</v>
      </c>
      <c r="K174" s="70">
        <f t="shared" si="22"/>
        <v>0.69380604621406805</v>
      </c>
      <c r="L174" s="72">
        <f t="shared" si="20"/>
        <v>7.109430555555555</v>
      </c>
      <c r="M174" s="109">
        <f t="shared" si="24"/>
        <v>2.584080616187574</v>
      </c>
      <c r="N174" s="123" t="str">
        <f>VLOOKUP(C174,'RAW DATA 2023'!E:BO,36,0)</f>
        <v>Normal</v>
      </c>
      <c r="O174" s="63">
        <f>VLOOKUP(C174,'RAW DATA 2023'!E:BO,2,0)</f>
        <v>0.72</v>
      </c>
      <c r="P174" s="322">
        <f t="shared" si="23"/>
        <v>1.8605380436550532</v>
      </c>
    </row>
    <row r="175" spans="1:16">
      <c r="A175" s="63" t="str">
        <f>'RAW DATA 2023'!B168</f>
        <v>Roiphet1</v>
      </c>
      <c r="B175" s="63" t="str">
        <f>'RAW DATA 2023'!D168</f>
        <v>A1-G01-0062</v>
      </c>
      <c r="C175" s="63" t="str">
        <f t="shared" si="17"/>
        <v>Roiphet1A1-G01-0062</v>
      </c>
      <c r="D175" s="68">
        <f>VLOOKUP(C175,'RAW DATA 2023'!E:BP,63,0)</f>
        <v>1</v>
      </c>
      <c r="E175" s="68" t="str">
        <f t="shared" si="18"/>
        <v>Roiphet11</v>
      </c>
      <c r="F175" s="63" t="str">
        <f>VLOOKUP(C175,'RAW DATA 2023'!E:BO,5,0)</f>
        <v>Greenhouse</v>
      </c>
      <c r="G175" s="63">
        <f>VLOOKUP(C175,'RAW DATA 2023'!E:BO,13,0)</f>
        <v>173</v>
      </c>
      <c r="H175" s="63">
        <f t="shared" si="21"/>
        <v>180</v>
      </c>
      <c r="I175" s="63">
        <f t="shared" si="19"/>
        <v>10.247</v>
      </c>
      <c r="J175" s="106">
        <f>VLOOKUP(C175,'RAW DATA 2023'!E:BO,22,0)</f>
        <v>4.8262831858407083</v>
      </c>
      <c r="K175" s="70">
        <f t="shared" si="22"/>
        <v>0.47099474830103527</v>
      </c>
      <c r="L175" s="72">
        <f t="shared" si="20"/>
        <v>4.8262831858407083</v>
      </c>
      <c r="M175" s="109">
        <f t="shared" si="24"/>
        <v>-0.38673668931952976</v>
      </c>
      <c r="N175" s="123" t="str">
        <f>VLOOKUP(C175,'RAW DATA 2023'!E:BO,36,0)</f>
        <v>Normal</v>
      </c>
      <c r="O175" s="63">
        <f>VLOOKUP(C175,'RAW DATA 2023'!E:BO,2,0)</f>
        <v>1.1299999999999999</v>
      </c>
      <c r="P175" s="322">
        <f t="shared" si="23"/>
        <v>-0.4370124589310686</v>
      </c>
    </row>
    <row r="176" spans="1:16">
      <c r="A176" s="63" t="str">
        <f>'RAW DATA 2023'!B169</f>
        <v>Roiphet1</v>
      </c>
      <c r="B176" s="63" t="str">
        <f>'RAW DATA 2023'!D169</f>
        <v>A5-G10-0068</v>
      </c>
      <c r="C176" s="63" t="str">
        <f t="shared" si="17"/>
        <v>Roiphet1A5-G10-0068</v>
      </c>
      <c r="D176" s="68">
        <f>VLOOKUP(C176,'RAW DATA 2023'!E:BP,63,0)</f>
        <v>5</v>
      </c>
      <c r="E176" s="68" t="str">
        <f t="shared" si="18"/>
        <v>Roiphet15</v>
      </c>
      <c r="F176" s="63" t="str">
        <f>VLOOKUP(C176,'RAW DATA 2023'!E:BO,5,0)</f>
        <v>Greenhouse</v>
      </c>
      <c r="G176" s="63">
        <f>VLOOKUP(C176,'RAW DATA 2023'!E:BO,13,0)</f>
        <v>173</v>
      </c>
      <c r="H176" s="63">
        <f t="shared" si="21"/>
        <v>180</v>
      </c>
      <c r="I176" s="63">
        <f t="shared" si="19"/>
        <v>10.247</v>
      </c>
      <c r="J176" s="106">
        <f>VLOOKUP(C176,'RAW DATA 2023'!E:BO,22,0)</f>
        <v>6.0484070796460179</v>
      </c>
      <c r="K176" s="70">
        <f t="shared" si="22"/>
        <v>0.59026125496691895</v>
      </c>
      <c r="L176" s="72">
        <f t="shared" si="20"/>
        <v>6.0484070796460179</v>
      </c>
      <c r="M176" s="109">
        <f t="shared" si="24"/>
        <v>1.2034833995589194</v>
      </c>
      <c r="N176" s="123" t="str">
        <f>VLOOKUP(C176,'RAW DATA 2023'!E:BO,36,0)</f>
        <v>Normal</v>
      </c>
      <c r="O176" s="63">
        <f>VLOOKUP(C176,'RAW DATA 2023'!E:BO,2,0)</f>
        <v>1.1299999999999999</v>
      </c>
      <c r="P176" s="322">
        <f t="shared" si="23"/>
        <v>1.3599362415015788</v>
      </c>
    </row>
    <row r="177" spans="1:16">
      <c r="A177" s="63" t="str">
        <f>'RAW DATA 2023'!B170</f>
        <v>Roiphet1</v>
      </c>
      <c r="B177" s="63" t="str">
        <f>'RAW DATA 2023'!D170</f>
        <v>A3-G05-0075</v>
      </c>
      <c r="C177" s="63" t="str">
        <f t="shared" si="17"/>
        <v>Roiphet1A3-G05-0075</v>
      </c>
      <c r="D177" s="68">
        <f>VLOOKUP(C177,'RAW DATA 2023'!E:BP,63,0)</f>
        <v>1</v>
      </c>
      <c r="E177" s="68" t="str">
        <f t="shared" si="18"/>
        <v>Roiphet11</v>
      </c>
      <c r="F177" s="63" t="str">
        <f>VLOOKUP(C177,'RAW DATA 2023'!E:BO,5,0)</f>
        <v>Greenhouse</v>
      </c>
      <c r="G177" s="63">
        <f>VLOOKUP(C177,'RAW DATA 2023'!E:BO,13,0)</f>
        <v>173</v>
      </c>
      <c r="H177" s="63">
        <f t="shared" si="21"/>
        <v>180</v>
      </c>
      <c r="I177" s="63">
        <f t="shared" si="19"/>
        <v>10.247</v>
      </c>
      <c r="J177" s="106">
        <f>VLOOKUP(C177,'RAW DATA 2023'!E:BO,22,0)</f>
        <v>5.1117522123893808</v>
      </c>
      <c r="K177" s="70">
        <f t="shared" si="22"/>
        <v>0.49885353882984101</v>
      </c>
      <c r="L177" s="72">
        <f t="shared" si="20"/>
        <v>5.1117522123893808</v>
      </c>
      <c r="M177" s="109">
        <f t="shared" si="24"/>
        <v>-1.5286148935453141E-2</v>
      </c>
      <c r="N177" s="123" t="str">
        <f>VLOOKUP(C177,'RAW DATA 2023'!E:BO,36,0)</f>
        <v>Normal</v>
      </c>
      <c r="O177" s="63">
        <f>VLOOKUP(C177,'RAW DATA 2023'!E:BO,2,0)</f>
        <v>1.1299999999999999</v>
      </c>
      <c r="P177" s="322">
        <f t="shared" si="23"/>
        <v>-1.7273348297062049E-2</v>
      </c>
    </row>
    <row r="178" spans="1:16">
      <c r="A178" s="63" t="str">
        <f>'RAW DATA 2023'!B171</f>
        <v>Roiphet1</v>
      </c>
      <c r="B178" s="63" t="str">
        <f>'RAW DATA 2023'!D171</f>
        <v>A4-G08-0069</v>
      </c>
      <c r="C178" s="63" t="str">
        <f t="shared" si="17"/>
        <v>Roiphet1A4-G08-0069</v>
      </c>
      <c r="D178" s="68">
        <f>VLOOKUP(C178,'RAW DATA 2023'!E:BP,63,0)</f>
        <v>6</v>
      </c>
      <c r="E178" s="68" t="str">
        <f t="shared" si="18"/>
        <v>Roiphet16</v>
      </c>
      <c r="F178" s="63" t="str">
        <f>VLOOKUP(C178,'RAW DATA 2023'!E:BO,5,0)</f>
        <v>Greenhouse</v>
      </c>
      <c r="G178" s="63">
        <f>VLOOKUP(C178,'RAW DATA 2023'!E:BO,13,0)</f>
        <v>173</v>
      </c>
      <c r="H178" s="63">
        <f t="shared" si="21"/>
        <v>180</v>
      </c>
      <c r="I178" s="63">
        <f t="shared" si="19"/>
        <v>10.247</v>
      </c>
      <c r="J178" s="106">
        <f>VLOOKUP(C178,'RAW DATA 2023'!E:BO,22,0)</f>
        <v>5.0652920353982305</v>
      </c>
      <c r="K178" s="70">
        <f t="shared" si="22"/>
        <v>0.49431951160322346</v>
      </c>
      <c r="L178" s="72">
        <f t="shared" si="20"/>
        <v>5.0652920353982305</v>
      </c>
      <c r="M178" s="109">
        <f t="shared" si="24"/>
        <v>-7.5739845290353866E-2</v>
      </c>
      <c r="N178" s="123" t="str">
        <f>VLOOKUP(C178,'RAW DATA 2023'!E:BO,36,0)</f>
        <v>Normal</v>
      </c>
      <c r="O178" s="63">
        <f>VLOOKUP(C178,'RAW DATA 2023'!E:BO,2,0)</f>
        <v>1.1299999999999999</v>
      </c>
      <c r="P178" s="322">
        <f t="shared" si="23"/>
        <v>-8.5586025178099864E-2</v>
      </c>
    </row>
    <row r="179" spans="1:16">
      <c r="A179" s="63" t="str">
        <f>'RAW DATA 2023'!B172</f>
        <v>Roiphet1</v>
      </c>
      <c r="B179" s="63" t="str">
        <f>'RAW DATA 2023'!D172</f>
        <v>A5-G09-0083</v>
      </c>
      <c r="C179" s="63" t="str">
        <f t="shared" si="17"/>
        <v>Roiphet1A5-G09-0083</v>
      </c>
      <c r="D179" s="68">
        <f>VLOOKUP(C179,'RAW DATA 2023'!E:BP,63,0)</f>
        <v>6</v>
      </c>
      <c r="E179" s="68" t="str">
        <f t="shared" si="18"/>
        <v>Roiphet16</v>
      </c>
      <c r="F179" s="63" t="str">
        <f>VLOOKUP(C179,'RAW DATA 2023'!E:BO,5,0)</f>
        <v>Greenhouse</v>
      </c>
      <c r="G179" s="63">
        <f>VLOOKUP(C179,'RAW DATA 2023'!E:BO,13,0)</f>
        <v>173</v>
      </c>
      <c r="H179" s="63">
        <f t="shared" si="21"/>
        <v>180</v>
      </c>
      <c r="I179" s="63">
        <f t="shared" si="19"/>
        <v>10.247</v>
      </c>
      <c r="J179" s="106">
        <f>VLOOKUP(C179,'RAW DATA 2023'!E:BO,22,0)</f>
        <v>6.0895575221238945</v>
      </c>
      <c r="K179" s="70">
        <f t="shared" si="22"/>
        <v>0.59427710765335162</v>
      </c>
      <c r="L179" s="72">
        <f t="shared" si="20"/>
        <v>6.0895575221238945</v>
      </c>
      <c r="M179" s="109">
        <f t="shared" si="24"/>
        <v>1.2570281020446883</v>
      </c>
      <c r="N179" s="123" t="str">
        <f>VLOOKUP(C179,'RAW DATA 2023'!E:BO,36,0)</f>
        <v>Normal</v>
      </c>
      <c r="O179" s="63">
        <f>VLOOKUP(C179,'RAW DATA 2023'!E:BO,2,0)</f>
        <v>1.1299999999999999</v>
      </c>
      <c r="P179" s="322">
        <f t="shared" si="23"/>
        <v>1.4204417553104975</v>
      </c>
    </row>
    <row r="180" spans="1:16">
      <c r="A180" s="63" t="str">
        <f>'RAW DATA 2023'!B173</f>
        <v>Roiphet1</v>
      </c>
      <c r="B180" s="63" t="str">
        <f>'RAW DATA 2023'!D173</f>
        <v>A4-I08-0099</v>
      </c>
      <c r="C180" s="63" t="str">
        <f t="shared" si="17"/>
        <v>Roiphet1A4-I08-0099</v>
      </c>
      <c r="D180" s="68">
        <f>VLOOKUP(C180,'RAW DATA 2023'!E:BP,63,0)</f>
        <v>6</v>
      </c>
      <c r="E180" s="68" t="str">
        <f t="shared" si="18"/>
        <v>Roiphet16</v>
      </c>
      <c r="F180" s="63" t="str">
        <f>VLOOKUP(C180,'RAW DATA 2023'!E:BO,5,0)</f>
        <v>Greenhouse</v>
      </c>
      <c r="G180" s="63">
        <f>VLOOKUP(C180,'RAW DATA 2023'!E:BO,13,0)</f>
        <v>174</v>
      </c>
      <c r="H180" s="63">
        <f t="shared" si="21"/>
        <v>180</v>
      </c>
      <c r="I180" s="63">
        <f t="shared" si="19"/>
        <v>10.247</v>
      </c>
      <c r="J180" s="106">
        <f>VLOOKUP(C180,'RAW DATA 2023'!E:BO,22,0)</f>
        <v>4.7674583333333338</v>
      </c>
      <c r="K180" s="70">
        <f t="shared" si="22"/>
        <v>0.46525405809830522</v>
      </c>
      <c r="L180" s="72">
        <f t="shared" si="20"/>
        <v>4.7674583333333338</v>
      </c>
      <c r="M180" s="109">
        <f t="shared" si="24"/>
        <v>-0.46327922535593036</v>
      </c>
      <c r="N180" s="123" t="str">
        <f>VLOOKUP(C180,'RAW DATA 2023'!E:BO,36,0)</f>
        <v>Normal</v>
      </c>
      <c r="O180" s="63">
        <f>VLOOKUP(C180,'RAW DATA 2023'!E:BO,2,0)</f>
        <v>0.72</v>
      </c>
      <c r="P180" s="322">
        <f t="shared" si="23"/>
        <v>-0.33356104225626987</v>
      </c>
    </row>
    <row r="181" spans="1:16">
      <c r="A181" s="63" t="str">
        <f>'RAW DATA 2023'!B174</f>
        <v>Roiphet1</v>
      </c>
      <c r="B181" s="63" t="str">
        <f>'RAW DATA 2023'!D174</f>
        <v>A3-G06-0081</v>
      </c>
      <c r="C181" s="63" t="str">
        <f t="shared" si="17"/>
        <v>Roiphet1A3-G06-0081</v>
      </c>
      <c r="D181" s="68">
        <f>VLOOKUP(C181,'RAW DATA 2023'!E:BP,63,0)</f>
        <v>6</v>
      </c>
      <c r="E181" s="68" t="str">
        <f t="shared" si="18"/>
        <v>Roiphet16</v>
      </c>
      <c r="F181" s="63" t="str">
        <f>VLOOKUP(C181,'RAW DATA 2023'!E:BO,5,0)</f>
        <v>Greenhouse</v>
      </c>
      <c r="G181" s="63">
        <f>VLOOKUP(C181,'RAW DATA 2023'!E:BO,13,0)</f>
        <v>155</v>
      </c>
      <c r="H181" s="63">
        <f t="shared" si="21"/>
        <v>150</v>
      </c>
      <c r="I181" s="63">
        <f t="shared" si="19"/>
        <v>9.1999999999999993</v>
      </c>
      <c r="J181" s="106">
        <f>VLOOKUP(C181,'RAW DATA 2023'!E:BO,22,0)</f>
        <v>5.4823362831858411</v>
      </c>
      <c r="K181" s="70">
        <f t="shared" si="22"/>
        <v>0.5959061177375915</v>
      </c>
      <c r="L181" s="72">
        <f t="shared" si="20"/>
        <v>5.4823362831858411</v>
      </c>
      <c r="M181" s="109">
        <f t="shared" si="24"/>
        <v>1.2787482365012202</v>
      </c>
      <c r="N181" s="123" t="str">
        <f>VLOOKUP(C181,'RAW DATA 2023'!E:BO,36,0)</f>
        <v>Normal</v>
      </c>
      <c r="O181" s="63">
        <f>VLOOKUP(C181,'RAW DATA 2023'!E:BO,2,0)</f>
        <v>1.1299999999999999</v>
      </c>
      <c r="P181" s="322">
        <f t="shared" si="23"/>
        <v>1.4449855072463786</v>
      </c>
    </row>
    <row r="182" spans="1:16">
      <c r="A182" s="63" t="str">
        <f>'RAW DATA 2023'!B175</f>
        <v>Roiphet1</v>
      </c>
      <c r="B182" s="63" t="str">
        <f>'RAW DATA 2023'!D175</f>
        <v>D6-I12-0086</v>
      </c>
      <c r="C182" s="63" t="str">
        <f t="shared" si="17"/>
        <v>Roiphet1D6-I12-0086</v>
      </c>
      <c r="D182" s="68">
        <f>VLOOKUP(C182,'RAW DATA 2023'!E:BP,63,0)</f>
        <v>11</v>
      </c>
      <c r="E182" s="68" t="str">
        <f t="shared" si="18"/>
        <v>Roiphet111</v>
      </c>
      <c r="F182" s="63" t="str">
        <f>VLOOKUP(C182,'RAW DATA 2023'!E:BO,5,0)</f>
        <v>Greenhouse</v>
      </c>
      <c r="G182" s="63">
        <f>VLOOKUP(C182,'RAW DATA 2023'!E:BO,13,0)</f>
        <v>167</v>
      </c>
      <c r="H182" s="63">
        <f t="shared" si="21"/>
        <v>180</v>
      </c>
      <c r="I182" s="63">
        <f t="shared" si="19"/>
        <v>10.247</v>
      </c>
      <c r="J182" s="106">
        <f>VLOOKUP(C182,'RAW DATA 2023'!E:BO,22,0)</f>
        <v>5.3458888888888891</v>
      </c>
      <c r="K182" s="70">
        <f t="shared" si="22"/>
        <v>0.52170282901228548</v>
      </c>
      <c r="L182" s="72">
        <f t="shared" si="20"/>
        <v>5.3458888888888891</v>
      </c>
      <c r="M182" s="109">
        <f t="shared" si="24"/>
        <v>0.28937105349713982</v>
      </c>
      <c r="N182" s="123" t="str">
        <f>VLOOKUP(C182,'RAW DATA 2023'!E:BO,36,0)</f>
        <v>Normal</v>
      </c>
      <c r="O182" s="63">
        <f>VLOOKUP(C182,'RAW DATA 2023'!E:BO,2,0)</f>
        <v>0.72</v>
      </c>
      <c r="P182" s="322">
        <f t="shared" si="23"/>
        <v>0.20834715851794067</v>
      </c>
    </row>
    <row r="183" spans="1:16">
      <c r="A183" s="63" t="str">
        <f>'RAW DATA 2023'!B176</f>
        <v>Roiphet1</v>
      </c>
      <c r="B183" s="63" t="str">
        <f>'RAW DATA 2023'!D176</f>
        <v>D6-I11-0084</v>
      </c>
      <c r="C183" s="63" t="str">
        <f t="shared" si="17"/>
        <v>Roiphet1D6-I11-0084</v>
      </c>
      <c r="D183" s="68">
        <f>VLOOKUP(C183,'RAW DATA 2023'!E:BP,63,0)</f>
        <v>11</v>
      </c>
      <c r="E183" s="68" t="str">
        <f t="shared" si="18"/>
        <v>Roiphet111</v>
      </c>
      <c r="F183" s="63" t="str">
        <f>VLOOKUP(C183,'RAW DATA 2023'!E:BO,5,0)</f>
        <v>Greenhouse</v>
      </c>
      <c r="G183" s="63">
        <f>VLOOKUP(C183,'RAW DATA 2023'!E:BO,13,0)</f>
        <v>167</v>
      </c>
      <c r="H183" s="63">
        <f t="shared" si="21"/>
        <v>180</v>
      </c>
      <c r="I183" s="63">
        <f t="shared" si="19"/>
        <v>10.247</v>
      </c>
      <c r="J183" s="106">
        <f>VLOOKUP(C183,'RAW DATA 2023'!E:BO,22,0)</f>
        <v>3.9815277777777776</v>
      </c>
      <c r="K183" s="70">
        <f t="shared" si="22"/>
        <v>0.38855545796601715</v>
      </c>
      <c r="L183" s="72">
        <f t="shared" si="20"/>
        <v>3.9815277777777776</v>
      </c>
      <c r="M183" s="109">
        <f t="shared" si="24"/>
        <v>-1.4859272271197714</v>
      </c>
      <c r="N183" s="123" t="str">
        <f>VLOOKUP(C183,'RAW DATA 2023'!E:BO,36,0)</f>
        <v>Normal</v>
      </c>
      <c r="O183" s="63">
        <f>VLOOKUP(C183,'RAW DATA 2023'!E:BO,2,0)</f>
        <v>0.72</v>
      </c>
      <c r="P183" s="322">
        <f t="shared" si="23"/>
        <v>-1.0698676035262353</v>
      </c>
    </row>
    <row r="184" spans="1:16">
      <c r="A184" s="63" t="str">
        <f>'RAW DATA 2023'!B177</f>
        <v>Roiphet1</v>
      </c>
      <c r="B184" s="63" t="str">
        <f>'RAW DATA 2023'!D177</f>
        <v>D6-G11-0077</v>
      </c>
      <c r="C184" s="63" t="str">
        <f t="shared" si="17"/>
        <v>Roiphet1D6-G11-0077</v>
      </c>
      <c r="D184" s="68">
        <f>VLOOKUP(C184,'RAW DATA 2023'!E:BP,63,0)</f>
        <v>11</v>
      </c>
      <c r="E184" s="68" t="str">
        <f t="shared" si="18"/>
        <v>Roiphet111</v>
      </c>
      <c r="F184" s="63" t="str">
        <f>VLOOKUP(C184,'RAW DATA 2023'!E:BO,5,0)</f>
        <v>Greenhouse</v>
      </c>
      <c r="G184" s="63">
        <f>VLOOKUP(C184,'RAW DATA 2023'!E:BO,13,0)</f>
        <v>203</v>
      </c>
      <c r="H184" s="63">
        <f t="shared" si="21"/>
        <v>200</v>
      </c>
      <c r="I184" s="63">
        <f t="shared" si="19"/>
        <v>11.259</v>
      </c>
      <c r="J184" s="106">
        <f>VLOOKUP(C184,'RAW DATA 2023'!E:BO,22,0)</f>
        <v>6.3774247787610623</v>
      </c>
      <c r="K184" s="70">
        <f t="shared" si="22"/>
        <v>0.5664290593090916</v>
      </c>
      <c r="L184" s="72">
        <f t="shared" si="20"/>
        <v>6.3774247787610623</v>
      </c>
      <c r="M184" s="109">
        <f t="shared" si="24"/>
        <v>0.88572079078788801</v>
      </c>
      <c r="N184" s="123" t="str">
        <f>VLOOKUP(C184,'RAW DATA 2023'!E:BO,36,0)</f>
        <v>Normal</v>
      </c>
      <c r="O184" s="63">
        <f>VLOOKUP(C184,'RAW DATA 2023'!E:BO,2,0)</f>
        <v>1.1299999999999999</v>
      </c>
      <c r="P184" s="322">
        <f t="shared" si="23"/>
        <v>1.0008644935903133</v>
      </c>
    </row>
    <row r="185" spans="1:16">
      <c r="A185" s="63" t="str">
        <f>'RAW DATA 2023'!B178</f>
        <v>Roiphet1</v>
      </c>
      <c r="B185" s="63" t="str">
        <f>'RAW DATA 2023'!D178</f>
        <v>D6-G12-0080</v>
      </c>
      <c r="C185" s="63" t="str">
        <f t="shared" si="17"/>
        <v>Roiphet1D6-G12-0080</v>
      </c>
      <c r="D185" s="68">
        <f>VLOOKUP(C185,'RAW DATA 2023'!E:BP,63,0)</f>
        <v>11</v>
      </c>
      <c r="E185" s="68" t="str">
        <f t="shared" si="18"/>
        <v>Roiphet111</v>
      </c>
      <c r="F185" s="63" t="str">
        <f>VLOOKUP(C185,'RAW DATA 2023'!E:BO,5,0)</f>
        <v>Greenhouse</v>
      </c>
      <c r="G185" s="63">
        <f>VLOOKUP(C185,'RAW DATA 2023'!E:BO,13,0)</f>
        <v>203</v>
      </c>
      <c r="H185" s="63">
        <f t="shared" si="21"/>
        <v>200</v>
      </c>
      <c r="I185" s="63">
        <f t="shared" si="19"/>
        <v>11.259</v>
      </c>
      <c r="J185" s="106">
        <f>VLOOKUP(C185,'RAW DATA 2023'!E:BO,22,0)</f>
        <v>5.3292389380530976</v>
      </c>
      <c r="K185" s="70">
        <f t="shared" si="22"/>
        <v>0.47333146265681653</v>
      </c>
      <c r="L185" s="72">
        <f t="shared" si="20"/>
        <v>5.3292389380530976</v>
      </c>
      <c r="M185" s="109">
        <f t="shared" si="24"/>
        <v>-0.355580497909113</v>
      </c>
      <c r="N185" s="123" t="str">
        <f>VLOOKUP(C185,'RAW DATA 2023'!E:BO,36,0)</f>
        <v>Normal</v>
      </c>
      <c r="O185" s="63">
        <f>VLOOKUP(C185,'RAW DATA 2023'!E:BO,2,0)</f>
        <v>1.1299999999999999</v>
      </c>
      <c r="P185" s="322">
        <f t="shared" si="23"/>
        <v>-0.40180596263729768</v>
      </c>
    </row>
    <row r="186" spans="1:16">
      <c r="A186" s="63" t="str">
        <f>'RAW DATA 2023'!B179</f>
        <v>Roiphet1</v>
      </c>
      <c r="B186" s="63" t="str">
        <f>'RAW DATA 2023'!D179</f>
        <v>D4-G08-0060</v>
      </c>
      <c r="C186" s="63" t="str">
        <f t="shared" si="17"/>
        <v>Roiphet1D4-G08-0060</v>
      </c>
      <c r="D186" s="68">
        <f>VLOOKUP(C186,'RAW DATA 2023'!E:BP,63,0)</f>
        <v>11</v>
      </c>
      <c r="E186" s="68" t="str">
        <f t="shared" si="18"/>
        <v>Roiphet111</v>
      </c>
      <c r="F186" s="63" t="str">
        <f>VLOOKUP(C186,'RAW DATA 2023'!E:BO,5,0)</f>
        <v>Greenhouse</v>
      </c>
      <c r="G186" s="63">
        <f>VLOOKUP(C186,'RAW DATA 2023'!E:BO,13,0)</f>
        <v>203</v>
      </c>
      <c r="H186" s="63">
        <f t="shared" si="21"/>
        <v>200</v>
      </c>
      <c r="I186" s="63">
        <f t="shared" si="19"/>
        <v>11.259</v>
      </c>
      <c r="J186" s="106">
        <f>VLOOKUP(C186,'RAW DATA 2023'!E:BO,22,0)</f>
        <v>7.7309734513274346</v>
      </c>
      <c r="K186" s="70">
        <f t="shared" si="22"/>
        <v>0.68664832146082555</v>
      </c>
      <c r="L186" s="72">
        <f t="shared" si="20"/>
        <v>7.7309734513274346</v>
      </c>
      <c r="M186" s="109">
        <f t="shared" si="24"/>
        <v>2.488644286144341</v>
      </c>
      <c r="N186" s="123" t="str">
        <f>VLOOKUP(C186,'RAW DATA 2023'!E:BO,36,0)</f>
        <v>Normal</v>
      </c>
      <c r="O186" s="63">
        <f>VLOOKUP(C186,'RAW DATA 2023'!E:BO,2,0)</f>
        <v>1.1299999999999999</v>
      </c>
      <c r="P186" s="322">
        <f t="shared" si="23"/>
        <v>2.8121680433431049</v>
      </c>
    </row>
    <row r="187" spans="1:16">
      <c r="A187" s="63" t="str">
        <f>'RAW DATA 2023'!B180</f>
        <v>Roiphet1</v>
      </c>
      <c r="B187" s="63" t="str">
        <f>'RAW DATA 2023'!D180</f>
        <v>D1-I02-0090</v>
      </c>
      <c r="C187" s="63" t="str">
        <f t="shared" si="17"/>
        <v>Roiphet1D1-I02-0090</v>
      </c>
      <c r="D187" s="68">
        <f>VLOOKUP(C187,'RAW DATA 2023'!E:BP,63,0)</f>
        <v>12</v>
      </c>
      <c r="E187" s="68" t="str">
        <f t="shared" si="18"/>
        <v>Roiphet112</v>
      </c>
      <c r="F187" s="63" t="str">
        <f>VLOOKUP(C187,'RAW DATA 2023'!E:BO,5,0)</f>
        <v>Greenhouse</v>
      </c>
      <c r="G187" s="63">
        <f>VLOOKUP(C187,'RAW DATA 2023'!E:BO,13,0)</f>
        <v>167</v>
      </c>
      <c r="H187" s="63">
        <f t="shared" si="21"/>
        <v>180</v>
      </c>
      <c r="I187" s="63">
        <f t="shared" si="19"/>
        <v>10.247</v>
      </c>
      <c r="J187" s="106">
        <f>VLOOKUP(C187,'RAW DATA 2023'!E:BO,22,0)</f>
        <v>3.5203750000000005</v>
      </c>
      <c r="K187" s="70">
        <f t="shared" si="22"/>
        <v>0.34355177125012204</v>
      </c>
      <c r="L187" s="72">
        <f t="shared" si="20"/>
        <v>3.5203750000000005</v>
      </c>
      <c r="M187" s="109">
        <f t="shared" si="24"/>
        <v>-2.0859763833317064</v>
      </c>
      <c r="N187" s="123" t="str">
        <f>VLOOKUP(C187,'RAW DATA 2023'!E:BO,36,0)</f>
        <v>Normal</v>
      </c>
      <c r="O187" s="63">
        <f>VLOOKUP(C187,'RAW DATA 2023'!E:BO,2,0)</f>
        <v>0.72</v>
      </c>
      <c r="P187" s="322">
        <f t="shared" si="23"/>
        <v>-1.5019029959988286</v>
      </c>
    </row>
    <row r="188" spans="1:16">
      <c r="A188" s="63" t="str">
        <f>'RAW DATA 2023'!B181</f>
        <v>Roiphet1</v>
      </c>
      <c r="B188" s="63" t="str">
        <f>'RAW DATA 2023'!D181</f>
        <v>D1-I01-0092</v>
      </c>
      <c r="C188" s="63" t="str">
        <f t="shared" si="17"/>
        <v>Roiphet1D1-I01-0092</v>
      </c>
      <c r="D188" s="68">
        <f>VLOOKUP(C188,'RAW DATA 2023'!E:BP,63,0)</f>
        <v>12</v>
      </c>
      <c r="E188" s="68" t="str">
        <f t="shared" si="18"/>
        <v>Roiphet112</v>
      </c>
      <c r="F188" s="63" t="str">
        <f>VLOOKUP(C188,'RAW DATA 2023'!E:BO,5,0)</f>
        <v>Greenhouse</v>
      </c>
      <c r="G188" s="63">
        <f>VLOOKUP(C188,'RAW DATA 2023'!E:BO,13,0)</f>
        <v>147</v>
      </c>
      <c r="H188" s="63">
        <f t="shared" si="21"/>
        <v>150</v>
      </c>
      <c r="I188" s="63">
        <f t="shared" si="19"/>
        <v>9.1999999999999993</v>
      </c>
      <c r="J188" s="106">
        <f>VLOOKUP(C188,'RAW DATA 2023'!E:BO,22,0)</f>
        <v>4.1967638888888885</v>
      </c>
      <c r="K188" s="70">
        <f t="shared" si="22"/>
        <v>0.4561699879227053</v>
      </c>
      <c r="L188" s="72">
        <f t="shared" si="20"/>
        <v>4.1967638888888885</v>
      </c>
      <c r="M188" s="109">
        <f t="shared" si="24"/>
        <v>-0.584400161030596</v>
      </c>
      <c r="N188" s="123" t="str">
        <f>VLOOKUP(C188,'RAW DATA 2023'!E:BO,36,0)</f>
        <v>Normal</v>
      </c>
      <c r="O188" s="63">
        <f>VLOOKUP(C188,'RAW DATA 2023'!E:BO,2,0)</f>
        <v>0.72</v>
      </c>
      <c r="P188" s="322">
        <f t="shared" si="23"/>
        <v>-0.42076811594202912</v>
      </c>
    </row>
    <row r="189" spans="1:16">
      <c r="A189" s="63" t="str">
        <f>'RAW DATA 2023'!B182</f>
        <v>Roiphet1</v>
      </c>
      <c r="B189" s="63" t="str">
        <f>'RAW DATA 2023'!D182</f>
        <v>D1-G02-0080</v>
      </c>
      <c r="C189" s="63" t="str">
        <f t="shared" si="17"/>
        <v>Roiphet1D1-G02-0080</v>
      </c>
      <c r="D189" s="68">
        <f>VLOOKUP(C189,'RAW DATA 2023'!E:BP,63,0)</f>
        <v>12</v>
      </c>
      <c r="E189" s="68" t="str">
        <f t="shared" si="18"/>
        <v>Roiphet112</v>
      </c>
      <c r="F189" s="63" t="str">
        <f>VLOOKUP(C189,'RAW DATA 2023'!E:BO,5,0)</f>
        <v>Greenhouse</v>
      </c>
      <c r="G189" s="63">
        <f>VLOOKUP(C189,'RAW DATA 2023'!E:BO,13,0)</f>
        <v>203</v>
      </c>
      <c r="H189" s="63">
        <f t="shared" si="21"/>
        <v>200</v>
      </c>
      <c r="I189" s="63">
        <f t="shared" si="19"/>
        <v>11.259</v>
      </c>
      <c r="J189" s="106">
        <f>VLOOKUP(C189,'RAW DATA 2023'!E:BO,22,0)</f>
        <v>5.5380353982300887</v>
      </c>
      <c r="K189" s="70">
        <f t="shared" si="22"/>
        <v>0.49187631212630684</v>
      </c>
      <c r="L189" s="72">
        <f t="shared" si="20"/>
        <v>5.5380353982300887</v>
      </c>
      <c r="M189" s="109">
        <f t="shared" si="24"/>
        <v>-0.10831583831590885</v>
      </c>
      <c r="N189" s="123" t="str">
        <f>VLOOKUP(C189,'RAW DATA 2023'!E:BO,36,0)</f>
        <v>Normal</v>
      </c>
      <c r="O189" s="63">
        <f>VLOOKUP(C189,'RAW DATA 2023'!E:BO,2,0)</f>
        <v>1.1299999999999999</v>
      </c>
      <c r="P189" s="322">
        <f t="shared" si="23"/>
        <v>-0.12239689729697699</v>
      </c>
    </row>
    <row r="190" spans="1:16">
      <c r="A190" s="63" t="str">
        <f>'RAW DATA 2023'!B183</f>
        <v>Roiphet1</v>
      </c>
      <c r="B190" s="63" t="str">
        <f>'RAW DATA 2023'!D183</f>
        <v>D1-G01-0078</v>
      </c>
      <c r="C190" s="63" t="str">
        <f t="shared" si="17"/>
        <v>Roiphet1D1-G01-0078</v>
      </c>
      <c r="D190" s="68">
        <f>VLOOKUP(C190,'RAW DATA 2023'!E:BP,63,0)</f>
        <v>12</v>
      </c>
      <c r="E190" s="68" t="str">
        <f t="shared" si="18"/>
        <v>Roiphet112</v>
      </c>
      <c r="F190" s="63" t="str">
        <f>VLOOKUP(C190,'RAW DATA 2023'!E:BO,5,0)</f>
        <v>Greenhouse</v>
      </c>
      <c r="G190" s="63">
        <f>VLOOKUP(C190,'RAW DATA 2023'!E:BO,13,0)</f>
        <v>203</v>
      </c>
      <c r="H190" s="63">
        <f t="shared" si="21"/>
        <v>200</v>
      </c>
      <c r="I190" s="63">
        <f t="shared" si="19"/>
        <v>11.259</v>
      </c>
      <c r="J190" s="106">
        <f>VLOOKUP(C190,'RAW DATA 2023'!E:BO,22,0)</f>
        <v>6.0493274336283189</v>
      </c>
      <c r="K190" s="70">
        <f t="shared" si="22"/>
        <v>0.53728816356943943</v>
      </c>
      <c r="L190" s="72">
        <f t="shared" si="20"/>
        <v>6.0493274336283189</v>
      </c>
      <c r="M190" s="109">
        <f t="shared" si="24"/>
        <v>0.49717551425919237</v>
      </c>
      <c r="N190" s="123" t="str">
        <f>VLOOKUP(C190,'RAW DATA 2023'!E:BO,36,0)</f>
        <v>Normal</v>
      </c>
      <c r="O190" s="63">
        <f>VLOOKUP(C190,'RAW DATA 2023'!E:BO,2,0)</f>
        <v>1.1299999999999999</v>
      </c>
      <c r="P190" s="322">
        <f t="shared" si="23"/>
        <v>0.5618083311128873</v>
      </c>
    </row>
    <row r="191" spans="1:16">
      <c r="A191" s="63" t="str">
        <f>'RAW DATA 2023'!B184</f>
        <v>Roiphet1</v>
      </c>
      <c r="B191" s="63" t="str">
        <f>'RAW DATA 2023'!D184</f>
        <v>D4-G07-0063</v>
      </c>
      <c r="C191" s="63" t="str">
        <f t="shared" si="17"/>
        <v>Roiphet1D4-G07-0063</v>
      </c>
      <c r="D191" s="68">
        <f>VLOOKUP(C191,'RAW DATA 2023'!E:BP,63,0)</f>
        <v>11</v>
      </c>
      <c r="E191" s="68" t="str">
        <f t="shared" si="18"/>
        <v>Roiphet111</v>
      </c>
      <c r="F191" s="63" t="str">
        <f>VLOOKUP(C191,'RAW DATA 2023'!E:BO,5,0)</f>
        <v>Greenhouse</v>
      </c>
      <c r="G191" s="63">
        <f>VLOOKUP(C191,'RAW DATA 2023'!E:BO,13,0)</f>
        <v>203</v>
      </c>
      <c r="H191" s="63">
        <f t="shared" si="21"/>
        <v>200</v>
      </c>
      <c r="I191" s="63">
        <f t="shared" si="19"/>
        <v>11.259</v>
      </c>
      <c r="J191" s="106">
        <f>VLOOKUP(C191,'RAW DATA 2023'!E:BO,22,0)</f>
        <v>8.2109734513274333</v>
      </c>
      <c r="K191" s="70">
        <f t="shared" si="22"/>
        <v>0.72928088207899755</v>
      </c>
      <c r="L191" s="72">
        <f t="shared" si="20"/>
        <v>8.2109734513274333</v>
      </c>
      <c r="M191" s="109">
        <f t="shared" si="24"/>
        <v>3.0570784277199676</v>
      </c>
      <c r="N191" s="123" t="str">
        <f>VLOOKUP(C191,'RAW DATA 2023'!E:BO,36,0)</f>
        <v>Normal</v>
      </c>
      <c r="O191" s="63">
        <f>VLOOKUP(C191,'RAW DATA 2023'!E:BO,2,0)</f>
        <v>1.1299999999999999</v>
      </c>
      <c r="P191" s="322">
        <f t="shared" si="23"/>
        <v>3.4544986233235631</v>
      </c>
    </row>
    <row r="192" spans="1:16">
      <c r="A192" s="63" t="str">
        <f>'RAW DATA 2023'!B185</f>
        <v>Roiphet1</v>
      </c>
      <c r="B192" s="63" t="str">
        <f>'RAW DATA 2023'!D185</f>
        <v>B4-G08-0079</v>
      </c>
      <c r="C192" s="63" t="str">
        <f t="shared" si="17"/>
        <v>Roiphet1B4-G08-0079</v>
      </c>
      <c r="D192" s="68">
        <f>VLOOKUP(C192,'RAW DATA 2023'!E:BP,63,0)</f>
        <v>2</v>
      </c>
      <c r="E192" s="68" t="str">
        <f t="shared" si="18"/>
        <v>Roiphet12</v>
      </c>
      <c r="F192" s="63" t="str">
        <f>VLOOKUP(C192,'RAW DATA 2023'!E:BO,5,0)</f>
        <v>Greenhouse</v>
      </c>
      <c r="G192" s="63">
        <f>VLOOKUP(C192,'RAW DATA 2023'!E:BO,13,0)</f>
        <v>173</v>
      </c>
      <c r="H192" s="63">
        <f t="shared" si="21"/>
        <v>180</v>
      </c>
      <c r="I192" s="63">
        <f t="shared" si="19"/>
        <v>10.247</v>
      </c>
      <c r="J192" s="106">
        <f>VLOOKUP(C192,'RAW DATA 2023'!E:BO,22,0)</f>
        <v>6.7139292035398235</v>
      </c>
      <c r="K192" s="70">
        <f t="shared" si="22"/>
        <v>0.65520925183369016</v>
      </c>
      <c r="L192" s="72">
        <f t="shared" si="20"/>
        <v>6.7139292035398235</v>
      </c>
      <c r="M192" s="109">
        <f t="shared" si="24"/>
        <v>2.0694566911158692</v>
      </c>
      <c r="N192" s="123" t="str">
        <f>VLOOKUP(C192,'RAW DATA 2023'!E:BO,36,0)</f>
        <v>Normal</v>
      </c>
      <c r="O192" s="63">
        <f>VLOOKUP(C192,'RAW DATA 2023'!E:BO,2,0)</f>
        <v>1.1299999999999999</v>
      </c>
      <c r="P192" s="322">
        <f t="shared" si="23"/>
        <v>2.3384860609609319</v>
      </c>
    </row>
    <row r="193" spans="1:16">
      <c r="A193" s="63" t="str">
        <f>'RAW DATA 2023'!B186</f>
        <v>Roiphet1</v>
      </c>
      <c r="B193" s="63" t="str">
        <f>'RAW DATA 2023'!D186</f>
        <v>B2-I04-0097</v>
      </c>
      <c r="C193" s="63" t="str">
        <f t="shared" si="17"/>
        <v>Roiphet1B2-I04-0097</v>
      </c>
      <c r="D193" s="68">
        <f>VLOOKUP(C193,'RAW DATA 2023'!E:BP,63,0)</f>
        <v>2</v>
      </c>
      <c r="E193" s="68" t="str">
        <f t="shared" si="18"/>
        <v>Roiphet12</v>
      </c>
      <c r="F193" s="63" t="str">
        <f>VLOOKUP(C193,'RAW DATA 2023'!E:BO,5,0)</f>
        <v>Greenhouse</v>
      </c>
      <c r="G193" s="63">
        <f>VLOOKUP(C193,'RAW DATA 2023'!E:BO,13,0)</f>
        <v>174</v>
      </c>
      <c r="H193" s="63">
        <f t="shared" si="21"/>
        <v>180</v>
      </c>
      <c r="I193" s="63">
        <f t="shared" si="19"/>
        <v>10.247</v>
      </c>
      <c r="J193" s="106">
        <f>VLOOKUP(C193,'RAW DATA 2023'!E:BO,22,0)</f>
        <v>4.667583333333333</v>
      </c>
      <c r="K193" s="70">
        <f t="shared" si="22"/>
        <v>0.45550730295045699</v>
      </c>
      <c r="L193" s="72">
        <f t="shared" si="20"/>
        <v>4.667583333333333</v>
      </c>
      <c r="M193" s="109">
        <f t="shared" si="24"/>
        <v>-0.59323596066057349</v>
      </c>
      <c r="N193" s="123" t="str">
        <f>VLOOKUP(C193,'RAW DATA 2023'!E:BO,36,0)</f>
        <v>Normal</v>
      </c>
      <c r="O193" s="63">
        <f>VLOOKUP(C193,'RAW DATA 2023'!E:BO,2,0)</f>
        <v>0.72</v>
      </c>
      <c r="P193" s="322">
        <f t="shared" si="23"/>
        <v>-0.42712989167561288</v>
      </c>
    </row>
    <row r="194" spans="1:16">
      <c r="A194" s="63" t="str">
        <f>'RAW DATA 2023'!B187</f>
        <v>Roiphet1</v>
      </c>
      <c r="B194" s="63" t="str">
        <f>'RAW DATA 2023'!D187</f>
        <v>B6-G12-0086</v>
      </c>
      <c r="C194" s="63" t="str">
        <f t="shared" si="17"/>
        <v>Roiphet1B6-G12-0086</v>
      </c>
      <c r="D194" s="68">
        <f>VLOOKUP(C194,'RAW DATA 2023'!E:BP,63,0)</f>
        <v>1</v>
      </c>
      <c r="E194" s="68" t="str">
        <f t="shared" si="18"/>
        <v>Roiphet11</v>
      </c>
      <c r="F194" s="63" t="str">
        <f>VLOOKUP(C194,'RAW DATA 2023'!E:BO,5,0)</f>
        <v>Greenhouse</v>
      </c>
      <c r="G194" s="63">
        <f>VLOOKUP(C194,'RAW DATA 2023'!E:BO,13,0)</f>
        <v>150</v>
      </c>
      <c r="H194" s="63">
        <f t="shared" si="21"/>
        <v>150</v>
      </c>
      <c r="I194" s="63">
        <f t="shared" si="19"/>
        <v>9.1999999999999993</v>
      </c>
      <c r="J194" s="106">
        <f>VLOOKUP(C194,'RAW DATA 2023'!E:BO,22,0)</f>
        <v>7.1049823008849557</v>
      </c>
      <c r="K194" s="70">
        <f t="shared" si="22"/>
        <v>0.77228068487879964</v>
      </c>
      <c r="L194" s="72">
        <f t="shared" si="20"/>
        <v>7.1049823008849557</v>
      </c>
      <c r="M194" s="109">
        <f t="shared" si="24"/>
        <v>3.6304091317173288</v>
      </c>
      <c r="N194" s="123" t="str">
        <f>VLOOKUP(C194,'RAW DATA 2023'!E:BO,36,0)</f>
        <v>Normal</v>
      </c>
      <c r="O194" s="63">
        <f>VLOOKUP(C194,'RAW DATA 2023'!E:BO,2,0)</f>
        <v>1.1299999999999999</v>
      </c>
      <c r="P194" s="322">
        <f t="shared" si="23"/>
        <v>4.1023623188405809</v>
      </c>
    </row>
    <row r="195" spans="1:16">
      <c r="A195" s="63" t="str">
        <f>'RAW DATA 2023'!B188</f>
        <v>Roiphet1</v>
      </c>
      <c r="B195" s="63" t="str">
        <f>'RAW DATA 2023'!D188</f>
        <v>B2-G03-0079</v>
      </c>
      <c r="C195" s="63" t="str">
        <f t="shared" si="17"/>
        <v>Roiphet1B2-G03-0079</v>
      </c>
      <c r="D195" s="68">
        <f>VLOOKUP(C195,'RAW DATA 2023'!E:BP,63,0)</f>
        <v>2</v>
      </c>
      <c r="E195" s="68" t="str">
        <f t="shared" si="18"/>
        <v>Roiphet12</v>
      </c>
      <c r="F195" s="63" t="str">
        <f>VLOOKUP(C195,'RAW DATA 2023'!E:BO,5,0)</f>
        <v>Greenhouse</v>
      </c>
      <c r="G195" s="63">
        <f>VLOOKUP(C195,'RAW DATA 2023'!E:BO,13,0)</f>
        <v>173</v>
      </c>
      <c r="H195" s="63">
        <f t="shared" si="21"/>
        <v>180</v>
      </c>
      <c r="I195" s="63">
        <f t="shared" si="19"/>
        <v>10.247</v>
      </c>
      <c r="J195" s="106">
        <f>VLOOKUP(C195,'RAW DATA 2023'!E:BO,22,0)</f>
        <v>4.8915221238938056</v>
      </c>
      <c r="K195" s="70">
        <f t="shared" si="22"/>
        <v>0.47736138615143997</v>
      </c>
      <c r="L195" s="72">
        <f t="shared" si="20"/>
        <v>4.8915221238938056</v>
      </c>
      <c r="M195" s="109">
        <f t="shared" si="24"/>
        <v>-0.3018481846474671</v>
      </c>
      <c r="N195" s="123" t="str">
        <f>VLOOKUP(C195,'RAW DATA 2023'!E:BO,36,0)</f>
        <v>Normal</v>
      </c>
      <c r="O195" s="63">
        <f>VLOOKUP(C195,'RAW DATA 2023'!E:BO,2,0)</f>
        <v>1.1299999999999999</v>
      </c>
      <c r="P195" s="322">
        <f t="shared" si="23"/>
        <v>-0.34108844865163779</v>
      </c>
    </row>
    <row r="196" spans="1:16">
      <c r="A196" s="63" t="str">
        <f>'RAW DATA 2023'!B189</f>
        <v>Roiphet1</v>
      </c>
      <c r="B196" s="63" t="str">
        <f>'RAW DATA 2023'!D189</f>
        <v>B2-I03-0094</v>
      </c>
      <c r="C196" s="63" t="str">
        <f t="shared" si="17"/>
        <v>Roiphet1B2-I03-0094</v>
      </c>
      <c r="D196" s="68">
        <f>VLOOKUP(C196,'RAW DATA 2023'!E:BP,63,0)</f>
        <v>2</v>
      </c>
      <c r="E196" s="68" t="str">
        <f t="shared" si="18"/>
        <v>Roiphet12</v>
      </c>
      <c r="F196" s="63" t="str">
        <f>VLOOKUP(C196,'RAW DATA 2023'!E:BO,5,0)</f>
        <v>Greenhouse</v>
      </c>
      <c r="G196" s="63">
        <f>VLOOKUP(C196,'RAW DATA 2023'!E:BO,13,0)</f>
        <v>174</v>
      </c>
      <c r="H196" s="63">
        <f t="shared" si="21"/>
        <v>180</v>
      </c>
      <c r="I196" s="63">
        <f t="shared" si="19"/>
        <v>10.247</v>
      </c>
      <c r="J196" s="106">
        <f>VLOOKUP(C196,'RAW DATA 2023'!E:BO,22,0)</f>
        <v>3.9459305555555559</v>
      </c>
      <c r="K196" s="70">
        <f t="shared" si="22"/>
        <v>0.38508154148097551</v>
      </c>
      <c r="L196" s="72">
        <f t="shared" si="20"/>
        <v>3.9459305555555559</v>
      </c>
      <c r="M196" s="109">
        <f t="shared" si="24"/>
        <v>-1.5322461135869934</v>
      </c>
      <c r="N196" s="123" t="str">
        <f>VLOOKUP(C196,'RAW DATA 2023'!E:BO,36,0)</f>
        <v>Normal</v>
      </c>
      <c r="O196" s="63">
        <f>VLOOKUP(C196,'RAW DATA 2023'!E:BO,2,0)</f>
        <v>0.72</v>
      </c>
      <c r="P196" s="322">
        <f t="shared" si="23"/>
        <v>-1.1032172017826352</v>
      </c>
    </row>
    <row r="197" spans="1:16">
      <c r="A197" s="63" t="str">
        <f>'RAW DATA 2023'!B190</f>
        <v>Roiphet1</v>
      </c>
      <c r="B197" s="63" t="str">
        <f>'RAW DATA 2023'!D190</f>
        <v>B2-G04-0091</v>
      </c>
      <c r="C197" s="63" t="str">
        <f t="shared" si="17"/>
        <v>Roiphet1B2-G04-0091</v>
      </c>
      <c r="D197" s="68">
        <f>VLOOKUP(C197,'RAW DATA 2023'!E:BP,63,0)</f>
        <v>2</v>
      </c>
      <c r="E197" s="68" t="str">
        <f t="shared" si="18"/>
        <v>Roiphet12</v>
      </c>
      <c r="F197" s="63" t="str">
        <f>VLOOKUP(C197,'RAW DATA 2023'!E:BO,5,0)</f>
        <v>Greenhouse</v>
      </c>
      <c r="G197" s="63">
        <f>VLOOKUP(C197,'RAW DATA 2023'!E:BO,13,0)</f>
        <v>173</v>
      </c>
      <c r="H197" s="63">
        <f t="shared" si="21"/>
        <v>180</v>
      </c>
      <c r="I197" s="63">
        <f t="shared" si="19"/>
        <v>10.247</v>
      </c>
      <c r="J197" s="106">
        <f>VLOOKUP(C197,'RAW DATA 2023'!E:BO,22,0)</f>
        <v>6.1874778761061959</v>
      </c>
      <c r="K197" s="70">
        <f t="shared" si="22"/>
        <v>0.60383310979859428</v>
      </c>
      <c r="L197" s="72">
        <f t="shared" si="20"/>
        <v>6.1874778761061959</v>
      </c>
      <c r="M197" s="109">
        <f t="shared" si="24"/>
        <v>1.3844414639812572</v>
      </c>
      <c r="N197" s="123" t="str">
        <f>VLOOKUP(C197,'RAW DATA 2023'!E:BO,36,0)</f>
        <v>Normal</v>
      </c>
      <c r="O197" s="63">
        <f>VLOOKUP(C197,'RAW DATA 2023'!E:BO,2,0)</f>
        <v>1.1299999999999999</v>
      </c>
      <c r="P197" s="322">
        <f t="shared" si="23"/>
        <v>1.5644188542988204</v>
      </c>
    </row>
    <row r="198" spans="1:16">
      <c r="A198" s="63" t="str">
        <f>'RAW DATA 2023'!B191</f>
        <v>Roiphet1</v>
      </c>
      <c r="B198" s="63" t="str">
        <f>'RAW DATA 2023'!D191</f>
        <v>B1-G02-0087</v>
      </c>
      <c r="C198" s="63" t="str">
        <f t="shared" si="17"/>
        <v>Roiphet1B1-G02-0087</v>
      </c>
      <c r="D198" s="68">
        <f>VLOOKUP(C198,'RAW DATA 2023'!E:BP,63,0)</f>
        <v>2</v>
      </c>
      <c r="E198" s="68" t="str">
        <f t="shared" si="18"/>
        <v>Roiphet12</v>
      </c>
      <c r="F198" s="63" t="str">
        <f>VLOOKUP(C198,'RAW DATA 2023'!E:BO,5,0)</f>
        <v>Greenhouse</v>
      </c>
      <c r="G198" s="63">
        <f>VLOOKUP(C198,'RAW DATA 2023'!E:BO,13,0)</f>
        <v>173</v>
      </c>
      <c r="H198" s="63">
        <f t="shared" si="21"/>
        <v>180</v>
      </c>
      <c r="I198" s="63">
        <f t="shared" si="19"/>
        <v>10.247</v>
      </c>
      <c r="J198" s="106">
        <f>VLOOKUP(C198,'RAW DATA 2023'!E:BO,22,0)</f>
        <v>7.1540973451327439</v>
      </c>
      <c r="K198" s="70">
        <f t="shared" si="22"/>
        <v>0.69816505759078207</v>
      </c>
      <c r="L198" s="72">
        <f t="shared" si="20"/>
        <v>7.1540973451327439</v>
      </c>
      <c r="M198" s="109">
        <f t="shared" si="24"/>
        <v>2.6422007678770942</v>
      </c>
      <c r="N198" s="123" t="str">
        <f>VLOOKUP(C198,'RAW DATA 2023'!E:BO,36,0)</f>
        <v>Normal</v>
      </c>
      <c r="O198" s="63">
        <f>VLOOKUP(C198,'RAW DATA 2023'!E:BO,2,0)</f>
        <v>1.1299999999999999</v>
      </c>
      <c r="P198" s="322">
        <f t="shared" si="23"/>
        <v>2.9856868677011161</v>
      </c>
    </row>
    <row r="199" spans="1:16">
      <c r="A199" s="63" t="str">
        <f>'RAW DATA 2023'!B192</f>
        <v>Roiphet1</v>
      </c>
      <c r="B199" s="63" t="str">
        <f>'RAW DATA 2023'!D192</f>
        <v>B1-I02-0094</v>
      </c>
      <c r="C199" s="63" t="str">
        <f t="shared" si="17"/>
        <v>Roiphet1B1-I02-0094</v>
      </c>
      <c r="D199" s="68">
        <f>VLOOKUP(C199,'RAW DATA 2023'!E:BP,63,0)</f>
        <v>2</v>
      </c>
      <c r="E199" s="68" t="str">
        <f t="shared" si="18"/>
        <v>Roiphet12</v>
      </c>
      <c r="F199" s="63" t="str">
        <f>VLOOKUP(C199,'RAW DATA 2023'!E:BO,5,0)</f>
        <v>Greenhouse</v>
      </c>
      <c r="G199" s="63">
        <f>VLOOKUP(C199,'RAW DATA 2023'!E:BO,13,0)</f>
        <v>174</v>
      </c>
      <c r="H199" s="63">
        <f t="shared" si="21"/>
        <v>180</v>
      </c>
      <c r="I199" s="63">
        <f t="shared" si="19"/>
        <v>10.247</v>
      </c>
      <c r="J199" s="106">
        <f>VLOOKUP(C199,'RAW DATA 2023'!E:BO,22,0)</f>
        <v>6.825277777777778</v>
      </c>
      <c r="K199" s="70">
        <f t="shared" si="22"/>
        <v>0.66607570779523551</v>
      </c>
      <c r="L199" s="72">
        <f t="shared" si="20"/>
        <v>6.825277777777778</v>
      </c>
      <c r="M199" s="109">
        <f t="shared" si="24"/>
        <v>2.2143427706031402</v>
      </c>
      <c r="N199" s="123" t="str">
        <f>VLOOKUP(C199,'RAW DATA 2023'!E:BO,36,0)</f>
        <v>Normal</v>
      </c>
      <c r="O199" s="63">
        <f>VLOOKUP(C199,'RAW DATA 2023'!E:BO,2,0)</f>
        <v>0.72</v>
      </c>
      <c r="P199" s="322">
        <f t="shared" si="23"/>
        <v>1.594326794834261</v>
      </c>
    </row>
    <row r="200" spans="1:16">
      <c r="A200" s="63" t="str">
        <f>'RAW DATA 2023'!B193</f>
        <v>Roiphet1</v>
      </c>
      <c r="B200" s="63" t="str">
        <f>'RAW DATA 2023'!D193</f>
        <v>B1-G01-0083</v>
      </c>
      <c r="C200" s="63" t="str">
        <f t="shared" si="17"/>
        <v>Roiphet1B1-G01-0083</v>
      </c>
      <c r="D200" s="68">
        <f>VLOOKUP(C200,'RAW DATA 2023'!E:BP,63,0)</f>
        <v>2</v>
      </c>
      <c r="E200" s="68" t="str">
        <f t="shared" si="18"/>
        <v>Roiphet12</v>
      </c>
      <c r="F200" s="63" t="str">
        <f>VLOOKUP(C200,'RAW DATA 2023'!E:BO,5,0)</f>
        <v>Greenhouse</v>
      </c>
      <c r="G200" s="63">
        <f>VLOOKUP(C200,'RAW DATA 2023'!E:BO,13,0)</f>
        <v>173</v>
      </c>
      <c r="H200" s="63">
        <f t="shared" si="21"/>
        <v>180</v>
      </c>
      <c r="I200" s="63">
        <f t="shared" si="19"/>
        <v>10.247</v>
      </c>
      <c r="J200" s="106">
        <f>VLOOKUP(C200,'RAW DATA 2023'!E:BO,22,0)</f>
        <v>5.5950442477876114</v>
      </c>
      <c r="K200" s="70">
        <f t="shared" si="22"/>
        <v>0.54601778547746771</v>
      </c>
      <c r="L200" s="72">
        <f t="shared" si="20"/>
        <v>5.5950442477876114</v>
      </c>
      <c r="M200" s="109">
        <f t="shared" si="24"/>
        <v>0.6135704730329028</v>
      </c>
      <c r="N200" s="123" t="str">
        <f>VLOOKUP(C200,'RAW DATA 2023'!E:BO,36,0)</f>
        <v>Normal</v>
      </c>
      <c r="O200" s="63">
        <f>VLOOKUP(C200,'RAW DATA 2023'!E:BO,2,0)</f>
        <v>1.1299999999999999</v>
      </c>
      <c r="P200" s="322">
        <f t="shared" si="23"/>
        <v>0.69333463452718014</v>
      </c>
    </row>
    <row r="201" spans="1:16">
      <c r="A201" s="63" t="str">
        <f>'RAW DATA 2023'!B194</f>
        <v>Roiphet1</v>
      </c>
      <c r="B201" s="63" t="str">
        <f>'RAW DATA 2023'!D194</f>
        <v>B1-I01-0094</v>
      </c>
      <c r="C201" s="63" t="str">
        <f t="shared" si="17"/>
        <v>Roiphet1B1-I01-0094</v>
      </c>
      <c r="D201" s="68">
        <f>VLOOKUP(C201,'RAW DATA 2023'!E:BP,63,0)</f>
        <v>2</v>
      </c>
      <c r="E201" s="68" t="str">
        <f t="shared" si="18"/>
        <v>Roiphet12</v>
      </c>
      <c r="F201" s="63" t="str">
        <f>VLOOKUP(C201,'RAW DATA 2023'!E:BO,5,0)</f>
        <v>Greenhouse</v>
      </c>
      <c r="G201" s="63">
        <f>VLOOKUP(C201,'RAW DATA 2023'!E:BO,13,0)</f>
        <v>174</v>
      </c>
      <c r="H201" s="63">
        <f t="shared" si="21"/>
        <v>180</v>
      </c>
      <c r="I201" s="63">
        <f t="shared" si="19"/>
        <v>10.247</v>
      </c>
      <c r="J201" s="106">
        <f>VLOOKUP(C201,'RAW DATA 2023'!E:BO,22,0)</f>
        <v>4.9309722222222225</v>
      </c>
      <c r="K201" s="70">
        <f t="shared" si="22"/>
        <v>0.48121130303720333</v>
      </c>
      <c r="L201" s="72">
        <f t="shared" si="20"/>
        <v>4.9309722222222225</v>
      </c>
      <c r="M201" s="109">
        <f t="shared" si="24"/>
        <v>-0.25051595950395561</v>
      </c>
      <c r="N201" s="123" t="str">
        <f>VLOOKUP(C201,'RAW DATA 2023'!E:BO,36,0)</f>
        <v>Normal</v>
      </c>
      <c r="O201" s="63">
        <f>VLOOKUP(C201,'RAW DATA 2023'!E:BO,2,0)</f>
        <v>0.72</v>
      </c>
      <c r="P201" s="322">
        <f t="shared" si="23"/>
        <v>-0.18037149084284804</v>
      </c>
    </row>
    <row r="202" spans="1:16">
      <c r="A202" s="63" t="str">
        <f>'RAW DATA 2023'!B195</f>
        <v>Roiphet1</v>
      </c>
      <c r="B202" s="63" t="str">
        <f>'RAW DATA 2023'!D195</f>
        <v>B6-G11-0081</v>
      </c>
      <c r="C202" s="63" t="str">
        <f t="shared" ref="C202:C265" si="25">A202&amp;B202</f>
        <v>Roiphet1B6-G11-0081</v>
      </c>
      <c r="D202" s="68">
        <f>VLOOKUP(C202,'RAW DATA 2023'!E:BP,63,0)</f>
        <v>1</v>
      </c>
      <c r="E202" s="68" t="str">
        <f t="shared" ref="E202:E265" si="26">A202&amp;D202</f>
        <v>Roiphet11</v>
      </c>
      <c r="F202" s="63" t="str">
        <f>VLOOKUP(C202,'RAW DATA 2023'!E:BO,5,0)</f>
        <v>Greenhouse</v>
      </c>
      <c r="G202" s="63">
        <f>VLOOKUP(C202,'RAW DATA 2023'!E:BO,13,0)</f>
        <v>182</v>
      </c>
      <c r="H202" s="63">
        <f t="shared" si="21"/>
        <v>180</v>
      </c>
      <c r="I202" s="63">
        <f t="shared" ref="I202:I265" si="27">IF(F202=$W$1,VLOOKUP(H202,Y:Z,2,0),VLOOKUP(H202,AF:AG,2,0))</f>
        <v>10.247</v>
      </c>
      <c r="J202" s="106">
        <f>VLOOKUP(C202,'RAW DATA 2023'!E:BO,22,0)</f>
        <v>5.9715663716814165</v>
      </c>
      <c r="K202" s="70">
        <f t="shared" si="22"/>
        <v>0.5827624057462103</v>
      </c>
      <c r="L202" s="72">
        <f t="shared" ref="L202:L265" si="28">IF(J202=0,0,IF(F202=$B$2,J202-$B$6,IF(F202=$C$1,J202-$C$6,IF(AND(F202=$C$2,G202&lt;=$C$3),J202-$C$6,IF(AND(F202=$C$2,G202&lt;=$E$3),J202-$D$6,J202-$E$6)))))</f>
        <v>5.9715663716814165</v>
      </c>
      <c r="M202" s="109">
        <f t="shared" si="24"/>
        <v>1.1034987432828041</v>
      </c>
      <c r="N202" s="123" t="str">
        <f>VLOOKUP(C202,'RAW DATA 2023'!E:BO,36,0)</f>
        <v>Normal</v>
      </c>
      <c r="O202" s="63">
        <f>VLOOKUP(C202,'RAW DATA 2023'!E:BO,2,0)</f>
        <v>1.1299999999999999</v>
      </c>
      <c r="P202" s="322">
        <f t="shared" si="23"/>
        <v>1.2469535799095686</v>
      </c>
    </row>
    <row r="203" spans="1:16">
      <c r="A203" s="63" t="str">
        <f>'RAW DATA 2023'!B196</f>
        <v>Roiphet1</v>
      </c>
      <c r="B203" s="63" t="str">
        <f>'RAW DATA 2023'!D196</f>
        <v>B6-I12-0085</v>
      </c>
      <c r="C203" s="63" t="str">
        <f t="shared" si="25"/>
        <v>Roiphet1B6-I12-0085</v>
      </c>
      <c r="D203" s="68">
        <f>VLOOKUP(C203,'RAW DATA 2023'!E:BP,63,0)</f>
        <v>1</v>
      </c>
      <c r="E203" s="68" t="str">
        <f t="shared" si="26"/>
        <v>Roiphet11</v>
      </c>
      <c r="F203" s="63" t="str">
        <f>VLOOKUP(C203,'RAW DATA 2023'!E:BO,5,0)</f>
        <v>Greenhouse</v>
      </c>
      <c r="G203" s="63">
        <f>VLOOKUP(C203,'RAW DATA 2023'!E:BO,13,0)</f>
        <v>134</v>
      </c>
      <c r="H203" s="63">
        <f t="shared" ref="H203:H266" si="29">IF(G203&gt;190,200,IF(G203&gt;165,180,IF(G203&gt;=135,150,IF(D196&gt;=110,120,100))))</f>
        <v>100</v>
      </c>
      <c r="I203" s="63">
        <f t="shared" si="27"/>
        <v>0</v>
      </c>
      <c r="J203" s="106">
        <f>VLOOKUP(C203,'RAW DATA 2023'!E:BO,22,0)</f>
        <v>4.948722222222222</v>
      </c>
      <c r="K203" s="70" t="e">
        <f t="shared" ref="K203:K266" si="30">J203/I203</f>
        <v>#DIV/0!</v>
      </c>
      <c r="L203" s="72">
        <f t="shared" si="28"/>
        <v>4.948722222222222</v>
      </c>
      <c r="M203" s="109" t="e">
        <f t="shared" si="24"/>
        <v>#DIV/0!</v>
      </c>
      <c r="N203" s="123" t="str">
        <f>VLOOKUP(C203,'RAW DATA 2023'!E:BO,36,0)</f>
        <v>Normal</v>
      </c>
      <c r="O203" s="63">
        <f>VLOOKUP(C203,'RAW DATA 2023'!E:BO,2,0)</f>
        <v>0.72</v>
      </c>
      <c r="P203" s="322" t="e">
        <f t="shared" ref="P203:P266" si="31">M203*O203</f>
        <v>#DIV/0!</v>
      </c>
    </row>
    <row r="204" spans="1:16">
      <c r="A204" s="63" t="str">
        <f>'RAW DATA 2023'!B197</f>
        <v>Roiphet1</v>
      </c>
      <c r="B204" s="63" t="str">
        <f>'RAW DATA 2023'!D197</f>
        <v>B6-I11-0082</v>
      </c>
      <c r="C204" s="63" t="str">
        <f t="shared" si="25"/>
        <v>Roiphet1B6-I11-0082</v>
      </c>
      <c r="D204" s="68">
        <f>VLOOKUP(C204,'RAW DATA 2023'!E:BP,63,0)</f>
        <v>1</v>
      </c>
      <c r="E204" s="68" t="str">
        <f t="shared" si="26"/>
        <v>Roiphet11</v>
      </c>
      <c r="F204" s="63" t="str">
        <f>VLOOKUP(C204,'RAW DATA 2023'!E:BO,5,0)</f>
        <v>Greenhouse</v>
      </c>
      <c r="G204" s="63">
        <f>VLOOKUP(C204,'RAW DATA 2023'!E:BO,13,0)</f>
        <v>134</v>
      </c>
      <c r="H204" s="63">
        <f t="shared" si="29"/>
        <v>100</v>
      </c>
      <c r="I204" s="63">
        <f t="shared" si="27"/>
        <v>0</v>
      </c>
      <c r="J204" s="106">
        <f>VLOOKUP(C204,'RAW DATA 2023'!E:BO,22,0)</f>
        <v>4.7051388888888885</v>
      </c>
      <c r="K204" s="70" t="e">
        <f t="shared" si="30"/>
        <v>#DIV/0!</v>
      </c>
      <c r="L204" s="72">
        <f t="shared" si="28"/>
        <v>4.7051388888888885</v>
      </c>
      <c r="M204" s="109" t="e">
        <f t="shared" ref="M204:M267" si="32">(K204-$B$4)*$B$7</f>
        <v>#DIV/0!</v>
      </c>
      <c r="N204" s="123" t="str">
        <f>VLOOKUP(C204,'RAW DATA 2023'!E:BO,36,0)</f>
        <v>Normal</v>
      </c>
      <c r="O204" s="63">
        <f>VLOOKUP(C204,'RAW DATA 2023'!E:BO,2,0)</f>
        <v>0.72</v>
      </c>
      <c r="P204" s="322" t="e">
        <f t="shared" si="31"/>
        <v>#DIV/0!</v>
      </c>
    </row>
    <row r="205" spans="1:16">
      <c r="A205" s="63" t="str">
        <f>'RAW DATA 2023'!B198</f>
        <v>Roiphet1</v>
      </c>
      <c r="B205" s="63" t="str">
        <f>'RAW DATA 2023'!D198</f>
        <v>C2-I03-0060</v>
      </c>
      <c r="C205" s="63" t="str">
        <f t="shared" si="25"/>
        <v>Roiphet1C2-I03-0060</v>
      </c>
      <c r="D205" s="68">
        <f>VLOOKUP(C205,'RAW DATA 2023'!E:BP,63,0)</f>
        <v>10</v>
      </c>
      <c r="E205" s="68" t="str">
        <f t="shared" si="26"/>
        <v>Roiphet110</v>
      </c>
      <c r="F205" s="63" t="str">
        <f>VLOOKUP(C205,'RAW DATA 2023'!E:BO,5,0)</f>
        <v>Greenhouse</v>
      </c>
      <c r="G205" s="63">
        <f>VLOOKUP(C205,'RAW DATA 2023'!E:BO,13,0)</f>
        <v>179</v>
      </c>
      <c r="H205" s="63">
        <f t="shared" si="29"/>
        <v>180</v>
      </c>
      <c r="I205" s="63">
        <f t="shared" si="27"/>
        <v>10.247</v>
      </c>
      <c r="J205" s="106">
        <f>VLOOKUP(C205,'RAW DATA 2023'!E:BO,22,0)</f>
        <v>4.9276111111111112</v>
      </c>
      <c r="K205" s="70">
        <f t="shared" si="30"/>
        <v>0.48088329375535388</v>
      </c>
      <c r="L205" s="72">
        <f t="shared" si="28"/>
        <v>4.9276111111111112</v>
      </c>
      <c r="M205" s="109">
        <f t="shared" si="32"/>
        <v>-0.25488941659528164</v>
      </c>
      <c r="N205" s="123" t="str">
        <f>VLOOKUP(C205,'RAW DATA 2023'!E:BO,36,0)</f>
        <v>อัตรารอดต่ำ</v>
      </c>
      <c r="O205" s="63">
        <f>VLOOKUP(C205,'RAW DATA 2023'!E:BO,2,0)</f>
        <v>0.72</v>
      </c>
      <c r="P205" s="322">
        <f t="shared" si="31"/>
        <v>-0.18352037994860276</v>
      </c>
    </row>
    <row r="206" spans="1:16">
      <c r="A206" s="63" t="str">
        <f>'RAW DATA 2023'!B199</f>
        <v>Roiphet1</v>
      </c>
      <c r="B206" s="63" t="str">
        <f>'RAW DATA 2023'!D199</f>
        <v>C6-I12-0062</v>
      </c>
      <c r="C206" s="63" t="str">
        <f t="shared" si="25"/>
        <v>Roiphet1C6-I12-0062</v>
      </c>
      <c r="D206" s="68">
        <f>VLOOKUP(C206,'RAW DATA 2023'!E:BP,63,0)</f>
        <v>7</v>
      </c>
      <c r="E206" s="68" t="str">
        <f t="shared" si="26"/>
        <v>Roiphet17</v>
      </c>
      <c r="F206" s="63" t="str">
        <f>VLOOKUP(C206,'RAW DATA 2023'!E:BO,5,0)</f>
        <v>Greenhouse</v>
      </c>
      <c r="G206" s="63">
        <f>VLOOKUP(C206,'RAW DATA 2023'!E:BO,13,0)</f>
        <v>134</v>
      </c>
      <c r="H206" s="63">
        <f t="shared" si="29"/>
        <v>100</v>
      </c>
      <c r="I206" s="63">
        <f t="shared" si="27"/>
        <v>0</v>
      </c>
      <c r="J206" s="106">
        <f>VLOOKUP(C206,'RAW DATA 2023'!E:BO,22,0)</f>
        <v>5.5523472222222221</v>
      </c>
      <c r="K206" s="70" t="e">
        <f t="shared" si="30"/>
        <v>#DIV/0!</v>
      </c>
      <c r="L206" s="72">
        <f t="shared" si="28"/>
        <v>5.5523472222222221</v>
      </c>
      <c r="M206" s="109" t="e">
        <f t="shared" si="32"/>
        <v>#DIV/0!</v>
      </c>
      <c r="N206" s="123" t="str">
        <f>VLOOKUP(C206,'RAW DATA 2023'!E:BO,36,0)</f>
        <v>ทยอยตาย</v>
      </c>
      <c r="O206" s="63">
        <f>VLOOKUP(C206,'RAW DATA 2023'!E:BO,2,0)</f>
        <v>0.72</v>
      </c>
      <c r="P206" s="322" t="e">
        <f t="shared" si="31"/>
        <v>#DIV/0!</v>
      </c>
    </row>
    <row r="207" spans="1:16">
      <c r="A207" s="63" t="str">
        <f>'RAW DATA 2023'!B200</f>
        <v>Roiphet1</v>
      </c>
      <c r="B207" s="63" t="str">
        <f>'RAW DATA 2023'!D200</f>
        <v>C6-G11-0059</v>
      </c>
      <c r="C207" s="63" t="str">
        <f t="shared" si="25"/>
        <v>Roiphet1C6-G11-0059</v>
      </c>
      <c r="D207" s="68">
        <f>VLOOKUP(C207,'RAW DATA 2023'!E:BP,63,0)</f>
        <v>7</v>
      </c>
      <c r="E207" s="68" t="str">
        <f t="shared" si="26"/>
        <v>Roiphet17</v>
      </c>
      <c r="F207" s="63" t="str">
        <f>VLOOKUP(C207,'RAW DATA 2023'!E:BO,5,0)</f>
        <v>Greenhouse</v>
      </c>
      <c r="G207" s="63">
        <f>VLOOKUP(C207,'RAW DATA 2023'!E:BO,13,0)</f>
        <v>147</v>
      </c>
      <c r="H207" s="63">
        <f t="shared" si="29"/>
        <v>150</v>
      </c>
      <c r="I207" s="63">
        <f t="shared" si="27"/>
        <v>9.1999999999999993</v>
      </c>
      <c r="J207" s="106">
        <f>VLOOKUP(C207,'RAW DATA 2023'!E:BO,22,0)</f>
        <v>7.8509203539823025</v>
      </c>
      <c r="K207" s="70">
        <f t="shared" si="30"/>
        <v>0.85336090804155473</v>
      </c>
      <c r="L207" s="72">
        <f t="shared" si="28"/>
        <v>7.8509203539823025</v>
      </c>
      <c r="M207" s="109">
        <f t="shared" si="32"/>
        <v>4.7114787738873964</v>
      </c>
      <c r="N207" s="123" t="str">
        <f>VLOOKUP(C207,'RAW DATA 2023'!E:BO,36,0)</f>
        <v>ทยอยตาย</v>
      </c>
      <c r="O207" s="63">
        <f>VLOOKUP(C207,'RAW DATA 2023'!E:BO,2,0)</f>
        <v>1.1299999999999999</v>
      </c>
      <c r="P207" s="322">
        <f t="shared" si="31"/>
        <v>5.3239710144927574</v>
      </c>
    </row>
    <row r="208" spans="1:16">
      <c r="A208" s="63" t="str">
        <f>'RAW DATA 2023'!B201</f>
        <v>Roiphet1</v>
      </c>
      <c r="B208" s="63" t="str">
        <f>'RAW DATA 2023'!D201</f>
        <v>C6-I11-0065</v>
      </c>
      <c r="C208" s="63" t="str">
        <f t="shared" si="25"/>
        <v>Roiphet1C6-I11-0065</v>
      </c>
      <c r="D208" s="68">
        <f>VLOOKUP(C208,'RAW DATA 2023'!E:BP,63,0)</f>
        <v>7</v>
      </c>
      <c r="E208" s="68" t="str">
        <f t="shared" si="26"/>
        <v>Roiphet17</v>
      </c>
      <c r="F208" s="63" t="str">
        <f>VLOOKUP(C208,'RAW DATA 2023'!E:BO,5,0)</f>
        <v>Greenhouse</v>
      </c>
      <c r="G208" s="63">
        <f>VLOOKUP(C208,'RAW DATA 2023'!E:BO,13,0)</f>
        <v>134</v>
      </c>
      <c r="H208" s="63">
        <f t="shared" si="29"/>
        <v>100</v>
      </c>
      <c r="I208" s="63">
        <f t="shared" si="27"/>
        <v>0</v>
      </c>
      <c r="J208" s="106">
        <f>VLOOKUP(C208,'RAW DATA 2023'!E:BO,22,0)</f>
        <v>6.1241805555555562</v>
      </c>
      <c r="K208" s="70" t="e">
        <f t="shared" si="30"/>
        <v>#DIV/0!</v>
      </c>
      <c r="L208" s="72">
        <f t="shared" si="28"/>
        <v>6.1241805555555562</v>
      </c>
      <c r="M208" s="109" t="e">
        <f t="shared" si="32"/>
        <v>#DIV/0!</v>
      </c>
      <c r="N208" s="123" t="str">
        <f>VLOOKUP(C208,'RAW DATA 2023'!E:BO,36,0)</f>
        <v>ทยอยตาย</v>
      </c>
      <c r="O208" s="63">
        <f>VLOOKUP(C208,'RAW DATA 2023'!E:BO,2,0)</f>
        <v>0.72</v>
      </c>
      <c r="P208" s="322" t="e">
        <f t="shared" si="31"/>
        <v>#DIV/0!</v>
      </c>
    </row>
    <row r="209" spans="1:16">
      <c r="A209" s="63" t="str">
        <f>'RAW DATA 2023'!B202</f>
        <v>Roiphet1</v>
      </c>
      <c r="B209" s="63" t="str">
        <f>'RAW DATA 2023'!D202</f>
        <v>C4-G08-0061</v>
      </c>
      <c r="C209" s="63" t="str">
        <f t="shared" si="25"/>
        <v>Roiphet1C4-G08-0061</v>
      </c>
      <c r="D209" s="68">
        <f>VLOOKUP(C209,'RAW DATA 2023'!E:BP,63,0)</f>
        <v>6</v>
      </c>
      <c r="E209" s="68" t="str">
        <f t="shared" si="26"/>
        <v>Roiphet16</v>
      </c>
      <c r="F209" s="63" t="str">
        <f>VLOOKUP(C209,'RAW DATA 2023'!E:BO,5,0)</f>
        <v>Greenhouse</v>
      </c>
      <c r="G209" s="63">
        <f>VLOOKUP(C209,'RAW DATA 2023'!E:BO,13,0)</f>
        <v>155</v>
      </c>
      <c r="H209" s="63">
        <f t="shared" si="29"/>
        <v>150</v>
      </c>
      <c r="I209" s="63">
        <f t="shared" si="27"/>
        <v>9.1999999999999993</v>
      </c>
      <c r="J209" s="106">
        <f>VLOOKUP(C209,'RAW DATA 2023'!E:BO,22,0)</f>
        <v>5.8269203539823016</v>
      </c>
      <c r="K209" s="70">
        <f t="shared" si="30"/>
        <v>0.63336090804155454</v>
      </c>
      <c r="L209" s="72">
        <f t="shared" si="28"/>
        <v>5.8269203539823016</v>
      </c>
      <c r="M209" s="109">
        <f t="shared" si="32"/>
        <v>1.7781454405540607</v>
      </c>
      <c r="N209" s="123" t="str">
        <f>VLOOKUP(C209,'RAW DATA 2023'!E:BO,36,0)</f>
        <v>Normal</v>
      </c>
      <c r="O209" s="63">
        <f>VLOOKUP(C209,'RAW DATA 2023'!E:BO,2,0)</f>
        <v>1.1299999999999999</v>
      </c>
      <c r="P209" s="322">
        <f t="shared" si="31"/>
        <v>2.0093043478260881</v>
      </c>
    </row>
    <row r="210" spans="1:16">
      <c r="A210" s="63" t="str">
        <f>'RAW DATA 2023'!B203</f>
        <v>Roiphet1</v>
      </c>
      <c r="B210" s="63" t="str">
        <f>'RAW DATA 2023'!D203</f>
        <v>C4-I08-0064</v>
      </c>
      <c r="C210" s="63" t="str">
        <f t="shared" si="25"/>
        <v>Roiphet1C4-I08-0064</v>
      </c>
      <c r="D210" s="68">
        <f>VLOOKUP(C210,'RAW DATA 2023'!E:BP,63,0)</f>
        <v>6</v>
      </c>
      <c r="E210" s="68" t="str">
        <f t="shared" si="26"/>
        <v>Roiphet16</v>
      </c>
      <c r="F210" s="63" t="str">
        <f>VLOOKUP(C210,'RAW DATA 2023'!E:BO,5,0)</f>
        <v>Greenhouse</v>
      </c>
      <c r="G210" s="63">
        <f>VLOOKUP(C210,'RAW DATA 2023'!E:BO,13,0)</f>
        <v>134</v>
      </c>
      <c r="H210" s="63">
        <f t="shared" si="29"/>
        <v>100</v>
      </c>
      <c r="I210" s="63">
        <f t="shared" si="27"/>
        <v>0</v>
      </c>
      <c r="J210" s="106">
        <f>VLOOKUP(C210,'RAW DATA 2023'!E:BO,22,0)</f>
        <v>4.290486111111111</v>
      </c>
      <c r="K210" s="70" t="e">
        <f t="shared" si="30"/>
        <v>#DIV/0!</v>
      </c>
      <c r="L210" s="72">
        <f t="shared" si="28"/>
        <v>4.290486111111111</v>
      </c>
      <c r="M210" s="109" t="e">
        <f t="shared" si="32"/>
        <v>#DIV/0!</v>
      </c>
      <c r="N210" s="123" t="str">
        <f>VLOOKUP(C210,'RAW DATA 2023'!E:BO,36,0)</f>
        <v>Normal</v>
      </c>
      <c r="O210" s="63">
        <f>VLOOKUP(C210,'RAW DATA 2023'!E:BO,2,0)</f>
        <v>0.72</v>
      </c>
      <c r="P210" s="322" t="e">
        <f t="shared" si="31"/>
        <v>#DIV/0!</v>
      </c>
    </row>
    <row r="211" spans="1:16">
      <c r="A211" s="63" t="str">
        <f>'RAW DATA 2023'!B204</f>
        <v>Roiphet1</v>
      </c>
      <c r="B211" s="63" t="str">
        <f>'RAW DATA 2023'!D204</f>
        <v>C4-I07-0060</v>
      </c>
      <c r="C211" s="63" t="str">
        <f t="shared" si="25"/>
        <v>Roiphet1C4-I07-0060</v>
      </c>
      <c r="D211" s="68">
        <f>VLOOKUP(C211,'RAW DATA 2023'!E:BP,63,0)</f>
        <v>6</v>
      </c>
      <c r="E211" s="68" t="str">
        <f t="shared" si="26"/>
        <v>Roiphet16</v>
      </c>
      <c r="F211" s="63" t="str">
        <f>VLOOKUP(C211,'RAW DATA 2023'!E:BO,5,0)</f>
        <v>Greenhouse</v>
      </c>
      <c r="G211" s="63">
        <f>VLOOKUP(C211,'RAW DATA 2023'!E:BO,13,0)</f>
        <v>147</v>
      </c>
      <c r="H211" s="63">
        <f t="shared" si="29"/>
        <v>150</v>
      </c>
      <c r="I211" s="63">
        <f t="shared" si="27"/>
        <v>9.1999999999999993</v>
      </c>
      <c r="J211" s="106">
        <f>VLOOKUP(C211,'RAW DATA 2023'!E:BO,22,0)</f>
        <v>4.379402777777778</v>
      </c>
      <c r="K211" s="70">
        <f t="shared" si="30"/>
        <v>0.47602204106280199</v>
      </c>
      <c r="L211" s="72">
        <f t="shared" si="28"/>
        <v>4.379402777777778</v>
      </c>
      <c r="M211" s="109">
        <f t="shared" si="32"/>
        <v>-0.31970611916264013</v>
      </c>
      <c r="N211" s="123" t="str">
        <f>VLOOKUP(C211,'RAW DATA 2023'!E:BO,36,0)</f>
        <v>Normal</v>
      </c>
      <c r="O211" s="63">
        <f>VLOOKUP(C211,'RAW DATA 2023'!E:BO,2,0)</f>
        <v>0.72</v>
      </c>
      <c r="P211" s="322">
        <f t="shared" si="31"/>
        <v>-0.2301884057971009</v>
      </c>
    </row>
    <row r="212" spans="1:16">
      <c r="A212" s="63" t="str">
        <f>'RAW DATA 2023'!B205</f>
        <v>Roiphet1</v>
      </c>
      <c r="B212" s="63" t="str">
        <f>'RAW DATA 2023'!D205</f>
        <v>C4-G07-0057</v>
      </c>
      <c r="C212" s="63" t="str">
        <f t="shared" si="25"/>
        <v>Roiphet1C4-G07-0057</v>
      </c>
      <c r="D212" s="68">
        <f>VLOOKUP(C212,'RAW DATA 2023'!E:BP,63,0)</f>
        <v>6</v>
      </c>
      <c r="E212" s="68" t="str">
        <f t="shared" si="26"/>
        <v>Roiphet16</v>
      </c>
      <c r="F212" s="63" t="str">
        <f>VLOOKUP(C212,'RAW DATA 2023'!E:BO,5,0)</f>
        <v>Greenhouse</v>
      </c>
      <c r="G212" s="63">
        <f>VLOOKUP(C212,'RAW DATA 2023'!E:BO,13,0)</f>
        <v>155</v>
      </c>
      <c r="H212" s="63">
        <f t="shared" si="29"/>
        <v>150</v>
      </c>
      <c r="I212" s="63">
        <f t="shared" si="27"/>
        <v>9.1999999999999993</v>
      </c>
      <c r="J212" s="106">
        <f>VLOOKUP(C212,'RAW DATA 2023'!E:BO,22,0)</f>
        <v>5.5015929203539828</v>
      </c>
      <c r="K212" s="70">
        <f t="shared" si="30"/>
        <v>0.59799923047325909</v>
      </c>
      <c r="L212" s="72">
        <f t="shared" si="28"/>
        <v>5.5015929203539828</v>
      </c>
      <c r="M212" s="109">
        <f t="shared" si="32"/>
        <v>1.3066564063101214</v>
      </c>
      <c r="N212" s="123" t="str">
        <f>VLOOKUP(C212,'RAW DATA 2023'!E:BO,36,0)</f>
        <v>Normal</v>
      </c>
      <c r="O212" s="63">
        <f>VLOOKUP(C212,'RAW DATA 2023'!E:BO,2,0)</f>
        <v>1.1299999999999999</v>
      </c>
      <c r="P212" s="322">
        <f t="shared" si="31"/>
        <v>1.476521739130437</v>
      </c>
    </row>
    <row r="213" spans="1:16">
      <c r="A213" s="63" t="str">
        <f>'RAW DATA 2023'!B206</f>
        <v>Roiphet1</v>
      </c>
      <c r="B213" s="63" t="str">
        <f>'RAW DATA 2023'!D206</f>
        <v>D5-G09-0069</v>
      </c>
      <c r="C213" s="63" t="str">
        <f t="shared" si="25"/>
        <v>Roiphet1D5-G09-0069</v>
      </c>
      <c r="D213" s="68">
        <f>VLOOKUP(C213,'RAW DATA 2023'!E:BP,63,0)</f>
        <v>10</v>
      </c>
      <c r="E213" s="68" t="str">
        <f t="shared" si="26"/>
        <v>Roiphet110</v>
      </c>
      <c r="F213" s="63" t="str">
        <f>VLOOKUP(C213,'RAW DATA 2023'!E:BO,5,0)</f>
        <v>Greenhouse</v>
      </c>
      <c r="G213" s="63">
        <f>VLOOKUP(C213,'RAW DATA 2023'!E:BO,13,0)</f>
        <v>184</v>
      </c>
      <c r="H213" s="63">
        <f t="shared" si="29"/>
        <v>180</v>
      </c>
      <c r="I213" s="63">
        <f t="shared" si="27"/>
        <v>10.247</v>
      </c>
      <c r="J213" s="106">
        <f>VLOOKUP(C213,'RAW DATA 2023'!E:BO,22,0)</f>
        <v>12.1252389380531</v>
      </c>
      <c r="K213" s="70">
        <f t="shared" si="30"/>
        <v>1.1832964709722944</v>
      </c>
      <c r="L213" s="72">
        <f t="shared" si="28"/>
        <v>12.1252389380531</v>
      </c>
      <c r="M213" s="109">
        <f t="shared" si="32"/>
        <v>9.1106196129639265</v>
      </c>
      <c r="N213" s="123" t="str">
        <f>VLOOKUP(C213,'RAW DATA 2023'!E:BO,36,0)</f>
        <v>Normal</v>
      </c>
      <c r="O213" s="63">
        <f>VLOOKUP(C213,'RAW DATA 2023'!E:BO,2,0)</f>
        <v>1.1299999999999999</v>
      </c>
      <c r="P213" s="322">
        <f t="shared" si="31"/>
        <v>10.295000162649236</v>
      </c>
    </row>
    <row r="214" spans="1:16">
      <c r="A214" s="63" t="str">
        <f>'RAW DATA 2023'!B207</f>
        <v>Roiphet1</v>
      </c>
      <c r="B214" s="63" t="str">
        <f>'RAW DATA 2023'!D207</f>
        <v>C2-G03-0067</v>
      </c>
      <c r="C214" s="63" t="str">
        <f t="shared" si="25"/>
        <v>Roiphet1C2-G03-0067</v>
      </c>
      <c r="D214" s="68">
        <f>VLOOKUP(C214,'RAW DATA 2023'!E:BP,63,0)</f>
        <v>10</v>
      </c>
      <c r="E214" s="68" t="str">
        <f t="shared" si="26"/>
        <v>Roiphet110</v>
      </c>
      <c r="F214" s="63" t="str">
        <f>VLOOKUP(C214,'RAW DATA 2023'!E:BO,5,0)</f>
        <v>Greenhouse</v>
      </c>
      <c r="G214" s="63">
        <f>VLOOKUP(C214,'RAW DATA 2023'!E:BO,13,0)</f>
        <v>171</v>
      </c>
      <c r="H214" s="63">
        <f t="shared" si="29"/>
        <v>180</v>
      </c>
      <c r="I214" s="63">
        <f t="shared" si="27"/>
        <v>10.247</v>
      </c>
      <c r="J214" s="106">
        <f>VLOOKUP(C214,'RAW DATA 2023'!E:BO,22,0)</f>
        <v>5.1011415929203547</v>
      </c>
      <c r="K214" s="70">
        <f t="shared" si="30"/>
        <v>0.49781805337370499</v>
      </c>
      <c r="L214" s="72">
        <f t="shared" si="28"/>
        <v>5.1011415929203547</v>
      </c>
      <c r="M214" s="109">
        <f t="shared" si="32"/>
        <v>-2.9092621683933416E-2</v>
      </c>
      <c r="N214" s="123" t="str">
        <f>VLOOKUP(C214,'RAW DATA 2023'!E:BO,36,0)</f>
        <v>อัตรารอดต่ำ</v>
      </c>
      <c r="O214" s="63">
        <f>VLOOKUP(C214,'RAW DATA 2023'!E:BO,2,0)</f>
        <v>1.1299999999999999</v>
      </c>
      <c r="P214" s="322">
        <f t="shared" si="31"/>
        <v>-3.2874662502844758E-2</v>
      </c>
    </row>
    <row r="215" spans="1:16">
      <c r="A215" s="63" t="str">
        <f>'RAW DATA 2023'!B208</f>
        <v>Roiphet1</v>
      </c>
      <c r="B215" s="63" t="str">
        <f>'RAW DATA 2023'!D208</f>
        <v>C2-G04-0065</v>
      </c>
      <c r="C215" s="63" t="str">
        <f t="shared" si="25"/>
        <v>Roiphet1C2-G04-0065</v>
      </c>
      <c r="D215" s="68">
        <f>VLOOKUP(C215,'RAW DATA 2023'!E:BP,63,0)</f>
        <v>10</v>
      </c>
      <c r="E215" s="68" t="str">
        <f t="shared" si="26"/>
        <v>Roiphet110</v>
      </c>
      <c r="F215" s="63" t="str">
        <f>VLOOKUP(C215,'RAW DATA 2023'!E:BO,5,0)</f>
        <v>Greenhouse</v>
      </c>
      <c r="G215" s="63">
        <f>VLOOKUP(C215,'RAW DATA 2023'!E:BO,13,0)</f>
        <v>180</v>
      </c>
      <c r="H215" s="63">
        <f t="shared" si="29"/>
        <v>180</v>
      </c>
      <c r="I215" s="63">
        <f t="shared" si="27"/>
        <v>10.247</v>
      </c>
      <c r="J215" s="106">
        <f>VLOOKUP(C215,'RAW DATA 2023'!E:BO,22,0)</f>
        <v>4.5055486725663725</v>
      </c>
      <c r="K215" s="70">
        <f t="shared" si="30"/>
        <v>0.43969441520116842</v>
      </c>
      <c r="L215" s="72">
        <f t="shared" si="28"/>
        <v>4.5055486725663725</v>
      </c>
      <c r="M215" s="109">
        <f t="shared" si="32"/>
        <v>-0.80407446398442106</v>
      </c>
      <c r="N215" s="123" t="str">
        <f>VLOOKUP(C215,'RAW DATA 2023'!E:BO,36,0)</f>
        <v>อัตรารอดต่ำ</v>
      </c>
      <c r="O215" s="63">
        <f>VLOOKUP(C215,'RAW DATA 2023'!E:BO,2,0)</f>
        <v>1.1299999999999999</v>
      </c>
      <c r="P215" s="322">
        <f t="shared" si="31"/>
        <v>-0.90860414430239567</v>
      </c>
    </row>
    <row r="216" spans="1:16">
      <c r="A216" s="63" t="str">
        <f>'RAW DATA 2023'!B209</f>
        <v>Roiphet1</v>
      </c>
      <c r="B216" s="63" t="str">
        <f>'RAW DATA 2023'!D209</f>
        <v>C2-I04-0068</v>
      </c>
      <c r="C216" s="63" t="str">
        <f t="shared" si="25"/>
        <v>Roiphet1C2-I04-0068</v>
      </c>
      <c r="D216" s="68">
        <f>VLOOKUP(C216,'RAW DATA 2023'!E:BP,63,0)</f>
        <v>10</v>
      </c>
      <c r="E216" s="68" t="str">
        <f t="shared" si="26"/>
        <v>Roiphet110</v>
      </c>
      <c r="F216" s="63" t="str">
        <f>VLOOKUP(C216,'RAW DATA 2023'!E:BO,5,0)</f>
        <v>Greenhouse</v>
      </c>
      <c r="G216" s="63">
        <f>VLOOKUP(C216,'RAW DATA 2023'!E:BO,13,0)</f>
        <v>179</v>
      </c>
      <c r="H216" s="63">
        <f t="shared" si="29"/>
        <v>180</v>
      </c>
      <c r="I216" s="63">
        <f t="shared" si="27"/>
        <v>10.247</v>
      </c>
      <c r="J216" s="106">
        <f>VLOOKUP(C216,'RAW DATA 2023'!E:BO,22,0)</f>
        <v>4.2101111111111118</v>
      </c>
      <c r="K216" s="70">
        <f t="shared" si="30"/>
        <v>0.41086279995228964</v>
      </c>
      <c r="L216" s="72">
        <f t="shared" si="28"/>
        <v>4.2101111111111118</v>
      </c>
      <c r="M216" s="109">
        <f t="shared" si="32"/>
        <v>-1.1884960006361383</v>
      </c>
      <c r="N216" s="123" t="str">
        <f>VLOOKUP(C216,'RAW DATA 2023'!E:BO,36,0)</f>
        <v>อัตรารอดต่ำ</v>
      </c>
      <c r="O216" s="63">
        <f>VLOOKUP(C216,'RAW DATA 2023'!E:BO,2,0)</f>
        <v>0.72</v>
      </c>
      <c r="P216" s="322">
        <f t="shared" si="31"/>
        <v>-0.85571712045801951</v>
      </c>
    </row>
    <row r="217" spans="1:16">
      <c r="A217" s="63" t="str">
        <f>'RAW DATA 2023'!B210</f>
        <v>Roiphet1</v>
      </c>
      <c r="B217" s="63" t="str">
        <f>'RAW DATA 2023'!D210</f>
        <v>D2-I03-0086</v>
      </c>
      <c r="C217" s="63" t="str">
        <f t="shared" si="25"/>
        <v>Roiphet1D2-I03-0086</v>
      </c>
      <c r="D217" s="68">
        <f>VLOOKUP(C217,'RAW DATA 2023'!E:BP,63,0)</f>
        <v>9</v>
      </c>
      <c r="E217" s="68" t="str">
        <f t="shared" si="26"/>
        <v>Roiphet19</v>
      </c>
      <c r="F217" s="63" t="str">
        <f>VLOOKUP(C217,'RAW DATA 2023'!E:BO,5,0)</f>
        <v>Greenhouse</v>
      </c>
      <c r="G217" s="63">
        <f>VLOOKUP(C217,'RAW DATA 2023'!E:BO,13,0)</f>
        <v>167</v>
      </c>
      <c r="H217" s="63">
        <f t="shared" si="29"/>
        <v>180</v>
      </c>
      <c r="I217" s="63">
        <f t="shared" si="27"/>
        <v>10.247</v>
      </c>
      <c r="J217" s="106">
        <f>VLOOKUP(C217,'RAW DATA 2023'!E:BO,22,0)</f>
        <v>8.1516527777777785</v>
      </c>
      <c r="K217" s="70">
        <f t="shared" si="30"/>
        <v>0.79551603179250308</v>
      </c>
      <c r="L217" s="72">
        <f t="shared" si="28"/>
        <v>8.1516527777777785</v>
      </c>
      <c r="M217" s="109">
        <f t="shared" si="32"/>
        <v>3.9402137572333746</v>
      </c>
      <c r="N217" s="123" t="str">
        <f>VLOOKUP(C217,'RAW DATA 2023'!E:BO,36,0)</f>
        <v>Normal</v>
      </c>
      <c r="O217" s="63">
        <f>VLOOKUP(C217,'RAW DATA 2023'!E:BO,2,0)</f>
        <v>0.72</v>
      </c>
      <c r="P217" s="322">
        <f t="shared" si="31"/>
        <v>2.8369539052080297</v>
      </c>
    </row>
    <row r="218" spans="1:16">
      <c r="A218" s="63" t="str">
        <f>'RAW DATA 2023'!B211</f>
        <v>Roiphet1</v>
      </c>
      <c r="B218" s="63" t="str">
        <f>'RAW DATA 2023'!D211</f>
        <v>D2-G03-0081</v>
      </c>
      <c r="C218" s="63" t="str">
        <f t="shared" si="25"/>
        <v>Roiphet1D2-G03-0081</v>
      </c>
      <c r="D218" s="68">
        <f>VLOOKUP(C218,'RAW DATA 2023'!E:BP,63,0)</f>
        <v>9</v>
      </c>
      <c r="E218" s="68" t="str">
        <f t="shared" si="26"/>
        <v>Roiphet19</v>
      </c>
      <c r="F218" s="63" t="str">
        <f>VLOOKUP(C218,'RAW DATA 2023'!E:BO,5,0)</f>
        <v>Greenhouse</v>
      </c>
      <c r="G218" s="63">
        <f>VLOOKUP(C218,'RAW DATA 2023'!E:BO,13,0)</f>
        <v>184</v>
      </c>
      <c r="H218" s="63">
        <f t="shared" si="29"/>
        <v>180</v>
      </c>
      <c r="I218" s="63">
        <f t="shared" si="27"/>
        <v>10.247</v>
      </c>
      <c r="J218" s="106">
        <f>VLOOKUP(C218,'RAW DATA 2023'!E:BO,22,0)</f>
        <v>10.934867256637169</v>
      </c>
      <c r="K218" s="70">
        <f t="shared" si="30"/>
        <v>1.0671286480567159</v>
      </c>
      <c r="L218" s="72">
        <f t="shared" si="28"/>
        <v>10.934867256637169</v>
      </c>
      <c r="M218" s="109">
        <f t="shared" si="32"/>
        <v>7.5617153074228796</v>
      </c>
      <c r="N218" s="123" t="str">
        <f>VLOOKUP(C218,'RAW DATA 2023'!E:BO,36,0)</f>
        <v>Normal</v>
      </c>
      <c r="O218" s="63">
        <f>VLOOKUP(C218,'RAW DATA 2023'!E:BO,2,0)</f>
        <v>1.1299999999999999</v>
      </c>
      <c r="P218" s="322">
        <f t="shared" si="31"/>
        <v>8.5447382973878536</v>
      </c>
    </row>
    <row r="219" spans="1:16">
      <c r="A219" s="63" t="str">
        <f>'RAW DATA 2023'!B212</f>
        <v>Roiphet1</v>
      </c>
      <c r="B219" s="63" t="str">
        <f>'RAW DATA 2023'!D212</f>
        <v>C5-I09-0065</v>
      </c>
      <c r="C219" s="63" t="str">
        <f t="shared" si="25"/>
        <v>Roiphet1C5-I09-0065</v>
      </c>
      <c r="D219" s="68">
        <f>VLOOKUP(C219,'RAW DATA 2023'!E:BP,63,0)</f>
        <v>10</v>
      </c>
      <c r="E219" s="68" t="str">
        <f t="shared" si="26"/>
        <v>Roiphet110</v>
      </c>
      <c r="F219" s="63" t="str">
        <f>VLOOKUP(C219,'RAW DATA 2023'!E:BO,5,0)</f>
        <v>Greenhouse</v>
      </c>
      <c r="G219" s="63">
        <f>VLOOKUP(C219,'RAW DATA 2023'!E:BO,13,0)</f>
        <v>167</v>
      </c>
      <c r="H219" s="63">
        <f t="shared" si="29"/>
        <v>180</v>
      </c>
      <c r="I219" s="63">
        <f t="shared" si="27"/>
        <v>10.247</v>
      </c>
      <c r="J219" s="106">
        <f>VLOOKUP(C219,'RAW DATA 2023'!E:BO,22,0)</f>
        <v>4.6338611111111119</v>
      </c>
      <c r="K219" s="70">
        <f t="shared" si="30"/>
        <v>0.45221636684991823</v>
      </c>
      <c r="L219" s="72">
        <f t="shared" si="28"/>
        <v>4.6338611111111119</v>
      </c>
      <c r="M219" s="109">
        <f t="shared" si="32"/>
        <v>-0.637115108667757</v>
      </c>
      <c r="N219" s="123" t="str">
        <f>VLOOKUP(C219,'RAW DATA 2023'!E:BO,36,0)</f>
        <v>Normal</v>
      </c>
      <c r="O219" s="63">
        <f>VLOOKUP(C219,'RAW DATA 2023'!E:BO,2,0)</f>
        <v>0.72</v>
      </c>
      <c r="P219" s="322">
        <f t="shared" si="31"/>
        <v>-0.458722878240785</v>
      </c>
    </row>
    <row r="220" spans="1:16">
      <c r="A220" s="63" t="str">
        <f>'RAW DATA 2023'!B213</f>
        <v>Roiphet1</v>
      </c>
      <c r="B220" s="63" t="str">
        <f>'RAW DATA 2023'!D213</f>
        <v>C6-G12-0060</v>
      </c>
      <c r="C220" s="63" t="str">
        <f t="shared" si="25"/>
        <v>Roiphet1C6-G12-0060</v>
      </c>
      <c r="D220" s="68">
        <f>VLOOKUP(C220,'RAW DATA 2023'!E:BP,63,0)</f>
        <v>6</v>
      </c>
      <c r="E220" s="68" t="str">
        <f t="shared" si="26"/>
        <v>Roiphet16</v>
      </c>
      <c r="F220" s="63" t="str">
        <f>VLOOKUP(C220,'RAW DATA 2023'!E:BO,5,0)</f>
        <v>Greenhouse</v>
      </c>
      <c r="G220" s="63">
        <f>VLOOKUP(C220,'RAW DATA 2023'!E:BO,13,0)</f>
        <v>184</v>
      </c>
      <c r="H220" s="63">
        <f t="shared" si="29"/>
        <v>180</v>
      </c>
      <c r="I220" s="63">
        <f t="shared" si="27"/>
        <v>10.247</v>
      </c>
      <c r="J220" s="106">
        <f>VLOOKUP(C220,'RAW DATA 2023'!E:BO,22,0)</f>
        <v>7.126424778761062</v>
      </c>
      <c r="K220" s="70">
        <f t="shared" si="30"/>
        <v>0.69546450461218523</v>
      </c>
      <c r="L220" s="72">
        <f t="shared" si="28"/>
        <v>7.126424778761062</v>
      </c>
      <c r="M220" s="109">
        <f t="shared" si="32"/>
        <v>2.6061933948291367</v>
      </c>
      <c r="N220" s="123" t="str">
        <f>VLOOKUP(C220,'RAW DATA 2023'!E:BO,36,0)</f>
        <v>ทยอยตาย</v>
      </c>
      <c r="O220" s="63">
        <f>VLOOKUP(C220,'RAW DATA 2023'!E:BO,2,0)</f>
        <v>1.1299999999999999</v>
      </c>
      <c r="P220" s="322">
        <f t="shared" si="31"/>
        <v>2.9449985361569242</v>
      </c>
    </row>
    <row r="221" spans="1:16">
      <c r="A221" s="63" t="str">
        <f>'RAW DATA 2023'!B214</f>
        <v>Roiphet1</v>
      </c>
      <c r="B221" s="63" t="str">
        <f>'RAW DATA 2023'!D214</f>
        <v>D5-G10-0070</v>
      </c>
      <c r="C221" s="63" t="str">
        <f t="shared" si="25"/>
        <v>Roiphet1D5-G10-0070</v>
      </c>
      <c r="D221" s="68">
        <f>VLOOKUP(C221,'RAW DATA 2023'!E:BP,63,0)</f>
        <v>10</v>
      </c>
      <c r="E221" s="68" t="str">
        <f t="shared" si="26"/>
        <v>Roiphet110</v>
      </c>
      <c r="F221" s="63" t="str">
        <f>VLOOKUP(C221,'RAW DATA 2023'!E:BO,5,0)</f>
        <v>Greenhouse</v>
      </c>
      <c r="G221" s="63">
        <f>VLOOKUP(C221,'RAW DATA 2023'!E:BO,13,0)</f>
        <v>184</v>
      </c>
      <c r="H221" s="63">
        <f t="shared" si="29"/>
        <v>180</v>
      </c>
      <c r="I221" s="63">
        <f t="shared" si="27"/>
        <v>10.247</v>
      </c>
      <c r="J221" s="106">
        <f>VLOOKUP(C221,'RAW DATA 2023'!E:BO,22,0)</f>
        <v>9.2553185840707979</v>
      </c>
      <c r="K221" s="70">
        <f t="shared" si="30"/>
        <v>0.90322226837813979</v>
      </c>
      <c r="L221" s="72">
        <f t="shared" si="28"/>
        <v>9.2553185840707979</v>
      </c>
      <c r="M221" s="109">
        <f t="shared" si="32"/>
        <v>5.3762969117085309</v>
      </c>
      <c r="N221" s="123" t="str">
        <f>VLOOKUP(C221,'RAW DATA 2023'!E:BO,36,0)</f>
        <v>Normal</v>
      </c>
      <c r="O221" s="63">
        <f>VLOOKUP(C221,'RAW DATA 2023'!E:BO,2,0)</f>
        <v>1.1299999999999999</v>
      </c>
      <c r="P221" s="322">
        <f t="shared" si="31"/>
        <v>6.0752155102306391</v>
      </c>
    </row>
    <row r="222" spans="1:16">
      <c r="A222" s="63" t="str">
        <f>'RAW DATA 2023'!B215</f>
        <v>Roiphet1</v>
      </c>
      <c r="B222" s="63" t="str">
        <f>'RAW DATA 2023'!D215</f>
        <v>C2-I04-0066</v>
      </c>
      <c r="C222" s="63" t="str">
        <f t="shared" si="25"/>
        <v>Roiphet1C2-I04-0066</v>
      </c>
      <c r="D222" s="68">
        <f>VLOOKUP(C222,'RAW DATA 2023'!E:BP,63,0)</f>
        <v>3</v>
      </c>
      <c r="E222" s="68" t="str">
        <f t="shared" si="26"/>
        <v>Roiphet13</v>
      </c>
      <c r="F222" s="63" t="str">
        <f>VLOOKUP(C222,'RAW DATA 2023'!E:BO,5,0)</f>
        <v>Greenhouse</v>
      </c>
      <c r="G222" s="63">
        <f>VLOOKUP(C222,'RAW DATA 2023'!E:BO,13,0)</f>
        <v>223</v>
      </c>
      <c r="H222" s="63">
        <f t="shared" si="29"/>
        <v>200</v>
      </c>
      <c r="I222" s="63">
        <f t="shared" si="27"/>
        <v>11.259</v>
      </c>
      <c r="J222" s="106">
        <f>VLOOKUP(C222,'RAW DATA 2023'!E:BO,22,0)</f>
        <v>9.909527777777777</v>
      </c>
      <c r="K222" s="70">
        <f t="shared" si="30"/>
        <v>0.88014279934077422</v>
      </c>
      <c r="L222" s="72">
        <f t="shared" si="28"/>
        <v>9.909527777777777</v>
      </c>
      <c r="M222" s="109">
        <f t="shared" si="32"/>
        <v>5.0685706578769896</v>
      </c>
      <c r="N222" s="123" t="str">
        <f>VLOOKUP(C222,'RAW DATA 2023'!E:BO,36,0)</f>
        <v>Normal</v>
      </c>
      <c r="O222" s="63">
        <f>VLOOKUP(C222,'RAW DATA 2023'!E:BO,2,0)</f>
        <v>0.72</v>
      </c>
      <c r="P222" s="322">
        <f t="shared" si="31"/>
        <v>3.6493708736714323</v>
      </c>
    </row>
    <row r="223" spans="1:16">
      <c r="A223" s="63" t="str">
        <f>'RAW DATA 2023'!B216</f>
        <v>Roiphet1</v>
      </c>
      <c r="B223" s="63" t="str">
        <f>'RAW DATA 2023'!D216</f>
        <v>C5-G10-0065</v>
      </c>
      <c r="C223" s="63" t="str">
        <f t="shared" si="25"/>
        <v>Roiphet1C5-G10-0065</v>
      </c>
      <c r="D223" s="68">
        <f>VLOOKUP(C223,'RAW DATA 2023'!E:BP,63,0)</f>
        <v>10</v>
      </c>
      <c r="E223" s="68" t="str">
        <f t="shared" si="26"/>
        <v>Roiphet110</v>
      </c>
      <c r="F223" s="63" t="str">
        <f>VLOOKUP(C223,'RAW DATA 2023'!E:BO,5,0)</f>
        <v>Greenhouse</v>
      </c>
      <c r="G223" s="63">
        <f>VLOOKUP(C223,'RAW DATA 2023'!E:BO,13,0)</f>
        <v>203</v>
      </c>
      <c r="H223" s="63">
        <f t="shared" si="29"/>
        <v>200</v>
      </c>
      <c r="I223" s="63">
        <f t="shared" si="27"/>
        <v>11.259</v>
      </c>
      <c r="J223" s="106">
        <f>VLOOKUP(C223,'RAW DATA 2023'!E:BO,22,0)</f>
        <v>6.3073982300884959</v>
      </c>
      <c r="K223" s="70">
        <f t="shared" si="30"/>
        <v>0.56020945288999868</v>
      </c>
      <c r="L223" s="72">
        <f t="shared" si="28"/>
        <v>6.3073982300884959</v>
      </c>
      <c r="M223" s="109">
        <f t="shared" si="32"/>
        <v>0.80279270519998247</v>
      </c>
      <c r="N223" s="123" t="str">
        <f>VLOOKUP(C223,'RAW DATA 2023'!E:BO,36,0)</f>
        <v>Normal</v>
      </c>
      <c r="O223" s="63">
        <f>VLOOKUP(C223,'RAW DATA 2023'!E:BO,2,0)</f>
        <v>1.1299999999999999</v>
      </c>
      <c r="P223" s="322">
        <f t="shared" si="31"/>
        <v>0.90715575687598016</v>
      </c>
    </row>
    <row r="224" spans="1:16">
      <c r="A224" s="63" t="str">
        <f>'RAW DATA 2023'!B217</f>
        <v>Roiphet1</v>
      </c>
      <c r="B224" s="63" t="str">
        <f>'RAW DATA 2023'!D217</f>
        <v>C5-G09-0058</v>
      </c>
      <c r="C224" s="63" t="str">
        <f t="shared" si="25"/>
        <v>Roiphet1C5-G09-0058</v>
      </c>
      <c r="D224" s="68">
        <f>VLOOKUP(C224,'RAW DATA 2023'!E:BP,63,0)</f>
        <v>10</v>
      </c>
      <c r="E224" s="68" t="str">
        <f t="shared" si="26"/>
        <v>Roiphet110</v>
      </c>
      <c r="F224" s="63" t="str">
        <f>VLOOKUP(C224,'RAW DATA 2023'!E:BO,5,0)</f>
        <v>Greenhouse</v>
      </c>
      <c r="G224" s="63">
        <f>VLOOKUP(C224,'RAW DATA 2023'!E:BO,13,0)</f>
        <v>203</v>
      </c>
      <c r="H224" s="63">
        <f t="shared" si="29"/>
        <v>200</v>
      </c>
      <c r="I224" s="63">
        <f t="shared" si="27"/>
        <v>11.259</v>
      </c>
      <c r="J224" s="106">
        <f>VLOOKUP(C224,'RAW DATA 2023'!E:BO,22,0)</f>
        <v>7.3060265486725671</v>
      </c>
      <c r="K224" s="70">
        <f t="shared" si="30"/>
        <v>0.64890545773803776</v>
      </c>
      <c r="L224" s="72">
        <f t="shared" si="28"/>
        <v>7.3060265486725671</v>
      </c>
      <c r="M224" s="109">
        <f t="shared" si="32"/>
        <v>1.9854061031738368</v>
      </c>
      <c r="N224" s="123" t="str">
        <f>VLOOKUP(C224,'RAW DATA 2023'!E:BO,36,0)</f>
        <v>Normal</v>
      </c>
      <c r="O224" s="63">
        <f>VLOOKUP(C224,'RAW DATA 2023'!E:BO,2,0)</f>
        <v>1.1299999999999999</v>
      </c>
      <c r="P224" s="322">
        <f t="shared" si="31"/>
        <v>2.2435088965864356</v>
      </c>
    </row>
    <row r="225" spans="1:16">
      <c r="A225" s="63" t="str">
        <f>'RAW DATA 2023'!B218</f>
        <v>Roiphet1</v>
      </c>
      <c r="B225" s="63" t="str">
        <f>'RAW DATA 2023'!D218</f>
        <v>C5-I10-0066</v>
      </c>
      <c r="C225" s="63" t="str">
        <f t="shared" si="25"/>
        <v>Roiphet1C5-I10-0066</v>
      </c>
      <c r="D225" s="68">
        <f>VLOOKUP(C225,'RAW DATA 2023'!E:BP,63,0)</f>
        <v>10</v>
      </c>
      <c r="E225" s="68" t="str">
        <f t="shared" si="26"/>
        <v>Roiphet110</v>
      </c>
      <c r="F225" s="63" t="str">
        <f>VLOOKUP(C225,'RAW DATA 2023'!E:BO,5,0)</f>
        <v>Greenhouse</v>
      </c>
      <c r="G225" s="63">
        <f>VLOOKUP(C225,'RAW DATA 2023'!E:BO,13,0)</f>
        <v>167</v>
      </c>
      <c r="H225" s="63">
        <f t="shared" si="29"/>
        <v>180</v>
      </c>
      <c r="I225" s="63">
        <f t="shared" si="27"/>
        <v>10.247</v>
      </c>
      <c r="J225" s="106">
        <f>VLOOKUP(C225,'RAW DATA 2023'!E:BO,22,0)</f>
        <v>6.082416666666667</v>
      </c>
      <c r="K225" s="70">
        <f t="shared" si="30"/>
        <v>0.59358023486548916</v>
      </c>
      <c r="L225" s="72">
        <f t="shared" si="28"/>
        <v>6.082416666666667</v>
      </c>
      <c r="M225" s="109">
        <f t="shared" si="32"/>
        <v>1.247736464873189</v>
      </c>
      <c r="N225" s="123" t="str">
        <f>VLOOKUP(C225,'RAW DATA 2023'!E:BO,36,0)</f>
        <v>Normal</v>
      </c>
      <c r="O225" s="63">
        <f>VLOOKUP(C225,'RAW DATA 2023'!E:BO,2,0)</f>
        <v>0.72</v>
      </c>
      <c r="P225" s="322">
        <f t="shared" si="31"/>
        <v>0.89837025470869603</v>
      </c>
    </row>
    <row r="226" spans="1:16">
      <c r="A226" s="63" t="str">
        <f>'RAW DATA 2023'!B219</f>
        <v>Roiphet1</v>
      </c>
      <c r="B226" s="63" t="str">
        <f>'RAW DATA 2023'!D219</f>
        <v>D2-G04-0080</v>
      </c>
      <c r="C226" s="63" t="str">
        <f t="shared" si="25"/>
        <v>Roiphet1D2-G04-0080</v>
      </c>
      <c r="D226" s="68">
        <f>VLOOKUP(C226,'RAW DATA 2023'!E:BP,63,0)</f>
        <v>9</v>
      </c>
      <c r="E226" s="68" t="str">
        <f t="shared" si="26"/>
        <v>Roiphet19</v>
      </c>
      <c r="F226" s="63" t="str">
        <f>VLOOKUP(C226,'RAW DATA 2023'!E:BO,5,0)</f>
        <v>Greenhouse</v>
      </c>
      <c r="G226" s="63">
        <f>VLOOKUP(C226,'RAW DATA 2023'!E:BO,13,0)</f>
        <v>184</v>
      </c>
      <c r="H226" s="63">
        <f t="shared" si="29"/>
        <v>180</v>
      </c>
      <c r="I226" s="63">
        <f t="shared" si="27"/>
        <v>10.247</v>
      </c>
      <c r="J226" s="106">
        <f>VLOOKUP(C226,'RAW DATA 2023'!E:BO,22,0)</f>
        <v>11.323309734513275</v>
      </c>
      <c r="K226" s="70">
        <f t="shared" si="30"/>
        <v>1.1050365701681737</v>
      </c>
      <c r="L226" s="72">
        <f t="shared" si="28"/>
        <v>11.323309734513275</v>
      </c>
      <c r="M226" s="109">
        <f t="shared" si="32"/>
        <v>8.0671542689089826</v>
      </c>
      <c r="N226" s="123" t="str">
        <f>VLOOKUP(C226,'RAW DATA 2023'!E:BO,36,0)</f>
        <v>Normal</v>
      </c>
      <c r="O226" s="63">
        <f>VLOOKUP(C226,'RAW DATA 2023'!E:BO,2,0)</f>
        <v>1.1299999999999999</v>
      </c>
      <c r="P226" s="322">
        <f t="shared" si="31"/>
        <v>9.1158843238671494</v>
      </c>
    </row>
    <row r="227" spans="1:16">
      <c r="A227" s="63" t="str">
        <f>'RAW DATA 2023'!B220</f>
        <v>Roiphet1</v>
      </c>
      <c r="B227" s="63" t="str">
        <f>'RAW DATA 2023'!D220</f>
        <v>C4-G08-0060</v>
      </c>
      <c r="C227" s="63" t="str">
        <f t="shared" si="25"/>
        <v>Roiphet1C4-G08-0060</v>
      </c>
      <c r="D227" s="68">
        <f>VLOOKUP(C227,'RAW DATA 2023'!E:BP,63,0)</f>
        <v>1</v>
      </c>
      <c r="E227" s="68" t="str">
        <f t="shared" si="26"/>
        <v>Roiphet11</v>
      </c>
      <c r="F227" s="63" t="str">
        <f>VLOOKUP(C227,'RAW DATA 2023'!E:BO,5,0)</f>
        <v>Greenhouse</v>
      </c>
      <c r="G227" s="63">
        <f>VLOOKUP(C227,'RAW DATA 2023'!E:BO,13,0)</f>
        <v>166</v>
      </c>
      <c r="H227" s="63">
        <f t="shared" si="29"/>
        <v>180</v>
      </c>
      <c r="I227" s="63">
        <f t="shared" si="27"/>
        <v>10.247</v>
      </c>
      <c r="J227" s="106">
        <f>VLOOKUP(C227,'RAW DATA 2023'!E:BO,22,0)</f>
        <v>7.2075752212389386</v>
      </c>
      <c r="K227" s="70">
        <f t="shared" si="30"/>
        <v>0.70338393883467731</v>
      </c>
      <c r="L227" s="72">
        <f t="shared" si="28"/>
        <v>7.2075752212389386</v>
      </c>
      <c r="M227" s="109">
        <f t="shared" si="32"/>
        <v>2.7117858511290311</v>
      </c>
      <c r="N227" s="123" t="str">
        <f>VLOOKUP(C227,'RAW DATA 2023'!E:BO,36,0)</f>
        <v>ทยอยตาย</v>
      </c>
      <c r="O227" s="63">
        <f>VLOOKUP(C227,'RAW DATA 2023'!E:BO,2,0)</f>
        <v>1.1299999999999999</v>
      </c>
      <c r="P227" s="322">
        <f t="shared" si="31"/>
        <v>3.0643180117758049</v>
      </c>
    </row>
    <row r="228" spans="1:16">
      <c r="A228" s="63" t="str">
        <f>'RAW DATA 2023'!B221</f>
        <v>Roiphet1</v>
      </c>
      <c r="B228" s="63" t="str">
        <f>'RAW DATA 2023'!D221</f>
        <v>D5-I10-0075</v>
      </c>
      <c r="C228" s="63" t="str">
        <f t="shared" si="25"/>
        <v>Roiphet1D5-I10-0075</v>
      </c>
      <c r="D228" s="68">
        <f>VLOOKUP(C228,'RAW DATA 2023'!E:BP,63,0)</f>
        <v>10</v>
      </c>
      <c r="E228" s="68" t="str">
        <f t="shared" si="26"/>
        <v>Roiphet110</v>
      </c>
      <c r="F228" s="63" t="str">
        <f>VLOOKUP(C228,'RAW DATA 2023'!E:BO,5,0)</f>
        <v>Greenhouse</v>
      </c>
      <c r="G228" s="63">
        <f>VLOOKUP(C228,'RAW DATA 2023'!E:BO,13,0)</f>
        <v>167</v>
      </c>
      <c r="H228" s="63">
        <f t="shared" si="29"/>
        <v>180</v>
      </c>
      <c r="I228" s="63">
        <f t="shared" si="27"/>
        <v>10.247</v>
      </c>
      <c r="J228" s="106">
        <f>VLOOKUP(C228,'RAW DATA 2023'!E:BO,22,0)</f>
        <v>6.9261527777777783</v>
      </c>
      <c r="K228" s="70">
        <f t="shared" si="30"/>
        <v>0.67592005248148512</v>
      </c>
      <c r="L228" s="72">
        <f t="shared" si="28"/>
        <v>6.9261527777777783</v>
      </c>
      <c r="M228" s="109">
        <f t="shared" si="32"/>
        <v>2.3456006997531351</v>
      </c>
      <c r="N228" s="123" t="str">
        <f>VLOOKUP(C228,'RAW DATA 2023'!E:BO,36,0)</f>
        <v>Normal</v>
      </c>
      <c r="O228" s="63">
        <f>VLOOKUP(C228,'RAW DATA 2023'!E:BO,2,0)</f>
        <v>0.72</v>
      </c>
      <c r="P228" s="322">
        <f t="shared" si="31"/>
        <v>1.6888325038222571</v>
      </c>
    </row>
    <row r="229" spans="1:16">
      <c r="A229" s="63" t="str">
        <f>'RAW DATA 2023'!B222</f>
        <v>Roiphet1</v>
      </c>
      <c r="B229" s="63" t="str">
        <f>'RAW DATA 2023'!D222</f>
        <v>C2-I03-0058</v>
      </c>
      <c r="C229" s="63" t="str">
        <f t="shared" si="25"/>
        <v>Roiphet1C2-I03-0058</v>
      </c>
      <c r="D229" s="68">
        <f>VLOOKUP(C229,'RAW DATA 2023'!E:BP,63,0)</f>
        <v>3</v>
      </c>
      <c r="E229" s="68" t="str">
        <f t="shared" si="26"/>
        <v>Roiphet13</v>
      </c>
      <c r="F229" s="63" t="str">
        <f>VLOOKUP(C229,'RAW DATA 2023'!E:BO,5,0)</f>
        <v>Greenhouse</v>
      </c>
      <c r="G229" s="63">
        <f>VLOOKUP(C229,'RAW DATA 2023'!E:BO,13,0)</f>
        <v>223</v>
      </c>
      <c r="H229" s="63">
        <f t="shared" si="29"/>
        <v>200</v>
      </c>
      <c r="I229" s="63">
        <f t="shared" si="27"/>
        <v>11.259</v>
      </c>
      <c r="J229" s="106">
        <f>VLOOKUP(C229,'RAW DATA 2023'!E:BO,22,0)</f>
        <v>9.3016527777777789</v>
      </c>
      <c r="K229" s="70">
        <f t="shared" si="30"/>
        <v>0.82615265812041727</v>
      </c>
      <c r="L229" s="72">
        <f t="shared" si="28"/>
        <v>9.3016527777777789</v>
      </c>
      <c r="M229" s="109">
        <f t="shared" si="32"/>
        <v>4.3487021082722306</v>
      </c>
      <c r="N229" s="123" t="str">
        <f>VLOOKUP(C229,'RAW DATA 2023'!E:BO,36,0)</f>
        <v>Normal</v>
      </c>
      <c r="O229" s="63">
        <f>VLOOKUP(C229,'RAW DATA 2023'!E:BO,2,0)</f>
        <v>0.72</v>
      </c>
      <c r="P229" s="322">
        <f t="shared" si="31"/>
        <v>3.1310655179560061</v>
      </c>
    </row>
    <row r="230" spans="1:16">
      <c r="A230" s="63" t="str">
        <f>'RAW DATA 2023'!B223</f>
        <v>Roiphet1</v>
      </c>
      <c r="B230" s="63" t="str">
        <f>'RAW DATA 2023'!D223</f>
        <v>D5-I09-0083</v>
      </c>
      <c r="C230" s="63" t="str">
        <f t="shared" si="25"/>
        <v>Roiphet1D5-I09-0083</v>
      </c>
      <c r="D230" s="68">
        <f>VLOOKUP(C230,'RAW DATA 2023'!E:BP,63,0)</f>
        <v>10</v>
      </c>
      <c r="E230" s="68" t="str">
        <f t="shared" si="26"/>
        <v>Roiphet110</v>
      </c>
      <c r="F230" s="63" t="str">
        <f>VLOOKUP(C230,'RAW DATA 2023'!E:BO,5,0)</f>
        <v>Greenhouse</v>
      </c>
      <c r="G230" s="63">
        <f>VLOOKUP(C230,'RAW DATA 2023'!E:BO,13,0)</f>
        <v>167</v>
      </c>
      <c r="H230" s="63">
        <f t="shared" si="29"/>
        <v>180</v>
      </c>
      <c r="I230" s="63">
        <f t="shared" si="27"/>
        <v>10.247</v>
      </c>
      <c r="J230" s="106">
        <f>VLOOKUP(C230,'RAW DATA 2023'!E:BO,22,0)</f>
        <v>7.2012499999999999</v>
      </c>
      <c r="K230" s="70">
        <f t="shared" si="30"/>
        <v>0.7027666634136821</v>
      </c>
      <c r="L230" s="72">
        <f t="shared" si="28"/>
        <v>7.2012499999999999</v>
      </c>
      <c r="M230" s="109">
        <f t="shared" si="32"/>
        <v>2.7035555121824282</v>
      </c>
      <c r="N230" s="123" t="str">
        <f>VLOOKUP(C230,'RAW DATA 2023'!E:BO,36,0)</f>
        <v>Normal</v>
      </c>
      <c r="O230" s="63">
        <f>VLOOKUP(C230,'RAW DATA 2023'!E:BO,2,0)</f>
        <v>0.72</v>
      </c>
      <c r="P230" s="322">
        <f t="shared" si="31"/>
        <v>1.9465599687713482</v>
      </c>
    </row>
    <row r="231" spans="1:16">
      <c r="A231" s="63" t="str">
        <f>'RAW DATA 2023'!B224</f>
        <v>Roiphet1</v>
      </c>
      <c r="B231" s="63" t="str">
        <f>'RAW DATA 2023'!D224</f>
        <v>C1-G02-0073</v>
      </c>
      <c r="C231" s="63" t="str">
        <f t="shared" si="25"/>
        <v>Roiphet1C1-G02-0073</v>
      </c>
      <c r="D231" s="68">
        <f>VLOOKUP(C231,'RAW DATA 2023'!E:BP,63,0)</f>
        <v>5</v>
      </c>
      <c r="E231" s="68" t="str">
        <f t="shared" si="26"/>
        <v>Roiphet15</v>
      </c>
      <c r="F231" s="63" t="str">
        <f>VLOOKUP(C231,'RAW DATA 2023'!E:BO,5,0)</f>
        <v>Greenhouse</v>
      </c>
      <c r="G231" s="63">
        <f>VLOOKUP(C231,'RAW DATA 2023'!E:BO,13,0)</f>
        <v>155</v>
      </c>
      <c r="H231" s="63">
        <f t="shared" si="29"/>
        <v>150</v>
      </c>
      <c r="I231" s="63">
        <f t="shared" si="27"/>
        <v>9.1999999999999993</v>
      </c>
      <c r="J231" s="106">
        <f>VLOOKUP(C231,'RAW DATA 2023'!E:BO,22,0)</f>
        <v>7.232893805309736</v>
      </c>
      <c r="K231" s="70">
        <f t="shared" si="30"/>
        <v>0.78618410927279747</v>
      </c>
      <c r="L231" s="72">
        <f t="shared" si="28"/>
        <v>7.232893805309736</v>
      </c>
      <c r="M231" s="109">
        <f t="shared" si="32"/>
        <v>3.8157881236372999</v>
      </c>
      <c r="N231" s="123" t="str">
        <f>VLOOKUP(C231,'RAW DATA 2023'!E:BO,36,0)</f>
        <v>Normal</v>
      </c>
      <c r="O231" s="63">
        <f>VLOOKUP(C231,'RAW DATA 2023'!E:BO,2,0)</f>
        <v>1.1299999999999999</v>
      </c>
      <c r="P231" s="322">
        <f t="shared" si="31"/>
        <v>4.3118405797101484</v>
      </c>
    </row>
    <row r="232" spans="1:16">
      <c r="A232" s="63" t="str">
        <f>'RAW DATA 2023'!B225</f>
        <v>Roiphet1</v>
      </c>
      <c r="B232" s="63" t="str">
        <f>'RAW DATA 2023'!D225</f>
        <v>D2-I04-0092</v>
      </c>
      <c r="C232" s="63" t="str">
        <f t="shared" si="25"/>
        <v>Roiphet1D2-I04-0092</v>
      </c>
      <c r="D232" s="68">
        <f>VLOOKUP(C232,'RAW DATA 2023'!E:BP,63,0)</f>
        <v>9</v>
      </c>
      <c r="E232" s="68" t="str">
        <f t="shared" si="26"/>
        <v>Roiphet19</v>
      </c>
      <c r="F232" s="63" t="str">
        <f>VLOOKUP(C232,'RAW DATA 2023'!E:BO,5,0)</f>
        <v>Greenhouse</v>
      </c>
      <c r="G232" s="63">
        <f>VLOOKUP(C232,'RAW DATA 2023'!E:BO,13,0)</f>
        <v>100</v>
      </c>
      <c r="H232" s="63">
        <f t="shared" si="29"/>
        <v>100</v>
      </c>
      <c r="I232" s="63">
        <f t="shared" si="27"/>
        <v>0</v>
      </c>
      <c r="J232" s="106">
        <f>VLOOKUP(C232,'RAW DATA 2023'!E:BO,22,0)</f>
        <v>6.4538888888888888</v>
      </c>
      <c r="K232" s="70" t="e">
        <f t="shared" si="30"/>
        <v>#DIV/0!</v>
      </c>
      <c r="L232" s="72">
        <f t="shared" si="28"/>
        <v>6.4538888888888888</v>
      </c>
      <c r="M232" s="109" t="e">
        <f t="shared" si="32"/>
        <v>#DIV/0!</v>
      </c>
      <c r="N232" s="123" t="str">
        <f>VLOOKUP(C232,'RAW DATA 2023'!E:BO,36,0)</f>
        <v>Normal</v>
      </c>
      <c r="O232" s="63">
        <f>VLOOKUP(C232,'RAW DATA 2023'!E:BO,2,0)</f>
        <v>0.72</v>
      </c>
      <c r="P232" s="322" t="e">
        <f t="shared" si="31"/>
        <v>#DIV/0!</v>
      </c>
    </row>
    <row r="233" spans="1:16">
      <c r="A233" s="63" t="str">
        <f>'RAW DATA 2023'!B226</f>
        <v>Roiphet1</v>
      </c>
      <c r="B233" s="63" t="str">
        <f>'RAW DATA 2023'!D226</f>
        <v>C4-G07-0056</v>
      </c>
      <c r="C233" s="63" t="str">
        <f t="shared" si="25"/>
        <v>Roiphet1C4-G07-0056</v>
      </c>
      <c r="D233" s="68">
        <f>VLOOKUP(C233,'RAW DATA 2023'!E:BP,63,0)</f>
        <v>1</v>
      </c>
      <c r="E233" s="68" t="str">
        <f t="shared" si="26"/>
        <v>Roiphet11</v>
      </c>
      <c r="F233" s="63" t="str">
        <f>VLOOKUP(C233,'RAW DATA 2023'!E:BO,5,0)</f>
        <v>Greenhouse</v>
      </c>
      <c r="G233" s="63">
        <f>VLOOKUP(C233,'RAW DATA 2023'!E:BO,13,0)</f>
        <v>166</v>
      </c>
      <c r="H233" s="63">
        <f t="shared" si="29"/>
        <v>180</v>
      </c>
      <c r="I233" s="63">
        <f t="shared" si="27"/>
        <v>10.247</v>
      </c>
      <c r="J233" s="106">
        <f>VLOOKUP(C233,'RAW DATA 2023'!E:BO,22,0)</f>
        <v>6.725300884955753</v>
      </c>
      <c r="K233" s="70">
        <f t="shared" si="30"/>
        <v>0.65631900897391948</v>
      </c>
      <c r="L233" s="72">
        <f t="shared" si="28"/>
        <v>6.725300884955753</v>
      </c>
      <c r="M233" s="109">
        <f t="shared" si="32"/>
        <v>2.0842534529855934</v>
      </c>
      <c r="N233" s="123" t="str">
        <f>VLOOKUP(C233,'RAW DATA 2023'!E:BO,36,0)</f>
        <v>ทยอยตาย</v>
      </c>
      <c r="O233" s="63">
        <f>VLOOKUP(C233,'RAW DATA 2023'!E:BO,2,0)</f>
        <v>1.1299999999999999</v>
      </c>
      <c r="P233" s="322">
        <f t="shared" si="31"/>
        <v>2.3552064018737204</v>
      </c>
    </row>
    <row r="234" spans="1:16">
      <c r="A234" s="63" t="str">
        <f>'RAW DATA 2023'!B227</f>
        <v>Roiphet1</v>
      </c>
      <c r="B234" s="63" t="str">
        <f>'RAW DATA 2023'!D227</f>
        <v>D3-G05-0081</v>
      </c>
      <c r="C234" s="63" t="str">
        <f t="shared" si="25"/>
        <v>Roiphet1D3-G05-0081</v>
      </c>
      <c r="D234" s="68">
        <f>VLOOKUP(C234,'RAW DATA 2023'!E:BP,63,0)</f>
        <v>10</v>
      </c>
      <c r="E234" s="68" t="str">
        <f t="shared" si="26"/>
        <v>Roiphet110</v>
      </c>
      <c r="F234" s="63" t="str">
        <f>VLOOKUP(C234,'RAW DATA 2023'!E:BO,5,0)</f>
        <v>Greenhouse</v>
      </c>
      <c r="G234" s="63">
        <f>VLOOKUP(C234,'RAW DATA 2023'!E:BO,13,0)</f>
        <v>203</v>
      </c>
      <c r="H234" s="63">
        <f t="shared" si="29"/>
        <v>200</v>
      </c>
      <c r="I234" s="63">
        <f t="shared" si="27"/>
        <v>11.259</v>
      </c>
      <c r="J234" s="106">
        <f>VLOOKUP(C234,'RAW DATA 2023'!E:BO,22,0)</f>
        <v>7.6966814159292047</v>
      </c>
      <c r="K234" s="70">
        <f t="shared" si="30"/>
        <v>0.68360257713200145</v>
      </c>
      <c r="L234" s="72">
        <f t="shared" si="28"/>
        <v>7.6966814159292047</v>
      </c>
      <c r="M234" s="109">
        <f t="shared" si="32"/>
        <v>2.4480343617600195</v>
      </c>
      <c r="N234" s="123" t="str">
        <f>VLOOKUP(C234,'RAW DATA 2023'!E:BO,36,0)</f>
        <v>Normal</v>
      </c>
      <c r="O234" s="63">
        <f>VLOOKUP(C234,'RAW DATA 2023'!E:BO,2,0)</f>
        <v>1.1299999999999999</v>
      </c>
      <c r="P234" s="322">
        <f t="shared" si="31"/>
        <v>2.7662788287888218</v>
      </c>
    </row>
    <row r="235" spans="1:16">
      <c r="A235" s="63" t="str">
        <f>'RAW DATA 2023'!B228</f>
        <v>Roiphet1</v>
      </c>
      <c r="B235" s="63" t="str">
        <f>'RAW DATA 2023'!D228</f>
        <v>C2-G03-0065</v>
      </c>
      <c r="C235" s="63" t="str">
        <f t="shared" si="25"/>
        <v>Roiphet1C2-G03-0065</v>
      </c>
      <c r="D235" s="68">
        <f>VLOOKUP(C235,'RAW DATA 2023'!E:BP,63,0)</f>
        <v>4</v>
      </c>
      <c r="E235" s="68" t="str">
        <f t="shared" si="26"/>
        <v>Roiphet14</v>
      </c>
      <c r="F235" s="63" t="str">
        <f>VLOOKUP(C235,'RAW DATA 2023'!E:BO,5,0)</f>
        <v>Greenhouse</v>
      </c>
      <c r="G235" s="63">
        <f>VLOOKUP(C235,'RAW DATA 2023'!E:BO,13,0)</f>
        <v>185</v>
      </c>
      <c r="H235" s="63">
        <f t="shared" si="29"/>
        <v>180</v>
      </c>
      <c r="I235" s="63">
        <f t="shared" si="27"/>
        <v>10.247</v>
      </c>
      <c r="J235" s="106">
        <f>VLOOKUP(C235,'RAW DATA 2023'!E:BO,22,0)</f>
        <v>9.9499380530973465</v>
      </c>
      <c r="K235" s="70">
        <f t="shared" si="30"/>
        <v>0.97100986172512405</v>
      </c>
      <c r="L235" s="72">
        <f t="shared" si="28"/>
        <v>9.9499380530973465</v>
      </c>
      <c r="M235" s="109">
        <f t="shared" si="32"/>
        <v>6.2801314896683209</v>
      </c>
      <c r="N235" s="123" t="str">
        <f>VLOOKUP(C235,'RAW DATA 2023'!E:BO,36,0)</f>
        <v>Normal</v>
      </c>
      <c r="O235" s="63">
        <f>VLOOKUP(C235,'RAW DATA 2023'!E:BO,2,0)</f>
        <v>1.1299999999999999</v>
      </c>
      <c r="P235" s="322">
        <f t="shared" si="31"/>
        <v>7.0965485833252018</v>
      </c>
    </row>
    <row r="236" spans="1:16">
      <c r="A236" s="63" t="str">
        <f>'RAW DATA 2023'!B229</f>
        <v>Roiphet1</v>
      </c>
      <c r="B236" s="63" t="str">
        <f>'RAW DATA 2023'!D229</f>
        <v>C1-I01-0079</v>
      </c>
      <c r="C236" s="63" t="str">
        <f t="shared" si="25"/>
        <v>Roiphet1C1-I01-0079</v>
      </c>
      <c r="D236" s="68">
        <f>VLOOKUP(C236,'RAW DATA 2023'!E:BP,63,0)</f>
        <v>5</v>
      </c>
      <c r="E236" s="68" t="str">
        <f t="shared" si="26"/>
        <v>Roiphet15</v>
      </c>
      <c r="F236" s="63" t="str">
        <f>VLOOKUP(C236,'RAW DATA 2023'!E:BO,5,0)</f>
        <v>Greenhouse</v>
      </c>
      <c r="G236" s="63">
        <f>VLOOKUP(C236,'RAW DATA 2023'!E:BO,13,0)</f>
        <v>150</v>
      </c>
      <c r="H236" s="63">
        <f t="shared" si="29"/>
        <v>150</v>
      </c>
      <c r="I236" s="63">
        <f t="shared" si="27"/>
        <v>9.1999999999999993</v>
      </c>
      <c r="J236" s="106">
        <f>VLOOKUP(C236,'RAW DATA 2023'!E:BO,22,0)</f>
        <v>6.6060138888888895</v>
      </c>
      <c r="K236" s="70">
        <f t="shared" si="30"/>
        <v>0.71804498792270544</v>
      </c>
      <c r="L236" s="72">
        <f t="shared" si="28"/>
        <v>6.6060138888888895</v>
      </c>
      <c r="M236" s="109">
        <f t="shared" si="32"/>
        <v>2.9072665056360725</v>
      </c>
      <c r="N236" s="123" t="str">
        <f>VLOOKUP(C236,'RAW DATA 2023'!E:BO,36,0)</f>
        <v>Normal</v>
      </c>
      <c r="O236" s="63">
        <f>VLOOKUP(C236,'RAW DATA 2023'!E:BO,2,0)</f>
        <v>0.72</v>
      </c>
      <c r="P236" s="322">
        <f t="shared" si="31"/>
        <v>2.093231884057972</v>
      </c>
    </row>
    <row r="237" spans="1:16">
      <c r="A237" s="63" t="str">
        <f>'RAW DATA 2023'!B230</f>
        <v>Roiphet1</v>
      </c>
      <c r="B237" s="63" t="str">
        <f>'RAW DATA 2023'!D230</f>
        <v>C1-I01-0080</v>
      </c>
      <c r="C237" s="63" t="str">
        <f t="shared" si="25"/>
        <v>Roiphet1C1-I01-0080</v>
      </c>
      <c r="D237" s="68">
        <f>VLOOKUP(C237,'RAW DATA 2023'!E:BP,63,0)</f>
        <v>9</v>
      </c>
      <c r="E237" s="68" t="str">
        <f t="shared" si="26"/>
        <v>Roiphet19</v>
      </c>
      <c r="F237" s="63" t="str">
        <f>VLOOKUP(C237,'RAW DATA 2023'!E:BO,5,0)</f>
        <v>Greenhouse</v>
      </c>
      <c r="G237" s="63">
        <f>VLOOKUP(C237,'RAW DATA 2023'!E:BO,13,0)</f>
        <v>174</v>
      </c>
      <c r="H237" s="63">
        <f t="shared" si="29"/>
        <v>180</v>
      </c>
      <c r="I237" s="63">
        <f t="shared" si="27"/>
        <v>10.247</v>
      </c>
      <c r="J237" s="106">
        <f>VLOOKUP(C237,'RAW DATA 2023'!E:BO,22,0)</f>
        <v>4.8285</v>
      </c>
      <c r="K237" s="70">
        <f t="shared" si="30"/>
        <v>0.47121108617156243</v>
      </c>
      <c r="L237" s="72">
        <f t="shared" si="28"/>
        <v>4.8285</v>
      </c>
      <c r="M237" s="109">
        <f t="shared" si="32"/>
        <v>-0.38385218437916757</v>
      </c>
      <c r="N237" s="123" t="str">
        <f>VLOOKUP(C237,'RAW DATA 2023'!E:BO,36,0)</f>
        <v>อัตรารอดต่ำ</v>
      </c>
      <c r="O237" s="63">
        <f>VLOOKUP(C237,'RAW DATA 2023'!E:BO,2,0)</f>
        <v>0.72</v>
      </c>
      <c r="P237" s="322">
        <f t="shared" si="31"/>
        <v>-0.27637357275300062</v>
      </c>
    </row>
    <row r="238" spans="1:16">
      <c r="A238" s="63" t="str">
        <f>'RAW DATA 2023'!B231</f>
        <v>Roiphet1</v>
      </c>
      <c r="B238" s="63" t="str">
        <f>'RAW DATA 2023'!D231</f>
        <v>C1-G01-0073</v>
      </c>
      <c r="C238" s="63" t="str">
        <f t="shared" si="25"/>
        <v>Roiphet1C1-G01-0073</v>
      </c>
      <c r="D238" s="68">
        <f>VLOOKUP(C238,'RAW DATA 2023'!E:BP,63,0)</f>
        <v>9</v>
      </c>
      <c r="E238" s="68" t="str">
        <f t="shared" si="26"/>
        <v>Roiphet19</v>
      </c>
      <c r="F238" s="63" t="str">
        <f>VLOOKUP(C238,'RAW DATA 2023'!E:BO,5,0)</f>
        <v>Greenhouse</v>
      </c>
      <c r="G238" s="63">
        <f>VLOOKUP(C238,'RAW DATA 2023'!E:BO,13,0)</f>
        <v>173</v>
      </c>
      <c r="H238" s="63">
        <f t="shared" si="29"/>
        <v>180</v>
      </c>
      <c r="I238" s="63">
        <f t="shared" si="27"/>
        <v>10.247</v>
      </c>
      <c r="J238" s="106">
        <f>VLOOKUP(C238,'RAW DATA 2023'!E:BO,22,0)</f>
        <v>5.1203893805309741</v>
      </c>
      <c r="K238" s="70">
        <f t="shared" si="30"/>
        <v>0.49969643608187508</v>
      </c>
      <c r="L238" s="72">
        <f t="shared" si="28"/>
        <v>5.1203893805309741</v>
      </c>
      <c r="M238" s="109">
        <f t="shared" si="32"/>
        <v>-4.0475189083322149E-3</v>
      </c>
      <c r="N238" s="123" t="str">
        <f>VLOOKUP(C238,'RAW DATA 2023'!E:BO,36,0)</f>
        <v>อัตรารอดต่ำ</v>
      </c>
      <c r="O238" s="63">
        <f>VLOOKUP(C238,'RAW DATA 2023'!E:BO,2,0)</f>
        <v>1.1299999999999999</v>
      </c>
      <c r="P238" s="322">
        <f t="shared" si="31"/>
        <v>-4.5736963664154027E-3</v>
      </c>
    </row>
    <row r="239" spans="1:16">
      <c r="A239" s="63" t="str">
        <f>'RAW DATA 2023'!B232</f>
        <v>Roiphet1</v>
      </c>
      <c r="B239" s="63" t="str">
        <f>'RAW DATA 2023'!D232</f>
        <v>C1-G01-0072</v>
      </c>
      <c r="C239" s="63" t="str">
        <f t="shared" si="25"/>
        <v>Roiphet1C1-G01-0072</v>
      </c>
      <c r="D239" s="68">
        <f>VLOOKUP(C239,'RAW DATA 2023'!E:BP,63,0)</f>
        <v>5</v>
      </c>
      <c r="E239" s="68" t="str">
        <f t="shared" si="26"/>
        <v>Roiphet15</v>
      </c>
      <c r="F239" s="63" t="str">
        <f>VLOOKUP(C239,'RAW DATA 2023'!E:BO,5,0)</f>
        <v>Greenhouse</v>
      </c>
      <c r="G239" s="63">
        <f>VLOOKUP(C239,'RAW DATA 2023'!E:BO,13,0)</f>
        <v>155</v>
      </c>
      <c r="H239" s="63">
        <f t="shared" si="29"/>
        <v>150</v>
      </c>
      <c r="I239" s="63">
        <f t="shared" si="27"/>
        <v>9.1999999999999993</v>
      </c>
      <c r="J239" s="106">
        <f>VLOOKUP(C239,'RAW DATA 2023'!E:BO,22,0)</f>
        <v>6.3897610619469036</v>
      </c>
      <c r="K239" s="70">
        <f t="shared" si="30"/>
        <v>0.6945392458637939</v>
      </c>
      <c r="L239" s="72">
        <f t="shared" si="28"/>
        <v>6.3897610619469036</v>
      </c>
      <c r="M239" s="109">
        <f t="shared" si="32"/>
        <v>2.5938566115172521</v>
      </c>
      <c r="N239" s="123" t="str">
        <f>VLOOKUP(C239,'RAW DATA 2023'!E:BO,36,0)</f>
        <v>Normal</v>
      </c>
      <c r="O239" s="63">
        <f>VLOOKUP(C239,'RAW DATA 2023'!E:BO,2,0)</f>
        <v>1.1299999999999999</v>
      </c>
      <c r="P239" s="322">
        <f t="shared" si="31"/>
        <v>2.9310579710144946</v>
      </c>
    </row>
    <row r="240" spans="1:16">
      <c r="A240" s="63" t="str">
        <f>'RAW DATA 2023'!B233</f>
        <v>Roiphet1</v>
      </c>
      <c r="B240" s="63" t="str">
        <f>'RAW DATA 2023'!D233</f>
        <v>C6-G12-0059</v>
      </c>
      <c r="C240" s="63" t="str">
        <f t="shared" si="25"/>
        <v>Roiphet1C6-G12-0059</v>
      </c>
      <c r="D240" s="68">
        <f>VLOOKUP(C240,'RAW DATA 2023'!E:BP,63,0)</f>
        <v>3</v>
      </c>
      <c r="E240" s="68" t="str">
        <f t="shared" si="26"/>
        <v>Roiphet13</v>
      </c>
      <c r="F240" s="63" t="str">
        <f>VLOOKUP(C240,'RAW DATA 2023'!E:BO,5,0)</f>
        <v>Greenhouse</v>
      </c>
      <c r="G240" s="63">
        <f>VLOOKUP(C240,'RAW DATA 2023'!E:BO,13,0)</f>
        <v>166</v>
      </c>
      <c r="H240" s="63">
        <f t="shared" si="29"/>
        <v>180</v>
      </c>
      <c r="I240" s="63">
        <f t="shared" si="27"/>
        <v>10.247</v>
      </c>
      <c r="J240" s="106">
        <f>VLOOKUP(C240,'RAW DATA 2023'!E:BO,22,0)</f>
        <v>9.9567787610619476</v>
      </c>
      <c r="K240" s="70">
        <f t="shared" si="30"/>
        <v>0.97167744325772887</v>
      </c>
      <c r="L240" s="72">
        <f t="shared" si="28"/>
        <v>9.9567787610619476</v>
      </c>
      <c r="M240" s="109">
        <f t="shared" si="32"/>
        <v>6.2890325767697188</v>
      </c>
      <c r="N240" s="123" t="str">
        <f>VLOOKUP(C240,'RAW DATA 2023'!E:BO,36,0)</f>
        <v>Normal</v>
      </c>
      <c r="O240" s="63">
        <f>VLOOKUP(C240,'RAW DATA 2023'!E:BO,2,0)</f>
        <v>1.1299999999999999</v>
      </c>
      <c r="P240" s="322">
        <f t="shared" si="31"/>
        <v>7.1066068117497814</v>
      </c>
    </row>
    <row r="241" spans="1:16">
      <c r="A241" s="63" t="str">
        <f>'RAW DATA 2023'!B234</f>
        <v>Roiphet1</v>
      </c>
      <c r="B241" s="63" t="str">
        <f>'RAW DATA 2023'!D234</f>
        <v>C1-I02-0071</v>
      </c>
      <c r="C241" s="63" t="str">
        <f t="shared" si="25"/>
        <v>Roiphet1C1-I02-0071</v>
      </c>
      <c r="D241" s="68">
        <f>VLOOKUP(C241,'RAW DATA 2023'!E:BP,63,0)</f>
        <v>5</v>
      </c>
      <c r="E241" s="68" t="str">
        <f t="shared" si="26"/>
        <v>Roiphet15</v>
      </c>
      <c r="F241" s="63" t="str">
        <f>VLOOKUP(C241,'RAW DATA 2023'!E:BO,5,0)</f>
        <v>Greenhouse</v>
      </c>
      <c r="G241" s="63">
        <f>VLOOKUP(C241,'RAW DATA 2023'!E:BO,13,0)</f>
        <v>150</v>
      </c>
      <c r="H241" s="63">
        <f t="shared" si="29"/>
        <v>150</v>
      </c>
      <c r="I241" s="63">
        <f t="shared" si="27"/>
        <v>9.1999999999999993</v>
      </c>
      <c r="J241" s="106">
        <f>VLOOKUP(C241,'RAW DATA 2023'!E:BO,22,0)</f>
        <v>6.4782777777777776</v>
      </c>
      <c r="K241" s="70">
        <f t="shared" si="30"/>
        <v>0.70416062801932366</v>
      </c>
      <c r="L241" s="72">
        <f t="shared" si="28"/>
        <v>6.4782777777777776</v>
      </c>
      <c r="M241" s="109">
        <f t="shared" si="32"/>
        <v>2.7221417069243157</v>
      </c>
      <c r="N241" s="123" t="str">
        <f>VLOOKUP(C241,'RAW DATA 2023'!E:BO,36,0)</f>
        <v>Normal</v>
      </c>
      <c r="O241" s="63">
        <f>VLOOKUP(C241,'RAW DATA 2023'!E:BO,2,0)</f>
        <v>0.72</v>
      </c>
      <c r="P241" s="322">
        <f t="shared" si="31"/>
        <v>1.9599420289855072</v>
      </c>
    </row>
    <row r="242" spans="1:16">
      <c r="A242" s="63" t="str">
        <f>'RAW DATA 2023'!B235</f>
        <v>Roiphet1</v>
      </c>
      <c r="B242" s="63" t="str">
        <f>'RAW DATA 2023'!D235</f>
        <v>D3-G06-0084</v>
      </c>
      <c r="C242" s="63" t="str">
        <f t="shared" si="25"/>
        <v>Roiphet1D3-G06-0084</v>
      </c>
      <c r="D242" s="68">
        <f>VLOOKUP(C242,'RAW DATA 2023'!E:BP,63,0)</f>
        <v>10</v>
      </c>
      <c r="E242" s="68" t="str">
        <f t="shared" si="26"/>
        <v>Roiphet110</v>
      </c>
      <c r="F242" s="63" t="str">
        <f>VLOOKUP(C242,'RAW DATA 2023'!E:BO,5,0)</f>
        <v>Greenhouse</v>
      </c>
      <c r="G242" s="63">
        <f>VLOOKUP(C242,'RAW DATA 2023'!E:BO,13,0)</f>
        <v>203</v>
      </c>
      <c r="H242" s="63">
        <f t="shared" si="29"/>
        <v>200</v>
      </c>
      <c r="I242" s="63">
        <f t="shared" si="27"/>
        <v>11.259</v>
      </c>
      <c r="J242" s="106">
        <f>VLOOKUP(C242,'RAW DATA 2023'!E:BO,22,0)</f>
        <v>7.999973451327433</v>
      </c>
      <c r="K242" s="70">
        <f t="shared" si="30"/>
        <v>0.710540318973926</v>
      </c>
      <c r="L242" s="72">
        <f t="shared" si="28"/>
        <v>7.999973451327433</v>
      </c>
      <c r="M242" s="109">
        <f t="shared" si="32"/>
        <v>2.80720425298568</v>
      </c>
      <c r="N242" s="123" t="str">
        <f>VLOOKUP(C242,'RAW DATA 2023'!E:BO,36,0)</f>
        <v>Normal</v>
      </c>
      <c r="O242" s="63">
        <f>VLOOKUP(C242,'RAW DATA 2023'!E:BO,2,0)</f>
        <v>1.1299999999999999</v>
      </c>
      <c r="P242" s="322">
        <f t="shared" si="31"/>
        <v>3.1721408058738181</v>
      </c>
    </row>
    <row r="243" spans="1:16">
      <c r="A243" s="63" t="str">
        <f>'RAW DATA 2023'!B236</f>
        <v>Roiphet1</v>
      </c>
      <c r="B243" s="63" t="str">
        <f>'RAW DATA 2023'!D236</f>
        <v>C6-G11-0058</v>
      </c>
      <c r="C243" s="63" t="str">
        <f t="shared" si="25"/>
        <v>Roiphet1C6-G11-0058</v>
      </c>
      <c r="D243" s="68">
        <f>VLOOKUP(C243,'RAW DATA 2023'!E:BP,63,0)</f>
        <v>2</v>
      </c>
      <c r="E243" s="68" t="str">
        <f t="shared" si="26"/>
        <v>Roiphet12</v>
      </c>
      <c r="F243" s="63" t="str">
        <f>VLOOKUP(C243,'RAW DATA 2023'!E:BO,5,0)</f>
        <v>Greenhouse</v>
      </c>
      <c r="G243" s="63">
        <f>VLOOKUP(C243,'RAW DATA 2023'!E:BO,13,0)</f>
        <v>166</v>
      </c>
      <c r="H243" s="63">
        <f t="shared" si="29"/>
        <v>180</v>
      </c>
      <c r="I243" s="63">
        <f t="shared" si="27"/>
        <v>10.247</v>
      </c>
      <c r="J243" s="106">
        <f>VLOOKUP(C243,'RAW DATA 2023'!E:BO,22,0)</f>
        <v>6.1085486725663722</v>
      </c>
      <c r="K243" s="70">
        <f t="shared" si="30"/>
        <v>0.59613044525874614</v>
      </c>
      <c r="L243" s="72">
        <f t="shared" si="28"/>
        <v>6.1085486725663722</v>
      </c>
      <c r="M243" s="109">
        <f t="shared" si="32"/>
        <v>1.2817392701166153</v>
      </c>
      <c r="N243" s="123" t="str">
        <f>VLOOKUP(C243,'RAW DATA 2023'!E:BO,36,0)</f>
        <v>Normal</v>
      </c>
      <c r="O243" s="63">
        <f>VLOOKUP(C243,'RAW DATA 2023'!E:BO,2,0)</f>
        <v>1.1299999999999999</v>
      </c>
      <c r="P243" s="322">
        <f t="shared" si="31"/>
        <v>1.4483653752317751</v>
      </c>
    </row>
    <row r="244" spans="1:16">
      <c r="A244" s="63" t="str">
        <f>'RAW DATA 2023'!B237</f>
        <v>Roiphet1</v>
      </c>
      <c r="B244" s="63" t="str">
        <f>'RAW DATA 2023'!D237</f>
        <v>C2-G04-0063</v>
      </c>
      <c r="C244" s="63" t="str">
        <f t="shared" si="25"/>
        <v>Roiphet1C2-G04-0063</v>
      </c>
      <c r="D244" s="68">
        <f>VLOOKUP(C244,'RAW DATA 2023'!E:BP,63,0)</f>
        <v>4</v>
      </c>
      <c r="E244" s="68" t="str">
        <f t="shared" si="26"/>
        <v>Roiphet14</v>
      </c>
      <c r="F244" s="63" t="str">
        <f>VLOOKUP(C244,'RAW DATA 2023'!E:BO,5,0)</f>
        <v>Greenhouse</v>
      </c>
      <c r="G244" s="63">
        <f>VLOOKUP(C244,'RAW DATA 2023'!E:BO,13,0)</f>
        <v>185</v>
      </c>
      <c r="H244" s="63">
        <f t="shared" si="29"/>
        <v>180</v>
      </c>
      <c r="I244" s="63">
        <f t="shared" si="27"/>
        <v>10.247</v>
      </c>
      <c r="J244" s="106">
        <f>VLOOKUP(C244,'RAW DATA 2023'!E:BO,22,0)</f>
        <v>10.483707964601772</v>
      </c>
      <c r="K244" s="70">
        <f t="shared" si="30"/>
        <v>1.0231002210014415</v>
      </c>
      <c r="L244" s="72">
        <f t="shared" si="28"/>
        <v>10.483707964601772</v>
      </c>
      <c r="M244" s="109">
        <f t="shared" si="32"/>
        <v>6.9746696133525532</v>
      </c>
      <c r="N244" s="123" t="str">
        <f>VLOOKUP(C244,'RAW DATA 2023'!E:BO,36,0)</f>
        <v>Normal</v>
      </c>
      <c r="O244" s="63">
        <f>VLOOKUP(C244,'RAW DATA 2023'!E:BO,2,0)</f>
        <v>1.1299999999999999</v>
      </c>
      <c r="P244" s="322">
        <f t="shared" si="31"/>
        <v>7.8813766630883846</v>
      </c>
    </row>
    <row r="245" spans="1:16">
      <c r="A245" s="63" t="str">
        <f>'RAW DATA 2023'!B238</f>
        <v>Roiphet1</v>
      </c>
      <c r="B245" s="63" t="str">
        <f>'RAW DATA 2023'!D238</f>
        <v>C4-I07-0059</v>
      </c>
      <c r="C245" s="63" t="str">
        <f t="shared" si="25"/>
        <v>Roiphet1C4-I07-0059</v>
      </c>
      <c r="D245" s="68">
        <f>VLOOKUP(C245,'RAW DATA 2023'!E:BP,63,0)</f>
        <v>2</v>
      </c>
      <c r="E245" s="68" t="str">
        <f t="shared" si="26"/>
        <v>Roiphet12</v>
      </c>
      <c r="F245" s="63" t="str">
        <f>VLOOKUP(C245,'RAW DATA 2023'!E:BO,5,0)</f>
        <v>Greenhouse</v>
      </c>
      <c r="G245" s="63">
        <f>VLOOKUP(C245,'RAW DATA 2023'!E:BO,13,0)</f>
        <v>167</v>
      </c>
      <c r="H245" s="63">
        <f t="shared" si="29"/>
        <v>180</v>
      </c>
      <c r="I245" s="63">
        <f t="shared" si="27"/>
        <v>10.247</v>
      </c>
      <c r="J245" s="106">
        <f>VLOOKUP(C245,'RAW DATA 2023'!E:BO,22,0)</f>
        <v>5.8085833333333348</v>
      </c>
      <c r="K245" s="70">
        <f t="shared" si="30"/>
        <v>0.56685696626654969</v>
      </c>
      <c r="L245" s="72">
        <f t="shared" si="28"/>
        <v>5.8085833333333348</v>
      </c>
      <c r="M245" s="109">
        <f t="shared" si="32"/>
        <v>0.89142621688732926</v>
      </c>
      <c r="N245" s="123" t="str">
        <f>VLOOKUP(C245,'RAW DATA 2023'!E:BO,36,0)</f>
        <v>Normal</v>
      </c>
      <c r="O245" s="63">
        <f>VLOOKUP(C245,'RAW DATA 2023'!E:BO,2,0)</f>
        <v>0.72</v>
      </c>
      <c r="P245" s="322">
        <f t="shared" si="31"/>
        <v>0.64182687615887701</v>
      </c>
    </row>
    <row r="246" spans="1:16">
      <c r="A246" s="63" t="str">
        <f>'RAW DATA 2023'!B239</f>
        <v>Roiphet1</v>
      </c>
      <c r="B246" s="63" t="str">
        <f>'RAW DATA 2023'!D239</f>
        <v>C3-G05-0073</v>
      </c>
      <c r="C246" s="63" t="str">
        <f t="shared" si="25"/>
        <v>Roiphet1C3-G05-0073</v>
      </c>
      <c r="D246" s="68">
        <f>VLOOKUP(C246,'RAW DATA 2023'!E:BP,63,0)</f>
        <v>3</v>
      </c>
      <c r="E246" s="68" t="str">
        <f t="shared" si="26"/>
        <v>Roiphet13</v>
      </c>
      <c r="F246" s="63" t="str">
        <f>VLOOKUP(C246,'RAW DATA 2023'!E:BO,5,0)</f>
        <v>Greenhouse</v>
      </c>
      <c r="G246" s="63">
        <f>VLOOKUP(C246,'RAW DATA 2023'!E:BO,13,0)</f>
        <v>155</v>
      </c>
      <c r="H246" s="63">
        <f t="shared" si="29"/>
        <v>150</v>
      </c>
      <c r="I246" s="63">
        <f t="shared" si="27"/>
        <v>9.1999999999999993</v>
      </c>
      <c r="J246" s="106">
        <f>VLOOKUP(C246,'RAW DATA 2023'!E:BO,22,0)</f>
        <v>5.8711681415929213</v>
      </c>
      <c r="K246" s="70">
        <f t="shared" si="30"/>
        <v>0.63817045017314367</v>
      </c>
      <c r="L246" s="72">
        <f t="shared" si="28"/>
        <v>5.8711681415929213</v>
      </c>
      <c r="M246" s="109">
        <f t="shared" si="32"/>
        <v>1.8422726689752489</v>
      </c>
      <c r="N246" s="123" t="str">
        <f>VLOOKUP(C246,'RAW DATA 2023'!E:BO,36,0)</f>
        <v>ทยอยตาย</v>
      </c>
      <c r="O246" s="63">
        <f>VLOOKUP(C246,'RAW DATA 2023'!E:BO,2,0)</f>
        <v>1.1299999999999999</v>
      </c>
      <c r="P246" s="322">
        <f t="shared" si="31"/>
        <v>2.0817681159420309</v>
      </c>
    </row>
    <row r="247" spans="1:16">
      <c r="A247" s="63" t="str">
        <f>'RAW DATA 2023'!B240</f>
        <v>Roiphet1</v>
      </c>
      <c r="B247" s="63" t="str">
        <f>'RAW DATA 2023'!D240</f>
        <v>C3-I06-0062</v>
      </c>
      <c r="C247" s="63" t="str">
        <f t="shared" si="25"/>
        <v>Roiphet1C3-I06-0062</v>
      </c>
      <c r="D247" s="68">
        <f>VLOOKUP(C247,'RAW DATA 2023'!E:BP,63,0)</f>
        <v>4</v>
      </c>
      <c r="E247" s="68" t="str">
        <f t="shared" si="26"/>
        <v>Roiphet14</v>
      </c>
      <c r="F247" s="63" t="str">
        <f>VLOOKUP(C247,'RAW DATA 2023'!E:BO,5,0)</f>
        <v>Greenhouse</v>
      </c>
      <c r="G247" s="63">
        <f>VLOOKUP(C247,'RAW DATA 2023'!E:BO,13,0)</f>
        <v>150</v>
      </c>
      <c r="H247" s="63">
        <f t="shared" si="29"/>
        <v>150</v>
      </c>
      <c r="I247" s="63">
        <f t="shared" si="27"/>
        <v>9.1999999999999993</v>
      </c>
      <c r="J247" s="106">
        <f>VLOOKUP(C247,'RAW DATA 2023'!E:BO,22,0)</f>
        <v>5.7765555555555554</v>
      </c>
      <c r="K247" s="70">
        <f t="shared" si="30"/>
        <v>0.62788647342995174</v>
      </c>
      <c r="L247" s="72">
        <f t="shared" si="28"/>
        <v>5.7765555555555554</v>
      </c>
      <c r="M247" s="109">
        <f t="shared" si="32"/>
        <v>1.7051529790660234</v>
      </c>
      <c r="N247" s="123" t="str">
        <f>VLOOKUP(C247,'RAW DATA 2023'!E:BO,36,0)</f>
        <v>Normal</v>
      </c>
      <c r="O247" s="63">
        <f>VLOOKUP(C247,'RAW DATA 2023'!E:BO,2,0)</f>
        <v>0.72</v>
      </c>
      <c r="P247" s="322">
        <f t="shared" si="31"/>
        <v>1.2277101449275367</v>
      </c>
    </row>
    <row r="248" spans="1:16">
      <c r="A248" s="63" t="str">
        <f>'RAW DATA 2023'!B241</f>
        <v>Roiphet1</v>
      </c>
      <c r="B248" s="63" t="str">
        <f>'RAW DATA 2023'!D241</f>
        <v>C6-I12-0061</v>
      </c>
      <c r="C248" s="63" t="str">
        <f t="shared" si="25"/>
        <v>Roiphet1C6-I12-0061</v>
      </c>
      <c r="D248" s="68">
        <f>VLOOKUP(C248,'RAW DATA 2023'!E:BP,63,0)</f>
        <v>3</v>
      </c>
      <c r="E248" s="68" t="str">
        <f t="shared" si="26"/>
        <v>Roiphet13</v>
      </c>
      <c r="F248" s="63" t="str">
        <f>VLOOKUP(C248,'RAW DATA 2023'!E:BO,5,0)</f>
        <v>Greenhouse</v>
      </c>
      <c r="G248" s="63">
        <f>VLOOKUP(C248,'RAW DATA 2023'!E:BO,13,0)</f>
        <v>167</v>
      </c>
      <c r="H248" s="63">
        <f t="shared" si="29"/>
        <v>180</v>
      </c>
      <c r="I248" s="63">
        <f t="shared" si="27"/>
        <v>10.247</v>
      </c>
      <c r="J248" s="106">
        <f>VLOOKUP(C248,'RAW DATA 2023'!E:BO,22,0)</f>
        <v>6.5565277777777782</v>
      </c>
      <c r="K248" s="70">
        <f t="shared" si="30"/>
        <v>0.63984851934983689</v>
      </c>
      <c r="L248" s="72">
        <f t="shared" si="28"/>
        <v>6.5565277777777782</v>
      </c>
      <c r="M248" s="109">
        <f t="shared" si="32"/>
        <v>1.8646469246644919</v>
      </c>
      <c r="N248" s="123" t="str">
        <f>VLOOKUP(C248,'RAW DATA 2023'!E:BO,36,0)</f>
        <v>Normal</v>
      </c>
      <c r="O248" s="63">
        <f>VLOOKUP(C248,'RAW DATA 2023'!E:BO,2,0)</f>
        <v>0.72</v>
      </c>
      <c r="P248" s="322">
        <f t="shared" si="31"/>
        <v>1.3425457857584342</v>
      </c>
    </row>
    <row r="249" spans="1:16">
      <c r="A249" s="63" t="str">
        <f>'RAW DATA 2023'!B242</f>
        <v>Roiphet1</v>
      </c>
      <c r="B249" s="63" t="str">
        <f>'RAW DATA 2023'!D242</f>
        <v>C5-G09-0057</v>
      </c>
      <c r="C249" s="63" t="str">
        <f t="shared" si="25"/>
        <v>Roiphet1C5-G09-0057</v>
      </c>
      <c r="D249" s="68">
        <f>VLOOKUP(C249,'RAW DATA 2023'!E:BP,63,0)</f>
        <v>5</v>
      </c>
      <c r="E249" s="68" t="str">
        <f t="shared" si="26"/>
        <v>Roiphet15</v>
      </c>
      <c r="F249" s="63" t="str">
        <f>VLOOKUP(C249,'RAW DATA 2023'!E:BO,5,0)</f>
        <v>Greenhouse</v>
      </c>
      <c r="G249" s="63">
        <f>VLOOKUP(C249,'RAW DATA 2023'!E:BO,13,0)</f>
        <v>155</v>
      </c>
      <c r="H249" s="63">
        <f t="shared" si="29"/>
        <v>150</v>
      </c>
      <c r="I249" s="63">
        <f t="shared" si="27"/>
        <v>9.1999999999999993</v>
      </c>
      <c r="J249" s="106">
        <f>VLOOKUP(C249,'RAW DATA 2023'!E:BO,22,0)</f>
        <v>8.2240442477876119</v>
      </c>
      <c r="K249" s="70">
        <f t="shared" si="30"/>
        <v>0.89391785302039262</v>
      </c>
      <c r="L249" s="72">
        <f t="shared" si="28"/>
        <v>8.2240442477876119</v>
      </c>
      <c r="M249" s="109">
        <f t="shared" si="32"/>
        <v>5.2522380402719016</v>
      </c>
      <c r="N249" s="123" t="str">
        <f>VLOOKUP(C249,'RAW DATA 2023'!E:BO,36,0)</f>
        <v>Normal</v>
      </c>
      <c r="O249" s="63">
        <f>VLOOKUP(C249,'RAW DATA 2023'!E:BO,2,0)</f>
        <v>1.1299999999999999</v>
      </c>
      <c r="P249" s="322">
        <f t="shared" si="31"/>
        <v>5.9350289855072482</v>
      </c>
    </row>
    <row r="250" spans="1:16">
      <c r="A250" s="63" t="str">
        <f>'RAW DATA 2023'!B243</f>
        <v>Roiphet1</v>
      </c>
      <c r="B250" s="63" t="str">
        <f>'RAW DATA 2023'!D243</f>
        <v>C5-I09-0064</v>
      </c>
      <c r="C250" s="63" t="str">
        <f t="shared" si="25"/>
        <v>Roiphet1C5-I09-0064</v>
      </c>
      <c r="D250" s="68">
        <f>VLOOKUP(C250,'RAW DATA 2023'!E:BP,63,0)</f>
        <v>5</v>
      </c>
      <c r="E250" s="68" t="str">
        <f t="shared" si="26"/>
        <v>Roiphet15</v>
      </c>
      <c r="F250" s="63" t="str">
        <f>VLOOKUP(C250,'RAW DATA 2023'!E:BO,5,0)</f>
        <v>Greenhouse</v>
      </c>
      <c r="G250" s="63">
        <f>VLOOKUP(C250,'RAW DATA 2023'!E:BO,13,0)</f>
        <v>150</v>
      </c>
      <c r="H250" s="63">
        <f t="shared" si="29"/>
        <v>150</v>
      </c>
      <c r="I250" s="63">
        <f t="shared" si="27"/>
        <v>9.1999999999999993</v>
      </c>
      <c r="J250" s="106">
        <f>VLOOKUP(C250,'RAW DATA 2023'!E:BO,22,0)</f>
        <v>6.7585555555555556</v>
      </c>
      <c r="K250" s="70">
        <f t="shared" si="30"/>
        <v>0.73462560386473441</v>
      </c>
      <c r="L250" s="72">
        <f t="shared" si="28"/>
        <v>6.7585555555555556</v>
      </c>
      <c r="M250" s="109">
        <f t="shared" si="32"/>
        <v>3.1283413848631256</v>
      </c>
      <c r="N250" s="123" t="str">
        <f>VLOOKUP(C250,'RAW DATA 2023'!E:BO,36,0)</f>
        <v>Normal</v>
      </c>
      <c r="O250" s="63">
        <f>VLOOKUP(C250,'RAW DATA 2023'!E:BO,2,0)</f>
        <v>0.72</v>
      </c>
      <c r="P250" s="322">
        <f t="shared" si="31"/>
        <v>2.2524057971014502</v>
      </c>
    </row>
    <row r="251" spans="1:16">
      <c r="A251" s="63" t="str">
        <f>'RAW DATA 2023'!B244</f>
        <v>Roiphet1</v>
      </c>
      <c r="B251" s="63" t="str">
        <f>'RAW DATA 2023'!D244</f>
        <v>C1-I02-0072</v>
      </c>
      <c r="C251" s="63" t="str">
        <f t="shared" si="25"/>
        <v>Roiphet1C1-I02-0072</v>
      </c>
      <c r="D251" s="68">
        <f>VLOOKUP(C251,'RAW DATA 2023'!E:BP,63,0)</f>
        <v>9</v>
      </c>
      <c r="E251" s="68" t="str">
        <f t="shared" si="26"/>
        <v>Roiphet19</v>
      </c>
      <c r="F251" s="63" t="str">
        <f>VLOOKUP(C251,'RAW DATA 2023'!E:BO,5,0)</f>
        <v>Greenhouse</v>
      </c>
      <c r="G251" s="63">
        <f>VLOOKUP(C251,'RAW DATA 2023'!E:BO,13,0)</f>
        <v>139</v>
      </c>
      <c r="H251" s="63">
        <f t="shared" si="29"/>
        <v>150</v>
      </c>
      <c r="I251" s="63">
        <f t="shared" si="27"/>
        <v>9.1999999999999993</v>
      </c>
      <c r="J251" s="106">
        <f>VLOOKUP(C251,'RAW DATA 2023'!E:BO,22,0)</f>
        <v>4.8971388888888887</v>
      </c>
      <c r="K251" s="70">
        <f t="shared" si="30"/>
        <v>0.53229770531400966</v>
      </c>
      <c r="L251" s="72">
        <f t="shared" si="28"/>
        <v>4.8971388888888887</v>
      </c>
      <c r="M251" s="109">
        <f t="shared" si="32"/>
        <v>0.43063607085346217</v>
      </c>
      <c r="N251" s="123" t="str">
        <f>VLOOKUP(C251,'RAW DATA 2023'!E:BO,36,0)</f>
        <v>อัตรารอดต่ำ</v>
      </c>
      <c r="O251" s="63">
        <f>VLOOKUP(C251,'RAW DATA 2023'!E:BO,2,0)</f>
        <v>0.72</v>
      </c>
      <c r="P251" s="322">
        <f t="shared" si="31"/>
        <v>0.31005797101449273</v>
      </c>
    </row>
    <row r="252" spans="1:16">
      <c r="A252" s="63" t="str">
        <f>'RAW DATA 2023'!B245</f>
        <v>Roiphet1</v>
      </c>
      <c r="B252" s="63" t="str">
        <f>'RAW DATA 2023'!D245</f>
        <v>C5-G10-0064</v>
      </c>
      <c r="C252" s="63" t="str">
        <f t="shared" si="25"/>
        <v>Roiphet1C5-G10-0064</v>
      </c>
      <c r="D252" s="68">
        <f>VLOOKUP(C252,'RAW DATA 2023'!E:BP,63,0)</f>
        <v>5</v>
      </c>
      <c r="E252" s="68" t="str">
        <f t="shared" si="26"/>
        <v>Roiphet15</v>
      </c>
      <c r="F252" s="63" t="str">
        <f>VLOOKUP(C252,'RAW DATA 2023'!E:BO,5,0)</f>
        <v>Greenhouse</v>
      </c>
      <c r="G252" s="63">
        <f>VLOOKUP(C252,'RAW DATA 2023'!E:BO,13,0)</f>
        <v>155</v>
      </c>
      <c r="H252" s="63">
        <f t="shared" si="29"/>
        <v>150</v>
      </c>
      <c r="I252" s="63">
        <f t="shared" si="27"/>
        <v>9.1999999999999993</v>
      </c>
      <c r="J252" s="106">
        <f>VLOOKUP(C252,'RAW DATA 2023'!E:BO,22,0)</f>
        <v>7.3095309734513281</v>
      </c>
      <c r="K252" s="70">
        <f t="shared" si="30"/>
        <v>0.79451423624470963</v>
      </c>
      <c r="L252" s="72">
        <f t="shared" si="28"/>
        <v>7.3095309734513281</v>
      </c>
      <c r="M252" s="109">
        <f t="shared" si="32"/>
        <v>3.926856483262795</v>
      </c>
      <c r="N252" s="123" t="str">
        <f>VLOOKUP(C252,'RAW DATA 2023'!E:BO,36,0)</f>
        <v>Normal</v>
      </c>
      <c r="O252" s="63">
        <f>VLOOKUP(C252,'RAW DATA 2023'!E:BO,2,0)</f>
        <v>1.1299999999999999</v>
      </c>
      <c r="P252" s="322">
        <f t="shared" si="31"/>
        <v>4.4373478260869579</v>
      </c>
    </row>
    <row r="253" spans="1:16">
      <c r="A253" s="63" t="str">
        <f>'RAW DATA 2023'!B246</f>
        <v>Roiphet1</v>
      </c>
      <c r="B253" s="63" t="str">
        <f>'RAW DATA 2023'!D246</f>
        <v>C3-G05-0075</v>
      </c>
      <c r="C253" s="63" t="str">
        <f t="shared" si="25"/>
        <v>Roiphet1C3-G05-0075</v>
      </c>
      <c r="D253" s="68">
        <f>VLOOKUP(C253,'RAW DATA 2023'!E:BP,63,0)</f>
        <v>9</v>
      </c>
      <c r="E253" s="68" t="str">
        <f t="shared" si="26"/>
        <v>Roiphet19</v>
      </c>
      <c r="F253" s="63" t="str">
        <f>VLOOKUP(C253,'RAW DATA 2023'!E:BO,5,0)</f>
        <v>Greenhouse</v>
      </c>
      <c r="G253" s="63">
        <f>VLOOKUP(C253,'RAW DATA 2023'!E:BO,13,0)</f>
        <v>203</v>
      </c>
      <c r="H253" s="63">
        <f t="shared" si="29"/>
        <v>200</v>
      </c>
      <c r="I253" s="63">
        <f t="shared" si="27"/>
        <v>11.259</v>
      </c>
      <c r="J253" s="106">
        <f>VLOOKUP(C253,'RAW DATA 2023'!E:BO,22,0)</f>
        <v>3.9879026548672574</v>
      </c>
      <c r="K253" s="70">
        <f t="shared" si="30"/>
        <v>0.35419687848541231</v>
      </c>
      <c r="L253" s="72">
        <f t="shared" si="28"/>
        <v>3.9879026548672574</v>
      </c>
      <c r="M253" s="109">
        <f t="shared" si="32"/>
        <v>-1.9440416201945026</v>
      </c>
      <c r="N253" s="123" t="str">
        <f>VLOOKUP(C253,'RAW DATA 2023'!E:BO,36,0)</f>
        <v>EHP</v>
      </c>
      <c r="O253" s="63">
        <f>VLOOKUP(C253,'RAW DATA 2023'!E:BO,2,0)</f>
        <v>1.1299999999999999</v>
      </c>
      <c r="P253" s="322">
        <f t="shared" si="31"/>
        <v>-2.1967670308197875</v>
      </c>
    </row>
    <row r="254" spans="1:16">
      <c r="A254" s="63" t="str">
        <f>'RAW DATA 2023'!B247</f>
        <v>Roiphet1</v>
      </c>
      <c r="B254" s="63" t="str">
        <f>'RAW DATA 2023'!D247</f>
        <v>C6-I11-0064</v>
      </c>
      <c r="C254" s="63" t="str">
        <f t="shared" si="25"/>
        <v>Roiphet1C6-I11-0064</v>
      </c>
      <c r="D254" s="68">
        <f>VLOOKUP(C254,'RAW DATA 2023'!E:BP,63,0)</f>
        <v>2</v>
      </c>
      <c r="E254" s="68" t="str">
        <f t="shared" si="26"/>
        <v>Roiphet12</v>
      </c>
      <c r="F254" s="63" t="str">
        <f>VLOOKUP(C254,'RAW DATA 2023'!E:BO,5,0)</f>
        <v>Greenhouse</v>
      </c>
      <c r="G254" s="63">
        <f>VLOOKUP(C254,'RAW DATA 2023'!E:BO,13,0)</f>
        <v>167</v>
      </c>
      <c r="H254" s="63">
        <f t="shared" si="29"/>
        <v>180</v>
      </c>
      <c r="I254" s="63">
        <f t="shared" si="27"/>
        <v>10.247</v>
      </c>
      <c r="J254" s="106">
        <f>VLOOKUP(C254,'RAW DATA 2023'!E:BO,22,0)</f>
        <v>6.3292916666666672</v>
      </c>
      <c r="K254" s="70">
        <f t="shared" si="30"/>
        <v>0.61767265215835532</v>
      </c>
      <c r="L254" s="72">
        <f t="shared" si="28"/>
        <v>6.3292916666666672</v>
      </c>
      <c r="M254" s="109">
        <f t="shared" si="32"/>
        <v>1.5689686954447377</v>
      </c>
      <c r="N254" s="123" t="str">
        <f>VLOOKUP(C254,'RAW DATA 2023'!E:BO,36,0)</f>
        <v>Normal</v>
      </c>
      <c r="O254" s="63">
        <f>VLOOKUP(C254,'RAW DATA 2023'!E:BO,2,0)</f>
        <v>0.72</v>
      </c>
      <c r="P254" s="322">
        <f t="shared" si="31"/>
        <v>1.129657460720211</v>
      </c>
    </row>
    <row r="255" spans="1:16">
      <c r="A255" s="63" t="str">
        <f>'RAW DATA 2023'!B248</f>
        <v>Roiphet1</v>
      </c>
      <c r="B255" s="63" t="str">
        <f>'RAW DATA 2023'!D248</f>
        <v>C3-I05-0065</v>
      </c>
      <c r="C255" s="63" t="str">
        <f t="shared" si="25"/>
        <v>Roiphet1C3-I05-0065</v>
      </c>
      <c r="D255" s="68">
        <f>VLOOKUP(C255,'RAW DATA 2023'!E:BP,63,0)</f>
        <v>4</v>
      </c>
      <c r="E255" s="68" t="str">
        <f t="shared" si="26"/>
        <v>Roiphet14</v>
      </c>
      <c r="F255" s="63" t="str">
        <f>VLOOKUP(C255,'RAW DATA 2023'!E:BO,5,0)</f>
        <v>Greenhouse</v>
      </c>
      <c r="G255" s="63">
        <f>VLOOKUP(C255,'RAW DATA 2023'!E:BO,13,0)</f>
        <v>150</v>
      </c>
      <c r="H255" s="63">
        <f t="shared" si="29"/>
        <v>150</v>
      </c>
      <c r="I255" s="63">
        <f t="shared" si="27"/>
        <v>9.1999999999999993</v>
      </c>
      <c r="J255" s="106">
        <f>VLOOKUP(C255,'RAW DATA 2023'!E:BO,22,0)</f>
        <v>5.1777500000000005</v>
      </c>
      <c r="K255" s="70">
        <f t="shared" si="30"/>
        <v>0.5627989130434784</v>
      </c>
      <c r="L255" s="72">
        <f t="shared" si="28"/>
        <v>5.1777500000000005</v>
      </c>
      <c r="M255" s="109">
        <f t="shared" si="32"/>
        <v>0.83731884057971206</v>
      </c>
      <c r="N255" s="123" t="str">
        <f>VLOOKUP(C255,'RAW DATA 2023'!E:BO,36,0)</f>
        <v>Normal</v>
      </c>
      <c r="O255" s="63">
        <f>VLOOKUP(C255,'RAW DATA 2023'!E:BO,2,0)</f>
        <v>0.72</v>
      </c>
      <c r="P255" s="322">
        <f t="shared" si="31"/>
        <v>0.60286956521739266</v>
      </c>
    </row>
    <row r="256" spans="1:16">
      <c r="A256" s="63" t="str">
        <f>'RAW DATA 2023'!B249</f>
        <v>Roiphet1</v>
      </c>
      <c r="B256" s="63" t="str">
        <f>'RAW DATA 2023'!D249</f>
        <v>C3-G06-0079</v>
      </c>
      <c r="C256" s="63" t="str">
        <f t="shared" si="25"/>
        <v>Roiphet1C3-G06-0079</v>
      </c>
      <c r="D256" s="68">
        <f>VLOOKUP(C256,'RAW DATA 2023'!E:BP,63,0)</f>
        <v>9</v>
      </c>
      <c r="E256" s="68" t="str">
        <f t="shared" si="26"/>
        <v>Roiphet19</v>
      </c>
      <c r="F256" s="63" t="str">
        <f>VLOOKUP(C256,'RAW DATA 2023'!E:BO,5,0)</f>
        <v>Greenhouse</v>
      </c>
      <c r="G256" s="63">
        <f>VLOOKUP(C256,'RAW DATA 2023'!E:BO,13,0)</f>
        <v>203</v>
      </c>
      <c r="H256" s="63">
        <f t="shared" si="29"/>
        <v>200</v>
      </c>
      <c r="I256" s="63">
        <f t="shared" si="27"/>
        <v>11.259</v>
      </c>
      <c r="J256" s="106">
        <f>VLOOKUP(C256,'RAW DATA 2023'!E:BO,22,0)</f>
        <v>3.6308141592920351</v>
      </c>
      <c r="K256" s="70">
        <f t="shared" si="30"/>
        <v>0.322481051540282</v>
      </c>
      <c r="L256" s="72">
        <f t="shared" si="28"/>
        <v>3.6308141592920351</v>
      </c>
      <c r="M256" s="109">
        <f t="shared" si="32"/>
        <v>-2.3669193127962402</v>
      </c>
      <c r="N256" s="123" t="str">
        <f>VLOOKUP(C256,'RAW DATA 2023'!E:BO,36,0)</f>
        <v>EHP</v>
      </c>
      <c r="O256" s="63">
        <f>VLOOKUP(C256,'RAW DATA 2023'!E:BO,2,0)</f>
        <v>1.1299999999999999</v>
      </c>
      <c r="P256" s="322">
        <f t="shared" si="31"/>
        <v>-2.6746188234597512</v>
      </c>
    </row>
    <row r="257" spans="1:16">
      <c r="A257" s="63" t="str">
        <f>'RAW DATA 2023'!B250</f>
        <v>Roiphet1</v>
      </c>
      <c r="B257" s="63" t="str">
        <f>'RAW DATA 2023'!D250</f>
        <v>C4-G08-0062</v>
      </c>
      <c r="C257" s="63" t="str">
        <f t="shared" si="25"/>
        <v>Roiphet1C4-G08-0062</v>
      </c>
      <c r="D257" s="68">
        <f>VLOOKUP(C257,'RAW DATA 2023'!E:BP,63,0)</f>
        <v>12</v>
      </c>
      <c r="E257" s="68" t="str">
        <f t="shared" si="26"/>
        <v>Roiphet112</v>
      </c>
      <c r="F257" s="63" t="str">
        <f>VLOOKUP(C257,'RAW DATA 2023'!E:BO,5,0)</f>
        <v>Greenhouse</v>
      </c>
      <c r="G257" s="63">
        <f>VLOOKUP(C257,'RAW DATA 2023'!E:BO,13,0)</f>
        <v>203</v>
      </c>
      <c r="H257" s="63">
        <f t="shared" si="29"/>
        <v>200</v>
      </c>
      <c r="I257" s="63">
        <f t="shared" si="27"/>
        <v>11.259</v>
      </c>
      <c r="J257" s="106">
        <f>VLOOKUP(C257,'RAW DATA 2023'!E:BO,22,0)</f>
        <v>7.3286460176991168</v>
      </c>
      <c r="K257" s="70">
        <f t="shared" si="30"/>
        <v>0.65091446999725699</v>
      </c>
      <c r="L257" s="72">
        <f t="shared" si="28"/>
        <v>7.3286460176991168</v>
      </c>
      <c r="M257" s="109">
        <f t="shared" si="32"/>
        <v>2.0121929332967601</v>
      </c>
      <c r="N257" s="123" t="str">
        <f>VLOOKUP(C257,'RAW DATA 2023'!E:BO,36,0)</f>
        <v>Normal</v>
      </c>
      <c r="O257" s="63">
        <f>VLOOKUP(C257,'RAW DATA 2023'!E:BO,2,0)</f>
        <v>1.1299999999999999</v>
      </c>
      <c r="P257" s="322">
        <f t="shared" si="31"/>
        <v>2.2737780146253388</v>
      </c>
    </row>
    <row r="258" spans="1:16">
      <c r="A258" s="63" t="str">
        <f>'RAW DATA 2023'!B251</f>
        <v>Roiphet1</v>
      </c>
      <c r="B258" s="63" t="str">
        <f>'RAW DATA 2023'!D251</f>
        <v>C4-I07-0061</v>
      </c>
      <c r="C258" s="63" t="str">
        <f t="shared" si="25"/>
        <v>Roiphet1C4-I07-0061</v>
      </c>
      <c r="D258" s="68">
        <f>VLOOKUP(C258,'RAW DATA 2023'!E:BP,63,0)</f>
        <v>12</v>
      </c>
      <c r="E258" s="68" t="str">
        <f t="shared" si="26"/>
        <v>Roiphet112</v>
      </c>
      <c r="F258" s="63" t="str">
        <f>VLOOKUP(C258,'RAW DATA 2023'!E:BO,5,0)</f>
        <v>Greenhouse</v>
      </c>
      <c r="G258" s="63">
        <f>VLOOKUP(C258,'RAW DATA 2023'!E:BO,13,0)</f>
        <v>167</v>
      </c>
      <c r="H258" s="63">
        <f t="shared" si="29"/>
        <v>180</v>
      </c>
      <c r="I258" s="63">
        <f t="shared" si="27"/>
        <v>10.247</v>
      </c>
      <c r="J258" s="106">
        <f>VLOOKUP(C258,'RAW DATA 2023'!E:BO,22,0)</f>
        <v>6.3006388888888889</v>
      </c>
      <c r="K258" s="70">
        <f t="shared" si="30"/>
        <v>0.61487644080110171</v>
      </c>
      <c r="L258" s="72">
        <f t="shared" si="28"/>
        <v>6.3006388888888889</v>
      </c>
      <c r="M258" s="109">
        <f t="shared" si="32"/>
        <v>1.5316858773480229</v>
      </c>
      <c r="N258" s="123" t="str">
        <f>VLOOKUP(C258,'RAW DATA 2023'!E:BO,36,0)</f>
        <v>Normal</v>
      </c>
      <c r="O258" s="63">
        <f>VLOOKUP(C258,'RAW DATA 2023'!E:BO,2,0)</f>
        <v>0.72</v>
      </c>
      <c r="P258" s="322">
        <f t="shared" si="31"/>
        <v>1.1028138316905765</v>
      </c>
    </row>
    <row r="259" spans="1:16">
      <c r="A259" s="63" t="str">
        <f>'RAW DATA 2023'!B252</f>
        <v>Roiphet1</v>
      </c>
      <c r="B259" s="63" t="str">
        <f>'RAW DATA 2023'!D252</f>
        <v>C3-G06-0077</v>
      </c>
      <c r="C259" s="63" t="str">
        <f t="shared" si="25"/>
        <v>Roiphet1C3-G06-0077</v>
      </c>
      <c r="D259" s="68">
        <f>VLOOKUP(C259,'RAW DATA 2023'!E:BP,63,0)</f>
        <v>3</v>
      </c>
      <c r="E259" s="68" t="str">
        <f t="shared" si="26"/>
        <v>Roiphet13</v>
      </c>
      <c r="F259" s="63" t="str">
        <f>VLOOKUP(C259,'RAW DATA 2023'!E:BO,5,0)</f>
        <v>Greenhouse</v>
      </c>
      <c r="G259" s="63">
        <f>VLOOKUP(C259,'RAW DATA 2023'!E:BO,13,0)</f>
        <v>155</v>
      </c>
      <c r="H259" s="63">
        <f t="shared" si="29"/>
        <v>150</v>
      </c>
      <c r="I259" s="63">
        <f t="shared" si="27"/>
        <v>9.1999999999999993</v>
      </c>
      <c r="J259" s="106">
        <f>VLOOKUP(C259,'RAW DATA 2023'!E:BO,22,0)</f>
        <v>6.9510530973451328</v>
      </c>
      <c r="K259" s="70">
        <f t="shared" si="30"/>
        <v>0.75554924971142756</v>
      </c>
      <c r="L259" s="72">
        <f t="shared" si="28"/>
        <v>6.9510530973451328</v>
      </c>
      <c r="M259" s="109">
        <f t="shared" si="32"/>
        <v>3.4073233294857008</v>
      </c>
      <c r="N259" s="123" t="str">
        <f>VLOOKUP(C259,'RAW DATA 2023'!E:BO,36,0)</f>
        <v>ทยอยตาย</v>
      </c>
      <c r="O259" s="63">
        <f>VLOOKUP(C259,'RAW DATA 2023'!E:BO,2,0)</f>
        <v>1.1299999999999999</v>
      </c>
      <c r="P259" s="322">
        <f t="shared" si="31"/>
        <v>3.8502753623188415</v>
      </c>
    </row>
    <row r="260" spans="1:16">
      <c r="A260" s="63" t="str">
        <f>'RAW DATA 2023'!B253</f>
        <v>Roiphet1</v>
      </c>
      <c r="B260" s="63" t="str">
        <f>'RAW DATA 2023'!D253</f>
        <v>C1-G02-0074</v>
      </c>
      <c r="C260" s="63" t="str">
        <f t="shared" si="25"/>
        <v>Roiphet1C1-G02-0074</v>
      </c>
      <c r="D260" s="68">
        <f>VLOOKUP(C260,'RAW DATA 2023'!E:BP,63,0)</f>
        <v>9</v>
      </c>
      <c r="E260" s="68" t="str">
        <f t="shared" si="26"/>
        <v>Roiphet19</v>
      </c>
      <c r="F260" s="63" t="str">
        <f>VLOOKUP(C260,'RAW DATA 2023'!E:BO,5,0)</f>
        <v>Greenhouse</v>
      </c>
      <c r="G260" s="63">
        <f>VLOOKUP(C260,'RAW DATA 2023'!E:BO,13,0)</f>
        <v>177</v>
      </c>
      <c r="H260" s="63">
        <f t="shared" si="29"/>
        <v>180</v>
      </c>
      <c r="I260" s="63">
        <f t="shared" si="27"/>
        <v>10.247</v>
      </c>
      <c r="J260" s="106">
        <f>VLOOKUP(C260,'RAW DATA 2023'!E:BO,22,0)</f>
        <v>5.8821415929203544</v>
      </c>
      <c r="K260" s="70">
        <f t="shared" si="30"/>
        <v>0.5740354828652634</v>
      </c>
      <c r="L260" s="72">
        <f t="shared" si="28"/>
        <v>5.8821415929203544</v>
      </c>
      <c r="M260" s="109">
        <f t="shared" si="32"/>
        <v>0.9871397715368454</v>
      </c>
      <c r="N260" s="123" t="str">
        <f>VLOOKUP(C260,'RAW DATA 2023'!E:BO,36,0)</f>
        <v>อัตรารอดต่ำ</v>
      </c>
      <c r="O260" s="63">
        <f>VLOOKUP(C260,'RAW DATA 2023'!E:BO,2,0)</f>
        <v>1.1299999999999999</v>
      </c>
      <c r="P260" s="322">
        <f t="shared" si="31"/>
        <v>1.1154679418366351</v>
      </c>
    </row>
    <row r="261" spans="1:16">
      <c r="A261" s="63" t="str">
        <f>'RAW DATA 2023'!B254</f>
        <v>Roiphet1</v>
      </c>
      <c r="B261" s="63" t="str">
        <f>'RAW DATA 2023'!D254</f>
        <v>C5-I10-0065</v>
      </c>
      <c r="C261" s="63" t="str">
        <f t="shared" si="25"/>
        <v>Roiphet1C5-I10-0065</v>
      </c>
      <c r="D261" s="68">
        <f>VLOOKUP(C261,'RAW DATA 2023'!E:BP,63,0)</f>
        <v>5</v>
      </c>
      <c r="E261" s="68" t="str">
        <f t="shared" si="26"/>
        <v>Roiphet15</v>
      </c>
      <c r="F261" s="63" t="str">
        <f>VLOOKUP(C261,'RAW DATA 2023'!E:BO,5,0)</f>
        <v>Greenhouse</v>
      </c>
      <c r="G261" s="63">
        <f>VLOOKUP(C261,'RAW DATA 2023'!E:BO,13,0)</f>
        <v>150</v>
      </c>
      <c r="H261" s="63">
        <f t="shared" si="29"/>
        <v>150</v>
      </c>
      <c r="I261" s="63">
        <f t="shared" si="27"/>
        <v>9.1999999999999993</v>
      </c>
      <c r="J261" s="106">
        <f>VLOOKUP(C261,'RAW DATA 2023'!E:BO,22,0)</f>
        <v>6.3479722222222232</v>
      </c>
      <c r="K261" s="70">
        <f t="shared" si="30"/>
        <v>0.68999698067632864</v>
      </c>
      <c r="L261" s="72">
        <f t="shared" si="28"/>
        <v>6.3479722222222232</v>
      </c>
      <c r="M261" s="109">
        <f t="shared" si="32"/>
        <v>2.5332930756843819</v>
      </c>
      <c r="N261" s="123" t="str">
        <f>VLOOKUP(C261,'RAW DATA 2023'!E:BO,36,0)</f>
        <v>Normal</v>
      </c>
      <c r="O261" s="63">
        <f>VLOOKUP(C261,'RAW DATA 2023'!E:BO,2,0)</f>
        <v>0.72</v>
      </c>
      <c r="P261" s="322">
        <f t="shared" si="31"/>
        <v>1.8239710144927548</v>
      </c>
    </row>
    <row r="262" spans="1:16">
      <c r="A262" s="63" t="str">
        <f>'RAW DATA 2023'!B255</f>
        <v>Roiphet1</v>
      </c>
      <c r="B262" s="63" t="str">
        <f>'RAW DATA 2023'!D255</f>
        <v>C4-I08-0063</v>
      </c>
      <c r="C262" s="63" t="str">
        <f t="shared" si="25"/>
        <v>Roiphet1C4-I08-0063</v>
      </c>
      <c r="D262" s="68">
        <f>VLOOKUP(C262,'RAW DATA 2023'!E:BP,63,0)</f>
        <v>2</v>
      </c>
      <c r="E262" s="68" t="str">
        <f t="shared" si="26"/>
        <v>Roiphet12</v>
      </c>
      <c r="F262" s="63" t="str">
        <f>VLOOKUP(C262,'RAW DATA 2023'!E:BO,5,0)</f>
        <v>Greenhouse</v>
      </c>
      <c r="G262" s="63">
        <f>VLOOKUP(C262,'RAW DATA 2023'!E:BO,13,0)</f>
        <v>167</v>
      </c>
      <c r="H262" s="63">
        <f t="shared" si="29"/>
        <v>180</v>
      </c>
      <c r="I262" s="63">
        <f t="shared" si="27"/>
        <v>10.247</v>
      </c>
      <c r="J262" s="106">
        <f>VLOOKUP(C262,'RAW DATA 2023'!E:BO,22,0)</f>
        <v>6.6730416666666672</v>
      </c>
      <c r="K262" s="70">
        <f t="shared" si="30"/>
        <v>0.6512190559838652</v>
      </c>
      <c r="L262" s="72">
        <f t="shared" si="28"/>
        <v>6.6730416666666672</v>
      </c>
      <c r="M262" s="109">
        <f t="shared" si="32"/>
        <v>2.0162540797848694</v>
      </c>
      <c r="N262" s="123" t="str">
        <f>VLOOKUP(C262,'RAW DATA 2023'!E:BO,36,0)</f>
        <v>Normal</v>
      </c>
      <c r="O262" s="63">
        <f>VLOOKUP(C262,'RAW DATA 2023'!E:BO,2,0)</f>
        <v>0.72</v>
      </c>
      <c r="P262" s="322">
        <f t="shared" si="31"/>
        <v>1.4517029374451058</v>
      </c>
    </row>
    <row r="263" spans="1:16">
      <c r="A263" s="63" t="str">
        <f>'RAW DATA 2023'!B256</f>
        <v>Roiphet1</v>
      </c>
      <c r="B263" s="63" t="str">
        <f>'RAW DATA 2023'!D256</f>
        <v>C4-G07-0058</v>
      </c>
      <c r="C263" s="63" t="str">
        <f t="shared" si="25"/>
        <v>Roiphet1C4-G07-0058</v>
      </c>
      <c r="D263" s="68">
        <f>VLOOKUP(C263,'RAW DATA 2023'!E:BP,63,0)</f>
        <v>11</v>
      </c>
      <c r="E263" s="68" t="str">
        <f t="shared" si="26"/>
        <v>Roiphet111</v>
      </c>
      <c r="F263" s="63" t="str">
        <f>VLOOKUP(C263,'RAW DATA 2023'!E:BO,5,0)</f>
        <v>Greenhouse</v>
      </c>
      <c r="G263" s="63">
        <f>VLOOKUP(C263,'RAW DATA 2023'!E:BO,13,0)</f>
        <v>203</v>
      </c>
      <c r="H263" s="63">
        <f t="shared" si="29"/>
        <v>200</v>
      </c>
      <c r="I263" s="63">
        <f t="shared" si="27"/>
        <v>11.259</v>
      </c>
      <c r="J263" s="106">
        <f>VLOOKUP(C263,'RAW DATA 2023'!E:BO,22,0)</f>
        <v>7.2795132743362849</v>
      </c>
      <c r="K263" s="70">
        <f t="shared" si="30"/>
        <v>0.64655060612277149</v>
      </c>
      <c r="L263" s="72">
        <f t="shared" si="28"/>
        <v>7.2795132743362849</v>
      </c>
      <c r="M263" s="109">
        <f t="shared" si="32"/>
        <v>1.9540080816369532</v>
      </c>
      <c r="N263" s="123" t="str">
        <f>VLOOKUP(C263,'RAW DATA 2023'!E:BO,36,0)</f>
        <v>Normal</v>
      </c>
      <c r="O263" s="63">
        <f>VLOOKUP(C263,'RAW DATA 2023'!E:BO,2,0)</f>
        <v>1.1299999999999999</v>
      </c>
      <c r="P263" s="322">
        <f t="shared" si="31"/>
        <v>2.2080291322497567</v>
      </c>
    </row>
    <row r="264" spans="1:16">
      <c r="A264" s="63" t="str">
        <f>'RAW DATA 2023'!B257</f>
        <v>Roiphet1</v>
      </c>
      <c r="B264" s="63" t="str">
        <f>'RAW DATA 2023'!D257</f>
        <v>C4-I08-0065</v>
      </c>
      <c r="C264" s="63" t="str">
        <f t="shared" si="25"/>
        <v>Roiphet1C4-I08-0065</v>
      </c>
      <c r="D264" s="68">
        <f>VLOOKUP(C264,'RAW DATA 2023'!E:BP,63,0)</f>
        <v>12</v>
      </c>
      <c r="E264" s="68" t="str">
        <f t="shared" si="26"/>
        <v>Roiphet112</v>
      </c>
      <c r="F264" s="63" t="str">
        <f>VLOOKUP(C264,'RAW DATA 2023'!E:BO,5,0)</f>
        <v>Greenhouse</v>
      </c>
      <c r="G264" s="63">
        <f>VLOOKUP(C264,'RAW DATA 2023'!E:BO,13,0)</f>
        <v>167</v>
      </c>
      <c r="H264" s="63">
        <f t="shared" si="29"/>
        <v>180</v>
      </c>
      <c r="I264" s="63">
        <f t="shared" si="27"/>
        <v>10.247</v>
      </c>
      <c r="J264" s="106">
        <f>VLOOKUP(C264,'RAW DATA 2023'!E:BO,22,0)</f>
        <v>6.6419027777777782</v>
      </c>
      <c r="K264" s="70">
        <f t="shared" si="30"/>
        <v>0.64818022619086346</v>
      </c>
      <c r="L264" s="72">
        <f t="shared" si="28"/>
        <v>6.6419027777777782</v>
      </c>
      <c r="M264" s="109">
        <f t="shared" si="32"/>
        <v>1.975736349211513</v>
      </c>
      <c r="N264" s="123" t="str">
        <f>VLOOKUP(C264,'RAW DATA 2023'!E:BO,36,0)</f>
        <v>Normal</v>
      </c>
      <c r="O264" s="63">
        <f>VLOOKUP(C264,'RAW DATA 2023'!E:BO,2,0)</f>
        <v>0.72</v>
      </c>
      <c r="P264" s="322">
        <f t="shared" si="31"/>
        <v>1.4225301714322893</v>
      </c>
    </row>
    <row r="265" spans="1:16">
      <c r="A265" s="63" t="str">
        <f>'RAW DATA 2023'!B258</f>
        <v>Roiphet1</v>
      </c>
      <c r="B265" s="63" t="str">
        <f>'RAW DATA 2023'!D258</f>
        <v>C3-I05-0066</v>
      </c>
      <c r="C265" s="63" t="str">
        <f t="shared" si="25"/>
        <v>Roiphet1C3-I05-0066</v>
      </c>
      <c r="D265" s="68">
        <f>VLOOKUP(C265,'RAW DATA 2023'!E:BP,63,0)</f>
        <v>5</v>
      </c>
      <c r="E265" s="68" t="str">
        <f t="shared" si="26"/>
        <v>Roiphet15</v>
      </c>
      <c r="F265" s="63" t="str">
        <f>VLOOKUP(C265,'RAW DATA 2023'!E:BO,5,0)</f>
        <v>Greenhouse</v>
      </c>
      <c r="G265" s="63">
        <f>VLOOKUP(C265,'RAW DATA 2023'!E:BO,13,0)</f>
        <v>167</v>
      </c>
      <c r="H265" s="63">
        <f t="shared" si="29"/>
        <v>180</v>
      </c>
      <c r="I265" s="63">
        <f t="shared" si="27"/>
        <v>10.247</v>
      </c>
      <c r="J265" s="106">
        <f>VLOOKUP(C265,'RAW DATA 2023'!E:BO,22,0)</f>
        <v>2.3845694444444447</v>
      </c>
      <c r="K265" s="70">
        <f t="shared" si="30"/>
        <v>0.23270903136961499</v>
      </c>
      <c r="L265" s="72">
        <f t="shared" si="28"/>
        <v>2.3845694444444447</v>
      </c>
      <c r="M265" s="109">
        <f t="shared" si="32"/>
        <v>-3.5638795817384672</v>
      </c>
      <c r="N265" s="123" t="str">
        <f>VLOOKUP(C265,'RAW DATA 2023'!E:BO,36,0)</f>
        <v>EHP</v>
      </c>
      <c r="O265" s="63">
        <f>VLOOKUP(C265,'RAW DATA 2023'!E:BO,2,0)</f>
        <v>0.72</v>
      </c>
      <c r="P265" s="322">
        <f t="shared" si="31"/>
        <v>-2.5659932988516965</v>
      </c>
    </row>
    <row r="266" spans="1:16">
      <c r="A266" s="63" t="str">
        <f>'RAW DATA 2023'!B259</f>
        <v>Roiphet1</v>
      </c>
      <c r="B266" s="63" t="str">
        <f>'RAW DATA 2023'!D259</f>
        <v>C3-I06-0063</v>
      </c>
      <c r="C266" s="63" t="str">
        <f t="shared" ref="C266:C329" si="33">A266&amp;B266</f>
        <v>Roiphet1C3-I06-0063</v>
      </c>
      <c r="D266" s="68">
        <f>VLOOKUP(C266,'RAW DATA 2023'!E:BP,63,0)</f>
        <v>5</v>
      </c>
      <c r="E266" s="68" t="str">
        <f t="shared" ref="E266:E329" si="34">A266&amp;D266</f>
        <v>Roiphet15</v>
      </c>
      <c r="F266" s="63" t="str">
        <f>VLOOKUP(C266,'RAW DATA 2023'!E:BO,5,0)</f>
        <v>Greenhouse</v>
      </c>
      <c r="G266" s="63">
        <f>VLOOKUP(C266,'RAW DATA 2023'!E:BO,13,0)</f>
        <v>167</v>
      </c>
      <c r="H266" s="63">
        <f t="shared" si="29"/>
        <v>180</v>
      </c>
      <c r="I266" s="63">
        <f t="shared" ref="I266:I329" si="35">IF(F266=$W$1,VLOOKUP(H266,Y:Z,2,0),VLOOKUP(H266,AF:AG,2,0))</f>
        <v>10.247</v>
      </c>
      <c r="J266" s="106">
        <f>VLOOKUP(C266,'RAW DATA 2023'!E:BO,22,0)</f>
        <v>2.1116111111111109</v>
      </c>
      <c r="K266" s="70">
        <f t="shared" si="30"/>
        <v>0.20607115361677669</v>
      </c>
      <c r="L266" s="72">
        <f t="shared" ref="L266:L329" si="36">IF(J266=0,0,IF(F266=$B$2,J266-$B$6,IF(F266=$C$1,J266-$C$6,IF(AND(F266=$C$2,G266&lt;=$C$3),J266-$C$6,IF(AND(F266=$C$2,G266&lt;=$E$3),J266-$D$6,J266-$E$6)))))</f>
        <v>2.1116111111111109</v>
      </c>
      <c r="M266" s="109">
        <f t="shared" si="32"/>
        <v>-3.9190512851096444</v>
      </c>
      <c r="N266" s="123" t="str">
        <f>VLOOKUP(C266,'RAW DATA 2023'!E:BO,36,0)</f>
        <v>EHP</v>
      </c>
      <c r="O266" s="63">
        <f>VLOOKUP(C266,'RAW DATA 2023'!E:BO,2,0)</f>
        <v>0.72</v>
      </c>
      <c r="P266" s="322">
        <f t="shared" si="31"/>
        <v>-2.821716925278944</v>
      </c>
    </row>
    <row r="267" spans="1:16">
      <c r="A267" s="63" t="str">
        <f>'RAW DATA 2023'!B260</f>
        <v>Roiphet1</v>
      </c>
      <c r="B267" s="63" t="str">
        <f>'RAW DATA 2023'!D260</f>
        <v>C2-I04-0067</v>
      </c>
      <c r="C267" s="63" t="str">
        <f t="shared" si="33"/>
        <v>Roiphet1C2-I04-0067</v>
      </c>
      <c r="D267" s="68">
        <f>VLOOKUP(C267,'RAW DATA 2023'!E:BP,63,0)</f>
        <v>6</v>
      </c>
      <c r="E267" s="68" t="str">
        <f t="shared" si="34"/>
        <v>Roiphet16</v>
      </c>
      <c r="F267" s="63" t="str">
        <f>VLOOKUP(C267,'RAW DATA 2023'!E:BO,5,0)</f>
        <v>Greenhouse</v>
      </c>
      <c r="G267" s="63">
        <f>VLOOKUP(C267,'RAW DATA 2023'!E:BO,13,0)</f>
        <v>146</v>
      </c>
      <c r="H267" s="63">
        <f t="shared" ref="H267:H330" si="37">IF(G267&gt;190,200,IF(G267&gt;165,180,IF(G267&gt;=135,150,IF(D260&gt;=110,120,100))))</f>
        <v>150</v>
      </c>
      <c r="I267" s="63">
        <f t="shared" si="35"/>
        <v>9.1999999999999993</v>
      </c>
      <c r="J267" s="106">
        <f>VLOOKUP(C267,'RAW DATA 2023'!E:BO,22,0)</f>
        <v>3.7113750000000003</v>
      </c>
      <c r="K267" s="70">
        <f t="shared" ref="K267:K330" si="38">J267/I267</f>
        <v>0.40341032608695659</v>
      </c>
      <c r="L267" s="72">
        <f t="shared" si="36"/>
        <v>3.7113750000000003</v>
      </c>
      <c r="M267" s="109">
        <f t="shared" si="32"/>
        <v>-1.2878623188405789</v>
      </c>
      <c r="N267" s="123" t="str">
        <f>VLOOKUP(C267,'RAW DATA 2023'!E:BO,36,0)</f>
        <v>EHP</v>
      </c>
      <c r="O267" s="63">
        <f>VLOOKUP(C267,'RAW DATA 2023'!E:BO,2,0)</f>
        <v>0.72</v>
      </c>
      <c r="P267" s="322">
        <f t="shared" ref="P267:P330" si="39">M267*O267</f>
        <v>-0.92726086956521681</v>
      </c>
    </row>
    <row r="268" spans="1:16">
      <c r="A268" s="63" t="str">
        <f>'RAW DATA 2023'!B261</f>
        <v>Roiphet1</v>
      </c>
      <c r="B268" s="63" t="str">
        <f>'RAW DATA 2023'!D261</f>
        <v>C3-G05-0074</v>
      </c>
      <c r="C268" s="63" t="str">
        <f t="shared" si="33"/>
        <v>Roiphet1C3-G05-0074</v>
      </c>
      <c r="D268" s="68">
        <f>VLOOKUP(C268,'RAW DATA 2023'!E:BP,63,0)</f>
        <v>5</v>
      </c>
      <c r="E268" s="68" t="str">
        <f t="shared" si="34"/>
        <v>Roiphet15</v>
      </c>
      <c r="F268" s="63" t="str">
        <f>VLOOKUP(C268,'RAW DATA 2023'!E:BO,5,0)</f>
        <v>Greenhouse</v>
      </c>
      <c r="G268" s="63">
        <f>VLOOKUP(C268,'RAW DATA 2023'!E:BO,13,0)</f>
        <v>166</v>
      </c>
      <c r="H268" s="63">
        <f t="shared" si="37"/>
        <v>180</v>
      </c>
      <c r="I268" s="63">
        <f t="shared" si="35"/>
        <v>10.247</v>
      </c>
      <c r="J268" s="106">
        <f>VLOOKUP(C268,'RAW DATA 2023'!E:BO,22,0)</f>
        <v>3.0837610619469031</v>
      </c>
      <c r="K268" s="70">
        <f t="shared" si="38"/>
        <v>0.30094281857586641</v>
      </c>
      <c r="L268" s="72">
        <f t="shared" si="36"/>
        <v>3.0837610619469031</v>
      </c>
      <c r="M268" s="109">
        <f t="shared" ref="M268:M331" si="40">(K268-$B$4)*$B$7</f>
        <v>-2.6540957523217812</v>
      </c>
      <c r="N268" s="123" t="str">
        <f>VLOOKUP(C268,'RAW DATA 2023'!E:BO,36,0)</f>
        <v>EHP</v>
      </c>
      <c r="O268" s="63">
        <f>VLOOKUP(C268,'RAW DATA 2023'!E:BO,2,0)</f>
        <v>1.1299999999999999</v>
      </c>
      <c r="P268" s="322">
        <f t="shared" si="39"/>
        <v>-2.9991282001236126</v>
      </c>
    </row>
    <row r="269" spans="1:16">
      <c r="A269" s="63" t="str">
        <f>'RAW DATA 2023'!B262</f>
        <v>Roiphet1</v>
      </c>
      <c r="B269" s="63" t="str">
        <f>'RAW DATA 2023'!D262</f>
        <v>C2-I03-0059</v>
      </c>
      <c r="C269" s="63" t="str">
        <f t="shared" si="33"/>
        <v>Roiphet1C2-I03-0059</v>
      </c>
      <c r="D269" s="68">
        <f>VLOOKUP(C269,'RAW DATA 2023'!E:BP,63,0)</f>
        <v>6</v>
      </c>
      <c r="E269" s="68" t="str">
        <f t="shared" si="34"/>
        <v>Roiphet16</v>
      </c>
      <c r="F269" s="63" t="str">
        <f>VLOOKUP(C269,'RAW DATA 2023'!E:BO,5,0)</f>
        <v>Greenhouse</v>
      </c>
      <c r="G269" s="63">
        <f>VLOOKUP(C269,'RAW DATA 2023'!E:BO,13,0)</f>
        <v>153</v>
      </c>
      <c r="H269" s="63">
        <f t="shared" si="37"/>
        <v>150</v>
      </c>
      <c r="I269" s="63">
        <f t="shared" si="35"/>
        <v>9.1999999999999993</v>
      </c>
      <c r="J269" s="106">
        <f>VLOOKUP(C269,'RAW DATA 2023'!E:BO,22,0)</f>
        <v>3.1706805555555557</v>
      </c>
      <c r="K269" s="70">
        <f t="shared" si="38"/>
        <v>0.3446391908212561</v>
      </c>
      <c r="L269" s="72">
        <f t="shared" si="36"/>
        <v>3.1706805555555557</v>
      </c>
      <c r="M269" s="109">
        <f t="shared" si="40"/>
        <v>-2.0714774557165856</v>
      </c>
      <c r="N269" s="123" t="str">
        <f>VLOOKUP(C269,'RAW DATA 2023'!E:BO,36,0)</f>
        <v>EHP</v>
      </c>
      <c r="O269" s="63">
        <f>VLOOKUP(C269,'RAW DATA 2023'!E:BO,2,0)</f>
        <v>0.72</v>
      </c>
      <c r="P269" s="322">
        <f t="shared" si="39"/>
        <v>-1.4914637681159415</v>
      </c>
    </row>
    <row r="270" spans="1:16">
      <c r="A270" s="63" t="str">
        <f>'RAW DATA 2023'!B263</f>
        <v>Roiphet1</v>
      </c>
      <c r="B270" s="63" t="str">
        <f>'RAW DATA 2023'!D263</f>
        <v>C3-G06-0078</v>
      </c>
      <c r="C270" s="63" t="str">
        <f t="shared" si="33"/>
        <v>Roiphet1C3-G06-0078</v>
      </c>
      <c r="D270" s="68">
        <f>VLOOKUP(C270,'RAW DATA 2023'!E:BP,63,0)</f>
        <v>5</v>
      </c>
      <c r="E270" s="68" t="str">
        <f t="shared" si="34"/>
        <v>Roiphet15</v>
      </c>
      <c r="F270" s="63" t="str">
        <f>VLOOKUP(C270,'RAW DATA 2023'!E:BO,5,0)</f>
        <v>Greenhouse</v>
      </c>
      <c r="G270" s="63">
        <f>VLOOKUP(C270,'RAW DATA 2023'!E:BO,13,0)</f>
        <v>166</v>
      </c>
      <c r="H270" s="63">
        <f t="shared" si="37"/>
        <v>180</v>
      </c>
      <c r="I270" s="63">
        <f t="shared" si="35"/>
        <v>10.247</v>
      </c>
      <c r="J270" s="106">
        <f>VLOOKUP(C270,'RAW DATA 2023'!E:BO,22,0)</f>
        <v>2.883690265486726</v>
      </c>
      <c r="K270" s="70">
        <f t="shared" si="38"/>
        <v>0.28141800190170058</v>
      </c>
      <c r="L270" s="72">
        <f t="shared" si="36"/>
        <v>2.883690265486726</v>
      </c>
      <c r="M270" s="109">
        <f t="shared" si="40"/>
        <v>-2.914426641310659</v>
      </c>
      <c r="N270" s="123" t="str">
        <f>VLOOKUP(C270,'RAW DATA 2023'!E:BO,36,0)</f>
        <v>EHP</v>
      </c>
      <c r="O270" s="63">
        <f>VLOOKUP(C270,'RAW DATA 2023'!E:BO,2,0)</f>
        <v>1.1299999999999999</v>
      </c>
      <c r="P270" s="322">
        <f t="shared" si="39"/>
        <v>-3.2933021046810445</v>
      </c>
    </row>
    <row r="271" spans="1:16">
      <c r="A271" s="63" t="str">
        <f>'RAW DATA 2023'!B264</f>
        <v>Roiphet1</v>
      </c>
      <c r="B271" s="63" t="str">
        <f>'RAW DATA 2023'!D264</f>
        <v>C2-G03-0066</v>
      </c>
      <c r="C271" s="63" t="str">
        <f t="shared" si="33"/>
        <v>Roiphet1C2-G03-0066</v>
      </c>
      <c r="D271" s="68">
        <f>VLOOKUP(C271,'RAW DATA 2023'!E:BP,63,0)</f>
        <v>6</v>
      </c>
      <c r="E271" s="68" t="str">
        <f t="shared" si="34"/>
        <v>Roiphet16</v>
      </c>
      <c r="F271" s="63" t="str">
        <f>VLOOKUP(C271,'RAW DATA 2023'!E:BO,5,0)</f>
        <v>Greenhouse</v>
      </c>
      <c r="G271" s="63">
        <f>VLOOKUP(C271,'RAW DATA 2023'!E:BO,13,0)</f>
        <v>158</v>
      </c>
      <c r="H271" s="63">
        <f t="shared" si="37"/>
        <v>150</v>
      </c>
      <c r="I271" s="63">
        <f t="shared" si="35"/>
        <v>9.1999999999999993</v>
      </c>
      <c r="J271" s="106">
        <f>VLOOKUP(C271,'RAW DATA 2023'!E:BO,22,0)</f>
        <v>3.2967345132743366</v>
      </c>
      <c r="K271" s="70">
        <f t="shared" si="38"/>
        <v>0.35834070796460182</v>
      </c>
      <c r="L271" s="72">
        <f t="shared" si="36"/>
        <v>3.2967345132743366</v>
      </c>
      <c r="M271" s="109">
        <f t="shared" si="40"/>
        <v>-1.8887905604719757</v>
      </c>
      <c r="N271" s="123" t="str">
        <f>VLOOKUP(C271,'RAW DATA 2023'!E:BO,36,0)</f>
        <v>EHP</v>
      </c>
      <c r="O271" s="63">
        <f>VLOOKUP(C271,'RAW DATA 2023'!E:BO,2,0)</f>
        <v>1.1299999999999999</v>
      </c>
      <c r="P271" s="322">
        <f t="shared" si="39"/>
        <v>-2.1343333333333323</v>
      </c>
    </row>
    <row r="272" spans="1:16">
      <c r="A272" s="63" t="str">
        <f>'RAW DATA 2023'!B265</f>
        <v>Roiphet1</v>
      </c>
      <c r="B272" s="63" t="str">
        <f>'RAW DATA 2023'!D265</f>
        <v>C2-G04-0064</v>
      </c>
      <c r="C272" s="63" t="str">
        <f t="shared" si="33"/>
        <v>Roiphet1C2-G04-0064</v>
      </c>
      <c r="D272" s="68">
        <f>VLOOKUP(C272,'RAW DATA 2023'!E:BP,63,0)</f>
        <v>6</v>
      </c>
      <c r="E272" s="68" t="str">
        <f t="shared" si="34"/>
        <v>Roiphet16</v>
      </c>
      <c r="F272" s="63" t="str">
        <f>VLOOKUP(C272,'RAW DATA 2023'!E:BO,5,0)</f>
        <v>Greenhouse</v>
      </c>
      <c r="G272" s="63">
        <f>VLOOKUP(C272,'RAW DATA 2023'!E:BO,13,0)</f>
        <v>138</v>
      </c>
      <c r="H272" s="63">
        <f t="shared" si="37"/>
        <v>150</v>
      </c>
      <c r="I272" s="63">
        <f t="shared" si="35"/>
        <v>9.1999999999999993</v>
      </c>
      <c r="J272" s="106">
        <f>VLOOKUP(C272,'RAW DATA 2023'!E:BO,22,0)</f>
        <v>3.1751415929203541</v>
      </c>
      <c r="K272" s="70">
        <f t="shared" si="38"/>
        <v>0.34512408618699503</v>
      </c>
      <c r="L272" s="72">
        <f t="shared" si="36"/>
        <v>3.1751415929203541</v>
      </c>
      <c r="M272" s="109">
        <f t="shared" si="40"/>
        <v>-2.0650121841733999</v>
      </c>
      <c r="N272" s="123" t="str">
        <f>VLOOKUP(C272,'RAW DATA 2023'!E:BO,36,0)</f>
        <v>EHP</v>
      </c>
      <c r="O272" s="63">
        <f>VLOOKUP(C272,'RAW DATA 2023'!E:BO,2,0)</f>
        <v>1.1299999999999999</v>
      </c>
      <c r="P272" s="322">
        <f t="shared" si="39"/>
        <v>-2.3334637681159416</v>
      </c>
    </row>
    <row r="273" spans="1:16">
      <c r="A273" s="63" t="str">
        <f>'RAW DATA 2023'!B266</f>
        <v>Roiphet1</v>
      </c>
      <c r="B273" s="63" t="str">
        <f>'RAW DATA 2023'!D266</f>
        <v>B3-I06-0095</v>
      </c>
      <c r="C273" s="63" t="str">
        <f t="shared" si="33"/>
        <v>Roiphet1B3-I06-0095</v>
      </c>
      <c r="D273" s="68">
        <f>VLOOKUP(C273,'RAW DATA 2023'!E:BP,63,0)</f>
        <v>8</v>
      </c>
      <c r="E273" s="68" t="str">
        <f t="shared" si="34"/>
        <v>Roiphet18</v>
      </c>
      <c r="F273" s="63" t="str">
        <f>VLOOKUP(C273,'RAW DATA 2023'!E:BO,5,0)</f>
        <v>Greenhouse</v>
      </c>
      <c r="G273" s="63">
        <f>VLOOKUP(C273,'RAW DATA 2023'!E:BO,13,0)</f>
        <v>167</v>
      </c>
      <c r="H273" s="63">
        <f t="shared" si="37"/>
        <v>180</v>
      </c>
      <c r="I273" s="63">
        <f t="shared" si="35"/>
        <v>10.247</v>
      </c>
      <c r="J273" s="106">
        <f>VLOOKUP(C273,'RAW DATA 2023'!E:BO,22,0)</f>
        <v>2.771527777777778</v>
      </c>
      <c r="K273" s="70">
        <f t="shared" si="38"/>
        <v>0.27047211650022229</v>
      </c>
      <c r="L273" s="72">
        <f t="shared" si="36"/>
        <v>2.771527777777778</v>
      </c>
      <c r="M273" s="109">
        <f t="shared" si="40"/>
        <v>-3.0603717799970362</v>
      </c>
      <c r="N273" s="123" t="str">
        <f>VLOOKUP(C273,'RAW DATA 2023'!E:BO,36,0)</f>
        <v>EHP</v>
      </c>
      <c r="O273" s="63">
        <f>VLOOKUP(C273,'RAW DATA 2023'!E:BO,2,0)</f>
        <v>0.72</v>
      </c>
      <c r="P273" s="322">
        <f t="shared" si="39"/>
        <v>-2.203467681597866</v>
      </c>
    </row>
    <row r="274" spans="1:16">
      <c r="A274" s="63" t="str">
        <f>'RAW DATA 2023'!B267</f>
        <v>Roiphet1</v>
      </c>
      <c r="B274" s="63" t="str">
        <f>'RAW DATA 2023'!D267</f>
        <v>B6-G12-0087</v>
      </c>
      <c r="C274" s="63" t="str">
        <f t="shared" si="33"/>
        <v>Roiphet1B6-G12-0087</v>
      </c>
      <c r="D274" s="68">
        <f>VLOOKUP(C274,'RAW DATA 2023'!E:BP,63,0)</f>
        <v>6</v>
      </c>
      <c r="E274" s="68" t="str">
        <f t="shared" si="34"/>
        <v>Roiphet16</v>
      </c>
      <c r="F274" s="63" t="str">
        <f>VLOOKUP(C274,'RAW DATA 2023'!E:BO,5,0)</f>
        <v>Greenhouse</v>
      </c>
      <c r="G274" s="63">
        <f>VLOOKUP(C274,'RAW DATA 2023'!E:BO,13,0)</f>
        <v>147</v>
      </c>
      <c r="H274" s="63">
        <f t="shared" si="37"/>
        <v>150</v>
      </c>
      <c r="I274" s="63">
        <f t="shared" si="35"/>
        <v>9.1999999999999993</v>
      </c>
      <c r="J274" s="106">
        <f>VLOOKUP(C274,'RAW DATA 2023'!E:BO,22,0)</f>
        <v>7.5503362831858407</v>
      </c>
      <c r="K274" s="70">
        <f t="shared" si="38"/>
        <v>0.82068872643324364</v>
      </c>
      <c r="L274" s="72">
        <f t="shared" si="36"/>
        <v>7.5503362831858407</v>
      </c>
      <c r="M274" s="109">
        <f t="shared" si="40"/>
        <v>4.2758496857765822</v>
      </c>
      <c r="N274" s="123" t="str">
        <f>VLOOKUP(C274,'RAW DATA 2023'!E:BO,36,0)</f>
        <v>Normal</v>
      </c>
      <c r="O274" s="63">
        <f>VLOOKUP(C274,'RAW DATA 2023'!E:BO,2,0)</f>
        <v>1.1299999999999999</v>
      </c>
      <c r="P274" s="322">
        <f t="shared" si="39"/>
        <v>4.8317101449275377</v>
      </c>
    </row>
    <row r="275" spans="1:16">
      <c r="A275" s="63" t="str">
        <f>'RAW DATA 2023'!B268</f>
        <v>Roiphet1</v>
      </c>
      <c r="B275" s="63" t="str">
        <f>'RAW DATA 2023'!D268</f>
        <v>B6-G11-0082</v>
      </c>
      <c r="C275" s="63" t="str">
        <f t="shared" si="33"/>
        <v>Roiphet1B6-G11-0082</v>
      </c>
      <c r="D275" s="68">
        <f>VLOOKUP(C275,'RAW DATA 2023'!E:BP,63,0)</f>
        <v>6</v>
      </c>
      <c r="E275" s="68" t="str">
        <f t="shared" si="34"/>
        <v>Roiphet16</v>
      </c>
      <c r="F275" s="63" t="str">
        <f>VLOOKUP(C275,'RAW DATA 2023'!E:BO,5,0)</f>
        <v>Greenhouse</v>
      </c>
      <c r="G275" s="63">
        <f>VLOOKUP(C275,'RAW DATA 2023'!E:BO,13,0)</f>
        <v>155</v>
      </c>
      <c r="H275" s="63">
        <f t="shared" si="37"/>
        <v>150</v>
      </c>
      <c r="I275" s="63">
        <f t="shared" si="35"/>
        <v>9.1999999999999993</v>
      </c>
      <c r="J275" s="106">
        <f>VLOOKUP(C275,'RAW DATA 2023'!E:BO,22,0)</f>
        <v>6.7530442477876109</v>
      </c>
      <c r="K275" s="70">
        <f t="shared" si="38"/>
        <v>0.73402654867256645</v>
      </c>
      <c r="L275" s="72">
        <f t="shared" si="36"/>
        <v>6.7530442477876109</v>
      </c>
      <c r="M275" s="109">
        <f t="shared" si="40"/>
        <v>3.1203539823008861</v>
      </c>
      <c r="N275" s="123" t="str">
        <f>VLOOKUP(C275,'RAW DATA 2023'!E:BO,36,0)</f>
        <v>Normal</v>
      </c>
      <c r="O275" s="63">
        <f>VLOOKUP(C275,'RAW DATA 2023'!E:BO,2,0)</f>
        <v>1.1299999999999999</v>
      </c>
      <c r="P275" s="322">
        <f t="shared" si="39"/>
        <v>3.5260000000000011</v>
      </c>
    </row>
    <row r="276" spans="1:16">
      <c r="A276" s="63" t="str">
        <f>'RAW DATA 2023'!B269</f>
        <v>Roiphet1</v>
      </c>
      <c r="B276" s="63" t="str">
        <f>'RAW DATA 2023'!D269</f>
        <v>B1-I02-0096</v>
      </c>
      <c r="C276" s="63" t="str">
        <f t="shared" si="33"/>
        <v>Roiphet1B1-I02-0096</v>
      </c>
      <c r="D276" s="68">
        <f>VLOOKUP(C276,'RAW DATA 2023'!E:BP,63,0)</f>
        <v>12</v>
      </c>
      <c r="E276" s="68" t="str">
        <f t="shared" si="34"/>
        <v>Roiphet112</v>
      </c>
      <c r="F276" s="63" t="str">
        <f>VLOOKUP(C276,'RAW DATA 2023'!E:BO,5,0)</f>
        <v>Greenhouse</v>
      </c>
      <c r="G276" s="63">
        <f>VLOOKUP(C276,'RAW DATA 2023'!E:BO,13,0)</f>
        <v>167</v>
      </c>
      <c r="H276" s="63">
        <f t="shared" si="37"/>
        <v>180</v>
      </c>
      <c r="I276" s="63">
        <f t="shared" si="35"/>
        <v>10.247</v>
      </c>
      <c r="J276" s="106">
        <f>VLOOKUP(C276,'RAW DATA 2023'!E:BO,22,0)</f>
        <v>6.3781249999999998</v>
      </c>
      <c r="K276" s="70">
        <f t="shared" si="38"/>
        <v>0.622438274616961</v>
      </c>
      <c r="L276" s="72">
        <f t="shared" si="36"/>
        <v>6.3781249999999998</v>
      </c>
      <c r="M276" s="109">
        <f t="shared" si="40"/>
        <v>1.6325103282261466</v>
      </c>
      <c r="N276" s="123" t="str">
        <f>VLOOKUP(C276,'RAW DATA 2023'!E:BO,36,0)</f>
        <v>Normal</v>
      </c>
      <c r="O276" s="63">
        <f>VLOOKUP(C276,'RAW DATA 2023'!E:BO,2,0)</f>
        <v>0.72</v>
      </c>
      <c r="P276" s="322">
        <f t="shared" si="39"/>
        <v>1.1754074363228255</v>
      </c>
    </row>
    <row r="277" spans="1:16">
      <c r="A277" s="63" t="str">
        <f>'RAW DATA 2023'!B270</f>
        <v>Roiphet1</v>
      </c>
      <c r="B277" s="63" t="str">
        <f>'RAW DATA 2023'!D270</f>
        <v>B5-I10-0091</v>
      </c>
      <c r="C277" s="63" t="str">
        <f t="shared" si="33"/>
        <v>Roiphet1B5-I10-0091</v>
      </c>
      <c r="D277" s="68">
        <f>VLOOKUP(C277,'RAW DATA 2023'!E:BP,63,0)</f>
        <v>7</v>
      </c>
      <c r="E277" s="68" t="str">
        <f t="shared" si="34"/>
        <v>Roiphet17</v>
      </c>
      <c r="F277" s="63" t="str">
        <f>VLOOKUP(C277,'RAW DATA 2023'!E:BO,5,0)</f>
        <v>Greenhouse</v>
      </c>
      <c r="G277" s="63">
        <f>VLOOKUP(C277,'RAW DATA 2023'!E:BO,13,0)</f>
        <v>134</v>
      </c>
      <c r="H277" s="63">
        <f t="shared" si="37"/>
        <v>100</v>
      </c>
      <c r="I277" s="63">
        <f t="shared" si="35"/>
        <v>0</v>
      </c>
      <c r="J277" s="106">
        <f>VLOOKUP(C277,'RAW DATA 2023'!E:BO,22,0)</f>
        <v>3.5375277777777776</v>
      </c>
      <c r="K277" s="70" t="e">
        <f t="shared" si="38"/>
        <v>#DIV/0!</v>
      </c>
      <c r="L277" s="72">
        <f t="shared" si="36"/>
        <v>3.5375277777777776</v>
      </c>
      <c r="M277" s="109" t="e">
        <f t="shared" si="40"/>
        <v>#DIV/0!</v>
      </c>
      <c r="N277" s="123" t="str">
        <f>VLOOKUP(C277,'RAW DATA 2023'!E:BO,36,0)</f>
        <v>ทยอยตาย</v>
      </c>
      <c r="O277" s="63">
        <f>VLOOKUP(C277,'RAW DATA 2023'!E:BO,2,0)</f>
        <v>0.72</v>
      </c>
      <c r="P277" s="322" t="e">
        <f t="shared" si="39"/>
        <v>#DIV/0!</v>
      </c>
    </row>
    <row r="278" spans="1:16">
      <c r="A278" s="63" t="str">
        <f>'RAW DATA 2023'!B271</f>
        <v>Roiphet1</v>
      </c>
      <c r="B278" s="63" t="str">
        <f>'RAW DATA 2023'!D271</f>
        <v>B5-G10-0083</v>
      </c>
      <c r="C278" s="63" t="str">
        <f t="shared" si="33"/>
        <v>Roiphet1B5-G10-0083</v>
      </c>
      <c r="D278" s="68">
        <f>VLOOKUP(C278,'RAW DATA 2023'!E:BP,63,0)</f>
        <v>5</v>
      </c>
      <c r="E278" s="68" t="str">
        <f t="shared" si="34"/>
        <v>Roiphet15</v>
      </c>
      <c r="F278" s="63" t="str">
        <f>VLOOKUP(C278,'RAW DATA 2023'!E:BO,5,0)</f>
        <v>Greenhouse</v>
      </c>
      <c r="G278" s="63">
        <f>VLOOKUP(C278,'RAW DATA 2023'!E:BO,13,0)</f>
        <v>155</v>
      </c>
      <c r="H278" s="63">
        <f t="shared" si="37"/>
        <v>150</v>
      </c>
      <c r="I278" s="63">
        <f t="shared" si="35"/>
        <v>9.1999999999999993</v>
      </c>
      <c r="J278" s="106">
        <f>VLOOKUP(C278,'RAW DATA 2023'!E:BO,22,0)</f>
        <v>7.661522123893806</v>
      </c>
      <c r="K278" s="70">
        <f t="shared" si="38"/>
        <v>0.83277414390150073</v>
      </c>
      <c r="L278" s="72">
        <f t="shared" si="36"/>
        <v>7.661522123893806</v>
      </c>
      <c r="M278" s="109">
        <f t="shared" si="40"/>
        <v>4.4369885853533431</v>
      </c>
      <c r="N278" s="123" t="str">
        <f>VLOOKUP(C278,'RAW DATA 2023'!E:BO,36,0)</f>
        <v>Normal</v>
      </c>
      <c r="O278" s="63">
        <f>VLOOKUP(C278,'RAW DATA 2023'!E:BO,2,0)</f>
        <v>1.1299999999999999</v>
      </c>
      <c r="P278" s="322">
        <f t="shared" si="39"/>
        <v>5.0137971014492768</v>
      </c>
    </row>
    <row r="279" spans="1:16">
      <c r="A279" s="63" t="str">
        <f>'RAW DATA 2023'!B272</f>
        <v>Roiphet1</v>
      </c>
      <c r="B279" s="63" t="str">
        <f>'RAW DATA 2023'!D272</f>
        <v>B1-I01-0095</v>
      </c>
      <c r="C279" s="63" t="str">
        <f t="shared" si="33"/>
        <v>Roiphet1B1-I01-0095</v>
      </c>
      <c r="D279" s="68">
        <f>VLOOKUP(C279,'RAW DATA 2023'!E:BP,63,0)</f>
        <v>6</v>
      </c>
      <c r="E279" s="68" t="str">
        <f t="shared" si="34"/>
        <v>Roiphet16</v>
      </c>
      <c r="F279" s="63" t="str">
        <f>VLOOKUP(C279,'RAW DATA 2023'!E:BO,5,0)</f>
        <v>Greenhouse</v>
      </c>
      <c r="G279" s="63">
        <f>VLOOKUP(C279,'RAW DATA 2023'!E:BO,13,0)</f>
        <v>134</v>
      </c>
      <c r="H279" s="63">
        <f t="shared" si="37"/>
        <v>100</v>
      </c>
      <c r="I279" s="63">
        <f t="shared" si="35"/>
        <v>0</v>
      </c>
      <c r="J279" s="106">
        <f>VLOOKUP(C279,'RAW DATA 2023'!E:BO,22,0)</f>
        <v>6.6656111111111116</v>
      </c>
      <c r="K279" s="70" t="e">
        <f t="shared" si="38"/>
        <v>#DIV/0!</v>
      </c>
      <c r="L279" s="72">
        <f t="shared" si="36"/>
        <v>6.6656111111111116</v>
      </c>
      <c r="M279" s="109" t="e">
        <f t="shared" si="40"/>
        <v>#DIV/0!</v>
      </c>
      <c r="N279" s="123" t="str">
        <f>VLOOKUP(C279,'RAW DATA 2023'!E:BO,36,0)</f>
        <v>ทยอยตาย</v>
      </c>
      <c r="O279" s="63">
        <f>VLOOKUP(C279,'RAW DATA 2023'!E:BO,2,0)</f>
        <v>0.72</v>
      </c>
      <c r="P279" s="322" t="e">
        <f t="shared" si="39"/>
        <v>#DIV/0!</v>
      </c>
    </row>
    <row r="280" spans="1:16">
      <c r="A280" s="63" t="str">
        <f>'RAW DATA 2023'!B273</f>
        <v>Roiphet1</v>
      </c>
      <c r="B280" s="63" t="str">
        <f>'RAW DATA 2023'!D273</f>
        <v>B6-I12-0086</v>
      </c>
      <c r="C280" s="63" t="str">
        <f t="shared" si="33"/>
        <v>Roiphet1B6-I12-0086</v>
      </c>
      <c r="D280" s="68">
        <f>VLOOKUP(C280,'RAW DATA 2023'!E:BP,63,0)</f>
        <v>6</v>
      </c>
      <c r="E280" s="68" t="str">
        <f t="shared" si="34"/>
        <v>Roiphet16</v>
      </c>
      <c r="F280" s="63" t="str">
        <f>VLOOKUP(C280,'RAW DATA 2023'!E:BO,5,0)</f>
        <v>Greenhouse</v>
      </c>
      <c r="G280" s="63">
        <f>VLOOKUP(C280,'RAW DATA 2023'!E:BO,13,0)</f>
        <v>147</v>
      </c>
      <c r="H280" s="63">
        <f t="shared" si="37"/>
        <v>150</v>
      </c>
      <c r="I280" s="63">
        <f t="shared" si="35"/>
        <v>9.1999999999999993</v>
      </c>
      <c r="J280" s="106">
        <f>VLOOKUP(C280,'RAW DATA 2023'!E:BO,22,0)</f>
        <v>6.2286527777777785</v>
      </c>
      <c r="K280" s="70">
        <f t="shared" si="38"/>
        <v>0.67702747584541079</v>
      </c>
      <c r="L280" s="72">
        <f t="shared" si="36"/>
        <v>6.2286527777777785</v>
      </c>
      <c r="M280" s="109">
        <f t="shared" si="40"/>
        <v>2.3603663446054775</v>
      </c>
      <c r="N280" s="123" t="str">
        <f>VLOOKUP(C280,'RAW DATA 2023'!E:BO,36,0)</f>
        <v>Normal</v>
      </c>
      <c r="O280" s="63">
        <f>VLOOKUP(C280,'RAW DATA 2023'!E:BO,2,0)</f>
        <v>0.72</v>
      </c>
      <c r="P280" s="322">
        <f t="shared" si="39"/>
        <v>1.6994637681159437</v>
      </c>
    </row>
    <row r="281" spans="1:16">
      <c r="A281" s="63" t="str">
        <f>'RAW DATA 2023'!B274</f>
        <v>Roiphet1</v>
      </c>
      <c r="B281" s="63" t="str">
        <f>'RAW DATA 2023'!D274</f>
        <v>B2-G04-0092</v>
      </c>
      <c r="C281" s="63" t="str">
        <f t="shared" si="33"/>
        <v>Roiphet1B2-G04-0092</v>
      </c>
      <c r="D281" s="68">
        <f>VLOOKUP(C281,'RAW DATA 2023'!E:BP,63,0)</f>
        <v>6</v>
      </c>
      <c r="E281" s="68" t="str">
        <f t="shared" si="34"/>
        <v>Roiphet16</v>
      </c>
      <c r="F281" s="63" t="str">
        <f>VLOOKUP(C281,'RAW DATA 2023'!E:BO,5,0)</f>
        <v>Greenhouse</v>
      </c>
      <c r="G281" s="63">
        <f>VLOOKUP(C281,'RAW DATA 2023'!E:BO,13,0)</f>
        <v>147</v>
      </c>
      <c r="H281" s="63">
        <f t="shared" si="37"/>
        <v>150</v>
      </c>
      <c r="I281" s="63">
        <f t="shared" si="35"/>
        <v>9.1999999999999993</v>
      </c>
      <c r="J281" s="106">
        <f>VLOOKUP(C281,'RAW DATA 2023'!E:BO,22,0)</f>
        <v>5.2594424778761066</v>
      </c>
      <c r="K281" s="70">
        <f t="shared" si="38"/>
        <v>0.57167853020392467</v>
      </c>
      <c r="L281" s="72">
        <f t="shared" si="36"/>
        <v>5.2594424778761066</v>
      </c>
      <c r="M281" s="109">
        <f t="shared" si="40"/>
        <v>0.95571373605232901</v>
      </c>
      <c r="N281" s="123" t="str">
        <f>VLOOKUP(C281,'RAW DATA 2023'!E:BO,36,0)</f>
        <v>ทยอยตาย</v>
      </c>
      <c r="O281" s="63">
        <f>VLOOKUP(C281,'RAW DATA 2023'!E:BO,2,0)</f>
        <v>1.1299999999999999</v>
      </c>
      <c r="P281" s="322">
        <f t="shared" si="39"/>
        <v>1.0799565217391316</v>
      </c>
    </row>
    <row r="282" spans="1:16">
      <c r="A282" s="63" t="str">
        <f>'RAW DATA 2023'!B275</f>
        <v>Roiphet1</v>
      </c>
      <c r="B282" s="63" t="str">
        <f>'RAW DATA 2023'!D275</f>
        <v>B5-I10-0090</v>
      </c>
      <c r="C282" s="63" t="str">
        <f t="shared" si="33"/>
        <v>Roiphet1B5-I10-0090</v>
      </c>
      <c r="D282" s="68">
        <f>VLOOKUP(C282,'RAW DATA 2023'!E:BP,63,0)</f>
        <v>5</v>
      </c>
      <c r="E282" s="68" t="str">
        <f t="shared" si="34"/>
        <v>Roiphet15</v>
      </c>
      <c r="F282" s="63" t="str">
        <f>VLOOKUP(C282,'RAW DATA 2023'!E:BO,5,0)</f>
        <v>Greenhouse</v>
      </c>
      <c r="G282" s="63">
        <f>VLOOKUP(C282,'RAW DATA 2023'!E:BO,13,0)</f>
        <v>147</v>
      </c>
      <c r="H282" s="63">
        <f t="shared" si="37"/>
        <v>150</v>
      </c>
      <c r="I282" s="63">
        <f t="shared" si="35"/>
        <v>9.1999999999999993</v>
      </c>
      <c r="J282" s="106">
        <f>VLOOKUP(C282,'RAW DATA 2023'!E:BO,22,0)</f>
        <v>6.7899305555555554</v>
      </c>
      <c r="K282" s="70">
        <f t="shared" si="38"/>
        <v>0.73803592995169087</v>
      </c>
      <c r="L282" s="72">
        <f t="shared" si="36"/>
        <v>6.7899305555555554</v>
      </c>
      <c r="M282" s="109">
        <f t="shared" si="40"/>
        <v>3.1738123993558784</v>
      </c>
      <c r="N282" s="123" t="str">
        <f>VLOOKUP(C282,'RAW DATA 2023'!E:BO,36,0)</f>
        <v>Normal</v>
      </c>
      <c r="O282" s="63">
        <f>VLOOKUP(C282,'RAW DATA 2023'!E:BO,2,0)</f>
        <v>0.72</v>
      </c>
      <c r="P282" s="322">
        <f t="shared" si="39"/>
        <v>2.2851449275362326</v>
      </c>
    </row>
    <row r="283" spans="1:16">
      <c r="A283" s="63" t="str">
        <f>'RAW DATA 2023'!B276</f>
        <v>Roiphet1</v>
      </c>
      <c r="B283" s="63" t="str">
        <f>'RAW DATA 2023'!D276</f>
        <v>B5-I09-0093</v>
      </c>
      <c r="C283" s="63" t="str">
        <f t="shared" si="33"/>
        <v>Roiphet1B5-I09-0093</v>
      </c>
      <c r="D283" s="68">
        <f>VLOOKUP(C283,'RAW DATA 2023'!E:BP,63,0)</f>
        <v>5</v>
      </c>
      <c r="E283" s="68" t="str">
        <f t="shared" si="34"/>
        <v>Roiphet15</v>
      </c>
      <c r="F283" s="63" t="str">
        <f>VLOOKUP(C283,'RAW DATA 2023'!E:BO,5,0)</f>
        <v>Greenhouse</v>
      </c>
      <c r="G283" s="63">
        <f>VLOOKUP(C283,'RAW DATA 2023'!E:BO,13,0)</f>
        <v>147</v>
      </c>
      <c r="H283" s="63">
        <f t="shared" si="37"/>
        <v>150</v>
      </c>
      <c r="I283" s="63">
        <f t="shared" si="35"/>
        <v>9.1999999999999993</v>
      </c>
      <c r="J283" s="106">
        <f>VLOOKUP(C283,'RAW DATA 2023'!E:BO,22,0)</f>
        <v>6.9570833333333342</v>
      </c>
      <c r="K283" s="70">
        <f t="shared" si="38"/>
        <v>0.75620471014492774</v>
      </c>
      <c r="L283" s="72">
        <f t="shared" si="36"/>
        <v>6.9570833333333342</v>
      </c>
      <c r="M283" s="109">
        <f t="shared" si="40"/>
        <v>3.41606280193237</v>
      </c>
      <c r="N283" s="123" t="str">
        <f>VLOOKUP(C283,'RAW DATA 2023'!E:BO,36,0)</f>
        <v>Normal</v>
      </c>
      <c r="O283" s="63">
        <f>VLOOKUP(C283,'RAW DATA 2023'!E:BO,2,0)</f>
        <v>0.72</v>
      </c>
      <c r="P283" s="322">
        <f t="shared" si="39"/>
        <v>2.4595652173913063</v>
      </c>
    </row>
    <row r="284" spans="1:16">
      <c r="A284" s="63" t="str">
        <f>'RAW DATA 2023'!B277</f>
        <v>Roiphet1</v>
      </c>
      <c r="B284" s="63" t="str">
        <f>'RAW DATA 2023'!D277</f>
        <v>B4-G07-0076</v>
      </c>
      <c r="C284" s="63" t="str">
        <f t="shared" si="33"/>
        <v>Roiphet1B4-G07-0076</v>
      </c>
      <c r="D284" s="68">
        <f>VLOOKUP(C284,'RAW DATA 2023'!E:BP,63,0)</f>
        <v>3</v>
      </c>
      <c r="E284" s="68" t="str">
        <f t="shared" si="34"/>
        <v>Roiphet13</v>
      </c>
      <c r="F284" s="63" t="str">
        <f>VLOOKUP(C284,'RAW DATA 2023'!E:BO,5,0)</f>
        <v>Greenhouse</v>
      </c>
      <c r="G284" s="63">
        <f>VLOOKUP(C284,'RAW DATA 2023'!E:BO,13,0)</f>
        <v>173</v>
      </c>
      <c r="H284" s="63">
        <f t="shared" si="37"/>
        <v>180</v>
      </c>
      <c r="I284" s="63">
        <f t="shared" si="35"/>
        <v>10.247</v>
      </c>
      <c r="J284" s="106">
        <f>VLOOKUP(C284,'RAW DATA 2023'!E:BO,22,0)</f>
        <v>6.9169734513274346</v>
      </c>
      <c r="K284" s="70">
        <f t="shared" si="38"/>
        <v>0.67502424625035962</v>
      </c>
      <c r="L284" s="72">
        <f t="shared" si="36"/>
        <v>6.9169734513274346</v>
      </c>
      <c r="M284" s="109">
        <f t="shared" si="40"/>
        <v>2.3336566166714618</v>
      </c>
      <c r="N284" s="123" t="str">
        <f>VLOOKUP(C284,'RAW DATA 2023'!E:BO,36,0)</f>
        <v>Normal</v>
      </c>
      <c r="O284" s="63">
        <f>VLOOKUP(C284,'RAW DATA 2023'!E:BO,2,0)</f>
        <v>1.1299999999999999</v>
      </c>
      <c r="P284" s="322">
        <f t="shared" si="39"/>
        <v>2.6370319768387516</v>
      </c>
    </row>
    <row r="285" spans="1:16">
      <c r="A285" s="63" t="str">
        <f>'RAW DATA 2023'!B278</f>
        <v>Roiphet1</v>
      </c>
      <c r="B285" s="63" t="str">
        <f>'RAW DATA 2023'!D278</f>
        <v>B1-G02-0089</v>
      </c>
      <c r="C285" s="63" t="str">
        <f t="shared" si="33"/>
        <v>Roiphet1B1-G02-0089</v>
      </c>
      <c r="D285" s="68">
        <f>VLOOKUP(C285,'RAW DATA 2023'!E:BP,63,0)</f>
        <v>12</v>
      </c>
      <c r="E285" s="68" t="str">
        <f t="shared" si="34"/>
        <v>Roiphet112</v>
      </c>
      <c r="F285" s="63" t="str">
        <f>VLOOKUP(C285,'RAW DATA 2023'!E:BO,5,0)</f>
        <v>Greenhouse</v>
      </c>
      <c r="G285" s="63">
        <f>VLOOKUP(C285,'RAW DATA 2023'!E:BO,13,0)</f>
        <v>184</v>
      </c>
      <c r="H285" s="63">
        <f t="shared" si="37"/>
        <v>180</v>
      </c>
      <c r="I285" s="63">
        <f t="shared" si="35"/>
        <v>10.247</v>
      </c>
      <c r="J285" s="106">
        <f>VLOOKUP(C285,'RAW DATA 2023'!E:BO,22,0)</f>
        <v>9.514141592920355</v>
      </c>
      <c r="K285" s="70">
        <f t="shared" si="38"/>
        <v>0.92848068633945102</v>
      </c>
      <c r="L285" s="72">
        <f t="shared" si="36"/>
        <v>9.514141592920355</v>
      </c>
      <c r="M285" s="109">
        <f t="shared" si="40"/>
        <v>5.7130758178593473</v>
      </c>
      <c r="N285" s="123" t="str">
        <f>VLOOKUP(C285,'RAW DATA 2023'!E:BO,36,0)</f>
        <v>Normal</v>
      </c>
      <c r="O285" s="63">
        <f>VLOOKUP(C285,'RAW DATA 2023'!E:BO,2,0)</f>
        <v>1.1299999999999999</v>
      </c>
      <c r="P285" s="322">
        <f t="shared" si="39"/>
        <v>6.4557756741810621</v>
      </c>
    </row>
    <row r="286" spans="1:16">
      <c r="A286" s="63" t="str">
        <f>'RAW DATA 2023'!B279</f>
        <v>Roiphet1</v>
      </c>
      <c r="B286" s="63" t="str">
        <f>'RAW DATA 2023'!D279</f>
        <v>B4-I08-0089</v>
      </c>
      <c r="C286" s="63" t="str">
        <f t="shared" si="33"/>
        <v>Roiphet1B4-I08-0089</v>
      </c>
      <c r="D286" s="68">
        <f>VLOOKUP(C286,'RAW DATA 2023'!E:BP,63,0)</f>
        <v>7</v>
      </c>
      <c r="E286" s="68" t="str">
        <f t="shared" si="34"/>
        <v>Roiphet17</v>
      </c>
      <c r="F286" s="63" t="str">
        <f>VLOOKUP(C286,'RAW DATA 2023'!E:BO,5,0)</f>
        <v>Greenhouse</v>
      </c>
      <c r="G286" s="63">
        <f>VLOOKUP(C286,'RAW DATA 2023'!E:BO,13,0)</f>
        <v>134</v>
      </c>
      <c r="H286" s="63">
        <f t="shared" si="37"/>
        <v>100</v>
      </c>
      <c r="I286" s="63">
        <f t="shared" si="35"/>
        <v>0</v>
      </c>
      <c r="J286" s="106">
        <f>VLOOKUP(C286,'RAW DATA 2023'!E:BO,22,0)</f>
        <v>4.8766805555555557</v>
      </c>
      <c r="K286" s="70" t="e">
        <f t="shared" si="38"/>
        <v>#DIV/0!</v>
      </c>
      <c r="L286" s="72">
        <f t="shared" si="36"/>
        <v>4.8766805555555557</v>
      </c>
      <c r="M286" s="109" t="e">
        <f t="shared" si="40"/>
        <v>#DIV/0!</v>
      </c>
      <c r="N286" s="123" t="str">
        <f>VLOOKUP(C286,'RAW DATA 2023'!E:BO,36,0)</f>
        <v>ทยอยตาย</v>
      </c>
      <c r="O286" s="63">
        <f>VLOOKUP(C286,'RAW DATA 2023'!E:BO,2,0)</f>
        <v>0.72</v>
      </c>
      <c r="P286" s="322" t="e">
        <f t="shared" si="39"/>
        <v>#DIV/0!</v>
      </c>
    </row>
    <row r="287" spans="1:16">
      <c r="A287" s="63" t="str">
        <f>'RAW DATA 2023'!B280</f>
        <v>Roiphet1</v>
      </c>
      <c r="B287" s="63" t="str">
        <f>'RAW DATA 2023'!D280</f>
        <v>B2-I04-0098</v>
      </c>
      <c r="C287" s="63" t="str">
        <f t="shared" si="33"/>
        <v>Roiphet1B2-I04-0098</v>
      </c>
      <c r="D287" s="68">
        <f>VLOOKUP(C287,'RAW DATA 2023'!E:BP,63,0)</f>
        <v>6</v>
      </c>
      <c r="E287" s="68" t="str">
        <f t="shared" si="34"/>
        <v>Roiphet16</v>
      </c>
      <c r="F287" s="63" t="str">
        <f>VLOOKUP(C287,'RAW DATA 2023'!E:BO,5,0)</f>
        <v>Greenhouse</v>
      </c>
      <c r="G287" s="63">
        <f>VLOOKUP(C287,'RAW DATA 2023'!E:BO,13,0)</f>
        <v>134</v>
      </c>
      <c r="H287" s="63">
        <f t="shared" si="37"/>
        <v>100</v>
      </c>
      <c r="I287" s="63">
        <f t="shared" si="35"/>
        <v>0</v>
      </c>
      <c r="J287" s="106">
        <f>VLOOKUP(C287,'RAW DATA 2023'!E:BO,22,0)</f>
        <v>4.7564305555555562</v>
      </c>
      <c r="K287" s="70" t="e">
        <f t="shared" si="38"/>
        <v>#DIV/0!</v>
      </c>
      <c r="L287" s="72">
        <f t="shared" si="36"/>
        <v>4.7564305555555562</v>
      </c>
      <c r="M287" s="109" t="e">
        <f t="shared" si="40"/>
        <v>#DIV/0!</v>
      </c>
      <c r="N287" s="123" t="str">
        <f>VLOOKUP(C287,'RAW DATA 2023'!E:BO,36,0)</f>
        <v>ทยอยตาย</v>
      </c>
      <c r="O287" s="63">
        <f>VLOOKUP(C287,'RAW DATA 2023'!E:BO,2,0)</f>
        <v>0.72</v>
      </c>
      <c r="P287" s="322" t="e">
        <f t="shared" si="39"/>
        <v>#DIV/0!</v>
      </c>
    </row>
    <row r="288" spans="1:16">
      <c r="A288" s="63" t="str">
        <f>'RAW DATA 2023'!B281</f>
        <v>Roiphet1</v>
      </c>
      <c r="B288" s="63" t="str">
        <f>'RAW DATA 2023'!D281</f>
        <v>B4-I08-0088</v>
      </c>
      <c r="C288" s="63" t="str">
        <f t="shared" si="33"/>
        <v>Roiphet1B4-I08-0088</v>
      </c>
      <c r="D288" s="68">
        <f>VLOOKUP(C288,'RAW DATA 2023'!E:BP,63,0)</f>
        <v>3</v>
      </c>
      <c r="E288" s="68" t="str">
        <f t="shared" si="34"/>
        <v>Roiphet13</v>
      </c>
      <c r="F288" s="63" t="str">
        <f>VLOOKUP(C288,'RAW DATA 2023'!E:BO,5,0)</f>
        <v>Greenhouse</v>
      </c>
      <c r="G288" s="63">
        <f>VLOOKUP(C288,'RAW DATA 2023'!E:BO,13,0)</f>
        <v>174</v>
      </c>
      <c r="H288" s="63">
        <f t="shared" si="37"/>
        <v>180</v>
      </c>
      <c r="I288" s="63">
        <f t="shared" si="35"/>
        <v>10.247</v>
      </c>
      <c r="J288" s="106">
        <f>VLOOKUP(C288,'RAW DATA 2023'!E:BO,22,0)</f>
        <v>5.8466944444444451</v>
      </c>
      <c r="K288" s="70">
        <f t="shared" si="38"/>
        <v>0.57057621200785058</v>
      </c>
      <c r="L288" s="72">
        <f t="shared" si="36"/>
        <v>5.8466944444444451</v>
      </c>
      <c r="M288" s="109">
        <f t="shared" si="40"/>
        <v>0.94101616010467448</v>
      </c>
      <c r="N288" s="123" t="str">
        <f>VLOOKUP(C288,'RAW DATA 2023'!E:BO,36,0)</f>
        <v>Normal</v>
      </c>
      <c r="O288" s="63">
        <f>VLOOKUP(C288,'RAW DATA 2023'!E:BO,2,0)</f>
        <v>0.72</v>
      </c>
      <c r="P288" s="322">
        <f t="shared" si="39"/>
        <v>0.67753163527536564</v>
      </c>
    </row>
    <row r="289" spans="1:16">
      <c r="A289" s="63" t="str">
        <f>'RAW DATA 2023'!B282</f>
        <v>Roiphet1</v>
      </c>
      <c r="B289" s="63" t="str">
        <f>'RAW DATA 2023'!D282</f>
        <v>B1-I01-0096</v>
      </c>
      <c r="C289" s="63" t="str">
        <f t="shared" si="33"/>
        <v>Roiphet1B1-I01-0096</v>
      </c>
      <c r="D289" s="68">
        <f>VLOOKUP(C289,'RAW DATA 2023'!E:BP,63,0)</f>
        <v>12</v>
      </c>
      <c r="E289" s="68" t="str">
        <f t="shared" si="34"/>
        <v>Roiphet112</v>
      </c>
      <c r="F289" s="63" t="str">
        <f>VLOOKUP(C289,'RAW DATA 2023'!E:BO,5,0)</f>
        <v>Greenhouse</v>
      </c>
      <c r="G289" s="63">
        <f>VLOOKUP(C289,'RAW DATA 2023'!E:BO,13,0)</f>
        <v>167</v>
      </c>
      <c r="H289" s="63">
        <f t="shared" si="37"/>
        <v>180</v>
      </c>
      <c r="I289" s="63">
        <f t="shared" si="35"/>
        <v>10.247</v>
      </c>
      <c r="J289" s="106">
        <f>VLOOKUP(C289,'RAW DATA 2023'!E:BO,22,0)</f>
        <v>7.0527222222222221</v>
      </c>
      <c r="K289" s="70">
        <f t="shared" si="38"/>
        <v>0.68827190614055067</v>
      </c>
      <c r="L289" s="72">
        <f t="shared" si="36"/>
        <v>7.0527222222222221</v>
      </c>
      <c r="M289" s="109">
        <f t="shared" si="40"/>
        <v>2.5102920818740091</v>
      </c>
      <c r="N289" s="123" t="str">
        <f>VLOOKUP(C289,'RAW DATA 2023'!E:BO,36,0)</f>
        <v>Normal</v>
      </c>
      <c r="O289" s="63">
        <f>VLOOKUP(C289,'RAW DATA 2023'!E:BO,2,0)</f>
        <v>0.72</v>
      </c>
      <c r="P289" s="322">
        <f t="shared" si="39"/>
        <v>1.8074102989492864</v>
      </c>
    </row>
    <row r="290" spans="1:16">
      <c r="A290" s="63" t="str">
        <f>'RAW DATA 2023'!B283</f>
        <v>Roiphet1</v>
      </c>
      <c r="B290" s="63" t="str">
        <f>'RAW DATA 2023'!D283</f>
        <v>B4-I07-0088</v>
      </c>
      <c r="C290" s="63" t="str">
        <f t="shared" si="33"/>
        <v>Roiphet1B4-I07-0088</v>
      </c>
      <c r="D290" s="68">
        <f>VLOOKUP(C290,'RAW DATA 2023'!E:BP,63,0)</f>
        <v>3</v>
      </c>
      <c r="E290" s="68" t="str">
        <f t="shared" si="34"/>
        <v>Roiphet13</v>
      </c>
      <c r="F290" s="63" t="str">
        <f>VLOOKUP(C290,'RAW DATA 2023'!E:BO,5,0)</f>
        <v>Greenhouse</v>
      </c>
      <c r="G290" s="63">
        <f>VLOOKUP(C290,'RAW DATA 2023'!E:BO,13,0)</f>
        <v>174</v>
      </c>
      <c r="H290" s="63">
        <f t="shared" si="37"/>
        <v>180</v>
      </c>
      <c r="I290" s="63">
        <f t="shared" si="35"/>
        <v>10.247</v>
      </c>
      <c r="J290" s="106">
        <f>VLOOKUP(C290,'RAW DATA 2023'!E:BO,22,0)</f>
        <v>6.5184583333333341</v>
      </c>
      <c r="K290" s="70">
        <f t="shared" si="38"/>
        <v>0.63613333983930265</v>
      </c>
      <c r="L290" s="72">
        <f t="shared" si="36"/>
        <v>6.5184583333333341</v>
      </c>
      <c r="M290" s="109">
        <f t="shared" si="40"/>
        <v>1.8151111978573686</v>
      </c>
      <c r="N290" s="123" t="str">
        <f>VLOOKUP(C290,'RAW DATA 2023'!E:BO,36,0)</f>
        <v>Normal</v>
      </c>
      <c r="O290" s="63">
        <f>VLOOKUP(C290,'RAW DATA 2023'!E:BO,2,0)</f>
        <v>0.72</v>
      </c>
      <c r="P290" s="322">
        <f t="shared" si="39"/>
        <v>1.3068800624573054</v>
      </c>
    </row>
    <row r="291" spans="1:16">
      <c r="A291" s="63" t="str">
        <f>'RAW DATA 2023'!B284</f>
        <v>Roiphet1</v>
      </c>
      <c r="B291" s="63" t="str">
        <f>'RAW DATA 2023'!D284</f>
        <v>B5-G09-0084</v>
      </c>
      <c r="C291" s="63" t="str">
        <f t="shared" si="33"/>
        <v>Roiphet1B5-G09-0084</v>
      </c>
      <c r="D291" s="68">
        <f>VLOOKUP(C291,'RAW DATA 2023'!E:BP,63,0)</f>
        <v>5</v>
      </c>
      <c r="E291" s="68" t="str">
        <f t="shared" si="34"/>
        <v>Roiphet15</v>
      </c>
      <c r="F291" s="63" t="str">
        <f>VLOOKUP(C291,'RAW DATA 2023'!E:BO,5,0)</f>
        <v>Greenhouse</v>
      </c>
      <c r="G291" s="63">
        <f>VLOOKUP(C291,'RAW DATA 2023'!E:BO,13,0)</f>
        <v>212</v>
      </c>
      <c r="H291" s="63">
        <f t="shared" si="37"/>
        <v>200</v>
      </c>
      <c r="I291" s="63">
        <f t="shared" si="35"/>
        <v>11.259</v>
      </c>
      <c r="J291" s="106">
        <f>VLOOKUP(C291,'RAW DATA 2023'!E:BO,22,0)</f>
        <v>9.5306194690265507</v>
      </c>
      <c r="K291" s="70">
        <f t="shared" si="38"/>
        <v>0.84648898383751225</v>
      </c>
      <c r="L291" s="72">
        <f t="shared" si="36"/>
        <v>9.5306194690265507</v>
      </c>
      <c r="M291" s="109">
        <f t="shared" si="40"/>
        <v>4.6198531178334967</v>
      </c>
      <c r="N291" s="123" t="str">
        <f>VLOOKUP(C291,'RAW DATA 2023'!E:BO,36,0)</f>
        <v>Normal</v>
      </c>
      <c r="O291" s="63">
        <f>VLOOKUP(C291,'RAW DATA 2023'!E:BO,2,0)</f>
        <v>1.1299999999999999</v>
      </c>
      <c r="P291" s="322">
        <f t="shared" si="39"/>
        <v>5.2204340231518511</v>
      </c>
    </row>
    <row r="292" spans="1:16">
      <c r="A292" s="63" t="str">
        <f>'RAW DATA 2023'!B285</f>
        <v>Roiphet1</v>
      </c>
      <c r="B292" s="63" t="str">
        <f>'RAW DATA 2023'!D285</f>
        <v>B1-G01-0085</v>
      </c>
      <c r="C292" s="63" t="str">
        <f t="shared" si="33"/>
        <v>Roiphet1B1-G01-0085</v>
      </c>
      <c r="D292" s="68">
        <f>VLOOKUP(C292,'RAW DATA 2023'!E:BP,63,0)</f>
        <v>12</v>
      </c>
      <c r="E292" s="68" t="str">
        <f t="shared" si="34"/>
        <v>Roiphet112</v>
      </c>
      <c r="F292" s="63" t="str">
        <f>VLOOKUP(C292,'RAW DATA 2023'!E:BO,5,0)</f>
        <v>Greenhouse</v>
      </c>
      <c r="G292" s="63">
        <f>VLOOKUP(C292,'RAW DATA 2023'!E:BO,13,0)</f>
        <v>184</v>
      </c>
      <c r="H292" s="63">
        <f t="shared" si="37"/>
        <v>180</v>
      </c>
      <c r="I292" s="63">
        <f t="shared" si="35"/>
        <v>10.247</v>
      </c>
      <c r="J292" s="106">
        <f>VLOOKUP(C292,'RAW DATA 2023'!E:BO,22,0)</f>
        <v>9.8200088495575226</v>
      </c>
      <c r="K292" s="70">
        <f t="shared" si="38"/>
        <v>0.95833013072680029</v>
      </c>
      <c r="L292" s="72">
        <f t="shared" si="36"/>
        <v>9.8200088495575226</v>
      </c>
      <c r="M292" s="109">
        <f t="shared" si="40"/>
        <v>6.1110684096906711</v>
      </c>
      <c r="N292" s="123" t="str">
        <f>VLOOKUP(C292,'RAW DATA 2023'!E:BO,36,0)</f>
        <v>Normal</v>
      </c>
      <c r="O292" s="63">
        <f>VLOOKUP(C292,'RAW DATA 2023'!E:BO,2,0)</f>
        <v>1.1299999999999999</v>
      </c>
      <c r="P292" s="322">
        <f t="shared" si="39"/>
        <v>6.9055073029504577</v>
      </c>
    </row>
    <row r="293" spans="1:16">
      <c r="A293" s="63" t="str">
        <f>'RAW DATA 2023'!B286</f>
        <v>Roiphet1</v>
      </c>
      <c r="B293" s="63" t="str">
        <f>'RAW DATA 2023'!D286</f>
        <v>B6-I11-0083</v>
      </c>
      <c r="C293" s="63" t="str">
        <f t="shared" si="33"/>
        <v>Roiphet1B6-I11-0083</v>
      </c>
      <c r="D293" s="68">
        <f>VLOOKUP(C293,'RAW DATA 2023'!E:BP,63,0)</f>
        <v>6</v>
      </c>
      <c r="E293" s="68" t="str">
        <f t="shared" si="34"/>
        <v>Roiphet16</v>
      </c>
      <c r="F293" s="63" t="str">
        <f>VLOOKUP(C293,'RAW DATA 2023'!E:BO,5,0)</f>
        <v>Greenhouse</v>
      </c>
      <c r="G293" s="63">
        <f>VLOOKUP(C293,'RAW DATA 2023'!E:BO,13,0)</f>
        <v>147</v>
      </c>
      <c r="H293" s="63">
        <f t="shared" si="37"/>
        <v>150</v>
      </c>
      <c r="I293" s="63">
        <f t="shared" si="35"/>
        <v>9.1999999999999993</v>
      </c>
      <c r="J293" s="106">
        <f>VLOOKUP(C293,'RAW DATA 2023'!E:BO,22,0)</f>
        <v>6.1293055555555558</v>
      </c>
      <c r="K293" s="70">
        <f t="shared" si="38"/>
        <v>0.66622886473429954</v>
      </c>
      <c r="L293" s="72">
        <f t="shared" si="36"/>
        <v>6.1293055555555558</v>
      </c>
      <c r="M293" s="109">
        <f t="shared" si="40"/>
        <v>2.2163848631239942</v>
      </c>
      <c r="N293" s="123" t="str">
        <f>VLOOKUP(C293,'RAW DATA 2023'!E:BO,36,0)</f>
        <v>Normal</v>
      </c>
      <c r="O293" s="63">
        <f>VLOOKUP(C293,'RAW DATA 2023'!E:BO,2,0)</f>
        <v>0.72</v>
      </c>
      <c r="P293" s="322">
        <f t="shared" si="39"/>
        <v>1.5957971014492758</v>
      </c>
    </row>
    <row r="294" spans="1:16">
      <c r="A294" s="63" t="str">
        <f>'RAW DATA 2023'!B287</f>
        <v>Roiphet1</v>
      </c>
      <c r="B294" s="63" t="str">
        <f>'RAW DATA 2023'!D287</f>
        <v>B5-I09-0094</v>
      </c>
      <c r="C294" s="63" t="str">
        <f t="shared" si="33"/>
        <v>Roiphet1B5-I09-0094</v>
      </c>
      <c r="D294" s="68">
        <f>VLOOKUP(C294,'RAW DATA 2023'!E:BP,63,0)</f>
        <v>7</v>
      </c>
      <c r="E294" s="68" t="str">
        <f t="shared" si="34"/>
        <v>Roiphet17</v>
      </c>
      <c r="F294" s="63" t="str">
        <f>VLOOKUP(C294,'RAW DATA 2023'!E:BO,5,0)</f>
        <v>Greenhouse</v>
      </c>
      <c r="G294" s="63">
        <f>VLOOKUP(C294,'RAW DATA 2023'!E:BO,13,0)</f>
        <v>167</v>
      </c>
      <c r="H294" s="63">
        <f t="shared" si="37"/>
        <v>180</v>
      </c>
      <c r="I294" s="63">
        <f t="shared" si="35"/>
        <v>10.247</v>
      </c>
      <c r="J294" s="106">
        <f>VLOOKUP(C294,'RAW DATA 2023'!E:BO,22,0)</f>
        <v>3.8736527777777785</v>
      </c>
      <c r="K294" s="70">
        <f t="shared" si="38"/>
        <v>0.3780279865109572</v>
      </c>
      <c r="L294" s="72">
        <f t="shared" si="36"/>
        <v>3.8736527777777785</v>
      </c>
      <c r="M294" s="109">
        <f t="shared" si="40"/>
        <v>-1.6262935131872374</v>
      </c>
      <c r="N294" s="123" t="str">
        <f>VLOOKUP(C294,'RAW DATA 2023'!E:BO,36,0)</f>
        <v>ทยอยตาย</v>
      </c>
      <c r="O294" s="63">
        <f>VLOOKUP(C294,'RAW DATA 2023'!E:BO,2,0)</f>
        <v>0.72</v>
      </c>
      <c r="P294" s="322">
        <f t="shared" si="39"/>
        <v>-1.1709313294948109</v>
      </c>
    </row>
    <row r="295" spans="1:16">
      <c r="A295" s="63" t="str">
        <f>'RAW DATA 2023'!B288</f>
        <v>Roiphet1</v>
      </c>
      <c r="B295" s="63" t="str">
        <f>'RAW DATA 2023'!D288</f>
        <v>B5-G09-0085</v>
      </c>
      <c r="C295" s="63" t="str">
        <f t="shared" si="33"/>
        <v>Roiphet1B5-G09-0085</v>
      </c>
      <c r="D295" s="68">
        <f>VLOOKUP(C295,'RAW DATA 2023'!E:BP,63,0)</f>
        <v>7</v>
      </c>
      <c r="E295" s="68" t="str">
        <f t="shared" si="34"/>
        <v>Roiphet17</v>
      </c>
      <c r="F295" s="63" t="str">
        <f>VLOOKUP(C295,'RAW DATA 2023'!E:BO,5,0)</f>
        <v>Greenhouse</v>
      </c>
      <c r="G295" s="63">
        <f>VLOOKUP(C295,'RAW DATA 2023'!E:BO,13,0)</f>
        <v>184</v>
      </c>
      <c r="H295" s="63">
        <f t="shared" si="37"/>
        <v>180</v>
      </c>
      <c r="I295" s="63">
        <f t="shared" si="35"/>
        <v>10.247</v>
      </c>
      <c r="J295" s="106">
        <f>VLOOKUP(C295,'RAW DATA 2023'!E:BO,22,0)</f>
        <v>5.2008849557522128</v>
      </c>
      <c r="K295" s="70">
        <f t="shared" si="38"/>
        <v>0.50755196211107767</v>
      </c>
      <c r="L295" s="72">
        <f t="shared" si="36"/>
        <v>5.2008849557522128</v>
      </c>
      <c r="M295" s="109">
        <f t="shared" si="40"/>
        <v>0.10069282814770228</v>
      </c>
      <c r="N295" s="123" t="str">
        <f>VLOOKUP(C295,'RAW DATA 2023'!E:BO,36,0)</f>
        <v>ทยอยตาย</v>
      </c>
      <c r="O295" s="63">
        <f>VLOOKUP(C295,'RAW DATA 2023'!E:BO,2,0)</f>
        <v>1.1299999999999999</v>
      </c>
      <c r="P295" s="322">
        <f t="shared" si="39"/>
        <v>0.11378289580690357</v>
      </c>
    </row>
    <row r="296" spans="1:16">
      <c r="A296" s="63" t="str">
        <f>'RAW DATA 2023'!B289</f>
        <v>Roiphet1</v>
      </c>
      <c r="B296" s="63" t="str">
        <f>'RAW DATA 2023'!D289</f>
        <v>B2-I03-0095</v>
      </c>
      <c r="C296" s="63" t="str">
        <f t="shared" si="33"/>
        <v>Roiphet1B2-I03-0095</v>
      </c>
      <c r="D296" s="68">
        <f>VLOOKUP(C296,'RAW DATA 2023'!E:BP,63,0)</f>
        <v>6</v>
      </c>
      <c r="E296" s="68" t="str">
        <f t="shared" si="34"/>
        <v>Roiphet16</v>
      </c>
      <c r="F296" s="63" t="str">
        <f>VLOOKUP(C296,'RAW DATA 2023'!E:BO,5,0)</f>
        <v>Greenhouse</v>
      </c>
      <c r="G296" s="63">
        <f>VLOOKUP(C296,'RAW DATA 2023'!E:BO,13,0)</f>
        <v>134</v>
      </c>
      <c r="H296" s="63">
        <f t="shared" si="37"/>
        <v>100</v>
      </c>
      <c r="I296" s="63">
        <f t="shared" si="35"/>
        <v>0</v>
      </c>
      <c r="J296" s="106">
        <f>VLOOKUP(C296,'RAW DATA 2023'!E:BO,22,0)</f>
        <v>4.5602777777777774</v>
      </c>
      <c r="K296" s="70" t="e">
        <f t="shared" si="38"/>
        <v>#DIV/0!</v>
      </c>
      <c r="L296" s="72">
        <f t="shared" si="36"/>
        <v>4.5602777777777774</v>
      </c>
      <c r="M296" s="109" t="e">
        <f t="shared" si="40"/>
        <v>#DIV/0!</v>
      </c>
      <c r="N296" s="123" t="str">
        <f>VLOOKUP(C296,'RAW DATA 2023'!E:BO,36,0)</f>
        <v>ทยอยตาย</v>
      </c>
      <c r="O296" s="63">
        <f>VLOOKUP(C296,'RAW DATA 2023'!E:BO,2,0)</f>
        <v>0.72</v>
      </c>
      <c r="P296" s="322" t="e">
        <f t="shared" si="39"/>
        <v>#DIV/0!</v>
      </c>
    </row>
    <row r="297" spans="1:16">
      <c r="A297" s="63" t="str">
        <f>'RAW DATA 2023'!B290</f>
        <v>Roiphet1</v>
      </c>
      <c r="B297" s="63" t="str">
        <f>'RAW DATA 2023'!D290</f>
        <v>B3-G05-0092</v>
      </c>
      <c r="C297" s="63" t="str">
        <f t="shared" si="33"/>
        <v>Roiphet1B3-G05-0092</v>
      </c>
      <c r="D297" s="68">
        <f>VLOOKUP(C297,'RAW DATA 2023'!E:BP,63,0)</f>
        <v>5</v>
      </c>
      <c r="E297" s="68" t="str">
        <f t="shared" si="34"/>
        <v>Roiphet15</v>
      </c>
      <c r="F297" s="63" t="str">
        <f>VLOOKUP(C297,'RAW DATA 2023'!E:BO,5,0)</f>
        <v>Greenhouse</v>
      </c>
      <c r="G297" s="63">
        <f>VLOOKUP(C297,'RAW DATA 2023'!E:BO,13,0)</f>
        <v>142</v>
      </c>
      <c r="H297" s="63">
        <f t="shared" si="37"/>
        <v>150</v>
      </c>
      <c r="I297" s="63">
        <f t="shared" si="35"/>
        <v>9.1999999999999993</v>
      </c>
      <c r="J297" s="106">
        <f>VLOOKUP(C297,'RAW DATA 2023'!E:BO,22,0)</f>
        <v>7.7662212389380532</v>
      </c>
      <c r="K297" s="70">
        <f t="shared" si="38"/>
        <v>0.84415448249326674</v>
      </c>
      <c r="L297" s="72">
        <f t="shared" si="36"/>
        <v>7.7662212389380532</v>
      </c>
      <c r="M297" s="109">
        <f t="shared" si="40"/>
        <v>4.5887264332435569</v>
      </c>
      <c r="N297" s="123" t="str">
        <f>VLOOKUP(C297,'RAW DATA 2023'!E:BO,36,0)</f>
        <v>Normal</v>
      </c>
      <c r="O297" s="63">
        <f>VLOOKUP(C297,'RAW DATA 2023'!E:BO,2,0)</f>
        <v>1.1299999999999999</v>
      </c>
      <c r="P297" s="322">
        <f t="shared" si="39"/>
        <v>5.1852608695652185</v>
      </c>
    </row>
    <row r="298" spans="1:16">
      <c r="A298" s="63" t="str">
        <f>'RAW DATA 2023'!B291</f>
        <v>Roiphet1</v>
      </c>
      <c r="B298" s="63" t="str">
        <f>'RAW DATA 2023'!D291</f>
        <v>B3-G06-0081</v>
      </c>
      <c r="C298" s="63" t="str">
        <f t="shared" si="33"/>
        <v>Roiphet1B3-G06-0081</v>
      </c>
      <c r="D298" s="68">
        <f>VLOOKUP(C298,'RAW DATA 2023'!E:BP,63,0)</f>
        <v>6</v>
      </c>
      <c r="E298" s="68" t="str">
        <f t="shared" si="34"/>
        <v>Roiphet16</v>
      </c>
      <c r="F298" s="63" t="str">
        <f>VLOOKUP(C298,'RAW DATA 2023'!E:BO,5,0)</f>
        <v>Greenhouse</v>
      </c>
      <c r="G298" s="63">
        <f>VLOOKUP(C298,'RAW DATA 2023'!E:BO,13,0)</f>
        <v>155</v>
      </c>
      <c r="H298" s="63">
        <f t="shared" si="37"/>
        <v>150</v>
      </c>
      <c r="I298" s="63">
        <f t="shared" si="35"/>
        <v>9.1999999999999993</v>
      </c>
      <c r="J298" s="106">
        <f>VLOOKUP(C298,'RAW DATA 2023'!E:BO,22,0)</f>
        <v>8.9557256637168141</v>
      </c>
      <c r="K298" s="70">
        <f t="shared" si="38"/>
        <v>0.97344844170834943</v>
      </c>
      <c r="L298" s="72">
        <f t="shared" si="36"/>
        <v>8.9557256637168141</v>
      </c>
      <c r="M298" s="109">
        <f t="shared" si="40"/>
        <v>6.3126458894446591</v>
      </c>
      <c r="N298" s="123" t="str">
        <f>VLOOKUP(C298,'RAW DATA 2023'!E:BO,36,0)</f>
        <v>Normal</v>
      </c>
      <c r="O298" s="63">
        <f>VLOOKUP(C298,'RAW DATA 2023'!E:BO,2,0)</f>
        <v>1.1299999999999999</v>
      </c>
      <c r="P298" s="322">
        <f t="shared" si="39"/>
        <v>7.1332898550724639</v>
      </c>
    </row>
    <row r="299" spans="1:16">
      <c r="A299" s="63" t="str">
        <f>'RAW DATA 2023'!B292</f>
        <v>Roiphet1</v>
      </c>
      <c r="B299" s="63" t="str">
        <f>'RAW DATA 2023'!D292</f>
        <v>B4-G08-0080</v>
      </c>
      <c r="C299" s="63" t="str">
        <f t="shared" si="33"/>
        <v>Roiphet1B4-G08-0080</v>
      </c>
      <c r="D299" s="68">
        <f>VLOOKUP(C299,'RAW DATA 2023'!E:BP,63,0)</f>
        <v>7</v>
      </c>
      <c r="E299" s="68" t="str">
        <f t="shared" si="34"/>
        <v>Roiphet17</v>
      </c>
      <c r="F299" s="63" t="str">
        <f>VLOOKUP(C299,'RAW DATA 2023'!E:BO,5,0)</f>
        <v>Greenhouse</v>
      </c>
      <c r="G299" s="63">
        <f>VLOOKUP(C299,'RAW DATA 2023'!E:BO,13,0)</f>
        <v>147</v>
      </c>
      <c r="H299" s="63">
        <f t="shared" si="37"/>
        <v>150</v>
      </c>
      <c r="I299" s="63">
        <f t="shared" si="35"/>
        <v>9.1999999999999993</v>
      </c>
      <c r="J299" s="106">
        <f>VLOOKUP(C299,'RAW DATA 2023'!E:BO,22,0)</f>
        <v>6.6914601769911508</v>
      </c>
      <c r="K299" s="70">
        <f t="shared" si="38"/>
        <v>0.72733262793382081</v>
      </c>
      <c r="L299" s="72">
        <f t="shared" si="36"/>
        <v>6.6914601769911508</v>
      </c>
      <c r="M299" s="109">
        <f t="shared" si="40"/>
        <v>3.0311017057842777</v>
      </c>
      <c r="N299" s="123" t="str">
        <f>VLOOKUP(C299,'RAW DATA 2023'!E:BO,36,0)</f>
        <v>ทยอยตาย</v>
      </c>
      <c r="O299" s="63">
        <f>VLOOKUP(C299,'RAW DATA 2023'!E:BO,2,0)</f>
        <v>1.1299999999999999</v>
      </c>
      <c r="P299" s="322">
        <f t="shared" si="39"/>
        <v>3.4251449275362336</v>
      </c>
    </row>
    <row r="300" spans="1:16">
      <c r="A300" s="63" t="str">
        <f>'RAW DATA 2023'!B293</f>
        <v>Roiphet1</v>
      </c>
      <c r="B300" s="63" t="str">
        <f>'RAW DATA 2023'!D293</f>
        <v>B4-I07-0089</v>
      </c>
      <c r="C300" s="63" t="str">
        <f t="shared" si="33"/>
        <v>Roiphet1B4-I07-0089</v>
      </c>
      <c r="D300" s="68">
        <f>VLOOKUP(C300,'RAW DATA 2023'!E:BP,63,0)</f>
        <v>7</v>
      </c>
      <c r="E300" s="68" t="str">
        <f t="shared" si="34"/>
        <v>Roiphet17</v>
      </c>
      <c r="F300" s="63" t="str">
        <f>VLOOKUP(C300,'RAW DATA 2023'!E:BO,5,0)</f>
        <v>Greenhouse</v>
      </c>
      <c r="G300" s="63">
        <f>VLOOKUP(C300,'RAW DATA 2023'!E:BO,13,0)</f>
        <v>134</v>
      </c>
      <c r="H300" s="63">
        <f t="shared" si="37"/>
        <v>100</v>
      </c>
      <c r="I300" s="63">
        <f t="shared" si="35"/>
        <v>0</v>
      </c>
      <c r="J300" s="106">
        <f>VLOOKUP(C300,'RAW DATA 2023'!E:BO,22,0)</f>
        <v>5.0922083333333337</v>
      </c>
      <c r="K300" s="70" t="e">
        <f t="shared" si="38"/>
        <v>#DIV/0!</v>
      </c>
      <c r="L300" s="72">
        <f t="shared" si="36"/>
        <v>5.0922083333333337</v>
      </c>
      <c r="M300" s="109" t="e">
        <f t="shared" si="40"/>
        <v>#DIV/0!</v>
      </c>
      <c r="N300" s="123" t="str">
        <f>VLOOKUP(C300,'RAW DATA 2023'!E:BO,36,0)</f>
        <v>ทยอยตาย</v>
      </c>
      <c r="O300" s="63">
        <f>VLOOKUP(C300,'RAW DATA 2023'!E:BO,2,0)</f>
        <v>0.72</v>
      </c>
      <c r="P300" s="322" t="e">
        <f t="shared" si="39"/>
        <v>#DIV/0!</v>
      </c>
    </row>
    <row r="301" spans="1:16">
      <c r="A301" s="63" t="str">
        <f>'RAW DATA 2023'!B294</f>
        <v>Roiphet1</v>
      </c>
      <c r="B301" s="63" t="str">
        <f>'RAW DATA 2023'!D294</f>
        <v>B3-I05-0092</v>
      </c>
      <c r="C301" s="63" t="str">
        <f t="shared" si="33"/>
        <v>Roiphet1B3-I05-0092</v>
      </c>
      <c r="D301" s="68">
        <f>VLOOKUP(C301,'RAW DATA 2023'!E:BP,63,0)</f>
        <v>5</v>
      </c>
      <c r="E301" s="68" t="str">
        <f t="shared" si="34"/>
        <v>Roiphet15</v>
      </c>
      <c r="F301" s="63" t="str">
        <f>VLOOKUP(C301,'RAW DATA 2023'!E:BO,5,0)</f>
        <v>Greenhouse</v>
      </c>
      <c r="G301" s="63">
        <f>VLOOKUP(C301,'RAW DATA 2023'!E:BO,13,0)</f>
        <v>147</v>
      </c>
      <c r="H301" s="63">
        <f t="shared" si="37"/>
        <v>150</v>
      </c>
      <c r="I301" s="63">
        <f t="shared" si="35"/>
        <v>9.1999999999999993</v>
      </c>
      <c r="J301" s="106">
        <f>VLOOKUP(C301,'RAW DATA 2023'!E:BO,22,0)</f>
        <v>6.2116111111111119</v>
      </c>
      <c r="K301" s="70">
        <f t="shared" si="38"/>
        <v>0.67517512077294695</v>
      </c>
      <c r="L301" s="72">
        <f t="shared" si="36"/>
        <v>6.2116111111111119</v>
      </c>
      <c r="M301" s="109">
        <f t="shared" si="40"/>
        <v>2.3356682769726262</v>
      </c>
      <c r="N301" s="123" t="str">
        <f>VLOOKUP(C301,'RAW DATA 2023'!E:BO,36,0)</f>
        <v>Normal</v>
      </c>
      <c r="O301" s="63">
        <f>VLOOKUP(C301,'RAW DATA 2023'!E:BO,2,0)</f>
        <v>0.72</v>
      </c>
      <c r="P301" s="322">
        <f t="shared" si="39"/>
        <v>1.6816811594202907</v>
      </c>
    </row>
    <row r="302" spans="1:16">
      <c r="A302" s="63" t="str">
        <f>'RAW DATA 2023'!B295</f>
        <v>Roiphet1</v>
      </c>
      <c r="B302" s="63" t="str">
        <f>'RAW DATA 2023'!D295</f>
        <v>B4-G07-0077</v>
      </c>
      <c r="C302" s="63" t="str">
        <f t="shared" si="33"/>
        <v>Roiphet1B4-G07-0077</v>
      </c>
      <c r="D302" s="68">
        <f>VLOOKUP(C302,'RAW DATA 2023'!E:BP,63,0)</f>
        <v>7</v>
      </c>
      <c r="E302" s="68" t="str">
        <f t="shared" si="34"/>
        <v>Roiphet17</v>
      </c>
      <c r="F302" s="63" t="str">
        <f>VLOOKUP(C302,'RAW DATA 2023'!E:BO,5,0)</f>
        <v>Greenhouse</v>
      </c>
      <c r="G302" s="63">
        <f>VLOOKUP(C302,'RAW DATA 2023'!E:BO,13,0)</f>
        <v>147</v>
      </c>
      <c r="H302" s="63">
        <f t="shared" si="37"/>
        <v>150</v>
      </c>
      <c r="I302" s="63">
        <f t="shared" si="35"/>
        <v>9.1999999999999993</v>
      </c>
      <c r="J302" s="106">
        <f>VLOOKUP(C302,'RAW DATA 2023'!E:BO,22,0)</f>
        <v>5.6413008849557524</v>
      </c>
      <c r="K302" s="70">
        <f t="shared" si="38"/>
        <v>0.61318487879953831</v>
      </c>
      <c r="L302" s="72">
        <f t="shared" si="36"/>
        <v>5.6413008849557524</v>
      </c>
      <c r="M302" s="109">
        <f t="shared" si="40"/>
        <v>1.5091317173271777</v>
      </c>
      <c r="N302" s="123" t="str">
        <f>VLOOKUP(C302,'RAW DATA 2023'!E:BO,36,0)</f>
        <v>Normal</v>
      </c>
      <c r="O302" s="63">
        <f>VLOOKUP(C302,'RAW DATA 2023'!E:BO,2,0)</f>
        <v>1.1299999999999999</v>
      </c>
      <c r="P302" s="322">
        <f t="shared" si="39"/>
        <v>1.7053188405797106</v>
      </c>
    </row>
    <row r="303" spans="1:16">
      <c r="A303" s="63" t="str">
        <f>'RAW DATA 2023'!B296</f>
        <v>Roiphet1</v>
      </c>
      <c r="B303" s="63" t="str">
        <f>'RAW DATA 2023'!D296</f>
        <v>B6-I12-0087</v>
      </c>
      <c r="C303" s="63" t="str">
        <f t="shared" si="33"/>
        <v>Roiphet1B6-I12-0087</v>
      </c>
      <c r="D303" s="68">
        <f>VLOOKUP(C303,'RAW DATA 2023'!E:BP,63,0)</f>
        <v>8</v>
      </c>
      <c r="E303" s="68" t="str">
        <f t="shared" si="34"/>
        <v>Roiphet18</v>
      </c>
      <c r="F303" s="63" t="str">
        <f>VLOOKUP(C303,'RAW DATA 2023'!E:BO,5,0)</f>
        <v>Greenhouse</v>
      </c>
      <c r="G303" s="63">
        <f>VLOOKUP(C303,'RAW DATA 2023'!E:BO,13,0)</f>
        <v>167</v>
      </c>
      <c r="H303" s="63">
        <f t="shared" si="37"/>
        <v>180</v>
      </c>
      <c r="I303" s="63">
        <f t="shared" si="35"/>
        <v>10.247</v>
      </c>
      <c r="J303" s="106">
        <f>VLOOKUP(C303,'RAW DATA 2023'!E:BO,22,0)</f>
        <v>3.3106944444444442</v>
      </c>
      <c r="K303" s="70">
        <f t="shared" si="38"/>
        <v>0.3230891426216887</v>
      </c>
      <c r="L303" s="72">
        <f t="shared" si="36"/>
        <v>3.3106944444444442</v>
      </c>
      <c r="M303" s="109">
        <f t="shared" si="40"/>
        <v>-2.3588114317108175</v>
      </c>
      <c r="N303" s="123" t="str">
        <f>VLOOKUP(C303,'RAW DATA 2023'!E:BO,36,0)</f>
        <v>EHP</v>
      </c>
      <c r="O303" s="63">
        <f>VLOOKUP(C303,'RAW DATA 2023'!E:BO,2,0)</f>
        <v>0.72</v>
      </c>
      <c r="P303" s="322">
        <f t="shared" si="39"/>
        <v>-1.6983442308317886</v>
      </c>
    </row>
    <row r="304" spans="1:16">
      <c r="A304" s="63" t="str">
        <f>'RAW DATA 2023'!B297</f>
        <v>Roiphet1</v>
      </c>
      <c r="B304" s="63" t="str">
        <f>'RAW DATA 2023'!D297</f>
        <v>B1-I02-0095</v>
      </c>
      <c r="C304" s="63" t="str">
        <f t="shared" si="33"/>
        <v>Roiphet1B1-I02-0095</v>
      </c>
      <c r="D304" s="68">
        <f>VLOOKUP(C304,'RAW DATA 2023'!E:BP,63,0)</f>
        <v>6</v>
      </c>
      <c r="E304" s="68" t="str">
        <f t="shared" si="34"/>
        <v>Roiphet16</v>
      </c>
      <c r="F304" s="63" t="str">
        <f>VLOOKUP(C304,'RAW DATA 2023'!E:BO,5,0)</f>
        <v>Greenhouse</v>
      </c>
      <c r="G304" s="63">
        <f>VLOOKUP(C304,'RAW DATA 2023'!E:BO,13,0)</f>
        <v>134</v>
      </c>
      <c r="H304" s="63">
        <f t="shared" si="37"/>
        <v>100</v>
      </c>
      <c r="I304" s="63">
        <f t="shared" si="35"/>
        <v>0</v>
      </c>
      <c r="J304" s="106">
        <f>VLOOKUP(C304,'RAW DATA 2023'!E:BO,22,0)</f>
        <v>7.8475972222222232</v>
      </c>
      <c r="K304" s="70" t="e">
        <f t="shared" si="38"/>
        <v>#DIV/0!</v>
      </c>
      <c r="L304" s="72">
        <f t="shared" si="36"/>
        <v>7.8475972222222232</v>
      </c>
      <c r="M304" s="109" t="e">
        <f t="shared" si="40"/>
        <v>#DIV/0!</v>
      </c>
      <c r="N304" s="123" t="str">
        <f>VLOOKUP(C304,'RAW DATA 2023'!E:BO,36,0)</f>
        <v>ทยอยตาย</v>
      </c>
      <c r="O304" s="63">
        <f>VLOOKUP(C304,'RAW DATA 2023'!E:BO,2,0)</f>
        <v>0.72</v>
      </c>
      <c r="P304" s="322" t="e">
        <f t="shared" si="39"/>
        <v>#DIV/0!</v>
      </c>
    </row>
    <row r="305" spans="1:16">
      <c r="A305" s="63" t="str">
        <f>'RAW DATA 2023'!B298</f>
        <v>Roiphet1</v>
      </c>
      <c r="B305" s="63" t="str">
        <f>'RAW DATA 2023'!D298</f>
        <v>B1-G01-0084</v>
      </c>
      <c r="C305" s="63" t="str">
        <f t="shared" si="33"/>
        <v>Roiphet1B1-G01-0084</v>
      </c>
      <c r="D305" s="68">
        <f>VLOOKUP(C305,'RAW DATA 2023'!E:BP,63,0)</f>
        <v>6</v>
      </c>
      <c r="E305" s="68" t="str">
        <f t="shared" si="34"/>
        <v>Roiphet16</v>
      </c>
      <c r="F305" s="63" t="str">
        <f>VLOOKUP(C305,'RAW DATA 2023'!E:BO,5,0)</f>
        <v>Greenhouse</v>
      </c>
      <c r="G305" s="63">
        <f>VLOOKUP(C305,'RAW DATA 2023'!E:BO,13,0)</f>
        <v>147</v>
      </c>
      <c r="H305" s="63">
        <f t="shared" si="37"/>
        <v>150</v>
      </c>
      <c r="I305" s="63">
        <f t="shared" si="35"/>
        <v>9.1999999999999993</v>
      </c>
      <c r="J305" s="106">
        <f>VLOOKUP(C305,'RAW DATA 2023'!E:BO,22,0)</f>
        <v>7.0180530973451329</v>
      </c>
      <c r="K305" s="70">
        <f t="shared" si="38"/>
        <v>0.76283185840707968</v>
      </c>
      <c r="L305" s="72">
        <f t="shared" si="36"/>
        <v>7.0180530973451329</v>
      </c>
      <c r="M305" s="109">
        <f t="shared" si="40"/>
        <v>3.5044247787610625</v>
      </c>
      <c r="N305" s="123" t="str">
        <f>VLOOKUP(C305,'RAW DATA 2023'!E:BO,36,0)</f>
        <v>ทยอยตาย</v>
      </c>
      <c r="O305" s="63">
        <f>VLOOKUP(C305,'RAW DATA 2023'!E:BO,2,0)</f>
        <v>1.1299999999999999</v>
      </c>
      <c r="P305" s="322">
        <f t="shared" si="39"/>
        <v>3.9600000000000004</v>
      </c>
    </row>
    <row r="306" spans="1:16">
      <c r="A306" s="63" t="str">
        <f>'RAW DATA 2023'!B299</f>
        <v>Roiphet1</v>
      </c>
      <c r="B306" s="63" t="str">
        <f>'RAW DATA 2023'!D299</f>
        <v>B3-I05-0093</v>
      </c>
      <c r="C306" s="63" t="str">
        <f t="shared" si="33"/>
        <v>Roiphet1B3-I05-0093</v>
      </c>
      <c r="D306" s="68">
        <f>VLOOKUP(C306,'RAW DATA 2023'!E:BP,63,0)</f>
        <v>8</v>
      </c>
      <c r="E306" s="68" t="str">
        <f t="shared" si="34"/>
        <v>Roiphet18</v>
      </c>
      <c r="F306" s="63" t="str">
        <f>VLOOKUP(C306,'RAW DATA 2023'!E:BO,5,0)</f>
        <v>Greenhouse</v>
      </c>
      <c r="G306" s="63">
        <f>VLOOKUP(C306,'RAW DATA 2023'!E:BO,13,0)</f>
        <v>167</v>
      </c>
      <c r="H306" s="63">
        <f t="shared" si="37"/>
        <v>180</v>
      </c>
      <c r="I306" s="63">
        <f t="shared" si="35"/>
        <v>10.247</v>
      </c>
      <c r="J306" s="106">
        <f>VLOOKUP(C306,'RAW DATA 2023'!E:BO,22,0)</f>
        <v>2.9153472222222225</v>
      </c>
      <c r="K306" s="70">
        <f t="shared" si="38"/>
        <v>0.28450738969671341</v>
      </c>
      <c r="L306" s="72">
        <f t="shared" si="36"/>
        <v>2.9153472222222225</v>
      </c>
      <c r="M306" s="109">
        <f t="shared" si="40"/>
        <v>-2.8732348040438214</v>
      </c>
      <c r="N306" s="123" t="str">
        <f>VLOOKUP(C306,'RAW DATA 2023'!E:BO,36,0)</f>
        <v>EHP</v>
      </c>
      <c r="O306" s="63">
        <f>VLOOKUP(C306,'RAW DATA 2023'!E:BO,2,0)</f>
        <v>0.72</v>
      </c>
      <c r="P306" s="322">
        <f t="shared" si="39"/>
        <v>-2.0687290589115515</v>
      </c>
    </row>
    <row r="307" spans="1:16">
      <c r="A307" s="63" t="str">
        <f>'RAW DATA 2023'!B300</f>
        <v>Roiphet1</v>
      </c>
      <c r="B307" s="63" t="str">
        <f>'RAW DATA 2023'!D300</f>
        <v>B5-G10-0084</v>
      </c>
      <c r="C307" s="63" t="str">
        <f t="shared" si="33"/>
        <v>Roiphet1B5-G10-0084</v>
      </c>
      <c r="D307" s="68">
        <f>VLOOKUP(C307,'RAW DATA 2023'!E:BP,63,0)</f>
        <v>7</v>
      </c>
      <c r="E307" s="68" t="str">
        <f t="shared" si="34"/>
        <v>Roiphet17</v>
      </c>
      <c r="F307" s="63" t="str">
        <f>VLOOKUP(C307,'RAW DATA 2023'!E:BO,5,0)</f>
        <v>Greenhouse</v>
      </c>
      <c r="G307" s="63">
        <f>VLOOKUP(C307,'RAW DATA 2023'!E:BO,13,0)</f>
        <v>166</v>
      </c>
      <c r="H307" s="63">
        <f t="shared" si="37"/>
        <v>180</v>
      </c>
      <c r="I307" s="63">
        <f t="shared" si="35"/>
        <v>10.247</v>
      </c>
      <c r="J307" s="106">
        <f>VLOOKUP(C307,'RAW DATA 2023'!E:BO,22,0)</f>
        <v>2.4771415929203542</v>
      </c>
      <c r="K307" s="70">
        <f t="shared" si="38"/>
        <v>0.24174310460821258</v>
      </c>
      <c r="L307" s="72">
        <f t="shared" si="36"/>
        <v>2.4771415929203542</v>
      </c>
      <c r="M307" s="109">
        <f t="shared" si="40"/>
        <v>-3.443425271890499</v>
      </c>
      <c r="N307" s="123" t="str">
        <f>VLOOKUP(C307,'RAW DATA 2023'!E:BO,36,0)</f>
        <v>ทยอยตาย</v>
      </c>
      <c r="O307" s="63">
        <f>VLOOKUP(C307,'RAW DATA 2023'!E:BO,2,0)</f>
        <v>1.1299999999999999</v>
      </c>
      <c r="P307" s="322">
        <f t="shared" si="39"/>
        <v>-3.8910705572362634</v>
      </c>
    </row>
    <row r="308" spans="1:16">
      <c r="A308" s="63" t="str">
        <f>'RAW DATA 2023'!B301</f>
        <v>Roiphet1</v>
      </c>
      <c r="B308" s="63" t="str">
        <f>'RAW DATA 2023'!D301</f>
        <v>B6-I11-0084</v>
      </c>
      <c r="C308" s="63" t="str">
        <f t="shared" si="33"/>
        <v>Roiphet1B6-I11-0084</v>
      </c>
      <c r="D308" s="68">
        <f>VLOOKUP(C308,'RAW DATA 2023'!E:BP,63,0)</f>
        <v>8</v>
      </c>
      <c r="E308" s="68" t="str">
        <f t="shared" si="34"/>
        <v>Roiphet18</v>
      </c>
      <c r="F308" s="63" t="str">
        <f>VLOOKUP(C308,'RAW DATA 2023'!E:BO,5,0)</f>
        <v>Greenhouse</v>
      </c>
      <c r="G308" s="63">
        <f>VLOOKUP(C308,'RAW DATA 2023'!E:BO,13,0)</f>
        <v>167</v>
      </c>
      <c r="H308" s="63">
        <f t="shared" si="37"/>
        <v>180</v>
      </c>
      <c r="I308" s="63">
        <f t="shared" si="35"/>
        <v>10.247</v>
      </c>
      <c r="J308" s="106">
        <f>VLOOKUP(C308,'RAW DATA 2023'!E:BO,22,0)</f>
        <v>2.6742222222222223</v>
      </c>
      <c r="K308" s="70">
        <f t="shared" si="38"/>
        <v>0.26097611224965572</v>
      </c>
      <c r="L308" s="72">
        <f t="shared" si="36"/>
        <v>2.6742222222222223</v>
      </c>
      <c r="M308" s="109">
        <f t="shared" si="40"/>
        <v>-3.1869851700045904</v>
      </c>
      <c r="N308" s="123" t="str">
        <f>VLOOKUP(C308,'RAW DATA 2023'!E:BO,36,0)</f>
        <v>EHP</v>
      </c>
      <c r="O308" s="63">
        <f>VLOOKUP(C308,'RAW DATA 2023'!E:BO,2,0)</f>
        <v>0.72</v>
      </c>
      <c r="P308" s="322">
        <f t="shared" si="39"/>
        <v>-2.294629322403305</v>
      </c>
    </row>
    <row r="309" spans="1:16">
      <c r="A309" s="63" t="str">
        <f>'RAW DATA 2023'!B302</f>
        <v>Roiphet1</v>
      </c>
      <c r="B309" s="63" t="str">
        <f>'RAW DATA 2023'!D302</f>
        <v>B3-G06-0082</v>
      </c>
      <c r="C309" s="63" t="str">
        <f t="shared" si="33"/>
        <v>Roiphet1B3-G06-0082</v>
      </c>
      <c r="D309" s="68">
        <f>VLOOKUP(C309,'RAW DATA 2023'!E:BP,63,0)</f>
        <v>8</v>
      </c>
      <c r="E309" s="68" t="str">
        <f t="shared" si="34"/>
        <v>Roiphet18</v>
      </c>
      <c r="F309" s="63" t="str">
        <f>VLOOKUP(C309,'RAW DATA 2023'!E:BO,5,0)</f>
        <v>Greenhouse</v>
      </c>
      <c r="G309" s="63">
        <f>VLOOKUP(C309,'RAW DATA 2023'!E:BO,13,0)</f>
        <v>203</v>
      </c>
      <c r="H309" s="63">
        <f t="shared" si="37"/>
        <v>200</v>
      </c>
      <c r="I309" s="63">
        <f t="shared" si="35"/>
        <v>11.259</v>
      </c>
      <c r="J309" s="106">
        <f>VLOOKUP(C309,'RAW DATA 2023'!E:BO,22,0)</f>
        <v>4.0597610619469036</v>
      </c>
      <c r="K309" s="70">
        <f t="shared" si="38"/>
        <v>0.36057918660155464</v>
      </c>
      <c r="L309" s="72">
        <f t="shared" si="36"/>
        <v>4.0597610619469036</v>
      </c>
      <c r="M309" s="109">
        <f t="shared" si="40"/>
        <v>-1.8589441786459382</v>
      </c>
      <c r="N309" s="123" t="str">
        <f>VLOOKUP(C309,'RAW DATA 2023'!E:BO,36,0)</f>
        <v>EHP</v>
      </c>
      <c r="O309" s="63">
        <f>VLOOKUP(C309,'RAW DATA 2023'!E:BO,2,0)</f>
        <v>1.1299999999999999</v>
      </c>
      <c r="P309" s="322">
        <f t="shared" si="39"/>
        <v>-2.1006069218699102</v>
      </c>
    </row>
    <row r="310" spans="1:16">
      <c r="A310" s="63" t="str">
        <f>'RAW DATA 2023'!B303</f>
        <v>Roiphet1</v>
      </c>
      <c r="B310" s="63" t="str">
        <f>'RAW DATA 2023'!D303</f>
        <v>B2-G03-0080</v>
      </c>
      <c r="C310" s="63" t="str">
        <f t="shared" si="33"/>
        <v>Roiphet1B2-G03-0080</v>
      </c>
      <c r="D310" s="68">
        <f>VLOOKUP(C310,'RAW DATA 2023'!E:BP,63,0)</f>
        <v>6</v>
      </c>
      <c r="E310" s="68" t="str">
        <f t="shared" si="34"/>
        <v>Roiphet16</v>
      </c>
      <c r="F310" s="63" t="str">
        <f>VLOOKUP(C310,'RAW DATA 2023'!E:BO,5,0)</f>
        <v>Greenhouse</v>
      </c>
      <c r="G310" s="63">
        <f>VLOOKUP(C310,'RAW DATA 2023'!E:BO,13,0)</f>
        <v>147</v>
      </c>
      <c r="H310" s="63">
        <f t="shared" si="37"/>
        <v>150</v>
      </c>
      <c r="I310" s="63">
        <f t="shared" si="35"/>
        <v>9.1999999999999993</v>
      </c>
      <c r="J310" s="106">
        <f>VLOOKUP(C310,'RAW DATA 2023'!E:BO,22,0)</f>
        <v>5.1312035398230096</v>
      </c>
      <c r="K310" s="70">
        <f t="shared" si="38"/>
        <v>0.55773951519815324</v>
      </c>
      <c r="L310" s="72">
        <f t="shared" si="36"/>
        <v>5.1312035398230096</v>
      </c>
      <c r="M310" s="109">
        <f t="shared" si="40"/>
        <v>0.76986020264204313</v>
      </c>
      <c r="N310" s="123" t="str">
        <f>VLOOKUP(C310,'RAW DATA 2023'!E:BO,36,0)</f>
        <v>ทยอยตาย</v>
      </c>
      <c r="O310" s="63">
        <f>VLOOKUP(C310,'RAW DATA 2023'!E:BO,2,0)</f>
        <v>1.1299999999999999</v>
      </c>
      <c r="P310" s="322">
        <f t="shared" si="39"/>
        <v>0.86994202898550865</v>
      </c>
    </row>
    <row r="311" spans="1:16">
      <c r="A311" s="63" t="str">
        <f>'RAW DATA 2023'!B304</f>
        <v>Roiphet1</v>
      </c>
      <c r="B311" s="63" t="str">
        <f>'RAW DATA 2023'!D304</f>
        <v>B3-I06-0094</v>
      </c>
      <c r="C311" s="63" t="str">
        <f t="shared" si="33"/>
        <v>Roiphet1B3-I06-0094</v>
      </c>
      <c r="D311" s="68">
        <f>VLOOKUP(C311,'RAW DATA 2023'!E:BP,63,0)</f>
        <v>6</v>
      </c>
      <c r="E311" s="68" t="str">
        <f t="shared" si="34"/>
        <v>Roiphet16</v>
      </c>
      <c r="F311" s="63" t="str">
        <f>VLOOKUP(C311,'RAW DATA 2023'!E:BO,5,0)</f>
        <v>Greenhouse</v>
      </c>
      <c r="G311" s="63">
        <f>VLOOKUP(C311,'RAW DATA 2023'!E:BO,13,0)</f>
        <v>147</v>
      </c>
      <c r="H311" s="63">
        <f t="shared" si="37"/>
        <v>150</v>
      </c>
      <c r="I311" s="63">
        <f t="shared" si="35"/>
        <v>9.1999999999999993</v>
      </c>
      <c r="J311" s="106">
        <f>VLOOKUP(C311,'RAW DATA 2023'!E:BO,22,0)</f>
        <v>7.0005138888888894</v>
      </c>
      <c r="K311" s="70">
        <f t="shared" si="38"/>
        <v>0.76092542270531416</v>
      </c>
      <c r="L311" s="72">
        <f t="shared" si="36"/>
        <v>7.0005138888888894</v>
      </c>
      <c r="M311" s="109">
        <f t="shared" si="40"/>
        <v>3.4790056360708554</v>
      </c>
      <c r="N311" s="123" t="str">
        <f>VLOOKUP(C311,'RAW DATA 2023'!E:BO,36,0)</f>
        <v>Normal</v>
      </c>
      <c r="O311" s="63">
        <f>VLOOKUP(C311,'RAW DATA 2023'!E:BO,2,0)</f>
        <v>0.72</v>
      </c>
      <c r="P311" s="322">
        <f t="shared" si="39"/>
        <v>2.5048840579710157</v>
      </c>
    </row>
    <row r="312" spans="1:16">
      <c r="A312" s="63" t="str">
        <f>'RAW DATA 2023'!B305</f>
        <v>Roiphet1</v>
      </c>
      <c r="B312" s="63" t="str">
        <f>'RAW DATA 2023'!D305</f>
        <v>B5-I09-0095</v>
      </c>
      <c r="C312" s="63" t="str">
        <f t="shared" si="33"/>
        <v>Roiphet1B5-I09-0095</v>
      </c>
      <c r="D312" s="68">
        <f>VLOOKUP(C312,'RAW DATA 2023'!E:BP,63,0)</f>
        <v>11</v>
      </c>
      <c r="E312" s="68" t="str">
        <f t="shared" si="34"/>
        <v>Roiphet111</v>
      </c>
      <c r="F312" s="63" t="str">
        <f>VLOOKUP(C312,'RAW DATA 2023'!E:BO,5,0)</f>
        <v>Greenhouse</v>
      </c>
      <c r="G312" s="63">
        <f>VLOOKUP(C312,'RAW DATA 2023'!E:BO,13,0)</f>
        <v>167</v>
      </c>
      <c r="H312" s="63">
        <f t="shared" si="37"/>
        <v>180</v>
      </c>
      <c r="I312" s="63">
        <f t="shared" si="35"/>
        <v>10.247</v>
      </c>
      <c r="J312" s="106">
        <f>VLOOKUP(C312,'RAW DATA 2023'!E:BO,22,0)</f>
        <v>3.7542361111111116</v>
      </c>
      <c r="K312" s="70">
        <f t="shared" si="38"/>
        <v>0.36637416913351339</v>
      </c>
      <c r="L312" s="72">
        <f t="shared" si="36"/>
        <v>3.7542361111111116</v>
      </c>
      <c r="M312" s="109">
        <f t="shared" si="40"/>
        <v>-1.7816777448864882</v>
      </c>
      <c r="N312" s="123" t="str">
        <f>VLOOKUP(C312,'RAW DATA 2023'!E:BO,36,0)</f>
        <v>EHP</v>
      </c>
      <c r="O312" s="63">
        <f>VLOOKUP(C312,'RAW DATA 2023'!E:BO,2,0)</f>
        <v>0.72</v>
      </c>
      <c r="P312" s="322">
        <f t="shared" si="39"/>
        <v>-1.2828079763182714</v>
      </c>
    </row>
    <row r="313" spans="1:16">
      <c r="A313" s="63" t="str">
        <f>'RAW DATA 2023'!B306</f>
        <v>Roiphet1</v>
      </c>
      <c r="B313" s="63" t="str">
        <f>'RAW DATA 2023'!D306</f>
        <v>B1-G02-0088</v>
      </c>
      <c r="C313" s="63" t="str">
        <f t="shared" si="33"/>
        <v>Roiphet1B1-G02-0088</v>
      </c>
      <c r="D313" s="68">
        <f>VLOOKUP(C313,'RAW DATA 2023'!E:BP,63,0)</f>
        <v>6</v>
      </c>
      <c r="E313" s="68" t="str">
        <f t="shared" si="34"/>
        <v>Roiphet16</v>
      </c>
      <c r="F313" s="63" t="str">
        <f>VLOOKUP(C313,'RAW DATA 2023'!E:BO,5,0)</f>
        <v>Greenhouse</v>
      </c>
      <c r="G313" s="63">
        <f>VLOOKUP(C313,'RAW DATA 2023'!E:BO,13,0)</f>
        <v>147</v>
      </c>
      <c r="H313" s="63">
        <f t="shared" si="37"/>
        <v>150</v>
      </c>
      <c r="I313" s="63">
        <f t="shared" si="35"/>
        <v>9.1999999999999993</v>
      </c>
      <c r="J313" s="106">
        <f>VLOOKUP(C313,'RAW DATA 2023'!E:BO,22,0)</f>
        <v>7.8953185840707967</v>
      </c>
      <c r="K313" s="70">
        <f t="shared" si="38"/>
        <v>0.85818680261639102</v>
      </c>
      <c r="L313" s="72">
        <f t="shared" si="36"/>
        <v>7.8953185840707967</v>
      </c>
      <c r="M313" s="109">
        <f t="shared" si="40"/>
        <v>4.7758240348852139</v>
      </c>
      <c r="N313" s="123" t="str">
        <f>VLOOKUP(C313,'RAW DATA 2023'!E:BO,36,0)</f>
        <v>ทยอยตาย</v>
      </c>
      <c r="O313" s="63">
        <f>VLOOKUP(C313,'RAW DATA 2023'!E:BO,2,0)</f>
        <v>1.1299999999999999</v>
      </c>
      <c r="P313" s="322">
        <f t="shared" si="39"/>
        <v>5.3966811594202913</v>
      </c>
    </row>
    <row r="314" spans="1:16">
      <c r="A314" s="63" t="str">
        <f>'RAW DATA 2023'!B307</f>
        <v>Roiphet1</v>
      </c>
      <c r="B314" s="63" t="str">
        <f>'RAW DATA 2023'!D307</f>
        <v>B6-G12-0088</v>
      </c>
      <c r="C314" s="63" t="str">
        <f t="shared" si="33"/>
        <v>Roiphet1B6-G12-0088</v>
      </c>
      <c r="D314" s="68">
        <f>VLOOKUP(C314,'RAW DATA 2023'!E:BP,63,0)</f>
        <v>8</v>
      </c>
      <c r="E314" s="68" t="str">
        <f t="shared" si="34"/>
        <v>Roiphet18</v>
      </c>
      <c r="F314" s="63" t="str">
        <f>VLOOKUP(C314,'RAW DATA 2023'!E:BO,5,0)</f>
        <v>Greenhouse</v>
      </c>
      <c r="G314" s="63">
        <f>VLOOKUP(C314,'RAW DATA 2023'!E:BO,13,0)</f>
        <v>203</v>
      </c>
      <c r="H314" s="63">
        <f t="shared" si="37"/>
        <v>200</v>
      </c>
      <c r="I314" s="63">
        <f t="shared" si="35"/>
        <v>11.259</v>
      </c>
      <c r="J314" s="106">
        <f>VLOOKUP(C314,'RAW DATA 2023'!E:BO,22,0)</f>
        <v>3.0093982300884958</v>
      </c>
      <c r="K314" s="70">
        <f t="shared" si="38"/>
        <v>0.2672882343093077</v>
      </c>
      <c r="L314" s="72">
        <f t="shared" si="36"/>
        <v>3.0093982300884958</v>
      </c>
      <c r="M314" s="109">
        <f t="shared" si="40"/>
        <v>-3.1028235425425641</v>
      </c>
      <c r="N314" s="123" t="str">
        <f>VLOOKUP(C314,'RAW DATA 2023'!E:BO,36,0)</f>
        <v>EHP</v>
      </c>
      <c r="O314" s="63">
        <f>VLOOKUP(C314,'RAW DATA 2023'!E:BO,2,0)</f>
        <v>1.1299999999999999</v>
      </c>
      <c r="P314" s="322">
        <f t="shared" si="39"/>
        <v>-3.5061906030730969</v>
      </c>
    </row>
    <row r="315" spans="1:16">
      <c r="A315" s="63" t="str">
        <f>'RAW DATA 2023'!B308</f>
        <v>Roiphet1</v>
      </c>
      <c r="B315" s="63" t="str">
        <f>'RAW DATA 2023'!D308</f>
        <v>B6-G11-0083</v>
      </c>
      <c r="C315" s="63" t="str">
        <f t="shared" si="33"/>
        <v>Roiphet1B6-G11-0083</v>
      </c>
      <c r="D315" s="68">
        <f>VLOOKUP(C315,'RAW DATA 2023'!E:BP,63,0)</f>
        <v>8</v>
      </c>
      <c r="E315" s="68" t="str">
        <f t="shared" si="34"/>
        <v>Roiphet18</v>
      </c>
      <c r="F315" s="63" t="str">
        <f>VLOOKUP(C315,'RAW DATA 2023'!E:BO,5,0)</f>
        <v>Greenhouse</v>
      </c>
      <c r="G315" s="63">
        <f>VLOOKUP(C315,'RAW DATA 2023'!E:BO,13,0)</f>
        <v>203</v>
      </c>
      <c r="H315" s="63">
        <f t="shared" si="37"/>
        <v>200</v>
      </c>
      <c r="I315" s="63">
        <f t="shared" si="35"/>
        <v>11.259</v>
      </c>
      <c r="J315" s="106">
        <f>VLOOKUP(C315,'RAW DATA 2023'!E:BO,22,0)</f>
        <v>3.4487610619469029</v>
      </c>
      <c r="K315" s="70">
        <f t="shared" si="38"/>
        <v>0.30631148964800631</v>
      </c>
      <c r="L315" s="72">
        <f t="shared" si="36"/>
        <v>3.4487610619469029</v>
      </c>
      <c r="M315" s="109">
        <f t="shared" si="40"/>
        <v>-2.582513471359916</v>
      </c>
      <c r="N315" s="123" t="str">
        <f>VLOOKUP(C315,'RAW DATA 2023'!E:BO,36,0)</f>
        <v>EHP</v>
      </c>
      <c r="O315" s="63">
        <f>VLOOKUP(C315,'RAW DATA 2023'!E:BO,2,0)</f>
        <v>1.1299999999999999</v>
      </c>
      <c r="P315" s="322">
        <f t="shared" si="39"/>
        <v>-2.918240222636705</v>
      </c>
    </row>
    <row r="316" spans="1:16">
      <c r="A316" s="63" t="str">
        <f>'RAW DATA 2023'!B309</f>
        <v>Roiphet1</v>
      </c>
      <c r="B316" s="63" t="str">
        <f>'RAW DATA 2023'!D309</f>
        <v>B5-G09-0086</v>
      </c>
      <c r="C316" s="63" t="str">
        <f t="shared" si="33"/>
        <v>Roiphet1B5-G09-0086</v>
      </c>
      <c r="D316" s="68">
        <f>VLOOKUP(C316,'RAW DATA 2023'!E:BP,63,0)</f>
        <v>11</v>
      </c>
      <c r="E316" s="68" t="str">
        <f t="shared" si="34"/>
        <v>Roiphet111</v>
      </c>
      <c r="F316" s="63" t="str">
        <f>VLOOKUP(C316,'RAW DATA 2023'!E:BO,5,0)</f>
        <v>Greenhouse</v>
      </c>
      <c r="G316" s="63">
        <f>VLOOKUP(C316,'RAW DATA 2023'!E:BO,13,0)</f>
        <v>203</v>
      </c>
      <c r="H316" s="63">
        <f t="shared" si="37"/>
        <v>200</v>
      </c>
      <c r="I316" s="63">
        <f t="shared" si="35"/>
        <v>11.259</v>
      </c>
      <c r="J316" s="106">
        <f>VLOOKUP(C316,'RAW DATA 2023'!E:BO,22,0)</f>
        <v>4.8347256637168146</v>
      </c>
      <c r="K316" s="70">
        <f t="shared" si="38"/>
        <v>0.42940986443883244</v>
      </c>
      <c r="L316" s="72">
        <f t="shared" si="36"/>
        <v>4.8347256637168146</v>
      </c>
      <c r="M316" s="109">
        <f t="shared" si="40"/>
        <v>-0.94120180748223414</v>
      </c>
      <c r="N316" s="123" t="str">
        <f>VLOOKUP(C316,'RAW DATA 2023'!E:BO,36,0)</f>
        <v>EHP</v>
      </c>
      <c r="O316" s="63">
        <f>VLOOKUP(C316,'RAW DATA 2023'!E:BO,2,0)</f>
        <v>1.1299999999999999</v>
      </c>
      <c r="P316" s="322">
        <f t="shared" si="39"/>
        <v>-1.0635580424549245</v>
      </c>
    </row>
    <row r="317" spans="1:16">
      <c r="A317" s="63" t="str">
        <f>'RAW DATA 2023'!B310</f>
        <v>Roiphet1</v>
      </c>
      <c r="B317" s="63" t="str">
        <f>'RAW DATA 2023'!D310</f>
        <v>B5-G10-0085</v>
      </c>
      <c r="C317" s="63" t="str">
        <f t="shared" si="33"/>
        <v>Roiphet1B5-G10-0085</v>
      </c>
      <c r="D317" s="68">
        <f>VLOOKUP(C317,'RAW DATA 2023'!E:BP,63,0)</f>
        <v>11</v>
      </c>
      <c r="E317" s="68" t="str">
        <f t="shared" si="34"/>
        <v>Roiphet111</v>
      </c>
      <c r="F317" s="63" t="str">
        <f>VLOOKUP(C317,'RAW DATA 2023'!E:BO,5,0)</f>
        <v>Greenhouse</v>
      </c>
      <c r="G317" s="63">
        <f>VLOOKUP(C317,'RAW DATA 2023'!E:BO,13,0)</f>
        <v>203</v>
      </c>
      <c r="H317" s="63">
        <f t="shared" si="37"/>
        <v>200</v>
      </c>
      <c r="I317" s="63">
        <f t="shared" si="35"/>
        <v>11.259</v>
      </c>
      <c r="J317" s="106">
        <f>VLOOKUP(C317,'RAW DATA 2023'!E:BO,22,0)</f>
        <v>4.497053097345133</v>
      </c>
      <c r="K317" s="70">
        <f t="shared" si="38"/>
        <v>0.39941851828271896</v>
      </c>
      <c r="L317" s="72">
        <f t="shared" si="36"/>
        <v>4.497053097345133</v>
      </c>
      <c r="M317" s="109">
        <f t="shared" si="40"/>
        <v>-1.3410864228970807</v>
      </c>
      <c r="N317" s="123" t="str">
        <f>VLOOKUP(C317,'RAW DATA 2023'!E:BO,36,0)</f>
        <v>EHP</v>
      </c>
      <c r="O317" s="63">
        <f>VLOOKUP(C317,'RAW DATA 2023'!E:BO,2,0)</f>
        <v>1.1299999999999999</v>
      </c>
      <c r="P317" s="322">
        <f t="shared" si="39"/>
        <v>-1.5154276578737009</v>
      </c>
    </row>
    <row r="318" spans="1:16">
      <c r="A318" s="63" t="str">
        <f>'RAW DATA 2023'!B311</f>
        <v>Roiphet1</v>
      </c>
      <c r="B318" s="63" t="str">
        <f>'RAW DATA 2023'!D311</f>
        <v>B3-G05-0093</v>
      </c>
      <c r="C318" s="63" t="str">
        <f t="shared" si="33"/>
        <v>Roiphet1B3-G05-0093</v>
      </c>
      <c r="D318" s="68">
        <f>VLOOKUP(C318,'RAW DATA 2023'!E:BP,63,0)</f>
        <v>8</v>
      </c>
      <c r="E318" s="68" t="str">
        <f t="shared" si="34"/>
        <v>Roiphet18</v>
      </c>
      <c r="F318" s="63" t="str">
        <f>VLOOKUP(C318,'RAW DATA 2023'!E:BO,5,0)</f>
        <v>Greenhouse</v>
      </c>
      <c r="G318" s="63">
        <f>VLOOKUP(C318,'RAW DATA 2023'!E:BO,13,0)</f>
        <v>203</v>
      </c>
      <c r="H318" s="63">
        <f t="shared" si="37"/>
        <v>200</v>
      </c>
      <c r="I318" s="63">
        <f t="shared" si="35"/>
        <v>11.259</v>
      </c>
      <c r="J318" s="106">
        <f>VLOOKUP(C318,'RAW DATA 2023'!E:BO,22,0)</f>
        <v>2.210256637168142</v>
      </c>
      <c r="K318" s="70">
        <f t="shared" si="38"/>
        <v>0.19631020847039185</v>
      </c>
      <c r="L318" s="72">
        <f t="shared" si="36"/>
        <v>2.210256637168142</v>
      </c>
      <c r="M318" s="109">
        <f t="shared" si="40"/>
        <v>-4.0491972203947757</v>
      </c>
      <c r="N318" s="123" t="str">
        <f>VLOOKUP(C318,'RAW DATA 2023'!E:BO,36,0)</f>
        <v>EHP</v>
      </c>
      <c r="O318" s="63">
        <f>VLOOKUP(C318,'RAW DATA 2023'!E:BO,2,0)</f>
        <v>1.1299999999999999</v>
      </c>
      <c r="P318" s="322">
        <f t="shared" si="39"/>
        <v>-4.5755928590460959</v>
      </c>
    </row>
    <row r="319" spans="1:16">
      <c r="A319" s="63" t="str">
        <f>'RAW DATA 2023'!B312</f>
        <v>Roiphet1</v>
      </c>
      <c r="B319" s="63" t="str">
        <f>'RAW DATA 2023'!D312</f>
        <v>B5-I10-0092</v>
      </c>
      <c r="C319" s="63" t="str">
        <f t="shared" si="33"/>
        <v>Roiphet1B5-I10-0092</v>
      </c>
      <c r="D319" s="68">
        <f>VLOOKUP(C319,'RAW DATA 2023'!E:BP,63,0)</f>
        <v>11</v>
      </c>
      <c r="E319" s="68" t="str">
        <f t="shared" si="34"/>
        <v>Roiphet111</v>
      </c>
      <c r="F319" s="63" t="str">
        <f>VLOOKUP(C319,'RAW DATA 2023'!E:BO,5,0)</f>
        <v>Greenhouse</v>
      </c>
      <c r="G319" s="63">
        <f>VLOOKUP(C319,'RAW DATA 2023'!E:BO,13,0)</f>
        <v>167</v>
      </c>
      <c r="H319" s="63">
        <f t="shared" si="37"/>
        <v>180</v>
      </c>
      <c r="I319" s="63">
        <f t="shared" si="35"/>
        <v>10.247</v>
      </c>
      <c r="J319" s="106">
        <f>VLOOKUP(C319,'RAW DATA 2023'!E:BO,22,0)</f>
        <v>1.7182361111111113</v>
      </c>
      <c r="K319" s="70">
        <f t="shared" si="38"/>
        <v>0.16768186894809323</v>
      </c>
      <c r="L319" s="72">
        <f t="shared" si="36"/>
        <v>1.7182361111111113</v>
      </c>
      <c r="M319" s="109">
        <f t="shared" si="40"/>
        <v>-4.4309084140254242</v>
      </c>
      <c r="N319" s="123" t="str">
        <f>VLOOKUP(C319,'RAW DATA 2023'!E:BO,36,0)</f>
        <v>EHP</v>
      </c>
      <c r="O319" s="63">
        <f>VLOOKUP(C319,'RAW DATA 2023'!E:BO,2,0)</f>
        <v>0.72</v>
      </c>
      <c r="P319" s="322">
        <f t="shared" si="39"/>
        <v>-3.1902540580983052</v>
      </c>
    </row>
    <row r="320" spans="1:16">
      <c r="A320" s="63" t="str">
        <f>'RAW DATA 2023'!B313</f>
        <v>Choknavy</v>
      </c>
      <c r="B320" s="63" t="str">
        <f>'RAW DATA 2023'!D313</f>
        <v>A1-003-0037</v>
      </c>
      <c r="C320" s="63" t="str">
        <f t="shared" si="33"/>
        <v>ChoknavyA1-003-0037</v>
      </c>
      <c r="D320" s="68">
        <f>VLOOKUP(C320,'RAW DATA 2023'!E:BP,63,0)</f>
        <v>11</v>
      </c>
      <c r="E320" s="68" t="str">
        <f t="shared" si="34"/>
        <v>Choknavy11</v>
      </c>
      <c r="F320" s="63" t="str">
        <f>VLOOKUP(C320,'RAW DATA 2023'!E:BO,5,0)</f>
        <v>Outdoor</v>
      </c>
      <c r="G320" s="63">
        <f>VLOOKUP(C320,'RAW DATA 2023'!E:BO,13,0)</f>
        <v>84</v>
      </c>
      <c r="H320" s="63">
        <f t="shared" si="37"/>
        <v>100</v>
      </c>
      <c r="I320" s="63">
        <f t="shared" si="35"/>
        <v>6.806</v>
      </c>
      <c r="J320" s="106">
        <f>VLOOKUP(C320,'RAW DATA 2023'!E:BO,22,0)</f>
        <v>6.6157018181818188</v>
      </c>
      <c r="K320" s="70">
        <f t="shared" si="38"/>
        <v>0.97203964416424016</v>
      </c>
      <c r="L320" s="72">
        <f t="shared" si="36"/>
        <v>6.6157018181818188</v>
      </c>
      <c r="M320" s="109">
        <f t="shared" si="40"/>
        <v>6.2938619221898691</v>
      </c>
      <c r="N320" s="123" t="str">
        <f>VLOOKUP(C320,'RAW DATA 2023'!E:BO,36,0)</f>
        <v>Normal</v>
      </c>
      <c r="O320" s="63">
        <f>VLOOKUP(C320,'RAW DATA 2023'!E:BO,2,0)</f>
        <v>5.5</v>
      </c>
      <c r="P320" s="322">
        <f t="shared" si="39"/>
        <v>34.616240572044276</v>
      </c>
    </row>
    <row r="321" spans="1:16">
      <c r="A321" s="63" t="str">
        <f>'RAW DATA 2023'!B314</f>
        <v>Choknavy</v>
      </c>
      <c r="B321" s="63" t="str">
        <f>'RAW DATA 2023'!D314</f>
        <v>A1-006-0032</v>
      </c>
      <c r="C321" s="63" t="str">
        <f t="shared" si="33"/>
        <v>ChoknavyA1-006-0032</v>
      </c>
      <c r="D321" s="68">
        <f>VLOOKUP(C321,'RAW DATA 2023'!E:BP,63,0)</f>
        <v>7</v>
      </c>
      <c r="E321" s="68" t="str">
        <f t="shared" si="34"/>
        <v>Choknavy7</v>
      </c>
      <c r="F321" s="63" t="str">
        <f>VLOOKUP(C321,'RAW DATA 2023'!E:BO,5,0)</f>
        <v>Outdoor</v>
      </c>
      <c r="G321" s="63">
        <f>VLOOKUP(C321,'RAW DATA 2023'!E:BO,13,0)</f>
        <v>114</v>
      </c>
      <c r="H321" s="63">
        <f t="shared" si="37"/>
        <v>100</v>
      </c>
      <c r="I321" s="63">
        <f t="shared" si="35"/>
        <v>6.806</v>
      </c>
      <c r="J321" s="106">
        <f>VLOOKUP(C321,'RAW DATA 2023'!E:BO,22,0)</f>
        <v>6.3440218181818189</v>
      </c>
      <c r="K321" s="70">
        <f t="shared" si="38"/>
        <v>0.93212192450511588</v>
      </c>
      <c r="L321" s="72">
        <f t="shared" si="36"/>
        <v>6.3440218181818189</v>
      </c>
      <c r="M321" s="109">
        <f t="shared" si="40"/>
        <v>5.7616256600682121</v>
      </c>
      <c r="N321" s="123" t="str">
        <f>VLOOKUP(C321,'RAW DATA 2023'!E:BO,36,0)</f>
        <v>ทยอยตาย</v>
      </c>
      <c r="O321" s="63">
        <f>VLOOKUP(C321,'RAW DATA 2023'!E:BO,2,0)</f>
        <v>5.5</v>
      </c>
      <c r="P321" s="322">
        <f t="shared" si="39"/>
        <v>31.688941130375166</v>
      </c>
    </row>
    <row r="322" spans="1:16">
      <c r="A322" s="63" t="str">
        <f>'RAW DATA 2023'!B315</f>
        <v>Choknavy</v>
      </c>
      <c r="B322" s="63" t="str">
        <f>'RAW DATA 2023'!D315</f>
        <v>A1-003-0036</v>
      </c>
      <c r="C322" s="63" t="str">
        <f t="shared" si="33"/>
        <v>ChoknavyA1-003-0036</v>
      </c>
      <c r="D322" s="68">
        <f>VLOOKUP(C322,'RAW DATA 2023'!E:BP,63,0)</f>
        <v>7</v>
      </c>
      <c r="E322" s="68" t="str">
        <f t="shared" si="34"/>
        <v>Choknavy7</v>
      </c>
      <c r="F322" s="63" t="str">
        <f>VLOOKUP(C322,'RAW DATA 2023'!E:BO,5,0)</f>
        <v>Outdoor</v>
      </c>
      <c r="G322" s="63">
        <f>VLOOKUP(C322,'RAW DATA 2023'!E:BO,13,0)</f>
        <v>121</v>
      </c>
      <c r="H322" s="63">
        <f t="shared" si="37"/>
        <v>100</v>
      </c>
      <c r="I322" s="63">
        <f t="shared" si="35"/>
        <v>6.806</v>
      </c>
      <c r="J322" s="106">
        <f>VLOOKUP(C322,'RAW DATA 2023'!E:BO,22,0)</f>
        <v>5.5964709090909093</v>
      </c>
      <c r="K322" s="70">
        <f t="shared" si="38"/>
        <v>0.82228488232308394</v>
      </c>
      <c r="L322" s="72">
        <f t="shared" si="36"/>
        <v>5.5964709090909093</v>
      </c>
      <c r="M322" s="109">
        <f t="shared" si="40"/>
        <v>4.2971317643077862</v>
      </c>
      <c r="N322" s="123" t="str">
        <f>VLOOKUP(C322,'RAW DATA 2023'!E:BO,36,0)</f>
        <v>Normal</v>
      </c>
      <c r="O322" s="63">
        <f>VLOOKUP(C322,'RAW DATA 2023'!E:BO,2,0)</f>
        <v>5.5</v>
      </c>
      <c r="P322" s="322">
        <f t="shared" si="39"/>
        <v>23.634224703692823</v>
      </c>
    </row>
    <row r="323" spans="1:16">
      <c r="A323" s="63" t="str">
        <f>'RAW DATA 2023'!B316</f>
        <v>Choknavy</v>
      </c>
      <c r="B323" s="63" t="str">
        <f>'RAW DATA 2023'!D316</f>
        <v>A1-005-0006</v>
      </c>
      <c r="C323" s="63" t="str">
        <f t="shared" si="33"/>
        <v>ChoknavyA1-005-0006</v>
      </c>
      <c r="D323" s="68">
        <f>VLOOKUP(C323,'RAW DATA 2023'!E:BP,63,0)</f>
        <v>8</v>
      </c>
      <c r="E323" s="68" t="str">
        <f t="shared" si="34"/>
        <v>Choknavy8</v>
      </c>
      <c r="F323" s="63" t="str">
        <f>VLOOKUP(C323,'RAW DATA 2023'!E:BO,5,0)</f>
        <v>Outdoor</v>
      </c>
      <c r="G323" s="63">
        <f>VLOOKUP(C323,'RAW DATA 2023'!E:BO,13,0)</f>
        <v>121</v>
      </c>
      <c r="H323" s="63">
        <f t="shared" si="37"/>
        <v>100</v>
      </c>
      <c r="I323" s="63">
        <f t="shared" si="35"/>
        <v>6.806</v>
      </c>
      <c r="J323" s="106">
        <f>VLOOKUP(C323,'RAW DATA 2023'!E:BO,22,0)</f>
        <v>6.7299272727272728</v>
      </c>
      <c r="K323" s="70">
        <f t="shared" si="38"/>
        <v>0.98882269655117139</v>
      </c>
      <c r="L323" s="72">
        <f t="shared" si="36"/>
        <v>6.7299272727272728</v>
      </c>
      <c r="M323" s="109">
        <f t="shared" si="40"/>
        <v>6.5176359540156188</v>
      </c>
      <c r="N323" s="123" t="str">
        <f>VLOOKUP(C323,'RAW DATA 2023'!E:BO,36,0)</f>
        <v>Normal</v>
      </c>
      <c r="O323" s="63">
        <f>VLOOKUP(C323,'RAW DATA 2023'!E:BO,2,0)</f>
        <v>5.5</v>
      </c>
      <c r="P323" s="322">
        <f t="shared" si="39"/>
        <v>35.846997747085901</v>
      </c>
    </row>
    <row r="324" spans="1:16">
      <c r="A324" s="63" t="str">
        <f>'RAW DATA 2023'!B317</f>
        <v>Choknavy</v>
      </c>
      <c r="B324" s="63" t="str">
        <f>'RAW DATA 2023'!D317</f>
        <v>A1-001-0041</v>
      </c>
      <c r="C324" s="63" t="str">
        <f t="shared" si="33"/>
        <v>ChoknavyA1-001-0041</v>
      </c>
      <c r="D324" s="68">
        <f>VLOOKUP(C324,'RAW DATA 2023'!E:BP,63,0)</f>
        <v>9</v>
      </c>
      <c r="E324" s="68" t="str">
        <f t="shared" si="34"/>
        <v>Choknavy9</v>
      </c>
      <c r="F324" s="63" t="str">
        <f>VLOOKUP(C324,'RAW DATA 2023'!E:BO,5,0)</f>
        <v>Outdoor</v>
      </c>
      <c r="G324" s="63">
        <f>VLOOKUP(C324,'RAW DATA 2023'!E:BO,13,0)</f>
        <v>94</v>
      </c>
      <c r="H324" s="63">
        <f t="shared" si="37"/>
        <v>100</v>
      </c>
      <c r="I324" s="63">
        <f t="shared" si="35"/>
        <v>6.806</v>
      </c>
      <c r="J324" s="106">
        <f>VLOOKUP(C324,'RAW DATA 2023'!E:BO,22,0)</f>
        <v>8.0455199999999998</v>
      </c>
      <c r="K324" s="70">
        <f t="shared" si="38"/>
        <v>1.1821216573611519</v>
      </c>
      <c r="L324" s="72">
        <f t="shared" si="36"/>
        <v>8.0455199999999998</v>
      </c>
      <c r="M324" s="109">
        <f t="shared" si="40"/>
        <v>9.0949554314820258</v>
      </c>
      <c r="N324" s="123" t="str">
        <f>VLOOKUP(C324,'RAW DATA 2023'!E:BO,36,0)</f>
        <v>Normal</v>
      </c>
      <c r="O324" s="63">
        <f>VLOOKUP(C324,'RAW DATA 2023'!E:BO,2,0)</f>
        <v>5</v>
      </c>
      <c r="P324" s="322">
        <f t="shared" si="39"/>
        <v>45.474777157410131</v>
      </c>
    </row>
    <row r="325" spans="1:16">
      <c r="A325" s="63" t="str">
        <f>'RAW DATA 2023'!B318</f>
        <v>Choknavy</v>
      </c>
      <c r="B325" s="63" t="str">
        <f>'RAW DATA 2023'!D318</f>
        <v>A1-002-0037</v>
      </c>
      <c r="C325" s="63" t="str">
        <f t="shared" si="33"/>
        <v>ChoknavyA1-002-0037</v>
      </c>
      <c r="D325" s="68">
        <f>VLOOKUP(C325,'RAW DATA 2023'!E:BP,63,0)</f>
        <v>10</v>
      </c>
      <c r="E325" s="68" t="str">
        <f t="shared" si="34"/>
        <v>Choknavy10</v>
      </c>
      <c r="F325" s="63" t="str">
        <f>VLOOKUP(C325,'RAW DATA 2023'!E:BO,5,0)</f>
        <v>Outdoor</v>
      </c>
      <c r="G325" s="63">
        <f>VLOOKUP(C325,'RAW DATA 2023'!E:BO,13,0)</f>
        <v>99</v>
      </c>
      <c r="H325" s="63">
        <f t="shared" si="37"/>
        <v>100</v>
      </c>
      <c r="I325" s="63">
        <f t="shared" si="35"/>
        <v>6.806</v>
      </c>
      <c r="J325" s="106">
        <f>VLOOKUP(C325,'RAW DATA 2023'!E:BO,22,0)</f>
        <v>7.4003527272727272</v>
      </c>
      <c r="K325" s="70">
        <f t="shared" si="38"/>
        <v>1.0873277589292869</v>
      </c>
      <c r="L325" s="72">
        <f t="shared" si="36"/>
        <v>7.4003527272727272</v>
      </c>
      <c r="M325" s="109">
        <f t="shared" si="40"/>
        <v>7.8310367857238257</v>
      </c>
      <c r="N325" s="123" t="str">
        <f>VLOOKUP(C325,'RAW DATA 2023'!E:BO,36,0)</f>
        <v>Normal</v>
      </c>
      <c r="O325" s="63">
        <f>VLOOKUP(C325,'RAW DATA 2023'!E:BO,2,0)</f>
        <v>5.5</v>
      </c>
      <c r="P325" s="322">
        <f t="shared" si="39"/>
        <v>43.070702321481043</v>
      </c>
    </row>
    <row r="326" spans="1:16">
      <c r="A326" s="63" t="str">
        <f>'RAW DATA 2023'!B319</f>
        <v>Choknavy</v>
      </c>
      <c r="B326" s="63" t="str">
        <f>'RAW DATA 2023'!D319</f>
        <v>G1-G01-0001</v>
      </c>
      <c r="C326" s="63" t="str">
        <f t="shared" si="33"/>
        <v>ChoknavyG1-G01-0001</v>
      </c>
      <c r="D326" s="68">
        <f>VLOOKUP(C326,'RAW DATA 2023'!E:BP,63,0)</f>
        <v>5</v>
      </c>
      <c r="E326" s="68" t="str">
        <f t="shared" si="34"/>
        <v>Choknavy5</v>
      </c>
      <c r="F326" s="63" t="str">
        <f>VLOOKUP(C326,'RAW DATA 2023'!E:BO,5,0)</f>
        <v>Greenhouse</v>
      </c>
      <c r="G326" s="63">
        <f>VLOOKUP(C326,'RAW DATA 2023'!E:BO,13,0)</f>
        <v>167</v>
      </c>
      <c r="H326" s="63">
        <f t="shared" si="37"/>
        <v>180</v>
      </c>
      <c r="I326" s="63">
        <f t="shared" si="35"/>
        <v>10.247</v>
      </c>
      <c r="J326" s="106">
        <f>VLOOKUP(C326,'RAW DATA 2023'!E:BO,22,0)</f>
        <v>7.3647866666666673</v>
      </c>
      <c r="K326" s="70">
        <f t="shared" si="38"/>
        <v>0.71872613122539941</v>
      </c>
      <c r="L326" s="72">
        <f t="shared" si="36"/>
        <v>7.3647866666666673</v>
      </c>
      <c r="M326" s="109">
        <f t="shared" si="40"/>
        <v>2.9163484163386588</v>
      </c>
      <c r="N326" s="123" t="str">
        <f>VLOOKUP(C326,'RAW DATA 2023'!E:BO,36,0)</f>
        <v>ทยอยตาย</v>
      </c>
      <c r="O326" s="63">
        <f>VLOOKUP(C326,'RAW DATA 2023'!E:BO,2,0)</f>
        <v>0.75</v>
      </c>
      <c r="P326" s="322">
        <f t="shared" si="39"/>
        <v>2.1872613122539941</v>
      </c>
    </row>
    <row r="327" spans="1:16">
      <c r="A327" s="63" t="str">
        <f>'RAW DATA 2023'!B320</f>
        <v>Choknavy</v>
      </c>
      <c r="B327" s="63" t="str">
        <f>'RAW DATA 2023'!D320</f>
        <v>A1-002-0036</v>
      </c>
      <c r="C327" s="63" t="str">
        <f t="shared" si="33"/>
        <v>ChoknavyA1-002-0036</v>
      </c>
      <c r="D327" s="68">
        <f>VLOOKUP(C327,'RAW DATA 2023'!E:BP,63,0)</f>
        <v>4</v>
      </c>
      <c r="E327" s="68" t="str">
        <f t="shared" si="34"/>
        <v>Choknavy4</v>
      </c>
      <c r="F327" s="63" t="str">
        <f>VLOOKUP(C327,'RAW DATA 2023'!E:BO,5,0)</f>
        <v>Outdoor</v>
      </c>
      <c r="G327" s="63">
        <f>VLOOKUP(C327,'RAW DATA 2023'!E:BO,13,0)</f>
        <v>107</v>
      </c>
      <c r="H327" s="63">
        <f t="shared" si="37"/>
        <v>100</v>
      </c>
      <c r="I327" s="63">
        <f t="shared" si="35"/>
        <v>6.806</v>
      </c>
      <c r="J327" s="106">
        <f>VLOOKUP(C327,'RAW DATA 2023'!E:BO,22,0)</f>
        <v>3.7339236363636363</v>
      </c>
      <c r="K327" s="70">
        <f t="shared" si="38"/>
        <v>0.54862233857825982</v>
      </c>
      <c r="L327" s="72">
        <f t="shared" si="36"/>
        <v>3.7339236363636363</v>
      </c>
      <c r="M327" s="109">
        <f t="shared" si="40"/>
        <v>0.64829784771013088</v>
      </c>
      <c r="N327" s="123" t="str">
        <f>VLOOKUP(C327,'RAW DATA 2023'!E:BO,36,0)</f>
        <v>อัตรารอดต่ำ</v>
      </c>
      <c r="O327" s="63">
        <f>VLOOKUP(C327,'RAW DATA 2023'!E:BO,2,0)</f>
        <v>5.5</v>
      </c>
      <c r="P327" s="322">
        <f t="shared" si="39"/>
        <v>3.5656381624057198</v>
      </c>
    </row>
    <row r="328" spans="1:16">
      <c r="A328" s="63" t="str">
        <f>'RAW DATA 2023'!B321</f>
        <v>Choknavy</v>
      </c>
      <c r="B328" s="63" t="str">
        <f>'RAW DATA 2023'!D321</f>
        <v>A1-001-0040</v>
      </c>
      <c r="C328" s="63" t="str">
        <f t="shared" si="33"/>
        <v>ChoknavyA1-001-0040</v>
      </c>
      <c r="D328" s="68">
        <f>VLOOKUP(C328,'RAW DATA 2023'!E:BP,63,0)</f>
        <v>4</v>
      </c>
      <c r="E328" s="68" t="str">
        <f t="shared" si="34"/>
        <v>Choknavy4</v>
      </c>
      <c r="F328" s="63" t="str">
        <f>VLOOKUP(C328,'RAW DATA 2023'!E:BO,5,0)</f>
        <v>Outdoor</v>
      </c>
      <c r="G328" s="63">
        <f>VLOOKUP(C328,'RAW DATA 2023'!E:BO,13,0)</f>
        <v>94</v>
      </c>
      <c r="H328" s="63">
        <f t="shared" si="37"/>
        <v>100</v>
      </c>
      <c r="I328" s="63">
        <f t="shared" si="35"/>
        <v>6.806</v>
      </c>
      <c r="J328" s="106">
        <f>VLOOKUP(C328,'RAW DATA 2023'!E:BO,22,0)</f>
        <v>4.2900599999999995</v>
      </c>
      <c r="K328" s="70">
        <f t="shared" si="38"/>
        <v>0.63033499853070818</v>
      </c>
      <c r="L328" s="72">
        <f t="shared" si="36"/>
        <v>4.2900599999999995</v>
      </c>
      <c r="M328" s="109">
        <f t="shared" si="40"/>
        <v>1.7377999804094424</v>
      </c>
      <c r="N328" s="123" t="str">
        <f>VLOOKUP(C328,'RAW DATA 2023'!E:BO,36,0)</f>
        <v>อัตรารอดต่ำ</v>
      </c>
      <c r="O328" s="63">
        <f>VLOOKUP(C328,'RAW DATA 2023'!E:BO,2,0)</f>
        <v>5</v>
      </c>
      <c r="P328" s="322">
        <f t="shared" si="39"/>
        <v>8.6889999020472111</v>
      </c>
    </row>
    <row r="329" spans="1:16">
      <c r="A329" s="63" t="str">
        <f>'RAW DATA 2023'!B322</f>
        <v>Choknavy</v>
      </c>
      <c r="B329" s="63" t="str">
        <f>'RAW DATA 2023'!D322</f>
        <v>A1-006-0031</v>
      </c>
      <c r="C329" s="63" t="str">
        <f t="shared" si="33"/>
        <v>ChoknavyA1-006-0031</v>
      </c>
      <c r="D329" s="68">
        <f>VLOOKUP(C329,'RAW DATA 2023'!E:BP,63,0)</f>
        <v>3</v>
      </c>
      <c r="E329" s="68" t="str">
        <f t="shared" si="34"/>
        <v>Choknavy3</v>
      </c>
      <c r="F329" s="63" t="str">
        <f>VLOOKUP(C329,'RAW DATA 2023'!E:BO,5,0)</f>
        <v>Outdoor</v>
      </c>
      <c r="G329" s="63">
        <f>VLOOKUP(C329,'RAW DATA 2023'!E:BO,13,0)</f>
        <v>92</v>
      </c>
      <c r="H329" s="63">
        <f t="shared" si="37"/>
        <v>100</v>
      </c>
      <c r="I329" s="63">
        <f t="shared" si="35"/>
        <v>6.806</v>
      </c>
      <c r="J329" s="106">
        <f>VLOOKUP(C329,'RAW DATA 2023'!E:BO,22,0)</f>
        <v>5.7263927272727271</v>
      </c>
      <c r="K329" s="70">
        <f t="shared" si="38"/>
        <v>0.84137418855020962</v>
      </c>
      <c r="L329" s="72">
        <f t="shared" si="36"/>
        <v>5.7263927272727271</v>
      </c>
      <c r="M329" s="109">
        <f t="shared" si="40"/>
        <v>4.5516558473361286</v>
      </c>
      <c r="N329" s="123" t="str">
        <f>VLOOKUP(C329,'RAW DATA 2023'!E:BO,36,0)</f>
        <v>Normal</v>
      </c>
      <c r="O329" s="63">
        <f>VLOOKUP(C329,'RAW DATA 2023'!E:BO,2,0)</f>
        <v>5.5</v>
      </c>
      <c r="P329" s="322">
        <f t="shared" si="39"/>
        <v>25.034107160348707</v>
      </c>
    </row>
    <row r="330" spans="1:16">
      <c r="A330" s="63" t="str">
        <f>'RAW DATA 2023'!B323</f>
        <v>Choknavy</v>
      </c>
      <c r="B330" s="63" t="str">
        <f>'RAW DATA 2023'!D323</f>
        <v>A1-003-0035</v>
      </c>
      <c r="C330" s="63" t="str">
        <f t="shared" ref="C330:C393" si="41">A330&amp;B330</f>
        <v>ChoknavyA1-003-0035</v>
      </c>
      <c r="D330" s="68">
        <f>VLOOKUP(C330,'RAW DATA 2023'!E:BP,63,0)</f>
        <v>1</v>
      </c>
      <c r="E330" s="68" t="str">
        <f t="shared" ref="E330:E393" si="42">A330&amp;D330</f>
        <v>Choknavy1</v>
      </c>
      <c r="F330" s="63" t="str">
        <f>VLOOKUP(C330,'RAW DATA 2023'!E:BO,5,0)</f>
        <v>Outdoor</v>
      </c>
      <c r="G330" s="63">
        <f>VLOOKUP(C330,'RAW DATA 2023'!E:BO,13,0)</f>
        <v>99</v>
      </c>
      <c r="H330" s="63">
        <f t="shared" si="37"/>
        <v>100</v>
      </c>
      <c r="I330" s="63">
        <f t="shared" ref="I330:I393" si="43">IF(F330=$W$1,VLOOKUP(H330,Y:Z,2,0),VLOOKUP(H330,AF:AG,2,0))</f>
        <v>6.806</v>
      </c>
      <c r="J330" s="106">
        <f>VLOOKUP(C330,'RAW DATA 2023'!E:BO,22,0)</f>
        <v>0</v>
      </c>
      <c r="K330" s="70">
        <f t="shared" si="38"/>
        <v>0</v>
      </c>
      <c r="L330" s="72">
        <f t="shared" ref="L330:L393" si="44">IF(J330=0,0,IF(F330=$B$2,J330-$B$6,IF(F330=$C$1,J330-$C$6,IF(AND(F330=$C$2,G330&lt;=$C$3),J330-$C$6,IF(AND(F330=$C$2,G330&lt;=$E$3),J330-$D$6,J330-$E$6)))))</f>
        <v>0</v>
      </c>
      <c r="M330" s="109">
        <f t="shared" si="40"/>
        <v>-6.666666666666667</v>
      </c>
      <c r="N330" s="123" t="str">
        <f>VLOOKUP(C330,'RAW DATA 2023'!E:BO,36,0)</f>
        <v>อัตรารอดต่ำ</v>
      </c>
      <c r="O330" s="63">
        <f>VLOOKUP(C330,'RAW DATA 2023'!E:BO,2,0)</f>
        <v>5.5</v>
      </c>
      <c r="P330" s="322">
        <f t="shared" si="39"/>
        <v>-36.666666666666671</v>
      </c>
    </row>
    <row r="331" spans="1:16">
      <c r="A331" s="63" t="str">
        <f>'RAW DATA 2023'!B324</f>
        <v>Maeklong1</v>
      </c>
      <c r="B331" s="63" t="str">
        <f>'RAW DATA 2023'!D324</f>
        <v>A1-017-0031</v>
      </c>
      <c r="C331" s="63" t="str">
        <f t="shared" si="41"/>
        <v>Maeklong1A1-017-0031</v>
      </c>
      <c r="D331" s="68">
        <f>VLOOKUP(C331,'RAW DATA 2023'!E:BP,63,0)</f>
        <v>8</v>
      </c>
      <c r="E331" s="68" t="str">
        <f t="shared" si="42"/>
        <v>Maeklong18</v>
      </c>
      <c r="F331" s="63" t="str">
        <f>VLOOKUP(C331,'RAW DATA 2023'!E:BO,5,0)</f>
        <v>Outdoor</v>
      </c>
      <c r="G331" s="63">
        <f>VLOOKUP(C331,'RAW DATA 2023'!E:BO,13,0)</f>
        <v>168</v>
      </c>
      <c r="H331" s="63">
        <f t="shared" ref="H331:H394" si="45">IF(G331&gt;190,200,IF(G331&gt;165,180,IF(G331&gt;=135,150,IF(D324&gt;=110,120,100))))</f>
        <v>180</v>
      </c>
      <c r="I331" s="63">
        <f t="shared" si="43"/>
        <v>10.247</v>
      </c>
      <c r="J331" s="106">
        <f>VLOOKUP(C331,'RAW DATA 2023'!E:BO,22,0)</f>
        <v>12.480304498269897</v>
      </c>
      <c r="K331" s="70">
        <f t="shared" ref="K331:K394" si="46">J331/I331</f>
        <v>1.2179471550961156</v>
      </c>
      <c r="L331" s="72">
        <f t="shared" si="44"/>
        <v>12.480304498269897</v>
      </c>
      <c r="M331" s="109">
        <f t="shared" si="40"/>
        <v>9.5726287346148755</v>
      </c>
      <c r="N331" s="123" t="str">
        <f>VLOOKUP(C331,'RAW DATA 2023'!E:BO,36,0)</f>
        <v>Normal</v>
      </c>
      <c r="O331" s="63">
        <f>VLOOKUP(C331,'RAW DATA 2023'!E:BO,2,0)</f>
        <v>2.89</v>
      </c>
      <c r="P331" s="322">
        <f t="shared" ref="P331:P394" si="47">M331*O331</f>
        <v>27.664897043036991</v>
      </c>
    </row>
    <row r="332" spans="1:16">
      <c r="A332" s="63" t="str">
        <f>'RAW DATA 2023'!B325</f>
        <v>Maeklong1</v>
      </c>
      <c r="B332" s="63" t="str">
        <f>'RAW DATA 2023'!D325</f>
        <v>A1-015-0036</v>
      </c>
      <c r="C332" s="63" t="str">
        <f t="shared" si="41"/>
        <v>Maeklong1A1-015-0036</v>
      </c>
      <c r="D332" s="68">
        <f>VLOOKUP(C332,'RAW DATA 2023'!E:BP,63,0)</f>
        <v>6</v>
      </c>
      <c r="E332" s="68" t="str">
        <f t="shared" si="42"/>
        <v>Maeklong16</v>
      </c>
      <c r="F332" s="63" t="str">
        <f>VLOOKUP(C332,'RAW DATA 2023'!E:BO,5,0)</f>
        <v>Outdoor</v>
      </c>
      <c r="G332" s="63">
        <f>VLOOKUP(C332,'RAW DATA 2023'!E:BO,13,0)</f>
        <v>171</v>
      </c>
      <c r="H332" s="63">
        <f t="shared" si="45"/>
        <v>180</v>
      </c>
      <c r="I332" s="63">
        <f t="shared" si="43"/>
        <v>10.247</v>
      </c>
      <c r="J332" s="106">
        <f>VLOOKUP(C332,'RAW DATA 2023'!E:BO,22,0)</f>
        <v>11.305106995884772</v>
      </c>
      <c r="K332" s="70">
        <f t="shared" si="46"/>
        <v>1.1032601733077751</v>
      </c>
      <c r="L332" s="72">
        <f t="shared" si="44"/>
        <v>11.305106995884772</v>
      </c>
      <c r="M332" s="109">
        <f t="shared" ref="M332:M395" si="48">(K332-$B$4)*$B$7</f>
        <v>8.0434689774370032</v>
      </c>
      <c r="N332" s="123" t="str">
        <f>VLOOKUP(C332,'RAW DATA 2023'!E:BO,36,0)</f>
        <v>Normal</v>
      </c>
      <c r="O332" s="63">
        <f>VLOOKUP(C332,'RAW DATA 2023'!E:BO,2,0)</f>
        <v>2.4300000000000002</v>
      </c>
      <c r="P332" s="322">
        <f t="shared" si="47"/>
        <v>19.545629615171919</v>
      </c>
    </row>
    <row r="333" spans="1:16">
      <c r="A333" s="63" t="str">
        <f>'RAW DATA 2023'!B326</f>
        <v>Maeklong1</v>
      </c>
      <c r="B333" s="63" t="str">
        <f>'RAW DATA 2023'!D326</f>
        <v>A1-021-0025</v>
      </c>
      <c r="C333" s="63" t="str">
        <f t="shared" si="41"/>
        <v>Maeklong1A1-021-0025</v>
      </c>
      <c r="D333" s="68">
        <f>VLOOKUP(C333,'RAW DATA 2023'!E:BP,63,0)</f>
        <v>8</v>
      </c>
      <c r="E333" s="68" t="str">
        <f t="shared" si="42"/>
        <v>Maeklong18</v>
      </c>
      <c r="F333" s="63" t="str">
        <f>VLOOKUP(C333,'RAW DATA 2023'!E:BO,5,0)</f>
        <v>Outdoor</v>
      </c>
      <c r="G333" s="63">
        <f>VLOOKUP(C333,'RAW DATA 2023'!E:BO,13,0)</f>
        <v>144</v>
      </c>
      <c r="H333" s="63">
        <f t="shared" si="45"/>
        <v>150</v>
      </c>
      <c r="I333" s="63">
        <f t="shared" si="43"/>
        <v>9.1999999999999993</v>
      </c>
      <c r="J333" s="106">
        <f>VLOOKUP(C333,'RAW DATA 2023'!E:BO,22,0)</f>
        <v>11.074285340314137</v>
      </c>
      <c r="K333" s="70">
        <f t="shared" si="46"/>
        <v>1.2037266674254499</v>
      </c>
      <c r="L333" s="72">
        <f t="shared" si="44"/>
        <v>11.074285340314137</v>
      </c>
      <c r="M333" s="109">
        <f t="shared" si="48"/>
        <v>9.3830222323393322</v>
      </c>
      <c r="N333" s="123" t="str">
        <f>VLOOKUP(C333,'RAW DATA 2023'!E:BO,36,0)</f>
        <v>Normal</v>
      </c>
      <c r="O333" s="63">
        <f>VLOOKUP(C333,'RAW DATA 2023'!E:BO,2,0)</f>
        <v>3.82</v>
      </c>
      <c r="P333" s="322">
        <f t="shared" si="47"/>
        <v>35.843144927536244</v>
      </c>
    </row>
    <row r="334" spans="1:16">
      <c r="A334" s="63" t="str">
        <f>'RAW DATA 2023'!B327</f>
        <v>Maeklong1</v>
      </c>
      <c r="B334" s="63" t="str">
        <f>'RAW DATA 2023'!D327</f>
        <v>A1-024-0012</v>
      </c>
      <c r="C334" s="63" t="str">
        <f t="shared" si="41"/>
        <v>Maeklong1A1-024-0012</v>
      </c>
      <c r="D334" s="68">
        <f>VLOOKUP(C334,'RAW DATA 2023'!E:BP,63,0)</f>
        <v>10</v>
      </c>
      <c r="E334" s="68" t="str">
        <f t="shared" si="42"/>
        <v>Maeklong110</v>
      </c>
      <c r="F334" s="63" t="str">
        <f>VLOOKUP(C334,'RAW DATA 2023'!E:BO,5,0)</f>
        <v>Outdoor</v>
      </c>
      <c r="G334" s="63">
        <f>VLOOKUP(C334,'RAW DATA 2023'!E:BO,13,0)</f>
        <v>141</v>
      </c>
      <c r="H334" s="63">
        <f t="shared" si="45"/>
        <v>150</v>
      </c>
      <c r="I334" s="63">
        <f t="shared" si="43"/>
        <v>9.1999999999999993</v>
      </c>
      <c r="J334" s="106">
        <f>VLOOKUP(C334,'RAW DATA 2023'!E:BO,22,0)</f>
        <v>10.91956887755102</v>
      </c>
      <c r="K334" s="70">
        <f t="shared" si="46"/>
        <v>1.1869096606033718</v>
      </c>
      <c r="L334" s="72">
        <f t="shared" si="44"/>
        <v>10.91956887755102</v>
      </c>
      <c r="M334" s="109">
        <f t="shared" si="48"/>
        <v>9.1587954747116243</v>
      </c>
      <c r="N334" s="123" t="str">
        <f>VLOOKUP(C334,'RAW DATA 2023'!E:BO,36,0)</f>
        <v>Normal</v>
      </c>
      <c r="O334" s="63">
        <f>VLOOKUP(C334,'RAW DATA 2023'!E:BO,2,0)</f>
        <v>3.92</v>
      </c>
      <c r="P334" s="322">
        <f t="shared" si="47"/>
        <v>35.902478260869565</v>
      </c>
    </row>
    <row r="335" spans="1:16">
      <c r="A335" s="63" t="str">
        <f>'RAW DATA 2023'!B328</f>
        <v>Maeklong1</v>
      </c>
      <c r="B335" s="63" t="str">
        <f>'RAW DATA 2023'!D328</f>
        <v>A1-019-0024</v>
      </c>
      <c r="C335" s="63" t="str">
        <f t="shared" si="41"/>
        <v>Maeklong1A1-019-0024</v>
      </c>
      <c r="D335" s="68">
        <f>VLOOKUP(C335,'RAW DATA 2023'!E:BP,63,0)</f>
        <v>10</v>
      </c>
      <c r="E335" s="68" t="str">
        <f t="shared" si="42"/>
        <v>Maeklong110</v>
      </c>
      <c r="F335" s="63" t="str">
        <f>VLOOKUP(C335,'RAW DATA 2023'!E:BO,5,0)</f>
        <v>Outdoor</v>
      </c>
      <c r="G335" s="63">
        <f>VLOOKUP(C335,'RAW DATA 2023'!E:BO,13,0)</f>
        <v>133</v>
      </c>
      <c r="H335" s="63">
        <f t="shared" si="45"/>
        <v>100</v>
      </c>
      <c r="I335" s="63">
        <f t="shared" si="43"/>
        <v>6.806</v>
      </c>
      <c r="J335" s="106">
        <f>VLOOKUP(C335,'RAW DATA 2023'!E:BO,22,0)</f>
        <v>11.133864503816792</v>
      </c>
      <c r="K335" s="70">
        <f t="shared" si="46"/>
        <v>1.6358895832819265</v>
      </c>
      <c r="L335" s="72">
        <f t="shared" si="44"/>
        <v>11.133864503816792</v>
      </c>
      <c r="M335" s="109">
        <f t="shared" si="48"/>
        <v>15.145194443759021</v>
      </c>
      <c r="N335" s="123" t="str">
        <f>VLOOKUP(C335,'RAW DATA 2023'!E:BO,36,0)</f>
        <v>Normal</v>
      </c>
      <c r="O335" s="63">
        <f>VLOOKUP(C335,'RAW DATA 2023'!E:BO,2,0)</f>
        <v>5.24</v>
      </c>
      <c r="P335" s="322">
        <f t="shared" si="47"/>
        <v>79.360818885297277</v>
      </c>
    </row>
    <row r="336" spans="1:16">
      <c r="A336" s="63" t="str">
        <f>'RAW DATA 2023'!B329</f>
        <v>Maeklong1</v>
      </c>
      <c r="B336" s="63" t="str">
        <f>'RAW DATA 2023'!D329</f>
        <v>A1-015-0037</v>
      </c>
      <c r="C336" s="63" t="str">
        <f t="shared" si="41"/>
        <v>Maeklong1A1-015-0037</v>
      </c>
      <c r="D336" s="68">
        <f>VLOOKUP(C336,'RAW DATA 2023'!E:BP,63,0)</f>
        <v>10</v>
      </c>
      <c r="E336" s="68" t="str">
        <f t="shared" si="42"/>
        <v>Maeklong110</v>
      </c>
      <c r="F336" s="63" t="str">
        <f>VLOOKUP(C336,'RAW DATA 2023'!E:BO,5,0)</f>
        <v>Outdoor</v>
      </c>
      <c r="G336" s="63">
        <f>VLOOKUP(C336,'RAW DATA 2023'!E:BO,13,0)</f>
        <v>206</v>
      </c>
      <c r="H336" s="63">
        <f t="shared" si="45"/>
        <v>200</v>
      </c>
      <c r="I336" s="63">
        <f t="shared" si="43"/>
        <v>11.259</v>
      </c>
      <c r="J336" s="106">
        <f>VLOOKUP(C336,'RAW DATA 2023'!E:BO,22,0)</f>
        <v>11.03883950617284</v>
      </c>
      <c r="K336" s="70">
        <f t="shared" si="46"/>
        <v>0.98044582166913929</v>
      </c>
      <c r="L336" s="72">
        <f t="shared" si="44"/>
        <v>11.03883950617284</v>
      </c>
      <c r="M336" s="109">
        <f t="shared" si="48"/>
        <v>6.4059442889218579</v>
      </c>
      <c r="N336" s="123" t="str">
        <f>VLOOKUP(C336,'RAW DATA 2023'!E:BO,36,0)</f>
        <v>Normal</v>
      </c>
      <c r="O336" s="63">
        <f>VLOOKUP(C336,'RAW DATA 2023'!E:BO,2,0)</f>
        <v>2.4300000000000002</v>
      </c>
      <c r="P336" s="322">
        <f t="shared" si="47"/>
        <v>15.566444622080116</v>
      </c>
    </row>
    <row r="337" spans="1:16">
      <c r="A337" s="63" t="str">
        <f>'RAW DATA 2023'!B330</f>
        <v>Maeklong1</v>
      </c>
      <c r="B337" s="63" t="str">
        <f>'RAW DATA 2023'!D330</f>
        <v>A1-023-0016</v>
      </c>
      <c r="C337" s="63" t="str">
        <f t="shared" si="41"/>
        <v>Maeklong1A1-023-0016</v>
      </c>
      <c r="D337" s="68">
        <f>VLOOKUP(C337,'RAW DATA 2023'!E:BP,63,0)</f>
        <v>3</v>
      </c>
      <c r="E337" s="68" t="str">
        <f t="shared" si="42"/>
        <v>Maeklong13</v>
      </c>
      <c r="F337" s="63" t="str">
        <f>VLOOKUP(C337,'RAW DATA 2023'!E:BO,5,0)</f>
        <v>Outdoor</v>
      </c>
      <c r="G337" s="63">
        <f>VLOOKUP(C337,'RAW DATA 2023'!E:BO,13,0)</f>
        <v>120</v>
      </c>
      <c r="H337" s="63">
        <f t="shared" si="45"/>
        <v>100</v>
      </c>
      <c r="I337" s="63">
        <f t="shared" si="43"/>
        <v>6.806</v>
      </c>
      <c r="J337" s="106">
        <f>VLOOKUP(C337,'RAW DATA 2023'!E:BO,22,0)</f>
        <v>6.0275677749360614</v>
      </c>
      <c r="K337" s="70">
        <f t="shared" si="46"/>
        <v>0.88562559138055563</v>
      </c>
      <c r="L337" s="72">
        <f t="shared" si="44"/>
        <v>6.0275677749360614</v>
      </c>
      <c r="M337" s="109">
        <f t="shared" si="48"/>
        <v>5.1416745517407421</v>
      </c>
      <c r="N337" s="123" t="str">
        <f>VLOOKUP(C337,'RAW DATA 2023'!E:BO,36,0)</f>
        <v>Normal</v>
      </c>
      <c r="O337" s="63">
        <f>VLOOKUP(C337,'RAW DATA 2023'!E:BO,2,0)</f>
        <v>3.91</v>
      </c>
      <c r="P337" s="322">
        <f t="shared" si="47"/>
        <v>20.103947497306301</v>
      </c>
    </row>
    <row r="338" spans="1:16">
      <c r="A338" s="63" t="str">
        <f>'RAW DATA 2023'!B331</f>
        <v>Maeklong1</v>
      </c>
      <c r="B338" s="63" t="str">
        <f>'RAW DATA 2023'!D331</f>
        <v>A1-021-0026</v>
      </c>
      <c r="C338" s="63" t="str">
        <f t="shared" si="41"/>
        <v>Maeklong1A1-021-0026</v>
      </c>
      <c r="D338" s="68">
        <f>VLOOKUP(C338,'RAW DATA 2023'!E:BP,63,0)</f>
        <v>12</v>
      </c>
      <c r="E338" s="68" t="str">
        <f t="shared" si="42"/>
        <v>Maeklong112</v>
      </c>
      <c r="F338" s="63" t="str">
        <f>VLOOKUP(C338,'RAW DATA 2023'!E:BO,5,0)</f>
        <v>Outdoor</v>
      </c>
      <c r="G338" s="63">
        <f>VLOOKUP(C338,'RAW DATA 2023'!E:BO,13,0)</f>
        <v>145</v>
      </c>
      <c r="H338" s="63">
        <f t="shared" si="45"/>
        <v>150</v>
      </c>
      <c r="I338" s="63">
        <f t="shared" si="43"/>
        <v>9.1999999999999993</v>
      </c>
      <c r="J338" s="106">
        <f>VLOOKUP(C338,'RAW DATA 2023'!E:BO,22,0)</f>
        <v>7.7212591623036655</v>
      </c>
      <c r="K338" s="70">
        <f t="shared" si="46"/>
        <v>0.83926730025039853</v>
      </c>
      <c r="L338" s="72">
        <f t="shared" si="44"/>
        <v>7.7212591623036655</v>
      </c>
      <c r="M338" s="109">
        <f t="shared" si="48"/>
        <v>4.5235640033386471</v>
      </c>
      <c r="N338" s="123" t="str">
        <f>VLOOKUP(C338,'RAW DATA 2023'!E:BO,36,0)</f>
        <v>Normal</v>
      </c>
      <c r="O338" s="63">
        <f>VLOOKUP(C338,'RAW DATA 2023'!E:BO,2,0)</f>
        <v>3.82</v>
      </c>
      <c r="P338" s="322">
        <f t="shared" si="47"/>
        <v>17.280014492753629</v>
      </c>
    </row>
    <row r="339" spans="1:16">
      <c r="A339" s="63" t="str">
        <f>'RAW DATA 2023'!B332</f>
        <v>Maeklong1</v>
      </c>
      <c r="B339" s="63" t="str">
        <f>'RAW DATA 2023'!D332</f>
        <v>A1-023-0017</v>
      </c>
      <c r="C339" s="63" t="str">
        <f t="shared" si="41"/>
        <v>Maeklong1A1-023-0017</v>
      </c>
      <c r="D339" s="68">
        <f>VLOOKUP(C339,'RAW DATA 2023'!E:BP,63,0)</f>
        <v>8</v>
      </c>
      <c r="E339" s="68" t="str">
        <f t="shared" si="42"/>
        <v>Maeklong18</v>
      </c>
      <c r="F339" s="63" t="str">
        <f>VLOOKUP(C339,'RAW DATA 2023'!E:BO,5,0)</f>
        <v>Outdoor</v>
      </c>
      <c r="G339" s="63">
        <f>VLOOKUP(C339,'RAW DATA 2023'!E:BO,13,0)</f>
        <v>113</v>
      </c>
      <c r="H339" s="63">
        <f t="shared" si="45"/>
        <v>100</v>
      </c>
      <c r="I339" s="63">
        <f t="shared" si="43"/>
        <v>6.806</v>
      </c>
      <c r="J339" s="106">
        <f>VLOOKUP(C339,'RAW DATA 2023'!E:BO,22,0)</f>
        <v>8.7958976982097177</v>
      </c>
      <c r="K339" s="70">
        <f t="shared" si="46"/>
        <v>1.2923740373508255</v>
      </c>
      <c r="L339" s="72">
        <f t="shared" si="44"/>
        <v>8.7958976982097177</v>
      </c>
      <c r="M339" s="109">
        <f t="shared" si="48"/>
        <v>10.564987164677673</v>
      </c>
      <c r="N339" s="123" t="str">
        <f>VLOOKUP(C339,'RAW DATA 2023'!E:BO,36,0)</f>
        <v>Normal</v>
      </c>
      <c r="O339" s="63">
        <f>VLOOKUP(C339,'RAW DATA 2023'!E:BO,2,0)</f>
        <v>3.91</v>
      </c>
      <c r="P339" s="322">
        <f t="shared" si="47"/>
        <v>41.309099813889702</v>
      </c>
    </row>
    <row r="340" spans="1:16">
      <c r="A340" s="63" t="str">
        <f>'RAW DATA 2023'!B333</f>
        <v>Maeklong1</v>
      </c>
      <c r="B340" s="63" t="str">
        <f>'RAW DATA 2023'!D333</f>
        <v>A1-024-0011</v>
      </c>
      <c r="C340" s="63" t="str">
        <f t="shared" si="41"/>
        <v>Maeklong1A1-024-0011</v>
      </c>
      <c r="D340" s="68">
        <f>VLOOKUP(C340,'RAW DATA 2023'!E:BP,63,0)</f>
        <v>5</v>
      </c>
      <c r="E340" s="68" t="str">
        <f t="shared" si="42"/>
        <v>Maeklong15</v>
      </c>
      <c r="F340" s="63" t="str">
        <f>VLOOKUP(C340,'RAW DATA 2023'!E:BO,5,0)</f>
        <v>Outdoor</v>
      </c>
      <c r="G340" s="63">
        <f>VLOOKUP(C340,'RAW DATA 2023'!E:BO,13,0)</f>
        <v>159</v>
      </c>
      <c r="H340" s="63">
        <f t="shared" si="45"/>
        <v>150</v>
      </c>
      <c r="I340" s="63">
        <f t="shared" si="43"/>
        <v>9.1999999999999993</v>
      </c>
      <c r="J340" s="106">
        <f>VLOOKUP(C340,'RAW DATA 2023'!E:BO,22,0)</f>
        <v>7.5768188775510215</v>
      </c>
      <c r="K340" s="70">
        <f t="shared" si="46"/>
        <v>0.82356726929902413</v>
      </c>
      <c r="L340" s="72">
        <f t="shared" si="44"/>
        <v>7.5768188775510215</v>
      </c>
      <c r="M340" s="109">
        <f t="shared" si="48"/>
        <v>4.3142302573203217</v>
      </c>
      <c r="N340" s="123" t="str">
        <f>VLOOKUP(C340,'RAW DATA 2023'!E:BO,36,0)</f>
        <v>Normal</v>
      </c>
      <c r="O340" s="63">
        <f>VLOOKUP(C340,'RAW DATA 2023'!E:BO,2,0)</f>
        <v>3.92</v>
      </c>
      <c r="P340" s="322">
        <f t="shared" si="47"/>
        <v>16.91178260869566</v>
      </c>
    </row>
    <row r="341" spans="1:16">
      <c r="A341" s="63" t="str">
        <f>'RAW DATA 2023'!B334</f>
        <v>Maeklong1</v>
      </c>
      <c r="B341" s="63" t="str">
        <f>'RAW DATA 2023'!D334</f>
        <v>A1-021-0024</v>
      </c>
      <c r="C341" s="63" t="str">
        <f t="shared" si="41"/>
        <v>Maeklong1A1-021-0024</v>
      </c>
      <c r="D341" s="68">
        <f>VLOOKUP(C341,'RAW DATA 2023'!E:BP,63,0)</f>
        <v>3</v>
      </c>
      <c r="E341" s="68" t="str">
        <f t="shared" si="42"/>
        <v>Maeklong13</v>
      </c>
      <c r="F341" s="63" t="str">
        <f>VLOOKUP(C341,'RAW DATA 2023'!E:BO,5,0)</f>
        <v>Outdoor</v>
      </c>
      <c r="G341" s="63">
        <f>VLOOKUP(C341,'RAW DATA 2023'!E:BO,13,0)</f>
        <v>138</v>
      </c>
      <c r="H341" s="63">
        <f t="shared" si="45"/>
        <v>150</v>
      </c>
      <c r="I341" s="63">
        <f t="shared" si="43"/>
        <v>9.1999999999999993</v>
      </c>
      <c r="J341" s="106">
        <f>VLOOKUP(C341,'RAW DATA 2023'!E:BO,22,0)</f>
        <v>8.6401518324607327</v>
      </c>
      <c r="K341" s="70">
        <f t="shared" si="46"/>
        <v>0.93914693831094931</v>
      </c>
      <c r="L341" s="72">
        <f t="shared" si="44"/>
        <v>8.6401518324607327</v>
      </c>
      <c r="M341" s="109">
        <f t="shared" si="48"/>
        <v>5.8552925108126574</v>
      </c>
      <c r="N341" s="123" t="str">
        <f>VLOOKUP(C341,'RAW DATA 2023'!E:BO,36,0)</f>
        <v>Normal</v>
      </c>
      <c r="O341" s="63">
        <f>VLOOKUP(C341,'RAW DATA 2023'!E:BO,2,0)</f>
        <v>3.82</v>
      </c>
      <c r="P341" s="322">
        <f t="shared" si="47"/>
        <v>22.367217391304351</v>
      </c>
    </row>
    <row r="342" spans="1:16">
      <c r="A342" s="63" t="str">
        <f>'RAW DATA 2023'!B335</f>
        <v>Maeklong1</v>
      </c>
      <c r="B342" s="63" t="str">
        <f>'RAW DATA 2023'!D335</f>
        <v>A1-023-0018</v>
      </c>
      <c r="C342" s="63" t="str">
        <f t="shared" si="41"/>
        <v>Maeklong1A1-023-0018</v>
      </c>
      <c r="D342" s="68">
        <f>VLOOKUP(C342,'RAW DATA 2023'!E:BP,63,0)</f>
        <v>10</v>
      </c>
      <c r="E342" s="68" t="str">
        <f t="shared" si="42"/>
        <v>Maeklong110</v>
      </c>
      <c r="F342" s="63" t="str">
        <f>VLOOKUP(C342,'RAW DATA 2023'!E:BO,5,0)</f>
        <v>Outdoor</v>
      </c>
      <c r="G342" s="63">
        <f>VLOOKUP(C342,'RAW DATA 2023'!E:BO,13,0)</f>
        <v>150</v>
      </c>
      <c r="H342" s="63">
        <f t="shared" si="45"/>
        <v>150</v>
      </c>
      <c r="I342" s="63">
        <f t="shared" si="43"/>
        <v>9.1999999999999993</v>
      </c>
      <c r="J342" s="106">
        <f>VLOOKUP(C342,'RAW DATA 2023'!E:BO,22,0)</f>
        <v>2.9601994884910483</v>
      </c>
      <c r="K342" s="70">
        <f t="shared" si="46"/>
        <v>0.32176081396641831</v>
      </c>
      <c r="L342" s="72">
        <f t="shared" si="44"/>
        <v>2.9601994884910483</v>
      </c>
      <c r="M342" s="109">
        <f t="shared" si="48"/>
        <v>-2.3765224804477558</v>
      </c>
      <c r="N342" s="123" t="str">
        <f>VLOOKUP(C342,'RAW DATA 2023'!E:BO,36,0)</f>
        <v>WSSV</v>
      </c>
      <c r="O342" s="63">
        <f>VLOOKUP(C342,'RAW DATA 2023'!E:BO,2,0)</f>
        <v>3.91</v>
      </c>
      <c r="P342" s="322">
        <f t="shared" si="47"/>
        <v>-9.292202898550725</v>
      </c>
    </row>
    <row r="343" spans="1:16">
      <c r="A343" s="63" t="str">
        <f>'RAW DATA 2023'!B336</f>
        <v>Maeklong1</v>
      </c>
      <c r="B343" s="63" t="str">
        <f>'RAW DATA 2023'!D336</f>
        <v>A1-019-0023</v>
      </c>
      <c r="C343" s="63" t="str">
        <f t="shared" si="41"/>
        <v>Maeklong1A1-019-0023</v>
      </c>
      <c r="D343" s="68">
        <f>VLOOKUP(C343,'RAW DATA 2023'!E:BP,63,0)</f>
        <v>5</v>
      </c>
      <c r="E343" s="68" t="str">
        <f t="shared" si="42"/>
        <v>Maeklong15</v>
      </c>
      <c r="F343" s="63" t="str">
        <f>VLOOKUP(C343,'RAW DATA 2023'!E:BO,5,0)</f>
        <v>Outdoor</v>
      </c>
      <c r="G343" s="63">
        <f>VLOOKUP(C343,'RAW DATA 2023'!E:BO,13,0)</f>
        <v>133</v>
      </c>
      <c r="H343" s="63">
        <f t="shared" si="45"/>
        <v>100</v>
      </c>
      <c r="I343" s="63">
        <f t="shared" si="43"/>
        <v>6.806</v>
      </c>
      <c r="J343" s="106">
        <f>VLOOKUP(C343,'RAW DATA 2023'!E:BO,22,0)</f>
        <v>9.8537977099236649</v>
      </c>
      <c r="K343" s="70">
        <f t="shared" si="46"/>
        <v>1.4478104187369476</v>
      </c>
      <c r="L343" s="72">
        <f t="shared" si="44"/>
        <v>9.8537977099236649</v>
      </c>
      <c r="M343" s="109">
        <f t="shared" si="48"/>
        <v>12.637472249825969</v>
      </c>
      <c r="N343" s="123" t="str">
        <f>VLOOKUP(C343,'RAW DATA 2023'!E:BO,36,0)</f>
        <v>Normal</v>
      </c>
      <c r="O343" s="63">
        <f>VLOOKUP(C343,'RAW DATA 2023'!E:BO,2,0)</f>
        <v>5.24</v>
      </c>
      <c r="P343" s="322">
        <f t="shared" si="47"/>
        <v>66.220354589088075</v>
      </c>
    </row>
    <row r="344" spans="1:16">
      <c r="A344" s="63" t="str">
        <f>'RAW DATA 2023'!B337</f>
        <v>Maeklong1</v>
      </c>
      <c r="B344" s="63" t="str">
        <f>'RAW DATA 2023'!D337</f>
        <v>A1-015-0035</v>
      </c>
      <c r="C344" s="63" t="str">
        <f t="shared" si="41"/>
        <v>Maeklong1A1-015-0035</v>
      </c>
      <c r="D344" s="68">
        <f>VLOOKUP(C344,'RAW DATA 2023'!E:BP,63,0)</f>
        <v>3</v>
      </c>
      <c r="E344" s="68" t="str">
        <f t="shared" si="42"/>
        <v>Maeklong13</v>
      </c>
      <c r="F344" s="63" t="str">
        <f>VLOOKUP(C344,'RAW DATA 2023'!E:BO,5,0)</f>
        <v>Outdoor</v>
      </c>
      <c r="G344" s="63">
        <f>VLOOKUP(C344,'RAW DATA 2023'!E:BO,13,0)</f>
        <v>171</v>
      </c>
      <c r="H344" s="63">
        <f t="shared" si="45"/>
        <v>180</v>
      </c>
      <c r="I344" s="63">
        <f t="shared" si="43"/>
        <v>10.247</v>
      </c>
      <c r="J344" s="106">
        <f>VLOOKUP(C344,'RAW DATA 2023'!E:BO,22,0)</f>
        <v>11.777613168724278</v>
      </c>
      <c r="K344" s="70">
        <f t="shared" si="46"/>
        <v>1.1493718326070341</v>
      </c>
      <c r="L344" s="72">
        <f t="shared" si="44"/>
        <v>11.777613168724278</v>
      </c>
      <c r="M344" s="109">
        <f t="shared" si="48"/>
        <v>8.6582911014271229</v>
      </c>
      <c r="N344" s="123" t="str">
        <f>VLOOKUP(C344,'RAW DATA 2023'!E:BO,36,0)</f>
        <v>Normal</v>
      </c>
      <c r="O344" s="63">
        <f>VLOOKUP(C344,'RAW DATA 2023'!E:BO,2,0)</f>
        <v>2.4300000000000002</v>
      </c>
      <c r="P344" s="322">
        <f t="shared" si="47"/>
        <v>21.039647376467911</v>
      </c>
    </row>
    <row r="345" spans="1:16">
      <c r="A345" s="63" t="str">
        <f>'RAW DATA 2023'!B338</f>
        <v>Maeklong1</v>
      </c>
      <c r="B345" s="63" t="str">
        <f>'RAW DATA 2023'!D338</f>
        <v>A1-017-0029</v>
      </c>
      <c r="C345" s="63" t="str">
        <f t="shared" si="41"/>
        <v>Maeklong1A1-017-0029</v>
      </c>
      <c r="D345" s="68">
        <f>VLOOKUP(C345,'RAW DATA 2023'!E:BP,63,0)</f>
        <v>2</v>
      </c>
      <c r="E345" s="68" t="str">
        <f t="shared" si="42"/>
        <v>Maeklong12</v>
      </c>
      <c r="F345" s="63" t="str">
        <f>VLOOKUP(C345,'RAW DATA 2023'!E:BO,5,0)</f>
        <v>Outdoor</v>
      </c>
      <c r="G345" s="63">
        <f>VLOOKUP(C345,'RAW DATA 2023'!E:BO,13,0)</f>
        <v>144</v>
      </c>
      <c r="H345" s="63">
        <f t="shared" si="45"/>
        <v>150</v>
      </c>
      <c r="I345" s="63">
        <f t="shared" si="43"/>
        <v>9.1999999999999993</v>
      </c>
      <c r="J345" s="106">
        <f>VLOOKUP(C345,'RAW DATA 2023'!E:BO,22,0)</f>
        <v>6.1135778546712807</v>
      </c>
      <c r="K345" s="70">
        <f t="shared" si="46"/>
        <v>0.6645193320294871</v>
      </c>
      <c r="L345" s="72">
        <f t="shared" si="44"/>
        <v>6.1135778546712807</v>
      </c>
      <c r="M345" s="109">
        <f t="shared" si="48"/>
        <v>2.1935910937264946</v>
      </c>
      <c r="N345" s="123" t="str">
        <f>VLOOKUP(C345,'RAW DATA 2023'!E:BO,36,0)</f>
        <v>WSSV</v>
      </c>
      <c r="O345" s="63">
        <f>VLOOKUP(C345,'RAW DATA 2023'!E:BO,2,0)</f>
        <v>2.89</v>
      </c>
      <c r="P345" s="322">
        <f t="shared" si="47"/>
        <v>6.3394782608695701</v>
      </c>
    </row>
    <row r="346" spans="1:16">
      <c r="A346" s="63" t="str">
        <f>'RAW DATA 2023'!B339</f>
        <v>Maeklong1</v>
      </c>
      <c r="B346" s="63" t="str">
        <f>'RAW DATA 2023'!D339</f>
        <v>A1-017-0030</v>
      </c>
      <c r="C346" s="63" t="str">
        <f t="shared" si="41"/>
        <v>Maeklong1A1-017-0030</v>
      </c>
      <c r="D346" s="68">
        <f>VLOOKUP(C346,'RAW DATA 2023'!E:BP,63,0)</f>
        <v>3</v>
      </c>
      <c r="E346" s="68" t="str">
        <f t="shared" si="42"/>
        <v>Maeklong13</v>
      </c>
      <c r="F346" s="63" t="str">
        <f>VLOOKUP(C346,'RAW DATA 2023'!E:BO,5,0)</f>
        <v>Outdoor</v>
      </c>
      <c r="G346" s="63">
        <f>VLOOKUP(C346,'RAW DATA 2023'!E:BO,13,0)</f>
        <v>240</v>
      </c>
      <c r="H346" s="63">
        <f t="shared" si="45"/>
        <v>200</v>
      </c>
      <c r="I346" s="63">
        <f t="shared" si="43"/>
        <v>11.259</v>
      </c>
      <c r="J346" s="106">
        <f>VLOOKUP(C346,'RAW DATA 2023'!E:BO,22,0)</f>
        <v>0</v>
      </c>
      <c r="K346" s="70">
        <f t="shared" si="46"/>
        <v>0</v>
      </c>
      <c r="L346" s="72">
        <f t="shared" si="44"/>
        <v>0</v>
      </c>
      <c r="M346" s="109">
        <f t="shared" si="48"/>
        <v>-6.666666666666667</v>
      </c>
      <c r="N346" s="123" t="str">
        <f>VLOOKUP(C346,'RAW DATA 2023'!E:BO,36,0)</f>
        <v>WSSV</v>
      </c>
      <c r="O346" s="63">
        <f>VLOOKUP(C346,'RAW DATA 2023'!E:BO,2,0)</f>
        <v>2.89</v>
      </c>
      <c r="P346" s="322">
        <f t="shared" si="47"/>
        <v>-19.266666666666669</v>
      </c>
    </row>
    <row r="347" spans="1:16">
      <c r="A347" s="63" t="str">
        <f>'RAW DATA 2023'!B340</f>
        <v>Maeklong1</v>
      </c>
      <c r="B347" s="63" t="str">
        <f>'RAW DATA 2023'!D340</f>
        <v>A1-017-0032</v>
      </c>
      <c r="C347" s="63" t="str">
        <f t="shared" si="41"/>
        <v>Maeklong1A1-017-0032</v>
      </c>
      <c r="D347" s="68">
        <f>VLOOKUP(C347,'RAW DATA 2023'!E:BP,63,0)</f>
        <v>10</v>
      </c>
      <c r="E347" s="68" t="str">
        <f t="shared" si="42"/>
        <v>Maeklong110</v>
      </c>
      <c r="F347" s="63" t="str">
        <f>VLOOKUP(C347,'RAW DATA 2023'!E:BO,5,0)</f>
        <v>Outdoor</v>
      </c>
      <c r="G347" s="63">
        <f>VLOOKUP(C347,'RAW DATA 2023'!E:BO,13,0)</f>
        <v>144</v>
      </c>
      <c r="H347" s="63">
        <f t="shared" si="45"/>
        <v>150</v>
      </c>
      <c r="I347" s="63">
        <f t="shared" si="43"/>
        <v>9.1999999999999993</v>
      </c>
      <c r="J347" s="106">
        <f>VLOOKUP(C347,'RAW DATA 2023'!E:BO,22,0)</f>
        <v>0</v>
      </c>
      <c r="K347" s="70">
        <f t="shared" si="46"/>
        <v>0</v>
      </c>
      <c r="L347" s="72">
        <f t="shared" si="44"/>
        <v>0</v>
      </c>
      <c r="M347" s="109">
        <f t="shared" si="48"/>
        <v>-6.666666666666667</v>
      </c>
      <c r="N347" s="123" t="str">
        <f>VLOOKUP(C347,'RAW DATA 2023'!E:BO,36,0)</f>
        <v>WSSV</v>
      </c>
      <c r="O347" s="63">
        <f>VLOOKUP(C347,'RAW DATA 2023'!E:BO,2,0)</f>
        <v>2.89</v>
      </c>
      <c r="P347" s="322">
        <f t="shared" si="47"/>
        <v>-19.266666666666669</v>
      </c>
    </row>
    <row r="348" spans="1:16">
      <c r="A348" s="63" t="str">
        <f>'RAW DATA 2023'!B341</f>
        <v>Maeklong1</v>
      </c>
      <c r="B348" s="63" t="str">
        <f>'RAW DATA 2023'!D341</f>
        <v>A1-029-0014</v>
      </c>
      <c r="C348" s="63" t="str">
        <f t="shared" si="41"/>
        <v>Maeklong1A1-029-0014</v>
      </c>
      <c r="D348" s="68">
        <f>VLOOKUP(C348,'RAW DATA 2023'!E:BP,63,0)</f>
        <v>9</v>
      </c>
      <c r="E348" s="68" t="str">
        <f t="shared" si="42"/>
        <v>Maeklong19</v>
      </c>
      <c r="F348" s="63" t="str">
        <f>VLOOKUP(C348,'RAW DATA 2023'!E:BO,5,0)</f>
        <v>Outdoor</v>
      </c>
      <c r="G348" s="63">
        <f>VLOOKUP(C348,'RAW DATA 2023'!E:BO,13,0)</f>
        <v>175</v>
      </c>
      <c r="H348" s="63">
        <f t="shared" si="45"/>
        <v>180</v>
      </c>
      <c r="I348" s="63">
        <f t="shared" si="43"/>
        <v>10.247</v>
      </c>
      <c r="J348" s="106">
        <f>VLOOKUP(C348,'RAW DATA 2023'!E:BO,22,0)</f>
        <v>14.344984615384615</v>
      </c>
      <c r="K348" s="70">
        <f t="shared" si="46"/>
        <v>1.3999204269917649</v>
      </c>
      <c r="L348" s="72">
        <f t="shared" si="44"/>
        <v>14.344984615384615</v>
      </c>
      <c r="M348" s="109">
        <f t="shared" si="48"/>
        <v>11.998939026556865</v>
      </c>
      <c r="N348" s="123" t="str">
        <f>VLOOKUP(C348,'RAW DATA 2023'!E:BO,36,0)</f>
        <v>Normal</v>
      </c>
      <c r="O348" s="63">
        <f>VLOOKUP(C348,'RAW DATA 2023'!E:BO,2,0)</f>
        <v>1.3</v>
      </c>
      <c r="P348" s="322">
        <f t="shared" si="47"/>
        <v>15.598620734523925</v>
      </c>
    </row>
    <row r="349" spans="1:16">
      <c r="A349" s="63" t="str">
        <f>'RAW DATA 2023'!B342</f>
        <v>Maeklong1</v>
      </c>
      <c r="B349" s="63" t="str">
        <f>'RAW DATA 2023'!D342</f>
        <v>A1-002-0034</v>
      </c>
      <c r="C349" s="63" t="str">
        <f t="shared" si="41"/>
        <v>Maeklong1A1-002-0034</v>
      </c>
      <c r="D349" s="68">
        <f>VLOOKUP(C349,'RAW DATA 2023'!E:BP,63,0)</f>
        <v>7</v>
      </c>
      <c r="E349" s="68" t="str">
        <f t="shared" si="42"/>
        <v>Maeklong17</v>
      </c>
      <c r="F349" s="63" t="str">
        <f>VLOOKUP(C349,'RAW DATA 2023'!E:BO,5,0)</f>
        <v>Outdoor</v>
      </c>
      <c r="G349" s="63">
        <f>VLOOKUP(C349,'RAW DATA 2023'!E:BO,13,0)</f>
        <v>154</v>
      </c>
      <c r="H349" s="63">
        <f t="shared" si="45"/>
        <v>150</v>
      </c>
      <c r="I349" s="63">
        <f t="shared" si="43"/>
        <v>9.1999999999999993</v>
      </c>
      <c r="J349" s="106">
        <f>VLOOKUP(C349,'RAW DATA 2023'!E:BO,22,0)</f>
        <v>10.74014404432133</v>
      </c>
      <c r="K349" s="70">
        <f t="shared" si="46"/>
        <v>1.167406961339275</v>
      </c>
      <c r="L349" s="72">
        <f t="shared" si="44"/>
        <v>10.74014404432133</v>
      </c>
      <c r="M349" s="109">
        <f t="shared" si="48"/>
        <v>8.8987594845236675</v>
      </c>
      <c r="N349" s="123" t="str">
        <f>VLOOKUP(C349,'RAW DATA 2023'!E:BO,36,0)</f>
        <v>Normal</v>
      </c>
      <c r="O349" s="63">
        <f>VLOOKUP(C349,'RAW DATA 2023'!E:BO,2,0)</f>
        <v>3.61</v>
      </c>
      <c r="P349" s="322">
        <f t="shared" si="47"/>
        <v>32.124521739130437</v>
      </c>
    </row>
    <row r="350" spans="1:16">
      <c r="A350" s="63" t="str">
        <f>'RAW DATA 2023'!B343</f>
        <v>Maeklong1</v>
      </c>
      <c r="B350" s="63" t="str">
        <f>'RAW DATA 2023'!D343</f>
        <v>A1-005-0044</v>
      </c>
      <c r="C350" s="63" t="str">
        <f t="shared" si="41"/>
        <v>Maeklong1A1-005-0044</v>
      </c>
      <c r="D350" s="68">
        <f>VLOOKUP(C350,'RAW DATA 2023'!E:BP,63,0)</f>
        <v>9</v>
      </c>
      <c r="E350" s="68" t="str">
        <f t="shared" si="42"/>
        <v>Maeklong19</v>
      </c>
      <c r="F350" s="63" t="str">
        <f>VLOOKUP(C350,'RAW DATA 2023'!E:BO,5,0)</f>
        <v>Outdoor</v>
      </c>
      <c r="G350" s="63">
        <f>VLOOKUP(C350,'RAW DATA 2023'!E:BO,13,0)</f>
        <v>162</v>
      </c>
      <c r="H350" s="63">
        <f t="shared" si="45"/>
        <v>150</v>
      </c>
      <c r="I350" s="63">
        <f t="shared" si="43"/>
        <v>9.1999999999999993</v>
      </c>
      <c r="J350" s="106">
        <f>VLOOKUP(C350,'RAW DATA 2023'!E:BO,22,0)</f>
        <v>13.510991228070175</v>
      </c>
      <c r="K350" s="70">
        <f t="shared" si="46"/>
        <v>1.468586003051106</v>
      </c>
      <c r="L350" s="72">
        <f t="shared" si="44"/>
        <v>13.510991228070175</v>
      </c>
      <c r="M350" s="109">
        <f t="shared" si="48"/>
        <v>12.914480040681413</v>
      </c>
      <c r="N350" s="123" t="str">
        <f>VLOOKUP(C350,'RAW DATA 2023'!E:BO,36,0)</f>
        <v>Normal</v>
      </c>
      <c r="O350" s="63">
        <f>VLOOKUP(C350,'RAW DATA 2023'!E:BO,2,0)</f>
        <v>3.42</v>
      </c>
      <c r="P350" s="322">
        <f t="shared" si="47"/>
        <v>44.167521739130429</v>
      </c>
    </row>
    <row r="351" spans="1:16">
      <c r="A351" s="63" t="str">
        <f>'RAW DATA 2023'!B344</f>
        <v>Maeklong1</v>
      </c>
      <c r="B351" s="63" t="str">
        <f>'RAW DATA 2023'!D344</f>
        <v>A1-006-0042</v>
      </c>
      <c r="C351" s="63" t="str">
        <f t="shared" si="41"/>
        <v>Maeklong1A1-006-0042</v>
      </c>
      <c r="D351" s="68">
        <f>VLOOKUP(C351,'RAW DATA 2023'!E:BP,63,0)</f>
        <v>9</v>
      </c>
      <c r="E351" s="68" t="str">
        <f t="shared" si="42"/>
        <v>Maeklong19</v>
      </c>
      <c r="F351" s="63" t="str">
        <f>VLOOKUP(C351,'RAW DATA 2023'!E:BO,5,0)</f>
        <v>Outdoor</v>
      </c>
      <c r="G351" s="63">
        <f>VLOOKUP(C351,'RAW DATA 2023'!E:BO,13,0)</f>
        <v>162</v>
      </c>
      <c r="H351" s="63">
        <f t="shared" si="45"/>
        <v>150</v>
      </c>
      <c r="I351" s="63">
        <f t="shared" si="43"/>
        <v>9.1999999999999993</v>
      </c>
      <c r="J351" s="106">
        <f>VLOOKUP(C351,'RAW DATA 2023'!E:BO,22,0)</f>
        <v>10.880970760233918</v>
      </c>
      <c r="K351" s="70">
        <f t="shared" si="46"/>
        <v>1.1827142130689041</v>
      </c>
      <c r="L351" s="72">
        <f t="shared" si="44"/>
        <v>10.880970760233918</v>
      </c>
      <c r="M351" s="109">
        <f t="shared" si="48"/>
        <v>9.1028561742520555</v>
      </c>
      <c r="N351" s="123" t="str">
        <f>VLOOKUP(C351,'RAW DATA 2023'!E:BO,36,0)</f>
        <v>Normal</v>
      </c>
      <c r="O351" s="63">
        <f>VLOOKUP(C351,'RAW DATA 2023'!E:BO,2,0)</f>
        <v>3.42</v>
      </c>
      <c r="P351" s="322">
        <f t="shared" si="47"/>
        <v>31.13176811594203</v>
      </c>
    </row>
    <row r="352" spans="1:16">
      <c r="A352" s="63" t="str">
        <f>'RAW DATA 2023'!B345</f>
        <v>Maeklong1</v>
      </c>
      <c r="B352" s="63" t="str">
        <f>'RAW DATA 2023'!D345</f>
        <v>A1-030-0007</v>
      </c>
      <c r="C352" s="63" t="str">
        <f t="shared" si="41"/>
        <v>Maeklong1A1-030-0007</v>
      </c>
      <c r="D352" s="68">
        <f>VLOOKUP(C352,'RAW DATA 2023'!E:BP,63,0)</f>
        <v>8</v>
      </c>
      <c r="E352" s="68" t="str">
        <f t="shared" si="42"/>
        <v>Maeklong18</v>
      </c>
      <c r="F352" s="63" t="str">
        <f>VLOOKUP(C352,'RAW DATA 2023'!E:BO,5,0)</f>
        <v>Outdoor</v>
      </c>
      <c r="G352" s="63">
        <f>VLOOKUP(C352,'RAW DATA 2023'!E:BO,13,0)</f>
        <v>200</v>
      </c>
      <c r="H352" s="63">
        <f t="shared" si="45"/>
        <v>200</v>
      </c>
      <c r="I352" s="63">
        <f t="shared" si="43"/>
        <v>11.259</v>
      </c>
      <c r="J352" s="106">
        <f>VLOOKUP(C352,'RAW DATA 2023'!E:BO,22,0)</f>
        <v>11.135215384615384</v>
      </c>
      <c r="K352" s="70">
        <f t="shared" si="46"/>
        <v>0.98900571850212127</v>
      </c>
      <c r="L352" s="72">
        <f t="shared" si="44"/>
        <v>11.135215384615384</v>
      </c>
      <c r="M352" s="109">
        <f t="shared" si="48"/>
        <v>6.5200762466949502</v>
      </c>
      <c r="N352" s="123" t="str">
        <f>VLOOKUP(C352,'RAW DATA 2023'!E:BO,36,0)</f>
        <v>Normal</v>
      </c>
      <c r="O352" s="63">
        <f>VLOOKUP(C352,'RAW DATA 2023'!E:BO,2,0)</f>
        <v>1.3</v>
      </c>
      <c r="P352" s="322">
        <f t="shared" si="47"/>
        <v>8.4760991207034362</v>
      </c>
    </row>
    <row r="353" spans="1:16">
      <c r="A353" s="63" t="str">
        <f>'RAW DATA 2023'!B346</f>
        <v>Maeklong1</v>
      </c>
      <c r="B353" s="63" t="str">
        <f>'RAW DATA 2023'!D346</f>
        <v>A1-009-0043</v>
      </c>
      <c r="C353" s="63" t="str">
        <f t="shared" si="41"/>
        <v>Maeklong1A1-009-0043</v>
      </c>
      <c r="D353" s="68">
        <f>VLOOKUP(C353,'RAW DATA 2023'!E:BP,63,0)</f>
        <v>10</v>
      </c>
      <c r="E353" s="68" t="str">
        <f t="shared" si="42"/>
        <v>Maeklong110</v>
      </c>
      <c r="F353" s="63" t="str">
        <f>VLOOKUP(C353,'RAW DATA 2023'!E:BO,5,0)</f>
        <v>Outdoor</v>
      </c>
      <c r="G353" s="63">
        <f>VLOOKUP(C353,'RAW DATA 2023'!E:BO,13,0)</f>
        <v>143</v>
      </c>
      <c r="H353" s="63">
        <f t="shared" si="45"/>
        <v>150</v>
      </c>
      <c r="I353" s="63">
        <f t="shared" si="43"/>
        <v>9.1999999999999993</v>
      </c>
      <c r="J353" s="106">
        <f>VLOOKUP(C353,'RAW DATA 2023'!E:BO,22,0)</f>
        <v>9.6566109589041087</v>
      </c>
      <c r="K353" s="70">
        <f t="shared" si="46"/>
        <v>1.049631625967838</v>
      </c>
      <c r="L353" s="72">
        <f t="shared" si="44"/>
        <v>9.6566109589041087</v>
      </c>
      <c r="M353" s="109">
        <f t="shared" si="48"/>
        <v>7.3284216795711732</v>
      </c>
      <c r="N353" s="123" t="str">
        <f>VLOOKUP(C353,'RAW DATA 2023'!E:BO,36,0)</f>
        <v>Normal</v>
      </c>
      <c r="O353" s="63">
        <f>VLOOKUP(C353,'RAW DATA 2023'!E:BO,2,0)</f>
        <v>3.65</v>
      </c>
      <c r="P353" s="322">
        <f t="shared" si="47"/>
        <v>26.748739130434782</v>
      </c>
    </row>
    <row r="354" spans="1:16">
      <c r="A354" s="63" t="str">
        <f>'RAW DATA 2023'!B347</f>
        <v>Maeklong1</v>
      </c>
      <c r="B354" s="63" t="str">
        <f>'RAW DATA 2023'!D347</f>
        <v>A1-029-0013</v>
      </c>
      <c r="C354" s="63" t="str">
        <f t="shared" si="41"/>
        <v>Maeklong1A1-029-0013</v>
      </c>
      <c r="D354" s="68">
        <f>VLOOKUP(C354,'RAW DATA 2023'!E:BP,63,0)</f>
        <v>5</v>
      </c>
      <c r="E354" s="68" t="str">
        <f t="shared" si="42"/>
        <v>Maeklong15</v>
      </c>
      <c r="F354" s="63" t="str">
        <f>VLOOKUP(C354,'RAW DATA 2023'!E:BO,5,0)</f>
        <v>Outdoor</v>
      </c>
      <c r="G354" s="63">
        <f>VLOOKUP(C354,'RAW DATA 2023'!E:BO,13,0)</f>
        <v>175</v>
      </c>
      <c r="H354" s="63">
        <f t="shared" si="45"/>
        <v>180</v>
      </c>
      <c r="I354" s="63">
        <f t="shared" si="43"/>
        <v>10.247</v>
      </c>
      <c r="J354" s="106">
        <f>VLOOKUP(C354,'RAW DATA 2023'!E:BO,22,0)</f>
        <v>11.557630769230769</v>
      </c>
      <c r="K354" s="70">
        <f t="shared" si="46"/>
        <v>1.1279038517840119</v>
      </c>
      <c r="L354" s="72">
        <f t="shared" si="44"/>
        <v>11.557630769230769</v>
      </c>
      <c r="M354" s="109">
        <f t="shared" si="48"/>
        <v>8.3720513571201582</v>
      </c>
      <c r="N354" s="123" t="str">
        <f>VLOOKUP(C354,'RAW DATA 2023'!E:BO,36,0)</f>
        <v>Normal</v>
      </c>
      <c r="O354" s="63">
        <f>VLOOKUP(C354,'RAW DATA 2023'!E:BO,2,0)</f>
        <v>1.3</v>
      </c>
      <c r="P354" s="322">
        <f t="shared" si="47"/>
        <v>10.883666764256207</v>
      </c>
    </row>
    <row r="355" spans="1:16">
      <c r="A355" s="63" t="str">
        <f>'RAW DATA 2023'!B348</f>
        <v>Maeklong1</v>
      </c>
      <c r="B355" s="63" t="str">
        <f>'RAW DATA 2023'!D348</f>
        <v>A1-030-0008</v>
      </c>
      <c r="C355" s="63" t="str">
        <f t="shared" si="41"/>
        <v>Maeklong1A1-030-0008</v>
      </c>
      <c r="D355" s="68">
        <f>VLOOKUP(C355,'RAW DATA 2023'!E:BP,63,0)</f>
        <v>12</v>
      </c>
      <c r="E355" s="68" t="str">
        <f t="shared" si="42"/>
        <v>Maeklong112</v>
      </c>
      <c r="F355" s="63" t="str">
        <f>VLOOKUP(C355,'RAW DATA 2023'!E:BO,5,0)</f>
        <v>Outdoor</v>
      </c>
      <c r="G355" s="63">
        <f>VLOOKUP(C355,'RAW DATA 2023'!E:BO,13,0)</f>
        <v>175</v>
      </c>
      <c r="H355" s="63">
        <f t="shared" si="45"/>
        <v>180</v>
      </c>
      <c r="I355" s="63">
        <f t="shared" si="43"/>
        <v>10.247</v>
      </c>
      <c r="J355" s="106">
        <f>VLOOKUP(C355,'RAW DATA 2023'!E:BO,22,0)</f>
        <v>11.843769230769231</v>
      </c>
      <c r="K355" s="70">
        <f t="shared" si="46"/>
        <v>1.1558279721644609</v>
      </c>
      <c r="L355" s="72">
        <f t="shared" si="44"/>
        <v>11.843769230769231</v>
      </c>
      <c r="M355" s="109">
        <f t="shared" si="48"/>
        <v>8.7443729621928128</v>
      </c>
      <c r="N355" s="123" t="str">
        <f>VLOOKUP(C355,'RAW DATA 2023'!E:BO,36,0)</f>
        <v>Normal</v>
      </c>
      <c r="O355" s="63">
        <f>VLOOKUP(C355,'RAW DATA 2023'!E:BO,2,0)</f>
        <v>1.3</v>
      </c>
      <c r="P355" s="322">
        <f t="shared" si="47"/>
        <v>11.367684850850656</v>
      </c>
    </row>
    <row r="356" spans="1:16">
      <c r="A356" s="63" t="str">
        <f>'RAW DATA 2023'!B349</f>
        <v>Maeklong1</v>
      </c>
      <c r="B356" s="63" t="str">
        <f>'RAW DATA 2023'!D349</f>
        <v>A1-002-0035</v>
      </c>
      <c r="C356" s="63" t="str">
        <f t="shared" si="41"/>
        <v>Maeklong1A1-002-0035</v>
      </c>
      <c r="D356" s="68">
        <f>VLOOKUP(C356,'RAW DATA 2023'!E:BP,63,0)</f>
        <v>10</v>
      </c>
      <c r="E356" s="68" t="str">
        <f t="shared" si="42"/>
        <v>Maeklong110</v>
      </c>
      <c r="F356" s="63" t="str">
        <f>VLOOKUP(C356,'RAW DATA 2023'!E:BO,5,0)</f>
        <v>Outdoor</v>
      </c>
      <c r="G356" s="63">
        <f>VLOOKUP(C356,'RAW DATA 2023'!E:BO,13,0)</f>
        <v>154</v>
      </c>
      <c r="H356" s="63">
        <f t="shared" si="45"/>
        <v>150</v>
      </c>
      <c r="I356" s="63">
        <f t="shared" si="43"/>
        <v>9.1999999999999993</v>
      </c>
      <c r="J356" s="106">
        <f>VLOOKUP(C356,'RAW DATA 2023'!E:BO,22,0)</f>
        <v>1.4372770083102493</v>
      </c>
      <c r="K356" s="70">
        <f t="shared" si="46"/>
        <v>0.15622576177285319</v>
      </c>
      <c r="L356" s="72">
        <f t="shared" si="44"/>
        <v>1.4372770083102493</v>
      </c>
      <c r="M356" s="109">
        <f t="shared" si="48"/>
        <v>-4.5836565096952908</v>
      </c>
      <c r="N356" s="123" t="str">
        <f>VLOOKUP(C356,'RAW DATA 2023'!E:BO,36,0)</f>
        <v>WSSV</v>
      </c>
      <c r="O356" s="63">
        <f>VLOOKUP(C356,'RAW DATA 2023'!E:BO,2,0)</f>
        <v>3.61</v>
      </c>
      <c r="P356" s="322">
        <f t="shared" si="47"/>
        <v>-16.547000000000001</v>
      </c>
    </row>
    <row r="357" spans="1:16">
      <c r="A357" s="63" t="str">
        <f>'RAW DATA 2023'!B350</f>
        <v>Maeklong1</v>
      </c>
      <c r="B357" s="63" t="str">
        <f>'RAW DATA 2023'!D350</f>
        <v>A1-029-0012</v>
      </c>
      <c r="C357" s="63" t="str">
        <f t="shared" si="41"/>
        <v>Maeklong1A1-029-0012</v>
      </c>
      <c r="D357" s="68">
        <f>VLOOKUP(C357,'RAW DATA 2023'!E:BP,63,0)</f>
        <v>1</v>
      </c>
      <c r="E357" s="68" t="str">
        <f t="shared" si="42"/>
        <v>Maeklong11</v>
      </c>
      <c r="F357" s="63" t="str">
        <f>VLOOKUP(C357,'RAW DATA 2023'!E:BO,5,0)</f>
        <v>Outdoor</v>
      </c>
      <c r="G357" s="63">
        <f>VLOOKUP(C357,'RAW DATA 2023'!E:BO,13,0)</f>
        <v>164</v>
      </c>
      <c r="H357" s="63">
        <f t="shared" si="45"/>
        <v>150</v>
      </c>
      <c r="I357" s="63">
        <f t="shared" si="43"/>
        <v>9.1999999999999993</v>
      </c>
      <c r="J357" s="106">
        <f>VLOOKUP(C357,'RAW DATA 2023'!E:BO,22,0)</f>
        <v>13.883023076923077</v>
      </c>
      <c r="K357" s="70">
        <f t="shared" si="46"/>
        <v>1.5090242474916389</v>
      </c>
      <c r="L357" s="72">
        <f t="shared" si="44"/>
        <v>13.883023076923077</v>
      </c>
      <c r="M357" s="109">
        <f t="shared" si="48"/>
        <v>13.453656633221852</v>
      </c>
      <c r="N357" s="123" t="str">
        <f>VLOOKUP(C357,'RAW DATA 2023'!E:BO,36,0)</f>
        <v>Normal</v>
      </c>
      <c r="O357" s="63">
        <f>VLOOKUP(C357,'RAW DATA 2023'!E:BO,2,0)</f>
        <v>1.3</v>
      </c>
      <c r="P357" s="322">
        <f t="shared" si="47"/>
        <v>17.48975362318841</v>
      </c>
    </row>
    <row r="358" spans="1:16">
      <c r="A358" s="63" t="str">
        <f>'RAW DATA 2023'!B351</f>
        <v>Maeklong1</v>
      </c>
      <c r="B358" s="63" t="str">
        <f>'RAW DATA 2023'!D351</f>
        <v>A1-029-0015</v>
      </c>
      <c r="C358" s="63" t="str">
        <f t="shared" si="41"/>
        <v>Maeklong1A1-029-0015</v>
      </c>
      <c r="D358" s="68">
        <f>VLOOKUP(C358,'RAW DATA 2023'!E:BP,63,0)</f>
        <v>12</v>
      </c>
      <c r="E358" s="68" t="str">
        <f t="shared" si="42"/>
        <v>Maeklong112</v>
      </c>
      <c r="F358" s="63" t="str">
        <f>VLOOKUP(C358,'RAW DATA 2023'!E:BO,5,0)</f>
        <v>Outdoor</v>
      </c>
      <c r="G358" s="63">
        <f>VLOOKUP(C358,'RAW DATA 2023'!E:BO,13,0)</f>
        <v>197</v>
      </c>
      <c r="H358" s="63">
        <f t="shared" si="45"/>
        <v>200</v>
      </c>
      <c r="I358" s="63">
        <f t="shared" si="43"/>
        <v>11.259</v>
      </c>
      <c r="J358" s="106">
        <f>VLOOKUP(C358,'RAW DATA 2023'!E:BO,22,0)</f>
        <v>8.3934769230769231</v>
      </c>
      <c r="K358" s="70">
        <f t="shared" si="46"/>
        <v>0.74549044525063712</v>
      </c>
      <c r="L358" s="72">
        <f t="shared" si="44"/>
        <v>8.3934769230769231</v>
      </c>
      <c r="M358" s="109">
        <f t="shared" si="48"/>
        <v>3.2732059366751618</v>
      </c>
      <c r="N358" s="123" t="str">
        <f>VLOOKUP(C358,'RAW DATA 2023'!E:BO,36,0)</f>
        <v>WSSV</v>
      </c>
      <c r="O358" s="63">
        <f>VLOOKUP(C358,'RAW DATA 2023'!E:BO,2,0)</f>
        <v>1.3</v>
      </c>
      <c r="P358" s="322">
        <f t="shared" si="47"/>
        <v>4.2551677176777103</v>
      </c>
    </row>
    <row r="359" spans="1:16">
      <c r="A359" s="63" t="str">
        <f>'RAW DATA 2023'!B352</f>
        <v>Maeklong1</v>
      </c>
      <c r="B359" s="63" t="str">
        <f>'RAW DATA 2023'!D352</f>
        <v>A1-006-0043</v>
      </c>
      <c r="C359" s="63" t="str">
        <f t="shared" si="41"/>
        <v>Maeklong1A1-006-0043</v>
      </c>
      <c r="D359" s="68">
        <f>VLOOKUP(C359,'RAW DATA 2023'!E:BP,63,0)</f>
        <v>12</v>
      </c>
      <c r="E359" s="68" t="str">
        <f t="shared" si="42"/>
        <v>Maeklong112</v>
      </c>
      <c r="F359" s="63" t="str">
        <f>VLOOKUP(C359,'RAW DATA 2023'!E:BO,5,0)</f>
        <v>Outdoor</v>
      </c>
      <c r="G359" s="63">
        <f>VLOOKUP(C359,'RAW DATA 2023'!E:BO,13,0)</f>
        <v>183</v>
      </c>
      <c r="H359" s="63">
        <f t="shared" si="45"/>
        <v>180</v>
      </c>
      <c r="I359" s="63">
        <f t="shared" si="43"/>
        <v>10.247</v>
      </c>
      <c r="J359" s="106">
        <f>VLOOKUP(C359,'RAW DATA 2023'!E:BO,22,0)</f>
        <v>5.5935877192982453</v>
      </c>
      <c r="K359" s="70">
        <f t="shared" si="46"/>
        <v>0.54587564353452189</v>
      </c>
      <c r="L359" s="72">
        <f t="shared" si="44"/>
        <v>5.5935877192982453</v>
      </c>
      <c r="M359" s="109">
        <f t="shared" si="48"/>
        <v>0.61167524712695864</v>
      </c>
      <c r="N359" s="123" t="str">
        <f>VLOOKUP(C359,'RAW DATA 2023'!E:BO,36,0)</f>
        <v>Normal</v>
      </c>
      <c r="O359" s="63">
        <f>VLOOKUP(C359,'RAW DATA 2023'!E:BO,2,0)</f>
        <v>3.42</v>
      </c>
      <c r="P359" s="322">
        <f t="shared" si="47"/>
        <v>2.0919293451741985</v>
      </c>
    </row>
    <row r="360" spans="1:16">
      <c r="A360" s="63" t="str">
        <f>'RAW DATA 2023'!B353</f>
        <v>Maeklong1</v>
      </c>
      <c r="B360" s="63" t="str">
        <f>'RAW DATA 2023'!D353</f>
        <v>A1-009-0044</v>
      </c>
      <c r="C360" s="63" t="str">
        <f t="shared" si="41"/>
        <v>Maeklong1A1-009-0044</v>
      </c>
      <c r="D360" s="68">
        <f>VLOOKUP(C360,'RAW DATA 2023'!E:BP,63,0)</f>
        <v>12</v>
      </c>
      <c r="E360" s="68" t="str">
        <f t="shared" si="42"/>
        <v>Maeklong112</v>
      </c>
      <c r="F360" s="63" t="str">
        <f>VLOOKUP(C360,'RAW DATA 2023'!E:BO,5,0)</f>
        <v>Outdoor</v>
      </c>
      <c r="G360" s="63">
        <f>VLOOKUP(C360,'RAW DATA 2023'!E:BO,13,0)</f>
        <v>105</v>
      </c>
      <c r="H360" s="63">
        <f t="shared" si="45"/>
        <v>100</v>
      </c>
      <c r="I360" s="63">
        <f t="shared" si="43"/>
        <v>6.806</v>
      </c>
      <c r="J360" s="106">
        <f>VLOOKUP(C360,'RAW DATA 2023'!E:BO,22,0)</f>
        <v>0.59357260273972601</v>
      </c>
      <c r="K360" s="70">
        <f t="shared" si="46"/>
        <v>8.7213135871249778E-2</v>
      </c>
      <c r="L360" s="72">
        <f t="shared" si="44"/>
        <v>0.59357260273972601</v>
      </c>
      <c r="M360" s="109">
        <f t="shared" si="48"/>
        <v>-5.5038248550500031</v>
      </c>
      <c r="N360" s="123" t="str">
        <f>VLOOKUP(C360,'RAW DATA 2023'!E:BO,36,0)</f>
        <v>WSSV</v>
      </c>
      <c r="O360" s="63">
        <f>VLOOKUP(C360,'RAW DATA 2023'!E:BO,2,0)</f>
        <v>3.65</v>
      </c>
      <c r="P360" s="322">
        <f t="shared" si="47"/>
        <v>-20.088960720932512</v>
      </c>
    </row>
    <row r="361" spans="1:16">
      <c r="A361" s="63" t="str">
        <f>'RAW DATA 2023'!B354</f>
        <v>Maeklong1</v>
      </c>
      <c r="B361" s="63" t="str">
        <f>'RAW DATA 2023'!D354</f>
        <v>A1-006-0041</v>
      </c>
      <c r="C361" s="63" t="str">
        <f t="shared" si="41"/>
        <v>Maeklong1A1-006-0041</v>
      </c>
      <c r="D361" s="68">
        <f>VLOOKUP(C361,'RAW DATA 2023'!E:BP,63,0)</f>
        <v>3</v>
      </c>
      <c r="E361" s="68" t="str">
        <f t="shared" si="42"/>
        <v>Maeklong13</v>
      </c>
      <c r="F361" s="63" t="str">
        <f>VLOOKUP(C361,'RAW DATA 2023'!E:BO,5,0)</f>
        <v>Outdoor</v>
      </c>
      <c r="G361" s="63">
        <f>VLOOKUP(C361,'RAW DATA 2023'!E:BO,13,0)</f>
        <v>122</v>
      </c>
      <c r="H361" s="63">
        <f t="shared" si="45"/>
        <v>100</v>
      </c>
      <c r="I361" s="63">
        <f t="shared" si="43"/>
        <v>6.806</v>
      </c>
      <c r="J361" s="106">
        <f>VLOOKUP(C361,'RAW DATA 2023'!E:BO,22,0)</f>
        <v>6.7696140350877201</v>
      </c>
      <c r="K361" s="70">
        <f t="shared" si="46"/>
        <v>0.99465384000701151</v>
      </c>
      <c r="L361" s="72">
        <f t="shared" si="44"/>
        <v>6.7696140350877201</v>
      </c>
      <c r="M361" s="109">
        <f t="shared" si="48"/>
        <v>6.5953845334268202</v>
      </c>
      <c r="N361" s="123" t="str">
        <f>VLOOKUP(C361,'RAW DATA 2023'!E:BO,36,0)</f>
        <v>Normal</v>
      </c>
      <c r="O361" s="63">
        <f>VLOOKUP(C361,'RAW DATA 2023'!E:BO,2,0)</f>
        <v>3.42</v>
      </c>
      <c r="P361" s="322">
        <f t="shared" si="47"/>
        <v>22.556215104319726</v>
      </c>
    </row>
    <row r="362" spans="1:16">
      <c r="A362" s="63" t="str">
        <f>'RAW DATA 2023'!B355</f>
        <v>Maeklong1</v>
      </c>
      <c r="B362" s="63" t="str">
        <f>'RAW DATA 2023'!D355</f>
        <v>A1-030-0006</v>
      </c>
      <c r="C362" s="63" t="str">
        <f t="shared" si="41"/>
        <v>Maeklong1A1-030-0006</v>
      </c>
      <c r="D362" s="68">
        <f>VLOOKUP(C362,'RAW DATA 2023'!E:BP,63,0)</f>
        <v>3</v>
      </c>
      <c r="E362" s="68" t="str">
        <f t="shared" si="42"/>
        <v>Maeklong13</v>
      </c>
      <c r="F362" s="63" t="str">
        <f>VLOOKUP(C362,'RAW DATA 2023'!E:BO,5,0)</f>
        <v>Outdoor</v>
      </c>
      <c r="G362" s="63">
        <f>VLOOKUP(C362,'RAW DATA 2023'!E:BO,13,0)</f>
        <v>197</v>
      </c>
      <c r="H362" s="63">
        <f t="shared" si="45"/>
        <v>200</v>
      </c>
      <c r="I362" s="63">
        <f t="shared" si="43"/>
        <v>11.259</v>
      </c>
      <c r="J362" s="106">
        <f>VLOOKUP(C362,'RAW DATA 2023'!E:BO,22,0)</f>
        <v>11.53763846153846</v>
      </c>
      <c r="K362" s="70">
        <f t="shared" si="46"/>
        <v>1.0247480647960263</v>
      </c>
      <c r="L362" s="72">
        <f t="shared" si="44"/>
        <v>11.53763846153846</v>
      </c>
      <c r="M362" s="109">
        <f t="shared" si="48"/>
        <v>6.9966408639470181</v>
      </c>
      <c r="N362" s="123" t="str">
        <f>VLOOKUP(C362,'RAW DATA 2023'!E:BO,36,0)</f>
        <v>Normal</v>
      </c>
      <c r="O362" s="63">
        <f>VLOOKUP(C362,'RAW DATA 2023'!E:BO,2,0)</f>
        <v>1.3</v>
      </c>
      <c r="P362" s="322">
        <f t="shared" si="47"/>
        <v>9.0956331231311243</v>
      </c>
    </row>
    <row r="363" spans="1:16">
      <c r="A363" s="63" t="str">
        <f>'RAW DATA 2023'!B356</f>
        <v>Maeklong1</v>
      </c>
      <c r="B363" s="63" t="str">
        <f>'RAW DATA 2023'!D356</f>
        <v>A1-005-0042</v>
      </c>
      <c r="C363" s="63" t="str">
        <f t="shared" si="41"/>
        <v>Maeklong1A1-005-0042</v>
      </c>
      <c r="D363" s="68">
        <f>VLOOKUP(C363,'RAW DATA 2023'!E:BP,63,0)</f>
        <v>1</v>
      </c>
      <c r="E363" s="68" t="str">
        <f t="shared" si="42"/>
        <v>Maeklong11</v>
      </c>
      <c r="F363" s="63" t="str">
        <f>VLOOKUP(C363,'RAW DATA 2023'!E:BO,5,0)</f>
        <v>Outdoor</v>
      </c>
      <c r="G363" s="63">
        <f>VLOOKUP(C363,'RAW DATA 2023'!E:BO,13,0)</f>
        <v>126</v>
      </c>
      <c r="H363" s="63">
        <f t="shared" si="45"/>
        <v>100</v>
      </c>
      <c r="I363" s="63">
        <f t="shared" si="43"/>
        <v>6.806</v>
      </c>
      <c r="J363" s="106">
        <f>VLOOKUP(C363,'RAW DATA 2023'!E:BO,22,0)</f>
        <v>4.3738713450292392</v>
      </c>
      <c r="K363" s="70">
        <f t="shared" si="46"/>
        <v>0.64264933074188058</v>
      </c>
      <c r="L363" s="72">
        <f t="shared" si="44"/>
        <v>4.3738713450292392</v>
      </c>
      <c r="M363" s="109">
        <f t="shared" si="48"/>
        <v>1.9019910765584078</v>
      </c>
      <c r="N363" s="123" t="str">
        <f>VLOOKUP(C363,'RAW DATA 2023'!E:BO,36,0)</f>
        <v>WSSV</v>
      </c>
      <c r="O363" s="63">
        <f>VLOOKUP(C363,'RAW DATA 2023'!E:BO,2,0)</f>
        <v>3.42</v>
      </c>
      <c r="P363" s="322">
        <f t="shared" si="47"/>
        <v>6.5048094818297546</v>
      </c>
    </row>
    <row r="364" spans="1:16">
      <c r="A364" s="63" t="str">
        <f>'RAW DATA 2023'!B357</f>
        <v>Maeklong1</v>
      </c>
      <c r="B364" s="63" t="str">
        <f>'RAW DATA 2023'!D357</f>
        <v>A1-009-0042</v>
      </c>
      <c r="C364" s="63" t="str">
        <f t="shared" si="41"/>
        <v>Maeklong1A1-009-0042</v>
      </c>
      <c r="D364" s="68">
        <f>VLOOKUP(C364,'RAW DATA 2023'!E:BP,63,0)</f>
        <v>4</v>
      </c>
      <c r="E364" s="68" t="str">
        <f t="shared" si="42"/>
        <v>Maeklong14</v>
      </c>
      <c r="F364" s="63" t="str">
        <f>VLOOKUP(C364,'RAW DATA 2023'!E:BO,5,0)</f>
        <v>Outdoor</v>
      </c>
      <c r="G364" s="63">
        <f>VLOOKUP(C364,'RAW DATA 2023'!E:BO,13,0)</f>
        <v>124</v>
      </c>
      <c r="H364" s="63">
        <f t="shared" si="45"/>
        <v>100</v>
      </c>
      <c r="I364" s="63">
        <f t="shared" si="43"/>
        <v>6.806</v>
      </c>
      <c r="J364" s="106">
        <f>VLOOKUP(C364,'RAW DATA 2023'!E:BO,22,0)</f>
        <v>4.3374383561643839</v>
      </c>
      <c r="K364" s="70">
        <f t="shared" si="46"/>
        <v>0.63729626155809338</v>
      </c>
      <c r="L364" s="72">
        <f t="shared" si="44"/>
        <v>4.3374383561643839</v>
      </c>
      <c r="M364" s="109">
        <f t="shared" si="48"/>
        <v>1.8306168207745785</v>
      </c>
      <c r="N364" s="123" t="str">
        <f>VLOOKUP(C364,'RAW DATA 2023'!E:BO,36,0)</f>
        <v>WSSV</v>
      </c>
      <c r="O364" s="63">
        <f>VLOOKUP(C364,'RAW DATA 2023'!E:BO,2,0)</f>
        <v>3.65</v>
      </c>
      <c r="P364" s="322">
        <f t="shared" si="47"/>
        <v>6.6817513958272112</v>
      </c>
    </row>
    <row r="365" spans="1:16">
      <c r="A365" s="63" t="str">
        <f>'RAW DATA 2023'!B358</f>
        <v>Maeklong1</v>
      </c>
      <c r="B365" s="63" t="str">
        <f>'RAW DATA 2023'!D358</f>
        <v>A1-002-0033</v>
      </c>
      <c r="C365" s="63" t="str">
        <f t="shared" si="41"/>
        <v>Maeklong1A1-002-0033</v>
      </c>
      <c r="D365" s="68">
        <f>VLOOKUP(C365,'RAW DATA 2023'!E:BP,63,0)</f>
        <v>2</v>
      </c>
      <c r="E365" s="68" t="str">
        <f t="shared" si="42"/>
        <v>Maeklong12</v>
      </c>
      <c r="F365" s="63" t="str">
        <f>VLOOKUP(C365,'RAW DATA 2023'!E:BO,5,0)</f>
        <v>Outdoor</v>
      </c>
      <c r="G365" s="63">
        <f>VLOOKUP(C365,'RAW DATA 2023'!E:BO,13,0)</f>
        <v>108</v>
      </c>
      <c r="H365" s="63">
        <f t="shared" si="45"/>
        <v>100</v>
      </c>
      <c r="I365" s="63">
        <f t="shared" si="43"/>
        <v>6.806</v>
      </c>
      <c r="J365" s="106">
        <f>VLOOKUP(C365,'RAW DATA 2023'!E:BO,22,0)</f>
        <v>3.7685152354570639</v>
      </c>
      <c r="K365" s="70">
        <f t="shared" si="46"/>
        <v>0.5537048538726218</v>
      </c>
      <c r="L365" s="72">
        <f t="shared" si="44"/>
        <v>3.7685152354570639</v>
      </c>
      <c r="M365" s="109">
        <f t="shared" si="48"/>
        <v>0.7160647183016241</v>
      </c>
      <c r="N365" s="123" t="str">
        <f>VLOOKUP(C365,'RAW DATA 2023'!E:BO,36,0)</f>
        <v>EHP</v>
      </c>
      <c r="O365" s="63">
        <f>VLOOKUP(C365,'RAW DATA 2023'!E:BO,2,0)</f>
        <v>3.61</v>
      </c>
      <c r="P365" s="322">
        <f t="shared" si="47"/>
        <v>2.584993633068863</v>
      </c>
    </row>
    <row r="366" spans="1:16">
      <c r="A366" s="63" t="str">
        <f>'RAW DATA 2023'!B359</f>
        <v>Maeklong1</v>
      </c>
      <c r="B366" s="63" t="str">
        <f>'RAW DATA 2023'!D359</f>
        <v>A1-005-0043</v>
      </c>
      <c r="C366" s="63" t="str">
        <f t="shared" si="41"/>
        <v>Maeklong1A1-005-0043</v>
      </c>
      <c r="D366" s="68">
        <f>VLOOKUP(C366,'RAW DATA 2023'!E:BP,63,0)</f>
        <v>3</v>
      </c>
      <c r="E366" s="68" t="str">
        <f t="shared" si="42"/>
        <v>Maeklong13</v>
      </c>
      <c r="F366" s="63" t="str">
        <f>VLOOKUP(C366,'RAW DATA 2023'!E:BO,5,0)</f>
        <v>Outdoor</v>
      </c>
      <c r="G366" s="63">
        <f>VLOOKUP(C366,'RAW DATA 2023'!E:BO,13,0)</f>
        <v>152</v>
      </c>
      <c r="H366" s="63">
        <f t="shared" si="45"/>
        <v>150</v>
      </c>
      <c r="I366" s="63">
        <f t="shared" si="43"/>
        <v>9.1999999999999993</v>
      </c>
      <c r="J366" s="106">
        <f>VLOOKUP(C366,'RAW DATA 2023'!E:BO,22,0)</f>
        <v>0</v>
      </c>
      <c r="K366" s="70">
        <f t="shared" si="46"/>
        <v>0</v>
      </c>
      <c r="L366" s="72">
        <f t="shared" si="44"/>
        <v>0</v>
      </c>
      <c r="M366" s="109">
        <f t="shared" si="48"/>
        <v>-6.666666666666667</v>
      </c>
      <c r="N366" s="123" t="str">
        <f>VLOOKUP(C366,'RAW DATA 2023'!E:BO,36,0)</f>
        <v>WSSV</v>
      </c>
      <c r="O366" s="63">
        <f>VLOOKUP(C366,'RAW DATA 2023'!E:BO,2,0)</f>
        <v>3.42</v>
      </c>
      <c r="P366" s="322">
        <f t="shared" si="47"/>
        <v>-22.8</v>
      </c>
    </row>
    <row r="367" spans="1:16">
      <c r="A367" s="63" t="str">
        <f>'RAW DATA 2023'!B360</f>
        <v>PB5</v>
      </c>
      <c r="B367" s="63" t="str">
        <f>'RAW DATA 2023'!D360</f>
        <v>A1-009-0048</v>
      </c>
      <c r="C367" s="63" t="str">
        <f t="shared" si="41"/>
        <v>PB5A1-009-0048</v>
      </c>
      <c r="D367" s="68">
        <f>VLOOKUP(C367,'RAW DATA 2023'!E:BP,63,0)</f>
        <v>8</v>
      </c>
      <c r="E367" s="68" t="str">
        <f t="shared" si="42"/>
        <v>PB58</v>
      </c>
      <c r="F367" s="63" t="str">
        <f>VLOOKUP(C367,'RAW DATA 2023'!E:BO,5,0)</f>
        <v>Outdoor</v>
      </c>
      <c r="G367" s="63">
        <f>VLOOKUP(C367,'RAW DATA 2023'!E:BO,13,0)</f>
        <v>100</v>
      </c>
      <c r="H367" s="63">
        <f t="shared" si="45"/>
        <v>100</v>
      </c>
      <c r="I367" s="63">
        <f t="shared" si="43"/>
        <v>6.806</v>
      </c>
      <c r="J367" s="106">
        <f>VLOOKUP(C367,'RAW DATA 2023'!E:BO,22,0)</f>
        <v>6.6622943722943715</v>
      </c>
      <c r="K367" s="70">
        <f t="shared" si="46"/>
        <v>0.97888544994040128</v>
      </c>
      <c r="L367" s="72">
        <f t="shared" si="44"/>
        <v>6.6622943722943715</v>
      </c>
      <c r="M367" s="109">
        <f t="shared" si="48"/>
        <v>6.3851393325386843</v>
      </c>
      <c r="N367" s="123" t="str">
        <f>VLOOKUP(C367,'RAW DATA 2023'!E:BO,36,0)</f>
        <v>Normal</v>
      </c>
      <c r="O367" s="63">
        <f>VLOOKUP(C367,'RAW DATA 2023'!E:BO,2,0)</f>
        <v>4.62</v>
      </c>
      <c r="P367" s="322">
        <f t="shared" si="47"/>
        <v>29.49934371632872</v>
      </c>
    </row>
    <row r="368" spans="1:16">
      <c r="A368" s="63" t="str">
        <f>'RAW DATA 2023'!B361</f>
        <v>PB5</v>
      </c>
      <c r="B368" s="63" t="str">
        <f>'RAW DATA 2023'!D361</f>
        <v>A1-011-0047</v>
      </c>
      <c r="C368" s="63" t="str">
        <f t="shared" si="41"/>
        <v>PB5A1-011-0047</v>
      </c>
      <c r="D368" s="68">
        <f>VLOOKUP(C368,'RAW DATA 2023'!E:BP,63,0)</f>
        <v>8</v>
      </c>
      <c r="E368" s="68" t="str">
        <f t="shared" si="42"/>
        <v>PB58</v>
      </c>
      <c r="F368" s="63" t="str">
        <f>VLOOKUP(C368,'RAW DATA 2023'!E:BO,5,0)</f>
        <v>Outdoor</v>
      </c>
      <c r="G368" s="63">
        <f>VLOOKUP(C368,'RAW DATA 2023'!E:BO,13,0)</f>
        <v>133</v>
      </c>
      <c r="H368" s="63">
        <f t="shared" si="45"/>
        <v>100</v>
      </c>
      <c r="I368" s="63">
        <f t="shared" si="43"/>
        <v>6.806</v>
      </c>
      <c r="J368" s="106">
        <f>VLOOKUP(C368,'RAW DATA 2023'!E:BO,22,0)</f>
        <v>7.0376468085106385</v>
      </c>
      <c r="K368" s="70">
        <f t="shared" si="46"/>
        <v>1.0340356756553979</v>
      </c>
      <c r="L368" s="72">
        <f t="shared" si="44"/>
        <v>7.0376468085106385</v>
      </c>
      <c r="M368" s="109">
        <f t="shared" si="48"/>
        <v>7.1204756754053058</v>
      </c>
      <c r="N368" s="123" t="str">
        <f>VLOOKUP(C368,'RAW DATA 2023'!E:BO,36,0)</f>
        <v>Normal</v>
      </c>
      <c r="O368" s="63">
        <f>VLOOKUP(C368,'RAW DATA 2023'!E:BO,2,0)</f>
        <v>2.35</v>
      </c>
      <c r="P368" s="322">
        <f t="shared" si="47"/>
        <v>16.733117837202471</v>
      </c>
    </row>
    <row r="369" spans="1:16">
      <c r="A369" s="63" t="str">
        <f>'RAW DATA 2023'!B362</f>
        <v>PB5</v>
      </c>
      <c r="B369" s="63" t="str">
        <f>'RAW DATA 2023'!D362</f>
        <v>B1-021-0048</v>
      </c>
      <c r="C369" s="63" t="str">
        <f t="shared" si="41"/>
        <v>PB5B1-021-0048</v>
      </c>
      <c r="D369" s="68">
        <f>VLOOKUP(C369,'RAW DATA 2023'!E:BP,63,0)</f>
        <v>11</v>
      </c>
      <c r="E369" s="68" t="str">
        <f t="shared" si="42"/>
        <v>PB511</v>
      </c>
      <c r="F369" s="63" t="str">
        <f>VLOOKUP(C369,'RAW DATA 2023'!E:BO,5,0)</f>
        <v>Outdoor</v>
      </c>
      <c r="G369" s="63">
        <f>VLOOKUP(C369,'RAW DATA 2023'!E:BO,13,0)</f>
        <v>46</v>
      </c>
      <c r="H369" s="63">
        <f t="shared" si="45"/>
        <v>100</v>
      </c>
      <c r="I369" s="63">
        <f t="shared" si="43"/>
        <v>6.806</v>
      </c>
      <c r="J369" s="106">
        <f>VLOOKUP(C369,'RAW DATA 2023'!E:BO,22,0)</f>
        <v>3.1089982517482522</v>
      </c>
      <c r="K369" s="70">
        <f t="shared" si="46"/>
        <v>0.45680256417106263</v>
      </c>
      <c r="L369" s="72">
        <f t="shared" si="44"/>
        <v>3.1089982517482522</v>
      </c>
      <c r="M369" s="109">
        <f t="shared" si="48"/>
        <v>-0.57596581105249833</v>
      </c>
      <c r="N369" s="123" t="str">
        <f>VLOOKUP(C369,'RAW DATA 2023'!E:BO,36,0)</f>
        <v>Normal</v>
      </c>
      <c r="O369" s="63">
        <f>VLOOKUP(C369,'RAW DATA 2023'!E:BO,2,0)</f>
        <v>5.72</v>
      </c>
      <c r="P369" s="322">
        <f t="shared" si="47"/>
        <v>-3.2945244392202904</v>
      </c>
    </row>
    <row r="370" spans="1:16">
      <c r="A370" s="63" t="str">
        <f>'RAW DATA 2023'!B363</f>
        <v>PB5</v>
      </c>
      <c r="B370" s="63" t="str">
        <f>'RAW DATA 2023'!D363</f>
        <v>B1-023-0050</v>
      </c>
      <c r="C370" s="63" t="str">
        <f t="shared" si="41"/>
        <v>PB5B1-023-0050</v>
      </c>
      <c r="D370" s="68">
        <f>VLOOKUP(C370,'RAW DATA 2023'!E:BP,63,0)</f>
        <v>11</v>
      </c>
      <c r="E370" s="68" t="str">
        <f t="shared" si="42"/>
        <v>PB511</v>
      </c>
      <c r="F370" s="63" t="str">
        <f>VLOOKUP(C370,'RAW DATA 2023'!E:BO,5,0)</f>
        <v>Outdoor</v>
      </c>
      <c r="G370" s="63">
        <f>VLOOKUP(C370,'RAW DATA 2023'!E:BO,13,0)</f>
        <v>56</v>
      </c>
      <c r="H370" s="63">
        <f t="shared" si="45"/>
        <v>100</v>
      </c>
      <c r="I370" s="63">
        <f t="shared" si="43"/>
        <v>6.806</v>
      </c>
      <c r="J370" s="106">
        <f>VLOOKUP(C370,'RAW DATA 2023'!E:BO,22,0)</f>
        <v>3.9992033898305079</v>
      </c>
      <c r="K370" s="70">
        <f t="shared" si="46"/>
        <v>0.58759967526160861</v>
      </c>
      <c r="L370" s="72">
        <f t="shared" si="44"/>
        <v>3.9992033898305079</v>
      </c>
      <c r="M370" s="109">
        <f t="shared" si="48"/>
        <v>1.1679956701547816</v>
      </c>
      <c r="N370" s="123" t="str">
        <f>VLOOKUP(C370,'RAW DATA 2023'!E:BO,36,0)</f>
        <v>Normal</v>
      </c>
      <c r="O370" s="63">
        <f>VLOOKUP(C370,'RAW DATA 2023'!E:BO,2,0)</f>
        <v>5.9</v>
      </c>
      <c r="P370" s="322">
        <f t="shared" si="47"/>
        <v>6.8911744539132114</v>
      </c>
    </row>
    <row r="371" spans="1:16">
      <c r="A371" s="63" t="str">
        <f>'RAW DATA 2023'!B364</f>
        <v>PB5</v>
      </c>
      <c r="B371" s="63" t="str">
        <f>'RAW DATA 2023'!D364</f>
        <v>B1-021-0047</v>
      </c>
      <c r="C371" s="63" t="str">
        <f t="shared" si="41"/>
        <v>PB5B1-021-0047</v>
      </c>
      <c r="D371" s="68">
        <f>VLOOKUP(C371,'RAW DATA 2023'!E:BP,63,0)</f>
        <v>7</v>
      </c>
      <c r="E371" s="68" t="str">
        <f t="shared" si="42"/>
        <v>PB57</v>
      </c>
      <c r="F371" s="63" t="str">
        <f>VLOOKUP(C371,'RAW DATA 2023'!E:BO,5,0)</f>
        <v>Outdoor</v>
      </c>
      <c r="G371" s="63">
        <f>VLOOKUP(C371,'RAW DATA 2023'!E:BO,13,0)</f>
        <v>86</v>
      </c>
      <c r="H371" s="63">
        <f t="shared" si="45"/>
        <v>100</v>
      </c>
      <c r="I371" s="63">
        <f t="shared" si="43"/>
        <v>6.806</v>
      </c>
      <c r="J371" s="106">
        <f>VLOOKUP(C371,'RAW DATA 2023'!E:BO,22,0)</f>
        <v>5.0387325174825177</v>
      </c>
      <c r="K371" s="70">
        <f t="shared" si="46"/>
        <v>0.74033683771415193</v>
      </c>
      <c r="L371" s="72">
        <f t="shared" si="44"/>
        <v>5.0387325174825177</v>
      </c>
      <c r="M371" s="109">
        <f t="shared" si="48"/>
        <v>3.2044911695220257</v>
      </c>
      <c r="N371" s="123" t="str">
        <f>VLOOKUP(C371,'RAW DATA 2023'!E:BO,36,0)</f>
        <v>Normal</v>
      </c>
      <c r="O371" s="63">
        <f>VLOOKUP(C371,'RAW DATA 2023'!E:BO,2,0)</f>
        <v>5.72</v>
      </c>
      <c r="P371" s="322">
        <f t="shared" si="47"/>
        <v>18.329689489665988</v>
      </c>
    </row>
    <row r="372" spans="1:16">
      <c r="A372" s="63" t="str">
        <f>'RAW DATA 2023'!B365</f>
        <v>PB5</v>
      </c>
      <c r="B372" s="63" t="str">
        <f>'RAW DATA 2023'!D365</f>
        <v>B1-022-0051</v>
      </c>
      <c r="C372" s="63" t="str">
        <f t="shared" si="41"/>
        <v>PB5B1-022-0051</v>
      </c>
      <c r="D372" s="68">
        <f>VLOOKUP(C372,'RAW DATA 2023'!E:BP,63,0)</f>
        <v>11</v>
      </c>
      <c r="E372" s="68" t="str">
        <f t="shared" si="42"/>
        <v>PB511</v>
      </c>
      <c r="F372" s="63" t="str">
        <f>VLOOKUP(C372,'RAW DATA 2023'!E:BO,5,0)</f>
        <v>Outdoor</v>
      </c>
      <c r="G372" s="63">
        <f>VLOOKUP(C372,'RAW DATA 2023'!E:BO,13,0)</f>
        <v>58</v>
      </c>
      <c r="H372" s="63">
        <f t="shared" si="45"/>
        <v>100</v>
      </c>
      <c r="I372" s="63">
        <f t="shared" si="43"/>
        <v>6.806</v>
      </c>
      <c r="J372" s="106">
        <f>VLOOKUP(C372,'RAW DATA 2023'!E:BO,22,0)</f>
        <v>3.8918601398601402</v>
      </c>
      <c r="K372" s="70">
        <f t="shared" si="46"/>
        <v>0.57182781955041728</v>
      </c>
      <c r="L372" s="72">
        <f t="shared" si="44"/>
        <v>3.8918601398601402</v>
      </c>
      <c r="M372" s="109">
        <f t="shared" si="48"/>
        <v>0.95770426067223047</v>
      </c>
      <c r="N372" s="123" t="str">
        <f>VLOOKUP(C372,'RAW DATA 2023'!E:BO,36,0)</f>
        <v>Normal</v>
      </c>
      <c r="O372" s="63">
        <f>VLOOKUP(C372,'RAW DATA 2023'!E:BO,2,0)</f>
        <v>5.72</v>
      </c>
      <c r="P372" s="322">
        <f t="shared" si="47"/>
        <v>5.4780683710451576</v>
      </c>
    </row>
    <row r="373" spans="1:16">
      <c r="A373" s="63" t="str">
        <f>'RAW DATA 2023'!B366</f>
        <v>PB5</v>
      </c>
      <c r="B373" s="63" t="str">
        <f>'RAW DATA 2023'!D366</f>
        <v>B1-022-0050</v>
      </c>
      <c r="C373" s="63" t="str">
        <f t="shared" si="41"/>
        <v>PB5B1-022-0050</v>
      </c>
      <c r="D373" s="68">
        <f>VLOOKUP(C373,'RAW DATA 2023'!E:BP,63,0)</f>
        <v>6</v>
      </c>
      <c r="E373" s="68" t="str">
        <f t="shared" si="42"/>
        <v>PB56</v>
      </c>
      <c r="F373" s="63" t="str">
        <f>VLOOKUP(C373,'RAW DATA 2023'!E:BO,5,0)</f>
        <v>Outdoor</v>
      </c>
      <c r="G373" s="63">
        <f>VLOOKUP(C373,'RAW DATA 2023'!E:BO,13,0)</f>
        <v>69</v>
      </c>
      <c r="H373" s="63">
        <f t="shared" si="45"/>
        <v>100</v>
      </c>
      <c r="I373" s="63">
        <f t="shared" si="43"/>
        <v>6.806</v>
      </c>
      <c r="J373" s="106">
        <f>VLOOKUP(C373,'RAW DATA 2023'!E:BO,22,0)</f>
        <v>4.4222167832167836</v>
      </c>
      <c r="K373" s="70">
        <f t="shared" si="46"/>
        <v>0.64975268633805228</v>
      </c>
      <c r="L373" s="72">
        <f t="shared" si="44"/>
        <v>4.4222167832167836</v>
      </c>
      <c r="M373" s="109">
        <f t="shared" si="48"/>
        <v>1.9967024845073638</v>
      </c>
      <c r="N373" s="123" t="str">
        <f>VLOOKUP(C373,'RAW DATA 2023'!E:BO,36,0)</f>
        <v>Normal</v>
      </c>
      <c r="O373" s="63">
        <f>VLOOKUP(C373,'RAW DATA 2023'!E:BO,2,0)</f>
        <v>5.72</v>
      </c>
      <c r="P373" s="322">
        <f t="shared" si="47"/>
        <v>11.42113821138212</v>
      </c>
    </row>
    <row r="374" spans="1:16">
      <c r="A374" s="63" t="str">
        <f>'RAW DATA 2023'!B367</f>
        <v>PB5</v>
      </c>
      <c r="B374" s="63" t="str">
        <f>'RAW DATA 2023'!D367</f>
        <v>B1-021-0046</v>
      </c>
      <c r="C374" s="63" t="str">
        <f t="shared" si="41"/>
        <v>PB5B1-021-0046</v>
      </c>
      <c r="D374" s="68">
        <f>VLOOKUP(C374,'RAW DATA 2023'!E:BP,63,0)</f>
        <v>2</v>
      </c>
      <c r="E374" s="68" t="str">
        <f t="shared" si="42"/>
        <v>PB52</v>
      </c>
      <c r="F374" s="63" t="str">
        <f>VLOOKUP(C374,'RAW DATA 2023'!E:BO,5,0)</f>
        <v>Outdoor</v>
      </c>
      <c r="G374" s="63">
        <f>VLOOKUP(C374,'RAW DATA 2023'!E:BO,13,0)</f>
        <v>86</v>
      </c>
      <c r="H374" s="63">
        <f t="shared" si="45"/>
        <v>100</v>
      </c>
      <c r="I374" s="63">
        <f t="shared" si="43"/>
        <v>6.806</v>
      </c>
      <c r="J374" s="106">
        <f>VLOOKUP(C374,'RAW DATA 2023'!E:BO,22,0)</f>
        <v>2.6411503496503497</v>
      </c>
      <c r="K374" s="70">
        <f t="shared" si="46"/>
        <v>0.38806205548785627</v>
      </c>
      <c r="L374" s="72">
        <f t="shared" si="44"/>
        <v>2.6411503496503497</v>
      </c>
      <c r="M374" s="109">
        <f t="shared" si="48"/>
        <v>-1.4925059268285832</v>
      </c>
      <c r="N374" s="123" t="str">
        <f>VLOOKUP(C374,'RAW DATA 2023'!E:BO,36,0)</f>
        <v>Normal</v>
      </c>
      <c r="O374" s="63">
        <f>VLOOKUP(C374,'RAW DATA 2023'!E:BO,2,0)</f>
        <v>5.72</v>
      </c>
      <c r="P374" s="322">
        <f t="shared" si="47"/>
        <v>-8.5371339014594962</v>
      </c>
    </row>
    <row r="375" spans="1:16">
      <c r="A375" s="63" t="str">
        <f>'RAW DATA 2023'!B368</f>
        <v>PB5</v>
      </c>
      <c r="B375" s="63" t="str">
        <f>'RAW DATA 2023'!D368</f>
        <v>A1-009-0049</v>
      </c>
      <c r="C375" s="63" t="str">
        <f t="shared" si="41"/>
        <v>PB5A1-009-0049</v>
      </c>
      <c r="D375" s="68">
        <f>VLOOKUP(C375,'RAW DATA 2023'!E:BP,63,0)</f>
        <v>11</v>
      </c>
      <c r="E375" s="68" t="str">
        <f t="shared" si="42"/>
        <v>PB511</v>
      </c>
      <c r="F375" s="63" t="str">
        <f>VLOOKUP(C375,'RAW DATA 2023'!E:BO,5,0)</f>
        <v>Outdoor</v>
      </c>
      <c r="G375" s="63">
        <f>VLOOKUP(C375,'RAW DATA 2023'!E:BO,13,0)</f>
        <v>71</v>
      </c>
      <c r="H375" s="63">
        <f t="shared" si="45"/>
        <v>100</v>
      </c>
      <c r="I375" s="63">
        <f t="shared" si="43"/>
        <v>6.806</v>
      </c>
      <c r="J375" s="106">
        <f>VLOOKUP(C375,'RAW DATA 2023'!E:BO,22,0)</f>
        <v>2.1170692640692641</v>
      </c>
      <c r="K375" s="70">
        <f t="shared" si="46"/>
        <v>0.31105925125907496</v>
      </c>
      <c r="L375" s="72">
        <f t="shared" si="44"/>
        <v>2.1170692640692641</v>
      </c>
      <c r="M375" s="109">
        <f t="shared" si="48"/>
        <v>-2.5192099832123338</v>
      </c>
      <c r="N375" s="123" t="str">
        <f>VLOOKUP(C375,'RAW DATA 2023'!E:BO,36,0)</f>
        <v>ปิดฟาร์ม</v>
      </c>
      <c r="O375" s="63">
        <f>VLOOKUP(C375,'RAW DATA 2023'!E:BO,2,0)</f>
        <v>4.62</v>
      </c>
      <c r="P375" s="322">
        <f t="shared" si="47"/>
        <v>-11.638750122440982</v>
      </c>
    </row>
    <row r="376" spans="1:16">
      <c r="A376" s="63" t="str">
        <f>'RAW DATA 2023'!B369</f>
        <v>PB5</v>
      </c>
      <c r="B376" s="63" t="str">
        <f>'RAW DATA 2023'!D369</f>
        <v>A1-011-0046</v>
      </c>
      <c r="C376" s="63" t="str">
        <f t="shared" si="41"/>
        <v>PB5A1-011-0046</v>
      </c>
      <c r="D376" s="68">
        <f>VLOOKUP(C376,'RAW DATA 2023'!E:BP,63,0)</f>
        <v>4</v>
      </c>
      <c r="E376" s="68" t="str">
        <f t="shared" si="42"/>
        <v>PB54</v>
      </c>
      <c r="F376" s="63" t="str">
        <f>VLOOKUP(C376,'RAW DATA 2023'!E:BO,5,0)</f>
        <v>Outdoor</v>
      </c>
      <c r="G376" s="63">
        <f>VLOOKUP(C376,'RAW DATA 2023'!E:BO,13,0)</f>
        <v>133</v>
      </c>
      <c r="H376" s="63">
        <f t="shared" si="45"/>
        <v>100</v>
      </c>
      <c r="I376" s="63">
        <f t="shared" si="43"/>
        <v>6.806</v>
      </c>
      <c r="J376" s="106">
        <f>VLOOKUP(C376,'RAW DATA 2023'!E:BO,22,0)</f>
        <v>8.1044808510638298</v>
      </c>
      <c r="K376" s="70">
        <f t="shared" si="46"/>
        <v>1.1907847268680325</v>
      </c>
      <c r="L376" s="72">
        <f t="shared" si="44"/>
        <v>8.1044808510638298</v>
      </c>
      <c r="M376" s="109">
        <f t="shared" si="48"/>
        <v>9.2104630249071011</v>
      </c>
      <c r="N376" s="123" t="str">
        <f>VLOOKUP(C376,'RAW DATA 2023'!E:BO,36,0)</f>
        <v>Normal</v>
      </c>
      <c r="O376" s="63">
        <f>VLOOKUP(C376,'RAW DATA 2023'!E:BO,2,0)</f>
        <v>2.35</v>
      </c>
      <c r="P376" s="322">
        <f t="shared" si="47"/>
        <v>21.644588108531689</v>
      </c>
    </row>
    <row r="377" spans="1:16">
      <c r="A377" s="63" t="str">
        <f>'RAW DATA 2023'!B370</f>
        <v>PB5</v>
      </c>
      <c r="B377" s="63" t="str">
        <f>'RAW DATA 2023'!D370</f>
        <v>A1-005-0053</v>
      </c>
      <c r="C377" s="63" t="str">
        <f t="shared" si="41"/>
        <v>PB5A1-005-0053</v>
      </c>
      <c r="D377" s="68">
        <f>VLOOKUP(C377,'RAW DATA 2023'!E:BP,63,0)</f>
        <v>11</v>
      </c>
      <c r="E377" s="68" t="str">
        <f t="shared" si="42"/>
        <v>PB511</v>
      </c>
      <c r="F377" s="63" t="str">
        <f>VLOOKUP(C377,'RAW DATA 2023'!E:BO,5,0)</f>
        <v>Outdoor</v>
      </c>
      <c r="G377" s="63">
        <f>VLOOKUP(C377,'RAW DATA 2023'!E:BO,13,0)</f>
        <v>60</v>
      </c>
      <c r="H377" s="63">
        <f t="shared" si="45"/>
        <v>100</v>
      </c>
      <c r="I377" s="63">
        <f t="shared" si="43"/>
        <v>6.806</v>
      </c>
      <c r="J377" s="106">
        <f>VLOOKUP(C377,'RAW DATA 2023'!E:BO,22,0)</f>
        <v>3.9639061784897023</v>
      </c>
      <c r="K377" s="70">
        <f t="shared" si="46"/>
        <v>0.58241348493824596</v>
      </c>
      <c r="L377" s="72">
        <f t="shared" si="44"/>
        <v>3.9639061784897023</v>
      </c>
      <c r="M377" s="109">
        <f t="shared" si="48"/>
        <v>1.0988464658432795</v>
      </c>
      <c r="N377" s="123" t="str">
        <f>VLOOKUP(C377,'RAW DATA 2023'!E:BO,36,0)</f>
        <v>Normal</v>
      </c>
      <c r="O377" s="63">
        <f>VLOOKUP(C377,'RAW DATA 2023'!E:BO,2,0)</f>
        <v>4.37</v>
      </c>
      <c r="P377" s="322">
        <f t="shared" si="47"/>
        <v>4.8019590557351313</v>
      </c>
    </row>
    <row r="378" spans="1:16">
      <c r="A378" s="63" t="str">
        <f>'RAW DATA 2023'!B371</f>
        <v>PB5</v>
      </c>
      <c r="B378" s="63" t="str">
        <f>'RAW DATA 2023'!D371</f>
        <v>A1-007-0050</v>
      </c>
      <c r="C378" s="63" t="str">
        <f t="shared" si="41"/>
        <v>PB5A1-007-0050</v>
      </c>
      <c r="D378" s="68">
        <f>VLOOKUP(C378,'RAW DATA 2023'!E:BP,63,0)</f>
        <v>3</v>
      </c>
      <c r="E378" s="68" t="str">
        <f t="shared" si="42"/>
        <v>PB53</v>
      </c>
      <c r="F378" s="63" t="str">
        <f>VLOOKUP(C378,'RAW DATA 2023'!E:BO,5,0)</f>
        <v>Outdoor</v>
      </c>
      <c r="G378" s="63">
        <f>VLOOKUP(C378,'RAW DATA 2023'!E:BO,13,0)</f>
        <v>80</v>
      </c>
      <c r="H378" s="63">
        <f t="shared" si="45"/>
        <v>100</v>
      </c>
      <c r="I378" s="63">
        <f t="shared" si="43"/>
        <v>6.806</v>
      </c>
      <c r="J378" s="106">
        <f>VLOOKUP(C378,'RAW DATA 2023'!E:BO,22,0)</f>
        <v>1.5869955752212392</v>
      </c>
      <c r="K378" s="70">
        <f t="shared" si="46"/>
        <v>0.23317595874540689</v>
      </c>
      <c r="L378" s="72">
        <f t="shared" si="44"/>
        <v>1.5869955752212392</v>
      </c>
      <c r="M378" s="109">
        <f t="shared" si="48"/>
        <v>-3.5576538833945754</v>
      </c>
      <c r="N378" s="123" t="str">
        <f>VLOOKUP(C378,'RAW DATA 2023'!E:BO,36,0)</f>
        <v>อัตรารอดต่ำ</v>
      </c>
      <c r="O378" s="63">
        <f>VLOOKUP(C378,'RAW DATA 2023'!E:BO,2,0)</f>
        <v>4.5199999999999996</v>
      </c>
      <c r="P378" s="322">
        <f t="shared" si="47"/>
        <v>-16.080595552943478</v>
      </c>
    </row>
    <row r="379" spans="1:16">
      <c r="A379" s="63" t="str">
        <f>'RAW DATA 2023'!B372</f>
        <v>PB5</v>
      </c>
      <c r="B379" s="63" t="str">
        <f>'RAW DATA 2023'!D372</f>
        <v>A1-005-0052</v>
      </c>
      <c r="C379" s="63" t="str">
        <f t="shared" si="41"/>
        <v>PB5A1-005-0052</v>
      </c>
      <c r="D379" s="68">
        <f>VLOOKUP(C379,'RAW DATA 2023'!E:BP,63,0)</f>
        <v>7</v>
      </c>
      <c r="E379" s="68" t="str">
        <f t="shared" si="42"/>
        <v>PB57</v>
      </c>
      <c r="F379" s="63" t="str">
        <f>VLOOKUP(C379,'RAW DATA 2023'!E:BO,5,0)</f>
        <v>Outdoor</v>
      </c>
      <c r="G379" s="63">
        <f>VLOOKUP(C379,'RAW DATA 2023'!E:BO,13,0)</f>
        <v>90</v>
      </c>
      <c r="H379" s="63">
        <f t="shared" si="45"/>
        <v>100</v>
      </c>
      <c r="I379" s="63">
        <f t="shared" si="43"/>
        <v>6.806</v>
      </c>
      <c r="J379" s="106">
        <f>VLOOKUP(C379,'RAW DATA 2023'!E:BO,22,0)</f>
        <v>2.5505789473684213</v>
      </c>
      <c r="K379" s="70">
        <f t="shared" si="46"/>
        <v>0.37475447360687941</v>
      </c>
      <c r="L379" s="72">
        <f t="shared" si="44"/>
        <v>2.5505789473684213</v>
      </c>
      <c r="M379" s="109">
        <f t="shared" si="48"/>
        <v>-1.6699403519082745</v>
      </c>
      <c r="N379" s="123" t="str">
        <f>VLOOKUP(C379,'RAW DATA 2023'!E:BO,36,0)</f>
        <v>EHP</v>
      </c>
      <c r="O379" s="63">
        <f>VLOOKUP(C379,'RAW DATA 2023'!E:BO,2,0)</f>
        <v>4.37</v>
      </c>
      <c r="P379" s="322">
        <f t="shared" si="47"/>
        <v>-7.2976393378391595</v>
      </c>
    </row>
    <row r="380" spans="1:16">
      <c r="A380" s="63" t="str">
        <f>'RAW DATA 2023'!B373</f>
        <v>PB5</v>
      </c>
      <c r="B380" s="63" t="str">
        <f>'RAW DATA 2023'!D373</f>
        <v>B1-023-0048</v>
      </c>
      <c r="C380" s="63" t="str">
        <f t="shared" si="41"/>
        <v>PB5B1-023-0048</v>
      </c>
      <c r="D380" s="68">
        <f>VLOOKUP(C380,'RAW DATA 2023'!E:BP,63,0)</f>
        <v>4</v>
      </c>
      <c r="E380" s="68" t="str">
        <f t="shared" si="42"/>
        <v>PB54</v>
      </c>
      <c r="F380" s="63" t="str">
        <f>VLOOKUP(C380,'RAW DATA 2023'!E:BO,5,0)</f>
        <v>Outdoor</v>
      </c>
      <c r="G380" s="63">
        <f>VLOOKUP(C380,'RAW DATA 2023'!E:BO,13,0)</f>
        <v>84</v>
      </c>
      <c r="H380" s="63">
        <f t="shared" si="45"/>
        <v>100</v>
      </c>
      <c r="I380" s="63">
        <f t="shared" si="43"/>
        <v>6.806</v>
      </c>
      <c r="J380" s="106">
        <f>VLOOKUP(C380,'RAW DATA 2023'!E:BO,22,0)</f>
        <v>3.1966491525423724</v>
      </c>
      <c r="K380" s="70">
        <f t="shared" si="46"/>
        <v>0.46968103916285225</v>
      </c>
      <c r="L380" s="72">
        <f t="shared" si="44"/>
        <v>3.1966491525423724</v>
      </c>
      <c r="M380" s="109">
        <f t="shared" si="48"/>
        <v>-0.40425281116196998</v>
      </c>
      <c r="N380" s="123" t="str">
        <f>VLOOKUP(C380,'RAW DATA 2023'!E:BO,36,0)</f>
        <v>Normal</v>
      </c>
      <c r="O380" s="63">
        <f>VLOOKUP(C380,'RAW DATA 2023'!E:BO,2,0)</f>
        <v>5.9</v>
      </c>
      <c r="P380" s="322">
        <f t="shared" si="47"/>
        <v>-2.3850915858556232</v>
      </c>
    </row>
    <row r="381" spans="1:16">
      <c r="A381" s="63" t="str">
        <f>'RAW DATA 2023'!B374</f>
        <v>PB5</v>
      </c>
      <c r="B381" s="63" t="str">
        <f>'RAW DATA 2023'!D374</f>
        <v>A1-009-0047</v>
      </c>
      <c r="C381" s="63" t="str">
        <f t="shared" si="41"/>
        <v>PB5A1-009-0047</v>
      </c>
      <c r="D381" s="68">
        <f>VLOOKUP(C381,'RAW DATA 2023'!E:BP,63,0)</f>
        <v>3</v>
      </c>
      <c r="E381" s="68" t="str">
        <f t="shared" si="42"/>
        <v>PB53</v>
      </c>
      <c r="F381" s="63" t="str">
        <f>VLOOKUP(C381,'RAW DATA 2023'!E:BO,5,0)</f>
        <v>Outdoor</v>
      </c>
      <c r="G381" s="63">
        <f>VLOOKUP(C381,'RAW DATA 2023'!E:BO,13,0)</f>
        <v>107</v>
      </c>
      <c r="H381" s="63">
        <f t="shared" si="45"/>
        <v>100</v>
      </c>
      <c r="I381" s="63">
        <f t="shared" si="43"/>
        <v>6.806</v>
      </c>
      <c r="J381" s="106">
        <f>VLOOKUP(C381,'RAW DATA 2023'!E:BO,22,0)</f>
        <v>3.1593398268398265</v>
      </c>
      <c r="K381" s="70">
        <f t="shared" si="46"/>
        <v>0.46419921052598095</v>
      </c>
      <c r="L381" s="72">
        <f t="shared" si="44"/>
        <v>3.1593398268398265</v>
      </c>
      <c r="M381" s="109">
        <f t="shared" si="48"/>
        <v>-0.47734385965358728</v>
      </c>
      <c r="N381" s="123" t="str">
        <f>VLOOKUP(C381,'RAW DATA 2023'!E:BO,36,0)</f>
        <v>Normal</v>
      </c>
      <c r="O381" s="63">
        <f>VLOOKUP(C381,'RAW DATA 2023'!E:BO,2,0)</f>
        <v>4.62</v>
      </c>
      <c r="P381" s="322">
        <f t="shared" si="47"/>
        <v>-2.2053286315995733</v>
      </c>
    </row>
    <row r="382" spans="1:16">
      <c r="A382" s="63" t="str">
        <f>'RAW DATA 2023'!B375</f>
        <v>PB5</v>
      </c>
      <c r="B382" s="63" t="str">
        <f>'RAW DATA 2023'!D375</f>
        <v>A1-005-0051</v>
      </c>
      <c r="C382" s="63" t="str">
        <f t="shared" si="41"/>
        <v>PB5A1-005-0051</v>
      </c>
      <c r="D382" s="68">
        <f>VLOOKUP(C382,'RAW DATA 2023'!E:BP,63,0)</f>
        <v>2</v>
      </c>
      <c r="E382" s="68" t="str">
        <f t="shared" si="42"/>
        <v>PB52</v>
      </c>
      <c r="F382" s="63" t="str">
        <f>VLOOKUP(C382,'RAW DATA 2023'!E:BO,5,0)</f>
        <v>Outdoor</v>
      </c>
      <c r="G382" s="63">
        <f>VLOOKUP(C382,'RAW DATA 2023'!E:BO,13,0)</f>
        <v>83</v>
      </c>
      <c r="H382" s="63">
        <f t="shared" si="45"/>
        <v>100</v>
      </c>
      <c r="I382" s="63">
        <f t="shared" si="43"/>
        <v>6.806</v>
      </c>
      <c r="J382" s="106">
        <f>VLOOKUP(C382,'RAW DATA 2023'!E:BO,22,0)</f>
        <v>2.6454485125858125</v>
      </c>
      <c r="K382" s="70">
        <f t="shared" si="46"/>
        <v>0.38869358104405122</v>
      </c>
      <c r="L382" s="72">
        <f t="shared" si="44"/>
        <v>2.6454485125858125</v>
      </c>
      <c r="M382" s="109">
        <f t="shared" si="48"/>
        <v>-1.4840855860793172</v>
      </c>
      <c r="N382" s="123" t="str">
        <f>VLOOKUP(C382,'RAW DATA 2023'!E:BO,36,0)</f>
        <v>Normal</v>
      </c>
      <c r="O382" s="63">
        <f>VLOOKUP(C382,'RAW DATA 2023'!E:BO,2,0)</f>
        <v>4.37</v>
      </c>
      <c r="P382" s="322">
        <f t="shared" si="47"/>
        <v>-6.4854540111666159</v>
      </c>
    </row>
    <row r="383" spans="1:16">
      <c r="A383" s="63" t="str">
        <f>'RAW DATA 2023'!B376</f>
        <v>PB5</v>
      </c>
      <c r="B383" s="63" t="str">
        <f>'RAW DATA 2023'!D376</f>
        <v>A1-007-0051</v>
      </c>
      <c r="C383" s="63" t="str">
        <f t="shared" si="41"/>
        <v>PB5A1-007-0051</v>
      </c>
      <c r="D383" s="68">
        <f>VLOOKUP(C383,'RAW DATA 2023'!E:BP,63,0)</f>
        <v>6</v>
      </c>
      <c r="E383" s="68" t="str">
        <f t="shared" si="42"/>
        <v>PB56</v>
      </c>
      <c r="F383" s="63" t="str">
        <f>VLOOKUP(C383,'RAW DATA 2023'!E:BO,5,0)</f>
        <v>Outdoor</v>
      </c>
      <c r="G383" s="63">
        <f>VLOOKUP(C383,'RAW DATA 2023'!E:BO,13,0)</f>
        <v>73</v>
      </c>
      <c r="H383" s="63">
        <f t="shared" si="45"/>
        <v>100</v>
      </c>
      <c r="I383" s="63">
        <f t="shared" si="43"/>
        <v>6.806</v>
      </c>
      <c r="J383" s="106">
        <f>VLOOKUP(C383,'RAW DATA 2023'!E:BO,22,0)</f>
        <v>2.4887190265486727</v>
      </c>
      <c r="K383" s="70">
        <f t="shared" si="46"/>
        <v>0.36566544615760693</v>
      </c>
      <c r="L383" s="72">
        <f t="shared" si="44"/>
        <v>2.4887190265486727</v>
      </c>
      <c r="M383" s="109">
        <f t="shared" si="48"/>
        <v>-1.7911273845652409</v>
      </c>
      <c r="N383" s="123" t="str">
        <f>VLOOKUP(C383,'RAW DATA 2023'!E:BO,36,0)</f>
        <v>YHV</v>
      </c>
      <c r="O383" s="63">
        <f>VLOOKUP(C383,'RAW DATA 2023'!E:BO,2,0)</f>
        <v>4.5199999999999996</v>
      </c>
      <c r="P383" s="322">
        <f t="shared" si="47"/>
        <v>-8.0958957782348886</v>
      </c>
    </row>
    <row r="384" spans="1:16">
      <c r="A384" s="63" t="str">
        <f>'RAW DATA 2023'!B377</f>
        <v>PB5</v>
      </c>
      <c r="B384" s="63" t="str">
        <f>'RAW DATA 2023'!D377</f>
        <v>B1-022-0049</v>
      </c>
      <c r="C384" s="63" t="str">
        <f t="shared" si="41"/>
        <v>PB5B1-022-0049</v>
      </c>
      <c r="D384" s="68">
        <f>VLOOKUP(C384,'RAW DATA 2023'!E:BP,63,0)</f>
        <v>3</v>
      </c>
      <c r="E384" s="68" t="str">
        <f t="shared" si="42"/>
        <v>PB53</v>
      </c>
      <c r="F384" s="63" t="str">
        <f>VLOOKUP(C384,'RAW DATA 2023'!E:BO,5,0)</f>
        <v>Outdoor</v>
      </c>
      <c r="G384" s="63">
        <f>VLOOKUP(C384,'RAW DATA 2023'!E:BO,13,0)</f>
        <v>58</v>
      </c>
      <c r="H384" s="63">
        <f t="shared" si="45"/>
        <v>100</v>
      </c>
      <c r="I384" s="63">
        <f t="shared" si="43"/>
        <v>6.806</v>
      </c>
      <c r="J384" s="106">
        <f>VLOOKUP(C384,'RAW DATA 2023'!E:BO,22,0)</f>
        <v>2.5625384615384617</v>
      </c>
      <c r="K384" s="70">
        <f t="shared" si="46"/>
        <v>0.37651167521869844</v>
      </c>
      <c r="L384" s="72">
        <f t="shared" si="44"/>
        <v>2.5625384615384617</v>
      </c>
      <c r="M384" s="109">
        <f t="shared" si="48"/>
        <v>-1.6465109970840208</v>
      </c>
      <c r="N384" s="123" t="str">
        <f>VLOOKUP(C384,'RAW DATA 2023'!E:BO,36,0)</f>
        <v>Normal</v>
      </c>
      <c r="O384" s="63">
        <f>VLOOKUP(C384,'RAW DATA 2023'!E:BO,2,0)</f>
        <v>5.72</v>
      </c>
      <c r="P384" s="322">
        <f t="shared" si="47"/>
        <v>-9.4180429033205986</v>
      </c>
    </row>
    <row r="385" spans="1:16">
      <c r="A385" s="63" t="str">
        <f>'RAW DATA 2023'!B378</f>
        <v>PB5</v>
      </c>
      <c r="B385" s="63" t="str">
        <f>'RAW DATA 2023'!D378</f>
        <v>B1-023-0049</v>
      </c>
      <c r="C385" s="63" t="str">
        <f t="shared" si="41"/>
        <v>PB5B1-023-0049</v>
      </c>
      <c r="D385" s="68">
        <f>VLOOKUP(C385,'RAW DATA 2023'!E:BP,63,0)</f>
        <v>6</v>
      </c>
      <c r="E385" s="68" t="str">
        <f t="shared" si="42"/>
        <v>PB56</v>
      </c>
      <c r="F385" s="63" t="str">
        <f>VLOOKUP(C385,'RAW DATA 2023'!E:BO,5,0)</f>
        <v>Outdoor</v>
      </c>
      <c r="G385" s="63">
        <f>VLOOKUP(C385,'RAW DATA 2023'!E:BO,13,0)</f>
        <v>84</v>
      </c>
      <c r="H385" s="63">
        <f t="shared" si="45"/>
        <v>100</v>
      </c>
      <c r="I385" s="63">
        <f t="shared" si="43"/>
        <v>6.806</v>
      </c>
      <c r="J385" s="106">
        <f>VLOOKUP(C385,'RAW DATA 2023'!E:BO,22,0)</f>
        <v>1.3349322033898305</v>
      </c>
      <c r="K385" s="70">
        <f t="shared" si="46"/>
        <v>0.19614049418011029</v>
      </c>
      <c r="L385" s="72">
        <f t="shared" si="44"/>
        <v>1.3349322033898305</v>
      </c>
      <c r="M385" s="109">
        <f t="shared" si="48"/>
        <v>-4.0514600775985299</v>
      </c>
      <c r="N385" s="123" t="str">
        <f>VLOOKUP(C385,'RAW DATA 2023'!E:BO,36,0)</f>
        <v>EHP</v>
      </c>
      <c r="O385" s="63">
        <f>VLOOKUP(C385,'RAW DATA 2023'!E:BO,2,0)</f>
        <v>5.9</v>
      </c>
      <c r="P385" s="322">
        <f t="shared" si="47"/>
        <v>-23.903614457831328</v>
      </c>
    </row>
    <row r="386" spans="1:16">
      <c r="A386" s="63" t="str">
        <f>'RAW DATA 2023'!B379</f>
        <v>PB5</v>
      </c>
      <c r="B386" s="63" t="str">
        <f>'RAW DATA 2023'!D379</f>
        <v>A1-011-0048</v>
      </c>
      <c r="C386" s="63" t="str">
        <f t="shared" si="41"/>
        <v>PB5A1-011-0048</v>
      </c>
      <c r="D386" s="68">
        <f>VLOOKUP(C386,'RAW DATA 2023'!E:BP,63,0)</f>
        <v>10</v>
      </c>
      <c r="E386" s="68" t="str">
        <f t="shared" si="42"/>
        <v>PB510</v>
      </c>
      <c r="F386" s="63" t="str">
        <f>VLOOKUP(C386,'RAW DATA 2023'!E:BO,5,0)</f>
        <v>Outdoor</v>
      </c>
      <c r="G386" s="63">
        <f>VLOOKUP(C386,'RAW DATA 2023'!E:BO,13,0)</f>
        <v>133</v>
      </c>
      <c r="H386" s="63">
        <f t="shared" si="45"/>
        <v>100</v>
      </c>
      <c r="I386" s="63">
        <f t="shared" si="43"/>
        <v>6.806</v>
      </c>
      <c r="J386" s="106">
        <f>VLOOKUP(C386,'RAW DATA 2023'!E:BO,22,0)</f>
        <v>0</v>
      </c>
      <c r="K386" s="70">
        <f t="shared" si="46"/>
        <v>0</v>
      </c>
      <c r="L386" s="72">
        <f t="shared" si="44"/>
        <v>0</v>
      </c>
      <c r="M386" s="109">
        <f t="shared" si="48"/>
        <v>-6.666666666666667</v>
      </c>
      <c r="N386" s="123" t="str">
        <f>VLOOKUP(C386,'RAW DATA 2023'!E:BO,36,0)</f>
        <v>YHV</v>
      </c>
      <c r="O386" s="63">
        <f>VLOOKUP(C386,'RAW DATA 2023'!E:BO,2,0)</f>
        <v>2.35</v>
      </c>
      <c r="P386" s="322">
        <f t="shared" si="47"/>
        <v>-15.666666666666668</v>
      </c>
    </row>
    <row r="387" spans="1:16">
      <c r="A387" s="63" t="str">
        <f>'RAW DATA 2023'!B380</f>
        <v>Roiphet2</v>
      </c>
      <c r="B387" s="63" t="str">
        <f>'RAW DATA 2023'!D380</f>
        <v>A1-007-0050</v>
      </c>
      <c r="C387" s="63" t="str">
        <f t="shared" si="41"/>
        <v>Roiphet2A1-007-0050</v>
      </c>
      <c r="D387" s="68">
        <f>VLOOKUP(C387,'RAW DATA 2023'!E:BP,63,0)</f>
        <v>4</v>
      </c>
      <c r="E387" s="68" t="str">
        <f t="shared" si="42"/>
        <v>Roiphet24</v>
      </c>
      <c r="F387" s="63" t="str">
        <f>VLOOKUP(C387,'RAW DATA 2023'!E:BO,5,0)</f>
        <v>Outdoor</v>
      </c>
      <c r="G387" s="63">
        <f>VLOOKUP(C387,'RAW DATA 2023'!E:BO,13,0)</f>
        <v>102</v>
      </c>
      <c r="H387" s="63">
        <f t="shared" si="45"/>
        <v>100</v>
      </c>
      <c r="I387" s="63">
        <f t="shared" si="43"/>
        <v>6.806</v>
      </c>
      <c r="J387" s="106">
        <f>VLOOKUP(C387,'RAW DATA 2023'!E:BO,22,0)</f>
        <v>4.7938425531914888</v>
      </c>
      <c r="K387" s="70">
        <f t="shared" si="46"/>
        <v>0.70435535603753874</v>
      </c>
      <c r="L387" s="72">
        <f t="shared" si="44"/>
        <v>4.7938425531914888</v>
      </c>
      <c r="M387" s="109">
        <f t="shared" si="48"/>
        <v>2.7247380805005168</v>
      </c>
      <c r="N387" s="123" t="str">
        <f>VLOOKUP(C387,'RAW DATA 2023'!E:BO,36,0)</f>
        <v>Normal</v>
      </c>
      <c r="O387" s="63">
        <f>VLOOKUP(C387,'RAW DATA 2023'!E:BO,2,0)</f>
        <v>4.7</v>
      </c>
      <c r="P387" s="322">
        <f t="shared" si="47"/>
        <v>12.806268978352429</v>
      </c>
    </row>
    <row r="388" spans="1:16">
      <c r="A388" s="63" t="str">
        <f>'RAW DATA 2023'!B381</f>
        <v>Roiphet2</v>
      </c>
      <c r="B388" s="63" t="str">
        <f>'RAW DATA 2023'!D381</f>
        <v>A1-006-0045</v>
      </c>
      <c r="C388" s="63" t="str">
        <f t="shared" si="41"/>
        <v>Roiphet2A1-006-0045</v>
      </c>
      <c r="D388" s="68">
        <f>VLOOKUP(C388,'RAW DATA 2023'!E:BP,63,0)</f>
        <v>5</v>
      </c>
      <c r="E388" s="68" t="str">
        <f t="shared" si="42"/>
        <v>Roiphet25</v>
      </c>
      <c r="F388" s="63" t="str">
        <f>VLOOKUP(C388,'RAW DATA 2023'!E:BO,5,0)</f>
        <v>Outdoor</v>
      </c>
      <c r="G388" s="63">
        <f>VLOOKUP(C388,'RAW DATA 2023'!E:BO,13,0)</f>
        <v>98</v>
      </c>
      <c r="H388" s="63">
        <f t="shared" si="45"/>
        <v>100</v>
      </c>
      <c r="I388" s="63">
        <f t="shared" si="43"/>
        <v>6.806</v>
      </c>
      <c r="J388" s="106">
        <f>VLOOKUP(C388,'RAW DATA 2023'!E:BO,22,0)</f>
        <v>5.6923867924528304</v>
      </c>
      <c r="K388" s="70">
        <f t="shared" si="46"/>
        <v>0.83637772442739211</v>
      </c>
      <c r="L388" s="72">
        <f t="shared" si="44"/>
        <v>5.6923867924528304</v>
      </c>
      <c r="M388" s="109">
        <f t="shared" si="48"/>
        <v>4.4850363256985615</v>
      </c>
      <c r="N388" s="123" t="str">
        <f>VLOOKUP(C388,'RAW DATA 2023'!E:BO,36,0)</f>
        <v>Normal</v>
      </c>
      <c r="O388" s="63">
        <f>VLOOKUP(C388,'RAW DATA 2023'!E:BO,2,0)</f>
        <v>5.3</v>
      </c>
      <c r="P388" s="322">
        <f t="shared" si="47"/>
        <v>23.770692526202374</v>
      </c>
    </row>
    <row r="389" spans="1:16">
      <c r="A389" s="63" t="str">
        <f>'RAW DATA 2023'!B382</f>
        <v>Roiphet2</v>
      </c>
      <c r="B389" s="63" t="str">
        <f>'RAW DATA 2023'!D382</f>
        <v>A1-002-0048</v>
      </c>
      <c r="C389" s="63" t="str">
        <f t="shared" si="41"/>
        <v>Roiphet2A1-002-0048</v>
      </c>
      <c r="D389" s="68">
        <f>VLOOKUP(C389,'RAW DATA 2023'!E:BP,63,0)</f>
        <v>5</v>
      </c>
      <c r="E389" s="68" t="str">
        <f t="shared" si="42"/>
        <v>Roiphet25</v>
      </c>
      <c r="F389" s="63" t="str">
        <f>VLOOKUP(C389,'RAW DATA 2023'!E:BO,5,0)</f>
        <v>Outdoor</v>
      </c>
      <c r="G389" s="63">
        <f>VLOOKUP(C389,'RAW DATA 2023'!E:BO,13,0)</f>
        <v>106</v>
      </c>
      <c r="H389" s="63">
        <f t="shared" si="45"/>
        <v>100</v>
      </c>
      <c r="I389" s="63">
        <f t="shared" si="43"/>
        <v>6.806</v>
      </c>
      <c r="J389" s="106">
        <f>VLOOKUP(C389,'RAW DATA 2023'!E:BO,22,0)</f>
        <v>3.6580288461538464</v>
      </c>
      <c r="K389" s="70">
        <f t="shared" si="46"/>
        <v>0.53747117927620425</v>
      </c>
      <c r="L389" s="72">
        <f t="shared" si="44"/>
        <v>3.6580288461538464</v>
      </c>
      <c r="M389" s="109">
        <f t="shared" si="48"/>
        <v>0.49961572368272333</v>
      </c>
      <c r="N389" s="123" t="str">
        <f>VLOOKUP(C389,'RAW DATA 2023'!E:BO,36,0)</f>
        <v>Normal</v>
      </c>
      <c r="O389" s="63">
        <f>VLOOKUP(C389,'RAW DATA 2023'!E:BO,2,0)</f>
        <v>5.2</v>
      </c>
      <c r="P389" s="322">
        <f t="shared" si="47"/>
        <v>2.5980017631501613</v>
      </c>
    </row>
    <row r="390" spans="1:16">
      <c r="A390" s="63" t="str">
        <f>'RAW DATA 2023'!B383</f>
        <v>Roiphet2</v>
      </c>
      <c r="B390" s="63" t="str">
        <f>'RAW DATA 2023'!D383</f>
        <v>B1-013-0036</v>
      </c>
      <c r="C390" s="63" t="str">
        <f t="shared" si="41"/>
        <v>Roiphet2B1-013-0036</v>
      </c>
      <c r="D390" s="68">
        <f>VLOOKUP(C390,'RAW DATA 2023'!E:BP,63,0)</f>
        <v>5</v>
      </c>
      <c r="E390" s="68" t="str">
        <f t="shared" si="42"/>
        <v>Roiphet25</v>
      </c>
      <c r="F390" s="63" t="str">
        <f>VLOOKUP(C390,'RAW DATA 2023'!E:BO,5,0)</f>
        <v>Outdoor</v>
      </c>
      <c r="G390" s="63">
        <f>VLOOKUP(C390,'RAW DATA 2023'!E:BO,13,0)</f>
        <v>270</v>
      </c>
      <c r="H390" s="63">
        <f t="shared" si="45"/>
        <v>200</v>
      </c>
      <c r="I390" s="63">
        <f t="shared" si="43"/>
        <v>11.259</v>
      </c>
      <c r="J390" s="106">
        <f>VLOOKUP(C390,'RAW DATA 2023'!E:BO,22,0)</f>
        <v>5.3942866666666669</v>
      </c>
      <c r="K390" s="70">
        <f t="shared" si="46"/>
        <v>0.47910886105930073</v>
      </c>
      <c r="L390" s="72">
        <f t="shared" si="44"/>
        <v>5.3942866666666669</v>
      </c>
      <c r="M390" s="109">
        <f t="shared" si="48"/>
        <v>-0.27854851920932366</v>
      </c>
      <c r="N390" s="123" t="str">
        <f>VLOOKUP(C390,'RAW DATA 2023'!E:BO,36,0)</f>
        <v>EHP</v>
      </c>
      <c r="O390" s="63">
        <f>VLOOKUP(C390,'RAW DATA 2023'!E:BO,2,0)</f>
        <v>4.5</v>
      </c>
      <c r="P390" s="322">
        <f t="shared" si="47"/>
        <v>-1.2534683364419565</v>
      </c>
    </row>
    <row r="391" spans="1:16">
      <c r="A391" s="63" t="str">
        <f>'RAW DATA 2023'!B384</f>
        <v>Roiphet2</v>
      </c>
      <c r="B391" s="63" t="str">
        <f>'RAW DATA 2023'!D384</f>
        <v>A1-001-0031</v>
      </c>
      <c r="C391" s="63" t="str">
        <f t="shared" si="41"/>
        <v>Roiphet2A1-001-0031</v>
      </c>
      <c r="D391" s="68">
        <f>VLOOKUP(C391,'RAW DATA 2023'!E:BP,63,0)</f>
        <v>5</v>
      </c>
      <c r="E391" s="68" t="str">
        <f t="shared" si="42"/>
        <v>Roiphet25</v>
      </c>
      <c r="F391" s="63" t="str">
        <f>VLOOKUP(C391,'RAW DATA 2023'!E:BO,5,0)</f>
        <v>Outdoor</v>
      </c>
      <c r="G391" s="63">
        <f>VLOOKUP(C391,'RAW DATA 2023'!E:BO,13,0)</f>
        <v>101</v>
      </c>
      <c r="H391" s="63">
        <f t="shared" si="45"/>
        <v>100</v>
      </c>
      <c r="I391" s="63">
        <f t="shared" si="43"/>
        <v>6.806</v>
      </c>
      <c r="J391" s="106">
        <f>VLOOKUP(C391,'RAW DATA 2023'!E:BO,22,0)</f>
        <v>3.1428499999999997</v>
      </c>
      <c r="K391" s="70">
        <f t="shared" si="46"/>
        <v>0.4617763737878342</v>
      </c>
      <c r="L391" s="72">
        <f t="shared" si="44"/>
        <v>3.1428499999999997</v>
      </c>
      <c r="M391" s="109">
        <f t="shared" si="48"/>
        <v>-0.50964834949554394</v>
      </c>
      <c r="N391" s="123" t="str">
        <f>VLOOKUP(C391,'RAW DATA 2023'!E:BO,36,0)</f>
        <v>อัตรารอดต่ำ</v>
      </c>
      <c r="O391" s="63">
        <f>VLOOKUP(C391,'RAW DATA 2023'!E:BO,2,0)</f>
        <v>4.2</v>
      </c>
      <c r="P391" s="322">
        <f t="shared" si="47"/>
        <v>-2.1405230678812845</v>
      </c>
    </row>
    <row r="392" spans="1:16">
      <c r="A392" s="63" t="str">
        <f>'RAW DATA 2023'!B385</f>
        <v>Roiphet2</v>
      </c>
      <c r="B392" s="63" t="str">
        <f>'RAW DATA 2023'!D385</f>
        <v>B1-009-0042</v>
      </c>
      <c r="C392" s="63" t="str">
        <f t="shared" si="41"/>
        <v>Roiphet2B1-009-0042</v>
      </c>
      <c r="D392" s="68">
        <f>VLOOKUP(C392,'RAW DATA 2023'!E:BP,63,0)</f>
        <v>3</v>
      </c>
      <c r="E392" s="68" t="str">
        <f t="shared" si="42"/>
        <v>Roiphet23</v>
      </c>
      <c r="F392" s="63" t="str">
        <f>VLOOKUP(C392,'RAW DATA 2023'!E:BO,5,0)</f>
        <v>Outdoor</v>
      </c>
      <c r="G392" s="63">
        <f>VLOOKUP(C392,'RAW DATA 2023'!E:BO,13,0)</f>
        <v>128</v>
      </c>
      <c r="H392" s="63">
        <f t="shared" si="45"/>
        <v>100</v>
      </c>
      <c r="I392" s="63">
        <f t="shared" si="43"/>
        <v>6.806</v>
      </c>
      <c r="J392" s="106">
        <f>VLOOKUP(C392,'RAW DATA 2023'!E:BO,22,0)</f>
        <v>3.6834612244897951</v>
      </c>
      <c r="K392" s="70">
        <f t="shared" si="46"/>
        <v>0.54120793777399279</v>
      </c>
      <c r="L392" s="72">
        <f t="shared" si="44"/>
        <v>3.6834612244897951</v>
      </c>
      <c r="M392" s="109">
        <f t="shared" si="48"/>
        <v>0.54943917031990386</v>
      </c>
      <c r="N392" s="123" t="str">
        <f>VLOOKUP(C392,'RAW DATA 2023'!E:BO,36,0)</f>
        <v>อัตรารอดต่ำ</v>
      </c>
      <c r="O392" s="63">
        <f>VLOOKUP(C392,'RAW DATA 2023'!E:BO,2,0)</f>
        <v>4.9000000000000004</v>
      </c>
      <c r="P392" s="322">
        <f t="shared" si="47"/>
        <v>2.6922519345675293</v>
      </c>
    </row>
    <row r="393" spans="1:16">
      <c r="A393" s="63" t="str">
        <f>'RAW DATA 2023'!B386</f>
        <v>Roiphet2</v>
      </c>
      <c r="B393" s="63" t="str">
        <f>'RAW DATA 2023'!D386</f>
        <v>B1-014-0044</v>
      </c>
      <c r="C393" s="63" t="str">
        <f t="shared" si="41"/>
        <v>Roiphet2B1-014-0044</v>
      </c>
      <c r="D393" s="68">
        <f>VLOOKUP(C393,'RAW DATA 2023'!E:BP,63,0)</f>
        <v>5</v>
      </c>
      <c r="E393" s="68" t="str">
        <f t="shared" si="42"/>
        <v>Roiphet25</v>
      </c>
      <c r="F393" s="63" t="str">
        <f>VLOOKUP(C393,'RAW DATA 2023'!E:BO,5,0)</f>
        <v>Outdoor</v>
      </c>
      <c r="G393" s="63">
        <f>VLOOKUP(C393,'RAW DATA 2023'!E:BO,13,0)</f>
        <v>102</v>
      </c>
      <c r="H393" s="63">
        <f t="shared" si="45"/>
        <v>100</v>
      </c>
      <c r="I393" s="63">
        <f t="shared" si="43"/>
        <v>6.806</v>
      </c>
      <c r="J393" s="106">
        <f>VLOOKUP(C393,'RAW DATA 2023'!E:BO,22,0)</f>
        <v>3.279355555555556</v>
      </c>
      <c r="K393" s="70">
        <f t="shared" si="46"/>
        <v>0.48183302314950865</v>
      </c>
      <c r="L393" s="72">
        <f t="shared" si="44"/>
        <v>3.279355555555556</v>
      </c>
      <c r="M393" s="109">
        <f t="shared" si="48"/>
        <v>-0.24222635800655129</v>
      </c>
      <c r="N393" s="123" t="str">
        <f>VLOOKUP(C393,'RAW DATA 2023'!E:BO,36,0)</f>
        <v>Normal</v>
      </c>
      <c r="O393" s="63">
        <f>VLOOKUP(C393,'RAW DATA 2023'!E:BO,2,0)</f>
        <v>4.5</v>
      </c>
      <c r="P393" s="322">
        <f t="shared" si="47"/>
        <v>-1.0900186110294807</v>
      </c>
    </row>
    <row r="394" spans="1:16">
      <c r="A394" s="63" t="str">
        <f>'RAW DATA 2023'!B387</f>
        <v>Roiphet2</v>
      </c>
      <c r="B394" s="63" t="str">
        <f>'RAW DATA 2023'!D387</f>
        <v>A1-008-0034</v>
      </c>
      <c r="C394" s="63" t="str">
        <f t="shared" ref="C394:C457" si="49">A394&amp;B394</f>
        <v>Roiphet2A1-008-0034</v>
      </c>
      <c r="D394" s="68">
        <f>VLOOKUP(C394,'RAW DATA 2023'!E:BP,63,0)</f>
        <v>5</v>
      </c>
      <c r="E394" s="68" t="str">
        <f t="shared" ref="E394:E457" si="50">A394&amp;D394</f>
        <v>Roiphet25</v>
      </c>
      <c r="F394" s="63" t="str">
        <f>VLOOKUP(C394,'RAW DATA 2023'!E:BO,5,0)</f>
        <v>Outdoor</v>
      </c>
      <c r="G394" s="63">
        <f>VLOOKUP(C394,'RAW DATA 2023'!E:BO,13,0)</f>
        <v>104</v>
      </c>
      <c r="H394" s="63">
        <f t="shared" si="45"/>
        <v>100</v>
      </c>
      <c r="I394" s="63">
        <f t="shared" ref="I394:I457" si="51">IF(F394=$W$1,VLOOKUP(H394,Y:Z,2,0),VLOOKUP(H394,AF:AG,2,0))</f>
        <v>6.806</v>
      </c>
      <c r="J394" s="106">
        <f>VLOOKUP(C394,'RAW DATA 2023'!E:BO,22,0)</f>
        <v>4.6165288888888893</v>
      </c>
      <c r="K394" s="70">
        <f t="shared" si="46"/>
        <v>0.67830280471479421</v>
      </c>
      <c r="L394" s="72">
        <f t="shared" ref="L394:L457" si="52">IF(J394=0,0,IF(F394=$B$2,J394-$B$6,IF(F394=$C$1,J394-$C$6,IF(AND(F394=$C$2,G394&lt;=$C$3),J394-$C$6,IF(AND(F394=$C$2,G394&lt;=$E$3),J394-$D$6,J394-$E$6)))))</f>
        <v>4.6165288888888893</v>
      </c>
      <c r="M394" s="109">
        <f t="shared" si="48"/>
        <v>2.3773707295305897</v>
      </c>
      <c r="N394" s="123" t="str">
        <f>VLOOKUP(C394,'RAW DATA 2023'!E:BO,36,0)</f>
        <v>Normal</v>
      </c>
      <c r="O394" s="63">
        <f>VLOOKUP(C394,'RAW DATA 2023'!E:BO,2,0)</f>
        <v>4.5</v>
      </c>
      <c r="P394" s="322">
        <f t="shared" si="47"/>
        <v>10.698168282887654</v>
      </c>
    </row>
    <row r="395" spans="1:16">
      <c r="A395" s="63" t="str">
        <f>'RAW DATA 2023'!B388</f>
        <v>Roiphet2</v>
      </c>
      <c r="B395" s="63" t="str">
        <f>'RAW DATA 2023'!D388</f>
        <v>B1-013-0035</v>
      </c>
      <c r="C395" s="63" t="str">
        <f t="shared" si="49"/>
        <v>Roiphet2B1-013-0035</v>
      </c>
      <c r="D395" s="68">
        <f>VLOOKUP(C395,'RAW DATA 2023'!E:BP,63,0)</f>
        <v>3</v>
      </c>
      <c r="E395" s="68" t="str">
        <f t="shared" si="50"/>
        <v>Roiphet23</v>
      </c>
      <c r="F395" s="63" t="str">
        <f>VLOOKUP(C395,'RAW DATA 2023'!E:BO,5,0)</f>
        <v>Outdoor</v>
      </c>
      <c r="G395" s="63">
        <f>VLOOKUP(C395,'RAW DATA 2023'!E:BO,13,0)</f>
        <v>139</v>
      </c>
      <c r="H395" s="63">
        <f t="shared" ref="H395:H458" si="53">IF(G395&gt;190,200,IF(G395&gt;165,180,IF(G395&gt;=135,150,IF(D388&gt;=110,120,100))))</f>
        <v>150</v>
      </c>
      <c r="I395" s="63">
        <f t="shared" si="51"/>
        <v>9.1999999999999993</v>
      </c>
      <c r="J395" s="106">
        <f>VLOOKUP(C395,'RAW DATA 2023'!E:BO,22,0)</f>
        <v>2.8733133333333334</v>
      </c>
      <c r="K395" s="70">
        <f t="shared" ref="K395:K458" si="54">J395/I395</f>
        <v>0.31231666666666669</v>
      </c>
      <c r="L395" s="72">
        <f t="shared" si="52"/>
        <v>2.8733133333333334</v>
      </c>
      <c r="M395" s="109">
        <f t="shared" si="48"/>
        <v>-2.5024444444444445</v>
      </c>
      <c r="N395" s="123" t="str">
        <f>VLOOKUP(C395,'RAW DATA 2023'!E:BO,36,0)</f>
        <v>อัตรารอดต่ำ</v>
      </c>
      <c r="O395" s="63">
        <f>VLOOKUP(C395,'RAW DATA 2023'!E:BO,2,0)</f>
        <v>4.5</v>
      </c>
      <c r="P395" s="322">
        <f t="shared" ref="P395:P458" si="55">M395*O395</f>
        <v>-11.260999999999999</v>
      </c>
    </row>
    <row r="396" spans="1:16">
      <c r="A396" s="63" t="str">
        <f>'RAW DATA 2023'!B389</f>
        <v>Roiphet2</v>
      </c>
      <c r="B396" s="63" t="str">
        <f>'RAW DATA 2023'!D389</f>
        <v>B1-009-0044</v>
      </c>
      <c r="C396" s="63" t="str">
        <f t="shared" si="49"/>
        <v>Roiphet2B1-009-0044</v>
      </c>
      <c r="D396" s="68">
        <f>VLOOKUP(C396,'RAW DATA 2023'!E:BP,63,0)</f>
        <v>9</v>
      </c>
      <c r="E396" s="68" t="str">
        <f t="shared" si="50"/>
        <v>Roiphet29</v>
      </c>
      <c r="F396" s="63" t="str">
        <f>VLOOKUP(C396,'RAW DATA 2023'!E:BO,5,0)</f>
        <v>Outdoor</v>
      </c>
      <c r="G396" s="63">
        <f>VLOOKUP(C396,'RAW DATA 2023'!E:BO,13,0)</f>
        <v>162</v>
      </c>
      <c r="H396" s="63">
        <f t="shared" si="53"/>
        <v>150</v>
      </c>
      <c r="I396" s="63">
        <f t="shared" si="51"/>
        <v>9.1999999999999993</v>
      </c>
      <c r="J396" s="106">
        <f>VLOOKUP(C396,'RAW DATA 2023'!E:BO,22,0)</f>
        <v>4.9031693877551019</v>
      </c>
      <c r="K396" s="70">
        <f t="shared" si="54"/>
        <v>0.5329531943212068</v>
      </c>
      <c r="L396" s="72">
        <f t="shared" si="52"/>
        <v>4.9031693877551019</v>
      </c>
      <c r="M396" s="109">
        <f t="shared" ref="M396:M459" si="56">(K396-$B$4)*$B$7</f>
        <v>0.4393759242827574</v>
      </c>
      <c r="N396" s="123" t="str">
        <f>VLOOKUP(C396,'RAW DATA 2023'!E:BO,36,0)</f>
        <v>EHP</v>
      </c>
      <c r="O396" s="63">
        <f>VLOOKUP(C396,'RAW DATA 2023'!E:BO,2,0)</f>
        <v>4.9000000000000004</v>
      </c>
      <c r="P396" s="322">
        <f t="shared" si="55"/>
        <v>2.1529420289855112</v>
      </c>
    </row>
    <row r="397" spans="1:16">
      <c r="A397" s="63" t="str">
        <f>'RAW DATA 2023'!B390</f>
        <v>Roiphet2</v>
      </c>
      <c r="B397" s="63" t="str">
        <f>'RAW DATA 2023'!D390</f>
        <v>B1-014-0046</v>
      </c>
      <c r="C397" s="63" t="str">
        <f t="shared" si="49"/>
        <v>Roiphet2B1-014-0046</v>
      </c>
      <c r="D397" s="68">
        <f>VLOOKUP(C397,'RAW DATA 2023'!E:BP,63,0)</f>
        <v>10</v>
      </c>
      <c r="E397" s="68" t="str">
        <f t="shared" si="50"/>
        <v>Roiphet210</v>
      </c>
      <c r="F397" s="63" t="str">
        <f>VLOOKUP(C397,'RAW DATA 2023'!E:BO,5,0)</f>
        <v>Outdoor</v>
      </c>
      <c r="G397" s="63">
        <f>VLOOKUP(C397,'RAW DATA 2023'!E:BO,13,0)</f>
        <v>116</v>
      </c>
      <c r="H397" s="63">
        <f t="shared" si="53"/>
        <v>100</v>
      </c>
      <c r="I397" s="63">
        <f t="shared" si="51"/>
        <v>6.806</v>
      </c>
      <c r="J397" s="106">
        <f>VLOOKUP(C397,'RAW DATA 2023'!E:BO,22,0)</f>
        <v>3.9914199999999997</v>
      </c>
      <c r="K397" s="70">
        <f t="shared" si="54"/>
        <v>0.58645606817513951</v>
      </c>
      <c r="L397" s="72">
        <f t="shared" si="52"/>
        <v>3.9914199999999997</v>
      </c>
      <c r="M397" s="109">
        <f t="shared" si="56"/>
        <v>1.1527475756685268</v>
      </c>
      <c r="N397" s="123" t="str">
        <f>VLOOKUP(C397,'RAW DATA 2023'!E:BO,36,0)</f>
        <v>EHP</v>
      </c>
      <c r="O397" s="63">
        <f>VLOOKUP(C397,'RAW DATA 2023'!E:BO,2,0)</f>
        <v>4.5</v>
      </c>
      <c r="P397" s="322">
        <f t="shared" si="55"/>
        <v>5.1873640905083711</v>
      </c>
    </row>
    <row r="398" spans="1:16">
      <c r="A398" s="63" t="str">
        <f>'RAW DATA 2023'!B391</f>
        <v>Lamlaung</v>
      </c>
      <c r="B398" s="63" t="str">
        <f>'RAW DATA 2023'!D391</f>
        <v>A1-003-0044</v>
      </c>
      <c r="C398" s="63" t="str">
        <f t="shared" si="49"/>
        <v>LamlaungA1-003-0044</v>
      </c>
      <c r="D398" s="68">
        <f>VLOOKUP(C398,'RAW DATA 2023'!E:BP,63,0)</f>
        <v>8</v>
      </c>
      <c r="E398" s="68" t="str">
        <f t="shared" si="50"/>
        <v>Lamlaung8</v>
      </c>
      <c r="F398" s="63" t="str">
        <f>VLOOKUP(C398,'RAW DATA 2023'!E:BO,5,0)</f>
        <v>Outdoor</v>
      </c>
      <c r="G398" s="63">
        <f>VLOOKUP(C398,'RAW DATA 2023'!E:BO,13,0)</f>
        <v>151</v>
      </c>
      <c r="H398" s="63">
        <f t="shared" si="53"/>
        <v>150</v>
      </c>
      <c r="I398" s="63">
        <f t="shared" si="51"/>
        <v>9.1999999999999993</v>
      </c>
      <c r="J398" s="106">
        <f>VLOOKUP(C398,'RAW DATA 2023'!E:BO,22,0)</f>
        <v>8.9294479999999989</v>
      </c>
      <c r="K398" s="70">
        <f t="shared" si="54"/>
        <v>0.97059217391304342</v>
      </c>
      <c r="L398" s="72">
        <f t="shared" si="52"/>
        <v>8.9294479999999989</v>
      </c>
      <c r="M398" s="109">
        <f t="shared" si="56"/>
        <v>6.2745623188405792</v>
      </c>
      <c r="N398" s="123" t="str">
        <f>VLOOKUP(C398,'RAW DATA 2023'!E:BO,36,0)</f>
        <v>Normal</v>
      </c>
      <c r="O398" s="63">
        <f>VLOOKUP(C398,'RAW DATA 2023'!E:BO,2,0)</f>
        <v>5</v>
      </c>
      <c r="P398" s="322">
        <f t="shared" si="55"/>
        <v>31.372811594202897</v>
      </c>
    </row>
    <row r="399" spans="1:16">
      <c r="A399" s="63" t="str">
        <f>'RAW DATA 2023'!B392</f>
        <v>Lamlaung</v>
      </c>
      <c r="B399" s="63" t="str">
        <f>'RAW DATA 2023'!D392</f>
        <v>A1-004-0046</v>
      </c>
      <c r="C399" s="63" t="str">
        <f t="shared" si="49"/>
        <v>LamlaungA1-004-0046</v>
      </c>
      <c r="D399" s="68">
        <f>VLOOKUP(C399,'RAW DATA 2023'!E:BP,63,0)</f>
        <v>9</v>
      </c>
      <c r="E399" s="68" t="str">
        <f t="shared" si="50"/>
        <v>Lamlaung9</v>
      </c>
      <c r="F399" s="63" t="str">
        <f>VLOOKUP(C399,'RAW DATA 2023'!E:BO,5,0)</f>
        <v>Outdoor</v>
      </c>
      <c r="G399" s="63">
        <f>VLOOKUP(C399,'RAW DATA 2023'!E:BO,13,0)</f>
        <v>69</v>
      </c>
      <c r="H399" s="63">
        <f t="shared" si="53"/>
        <v>100</v>
      </c>
      <c r="I399" s="63">
        <f t="shared" si="51"/>
        <v>6.806</v>
      </c>
      <c r="J399" s="106">
        <f>VLOOKUP(C399,'RAW DATA 2023'!E:BO,22,0)</f>
        <v>7.6342060000000007</v>
      </c>
      <c r="K399" s="70">
        <f t="shared" si="54"/>
        <v>1.1216876285630326</v>
      </c>
      <c r="L399" s="72">
        <f t="shared" si="52"/>
        <v>7.6342060000000007</v>
      </c>
      <c r="M399" s="109">
        <f t="shared" si="56"/>
        <v>8.2891683808404348</v>
      </c>
      <c r="N399" s="123" t="str">
        <f>VLOOKUP(C399,'RAW DATA 2023'!E:BO,36,0)</f>
        <v>Normal</v>
      </c>
      <c r="O399" s="63">
        <f>VLOOKUP(C399,'RAW DATA 2023'!E:BO,2,0)</f>
        <v>5</v>
      </c>
      <c r="P399" s="322">
        <f t="shared" si="55"/>
        <v>41.445841904202176</v>
      </c>
    </row>
    <row r="400" spans="1:16">
      <c r="A400" s="63" t="str">
        <f>'RAW DATA 2023'!B393</f>
        <v>Lamlaung</v>
      </c>
      <c r="B400" s="63" t="str">
        <f>'RAW DATA 2023'!D393</f>
        <v>B1-111-0008</v>
      </c>
      <c r="C400" s="63" t="str">
        <f t="shared" si="49"/>
        <v>LamlaungB1-111-0008</v>
      </c>
      <c r="D400" s="68">
        <f>VLOOKUP(C400,'RAW DATA 2023'!E:BP,63,0)</f>
        <v>9</v>
      </c>
      <c r="E400" s="68" t="str">
        <f t="shared" si="50"/>
        <v>Lamlaung9</v>
      </c>
      <c r="F400" s="63" t="str">
        <f>VLOOKUP(C400,'RAW DATA 2023'!E:BO,5,0)</f>
        <v>Outdoor</v>
      </c>
      <c r="G400" s="63">
        <f>VLOOKUP(C400,'RAW DATA 2023'!E:BO,13,0)</f>
        <v>81</v>
      </c>
      <c r="H400" s="63">
        <f t="shared" si="53"/>
        <v>100</v>
      </c>
      <c r="I400" s="63">
        <f t="shared" si="51"/>
        <v>6.806</v>
      </c>
      <c r="J400" s="106">
        <f>VLOOKUP(C400,'RAW DATA 2023'!E:BO,22,0)</f>
        <v>11.605546</v>
      </c>
      <c r="K400" s="70">
        <f t="shared" si="54"/>
        <v>1.7051933588010579</v>
      </c>
      <c r="L400" s="72">
        <f t="shared" si="52"/>
        <v>11.605546</v>
      </c>
      <c r="M400" s="109">
        <f t="shared" si="56"/>
        <v>16.069244784014106</v>
      </c>
      <c r="N400" s="123" t="str">
        <f>VLOOKUP(C400,'RAW DATA 2023'!E:BO,36,0)</f>
        <v>Normal</v>
      </c>
      <c r="O400" s="63">
        <f>VLOOKUP(C400,'RAW DATA 2023'!E:BO,2,0)</f>
        <v>5</v>
      </c>
      <c r="P400" s="322">
        <f t="shared" si="55"/>
        <v>80.346223920070528</v>
      </c>
    </row>
    <row r="401" spans="1:16">
      <c r="A401" s="63" t="str">
        <f>'RAW DATA 2023'!B394</f>
        <v>Lamlaung</v>
      </c>
      <c r="B401" s="63" t="str">
        <f>'RAW DATA 2023'!D394</f>
        <v>A1-002-0046</v>
      </c>
      <c r="C401" s="63" t="str">
        <f t="shared" si="49"/>
        <v>LamlaungA1-002-0046</v>
      </c>
      <c r="D401" s="68">
        <f>VLOOKUP(C401,'RAW DATA 2023'!E:BP,63,0)</f>
        <v>10</v>
      </c>
      <c r="E401" s="68" t="str">
        <f t="shared" si="50"/>
        <v>Lamlaung10</v>
      </c>
      <c r="F401" s="63" t="str">
        <f>VLOOKUP(C401,'RAW DATA 2023'!E:BO,5,0)</f>
        <v>Outdoor</v>
      </c>
      <c r="G401" s="63">
        <f>VLOOKUP(C401,'RAW DATA 2023'!E:BO,13,0)</f>
        <v>106</v>
      </c>
      <c r="H401" s="63">
        <f t="shared" si="53"/>
        <v>100</v>
      </c>
      <c r="I401" s="63">
        <f t="shared" si="51"/>
        <v>6.806</v>
      </c>
      <c r="J401" s="106">
        <f>VLOOKUP(C401,'RAW DATA 2023'!E:BO,22,0)</f>
        <v>9.5009759999999996</v>
      </c>
      <c r="K401" s="70">
        <f t="shared" si="54"/>
        <v>1.3959706141639729</v>
      </c>
      <c r="L401" s="72">
        <f t="shared" si="52"/>
        <v>9.5009759999999996</v>
      </c>
      <c r="M401" s="109">
        <f t="shared" si="56"/>
        <v>11.94627485551964</v>
      </c>
      <c r="N401" s="123" t="str">
        <f>VLOOKUP(C401,'RAW DATA 2023'!E:BO,36,0)</f>
        <v>Normal</v>
      </c>
      <c r="O401" s="63">
        <f>VLOOKUP(C401,'RAW DATA 2023'!E:BO,2,0)</f>
        <v>5</v>
      </c>
      <c r="P401" s="322">
        <f t="shared" si="55"/>
        <v>59.731374277598199</v>
      </c>
    </row>
    <row r="402" spans="1:16">
      <c r="A402" s="63" t="str">
        <f>'RAW DATA 2023'!B395</f>
        <v>Lamlaung</v>
      </c>
      <c r="B402" s="63" t="str">
        <f>'RAW DATA 2023'!D395</f>
        <v>B1-112-0006</v>
      </c>
      <c r="C402" s="63" t="str">
        <f t="shared" si="49"/>
        <v>LamlaungB1-112-0006</v>
      </c>
      <c r="D402" s="68">
        <f>VLOOKUP(C402,'RAW DATA 2023'!E:BP,63,0)</f>
        <v>7</v>
      </c>
      <c r="E402" s="68" t="str">
        <f t="shared" si="50"/>
        <v>Lamlaung7</v>
      </c>
      <c r="F402" s="63" t="str">
        <f>VLOOKUP(C402,'RAW DATA 2023'!E:BO,5,0)</f>
        <v>Outdoor</v>
      </c>
      <c r="G402" s="63">
        <f>VLOOKUP(C402,'RAW DATA 2023'!E:BO,13,0)</f>
        <v>222</v>
      </c>
      <c r="H402" s="63">
        <f t="shared" si="53"/>
        <v>200</v>
      </c>
      <c r="I402" s="63">
        <f t="shared" si="51"/>
        <v>11.259</v>
      </c>
      <c r="J402" s="106">
        <f>VLOOKUP(C402,'RAW DATA 2023'!E:BO,22,0)</f>
        <v>11.409408000000001</v>
      </c>
      <c r="K402" s="70">
        <f t="shared" si="54"/>
        <v>1.0133589128697043</v>
      </c>
      <c r="L402" s="72">
        <f t="shared" si="52"/>
        <v>11.409408000000001</v>
      </c>
      <c r="M402" s="109">
        <f t="shared" si="56"/>
        <v>6.8447855049293906</v>
      </c>
      <c r="N402" s="123" t="str">
        <f>VLOOKUP(C402,'RAW DATA 2023'!E:BO,36,0)</f>
        <v>Normal</v>
      </c>
      <c r="O402" s="63">
        <f>VLOOKUP(C402,'RAW DATA 2023'!E:BO,2,0)</f>
        <v>5</v>
      </c>
      <c r="P402" s="322">
        <f t="shared" si="55"/>
        <v>34.223927524646953</v>
      </c>
    </row>
    <row r="403" spans="1:16">
      <c r="A403" s="63" t="str">
        <f>'RAW DATA 2023'!B396</f>
        <v>Lamlaung</v>
      </c>
      <c r="B403" s="63" t="str">
        <f>'RAW DATA 2023'!D396</f>
        <v>A1-005-0008</v>
      </c>
      <c r="C403" s="63" t="str">
        <f t="shared" si="49"/>
        <v>LamlaungA1-005-0008</v>
      </c>
      <c r="D403" s="68">
        <f>VLOOKUP(C403,'RAW DATA 2023'!E:BP,63,0)</f>
        <v>9</v>
      </c>
      <c r="E403" s="68" t="str">
        <f t="shared" si="50"/>
        <v>Lamlaung9</v>
      </c>
      <c r="F403" s="63" t="str">
        <f>VLOOKUP(C403,'RAW DATA 2023'!E:BO,5,0)</f>
        <v>Outdoor</v>
      </c>
      <c r="G403" s="63">
        <f>VLOOKUP(C403,'RAW DATA 2023'!E:BO,13,0)</f>
        <v>118</v>
      </c>
      <c r="H403" s="63">
        <f t="shared" si="53"/>
        <v>100</v>
      </c>
      <c r="I403" s="63">
        <f t="shared" si="51"/>
        <v>6.806</v>
      </c>
      <c r="J403" s="106">
        <f>VLOOKUP(C403,'RAW DATA 2023'!E:BO,22,0)</f>
        <v>12.5245</v>
      </c>
      <c r="K403" s="70">
        <f t="shared" si="54"/>
        <v>1.8402145166029973</v>
      </c>
      <c r="L403" s="72">
        <f t="shared" si="52"/>
        <v>12.5245</v>
      </c>
      <c r="M403" s="109">
        <f t="shared" si="56"/>
        <v>17.869526888039964</v>
      </c>
      <c r="N403" s="123" t="str">
        <f>VLOOKUP(C403,'RAW DATA 2023'!E:BO,36,0)</f>
        <v>Normal</v>
      </c>
      <c r="O403" s="63">
        <f>VLOOKUP(C403,'RAW DATA 2023'!E:BO,2,0)</f>
        <v>5</v>
      </c>
      <c r="P403" s="322">
        <f t="shared" si="55"/>
        <v>89.347634440199812</v>
      </c>
    </row>
    <row r="404" spans="1:16">
      <c r="A404" s="63" t="str">
        <f>'RAW DATA 2023'!B397</f>
        <v>Lamlaung</v>
      </c>
      <c r="B404" s="63" t="str">
        <f>'RAW DATA 2023'!D397</f>
        <v>B1-111-0007</v>
      </c>
      <c r="C404" s="63" t="str">
        <f t="shared" si="49"/>
        <v>LamlaungB1-111-0007</v>
      </c>
      <c r="D404" s="68">
        <f>VLOOKUP(C404,'RAW DATA 2023'!E:BP,63,0)</f>
        <v>4</v>
      </c>
      <c r="E404" s="68" t="str">
        <f t="shared" si="50"/>
        <v>Lamlaung4</v>
      </c>
      <c r="F404" s="63" t="str">
        <f>VLOOKUP(C404,'RAW DATA 2023'!E:BO,5,0)</f>
        <v>Outdoor</v>
      </c>
      <c r="G404" s="63">
        <f>VLOOKUP(C404,'RAW DATA 2023'!E:BO,13,0)</f>
        <v>117</v>
      </c>
      <c r="H404" s="63">
        <f t="shared" si="53"/>
        <v>100</v>
      </c>
      <c r="I404" s="63">
        <f t="shared" si="51"/>
        <v>6.806</v>
      </c>
      <c r="J404" s="106">
        <f>VLOOKUP(C404,'RAW DATA 2023'!E:BO,22,0)</f>
        <v>6.3795960000000003</v>
      </c>
      <c r="K404" s="70">
        <f t="shared" si="54"/>
        <v>0.93734880987364089</v>
      </c>
      <c r="L404" s="72">
        <f t="shared" si="52"/>
        <v>6.3795960000000003</v>
      </c>
      <c r="M404" s="109">
        <f t="shared" si="56"/>
        <v>5.8313174649818791</v>
      </c>
      <c r="N404" s="123" t="str">
        <f>VLOOKUP(C404,'RAW DATA 2023'!E:BO,36,0)</f>
        <v>Normal</v>
      </c>
      <c r="O404" s="63">
        <f>VLOOKUP(C404,'RAW DATA 2023'!E:BO,2,0)</f>
        <v>5</v>
      </c>
      <c r="P404" s="322">
        <f t="shared" si="55"/>
        <v>29.156587324909395</v>
      </c>
    </row>
    <row r="405" spans="1:16">
      <c r="A405" s="63" t="str">
        <f>'RAW DATA 2023'!B398</f>
        <v>Lamlaung</v>
      </c>
      <c r="B405" s="63" t="str">
        <f>'RAW DATA 2023'!D398</f>
        <v>A1-003-0045</v>
      </c>
      <c r="C405" s="63" t="str">
        <f t="shared" si="49"/>
        <v>LamlaungA1-003-0045</v>
      </c>
      <c r="D405" s="68">
        <f>VLOOKUP(C405,'RAW DATA 2023'!E:BP,63,0)</f>
        <v>10</v>
      </c>
      <c r="E405" s="68" t="str">
        <f t="shared" si="50"/>
        <v>Lamlaung10</v>
      </c>
      <c r="F405" s="63" t="str">
        <f>VLOOKUP(C405,'RAW DATA 2023'!E:BO,5,0)</f>
        <v>Outdoor</v>
      </c>
      <c r="G405" s="63">
        <f>VLOOKUP(C405,'RAW DATA 2023'!E:BO,13,0)</f>
        <v>125</v>
      </c>
      <c r="H405" s="63">
        <f t="shared" si="53"/>
        <v>100</v>
      </c>
      <c r="I405" s="63">
        <f t="shared" si="51"/>
        <v>6.806</v>
      </c>
      <c r="J405" s="106">
        <f>VLOOKUP(C405,'RAW DATA 2023'!E:BO,22,0)</f>
        <v>5.2693640000000004</v>
      </c>
      <c r="K405" s="70">
        <f t="shared" si="54"/>
        <v>0.77422333235380547</v>
      </c>
      <c r="L405" s="72">
        <f t="shared" si="52"/>
        <v>5.2693640000000004</v>
      </c>
      <c r="M405" s="109">
        <f t="shared" si="56"/>
        <v>3.6563110980507396</v>
      </c>
      <c r="N405" s="123" t="str">
        <f>VLOOKUP(C405,'RAW DATA 2023'!E:BO,36,0)</f>
        <v>EHP</v>
      </c>
      <c r="O405" s="63">
        <f>VLOOKUP(C405,'RAW DATA 2023'!E:BO,2,0)</f>
        <v>5</v>
      </c>
      <c r="P405" s="322">
        <f t="shared" si="55"/>
        <v>18.281555490253698</v>
      </c>
    </row>
    <row r="406" spans="1:16">
      <c r="A406" s="63" t="str">
        <f>'RAW DATA 2023'!B399</f>
        <v>Lamlaung</v>
      </c>
      <c r="B406" s="63" t="str">
        <f>'RAW DATA 2023'!D399</f>
        <v>B1-112-0007</v>
      </c>
      <c r="C406" s="63" t="str">
        <f t="shared" si="49"/>
        <v>LamlaungB1-112-0007</v>
      </c>
      <c r="D406" s="68">
        <f>VLOOKUP(C406,'RAW DATA 2023'!E:BP,63,0)</f>
        <v>9</v>
      </c>
      <c r="E406" s="68" t="str">
        <f t="shared" si="50"/>
        <v>Lamlaung9</v>
      </c>
      <c r="F406" s="63" t="str">
        <f>VLOOKUP(C406,'RAW DATA 2023'!E:BO,5,0)</f>
        <v>Outdoor</v>
      </c>
      <c r="G406" s="63">
        <f>VLOOKUP(C406,'RAW DATA 2023'!E:BO,13,0)</f>
        <v>156</v>
      </c>
      <c r="H406" s="63">
        <f t="shared" si="53"/>
        <v>150</v>
      </c>
      <c r="I406" s="63">
        <f t="shared" si="51"/>
        <v>9.1999999999999993</v>
      </c>
      <c r="J406" s="106">
        <f>VLOOKUP(C406,'RAW DATA 2023'!E:BO,22,0)</f>
        <v>4.9445800000000002</v>
      </c>
      <c r="K406" s="70">
        <f t="shared" si="54"/>
        <v>0.53745434782608703</v>
      </c>
      <c r="L406" s="72">
        <f t="shared" si="52"/>
        <v>4.9445800000000002</v>
      </c>
      <c r="M406" s="109">
        <f t="shared" si="56"/>
        <v>0.49939130434782708</v>
      </c>
      <c r="N406" s="123" t="str">
        <f>VLOOKUP(C406,'RAW DATA 2023'!E:BO,36,0)</f>
        <v>EHP</v>
      </c>
      <c r="O406" s="63">
        <f>VLOOKUP(C406,'RAW DATA 2023'!E:BO,2,0)</f>
        <v>5</v>
      </c>
      <c r="P406" s="322">
        <f t="shared" si="55"/>
        <v>2.4969565217391354</v>
      </c>
    </row>
    <row r="407" spans="1:16">
      <c r="A407" s="63" t="str">
        <f>'RAW DATA 2023'!B400</f>
        <v>Lamlaung</v>
      </c>
      <c r="B407" s="63" t="str">
        <f>'RAW DATA 2023'!D400</f>
        <v>A1-002-0045</v>
      </c>
      <c r="C407" s="63" t="str">
        <f t="shared" si="49"/>
        <v>LamlaungA1-002-0045</v>
      </c>
      <c r="D407" s="68">
        <f>VLOOKUP(C407,'RAW DATA 2023'!E:BP,63,0)</f>
        <v>4</v>
      </c>
      <c r="E407" s="68" t="str">
        <f t="shared" si="50"/>
        <v>Lamlaung4</v>
      </c>
      <c r="F407" s="63" t="str">
        <f>VLOOKUP(C407,'RAW DATA 2023'!E:BO,5,0)</f>
        <v>Outdoor</v>
      </c>
      <c r="G407" s="63">
        <f>VLOOKUP(C407,'RAW DATA 2023'!E:BO,13,0)</f>
        <v>188</v>
      </c>
      <c r="H407" s="63">
        <f t="shared" si="53"/>
        <v>180</v>
      </c>
      <c r="I407" s="63">
        <f t="shared" si="51"/>
        <v>10.247</v>
      </c>
      <c r="J407" s="106">
        <f>VLOOKUP(C407,'RAW DATA 2023'!E:BO,22,0)</f>
        <v>7.0380820000000002</v>
      </c>
      <c r="K407" s="70">
        <f t="shared" si="54"/>
        <v>0.68684317361178882</v>
      </c>
      <c r="L407" s="72">
        <f t="shared" si="52"/>
        <v>7.0380820000000002</v>
      </c>
      <c r="M407" s="109">
        <f t="shared" si="56"/>
        <v>2.4912423148238512</v>
      </c>
      <c r="N407" s="123" t="str">
        <f>VLOOKUP(C407,'RAW DATA 2023'!E:BO,36,0)</f>
        <v>กุ้งไม่โต</v>
      </c>
      <c r="O407" s="63">
        <f>VLOOKUP(C407,'RAW DATA 2023'!E:BO,2,0)</f>
        <v>5</v>
      </c>
      <c r="P407" s="322">
        <f t="shared" si="55"/>
        <v>12.456211574119255</v>
      </c>
    </row>
    <row r="408" spans="1:16">
      <c r="A408" s="63" t="str">
        <f>'RAW DATA 2023'!B401</f>
        <v>Lamlaung</v>
      </c>
      <c r="B408" s="63" t="str">
        <f>'RAW DATA 2023'!D401</f>
        <v>B1-110-0005</v>
      </c>
      <c r="C408" s="63" t="str">
        <f t="shared" si="49"/>
        <v>LamlaungB1-110-0005</v>
      </c>
      <c r="D408" s="68">
        <f>VLOOKUP(C408,'RAW DATA 2023'!E:BP,63,0)</f>
        <v>1</v>
      </c>
      <c r="E408" s="68" t="str">
        <f t="shared" si="50"/>
        <v>Lamlaung1</v>
      </c>
      <c r="F408" s="63" t="str">
        <f>VLOOKUP(C408,'RAW DATA 2023'!E:BO,5,0)</f>
        <v>Outdoor</v>
      </c>
      <c r="G408" s="63">
        <f>VLOOKUP(C408,'RAW DATA 2023'!E:BO,13,0)</f>
        <v>188</v>
      </c>
      <c r="H408" s="63">
        <f t="shared" si="53"/>
        <v>180</v>
      </c>
      <c r="I408" s="63">
        <f t="shared" si="51"/>
        <v>10.247</v>
      </c>
      <c r="J408" s="106">
        <f>VLOOKUP(C408,'RAW DATA 2023'!E:BO,22,0)</f>
        <v>1.960904</v>
      </c>
      <c r="K408" s="70">
        <f t="shared" si="54"/>
        <v>0.19136371620962234</v>
      </c>
      <c r="L408" s="72">
        <f t="shared" si="52"/>
        <v>1.960904</v>
      </c>
      <c r="M408" s="109">
        <f t="shared" si="56"/>
        <v>-4.1151504505383691</v>
      </c>
      <c r="N408" s="123" t="str">
        <f>VLOOKUP(C408,'RAW DATA 2023'!E:BO,36,0)</f>
        <v>EHP</v>
      </c>
      <c r="O408" s="63">
        <f>VLOOKUP(C408,'RAW DATA 2023'!E:BO,2,0)</f>
        <v>5</v>
      </c>
      <c r="P408" s="322">
        <f t="shared" si="55"/>
        <v>-20.575752252691846</v>
      </c>
    </row>
    <row r="409" spans="1:16">
      <c r="A409" s="63" t="str">
        <f>'RAW DATA 2023'!B402</f>
        <v>Lamlaung</v>
      </c>
      <c r="B409" s="63" t="str">
        <f>'RAW DATA 2023'!D402</f>
        <v>A1-004-0045</v>
      </c>
      <c r="C409" s="63" t="str">
        <f t="shared" si="49"/>
        <v>LamlaungA1-004-0045</v>
      </c>
      <c r="D409" s="68">
        <f>VLOOKUP(C409,'RAW DATA 2023'!E:BP,63,0)</f>
        <v>4</v>
      </c>
      <c r="E409" s="68" t="str">
        <f t="shared" si="50"/>
        <v>Lamlaung4</v>
      </c>
      <c r="F409" s="63" t="str">
        <f>VLOOKUP(C409,'RAW DATA 2023'!E:BO,5,0)</f>
        <v>Outdoor</v>
      </c>
      <c r="G409" s="63">
        <f>VLOOKUP(C409,'RAW DATA 2023'!E:BO,13,0)</f>
        <v>230</v>
      </c>
      <c r="H409" s="63">
        <f t="shared" si="53"/>
        <v>200</v>
      </c>
      <c r="I409" s="63">
        <f t="shared" si="51"/>
        <v>11.259</v>
      </c>
      <c r="J409" s="106">
        <f>VLOOKUP(C409,'RAW DATA 2023'!E:BO,22,0)</f>
        <v>5.2900640000000001</v>
      </c>
      <c r="K409" s="70">
        <f t="shared" si="54"/>
        <v>0.46985202948752108</v>
      </c>
      <c r="L409" s="72">
        <f t="shared" si="52"/>
        <v>5.2900640000000001</v>
      </c>
      <c r="M409" s="109">
        <f t="shared" si="56"/>
        <v>-0.40197294016638557</v>
      </c>
      <c r="N409" s="123" t="str">
        <f>VLOOKUP(C409,'RAW DATA 2023'!E:BO,36,0)</f>
        <v>Others</v>
      </c>
      <c r="O409" s="63">
        <f>VLOOKUP(C409,'RAW DATA 2023'!E:BO,2,0)</f>
        <v>5</v>
      </c>
      <c r="P409" s="322">
        <f t="shared" si="55"/>
        <v>-2.0098647008319279</v>
      </c>
    </row>
    <row r="410" spans="1:16">
      <c r="A410" s="63" t="str">
        <f>'RAW DATA 2023'!B403</f>
        <v>Lamlaung</v>
      </c>
      <c r="B410" s="63" t="str">
        <f>'RAW DATA 2023'!D403</f>
        <v>A1-001-0019</v>
      </c>
      <c r="C410" s="63" t="str">
        <f t="shared" si="49"/>
        <v>LamlaungA1-001-0019</v>
      </c>
      <c r="D410" s="68">
        <f>VLOOKUP(C410,'RAW DATA 2023'!E:BP,63,0)</f>
        <v>3</v>
      </c>
      <c r="E410" s="68" t="str">
        <f t="shared" si="50"/>
        <v>Lamlaung3</v>
      </c>
      <c r="F410" s="63" t="str">
        <f>VLOOKUP(C410,'RAW DATA 2023'!E:BO,5,0)</f>
        <v>Outdoor</v>
      </c>
      <c r="G410" s="63">
        <f>VLOOKUP(C410,'RAW DATA 2023'!E:BO,13,0)</f>
        <v>228</v>
      </c>
      <c r="H410" s="63">
        <f t="shared" si="53"/>
        <v>200</v>
      </c>
      <c r="I410" s="63">
        <f t="shared" si="51"/>
        <v>11.259</v>
      </c>
      <c r="J410" s="106">
        <f>VLOOKUP(C410,'RAW DATA 2023'!E:BO,22,0)</f>
        <v>2.7170720000000004</v>
      </c>
      <c r="K410" s="70">
        <f t="shared" si="54"/>
        <v>0.24132445154987123</v>
      </c>
      <c r="L410" s="72">
        <f t="shared" si="52"/>
        <v>2.7170720000000004</v>
      </c>
      <c r="M410" s="109">
        <f t="shared" si="56"/>
        <v>-3.4490073126683836</v>
      </c>
      <c r="N410" s="123" t="str">
        <f>VLOOKUP(C410,'RAW DATA 2023'!E:BO,36,0)</f>
        <v>EHP</v>
      </c>
      <c r="O410" s="63">
        <f>VLOOKUP(C410,'RAW DATA 2023'!E:BO,2,0)</f>
        <v>5</v>
      </c>
      <c r="P410" s="322">
        <f t="shared" si="55"/>
        <v>-17.24503656334192</v>
      </c>
    </row>
    <row r="411" spans="1:16">
      <c r="A411" s="63" t="str">
        <f>'RAW DATA 2023'!B404</f>
        <v>CS4</v>
      </c>
      <c r="B411" s="63" t="str">
        <f>'RAW DATA 2023'!D404</f>
        <v>A1-011-0046</v>
      </c>
      <c r="C411" s="63" t="str">
        <f t="shared" si="49"/>
        <v>CS4A1-011-0046</v>
      </c>
      <c r="D411" s="68">
        <f>VLOOKUP(C411,'RAW DATA 2023'!E:BP,63,0)</f>
        <v>9</v>
      </c>
      <c r="E411" s="68" t="str">
        <f t="shared" si="50"/>
        <v>CS49</v>
      </c>
      <c r="F411" s="63" t="str">
        <f>VLOOKUP(C411,'RAW DATA 2023'!E:BO,5,0)</f>
        <v>Outdoor</v>
      </c>
      <c r="G411" s="63">
        <f>VLOOKUP(C411,'RAW DATA 2023'!E:BO,13,0)</f>
        <v>142</v>
      </c>
      <c r="H411" s="63">
        <f t="shared" si="53"/>
        <v>150</v>
      </c>
      <c r="I411" s="63">
        <f t="shared" si="51"/>
        <v>9.1999999999999993</v>
      </c>
      <c r="J411" s="106">
        <f>VLOOKUP(C411,'RAW DATA 2023'!E:BO,22,0)</f>
        <v>6.3555207547169816</v>
      </c>
      <c r="K411" s="70">
        <f t="shared" si="54"/>
        <v>0.69081747333880239</v>
      </c>
      <c r="L411" s="72">
        <f t="shared" si="52"/>
        <v>6.3555207547169816</v>
      </c>
      <c r="M411" s="109">
        <f t="shared" si="56"/>
        <v>2.5442329778506987</v>
      </c>
      <c r="N411" s="123" t="str">
        <f>VLOOKUP(C411,'RAW DATA 2023'!E:BO,36,0)</f>
        <v>WFD+EHP</v>
      </c>
      <c r="O411" s="63">
        <f>VLOOKUP(C411,'RAW DATA 2023'!E:BO,2,0)</f>
        <v>2.65</v>
      </c>
      <c r="P411" s="322">
        <f t="shared" si="55"/>
        <v>6.7422173913043517</v>
      </c>
    </row>
    <row r="412" spans="1:16">
      <c r="A412" s="63" t="str">
        <f>'RAW DATA 2023'!B405</f>
        <v>CS4</v>
      </c>
      <c r="B412" s="63" t="str">
        <f>'RAW DATA 2023'!D405</f>
        <v>A1-011-0045</v>
      </c>
      <c r="C412" s="63" t="str">
        <f t="shared" si="49"/>
        <v>CS4A1-011-0045</v>
      </c>
      <c r="D412" s="68">
        <f>VLOOKUP(C412,'RAW DATA 2023'!E:BP,63,0)</f>
        <v>5</v>
      </c>
      <c r="E412" s="68" t="str">
        <f t="shared" si="50"/>
        <v>CS45</v>
      </c>
      <c r="F412" s="63" t="str">
        <f>VLOOKUP(C412,'RAW DATA 2023'!E:BO,5,0)</f>
        <v>Outdoor</v>
      </c>
      <c r="G412" s="63">
        <f>VLOOKUP(C412,'RAW DATA 2023'!E:BO,13,0)</f>
        <v>126</v>
      </c>
      <c r="H412" s="63">
        <f t="shared" si="53"/>
        <v>100</v>
      </c>
      <c r="I412" s="63">
        <f t="shared" si="51"/>
        <v>6.806</v>
      </c>
      <c r="J412" s="106">
        <f>VLOOKUP(C412,'RAW DATA 2023'!E:BO,22,0)</f>
        <v>4.2912641509433964</v>
      </c>
      <c r="K412" s="70">
        <f t="shared" si="54"/>
        <v>0.63051192344158047</v>
      </c>
      <c r="L412" s="72">
        <f t="shared" si="52"/>
        <v>4.2912641509433964</v>
      </c>
      <c r="M412" s="109">
        <f t="shared" si="56"/>
        <v>1.740158979221073</v>
      </c>
      <c r="N412" s="123" t="str">
        <f>VLOOKUP(C412,'RAW DATA 2023'!E:BO,36,0)</f>
        <v>EHP</v>
      </c>
      <c r="O412" s="63">
        <f>VLOOKUP(C412,'RAW DATA 2023'!E:BO,2,0)</f>
        <v>2.65</v>
      </c>
      <c r="P412" s="322">
        <f t="shared" si="55"/>
        <v>4.6114212949358429</v>
      </c>
    </row>
    <row r="413" spans="1:16">
      <c r="A413" s="63" t="str">
        <f>'RAW DATA 2023'!B406</f>
        <v>CS4</v>
      </c>
      <c r="B413" s="63" t="str">
        <f>'RAW DATA 2023'!D406</f>
        <v>A1-025-0017</v>
      </c>
      <c r="C413" s="63" t="str">
        <f t="shared" si="49"/>
        <v>CS4A1-025-0017</v>
      </c>
      <c r="D413" s="68">
        <f>VLOOKUP(C413,'RAW DATA 2023'!E:BP,63,0)</f>
        <v>5</v>
      </c>
      <c r="E413" s="68" t="str">
        <f t="shared" si="50"/>
        <v>CS45</v>
      </c>
      <c r="F413" s="63" t="str">
        <f>VLOOKUP(C413,'RAW DATA 2023'!E:BO,5,0)</f>
        <v>Outdoor</v>
      </c>
      <c r="G413" s="63">
        <f>VLOOKUP(C413,'RAW DATA 2023'!E:BO,13,0)</f>
        <v>139</v>
      </c>
      <c r="H413" s="63">
        <f t="shared" si="53"/>
        <v>150</v>
      </c>
      <c r="I413" s="63">
        <f t="shared" si="51"/>
        <v>9.1999999999999993</v>
      </c>
      <c r="J413" s="106">
        <f>VLOOKUP(C413,'RAW DATA 2023'!E:BO,22,0)</f>
        <v>7.9508299999999998</v>
      </c>
      <c r="K413" s="70">
        <f t="shared" si="54"/>
        <v>0.86422065217391308</v>
      </c>
      <c r="L413" s="72">
        <f t="shared" si="52"/>
        <v>7.9508299999999998</v>
      </c>
      <c r="M413" s="109">
        <f t="shared" si="56"/>
        <v>4.8562753623188417</v>
      </c>
      <c r="N413" s="123" t="str">
        <f>VLOOKUP(C413,'RAW DATA 2023'!E:BO,36,0)</f>
        <v>Normal</v>
      </c>
      <c r="O413" s="63">
        <f>VLOOKUP(C413,'RAW DATA 2023'!E:BO,2,0)</f>
        <v>2</v>
      </c>
      <c r="P413" s="322">
        <f t="shared" si="55"/>
        <v>9.7125507246376834</v>
      </c>
    </row>
    <row r="414" spans="1:16">
      <c r="A414" s="63" t="str">
        <f>'RAW DATA 2023'!B407</f>
        <v>CS4</v>
      </c>
      <c r="B414" s="63" t="str">
        <f>'RAW DATA 2023'!D407</f>
        <v>A1-026-0015</v>
      </c>
      <c r="C414" s="63" t="str">
        <f t="shared" si="49"/>
        <v>CS4A1-026-0015</v>
      </c>
      <c r="D414" s="68">
        <f>VLOOKUP(C414,'RAW DATA 2023'!E:BP,63,0)</f>
        <v>6</v>
      </c>
      <c r="E414" s="68" t="str">
        <f t="shared" si="50"/>
        <v>CS46</v>
      </c>
      <c r="F414" s="63" t="str">
        <f>VLOOKUP(C414,'RAW DATA 2023'!E:BO,5,0)</f>
        <v>Outdoor</v>
      </c>
      <c r="G414" s="63">
        <f>VLOOKUP(C414,'RAW DATA 2023'!E:BO,13,0)</f>
        <v>146</v>
      </c>
      <c r="H414" s="63">
        <f t="shared" si="53"/>
        <v>150</v>
      </c>
      <c r="I414" s="63">
        <f t="shared" si="51"/>
        <v>9.1999999999999993</v>
      </c>
      <c r="J414" s="106">
        <f>VLOOKUP(C414,'RAW DATA 2023'!E:BO,22,0)</f>
        <v>2.7323949999999999</v>
      </c>
      <c r="K414" s="70">
        <f t="shared" si="54"/>
        <v>0.29699945652173915</v>
      </c>
      <c r="L414" s="72">
        <f t="shared" si="52"/>
        <v>2.7323949999999999</v>
      </c>
      <c r="M414" s="109">
        <f t="shared" si="56"/>
        <v>-2.706673913043478</v>
      </c>
      <c r="N414" s="123" t="str">
        <f>VLOOKUP(C414,'RAW DATA 2023'!E:BO,36,0)</f>
        <v>EHP</v>
      </c>
      <c r="O414" s="63">
        <f>VLOOKUP(C414,'RAW DATA 2023'!E:BO,2,0)</f>
        <v>2</v>
      </c>
      <c r="P414" s="322">
        <f t="shared" si="55"/>
        <v>-5.4133478260869561</v>
      </c>
    </row>
    <row r="415" spans="1:16">
      <c r="A415" s="63" t="str">
        <f>'RAW DATA 2023'!B408</f>
        <v>CS4</v>
      </c>
      <c r="B415" s="63" t="str">
        <f>'RAW DATA 2023'!D408</f>
        <v>A1-023-0009</v>
      </c>
      <c r="C415" s="63" t="str">
        <f t="shared" si="49"/>
        <v>CS4A1-023-0009</v>
      </c>
      <c r="D415" s="68">
        <f>VLOOKUP(C415,'RAW DATA 2023'!E:BP,63,0)</f>
        <v>5</v>
      </c>
      <c r="E415" s="68" t="str">
        <f t="shared" si="50"/>
        <v>CS45</v>
      </c>
      <c r="F415" s="63" t="str">
        <f>VLOOKUP(C415,'RAW DATA 2023'!E:BO,5,0)</f>
        <v>Outdoor</v>
      </c>
      <c r="G415" s="63">
        <f>VLOOKUP(C415,'RAW DATA 2023'!E:BO,13,0)</f>
        <v>217</v>
      </c>
      <c r="H415" s="63">
        <f t="shared" si="53"/>
        <v>200</v>
      </c>
      <c r="I415" s="63">
        <f t="shared" si="51"/>
        <v>11.259</v>
      </c>
      <c r="J415" s="106">
        <f>VLOOKUP(C415,'RAW DATA 2023'!E:BO,22,0)</f>
        <v>5.5427678571428558</v>
      </c>
      <c r="K415" s="70">
        <f t="shared" si="54"/>
        <v>0.49229663887937258</v>
      </c>
      <c r="L415" s="72">
        <f t="shared" si="52"/>
        <v>5.5427678571428558</v>
      </c>
      <c r="M415" s="109">
        <f t="shared" si="56"/>
        <v>-0.10271148160836556</v>
      </c>
      <c r="N415" s="123" t="str">
        <f>VLOOKUP(C415,'RAW DATA 2023'!E:BO,36,0)</f>
        <v>WFD+EHP</v>
      </c>
      <c r="O415" s="63">
        <f>VLOOKUP(C415,'RAW DATA 2023'!E:BO,2,0)</f>
        <v>1.1200000000000001</v>
      </c>
      <c r="P415" s="322">
        <f t="shared" si="55"/>
        <v>-0.11503685940136944</v>
      </c>
    </row>
    <row r="416" spans="1:16">
      <c r="A416" s="63" t="str">
        <f>'RAW DATA 2023'!B409</f>
        <v>CS4</v>
      </c>
      <c r="B416" s="63" t="str">
        <f>'RAW DATA 2023'!D409</f>
        <v>A1-003-0037</v>
      </c>
      <c r="C416" s="63" t="str">
        <f t="shared" si="49"/>
        <v>CS4A1-003-0037</v>
      </c>
      <c r="D416" s="68">
        <f>VLOOKUP(C416,'RAW DATA 2023'!E:BP,63,0)</f>
        <v>4</v>
      </c>
      <c r="E416" s="68" t="str">
        <f t="shared" si="50"/>
        <v>CS44</v>
      </c>
      <c r="F416" s="63" t="str">
        <f>VLOOKUP(C416,'RAW DATA 2023'!E:BO,5,0)</f>
        <v>Outdoor</v>
      </c>
      <c r="G416" s="63">
        <f>VLOOKUP(C416,'RAW DATA 2023'!E:BO,13,0)</f>
        <v>156</v>
      </c>
      <c r="H416" s="63">
        <f t="shared" si="53"/>
        <v>150</v>
      </c>
      <c r="I416" s="63">
        <f t="shared" si="51"/>
        <v>9.1999999999999993</v>
      </c>
      <c r="J416" s="106">
        <f>VLOOKUP(C416,'RAW DATA 2023'!E:BO,22,0)</f>
        <v>7.0587900000000001</v>
      </c>
      <c r="K416" s="70">
        <f t="shared" si="54"/>
        <v>0.76725978260869576</v>
      </c>
      <c r="L416" s="72">
        <f t="shared" si="52"/>
        <v>7.0587900000000001</v>
      </c>
      <c r="M416" s="109">
        <f t="shared" si="56"/>
        <v>3.5634637681159438</v>
      </c>
      <c r="N416" s="123" t="str">
        <f>VLOOKUP(C416,'RAW DATA 2023'!E:BO,36,0)</f>
        <v>พบขี้ขาวลอย</v>
      </c>
      <c r="O416" s="63">
        <f>VLOOKUP(C416,'RAW DATA 2023'!E:BO,2,0)</f>
        <v>2</v>
      </c>
      <c r="P416" s="322">
        <f t="shared" si="55"/>
        <v>7.1269275362318876</v>
      </c>
    </row>
    <row r="417" spans="1:16">
      <c r="A417" s="63" t="str">
        <f>'RAW DATA 2023'!B410</f>
        <v>CS4</v>
      </c>
      <c r="B417" s="63" t="str">
        <f>'RAW DATA 2023'!D410</f>
        <v>A1-002-0047</v>
      </c>
      <c r="C417" s="63" t="str">
        <f t="shared" si="49"/>
        <v>CS4A1-002-0047</v>
      </c>
      <c r="D417" s="68">
        <f>VLOOKUP(C417,'RAW DATA 2023'!E:BP,63,0)</f>
        <v>5</v>
      </c>
      <c r="E417" s="68" t="str">
        <f t="shared" si="50"/>
        <v>CS45</v>
      </c>
      <c r="F417" s="63" t="str">
        <f>VLOOKUP(C417,'RAW DATA 2023'!E:BO,5,0)</f>
        <v>Outdoor</v>
      </c>
      <c r="G417" s="63">
        <f>VLOOKUP(C417,'RAW DATA 2023'!E:BO,13,0)</f>
        <v>156</v>
      </c>
      <c r="H417" s="63">
        <f t="shared" si="53"/>
        <v>150</v>
      </c>
      <c r="I417" s="63">
        <f t="shared" si="51"/>
        <v>9.1999999999999993</v>
      </c>
      <c r="J417" s="106">
        <f>VLOOKUP(C417,'RAW DATA 2023'!E:BO,22,0)</f>
        <v>2.1857600000000001</v>
      </c>
      <c r="K417" s="70">
        <f t="shared" si="54"/>
        <v>0.2375826086956522</v>
      </c>
      <c r="L417" s="72">
        <f t="shared" si="52"/>
        <v>2.1857600000000001</v>
      </c>
      <c r="M417" s="109">
        <f t="shared" si="56"/>
        <v>-3.498898550724638</v>
      </c>
      <c r="N417" s="123" t="str">
        <f>VLOOKUP(C417,'RAW DATA 2023'!E:BO,36,0)</f>
        <v>EHP</v>
      </c>
      <c r="O417" s="63">
        <f>VLOOKUP(C417,'RAW DATA 2023'!E:BO,2,0)</f>
        <v>2</v>
      </c>
      <c r="P417" s="322">
        <f t="shared" si="55"/>
        <v>-6.9977971014492759</v>
      </c>
    </row>
    <row r="418" spans="1:16">
      <c r="A418" s="63" t="str">
        <f>'RAW DATA 2023'!B411</f>
        <v>CS4</v>
      </c>
      <c r="B418" s="63" t="str">
        <f>'RAW DATA 2023'!D411</f>
        <v>A1-002-0048</v>
      </c>
      <c r="C418" s="63" t="str">
        <f t="shared" si="49"/>
        <v>CS4A1-002-0048</v>
      </c>
      <c r="D418" s="68">
        <f>VLOOKUP(C418,'RAW DATA 2023'!E:BP,63,0)</f>
        <v>9</v>
      </c>
      <c r="E418" s="68" t="str">
        <f t="shared" si="50"/>
        <v>CS49</v>
      </c>
      <c r="F418" s="63" t="str">
        <f>VLOOKUP(C418,'RAW DATA 2023'!E:BO,5,0)</f>
        <v>Outdoor</v>
      </c>
      <c r="G418" s="63">
        <f>VLOOKUP(C418,'RAW DATA 2023'!E:BO,13,0)</f>
        <v>156</v>
      </c>
      <c r="H418" s="63">
        <f t="shared" si="53"/>
        <v>150</v>
      </c>
      <c r="I418" s="63">
        <f t="shared" si="51"/>
        <v>9.1999999999999993</v>
      </c>
      <c r="J418" s="106">
        <f>VLOOKUP(C418,'RAW DATA 2023'!E:BO,22,0)</f>
        <v>0</v>
      </c>
      <c r="K418" s="70">
        <f t="shared" si="54"/>
        <v>0</v>
      </c>
      <c r="L418" s="72">
        <f t="shared" si="52"/>
        <v>0</v>
      </c>
      <c r="M418" s="109">
        <f t="shared" si="56"/>
        <v>-6.666666666666667</v>
      </c>
      <c r="N418" s="123" t="str">
        <f>VLOOKUP(C418,'RAW DATA 2023'!E:BO,36,0)</f>
        <v>EHP</v>
      </c>
      <c r="O418" s="63">
        <f>VLOOKUP(C418,'RAW DATA 2023'!E:BO,2,0)</f>
        <v>2</v>
      </c>
      <c r="P418" s="322">
        <f t="shared" si="55"/>
        <v>-13.333333333333334</v>
      </c>
    </row>
    <row r="419" spans="1:16">
      <c r="A419" s="63" t="str">
        <f>'RAW DATA 2023'!B412</f>
        <v>CS4</v>
      </c>
      <c r="B419" s="63" t="str">
        <f>'RAW DATA 2023'!D412</f>
        <v>A1-002-0046</v>
      </c>
      <c r="C419" s="63" t="str">
        <f t="shared" si="49"/>
        <v>CS4A1-002-0046</v>
      </c>
      <c r="D419" s="68">
        <f>VLOOKUP(C419,'RAW DATA 2023'!E:BP,63,0)</f>
        <v>2</v>
      </c>
      <c r="E419" s="68" t="str">
        <f t="shared" si="50"/>
        <v>CS42</v>
      </c>
      <c r="F419" s="63" t="str">
        <f>VLOOKUP(C419,'RAW DATA 2023'!E:BO,5,0)</f>
        <v>Outdoor</v>
      </c>
      <c r="G419" s="63">
        <f>VLOOKUP(C419,'RAW DATA 2023'!E:BO,13,0)</f>
        <v>156</v>
      </c>
      <c r="H419" s="63">
        <f t="shared" si="53"/>
        <v>150</v>
      </c>
      <c r="I419" s="63">
        <f t="shared" si="51"/>
        <v>9.1999999999999993</v>
      </c>
      <c r="J419" s="106">
        <f>VLOOKUP(C419,'RAW DATA 2023'!E:BO,22,0)</f>
        <v>6.3490200000000003</v>
      </c>
      <c r="K419" s="70">
        <f t="shared" si="54"/>
        <v>0.6901108695652175</v>
      </c>
      <c r="L419" s="72">
        <f t="shared" si="52"/>
        <v>6.3490200000000003</v>
      </c>
      <c r="M419" s="109">
        <f t="shared" si="56"/>
        <v>2.5348115942029001</v>
      </c>
      <c r="N419" s="123" t="str">
        <f>VLOOKUP(C419,'RAW DATA 2023'!E:BO,36,0)</f>
        <v>WSSV</v>
      </c>
      <c r="O419" s="63">
        <f>VLOOKUP(C419,'RAW DATA 2023'!E:BO,2,0)</f>
        <v>2</v>
      </c>
      <c r="P419" s="322">
        <f t="shared" si="55"/>
        <v>5.0696231884058003</v>
      </c>
    </row>
    <row r="420" spans="1:16">
      <c r="A420" s="63" t="str">
        <f>'RAW DATA 2023'!B413</f>
        <v>CS4</v>
      </c>
      <c r="B420" s="63" t="str">
        <f>'RAW DATA 2023'!D413</f>
        <v>A1-023-0008</v>
      </c>
      <c r="C420" s="63" t="str">
        <f t="shared" si="49"/>
        <v>CS4A1-023-0008</v>
      </c>
      <c r="D420" s="68">
        <f>VLOOKUP(C420,'RAW DATA 2023'!E:BP,63,0)</f>
        <v>3</v>
      </c>
      <c r="E420" s="68" t="str">
        <f t="shared" si="50"/>
        <v>CS43</v>
      </c>
      <c r="F420" s="63" t="str">
        <f>VLOOKUP(C420,'RAW DATA 2023'!E:BO,5,0)</f>
        <v>Outdoor</v>
      </c>
      <c r="G420" s="63">
        <f>VLOOKUP(C420,'RAW DATA 2023'!E:BO,13,0)</f>
        <v>155</v>
      </c>
      <c r="H420" s="63">
        <f t="shared" si="53"/>
        <v>150</v>
      </c>
      <c r="I420" s="63">
        <f t="shared" si="51"/>
        <v>9.1999999999999993</v>
      </c>
      <c r="J420" s="106">
        <f>VLOOKUP(C420,'RAW DATA 2023'!E:BO,22,0)</f>
        <v>3.0309374999999998</v>
      </c>
      <c r="K420" s="70">
        <f t="shared" si="54"/>
        <v>0.3294497282608696</v>
      </c>
      <c r="L420" s="72">
        <f t="shared" si="52"/>
        <v>3.0309374999999998</v>
      </c>
      <c r="M420" s="109">
        <f t="shared" si="56"/>
        <v>-2.2740036231884053</v>
      </c>
      <c r="N420" s="123" t="str">
        <f>VLOOKUP(C420,'RAW DATA 2023'!E:BO,36,0)</f>
        <v>YHV</v>
      </c>
      <c r="O420" s="63">
        <f>VLOOKUP(C420,'RAW DATA 2023'!E:BO,2,0)</f>
        <v>1.1200000000000001</v>
      </c>
      <c r="P420" s="322">
        <f t="shared" si="55"/>
        <v>-2.5468840579710141</v>
      </c>
    </row>
    <row r="421" spans="1:16">
      <c r="A421" s="63" t="str">
        <f>'RAW DATA 2023'!B414</f>
        <v>CS4</v>
      </c>
      <c r="B421" s="63" t="str">
        <f>'RAW DATA 2023'!D414</f>
        <v>A1-026-0014</v>
      </c>
      <c r="C421" s="63" t="str">
        <f t="shared" si="49"/>
        <v>CS4A1-026-0014</v>
      </c>
      <c r="D421" s="68">
        <f>VLOOKUP(C421,'RAW DATA 2023'!E:BP,63,0)</f>
        <v>4</v>
      </c>
      <c r="E421" s="68" t="str">
        <f t="shared" si="50"/>
        <v>CS44</v>
      </c>
      <c r="F421" s="63" t="str">
        <f>VLOOKUP(C421,'RAW DATA 2023'!E:BO,5,0)</f>
        <v>Outdoor</v>
      </c>
      <c r="G421" s="63">
        <f>VLOOKUP(C421,'RAW DATA 2023'!E:BO,13,0)</f>
        <v>125</v>
      </c>
      <c r="H421" s="63">
        <f t="shared" si="53"/>
        <v>100</v>
      </c>
      <c r="I421" s="63">
        <f t="shared" si="51"/>
        <v>6.806</v>
      </c>
      <c r="J421" s="106">
        <f>VLOOKUP(C421,'RAW DATA 2023'!E:BO,22,0)</f>
        <v>2.3967550000000002</v>
      </c>
      <c r="K421" s="70">
        <f t="shared" si="54"/>
        <v>0.352153247134881</v>
      </c>
      <c r="L421" s="72">
        <f t="shared" si="52"/>
        <v>2.3967550000000002</v>
      </c>
      <c r="M421" s="109">
        <f t="shared" si="56"/>
        <v>-1.9712900382015868</v>
      </c>
      <c r="N421" s="123" t="str">
        <f>VLOOKUP(C421,'RAW DATA 2023'!E:BO,36,0)</f>
        <v>WFD</v>
      </c>
      <c r="O421" s="63">
        <f>VLOOKUP(C421,'RAW DATA 2023'!E:BO,2,0)</f>
        <v>2</v>
      </c>
      <c r="P421" s="322">
        <f t="shared" si="55"/>
        <v>-3.9425800764031735</v>
      </c>
    </row>
    <row r="422" spans="1:16">
      <c r="A422" s="63" t="str">
        <f>'RAW DATA 2023'!B415</f>
        <v>CS1</v>
      </c>
      <c r="B422" s="63" t="str">
        <f>'RAW DATA 2023'!D415</f>
        <v>A1-007-0050</v>
      </c>
      <c r="C422" s="63" t="str">
        <f t="shared" si="49"/>
        <v>CS1A1-007-0050</v>
      </c>
      <c r="D422" s="68">
        <f>VLOOKUP(C422,'RAW DATA 2023'!E:BP,63,0)</f>
        <v>10</v>
      </c>
      <c r="E422" s="68" t="str">
        <f t="shared" si="50"/>
        <v>CS110</v>
      </c>
      <c r="F422" s="63" t="str">
        <f>VLOOKUP(C422,'RAW DATA 2023'!E:BO,5,0)</f>
        <v>Outdoor</v>
      </c>
      <c r="G422" s="63">
        <f>VLOOKUP(C422,'RAW DATA 2023'!E:BO,13,0)</f>
        <v>175</v>
      </c>
      <c r="H422" s="63">
        <f t="shared" si="53"/>
        <v>180</v>
      </c>
      <c r="I422" s="63">
        <f t="shared" si="51"/>
        <v>10.247</v>
      </c>
      <c r="J422" s="106">
        <f>VLOOKUP(C422,'RAW DATA 2023'!E:BO,22,0)</f>
        <v>7.495451612903226</v>
      </c>
      <c r="K422" s="70">
        <f t="shared" si="54"/>
        <v>0.73147766301387973</v>
      </c>
      <c r="L422" s="72">
        <f t="shared" si="52"/>
        <v>7.495451612903226</v>
      </c>
      <c r="M422" s="109">
        <f t="shared" si="56"/>
        <v>3.0863688401850631</v>
      </c>
      <c r="N422" s="123" t="str">
        <f>VLOOKUP(C422,'RAW DATA 2023'!E:BO,36,0)</f>
        <v>Normal</v>
      </c>
      <c r="O422" s="63">
        <f>VLOOKUP(C422,'RAW DATA 2023'!E:BO,2,0)</f>
        <v>3.1</v>
      </c>
      <c r="P422" s="322">
        <f t="shared" si="55"/>
        <v>9.5677434045736955</v>
      </c>
    </row>
    <row r="423" spans="1:16">
      <c r="A423" s="63" t="str">
        <f>'RAW DATA 2023'!B416</f>
        <v>CS1</v>
      </c>
      <c r="B423" s="63" t="str">
        <f>'RAW DATA 2023'!D416</f>
        <v>A1-010-0051</v>
      </c>
      <c r="C423" s="63" t="str">
        <f t="shared" si="49"/>
        <v>CS1A1-010-0051</v>
      </c>
      <c r="D423" s="68">
        <f>VLOOKUP(C423,'RAW DATA 2023'!E:BP,63,0)</f>
        <v>10</v>
      </c>
      <c r="E423" s="68" t="str">
        <f t="shared" si="50"/>
        <v>CS110</v>
      </c>
      <c r="F423" s="63" t="str">
        <f>VLOOKUP(C423,'RAW DATA 2023'!E:BO,5,0)</f>
        <v>Outdoor</v>
      </c>
      <c r="G423" s="63">
        <f>VLOOKUP(C423,'RAW DATA 2023'!E:BO,13,0)</f>
        <v>269</v>
      </c>
      <c r="H423" s="63">
        <f t="shared" si="53"/>
        <v>200</v>
      </c>
      <c r="I423" s="63">
        <f t="shared" si="51"/>
        <v>11.259</v>
      </c>
      <c r="J423" s="106">
        <f>VLOOKUP(C423,'RAW DATA 2023'!E:BO,22,0)</f>
        <v>11.712767741935485</v>
      </c>
      <c r="K423" s="70">
        <f t="shared" si="54"/>
        <v>1.0403026682596577</v>
      </c>
      <c r="L423" s="72">
        <f t="shared" si="52"/>
        <v>11.712767741935485</v>
      </c>
      <c r="M423" s="109">
        <f t="shared" si="56"/>
        <v>7.2040355767954356</v>
      </c>
      <c r="N423" s="123" t="str">
        <f>VLOOKUP(C423,'RAW DATA 2023'!E:BO,36,0)</f>
        <v>Normal</v>
      </c>
      <c r="O423" s="63">
        <f>VLOOKUP(C423,'RAW DATA 2023'!E:BO,2,0)</f>
        <v>3.1</v>
      </c>
      <c r="P423" s="322">
        <f t="shared" si="55"/>
        <v>22.332510288065851</v>
      </c>
    </row>
    <row r="424" spans="1:16">
      <c r="A424" s="63" t="str">
        <f>'RAW DATA 2023'!B417</f>
        <v>CS1</v>
      </c>
      <c r="B424" s="63" t="str">
        <f>'RAW DATA 2023'!D417</f>
        <v>A1-004-0040</v>
      </c>
      <c r="C424" s="63" t="str">
        <f t="shared" si="49"/>
        <v>CS1A1-004-0040</v>
      </c>
      <c r="D424" s="68">
        <f>VLOOKUP(C424,'RAW DATA 2023'!E:BP,63,0)</f>
        <v>2</v>
      </c>
      <c r="E424" s="68" t="str">
        <f t="shared" si="50"/>
        <v>CS12</v>
      </c>
      <c r="F424" s="63" t="str">
        <f>VLOOKUP(C424,'RAW DATA 2023'!E:BO,5,0)</f>
        <v>Outdoor</v>
      </c>
      <c r="G424" s="63">
        <f>VLOOKUP(C424,'RAW DATA 2023'!E:BO,13,0)</f>
        <v>147</v>
      </c>
      <c r="H424" s="63">
        <f t="shared" si="53"/>
        <v>150</v>
      </c>
      <c r="I424" s="63">
        <f t="shared" si="51"/>
        <v>9.1999999999999993</v>
      </c>
      <c r="J424" s="106">
        <f>VLOOKUP(C424,'RAW DATA 2023'!E:BO,22,0)</f>
        <v>2.7803200000000001</v>
      </c>
      <c r="K424" s="70">
        <f t="shared" si="54"/>
        <v>0.30220869565217395</v>
      </c>
      <c r="L424" s="72">
        <f t="shared" si="52"/>
        <v>2.7803200000000001</v>
      </c>
      <c r="M424" s="109">
        <f t="shared" si="56"/>
        <v>-2.6372173913043473</v>
      </c>
      <c r="N424" s="123" t="str">
        <f>VLOOKUP(C424,'RAW DATA 2023'!E:BO,36,0)</f>
        <v>Normal</v>
      </c>
      <c r="O424" s="63">
        <f>VLOOKUP(C424,'RAW DATA 2023'!E:BO,2,0)</f>
        <v>4.25</v>
      </c>
      <c r="P424" s="322">
        <f t="shared" si="55"/>
        <v>-11.208173913043476</v>
      </c>
    </row>
    <row r="425" spans="1:16">
      <c r="A425" s="63" t="str">
        <f>'RAW DATA 2023'!B418</f>
        <v>CS1</v>
      </c>
      <c r="B425" s="63" t="str">
        <f>'RAW DATA 2023'!D418</f>
        <v>A1-096-0028</v>
      </c>
      <c r="C425" s="63" t="str">
        <f t="shared" si="49"/>
        <v>CS1A1-096-0028</v>
      </c>
      <c r="D425" s="68">
        <f>VLOOKUP(C425,'RAW DATA 2023'!E:BP,63,0)</f>
        <v>5</v>
      </c>
      <c r="E425" s="68" t="str">
        <f t="shared" si="50"/>
        <v>CS15</v>
      </c>
      <c r="F425" s="63" t="str">
        <f>VLOOKUP(C425,'RAW DATA 2023'!E:BO,5,0)</f>
        <v>Outdoor</v>
      </c>
      <c r="G425" s="63">
        <f>VLOOKUP(C425,'RAW DATA 2023'!E:BO,13,0)</f>
        <v>134</v>
      </c>
      <c r="H425" s="63">
        <f t="shared" si="53"/>
        <v>100</v>
      </c>
      <c r="I425" s="63">
        <f t="shared" si="51"/>
        <v>6.806</v>
      </c>
      <c r="J425" s="106">
        <f>VLOOKUP(C425,'RAW DATA 2023'!E:BO,22,0)</f>
        <v>3.5845412186379932</v>
      </c>
      <c r="K425" s="70">
        <f t="shared" si="54"/>
        <v>0.52667370241522082</v>
      </c>
      <c r="L425" s="72">
        <f t="shared" si="52"/>
        <v>3.5845412186379932</v>
      </c>
      <c r="M425" s="109">
        <f t="shared" si="56"/>
        <v>0.35564936553627768</v>
      </c>
      <c r="N425" s="123" t="str">
        <f>VLOOKUP(C425,'RAW DATA 2023'!E:BO,36,0)</f>
        <v>EHP</v>
      </c>
      <c r="O425" s="63">
        <f>VLOOKUP(C425,'RAW DATA 2023'!E:BO,2,0)</f>
        <v>2.79</v>
      </c>
      <c r="P425" s="322">
        <f t="shared" si="55"/>
        <v>0.99226172984621475</v>
      </c>
    </row>
    <row r="426" spans="1:16">
      <c r="A426" s="63" t="str">
        <f>'RAW DATA 2023'!B419</f>
        <v>CS1</v>
      </c>
      <c r="B426" s="63" t="str">
        <f>'RAW DATA 2023'!D419</f>
        <v>A1-014-0045</v>
      </c>
      <c r="C426" s="63" t="str">
        <f t="shared" si="49"/>
        <v>CS1A1-014-0045</v>
      </c>
      <c r="D426" s="68">
        <f>VLOOKUP(C426,'RAW DATA 2023'!E:BP,63,0)</f>
        <v>3</v>
      </c>
      <c r="E426" s="68" t="str">
        <f t="shared" si="50"/>
        <v>CS13</v>
      </c>
      <c r="F426" s="63" t="str">
        <f>VLOOKUP(C426,'RAW DATA 2023'!E:BO,5,0)</f>
        <v>Outdoor</v>
      </c>
      <c r="G426" s="63">
        <f>VLOOKUP(C426,'RAW DATA 2023'!E:BO,13,0)</f>
        <v>121</v>
      </c>
      <c r="H426" s="63">
        <f t="shared" si="53"/>
        <v>100</v>
      </c>
      <c r="I426" s="63">
        <f t="shared" si="51"/>
        <v>6.806</v>
      </c>
      <c r="J426" s="106">
        <f>VLOOKUP(C426,'RAW DATA 2023'!E:BO,22,0)</f>
        <v>6.7327587412587411</v>
      </c>
      <c r="K426" s="70">
        <f t="shared" si="54"/>
        <v>0.98923872190107864</v>
      </c>
      <c r="L426" s="72">
        <f t="shared" si="52"/>
        <v>6.7327587412587411</v>
      </c>
      <c r="M426" s="109">
        <f t="shared" si="56"/>
        <v>6.5231829586810486</v>
      </c>
      <c r="N426" s="123" t="str">
        <f>VLOOKUP(C426,'RAW DATA 2023'!E:BO,36,0)</f>
        <v>Normal</v>
      </c>
      <c r="O426" s="63">
        <f>VLOOKUP(C426,'RAW DATA 2023'!E:BO,2,0)</f>
        <v>2.86</v>
      </c>
      <c r="P426" s="322">
        <f t="shared" si="55"/>
        <v>18.656303261827798</v>
      </c>
    </row>
    <row r="427" spans="1:16">
      <c r="A427" s="63" t="str">
        <f>'RAW DATA 2023'!B420</f>
        <v>CS1</v>
      </c>
      <c r="B427" s="63" t="str">
        <f>'RAW DATA 2023'!D420</f>
        <v>A1-096-0027</v>
      </c>
      <c r="C427" s="63" t="str">
        <f t="shared" si="49"/>
        <v>CS1A1-096-0027</v>
      </c>
      <c r="D427" s="68">
        <f>VLOOKUP(C427,'RAW DATA 2023'!E:BP,63,0)</f>
        <v>2</v>
      </c>
      <c r="E427" s="68" t="str">
        <f t="shared" si="50"/>
        <v>CS12</v>
      </c>
      <c r="F427" s="63" t="str">
        <f>VLOOKUP(C427,'RAW DATA 2023'!E:BO,5,0)</f>
        <v>Outdoor</v>
      </c>
      <c r="G427" s="63">
        <f>VLOOKUP(C427,'RAW DATA 2023'!E:BO,13,0)</f>
        <v>119</v>
      </c>
      <c r="H427" s="63">
        <f t="shared" si="53"/>
        <v>100</v>
      </c>
      <c r="I427" s="63">
        <f t="shared" si="51"/>
        <v>6.806</v>
      </c>
      <c r="J427" s="106">
        <f>VLOOKUP(C427,'RAW DATA 2023'!E:BO,22,0)</f>
        <v>4.6912759856630819</v>
      </c>
      <c r="K427" s="70">
        <f t="shared" si="54"/>
        <v>0.6892853343613109</v>
      </c>
      <c r="L427" s="72">
        <f t="shared" si="52"/>
        <v>4.6912759856630819</v>
      </c>
      <c r="M427" s="109">
        <f t="shared" si="56"/>
        <v>2.5238044581508121</v>
      </c>
      <c r="N427" s="123" t="str">
        <f>VLOOKUP(C427,'RAW DATA 2023'!E:BO,36,0)</f>
        <v>Normal</v>
      </c>
      <c r="O427" s="63">
        <f>VLOOKUP(C427,'RAW DATA 2023'!E:BO,2,0)</f>
        <v>2.79</v>
      </c>
      <c r="P427" s="322">
        <f t="shared" si="55"/>
        <v>7.041414438240766</v>
      </c>
    </row>
    <row r="428" spans="1:16">
      <c r="A428" s="63" t="str">
        <f>'RAW DATA 2023'!B421</f>
        <v>CS1</v>
      </c>
      <c r="B428" s="63" t="str">
        <f>'RAW DATA 2023'!D421</f>
        <v>A1-010-0049</v>
      </c>
      <c r="C428" s="63" t="str">
        <f t="shared" si="49"/>
        <v>CS1A1-010-0049</v>
      </c>
      <c r="D428" s="68">
        <f>VLOOKUP(C428,'RAW DATA 2023'!E:BP,63,0)</f>
        <v>2</v>
      </c>
      <c r="E428" s="68" t="str">
        <f t="shared" si="50"/>
        <v>CS12</v>
      </c>
      <c r="F428" s="63" t="str">
        <f>VLOOKUP(C428,'RAW DATA 2023'!E:BO,5,0)</f>
        <v>Outdoor</v>
      </c>
      <c r="G428" s="63">
        <f>VLOOKUP(C428,'RAW DATA 2023'!E:BO,13,0)</f>
        <v>108</v>
      </c>
      <c r="H428" s="63">
        <f t="shared" si="53"/>
        <v>100</v>
      </c>
      <c r="I428" s="63">
        <f t="shared" si="51"/>
        <v>6.806</v>
      </c>
      <c r="J428" s="106">
        <f>VLOOKUP(C428,'RAW DATA 2023'!E:BO,22,0)</f>
        <v>5.6792838709677413</v>
      </c>
      <c r="K428" s="70">
        <f t="shared" si="54"/>
        <v>0.8344525229162123</v>
      </c>
      <c r="L428" s="72">
        <f t="shared" si="52"/>
        <v>5.6792838709677413</v>
      </c>
      <c r="M428" s="109">
        <f t="shared" si="56"/>
        <v>4.4593669722161646</v>
      </c>
      <c r="N428" s="123" t="str">
        <f>VLOOKUP(C428,'RAW DATA 2023'!E:BO,36,0)</f>
        <v>Normal</v>
      </c>
      <c r="O428" s="63">
        <f>VLOOKUP(C428,'RAW DATA 2023'!E:BO,2,0)</f>
        <v>3.1</v>
      </c>
      <c r="P428" s="322">
        <f t="shared" si="55"/>
        <v>13.824037613870111</v>
      </c>
    </row>
    <row r="429" spans="1:16">
      <c r="A429" s="63" t="str">
        <f>'RAW DATA 2023'!B422</f>
        <v>CS1</v>
      </c>
      <c r="B429" s="63" t="str">
        <f>'RAW DATA 2023'!D422</f>
        <v>A1-007-0048</v>
      </c>
      <c r="C429" s="63" t="str">
        <f t="shared" si="49"/>
        <v>CS1A1-007-0048</v>
      </c>
      <c r="D429" s="68">
        <f>VLOOKUP(C429,'RAW DATA 2023'!E:BP,63,0)</f>
        <v>2</v>
      </c>
      <c r="E429" s="68" t="str">
        <f t="shared" si="50"/>
        <v>CS12</v>
      </c>
      <c r="F429" s="63" t="str">
        <f>VLOOKUP(C429,'RAW DATA 2023'!E:BO,5,0)</f>
        <v>Outdoor</v>
      </c>
      <c r="G429" s="63">
        <f>VLOOKUP(C429,'RAW DATA 2023'!E:BO,13,0)</f>
        <v>121</v>
      </c>
      <c r="H429" s="63">
        <f t="shared" si="53"/>
        <v>100</v>
      </c>
      <c r="I429" s="63">
        <f t="shared" si="51"/>
        <v>6.806</v>
      </c>
      <c r="J429" s="106">
        <f>VLOOKUP(C429,'RAW DATA 2023'!E:BO,22,0)</f>
        <v>5.7954322580645163</v>
      </c>
      <c r="K429" s="70">
        <f t="shared" si="54"/>
        <v>0.85151811020636448</v>
      </c>
      <c r="L429" s="72">
        <f t="shared" si="52"/>
        <v>5.7954322580645163</v>
      </c>
      <c r="M429" s="109">
        <f t="shared" si="56"/>
        <v>4.6869081360848597</v>
      </c>
      <c r="N429" s="123" t="str">
        <f>VLOOKUP(C429,'RAW DATA 2023'!E:BO,36,0)</f>
        <v>Normal</v>
      </c>
      <c r="O429" s="63">
        <f>VLOOKUP(C429,'RAW DATA 2023'!E:BO,2,0)</f>
        <v>3.1</v>
      </c>
      <c r="P429" s="322">
        <f t="shared" si="55"/>
        <v>14.529415221863065</v>
      </c>
    </row>
    <row r="430" spans="1:16">
      <c r="A430" s="63" t="str">
        <f>'RAW DATA 2023'!B423</f>
        <v>CS1</v>
      </c>
      <c r="B430" s="63" t="str">
        <f>'RAW DATA 2023'!D423</f>
        <v>A1-008-0030</v>
      </c>
      <c r="C430" s="63" t="str">
        <f t="shared" si="49"/>
        <v>CS1A1-008-0030</v>
      </c>
      <c r="D430" s="68">
        <f>VLOOKUP(C430,'RAW DATA 2023'!E:BP,63,0)</f>
        <v>3</v>
      </c>
      <c r="E430" s="68" t="str">
        <f t="shared" si="50"/>
        <v>CS13</v>
      </c>
      <c r="F430" s="63" t="str">
        <f>VLOOKUP(C430,'RAW DATA 2023'!E:BO,5,0)</f>
        <v>Outdoor</v>
      </c>
      <c r="G430" s="63">
        <f>VLOOKUP(C430,'RAW DATA 2023'!E:BO,13,0)</f>
        <v>109</v>
      </c>
      <c r="H430" s="63">
        <f t="shared" si="53"/>
        <v>100</v>
      </c>
      <c r="I430" s="63">
        <f t="shared" si="51"/>
        <v>6.806</v>
      </c>
      <c r="J430" s="106">
        <f>VLOOKUP(C430,'RAW DATA 2023'!E:BO,22,0)</f>
        <v>4.9599217391304338</v>
      </c>
      <c r="K430" s="70">
        <f t="shared" si="54"/>
        <v>0.72875723466506515</v>
      </c>
      <c r="L430" s="72">
        <f t="shared" si="52"/>
        <v>4.9599217391304338</v>
      </c>
      <c r="M430" s="109">
        <f t="shared" si="56"/>
        <v>3.0500964622008686</v>
      </c>
      <c r="N430" s="123" t="str">
        <f>VLOOKUP(C430,'RAW DATA 2023'!E:BO,36,0)</f>
        <v>Normal</v>
      </c>
      <c r="O430" s="63">
        <f>VLOOKUP(C430,'RAW DATA 2023'!E:BO,2,0)</f>
        <v>3.45</v>
      </c>
      <c r="P430" s="322">
        <f t="shared" si="55"/>
        <v>10.522832794592997</v>
      </c>
    </row>
    <row r="431" spans="1:16">
      <c r="A431" s="63" t="str">
        <f>'RAW DATA 2023'!B424</f>
        <v>CS1</v>
      </c>
      <c r="B431" s="63" t="str">
        <f>'RAW DATA 2023'!D424</f>
        <v>A1-007-0049</v>
      </c>
      <c r="C431" s="63" t="str">
        <f t="shared" si="49"/>
        <v>CS1A1-007-0049</v>
      </c>
      <c r="D431" s="68">
        <f>VLOOKUP(C431,'RAW DATA 2023'!E:BP,63,0)</f>
        <v>4</v>
      </c>
      <c r="E431" s="68" t="str">
        <f t="shared" si="50"/>
        <v>CS14</v>
      </c>
      <c r="F431" s="63" t="str">
        <f>VLOOKUP(C431,'RAW DATA 2023'!E:BO,5,0)</f>
        <v>Outdoor</v>
      </c>
      <c r="G431" s="63">
        <f>VLOOKUP(C431,'RAW DATA 2023'!E:BO,13,0)</f>
        <v>161</v>
      </c>
      <c r="H431" s="63">
        <f t="shared" si="53"/>
        <v>150</v>
      </c>
      <c r="I431" s="63">
        <f t="shared" si="51"/>
        <v>9.1999999999999993</v>
      </c>
      <c r="J431" s="106">
        <f>VLOOKUP(C431,'RAW DATA 2023'!E:BO,22,0)</f>
        <v>2.9031096774193546</v>
      </c>
      <c r="K431" s="70">
        <f t="shared" si="54"/>
        <v>0.31555539971949509</v>
      </c>
      <c r="L431" s="72">
        <f t="shared" si="52"/>
        <v>2.9031096774193546</v>
      </c>
      <c r="M431" s="109">
        <f t="shared" si="56"/>
        <v>-2.4592613370733991</v>
      </c>
      <c r="N431" s="123" t="str">
        <f>VLOOKUP(C431,'RAW DATA 2023'!E:BO,36,0)</f>
        <v>EHP</v>
      </c>
      <c r="O431" s="63">
        <f>VLOOKUP(C431,'RAW DATA 2023'!E:BO,2,0)</f>
        <v>3.1</v>
      </c>
      <c r="P431" s="322">
        <f t="shared" si="55"/>
        <v>-7.6237101449275375</v>
      </c>
    </row>
    <row r="432" spans="1:16">
      <c r="A432" s="63" t="str">
        <f>'RAW DATA 2023'!B425</f>
        <v>CS1</v>
      </c>
      <c r="B432" s="63" t="str">
        <f>'RAW DATA 2023'!D425</f>
        <v>A1-008-0031</v>
      </c>
      <c r="C432" s="63" t="str">
        <f t="shared" si="49"/>
        <v>CS1A1-008-0031</v>
      </c>
      <c r="D432" s="68">
        <f>VLOOKUP(C432,'RAW DATA 2023'!E:BP,63,0)</f>
        <v>5</v>
      </c>
      <c r="E432" s="68" t="str">
        <f t="shared" si="50"/>
        <v>CS15</v>
      </c>
      <c r="F432" s="63" t="str">
        <f>VLOOKUP(C432,'RAW DATA 2023'!E:BO,5,0)</f>
        <v>Outdoor</v>
      </c>
      <c r="G432" s="63">
        <f>VLOOKUP(C432,'RAW DATA 2023'!E:BO,13,0)</f>
        <v>193</v>
      </c>
      <c r="H432" s="63">
        <f t="shared" si="53"/>
        <v>200</v>
      </c>
      <c r="I432" s="63">
        <f t="shared" si="51"/>
        <v>11.259</v>
      </c>
      <c r="J432" s="106">
        <f>VLOOKUP(C432,'RAW DATA 2023'!E:BO,22,0)</f>
        <v>1.2264289855072463</v>
      </c>
      <c r="K432" s="70">
        <f t="shared" si="54"/>
        <v>0.10892876680941881</v>
      </c>
      <c r="L432" s="72">
        <f t="shared" si="52"/>
        <v>1.2264289855072463</v>
      </c>
      <c r="M432" s="109">
        <f t="shared" si="56"/>
        <v>-5.2142831092077495</v>
      </c>
      <c r="N432" s="123" t="str">
        <f>VLOOKUP(C432,'RAW DATA 2023'!E:BO,36,0)</f>
        <v>EHP</v>
      </c>
      <c r="O432" s="63">
        <f>VLOOKUP(C432,'RAW DATA 2023'!E:BO,2,0)</f>
        <v>3.45</v>
      </c>
      <c r="P432" s="322">
        <f t="shared" si="55"/>
        <v>-17.989276726766736</v>
      </c>
    </row>
    <row r="433" spans="1:16">
      <c r="A433" s="63" t="str">
        <f>'RAW DATA 2023'!B426</f>
        <v>CS1</v>
      </c>
      <c r="B433" s="63" t="str">
        <f>'RAW DATA 2023'!D426</f>
        <v>A1-010-0050</v>
      </c>
      <c r="C433" s="63" t="str">
        <f t="shared" si="49"/>
        <v>CS1A1-010-0050</v>
      </c>
      <c r="D433" s="68">
        <f>VLOOKUP(C433,'RAW DATA 2023'!E:BP,63,0)</f>
        <v>4</v>
      </c>
      <c r="E433" s="68" t="str">
        <f t="shared" si="50"/>
        <v>CS14</v>
      </c>
      <c r="F433" s="63" t="str">
        <f>VLOOKUP(C433,'RAW DATA 2023'!E:BO,5,0)</f>
        <v>Outdoor</v>
      </c>
      <c r="G433" s="63">
        <f>VLOOKUP(C433,'RAW DATA 2023'!E:BO,13,0)</f>
        <v>269</v>
      </c>
      <c r="H433" s="63">
        <f t="shared" si="53"/>
        <v>200</v>
      </c>
      <c r="I433" s="63">
        <f t="shared" si="51"/>
        <v>11.259</v>
      </c>
      <c r="J433" s="106">
        <f>VLOOKUP(C433,'RAW DATA 2023'!E:BO,22,0)</f>
        <v>2.560109677419355</v>
      </c>
      <c r="K433" s="70">
        <f t="shared" si="54"/>
        <v>0.22738339794114529</v>
      </c>
      <c r="L433" s="72">
        <f t="shared" si="52"/>
        <v>2.560109677419355</v>
      </c>
      <c r="M433" s="109">
        <f t="shared" si="56"/>
        <v>-3.6348880274513968</v>
      </c>
      <c r="N433" s="123" t="str">
        <f>VLOOKUP(C433,'RAW DATA 2023'!E:BO,36,0)</f>
        <v>EHP</v>
      </c>
      <c r="O433" s="63">
        <f>VLOOKUP(C433,'RAW DATA 2023'!E:BO,2,0)</f>
        <v>3.1</v>
      </c>
      <c r="P433" s="322">
        <f t="shared" si="55"/>
        <v>-11.268152885099331</v>
      </c>
    </row>
    <row r="434" spans="1:16">
      <c r="A434" s="63" t="str">
        <f>'RAW DATA 2023'!B427</f>
        <v>CS1</v>
      </c>
      <c r="B434" s="63" t="str">
        <f>'RAW DATA 2023'!D427</f>
        <v>C1-080-0017</v>
      </c>
      <c r="C434" s="63" t="str">
        <f t="shared" si="49"/>
        <v>CS1C1-080-0017</v>
      </c>
      <c r="D434" s="68">
        <f>VLOOKUP(C434,'RAW DATA 2023'!E:BP,63,0)</f>
        <v>2</v>
      </c>
      <c r="E434" s="68" t="str">
        <f t="shared" si="50"/>
        <v>CS12</v>
      </c>
      <c r="F434" s="63" t="str">
        <f>VLOOKUP(C434,'RAW DATA 2023'!E:BO,5,0)</f>
        <v>Outdoor</v>
      </c>
      <c r="G434" s="63">
        <f>VLOOKUP(C434,'RAW DATA 2023'!E:BO,13,0)</f>
        <v>100</v>
      </c>
      <c r="H434" s="63">
        <f t="shared" si="53"/>
        <v>100</v>
      </c>
      <c r="I434" s="63">
        <f t="shared" si="51"/>
        <v>6.806</v>
      </c>
      <c r="J434" s="106">
        <f>VLOOKUP(C434,'RAW DATA 2023'!E:BO,22,0)</f>
        <v>6.8155999999999999</v>
      </c>
      <c r="K434" s="70">
        <f t="shared" si="54"/>
        <v>1.0014105201292975</v>
      </c>
      <c r="L434" s="72">
        <f t="shared" si="52"/>
        <v>6.8155999999999999</v>
      </c>
      <c r="M434" s="109">
        <f t="shared" si="56"/>
        <v>6.6854736017239675</v>
      </c>
      <c r="N434" s="123" t="str">
        <f>VLOOKUP(C434,'RAW DATA 2023'!E:BO,36,0)</f>
        <v>Normal</v>
      </c>
      <c r="O434" s="63">
        <f>VLOOKUP(C434,'RAW DATA 2023'!E:BO,2,0)</f>
        <v>2.25</v>
      </c>
      <c r="P434" s="322">
        <f t="shared" si="55"/>
        <v>15.042315603878928</v>
      </c>
    </row>
    <row r="435" spans="1:16">
      <c r="A435" s="63" t="str">
        <f>'RAW DATA 2023'!B428</f>
        <v>CS1</v>
      </c>
      <c r="B435" s="63" t="str">
        <f>'RAW DATA 2023'!D428</f>
        <v>C1-084-0018</v>
      </c>
      <c r="C435" s="63" t="str">
        <f t="shared" si="49"/>
        <v>CS1C1-084-0018</v>
      </c>
      <c r="D435" s="68">
        <f>VLOOKUP(C435,'RAW DATA 2023'!E:BP,63,0)</f>
        <v>2</v>
      </c>
      <c r="E435" s="68" t="str">
        <f t="shared" si="50"/>
        <v>CS12</v>
      </c>
      <c r="F435" s="63" t="str">
        <f>VLOOKUP(C435,'RAW DATA 2023'!E:BO,5,0)</f>
        <v>Outdoor</v>
      </c>
      <c r="G435" s="63">
        <f>VLOOKUP(C435,'RAW DATA 2023'!E:BO,13,0)</f>
        <v>100</v>
      </c>
      <c r="H435" s="63">
        <f t="shared" si="53"/>
        <v>100</v>
      </c>
      <c r="I435" s="63">
        <f t="shared" si="51"/>
        <v>6.806</v>
      </c>
      <c r="J435" s="106">
        <f>VLOOKUP(C435,'RAW DATA 2023'!E:BO,22,0)</f>
        <v>5.0782266666666667</v>
      </c>
      <c r="K435" s="70">
        <f t="shared" si="54"/>
        <v>0.74613968067391512</v>
      </c>
      <c r="L435" s="72">
        <f t="shared" si="52"/>
        <v>5.0782266666666667</v>
      </c>
      <c r="M435" s="109">
        <f t="shared" si="56"/>
        <v>3.2818624089855351</v>
      </c>
      <c r="N435" s="123" t="str">
        <f>VLOOKUP(C435,'RAW DATA 2023'!E:BO,36,0)</f>
        <v>Normal</v>
      </c>
      <c r="O435" s="63">
        <f>VLOOKUP(C435,'RAW DATA 2023'!E:BO,2,0)</f>
        <v>2.25</v>
      </c>
      <c r="P435" s="322">
        <f t="shared" si="55"/>
        <v>7.384190420217454</v>
      </c>
    </row>
    <row r="436" spans="1:16">
      <c r="A436" s="63" t="str">
        <f>'RAW DATA 2023'!B429</f>
        <v>CS1</v>
      </c>
      <c r="B436" s="63" t="str">
        <f>'RAW DATA 2023'!D429</f>
        <v>C1-085-0019</v>
      </c>
      <c r="C436" s="63" t="str">
        <f t="shared" si="49"/>
        <v>CS1C1-085-0019</v>
      </c>
      <c r="D436" s="68">
        <f>VLOOKUP(C436,'RAW DATA 2023'!E:BP,63,0)</f>
        <v>3</v>
      </c>
      <c r="E436" s="68" t="str">
        <f t="shared" si="50"/>
        <v>CS13</v>
      </c>
      <c r="F436" s="63" t="str">
        <f>VLOOKUP(C436,'RAW DATA 2023'!E:BO,5,0)</f>
        <v>Outdoor</v>
      </c>
      <c r="G436" s="63">
        <f>VLOOKUP(C436,'RAW DATA 2023'!E:BO,13,0)</f>
        <v>134</v>
      </c>
      <c r="H436" s="63">
        <f t="shared" si="53"/>
        <v>100</v>
      </c>
      <c r="I436" s="63">
        <f t="shared" si="51"/>
        <v>6.806</v>
      </c>
      <c r="J436" s="106">
        <f>VLOOKUP(C436,'RAW DATA 2023'!E:BO,22,0)</f>
        <v>6.3162076923076915</v>
      </c>
      <c r="K436" s="70">
        <f t="shared" si="54"/>
        <v>0.9280352177942538</v>
      </c>
      <c r="L436" s="72">
        <f t="shared" si="52"/>
        <v>6.3162076923076915</v>
      </c>
      <c r="M436" s="109">
        <f t="shared" si="56"/>
        <v>5.7071362372567176</v>
      </c>
      <c r="N436" s="123" t="str">
        <f>VLOOKUP(C436,'RAW DATA 2023'!E:BO,36,0)</f>
        <v>Normal</v>
      </c>
      <c r="O436" s="63">
        <f>VLOOKUP(C436,'RAW DATA 2023'!E:BO,2,0)</f>
        <v>2.6</v>
      </c>
      <c r="P436" s="322">
        <f t="shared" si="55"/>
        <v>14.838554216867466</v>
      </c>
    </row>
    <row r="437" spans="1:16">
      <c r="A437" s="63" t="str">
        <f>'RAW DATA 2023'!B430</f>
        <v>CS1</v>
      </c>
      <c r="B437" s="63" t="str">
        <f>'RAW DATA 2023'!D430</f>
        <v>C1-083-0019</v>
      </c>
      <c r="C437" s="63" t="str">
        <f t="shared" si="49"/>
        <v>CS1C1-083-0019</v>
      </c>
      <c r="D437" s="68">
        <f>VLOOKUP(C437,'RAW DATA 2023'!E:BP,63,0)</f>
        <v>2</v>
      </c>
      <c r="E437" s="68" t="str">
        <f t="shared" si="50"/>
        <v>CS12</v>
      </c>
      <c r="F437" s="63" t="str">
        <f>VLOOKUP(C437,'RAW DATA 2023'!E:BO,5,0)</f>
        <v>Outdoor</v>
      </c>
      <c r="G437" s="63">
        <f>VLOOKUP(C437,'RAW DATA 2023'!E:BO,13,0)</f>
        <v>100</v>
      </c>
      <c r="H437" s="63">
        <f t="shared" si="53"/>
        <v>100</v>
      </c>
      <c r="I437" s="63">
        <f t="shared" si="51"/>
        <v>6.806</v>
      </c>
      <c r="J437" s="106">
        <f>VLOOKUP(C437,'RAW DATA 2023'!E:BO,22,0)</f>
        <v>5.248525925925926</v>
      </c>
      <c r="K437" s="70">
        <f t="shared" si="54"/>
        <v>0.77116161121450577</v>
      </c>
      <c r="L437" s="72">
        <f t="shared" si="52"/>
        <v>5.248525925925926</v>
      </c>
      <c r="M437" s="109">
        <f t="shared" si="56"/>
        <v>3.6154881495267439</v>
      </c>
      <c r="N437" s="123" t="str">
        <f>VLOOKUP(C437,'RAW DATA 2023'!E:BO,36,0)</f>
        <v>Normal</v>
      </c>
      <c r="O437" s="63">
        <f>VLOOKUP(C437,'RAW DATA 2023'!E:BO,2,0)</f>
        <v>2.7</v>
      </c>
      <c r="P437" s="322">
        <f t="shared" si="55"/>
        <v>9.76181800372221</v>
      </c>
    </row>
    <row r="438" spans="1:16">
      <c r="A438" s="63" t="str">
        <f>'RAW DATA 2023'!B431</f>
        <v>CS1</v>
      </c>
      <c r="B438" s="63" t="str">
        <f>'RAW DATA 2023'!D431</f>
        <v>C1-080-0018</v>
      </c>
      <c r="C438" s="63" t="str">
        <f t="shared" si="49"/>
        <v>CS1C1-080-0018</v>
      </c>
      <c r="D438" s="68">
        <f>VLOOKUP(C438,'RAW DATA 2023'!E:BP,63,0)</f>
        <v>5</v>
      </c>
      <c r="E438" s="68" t="str">
        <f t="shared" si="50"/>
        <v>CS15</v>
      </c>
      <c r="F438" s="63" t="str">
        <f>VLOOKUP(C438,'RAW DATA 2023'!E:BO,5,0)</f>
        <v>Outdoor</v>
      </c>
      <c r="G438" s="63">
        <f>VLOOKUP(C438,'RAW DATA 2023'!E:BO,13,0)</f>
        <v>131</v>
      </c>
      <c r="H438" s="63">
        <f t="shared" si="53"/>
        <v>100</v>
      </c>
      <c r="I438" s="63">
        <f t="shared" si="51"/>
        <v>6.806</v>
      </c>
      <c r="J438" s="106">
        <f>VLOOKUP(C438,'RAW DATA 2023'!E:BO,22,0)</f>
        <v>3.6627777777777784</v>
      </c>
      <c r="K438" s="70">
        <f t="shared" si="54"/>
        <v>0.53816893590622661</v>
      </c>
      <c r="L438" s="72">
        <f t="shared" si="52"/>
        <v>3.6627777777777784</v>
      </c>
      <c r="M438" s="109">
        <f t="shared" si="56"/>
        <v>0.50891914541635486</v>
      </c>
      <c r="N438" s="123" t="str">
        <f>VLOOKUP(C438,'RAW DATA 2023'!E:BO,36,0)</f>
        <v>EHP</v>
      </c>
      <c r="O438" s="63">
        <f>VLOOKUP(C438,'RAW DATA 2023'!E:BO,2,0)</f>
        <v>2.25</v>
      </c>
      <c r="P438" s="322">
        <f t="shared" si="55"/>
        <v>1.1450680771867985</v>
      </c>
    </row>
    <row r="439" spans="1:16">
      <c r="A439" s="63" t="str">
        <f>'RAW DATA 2023'!B432</f>
        <v>CS1</v>
      </c>
      <c r="B439" s="63" t="str">
        <f>'RAW DATA 2023'!D432</f>
        <v>C1-062-0020</v>
      </c>
      <c r="C439" s="63" t="str">
        <f t="shared" si="49"/>
        <v>CS1C1-062-0020</v>
      </c>
      <c r="D439" s="68">
        <f>VLOOKUP(C439,'RAW DATA 2023'!E:BP,63,0)</f>
        <v>5</v>
      </c>
      <c r="E439" s="68" t="str">
        <f t="shared" si="50"/>
        <v>CS15</v>
      </c>
      <c r="F439" s="63" t="str">
        <f>VLOOKUP(C439,'RAW DATA 2023'!E:BO,5,0)</f>
        <v>Outdoor</v>
      </c>
      <c r="G439" s="63">
        <f>VLOOKUP(C439,'RAW DATA 2023'!E:BO,13,0)</f>
        <v>131</v>
      </c>
      <c r="H439" s="63">
        <f t="shared" si="53"/>
        <v>100</v>
      </c>
      <c r="I439" s="63">
        <f t="shared" si="51"/>
        <v>6.806</v>
      </c>
      <c r="J439" s="106">
        <f>VLOOKUP(C439,'RAW DATA 2023'!E:BO,22,0)</f>
        <v>3.3276628571428573</v>
      </c>
      <c r="K439" s="70">
        <f t="shared" si="54"/>
        <v>0.4889307753662735</v>
      </c>
      <c r="L439" s="72">
        <f t="shared" si="52"/>
        <v>3.3276628571428573</v>
      </c>
      <c r="M439" s="109">
        <f t="shared" si="56"/>
        <v>-0.14758966178302008</v>
      </c>
      <c r="N439" s="123" t="str">
        <f>VLOOKUP(C439,'RAW DATA 2023'!E:BO,36,0)</f>
        <v>EHP</v>
      </c>
      <c r="O439" s="63">
        <f>VLOOKUP(C439,'RAW DATA 2023'!E:BO,2,0)</f>
        <v>3.5</v>
      </c>
      <c r="P439" s="322">
        <f t="shared" si="55"/>
        <v>-0.51656381624057024</v>
      </c>
    </row>
    <row r="440" spans="1:16">
      <c r="A440" s="63" t="str">
        <f>'RAW DATA 2023'!B433</f>
        <v>CS1</v>
      </c>
      <c r="B440" s="63" t="str">
        <f>'RAW DATA 2023'!D433</f>
        <v>C1-084-0019</v>
      </c>
      <c r="C440" s="63" t="str">
        <f t="shared" si="49"/>
        <v>CS1C1-084-0019</v>
      </c>
      <c r="D440" s="68">
        <f>VLOOKUP(C440,'RAW DATA 2023'!E:BP,63,0)</f>
        <v>5</v>
      </c>
      <c r="E440" s="68" t="str">
        <f t="shared" si="50"/>
        <v>CS15</v>
      </c>
      <c r="F440" s="63" t="str">
        <f>VLOOKUP(C440,'RAW DATA 2023'!E:BO,5,0)</f>
        <v>Outdoor</v>
      </c>
      <c r="G440" s="63">
        <f>VLOOKUP(C440,'RAW DATA 2023'!E:BO,13,0)</f>
        <v>163</v>
      </c>
      <c r="H440" s="63">
        <f t="shared" si="53"/>
        <v>150</v>
      </c>
      <c r="I440" s="63">
        <f t="shared" si="51"/>
        <v>9.1999999999999993</v>
      </c>
      <c r="J440" s="106">
        <f>VLOOKUP(C440,'RAW DATA 2023'!E:BO,22,0)</f>
        <v>5.0292755555555555</v>
      </c>
      <c r="K440" s="70">
        <f t="shared" si="54"/>
        <v>0.54666038647342996</v>
      </c>
      <c r="L440" s="72">
        <f t="shared" si="52"/>
        <v>5.0292755555555555</v>
      </c>
      <c r="M440" s="109">
        <f t="shared" si="56"/>
        <v>0.62213848631239954</v>
      </c>
      <c r="N440" s="123" t="str">
        <f>VLOOKUP(C440,'RAW DATA 2023'!E:BO,36,0)</f>
        <v>EHP</v>
      </c>
      <c r="O440" s="63">
        <f>VLOOKUP(C440,'RAW DATA 2023'!E:BO,2,0)</f>
        <v>2.25</v>
      </c>
      <c r="P440" s="322">
        <f t="shared" si="55"/>
        <v>1.399811594202899</v>
      </c>
    </row>
    <row r="441" spans="1:16">
      <c r="A441" s="63" t="str">
        <f>'RAW DATA 2023'!B434</f>
        <v>CS1</v>
      </c>
      <c r="B441" s="63" t="str">
        <f>'RAW DATA 2023'!D434</f>
        <v>C1-062-0019</v>
      </c>
      <c r="C441" s="63" t="str">
        <f t="shared" si="49"/>
        <v>CS1C1-062-0019</v>
      </c>
      <c r="D441" s="68">
        <f>VLOOKUP(C441,'RAW DATA 2023'!E:BP,63,0)</f>
        <v>2</v>
      </c>
      <c r="E441" s="68" t="str">
        <f t="shared" si="50"/>
        <v>CS12</v>
      </c>
      <c r="F441" s="63" t="str">
        <f>VLOOKUP(C441,'RAW DATA 2023'!E:BO,5,0)</f>
        <v>Outdoor</v>
      </c>
      <c r="G441" s="63">
        <f>VLOOKUP(C441,'RAW DATA 2023'!E:BO,13,0)</f>
        <v>119</v>
      </c>
      <c r="H441" s="63">
        <f t="shared" si="53"/>
        <v>100</v>
      </c>
      <c r="I441" s="63">
        <f t="shared" si="51"/>
        <v>6.806</v>
      </c>
      <c r="J441" s="106">
        <f>VLOOKUP(C441,'RAW DATA 2023'!E:BO,22,0)</f>
        <v>2.7096114285714283</v>
      </c>
      <c r="K441" s="70">
        <f t="shared" si="54"/>
        <v>0.39812098568489984</v>
      </c>
      <c r="L441" s="72">
        <f t="shared" si="52"/>
        <v>2.7096114285714283</v>
      </c>
      <c r="M441" s="109">
        <f t="shared" si="56"/>
        <v>-1.3583868575346689</v>
      </c>
      <c r="N441" s="123" t="str">
        <f>VLOOKUP(C441,'RAW DATA 2023'!E:BO,36,0)</f>
        <v>Slow Growth</v>
      </c>
      <c r="O441" s="63">
        <f>VLOOKUP(C441,'RAW DATA 2023'!E:BO,2,0)</f>
        <v>3.5</v>
      </c>
      <c r="P441" s="322">
        <f t="shared" si="55"/>
        <v>-4.7543540013713415</v>
      </c>
    </row>
    <row r="442" spans="1:16">
      <c r="A442" s="63" t="str">
        <f>'RAW DATA 2023'!B435</f>
        <v>CS1</v>
      </c>
      <c r="B442" s="63" t="str">
        <f>'RAW DATA 2023'!D435</f>
        <v>C1-0B4-0017</v>
      </c>
      <c r="C442" s="63" t="str">
        <f t="shared" si="49"/>
        <v>CS1C1-0B4-0017</v>
      </c>
      <c r="D442" s="68">
        <f>VLOOKUP(C442,'RAW DATA 2023'!E:BP,63,0)</f>
        <v>3</v>
      </c>
      <c r="E442" s="68" t="str">
        <f t="shared" si="50"/>
        <v>CS13</v>
      </c>
      <c r="F442" s="63" t="str">
        <f>VLOOKUP(C442,'RAW DATA 2023'!E:BO,5,0)</f>
        <v>Outdoor</v>
      </c>
      <c r="G442" s="63">
        <f>VLOOKUP(C442,'RAW DATA 2023'!E:BO,13,0)</f>
        <v>185</v>
      </c>
      <c r="H442" s="63">
        <f t="shared" si="53"/>
        <v>180</v>
      </c>
      <c r="I442" s="63">
        <f t="shared" si="51"/>
        <v>10.247</v>
      </c>
      <c r="J442" s="106">
        <f>VLOOKUP(C442,'RAW DATA 2023'!E:BO,22,0)</f>
        <v>2.2803688888888889</v>
      </c>
      <c r="K442" s="70">
        <f t="shared" si="54"/>
        <v>0.22254014725177018</v>
      </c>
      <c r="L442" s="72">
        <f t="shared" si="52"/>
        <v>2.2803688888888889</v>
      </c>
      <c r="M442" s="109">
        <f t="shared" si="56"/>
        <v>-3.6994647033097312</v>
      </c>
      <c r="N442" s="123" t="str">
        <f>VLOOKUP(C442,'RAW DATA 2023'!E:BO,36,0)</f>
        <v>EHP</v>
      </c>
      <c r="O442" s="63">
        <f>VLOOKUP(C442,'RAW DATA 2023'!E:BO,2,0)</f>
        <v>2.25</v>
      </c>
      <c r="P442" s="322">
        <f t="shared" si="55"/>
        <v>-8.3237955824468948</v>
      </c>
    </row>
    <row r="443" spans="1:16">
      <c r="A443" s="63" t="str">
        <f>'RAW DATA 2023'!B436</f>
        <v>CS1</v>
      </c>
      <c r="B443" s="63" t="str">
        <f>'RAW DATA 2023'!D436</f>
        <v>C1-083-0020</v>
      </c>
      <c r="C443" s="63" t="str">
        <f t="shared" si="49"/>
        <v>CS1C1-083-0020</v>
      </c>
      <c r="D443" s="68">
        <f>VLOOKUP(C443,'RAW DATA 2023'!E:BP,63,0)</f>
        <v>5</v>
      </c>
      <c r="E443" s="68" t="str">
        <f t="shared" si="50"/>
        <v>CS15</v>
      </c>
      <c r="F443" s="63" t="str">
        <f>VLOOKUP(C443,'RAW DATA 2023'!E:BO,5,0)</f>
        <v>Outdoor</v>
      </c>
      <c r="G443" s="63">
        <f>VLOOKUP(C443,'RAW DATA 2023'!E:BO,13,0)</f>
        <v>139</v>
      </c>
      <c r="H443" s="63">
        <f t="shared" si="53"/>
        <v>150</v>
      </c>
      <c r="I443" s="63">
        <f t="shared" si="51"/>
        <v>9.1999999999999993</v>
      </c>
      <c r="J443" s="106">
        <f>VLOOKUP(C443,'RAW DATA 2023'!E:BO,22,0)</f>
        <v>1.9539444444444443</v>
      </c>
      <c r="K443" s="70">
        <f t="shared" si="54"/>
        <v>0.21238526570048308</v>
      </c>
      <c r="L443" s="72">
        <f t="shared" si="52"/>
        <v>1.9539444444444443</v>
      </c>
      <c r="M443" s="109">
        <f t="shared" si="56"/>
        <v>-3.8348631239935589</v>
      </c>
      <c r="N443" s="123" t="str">
        <f>VLOOKUP(C443,'RAW DATA 2023'!E:BO,36,0)</f>
        <v>EHP</v>
      </c>
      <c r="O443" s="63">
        <f>VLOOKUP(C443,'RAW DATA 2023'!E:BO,2,0)</f>
        <v>2.7</v>
      </c>
      <c r="P443" s="322">
        <f t="shared" si="55"/>
        <v>-10.35413043478261</v>
      </c>
    </row>
    <row r="444" spans="1:16">
      <c r="A444" s="63" t="str">
        <f>'RAW DATA 2023'!B437</f>
        <v>CS1</v>
      </c>
      <c r="B444" s="63" t="str">
        <f>'RAW DATA 2023'!D437</f>
        <v>C1-063-0019</v>
      </c>
      <c r="C444" s="63" t="str">
        <f t="shared" si="49"/>
        <v>CS1C1-063-0019</v>
      </c>
      <c r="D444" s="68">
        <f>VLOOKUP(C444,'RAW DATA 2023'!E:BP,63,0)</f>
        <v>2</v>
      </c>
      <c r="E444" s="68" t="str">
        <f t="shared" si="50"/>
        <v>CS12</v>
      </c>
      <c r="F444" s="63" t="str">
        <f>VLOOKUP(C444,'RAW DATA 2023'!E:BO,5,0)</f>
        <v>Outdoor</v>
      </c>
      <c r="G444" s="63">
        <f>VLOOKUP(C444,'RAW DATA 2023'!E:BO,13,0)</f>
        <v>120</v>
      </c>
      <c r="H444" s="63">
        <f t="shared" si="53"/>
        <v>100</v>
      </c>
      <c r="I444" s="63">
        <f t="shared" si="51"/>
        <v>6.806</v>
      </c>
      <c r="J444" s="106">
        <f>VLOOKUP(C444,'RAW DATA 2023'!E:BO,22,0)</f>
        <v>2.7523872832369944</v>
      </c>
      <c r="K444" s="70">
        <f t="shared" si="54"/>
        <v>0.40440600694049283</v>
      </c>
      <c r="L444" s="72">
        <f t="shared" si="52"/>
        <v>2.7523872832369944</v>
      </c>
      <c r="M444" s="109">
        <f t="shared" si="56"/>
        <v>-1.2745865741267624</v>
      </c>
      <c r="N444" s="123" t="str">
        <f>VLOOKUP(C444,'RAW DATA 2023'!E:BO,36,0)</f>
        <v>Slow Growth</v>
      </c>
      <c r="O444" s="63">
        <f>VLOOKUP(C444,'RAW DATA 2023'!E:BO,2,0)</f>
        <v>3.46</v>
      </c>
      <c r="P444" s="322">
        <f t="shared" si="55"/>
        <v>-4.4100695464785975</v>
      </c>
    </row>
    <row r="445" spans="1:16">
      <c r="A445" s="63" t="str">
        <f>'RAW DATA 2023'!B438</f>
        <v>CS1</v>
      </c>
      <c r="B445" s="63" t="str">
        <f>'RAW DATA 2023'!D438</f>
        <v>C1-056-0019</v>
      </c>
      <c r="C445" s="63" t="str">
        <f t="shared" si="49"/>
        <v>CS1C1-056-0019</v>
      </c>
      <c r="D445" s="68">
        <f>VLOOKUP(C445,'RAW DATA 2023'!E:BP,63,0)</f>
        <v>5</v>
      </c>
      <c r="E445" s="68" t="str">
        <f t="shared" si="50"/>
        <v>CS15</v>
      </c>
      <c r="F445" s="63" t="str">
        <f>VLOOKUP(C445,'RAW DATA 2023'!E:BO,5,0)</f>
        <v>Outdoor</v>
      </c>
      <c r="G445" s="63">
        <f>VLOOKUP(C445,'RAW DATA 2023'!E:BO,13,0)</f>
        <v>99</v>
      </c>
      <c r="H445" s="63">
        <f t="shared" si="53"/>
        <v>100</v>
      </c>
      <c r="I445" s="63">
        <f t="shared" si="51"/>
        <v>6.806</v>
      </c>
      <c r="J445" s="106">
        <f>VLOOKUP(C445,'RAW DATA 2023'!E:BO,22,0)</f>
        <v>1.2076095238095237</v>
      </c>
      <c r="K445" s="70">
        <f t="shared" si="54"/>
        <v>0.17743307725676222</v>
      </c>
      <c r="L445" s="72">
        <f t="shared" si="52"/>
        <v>1.2076095238095237</v>
      </c>
      <c r="M445" s="109">
        <f t="shared" si="56"/>
        <v>-4.3008923032431703</v>
      </c>
      <c r="N445" s="123" t="str">
        <f>VLOOKUP(C445,'RAW DATA 2023'!E:BO,36,0)</f>
        <v>EHP</v>
      </c>
      <c r="O445" s="63">
        <f>VLOOKUP(C445,'RAW DATA 2023'!E:BO,2,0)</f>
        <v>4.2</v>
      </c>
      <c r="P445" s="322">
        <f t="shared" si="55"/>
        <v>-18.063747673621315</v>
      </c>
    </row>
    <row r="446" spans="1:16">
      <c r="A446" s="63" t="str">
        <f>'RAW DATA 2023'!B439</f>
        <v>CS1</v>
      </c>
      <c r="B446" s="63" t="str">
        <f>'RAW DATA 2023'!D439</f>
        <v>C1-063-0020</v>
      </c>
      <c r="C446" s="63" t="str">
        <f t="shared" si="49"/>
        <v>CS1C1-063-0020</v>
      </c>
      <c r="D446" s="68">
        <f>VLOOKUP(C446,'RAW DATA 2023'!E:BP,63,0)</f>
        <v>5</v>
      </c>
      <c r="E446" s="68" t="str">
        <f t="shared" si="50"/>
        <v>CS15</v>
      </c>
      <c r="F446" s="63" t="str">
        <f>VLOOKUP(C446,'RAW DATA 2023'!E:BO,5,0)</f>
        <v>Outdoor</v>
      </c>
      <c r="G446" s="63">
        <f>VLOOKUP(C446,'RAW DATA 2023'!E:BO,13,0)</f>
        <v>132</v>
      </c>
      <c r="H446" s="63">
        <f t="shared" si="53"/>
        <v>100</v>
      </c>
      <c r="I446" s="63">
        <f t="shared" si="51"/>
        <v>6.806</v>
      </c>
      <c r="J446" s="106">
        <f>VLOOKUP(C446,'RAW DATA 2023'!E:BO,22,0)</f>
        <v>0.76749132947976884</v>
      </c>
      <c r="K446" s="70">
        <f t="shared" si="54"/>
        <v>0.11276687180131778</v>
      </c>
      <c r="L446" s="72">
        <f t="shared" si="52"/>
        <v>0.76749132947976884</v>
      </c>
      <c r="M446" s="109">
        <f t="shared" si="56"/>
        <v>-5.1631083759824294</v>
      </c>
      <c r="N446" s="123" t="str">
        <f>VLOOKUP(C446,'RAW DATA 2023'!E:BO,36,0)</f>
        <v>EHP</v>
      </c>
      <c r="O446" s="63">
        <f>VLOOKUP(C446,'RAW DATA 2023'!E:BO,2,0)</f>
        <v>3.46</v>
      </c>
      <c r="P446" s="322">
        <f t="shared" si="55"/>
        <v>-17.864354980899204</v>
      </c>
    </row>
    <row r="447" spans="1:16">
      <c r="A447" s="63" t="str">
        <f>'RAW DATA 2023'!B440</f>
        <v>CS1</v>
      </c>
      <c r="B447" s="63" t="str">
        <f>'RAW DATA 2023'!D440</f>
        <v>C1-085-0020</v>
      </c>
      <c r="C447" s="63" t="str">
        <f t="shared" si="49"/>
        <v>CS1C1-085-0020</v>
      </c>
      <c r="D447" s="68">
        <f>VLOOKUP(C447,'RAW DATA 2023'!E:BP,63,0)</f>
        <v>9</v>
      </c>
      <c r="E447" s="68" t="str">
        <f t="shared" si="50"/>
        <v>CS19</v>
      </c>
      <c r="F447" s="63" t="str">
        <f>VLOOKUP(C447,'RAW DATA 2023'!E:BO,5,0)</f>
        <v>Outdoor</v>
      </c>
      <c r="G447" s="63">
        <f>VLOOKUP(C447,'RAW DATA 2023'!E:BO,13,0)</f>
        <v>240</v>
      </c>
      <c r="H447" s="63">
        <f t="shared" si="53"/>
        <v>200</v>
      </c>
      <c r="I447" s="63">
        <f t="shared" si="51"/>
        <v>11.259</v>
      </c>
      <c r="J447" s="106">
        <f>VLOOKUP(C447,'RAW DATA 2023'!E:BO,22,0)</f>
        <v>3.5987769230769224</v>
      </c>
      <c r="K447" s="70">
        <f t="shared" si="54"/>
        <v>0.31963557359240807</v>
      </c>
      <c r="L447" s="72">
        <f t="shared" si="52"/>
        <v>3.5987769230769224</v>
      </c>
      <c r="M447" s="109">
        <f t="shared" si="56"/>
        <v>-2.4048590187678927</v>
      </c>
      <c r="N447" s="123" t="str">
        <f>VLOOKUP(C447,'RAW DATA 2023'!E:BO,36,0)</f>
        <v>EHP</v>
      </c>
      <c r="O447" s="63">
        <f>VLOOKUP(C447,'RAW DATA 2023'!E:BO,2,0)</f>
        <v>2.6</v>
      </c>
      <c r="P447" s="322">
        <f t="shared" si="55"/>
        <v>-6.2526334487965212</v>
      </c>
    </row>
    <row r="448" spans="1:16">
      <c r="A448" s="63" t="str">
        <f>'RAW DATA 2023'!B441</f>
        <v>CS1</v>
      </c>
      <c r="B448" s="63" t="str">
        <f>'RAW DATA 2023'!D441</f>
        <v>C1-084-0020</v>
      </c>
      <c r="C448" s="63" t="str">
        <f t="shared" si="49"/>
        <v>CS1C1-084-0020</v>
      </c>
      <c r="D448" s="68">
        <f>VLOOKUP(C448,'RAW DATA 2023'!E:BP,63,0)</f>
        <v>8</v>
      </c>
      <c r="E448" s="68" t="str">
        <f t="shared" si="50"/>
        <v>CS18</v>
      </c>
      <c r="F448" s="63" t="str">
        <f>VLOOKUP(C448,'RAW DATA 2023'!E:BO,5,0)</f>
        <v>Outdoor</v>
      </c>
      <c r="G448" s="63">
        <f>VLOOKUP(C448,'RAW DATA 2023'!E:BO,13,0)</f>
        <v>278</v>
      </c>
      <c r="H448" s="63">
        <f t="shared" si="53"/>
        <v>200</v>
      </c>
      <c r="I448" s="63">
        <f t="shared" si="51"/>
        <v>11.259</v>
      </c>
      <c r="J448" s="106">
        <f>VLOOKUP(C448,'RAW DATA 2023'!E:BO,22,0)</f>
        <v>2.6116355555555559</v>
      </c>
      <c r="K448" s="70">
        <f t="shared" si="54"/>
        <v>0.23195981486415809</v>
      </c>
      <c r="L448" s="72">
        <f t="shared" si="52"/>
        <v>2.6116355555555559</v>
      </c>
      <c r="M448" s="109">
        <f t="shared" si="56"/>
        <v>-3.5738691351445593</v>
      </c>
      <c r="N448" s="123" t="str">
        <f>VLOOKUP(C448,'RAW DATA 2023'!E:BO,36,0)</f>
        <v>EHP</v>
      </c>
      <c r="O448" s="63">
        <f>VLOOKUP(C448,'RAW DATA 2023'!E:BO,2,0)</f>
        <v>2.25</v>
      </c>
      <c r="P448" s="322">
        <f t="shared" si="55"/>
        <v>-8.0412055540752583</v>
      </c>
    </row>
    <row r="449" spans="1:16">
      <c r="A449" s="63" t="str">
        <f>'RAW DATA 2023'!B442</f>
        <v>Roiphet3</v>
      </c>
      <c r="B449" s="63" t="str">
        <f>'RAW DATA 2023'!D442</f>
        <v>A1-008-0023</v>
      </c>
      <c r="C449" s="63" t="str">
        <f t="shared" si="49"/>
        <v>Roiphet3A1-008-0023</v>
      </c>
      <c r="D449" s="68">
        <f>VLOOKUP(C449,'RAW DATA 2023'!E:BP,63,0)</f>
        <v>9</v>
      </c>
      <c r="E449" s="68" t="str">
        <f t="shared" si="50"/>
        <v>Roiphet39</v>
      </c>
      <c r="F449" s="63" t="str">
        <f>VLOOKUP(C449,'RAW DATA 2023'!E:BO,5,0)</f>
        <v>Outdoor</v>
      </c>
      <c r="G449" s="63">
        <f>VLOOKUP(C449,'RAW DATA 2023'!E:BO,13,0)</f>
        <v>95</v>
      </c>
      <c r="H449" s="63">
        <f t="shared" si="53"/>
        <v>100</v>
      </c>
      <c r="I449" s="63">
        <f t="shared" si="51"/>
        <v>6.806</v>
      </c>
      <c r="J449" s="106">
        <f>VLOOKUP(C449,'RAW DATA 2023'!E:BO,22,0)</f>
        <v>4.6518022727272719</v>
      </c>
      <c r="K449" s="70">
        <f t="shared" si="54"/>
        <v>0.68348549408276105</v>
      </c>
      <c r="L449" s="72">
        <f t="shared" si="52"/>
        <v>4.6518022727272719</v>
      </c>
      <c r="M449" s="109">
        <f t="shared" si="56"/>
        <v>2.446473254436814</v>
      </c>
      <c r="N449" s="123" t="str">
        <f>VLOOKUP(C449,'RAW DATA 2023'!E:BO,36,0)</f>
        <v>EHP</v>
      </c>
      <c r="O449" s="63">
        <f>VLOOKUP(C449,'RAW DATA 2023'!E:BO,2,0)</f>
        <v>4.4000000000000004</v>
      </c>
      <c r="P449" s="322">
        <f t="shared" si="55"/>
        <v>10.764482319521981</v>
      </c>
    </row>
    <row r="450" spans="1:16">
      <c r="A450" s="63" t="str">
        <f>'RAW DATA 2023'!B443</f>
        <v>Roiphet3</v>
      </c>
      <c r="B450" s="63" t="str">
        <f>'RAW DATA 2023'!D443</f>
        <v>A1-016-0031</v>
      </c>
      <c r="C450" s="63" t="str">
        <f t="shared" si="49"/>
        <v>Roiphet3A1-016-0031</v>
      </c>
      <c r="D450" s="68">
        <f>VLOOKUP(C450,'RAW DATA 2023'!E:BP,63,0)</f>
        <v>10</v>
      </c>
      <c r="E450" s="68" t="str">
        <f t="shared" si="50"/>
        <v>Roiphet310</v>
      </c>
      <c r="F450" s="63" t="str">
        <f>VLOOKUP(C450,'RAW DATA 2023'!E:BO,5,0)</f>
        <v>Outdoor</v>
      </c>
      <c r="G450" s="63">
        <f>VLOOKUP(C450,'RAW DATA 2023'!E:BO,13,0)</f>
        <v>139</v>
      </c>
      <c r="H450" s="63">
        <f t="shared" si="53"/>
        <v>150</v>
      </c>
      <c r="I450" s="63">
        <f t="shared" si="51"/>
        <v>9.1999999999999993</v>
      </c>
      <c r="J450" s="106">
        <f>VLOOKUP(C450,'RAW DATA 2023'!E:BO,22,0)</f>
        <v>2.8025533333333335</v>
      </c>
      <c r="K450" s="70">
        <f t="shared" si="54"/>
        <v>0.30462536231884063</v>
      </c>
      <c r="L450" s="72">
        <f t="shared" si="52"/>
        <v>2.8025533333333335</v>
      </c>
      <c r="M450" s="109">
        <f t="shared" si="56"/>
        <v>-2.6049951690821249</v>
      </c>
      <c r="N450" s="123" t="str">
        <f>VLOOKUP(C450,'RAW DATA 2023'!E:BO,36,0)</f>
        <v>EHP</v>
      </c>
      <c r="O450" s="63">
        <f>VLOOKUP(C450,'RAW DATA 2023'!E:BO,2,0)</f>
        <v>4.5</v>
      </c>
      <c r="P450" s="322">
        <f t="shared" si="55"/>
        <v>-11.722478260869561</v>
      </c>
    </row>
    <row r="451" spans="1:16">
      <c r="A451" s="63" t="str">
        <f>'RAW DATA 2023'!B444</f>
        <v>Roiphet3</v>
      </c>
      <c r="B451" s="63" t="str">
        <f>'RAW DATA 2023'!D444</f>
        <v>A1-016-0029</v>
      </c>
      <c r="C451" s="63" t="str">
        <f t="shared" si="49"/>
        <v>Roiphet3A1-016-0029</v>
      </c>
      <c r="D451" s="68">
        <f>VLOOKUP(C451,'RAW DATA 2023'!E:BP,63,0)</f>
        <v>3</v>
      </c>
      <c r="E451" s="68" t="str">
        <f t="shared" si="50"/>
        <v>Roiphet33</v>
      </c>
      <c r="F451" s="63" t="str">
        <f>VLOOKUP(C451,'RAW DATA 2023'!E:BO,5,0)</f>
        <v>Outdoor</v>
      </c>
      <c r="G451" s="63">
        <f>VLOOKUP(C451,'RAW DATA 2023'!E:BO,13,0)</f>
        <v>130</v>
      </c>
      <c r="H451" s="63">
        <f t="shared" si="53"/>
        <v>100</v>
      </c>
      <c r="I451" s="63">
        <f t="shared" si="51"/>
        <v>6.806</v>
      </c>
      <c r="J451" s="106">
        <f>VLOOKUP(C451,'RAW DATA 2023'!E:BO,22,0)</f>
        <v>6.1515777777777778</v>
      </c>
      <c r="K451" s="70">
        <f t="shared" si="54"/>
        <v>0.90384627942664963</v>
      </c>
      <c r="L451" s="72">
        <f t="shared" si="52"/>
        <v>6.1515777777777778</v>
      </c>
      <c r="M451" s="109">
        <f t="shared" si="56"/>
        <v>5.3846170590219957</v>
      </c>
      <c r="N451" s="123" t="str">
        <f>VLOOKUP(C451,'RAW DATA 2023'!E:BO,36,0)</f>
        <v>Normal</v>
      </c>
      <c r="O451" s="63">
        <f>VLOOKUP(C451,'RAW DATA 2023'!E:BO,2,0)</f>
        <v>4.5</v>
      </c>
      <c r="P451" s="322">
        <f t="shared" si="55"/>
        <v>24.230776765598982</v>
      </c>
    </row>
    <row r="452" spans="1:16">
      <c r="A452" s="63" t="str">
        <f>'RAW DATA 2023'!B445</f>
        <v>Roiphet3</v>
      </c>
      <c r="B452" s="63" t="str">
        <f>'RAW DATA 2023'!D445</f>
        <v>A1-008-0022</v>
      </c>
      <c r="C452" s="63" t="str">
        <f t="shared" si="49"/>
        <v>Roiphet3A1-008-0022</v>
      </c>
      <c r="D452" s="68">
        <f>VLOOKUP(C452,'RAW DATA 2023'!E:BP,63,0)</f>
        <v>3</v>
      </c>
      <c r="E452" s="68" t="str">
        <f t="shared" si="50"/>
        <v>Roiphet33</v>
      </c>
      <c r="F452" s="63" t="str">
        <f>VLOOKUP(C452,'RAW DATA 2023'!E:BO,5,0)</f>
        <v>Outdoor</v>
      </c>
      <c r="G452" s="63">
        <f>VLOOKUP(C452,'RAW DATA 2023'!E:BO,13,0)</f>
        <v>133</v>
      </c>
      <c r="H452" s="63">
        <f t="shared" si="53"/>
        <v>100</v>
      </c>
      <c r="I452" s="63">
        <f t="shared" si="51"/>
        <v>6.806</v>
      </c>
      <c r="J452" s="106">
        <f>VLOOKUP(C452,'RAW DATA 2023'!E:BO,22,0)</f>
        <v>6.6639204545454538</v>
      </c>
      <c r="K452" s="70">
        <f t="shared" si="54"/>
        <v>0.97912436887238519</v>
      </c>
      <c r="L452" s="72">
        <f t="shared" si="52"/>
        <v>6.6639204545454538</v>
      </c>
      <c r="M452" s="109">
        <f t="shared" si="56"/>
        <v>6.3883249182984692</v>
      </c>
      <c r="N452" s="123" t="str">
        <f>VLOOKUP(C452,'RAW DATA 2023'!E:BO,36,0)</f>
        <v>Normal</v>
      </c>
      <c r="O452" s="63">
        <f>VLOOKUP(C452,'RAW DATA 2023'!E:BO,2,0)</f>
        <v>4.4000000000000004</v>
      </c>
      <c r="P452" s="322">
        <f t="shared" si="55"/>
        <v>28.108629640513268</v>
      </c>
    </row>
    <row r="453" spans="1:16">
      <c r="A453" s="63" t="str">
        <f>'RAW DATA 2023'!B446</f>
        <v>Roiphet3</v>
      </c>
      <c r="B453" s="63" t="str">
        <f>'RAW DATA 2023'!D446</f>
        <v>A1-006-0011</v>
      </c>
      <c r="C453" s="63" t="str">
        <f t="shared" si="49"/>
        <v>Roiphet3A1-006-0011</v>
      </c>
      <c r="D453" s="68">
        <f>VLOOKUP(C453,'RAW DATA 2023'!E:BP,63,0)</f>
        <v>3</v>
      </c>
      <c r="E453" s="68" t="str">
        <f t="shared" si="50"/>
        <v>Roiphet33</v>
      </c>
      <c r="F453" s="63" t="str">
        <f>VLOOKUP(C453,'RAW DATA 2023'!E:BO,5,0)</f>
        <v>Outdoor</v>
      </c>
      <c r="G453" s="63">
        <f>VLOOKUP(C453,'RAW DATA 2023'!E:BO,13,0)</f>
        <v>170</v>
      </c>
      <c r="H453" s="63">
        <f t="shared" si="53"/>
        <v>180</v>
      </c>
      <c r="I453" s="63">
        <f t="shared" si="51"/>
        <v>10.247</v>
      </c>
      <c r="J453" s="106">
        <f>VLOOKUP(C453,'RAW DATA 2023'!E:BO,22,0)</f>
        <v>6.9997133333333332</v>
      </c>
      <c r="K453" s="70">
        <f t="shared" si="54"/>
        <v>0.68309879314270838</v>
      </c>
      <c r="L453" s="72">
        <f t="shared" si="52"/>
        <v>6.9997133333333332</v>
      </c>
      <c r="M453" s="109">
        <f t="shared" si="56"/>
        <v>2.4413172419027784</v>
      </c>
      <c r="N453" s="123" t="str">
        <f>VLOOKUP(C453,'RAW DATA 2023'!E:BO,36,0)</f>
        <v>EHP</v>
      </c>
      <c r="O453" s="63">
        <f>VLOOKUP(C453,'RAW DATA 2023'!E:BO,2,0)</f>
        <v>4.5</v>
      </c>
      <c r="P453" s="322">
        <f t="shared" si="55"/>
        <v>10.985927588562504</v>
      </c>
    </row>
    <row r="454" spans="1:16">
      <c r="A454" s="63" t="str">
        <f>'RAW DATA 2023'!B447</f>
        <v>Roiphet3</v>
      </c>
      <c r="B454" s="63" t="str">
        <f>'RAW DATA 2023'!D447</f>
        <v>A1-027-0027</v>
      </c>
      <c r="C454" s="63" t="str">
        <f t="shared" si="49"/>
        <v>Roiphet3A1-027-0027</v>
      </c>
      <c r="D454" s="68">
        <f>VLOOKUP(C454,'RAW DATA 2023'!E:BP,63,0)</f>
        <v>5</v>
      </c>
      <c r="E454" s="68" t="str">
        <f t="shared" si="50"/>
        <v>Roiphet35</v>
      </c>
      <c r="F454" s="63" t="str">
        <f>VLOOKUP(C454,'RAW DATA 2023'!E:BO,5,0)</f>
        <v>Outdoor</v>
      </c>
      <c r="G454" s="63">
        <f>VLOOKUP(C454,'RAW DATA 2023'!E:BO,13,0)</f>
        <v>184</v>
      </c>
      <c r="H454" s="63">
        <f t="shared" si="53"/>
        <v>180</v>
      </c>
      <c r="I454" s="63">
        <f t="shared" si="51"/>
        <v>10.247</v>
      </c>
      <c r="J454" s="106">
        <f>VLOOKUP(C454,'RAW DATA 2023'!E:BO,22,0)</f>
        <v>6.0665061224489794</v>
      </c>
      <c r="K454" s="70">
        <f t="shared" si="54"/>
        <v>0.59202753219956861</v>
      </c>
      <c r="L454" s="72">
        <f t="shared" si="52"/>
        <v>6.0665061224489794</v>
      </c>
      <c r="M454" s="109">
        <f t="shared" si="56"/>
        <v>1.2270337626609149</v>
      </c>
      <c r="N454" s="123" t="str">
        <f>VLOOKUP(C454,'RAW DATA 2023'!E:BO,36,0)</f>
        <v>EHP</v>
      </c>
      <c r="O454" s="63">
        <f>VLOOKUP(C454,'RAW DATA 2023'!E:BO,2,0)</f>
        <v>4.9000000000000004</v>
      </c>
      <c r="P454" s="322">
        <f t="shared" si="55"/>
        <v>6.0124654370384834</v>
      </c>
    </row>
    <row r="455" spans="1:16">
      <c r="A455" s="63" t="str">
        <f>'RAW DATA 2023'!B448</f>
        <v>Roiphet3</v>
      </c>
      <c r="B455" s="63" t="str">
        <f>'RAW DATA 2023'!D448</f>
        <v>A1-006-0012</v>
      </c>
      <c r="C455" s="63" t="str">
        <f t="shared" si="49"/>
        <v>Roiphet3A1-006-0012</v>
      </c>
      <c r="D455" s="68">
        <f>VLOOKUP(C455,'RAW DATA 2023'!E:BP,63,0)</f>
        <v>8</v>
      </c>
      <c r="E455" s="68" t="str">
        <f t="shared" si="50"/>
        <v>Roiphet38</v>
      </c>
      <c r="F455" s="63" t="str">
        <f>VLOOKUP(C455,'RAW DATA 2023'!E:BO,5,0)</f>
        <v>Outdoor</v>
      </c>
      <c r="G455" s="63">
        <f>VLOOKUP(C455,'RAW DATA 2023'!E:BO,13,0)</f>
        <v>116</v>
      </c>
      <c r="H455" s="63">
        <f t="shared" si="53"/>
        <v>100</v>
      </c>
      <c r="I455" s="63">
        <f t="shared" si="51"/>
        <v>6.806</v>
      </c>
      <c r="J455" s="106">
        <f>VLOOKUP(C455,'RAW DATA 2023'!E:BO,22,0)</f>
        <v>2.9688155555555555</v>
      </c>
      <c r="K455" s="70">
        <f t="shared" si="54"/>
        <v>0.43620563555033143</v>
      </c>
      <c r="L455" s="72">
        <f t="shared" si="52"/>
        <v>2.9688155555555555</v>
      </c>
      <c r="M455" s="109">
        <f t="shared" si="56"/>
        <v>-0.85059152599558097</v>
      </c>
      <c r="N455" s="123" t="str">
        <f>VLOOKUP(C455,'RAW DATA 2023'!E:BO,36,0)</f>
        <v>EHP</v>
      </c>
      <c r="O455" s="63">
        <f>VLOOKUP(C455,'RAW DATA 2023'!E:BO,2,0)</f>
        <v>4.5</v>
      </c>
      <c r="P455" s="322">
        <f t="shared" si="55"/>
        <v>-3.8276618669801143</v>
      </c>
    </row>
    <row r="456" spans="1:16">
      <c r="A456" s="63" t="str">
        <f>'RAW DATA 2023'!B449</f>
        <v>Roiphet3</v>
      </c>
      <c r="B456" s="63" t="str">
        <f>'RAW DATA 2023'!D449</f>
        <v>A1-026-0022</v>
      </c>
      <c r="C456" s="63" t="str">
        <f t="shared" si="49"/>
        <v>Roiphet3A1-026-0022</v>
      </c>
      <c r="D456" s="68">
        <f>VLOOKUP(C456,'RAW DATA 2023'!E:BP,63,0)</f>
        <v>5</v>
      </c>
      <c r="E456" s="68" t="str">
        <f t="shared" si="50"/>
        <v>Roiphet35</v>
      </c>
      <c r="F456" s="63" t="str">
        <f>VLOOKUP(C456,'RAW DATA 2023'!E:BO,5,0)</f>
        <v>Outdoor</v>
      </c>
      <c r="G456" s="63">
        <f>VLOOKUP(C456,'RAW DATA 2023'!E:BO,13,0)</f>
        <v>283</v>
      </c>
      <c r="H456" s="63">
        <f t="shared" si="53"/>
        <v>200</v>
      </c>
      <c r="I456" s="63">
        <f t="shared" si="51"/>
        <v>11.259</v>
      </c>
      <c r="J456" s="106">
        <f>VLOOKUP(C456,'RAW DATA 2023'!E:BO,22,0)</f>
        <v>5.5537897959183669</v>
      </c>
      <c r="K456" s="70">
        <f t="shared" si="54"/>
        <v>0.49327558361474078</v>
      </c>
      <c r="L456" s="72">
        <f t="shared" si="52"/>
        <v>5.5537897959183669</v>
      </c>
      <c r="M456" s="109">
        <f t="shared" si="56"/>
        <v>-8.9658885136789657E-2</v>
      </c>
      <c r="N456" s="123" t="str">
        <f>VLOOKUP(C456,'RAW DATA 2023'!E:BO,36,0)</f>
        <v>EHP</v>
      </c>
      <c r="O456" s="63">
        <f>VLOOKUP(C456,'RAW DATA 2023'!E:BO,2,0)</f>
        <v>4.9000000000000004</v>
      </c>
      <c r="P456" s="322">
        <f t="shared" si="55"/>
        <v>-0.43932853717026937</v>
      </c>
    </row>
    <row r="457" spans="1:16">
      <c r="A457" s="63" t="str">
        <f>'RAW DATA 2023'!B450</f>
        <v>Roiphet3</v>
      </c>
      <c r="B457" s="63" t="str">
        <f>'RAW DATA 2023'!D450</f>
        <v>A1-024-0032</v>
      </c>
      <c r="C457" s="63" t="str">
        <f t="shared" si="49"/>
        <v>Roiphet3A1-024-0032</v>
      </c>
      <c r="D457" s="68">
        <f>VLOOKUP(C457,'RAW DATA 2023'!E:BP,63,0)</f>
        <v>5</v>
      </c>
      <c r="E457" s="68" t="str">
        <f t="shared" si="50"/>
        <v>Roiphet35</v>
      </c>
      <c r="F457" s="63" t="str">
        <f>VLOOKUP(C457,'RAW DATA 2023'!E:BO,5,0)</f>
        <v>Outdoor</v>
      </c>
      <c r="G457" s="63">
        <f>VLOOKUP(C457,'RAW DATA 2023'!E:BO,13,0)</f>
        <v>154</v>
      </c>
      <c r="H457" s="63">
        <f t="shared" si="53"/>
        <v>150</v>
      </c>
      <c r="I457" s="63">
        <f t="shared" si="51"/>
        <v>9.1999999999999993</v>
      </c>
      <c r="J457" s="106">
        <f>VLOOKUP(C457,'RAW DATA 2023'!E:BO,22,0)</f>
        <v>3.1337177777777776</v>
      </c>
      <c r="K457" s="70">
        <f t="shared" si="54"/>
        <v>0.34062149758454108</v>
      </c>
      <c r="L457" s="72">
        <f t="shared" si="52"/>
        <v>3.1337177777777776</v>
      </c>
      <c r="M457" s="109">
        <f t="shared" si="56"/>
        <v>-2.1250466988727856</v>
      </c>
      <c r="N457" s="123" t="str">
        <f>VLOOKUP(C457,'RAW DATA 2023'!E:BO,36,0)</f>
        <v>EHP</v>
      </c>
      <c r="O457" s="63">
        <f>VLOOKUP(C457,'RAW DATA 2023'!E:BO,2,0)</f>
        <v>4.5</v>
      </c>
      <c r="P457" s="322">
        <f t="shared" si="55"/>
        <v>-9.5627101449275358</v>
      </c>
    </row>
    <row r="458" spans="1:16">
      <c r="A458" s="63" t="str">
        <f>'RAW DATA 2023'!B451</f>
        <v>Roiphet3</v>
      </c>
      <c r="B458" s="63" t="str">
        <f>'RAW DATA 2023'!D451</f>
        <v>A1-007-0012</v>
      </c>
      <c r="C458" s="63" t="str">
        <f t="shared" ref="C458:C521" si="57">A458&amp;B458</f>
        <v>Roiphet3A1-007-0012</v>
      </c>
      <c r="D458" s="68">
        <f>VLOOKUP(C458,'RAW DATA 2023'!E:BP,63,0)</f>
        <v>2</v>
      </c>
      <c r="E458" s="68" t="str">
        <f t="shared" ref="E458:E521" si="58">A458&amp;D458</f>
        <v>Roiphet32</v>
      </c>
      <c r="F458" s="63" t="str">
        <f>VLOOKUP(C458,'RAW DATA 2023'!E:BO,5,0)</f>
        <v>Outdoor</v>
      </c>
      <c r="G458" s="63">
        <f>VLOOKUP(C458,'RAW DATA 2023'!E:BO,13,0)</f>
        <v>108</v>
      </c>
      <c r="H458" s="63">
        <f t="shared" si="53"/>
        <v>100</v>
      </c>
      <c r="I458" s="63">
        <f t="shared" ref="I458:I521" si="59">IF(F458=$W$1,VLOOKUP(H458,Y:Z,2,0),VLOOKUP(H458,AF:AG,2,0))</f>
        <v>6.806</v>
      </c>
      <c r="J458" s="106">
        <f>VLOOKUP(C458,'RAW DATA 2023'!E:BO,22,0)</f>
        <v>4.2985244444444444</v>
      </c>
      <c r="K458" s="70">
        <f t="shared" si="54"/>
        <v>0.63157867241323018</v>
      </c>
      <c r="L458" s="72">
        <f t="shared" ref="L458:L521" si="60">IF(J458=0,0,IF(F458=$B$2,J458-$B$6,IF(F458=$C$1,J458-$C$6,IF(AND(F458=$C$2,G458&lt;=$C$3),J458-$C$6,IF(AND(F458=$C$2,G458&lt;=$E$3),J458-$D$6,J458-$E$6)))))</f>
        <v>4.2985244444444444</v>
      </c>
      <c r="M458" s="109">
        <f t="shared" si="56"/>
        <v>1.7543822988430691</v>
      </c>
      <c r="N458" s="123" t="str">
        <f>VLOOKUP(C458,'RAW DATA 2023'!E:BO,36,0)</f>
        <v>EHP</v>
      </c>
      <c r="O458" s="63">
        <f>VLOOKUP(C458,'RAW DATA 2023'!E:BO,2,0)</f>
        <v>4.5</v>
      </c>
      <c r="P458" s="322">
        <f t="shared" si="55"/>
        <v>7.8947203447938108</v>
      </c>
    </row>
    <row r="459" spans="1:16">
      <c r="A459" s="63" t="str">
        <f>'RAW DATA 2023'!B452</f>
        <v>Roiphet3</v>
      </c>
      <c r="B459" s="63" t="str">
        <f>'RAW DATA 2023'!D452</f>
        <v>A1-023-0016</v>
      </c>
      <c r="C459" s="63" t="str">
        <f t="shared" si="57"/>
        <v>Roiphet3A1-023-0016</v>
      </c>
      <c r="D459" s="68">
        <f>VLOOKUP(C459,'RAW DATA 2023'!E:BP,63,0)</f>
        <v>4</v>
      </c>
      <c r="E459" s="68" t="str">
        <f t="shared" si="58"/>
        <v>Roiphet34</v>
      </c>
      <c r="F459" s="63" t="str">
        <f>VLOOKUP(C459,'RAW DATA 2023'!E:BO,5,0)</f>
        <v>Outdoor</v>
      </c>
      <c r="G459" s="63">
        <f>VLOOKUP(C459,'RAW DATA 2023'!E:BO,13,0)</f>
        <v>177</v>
      </c>
      <c r="H459" s="63">
        <f t="shared" ref="H459:H522" si="61">IF(G459&gt;190,200,IF(G459&gt;165,180,IF(G459&gt;=135,150,IF(D452&gt;=110,120,100))))</f>
        <v>180</v>
      </c>
      <c r="I459" s="63">
        <f t="shared" si="59"/>
        <v>10.247</v>
      </c>
      <c r="J459" s="106">
        <f>VLOOKUP(C459,'RAW DATA 2023'!E:BO,22,0)</f>
        <v>3.7954377777777779</v>
      </c>
      <c r="K459" s="70">
        <f t="shared" ref="K459:K522" si="62">J459/I459</f>
        <v>0.37039502076488512</v>
      </c>
      <c r="L459" s="72">
        <f t="shared" si="60"/>
        <v>3.7954377777777779</v>
      </c>
      <c r="M459" s="109">
        <f t="shared" si="56"/>
        <v>-1.7280663898015318</v>
      </c>
      <c r="N459" s="123" t="str">
        <f>VLOOKUP(C459,'RAW DATA 2023'!E:BO,36,0)</f>
        <v>EHP</v>
      </c>
      <c r="O459" s="63">
        <f>VLOOKUP(C459,'RAW DATA 2023'!E:BO,2,0)</f>
        <v>4.5</v>
      </c>
      <c r="P459" s="322">
        <f t="shared" ref="P459:P522" si="63">M459*O459</f>
        <v>-7.7762987541068931</v>
      </c>
    </row>
    <row r="460" spans="1:16">
      <c r="A460" s="63" t="str">
        <f>'RAW DATA 2023'!B453</f>
        <v>Roiphet3</v>
      </c>
      <c r="B460" s="63" t="str">
        <f>'RAW DATA 2023'!D453</f>
        <v>C1-046-0004</v>
      </c>
      <c r="C460" s="63" t="str">
        <f t="shared" si="57"/>
        <v>Roiphet3C1-046-0004</v>
      </c>
      <c r="D460" s="68">
        <f>VLOOKUP(C460,'RAW DATA 2023'!E:BP,63,0)</f>
        <v>4</v>
      </c>
      <c r="E460" s="68" t="str">
        <f t="shared" si="58"/>
        <v>Roiphet34</v>
      </c>
      <c r="F460" s="63" t="str">
        <f>VLOOKUP(C460,'RAW DATA 2023'!E:BO,5,0)</f>
        <v>Outdoor</v>
      </c>
      <c r="G460" s="63">
        <f>VLOOKUP(C460,'RAW DATA 2023'!E:BO,13,0)</f>
        <v>111</v>
      </c>
      <c r="H460" s="63">
        <f t="shared" si="61"/>
        <v>100</v>
      </c>
      <c r="I460" s="63">
        <f t="shared" si="59"/>
        <v>6.806</v>
      </c>
      <c r="J460" s="106">
        <f>VLOOKUP(C460,'RAW DATA 2023'!E:BO,22,0)</f>
        <v>4.9599622222222228</v>
      </c>
      <c r="K460" s="70">
        <f t="shared" si="62"/>
        <v>0.72876318281255115</v>
      </c>
      <c r="L460" s="72">
        <f t="shared" si="60"/>
        <v>4.9599622222222228</v>
      </c>
      <c r="M460" s="109">
        <f t="shared" ref="M460:M523" si="64">(K460-$B$4)*$B$7</f>
        <v>3.0501757708340156</v>
      </c>
      <c r="N460" s="123" t="str">
        <f>VLOOKUP(C460,'RAW DATA 2023'!E:BO,36,0)</f>
        <v>Normal</v>
      </c>
      <c r="O460" s="63">
        <f>VLOOKUP(C460,'RAW DATA 2023'!E:BO,2,0)</f>
        <v>4.5</v>
      </c>
      <c r="P460" s="322">
        <f t="shared" si="63"/>
        <v>13.725790968753071</v>
      </c>
    </row>
    <row r="461" spans="1:16">
      <c r="A461" s="63" t="str">
        <f>'RAW DATA 2023'!B454</f>
        <v>Roiphet3</v>
      </c>
      <c r="B461" s="63" t="str">
        <f>'RAW DATA 2023'!D454</f>
        <v>C1-054-0007</v>
      </c>
      <c r="C461" s="63" t="str">
        <f t="shared" si="57"/>
        <v>Roiphet3C1-054-0007</v>
      </c>
      <c r="D461" s="68">
        <f>VLOOKUP(C461,'RAW DATA 2023'!E:BP,63,0)</f>
        <v>4</v>
      </c>
      <c r="E461" s="68" t="str">
        <f t="shared" si="58"/>
        <v>Roiphet34</v>
      </c>
      <c r="F461" s="63" t="str">
        <f>VLOOKUP(C461,'RAW DATA 2023'!E:BO,5,0)</f>
        <v>Outdoor</v>
      </c>
      <c r="G461" s="63">
        <f>VLOOKUP(C461,'RAW DATA 2023'!E:BO,13,0)</f>
        <v>111</v>
      </c>
      <c r="H461" s="63">
        <f t="shared" si="61"/>
        <v>100</v>
      </c>
      <c r="I461" s="63">
        <f t="shared" si="59"/>
        <v>6.806</v>
      </c>
      <c r="J461" s="106">
        <f>VLOOKUP(C461,'RAW DATA 2023'!E:BO,22,0)</f>
        <v>5.7259311111111106</v>
      </c>
      <c r="K461" s="70">
        <f t="shared" si="62"/>
        <v>0.84130636366604628</v>
      </c>
      <c r="L461" s="72">
        <f t="shared" si="60"/>
        <v>5.7259311111111106</v>
      </c>
      <c r="M461" s="109">
        <f t="shared" si="64"/>
        <v>4.550751515547284</v>
      </c>
      <c r="N461" s="123" t="str">
        <f>VLOOKUP(C461,'RAW DATA 2023'!E:BO,36,0)</f>
        <v>Normal</v>
      </c>
      <c r="O461" s="63">
        <f>VLOOKUP(C461,'RAW DATA 2023'!E:BO,2,0)</f>
        <v>4.5</v>
      </c>
      <c r="P461" s="322">
        <f t="shared" si="63"/>
        <v>20.478381819962777</v>
      </c>
    </row>
    <row r="462" spans="1:16">
      <c r="A462" s="63" t="str">
        <f>'RAW DATA 2023'!B455</f>
        <v>Roiphet3</v>
      </c>
      <c r="B462" s="63" t="str">
        <f>'RAW DATA 2023'!D455</f>
        <v>C1-047-0011</v>
      </c>
      <c r="C462" s="63" t="str">
        <f t="shared" si="57"/>
        <v>Roiphet3C1-047-0011</v>
      </c>
      <c r="D462" s="68">
        <f>VLOOKUP(C462,'RAW DATA 2023'!E:BP,63,0)</f>
        <v>4</v>
      </c>
      <c r="E462" s="68" t="str">
        <f t="shared" si="58"/>
        <v>Roiphet34</v>
      </c>
      <c r="F462" s="63" t="str">
        <f>VLOOKUP(C462,'RAW DATA 2023'!E:BO,5,0)</f>
        <v>Outdoor</v>
      </c>
      <c r="G462" s="63">
        <f>VLOOKUP(C462,'RAW DATA 2023'!E:BO,13,0)</f>
        <v>130</v>
      </c>
      <c r="H462" s="63">
        <f t="shared" si="61"/>
        <v>100</v>
      </c>
      <c r="I462" s="63">
        <f t="shared" si="59"/>
        <v>6.806</v>
      </c>
      <c r="J462" s="106">
        <f>VLOOKUP(C462,'RAW DATA 2023'!E:BO,22,0)</f>
        <v>4.1126022222222218</v>
      </c>
      <c r="K462" s="70">
        <f t="shared" si="62"/>
        <v>0.60426127273320918</v>
      </c>
      <c r="L462" s="72">
        <f t="shared" si="60"/>
        <v>4.1126022222222218</v>
      </c>
      <c r="M462" s="109">
        <f t="shared" si="64"/>
        <v>1.3901503031094558</v>
      </c>
      <c r="N462" s="123" t="str">
        <f>VLOOKUP(C462,'RAW DATA 2023'!E:BO,36,0)</f>
        <v>Normal</v>
      </c>
      <c r="O462" s="63">
        <f>VLOOKUP(C462,'RAW DATA 2023'!E:BO,2,0)</f>
        <v>4.5</v>
      </c>
      <c r="P462" s="322">
        <f t="shared" si="63"/>
        <v>6.255676363992551</v>
      </c>
    </row>
    <row r="463" spans="1:16">
      <c r="A463" s="63" t="str">
        <f>'RAW DATA 2023'!B456</f>
        <v>Roiphet3</v>
      </c>
      <c r="B463" s="63" t="str">
        <f>'RAW DATA 2023'!D456</f>
        <v>C1-048-0021</v>
      </c>
      <c r="C463" s="63" t="str">
        <f t="shared" si="57"/>
        <v>Roiphet3C1-048-0021</v>
      </c>
      <c r="D463" s="68">
        <f>VLOOKUP(C463,'RAW DATA 2023'!E:BP,63,0)</f>
        <v>4</v>
      </c>
      <c r="E463" s="68" t="str">
        <f t="shared" si="58"/>
        <v>Roiphet34</v>
      </c>
      <c r="F463" s="63" t="str">
        <f>VLOOKUP(C463,'RAW DATA 2023'!E:BO,5,0)</f>
        <v>Outdoor</v>
      </c>
      <c r="G463" s="63">
        <f>VLOOKUP(C463,'RAW DATA 2023'!E:BO,13,0)</f>
        <v>157</v>
      </c>
      <c r="H463" s="63">
        <f t="shared" si="61"/>
        <v>150</v>
      </c>
      <c r="I463" s="63">
        <f t="shared" si="59"/>
        <v>9.1999999999999993</v>
      </c>
      <c r="J463" s="106">
        <f>VLOOKUP(C463,'RAW DATA 2023'!E:BO,22,0)</f>
        <v>6.1955422222222216</v>
      </c>
      <c r="K463" s="70">
        <f t="shared" si="62"/>
        <v>0.67342850241545893</v>
      </c>
      <c r="L463" s="72">
        <f t="shared" si="60"/>
        <v>6.1955422222222216</v>
      </c>
      <c r="M463" s="109">
        <f t="shared" si="64"/>
        <v>2.3123800322061192</v>
      </c>
      <c r="N463" s="123" t="str">
        <f>VLOOKUP(C463,'RAW DATA 2023'!E:BO,36,0)</f>
        <v>Normal</v>
      </c>
      <c r="O463" s="63">
        <f>VLOOKUP(C463,'RAW DATA 2023'!E:BO,2,0)</f>
        <v>4.5</v>
      </c>
      <c r="P463" s="322">
        <f t="shared" si="63"/>
        <v>10.405710144927536</v>
      </c>
    </row>
    <row r="464" spans="1:16">
      <c r="A464" s="63" t="str">
        <f>'RAW DATA 2023'!B457</f>
        <v>Roiphet3</v>
      </c>
      <c r="B464" s="63" t="str">
        <f>'RAW DATA 2023'!D457</f>
        <v>C1-057-0017</v>
      </c>
      <c r="C464" s="63" t="str">
        <f t="shared" si="57"/>
        <v>Roiphet3C1-057-0017</v>
      </c>
      <c r="D464" s="68">
        <f>VLOOKUP(C464,'RAW DATA 2023'!E:BP,63,0)</f>
        <v>4</v>
      </c>
      <c r="E464" s="68" t="str">
        <f t="shared" si="58"/>
        <v>Roiphet34</v>
      </c>
      <c r="F464" s="63" t="str">
        <f>VLOOKUP(C464,'RAW DATA 2023'!E:BO,5,0)</f>
        <v>Outdoor</v>
      </c>
      <c r="G464" s="63">
        <f>VLOOKUP(C464,'RAW DATA 2023'!E:BO,13,0)</f>
        <v>111</v>
      </c>
      <c r="H464" s="63">
        <f t="shared" si="61"/>
        <v>100</v>
      </c>
      <c r="I464" s="63">
        <f t="shared" si="59"/>
        <v>6.806</v>
      </c>
      <c r="J464" s="106">
        <f>VLOOKUP(C464,'RAW DATA 2023'!E:BO,22,0)</f>
        <v>4.5831955555555561</v>
      </c>
      <c r="K464" s="70">
        <f t="shared" si="62"/>
        <v>0.67340516537695505</v>
      </c>
      <c r="L464" s="72">
        <f t="shared" si="60"/>
        <v>4.5831955555555561</v>
      </c>
      <c r="M464" s="109">
        <f t="shared" si="64"/>
        <v>2.312068871692734</v>
      </c>
      <c r="N464" s="123" t="str">
        <f>VLOOKUP(C464,'RAW DATA 2023'!E:BO,36,0)</f>
        <v>Normal</v>
      </c>
      <c r="O464" s="63">
        <f>VLOOKUP(C464,'RAW DATA 2023'!E:BO,2,0)</f>
        <v>4.5</v>
      </c>
      <c r="P464" s="322">
        <f t="shared" si="63"/>
        <v>10.404309922617303</v>
      </c>
    </row>
    <row r="465" spans="1:16">
      <c r="A465" s="63" t="str">
        <f>'RAW DATA 2023'!B458</f>
        <v>Roiphet3</v>
      </c>
      <c r="B465" s="63" t="str">
        <f>'RAW DATA 2023'!D458</f>
        <v>C1-045-0025</v>
      </c>
      <c r="C465" s="63" t="str">
        <f t="shared" si="57"/>
        <v>Roiphet3C1-045-0025</v>
      </c>
      <c r="D465" s="68">
        <f>VLOOKUP(C465,'RAW DATA 2023'!E:BP,63,0)</f>
        <v>4</v>
      </c>
      <c r="E465" s="68" t="str">
        <f t="shared" si="58"/>
        <v>Roiphet34</v>
      </c>
      <c r="F465" s="63" t="str">
        <f>VLOOKUP(C465,'RAW DATA 2023'!E:BO,5,0)</f>
        <v>Outdoor</v>
      </c>
      <c r="G465" s="63">
        <f>VLOOKUP(C465,'RAW DATA 2023'!E:BO,13,0)</f>
        <v>111</v>
      </c>
      <c r="H465" s="63">
        <f t="shared" si="61"/>
        <v>100</v>
      </c>
      <c r="I465" s="63">
        <f t="shared" si="59"/>
        <v>6.806</v>
      </c>
      <c r="J465" s="106">
        <f>VLOOKUP(C465,'RAW DATA 2023'!E:BO,22,0)</f>
        <v>3.502971111111111</v>
      </c>
      <c r="K465" s="70">
        <f t="shared" si="62"/>
        <v>0.51468867339275803</v>
      </c>
      <c r="L465" s="72">
        <f t="shared" si="60"/>
        <v>3.502971111111111</v>
      </c>
      <c r="M465" s="109">
        <f t="shared" si="64"/>
        <v>0.19584897857010714</v>
      </c>
      <c r="N465" s="123" t="str">
        <f>VLOOKUP(C465,'RAW DATA 2023'!E:BO,36,0)</f>
        <v>Normal</v>
      </c>
      <c r="O465" s="63">
        <f>VLOOKUP(C465,'RAW DATA 2023'!E:BO,2,0)</f>
        <v>4.5</v>
      </c>
      <c r="P465" s="322">
        <f t="shared" si="63"/>
        <v>0.88132040356548214</v>
      </c>
    </row>
    <row r="466" spans="1:16">
      <c r="A466" s="63" t="str">
        <f>'RAW DATA 2023'!B459</f>
        <v>Roiphet3</v>
      </c>
      <c r="B466" s="63" t="str">
        <f>'RAW DATA 2023'!D459</f>
        <v>C1-051-0025</v>
      </c>
      <c r="C466" s="63" t="str">
        <f t="shared" si="57"/>
        <v>Roiphet3C1-051-0025</v>
      </c>
      <c r="D466" s="68">
        <f>VLOOKUP(C466,'RAW DATA 2023'!E:BP,63,0)</f>
        <v>4</v>
      </c>
      <c r="E466" s="68" t="str">
        <f t="shared" si="58"/>
        <v>Roiphet34</v>
      </c>
      <c r="F466" s="63" t="str">
        <f>VLOOKUP(C466,'RAW DATA 2023'!E:BO,5,0)</f>
        <v>Outdoor</v>
      </c>
      <c r="G466" s="63">
        <f>VLOOKUP(C466,'RAW DATA 2023'!E:BO,13,0)</f>
        <v>130</v>
      </c>
      <c r="H466" s="63">
        <f t="shared" si="61"/>
        <v>100</v>
      </c>
      <c r="I466" s="63">
        <f t="shared" si="59"/>
        <v>6.806</v>
      </c>
      <c r="J466" s="106">
        <f>VLOOKUP(C466,'RAW DATA 2023'!E:BO,22,0)</f>
        <v>7.5922377777777781</v>
      </c>
      <c r="K466" s="70">
        <f t="shared" si="62"/>
        <v>1.1155212720801908</v>
      </c>
      <c r="L466" s="72">
        <f t="shared" si="60"/>
        <v>7.5922377777777781</v>
      </c>
      <c r="M466" s="109">
        <f t="shared" si="64"/>
        <v>8.2069502944025441</v>
      </c>
      <c r="N466" s="123" t="str">
        <f>VLOOKUP(C466,'RAW DATA 2023'!E:BO,36,0)</f>
        <v>Normal</v>
      </c>
      <c r="O466" s="63">
        <f>VLOOKUP(C466,'RAW DATA 2023'!E:BO,2,0)</f>
        <v>4.5</v>
      </c>
      <c r="P466" s="322">
        <f t="shared" si="63"/>
        <v>36.931276324811449</v>
      </c>
    </row>
    <row r="467" spans="1:16">
      <c r="A467" s="63" t="str">
        <f>'RAW DATA 2023'!B460</f>
        <v>Roiphet3</v>
      </c>
      <c r="B467" s="63" t="str">
        <f>'RAW DATA 2023'!D460</f>
        <v>C1-043-0025</v>
      </c>
      <c r="C467" s="63" t="str">
        <f t="shared" si="57"/>
        <v>Roiphet3C1-043-0025</v>
      </c>
      <c r="D467" s="68">
        <f>VLOOKUP(C467,'RAW DATA 2023'!E:BP,63,0)</f>
        <v>4</v>
      </c>
      <c r="E467" s="68" t="str">
        <f t="shared" si="58"/>
        <v>Roiphet34</v>
      </c>
      <c r="F467" s="63" t="str">
        <f>VLOOKUP(C467,'RAW DATA 2023'!E:BO,5,0)</f>
        <v>Outdoor</v>
      </c>
      <c r="G467" s="63">
        <f>VLOOKUP(C467,'RAW DATA 2023'!E:BO,13,0)</f>
        <v>111</v>
      </c>
      <c r="H467" s="63">
        <f t="shared" si="61"/>
        <v>100</v>
      </c>
      <c r="I467" s="63">
        <f t="shared" si="59"/>
        <v>6.806</v>
      </c>
      <c r="J467" s="106">
        <f>VLOOKUP(C467,'RAW DATA 2023'!E:BO,22,0)</f>
        <v>3.8017955555555556</v>
      </c>
      <c r="K467" s="70">
        <f t="shared" si="62"/>
        <v>0.55859470401932931</v>
      </c>
      <c r="L467" s="72">
        <f t="shared" si="60"/>
        <v>3.8017955555555556</v>
      </c>
      <c r="M467" s="109">
        <f t="shared" si="64"/>
        <v>0.78126272025772425</v>
      </c>
      <c r="N467" s="123" t="str">
        <f>VLOOKUP(C467,'RAW DATA 2023'!E:BO,36,0)</f>
        <v>Normal</v>
      </c>
      <c r="O467" s="63">
        <f>VLOOKUP(C467,'RAW DATA 2023'!E:BO,2,0)</f>
        <v>4.5</v>
      </c>
      <c r="P467" s="322">
        <f t="shared" si="63"/>
        <v>3.5156822411597592</v>
      </c>
    </row>
    <row r="468" spans="1:16">
      <c r="A468" s="63" t="str">
        <f>'RAW DATA 2023'!B461</f>
        <v>Roiphet3</v>
      </c>
      <c r="B468" s="63" t="str">
        <f>'RAW DATA 2023'!D461</f>
        <v>C1-044-0017</v>
      </c>
      <c r="C468" s="63" t="str">
        <f t="shared" si="57"/>
        <v>Roiphet3C1-044-0017</v>
      </c>
      <c r="D468" s="68">
        <f>VLOOKUP(C468,'RAW DATA 2023'!E:BP,63,0)</f>
        <v>3</v>
      </c>
      <c r="E468" s="68" t="str">
        <f t="shared" si="58"/>
        <v>Roiphet33</v>
      </c>
      <c r="F468" s="63" t="str">
        <f>VLOOKUP(C468,'RAW DATA 2023'!E:BO,5,0)</f>
        <v>Outdoor</v>
      </c>
      <c r="G468" s="63">
        <f>VLOOKUP(C468,'RAW DATA 2023'!E:BO,13,0)</f>
        <v>111</v>
      </c>
      <c r="H468" s="63">
        <f t="shared" si="61"/>
        <v>100</v>
      </c>
      <c r="I468" s="63">
        <f t="shared" si="59"/>
        <v>6.806</v>
      </c>
      <c r="J468" s="106">
        <f>VLOOKUP(C468,'RAW DATA 2023'!E:BO,22,0)</f>
        <v>3.5227244444444441</v>
      </c>
      <c r="K468" s="70">
        <f t="shared" si="62"/>
        <v>0.51759101446436151</v>
      </c>
      <c r="L468" s="72">
        <f t="shared" si="60"/>
        <v>3.5227244444444441</v>
      </c>
      <c r="M468" s="109">
        <f t="shared" si="64"/>
        <v>0.23454685952482013</v>
      </c>
      <c r="N468" s="123" t="str">
        <f>VLOOKUP(C468,'RAW DATA 2023'!E:BO,36,0)</f>
        <v>Normal</v>
      </c>
      <c r="O468" s="63">
        <f>VLOOKUP(C468,'RAW DATA 2023'!E:BO,2,0)</f>
        <v>4.5</v>
      </c>
      <c r="P468" s="322">
        <f t="shared" si="63"/>
        <v>1.0554608678616906</v>
      </c>
    </row>
    <row r="469" spans="1:16">
      <c r="A469" s="63" t="str">
        <f>'RAW DATA 2023'!B462</f>
        <v>Roiphet3</v>
      </c>
      <c r="B469" s="63" t="str">
        <f>'RAW DATA 2023'!D462</f>
        <v>C1-042-0015</v>
      </c>
      <c r="C469" s="63" t="str">
        <f t="shared" si="57"/>
        <v>Roiphet3C1-042-0015</v>
      </c>
      <c r="D469" s="68">
        <f>VLOOKUP(C469,'RAW DATA 2023'!E:BP,63,0)</f>
        <v>4</v>
      </c>
      <c r="E469" s="68" t="str">
        <f t="shared" si="58"/>
        <v>Roiphet34</v>
      </c>
      <c r="F469" s="63" t="str">
        <f>VLOOKUP(C469,'RAW DATA 2023'!E:BO,5,0)</f>
        <v>Outdoor</v>
      </c>
      <c r="G469" s="63">
        <f>VLOOKUP(C469,'RAW DATA 2023'!E:BO,13,0)</f>
        <v>121</v>
      </c>
      <c r="H469" s="63">
        <f t="shared" si="61"/>
        <v>100</v>
      </c>
      <c r="I469" s="63">
        <f t="shared" si="59"/>
        <v>6.806</v>
      </c>
      <c r="J469" s="106">
        <f>VLOOKUP(C469,'RAW DATA 2023'!E:BO,22,0)</f>
        <v>4.0753057142857143</v>
      </c>
      <c r="K469" s="70">
        <f t="shared" si="62"/>
        <v>0.59878132740019308</v>
      </c>
      <c r="L469" s="72">
        <f t="shared" si="60"/>
        <v>4.0753057142857143</v>
      </c>
      <c r="M469" s="109">
        <f t="shared" si="64"/>
        <v>1.3170843653359077</v>
      </c>
      <c r="N469" s="123" t="str">
        <f>VLOOKUP(C469,'RAW DATA 2023'!E:BO,36,0)</f>
        <v>Normal</v>
      </c>
      <c r="O469" s="63">
        <f>VLOOKUP(C469,'RAW DATA 2023'!E:BO,2,0)</f>
        <v>3.5</v>
      </c>
      <c r="P469" s="322">
        <f t="shared" si="63"/>
        <v>4.6097952786756764</v>
      </c>
    </row>
    <row r="470" spans="1:16">
      <c r="A470" s="63" t="str">
        <f>'RAW DATA 2023'!B463</f>
        <v>Roiphet3</v>
      </c>
      <c r="B470" s="63" t="str">
        <f>'RAW DATA 2023'!D463</f>
        <v>C1-041-0005</v>
      </c>
      <c r="C470" s="63" t="str">
        <f t="shared" si="57"/>
        <v>Roiphet3C1-041-0005</v>
      </c>
      <c r="D470" s="68">
        <f>VLOOKUP(C470,'RAW DATA 2023'!E:BP,63,0)</f>
        <v>3</v>
      </c>
      <c r="E470" s="68" t="str">
        <f t="shared" si="58"/>
        <v>Roiphet33</v>
      </c>
      <c r="F470" s="63" t="str">
        <f>VLOOKUP(C470,'RAW DATA 2023'!E:BO,5,0)</f>
        <v>Outdoor</v>
      </c>
      <c r="G470" s="63">
        <f>VLOOKUP(C470,'RAW DATA 2023'!E:BO,13,0)</f>
        <v>108</v>
      </c>
      <c r="H470" s="63">
        <f t="shared" si="61"/>
        <v>100</v>
      </c>
      <c r="I470" s="63">
        <f t="shared" si="59"/>
        <v>6.806</v>
      </c>
      <c r="J470" s="106">
        <f>VLOOKUP(C470,'RAW DATA 2023'!E:BO,22,0)</f>
        <v>5.2043172413793108</v>
      </c>
      <c r="K470" s="70">
        <f t="shared" si="62"/>
        <v>0.764666065439217</v>
      </c>
      <c r="L470" s="72">
        <f t="shared" si="60"/>
        <v>5.2043172413793108</v>
      </c>
      <c r="M470" s="109">
        <f t="shared" si="64"/>
        <v>3.5288808725228935</v>
      </c>
      <c r="N470" s="123" t="str">
        <f>VLOOKUP(C470,'RAW DATA 2023'!E:BO,36,0)</f>
        <v>Normal</v>
      </c>
      <c r="O470" s="63">
        <f>VLOOKUP(C470,'RAW DATA 2023'!E:BO,2,0)</f>
        <v>5.8</v>
      </c>
      <c r="P470" s="322">
        <f t="shared" si="63"/>
        <v>20.467509060632782</v>
      </c>
    </row>
    <row r="471" spans="1:16">
      <c r="A471" s="63" t="str">
        <f>'RAW DATA 2023'!B464</f>
        <v>Roiphet3</v>
      </c>
      <c r="B471" s="63" t="str">
        <f>'RAW DATA 2023'!D464</f>
        <v>C1-044-0018</v>
      </c>
      <c r="C471" s="63" t="str">
        <f t="shared" si="57"/>
        <v>Roiphet3C1-044-0018</v>
      </c>
      <c r="D471" s="68">
        <f>VLOOKUP(C471,'RAW DATA 2023'!E:BP,63,0)</f>
        <v>7</v>
      </c>
      <c r="E471" s="68" t="str">
        <f t="shared" si="58"/>
        <v>Roiphet37</v>
      </c>
      <c r="F471" s="63" t="str">
        <f>VLOOKUP(C471,'RAW DATA 2023'!E:BO,5,0)</f>
        <v>Outdoor</v>
      </c>
      <c r="G471" s="63">
        <f>VLOOKUP(C471,'RAW DATA 2023'!E:BO,13,0)</f>
        <v>139</v>
      </c>
      <c r="H471" s="63">
        <f t="shared" si="61"/>
        <v>150</v>
      </c>
      <c r="I471" s="63">
        <f t="shared" si="59"/>
        <v>9.1999999999999993</v>
      </c>
      <c r="J471" s="106">
        <f>VLOOKUP(C471,'RAW DATA 2023'!E:BO,22,0)</f>
        <v>2.3336311111111114</v>
      </c>
      <c r="K471" s="70">
        <f t="shared" si="62"/>
        <v>0.25365555555555563</v>
      </c>
      <c r="L471" s="72">
        <f t="shared" si="60"/>
        <v>2.3336311111111114</v>
      </c>
      <c r="M471" s="109">
        <f t="shared" si="64"/>
        <v>-3.2845925925925918</v>
      </c>
      <c r="N471" s="123" t="str">
        <f>VLOOKUP(C471,'RAW DATA 2023'!E:BO,36,0)</f>
        <v>EHP</v>
      </c>
      <c r="O471" s="63">
        <f>VLOOKUP(C471,'RAW DATA 2023'!E:BO,2,0)</f>
        <v>4.5</v>
      </c>
      <c r="P471" s="322">
        <f t="shared" si="63"/>
        <v>-14.780666666666663</v>
      </c>
    </row>
    <row r="472" spans="1:16">
      <c r="A472" s="63" t="str">
        <f>'RAW DATA 2023'!B465</f>
        <v>Roiphet3</v>
      </c>
      <c r="B472" s="63" t="str">
        <f>'RAW DATA 2023'!D465</f>
        <v>C1-043-0028</v>
      </c>
      <c r="C472" s="63" t="str">
        <f t="shared" si="57"/>
        <v>Roiphet3C1-043-0028</v>
      </c>
      <c r="D472" s="68">
        <f>VLOOKUP(C472,'RAW DATA 2023'!E:BP,63,0)</f>
        <v>12</v>
      </c>
      <c r="E472" s="68" t="str">
        <f t="shared" si="58"/>
        <v>Roiphet312</v>
      </c>
      <c r="F472" s="63" t="str">
        <f>VLOOKUP(C472,'RAW DATA 2023'!E:BO,5,0)</f>
        <v>Outdoor</v>
      </c>
      <c r="G472" s="63">
        <f>VLOOKUP(C472,'RAW DATA 2023'!E:BO,13,0)</f>
        <v>139</v>
      </c>
      <c r="H472" s="63">
        <f t="shared" si="61"/>
        <v>150</v>
      </c>
      <c r="I472" s="63">
        <f t="shared" si="59"/>
        <v>9.1999999999999993</v>
      </c>
      <c r="J472" s="106">
        <f>VLOOKUP(C472,'RAW DATA 2023'!E:BO,22,0)</f>
        <v>2.7443866666666668</v>
      </c>
      <c r="K472" s="70">
        <f t="shared" si="62"/>
        <v>0.29830289855072467</v>
      </c>
      <c r="L472" s="72">
        <f t="shared" si="60"/>
        <v>2.7443866666666668</v>
      </c>
      <c r="M472" s="109">
        <f t="shared" si="64"/>
        <v>-2.6892946859903377</v>
      </c>
      <c r="N472" s="123" t="str">
        <f>VLOOKUP(C472,'RAW DATA 2023'!E:BO,36,0)</f>
        <v>EHP</v>
      </c>
      <c r="O472" s="63">
        <f>VLOOKUP(C472,'RAW DATA 2023'!E:BO,2,0)</f>
        <v>4.5</v>
      </c>
      <c r="P472" s="322">
        <f t="shared" si="63"/>
        <v>-12.101826086956519</v>
      </c>
    </row>
    <row r="473" spans="1:16">
      <c r="A473" s="63" t="str">
        <f>'RAW DATA 2023'!B466</f>
        <v>Roiphet3</v>
      </c>
      <c r="B473" s="63" t="str">
        <f>'RAW DATA 2023'!D466</f>
        <v>C1-043-0026</v>
      </c>
      <c r="C473" s="63" t="str">
        <f t="shared" si="57"/>
        <v>Roiphet3C1-043-0026</v>
      </c>
      <c r="D473" s="68">
        <f>VLOOKUP(C473,'RAW DATA 2023'!E:BP,63,0)</f>
        <v>7</v>
      </c>
      <c r="E473" s="68" t="str">
        <f t="shared" si="58"/>
        <v>Roiphet37</v>
      </c>
      <c r="F473" s="63" t="str">
        <f>VLOOKUP(C473,'RAW DATA 2023'!E:BO,5,0)</f>
        <v>Outdoor</v>
      </c>
      <c r="G473" s="63">
        <f>VLOOKUP(C473,'RAW DATA 2023'!E:BO,13,0)</f>
        <v>139</v>
      </c>
      <c r="H473" s="63">
        <f t="shared" si="61"/>
        <v>150</v>
      </c>
      <c r="I473" s="63">
        <f t="shared" si="59"/>
        <v>9.1999999999999993</v>
      </c>
      <c r="J473" s="106">
        <f>VLOOKUP(C473,'RAW DATA 2023'!E:BO,22,0)</f>
        <v>1.6248177777777777</v>
      </c>
      <c r="K473" s="70">
        <f t="shared" si="62"/>
        <v>0.17661062801932367</v>
      </c>
      <c r="L473" s="72">
        <f t="shared" si="60"/>
        <v>1.6248177777777777</v>
      </c>
      <c r="M473" s="109">
        <f t="shared" si="64"/>
        <v>-4.3118582930756846</v>
      </c>
      <c r="N473" s="123" t="str">
        <f>VLOOKUP(C473,'RAW DATA 2023'!E:BO,36,0)</f>
        <v>Slow Growth</v>
      </c>
      <c r="O473" s="63">
        <f>VLOOKUP(C473,'RAW DATA 2023'!E:BO,2,0)</f>
        <v>4.5</v>
      </c>
      <c r="P473" s="322">
        <f t="shared" si="63"/>
        <v>-19.403362318840582</v>
      </c>
    </row>
    <row r="474" spans="1:16">
      <c r="A474" s="63" t="str">
        <f>'RAW DATA 2023'!B467</f>
        <v>Roiphet3</v>
      </c>
      <c r="B474" s="63" t="str">
        <f>'RAW DATA 2023'!D467</f>
        <v>C1-051-0026</v>
      </c>
      <c r="C474" s="63" t="str">
        <f t="shared" si="57"/>
        <v>Roiphet3C1-051-0026</v>
      </c>
      <c r="D474" s="68">
        <f>VLOOKUP(C474,'RAW DATA 2023'!E:BP,63,0)</f>
        <v>7</v>
      </c>
      <c r="E474" s="68" t="str">
        <f t="shared" si="58"/>
        <v>Roiphet37</v>
      </c>
      <c r="F474" s="63" t="str">
        <f>VLOOKUP(C474,'RAW DATA 2023'!E:BO,5,0)</f>
        <v>Outdoor</v>
      </c>
      <c r="G474" s="63">
        <f>VLOOKUP(C474,'RAW DATA 2023'!E:BO,13,0)</f>
        <v>174</v>
      </c>
      <c r="H474" s="63">
        <f t="shared" si="61"/>
        <v>180</v>
      </c>
      <c r="I474" s="63">
        <f t="shared" si="59"/>
        <v>10.247</v>
      </c>
      <c r="J474" s="106">
        <f>VLOOKUP(C474,'RAW DATA 2023'!E:BO,22,0)</f>
        <v>3.9834777777777779</v>
      </c>
      <c r="K474" s="70">
        <f t="shared" si="62"/>
        <v>0.38874575756590007</v>
      </c>
      <c r="L474" s="72">
        <f t="shared" si="60"/>
        <v>3.9834777777777779</v>
      </c>
      <c r="M474" s="109">
        <f t="shared" si="64"/>
        <v>-1.4833898991213323</v>
      </c>
      <c r="N474" s="123" t="str">
        <f>VLOOKUP(C474,'RAW DATA 2023'!E:BO,36,0)</f>
        <v>Slow Growth</v>
      </c>
      <c r="O474" s="63">
        <f>VLOOKUP(C474,'RAW DATA 2023'!E:BO,2,0)</f>
        <v>4.5</v>
      </c>
      <c r="P474" s="322">
        <f t="shared" si="63"/>
        <v>-6.6752545460459958</v>
      </c>
    </row>
    <row r="475" spans="1:16">
      <c r="A475" s="63" t="str">
        <f>'RAW DATA 2023'!B468</f>
        <v>Roiphet3</v>
      </c>
      <c r="B475" s="63" t="str">
        <f>'RAW DATA 2023'!D468</f>
        <v>C1-046-0005</v>
      </c>
      <c r="C475" s="63" t="str">
        <f t="shared" si="57"/>
        <v>Roiphet3C1-046-0005</v>
      </c>
      <c r="D475" s="68">
        <f>VLOOKUP(C475,'RAW DATA 2023'!E:BP,63,0)</f>
        <v>7</v>
      </c>
      <c r="E475" s="68" t="str">
        <f t="shared" si="58"/>
        <v>Roiphet37</v>
      </c>
      <c r="F475" s="63" t="str">
        <f>VLOOKUP(C475,'RAW DATA 2023'!E:BO,5,0)</f>
        <v>Outdoor</v>
      </c>
      <c r="G475" s="63">
        <f>VLOOKUP(C475,'RAW DATA 2023'!E:BO,13,0)</f>
        <v>139</v>
      </c>
      <c r="H475" s="63">
        <f t="shared" si="61"/>
        <v>150</v>
      </c>
      <c r="I475" s="63">
        <f t="shared" si="59"/>
        <v>9.1999999999999993</v>
      </c>
      <c r="J475" s="106">
        <f>VLOOKUP(C475,'RAW DATA 2023'!E:BO,22,0)</f>
        <v>2.3042844444444444</v>
      </c>
      <c r="K475" s="70">
        <f t="shared" si="62"/>
        <v>0.2504657004830918</v>
      </c>
      <c r="L475" s="72">
        <f t="shared" si="60"/>
        <v>2.3042844444444444</v>
      </c>
      <c r="M475" s="109">
        <f t="shared" si="64"/>
        <v>-3.327123993558776</v>
      </c>
      <c r="N475" s="123" t="str">
        <f>VLOOKUP(C475,'RAW DATA 2023'!E:BO,36,0)</f>
        <v>Slow Growth</v>
      </c>
      <c r="O475" s="63">
        <f>VLOOKUP(C475,'RAW DATA 2023'!E:BO,2,0)</f>
        <v>4.5</v>
      </c>
      <c r="P475" s="322">
        <f t="shared" si="63"/>
        <v>-14.972057971014491</v>
      </c>
    </row>
    <row r="476" spans="1:16">
      <c r="A476" s="63" t="str">
        <f>'RAW DATA 2023'!B469</f>
        <v>Roiphet3</v>
      </c>
      <c r="B476" s="63" t="str">
        <f>'RAW DATA 2023'!D469</f>
        <v>C1-057-0018</v>
      </c>
      <c r="C476" s="63" t="str">
        <f t="shared" si="57"/>
        <v>Roiphet3C1-057-0018</v>
      </c>
      <c r="D476" s="68">
        <f>VLOOKUP(C476,'RAW DATA 2023'!E:BP,63,0)</f>
        <v>7</v>
      </c>
      <c r="E476" s="68" t="str">
        <f t="shared" si="58"/>
        <v>Roiphet37</v>
      </c>
      <c r="F476" s="63" t="str">
        <f>VLOOKUP(C476,'RAW DATA 2023'!E:BO,5,0)</f>
        <v>Outdoor</v>
      </c>
      <c r="G476" s="63">
        <f>VLOOKUP(C476,'RAW DATA 2023'!E:BO,13,0)</f>
        <v>185</v>
      </c>
      <c r="H476" s="63">
        <f t="shared" si="61"/>
        <v>180</v>
      </c>
      <c r="I476" s="63">
        <f t="shared" si="59"/>
        <v>10.247</v>
      </c>
      <c r="J476" s="106">
        <f>VLOOKUP(C476,'RAW DATA 2023'!E:BO,22,0)</f>
        <v>2.368266666666667</v>
      </c>
      <c r="K476" s="70">
        <f t="shared" si="62"/>
        <v>0.23111805081161968</v>
      </c>
      <c r="L476" s="72">
        <f t="shared" si="60"/>
        <v>2.368266666666667</v>
      </c>
      <c r="M476" s="109">
        <f t="shared" si="64"/>
        <v>-3.5850926558450711</v>
      </c>
      <c r="N476" s="123" t="str">
        <f>VLOOKUP(C476,'RAW DATA 2023'!E:BO,36,0)</f>
        <v>Slow Growth</v>
      </c>
      <c r="O476" s="63">
        <f>VLOOKUP(C476,'RAW DATA 2023'!E:BO,2,0)</f>
        <v>4.5</v>
      </c>
      <c r="P476" s="322">
        <f t="shared" si="63"/>
        <v>-16.132916951302821</v>
      </c>
    </row>
    <row r="477" spans="1:16">
      <c r="A477" s="63" t="str">
        <f>'RAW DATA 2023'!B470</f>
        <v>Roiphet3</v>
      </c>
      <c r="B477" s="63" t="str">
        <f>'RAW DATA 2023'!D470</f>
        <v>C1-054-0008</v>
      </c>
      <c r="C477" s="63" t="str">
        <f t="shared" si="57"/>
        <v>Roiphet3C1-054-0008</v>
      </c>
      <c r="D477" s="68">
        <f>VLOOKUP(C477,'RAW DATA 2023'!E:BP,63,0)</f>
        <v>7</v>
      </c>
      <c r="E477" s="68" t="str">
        <f t="shared" si="58"/>
        <v>Roiphet37</v>
      </c>
      <c r="F477" s="63" t="str">
        <f>VLOOKUP(C477,'RAW DATA 2023'!E:BO,5,0)</f>
        <v>Outdoor</v>
      </c>
      <c r="G477" s="63">
        <f>VLOOKUP(C477,'RAW DATA 2023'!E:BO,13,0)</f>
        <v>185</v>
      </c>
      <c r="H477" s="63">
        <f t="shared" si="61"/>
        <v>180</v>
      </c>
      <c r="I477" s="63">
        <f t="shared" si="59"/>
        <v>10.247</v>
      </c>
      <c r="J477" s="106">
        <f>VLOOKUP(C477,'RAW DATA 2023'!E:BO,22,0)</f>
        <v>1.8158444444444446</v>
      </c>
      <c r="K477" s="70">
        <f t="shared" si="62"/>
        <v>0.17720742114223134</v>
      </c>
      <c r="L477" s="72">
        <f t="shared" si="60"/>
        <v>1.8158444444444446</v>
      </c>
      <c r="M477" s="109">
        <f t="shared" si="64"/>
        <v>-4.3039010514369158</v>
      </c>
      <c r="N477" s="123" t="str">
        <f>VLOOKUP(C477,'RAW DATA 2023'!E:BO,36,0)</f>
        <v>Slow Growth</v>
      </c>
      <c r="O477" s="63">
        <f>VLOOKUP(C477,'RAW DATA 2023'!E:BO,2,0)</f>
        <v>4.5</v>
      </c>
      <c r="P477" s="322">
        <f t="shared" si="63"/>
        <v>-19.367554731466122</v>
      </c>
    </row>
    <row r="478" spans="1:16">
      <c r="A478" s="63" t="str">
        <f>'RAW DATA 2023'!B471</f>
        <v>Roiphet3</v>
      </c>
      <c r="B478" s="63" t="str">
        <f>'RAW DATA 2023'!D471</f>
        <v>C1-042-0016</v>
      </c>
      <c r="C478" s="63" t="str">
        <f t="shared" si="57"/>
        <v>Roiphet3C1-042-0016</v>
      </c>
      <c r="D478" s="68">
        <f>VLOOKUP(C478,'RAW DATA 2023'!E:BP,63,0)</f>
        <v>7</v>
      </c>
      <c r="E478" s="68" t="str">
        <f t="shared" si="58"/>
        <v>Roiphet37</v>
      </c>
      <c r="F478" s="63" t="str">
        <f>VLOOKUP(C478,'RAW DATA 2023'!E:BO,5,0)</f>
        <v>Outdoor</v>
      </c>
      <c r="G478" s="63">
        <f>VLOOKUP(C478,'RAW DATA 2023'!E:BO,13,0)</f>
        <v>134</v>
      </c>
      <c r="H478" s="63">
        <f t="shared" si="61"/>
        <v>100</v>
      </c>
      <c r="I478" s="63">
        <f t="shared" si="59"/>
        <v>6.806</v>
      </c>
      <c r="J478" s="106">
        <f>VLOOKUP(C478,'RAW DATA 2023'!E:BO,22,0)</f>
        <v>1.4949485714285713</v>
      </c>
      <c r="K478" s="70">
        <f t="shared" si="62"/>
        <v>0.21965156794425084</v>
      </c>
      <c r="L478" s="72">
        <f t="shared" si="60"/>
        <v>1.4949485714285713</v>
      </c>
      <c r="M478" s="109">
        <f t="shared" si="64"/>
        <v>-3.7379790940766555</v>
      </c>
      <c r="N478" s="123" t="str">
        <f>VLOOKUP(C478,'RAW DATA 2023'!E:BO,36,0)</f>
        <v>Slow Growth</v>
      </c>
      <c r="O478" s="63">
        <f>VLOOKUP(C478,'RAW DATA 2023'!E:BO,2,0)</f>
        <v>3.5</v>
      </c>
      <c r="P478" s="322">
        <f t="shared" si="63"/>
        <v>-13.082926829268294</v>
      </c>
    </row>
    <row r="479" spans="1:16">
      <c r="A479" s="63" t="str">
        <f>'RAW DATA 2023'!B472</f>
        <v>Roiphet3</v>
      </c>
      <c r="B479" s="63" t="str">
        <f>'RAW DATA 2023'!D472</f>
        <v>C1-045-0026</v>
      </c>
      <c r="C479" s="63" t="str">
        <f t="shared" si="57"/>
        <v>Roiphet3C1-045-0026</v>
      </c>
      <c r="D479" s="68">
        <f>VLOOKUP(C479,'RAW DATA 2023'!E:BP,63,0)</f>
        <v>7</v>
      </c>
      <c r="E479" s="68" t="str">
        <f t="shared" si="58"/>
        <v>Roiphet37</v>
      </c>
      <c r="F479" s="63" t="str">
        <f>VLOOKUP(C479,'RAW DATA 2023'!E:BO,5,0)</f>
        <v>Outdoor</v>
      </c>
      <c r="G479" s="63">
        <f>VLOOKUP(C479,'RAW DATA 2023'!E:BO,13,0)</f>
        <v>185</v>
      </c>
      <c r="H479" s="63">
        <f t="shared" si="61"/>
        <v>180</v>
      </c>
      <c r="I479" s="63">
        <f t="shared" si="59"/>
        <v>10.247</v>
      </c>
      <c r="J479" s="106">
        <f>VLOOKUP(C479,'RAW DATA 2023'!E:BO,22,0)</f>
        <v>1.5769111111111114</v>
      </c>
      <c r="K479" s="70">
        <f t="shared" si="62"/>
        <v>0.15389002743350361</v>
      </c>
      <c r="L479" s="72">
        <f t="shared" si="60"/>
        <v>1.5769111111111114</v>
      </c>
      <c r="M479" s="109">
        <f t="shared" si="64"/>
        <v>-4.6147996342199518</v>
      </c>
      <c r="N479" s="123" t="str">
        <f>VLOOKUP(C479,'RAW DATA 2023'!E:BO,36,0)</f>
        <v>EHP</v>
      </c>
      <c r="O479" s="63">
        <f>VLOOKUP(C479,'RAW DATA 2023'!E:BO,2,0)</f>
        <v>4.5</v>
      </c>
      <c r="P479" s="322">
        <f t="shared" si="63"/>
        <v>-20.766598353989782</v>
      </c>
    </row>
    <row r="480" spans="1:16">
      <c r="A480" s="63" t="str">
        <f>'RAW DATA 2023'!B473</f>
        <v>Roiphet3</v>
      </c>
      <c r="B480" s="63" t="str">
        <f>'RAW DATA 2023'!D473</f>
        <v>C1-041-0006</v>
      </c>
      <c r="C480" s="63" t="str">
        <f t="shared" si="57"/>
        <v>Roiphet3C1-041-0006</v>
      </c>
      <c r="D480" s="68">
        <f>VLOOKUP(C480,'RAW DATA 2023'!E:BP,63,0)</f>
        <v>6</v>
      </c>
      <c r="E480" s="68" t="str">
        <f t="shared" si="58"/>
        <v>Roiphet36</v>
      </c>
      <c r="F480" s="63" t="str">
        <f>VLOOKUP(C480,'RAW DATA 2023'!E:BO,5,0)</f>
        <v>Outdoor</v>
      </c>
      <c r="G480" s="63">
        <f>VLOOKUP(C480,'RAW DATA 2023'!E:BO,13,0)</f>
        <v>151</v>
      </c>
      <c r="H480" s="63">
        <f t="shared" si="61"/>
        <v>150</v>
      </c>
      <c r="I480" s="63">
        <f t="shared" si="59"/>
        <v>9.1999999999999993</v>
      </c>
      <c r="J480" s="106">
        <f>VLOOKUP(C480,'RAW DATA 2023'!E:BO,22,0)</f>
        <v>2.0382758620689656</v>
      </c>
      <c r="K480" s="70">
        <f t="shared" si="62"/>
        <v>0.22155172413793106</v>
      </c>
      <c r="L480" s="72">
        <f t="shared" si="60"/>
        <v>2.0382758620689656</v>
      </c>
      <c r="M480" s="109">
        <f t="shared" si="64"/>
        <v>-3.7126436781609193</v>
      </c>
      <c r="N480" s="123" t="str">
        <f>VLOOKUP(C480,'RAW DATA 2023'!E:BO,36,0)</f>
        <v>EHP</v>
      </c>
      <c r="O480" s="63">
        <f>VLOOKUP(C480,'RAW DATA 2023'!E:BO,2,0)</f>
        <v>5.8</v>
      </c>
      <c r="P480" s="322">
        <f t="shared" si="63"/>
        <v>-21.533333333333331</v>
      </c>
    </row>
    <row r="481" spans="1:16">
      <c r="A481" s="63" t="str">
        <f>'RAW DATA 2023'!B474</f>
        <v>Roiphet3</v>
      </c>
      <c r="B481" s="63" t="str">
        <f>'RAW DATA 2023'!D474</f>
        <v>C1-044-0020</v>
      </c>
      <c r="C481" s="63" t="str">
        <f t="shared" si="57"/>
        <v>Roiphet3C1-044-0020</v>
      </c>
      <c r="D481" s="68">
        <f>VLOOKUP(C481,'RAW DATA 2023'!E:BP,63,0)</f>
        <v>12</v>
      </c>
      <c r="E481" s="68" t="str">
        <f t="shared" si="58"/>
        <v>Roiphet312</v>
      </c>
      <c r="F481" s="63" t="str">
        <f>VLOOKUP(C481,'RAW DATA 2023'!E:BO,5,0)</f>
        <v>Outdoor</v>
      </c>
      <c r="G481" s="63">
        <f>VLOOKUP(C481,'RAW DATA 2023'!E:BO,13,0)</f>
        <v>111</v>
      </c>
      <c r="H481" s="63">
        <f t="shared" si="61"/>
        <v>100</v>
      </c>
      <c r="I481" s="63">
        <f t="shared" si="59"/>
        <v>6.806</v>
      </c>
      <c r="J481" s="106">
        <f>VLOOKUP(C481,'RAW DATA 2023'!E:BO,22,0)</f>
        <v>1.3341866666666666</v>
      </c>
      <c r="K481" s="70">
        <f t="shared" si="62"/>
        <v>0.19603095308061513</v>
      </c>
      <c r="L481" s="72">
        <f t="shared" si="60"/>
        <v>1.3341866666666666</v>
      </c>
      <c r="M481" s="109">
        <f t="shared" si="64"/>
        <v>-4.0529206255917982</v>
      </c>
      <c r="N481" s="123" t="str">
        <f>VLOOKUP(C481,'RAW DATA 2023'!E:BO,36,0)</f>
        <v>EHP</v>
      </c>
      <c r="O481" s="63">
        <f>VLOOKUP(C481,'RAW DATA 2023'!E:BO,2,0)</f>
        <v>4.5</v>
      </c>
      <c r="P481" s="322">
        <f t="shared" si="63"/>
        <v>-18.238142815163091</v>
      </c>
    </row>
    <row r="482" spans="1:16">
      <c r="A482" s="63" t="str">
        <f>'RAW DATA 2023'!B475</f>
        <v>Bangkachai1</v>
      </c>
      <c r="B482" s="63" t="str">
        <f>'RAW DATA 2023'!D475</f>
        <v>BG-045-0013</v>
      </c>
      <c r="C482" s="63" t="str">
        <f t="shared" si="57"/>
        <v>Bangkachai1BG-045-0013</v>
      </c>
      <c r="D482" s="68">
        <f>VLOOKUP(C482,'RAW DATA 2023'!E:BP,63,0)</f>
        <v>10</v>
      </c>
      <c r="E482" s="68" t="str">
        <f t="shared" si="58"/>
        <v>Bangkachai110</v>
      </c>
      <c r="F482" s="63" t="str">
        <f>VLOOKUP(C482,'RAW DATA 2023'!E:BO,5,0)</f>
        <v>Greenhouse</v>
      </c>
      <c r="G482" s="63">
        <f>VLOOKUP(C482,'RAW DATA 2023'!E:BO,13,0)</f>
        <v>119</v>
      </c>
      <c r="H482" s="63">
        <f t="shared" si="61"/>
        <v>100</v>
      </c>
      <c r="I482" s="63">
        <f t="shared" si="59"/>
        <v>0</v>
      </c>
      <c r="J482" s="106">
        <f>VLOOKUP(C482,'RAW DATA 2023'!E:BO,22,0)</f>
        <v>7.2373571428571433</v>
      </c>
      <c r="K482" s="70" t="e">
        <f t="shared" si="62"/>
        <v>#DIV/0!</v>
      </c>
      <c r="L482" s="72">
        <f t="shared" si="60"/>
        <v>7.2373571428571433</v>
      </c>
      <c r="M482" s="109" t="e">
        <f t="shared" si="64"/>
        <v>#DIV/0!</v>
      </c>
      <c r="N482" s="123" t="str">
        <f>VLOOKUP(C482,'RAW DATA 2023'!E:BO,36,0)</f>
        <v>Normal</v>
      </c>
      <c r="O482" s="63">
        <f>VLOOKUP(C482,'RAW DATA 2023'!E:BO,2,0)</f>
        <v>2.1</v>
      </c>
      <c r="P482" s="322" t="e">
        <f t="shared" si="63"/>
        <v>#DIV/0!</v>
      </c>
    </row>
    <row r="483" spans="1:16">
      <c r="A483" s="63" t="str">
        <f>'RAW DATA 2023'!B476</f>
        <v>Bangkachai1</v>
      </c>
      <c r="B483" s="63" t="str">
        <f>'RAW DATA 2023'!D476</f>
        <v>BG-044-0010</v>
      </c>
      <c r="C483" s="63" t="str">
        <f t="shared" si="57"/>
        <v>Bangkachai1BG-044-0010</v>
      </c>
      <c r="D483" s="68">
        <f>VLOOKUP(C483,'RAW DATA 2023'!E:BP,63,0)</f>
        <v>8</v>
      </c>
      <c r="E483" s="68" t="str">
        <f t="shared" si="58"/>
        <v>Bangkachai18</v>
      </c>
      <c r="F483" s="63" t="str">
        <f>VLOOKUP(C483,'RAW DATA 2023'!E:BO,5,0)</f>
        <v>Greenhouse</v>
      </c>
      <c r="G483" s="63">
        <f>VLOOKUP(C483,'RAW DATA 2023'!E:BO,13,0)</f>
        <v>149</v>
      </c>
      <c r="H483" s="63">
        <f t="shared" si="61"/>
        <v>150</v>
      </c>
      <c r="I483" s="63">
        <f t="shared" si="59"/>
        <v>9.1999999999999993</v>
      </c>
      <c r="J483" s="106">
        <f>VLOOKUP(C483,'RAW DATA 2023'!E:BO,22,0)</f>
        <v>8.7993380952380953</v>
      </c>
      <c r="K483" s="70">
        <f t="shared" si="62"/>
        <v>0.95644979296066257</v>
      </c>
      <c r="L483" s="72">
        <f t="shared" si="60"/>
        <v>8.7993380952380953</v>
      </c>
      <c r="M483" s="109">
        <f t="shared" si="64"/>
        <v>6.0859972394755015</v>
      </c>
      <c r="N483" s="123" t="str">
        <f>VLOOKUP(C483,'RAW DATA 2023'!E:BO,36,0)</f>
        <v>Normal</v>
      </c>
      <c r="O483" s="63">
        <f>VLOOKUP(C483,'RAW DATA 2023'!E:BO,2,0)</f>
        <v>2.1</v>
      </c>
      <c r="P483" s="322">
        <f t="shared" si="63"/>
        <v>12.780594202898554</v>
      </c>
    </row>
    <row r="484" spans="1:16">
      <c r="A484" s="63" t="str">
        <f>'RAW DATA 2023'!B477</f>
        <v>Bangkachai1</v>
      </c>
      <c r="B484" s="63" t="str">
        <f>'RAW DATA 2023'!D477</f>
        <v>BG-045-0012</v>
      </c>
      <c r="C484" s="63" t="str">
        <f t="shared" si="57"/>
        <v>Bangkachai1BG-045-0012</v>
      </c>
      <c r="D484" s="68">
        <f>VLOOKUP(C484,'RAW DATA 2023'!E:BP,63,0)</f>
        <v>5</v>
      </c>
      <c r="E484" s="68" t="str">
        <f t="shared" si="58"/>
        <v>Bangkachai15</v>
      </c>
      <c r="F484" s="63" t="str">
        <f>VLOOKUP(C484,'RAW DATA 2023'!E:BO,5,0)</f>
        <v>Greenhouse</v>
      </c>
      <c r="G484" s="63">
        <f>VLOOKUP(C484,'RAW DATA 2023'!E:BO,13,0)</f>
        <v>179</v>
      </c>
      <c r="H484" s="63">
        <f t="shared" si="61"/>
        <v>180</v>
      </c>
      <c r="I484" s="63">
        <f t="shared" si="59"/>
        <v>10.247</v>
      </c>
      <c r="J484" s="106">
        <f>VLOOKUP(C484,'RAW DATA 2023'!E:BO,22,0)</f>
        <v>10.179671428571428</v>
      </c>
      <c r="K484" s="70">
        <f t="shared" si="62"/>
        <v>0.99342943579305443</v>
      </c>
      <c r="L484" s="72">
        <f t="shared" si="60"/>
        <v>10.179671428571428</v>
      </c>
      <c r="M484" s="109">
        <f t="shared" si="64"/>
        <v>6.5790591439073927</v>
      </c>
      <c r="N484" s="123" t="str">
        <f>VLOOKUP(C484,'RAW DATA 2023'!E:BO,36,0)</f>
        <v>Normal</v>
      </c>
      <c r="O484" s="63">
        <f>VLOOKUP(C484,'RAW DATA 2023'!E:BO,2,0)</f>
        <v>2.1</v>
      </c>
      <c r="P484" s="322">
        <f t="shared" si="63"/>
        <v>13.816024202205526</v>
      </c>
    </row>
    <row r="485" spans="1:16">
      <c r="A485" s="63" t="str">
        <f>'RAW DATA 2023'!B478</f>
        <v>Bangkachai1</v>
      </c>
      <c r="B485" s="63" t="str">
        <f>'RAW DATA 2023'!D478</f>
        <v>A1-047-0010</v>
      </c>
      <c r="C485" s="63" t="str">
        <f t="shared" si="57"/>
        <v>Bangkachai1A1-047-0010</v>
      </c>
      <c r="D485" s="68">
        <f>VLOOKUP(C485,'RAW DATA 2023'!E:BP,63,0)</f>
        <v>8</v>
      </c>
      <c r="E485" s="68" t="str">
        <f t="shared" si="58"/>
        <v>Bangkachai18</v>
      </c>
      <c r="F485" s="63" t="str">
        <f>VLOOKUP(C485,'RAW DATA 2023'!E:BO,5,0)</f>
        <v>Outdoor</v>
      </c>
      <c r="G485" s="63">
        <f>VLOOKUP(C485,'RAW DATA 2023'!E:BO,13,0)</f>
        <v>179</v>
      </c>
      <c r="H485" s="63">
        <f t="shared" si="61"/>
        <v>180</v>
      </c>
      <c r="I485" s="63">
        <f t="shared" si="59"/>
        <v>10.247</v>
      </c>
      <c r="J485" s="106">
        <f>VLOOKUP(C485,'RAW DATA 2023'!E:BO,22,0)</f>
        <v>11.840733333333333</v>
      </c>
      <c r="K485" s="70">
        <f t="shared" si="62"/>
        <v>1.1555317003350574</v>
      </c>
      <c r="L485" s="72">
        <f t="shared" si="60"/>
        <v>11.840733333333333</v>
      </c>
      <c r="M485" s="109">
        <f t="shared" si="64"/>
        <v>8.7404226711340982</v>
      </c>
      <c r="N485" s="123" t="str">
        <f>VLOOKUP(C485,'RAW DATA 2023'!E:BO,36,0)</f>
        <v>Normal</v>
      </c>
      <c r="O485" s="63">
        <f>VLOOKUP(C485,'RAW DATA 2023'!E:BO,2,0)</f>
        <v>2.1</v>
      </c>
      <c r="P485" s="322">
        <f t="shared" si="63"/>
        <v>18.354887609381606</v>
      </c>
    </row>
    <row r="486" spans="1:16">
      <c r="A486" s="63" t="str">
        <f>'RAW DATA 2023'!B479</f>
        <v>Bangkachai1</v>
      </c>
      <c r="B486" s="63" t="str">
        <f>'RAW DATA 2023'!D479</f>
        <v>A1-061-0007</v>
      </c>
      <c r="C486" s="63" t="str">
        <f t="shared" si="57"/>
        <v>Bangkachai1A1-061-0007</v>
      </c>
      <c r="D486" s="68">
        <f>VLOOKUP(C486,'RAW DATA 2023'!E:BP,63,0)</f>
        <v>10</v>
      </c>
      <c r="E486" s="68" t="str">
        <f t="shared" si="58"/>
        <v>Bangkachai110</v>
      </c>
      <c r="F486" s="63" t="str">
        <f>VLOOKUP(C486,'RAW DATA 2023'!E:BO,5,0)</f>
        <v>Outdoor</v>
      </c>
      <c r="G486" s="63">
        <f>VLOOKUP(C486,'RAW DATA 2023'!E:BO,13,0)</f>
        <v>94</v>
      </c>
      <c r="H486" s="63">
        <f t="shared" si="61"/>
        <v>100</v>
      </c>
      <c r="I486" s="63">
        <f t="shared" si="59"/>
        <v>6.806</v>
      </c>
      <c r="J486" s="106">
        <f>VLOOKUP(C486,'RAW DATA 2023'!E:BO,22,0)</f>
        <v>9.1983449999999998</v>
      </c>
      <c r="K486" s="70">
        <f t="shared" si="62"/>
        <v>1.3515052894504849</v>
      </c>
      <c r="L486" s="72">
        <f t="shared" si="60"/>
        <v>9.1983449999999998</v>
      </c>
      <c r="M486" s="109">
        <f t="shared" si="64"/>
        <v>11.353403859339799</v>
      </c>
      <c r="N486" s="123" t="str">
        <f>VLOOKUP(C486,'RAW DATA 2023'!E:BO,36,0)</f>
        <v>Normal</v>
      </c>
      <c r="O486" s="63">
        <f>VLOOKUP(C486,'RAW DATA 2023'!E:BO,2,0)</f>
        <v>2</v>
      </c>
      <c r="P486" s="322">
        <f t="shared" si="63"/>
        <v>22.706807718679599</v>
      </c>
    </row>
    <row r="487" spans="1:16">
      <c r="A487" s="63" t="str">
        <f>'RAW DATA 2023'!B480</f>
        <v>Bangkachai1</v>
      </c>
      <c r="B487" s="63" t="str">
        <f>'RAW DATA 2023'!D480</f>
        <v>A1-060-0006</v>
      </c>
      <c r="C487" s="63" t="str">
        <f t="shared" si="57"/>
        <v>Bangkachai1A1-060-0006</v>
      </c>
      <c r="D487" s="68">
        <f>VLOOKUP(C487,'RAW DATA 2023'!E:BP,63,0)</f>
        <v>10</v>
      </c>
      <c r="E487" s="68" t="str">
        <f t="shared" si="58"/>
        <v>Bangkachai110</v>
      </c>
      <c r="F487" s="63" t="str">
        <f>VLOOKUP(C487,'RAW DATA 2023'!E:BO,5,0)</f>
        <v>Outdoor</v>
      </c>
      <c r="G487" s="63">
        <f>VLOOKUP(C487,'RAW DATA 2023'!E:BO,13,0)</f>
        <v>94</v>
      </c>
      <c r="H487" s="63">
        <f t="shared" si="61"/>
        <v>100</v>
      </c>
      <c r="I487" s="63">
        <f t="shared" si="59"/>
        <v>6.806</v>
      </c>
      <c r="J487" s="106">
        <f>VLOOKUP(C487,'RAW DATA 2023'!E:BO,22,0)</f>
        <v>8.097315</v>
      </c>
      <c r="K487" s="70">
        <f t="shared" si="62"/>
        <v>1.1897318542462534</v>
      </c>
      <c r="L487" s="72">
        <f t="shared" si="60"/>
        <v>8.097315</v>
      </c>
      <c r="M487" s="109">
        <f t="shared" si="64"/>
        <v>9.1964247232833785</v>
      </c>
      <c r="N487" s="123" t="str">
        <f>VLOOKUP(C487,'RAW DATA 2023'!E:BO,36,0)</f>
        <v>Normal</v>
      </c>
      <c r="O487" s="63">
        <f>VLOOKUP(C487,'RAW DATA 2023'!E:BO,2,0)</f>
        <v>2</v>
      </c>
      <c r="P487" s="322">
        <f t="shared" si="63"/>
        <v>18.392849446566757</v>
      </c>
    </row>
    <row r="488" spans="1:16">
      <c r="A488" s="63" t="str">
        <f>'RAW DATA 2023'!B481</f>
        <v>Bangkachai1</v>
      </c>
      <c r="B488" s="63" t="str">
        <f>'RAW DATA 2023'!D481</f>
        <v>BG-044-0009</v>
      </c>
      <c r="C488" s="63" t="str">
        <f t="shared" si="57"/>
        <v>Bangkachai1BG-044-0009</v>
      </c>
      <c r="D488" s="68">
        <f>VLOOKUP(C488,'RAW DATA 2023'!E:BP,63,0)</f>
        <v>3</v>
      </c>
      <c r="E488" s="68" t="str">
        <f t="shared" si="58"/>
        <v>Bangkachai13</v>
      </c>
      <c r="F488" s="63" t="str">
        <f>VLOOKUP(C488,'RAW DATA 2023'!E:BO,5,0)</f>
        <v>Greenhouse</v>
      </c>
      <c r="G488" s="63">
        <f>VLOOKUP(C488,'RAW DATA 2023'!E:BO,13,0)</f>
        <v>179</v>
      </c>
      <c r="H488" s="63">
        <f t="shared" si="61"/>
        <v>180</v>
      </c>
      <c r="I488" s="63">
        <f t="shared" si="59"/>
        <v>10.247</v>
      </c>
      <c r="J488" s="106">
        <f>VLOOKUP(C488,'RAW DATA 2023'!E:BO,22,0)</f>
        <v>9.5902428571428562</v>
      </c>
      <c r="K488" s="70">
        <f t="shared" si="62"/>
        <v>0.93590737358669429</v>
      </c>
      <c r="L488" s="72">
        <f t="shared" si="60"/>
        <v>9.5902428571428562</v>
      </c>
      <c r="M488" s="109">
        <f t="shared" si="64"/>
        <v>5.8120983144892575</v>
      </c>
      <c r="N488" s="123" t="str">
        <f>VLOOKUP(C488,'RAW DATA 2023'!E:BO,36,0)</f>
        <v>Normal</v>
      </c>
      <c r="O488" s="63">
        <f>VLOOKUP(C488,'RAW DATA 2023'!E:BO,2,0)</f>
        <v>2.1</v>
      </c>
      <c r="P488" s="322">
        <f t="shared" si="63"/>
        <v>12.205406460427442</v>
      </c>
    </row>
    <row r="489" spans="1:16">
      <c r="A489" s="63" t="str">
        <f>'RAW DATA 2023'!B482</f>
        <v>Bangkachai1</v>
      </c>
      <c r="B489" s="63" t="str">
        <f>'RAW DATA 2023'!D482</f>
        <v>A1-061-0006</v>
      </c>
      <c r="C489" s="63" t="str">
        <f t="shared" si="57"/>
        <v>Bangkachai1A1-061-0006</v>
      </c>
      <c r="D489" s="68">
        <f>VLOOKUP(C489,'RAW DATA 2023'!E:BP,63,0)</f>
        <v>5</v>
      </c>
      <c r="E489" s="68" t="str">
        <f t="shared" si="58"/>
        <v>Bangkachai15</v>
      </c>
      <c r="F489" s="63" t="str">
        <f>VLOOKUP(C489,'RAW DATA 2023'!E:BO,5,0)</f>
        <v>Outdoor</v>
      </c>
      <c r="G489" s="63">
        <f>VLOOKUP(C489,'RAW DATA 2023'!E:BO,13,0)</f>
        <v>188</v>
      </c>
      <c r="H489" s="63">
        <f t="shared" si="61"/>
        <v>180</v>
      </c>
      <c r="I489" s="63">
        <f t="shared" si="59"/>
        <v>10.247</v>
      </c>
      <c r="J489" s="106">
        <f>VLOOKUP(C489,'RAW DATA 2023'!E:BO,22,0)</f>
        <v>7.3140400000000003</v>
      </c>
      <c r="K489" s="70">
        <f t="shared" si="62"/>
        <v>0.71377378744998543</v>
      </c>
      <c r="L489" s="72">
        <f t="shared" si="60"/>
        <v>7.3140400000000003</v>
      </c>
      <c r="M489" s="109">
        <f t="shared" si="64"/>
        <v>2.8503171659998059</v>
      </c>
      <c r="N489" s="123" t="str">
        <f>VLOOKUP(C489,'RAW DATA 2023'!E:BO,36,0)</f>
        <v>Normal</v>
      </c>
      <c r="O489" s="63">
        <f>VLOOKUP(C489,'RAW DATA 2023'!E:BO,2,0)</f>
        <v>2</v>
      </c>
      <c r="P489" s="322">
        <f t="shared" si="63"/>
        <v>5.7006343319996118</v>
      </c>
    </row>
    <row r="490" spans="1:16">
      <c r="A490" s="63" t="str">
        <f>'RAW DATA 2023'!B483</f>
        <v>Bangkachai1</v>
      </c>
      <c r="B490" s="63" t="str">
        <f>'RAW DATA 2023'!D483</f>
        <v>A1-060-0005</v>
      </c>
      <c r="C490" s="63" t="str">
        <f t="shared" si="57"/>
        <v>Bangkachai1A1-060-0005</v>
      </c>
      <c r="D490" s="68">
        <f>VLOOKUP(C490,'RAW DATA 2023'!E:BP,63,0)</f>
        <v>5</v>
      </c>
      <c r="E490" s="68" t="str">
        <f t="shared" si="58"/>
        <v>Bangkachai15</v>
      </c>
      <c r="F490" s="63" t="str">
        <f>VLOOKUP(C490,'RAW DATA 2023'!E:BO,5,0)</f>
        <v>Outdoor</v>
      </c>
      <c r="G490" s="63">
        <f>VLOOKUP(C490,'RAW DATA 2023'!E:BO,13,0)</f>
        <v>188</v>
      </c>
      <c r="H490" s="63">
        <f t="shared" si="61"/>
        <v>180</v>
      </c>
      <c r="I490" s="63">
        <f t="shared" si="59"/>
        <v>10.247</v>
      </c>
      <c r="J490" s="106">
        <f>VLOOKUP(C490,'RAW DATA 2023'!E:BO,22,0)</f>
        <v>9.4425000000000008</v>
      </c>
      <c r="K490" s="70">
        <f t="shared" si="62"/>
        <v>0.92148921635600667</v>
      </c>
      <c r="L490" s="72">
        <f t="shared" si="60"/>
        <v>9.4425000000000008</v>
      </c>
      <c r="M490" s="109">
        <f t="shared" si="64"/>
        <v>5.6198562180800895</v>
      </c>
      <c r="N490" s="123" t="str">
        <f>VLOOKUP(C490,'RAW DATA 2023'!E:BO,36,0)</f>
        <v>Normal</v>
      </c>
      <c r="O490" s="63">
        <f>VLOOKUP(C490,'RAW DATA 2023'!E:BO,2,0)</f>
        <v>2</v>
      </c>
      <c r="P490" s="322">
        <f t="shared" si="63"/>
        <v>11.239712436160179</v>
      </c>
    </row>
    <row r="491" spans="1:16">
      <c r="A491" s="63" t="str">
        <f>'RAW DATA 2023'!B484</f>
        <v>Bangkachai1</v>
      </c>
      <c r="B491" s="63" t="str">
        <f>'RAW DATA 2023'!D484</f>
        <v>A1-047-0009</v>
      </c>
      <c r="C491" s="63" t="str">
        <f t="shared" si="57"/>
        <v>Bangkachai1A1-047-0009</v>
      </c>
      <c r="D491" s="68">
        <f>VLOOKUP(C491,'RAW DATA 2023'!E:BP,63,0)</f>
        <v>3</v>
      </c>
      <c r="E491" s="68" t="str">
        <f t="shared" si="58"/>
        <v>Bangkachai13</v>
      </c>
      <c r="F491" s="63" t="str">
        <f>VLOOKUP(C491,'RAW DATA 2023'!E:BO,5,0)</f>
        <v>Outdoor</v>
      </c>
      <c r="G491" s="63">
        <f>VLOOKUP(C491,'RAW DATA 2023'!E:BO,13,0)</f>
        <v>149</v>
      </c>
      <c r="H491" s="63">
        <f t="shared" si="61"/>
        <v>150</v>
      </c>
      <c r="I491" s="63">
        <f t="shared" si="59"/>
        <v>9.1999999999999993</v>
      </c>
      <c r="J491" s="106">
        <f>VLOOKUP(C491,'RAW DATA 2023'!E:BO,22,0)</f>
        <v>9.838733333333332</v>
      </c>
      <c r="K491" s="70">
        <f t="shared" si="62"/>
        <v>1.0694275362318839</v>
      </c>
      <c r="L491" s="72">
        <f t="shared" si="60"/>
        <v>9.838733333333332</v>
      </c>
      <c r="M491" s="109">
        <f t="shared" si="64"/>
        <v>7.5923671497584522</v>
      </c>
      <c r="N491" s="123" t="str">
        <f>VLOOKUP(C491,'RAW DATA 2023'!E:BO,36,0)</f>
        <v>Normal</v>
      </c>
      <c r="O491" s="63">
        <f>VLOOKUP(C491,'RAW DATA 2023'!E:BO,2,0)</f>
        <v>2.1</v>
      </c>
      <c r="P491" s="322">
        <f t="shared" si="63"/>
        <v>15.94397101449275</v>
      </c>
    </row>
    <row r="492" spans="1:16">
      <c r="A492" s="63" t="str">
        <f>'RAW DATA 2023'!B485</f>
        <v>Bo Thong</v>
      </c>
      <c r="B492" s="63" t="str">
        <f>'RAW DATA 2023'!D485</f>
        <v>BG-002-0014</v>
      </c>
      <c r="C492" s="63" t="str">
        <f t="shared" si="57"/>
        <v>Bo ThongBG-002-0014</v>
      </c>
      <c r="D492" s="68">
        <f>VLOOKUP(C492,'RAW DATA 2023'!E:BP,63,0)</f>
        <v>6</v>
      </c>
      <c r="E492" s="68" t="str">
        <f t="shared" si="58"/>
        <v>Bo Thong6</v>
      </c>
      <c r="F492" s="63" t="str">
        <f>VLOOKUP(C492,'RAW DATA 2023'!E:BO,5,0)</f>
        <v>Greenhouse</v>
      </c>
      <c r="G492" s="63">
        <f>VLOOKUP(C492,'RAW DATA 2023'!E:BO,13,0)</f>
        <v>199</v>
      </c>
      <c r="H492" s="63">
        <f t="shared" si="61"/>
        <v>200</v>
      </c>
      <c r="I492" s="63">
        <f t="shared" si="59"/>
        <v>11.259</v>
      </c>
      <c r="J492" s="106">
        <f>VLOOKUP(C492,'RAW DATA 2023'!E:BO,22,0)</f>
        <v>8.7195691489361717</v>
      </c>
      <c r="K492" s="70">
        <f t="shared" si="62"/>
        <v>0.7744532506382602</v>
      </c>
      <c r="L492" s="72">
        <f t="shared" si="60"/>
        <v>8.7195691489361717</v>
      </c>
      <c r="M492" s="109">
        <f t="shared" si="64"/>
        <v>3.6593766751768029</v>
      </c>
      <c r="N492" s="123" t="str">
        <f>VLOOKUP(C492,'RAW DATA 2023'!E:BO,36,0)</f>
        <v>อัตรารอดต่ำ</v>
      </c>
      <c r="O492" s="63">
        <f>VLOOKUP(C492,'RAW DATA 2023'!E:BO,2,0)</f>
        <v>1.88</v>
      </c>
      <c r="P492" s="322">
        <f t="shared" si="63"/>
        <v>6.8796281493323894</v>
      </c>
    </row>
    <row r="493" spans="1:16">
      <c r="A493" s="63" t="str">
        <f>'RAW DATA 2023'!B486</f>
        <v>Bo Thong</v>
      </c>
      <c r="B493" s="63" t="str">
        <f>'RAW DATA 2023'!D486</f>
        <v>BG-002-0013</v>
      </c>
      <c r="C493" s="63" t="str">
        <f t="shared" si="57"/>
        <v>Bo ThongBG-002-0013</v>
      </c>
      <c r="D493" s="68">
        <f>VLOOKUP(C493,'RAW DATA 2023'!E:BP,63,0)</f>
        <v>2</v>
      </c>
      <c r="E493" s="68" t="str">
        <f t="shared" si="58"/>
        <v>Bo Thong2</v>
      </c>
      <c r="F493" s="63" t="str">
        <f>VLOOKUP(C493,'RAW DATA 2023'!E:BO,5,0)</f>
        <v>Greenhouse</v>
      </c>
      <c r="G493" s="63">
        <f>VLOOKUP(C493,'RAW DATA 2023'!E:BO,13,0)</f>
        <v>199</v>
      </c>
      <c r="H493" s="63">
        <f t="shared" si="61"/>
        <v>200</v>
      </c>
      <c r="I493" s="63">
        <f t="shared" si="59"/>
        <v>11.259</v>
      </c>
      <c r="J493" s="106">
        <f>VLOOKUP(C493,'RAW DATA 2023'!E:BO,22,0)</f>
        <v>9.3746436170212775</v>
      </c>
      <c r="K493" s="70">
        <f t="shared" si="62"/>
        <v>0.83263554640920834</v>
      </c>
      <c r="L493" s="72">
        <f t="shared" si="60"/>
        <v>9.3746436170212775</v>
      </c>
      <c r="M493" s="109">
        <f t="shared" si="64"/>
        <v>4.4351406187894451</v>
      </c>
      <c r="N493" s="123" t="str">
        <f>VLOOKUP(C493,'RAW DATA 2023'!E:BO,36,0)</f>
        <v>อัตรารอดต่ำ</v>
      </c>
      <c r="O493" s="63">
        <f>VLOOKUP(C493,'RAW DATA 2023'!E:BO,2,0)</f>
        <v>1.88</v>
      </c>
      <c r="P493" s="322">
        <f t="shared" si="63"/>
        <v>8.3380643633241558</v>
      </c>
    </row>
    <row r="494" spans="1:16">
      <c r="A494" s="63" t="str">
        <f>'RAW DATA 2023'!B487</f>
        <v>Bo Thong</v>
      </c>
      <c r="B494" s="63" t="str">
        <f>'RAW DATA 2023'!D487</f>
        <v>BG-002-0015</v>
      </c>
      <c r="C494" s="63" t="str">
        <f t="shared" si="57"/>
        <v>Bo ThongBG-002-0015</v>
      </c>
      <c r="D494" s="68">
        <f>VLOOKUP(C494,'RAW DATA 2023'!E:BP,63,0)</f>
        <v>7</v>
      </c>
      <c r="E494" s="68" t="str">
        <f t="shared" si="58"/>
        <v>Bo Thong7</v>
      </c>
      <c r="F494" s="63" t="str">
        <f>VLOOKUP(C494,'RAW DATA 2023'!E:BO,5,0)</f>
        <v>Greenhouse</v>
      </c>
      <c r="G494" s="63">
        <f>VLOOKUP(C494,'RAW DATA 2023'!E:BO,13,0)</f>
        <v>133</v>
      </c>
      <c r="H494" s="63">
        <f t="shared" si="61"/>
        <v>100</v>
      </c>
      <c r="I494" s="63">
        <f t="shared" si="59"/>
        <v>0</v>
      </c>
      <c r="J494" s="106">
        <f>VLOOKUP(C494,'RAW DATA 2023'!E:BO,22,0)</f>
        <v>0</v>
      </c>
      <c r="K494" s="70" t="e">
        <f t="shared" si="62"/>
        <v>#DIV/0!</v>
      </c>
      <c r="L494" s="72">
        <f t="shared" si="60"/>
        <v>0</v>
      </c>
      <c r="M494" s="109" t="e">
        <f t="shared" si="64"/>
        <v>#DIV/0!</v>
      </c>
      <c r="N494" s="123" t="str">
        <f>VLOOKUP(C494,'RAW DATA 2023'!E:BO,36,0)</f>
        <v>EHP</v>
      </c>
      <c r="O494" s="63">
        <f>VLOOKUP(C494,'RAW DATA 2023'!E:BO,2,0)</f>
        <v>1.88</v>
      </c>
      <c r="P494" s="322" t="e">
        <f t="shared" si="63"/>
        <v>#DIV/0!</v>
      </c>
    </row>
    <row r="495" spans="1:16">
      <c r="A495" s="63" t="str">
        <f>'RAW DATA 2023'!B488</f>
        <v>Bo Thong</v>
      </c>
      <c r="B495" s="63" t="str">
        <f>'RAW DATA 2023'!D488</f>
        <v>BG-002-0016</v>
      </c>
      <c r="C495" s="63" t="str">
        <f t="shared" si="57"/>
        <v>Bo ThongBG-002-0016</v>
      </c>
      <c r="D495" s="68">
        <f>VLOOKUP(C495,'RAW DATA 2023'!E:BP,63,0)</f>
        <v>12</v>
      </c>
      <c r="E495" s="68" t="str">
        <f t="shared" si="58"/>
        <v>Bo Thong12</v>
      </c>
      <c r="F495" s="63" t="str">
        <f>VLOOKUP(C495,'RAW DATA 2023'!E:BO,5,0)</f>
        <v>Greenhouse</v>
      </c>
      <c r="G495" s="63">
        <f>VLOOKUP(C495,'RAW DATA 2023'!E:BO,13,0)</f>
        <v>150</v>
      </c>
      <c r="H495" s="63">
        <f t="shared" si="61"/>
        <v>150</v>
      </c>
      <c r="I495" s="63">
        <f t="shared" si="59"/>
        <v>9.1999999999999993</v>
      </c>
      <c r="J495" s="106">
        <f>VLOOKUP(C495,'RAW DATA 2023'!E:BO,22,0)</f>
        <v>8.5366489361702129</v>
      </c>
      <c r="K495" s="70">
        <f t="shared" si="62"/>
        <v>0.92789662349676238</v>
      </c>
      <c r="L495" s="72">
        <f t="shared" si="60"/>
        <v>8.5366489361702129</v>
      </c>
      <c r="M495" s="109">
        <f t="shared" si="64"/>
        <v>5.7052883132901657</v>
      </c>
      <c r="N495" s="123" t="str">
        <f>VLOOKUP(C495,'RAW DATA 2023'!E:BO,36,0)</f>
        <v>Normal</v>
      </c>
      <c r="O495" s="63">
        <f>VLOOKUP(C495,'RAW DATA 2023'!E:BO,2,0)</f>
        <v>1.88</v>
      </c>
      <c r="P495" s="322">
        <f t="shared" si="63"/>
        <v>10.725942028985511</v>
      </c>
    </row>
    <row r="496" spans="1:16">
      <c r="A496" s="63" t="str">
        <f>'RAW DATA 2023'!B489</f>
        <v>Bo Thong</v>
      </c>
      <c r="B496" s="63" t="str">
        <f>'RAW DATA 2023'!D489</f>
        <v>B1-014-0013</v>
      </c>
      <c r="C496" s="63" t="str">
        <f t="shared" si="57"/>
        <v>Bo ThongB1-014-0013</v>
      </c>
      <c r="D496" s="68">
        <f>VLOOKUP(C496,'RAW DATA 2023'!E:BP,63,0)</f>
        <v>11</v>
      </c>
      <c r="E496" s="68" t="str">
        <f t="shared" si="58"/>
        <v>Bo Thong11</v>
      </c>
      <c r="F496" s="63" t="str">
        <f>VLOOKUP(C496,'RAW DATA 2023'!E:BO,5,0)</f>
        <v>Outdoor</v>
      </c>
      <c r="G496" s="63">
        <f>VLOOKUP(C496,'RAW DATA 2023'!E:BO,13,0)</f>
        <v>149</v>
      </c>
      <c r="H496" s="63">
        <f t="shared" si="61"/>
        <v>150</v>
      </c>
      <c r="I496" s="63">
        <f t="shared" si="59"/>
        <v>9.1999999999999993</v>
      </c>
      <c r="J496" s="106">
        <f>VLOOKUP(C496,'RAW DATA 2023'!E:BO,22,0)</f>
        <v>9.9106428571428573</v>
      </c>
      <c r="K496" s="70">
        <f t="shared" si="62"/>
        <v>1.0772437888198758</v>
      </c>
      <c r="L496" s="72">
        <f t="shared" si="60"/>
        <v>9.9106428571428573</v>
      </c>
      <c r="M496" s="109">
        <f t="shared" si="64"/>
        <v>7.6965838509316775</v>
      </c>
      <c r="N496" s="123" t="str">
        <f>VLOOKUP(C496,'RAW DATA 2023'!E:BO,36,0)</f>
        <v>Normal</v>
      </c>
      <c r="O496" s="63">
        <f>VLOOKUP(C496,'RAW DATA 2023'!E:BO,2,0)</f>
        <v>2.52</v>
      </c>
      <c r="P496" s="322">
        <f t="shared" si="63"/>
        <v>19.395391304347829</v>
      </c>
    </row>
    <row r="497" spans="1:16">
      <c r="A497" s="63" t="str">
        <f>'RAW DATA 2023'!B490</f>
        <v>Bo Thong</v>
      </c>
      <c r="B497" s="63" t="str">
        <f>'RAW DATA 2023'!D490</f>
        <v>B1-015-0014</v>
      </c>
      <c r="C497" s="63" t="str">
        <f t="shared" si="57"/>
        <v>Bo ThongB1-015-0014</v>
      </c>
      <c r="D497" s="68">
        <f>VLOOKUP(C497,'RAW DATA 2023'!E:BP,63,0)</f>
        <v>11</v>
      </c>
      <c r="E497" s="68" t="str">
        <f t="shared" si="58"/>
        <v>Bo Thong11</v>
      </c>
      <c r="F497" s="63" t="str">
        <f>VLOOKUP(C497,'RAW DATA 2023'!E:BO,5,0)</f>
        <v>Outdoor</v>
      </c>
      <c r="G497" s="63">
        <f>VLOOKUP(C497,'RAW DATA 2023'!E:BO,13,0)</f>
        <v>113</v>
      </c>
      <c r="H497" s="63">
        <f t="shared" si="61"/>
        <v>100</v>
      </c>
      <c r="I497" s="63">
        <f t="shared" si="59"/>
        <v>6.806</v>
      </c>
      <c r="J497" s="106">
        <f>VLOOKUP(C497,'RAW DATA 2023'!E:BO,22,0)</f>
        <v>3.7303043478260869</v>
      </c>
      <c r="K497" s="70">
        <f t="shared" si="62"/>
        <v>0.54809055948076502</v>
      </c>
      <c r="L497" s="72">
        <f t="shared" si="60"/>
        <v>3.7303043478260869</v>
      </c>
      <c r="M497" s="109">
        <f t="shared" si="64"/>
        <v>0.64120745974353355</v>
      </c>
      <c r="N497" s="123" t="str">
        <f>VLOOKUP(C497,'RAW DATA 2023'!E:BO,36,0)</f>
        <v>EHP</v>
      </c>
      <c r="O497" s="63">
        <f>VLOOKUP(C497,'RAW DATA 2023'!E:BO,2,0)</f>
        <v>2.76</v>
      </c>
      <c r="P497" s="322">
        <f t="shared" si="63"/>
        <v>1.7697325888921525</v>
      </c>
    </row>
    <row r="498" spans="1:16">
      <c r="A498" s="63" t="str">
        <f>'RAW DATA 2023'!B491</f>
        <v>Bo Thong</v>
      </c>
      <c r="B498" s="63" t="str">
        <f>'RAW DATA 2023'!D491</f>
        <v>B1-015-0013</v>
      </c>
      <c r="C498" s="63" t="str">
        <f t="shared" si="57"/>
        <v>Bo ThongB1-015-0013</v>
      </c>
      <c r="D498" s="68">
        <f>VLOOKUP(C498,'RAW DATA 2023'!E:BP,63,0)</f>
        <v>7</v>
      </c>
      <c r="E498" s="68" t="str">
        <f t="shared" si="58"/>
        <v>Bo Thong7</v>
      </c>
      <c r="F498" s="63" t="str">
        <f>VLOOKUP(C498,'RAW DATA 2023'!E:BO,5,0)</f>
        <v>Outdoor</v>
      </c>
      <c r="G498" s="63">
        <f>VLOOKUP(C498,'RAW DATA 2023'!E:BO,13,0)</f>
        <v>226</v>
      </c>
      <c r="H498" s="63">
        <f t="shared" si="61"/>
        <v>200</v>
      </c>
      <c r="I498" s="63">
        <f t="shared" si="59"/>
        <v>11.259</v>
      </c>
      <c r="J498" s="106">
        <f>VLOOKUP(C498,'RAW DATA 2023'!E:BO,22,0)</f>
        <v>9.9862536231884071</v>
      </c>
      <c r="K498" s="70">
        <f t="shared" si="62"/>
        <v>0.88695742278962664</v>
      </c>
      <c r="L498" s="72">
        <f t="shared" si="60"/>
        <v>9.9862536231884071</v>
      </c>
      <c r="M498" s="109">
        <f t="shared" si="64"/>
        <v>5.1594323038616885</v>
      </c>
      <c r="N498" s="123" t="str">
        <f>VLOOKUP(C498,'RAW DATA 2023'!E:BO,36,0)</f>
        <v>อัตรารอดต่ำ</v>
      </c>
      <c r="O498" s="63">
        <f>VLOOKUP(C498,'RAW DATA 2023'!E:BO,2,0)</f>
        <v>2.76</v>
      </c>
      <c r="P498" s="322">
        <f t="shared" si="63"/>
        <v>14.240033158658258</v>
      </c>
    </row>
    <row r="499" spans="1:16">
      <c r="A499" s="63" t="str">
        <f>'RAW DATA 2023'!B492</f>
        <v>Bo Thong</v>
      </c>
      <c r="B499" s="63" t="str">
        <f>'RAW DATA 2023'!D492</f>
        <v>B1-014-0012</v>
      </c>
      <c r="C499" s="63" t="str">
        <f t="shared" si="57"/>
        <v>Bo ThongB1-014-0012</v>
      </c>
      <c r="D499" s="68">
        <f>VLOOKUP(C499,'RAW DATA 2023'!E:BP,63,0)</f>
        <v>6</v>
      </c>
      <c r="E499" s="68" t="str">
        <f t="shared" si="58"/>
        <v>Bo Thong6</v>
      </c>
      <c r="F499" s="63" t="str">
        <f>VLOOKUP(C499,'RAW DATA 2023'!E:BO,5,0)</f>
        <v>Outdoor</v>
      </c>
      <c r="G499" s="63">
        <f>VLOOKUP(C499,'RAW DATA 2023'!E:BO,13,0)</f>
        <v>223</v>
      </c>
      <c r="H499" s="63">
        <f t="shared" si="61"/>
        <v>200</v>
      </c>
      <c r="I499" s="63">
        <f t="shared" si="59"/>
        <v>11.259</v>
      </c>
      <c r="J499" s="106">
        <f>VLOOKUP(C499,'RAW DATA 2023'!E:BO,22,0)</f>
        <v>11.920063492063493</v>
      </c>
      <c r="K499" s="70">
        <f t="shared" si="62"/>
        <v>1.0587142279122028</v>
      </c>
      <c r="L499" s="72">
        <f t="shared" si="60"/>
        <v>11.920063492063493</v>
      </c>
      <c r="M499" s="109">
        <f t="shared" si="64"/>
        <v>7.4495230388293709</v>
      </c>
      <c r="N499" s="123" t="str">
        <f>VLOOKUP(C499,'RAW DATA 2023'!E:BO,36,0)</f>
        <v>Normal</v>
      </c>
      <c r="O499" s="63">
        <f>VLOOKUP(C499,'RAW DATA 2023'!E:BO,2,0)</f>
        <v>2.52</v>
      </c>
      <c r="P499" s="322">
        <f t="shared" si="63"/>
        <v>18.772798057850014</v>
      </c>
    </row>
    <row r="500" spans="1:16">
      <c r="A500" s="63" t="str">
        <f>'RAW DATA 2023'!B493</f>
        <v>Bo Thong</v>
      </c>
      <c r="B500" s="63" t="str">
        <f>'RAW DATA 2023'!D493</f>
        <v>B1-013-0013</v>
      </c>
      <c r="C500" s="63" t="str">
        <f t="shared" si="57"/>
        <v>Bo ThongB1-013-0013</v>
      </c>
      <c r="D500" s="68">
        <f>VLOOKUP(C500,'RAW DATA 2023'!E:BP,63,0)</f>
        <v>6</v>
      </c>
      <c r="E500" s="68" t="str">
        <f t="shared" si="58"/>
        <v>Bo Thong6</v>
      </c>
      <c r="F500" s="63" t="str">
        <f>VLOOKUP(C500,'RAW DATA 2023'!E:BO,5,0)</f>
        <v>Outdoor</v>
      </c>
      <c r="G500" s="63">
        <f>VLOOKUP(C500,'RAW DATA 2023'!E:BO,13,0)</f>
        <v>226</v>
      </c>
      <c r="H500" s="63">
        <f t="shared" si="61"/>
        <v>200</v>
      </c>
      <c r="I500" s="63">
        <f t="shared" si="59"/>
        <v>11.259</v>
      </c>
      <c r="J500" s="106">
        <f>VLOOKUP(C500,'RAW DATA 2023'!E:BO,22,0)</f>
        <v>7.8226376811594207</v>
      </c>
      <c r="K500" s="70">
        <f t="shared" si="62"/>
        <v>0.69478973986672177</v>
      </c>
      <c r="L500" s="72">
        <f t="shared" si="60"/>
        <v>7.8226376811594207</v>
      </c>
      <c r="M500" s="109">
        <f t="shared" si="64"/>
        <v>2.5971965315562904</v>
      </c>
      <c r="N500" s="123" t="str">
        <f>VLOOKUP(C500,'RAW DATA 2023'!E:BO,36,0)</f>
        <v>Melanization</v>
      </c>
      <c r="O500" s="63">
        <f>VLOOKUP(C500,'RAW DATA 2023'!E:BO,2,0)</f>
        <v>2.76</v>
      </c>
      <c r="P500" s="322">
        <f t="shared" si="63"/>
        <v>7.1682624270953612</v>
      </c>
    </row>
    <row r="501" spans="1:16">
      <c r="A501" s="63" t="str">
        <f>'RAW DATA 2023'!B494</f>
        <v>Bo Thong</v>
      </c>
      <c r="B501" s="63" t="str">
        <f>'RAW DATA 2023'!D494</f>
        <v>B1-014-0011</v>
      </c>
      <c r="C501" s="63" t="str">
        <f t="shared" si="57"/>
        <v>Bo ThongB1-014-0011</v>
      </c>
      <c r="D501" s="68">
        <f>VLOOKUP(C501,'RAW DATA 2023'!E:BP,63,0)</f>
        <v>3</v>
      </c>
      <c r="E501" s="68" t="str">
        <f t="shared" si="58"/>
        <v>Bo Thong3</v>
      </c>
      <c r="F501" s="63" t="str">
        <f>VLOOKUP(C501,'RAW DATA 2023'!E:BO,5,0)</f>
        <v>Outdoor</v>
      </c>
      <c r="G501" s="63">
        <f>VLOOKUP(C501,'RAW DATA 2023'!E:BO,13,0)</f>
        <v>112</v>
      </c>
      <c r="H501" s="63">
        <f t="shared" si="61"/>
        <v>100</v>
      </c>
      <c r="I501" s="63">
        <f t="shared" si="59"/>
        <v>6.806</v>
      </c>
      <c r="J501" s="106">
        <f>VLOOKUP(C501,'RAW DATA 2023'!E:BO,22,0)</f>
        <v>9.3843650793650788</v>
      </c>
      <c r="K501" s="70">
        <f t="shared" si="62"/>
        <v>1.3788370672002761</v>
      </c>
      <c r="L501" s="72">
        <f t="shared" si="60"/>
        <v>9.3843650793650788</v>
      </c>
      <c r="M501" s="109">
        <f t="shared" si="64"/>
        <v>11.717827562670349</v>
      </c>
      <c r="N501" s="123" t="str">
        <f>VLOOKUP(C501,'RAW DATA 2023'!E:BO,36,0)</f>
        <v>Normal</v>
      </c>
      <c r="O501" s="63">
        <f>VLOOKUP(C501,'RAW DATA 2023'!E:BO,2,0)</f>
        <v>2.52</v>
      </c>
      <c r="P501" s="322">
        <f t="shared" si="63"/>
        <v>29.528925457929279</v>
      </c>
    </row>
    <row r="502" spans="1:16">
      <c r="A502" s="63" t="str">
        <f>'RAW DATA 2023'!B495</f>
        <v>Bo Thong</v>
      </c>
      <c r="B502" s="63" t="str">
        <f>'RAW DATA 2023'!D495</f>
        <v>B1-010-0010</v>
      </c>
      <c r="C502" s="63" t="str">
        <f t="shared" si="57"/>
        <v>Bo ThongB1-010-0010</v>
      </c>
      <c r="D502" s="68">
        <f>VLOOKUP(C502,'RAW DATA 2023'!E:BP,63,0)</f>
        <v>4</v>
      </c>
      <c r="E502" s="68" t="str">
        <f t="shared" si="58"/>
        <v>Bo Thong4</v>
      </c>
      <c r="F502" s="63" t="str">
        <f>VLOOKUP(C502,'RAW DATA 2023'!E:BO,5,0)</f>
        <v>Outdoor</v>
      </c>
      <c r="G502" s="63">
        <f>VLOOKUP(C502,'RAW DATA 2023'!E:BO,13,0)</f>
        <v>196</v>
      </c>
      <c r="H502" s="63">
        <f t="shared" si="61"/>
        <v>200</v>
      </c>
      <c r="I502" s="63">
        <f t="shared" si="59"/>
        <v>11.259</v>
      </c>
      <c r="J502" s="106">
        <f>VLOOKUP(C502,'RAW DATA 2023'!E:BO,22,0)</f>
        <v>11.752227557411272</v>
      </c>
      <c r="K502" s="70">
        <f t="shared" si="62"/>
        <v>1.0438074036247689</v>
      </c>
      <c r="L502" s="72">
        <f t="shared" si="60"/>
        <v>11.752227557411272</v>
      </c>
      <c r="M502" s="109">
        <f t="shared" si="64"/>
        <v>7.2507653816635855</v>
      </c>
      <c r="N502" s="123" t="str">
        <f>VLOOKUP(C502,'RAW DATA 2023'!E:BO,36,0)</f>
        <v>Normal</v>
      </c>
      <c r="O502" s="63">
        <f>VLOOKUP(C502,'RAW DATA 2023'!E:BO,2,0)</f>
        <v>4.79</v>
      </c>
      <c r="P502" s="322">
        <f t="shared" si="63"/>
        <v>34.731166178168571</v>
      </c>
    </row>
    <row r="503" spans="1:16">
      <c r="A503" s="63" t="str">
        <f>'RAW DATA 2023'!B496</f>
        <v>Bo Thong</v>
      </c>
      <c r="B503" s="63" t="str">
        <f>'RAW DATA 2023'!D496</f>
        <v>B1-015-0012</v>
      </c>
      <c r="C503" s="63" t="str">
        <f t="shared" si="57"/>
        <v>Bo ThongB1-015-0012</v>
      </c>
      <c r="D503" s="68">
        <f>VLOOKUP(C503,'RAW DATA 2023'!E:BP,63,0)</f>
        <v>3</v>
      </c>
      <c r="E503" s="68" t="str">
        <f t="shared" si="58"/>
        <v>Bo Thong3</v>
      </c>
      <c r="F503" s="63" t="str">
        <f>VLOOKUP(C503,'RAW DATA 2023'!E:BO,5,0)</f>
        <v>Outdoor</v>
      </c>
      <c r="G503" s="63">
        <f>VLOOKUP(C503,'RAW DATA 2023'!E:BO,13,0)</f>
        <v>102</v>
      </c>
      <c r="H503" s="63">
        <f t="shared" si="61"/>
        <v>100</v>
      </c>
      <c r="I503" s="63">
        <f t="shared" si="59"/>
        <v>6.806</v>
      </c>
      <c r="J503" s="106">
        <f>VLOOKUP(C503,'RAW DATA 2023'!E:BO,22,0)</f>
        <v>8.3971485507246388</v>
      </c>
      <c r="K503" s="70">
        <f t="shared" si="62"/>
        <v>1.2337861520312428</v>
      </c>
      <c r="L503" s="72">
        <f t="shared" si="60"/>
        <v>8.3971485507246388</v>
      </c>
      <c r="M503" s="109">
        <f t="shared" si="64"/>
        <v>9.7838153604165701</v>
      </c>
      <c r="N503" s="123" t="str">
        <f>VLOOKUP(C503,'RAW DATA 2023'!E:BO,36,0)</f>
        <v>Normal</v>
      </c>
      <c r="O503" s="63">
        <f>VLOOKUP(C503,'RAW DATA 2023'!E:BO,2,0)</f>
        <v>2.76</v>
      </c>
      <c r="P503" s="322">
        <f t="shared" si="63"/>
        <v>27.003330394749732</v>
      </c>
    </row>
    <row r="504" spans="1:16">
      <c r="A504" s="63" t="str">
        <f>'RAW DATA 2023'!B497</f>
        <v>Bo Thong</v>
      </c>
      <c r="B504" s="63" t="str">
        <f>'RAW DATA 2023'!D497</f>
        <v>B1-011-0012</v>
      </c>
      <c r="C504" s="63" t="str">
        <f t="shared" si="57"/>
        <v>Bo ThongB1-011-0012</v>
      </c>
      <c r="D504" s="68">
        <f>VLOOKUP(C504,'RAW DATA 2023'!E:BP,63,0)</f>
        <v>3</v>
      </c>
      <c r="E504" s="68" t="str">
        <f t="shared" si="58"/>
        <v>Bo Thong3</v>
      </c>
      <c r="F504" s="63" t="str">
        <f>VLOOKUP(C504,'RAW DATA 2023'!E:BO,5,0)</f>
        <v>Outdoor</v>
      </c>
      <c r="G504" s="63">
        <f>VLOOKUP(C504,'RAW DATA 2023'!E:BO,13,0)</f>
        <v>130</v>
      </c>
      <c r="H504" s="63">
        <f t="shared" si="61"/>
        <v>100</v>
      </c>
      <c r="I504" s="63">
        <f t="shared" si="59"/>
        <v>6.806</v>
      </c>
      <c r="J504" s="106">
        <f>VLOOKUP(C504,'RAW DATA 2023'!E:BO,22,0)</f>
        <v>9.183692041522491</v>
      </c>
      <c r="K504" s="70">
        <f t="shared" si="62"/>
        <v>1.3493523422748297</v>
      </c>
      <c r="L504" s="72">
        <f t="shared" si="60"/>
        <v>9.183692041522491</v>
      </c>
      <c r="M504" s="109">
        <f t="shared" si="64"/>
        <v>11.32469789699773</v>
      </c>
      <c r="N504" s="123" t="str">
        <f>VLOOKUP(C504,'RAW DATA 2023'!E:BO,36,0)</f>
        <v>Normal</v>
      </c>
      <c r="O504" s="63">
        <f>VLOOKUP(C504,'RAW DATA 2023'!E:BO,2,0)</f>
        <v>2.89</v>
      </c>
      <c r="P504" s="322">
        <f t="shared" si="63"/>
        <v>32.728376922323442</v>
      </c>
    </row>
    <row r="505" spans="1:16">
      <c r="A505" s="63" t="str">
        <f>'RAW DATA 2023'!B498</f>
        <v>Bo Thong</v>
      </c>
      <c r="B505" s="63" t="str">
        <f>'RAW DATA 2023'!D498</f>
        <v>B1-010-0011</v>
      </c>
      <c r="C505" s="63" t="str">
        <f t="shared" si="57"/>
        <v>Bo ThongB1-010-0011</v>
      </c>
      <c r="D505" s="68">
        <f>VLOOKUP(C505,'RAW DATA 2023'!E:BP,63,0)</f>
        <v>7</v>
      </c>
      <c r="E505" s="68" t="str">
        <f t="shared" si="58"/>
        <v>Bo Thong7</v>
      </c>
      <c r="F505" s="63" t="str">
        <f>VLOOKUP(C505,'RAW DATA 2023'!E:BO,5,0)</f>
        <v>Outdoor</v>
      </c>
      <c r="G505" s="63">
        <f>VLOOKUP(C505,'RAW DATA 2023'!E:BO,13,0)</f>
        <v>217</v>
      </c>
      <c r="H505" s="63">
        <f t="shared" si="61"/>
        <v>200</v>
      </c>
      <c r="I505" s="63">
        <f t="shared" si="59"/>
        <v>11.259</v>
      </c>
      <c r="J505" s="106">
        <f>VLOOKUP(C505,'RAW DATA 2023'!E:BO,22,0)</f>
        <v>8.5513048016701454</v>
      </c>
      <c r="K505" s="70">
        <f t="shared" si="62"/>
        <v>0.7595083756701434</v>
      </c>
      <c r="L505" s="72">
        <f t="shared" si="60"/>
        <v>8.5513048016701454</v>
      </c>
      <c r="M505" s="109">
        <f t="shared" si="64"/>
        <v>3.4601116756019121</v>
      </c>
      <c r="N505" s="123" t="str">
        <f>VLOOKUP(C505,'RAW DATA 2023'!E:BO,36,0)</f>
        <v>ทยอยตาย</v>
      </c>
      <c r="O505" s="63">
        <f>VLOOKUP(C505,'RAW DATA 2023'!E:BO,2,0)</f>
        <v>4.79</v>
      </c>
      <c r="P505" s="322">
        <f t="shared" si="63"/>
        <v>16.573934926133159</v>
      </c>
    </row>
    <row r="506" spans="1:16">
      <c r="A506" s="63" t="str">
        <f>'RAW DATA 2023'!B499</f>
        <v>Bo Thong</v>
      </c>
      <c r="B506" s="63" t="str">
        <f>'RAW DATA 2023'!D499</f>
        <v>B1-013-0012</v>
      </c>
      <c r="C506" s="63" t="str">
        <f t="shared" si="57"/>
        <v>Bo ThongB1-013-0012</v>
      </c>
      <c r="D506" s="68">
        <f>VLOOKUP(C506,'RAW DATA 2023'!E:BP,63,0)</f>
        <v>3</v>
      </c>
      <c r="E506" s="68" t="str">
        <f t="shared" si="58"/>
        <v>Bo Thong3</v>
      </c>
      <c r="F506" s="63" t="str">
        <f>VLOOKUP(C506,'RAW DATA 2023'!E:BO,5,0)</f>
        <v>Outdoor</v>
      </c>
      <c r="G506" s="63">
        <f>VLOOKUP(C506,'RAW DATA 2023'!E:BO,13,0)</f>
        <v>147</v>
      </c>
      <c r="H506" s="63">
        <f t="shared" si="61"/>
        <v>150</v>
      </c>
      <c r="I506" s="63">
        <f t="shared" si="59"/>
        <v>9.1999999999999993</v>
      </c>
      <c r="J506" s="106">
        <f>VLOOKUP(C506,'RAW DATA 2023'!E:BO,22,0)</f>
        <v>9.6329456521739125</v>
      </c>
      <c r="K506" s="70">
        <f t="shared" si="62"/>
        <v>1.0470593100189036</v>
      </c>
      <c r="L506" s="72">
        <f t="shared" si="60"/>
        <v>9.6329456521739125</v>
      </c>
      <c r="M506" s="109">
        <f t="shared" si="64"/>
        <v>7.2941241335853819</v>
      </c>
      <c r="N506" s="123" t="str">
        <f>VLOOKUP(C506,'RAW DATA 2023'!E:BO,36,0)</f>
        <v>Normal</v>
      </c>
      <c r="O506" s="63">
        <f>VLOOKUP(C506,'RAW DATA 2023'!E:BO,2,0)</f>
        <v>2.76</v>
      </c>
      <c r="P506" s="322">
        <f t="shared" si="63"/>
        <v>20.131782608695652</v>
      </c>
    </row>
    <row r="507" spans="1:16">
      <c r="A507" s="63" t="str">
        <f>'RAW DATA 2023'!B500</f>
        <v>Bo Thong</v>
      </c>
      <c r="B507" s="63" t="str">
        <f>'RAW DATA 2023'!D500</f>
        <v>B1-011-0013</v>
      </c>
      <c r="C507" s="63" t="str">
        <f t="shared" si="57"/>
        <v>Bo ThongB1-011-0013</v>
      </c>
      <c r="D507" s="68">
        <f>VLOOKUP(C507,'RAW DATA 2023'!E:BP,63,0)</f>
        <v>7</v>
      </c>
      <c r="E507" s="68" t="str">
        <f t="shared" si="58"/>
        <v>Bo Thong7</v>
      </c>
      <c r="F507" s="63" t="str">
        <f>VLOOKUP(C507,'RAW DATA 2023'!E:BO,5,0)</f>
        <v>Outdoor</v>
      </c>
      <c r="G507" s="63">
        <f>VLOOKUP(C507,'RAW DATA 2023'!E:BO,13,0)</f>
        <v>216</v>
      </c>
      <c r="H507" s="63">
        <f t="shared" si="61"/>
        <v>200</v>
      </c>
      <c r="I507" s="63">
        <f t="shared" si="59"/>
        <v>11.259</v>
      </c>
      <c r="J507" s="106">
        <f>VLOOKUP(C507,'RAW DATA 2023'!E:BO,22,0)</f>
        <v>10.54811418685121</v>
      </c>
      <c r="K507" s="70">
        <f t="shared" si="62"/>
        <v>0.93686066141319924</v>
      </c>
      <c r="L507" s="72">
        <f t="shared" si="60"/>
        <v>10.54811418685121</v>
      </c>
      <c r="M507" s="109">
        <f t="shared" si="64"/>
        <v>5.8248088188426568</v>
      </c>
      <c r="N507" s="123" t="str">
        <f>VLOOKUP(C507,'RAW DATA 2023'!E:BO,36,0)</f>
        <v>ทยอยตาย</v>
      </c>
      <c r="O507" s="63">
        <f>VLOOKUP(C507,'RAW DATA 2023'!E:BO,2,0)</f>
        <v>2.89</v>
      </c>
      <c r="P507" s="322">
        <f t="shared" si="63"/>
        <v>16.833697486455279</v>
      </c>
    </row>
    <row r="508" spans="1:16">
      <c r="A508" s="63" t="str">
        <f>'RAW DATA 2023'!B501</f>
        <v>Bo Thong</v>
      </c>
      <c r="B508" s="63" t="str">
        <f>'RAW DATA 2023'!D501</f>
        <v>BG-001-0012</v>
      </c>
      <c r="C508" s="63" t="str">
        <f t="shared" si="57"/>
        <v>Bo ThongBG-001-0012</v>
      </c>
      <c r="D508" s="68">
        <f>VLOOKUP(C508,'RAW DATA 2023'!E:BP,63,0)</f>
        <v>7</v>
      </c>
      <c r="E508" s="68" t="str">
        <f t="shared" si="58"/>
        <v>Bo Thong7</v>
      </c>
      <c r="F508" s="63" t="str">
        <f>VLOOKUP(C508,'RAW DATA 2023'!E:BO,5,0)</f>
        <v>Greenhouse</v>
      </c>
      <c r="G508" s="63">
        <f>VLOOKUP(C508,'RAW DATA 2023'!E:BO,13,0)</f>
        <v>163</v>
      </c>
      <c r="H508" s="63">
        <f t="shared" si="61"/>
        <v>150</v>
      </c>
      <c r="I508" s="63">
        <f t="shared" si="59"/>
        <v>9.1999999999999993</v>
      </c>
      <c r="J508" s="106">
        <f>VLOOKUP(C508,'RAW DATA 2023'!E:BO,22,0)</f>
        <v>4.1880312499999999</v>
      </c>
      <c r="K508" s="70">
        <f t="shared" si="62"/>
        <v>0.45522078804347826</v>
      </c>
      <c r="L508" s="72">
        <f t="shared" si="60"/>
        <v>4.1880312499999999</v>
      </c>
      <c r="M508" s="109">
        <f t="shared" si="64"/>
        <v>-0.59705615942028989</v>
      </c>
      <c r="N508" s="123" t="str">
        <f>VLOOKUP(C508,'RAW DATA 2023'!E:BO,36,0)</f>
        <v>EHP</v>
      </c>
      <c r="O508" s="63">
        <f>VLOOKUP(C508,'RAW DATA 2023'!E:BO,2,0)</f>
        <v>1.92</v>
      </c>
      <c r="P508" s="322">
        <f t="shared" si="63"/>
        <v>-1.1463478260869566</v>
      </c>
    </row>
    <row r="509" spans="1:16">
      <c r="A509" s="63" t="str">
        <f>'RAW DATA 2023'!B502</f>
        <v>Bangsakao</v>
      </c>
      <c r="B509" s="63" t="str">
        <f>'RAW DATA 2023'!D502</f>
        <v>DG-005-0025</v>
      </c>
      <c r="C509" s="63" t="str">
        <f t="shared" si="57"/>
        <v>BangsakaoDG-005-0025</v>
      </c>
      <c r="D509" s="68">
        <f>VLOOKUP(C509,'RAW DATA 2023'!E:BP,63,0)</f>
        <v>5</v>
      </c>
      <c r="E509" s="68" t="str">
        <f t="shared" si="58"/>
        <v>Bangsakao5</v>
      </c>
      <c r="F509" s="63" t="str">
        <f>VLOOKUP(C509,'RAW DATA 2023'!E:BO,5,0)</f>
        <v>Greenhouse</v>
      </c>
      <c r="G509" s="63">
        <f>VLOOKUP(C509,'RAW DATA 2023'!E:BO,13,0)</f>
        <v>188</v>
      </c>
      <c r="H509" s="63">
        <f t="shared" si="61"/>
        <v>180</v>
      </c>
      <c r="I509" s="63">
        <f t="shared" si="59"/>
        <v>10.247</v>
      </c>
      <c r="J509" s="106">
        <f>VLOOKUP(C509,'RAW DATA 2023'!E:BO,22,0)</f>
        <v>10.940895000000001</v>
      </c>
      <c r="K509" s="70">
        <f t="shared" si="62"/>
        <v>1.0677168927490974</v>
      </c>
      <c r="L509" s="72">
        <f t="shared" si="60"/>
        <v>10.940895000000001</v>
      </c>
      <c r="M509" s="109">
        <f t="shared" si="64"/>
        <v>7.5695585699879659</v>
      </c>
      <c r="N509" s="123" t="str">
        <f>VLOOKUP(C509,'RAW DATA 2023'!E:BO,36,0)</f>
        <v>Normal</v>
      </c>
      <c r="O509" s="63">
        <f>VLOOKUP(C509,'RAW DATA 2023'!E:BO,2,0)</f>
        <v>2</v>
      </c>
      <c r="P509" s="322">
        <f t="shared" si="63"/>
        <v>15.139117139975932</v>
      </c>
    </row>
    <row r="510" spans="1:16">
      <c r="A510" s="63" t="str">
        <f>'RAW DATA 2023'!B503</f>
        <v>Bangsakao</v>
      </c>
      <c r="B510" s="63" t="str">
        <f>'RAW DATA 2023'!D503</f>
        <v>DG-002-0025</v>
      </c>
      <c r="C510" s="63" t="str">
        <f t="shared" si="57"/>
        <v>BangsakaoDG-002-0025</v>
      </c>
      <c r="D510" s="68">
        <f>VLOOKUP(C510,'RAW DATA 2023'!E:BP,63,0)</f>
        <v>8</v>
      </c>
      <c r="E510" s="68" t="str">
        <f t="shared" si="58"/>
        <v>Bangsakao8</v>
      </c>
      <c r="F510" s="63" t="str">
        <f>VLOOKUP(C510,'RAW DATA 2023'!E:BO,5,0)</f>
        <v>Greenhouse</v>
      </c>
      <c r="G510" s="63">
        <f>VLOOKUP(C510,'RAW DATA 2023'!E:BO,13,0)</f>
        <v>188</v>
      </c>
      <c r="H510" s="63">
        <f t="shared" si="61"/>
        <v>180</v>
      </c>
      <c r="I510" s="63">
        <f t="shared" si="59"/>
        <v>10.247</v>
      </c>
      <c r="J510" s="106">
        <f>VLOOKUP(C510,'RAW DATA 2023'!E:BO,22,0)</f>
        <v>9.7317700000000009</v>
      </c>
      <c r="K510" s="70">
        <f t="shared" si="62"/>
        <v>0.94971894212940378</v>
      </c>
      <c r="L510" s="72">
        <f t="shared" si="60"/>
        <v>9.7317700000000009</v>
      </c>
      <c r="M510" s="109">
        <f t="shared" si="64"/>
        <v>5.9962525617253837</v>
      </c>
      <c r="N510" s="123" t="str">
        <f>VLOOKUP(C510,'RAW DATA 2023'!E:BO,36,0)</f>
        <v>Normal</v>
      </c>
      <c r="O510" s="63">
        <f>VLOOKUP(C510,'RAW DATA 2023'!E:BO,2,0)</f>
        <v>2</v>
      </c>
      <c r="P510" s="322">
        <f t="shared" si="63"/>
        <v>11.992505123450767</v>
      </c>
    </row>
    <row r="511" spans="1:16">
      <c r="A511" s="63" t="str">
        <f>'RAW DATA 2023'!B504</f>
        <v>Bangsakao</v>
      </c>
      <c r="B511" s="63" t="str">
        <f>'RAW DATA 2023'!D504</f>
        <v>DG-004-0023</v>
      </c>
      <c r="C511" s="63" t="str">
        <f t="shared" si="57"/>
        <v>BangsakaoDG-004-0023</v>
      </c>
      <c r="D511" s="68">
        <f>VLOOKUP(C511,'RAW DATA 2023'!E:BP,63,0)</f>
        <v>6</v>
      </c>
      <c r="E511" s="68" t="str">
        <f t="shared" si="58"/>
        <v>Bangsakao6</v>
      </c>
      <c r="F511" s="63" t="str">
        <f>VLOOKUP(C511,'RAW DATA 2023'!E:BO,5,0)</f>
        <v>Greenhouse</v>
      </c>
      <c r="G511" s="63">
        <f>VLOOKUP(C511,'RAW DATA 2023'!E:BO,13,0)</f>
        <v>184</v>
      </c>
      <c r="H511" s="63">
        <f t="shared" si="61"/>
        <v>180</v>
      </c>
      <c r="I511" s="63">
        <f t="shared" si="59"/>
        <v>10.247</v>
      </c>
      <c r="J511" s="106">
        <f>VLOOKUP(C511,'RAW DATA 2023'!E:BO,22,0)</f>
        <v>11.235989999999999</v>
      </c>
      <c r="K511" s="70">
        <f t="shared" si="62"/>
        <v>1.0965150775836829</v>
      </c>
      <c r="L511" s="72">
        <f t="shared" si="60"/>
        <v>11.235989999999999</v>
      </c>
      <c r="M511" s="109">
        <f t="shared" si="64"/>
        <v>7.9535343677824395</v>
      </c>
      <c r="N511" s="123" t="str">
        <f>VLOOKUP(C511,'RAW DATA 2023'!E:BO,36,0)</f>
        <v>Normal</v>
      </c>
      <c r="O511" s="63">
        <f>VLOOKUP(C511,'RAW DATA 2023'!E:BO,2,0)</f>
        <v>2</v>
      </c>
      <c r="P511" s="322">
        <f t="shared" si="63"/>
        <v>15.907068735564879</v>
      </c>
    </row>
    <row r="512" spans="1:16">
      <c r="A512" s="63" t="str">
        <f>'RAW DATA 2023'!B505</f>
        <v>Bangsakao</v>
      </c>
      <c r="B512" s="63" t="str">
        <f>'RAW DATA 2023'!D505</f>
        <v>DG-003-0025</v>
      </c>
      <c r="C512" s="63" t="str">
        <f t="shared" si="57"/>
        <v>BangsakaoDG-003-0025</v>
      </c>
      <c r="D512" s="68">
        <f>VLOOKUP(C512,'RAW DATA 2023'!E:BP,63,0)</f>
        <v>7</v>
      </c>
      <c r="E512" s="68" t="str">
        <f t="shared" si="58"/>
        <v>Bangsakao7</v>
      </c>
      <c r="F512" s="63" t="str">
        <f>VLOOKUP(C512,'RAW DATA 2023'!E:BO,5,0)</f>
        <v>Greenhouse</v>
      </c>
      <c r="G512" s="63">
        <f>VLOOKUP(C512,'RAW DATA 2023'!E:BO,13,0)</f>
        <v>219</v>
      </c>
      <c r="H512" s="63">
        <f t="shared" si="61"/>
        <v>200</v>
      </c>
      <c r="I512" s="63">
        <f t="shared" si="59"/>
        <v>11.259</v>
      </c>
      <c r="J512" s="106">
        <f>VLOOKUP(C512,'RAW DATA 2023'!E:BO,22,0)</f>
        <v>11.475621052631579</v>
      </c>
      <c r="K512" s="70">
        <f t="shared" si="62"/>
        <v>1.0192398128281002</v>
      </c>
      <c r="L512" s="72">
        <f t="shared" si="60"/>
        <v>11.475621052631579</v>
      </c>
      <c r="M512" s="109">
        <f t="shared" si="64"/>
        <v>6.9231975043746692</v>
      </c>
      <c r="N512" s="123" t="str">
        <f>VLOOKUP(C512,'RAW DATA 2023'!E:BO,36,0)</f>
        <v>Normal</v>
      </c>
      <c r="O512" s="63">
        <f>VLOOKUP(C512,'RAW DATA 2023'!E:BO,2,0)</f>
        <v>1.9</v>
      </c>
      <c r="P512" s="322">
        <f t="shared" si="63"/>
        <v>13.15407525831187</v>
      </c>
    </row>
    <row r="513" spans="1:16">
      <c r="A513" s="63" t="str">
        <f>'RAW DATA 2023'!B506</f>
        <v>Bangsakao</v>
      </c>
      <c r="B513" s="63" t="str">
        <f>'RAW DATA 2023'!D506</f>
        <v>DG-005-0024</v>
      </c>
      <c r="C513" s="63" t="str">
        <f t="shared" si="57"/>
        <v>BangsakaoDG-005-0024</v>
      </c>
      <c r="D513" s="68">
        <f>VLOOKUP(C513,'RAW DATA 2023'!E:BP,63,0)</f>
        <v>1</v>
      </c>
      <c r="E513" s="68" t="str">
        <f t="shared" si="58"/>
        <v>Bangsakao1</v>
      </c>
      <c r="F513" s="63" t="str">
        <f>VLOOKUP(C513,'RAW DATA 2023'!E:BO,5,0)</f>
        <v>Greenhouse</v>
      </c>
      <c r="G513" s="63">
        <f>VLOOKUP(C513,'RAW DATA 2023'!E:BO,13,0)</f>
        <v>167</v>
      </c>
      <c r="H513" s="63">
        <f t="shared" si="61"/>
        <v>180</v>
      </c>
      <c r="I513" s="63">
        <f t="shared" si="59"/>
        <v>10.247</v>
      </c>
      <c r="J513" s="106">
        <f>VLOOKUP(C513,'RAW DATA 2023'!E:BO,22,0)</f>
        <v>9.1268999999999991</v>
      </c>
      <c r="K513" s="70">
        <f t="shared" si="62"/>
        <v>0.89068995803649842</v>
      </c>
      <c r="L513" s="72">
        <f t="shared" si="60"/>
        <v>9.1268999999999991</v>
      </c>
      <c r="M513" s="109">
        <f t="shared" si="64"/>
        <v>5.2091994404866462</v>
      </c>
      <c r="N513" s="123" t="str">
        <f>VLOOKUP(C513,'RAW DATA 2023'!E:BO,36,0)</f>
        <v>Normal</v>
      </c>
      <c r="O513" s="63">
        <f>VLOOKUP(C513,'RAW DATA 2023'!E:BO,2,0)</f>
        <v>2</v>
      </c>
      <c r="P513" s="322">
        <f t="shared" si="63"/>
        <v>10.418398880973292</v>
      </c>
    </row>
    <row r="514" spans="1:16">
      <c r="A514" s="63" t="str">
        <f>'RAW DATA 2023'!B507</f>
        <v>Bangsakao</v>
      </c>
      <c r="B514" s="63" t="str">
        <f>'RAW DATA 2023'!D507</f>
        <v>DG-006-0026</v>
      </c>
      <c r="C514" s="63" t="str">
        <f t="shared" si="57"/>
        <v>BangsakaoDG-006-0026</v>
      </c>
      <c r="D514" s="68">
        <f>VLOOKUP(C514,'RAW DATA 2023'!E:BP,63,0)</f>
        <v>6</v>
      </c>
      <c r="E514" s="68" t="str">
        <f t="shared" si="58"/>
        <v>Bangsakao6</v>
      </c>
      <c r="F514" s="63" t="str">
        <f>VLOOKUP(C514,'RAW DATA 2023'!E:BO,5,0)</f>
        <v>Greenhouse</v>
      </c>
      <c r="G514" s="63">
        <f>VLOOKUP(C514,'RAW DATA 2023'!E:BO,13,0)</f>
        <v>188</v>
      </c>
      <c r="H514" s="63">
        <f t="shared" si="61"/>
        <v>180</v>
      </c>
      <c r="I514" s="63">
        <f t="shared" si="59"/>
        <v>10.247</v>
      </c>
      <c r="J514" s="106">
        <f>VLOOKUP(C514,'RAW DATA 2023'!E:BO,22,0)</f>
        <v>6.0914399999999995</v>
      </c>
      <c r="K514" s="70">
        <f t="shared" si="62"/>
        <v>0.59446081780033178</v>
      </c>
      <c r="L514" s="72">
        <f t="shared" si="60"/>
        <v>6.0914399999999995</v>
      </c>
      <c r="M514" s="109">
        <f t="shared" si="64"/>
        <v>1.2594775706710903</v>
      </c>
      <c r="N514" s="123" t="str">
        <f>VLOOKUP(C514,'RAW DATA 2023'!E:BO,36,0)</f>
        <v>EHP</v>
      </c>
      <c r="O514" s="63">
        <f>VLOOKUP(C514,'RAW DATA 2023'!E:BO,2,0)</f>
        <v>2</v>
      </c>
      <c r="P514" s="322">
        <f t="shared" si="63"/>
        <v>2.5189551413421807</v>
      </c>
    </row>
    <row r="515" spans="1:16">
      <c r="A515" s="63" t="str">
        <f>'RAW DATA 2023'!B508</f>
        <v>Bangsakao</v>
      </c>
      <c r="B515" s="63" t="str">
        <f>'RAW DATA 2023'!D508</f>
        <v>DG-004-0022</v>
      </c>
      <c r="C515" s="63" t="str">
        <f t="shared" si="57"/>
        <v>BangsakaoDG-004-0022</v>
      </c>
      <c r="D515" s="68">
        <f>VLOOKUP(C515,'RAW DATA 2023'!E:BP,63,0)</f>
        <v>2</v>
      </c>
      <c r="E515" s="68" t="str">
        <f t="shared" si="58"/>
        <v>Bangsakao2</v>
      </c>
      <c r="F515" s="63" t="str">
        <f>VLOOKUP(C515,'RAW DATA 2023'!E:BO,5,0)</f>
        <v>Greenhouse</v>
      </c>
      <c r="G515" s="63">
        <f>VLOOKUP(C515,'RAW DATA 2023'!E:BO,13,0)</f>
        <v>167</v>
      </c>
      <c r="H515" s="63">
        <f t="shared" si="61"/>
        <v>180</v>
      </c>
      <c r="I515" s="63">
        <f t="shared" si="59"/>
        <v>10.247</v>
      </c>
      <c r="J515" s="106">
        <f>VLOOKUP(C515,'RAW DATA 2023'!E:BO,22,0)</f>
        <v>9.87425</v>
      </c>
      <c r="K515" s="70">
        <f t="shared" si="62"/>
        <v>0.96362349956084703</v>
      </c>
      <c r="L515" s="72">
        <f t="shared" si="60"/>
        <v>9.87425</v>
      </c>
      <c r="M515" s="109">
        <f t="shared" si="64"/>
        <v>6.1816466608112943</v>
      </c>
      <c r="N515" s="123" t="str">
        <f>VLOOKUP(C515,'RAW DATA 2023'!E:BO,36,0)</f>
        <v>Normal</v>
      </c>
      <c r="O515" s="63">
        <f>VLOOKUP(C515,'RAW DATA 2023'!E:BO,2,0)</f>
        <v>2</v>
      </c>
      <c r="P515" s="322">
        <f t="shared" si="63"/>
        <v>12.363293321622589</v>
      </c>
    </row>
    <row r="516" spans="1:16">
      <c r="A516" s="63" t="str">
        <f>'RAW DATA 2023'!B509</f>
        <v>Bangsakao</v>
      </c>
      <c r="B516" s="63" t="str">
        <f>'RAW DATA 2023'!D509</f>
        <v>DG-006-0025</v>
      </c>
      <c r="C516" s="63" t="str">
        <f t="shared" si="57"/>
        <v>BangsakaoDG-006-0025</v>
      </c>
      <c r="D516" s="68">
        <f>VLOOKUP(C516,'RAW DATA 2023'!E:BP,63,0)</f>
        <v>3</v>
      </c>
      <c r="E516" s="68" t="str">
        <f t="shared" si="58"/>
        <v>Bangsakao3</v>
      </c>
      <c r="F516" s="63" t="str">
        <f>VLOOKUP(C516,'RAW DATA 2023'!E:BO,5,0)</f>
        <v>Greenhouse</v>
      </c>
      <c r="G516" s="63">
        <f>VLOOKUP(C516,'RAW DATA 2023'!E:BO,13,0)</f>
        <v>188</v>
      </c>
      <c r="H516" s="63">
        <f t="shared" si="61"/>
        <v>180</v>
      </c>
      <c r="I516" s="63">
        <f t="shared" si="59"/>
        <v>10.247</v>
      </c>
      <c r="J516" s="106">
        <f>VLOOKUP(C516,'RAW DATA 2023'!E:BO,22,0)</f>
        <v>11.443770000000001</v>
      </c>
      <c r="K516" s="70">
        <f t="shared" si="62"/>
        <v>1.1167922318727432</v>
      </c>
      <c r="L516" s="72">
        <f t="shared" si="60"/>
        <v>11.443770000000001</v>
      </c>
      <c r="M516" s="109">
        <f t="shared" si="64"/>
        <v>8.2238964249699098</v>
      </c>
      <c r="N516" s="123" t="str">
        <f>VLOOKUP(C516,'RAW DATA 2023'!E:BO,36,0)</f>
        <v>Normal</v>
      </c>
      <c r="O516" s="63">
        <f>VLOOKUP(C516,'RAW DATA 2023'!E:BO,2,0)</f>
        <v>2</v>
      </c>
      <c r="P516" s="322">
        <f t="shared" si="63"/>
        <v>16.44779284993982</v>
      </c>
    </row>
    <row r="517" spans="1:16">
      <c r="A517" s="63" t="str">
        <f>'RAW DATA 2023'!B510</f>
        <v>Bangsakao</v>
      </c>
      <c r="B517" s="63" t="str">
        <f>'RAW DATA 2023'!D510</f>
        <v>DG-001-0026</v>
      </c>
      <c r="C517" s="63" t="str">
        <f t="shared" si="57"/>
        <v>BangsakaoDG-001-0026</v>
      </c>
      <c r="D517" s="68">
        <f>VLOOKUP(C517,'RAW DATA 2023'!E:BP,63,0)</f>
        <v>1</v>
      </c>
      <c r="E517" s="68" t="str">
        <f t="shared" si="58"/>
        <v>Bangsakao1</v>
      </c>
      <c r="F517" s="63" t="str">
        <f>VLOOKUP(C517,'RAW DATA 2023'!E:BO,5,0)</f>
        <v>Greenhouse</v>
      </c>
      <c r="G517" s="63">
        <f>VLOOKUP(C517,'RAW DATA 2023'!E:BO,13,0)</f>
        <v>167</v>
      </c>
      <c r="H517" s="63">
        <f t="shared" si="61"/>
        <v>180</v>
      </c>
      <c r="I517" s="63">
        <f t="shared" si="59"/>
        <v>10.247</v>
      </c>
      <c r="J517" s="106">
        <f>VLOOKUP(C517,'RAW DATA 2023'!E:BO,22,0)</f>
        <v>9.8239900000000002</v>
      </c>
      <c r="K517" s="70">
        <f t="shared" si="62"/>
        <v>0.95871864936078854</v>
      </c>
      <c r="L517" s="72">
        <f t="shared" si="60"/>
        <v>9.8239900000000002</v>
      </c>
      <c r="M517" s="109">
        <f t="shared" si="64"/>
        <v>6.1162486581438475</v>
      </c>
      <c r="N517" s="123" t="str">
        <f>VLOOKUP(C517,'RAW DATA 2023'!E:BO,36,0)</f>
        <v>Normal</v>
      </c>
      <c r="O517" s="63">
        <f>VLOOKUP(C517,'RAW DATA 2023'!E:BO,2,0)</f>
        <v>2</v>
      </c>
      <c r="P517" s="322">
        <f t="shared" si="63"/>
        <v>12.232497316287695</v>
      </c>
    </row>
    <row r="518" spans="1:16">
      <c r="A518" s="63" t="str">
        <f>'RAW DATA 2023'!B511</f>
        <v>Bangsakao</v>
      </c>
      <c r="B518" s="63" t="str">
        <f>'RAW DATA 2023'!D511</f>
        <v>DG-003-0024</v>
      </c>
      <c r="C518" s="63" t="str">
        <f t="shared" si="57"/>
        <v>BangsakaoDG-003-0024</v>
      </c>
      <c r="D518" s="68">
        <f>VLOOKUP(C518,'RAW DATA 2023'!E:BP,63,0)</f>
        <v>2</v>
      </c>
      <c r="E518" s="68" t="str">
        <f t="shared" si="58"/>
        <v>Bangsakao2</v>
      </c>
      <c r="F518" s="63" t="str">
        <f>VLOOKUP(C518,'RAW DATA 2023'!E:BO,5,0)</f>
        <v>Greenhouse</v>
      </c>
      <c r="G518" s="63">
        <f>VLOOKUP(C518,'RAW DATA 2023'!E:BO,13,0)</f>
        <v>175</v>
      </c>
      <c r="H518" s="63">
        <f t="shared" si="61"/>
        <v>180</v>
      </c>
      <c r="I518" s="63">
        <f t="shared" si="59"/>
        <v>10.247</v>
      </c>
      <c r="J518" s="106">
        <f>VLOOKUP(C518,'RAW DATA 2023'!E:BO,22,0)</f>
        <v>9.484963157894736</v>
      </c>
      <c r="K518" s="70">
        <f t="shared" si="62"/>
        <v>0.9256331763340232</v>
      </c>
      <c r="L518" s="72">
        <f t="shared" si="60"/>
        <v>9.484963157894736</v>
      </c>
      <c r="M518" s="109">
        <f t="shared" si="64"/>
        <v>5.6751090177869763</v>
      </c>
      <c r="N518" s="123" t="str">
        <f>VLOOKUP(C518,'RAW DATA 2023'!E:BO,36,0)</f>
        <v>Normal</v>
      </c>
      <c r="O518" s="63">
        <f>VLOOKUP(C518,'RAW DATA 2023'!E:BO,2,0)</f>
        <v>1.9</v>
      </c>
      <c r="P518" s="322">
        <f t="shared" si="63"/>
        <v>10.782707133795254</v>
      </c>
    </row>
    <row r="519" spans="1:16">
      <c r="A519" s="63" t="str">
        <f>'RAW DATA 2023'!B512</f>
        <v>Bangsakao</v>
      </c>
      <c r="B519" s="63" t="str">
        <f>'RAW DATA 2023'!D512</f>
        <v>DG-002-0024</v>
      </c>
      <c r="C519" s="63" t="str">
        <f t="shared" si="57"/>
        <v>BangsakaoDG-002-0024</v>
      </c>
      <c r="D519" s="68">
        <f>VLOOKUP(C519,'RAW DATA 2023'!E:BP,63,0)</f>
        <v>3</v>
      </c>
      <c r="E519" s="68" t="str">
        <f t="shared" si="58"/>
        <v>Bangsakao3</v>
      </c>
      <c r="F519" s="63" t="str">
        <f>VLOOKUP(C519,'RAW DATA 2023'!E:BO,5,0)</f>
        <v>Greenhouse</v>
      </c>
      <c r="G519" s="63">
        <f>VLOOKUP(C519,'RAW DATA 2023'!E:BO,13,0)</f>
        <v>188</v>
      </c>
      <c r="H519" s="63">
        <f t="shared" si="61"/>
        <v>180</v>
      </c>
      <c r="I519" s="63">
        <f t="shared" si="59"/>
        <v>10.247</v>
      </c>
      <c r="J519" s="106">
        <f>VLOOKUP(C519,'RAW DATA 2023'!E:BO,22,0)</f>
        <v>12.750080000000001</v>
      </c>
      <c r="K519" s="70">
        <f t="shared" si="62"/>
        <v>1.244274421781985</v>
      </c>
      <c r="L519" s="72">
        <f t="shared" si="60"/>
        <v>12.750080000000001</v>
      </c>
      <c r="M519" s="109">
        <f t="shared" si="64"/>
        <v>9.9236589570931333</v>
      </c>
      <c r="N519" s="123" t="str">
        <f>VLOOKUP(C519,'RAW DATA 2023'!E:BO,36,0)</f>
        <v>Normal</v>
      </c>
      <c r="O519" s="63">
        <f>VLOOKUP(C519,'RAW DATA 2023'!E:BO,2,0)</f>
        <v>2</v>
      </c>
      <c r="P519" s="322">
        <f t="shared" si="63"/>
        <v>19.847317914186267</v>
      </c>
    </row>
    <row r="520" spans="1:16">
      <c r="A520" s="63" t="str">
        <f>'RAW DATA 2023'!B513</f>
        <v>Bangsakao</v>
      </c>
      <c r="B520" s="63" t="str">
        <f>'RAW DATA 2023'!D513</f>
        <v>DG-001-0027</v>
      </c>
      <c r="C520" s="63" t="str">
        <f t="shared" si="57"/>
        <v>BangsakaoDG-001-0027</v>
      </c>
      <c r="D520" s="68">
        <f>VLOOKUP(C520,'RAW DATA 2023'!E:BP,63,0)</f>
        <v>6</v>
      </c>
      <c r="E520" s="68" t="str">
        <f t="shared" si="58"/>
        <v>Bangsakao6</v>
      </c>
      <c r="F520" s="63" t="str">
        <f>VLOOKUP(C520,'RAW DATA 2023'!E:BO,5,0)</f>
        <v>Greenhouse</v>
      </c>
      <c r="G520" s="63">
        <f>VLOOKUP(C520,'RAW DATA 2023'!E:BO,13,0)</f>
        <v>184</v>
      </c>
      <c r="H520" s="63">
        <f t="shared" si="61"/>
        <v>180</v>
      </c>
      <c r="I520" s="63">
        <f t="shared" si="59"/>
        <v>10.247</v>
      </c>
      <c r="J520" s="106">
        <f>VLOOKUP(C520,'RAW DATA 2023'!E:BO,22,0)</f>
        <v>13.929559999999999</v>
      </c>
      <c r="K520" s="70">
        <f t="shared" si="62"/>
        <v>1.3593793305357664</v>
      </c>
      <c r="L520" s="72">
        <f t="shared" si="60"/>
        <v>13.929559999999999</v>
      </c>
      <c r="M520" s="109">
        <f t="shared" si="64"/>
        <v>11.458391073810219</v>
      </c>
      <c r="N520" s="123" t="str">
        <f>VLOOKUP(C520,'RAW DATA 2023'!E:BO,36,0)</f>
        <v>Normal</v>
      </c>
      <c r="O520" s="63">
        <f>VLOOKUP(C520,'RAW DATA 2023'!E:BO,2,0)</f>
        <v>2</v>
      </c>
      <c r="P520" s="322">
        <f t="shared" si="63"/>
        <v>22.916782147620438</v>
      </c>
    </row>
    <row r="521" spans="1:16">
      <c r="A521" s="63" t="str">
        <f>'RAW DATA 2023'!B514</f>
        <v>Bangsakao</v>
      </c>
      <c r="B521" s="63" t="str">
        <f>'RAW DATA 2023'!D514</f>
        <v>CG-009-0024</v>
      </c>
      <c r="C521" s="63" t="str">
        <f t="shared" si="57"/>
        <v>BangsakaoCG-009-0024</v>
      </c>
      <c r="D521" s="68">
        <f>VLOOKUP(C521,'RAW DATA 2023'!E:BP,63,0)</f>
        <v>1</v>
      </c>
      <c r="E521" s="68" t="str">
        <f t="shared" si="58"/>
        <v>Bangsakao1</v>
      </c>
      <c r="F521" s="63" t="str">
        <f>VLOOKUP(C521,'RAW DATA 2023'!E:BO,5,0)</f>
        <v>Greenhouse</v>
      </c>
      <c r="G521" s="63">
        <f>VLOOKUP(C521,'RAW DATA 2023'!E:BO,13,0)</f>
        <v>175</v>
      </c>
      <c r="H521" s="63">
        <f t="shared" si="61"/>
        <v>180</v>
      </c>
      <c r="I521" s="63">
        <f t="shared" si="59"/>
        <v>10.247</v>
      </c>
      <c r="J521" s="106">
        <f>VLOOKUP(C521,'RAW DATA 2023'!E:BO,22,0)</f>
        <v>7.1982552631578942</v>
      </c>
      <c r="K521" s="70">
        <f t="shared" si="62"/>
        <v>0.7024744084276271</v>
      </c>
      <c r="L521" s="72">
        <f t="shared" si="60"/>
        <v>7.1982552631578942</v>
      </c>
      <c r="M521" s="109">
        <f t="shared" si="64"/>
        <v>2.6996587790350279</v>
      </c>
      <c r="N521" s="123" t="str">
        <f>VLOOKUP(C521,'RAW DATA 2023'!E:BO,36,0)</f>
        <v>Normal</v>
      </c>
      <c r="O521" s="63">
        <f>VLOOKUP(C521,'RAW DATA 2023'!E:BO,2,0)</f>
        <v>3.8</v>
      </c>
      <c r="P521" s="322">
        <f t="shared" si="63"/>
        <v>10.258703360333106</v>
      </c>
    </row>
    <row r="522" spans="1:16">
      <c r="A522" s="63" t="str">
        <f>'RAW DATA 2023'!B515</f>
        <v>Bangsakao</v>
      </c>
      <c r="B522" s="63" t="str">
        <f>'RAW DATA 2023'!D515</f>
        <v>CG-008-0029</v>
      </c>
      <c r="C522" s="63" t="str">
        <f t="shared" ref="C522:C585" si="65">A522&amp;B522</f>
        <v>BangsakaoCG-008-0029</v>
      </c>
      <c r="D522" s="68">
        <f>VLOOKUP(C522,'RAW DATA 2023'!E:BP,63,0)</f>
        <v>6</v>
      </c>
      <c r="E522" s="68" t="str">
        <f t="shared" ref="E522:E585" si="66">A522&amp;D522</f>
        <v>Bangsakao6</v>
      </c>
      <c r="F522" s="63" t="str">
        <f>VLOOKUP(C522,'RAW DATA 2023'!E:BO,5,0)</f>
        <v>Greenhouse</v>
      </c>
      <c r="G522" s="63">
        <f>VLOOKUP(C522,'RAW DATA 2023'!E:BO,13,0)</f>
        <v>156</v>
      </c>
      <c r="H522" s="63">
        <f t="shared" si="61"/>
        <v>150</v>
      </c>
      <c r="I522" s="63">
        <f t="shared" ref="I522:I585" si="67">IF(F522=$W$1,VLOOKUP(H522,Y:Z,2,0),VLOOKUP(H522,AF:AG,2,0))</f>
        <v>9.1999999999999993</v>
      </c>
      <c r="J522" s="106">
        <f>VLOOKUP(C522,'RAW DATA 2023'!E:BO,22,0)</f>
        <v>4.6767024128686323</v>
      </c>
      <c r="K522" s="70">
        <f t="shared" si="62"/>
        <v>0.50833721879006877</v>
      </c>
      <c r="L522" s="72">
        <f t="shared" ref="L522:L585" si="68">IF(J522=0,0,IF(F522=$B$2,J522-$B$6,IF(F522=$C$1,J522-$C$6,IF(AND(F522=$C$2,G522&lt;=$C$3),J522-$C$6,IF(AND(F522=$C$2,G522&lt;=$E$3),J522-$D$6,J522-$E$6)))))</f>
        <v>4.6767024128686323</v>
      </c>
      <c r="M522" s="109">
        <f t="shared" si="64"/>
        <v>0.11116291720091691</v>
      </c>
      <c r="N522" s="123" t="str">
        <f>VLOOKUP(C522,'RAW DATA 2023'!E:BO,36,0)</f>
        <v>EHP</v>
      </c>
      <c r="O522" s="63">
        <f>VLOOKUP(C522,'RAW DATA 2023'!E:BO,2,0)</f>
        <v>3.73</v>
      </c>
      <c r="P522" s="322">
        <f t="shared" si="63"/>
        <v>0.41463768115942007</v>
      </c>
    </row>
    <row r="523" spans="1:16">
      <c r="A523" s="63" t="str">
        <f>'RAW DATA 2023'!B516</f>
        <v>Bangsakao</v>
      </c>
      <c r="B523" s="63" t="str">
        <f>'RAW DATA 2023'!D516</f>
        <v>CG-004-0025</v>
      </c>
      <c r="C523" s="63" t="str">
        <f t="shared" si="65"/>
        <v>BangsakaoCG-004-0025</v>
      </c>
      <c r="D523" s="68">
        <f>VLOOKUP(C523,'RAW DATA 2023'!E:BP,63,0)</f>
        <v>4</v>
      </c>
      <c r="E523" s="68" t="str">
        <f t="shared" si="66"/>
        <v>Bangsakao4</v>
      </c>
      <c r="F523" s="63" t="str">
        <f>VLOOKUP(C523,'RAW DATA 2023'!E:BO,5,0)</f>
        <v>Greenhouse</v>
      </c>
      <c r="G523" s="63">
        <f>VLOOKUP(C523,'RAW DATA 2023'!E:BO,13,0)</f>
        <v>163</v>
      </c>
      <c r="H523" s="63">
        <f t="shared" ref="H523:H586" si="69">IF(G523&gt;190,200,IF(G523&gt;165,180,IF(G523&gt;=135,150,IF(D516&gt;=110,120,100))))</f>
        <v>150</v>
      </c>
      <c r="I523" s="63">
        <f t="shared" si="67"/>
        <v>9.1999999999999993</v>
      </c>
      <c r="J523" s="106">
        <f>VLOOKUP(C523,'RAW DATA 2023'!E:BO,22,0)</f>
        <v>8.202165217391304</v>
      </c>
      <c r="K523" s="70">
        <f t="shared" ref="K523:K586" si="70">J523/I523</f>
        <v>0.89153969754253315</v>
      </c>
      <c r="L523" s="72">
        <f t="shared" si="68"/>
        <v>8.202165217391304</v>
      </c>
      <c r="M523" s="109">
        <f t="shared" si="64"/>
        <v>5.220529300567109</v>
      </c>
      <c r="N523" s="123" t="str">
        <f>VLOOKUP(C523,'RAW DATA 2023'!E:BO,36,0)</f>
        <v>WFD</v>
      </c>
      <c r="O523" s="63">
        <f>VLOOKUP(C523,'RAW DATA 2023'!E:BO,2,0)</f>
        <v>4.5999999999999996</v>
      </c>
      <c r="P523" s="322">
        <f t="shared" ref="P523:P586" si="71">M523*O523</f>
        <v>24.014434782608699</v>
      </c>
    </row>
    <row r="524" spans="1:16">
      <c r="A524" s="63" t="str">
        <f>'RAW DATA 2023'!B517</f>
        <v>Bangsakao</v>
      </c>
      <c r="B524" s="63" t="str">
        <f>'RAW DATA 2023'!D517</f>
        <v>CG-009-0025</v>
      </c>
      <c r="C524" s="63" t="str">
        <f t="shared" si="65"/>
        <v>BangsakaoCG-009-0025</v>
      </c>
      <c r="D524" s="68">
        <f>VLOOKUP(C524,'RAW DATA 2023'!E:BP,63,0)</f>
        <v>6</v>
      </c>
      <c r="E524" s="68" t="str">
        <f t="shared" si="66"/>
        <v>Bangsakao6</v>
      </c>
      <c r="F524" s="63" t="str">
        <f>VLOOKUP(C524,'RAW DATA 2023'!E:BO,5,0)</f>
        <v>Greenhouse</v>
      </c>
      <c r="G524" s="63">
        <f>VLOOKUP(C524,'RAW DATA 2023'!E:BO,13,0)</f>
        <v>154</v>
      </c>
      <c r="H524" s="63">
        <f t="shared" si="69"/>
        <v>150</v>
      </c>
      <c r="I524" s="63">
        <f t="shared" si="67"/>
        <v>9.1999999999999993</v>
      </c>
      <c r="J524" s="106">
        <f>VLOOKUP(C524,'RAW DATA 2023'!E:BO,22,0)</f>
        <v>9.6817289473684216</v>
      </c>
      <c r="K524" s="70">
        <f t="shared" si="70"/>
        <v>1.0523618421052634</v>
      </c>
      <c r="L524" s="72">
        <f t="shared" si="68"/>
        <v>9.6817289473684216</v>
      </c>
      <c r="M524" s="109">
        <f t="shared" ref="M524:M587" si="72">(K524-$B$4)*$B$7</f>
        <v>7.3648245614035126</v>
      </c>
      <c r="N524" s="123" t="str">
        <f>VLOOKUP(C524,'RAW DATA 2023'!E:BO,36,0)</f>
        <v>Normal</v>
      </c>
      <c r="O524" s="63">
        <f>VLOOKUP(C524,'RAW DATA 2023'!E:BO,2,0)</f>
        <v>3.8</v>
      </c>
      <c r="P524" s="322">
        <f t="shared" si="71"/>
        <v>27.986333333333345</v>
      </c>
    </row>
    <row r="525" spans="1:16">
      <c r="A525" s="63" t="str">
        <f>'RAW DATA 2023'!B518</f>
        <v>Bangsakao</v>
      </c>
      <c r="B525" s="63" t="str">
        <f>'RAW DATA 2023'!D518</f>
        <v>CG-008-0030</v>
      </c>
      <c r="C525" s="63" t="str">
        <f t="shared" si="65"/>
        <v>BangsakaoCG-008-0030</v>
      </c>
      <c r="D525" s="68">
        <f>VLOOKUP(C525,'RAW DATA 2023'!E:BP,63,0)</f>
        <v>12</v>
      </c>
      <c r="E525" s="68" t="str">
        <f t="shared" si="66"/>
        <v>Bangsakao12</v>
      </c>
      <c r="F525" s="63" t="str">
        <f>VLOOKUP(C525,'RAW DATA 2023'!E:BO,5,0)</f>
        <v>Greenhouse</v>
      </c>
      <c r="G525" s="63">
        <f>VLOOKUP(C525,'RAW DATA 2023'!E:BO,13,0)</f>
        <v>156</v>
      </c>
      <c r="H525" s="63">
        <f t="shared" si="69"/>
        <v>150</v>
      </c>
      <c r="I525" s="63">
        <f t="shared" si="67"/>
        <v>9.1999999999999993</v>
      </c>
      <c r="J525" s="106">
        <f>VLOOKUP(C525,'RAW DATA 2023'!E:BO,22,0)</f>
        <v>8.8026193029490596</v>
      </c>
      <c r="K525" s="70">
        <f t="shared" si="70"/>
        <v>0.95680644597272391</v>
      </c>
      <c r="L525" s="72">
        <f t="shared" si="68"/>
        <v>8.8026193029490596</v>
      </c>
      <c r="M525" s="109">
        <f t="shared" si="72"/>
        <v>6.0907526129696521</v>
      </c>
      <c r="N525" s="123" t="str">
        <f>VLOOKUP(C525,'RAW DATA 2023'!E:BO,36,0)</f>
        <v>Normal</v>
      </c>
      <c r="O525" s="63">
        <f>VLOOKUP(C525,'RAW DATA 2023'!E:BO,2,0)</f>
        <v>3.73</v>
      </c>
      <c r="P525" s="322">
        <f t="shared" si="71"/>
        <v>22.718507246376802</v>
      </c>
    </row>
    <row r="526" spans="1:16">
      <c r="A526" s="63" t="str">
        <f>'RAW DATA 2023'!B519</f>
        <v>Bangsakao</v>
      </c>
      <c r="B526" s="63" t="str">
        <f>'RAW DATA 2023'!D519</f>
        <v>CG-002-0028</v>
      </c>
      <c r="C526" s="63" t="str">
        <f t="shared" si="65"/>
        <v>BangsakaoCG-002-0028</v>
      </c>
      <c r="D526" s="68">
        <f>VLOOKUP(C526,'RAW DATA 2023'!E:BP,63,0)</f>
        <v>6</v>
      </c>
      <c r="E526" s="68" t="str">
        <f t="shared" si="66"/>
        <v>Bangsakao6</v>
      </c>
      <c r="F526" s="63" t="str">
        <f>VLOOKUP(C526,'RAW DATA 2023'!E:BO,5,0)</f>
        <v>Greenhouse</v>
      </c>
      <c r="G526" s="63">
        <f>VLOOKUP(C526,'RAW DATA 2023'!E:BO,13,0)</f>
        <v>169</v>
      </c>
      <c r="H526" s="63">
        <f t="shared" si="69"/>
        <v>180</v>
      </c>
      <c r="I526" s="63">
        <f t="shared" si="67"/>
        <v>10.247</v>
      </c>
      <c r="J526" s="106">
        <f>VLOOKUP(C526,'RAW DATA 2023'!E:BO,22,0)</f>
        <v>8.7178434782608694</v>
      </c>
      <c r="K526" s="70">
        <f t="shared" si="70"/>
        <v>0.85077032089986038</v>
      </c>
      <c r="L526" s="72">
        <f t="shared" si="68"/>
        <v>8.7178434782608694</v>
      </c>
      <c r="M526" s="109">
        <f t="shared" si="72"/>
        <v>4.676937611998139</v>
      </c>
      <c r="N526" s="123" t="str">
        <f>VLOOKUP(C526,'RAW DATA 2023'!E:BO,36,0)</f>
        <v>Normal</v>
      </c>
      <c r="O526" s="63">
        <f>VLOOKUP(C526,'RAW DATA 2023'!E:BO,2,0)</f>
        <v>3.45</v>
      </c>
      <c r="P526" s="322">
        <f t="shared" si="71"/>
        <v>16.135434761393579</v>
      </c>
    </row>
    <row r="527" spans="1:16">
      <c r="A527" s="63" t="str">
        <f>'RAW DATA 2023'!B520</f>
        <v>Bangsakao</v>
      </c>
      <c r="B527" s="63" t="str">
        <f>'RAW DATA 2023'!D520</f>
        <v>CG-003-0025</v>
      </c>
      <c r="C527" s="63" t="str">
        <f t="shared" si="65"/>
        <v>BangsakaoCG-003-0025</v>
      </c>
      <c r="D527" s="68">
        <f>VLOOKUP(C527,'RAW DATA 2023'!E:BP,63,0)</f>
        <v>1</v>
      </c>
      <c r="E527" s="68" t="str">
        <f t="shared" si="66"/>
        <v>Bangsakao1</v>
      </c>
      <c r="F527" s="63" t="str">
        <f>VLOOKUP(C527,'RAW DATA 2023'!E:BO,5,0)</f>
        <v>Greenhouse</v>
      </c>
      <c r="G527" s="63">
        <f>VLOOKUP(C527,'RAW DATA 2023'!E:BO,13,0)</f>
        <v>175</v>
      </c>
      <c r="H527" s="63">
        <f t="shared" si="69"/>
        <v>180</v>
      </c>
      <c r="I527" s="63">
        <f t="shared" si="67"/>
        <v>10.247</v>
      </c>
      <c r="J527" s="106">
        <f>VLOOKUP(C527,'RAW DATA 2023'!E:BO,22,0)</f>
        <v>7.8208947368421056</v>
      </c>
      <c r="K527" s="70">
        <f t="shared" si="70"/>
        <v>0.76323750725501183</v>
      </c>
      <c r="L527" s="72">
        <f t="shared" si="68"/>
        <v>7.8208947368421056</v>
      </c>
      <c r="M527" s="109">
        <f t="shared" si="72"/>
        <v>3.5098334300668244</v>
      </c>
      <c r="N527" s="123" t="str">
        <f>VLOOKUP(C527,'RAW DATA 2023'!E:BO,36,0)</f>
        <v>Normal</v>
      </c>
      <c r="O527" s="63">
        <f>VLOOKUP(C527,'RAW DATA 2023'!E:BO,2,0)</f>
        <v>4.5599999999999996</v>
      </c>
      <c r="P527" s="322">
        <f t="shared" si="71"/>
        <v>16.004840441104719</v>
      </c>
    </row>
    <row r="528" spans="1:16">
      <c r="A528" s="63" t="str">
        <f>'RAW DATA 2023'!B521</f>
        <v>Bangsakao</v>
      </c>
      <c r="B528" s="63" t="str">
        <f>'RAW DATA 2023'!D521</f>
        <v>CG-006-0028</v>
      </c>
      <c r="C528" s="63" t="str">
        <f t="shared" si="65"/>
        <v>BangsakaoCG-006-0028</v>
      </c>
      <c r="D528" s="68">
        <f>VLOOKUP(C528,'RAW DATA 2023'!E:BP,63,0)</f>
        <v>2</v>
      </c>
      <c r="E528" s="68" t="str">
        <f t="shared" si="66"/>
        <v>Bangsakao2</v>
      </c>
      <c r="F528" s="63" t="str">
        <f>VLOOKUP(C528,'RAW DATA 2023'!E:BO,5,0)</f>
        <v>Greenhouse</v>
      </c>
      <c r="G528" s="63">
        <f>VLOOKUP(C528,'RAW DATA 2023'!E:BO,13,0)</f>
        <v>155</v>
      </c>
      <c r="H528" s="63">
        <f t="shared" si="69"/>
        <v>150</v>
      </c>
      <c r="I528" s="63">
        <f t="shared" si="67"/>
        <v>9.1999999999999993</v>
      </c>
      <c r="J528" s="106">
        <f>VLOOKUP(C528,'RAW DATA 2023'!E:BO,22,0)</f>
        <v>7.8630466417910441</v>
      </c>
      <c r="K528" s="70">
        <f t="shared" si="70"/>
        <v>0.8546789828033744</v>
      </c>
      <c r="L528" s="72">
        <f t="shared" si="68"/>
        <v>7.8630466417910441</v>
      </c>
      <c r="M528" s="109">
        <f t="shared" si="72"/>
        <v>4.7290531040449926</v>
      </c>
      <c r="N528" s="123" t="str">
        <f>VLOOKUP(C528,'RAW DATA 2023'!E:BO,36,0)</f>
        <v>Normal</v>
      </c>
      <c r="O528" s="63">
        <f>VLOOKUP(C528,'RAW DATA 2023'!E:BO,2,0)</f>
        <v>5.36</v>
      </c>
      <c r="P528" s="322">
        <f t="shared" si="71"/>
        <v>25.347724637681161</v>
      </c>
    </row>
    <row r="529" spans="1:16">
      <c r="A529" s="63" t="str">
        <f>'RAW DATA 2023'!B522</f>
        <v>Bangsakao</v>
      </c>
      <c r="B529" s="63" t="str">
        <f>'RAW DATA 2023'!D522</f>
        <v>CG-003-0026</v>
      </c>
      <c r="C529" s="63" t="str">
        <f t="shared" si="65"/>
        <v>BangsakaoCG-003-0026</v>
      </c>
      <c r="D529" s="68">
        <f>VLOOKUP(C529,'RAW DATA 2023'!E:BP,63,0)</f>
        <v>4</v>
      </c>
      <c r="E529" s="68" t="str">
        <f t="shared" si="66"/>
        <v>Bangsakao4</v>
      </c>
      <c r="F529" s="63" t="str">
        <f>VLOOKUP(C529,'RAW DATA 2023'!E:BO,5,0)</f>
        <v>Greenhouse</v>
      </c>
      <c r="G529" s="63">
        <f>VLOOKUP(C529,'RAW DATA 2023'!E:BO,13,0)</f>
        <v>164</v>
      </c>
      <c r="H529" s="63">
        <f t="shared" si="69"/>
        <v>150</v>
      </c>
      <c r="I529" s="63">
        <f t="shared" si="67"/>
        <v>9.1999999999999993</v>
      </c>
      <c r="J529" s="106">
        <f>VLOOKUP(C529,'RAW DATA 2023'!E:BO,22,0)</f>
        <v>5.8869627192982454</v>
      </c>
      <c r="K529" s="70">
        <f t="shared" si="70"/>
        <v>0.63988725209763542</v>
      </c>
      <c r="L529" s="72">
        <f t="shared" si="68"/>
        <v>5.8869627192982454</v>
      </c>
      <c r="M529" s="109">
        <f t="shared" si="72"/>
        <v>1.8651633613018057</v>
      </c>
      <c r="N529" s="123" t="str">
        <f>VLOOKUP(C529,'RAW DATA 2023'!E:BO,36,0)</f>
        <v>WFD</v>
      </c>
      <c r="O529" s="63">
        <f>VLOOKUP(C529,'RAW DATA 2023'!E:BO,2,0)</f>
        <v>4.5599999999999996</v>
      </c>
      <c r="P529" s="322">
        <f t="shared" si="71"/>
        <v>8.5051449275362341</v>
      </c>
    </row>
    <row r="530" spans="1:16">
      <c r="A530" s="63" t="str">
        <f>'RAW DATA 2023'!B523</f>
        <v>Bangsakao</v>
      </c>
      <c r="B530" s="63" t="str">
        <f>'RAW DATA 2023'!D523</f>
        <v>DG-001-0028</v>
      </c>
      <c r="C530" s="63" t="str">
        <f t="shared" si="65"/>
        <v>BangsakaoDG-001-0028</v>
      </c>
      <c r="D530" s="68">
        <f>VLOOKUP(C530,'RAW DATA 2023'!E:BP,63,0)</f>
        <v>11</v>
      </c>
      <c r="E530" s="68" t="str">
        <f t="shared" si="66"/>
        <v>Bangsakao11</v>
      </c>
      <c r="F530" s="63" t="str">
        <f>VLOOKUP(C530,'RAW DATA 2023'!E:BO,5,0)</f>
        <v>Greenhouse</v>
      </c>
      <c r="G530" s="63">
        <f>VLOOKUP(C530,'RAW DATA 2023'!E:BO,13,0)</f>
        <v>167</v>
      </c>
      <c r="H530" s="63">
        <f t="shared" si="69"/>
        <v>180</v>
      </c>
      <c r="I530" s="63">
        <f t="shared" si="67"/>
        <v>10.247</v>
      </c>
      <c r="J530" s="106">
        <f>VLOOKUP(C530,'RAW DATA 2023'!E:BO,22,0)</f>
        <v>7.4998500000000003</v>
      </c>
      <c r="K530" s="70">
        <f t="shared" si="70"/>
        <v>0.73190689958036503</v>
      </c>
      <c r="L530" s="72">
        <f t="shared" si="68"/>
        <v>7.4998500000000003</v>
      </c>
      <c r="M530" s="109">
        <f t="shared" si="72"/>
        <v>3.0920919944048673</v>
      </c>
      <c r="N530" s="123" t="str">
        <f>VLOOKUP(C530,'RAW DATA 2023'!E:BO,36,0)</f>
        <v>Normal</v>
      </c>
      <c r="O530" s="63">
        <f>VLOOKUP(C530,'RAW DATA 2023'!E:BO,2,0)</f>
        <v>2</v>
      </c>
      <c r="P530" s="322">
        <f t="shared" si="71"/>
        <v>6.1841839888097345</v>
      </c>
    </row>
    <row r="531" spans="1:16">
      <c r="A531" s="63" t="str">
        <f>'RAW DATA 2023'!B524</f>
        <v>Bangsakao</v>
      </c>
      <c r="B531" s="63" t="str">
        <f>'RAW DATA 2023'!D524</f>
        <v>DG-005-0026</v>
      </c>
      <c r="C531" s="63" t="str">
        <f t="shared" si="65"/>
        <v>BangsakaoDG-005-0026</v>
      </c>
      <c r="D531" s="68">
        <f>VLOOKUP(C531,'RAW DATA 2023'!E:BP,63,0)</f>
        <v>11</v>
      </c>
      <c r="E531" s="68" t="str">
        <f t="shared" si="66"/>
        <v>Bangsakao11</v>
      </c>
      <c r="F531" s="63" t="str">
        <f>VLOOKUP(C531,'RAW DATA 2023'!E:BO,5,0)</f>
        <v>Greenhouse</v>
      </c>
      <c r="G531" s="63">
        <f>VLOOKUP(C531,'RAW DATA 2023'!E:BO,13,0)</f>
        <v>167</v>
      </c>
      <c r="H531" s="63">
        <f t="shared" si="69"/>
        <v>180</v>
      </c>
      <c r="I531" s="63">
        <f t="shared" si="67"/>
        <v>10.247</v>
      </c>
      <c r="J531" s="106">
        <f>VLOOKUP(C531,'RAW DATA 2023'!E:BO,22,0)</f>
        <v>7.2801350000000005</v>
      </c>
      <c r="K531" s="70">
        <f t="shared" si="70"/>
        <v>0.71046501415048313</v>
      </c>
      <c r="L531" s="72">
        <f t="shared" si="68"/>
        <v>7.2801350000000005</v>
      </c>
      <c r="M531" s="109">
        <f t="shared" si="72"/>
        <v>2.8062001886731087</v>
      </c>
      <c r="N531" s="123" t="str">
        <f>VLOOKUP(C531,'RAW DATA 2023'!E:BO,36,0)</f>
        <v>Normal</v>
      </c>
      <c r="O531" s="63">
        <f>VLOOKUP(C531,'RAW DATA 2023'!E:BO,2,0)</f>
        <v>2</v>
      </c>
      <c r="P531" s="322">
        <f t="shared" si="71"/>
        <v>5.6124003773462174</v>
      </c>
    </row>
    <row r="532" spans="1:16">
      <c r="A532" s="63" t="str">
        <f>'RAW DATA 2023'!B525</f>
        <v>Bangsakao</v>
      </c>
      <c r="B532" s="63" t="str">
        <f>'RAW DATA 2023'!D525</f>
        <v>DG-002-0026</v>
      </c>
      <c r="C532" s="63" t="str">
        <f t="shared" si="65"/>
        <v>BangsakaoDG-002-0026</v>
      </c>
      <c r="D532" s="68">
        <f>VLOOKUP(C532,'RAW DATA 2023'!E:BP,63,0)</f>
        <v>12</v>
      </c>
      <c r="E532" s="68" t="str">
        <f t="shared" si="66"/>
        <v>Bangsakao12</v>
      </c>
      <c r="F532" s="63" t="str">
        <f>VLOOKUP(C532,'RAW DATA 2023'!E:BO,5,0)</f>
        <v>Greenhouse</v>
      </c>
      <c r="G532" s="63">
        <f>VLOOKUP(C532,'RAW DATA 2023'!E:BO,13,0)</f>
        <v>167</v>
      </c>
      <c r="H532" s="63">
        <f t="shared" si="69"/>
        <v>180</v>
      </c>
      <c r="I532" s="63">
        <f t="shared" si="67"/>
        <v>10.247</v>
      </c>
      <c r="J532" s="106">
        <f>VLOOKUP(C532,'RAW DATA 2023'!E:BO,22,0)</f>
        <v>6.6432849999999997</v>
      </c>
      <c r="K532" s="70">
        <f t="shared" si="70"/>
        <v>0.64831511661949837</v>
      </c>
      <c r="L532" s="72">
        <f t="shared" si="68"/>
        <v>6.6432849999999997</v>
      </c>
      <c r="M532" s="109">
        <f t="shared" si="72"/>
        <v>1.9775348882599784</v>
      </c>
      <c r="N532" s="123" t="str">
        <f>VLOOKUP(C532,'RAW DATA 2023'!E:BO,36,0)</f>
        <v>Normal</v>
      </c>
      <c r="O532" s="63">
        <f>VLOOKUP(C532,'RAW DATA 2023'!E:BO,2,0)</f>
        <v>2</v>
      </c>
      <c r="P532" s="322">
        <f t="shared" si="71"/>
        <v>3.9550697765199567</v>
      </c>
    </row>
    <row r="533" spans="1:16">
      <c r="A533" s="63" t="str">
        <f>'RAW DATA 2023'!B526</f>
        <v>Bangsakao</v>
      </c>
      <c r="B533" s="63" t="str">
        <f>'RAW DATA 2023'!D526</f>
        <v>DG-006-0027</v>
      </c>
      <c r="C533" s="63" t="str">
        <f t="shared" si="65"/>
        <v>BangsakaoDG-006-0027</v>
      </c>
      <c r="D533" s="68">
        <f>VLOOKUP(C533,'RAW DATA 2023'!E:BP,63,0)</f>
        <v>11</v>
      </c>
      <c r="E533" s="68" t="str">
        <f t="shared" si="66"/>
        <v>Bangsakao11</v>
      </c>
      <c r="F533" s="63" t="str">
        <f>VLOOKUP(C533,'RAW DATA 2023'!E:BO,5,0)</f>
        <v>Greenhouse</v>
      </c>
      <c r="G533" s="63">
        <f>VLOOKUP(C533,'RAW DATA 2023'!E:BO,13,0)</f>
        <v>167</v>
      </c>
      <c r="H533" s="63">
        <f t="shared" si="69"/>
        <v>180</v>
      </c>
      <c r="I533" s="63">
        <f t="shared" si="67"/>
        <v>10.247</v>
      </c>
      <c r="J533" s="106">
        <f>VLOOKUP(C533,'RAW DATA 2023'!E:BO,22,0)</f>
        <v>7.9410249999999998</v>
      </c>
      <c r="K533" s="70">
        <f t="shared" si="70"/>
        <v>0.77496096418463944</v>
      </c>
      <c r="L533" s="72">
        <f t="shared" si="68"/>
        <v>7.9410249999999998</v>
      </c>
      <c r="M533" s="109">
        <f t="shared" si="72"/>
        <v>3.6661461891285261</v>
      </c>
      <c r="N533" s="123" t="str">
        <f>VLOOKUP(C533,'RAW DATA 2023'!E:BO,36,0)</f>
        <v>Normal</v>
      </c>
      <c r="O533" s="63">
        <f>VLOOKUP(C533,'RAW DATA 2023'!E:BO,2,0)</f>
        <v>2</v>
      </c>
      <c r="P533" s="322">
        <f t="shared" si="71"/>
        <v>7.3322923782570522</v>
      </c>
    </row>
    <row r="534" spans="1:16">
      <c r="A534" s="63" t="str">
        <f>'RAW DATA 2023'!B527</f>
        <v>Bangsakao</v>
      </c>
      <c r="B534" s="63" t="str">
        <f>'RAW DATA 2023'!D527</f>
        <v>CG-006-0031</v>
      </c>
      <c r="C534" s="63" t="str">
        <f t="shared" si="65"/>
        <v>BangsakaoCG-006-0031</v>
      </c>
      <c r="D534" s="68">
        <f>VLOOKUP(C534,'RAW DATA 2023'!E:BP,63,0)</f>
        <v>12</v>
      </c>
      <c r="E534" s="68" t="str">
        <f t="shared" si="66"/>
        <v>Bangsakao12</v>
      </c>
      <c r="F534" s="63" t="str">
        <f>VLOOKUP(C534,'RAW DATA 2023'!E:BO,5,0)</f>
        <v>Greenhouse</v>
      </c>
      <c r="G534" s="63">
        <f>VLOOKUP(C534,'RAW DATA 2023'!E:BO,13,0)</f>
        <v>155</v>
      </c>
      <c r="H534" s="63">
        <f t="shared" si="69"/>
        <v>150</v>
      </c>
      <c r="I534" s="63">
        <f t="shared" si="67"/>
        <v>9.1999999999999993</v>
      </c>
      <c r="J534" s="106">
        <f>VLOOKUP(C534,'RAW DATA 2023'!E:BO,22,0)</f>
        <v>5.8873488805970142</v>
      </c>
      <c r="K534" s="70">
        <f t="shared" si="70"/>
        <v>0.63992922615184944</v>
      </c>
      <c r="L534" s="72">
        <f t="shared" si="68"/>
        <v>5.8873488805970142</v>
      </c>
      <c r="M534" s="109">
        <f t="shared" si="72"/>
        <v>1.8657230153579927</v>
      </c>
      <c r="N534" s="123" t="str">
        <f>VLOOKUP(C534,'RAW DATA 2023'!E:BO,36,0)</f>
        <v>Normal</v>
      </c>
      <c r="O534" s="63">
        <f>VLOOKUP(C534,'RAW DATA 2023'!E:BO,2,0)</f>
        <v>5.36</v>
      </c>
      <c r="P534" s="322">
        <f t="shared" si="71"/>
        <v>10.000275362318842</v>
      </c>
    </row>
    <row r="535" spans="1:16">
      <c r="A535" s="63" t="str">
        <f>'RAW DATA 2023'!B528</f>
        <v>Bangsakao</v>
      </c>
      <c r="B535" s="63" t="str">
        <f>'RAW DATA 2023'!D528</f>
        <v>CG-008-0028</v>
      </c>
      <c r="C535" s="63" t="str">
        <f t="shared" si="65"/>
        <v>BangsakaoCG-008-0028</v>
      </c>
      <c r="D535" s="68">
        <f>VLOOKUP(C535,'RAW DATA 2023'!E:BP,63,0)</f>
        <v>4</v>
      </c>
      <c r="E535" s="68" t="str">
        <f t="shared" si="66"/>
        <v>Bangsakao4</v>
      </c>
      <c r="F535" s="63" t="str">
        <f>VLOOKUP(C535,'RAW DATA 2023'!E:BO,5,0)</f>
        <v>Greenhouse</v>
      </c>
      <c r="G535" s="63">
        <f>VLOOKUP(C535,'RAW DATA 2023'!E:BO,13,0)</f>
        <v>156</v>
      </c>
      <c r="H535" s="63">
        <f t="shared" si="69"/>
        <v>150</v>
      </c>
      <c r="I535" s="63">
        <f t="shared" si="67"/>
        <v>9.1999999999999993</v>
      </c>
      <c r="J535" s="106">
        <f>VLOOKUP(C535,'RAW DATA 2023'!E:BO,22,0)</f>
        <v>10.232302949061662</v>
      </c>
      <c r="K535" s="70">
        <f t="shared" si="70"/>
        <v>1.1122068422893112</v>
      </c>
      <c r="L535" s="72">
        <f t="shared" si="68"/>
        <v>10.232302949061662</v>
      </c>
      <c r="M535" s="109">
        <f t="shared" si="72"/>
        <v>8.1627578971908168</v>
      </c>
      <c r="N535" s="123" t="str">
        <f>VLOOKUP(C535,'RAW DATA 2023'!E:BO,36,0)</f>
        <v>Normal</v>
      </c>
      <c r="O535" s="63">
        <f>VLOOKUP(C535,'RAW DATA 2023'!E:BO,2,0)</f>
        <v>3.73</v>
      </c>
      <c r="P535" s="322">
        <f t="shared" si="71"/>
        <v>30.447086956521748</v>
      </c>
    </row>
    <row r="536" spans="1:16">
      <c r="A536" s="63" t="str">
        <f>'RAW DATA 2023'!B529</f>
        <v>Bangsakao</v>
      </c>
      <c r="B536" s="63" t="str">
        <f>'RAW DATA 2023'!D529</f>
        <v>CG-002-0027</v>
      </c>
      <c r="C536" s="63" t="str">
        <f t="shared" si="65"/>
        <v>BangsakaoCG-002-0027</v>
      </c>
      <c r="D536" s="68">
        <f>VLOOKUP(C536,'RAW DATA 2023'!E:BP,63,0)</f>
        <v>3</v>
      </c>
      <c r="E536" s="68" t="str">
        <f t="shared" si="66"/>
        <v>Bangsakao3</v>
      </c>
      <c r="F536" s="63" t="str">
        <f>VLOOKUP(C536,'RAW DATA 2023'!E:BO,5,0)</f>
        <v>Greenhouse</v>
      </c>
      <c r="G536" s="63">
        <f>VLOOKUP(C536,'RAW DATA 2023'!E:BO,13,0)</f>
        <v>169</v>
      </c>
      <c r="H536" s="63">
        <f t="shared" si="69"/>
        <v>180</v>
      </c>
      <c r="I536" s="63">
        <f t="shared" si="67"/>
        <v>10.247</v>
      </c>
      <c r="J536" s="106">
        <f>VLOOKUP(C536,'RAW DATA 2023'!E:BO,22,0)</f>
        <v>9.9564202898550729</v>
      </c>
      <c r="K536" s="70">
        <f t="shared" si="70"/>
        <v>0.97164246021811973</v>
      </c>
      <c r="L536" s="72">
        <f t="shared" si="68"/>
        <v>9.9564202898550729</v>
      </c>
      <c r="M536" s="109">
        <f t="shared" si="72"/>
        <v>6.288566136241597</v>
      </c>
      <c r="N536" s="123" t="str">
        <f>VLOOKUP(C536,'RAW DATA 2023'!E:BO,36,0)</f>
        <v>Normal</v>
      </c>
      <c r="O536" s="63">
        <f>VLOOKUP(C536,'RAW DATA 2023'!E:BO,2,0)</f>
        <v>3.45</v>
      </c>
      <c r="P536" s="322">
        <f t="shared" si="71"/>
        <v>21.695553170033509</v>
      </c>
    </row>
    <row r="537" spans="1:16">
      <c r="A537" s="63" t="str">
        <f>'RAW DATA 2023'!B530</f>
        <v>Bangsakao</v>
      </c>
      <c r="B537" s="63" t="str">
        <f>'RAW DATA 2023'!D530</f>
        <v>CG-007-0024</v>
      </c>
      <c r="C537" s="63" t="str">
        <f t="shared" si="65"/>
        <v>BangsakaoCG-007-0024</v>
      </c>
      <c r="D537" s="68">
        <f>VLOOKUP(C537,'RAW DATA 2023'!E:BP,63,0)</f>
        <v>3</v>
      </c>
      <c r="E537" s="68" t="str">
        <f t="shared" si="66"/>
        <v>Bangsakao3</v>
      </c>
      <c r="F537" s="63" t="str">
        <f>VLOOKUP(C537,'RAW DATA 2023'!E:BO,5,0)</f>
        <v>Greenhouse</v>
      </c>
      <c r="G537" s="63">
        <f>VLOOKUP(C537,'RAW DATA 2023'!E:BO,13,0)</f>
        <v>153</v>
      </c>
      <c r="H537" s="63">
        <f t="shared" si="69"/>
        <v>150</v>
      </c>
      <c r="I537" s="63">
        <f t="shared" si="67"/>
        <v>9.1999999999999993</v>
      </c>
      <c r="J537" s="106">
        <f>VLOOKUP(C537,'RAW DATA 2023'!E:BO,22,0)</f>
        <v>8.6188923884514441</v>
      </c>
      <c r="K537" s="70">
        <f t="shared" si="70"/>
        <v>0.93683612917950487</v>
      </c>
      <c r="L537" s="72">
        <f t="shared" si="68"/>
        <v>8.6188923884514441</v>
      </c>
      <c r="M537" s="109">
        <f t="shared" si="72"/>
        <v>5.8244817223933989</v>
      </c>
      <c r="N537" s="123" t="str">
        <f>VLOOKUP(C537,'RAW DATA 2023'!E:BO,36,0)</f>
        <v>Normal</v>
      </c>
      <c r="O537" s="63">
        <f>VLOOKUP(C537,'RAW DATA 2023'!E:BO,2,0)</f>
        <v>3.81</v>
      </c>
      <c r="P537" s="322">
        <f t="shared" si="71"/>
        <v>22.191275362318851</v>
      </c>
    </row>
    <row r="538" spans="1:16">
      <c r="A538" s="63" t="str">
        <f>'RAW DATA 2023'!B531</f>
        <v>Bangsakao</v>
      </c>
      <c r="B538" s="63" t="str">
        <f>'RAW DATA 2023'!D531</f>
        <v>CG-007-0025</v>
      </c>
      <c r="C538" s="63" t="str">
        <f t="shared" si="65"/>
        <v>BangsakaoCG-007-0025</v>
      </c>
      <c r="D538" s="68">
        <f>VLOOKUP(C538,'RAW DATA 2023'!E:BP,63,0)</f>
        <v>6</v>
      </c>
      <c r="E538" s="68" t="str">
        <f t="shared" si="66"/>
        <v>Bangsakao6</v>
      </c>
      <c r="F538" s="63" t="str">
        <f>VLOOKUP(C538,'RAW DATA 2023'!E:BO,5,0)</f>
        <v>Greenhouse</v>
      </c>
      <c r="G538" s="63">
        <f>VLOOKUP(C538,'RAW DATA 2023'!E:BO,13,0)</f>
        <v>153</v>
      </c>
      <c r="H538" s="63">
        <f t="shared" si="69"/>
        <v>150</v>
      </c>
      <c r="I538" s="63">
        <f t="shared" si="67"/>
        <v>9.1999999999999993</v>
      </c>
      <c r="J538" s="106">
        <f>VLOOKUP(C538,'RAW DATA 2023'!E:BO,22,0)</f>
        <v>3.3107506561679787</v>
      </c>
      <c r="K538" s="70">
        <f t="shared" si="70"/>
        <v>0.35986420175738904</v>
      </c>
      <c r="L538" s="72">
        <f t="shared" si="68"/>
        <v>3.3107506561679787</v>
      </c>
      <c r="M538" s="109">
        <f t="shared" si="72"/>
        <v>-1.8684773099014795</v>
      </c>
      <c r="N538" s="123" t="str">
        <f>VLOOKUP(C538,'RAW DATA 2023'!E:BO,36,0)</f>
        <v>EHP</v>
      </c>
      <c r="O538" s="63">
        <f>VLOOKUP(C538,'RAW DATA 2023'!E:BO,2,0)</f>
        <v>3.81</v>
      </c>
      <c r="P538" s="322">
        <f t="shared" si="71"/>
        <v>-7.1188985507246372</v>
      </c>
    </row>
    <row r="539" spans="1:16">
      <c r="A539" s="63" t="str">
        <f>'RAW DATA 2023'!B532</f>
        <v>Bangsakao</v>
      </c>
      <c r="B539" s="63" t="str">
        <f>'RAW DATA 2023'!D532</f>
        <v>DG-004-0024</v>
      </c>
      <c r="C539" s="63" t="str">
        <f t="shared" si="65"/>
        <v>BangsakaoDG-004-0024</v>
      </c>
      <c r="D539" s="68">
        <f>VLOOKUP(C539,'RAW DATA 2023'!E:BP,63,0)</f>
        <v>12</v>
      </c>
      <c r="E539" s="68" t="str">
        <f t="shared" si="66"/>
        <v>Bangsakao12</v>
      </c>
      <c r="F539" s="63" t="str">
        <f>VLOOKUP(C539,'RAW DATA 2023'!E:BO,5,0)</f>
        <v>Greenhouse</v>
      </c>
      <c r="G539" s="63">
        <f>VLOOKUP(C539,'RAW DATA 2023'!E:BO,13,0)</f>
        <v>167</v>
      </c>
      <c r="H539" s="63">
        <f t="shared" si="69"/>
        <v>180</v>
      </c>
      <c r="I539" s="63">
        <f t="shared" si="67"/>
        <v>10.247</v>
      </c>
      <c r="J539" s="106">
        <f>VLOOKUP(C539,'RAW DATA 2023'!E:BO,22,0)</f>
        <v>7.1207849999999997</v>
      </c>
      <c r="K539" s="70">
        <f t="shared" si="70"/>
        <v>0.69491412120620666</v>
      </c>
      <c r="L539" s="72">
        <f t="shared" si="68"/>
        <v>7.1207849999999997</v>
      </c>
      <c r="M539" s="109">
        <f t="shared" si="72"/>
        <v>2.5988549494160891</v>
      </c>
      <c r="N539" s="123" t="str">
        <f>VLOOKUP(C539,'RAW DATA 2023'!E:BO,36,0)</f>
        <v>Normal</v>
      </c>
      <c r="O539" s="63">
        <f>VLOOKUP(C539,'RAW DATA 2023'!E:BO,2,0)</f>
        <v>2</v>
      </c>
      <c r="P539" s="322">
        <f t="shared" si="71"/>
        <v>5.1977098988321782</v>
      </c>
    </row>
    <row r="540" spans="1:16">
      <c r="A540" s="63" t="str">
        <f>'RAW DATA 2023'!B533</f>
        <v>Bangsakao</v>
      </c>
      <c r="B540" s="63" t="str">
        <f>'RAW DATA 2023'!D533</f>
        <v>DG-003-0026</v>
      </c>
      <c r="C540" s="63" t="str">
        <f t="shared" si="65"/>
        <v>BangsakaoDG-003-0026</v>
      </c>
      <c r="D540" s="68">
        <f>VLOOKUP(C540,'RAW DATA 2023'!E:BP,63,0)</f>
        <v>12</v>
      </c>
      <c r="E540" s="68" t="str">
        <f t="shared" si="66"/>
        <v>Bangsakao12</v>
      </c>
      <c r="F540" s="63" t="str">
        <f>VLOOKUP(C540,'RAW DATA 2023'!E:BO,5,0)</f>
        <v>Greenhouse</v>
      </c>
      <c r="G540" s="63">
        <f>VLOOKUP(C540,'RAW DATA 2023'!E:BO,13,0)</f>
        <v>175</v>
      </c>
      <c r="H540" s="63">
        <f t="shared" si="69"/>
        <v>180</v>
      </c>
      <c r="I540" s="63">
        <f t="shared" si="67"/>
        <v>10.247</v>
      </c>
      <c r="J540" s="106">
        <f>VLOOKUP(C540,'RAW DATA 2023'!E:BO,22,0)</f>
        <v>7.1650473684210532</v>
      </c>
      <c r="K540" s="70">
        <f t="shared" si="70"/>
        <v>0.69923366530897368</v>
      </c>
      <c r="L540" s="72">
        <f t="shared" si="68"/>
        <v>7.1650473684210532</v>
      </c>
      <c r="M540" s="109">
        <f t="shared" si="72"/>
        <v>2.6564488707863161</v>
      </c>
      <c r="N540" s="123" t="str">
        <f>VLOOKUP(C540,'RAW DATA 2023'!E:BO,36,0)</f>
        <v>Normal</v>
      </c>
      <c r="O540" s="63">
        <f>VLOOKUP(C540,'RAW DATA 2023'!E:BO,2,0)</f>
        <v>1.9</v>
      </c>
      <c r="P540" s="322">
        <f t="shared" si="71"/>
        <v>5.0472528544940003</v>
      </c>
    </row>
    <row r="541" spans="1:16">
      <c r="A541" s="63" t="str">
        <f>'RAW DATA 2023'!B534</f>
        <v>Bangsakao</v>
      </c>
      <c r="B541" s="63" t="str">
        <f>'RAW DATA 2023'!D534</f>
        <v>CG-006-0029</v>
      </c>
      <c r="C541" s="63" t="str">
        <f t="shared" si="65"/>
        <v>BangsakaoCG-006-0029</v>
      </c>
      <c r="D541" s="68">
        <f>VLOOKUP(C541,'RAW DATA 2023'!E:BP,63,0)</f>
        <v>5</v>
      </c>
      <c r="E541" s="68" t="str">
        <f t="shared" si="66"/>
        <v>Bangsakao5</v>
      </c>
      <c r="F541" s="63" t="str">
        <f>VLOOKUP(C541,'RAW DATA 2023'!E:BO,5,0)</f>
        <v>Greenhouse</v>
      </c>
      <c r="G541" s="63">
        <f>VLOOKUP(C541,'RAW DATA 2023'!E:BO,13,0)</f>
        <v>155</v>
      </c>
      <c r="H541" s="63">
        <f t="shared" si="69"/>
        <v>150</v>
      </c>
      <c r="I541" s="63">
        <f t="shared" si="67"/>
        <v>9.1999999999999993</v>
      </c>
      <c r="J541" s="106">
        <f>VLOOKUP(C541,'RAW DATA 2023'!E:BO,22,0)</f>
        <v>4.3461175373134324</v>
      </c>
      <c r="K541" s="70">
        <f t="shared" si="70"/>
        <v>0.47240408014276442</v>
      </c>
      <c r="L541" s="72">
        <f t="shared" si="68"/>
        <v>4.3461175373134324</v>
      </c>
      <c r="M541" s="109">
        <f t="shared" si="72"/>
        <v>-0.36794559809647448</v>
      </c>
      <c r="N541" s="123" t="str">
        <f>VLOOKUP(C541,'RAW DATA 2023'!E:BO,36,0)</f>
        <v>WFD</v>
      </c>
      <c r="O541" s="63">
        <f>VLOOKUP(C541,'RAW DATA 2023'!E:BO,2,0)</f>
        <v>5.36</v>
      </c>
      <c r="P541" s="322">
        <f t="shared" si="71"/>
        <v>-1.9721884057971033</v>
      </c>
    </row>
    <row r="542" spans="1:16">
      <c r="A542" s="63" t="str">
        <f>'RAW DATA 2023'!B535</f>
        <v>Bangsakao</v>
      </c>
      <c r="B542" s="63" t="str">
        <f>'RAW DATA 2023'!D535</f>
        <v>CG-009-0026</v>
      </c>
      <c r="C542" s="63" t="str">
        <f t="shared" si="65"/>
        <v>BangsakaoCG-009-0026</v>
      </c>
      <c r="D542" s="68">
        <f>VLOOKUP(C542,'RAW DATA 2023'!E:BP,63,0)</f>
        <v>12</v>
      </c>
      <c r="E542" s="68" t="str">
        <f t="shared" si="66"/>
        <v>Bangsakao12</v>
      </c>
      <c r="F542" s="63" t="str">
        <f>VLOOKUP(C542,'RAW DATA 2023'!E:BO,5,0)</f>
        <v>Greenhouse</v>
      </c>
      <c r="G542" s="63">
        <f>VLOOKUP(C542,'RAW DATA 2023'!E:BO,13,0)</f>
        <v>154</v>
      </c>
      <c r="H542" s="63">
        <f t="shared" si="69"/>
        <v>150</v>
      </c>
      <c r="I542" s="63">
        <f t="shared" si="67"/>
        <v>9.1999999999999993</v>
      </c>
      <c r="J542" s="106">
        <f>VLOOKUP(C542,'RAW DATA 2023'!E:BO,22,0)</f>
        <v>5.2250842105263153</v>
      </c>
      <c r="K542" s="70">
        <f t="shared" si="70"/>
        <v>0.5679439359267735</v>
      </c>
      <c r="L542" s="72">
        <f t="shared" si="68"/>
        <v>5.2250842105263153</v>
      </c>
      <c r="M542" s="109">
        <f t="shared" si="72"/>
        <v>0.9059191456903134</v>
      </c>
      <c r="N542" s="123" t="str">
        <f>VLOOKUP(C542,'RAW DATA 2023'!E:BO,36,0)</f>
        <v>Normal</v>
      </c>
      <c r="O542" s="63">
        <f>VLOOKUP(C542,'RAW DATA 2023'!E:BO,2,0)</f>
        <v>3.8</v>
      </c>
      <c r="P542" s="322">
        <f t="shared" si="71"/>
        <v>3.4424927536231906</v>
      </c>
    </row>
    <row r="543" spans="1:16">
      <c r="A543" s="63" t="str">
        <f>'RAW DATA 2023'!B536</f>
        <v>Bangsakao</v>
      </c>
      <c r="B543" s="63" t="str">
        <f>'RAW DATA 2023'!D536</f>
        <v>CG-004-0026</v>
      </c>
      <c r="C543" s="63" t="str">
        <f t="shared" si="65"/>
        <v>BangsakaoCG-004-0026</v>
      </c>
      <c r="D543" s="68">
        <f>VLOOKUP(C543,'RAW DATA 2023'!E:BP,63,0)</f>
        <v>7</v>
      </c>
      <c r="E543" s="68" t="str">
        <f t="shared" si="66"/>
        <v>Bangsakao7</v>
      </c>
      <c r="F543" s="63" t="str">
        <f>VLOOKUP(C543,'RAW DATA 2023'!E:BO,5,0)</f>
        <v>Greenhouse</v>
      </c>
      <c r="G543" s="63">
        <f>VLOOKUP(C543,'RAW DATA 2023'!E:BO,13,0)</f>
        <v>163</v>
      </c>
      <c r="H543" s="63">
        <f t="shared" si="69"/>
        <v>150</v>
      </c>
      <c r="I543" s="63">
        <f t="shared" si="67"/>
        <v>9.1999999999999993</v>
      </c>
      <c r="J543" s="106">
        <f>VLOOKUP(C543,'RAW DATA 2023'!E:BO,22,0)</f>
        <v>2.4845652173913044</v>
      </c>
      <c r="K543" s="70">
        <f t="shared" si="70"/>
        <v>0.27006143667296789</v>
      </c>
      <c r="L543" s="72">
        <f t="shared" si="68"/>
        <v>2.4845652173913044</v>
      </c>
      <c r="M543" s="109">
        <f t="shared" si="72"/>
        <v>-3.0658475110270951</v>
      </c>
      <c r="N543" s="123" t="str">
        <f>VLOOKUP(C543,'RAW DATA 2023'!E:BO,36,0)</f>
        <v>EHP</v>
      </c>
      <c r="O543" s="63">
        <f>VLOOKUP(C543,'RAW DATA 2023'!E:BO,2,0)</f>
        <v>4.5999999999999996</v>
      </c>
      <c r="P543" s="322">
        <f t="shared" si="71"/>
        <v>-14.102898550724635</v>
      </c>
    </row>
    <row r="544" spans="1:16">
      <c r="A544" s="63" t="str">
        <f>'RAW DATA 2023'!B537</f>
        <v>Bangsakao</v>
      </c>
      <c r="B544" s="63" t="str">
        <f>'RAW DATA 2023'!D537</f>
        <v>CG-003-0027</v>
      </c>
      <c r="C544" s="63" t="str">
        <f t="shared" si="65"/>
        <v>BangsakaoCG-003-0027</v>
      </c>
      <c r="D544" s="68">
        <f>VLOOKUP(C544,'RAW DATA 2023'!E:BP,63,0)</f>
        <v>7</v>
      </c>
      <c r="E544" s="68" t="str">
        <f t="shared" si="66"/>
        <v>Bangsakao7</v>
      </c>
      <c r="F544" s="63" t="str">
        <f>VLOOKUP(C544,'RAW DATA 2023'!E:BO,5,0)</f>
        <v>Greenhouse</v>
      </c>
      <c r="G544" s="63">
        <f>VLOOKUP(C544,'RAW DATA 2023'!E:BO,13,0)</f>
        <v>164</v>
      </c>
      <c r="H544" s="63">
        <f t="shared" si="69"/>
        <v>150</v>
      </c>
      <c r="I544" s="63">
        <f t="shared" si="67"/>
        <v>9.1999999999999993</v>
      </c>
      <c r="J544" s="106">
        <f>VLOOKUP(C544,'RAW DATA 2023'!E:BO,22,0)</f>
        <v>2.8117105263157893</v>
      </c>
      <c r="K544" s="70">
        <f t="shared" si="70"/>
        <v>0.30562070938215102</v>
      </c>
      <c r="L544" s="72">
        <f t="shared" si="68"/>
        <v>2.8117105263157893</v>
      </c>
      <c r="M544" s="109">
        <f t="shared" si="72"/>
        <v>-2.5917238749046532</v>
      </c>
      <c r="N544" s="123" t="str">
        <f>VLOOKUP(C544,'RAW DATA 2023'!E:BO,36,0)</f>
        <v>WFD</v>
      </c>
      <c r="O544" s="63">
        <f>VLOOKUP(C544,'RAW DATA 2023'!E:BO,2,0)</f>
        <v>4.5599999999999996</v>
      </c>
      <c r="P544" s="322">
        <f t="shared" si="71"/>
        <v>-11.818260869565217</v>
      </c>
    </row>
    <row r="545" spans="1:16">
      <c r="A545" s="63" t="str">
        <f>'RAW DATA 2023'!B538</f>
        <v>Bangsakao</v>
      </c>
      <c r="B545" s="63" t="str">
        <f>'RAW DATA 2023'!D538</f>
        <v>B1-006-0013</v>
      </c>
      <c r="C545" s="63" t="str">
        <f t="shared" si="65"/>
        <v>BangsakaoB1-006-0013</v>
      </c>
      <c r="D545" s="68">
        <f>VLOOKUP(C545,'RAW DATA 2023'!E:BP,63,0)</f>
        <v>6</v>
      </c>
      <c r="E545" s="68" t="str">
        <f t="shared" si="66"/>
        <v>Bangsakao6</v>
      </c>
      <c r="F545" s="63" t="str">
        <f>VLOOKUP(C545,'RAW DATA 2023'!E:BO,5,0)</f>
        <v>Outdoor</v>
      </c>
      <c r="G545" s="63">
        <f>VLOOKUP(C545,'RAW DATA 2023'!E:BO,13,0)</f>
        <v>263</v>
      </c>
      <c r="H545" s="63">
        <f t="shared" si="69"/>
        <v>200</v>
      </c>
      <c r="I545" s="63">
        <f t="shared" si="67"/>
        <v>11.259</v>
      </c>
      <c r="J545" s="106">
        <f>VLOOKUP(C545,'RAW DATA 2023'!E:BO,22,0)</f>
        <v>6.6267052631578949</v>
      </c>
      <c r="K545" s="70">
        <f t="shared" si="70"/>
        <v>0.58856961214654002</v>
      </c>
      <c r="L545" s="72">
        <f t="shared" si="68"/>
        <v>6.6267052631578949</v>
      </c>
      <c r="M545" s="109">
        <f t="shared" si="72"/>
        <v>1.180928161953867</v>
      </c>
      <c r="N545" s="123" t="str">
        <f>VLOOKUP(C545,'RAW DATA 2023'!E:BO,36,0)</f>
        <v>EHP</v>
      </c>
      <c r="O545" s="63">
        <f>VLOOKUP(C545,'RAW DATA 2023'!E:BO,2,0)</f>
        <v>4.75</v>
      </c>
      <c r="P545" s="322">
        <f t="shared" si="71"/>
        <v>5.6094087692808685</v>
      </c>
    </row>
    <row r="546" spans="1:16">
      <c r="A546" s="63" t="str">
        <f>'RAW DATA 2023'!B539</f>
        <v>Bangsakao</v>
      </c>
      <c r="B546" s="63" t="str">
        <f>'RAW DATA 2023'!D539</f>
        <v>B1-003-0010</v>
      </c>
      <c r="C546" s="63" t="str">
        <f t="shared" si="65"/>
        <v>BangsakaoB1-003-0010</v>
      </c>
      <c r="D546" s="68">
        <f>VLOOKUP(C546,'RAW DATA 2023'!E:BP,63,0)</f>
        <v>3</v>
      </c>
      <c r="E546" s="68" t="str">
        <f t="shared" si="66"/>
        <v>Bangsakao3</v>
      </c>
      <c r="F546" s="63" t="str">
        <f>VLOOKUP(C546,'RAW DATA 2023'!E:BO,5,0)</f>
        <v>Outdoor</v>
      </c>
      <c r="G546" s="63">
        <f>VLOOKUP(C546,'RAW DATA 2023'!E:BO,13,0)</f>
        <v>126</v>
      </c>
      <c r="H546" s="63">
        <f t="shared" si="69"/>
        <v>100</v>
      </c>
      <c r="I546" s="63">
        <f t="shared" si="67"/>
        <v>6.806</v>
      </c>
      <c r="J546" s="106">
        <f>VLOOKUP(C546,'RAW DATA 2023'!E:BO,22,0)</f>
        <v>1.1890837209302327</v>
      </c>
      <c r="K546" s="70">
        <f t="shared" si="70"/>
        <v>0.17471109622836214</v>
      </c>
      <c r="L546" s="72">
        <f t="shared" si="68"/>
        <v>1.1890837209302327</v>
      </c>
      <c r="M546" s="109">
        <f t="shared" si="72"/>
        <v>-4.337185383621839</v>
      </c>
      <c r="N546" s="123" t="str">
        <f>VLOOKUP(C546,'RAW DATA 2023'!E:BO,36,0)</f>
        <v>WSSV</v>
      </c>
      <c r="O546" s="63">
        <f>VLOOKUP(C546,'RAW DATA 2023'!E:BO,2,0)</f>
        <v>4.3</v>
      </c>
      <c r="P546" s="322">
        <f t="shared" si="71"/>
        <v>-18.649897149573906</v>
      </c>
    </row>
    <row r="547" spans="1:16">
      <c r="A547" s="63" t="str">
        <f>'RAW DATA 2023'!B540</f>
        <v>Bangsakao</v>
      </c>
      <c r="B547" s="63" t="str">
        <f>'RAW DATA 2023'!D540</f>
        <v>B1-003-0009</v>
      </c>
      <c r="C547" s="63" t="str">
        <f t="shared" si="65"/>
        <v>BangsakaoB1-003-0009</v>
      </c>
      <c r="D547" s="68">
        <f>VLOOKUP(C547,'RAW DATA 2023'!E:BP,63,0)</f>
        <v>1</v>
      </c>
      <c r="E547" s="68" t="str">
        <f t="shared" si="66"/>
        <v>Bangsakao1</v>
      </c>
      <c r="F547" s="63" t="str">
        <f>VLOOKUP(C547,'RAW DATA 2023'!E:BO,5,0)</f>
        <v>Outdoor</v>
      </c>
      <c r="G547" s="63">
        <f>VLOOKUP(C547,'RAW DATA 2023'!E:BO,13,0)</f>
        <v>126</v>
      </c>
      <c r="H547" s="63">
        <f t="shared" si="69"/>
        <v>100</v>
      </c>
      <c r="I547" s="63">
        <f t="shared" si="67"/>
        <v>6.806</v>
      </c>
      <c r="J547" s="106">
        <f>VLOOKUP(C547,'RAW DATA 2023'!E:BO,22,0)</f>
        <v>2.3868348837209301</v>
      </c>
      <c r="K547" s="70">
        <f t="shared" si="70"/>
        <v>0.35069569258315164</v>
      </c>
      <c r="L547" s="72">
        <f t="shared" si="68"/>
        <v>2.3868348837209301</v>
      </c>
      <c r="M547" s="109">
        <f t="shared" si="72"/>
        <v>-1.9907240988913115</v>
      </c>
      <c r="N547" s="123" t="str">
        <f>VLOOKUP(C547,'RAW DATA 2023'!E:BO,36,0)</f>
        <v>WSSV</v>
      </c>
      <c r="O547" s="63">
        <f>VLOOKUP(C547,'RAW DATA 2023'!E:BO,2,0)</f>
        <v>4.3</v>
      </c>
      <c r="P547" s="322">
        <f t="shared" si="71"/>
        <v>-8.5601136252326384</v>
      </c>
    </row>
    <row r="548" spans="1:16">
      <c r="A548" s="63" t="str">
        <f>'RAW DATA 2023'!B541</f>
        <v>Bangsakao</v>
      </c>
      <c r="B548" s="63" t="str">
        <f>'RAW DATA 2023'!D541</f>
        <v>B1-006-0015</v>
      </c>
      <c r="C548" s="63" t="str">
        <f t="shared" si="65"/>
        <v>BangsakaoB1-006-0015</v>
      </c>
      <c r="D548" s="68">
        <f>VLOOKUP(C548,'RAW DATA 2023'!E:BP,63,0)</f>
        <v>9</v>
      </c>
      <c r="E548" s="68" t="str">
        <f t="shared" si="66"/>
        <v>Bangsakao9</v>
      </c>
      <c r="F548" s="63" t="str">
        <f>VLOOKUP(C548,'RAW DATA 2023'!E:BO,5,0)</f>
        <v>Outdoor</v>
      </c>
      <c r="G548" s="63">
        <f>VLOOKUP(C548,'RAW DATA 2023'!E:BO,13,0)</f>
        <v>132</v>
      </c>
      <c r="H548" s="63">
        <f t="shared" si="69"/>
        <v>100</v>
      </c>
      <c r="I548" s="63">
        <f t="shared" si="67"/>
        <v>6.806</v>
      </c>
      <c r="J548" s="106">
        <f>VLOOKUP(C548,'RAW DATA 2023'!E:BO,22,0)</f>
        <v>0</v>
      </c>
      <c r="K548" s="70">
        <f t="shared" si="70"/>
        <v>0</v>
      </c>
      <c r="L548" s="72">
        <f t="shared" si="68"/>
        <v>0</v>
      </c>
      <c r="M548" s="109">
        <f t="shared" si="72"/>
        <v>-6.666666666666667</v>
      </c>
      <c r="N548" s="123" t="str">
        <f>VLOOKUP(C548,'RAW DATA 2023'!E:BO,36,0)</f>
        <v>WSSV</v>
      </c>
      <c r="O548" s="63">
        <f>VLOOKUP(C548,'RAW DATA 2023'!E:BO,2,0)</f>
        <v>4.75</v>
      </c>
      <c r="P548" s="322">
        <f t="shared" si="71"/>
        <v>-31.666666666666668</v>
      </c>
    </row>
    <row r="549" spans="1:16">
      <c r="A549" s="63" t="str">
        <f>'RAW DATA 2023'!B542</f>
        <v>Rayong3</v>
      </c>
      <c r="B549" s="63" t="str">
        <f>'RAW DATA 2023'!D542</f>
        <v>D1-030-0017</v>
      </c>
      <c r="C549" s="63" t="str">
        <f t="shared" si="65"/>
        <v>Rayong3D1-030-0017</v>
      </c>
      <c r="D549" s="68">
        <f>VLOOKUP(C549,'RAW DATA 2023'!E:BP,63,0)</f>
        <v>8</v>
      </c>
      <c r="E549" s="68" t="str">
        <f t="shared" si="66"/>
        <v>Rayong38</v>
      </c>
      <c r="F549" s="63" t="str">
        <f>VLOOKUP(C549,'RAW DATA 2023'!E:BO,5,0)</f>
        <v>Outdoor</v>
      </c>
      <c r="G549" s="63">
        <f>VLOOKUP(C549,'RAW DATA 2023'!E:BO,13,0)</f>
        <v>215</v>
      </c>
      <c r="H549" s="63">
        <f t="shared" si="69"/>
        <v>200</v>
      </c>
      <c r="I549" s="63">
        <f t="shared" si="67"/>
        <v>11.259</v>
      </c>
      <c r="J549" s="106">
        <f>VLOOKUP(C549,'RAW DATA 2023'!E:BO,22,0)</f>
        <v>15.6816336</v>
      </c>
      <c r="K549" s="70">
        <f t="shared" si="70"/>
        <v>1.3928087396749267</v>
      </c>
      <c r="L549" s="72">
        <f t="shared" si="68"/>
        <v>15.6816336</v>
      </c>
      <c r="M549" s="109">
        <f t="shared" si="72"/>
        <v>11.904116528999023</v>
      </c>
      <c r="N549" s="123" t="str">
        <f>VLOOKUP(C549,'RAW DATA 2023'!E:BO,36,0)</f>
        <v>Normal</v>
      </c>
      <c r="O549" s="63">
        <f>VLOOKUP(C549,'RAW DATA 2023'!E:BO,2,0)</f>
        <v>6.25</v>
      </c>
      <c r="P549" s="322">
        <f t="shared" si="71"/>
        <v>74.400728306243892</v>
      </c>
    </row>
    <row r="550" spans="1:16">
      <c r="A550" s="63" t="str">
        <f>'RAW DATA 2023'!B543</f>
        <v>Rayong3</v>
      </c>
      <c r="B550" s="63" t="str">
        <f>'RAW DATA 2023'!D543</f>
        <v>D1-031-0041</v>
      </c>
      <c r="C550" s="63" t="str">
        <f t="shared" si="65"/>
        <v>Rayong3D1-031-0041</v>
      </c>
      <c r="D550" s="68">
        <f>VLOOKUP(C550,'RAW DATA 2023'!E:BP,63,0)</f>
        <v>4</v>
      </c>
      <c r="E550" s="68" t="str">
        <f t="shared" si="66"/>
        <v>Rayong34</v>
      </c>
      <c r="F550" s="63" t="str">
        <f>VLOOKUP(C550,'RAW DATA 2023'!E:BO,5,0)</f>
        <v>Outdoor</v>
      </c>
      <c r="G550" s="63">
        <f>VLOOKUP(C550,'RAW DATA 2023'!E:BO,13,0)</f>
        <v>100</v>
      </c>
      <c r="H550" s="63">
        <f t="shared" si="69"/>
        <v>100</v>
      </c>
      <c r="I550" s="63">
        <f t="shared" si="67"/>
        <v>6.806</v>
      </c>
      <c r="J550" s="106">
        <f>VLOOKUP(C550,'RAW DATA 2023'!E:BO,22,0)</f>
        <v>10.129568000000001</v>
      </c>
      <c r="K550" s="70">
        <f t="shared" si="70"/>
        <v>1.4883291213635028</v>
      </c>
      <c r="L550" s="72">
        <f t="shared" si="68"/>
        <v>10.129568000000001</v>
      </c>
      <c r="M550" s="109">
        <f t="shared" si="72"/>
        <v>13.177721618180039</v>
      </c>
      <c r="N550" s="123" t="str">
        <f>VLOOKUP(C550,'RAW DATA 2023'!E:BO,36,0)</f>
        <v>Normal</v>
      </c>
      <c r="O550" s="63">
        <f>VLOOKUP(C550,'RAW DATA 2023'!E:BO,2,0)</f>
        <v>6.25</v>
      </c>
      <c r="P550" s="322">
        <f t="shared" si="71"/>
        <v>82.360760113625247</v>
      </c>
    </row>
    <row r="551" spans="1:16">
      <c r="A551" s="63" t="str">
        <f>'RAW DATA 2023'!B544</f>
        <v>Rayong3</v>
      </c>
      <c r="B551" s="63" t="str">
        <f>'RAW DATA 2023'!D544</f>
        <v>D1-047-0011</v>
      </c>
      <c r="C551" s="63" t="str">
        <f t="shared" si="65"/>
        <v>Rayong3D1-047-0011</v>
      </c>
      <c r="D551" s="68">
        <f>VLOOKUP(C551,'RAW DATA 2023'!E:BP,63,0)</f>
        <v>2</v>
      </c>
      <c r="E551" s="68" t="str">
        <f t="shared" si="66"/>
        <v>Rayong32</v>
      </c>
      <c r="F551" s="63" t="str">
        <f>VLOOKUP(C551,'RAW DATA 2023'!E:BO,5,0)</f>
        <v>Outdoor</v>
      </c>
      <c r="G551" s="63">
        <f>VLOOKUP(C551,'RAW DATA 2023'!E:BO,13,0)</f>
        <v>185</v>
      </c>
      <c r="H551" s="63">
        <f t="shared" si="69"/>
        <v>180</v>
      </c>
      <c r="I551" s="63">
        <f t="shared" si="67"/>
        <v>10.247</v>
      </c>
      <c r="J551" s="106">
        <f>VLOOKUP(C551,'RAW DATA 2023'!E:BO,22,0)</f>
        <v>14.128746666666666</v>
      </c>
      <c r="K551" s="70">
        <f t="shared" si="70"/>
        <v>1.3788178653914966</v>
      </c>
      <c r="L551" s="72">
        <f t="shared" si="68"/>
        <v>14.128746666666666</v>
      </c>
      <c r="M551" s="109">
        <f t="shared" si="72"/>
        <v>11.717571538553289</v>
      </c>
      <c r="N551" s="123" t="str">
        <f>VLOOKUP(C551,'RAW DATA 2023'!E:BO,36,0)</f>
        <v>Normal</v>
      </c>
      <c r="O551" s="63">
        <f>VLOOKUP(C551,'RAW DATA 2023'!E:BO,2,0)</f>
        <v>1.5</v>
      </c>
      <c r="P551" s="322">
        <f t="shared" si="71"/>
        <v>17.576357307829934</v>
      </c>
    </row>
    <row r="552" spans="1:16">
      <c r="A552" s="63" t="str">
        <f>'RAW DATA 2023'!B545</f>
        <v>Rayong3</v>
      </c>
      <c r="B552" s="63" t="str">
        <f>'RAW DATA 2023'!D545</f>
        <v>D1-046-0011</v>
      </c>
      <c r="C552" s="63" t="str">
        <f t="shared" si="65"/>
        <v>Rayong3D1-046-0011</v>
      </c>
      <c r="D552" s="68">
        <f>VLOOKUP(C552,'RAW DATA 2023'!E:BP,63,0)</f>
        <v>3</v>
      </c>
      <c r="E552" s="68" t="str">
        <f t="shared" si="66"/>
        <v>Rayong33</v>
      </c>
      <c r="F552" s="63" t="str">
        <f>VLOOKUP(C552,'RAW DATA 2023'!E:BO,5,0)</f>
        <v>Outdoor</v>
      </c>
      <c r="G552" s="63">
        <f>VLOOKUP(C552,'RAW DATA 2023'!E:BO,13,0)</f>
        <v>194</v>
      </c>
      <c r="H552" s="63">
        <f t="shared" si="69"/>
        <v>200</v>
      </c>
      <c r="I552" s="63">
        <f t="shared" si="67"/>
        <v>11.259</v>
      </c>
      <c r="J552" s="106">
        <f>VLOOKUP(C552,'RAW DATA 2023'!E:BO,22,0)</f>
        <v>13.700286666666665</v>
      </c>
      <c r="K552" s="70">
        <f t="shared" si="70"/>
        <v>1.2168297954229208</v>
      </c>
      <c r="L552" s="72">
        <f t="shared" si="68"/>
        <v>13.700286666666665</v>
      </c>
      <c r="M552" s="109">
        <f t="shared" si="72"/>
        <v>9.5577306056389446</v>
      </c>
      <c r="N552" s="123" t="str">
        <f>VLOOKUP(C552,'RAW DATA 2023'!E:BO,36,0)</f>
        <v>Normal</v>
      </c>
      <c r="O552" s="63">
        <f>VLOOKUP(C552,'RAW DATA 2023'!E:BO,2,0)</f>
        <v>1.5</v>
      </c>
      <c r="P552" s="322">
        <f t="shared" si="71"/>
        <v>14.336595908458417</v>
      </c>
    </row>
    <row r="553" spans="1:16">
      <c r="A553" s="63" t="str">
        <f>'RAW DATA 2023'!B546</f>
        <v>Rayong3</v>
      </c>
      <c r="B553" s="63" t="str">
        <f>'RAW DATA 2023'!D546</f>
        <v>D1-030-0016</v>
      </c>
      <c r="C553" s="63" t="str">
        <f t="shared" si="65"/>
        <v>Rayong3D1-030-0016</v>
      </c>
      <c r="D553" s="68">
        <f>VLOOKUP(C553,'RAW DATA 2023'!E:BP,63,0)</f>
        <v>3</v>
      </c>
      <c r="E553" s="68" t="str">
        <f t="shared" si="66"/>
        <v>Rayong33</v>
      </c>
      <c r="F553" s="63" t="str">
        <f>VLOOKUP(C553,'RAW DATA 2023'!E:BO,5,0)</f>
        <v>Outdoor</v>
      </c>
      <c r="G553" s="63">
        <f>VLOOKUP(C553,'RAW DATA 2023'!E:BO,13,0)</f>
        <v>100</v>
      </c>
      <c r="H553" s="63">
        <f t="shared" si="69"/>
        <v>100</v>
      </c>
      <c r="I553" s="63">
        <f t="shared" si="67"/>
        <v>6.806</v>
      </c>
      <c r="J553" s="106">
        <f>VLOOKUP(C553,'RAW DATA 2023'!E:BO,22,0)</f>
        <v>8.7230144000000003</v>
      </c>
      <c r="K553" s="70">
        <f t="shared" si="70"/>
        <v>1.2816653540993241</v>
      </c>
      <c r="L553" s="72">
        <f t="shared" si="68"/>
        <v>8.7230144000000003</v>
      </c>
      <c r="M553" s="109">
        <f t="shared" si="72"/>
        <v>10.422204721324322</v>
      </c>
      <c r="N553" s="123" t="str">
        <f>VLOOKUP(C553,'RAW DATA 2023'!E:BO,36,0)</f>
        <v>Normal</v>
      </c>
      <c r="O553" s="63">
        <f>VLOOKUP(C553,'RAW DATA 2023'!E:BO,2,0)</f>
        <v>6.25</v>
      </c>
      <c r="P553" s="322">
        <f t="shared" si="71"/>
        <v>65.138779508277011</v>
      </c>
    </row>
    <row r="554" spans="1:16">
      <c r="A554" s="63" t="str">
        <f>'RAW DATA 2023'!B547</f>
        <v>Rayong3</v>
      </c>
      <c r="B554" s="63" t="str">
        <f>'RAW DATA 2023'!D547</f>
        <v>D1-031-0042</v>
      </c>
      <c r="C554" s="63" t="str">
        <f t="shared" si="65"/>
        <v>Rayong3D1-031-0042</v>
      </c>
      <c r="D554" s="68">
        <f>VLOOKUP(C554,'RAW DATA 2023'!E:BP,63,0)</f>
        <v>8</v>
      </c>
      <c r="E554" s="68" t="str">
        <f t="shared" si="66"/>
        <v>Rayong38</v>
      </c>
      <c r="F554" s="63" t="str">
        <f>VLOOKUP(C554,'RAW DATA 2023'!E:BO,5,0)</f>
        <v>Outdoor</v>
      </c>
      <c r="G554" s="63">
        <f>VLOOKUP(C554,'RAW DATA 2023'!E:BO,13,0)</f>
        <v>280</v>
      </c>
      <c r="H554" s="63">
        <f t="shared" si="69"/>
        <v>200</v>
      </c>
      <c r="I554" s="63">
        <f t="shared" si="67"/>
        <v>11.259</v>
      </c>
      <c r="J554" s="106">
        <f>VLOOKUP(C554,'RAW DATA 2023'!E:BO,22,0)</f>
        <v>4.1617376000000004</v>
      </c>
      <c r="K554" s="70">
        <f t="shared" si="70"/>
        <v>0.36963652189359625</v>
      </c>
      <c r="L554" s="72">
        <f t="shared" si="68"/>
        <v>4.1617376000000004</v>
      </c>
      <c r="M554" s="109">
        <f t="shared" si="72"/>
        <v>-1.7381797080853834</v>
      </c>
      <c r="N554" s="123" t="str">
        <f>VLOOKUP(C554,'RAW DATA 2023'!E:BO,36,0)</f>
        <v>EHP</v>
      </c>
      <c r="O554" s="63">
        <f>VLOOKUP(C554,'RAW DATA 2023'!E:BO,2,0)</f>
        <v>6.25</v>
      </c>
      <c r="P554" s="322">
        <f t="shared" si="71"/>
        <v>-10.863623175533647</v>
      </c>
    </row>
    <row r="555" spans="1:16">
      <c r="A555" s="63" t="str">
        <f>'RAW DATA 2023'!B548</f>
        <v>Rayong3</v>
      </c>
      <c r="B555" s="63" t="str">
        <f>'RAW DATA 2023'!D548</f>
        <v>C1-016-0037</v>
      </c>
      <c r="C555" s="63" t="str">
        <f t="shared" si="65"/>
        <v>Rayong3C1-016-0037</v>
      </c>
      <c r="D555" s="68">
        <f>VLOOKUP(C555,'RAW DATA 2023'!E:BP,63,0)</f>
        <v>5</v>
      </c>
      <c r="E555" s="68" t="str">
        <f t="shared" si="66"/>
        <v>Rayong35</v>
      </c>
      <c r="F555" s="63" t="str">
        <f>VLOOKUP(C555,'RAW DATA 2023'!E:BO,5,0)</f>
        <v>Outdoor</v>
      </c>
      <c r="G555" s="63">
        <f>VLOOKUP(C555,'RAW DATA 2023'!E:BO,13,0)</f>
        <v>180</v>
      </c>
      <c r="H555" s="63">
        <f t="shared" si="69"/>
        <v>180</v>
      </c>
      <c r="I555" s="63">
        <f t="shared" si="67"/>
        <v>10.247</v>
      </c>
      <c r="J555" s="106">
        <f>VLOOKUP(C555,'RAW DATA 2023'!E:BO,22,0)</f>
        <v>16.080868799999998</v>
      </c>
      <c r="K555" s="70">
        <f t="shared" si="70"/>
        <v>1.5693245632868154</v>
      </c>
      <c r="L555" s="72">
        <f t="shared" si="68"/>
        <v>16.080868799999998</v>
      </c>
      <c r="M555" s="109">
        <f t="shared" si="72"/>
        <v>14.257660843824205</v>
      </c>
      <c r="N555" s="123" t="str">
        <f>VLOOKUP(C555,'RAW DATA 2023'!E:BO,36,0)</f>
        <v>Normal</v>
      </c>
      <c r="O555" s="63">
        <f>VLOOKUP(C555,'RAW DATA 2023'!E:BO,2,0)</f>
        <v>6.25</v>
      </c>
      <c r="P555" s="322">
        <f t="shared" si="71"/>
        <v>89.110380273901285</v>
      </c>
    </row>
    <row r="556" spans="1:16">
      <c r="A556" s="63" t="str">
        <f>'RAW DATA 2023'!B549</f>
        <v>Rayong3</v>
      </c>
      <c r="B556" s="63" t="str">
        <f>'RAW DATA 2023'!D549</f>
        <v>C1-005-0001</v>
      </c>
      <c r="C556" s="63" t="str">
        <f t="shared" si="65"/>
        <v>Rayong3C1-005-0001</v>
      </c>
      <c r="D556" s="68">
        <f>VLOOKUP(C556,'RAW DATA 2023'!E:BP,63,0)</f>
        <v>12</v>
      </c>
      <c r="E556" s="68" t="str">
        <f t="shared" si="66"/>
        <v>Rayong312</v>
      </c>
      <c r="F556" s="63" t="str">
        <f>VLOOKUP(C556,'RAW DATA 2023'!E:BO,5,0)</f>
        <v>Outdoor</v>
      </c>
      <c r="G556" s="63">
        <f>VLOOKUP(C556,'RAW DATA 2023'!E:BO,13,0)</f>
        <v>240</v>
      </c>
      <c r="H556" s="63">
        <f t="shared" si="69"/>
        <v>200</v>
      </c>
      <c r="I556" s="63">
        <f t="shared" si="67"/>
        <v>11.259</v>
      </c>
      <c r="J556" s="106">
        <f>VLOOKUP(C556,'RAW DATA 2023'!E:BO,22,0)</f>
        <v>5.1066336000000003</v>
      </c>
      <c r="K556" s="70">
        <f t="shared" si="70"/>
        <v>0.453560138555822</v>
      </c>
      <c r="L556" s="72">
        <f t="shared" si="68"/>
        <v>5.1066336000000003</v>
      </c>
      <c r="M556" s="109">
        <f t="shared" si="72"/>
        <v>-0.61919815258903999</v>
      </c>
      <c r="N556" s="123" t="str">
        <f>VLOOKUP(C556,'RAW DATA 2023'!E:BO,36,0)</f>
        <v>EHP</v>
      </c>
      <c r="O556" s="63">
        <f>VLOOKUP(C556,'RAW DATA 2023'!E:BO,2,0)</f>
        <v>6.25</v>
      </c>
      <c r="P556" s="322">
        <f t="shared" si="71"/>
        <v>-3.8699884536814997</v>
      </c>
    </row>
    <row r="557" spans="1:16">
      <c r="A557" s="63" t="str">
        <f>'RAW DATA 2023'!B550</f>
        <v>Rayong3</v>
      </c>
      <c r="B557" s="63" t="str">
        <f>'RAW DATA 2023'!D550</f>
        <v>C1-016-0038</v>
      </c>
      <c r="C557" s="63" t="str">
        <f t="shared" si="65"/>
        <v>Rayong3C1-016-0038</v>
      </c>
      <c r="D557" s="68">
        <f>VLOOKUP(C557,'RAW DATA 2023'!E:BP,63,0)</f>
        <v>8</v>
      </c>
      <c r="E557" s="68" t="str">
        <f t="shared" si="66"/>
        <v>Rayong38</v>
      </c>
      <c r="F557" s="63" t="str">
        <f>VLOOKUP(C557,'RAW DATA 2023'!E:BO,5,0)</f>
        <v>Outdoor</v>
      </c>
      <c r="G557" s="63">
        <f>VLOOKUP(C557,'RAW DATA 2023'!E:BO,13,0)</f>
        <v>240</v>
      </c>
      <c r="H557" s="63">
        <f t="shared" si="69"/>
        <v>200</v>
      </c>
      <c r="I557" s="63">
        <f t="shared" si="67"/>
        <v>11.259</v>
      </c>
      <c r="J557" s="106">
        <f>VLOOKUP(C557,'RAW DATA 2023'!E:BO,22,0)</f>
        <v>4.8919600000000001</v>
      </c>
      <c r="K557" s="70">
        <f t="shared" si="70"/>
        <v>0.4344932942534861</v>
      </c>
      <c r="L557" s="72">
        <f t="shared" si="68"/>
        <v>4.8919600000000001</v>
      </c>
      <c r="M557" s="109">
        <f t="shared" si="72"/>
        <v>-0.8734227432868521</v>
      </c>
      <c r="N557" s="123" t="str">
        <f>VLOOKUP(C557,'RAW DATA 2023'!E:BO,36,0)</f>
        <v>EHP</v>
      </c>
      <c r="O557" s="63">
        <f>VLOOKUP(C557,'RAW DATA 2023'!E:BO,2,0)</f>
        <v>6.25</v>
      </c>
      <c r="P557" s="322">
        <f t="shared" si="71"/>
        <v>-5.4588921455428254</v>
      </c>
    </row>
    <row r="558" spans="1:16">
      <c r="A558" s="63" t="str">
        <f>'RAW DATA 2023'!B551</f>
        <v>Rayong3</v>
      </c>
      <c r="B558" s="63" t="str">
        <f>'RAW DATA 2023'!D551</f>
        <v>A1-042-0009</v>
      </c>
      <c r="C558" s="63" t="str">
        <f t="shared" si="65"/>
        <v>Rayong3A1-042-0009</v>
      </c>
      <c r="D558" s="68">
        <f>VLOOKUP(C558,'RAW DATA 2023'!E:BP,63,0)</f>
        <v>8</v>
      </c>
      <c r="E558" s="68" t="str">
        <f t="shared" si="66"/>
        <v>Rayong38</v>
      </c>
      <c r="F558" s="63" t="str">
        <f>VLOOKUP(C558,'RAW DATA 2023'!E:BO,5,0)</f>
        <v>Outdoor</v>
      </c>
      <c r="G558" s="63">
        <f>VLOOKUP(C558,'RAW DATA 2023'!E:BO,13,0)</f>
        <v>278</v>
      </c>
      <c r="H558" s="63">
        <f t="shared" si="69"/>
        <v>200</v>
      </c>
      <c r="I558" s="63">
        <f t="shared" si="67"/>
        <v>11.259</v>
      </c>
      <c r="J558" s="106">
        <f>VLOOKUP(C558,'RAW DATA 2023'!E:BO,22,0)</f>
        <v>15.119133333333332</v>
      </c>
      <c r="K558" s="70">
        <f t="shared" si="70"/>
        <v>1.3428486840157503</v>
      </c>
      <c r="L558" s="72">
        <f t="shared" si="68"/>
        <v>15.119133333333332</v>
      </c>
      <c r="M558" s="109">
        <f t="shared" si="72"/>
        <v>11.237982453543339</v>
      </c>
      <c r="N558" s="123" t="str">
        <f>VLOOKUP(C558,'RAW DATA 2023'!E:BO,36,0)</f>
        <v>Normal</v>
      </c>
      <c r="O558" s="63">
        <f>VLOOKUP(C558,'RAW DATA 2023'!E:BO,2,0)</f>
        <v>1.5</v>
      </c>
      <c r="P558" s="322">
        <f t="shared" si="71"/>
        <v>16.856973680315008</v>
      </c>
    </row>
    <row r="559" spans="1:16">
      <c r="A559" s="63" t="str">
        <f>'RAW DATA 2023'!B552</f>
        <v>Rayong3</v>
      </c>
      <c r="B559" s="63" t="str">
        <f>'RAW DATA 2023'!D552</f>
        <v>A1-005-0028</v>
      </c>
      <c r="C559" s="63" t="str">
        <f t="shared" si="65"/>
        <v>Rayong3A1-005-0028</v>
      </c>
      <c r="D559" s="68">
        <f>VLOOKUP(C559,'RAW DATA 2023'!E:BP,63,0)</f>
        <v>8</v>
      </c>
      <c r="E559" s="68" t="str">
        <f t="shared" si="66"/>
        <v>Rayong38</v>
      </c>
      <c r="F559" s="63" t="str">
        <f>VLOOKUP(C559,'RAW DATA 2023'!E:BO,5,0)</f>
        <v>Outdoor</v>
      </c>
      <c r="G559" s="63">
        <f>VLOOKUP(C559,'RAW DATA 2023'!E:BO,13,0)</f>
        <v>207</v>
      </c>
      <c r="H559" s="63">
        <f t="shared" si="69"/>
        <v>200</v>
      </c>
      <c r="I559" s="63">
        <f t="shared" si="67"/>
        <v>11.259</v>
      </c>
      <c r="J559" s="106">
        <f>VLOOKUP(C559,'RAW DATA 2023'!E:BO,22,0)</f>
        <v>5.3328144000000002</v>
      </c>
      <c r="K559" s="70">
        <f t="shared" si="70"/>
        <v>0.47364902744471088</v>
      </c>
      <c r="L559" s="72">
        <f t="shared" si="68"/>
        <v>5.3328144000000002</v>
      </c>
      <c r="M559" s="109">
        <f t="shared" si="72"/>
        <v>-0.35134630073718831</v>
      </c>
      <c r="N559" s="123" t="str">
        <f>VLOOKUP(C559,'RAW DATA 2023'!E:BO,36,0)</f>
        <v>EHP</v>
      </c>
      <c r="O559" s="63">
        <f>VLOOKUP(C559,'RAW DATA 2023'!E:BO,2,0)</f>
        <v>6.25</v>
      </c>
      <c r="P559" s="322">
        <f t="shared" si="71"/>
        <v>-2.195914379607427</v>
      </c>
    </row>
    <row r="560" spans="1:16">
      <c r="A560" s="63" t="str">
        <f>'RAW DATA 2023'!B553</f>
        <v>Rayong3</v>
      </c>
      <c r="B560" s="63" t="str">
        <f>'RAW DATA 2023'!D553</f>
        <v>A1-023-0031</v>
      </c>
      <c r="C560" s="63" t="str">
        <f t="shared" si="65"/>
        <v>Rayong3A1-023-0031</v>
      </c>
      <c r="D560" s="68">
        <f>VLOOKUP(C560,'RAW DATA 2023'!E:BP,63,0)</f>
        <v>4</v>
      </c>
      <c r="E560" s="68" t="str">
        <f t="shared" si="66"/>
        <v>Rayong34</v>
      </c>
      <c r="F560" s="63" t="str">
        <f>VLOOKUP(C560,'RAW DATA 2023'!E:BO,5,0)</f>
        <v>Outdoor</v>
      </c>
      <c r="G560" s="63">
        <f>VLOOKUP(C560,'RAW DATA 2023'!E:BO,13,0)</f>
        <v>100</v>
      </c>
      <c r="H560" s="63">
        <f t="shared" si="69"/>
        <v>100</v>
      </c>
      <c r="I560" s="63">
        <f t="shared" si="67"/>
        <v>6.806</v>
      </c>
      <c r="J560" s="106">
        <f>VLOOKUP(C560,'RAW DATA 2023'!E:BO,22,0)</f>
        <v>7.6210880000000012</v>
      </c>
      <c r="K560" s="70">
        <f t="shared" si="70"/>
        <v>1.1197602115780196</v>
      </c>
      <c r="L560" s="72">
        <f t="shared" si="68"/>
        <v>7.6210880000000012</v>
      </c>
      <c r="M560" s="109">
        <f t="shared" si="72"/>
        <v>8.2634694877069297</v>
      </c>
      <c r="N560" s="123" t="str">
        <f>VLOOKUP(C560,'RAW DATA 2023'!E:BO,36,0)</f>
        <v>Normal</v>
      </c>
      <c r="O560" s="63">
        <f>VLOOKUP(C560,'RAW DATA 2023'!E:BO,2,0)</f>
        <v>6.25</v>
      </c>
      <c r="P560" s="322">
        <f t="shared" si="71"/>
        <v>51.64668429816831</v>
      </c>
    </row>
    <row r="561" spans="1:16">
      <c r="A561" s="63" t="str">
        <f>'RAW DATA 2023'!B554</f>
        <v>Rayong3</v>
      </c>
      <c r="B561" s="63" t="str">
        <f>'RAW DATA 2023'!D554</f>
        <v>A1-044-0012</v>
      </c>
      <c r="C561" s="63" t="str">
        <f t="shared" si="65"/>
        <v>Rayong3A1-044-0012</v>
      </c>
      <c r="D561" s="68">
        <f>VLOOKUP(C561,'RAW DATA 2023'!E:BP,63,0)</f>
        <v>3</v>
      </c>
      <c r="E561" s="68" t="str">
        <f t="shared" si="66"/>
        <v>Rayong33</v>
      </c>
      <c r="F561" s="63" t="str">
        <f>VLOOKUP(C561,'RAW DATA 2023'!E:BO,5,0)</f>
        <v>Outdoor</v>
      </c>
      <c r="G561" s="63">
        <f>VLOOKUP(C561,'RAW DATA 2023'!E:BO,13,0)</f>
        <v>167</v>
      </c>
      <c r="H561" s="63">
        <f t="shared" si="69"/>
        <v>180</v>
      </c>
      <c r="I561" s="63">
        <f t="shared" si="67"/>
        <v>10.247</v>
      </c>
      <c r="J561" s="106">
        <f>VLOOKUP(C561,'RAW DATA 2023'!E:BO,22,0)</f>
        <v>9.9593866666666671</v>
      </c>
      <c r="K561" s="70">
        <f t="shared" si="70"/>
        <v>0.97193194756188805</v>
      </c>
      <c r="L561" s="72">
        <f t="shared" si="68"/>
        <v>9.9593866666666671</v>
      </c>
      <c r="M561" s="109">
        <f t="shared" si="72"/>
        <v>6.292425967491841</v>
      </c>
      <c r="N561" s="123" t="str">
        <f>VLOOKUP(C561,'RAW DATA 2023'!E:BO,36,0)</f>
        <v>Normal</v>
      </c>
      <c r="O561" s="63">
        <f>VLOOKUP(C561,'RAW DATA 2023'!E:BO,2,0)</f>
        <v>1.5</v>
      </c>
      <c r="P561" s="322">
        <f t="shared" si="71"/>
        <v>9.4386389512377615</v>
      </c>
    </row>
    <row r="562" spans="1:16">
      <c r="A562" s="63" t="str">
        <f>'RAW DATA 2023'!B555</f>
        <v>Rayong3</v>
      </c>
      <c r="B562" s="63" t="str">
        <f>'RAW DATA 2023'!D555</f>
        <v>A1-045-0009</v>
      </c>
      <c r="C562" s="63" t="str">
        <f t="shared" si="65"/>
        <v>Rayong3A1-045-0009</v>
      </c>
      <c r="D562" s="68">
        <f>VLOOKUP(C562,'RAW DATA 2023'!E:BP,63,0)</f>
        <v>4</v>
      </c>
      <c r="E562" s="68" t="str">
        <f t="shared" si="66"/>
        <v>Rayong34</v>
      </c>
      <c r="F562" s="63" t="str">
        <f>VLOOKUP(C562,'RAW DATA 2023'!E:BO,5,0)</f>
        <v>Outdoor</v>
      </c>
      <c r="G562" s="63">
        <f>VLOOKUP(C562,'RAW DATA 2023'!E:BO,13,0)</f>
        <v>167</v>
      </c>
      <c r="H562" s="63">
        <f t="shared" si="69"/>
        <v>180</v>
      </c>
      <c r="I562" s="63">
        <f t="shared" si="67"/>
        <v>10.247</v>
      </c>
      <c r="J562" s="106">
        <f>VLOOKUP(C562,'RAW DATA 2023'!E:BO,22,0)</f>
        <v>10.47784</v>
      </c>
      <c r="K562" s="70">
        <f t="shared" si="70"/>
        <v>1.0225275690445985</v>
      </c>
      <c r="L562" s="72">
        <f t="shared" si="68"/>
        <v>10.47784</v>
      </c>
      <c r="M562" s="109">
        <f t="shared" si="72"/>
        <v>6.9670342539279808</v>
      </c>
      <c r="N562" s="123" t="str">
        <f>VLOOKUP(C562,'RAW DATA 2023'!E:BO,36,0)</f>
        <v>Normal</v>
      </c>
      <c r="O562" s="63">
        <f>VLOOKUP(C562,'RAW DATA 2023'!E:BO,2,0)</f>
        <v>1.5</v>
      </c>
      <c r="P562" s="322">
        <f t="shared" si="71"/>
        <v>10.450551380891971</v>
      </c>
    </row>
    <row r="563" spans="1:16">
      <c r="A563" s="63" t="str">
        <f>'RAW DATA 2023'!B556</f>
        <v>Rayong3</v>
      </c>
      <c r="B563" s="63" t="str">
        <f>'RAW DATA 2023'!D556</f>
        <v>A1-043-0009</v>
      </c>
      <c r="C563" s="63" t="str">
        <f t="shared" si="65"/>
        <v>Rayong3A1-043-0009</v>
      </c>
      <c r="D563" s="68">
        <f>VLOOKUP(C563,'RAW DATA 2023'!E:BP,63,0)</f>
        <v>3</v>
      </c>
      <c r="E563" s="68" t="str">
        <f t="shared" si="66"/>
        <v>Rayong33</v>
      </c>
      <c r="F563" s="63" t="str">
        <f>VLOOKUP(C563,'RAW DATA 2023'!E:BO,5,0)</f>
        <v>Outdoor</v>
      </c>
      <c r="G563" s="63">
        <f>VLOOKUP(C563,'RAW DATA 2023'!E:BO,13,0)</f>
        <v>167</v>
      </c>
      <c r="H563" s="63">
        <f t="shared" si="69"/>
        <v>180</v>
      </c>
      <c r="I563" s="63">
        <f t="shared" si="67"/>
        <v>10.247</v>
      </c>
      <c r="J563" s="106">
        <f>VLOOKUP(C563,'RAW DATA 2023'!E:BO,22,0)</f>
        <v>13.9039</v>
      </c>
      <c r="K563" s="70">
        <f t="shared" si="70"/>
        <v>1.3568751829803845</v>
      </c>
      <c r="L563" s="72">
        <f t="shared" si="68"/>
        <v>13.9039</v>
      </c>
      <c r="M563" s="109">
        <f t="shared" si="72"/>
        <v>11.42500243973846</v>
      </c>
      <c r="N563" s="123" t="str">
        <f>VLOOKUP(C563,'RAW DATA 2023'!E:BO,36,0)</f>
        <v>Normal</v>
      </c>
      <c r="O563" s="63">
        <f>VLOOKUP(C563,'RAW DATA 2023'!E:BO,2,0)</f>
        <v>1.5</v>
      </c>
      <c r="P563" s="322">
        <f t="shared" si="71"/>
        <v>17.137503659607688</v>
      </c>
    </row>
    <row r="564" spans="1:16">
      <c r="A564" s="63" t="str">
        <f>'RAW DATA 2023'!B557</f>
        <v>Lucky2</v>
      </c>
      <c r="B564" s="63" t="str">
        <f>'RAW DATA 2023'!D557</f>
        <v>AC-001-0010</v>
      </c>
      <c r="C564" s="63" t="str">
        <f t="shared" si="65"/>
        <v>Lucky2AC-001-0010</v>
      </c>
      <c r="D564" s="68">
        <f>VLOOKUP(C564,'RAW DATA 2023'!E:BP,63,0)</f>
        <v>7</v>
      </c>
      <c r="E564" s="68" t="str">
        <f t="shared" si="66"/>
        <v>Lucky27</v>
      </c>
      <c r="F564" s="63" t="str">
        <f>VLOOKUP(C564,'RAW DATA 2023'!E:BO,5,0)</f>
        <v>Tank</v>
      </c>
      <c r="G564" s="63">
        <f>VLOOKUP(C564,'RAW DATA 2023'!E:BO,13,0)</f>
        <v>375</v>
      </c>
      <c r="H564" s="63">
        <f t="shared" si="69"/>
        <v>200</v>
      </c>
      <c r="I564" s="63">
        <f t="shared" si="67"/>
        <v>11.259</v>
      </c>
      <c r="J564" s="106">
        <f>VLOOKUP(C564,'RAW DATA 2023'!E:BO,22,0)</f>
        <v>6.4164200000000005</v>
      </c>
      <c r="K564" s="70">
        <f t="shared" si="70"/>
        <v>0.56989253042010835</v>
      </c>
      <c r="L564" s="72">
        <f t="shared" si="68"/>
        <v>6.4164200000000005</v>
      </c>
      <c r="M564" s="109">
        <f t="shared" si="72"/>
        <v>0.9319004056014446</v>
      </c>
      <c r="N564" s="123" t="str">
        <f>VLOOKUP(C564,'RAW DATA 2023'!E:BO,36,0)</f>
        <v>Normal</v>
      </c>
      <c r="O564" s="63">
        <f>VLOOKUP(C564,'RAW DATA 2023'!E:BO,2,0)</f>
        <v>0.5</v>
      </c>
      <c r="P564" s="322">
        <f t="shared" si="71"/>
        <v>0.4659502028007223</v>
      </c>
    </row>
    <row r="565" spans="1:16">
      <c r="A565" s="63" t="str">
        <f>'RAW DATA 2023'!B558</f>
        <v>Lucky2</v>
      </c>
      <c r="B565" s="63" t="str">
        <f>'RAW DATA 2023'!D558</f>
        <v>AC-001-0009</v>
      </c>
      <c r="C565" s="63" t="str">
        <f t="shared" si="65"/>
        <v>Lucky2AC-001-0009</v>
      </c>
      <c r="D565" s="68">
        <f>VLOOKUP(C565,'RAW DATA 2023'!E:BP,63,0)</f>
        <v>5</v>
      </c>
      <c r="E565" s="68" t="str">
        <f t="shared" si="66"/>
        <v>Lucky25</v>
      </c>
      <c r="F565" s="63" t="str">
        <f>VLOOKUP(C565,'RAW DATA 2023'!E:BO,5,0)</f>
        <v>Tank</v>
      </c>
      <c r="G565" s="63">
        <f>VLOOKUP(C565,'RAW DATA 2023'!E:BO,13,0)</f>
        <v>563</v>
      </c>
      <c r="H565" s="63">
        <f t="shared" si="69"/>
        <v>200</v>
      </c>
      <c r="I565" s="63">
        <f t="shared" si="67"/>
        <v>11.259</v>
      </c>
      <c r="J565" s="106">
        <f>VLOOKUP(C565,'RAW DATA 2023'!E:BO,22,0)</f>
        <v>5.56874</v>
      </c>
      <c r="K565" s="70">
        <f t="shared" si="70"/>
        <v>0.49460342836841636</v>
      </c>
      <c r="L565" s="72">
        <f t="shared" si="68"/>
        <v>5.56874</v>
      </c>
      <c r="M565" s="109">
        <f t="shared" si="72"/>
        <v>-7.1954288421115148E-2</v>
      </c>
      <c r="N565" s="123" t="str">
        <f>VLOOKUP(C565,'RAW DATA 2023'!E:BO,36,0)</f>
        <v>อัตรารอดต่ำ</v>
      </c>
      <c r="O565" s="63">
        <f>VLOOKUP(C565,'RAW DATA 2023'!E:BO,2,0)</f>
        <v>0.5</v>
      </c>
      <c r="P565" s="322">
        <f t="shared" si="71"/>
        <v>-3.5977144210557574E-2</v>
      </c>
    </row>
    <row r="566" spans="1:16">
      <c r="A566" s="63" t="str">
        <f>'RAW DATA 2023'!B559</f>
        <v>Lucky2</v>
      </c>
      <c r="B566" s="63" t="str">
        <f>'RAW DATA 2023'!D559</f>
        <v>AC-002-0010</v>
      </c>
      <c r="C566" s="63" t="str">
        <f t="shared" si="65"/>
        <v>Lucky2AC-002-0010</v>
      </c>
      <c r="D566" s="68">
        <f>VLOOKUP(C566,'RAW DATA 2023'!E:BP,63,0)</f>
        <v>7</v>
      </c>
      <c r="E566" s="68" t="str">
        <f t="shared" si="66"/>
        <v>Lucky27</v>
      </c>
      <c r="F566" s="63" t="str">
        <f>VLOOKUP(C566,'RAW DATA 2023'!E:BO,5,0)</f>
        <v>Tank</v>
      </c>
      <c r="G566" s="63">
        <f>VLOOKUP(C566,'RAW DATA 2023'!E:BO,13,0)</f>
        <v>375</v>
      </c>
      <c r="H566" s="63">
        <f t="shared" si="69"/>
        <v>200</v>
      </c>
      <c r="I566" s="63">
        <f t="shared" si="67"/>
        <v>11.259</v>
      </c>
      <c r="J566" s="106">
        <f>VLOOKUP(C566,'RAW DATA 2023'!E:BO,22,0)</f>
        <v>8.0628399999999996</v>
      </c>
      <c r="K566" s="70">
        <f t="shared" si="70"/>
        <v>0.71612398969713109</v>
      </c>
      <c r="L566" s="72">
        <f t="shared" si="68"/>
        <v>8.0628399999999996</v>
      </c>
      <c r="M566" s="109">
        <f t="shared" si="72"/>
        <v>2.8816531959617482</v>
      </c>
      <c r="N566" s="123" t="str">
        <f>VLOOKUP(C566,'RAW DATA 2023'!E:BO,36,0)</f>
        <v>Normal</v>
      </c>
      <c r="O566" s="63">
        <f>VLOOKUP(C566,'RAW DATA 2023'!E:BO,2,0)</f>
        <v>0.5</v>
      </c>
      <c r="P566" s="322">
        <f t="shared" si="71"/>
        <v>1.4408265979808741</v>
      </c>
    </row>
    <row r="567" spans="1:16">
      <c r="A567" s="63" t="str">
        <f>'RAW DATA 2023'!B560</f>
        <v>Lucky2</v>
      </c>
      <c r="B567" s="63" t="str">
        <f>'RAW DATA 2023'!D560</f>
        <v>AC-004-0009</v>
      </c>
      <c r="C567" s="63" t="str">
        <f t="shared" si="65"/>
        <v>Lucky2AC-004-0009</v>
      </c>
      <c r="D567" s="68">
        <f>VLOOKUP(C567,'RAW DATA 2023'!E:BP,63,0)</f>
        <v>5</v>
      </c>
      <c r="E567" s="68" t="str">
        <f t="shared" si="66"/>
        <v>Lucky25</v>
      </c>
      <c r="F567" s="63" t="str">
        <f>VLOOKUP(C567,'RAW DATA 2023'!E:BO,5,0)</f>
        <v>Tank</v>
      </c>
      <c r="G567" s="63">
        <f>VLOOKUP(C567,'RAW DATA 2023'!E:BO,13,0)</f>
        <v>563</v>
      </c>
      <c r="H567" s="63">
        <f t="shared" si="69"/>
        <v>200</v>
      </c>
      <c r="I567" s="63">
        <f t="shared" si="67"/>
        <v>11.259</v>
      </c>
      <c r="J567" s="106">
        <f>VLOOKUP(C567,'RAW DATA 2023'!E:BO,22,0)</f>
        <v>4.1474799999999998</v>
      </c>
      <c r="K567" s="70">
        <f t="shared" si="70"/>
        <v>0.36837019273470112</v>
      </c>
      <c r="L567" s="72">
        <f t="shared" si="68"/>
        <v>4.1474799999999998</v>
      </c>
      <c r="M567" s="109">
        <f t="shared" si="72"/>
        <v>-1.7550640968706519</v>
      </c>
      <c r="N567" s="123" t="str">
        <f>VLOOKUP(C567,'RAW DATA 2023'!E:BO,36,0)</f>
        <v>อัตรารอดต่ำ</v>
      </c>
      <c r="O567" s="63">
        <f>VLOOKUP(C567,'RAW DATA 2023'!E:BO,2,0)</f>
        <v>0.5</v>
      </c>
      <c r="P567" s="322">
        <f t="shared" si="71"/>
        <v>-0.87753204843532595</v>
      </c>
    </row>
    <row r="568" spans="1:16">
      <c r="A568" s="63" t="str">
        <f>'RAW DATA 2023'!B561</f>
        <v>Lucky2</v>
      </c>
      <c r="B568" s="63" t="str">
        <f>'RAW DATA 2023'!D561</f>
        <v>AC-004-0008</v>
      </c>
      <c r="C568" s="63" t="str">
        <f t="shared" si="65"/>
        <v>Lucky2AC-004-0008</v>
      </c>
      <c r="D568" s="68">
        <f>VLOOKUP(C568,'RAW DATA 2023'!E:BP,63,0)</f>
        <v>2</v>
      </c>
      <c r="E568" s="68" t="str">
        <f t="shared" si="66"/>
        <v>Lucky22</v>
      </c>
      <c r="F568" s="63" t="str">
        <f>VLOOKUP(C568,'RAW DATA 2023'!E:BO,5,0)</f>
        <v>Tank</v>
      </c>
      <c r="G568" s="63">
        <f>VLOOKUP(C568,'RAW DATA 2023'!E:BO,13,0)</f>
        <v>450</v>
      </c>
      <c r="H568" s="63">
        <f t="shared" si="69"/>
        <v>200</v>
      </c>
      <c r="I568" s="63">
        <f t="shared" si="67"/>
        <v>11.259</v>
      </c>
      <c r="J568" s="106">
        <f>VLOOKUP(C568,'RAW DATA 2023'!E:BO,22,0)</f>
        <v>5.4089999999999998</v>
      </c>
      <c r="K568" s="70">
        <f t="shared" si="70"/>
        <v>0.48041566746602715</v>
      </c>
      <c r="L568" s="72">
        <f t="shared" si="68"/>
        <v>5.4089999999999998</v>
      </c>
      <c r="M568" s="109">
        <f t="shared" si="72"/>
        <v>-0.26112443378630468</v>
      </c>
      <c r="N568" s="123" t="str">
        <f>VLOOKUP(C568,'RAW DATA 2023'!E:BO,36,0)</f>
        <v>Normal</v>
      </c>
      <c r="O568" s="63">
        <f>VLOOKUP(C568,'RAW DATA 2023'!E:BO,2,0)</f>
        <v>0.5</v>
      </c>
      <c r="P568" s="322">
        <f t="shared" si="71"/>
        <v>-0.13056221689315234</v>
      </c>
    </row>
    <row r="569" spans="1:16">
      <c r="A569" s="63" t="str">
        <f>'RAW DATA 2023'!B562</f>
        <v>Lucky2</v>
      </c>
      <c r="B569" s="63" t="str">
        <f>'RAW DATA 2023'!D562</f>
        <v>AC-005-0008</v>
      </c>
      <c r="C569" s="63" t="str">
        <f t="shared" si="65"/>
        <v>Lucky2AC-005-0008</v>
      </c>
      <c r="D569" s="68">
        <f>VLOOKUP(C569,'RAW DATA 2023'!E:BP,63,0)</f>
        <v>2</v>
      </c>
      <c r="E569" s="68" t="str">
        <f t="shared" si="66"/>
        <v>Lucky22</v>
      </c>
      <c r="F569" s="63" t="str">
        <f>VLOOKUP(C569,'RAW DATA 2023'!E:BO,5,0)</f>
        <v>Tank</v>
      </c>
      <c r="G569" s="63">
        <f>VLOOKUP(C569,'RAW DATA 2023'!E:BO,13,0)</f>
        <v>450</v>
      </c>
      <c r="H569" s="63">
        <f t="shared" si="69"/>
        <v>200</v>
      </c>
      <c r="I569" s="63">
        <f t="shared" si="67"/>
        <v>11.259</v>
      </c>
      <c r="J569" s="106">
        <f>VLOOKUP(C569,'RAW DATA 2023'!E:BO,22,0)</f>
        <v>5.7474799999999995</v>
      </c>
      <c r="K569" s="70">
        <f t="shared" si="70"/>
        <v>0.51047872812860817</v>
      </c>
      <c r="L569" s="72">
        <f t="shared" si="68"/>
        <v>5.7474799999999995</v>
      </c>
      <c r="M569" s="109">
        <f t="shared" si="72"/>
        <v>0.13971637504810897</v>
      </c>
      <c r="N569" s="123" t="str">
        <f>VLOOKUP(C569,'RAW DATA 2023'!E:BO,36,0)</f>
        <v>Normal</v>
      </c>
      <c r="O569" s="63">
        <f>VLOOKUP(C569,'RAW DATA 2023'!E:BO,2,0)</f>
        <v>0.5</v>
      </c>
      <c r="P569" s="322">
        <f t="shared" si="71"/>
        <v>6.9858187524054483E-2</v>
      </c>
    </row>
    <row r="570" spans="1:16">
      <c r="A570" s="63" t="str">
        <f>'RAW DATA 2023'!B563</f>
        <v>Lucky2</v>
      </c>
      <c r="B570" s="63" t="str">
        <f>'RAW DATA 2023'!D563</f>
        <v>AC-005-0009</v>
      </c>
      <c r="C570" s="63" t="str">
        <f t="shared" si="65"/>
        <v>Lucky2AC-005-0009</v>
      </c>
      <c r="D570" s="68">
        <f>VLOOKUP(C570,'RAW DATA 2023'!E:BP,63,0)</f>
        <v>5</v>
      </c>
      <c r="E570" s="68" t="str">
        <f t="shared" si="66"/>
        <v>Lucky25</v>
      </c>
      <c r="F570" s="63" t="str">
        <f>VLOOKUP(C570,'RAW DATA 2023'!E:BO,5,0)</f>
        <v>Tank</v>
      </c>
      <c r="G570" s="63">
        <f>VLOOKUP(C570,'RAW DATA 2023'!E:BO,13,0)</f>
        <v>563</v>
      </c>
      <c r="H570" s="63">
        <f t="shared" si="69"/>
        <v>200</v>
      </c>
      <c r="I570" s="63">
        <f t="shared" si="67"/>
        <v>11.259</v>
      </c>
      <c r="J570" s="106">
        <f>VLOOKUP(C570,'RAW DATA 2023'!E:BO,22,0)</f>
        <v>5.2615600000000002</v>
      </c>
      <c r="K570" s="70">
        <f t="shared" si="70"/>
        <v>0.46732036592947862</v>
      </c>
      <c r="L570" s="72">
        <f t="shared" si="68"/>
        <v>5.2615600000000002</v>
      </c>
      <c r="M570" s="109">
        <f t="shared" si="72"/>
        <v>-0.43572845427361839</v>
      </c>
      <c r="N570" s="123" t="str">
        <f>VLOOKUP(C570,'RAW DATA 2023'!E:BO,36,0)</f>
        <v>อัตรารอดต่ำ</v>
      </c>
      <c r="O570" s="63">
        <f>VLOOKUP(C570,'RAW DATA 2023'!E:BO,2,0)</f>
        <v>0.5</v>
      </c>
      <c r="P570" s="322">
        <f t="shared" si="71"/>
        <v>-0.2178642271368092</v>
      </c>
    </row>
    <row r="571" spans="1:16">
      <c r="A571" s="63" t="str">
        <f>'RAW DATA 2023'!B564</f>
        <v>Lucky2</v>
      </c>
      <c r="B571" s="63" t="str">
        <f>'RAW DATA 2023'!D564</f>
        <v>AC-001-0008</v>
      </c>
      <c r="C571" s="63" t="str">
        <f t="shared" si="65"/>
        <v>Lucky2AC-001-0008</v>
      </c>
      <c r="D571" s="68">
        <f>VLOOKUP(C571,'RAW DATA 2023'!E:BP,63,0)</f>
        <v>2</v>
      </c>
      <c r="E571" s="68" t="str">
        <f t="shared" si="66"/>
        <v>Lucky22</v>
      </c>
      <c r="F571" s="63" t="str">
        <f>VLOOKUP(C571,'RAW DATA 2023'!E:BO,5,0)</f>
        <v>Tank</v>
      </c>
      <c r="G571" s="63">
        <f>VLOOKUP(C571,'RAW DATA 2023'!E:BO,13,0)</f>
        <v>450</v>
      </c>
      <c r="H571" s="63">
        <f t="shared" si="69"/>
        <v>200</v>
      </c>
      <c r="I571" s="63">
        <f t="shared" si="67"/>
        <v>11.259</v>
      </c>
      <c r="J571" s="106">
        <f>VLOOKUP(C571,'RAW DATA 2023'!E:BO,22,0)</f>
        <v>6.7498000000000005</v>
      </c>
      <c r="K571" s="70">
        <f t="shared" si="70"/>
        <v>0.59950262012612132</v>
      </c>
      <c r="L571" s="72">
        <f t="shared" si="68"/>
        <v>6.7498000000000005</v>
      </c>
      <c r="M571" s="109">
        <f t="shared" si="72"/>
        <v>1.3267016016816178</v>
      </c>
      <c r="N571" s="123" t="str">
        <f>VLOOKUP(C571,'RAW DATA 2023'!E:BO,36,0)</f>
        <v>Normal</v>
      </c>
      <c r="O571" s="63">
        <f>VLOOKUP(C571,'RAW DATA 2023'!E:BO,2,0)</f>
        <v>0.5</v>
      </c>
      <c r="P571" s="322">
        <f t="shared" si="71"/>
        <v>0.66335080084080889</v>
      </c>
    </row>
    <row r="572" spans="1:16">
      <c r="A572" s="63" t="str">
        <f>'RAW DATA 2023'!B565</f>
        <v>Lucky2</v>
      </c>
      <c r="B572" s="63" t="str">
        <f>'RAW DATA 2023'!D565</f>
        <v>AC-002-0009</v>
      </c>
      <c r="C572" s="63" t="str">
        <f t="shared" si="65"/>
        <v>Lucky2AC-002-0009</v>
      </c>
      <c r="D572" s="68">
        <f>VLOOKUP(C572,'RAW DATA 2023'!E:BP,63,0)</f>
        <v>5</v>
      </c>
      <c r="E572" s="68" t="str">
        <f t="shared" si="66"/>
        <v>Lucky25</v>
      </c>
      <c r="F572" s="63" t="str">
        <f>VLOOKUP(C572,'RAW DATA 2023'!E:BO,5,0)</f>
        <v>Tank</v>
      </c>
      <c r="G572" s="63">
        <f>VLOOKUP(C572,'RAW DATA 2023'!E:BO,13,0)</f>
        <v>563</v>
      </c>
      <c r="H572" s="63">
        <f t="shared" si="69"/>
        <v>200</v>
      </c>
      <c r="I572" s="63">
        <f t="shared" si="67"/>
        <v>11.259</v>
      </c>
      <c r="J572" s="106">
        <f>VLOOKUP(C572,'RAW DATA 2023'!E:BO,22,0)</f>
        <v>5.9432799999999997</v>
      </c>
      <c r="K572" s="70">
        <f t="shared" si="70"/>
        <v>0.52786926014743751</v>
      </c>
      <c r="L572" s="72">
        <f t="shared" si="68"/>
        <v>5.9432799999999997</v>
      </c>
      <c r="M572" s="109">
        <f t="shared" si="72"/>
        <v>0.37159013529916685</v>
      </c>
      <c r="N572" s="123" t="str">
        <f>VLOOKUP(C572,'RAW DATA 2023'!E:BO,36,0)</f>
        <v>อัตรารอดต่ำ</v>
      </c>
      <c r="O572" s="63">
        <f>VLOOKUP(C572,'RAW DATA 2023'!E:BO,2,0)</f>
        <v>0.5</v>
      </c>
      <c r="P572" s="322">
        <f t="shared" si="71"/>
        <v>0.18579506764958342</v>
      </c>
    </row>
    <row r="573" spans="1:16">
      <c r="A573" s="63" t="str">
        <f>'RAW DATA 2023'!B566</f>
        <v>Lucky2</v>
      </c>
      <c r="B573" s="63" t="str">
        <f>'RAW DATA 2023'!D566</f>
        <v>A1-045-0003</v>
      </c>
      <c r="C573" s="63" t="str">
        <f t="shared" si="65"/>
        <v>Lucky2A1-045-0003</v>
      </c>
      <c r="D573" s="68">
        <f>VLOOKUP(C573,'RAW DATA 2023'!E:BP,63,0)</f>
        <v>3</v>
      </c>
      <c r="E573" s="68" t="str">
        <f t="shared" si="66"/>
        <v>Lucky23</v>
      </c>
      <c r="F573" s="63" t="str">
        <f>VLOOKUP(C573,'RAW DATA 2023'!E:BO,5,0)</f>
        <v>Outdoor</v>
      </c>
      <c r="G573" s="63">
        <f>VLOOKUP(C573,'RAW DATA 2023'!E:BO,13,0)</f>
        <v>118</v>
      </c>
      <c r="H573" s="63">
        <f t="shared" si="69"/>
        <v>100</v>
      </c>
      <c r="I573" s="63">
        <f t="shared" si="67"/>
        <v>6.806</v>
      </c>
      <c r="J573" s="106">
        <f>VLOOKUP(C573,'RAW DATA 2023'!E:BO,22,0)</f>
        <v>7.4231547169811325</v>
      </c>
      <c r="K573" s="70">
        <f t="shared" si="70"/>
        <v>1.0906780365825937</v>
      </c>
      <c r="L573" s="72">
        <f t="shared" si="68"/>
        <v>7.4231547169811325</v>
      </c>
      <c r="M573" s="109">
        <f t="shared" si="72"/>
        <v>7.8757071544345827</v>
      </c>
      <c r="N573" s="123" t="str">
        <f>VLOOKUP(C573,'RAW DATA 2023'!E:BO,36,0)</f>
        <v>Normal</v>
      </c>
      <c r="O573" s="63">
        <f>VLOOKUP(C573,'RAW DATA 2023'!E:BO,2,0)</f>
        <v>5.3</v>
      </c>
      <c r="P573" s="322">
        <f t="shared" si="71"/>
        <v>41.741247918503284</v>
      </c>
    </row>
    <row r="574" spans="1:16">
      <c r="A574" s="63" t="str">
        <f>'RAW DATA 2023'!B567</f>
        <v>Lucky2</v>
      </c>
      <c r="B574" s="63" t="str">
        <f>'RAW DATA 2023'!D567</f>
        <v>AC-002-0008</v>
      </c>
      <c r="C574" s="63" t="str">
        <f t="shared" si="65"/>
        <v>Lucky2AC-002-0008</v>
      </c>
      <c r="D574" s="68">
        <f>VLOOKUP(C574,'RAW DATA 2023'!E:BP,63,0)</f>
        <v>2</v>
      </c>
      <c r="E574" s="68" t="str">
        <f t="shared" si="66"/>
        <v>Lucky22</v>
      </c>
      <c r="F574" s="63" t="str">
        <f>VLOOKUP(C574,'RAW DATA 2023'!E:BO,5,0)</f>
        <v>Tank</v>
      </c>
      <c r="G574" s="63">
        <f>VLOOKUP(C574,'RAW DATA 2023'!E:BO,13,0)</f>
        <v>450</v>
      </c>
      <c r="H574" s="63">
        <f t="shared" si="69"/>
        <v>200</v>
      </c>
      <c r="I574" s="63">
        <f t="shared" si="67"/>
        <v>11.259</v>
      </c>
      <c r="J574" s="106">
        <f>VLOOKUP(C574,'RAW DATA 2023'!E:BO,22,0)</f>
        <v>7.2637200000000002</v>
      </c>
      <c r="K574" s="70">
        <f t="shared" si="70"/>
        <v>0.64514788169464432</v>
      </c>
      <c r="L574" s="72">
        <f t="shared" si="68"/>
        <v>7.2637200000000002</v>
      </c>
      <c r="M574" s="109">
        <f t="shared" si="72"/>
        <v>1.9353050892619243</v>
      </c>
      <c r="N574" s="123" t="str">
        <f>VLOOKUP(C574,'RAW DATA 2023'!E:BO,36,0)</f>
        <v>Normal</v>
      </c>
      <c r="O574" s="63">
        <f>VLOOKUP(C574,'RAW DATA 2023'!E:BO,2,0)</f>
        <v>0.5</v>
      </c>
      <c r="P574" s="322">
        <f t="shared" si="71"/>
        <v>0.96765254463096217</v>
      </c>
    </row>
    <row r="575" spans="1:16">
      <c r="A575" s="63" t="str">
        <f>'RAW DATA 2023'!B568</f>
        <v>Lucky2</v>
      </c>
      <c r="B575" s="63" t="str">
        <f>'RAW DATA 2023'!D568</f>
        <v>A1-045-0004</v>
      </c>
      <c r="C575" s="63" t="str">
        <f t="shared" si="65"/>
        <v>Lucky2A1-045-0004</v>
      </c>
      <c r="D575" s="68">
        <f>VLOOKUP(C575,'RAW DATA 2023'!E:BP,63,0)</f>
        <v>6</v>
      </c>
      <c r="E575" s="68" t="str">
        <f t="shared" si="66"/>
        <v>Lucky26</v>
      </c>
      <c r="F575" s="63" t="str">
        <f>VLOOKUP(C575,'RAW DATA 2023'!E:BO,5,0)</f>
        <v>Outdoor</v>
      </c>
      <c r="G575" s="63">
        <f>VLOOKUP(C575,'RAW DATA 2023'!E:BO,13,0)</f>
        <v>157</v>
      </c>
      <c r="H575" s="63">
        <f t="shared" si="69"/>
        <v>150</v>
      </c>
      <c r="I575" s="63">
        <f t="shared" si="67"/>
        <v>9.1999999999999993</v>
      </c>
      <c r="J575" s="106">
        <f>VLOOKUP(C575,'RAW DATA 2023'!E:BO,22,0)</f>
        <v>4.6213566037735845</v>
      </c>
      <c r="K575" s="70">
        <f t="shared" si="70"/>
        <v>0.50232136997538968</v>
      </c>
      <c r="L575" s="72">
        <f t="shared" si="68"/>
        <v>4.6213566037735845</v>
      </c>
      <c r="M575" s="109">
        <f t="shared" si="72"/>
        <v>3.095159967186234E-2</v>
      </c>
      <c r="N575" s="123" t="str">
        <f>VLOOKUP(C575,'RAW DATA 2023'!E:BO,36,0)</f>
        <v>Normal</v>
      </c>
      <c r="O575" s="63">
        <f>VLOOKUP(C575,'RAW DATA 2023'!E:BO,2,0)</f>
        <v>5.3</v>
      </c>
      <c r="P575" s="322">
        <f t="shared" si="71"/>
        <v>0.1640434782608704</v>
      </c>
    </row>
    <row r="576" spans="1:16">
      <c r="A576" s="63" t="str">
        <f>'RAW DATA 2023'!B569</f>
        <v>Lucky2</v>
      </c>
      <c r="B576" s="63" t="str">
        <f>'RAW DATA 2023'!D569</f>
        <v>AC-003-0008</v>
      </c>
      <c r="C576" s="63" t="str">
        <f t="shared" si="65"/>
        <v>Lucky2AC-003-0008</v>
      </c>
      <c r="D576" s="68">
        <f>VLOOKUP(C576,'RAW DATA 2023'!E:BP,63,0)</f>
        <v>3</v>
      </c>
      <c r="E576" s="68" t="str">
        <f t="shared" si="66"/>
        <v>Lucky23</v>
      </c>
      <c r="F576" s="63" t="str">
        <f>VLOOKUP(C576,'RAW DATA 2023'!E:BO,5,0)</f>
        <v>Tank</v>
      </c>
      <c r="G576" s="63">
        <f>VLOOKUP(C576,'RAW DATA 2023'!E:BO,13,0)</f>
        <v>450</v>
      </c>
      <c r="H576" s="63">
        <f t="shared" si="69"/>
        <v>200</v>
      </c>
      <c r="I576" s="63">
        <f t="shared" si="67"/>
        <v>11.259</v>
      </c>
      <c r="J576" s="106">
        <f>VLOOKUP(C576,'RAW DATA 2023'!E:BO,22,0)</f>
        <v>6.3956200000000001</v>
      </c>
      <c r="K576" s="70">
        <f t="shared" si="70"/>
        <v>0.56804511945998759</v>
      </c>
      <c r="L576" s="72">
        <f t="shared" si="68"/>
        <v>6.3956200000000001</v>
      </c>
      <c r="M576" s="109">
        <f t="shared" si="72"/>
        <v>0.90726825946650125</v>
      </c>
      <c r="N576" s="123" t="str">
        <f>VLOOKUP(C576,'RAW DATA 2023'!E:BO,36,0)</f>
        <v>Normal</v>
      </c>
      <c r="O576" s="63">
        <f>VLOOKUP(C576,'RAW DATA 2023'!E:BO,2,0)</f>
        <v>0.5</v>
      </c>
      <c r="P576" s="322">
        <f t="shared" si="71"/>
        <v>0.45363412973325062</v>
      </c>
    </row>
    <row r="577" spans="1:16">
      <c r="A577" s="63" t="str">
        <f>'RAW DATA 2023'!B570</f>
        <v>Lucky2</v>
      </c>
      <c r="B577" s="63" t="str">
        <f>'RAW DATA 2023'!D570</f>
        <v>A1-045-0005</v>
      </c>
      <c r="C577" s="63" t="str">
        <f t="shared" si="65"/>
        <v>Lucky2A1-045-0005</v>
      </c>
      <c r="D577" s="68">
        <f>VLOOKUP(C577,'RAW DATA 2023'!E:BP,63,0)</f>
        <v>9</v>
      </c>
      <c r="E577" s="68" t="str">
        <f t="shared" si="66"/>
        <v>Lucky29</v>
      </c>
      <c r="F577" s="63" t="str">
        <f>VLOOKUP(C577,'RAW DATA 2023'!E:BO,5,0)</f>
        <v>Outdoor</v>
      </c>
      <c r="G577" s="63">
        <f>VLOOKUP(C577,'RAW DATA 2023'!E:BO,13,0)</f>
        <v>197</v>
      </c>
      <c r="H577" s="63">
        <f t="shared" si="69"/>
        <v>200</v>
      </c>
      <c r="I577" s="63">
        <f t="shared" si="67"/>
        <v>11.259</v>
      </c>
      <c r="J577" s="106">
        <f>VLOOKUP(C577,'RAW DATA 2023'!E:BO,22,0)</f>
        <v>4.2543433962264157</v>
      </c>
      <c r="K577" s="70">
        <f t="shared" si="70"/>
        <v>0.37786156818779781</v>
      </c>
      <c r="L577" s="72">
        <f t="shared" si="68"/>
        <v>4.2543433962264157</v>
      </c>
      <c r="M577" s="109">
        <f t="shared" si="72"/>
        <v>-1.6285124241626958</v>
      </c>
      <c r="N577" s="123" t="str">
        <f>VLOOKUP(C577,'RAW DATA 2023'!E:BO,36,0)</f>
        <v>EHP</v>
      </c>
      <c r="O577" s="63">
        <f>VLOOKUP(C577,'RAW DATA 2023'!E:BO,2,0)</f>
        <v>5.3</v>
      </c>
      <c r="P577" s="322">
        <f t="shared" si="71"/>
        <v>-8.6311158480622883</v>
      </c>
    </row>
    <row r="578" spans="1:16">
      <c r="A578" s="63" t="str">
        <f>'RAW DATA 2023'!B571</f>
        <v>Lucky2</v>
      </c>
      <c r="B578" s="63" t="str">
        <f>'RAW DATA 2023'!D571</f>
        <v>AC-004-0010</v>
      </c>
      <c r="C578" s="63" t="str">
        <f t="shared" si="65"/>
        <v>Lucky2AC-004-0010</v>
      </c>
      <c r="D578" s="68">
        <f>VLOOKUP(C578,'RAW DATA 2023'!E:BP,63,0)</f>
        <v>7</v>
      </c>
      <c r="E578" s="68" t="str">
        <f t="shared" si="66"/>
        <v>Lucky27</v>
      </c>
      <c r="F578" s="63" t="str">
        <f>VLOOKUP(C578,'RAW DATA 2023'!E:BO,5,0)</f>
        <v>Tank</v>
      </c>
      <c r="G578" s="63">
        <f>VLOOKUP(C578,'RAW DATA 2023'!E:BO,13,0)</f>
        <v>375</v>
      </c>
      <c r="H578" s="63">
        <f t="shared" si="69"/>
        <v>200</v>
      </c>
      <c r="I578" s="63">
        <f t="shared" si="67"/>
        <v>11.259</v>
      </c>
      <c r="J578" s="106">
        <f>VLOOKUP(C578,'RAW DATA 2023'!E:BO,22,0)</f>
        <v>8.7763200000000001</v>
      </c>
      <c r="K578" s="70">
        <f t="shared" si="70"/>
        <v>0.77949373834265923</v>
      </c>
      <c r="L578" s="72">
        <f t="shared" si="68"/>
        <v>8.7763200000000001</v>
      </c>
      <c r="M578" s="109">
        <f t="shared" si="72"/>
        <v>3.726583177902123</v>
      </c>
      <c r="N578" s="123" t="str">
        <f>VLOOKUP(C578,'RAW DATA 2023'!E:BO,36,0)</f>
        <v>Normal</v>
      </c>
      <c r="O578" s="63">
        <f>VLOOKUP(C578,'RAW DATA 2023'!E:BO,2,0)</f>
        <v>0.5</v>
      </c>
      <c r="P578" s="322">
        <f t="shared" si="71"/>
        <v>1.8632915889510615</v>
      </c>
    </row>
    <row r="579" spans="1:16">
      <c r="A579" s="63" t="str">
        <f>'RAW DATA 2023'!B572</f>
        <v>Lucky2</v>
      </c>
      <c r="B579" s="63" t="str">
        <f>'RAW DATA 2023'!D572</f>
        <v>AC-005-0010</v>
      </c>
      <c r="C579" s="63" t="str">
        <f t="shared" si="65"/>
        <v>Lucky2AC-005-0010</v>
      </c>
      <c r="D579" s="68">
        <f>VLOOKUP(C579,'RAW DATA 2023'!E:BP,63,0)</f>
        <v>7</v>
      </c>
      <c r="E579" s="68" t="str">
        <f t="shared" si="66"/>
        <v>Lucky27</v>
      </c>
      <c r="F579" s="63" t="str">
        <f>VLOOKUP(C579,'RAW DATA 2023'!E:BO,5,0)</f>
        <v>Tank</v>
      </c>
      <c r="G579" s="63">
        <f>VLOOKUP(C579,'RAW DATA 2023'!E:BO,13,0)</f>
        <v>375</v>
      </c>
      <c r="H579" s="63">
        <f t="shared" si="69"/>
        <v>200</v>
      </c>
      <c r="I579" s="63">
        <f t="shared" si="67"/>
        <v>11.259</v>
      </c>
      <c r="J579" s="106">
        <f>VLOOKUP(C579,'RAW DATA 2023'!E:BO,22,0)</f>
        <v>6.2941400000000005</v>
      </c>
      <c r="K579" s="70">
        <f t="shared" si="70"/>
        <v>0.55903188560262906</v>
      </c>
      <c r="L579" s="72">
        <f t="shared" si="68"/>
        <v>6.2941400000000005</v>
      </c>
      <c r="M579" s="109">
        <f t="shared" si="72"/>
        <v>0.78709180803505419</v>
      </c>
      <c r="N579" s="123" t="str">
        <f>VLOOKUP(C579,'RAW DATA 2023'!E:BO,36,0)</f>
        <v>Normal</v>
      </c>
      <c r="O579" s="63">
        <f>VLOOKUP(C579,'RAW DATA 2023'!E:BO,2,0)</f>
        <v>0.5</v>
      </c>
      <c r="P579" s="322">
        <f t="shared" si="71"/>
        <v>0.39354590401752709</v>
      </c>
    </row>
    <row r="580" spans="1:16">
      <c r="A580" s="63" t="str">
        <f>'RAW DATA 2023'!B573</f>
        <v>Lucky2</v>
      </c>
      <c r="B580" s="63" t="str">
        <f>'RAW DATA 2023'!D573</f>
        <v>AC-003-0009</v>
      </c>
      <c r="C580" s="63" t="str">
        <f t="shared" si="65"/>
        <v>Lucky2AC-003-0009</v>
      </c>
      <c r="D580" s="68">
        <f>VLOOKUP(C580,'RAW DATA 2023'!E:BP,63,0)</f>
        <v>7</v>
      </c>
      <c r="E580" s="68" t="str">
        <f t="shared" si="66"/>
        <v>Lucky27</v>
      </c>
      <c r="F580" s="63" t="str">
        <f>VLOOKUP(C580,'RAW DATA 2023'!E:BO,5,0)</f>
        <v>Tank</v>
      </c>
      <c r="G580" s="63">
        <f>VLOOKUP(C580,'RAW DATA 2023'!E:BO,13,0)</f>
        <v>500</v>
      </c>
      <c r="H580" s="63">
        <f t="shared" si="69"/>
        <v>200</v>
      </c>
      <c r="I580" s="63">
        <f t="shared" si="67"/>
        <v>11.259</v>
      </c>
      <c r="J580" s="106">
        <f>VLOOKUP(C580,'RAW DATA 2023'!E:BO,22,0)</f>
        <v>10.158719999999999</v>
      </c>
      <c r="K580" s="70">
        <f t="shared" si="70"/>
        <v>0.90227551292299479</v>
      </c>
      <c r="L580" s="72">
        <f t="shared" si="68"/>
        <v>10.158719999999999</v>
      </c>
      <c r="M580" s="109">
        <f t="shared" si="72"/>
        <v>5.3636735056399312</v>
      </c>
      <c r="N580" s="123" t="str">
        <f>VLOOKUP(C580,'RAW DATA 2023'!E:BO,36,0)</f>
        <v>Normal</v>
      </c>
      <c r="O580" s="63">
        <f>VLOOKUP(C580,'RAW DATA 2023'!E:BO,2,0)</f>
        <v>0.5</v>
      </c>
      <c r="P580" s="322">
        <f t="shared" si="71"/>
        <v>2.6818367528199656</v>
      </c>
    </row>
    <row r="581" spans="1:16">
      <c r="A581" s="63" t="str">
        <f>'RAW DATA 2023'!B574</f>
        <v>Laemsing</v>
      </c>
      <c r="B581" s="63" t="str">
        <f>'RAW DATA 2023'!D574</f>
        <v>A1-002-0038</v>
      </c>
      <c r="C581" s="63" t="str">
        <f t="shared" si="65"/>
        <v>LaemsingA1-002-0038</v>
      </c>
      <c r="D581" s="68">
        <f>VLOOKUP(C581,'RAW DATA 2023'!E:BP,63,0)</f>
        <v>8</v>
      </c>
      <c r="E581" s="68" t="str">
        <f t="shared" si="66"/>
        <v>Laemsing8</v>
      </c>
      <c r="F581" s="63" t="str">
        <f>VLOOKUP(C581,'RAW DATA 2023'!E:BO,5,0)</f>
        <v>Outdoor</v>
      </c>
      <c r="G581" s="63">
        <f>VLOOKUP(C581,'RAW DATA 2023'!E:BO,13,0)</f>
        <v>111</v>
      </c>
      <c r="H581" s="63">
        <f t="shared" si="69"/>
        <v>100</v>
      </c>
      <c r="I581" s="63">
        <f t="shared" si="67"/>
        <v>6.806</v>
      </c>
      <c r="J581" s="106">
        <f>VLOOKUP(C581,'RAW DATA 2023'!E:BO,22,0)</f>
        <v>5.1323733333333337</v>
      </c>
      <c r="K581" s="70">
        <f t="shared" si="70"/>
        <v>0.75409540601430114</v>
      </c>
      <c r="L581" s="72">
        <f t="shared" si="68"/>
        <v>5.1323733333333337</v>
      </c>
      <c r="M581" s="109">
        <f t="shared" si="72"/>
        <v>3.3879387468573485</v>
      </c>
      <c r="N581" s="123" t="str">
        <f>VLOOKUP(C581,'RAW DATA 2023'!E:BO,36,0)</f>
        <v>Normal</v>
      </c>
      <c r="O581" s="63">
        <f>VLOOKUP(C581,'RAW DATA 2023'!E:BO,2,0)</f>
        <v>3</v>
      </c>
      <c r="P581" s="322">
        <f t="shared" si="71"/>
        <v>10.163816240572046</v>
      </c>
    </row>
    <row r="582" spans="1:16">
      <c r="A582" s="63" t="str">
        <f>'RAW DATA 2023'!B575</f>
        <v>Laemsing</v>
      </c>
      <c r="B582" s="63" t="str">
        <f>'RAW DATA 2023'!D575</f>
        <v>A1-026-0016</v>
      </c>
      <c r="C582" s="63" t="str">
        <f t="shared" si="65"/>
        <v>LaemsingA1-026-0016</v>
      </c>
      <c r="D582" s="68">
        <f>VLOOKUP(C582,'RAW DATA 2023'!E:BP,63,0)</f>
        <v>8</v>
      </c>
      <c r="E582" s="68" t="str">
        <f t="shared" si="66"/>
        <v>Laemsing8</v>
      </c>
      <c r="F582" s="63" t="str">
        <f>VLOOKUP(C582,'RAW DATA 2023'!E:BO,5,0)</f>
        <v>Outdoor</v>
      </c>
      <c r="G582" s="63">
        <f>VLOOKUP(C582,'RAW DATA 2023'!E:BO,13,0)</f>
        <v>133</v>
      </c>
      <c r="H582" s="63">
        <f t="shared" si="69"/>
        <v>100</v>
      </c>
      <c r="I582" s="63">
        <f t="shared" si="67"/>
        <v>6.806</v>
      </c>
      <c r="J582" s="106">
        <f>VLOOKUP(C582,'RAW DATA 2023'!E:BO,22,0)</f>
        <v>7.7922590909090914</v>
      </c>
      <c r="K582" s="70">
        <f t="shared" si="70"/>
        <v>1.1449102396281357</v>
      </c>
      <c r="L582" s="72">
        <f t="shared" si="68"/>
        <v>7.7922590909090914</v>
      </c>
      <c r="M582" s="109">
        <f t="shared" si="72"/>
        <v>8.5988031950418087</v>
      </c>
      <c r="N582" s="123" t="str">
        <f>VLOOKUP(C582,'RAW DATA 2023'!E:BO,36,0)</f>
        <v>AHPND</v>
      </c>
      <c r="O582" s="63">
        <f>VLOOKUP(C582,'RAW DATA 2023'!E:BO,2,0)</f>
        <v>2.2000000000000002</v>
      </c>
      <c r="P582" s="322">
        <f t="shared" si="71"/>
        <v>18.917367029091981</v>
      </c>
    </row>
    <row r="583" spans="1:16">
      <c r="A583" s="63" t="str">
        <f>'RAW DATA 2023'!B576</f>
        <v>Laemsing</v>
      </c>
      <c r="B583" s="63" t="str">
        <f>'RAW DATA 2023'!D576</f>
        <v>A1-002-0037</v>
      </c>
      <c r="C583" s="63" t="str">
        <f t="shared" si="65"/>
        <v>LaemsingA1-002-0037</v>
      </c>
      <c r="D583" s="68">
        <f>VLOOKUP(C583,'RAW DATA 2023'!E:BP,63,0)</f>
        <v>3</v>
      </c>
      <c r="E583" s="68" t="str">
        <f t="shared" si="66"/>
        <v>Laemsing3</v>
      </c>
      <c r="F583" s="63" t="str">
        <f>VLOOKUP(C583,'RAW DATA 2023'!E:BO,5,0)</f>
        <v>Outdoor</v>
      </c>
      <c r="G583" s="63">
        <f>VLOOKUP(C583,'RAW DATA 2023'!E:BO,13,0)</f>
        <v>104</v>
      </c>
      <c r="H583" s="63">
        <f t="shared" si="69"/>
        <v>100</v>
      </c>
      <c r="I583" s="63">
        <f t="shared" si="67"/>
        <v>6.806</v>
      </c>
      <c r="J583" s="106">
        <f>VLOOKUP(C583,'RAW DATA 2023'!E:BO,22,0)</f>
        <v>6.2272100000000004</v>
      </c>
      <c r="K583" s="70">
        <f t="shared" si="70"/>
        <v>0.91495885982956215</v>
      </c>
      <c r="L583" s="72">
        <f t="shared" si="68"/>
        <v>6.2272100000000004</v>
      </c>
      <c r="M583" s="109">
        <f t="shared" si="72"/>
        <v>5.532784797727496</v>
      </c>
      <c r="N583" s="123" t="str">
        <f>VLOOKUP(C583,'RAW DATA 2023'!E:BO,36,0)</f>
        <v>Normal</v>
      </c>
      <c r="O583" s="63">
        <f>VLOOKUP(C583,'RAW DATA 2023'!E:BO,2,0)</f>
        <v>3</v>
      </c>
      <c r="P583" s="322">
        <f t="shared" si="71"/>
        <v>16.59835439318249</v>
      </c>
    </row>
    <row r="584" spans="1:16">
      <c r="A584" s="63" t="str">
        <f>'RAW DATA 2023'!B577</f>
        <v>Laemsing</v>
      </c>
      <c r="B584" s="63" t="str">
        <f>'RAW DATA 2023'!D577</f>
        <v>A1-025-0014</v>
      </c>
      <c r="C584" s="63" t="str">
        <f t="shared" si="65"/>
        <v>LaemsingA1-025-0014</v>
      </c>
      <c r="D584" s="68">
        <f>VLOOKUP(C584,'RAW DATA 2023'!E:BP,63,0)</f>
        <v>7</v>
      </c>
      <c r="E584" s="68" t="str">
        <f t="shared" si="66"/>
        <v>Laemsing7</v>
      </c>
      <c r="F584" s="63" t="str">
        <f>VLOOKUP(C584,'RAW DATA 2023'!E:BO,5,0)</f>
        <v>Outdoor</v>
      </c>
      <c r="G584" s="63">
        <f>VLOOKUP(C584,'RAW DATA 2023'!E:BO,13,0)</f>
        <v>100</v>
      </c>
      <c r="H584" s="63">
        <f t="shared" si="69"/>
        <v>100</v>
      </c>
      <c r="I584" s="63">
        <f t="shared" si="67"/>
        <v>6.806</v>
      </c>
      <c r="J584" s="106">
        <f>VLOOKUP(C584,'RAW DATA 2023'!E:BO,22,0)</f>
        <v>4.9529519999999998</v>
      </c>
      <c r="K584" s="70">
        <f t="shared" si="70"/>
        <v>0.72773317660887449</v>
      </c>
      <c r="L584" s="72">
        <f t="shared" si="68"/>
        <v>4.9529519999999998</v>
      </c>
      <c r="M584" s="109">
        <f t="shared" si="72"/>
        <v>3.0364423547849935</v>
      </c>
      <c r="N584" s="123" t="str">
        <f>VLOOKUP(C584,'RAW DATA 2023'!E:BO,36,0)</f>
        <v>AHPND</v>
      </c>
      <c r="O584" s="63">
        <f>VLOOKUP(C584,'RAW DATA 2023'!E:BO,2,0)</f>
        <v>2.5</v>
      </c>
      <c r="P584" s="322">
        <f t="shared" si="71"/>
        <v>7.5911058869624837</v>
      </c>
    </row>
    <row r="585" spans="1:16">
      <c r="A585" s="63" t="str">
        <f>'RAW DATA 2023'!B578</f>
        <v>Laemsing</v>
      </c>
      <c r="B585" s="63" t="str">
        <f>'RAW DATA 2023'!D578</f>
        <v>A1-019-0029</v>
      </c>
      <c r="C585" s="63" t="str">
        <f t="shared" si="65"/>
        <v>LaemsingA1-019-0029</v>
      </c>
      <c r="D585" s="68">
        <f>VLOOKUP(C585,'RAW DATA 2023'!E:BP,63,0)</f>
        <v>7</v>
      </c>
      <c r="E585" s="68" t="str">
        <f t="shared" si="66"/>
        <v>Laemsing7</v>
      </c>
      <c r="F585" s="63" t="str">
        <f>VLOOKUP(C585,'RAW DATA 2023'!E:BO,5,0)</f>
        <v>Outdoor</v>
      </c>
      <c r="G585" s="63">
        <f>VLOOKUP(C585,'RAW DATA 2023'!E:BO,13,0)</f>
        <v>133</v>
      </c>
      <c r="H585" s="63">
        <f t="shared" si="69"/>
        <v>100</v>
      </c>
      <c r="I585" s="63">
        <f t="shared" si="67"/>
        <v>6.806</v>
      </c>
      <c r="J585" s="106">
        <f>VLOOKUP(C585,'RAW DATA 2023'!E:BO,22,0)</f>
        <v>4.6777818181818187</v>
      </c>
      <c r="K585" s="70">
        <f t="shared" si="70"/>
        <v>0.68730264739668212</v>
      </c>
      <c r="L585" s="72">
        <f t="shared" si="68"/>
        <v>4.6777818181818187</v>
      </c>
      <c r="M585" s="109">
        <f t="shared" si="72"/>
        <v>2.4973686319557618</v>
      </c>
      <c r="N585" s="123" t="str">
        <f>VLOOKUP(C585,'RAW DATA 2023'!E:BO,36,0)</f>
        <v>WFD</v>
      </c>
      <c r="O585" s="63">
        <f>VLOOKUP(C585,'RAW DATA 2023'!E:BO,2,0)</f>
        <v>2.2000000000000002</v>
      </c>
      <c r="P585" s="322">
        <f t="shared" si="71"/>
        <v>5.4942109903026761</v>
      </c>
    </row>
    <row r="586" spans="1:16">
      <c r="A586" s="63" t="str">
        <f>'RAW DATA 2023'!B579</f>
        <v>Laemsing</v>
      </c>
      <c r="B586" s="63" t="str">
        <f>'RAW DATA 2023'!D579</f>
        <v>A1-019-0028</v>
      </c>
      <c r="C586" s="63" t="str">
        <f t="shared" ref="C586:C649" si="73">A586&amp;B586</f>
        <v>LaemsingA1-019-0028</v>
      </c>
      <c r="D586" s="68">
        <f>VLOOKUP(C586,'RAW DATA 2023'!E:BP,63,0)</f>
        <v>4</v>
      </c>
      <c r="E586" s="68" t="str">
        <f t="shared" ref="E586:E649" si="74">A586&amp;D586</f>
        <v>Laemsing4</v>
      </c>
      <c r="F586" s="63" t="str">
        <f>VLOOKUP(C586,'RAW DATA 2023'!E:BO,5,0)</f>
        <v>Outdoor</v>
      </c>
      <c r="G586" s="63">
        <f>VLOOKUP(C586,'RAW DATA 2023'!E:BO,13,0)</f>
        <v>125</v>
      </c>
      <c r="H586" s="63">
        <f t="shared" si="69"/>
        <v>100</v>
      </c>
      <c r="I586" s="63">
        <f t="shared" ref="I586:I649" si="75">IF(F586=$W$1,VLOOKUP(H586,Y:Z,2,0),VLOOKUP(H586,AF:AG,2,0))</f>
        <v>6.806</v>
      </c>
      <c r="J586" s="106">
        <f>VLOOKUP(C586,'RAW DATA 2023'!E:BO,22,0)</f>
        <v>8.3291454545454542</v>
      </c>
      <c r="K586" s="70">
        <f t="shared" si="70"/>
        <v>1.2237945128629819</v>
      </c>
      <c r="L586" s="72">
        <f t="shared" ref="L586:L649" si="76">IF(J586=0,0,IF(F586=$B$2,J586-$B$6,IF(F586=$C$1,J586-$C$6,IF(AND(F586=$C$2,G586&lt;=$C$3),J586-$C$6,IF(AND(F586=$C$2,G586&lt;=$E$3),J586-$D$6,J586-$E$6)))))</f>
        <v>8.3291454545454542</v>
      </c>
      <c r="M586" s="109">
        <f t="shared" si="72"/>
        <v>9.65059350483976</v>
      </c>
      <c r="N586" s="123" t="str">
        <f>VLOOKUP(C586,'RAW DATA 2023'!E:BO,36,0)</f>
        <v>Normal</v>
      </c>
      <c r="O586" s="63">
        <f>VLOOKUP(C586,'RAW DATA 2023'!E:BO,2,0)</f>
        <v>2.2000000000000002</v>
      </c>
      <c r="P586" s="322">
        <f t="shared" si="71"/>
        <v>21.231305710647472</v>
      </c>
    </row>
    <row r="587" spans="1:16">
      <c r="A587" s="63" t="str">
        <f>'RAW DATA 2023'!B580</f>
        <v>Laemsing</v>
      </c>
      <c r="B587" s="63" t="str">
        <f>'RAW DATA 2023'!D580</f>
        <v>A1-025-0013</v>
      </c>
      <c r="C587" s="63" t="str">
        <f t="shared" si="73"/>
        <v>LaemsingA1-025-0013</v>
      </c>
      <c r="D587" s="68">
        <f>VLOOKUP(C587,'RAW DATA 2023'!E:BP,63,0)</f>
        <v>4</v>
      </c>
      <c r="E587" s="68" t="str">
        <f t="shared" si="74"/>
        <v>Laemsing4</v>
      </c>
      <c r="F587" s="63" t="str">
        <f>VLOOKUP(C587,'RAW DATA 2023'!E:BO,5,0)</f>
        <v>Outdoor</v>
      </c>
      <c r="G587" s="63">
        <f>VLOOKUP(C587,'RAW DATA 2023'!E:BO,13,0)</f>
        <v>110</v>
      </c>
      <c r="H587" s="63">
        <f t="shared" ref="H587:H650" si="77">IF(G587&gt;190,200,IF(G587&gt;165,180,IF(G587&gt;=135,150,IF(D580&gt;=110,120,100))))</f>
        <v>100</v>
      </c>
      <c r="I587" s="63">
        <f t="shared" si="75"/>
        <v>6.806</v>
      </c>
      <c r="J587" s="106">
        <f>VLOOKUP(C587,'RAW DATA 2023'!E:BO,22,0)</f>
        <v>10.032272000000001</v>
      </c>
      <c r="K587" s="70">
        <f t="shared" ref="K587:K650" si="78">J587/I587</f>
        <v>1.4740334998530709</v>
      </c>
      <c r="L587" s="72">
        <f t="shared" si="76"/>
        <v>10.032272000000001</v>
      </c>
      <c r="M587" s="109">
        <f t="shared" si="72"/>
        <v>12.987113331374278</v>
      </c>
      <c r="N587" s="123" t="str">
        <f>VLOOKUP(C587,'RAW DATA 2023'!E:BO,36,0)</f>
        <v>Normal</v>
      </c>
      <c r="O587" s="63">
        <f>VLOOKUP(C587,'RAW DATA 2023'!E:BO,2,0)</f>
        <v>2.5</v>
      </c>
      <c r="P587" s="322">
        <f t="shared" ref="P587:P650" si="79">M587*O587</f>
        <v>32.467783328435694</v>
      </c>
    </row>
    <row r="588" spans="1:16">
      <c r="A588" s="63" t="str">
        <f>'RAW DATA 2023'!B581</f>
        <v>Laemsing</v>
      </c>
      <c r="B588" s="63" t="str">
        <f>'RAW DATA 2023'!D581</f>
        <v>A1-018-0026</v>
      </c>
      <c r="C588" s="63" t="str">
        <f t="shared" si="73"/>
        <v>LaemsingA1-018-0026</v>
      </c>
      <c r="D588" s="68">
        <f>VLOOKUP(C588,'RAW DATA 2023'!E:BP,63,0)</f>
        <v>6</v>
      </c>
      <c r="E588" s="68" t="str">
        <f t="shared" si="74"/>
        <v>Laemsing6</v>
      </c>
      <c r="F588" s="63" t="str">
        <f>VLOOKUP(C588,'RAW DATA 2023'!E:BO,5,0)</f>
        <v>Outdoor</v>
      </c>
      <c r="G588" s="63">
        <f>VLOOKUP(C588,'RAW DATA 2023'!E:BO,13,0)</f>
        <v>125</v>
      </c>
      <c r="H588" s="63">
        <f t="shared" si="77"/>
        <v>100</v>
      </c>
      <c r="I588" s="63">
        <f t="shared" si="75"/>
        <v>6.806</v>
      </c>
      <c r="J588" s="106">
        <f>VLOOKUP(C588,'RAW DATA 2023'!E:BO,22,0)</f>
        <v>13.49329</v>
      </c>
      <c r="K588" s="70">
        <f t="shared" si="78"/>
        <v>1.9825580370261533</v>
      </c>
      <c r="L588" s="72">
        <f t="shared" si="76"/>
        <v>13.49329</v>
      </c>
      <c r="M588" s="109">
        <f t="shared" ref="M588:M651" si="80">(K588-$B$4)*$B$7</f>
        <v>19.767440493682045</v>
      </c>
      <c r="N588" s="123" t="str">
        <f>VLOOKUP(C588,'RAW DATA 2023'!E:BO,36,0)</f>
        <v>Normal</v>
      </c>
      <c r="O588" s="63">
        <f>VLOOKUP(C588,'RAW DATA 2023'!E:BO,2,0)</f>
        <v>2</v>
      </c>
      <c r="P588" s="322">
        <f t="shared" si="79"/>
        <v>39.53488098736409</v>
      </c>
    </row>
    <row r="589" spans="1:16">
      <c r="A589" s="63" t="str">
        <f>'RAW DATA 2023'!B582</f>
        <v>Laemsing</v>
      </c>
      <c r="B589" s="63" t="str">
        <f>'RAW DATA 2023'!D582</f>
        <v>A1-026-0015</v>
      </c>
      <c r="C589" s="63" t="str">
        <f t="shared" si="73"/>
        <v>LaemsingA1-026-0015</v>
      </c>
      <c r="D589" s="68">
        <f>VLOOKUP(C589,'RAW DATA 2023'!E:BP,63,0)</f>
        <v>4</v>
      </c>
      <c r="E589" s="68" t="str">
        <f t="shared" si="74"/>
        <v>Laemsing4</v>
      </c>
      <c r="F589" s="63" t="str">
        <f>VLOOKUP(C589,'RAW DATA 2023'!E:BO,5,0)</f>
        <v>Outdoor</v>
      </c>
      <c r="G589" s="63">
        <f>VLOOKUP(C589,'RAW DATA 2023'!E:BO,13,0)</f>
        <v>125</v>
      </c>
      <c r="H589" s="63">
        <f t="shared" si="77"/>
        <v>100</v>
      </c>
      <c r="I589" s="63">
        <f t="shared" si="75"/>
        <v>6.806</v>
      </c>
      <c r="J589" s="106">
        <f>VLOOKUP(C589,'RAW DATA 2023'!E:BO,22,0)</f>
        <v>10.276222727272726</v>
      </c>
      <c r="K589" s="70">
        <f t="shared" si="78"/>
        <v>1.5098769802046321</v>
      </c>
      <c r="L589" s="72">
        <f t="shared" si="76"/>
        <v>10.276222727272726</v>
      </c>
      <c r="M589" s="109">
        <f t="shared" si="80"/>
        <v>13.465026402728428</v>
      </c>
      <c r="N589" s="123" t="str">
        <f>VLOOKUP(C589,'RAW DATA 2023'!E:BO,36,0)</f>
        <v>Normal</v>
      </c>
      <c r="O589" s="63">
        <f>VLOOKUP(C589,'RAW DATA 2023'!E:BO,2,0)</f>
        <v>2.2000000000000002</v>
      </c>
      <c r="P589" s="322">
        <f t="shared" si="79"/>
        <v>29.623058086002544</v>
      </c>
    </row>
    <row r="590" spans="1:16">
      <c r="A590" s="63" t="str">
        <f>'RAW DATA 2023'!B583</f>
        <v>Laemsing</v>
      </c>
      <c r="B590" s="63" t="str">
        <f>'RAW DATA 2023'!D583</f>
        <v>A1-018-0025</v>
      </c>
      <c r="C590" s="63" t="str">
        <f t="shared" si="73"/>
        <v>LaemsingA1-018-0025</v>
      </c>
      <c r="D590" s="68">
        <f>VLOOKUP(C590,'RAW DATA 2023'!E:BP,63,0)</f>
        <v>1</v>
      </c>
      <c r="E590" s="68" t="str">
        <f t="shared" si="74"/>
        <v>Laemsing1</v>
      </c>
      <c r="F590" s="63" t="str">
        <f>VLOOKUP(C590,'RAW DATA 2023'!E:BO,5,0)</f>
        <v>Outdoor</v>
      </c>
      <c r="G590" s="63">
        <f>VLOOKUP(C590,'RAW DATA 2023'!E:BO,13,0)</f>
        <v>109</v>
      </c>
      <c r="H590" s="63">
        <f t="shared" si="77"/>
        <v>100</v>
      </c>
      <c r="I590" s="63">
        <f t="shared" si="75"/>
        <v>6.806</v>
      </c>
      <c r="J590" s="106">
        <f>VLOOKUP(C590,'RAW DATA 2023'!E:BO,22,0)</f>
        <v>0</v>
      </c>
      <c r="K590" s="70">
        <f t="shared" si="78"/>
        <v>0</v>
      </c>
      <c r="L590" s="72">
        <f t="shared" si="76"/>
        <v>0</v>
      </c>
      <c r="M590" s="109">
        <f t="shared" si="80"/>
        <v>-6.666666666666667</v>
      </c>
      <c r="N590" s="123" t="str">
        <f>VLOOKUP(C590,'RAW DATA 2023'!E:BO,36,0)</f>
        <v>AHPND</v>
      </c>
      <c r="O590" s="63">
        <f>VLOOKUP(C590,'RAW DATA 2023'!E:BO,2,0)</f>
        <v>2</v>
      </c>
      <c r="P590" s="322">
        <f t="shared" si="79"/>
        <v>-13.333333333333334</v>
      </c>
    </row>
    <row r="591" spans="1:16">
      <c r="A591" s="63" t="str">
        <f>'RAW DATA 2023'!B584</f>
        <v>Laemsing</v>
      </c>
      <c r="B591" s="63" t="str">
        <f>'RAW DATA 2023'!D584</f>
        <v>B1-028-0014</v>
      </c>
      <c r="C591" s="63" t="str">
        <f t="shared" si="73"/>
        <v>LaemsingB1-028-0014</v>
      </c>
      <c r="D591" s="68">
        <f>VLOOKUP(C591,'RAW DATA 2023'!E:BP,63,0)</f>
        <v>6</v>
      </c>
      <c r="E591" s="68" t="str">
        <f t="shared" si="74"/>
        <v>Laemsing6</v>
      </c>
      <c r="F591" s="63" t="str">
        <f>VLOOKUP(C591,'RAW DATA 2023'!E:BO,5,0)</f>
        <v>Outdoor</v>
      </c>
      <c r="G591" s="63">
        <f>VLOOKUP(C591,'RAW DATA 2023'!E:BO,13,0)</f>
        <v>119</v>
      </c>
      <c r="H591" s="63">
        <f t="shared" si="77"/>
        <v>100</v>
      </c>
      <c r="I591" s="63">
        <f t="shared" si="75"/>
        <v>6.806</v>
      </c>
      <c r="J591" s="106">
        <f>VLOOKUP(C591,'RAW DATA 2023'!E:BO,22,0)</f>
        <v>13.080071428571429</v>
      </c>
      <c r="K591" s="70">
        <f t="shared" si="78"/>
        <v>1.9218441711095253</v>
      </c>
      <c r="L591" s="72">
        <f t="shared" si="76"/>
        <v>13.080071428571429</v>
      </c>
      <c r="M591" s="109">
        <f t="shared" si="80"/>
        <v>18.957922281460338</v>
      </c>
      <c r="N591" s="123" t="str">
        <f>VLOOKUP(C591,'RAW DATA 2023'!E:BO,36,0)</f>
        <v>Normal</v>
      </c>
      <c r="O591" s="63">
        <f>VLOOKUP(C591,'RAW DATA 2023'!E:BO,2,0)</f>
        <v>2.1</v>
      </c>
      <c r="P591" s="322">
        <f t="shared" si="79"/>
        <v>39.811636791066711</v>
      </c>
    </row>
    <row r="592" spans="1:16">
      <c r="A592" s="63" t="str">
        <f>'RAW DATA 2023'!B585</f>
        <v>Laemsing</v>
      </c>
      <c r="B592" s="63" t="str">
        <f>'RAW DATA 2023'!D585</f>
        <v>B1-013-0033</v>
      </c>
      <c r="C592" s="63" t="str">
        <f t="shared" si="73"/>
        <v>LaemsingB1-013-0033</v>
      </c>
      <c r="D592" s="68">
        <f>VLOOKUP(C592,'RAW DATA 2023'!E:BP,63,0)</f>
        <v>7</v>
      </c>
      <c r="E592" s="68" t="str">
        <f t="shared" si="74"/>
        <v>Laemsing7</v>
      </c>
      <c r="F592" s="63" t="str">
        <f>VLOOKUP(C592,'RAW DATA 2023'!E:BO,5,0)</f>
        <v>Outdoor</v>
      </c>
      <c r="G592" s="63">
        <f>VLOOKUP(C592,'RAW DATA 2023'!E:BO,13,0)</f>
        <v>119</v>
      </c>
      <c r="H592" s="63">
        <f t="shared" si="77"/>
        <v>100</v>
      </c>
      <c r="I592" s="63">
        <f t="shared" si="75"/>
        <v>6.806</v>
      </c>
      <c r="J592" s="106">
        <f>VLOOKUP(C592,'RAW DATA 2023'!E:BO,22,0)</f>
        <v>6.4874523809523801</v>
      </c>
      <c r="K592" s="70">
        <f t="shared" si="78"/>
        <v>0.95319605949932118</v>
      </c>
      <c r="L592" s="72">
        <f t="shared" si="76"/>
        <v>6.4874523809523801</v>
      </c>
      <c r="M592" s="109">
        <f t="shared" si="80"/>
        <v>6.0426141266576163</v>
      </c>
      <c r="N592" s="123" t="str">
        <f>VLOOKUP(C592,'RAW DATA 2023'!E:BO,36,0)</f>
        <v>AHPND</v>
      </c>
      <c r="O592" s="63">
        <f>VLOOKUP(C592,'RAW DATA 2023'!E:BO,2,0)</f>
        <v>2.1</v>
      </c>
      <c r="P592" s="322">
        <f t="shared" si="79"/>
        <v>12.689489665980995</v>
      </c>
    </row>
    <row r="593" spans="1:16">
      <c r="A593" s="63" t="str">
        <f>'RAW DATA 2023'!B586</f>
        <v>Laemsing</v>
      </c>
      <c r="B593" s="63" t="str">
        <f>'RAW DATA 2023'!D586</f>
        <v>B1-027-0015</v>
      </c>
      <c r="C593" s="63" t="str">
        <f t="shared" si="73"/>
        <v>LaemsingB1-027-0015</v>
      </c>
      <c r="D593" s="68">
        <f>VLOOKUP(C593,'RAW DATA 2023'!E:BP,63,0)</f>
        <v>7</v>
      </c>
      <c r="E593" s="68" t="str">
        <f t="shared" si="74"/>
        <v>Laemsing7</v>
      </c>
      <c r="F593" s="63" t="str">
        <f>VLOOKUP(C593,'RAW DATA 2023'!E:BO,5,0)</f>
        <v>Outdoor</v>
      </c>
      <c r="G593" s="63">
        <f>VLOOKUP(C593,'RAW DATA 2023'!E:BO,13,0)</f>
        <v>139</v>
      </c>
      <c r="H593" s="63">
        <f t="shared" si="77"/>
        <v>150</v>
      </c>
      <c r="I593" s="63">
        <f t="shared" si="75"/>
        <v>9.1999999999999993</v>
      </c>
      <c r="J593" s="106">
        <f>VLOOKUP(C593,'RAW DATA 2023'!E:BO,22,0)</f>
        <v>7.0838761904761895</v>
      </c>
      <c r="K593" s="70">
        <f t="shared" si="78"/>
        <v>0.76998654244306419</v>
      </c>
      <c r="L593" s="72">
        <f t="shared" si="76"/>
        <v>7.0838761904761895</v>
      </c>
      <c r="M593" s="109">
        <f t="shared" si="80"/>
        <v>3.5998205659075229</v>
      </c>
      <c r="N593" s="123" t="str">
        <f>VLOOKUP(C593,'RAW DATA 2023'!E:BO,36,0)</f>
        <v>WFD</v>
      </c>
      <c r="O593" s="63">
        <f>VLOOKUP(C593,'RAW DATA 2023'!E:BO,2,0)</f>
        <v>2.1</v>
      </c>
      <c r="P593" s="322">
        <f t="shared" si="79"/>
        <v>7.5596231884057987</v>
      </c>
    </row>
    <row r="594" spans="1:16">
      <c r="A594" s="63" t="str">
        <f>'RAW DATA 2023'!B587</f>
        <v>Laemsing</v>
      </c>
      <c r="B594" s="63" t="str">
        <f>'RAW DATA 2023'!D587</f>
        <v>B1-006-0040</v>
      </c>
      <c r="C594" s="63" t="str">
        <f t="shared" si="73"/>
        <v>LaemsingB1-006-0040</v>
      </c>
      <c r="D594" s="68">
        <f>VLOOKUP(C594,'RAW DATA 2023'!E:BP,63,0)</f>
        <v>3</v>
      </c>
      <c r="E594" s="68" t="str">
        <f t="shared" si="74"/>
        <v>Laemsing3</v>
      </c>
      <c r="F594" s="63" t="str">
        <f>VLOOKUP(C594,'RAW DATA 2023'!E:BO,5,0)</f>
        <v>Outdoor</v>
      </c>
      <c r="G594" s="63">
        <f>VLOOKUP(C594,'RAW DATA 2023'!E:BO,13,0)</f>
        <v>83</v>
      </c>
      <c r="H594" s="63">
        <f t="shared" si="77"/>
        <v>100</v>
      </c>
      <c r="I594" s="63">
        <f t="shared" si="75"/>
        <v>6.806</v>
      </c>
      <c r="J594" s="106">
        <f>VLOOKUP(C594,'RAW DATA 2023'!E:BO,22,0)</f>
        <v>6.8835000000000006</v>
      </c>
      <c r="K594" s="70">
        <f t="shared" si="78"/>
        <v>1.0113870114604762</v>
      </c>
      <c r="L594" s="72">
        <f t="shared" si="76"/>
        <v>6.8835000000000006</v>
      </c>
      <c r="M594" s="109">
        <f t="shared" si="80"/>
        <v>6.8184934861396824</v>
      </c>
      <c r="N594" s="123" t="str">
        <f>VLOOKUP(C594,'RAW DATA 2023'!E:BO,36,0)</f>
        <v>ทยอยตาย</v>
      </c>
      <c r="O594" s="63">
        <f>VLOOKUP(C594,'RAW DATA 2023'!E:BO,2,0)</f>
        <v>3</v>
      </c>
      <c r="P594" s="322">
        <f t="shared" si="79"/>
        <v>20.455480458419046</v>
      </c>
    </row>
    <row r="595" spans="1:16">
      <c r="A595" s="63" t="str">
        <f>'RAW DATA 2023'!B588</f>
        <v>Laemsing</v>
      </c>
      <c r="B595" s="63" t="str">
        <f>'RAW DATA 2023'!D588</f>
        <v>B1-027-0014</v>
      </c>
      <c r="C595" s="63" t="str">
        <f t="shared" si="73"/>
        <v>LaemsingB1-027-0014</v>
      </c>
      <c r="D595" s="68">
        <f>VLOOKUP(C595,'RAW DATA 2023'!E:BP,63,0)</f>
        <v>4</v>
      </c>
      <c r="E595" s="68" t="str">
        <f t="shared" si="74"/>
        <v>Laemsing4</v>
      </c>
      <c r="F595" s="63" t="str">
        <f>VLOOKUP(C595,'RAW DATA 2023'!E:BO,5,0)</f>
        <v>Outdoor</v>
      </c>
      <c r="G595" s="63">
        <f>VLOOKUP(C595,'RAW DATA 2023'!E:BO,13,0)</f>
        <v>139</v>
      </c>
      <c r="H595" s="63">
        <f t="shared" si="77"/>
        <v>150</v>
      </c>
      <c r="I595" s="63">
        <f t="shared" si="75"/>
        <v>9.1999999999999993</v>
      </c>
      <c r="J595" s="106">
        <f>VLOOKUP(C595,'RAW DATA 2023'!E:BO,22,0)</f>
        <v>12.261547619047619</v>
      </c>
      <c r="K595" s="70">
        <f t="shared" si="78"/>
        <v>1.3327769151138718</v>
      </c>
      <c r="L595" s="72">
        <f t="shared" si="76"/>
        <v>12.261547619047619</v>
      </c>
      <c r="M595" s="109">
        <f t="shared" si="80"/>
        <v>11.103692201518291</v>
      </c>
      <c r="N595" s="123" t="str">
        <f>VLOOKUP(C595,'RAW DATA 2023'!E:BO,36,0)</f>
        <v>Normal</v>
      </c>
      <c r="O595" s="63">
        <f>VLOOKUP(C595,'RAW DATA 2023'!E:BO,2,0)</f>
        <v>2.1</v>
      </c>
      <c r="P595" s="322">
        <f t="shared" si="79"/>
        <v>23.317753623188413</v>
      </c>
    </row>
    <row r="596" spans="1:16">
      <c r="A596" s="63" t="str">
        <f>'RAW DATA 2023'!B589</f>
        <v>Laemsing</v>
      </c>
      <c r="B596" s="63" t="str">
        <f>'RAW DATA 2023'!D589</f>
        <v>B1-012-0030</v>
      </c>
      <c r="C596" s="63" t="str">
        <f t="shared" si="73"/>
        <v>LaemsingB1-012-0030</v>
      </c>
      <c r="D596" s="68">
        <f>VLOOKUP(C596,'RAW DATA 2023'!E:BP,63,0)</f>
        <v>6</v>
      </c>
      <c r="E596" s="68" t="str">
        <f t="shared" si="74"/>
        <v>Laemsing6</v>
      </c>
      <c r="F596" s="63" t="str">
        <f>VLOOKUP(C596,'RAW DATA 2023'!E:BO,5,0)</f>
        <v>Outdoor</v>
      </c>
      <c r="G596" s="63">
        <f>VLOOKUP(C596,'RAW DATA 2023'!E:BO,13,0)</f>
        <v>195</v>
      </c>
      <c r="H596" s="63">
        <f t="shared" si="77"/>
        <v>200</v>
      </c>
      <c r="I596" s="63">
        <f t="shared" si="75"/>
        <v>11.259</v>
      </c>
      <c r="J596" s="106">
        <f>VLOOKUP(C596,'RAW DATA 2023'!E:BO,22,0)</f>
        <v>19.013556249999997</v>
      </c>
      <c r="K596" s="70">
        <f t="shared" si="78"/>
        <v>1.6887428945732299</v>
      </c>
      <c r="L596" s="72">
        <f t="shared" si="76"/>
        <v>19.013556249999997</v>
      </c>
      <c r="M596" s="109">
        <f t="shared" si="80"/>
        <v>15.849905260976399</v>
      </c>
      <c r="N596" s="123" t="str">
        <f>VLOOKUP(C596,'RAW DATA 2023'!E:BO,36,0)</f>
        <v>Normal</v>
      </c>
      <c r="O596" s="63">
        <f>VLOOKUP(C596,'RAW DATA 2023'!E:BO,2,0)</f>
        <v>1.6</v>
      </c>
      <c r="P596" s="322">
        <f t="shared" si="79"/>
        <v>25.35984841756224</v>
      </c>
    </row>
    <row r="597" spans="1:16">
      <c r="A597" s="63" t="str">
        <f>'RAW DATA 2023'!B590</f>
        <v>Laemsing</v>
      </c>
      <c r="B597" s="63" t="str">
        <f>'RAW DATA 2023'!D590</f>
        <v>B1-013-0032</v>
      </c>
      <c r="C597" s="63" t="str">
        <f t="shared" si="73"/>
        <v>LaemsingB1-013-0032</v>
      </c>
      <c r="D597" s="68">
        <f>VLOOKUP(C597,'RAW DATA 2023'!E:BP,63,0)</f>
        <v>4</v>
      </c>
      <c r="E597" s="68" t="str">
        <f t="shared" si="74"/>
        <v>Laemsing4</v>
      </c>
      <c r="F597" s="63" t="str">
        <f>VLOOKUP(C597,'RAW DATA 2023'!E:BO,5,0)</f>
        <v>Outdoor</v>
      </c>
      <c r="G597" s="63">
        <f>VLOOKUP(C597,'RAW DATA 2023'!E:BO,13,0)</f>
        <v>119</v>
      </c>
      <c r="H597" s="63">
        <f t="shared" si="77"/>
        <v>100</v>
      </c>
      <c r="I597" s="63">
        <f t="shared" si="75"/>
        <v>6.806</v>
      </c>
      <c r="J597" s="106">
        <f>VLOOKUP(C597,'RAW DATA 2023'!E:BO,22,0)</f>
        <v>8.5853285714285708</v>
      </c>
      <c r="K597" s="70">
        <f t="shared" si="78"/>
        <v>1.2614352881910917</v>
      </c>
      <c r="L597" s="72">
        <f t="shared" si="76"/>
        <v>8.5853285714285708</v>
      </c>
      <c r="M597" s="109">
        <f t="shared" si="80"/>
        <v>10.152470509214558</v>
      </c>
      <c r="N597" s="123" t="str">
        <f>VLOOKUP(C597,'RAW DATA 2023'!E:BO,36,0)</f>
        <v>Normal</v>
      </c>
      <c r="O597" s="63">
        <f>VLOOKUP(C597,'RAW DATA 2023'!E:BO,2,0)</f>
        <v>2.1</v>
      </c>
      <c r="P597" s="322">
        <f t="shared" si="79"/>
        <v>21.320188069350571</v>
      </c>
    </row>
    <row r="598" spans="1:16">
      <c r="A598" s="63" t="str">
        <f>'RAW DATA 2023'!B591</f>
        <v>Laemsing</v>
      </c>
      <c r="B598" s="63" t="str">
        <f>'RAW DATA 2023'!D591</f>
        <v>B1-028-0013</v>
      </c>
      <c r="C598" s="63" t="str">
        <f t="shared" si="73"/>
        <v>LaemsingB1-028-0013</v>
      </c>
      <c r="D598" s="68">
        <f>VLOOKUP(C598,'RAW DATA 2023'!E:BP,63,0)</f>
        <v>1</v>
      </c>
      <c r="E598" s="68" t="str">
        <f t="shared" si="74"/>
        <v>Laemsing1</v>
      </c>
      <c r="F598" s="63" t="str">
        <f>VLOOKUP(C598,'RAW DATA 2023'!E:BO,5,0)</f>
        <v>Outdoor</v>
      </c>
      <c r="G598" s="63">
        <f>VLOOKUP(C598,'RAW DATA 2023'!E:BO,13,0)</f>
        <v>119</v>
      </c>
      <c r="H598" s="63">
        <f t="shared" si="77"/>
        <v>100</v>
      </c>
      <c r="I598" s="63">
        <f t="shared" si="75"/>
        <v>6.806</v>
      </c>
      <c r="J598" s="106">
        <f>VLOOKUP(C598,'RAW DATA 2023'!E:BO,22,0)</f>
        <v>5.3276571428571424</v>
      </c>
      <c r="K598" s="70">
        <f t="shared" si="78"/>
        <v>0.78278829604130806</v>
      </c>
      <c r="L598" s="72">
        <f t="shared" si="76"/>
        <v>5.3276571428571424</v>
      </c>
      <c r="M598" s="109">
        <f t="shared" si="80"/>
        <v>3.7705106138841078</v>
      </c>
      <c r="N598" s="123" t="str">
        <f>VLOOKUP(C598,'RAW DATA 2023'!E:BO,36,0)</f>
        <v>WSSV</v>
      </c>
      <c r="O598" s="63">
        <f>VLOOKUP(C598,'RAW DATA 2023'!E:BO,2,0)</f>
        <v>2.1</v>
      </c>
      <c r="P598" s="322">
        <f t="shared" si="79"/>
        <v>7.9180722891566271</v>
      </c>
    </row>
    <row r="599" spans="1:16">
      <c r="A599" s="63" t="str">
        <f>'RAW DATA 2023'!B592</f>
        <v>Laemsing</v>
      </c>
      <c r="B599" s="63" t="str">
        <f>'RAW DATA 2023'!D592</f>
        <v>B1-012-0031</v>
      </c>
      <c r="C599" s="63" t="str">
        <f t="shared" si="73"/>
        <v>LaemsingB1-012-0031</v>
      </c>
      <c r="D599" s="68">
        <f>VLOOKUP(C599,'RAW DATA 2023'!E:BP,63,0)</f>
        <v>7</v>
      </c>
      <c r="E599" s="68" t="str">
        <f t="shared" si="74"/>
        <v>Laemsing7</v>
      </c>
      <c r="F599" s="63" t="str">
        <f>VLOOKUP(C599,'RAW DATA 2023'!E:BO,5,0)</f>
        <v>Outdoor</v>
      </c>
      <c r="G599" s="63">
        <f>VLOOKUP(C599,'RAW DATA 2023'!E:BO,13,0)</f>
        <v>195</v>
      </c>
      <c r="H599" s="63">
        <f t="shared" si="77"/>
        <v>200</v>
      </c>
      <c r="I599" s="63">
        <f t="shared" si="75"/>
        <v>11.259</v>
      </c>
      <c r="J599" s="106">
        <f>VLOOKUP(C599,'RAW DATA 2023'!E:BO,22,0)</f>
        <v>3.4987999999999997</v>
      </c>
      <c r="K599" s="70">
        <f t="shared" si="78"/>
        <v>0.31075583977262633</v>
      </c>
      <c r="L599" s="72">
        <f t="shared" si="76"/>
        <v>3.4987999999999997</v>
      </c>
      <c r="M599" s="109">
        <f t="shared" si="80"/>
        <v>-2.5232554696983156</v>
      </c>
      <c r="N599" s="123" t="str">
        <f>VLOOKUP(C599,'RAW DATA 2023'!E:BO,36,0)</f>
        <v>WFD</v>
      </c>
      <c r="O599" s="63">
        <f>VLOOKUP(C599,'RAW DATA 2023'!E:BO,2,0)</f>
        <v>1.6</v>
      </c>
      <c r="P599" s="322">
        <f t="shared" si="79"/>
        <v>-4.037208751517305</v>
      </c>
    </row>
    <row r="600" spans="1:16">
      <c r="A600" s="63" t="str">
        <f>'RAW DATA 2023'!B593</f>
        <v>Laemsing</v>
      </c>
      <c r="B600" s="63" t="str">
        <f>'RAW DATA 2023'!D593</f>
        <v>B1-006-0041</v>
      </c>
      <c r="C600" s="63" t="str">
        <f t="shared" si="73"/>
        <v>LaemsingB1-006-0041</v>
      </c>
      <c r="D600" s="68">
        <f>VLOOKUP(C600,'RAW DATA 2023'!E:BP,63,0)</f>
        <v>8</v>
      </c>
      <c r="E600" s="68" t="str">
        <f t="shared" si="74"/>
        <v>Laemsing8</v>
      </c>
      <c r="F600" s="63" t="str">
        <f>VLOOKUP(C600,'RAW DATA 2023'!E:BO,5,0)</f>
        <v>Outdoor</v>
      </c>
      <c r="G600" s="63">
        <f>VLOOKUP(C600,'RAW DATA 2023'!E:BO,13,0)</f>
        <v>90</v>
      </c>
      <c r="H600" s="63">
        <f t="shared" si="77"/>
        <v>100</v>
      </c>
      <c r="I600" s="63">
        <f t="shared" si="75"/>
        <v>6.806</v>
      </c>
      <c r="J600" s="106">
        <f>VLOOKUP(C600,'RAW DATA 2023'!E:BO,22,0)</f>
        <v>5.8102200000000002</v>
      </c>
      <c r="K600" s="70">
        <f t="shared" si="78"/>
        <v>0.85369086100499558</v>
      </c>
      <c r="L600" s="72">
        <f t="shared" si="76"/>
        <v>5.8102200000000002</v>
      </c>
      <c r="M600" s="109">
        <f t="shared" si="80"/>
        <v>4.7158781467332744</v>
      </c>
      <c r="N600" s="123" t="str">
        <f>VLOOKUP(C600,'RAW DATA 2023'!E:BO,36,0)</f>
        <v>Normal</v>
      </c>
      <c r="O600" s="63">
        <f>VLOOKUP(C600,'RAW DATA 2023'!E:BO,2,0)</f>
        <v>3</v>
      </c>
      <c r="P600" s="322">
        <f t="shared" si="79"/>
        <v>14.147634440199823</v>
      </c>
    </row>
    <row r="601" spans="1:16">
      <c r="A601" s="63" t="str">
        <f>'RAW DATA 2023'!B594</f>
        <v>Laemsing</v>
      </c>
      <c r="B601" s="63" t="str">
        <f>'RAW DATA 2023'!D594</f>
        <v>B1-028-0016</v>
      </c>
      <c r="C601" s="63" t="str">
        <f t="shared" si="73"/>
        <v>LaemsingB1-028-0016</v>
      </c>
      <c r="D601" s="68">
        <f>VLOOKUP(C601,'RAW DATA 2023'!E:BP,63,0)</f>
        <v>11</v>
      </c>
      <c r="E601" s="68" t="str">
        <f t="shared" si="74"/>
        <v>Laemsing11</v>
      </c>
      <c r="F601" s="63" t="str">
        <f>VLOOKUP(C601,'RAW DATA 2023'!E:BO,5,0)</f>
        <v>Outdoor</v>
      </c>
      <c r="G601" s="63">
        <f>VLOOKUP(C601,'RAW DATA 2023'!E:BO,13,0)</f>
        <v>119</v>
      </c>
      <c r="H601" s="63">
        <f t="shared" si="77"/>
        <v>100</v>
      </c>
      <c r="I601" s="63">
        <f t="shared" si="75"/>
        <v>6.806</v>
      </c>
      <c r="J601" s="106">
        <f>VLOOKUP(C601,'RAW DATA 2023'!E:BO,22,0)</f>
        <v>6.2058999999999997</v>
      </c>
      <c r="K601" s="70">
        <f t="shared" si="78"/>
        <v>0.91182779900088151</v>
      </c>
      <c r="L601" s="72">
        <f t="shared" si="76"/>
        <v>6.2058999999999997</v>
      </c>
      <c r="M601" s="109">
        <f t="shared" si="80"/>
        <v>5.4910373200117535</v>
      </c>
      <c r="N601" s="123" t="str">
        <f>VLOOKUP(C601,'RAW DATA 2023'!E:BO,36,0)</f>
        <v>EHP</v>
      </c>
      <c r="O601" s="63">
        <f>VLOOKUP(C601,'RAW DATA 2023'!E:BO,2,0)</f>
        <v>2.1</v>
      </c>
      <c r="P601" s="322">
        <f t="shared" si="79"/>
        <v>11.531178372024684</v>
      </c>
    </row>
    <row r="602" spans="1:16">
      <c r="A602" s="63" t="str">
        <f>'RAW DATA 2023'!B595</f>
        <v>Laemsing</v>
      </c>
      <c r="B602" s="63" t="str">
        <f>'RAW DATA 2023'!D595</f>
        <v>B1-013-0034</v>
      </c>
      <c r="C602" s="63" t="str">
        <f t="shared" si="73"/>
        <v>LaemsingB1-013-0034</v>
      </c>
      <c r="D602" s="68">
        <f>VLOOKUP(C602,'RAW DATA 2023'!E:BP,63,0)</f>
        <v>12</v>
      </c>
      <c r="E602" s="68" t="str">
        <f t="shared" si="74"/>
        <v>Laemsing12</v>
      </c>
      <c r="F602" s="63" t="str">
        <f>VLOOKUP(C602,'RAW DATA 2023'!E:BO,5,0)</f>
        <v>Outdoor</v>
      </c>
      <c r="G602" s="63">
        <f>VLOOKUP(C602,'RAW DATA 2023'!E:BO,13,0)</f>
        <v>104</v>
      </c>
      <c r="H602" s="63">
        <f t="shared" si="77"/>
        <v>100</v>
      </c>
      <c r="I602" s="63">
        <f t="shared" si="75"/>
        <v>6.806</v>
      </c>
      <c r="J602" s="106">
        <f>VLOOKUP(C602,'RAW DATA 2023'!E:BO,22,0)</f>
        <v>5.260642857142857</v>
      </c>
      <c r="K602" s="70">
        <f t="shared" si="78"/>
        <v>0.77294194198396371</v>
      </c>
      <c r="L602" s="72">
        <f t="shared" si="76"/>
        <v>5.260642857142857</v>
      </c>
      <c r="M602" s="109">
        <f t="shared" si="80"/>
        <v>3.6392258931195163</v>
      </c>
      <c r="N602" s="123" t="str">
        <f>VLOOKUP(C602,'RAW DATA 2023'!E:BO,36,0)</f>
        <v>EHP</v>
      </c>
      <c r="O602" s="63">
        <f>VLOOKUP(C602,'RAW DATA 2023'!E:BO,2,0)</f>
        <v>2.1</v>
      </c>
      <c r="P602" s="322">
        <f t="shared" si="79"/>
        <v>7.6423743755509843</v>
      </c>
    </row>
    <row r="603" spans="1:16">
      <c r="A603" s="63" t="str">
        <f>'RAW DATA 2023'!B596</f>
        <v>Lucky1</v>
      </c>
      <c r="B603" s="63" t="str">
        <f>'RAW DATA 2023'!D596</f>
        <v>BG-026-0012</v>
      </c>
      <c r="C603" s="63" t="str">
        <f t="shared" si="73"/>
        <v>Lucky1BG-026-0012</v>
      </c>
      <c r="D603" s="68">
        <f>VLOOKUP(C603,'RAW DATA 2023'!E:BP,63,0)</f>
        <v>5</v>
      </c>
      <c r="E603" s="68" t="str">
        <f t="shared" si="74"/>
        <v>Lucky15</v>
      </c>
      <c r="F603" s="63" t="str">
        <f>VLOOKUP(C603,'RAW DATA 2023'!E:BO,5,0)</f>
        <v>Greenhouse</v>
      </c>
      <c r="G603" s="63">
        <f>VLOOKUP(C603,'RAW DATA 2023'!E:BO,13,0)</f>
        <v>170</v>
      </c>
      <c r="H603" s="63">
        <f t="shared" si="77"/>
        <v>180</v>
      </c>
      <c r="I603" s="63">
        <f t="shared" si="75"/>
        <v>10.247</v>
      </c>
      <c r="J603" s="106">
        <f>VLOOKUP(C603,'RAW DATA 2023'!E:BO,22,0)</f>
        <v>2.8420285714285711</v>
      </c>
      <c r="K603" s="70">
        <f t="shared" si="78"/>
        <v>0.27735225640954142</v>
      </c>
      <c r="L603" s="72">
        <f t="shared" si="76"/>
        <v>2.8420285714285711</v>
      </c>
      <c r="M603" s="109">
        <f t="shared" si="80"/>
        <v>-2.9686365812061144</v>
      </c>
      <c r="N603" s="123" t="str">
        <f>VLOOKUP(C603,'RAW DATA 2023'!E:BO,36,0)</f>
        <v>กุ้งร่วง</v>
      </c>
      <c r="O603" s="63">
        <f>VLOOKUP(C603,'RAW DATA 2023'!E:BO,2,0)</f>
        <v>2.1</v>
      </c>
      <c r="P603" s="322">
        <f t="shared" si="79"/>
        <v>-6.2341368205328402</v>
      </c>
    </row>
    <row r="604" spans="1:16">
      <c r="A604" s="63" t="str">
        <f>'RAW DATA 2023'!B597</f>
        <v>Lucky1</v>
      </c>
      <c r="B604" s="63" t="str">
        <f>'RAW DATA 2023'!D597</f>
        <v>BG-028-0012</v>
      </c>
      <c r="C604" s="63" t="str">
        <f t="shared" si="73"/>
        <v>Lucky1BG-028-0012</v>
      </c>
      <c r="D604" s="68">
        <f>VLOOKUP(C604,'RAW DATA 2023'!E:BP,63,0)</f>
        <v>6</v>
      </c>
      <c r="E604" s="68" t="str">
        <f t="shared" si="74"/>
        <v>Lucky16</v>
      </c>
      <c r="F604" s="63" t="str">
        <f>VLOOKUP(C604,'RAW DATA 2023'!E:BO,5,0)</f>
        <v>Greenhouse</v>
      </c>
      <c r="G604" s="63">
        <f>VLOOKUP(C604,'RAW DATA 2023'!E:BO,13,0)</f>
        <v>170</v>
      </c>
      <c r="H604" s="63">
        <f t="shared" si="77"/>
        <v>180</v>
      </c>
      <c r="I604" s="63">
        <f t="shared" si="75"/>
        <v>10.247</v>
      </c>
      <c r="J604" s="106">
        <f>VLOOKUP(C604,'RAW DATA 2023'!E:BO,22,0)</f>
        <v>8.9890857142857161</v>
      </c>
      <c r="K604" s="70">
        <f t="shared" si="78"/>
        <v>0.8772407255085114</v>
      </c>
      <c r="L604" s="72">
        <f t="shared" si="76"/>
        <v>8.9890857142857161</v>
      </c>
      <c r="M604" s="109">
        <f t="shared" si="80"/>
        <v>5.0298763401134856</v>
      </c>
      <c r="N604" s="123" t="str">
        <f>VLOOKUP(C604,'RAW DATA 2023'!E:BO,36,0)</f>
        <v>ทยอยตาย</v>
      </c>
      <c r="O604" s="63">
        <f>VLOOKUP(C604,'RAW DATA 2023'!E:BO,2,0)</f>
        <v>2.1</v>
      </c>
      <c r="P604" s="322">
        <f t="shared" si="79"/>
        <v>10.56274031423832</v>
      </c>
    </row>
    <row r="605" spans="1:16">
      <c r="A605" s="63" t="str">
        <f>'RAW DATA 2023'!B598</f>
        <v>Lucky1</v>
      </c>
      <c r="B605" s="63" t="str">
        <f>'RAW DATA 2023'!D598</f>
        <v>BG-027-0012</v>
      </c>
      <c r="C605" s="63" t="str">
        <f t="shared" si="73"/>
        <v>Lucky1BG-027-0012</v>
      </c>
      <c r="D605" s="68">
        <f>VLOOKUP(C605,'RAW DATA 2023'!E:BP,63,0)</f>
        <v>10</v>
      </c>
      <c r="E605" s="68" t="str">
        <f t="shared" si="74"/>
        <v>Lucky110</v>
      </c>
      <c r="F605" s="63" t="str">
        <f>VLOOKUP(C605,'RAW DATA 2023'!E:BO,5,0)</f>
        <v>Greenhouse</v>
      </c>
      <c r="G605" s="63">
        <f>VLOOKUP(C605,'RAW DATA 2023'!E:BO,13,0)</f>
        <v>170</v>
      </c>
      <c r="H605" s="63">
        <f t="shared" si="77"/>
        <v>180</v>
      </c>
      <c r="I605" s="63">
        <f t="shared" si="75"/>
        <v>10.247</v>
      </c>
      <c r="J605" s="106">
        <f>VLOOKUP(C605,'RAW DATA 2023'!E:BO,22,0)</f>
        <v>10.855028571428571</v>
      </c>
      <c r="K605" s="70">
        <f t="shared" si="78"/>
        <v>1.0593372276206277</v>
      </c>
      <c r="L605" s="72">
        <f t="shared" si="76"/>
        <v>10.855028571428571</v>
      </c>
      <c r="M605" s="109">
        <f t="shared" si="80"/>
        <v>7.457829701608369</v>
      </c>
      <c r="N605" s="123" t="str">
        <f>VLOOKUP(C605,'RAW DATA 2023'!E:BO,36,0)</f>
        <v>EHP</v>
      </c>
      <c r="O605" s="63">
        <f>VLOOKUP(C605,'RAW DATA 2023'!E:BO,2,0)</f>
        <v>2.1</v>
      </c>
      <c r="P605" s="322">
        <f t="shared" si="79"/>
        <v>15.661442373377575</v>
      </c>
    </row>
    <row r="606" spans="1:16">
      <c r="A606" s="63" t="str">
        <f>'RAW DATA 2023'!B599</f>
        <v>Lucky1</v>
      </c>
      <c r="B606" s="63" t="str">
        <f>'RAW DATA 2023'!D599</f>
        <v>BG-025-0010</v>
      </c>
      <c r="C606" s="63" t="str">
        <f t="shared" si="73"/>
        <v>Lucky1BG-025-0010</v>
      </c>
      <c r="D606" s="68">
        <f>VLOOKUP(C606,'RAW DATA 2023'!E:BP,63,0)</f>
        <v>8</v>
      </c>
      <c r="E606" s="68" t="str">
        <f t="shared" si="74"/>
        <v>Lucky18</v>
      </c>
      <c r="F606" s="63" t="str">
        <f>VLOOKUP(C606,'RAW DATA 2023'!E:BO,5,0)</f>
        <v>Greenhouse</v>
      </c>
      <c r="G606" s="63">
        <f>VLOOKUP(C606,'RAW DATA 2023'!E:BO,13,0)</f>
        <v>170</v>
      </c>
      <c r="H606" s="63">
        <f t="shared" si="77"/>
        <v>180</v>
      </c>
      <c r="I606" s="63">
        <f t="shared" si="75"/>
        <v>10.247</v>
      </c>
      <c r="J606" s="106">
        <f>VLOOKUP(C606,'RAW DATA 2023'!E:BO,22,0)</f>
        <v>10.880095238095238</v>
      </c>
      <c r="K606" s="70">
        <f t="shared" si="78"/>
        <v>1.0617834720498915</v>
      </c>
      <c r="L606" s="72">
        <f t="shared" si="76"/>
        <v>10.880095238095238</v>
      </c>
      <c r="M606" s="109">
        <f t="shared" si="80"/>
        <v>7.4904462939985539</v>
      </c>
      <c r="N606" s="123" t="str">
        <f>VLOOKUP(C606,'RAW DATA 2023'!E:BO,36,0)</f>
        <v>Normal</v>
      </c>
      <c r="O606" s="63">
        <f>VLOOKUP(C606,'RAW DATA 2023'!E:BO,2,0)</f>
        <v>2.1</v>
      </c>
      <c r="P606" s="322">
        <f t="shared" si="79"/>
        <v>15.729937217396964</v>
      </c>
    </row>
    <row r="607" spans="1:16">
      <c r="A607" s="63" t="str">
        <f>'RAW DATA 2023'!B600</f>
        <v>Lucky1</v>
      </c>
      <c r="B607" s="63" t="str">
        <f>'RAW DATA 2023'!D600</f>
        <v>BG-026-0011</v>
      </c>
      <c r="C607" s="63" t="str">
        <f t="shared" si="73"/>
        <v>Lucky1BG-026-0011</v>
      </c>
      <c r="D607" s="68">
        <f>VLOOKUP(C607,'RAW DATA 2023'!E:BP,63,0)</f>
        <v>2</v>
      </c>
      <c r="E607" s="68" t="str">
        <f t="shared" si="74"/>
        <v>Lucky12</v>
      </c>
      <c r="F607" s="63" t="str">
        <f>VLOOKUP(C607,'RAW DATA 2023'!E:BO,5,0)</f>
        <v>Greenhouse</v>
      </c>
      <c r="G607" s="63">
        <f>VLOOKUP(C607,'RAW DATA 2023'!E:BO,13,0)</f>
        <v>170</v>
      </c>
      <c r="H607" s="63">
        <f t="shared" si="77"/>
        <v>180</v>
      </c>
      <c r="I607" s="63">
        <f t="shared" si="75"/>
        <v>10.247</v>
      </c>
      <c r="J607" s="106">
        <f>VLOOKUP(C607,'RAW DATA 2023'!E:BO,22,0)</f>
        <v>3.3544714285714283</v>
      </c>
      <c r="K607" s="70">
        <f t="shared" si="78"/>
        <v>0.32736131829525017</v>
      </c>
      <c r="L607" s="72">
        <f t="shared" si="76"/>
        <v>3.3544714285714283</v>
      </c>
      <c r="M607" s="109">
        <f t="shared" si="80"/>
        <v>-2.3018490893966645</v>
      </c>
      <c r="N607" s="123" t="str">
        <f>VLOOKUP(C607,'RAW DATA 2023'!E:BO,36,0)</f>
        <v>Normal</v>
      </c>
      <c r="O607" s="63">
        <f>VLOOKUP(C607,'RAW DATA 2023'!E:BO,2,0)</f>
        <v>2.1</v>
      </c>
      <c r="P607" s="322">
        <f t="shared" si="79"/>
        <v>-4.8338830877329961</v>
      </c>
    </row>
    <row r="608" spans="1:16">
      <c r="A608" s="63" t="str">
        <f>'RAW DATA 2023'!B601</f>
        <v>Lucky1</v>
      </c>
      <c r="B608" s="63" t="str">
        <f>'RAW DATA 2023'!D601</f>
        <v>BG-026-0013</v>
      </c>
      <c r="C608" s="63" t="str">
        <f t="shared" si="73"/>
        <v>Lucky1BG-026-0013</v>
      </c>
      <c r="D608" s="68">
        <f>VLOOKUP(C608,'RAW DATA 2023'!E:BP,63,0)</f>
        <v>8</v>
      </c>
      <c r="E608" s="68" t="str">
        <f t="shared" si="74"/>
        <v>Lucky18</v>
      </c>
      <c r="F608" s="63" t="str">
        <f>VLOOKUP(C608,'RAW DATA 2023'!E:BO,5,0)</f>
        <v>Greenhouse</v>
      </c>
      <c r="G608" s="63">
        <f>VLOOKUP(C608,'RAW DATA 2023'!E:BO,13,0)</f>
        <v>170</v>
      </c>
      <c r="H608" s="63">
        <f t="shared" si="77"/>
        <v>180</v>
      </c>
      <c r="I608" s="63">
        <f t="shared" si="75"/>
        <v>10.247</v>
      </c>
      <c r="J608" s="106">
        <f>VLOOKUP(C608,'RAW DATA 2023'!E:BO,22,0)</f>
        <v>3.9348047619047617</v>
      </c>
      <c r="K608" s="70">
        <f t="shared" si="78"/>
        <v>0.38399578041424431</v>
      </c>
      <c r="L608" s="72">
        <f t="shared" si="76"/>
        <v>3.9348047619047617</v>
      </c>
      <c r="M608" s="109">
        <f t="shared" si="80"/>
        <v>-1.5467229278100758</v>
      </c>
      <c r="N608" s="123" t="str">
        <f>VLOOKUP(C608,'RAW DATA 2023'!E:BO,36,0)</f>
        <v>ทยอยตาย</v>
      </c>
      <c r="O608" s="63">
        <f>VLOOKUP(C608,'RAW DATA 2023'!E:BO,2,0)</f>
        <v>2.1</v>
      </c>
      <c r="P608" s="322">
        <f t="shared" si="79"/>
        <v>-3.2481181484011592</v>
      </c>
    </row>
    <row r="609" spans="1:16">
      <c r="A609" s="63" t="str">
        <f>'RAW DATA 2023'!B602</f>
        <v>Lucky1</v>
      </c>
      <c r="B609" s="63" t="str">
        <f>'RAW DATA 2023'!D602</f>
        <v>BG-025-0009</v>
      </c>
      <c r="C609" s="63" t="str">
        <f t="shared" si="73"/>
        <v>Lucky1BG-025-0009</v>
      </c>
      <c r="D609" s="68">
        <f>VLOOKUP(C609,'RAW DATA 2023'!E:BP,63,0)</f>
        <v>2</v>
      </c>
      <c r="E609" s="68" t="str">
        <f t="shared" si="74"/>
        <v>Lucky12</v>
      </c>
      <c r="F609" s="63" t="str">
        <f>VLOOKUP(C609,'RAW DATA 2023'!E:BO,5,0)</f>
        <v>Greenhouse</v>
      </c>
      <c r="G609" s="63">
        <f>VLOOKUP(C609,'RAW DATA 2023'!E:BO,13,0)</f>
        <v>170</v>
      </c>
      <c r="H609" s="63">
        <f t="shared" si="77"/>
        <v>180</v>
      </c>
      <c r="I609" s="63">
        <f t="shared" si="75"/>
        <v>10.247</v>
      </c>
      <c r="J609" s="106">
        <f>VLOOKUP(C609,'RAW DATA 2023'!E:BO,22,0)</f>
        <v>4.1755095238095237</v>
      </c>
      <c r="K609" s="70">
        <f t="shared" si="78"/>
        <v>0.40748604701956903</v>
      </c>
      <c r="L609" s="72">
        <f t="shared" si="76"/>
        <v>4.1755095238095237</v>
      </c>
      <c r="M609" s="109">
        <f t="shared" si="80"/>
        <v>-1.233519373072413</v>
      </c>
      <c r="N609" s="123" t="str">
        <f>VLOOKUP(C609,'RAW DATA 2023'!E:BO,36,0)</f>
        <v>Normal</v>
      </c>
      <c r="O609" s="63">
        <f>VLOOKUP(C609,'RAW DATA 2023'!E:BO,2,0)</f>
        <v>2.1</v>
      </c>
      <c r="P609" s="322">
        <f t="shared" si="79"/>
        <v>-2.5903906834520676</v>
      </c>
    </row>
    <row r="610" spans="1:16">
      <c r="A610" s="63" t="str">
        <f>'RAW DATA 2023'!B603</f>
        <v>Lucky1</v>
      </c>
      <c r="B610" s="63" t="str">
        <f>'RAW DATA 2023'!D603</f>
        <v>BG-027-0011</v>
      </c>
      <c r="C610" s="63" t="str">
        <f t="shared" si="73"/>
        <v>Lucky1BG-027-0011</v>
      </c>
      <c r="D610" s="68">
        <f>VLOOKUP(C610,'RAW DATA 2023'!E:BP,63,0)</f>
        <v>6</v>
      </c>
      <c r="E610" s="68" t="str">
        <f t="shared" si="74"/>
        <v>Lucky16</v>
      </c>
      <c r="F610" s="63" t="str">
        <f>VLOOKUP(C610,'RAW DATA 2023'!E:BO,5,0)</f>
        <v>Greenhouse</v>
      </c>
      <c r="G610" s="63">
        <f>VLOOKUP(C610,'RAW DATA 2023'!E:BO,13,0)</f>
        <v>170</v>
      </c>
      <c r="H610" s="63">
        <f t="shared" si="77"/>
        <v>180</v>
      </c>
      <c r="I610" s="63">
        <f t="shared" si="75"/>
        <v>10.247</v>
      </c>
      <c r="J610" s="106">
        <f>VLOOKUP(C610,'RAW DATA 2023'!E:BO,22,0)</f>
        <v>3.4778190476190476</v>
      </c>
      <c r="K610" s="70">
        <f t="shared" si="78"/>
        <v>0.33939875550102933</v>
      </c>
      <c r="L610" s="72">
        <f t="shared" si="76"/>
        <v>3.4778190476190476</v>
      </c>
      <c r="M610" s="109">
        <f t="shared" si="80"/>
        <v>-2.1413499266529423</v>
      </c>
      <c r="N610" s="123" t="str">
        <f>VLOOKUP(C610,'RAW DATA 2023'!E:BO,36,0)</f>
        <v>ทยอยตาย</v>
      </c>
      <c r="O610" s="63">
        <f>VLOOKUP(C610,'RAW DATA 2023'!E:BO,2,0)</f>
        <v>2.1</v>
      </c>
      <c r="P610" s="322">
        <f t="shared" si="79"/>
        <v>-4.4968348459711791</v>
      </c>
    </row>
    <row r="611" spans="1:16">
      <c r="A611" s="63" t="str">
        <f>'RAW DATA 2023'!B604</f>
        <v>Lucky1</v>
      </c>
      <c r="B611" s="63" t="str">
        <f>'RAW DATA 2023'!D604</f>
        <v>BG-028-0011</v>
      </c>
      <c r="C611" s="63" t="str">
        <f t="shared" si="73"/>
        <v>Lucky1BG-028-0011</v>
      </c>
      <c r="D611" s="68">
        <f>VLOOKUP(C611,'RAW DATA 2023'!E:BP,63,0)</f>
        <v>2</v>
      </c>
      <c r="E611" s="68" t="str">
        <f t="shared" si="74"/>
        <v>Lucky12</v>
      </c>
      <c r="F611" s="63" t="str">
        <f>VLOOKUP(C611,'RAW DATA 2023'!E:BO,5,0)</f>
        <v>Greenhouse</v>
      </c>
      <c r="G611" s="63">
        <f>VLOOKUP(C611,'RAW DATA 2023'!E:BO,13,0)</f>
        <v>170</v>
      </c>
      <c r="H611" s="63">
        <f t="shared" si="77"/>
        <v>180</v>
      </c>
      <c r="I611" s="63">
        <f t="shared" si="75"/>
        <v>10.247</v>
      </c>
      <c r="J611" s="106">
        <f>VLOOKUP(C611,'RAW DATA 2023'!E:BO,22,0)</f>
        <v>4.0879190476190468</v>
      </c>
      <c r="K611" s="70">
        <f t="shared" si="78"/>
        <v>0.39893813287977425</v>
      </c>
      <c r="L611" s="72">
        <f t="shared" si="76"/>
        <v>4.0879190476190468</v>
      </c>
      <c r="M611" s="109">
        <f t="shared" si="80"/>
        <v>-1.3474915616030101</v>
      </c>
      <c r="N611" s="123" t="str">
        <f>VLOOKUP(C611,'RAW DATA 2023'!E:BO,36,0)</f>
        <v>Normal</v>
      </c>
      <c r="O611" s="63">
        <f>VLOOKUP(C611,'RAW DATA 2023'!E:BO,2,0)</f>
        <v>2.1</v>
      </c>
      <c r="P611" s="322">
        <f t="shared" si="79"/>
        <v>-2.8297322793663211</v>
      </c>
    </row>
    <row r="612" spans="1:16">
      <c r="A612" s="63" t="str">
        <f>'RAW DATA 2023'!B605</f>
        <v>Lucky1</v>
      </c>
      <c r="B612" s="63" t="str">
        <f>'RAW DATA 2023'!D605</f>
        <v>BG-027-0010</v>
      </c>
      <c r="C612" s="63" t="str">
        <f t="shared" si="73"/>
        <v>Lucky1BG-027-0010</v>
      </c>
      <c r="D612" s="68">
        <f>VLOOKUP(C612,'RAW DATA 2023'!E:BP,63,0)</f>
        <v>2</v>
      </c>
      <c r="E612" s="68" t="str">
        <f t="shared" si="74"/>
        <v>Lucky12</v>
      </c>
      <c r="F612" s="63" t="str">
        <f>VLOOKUP(C612,'RAW DATA 2023'!E:BO,5,0)</f>
        <v>Greenhouse</v>
      </c>
      <c r="G612" s="63">
        <f>VLOOKUP(C612,'RAW DATA 2023'!E:BO,13,0)</f>
        <v>136</v>
      </c>
      <c r="H612" s="63">
        <f t="shared" si="77"/>
        <v>150</v>
      </c>
      <c r="I612" s="63">
        <f t="shared" si="75"/>
        <v>9.1999999999999993</v>
      </c>
      <c r="J612" s="106">
        <f>VLOOKUP(C612,'RAW DATA 2023'!E:BO,22,0)</f>
        <v>6.1906333333333334</v>
      </c>
      <c r="K612" s="70">
        <f t="shared" si="78"/>
        <v>0.67289492753623192</v>
      </c>
      <c r="L612" s="72">
        <f t="shared" si="76"/>
        <v>6.1906333333333334</v>
      </c>
      <c r="M612" s="109">
        <f t="shared" si="80"/>
        <v>2.3052657004830923</v>
      </c>
      <c r="N612" s="123" t="str">
        <f>VLOOKUP(C612,'RAW DATA 2023'!E:BO,36,0)</f>
        <v>Normal</v>
      </c>
      <c r="O612" s="63">
        <f>VLOOKUP(C612,'RAW DATA 2023'!E:BO,2,0)</f>
        <v>2.1</v>
      </c>
      <c r="P612" s="322">
        <f t="shared" si="79"/>
        <v>4.8410579710144939</v>
      </c>
    </row>
    <row r="613" spans="1:16">
      <c r="A613" s="63" t="str">
        <f>'RAW DATA 2023'!B606</f>
        <v>Lucky1</v>
      </c>
      <c r="B613" s="63" t="str">
        <f>'RAW DATA 2023'!D606</f>
        <v>BG-028-0013</v>
      </c>
      <c r="C613" s="63" t="str">
        <f t="shared" si="73"/>
        <v>Lucky1BG-028-0013</v>
      </c>
      <c r="D613" s="68">
        <f>VLOOKUP(C613,'RAW DATA 2023'!E:BP,63,0)</f>
        <v>9</v>
      </c>
      <c r="E613" s="68" t="str">
        <f t="shared" si="74"/>
        <v>Lucky19</v>
      </c>
      <c r="F613" s="63" t="str">
        <f>VLOOKUP(C613,'RAW DATA 2023'!E:BO,5,0)</f>
        <v>Greenhouse</v>
      </c>
      <c r="G613" s="63">
        <f>VLOOKUP(C613,'RAW DATA 2023'!E:BO,13,0)</f>
        <v>170</v>
      </c>
      <c r="H613" s="63">
        <f t="shared" si="77"/>
        <v>180</v>
      </c>
      <c r="I613" s="63">
        <f t="shared" si="75"/>
        <v>10.247</v>
      </c>
      <c r="J613" s="106">
        <f>VLOOKUP(C613,'RAW DATA 2023'!E:BO,22,0)</f>
        <v>6.0682380952380948</v>
      </c>
      <c r="K613" s="70">
        <f t="shared" si="78"/>
        <v>0.59219655462458232</v>
      </c>
      <c r="L613" s="72">
        <f t="shared" si="76"/>
        <v>6.0682380952380948</v>
      </c>
      <c r="M613" s="109">
        <f t="shared" si="80"/>
        <v>1.229287394994431</v>
      </c>
      <c r="N613" s="123" t="str">
        <f>VLOOKUP(C613,'RAW DATA 2023'!E:BO,36,0)</f>
        <v>EHP</v>
      </c>
      <c r="O613" s="63">
        <f>VLOOKUP(C613,'RAW DATA 2023'!E:BO,2,0)</f>
        <v>2.1</v>
      </c>
      <c r="P613" s="322">
        <f t="shared" si="79"/>
        <v>2.5815035294883053</v>
      </c>
    </row>
    <row r="614" spans="1:16">
      <c r="A614" s="63" t="str">
        <f>'RAW DATA 2023'!B607</f>
        <v>Lucky1</v>
      </c>
      <c r="B614" s="63" t="str">
        <f>'RAW DATA 2023'!D607</f>
        <v>B1-015-0007</v>
      </c>
      <c r="C614" s="63" t="str">
        <f t="shared" si="73"/>
        <v>Lucky1B1-015-0007</v>
      </c>
      <c r="D614" s="68">
        <f>VLOOKUP(C614,'RAW DATA 2023'!E:BP,63,0)</f>
        <v>5</v>
      </c>
      <c r="E614" s="68" t="str">
        <f t="shared" si="74"/>
        <v>Lucky15</v>
      </c>
      <c r="F614" s="63" t="str">
        <f>VLOOKUP(C614,'RAW DATA 2023'!E:BO,5,0)</f>
        <v>Outdoor</v>
      </c>
      <c r="G614" s="63">
        <f>VLOOKUP(C614,'RAW DATA 2023'!E:BO,13,0)</f>
        <v>119</v>
      </c>
      <c r="H614" s="63">
        <f t="shared" si="77"/>
        <v>100</v>
      </c>
      <c r="I614" s="63">
        <f t="shared" si="75"/>
        <v>6.806</v>
      </c>
      <c r="J614" s="106">
        <f>VLOOKUP(C614,'RAW DATA 2023'!E:BO,22,0)</f>
        <v>8.2567999999999984</v>
      </c>
      <c r="K614" s="70">
        <f t="shared" si="78"/>
        <v>1.2131648545401115</v>
      </c>
      <c r="L614" s="72">
        <f t="shared" si="76"/>
        <v>8.2567999999999984</v>
      </c>
      <c r="M614" s="109">
        <f t="shared" si="80"/>
        <v>9.5088647272014875</v>
      </c>
      <c r="N614" s="123" t="str">
        <f>VLOOKUP(C614,'RAW DATA 2023'!E:BO,36,0)</f>
        <v>ทยอยตาย</v>
      </c>
      <c r="O614" s="63">
        <f>VLOOKUP(C614,'RAW DATA 2023'!E:BO,2,0)</f>
        <v>2.1</v>
      </c>
      <c r="P614" s="322">
        <f t="shared" si="79"/>
        <v>19.968615927123125</v>
      </c>
    </row>
    <row r="615" spans="1:16">
      <c r="A615" s="63" t="str">
        <f>'RAW DATA 2023'!B608</f>
        <v>Lucky1</v>
      </c>
      <c r="B615" s="63" t="str">
        <f>'RAW DATA 2023'!D608</f>
        <v>B1-017-0013</v>
      </c>
      <c r="C615" s="63" t="str">
        <f t="shared" si="73"/>
        <v>Lucky1B1-017-0013</v>
      </c>
      <c r="D615" s="68">
        <f>VLOOKUP(C615,'RAW DATA 2023'!E:BP,63,0)</f>
        <v>5</v>
      </c>
      <c r="E615" s="68" t="str">
        <f t="shared" si="74"/>
        <v>Lucky15</v>
      </c>
      <c r="F615" s="63" t="str">
        <f>VLOOKUP(C615,'RAW DATA 2023'!E:BO,5,0)</f>
        <v>Outdoor</v>
      </c>
      <c r="G615" s="63">
        <f>VLOOKUP(C615,'RAW DATA 2023'!E:BO,13,0)</f>
        <v>136</v>
      </c>
      <c r="H615" s="63">
        <f t="shared" si="77"/>
        <v>150</v>
      </c>
      <c r="I615" s="63">
        <f t="shared" si="75"/>
        <v>9.1999999999999993</v>
      </c>
      <c r="J615" s="106">
        <f>VLOOKUP(C615,'RAW DATA 2023'!E:BO,22,0)</f>
        <v>7.9766904761904751</v>
      </c>
      <c r="K615" s="70">
        <f t="shared" si="78"/>
        <v>0.86703157349896476</v>
      </c>
      <c r="L615" s="72">
        <f t="shared" si="76"/>
        <v>7.9766904761904751</v>
      </c>
      <c r="M615" s="109">
        <f t="shared" si="80"/>
        <v>4.8937543133195307</v>
      </c>
      <c r="N615" s="123" t="str">
        <f>VLOOKUP(C615,'RAW DATA 2023'!E:BO,36,0)</f>
        <v>ทยอยตาย</v>
      </c>
      <c r="O615" s="63">
        <f>VLOOKUP(C615,'RAW DATA 2023'!E:BO,2,0)</f>
        <v>2.1</v>
      </c>
      <c r="P615" s="322">
        <f t="shared" si="79"/>
        <v>10.276884057971015</v>
      </c>
    </row>
    <row r="616" spans="1:16">
      <c r="A616" s="63" t="str">
        <f>'RAW DATA 2023'!B609</f>
        <v>Lucky1</v>
      </c>
      <c r="B616" s="63" t="str">
        <f>'RAW DATA 2023'!D609</f>
        <v>B1-020-0010</v>
      </c>
      <c r="C616" s="63" t="str">
        <f t="shared" si="73"/>
        <v>Lucky1B1-020-0010</v>
      </c>
      <c r="D616" s="68">
        <f>VLOOKUP(C616,'RAW DATA 2023'!E:BP,63,0)</f>
        <v>2</v>
      </c>
      <c r="E616" s="68" t="str">
        <f t="shared" si="74"/>
        <v>Lucky12</v>
      </c>
      <c r="F616" s="63" t="str">
        <f>VLOOKUP(C616,'RAW DATA 2023'!E:BO,5,0)</f>
        <v>Outdoor</v>
      </c>
      <c r="G616" s="63">
        <f>VLOOKUP(C616,'RAW DATA 2023'!E:BO,13,0)</f>
        <v>94</v>
      </c>
      <c r="H616" s="63">
        <f t="shared" si="77"/>
        <v>100</v>
      </c>
      <c r="I616" s="63">
        <f t="shared" si="75"/>
        <v>6.806</v>
      </c>
      <c r="J616" s="106">
        <f>VLOOKUP(C616,'RAW DATA 2023'!E:BO,22,0)</f>
        <v>8.0651952380952388</v>
      </c>
      <c r="K616" s="70">
        <f t="shared" si="78"/>
        <v>1.1850125239634497</v>
      </c>
      <c r="L616" s="72">
        <f t="shared" si="76"/>
        <v>8.0651952380952388</v>
      </c>
      <c r="M616" s="109">
        <f t="shared" si="80"/>
        <v>9.1335003195126632</v>
      </c>
      <c r="N616" s="123" t="str">
        <f>VLOOKUP(C616,'RAW DATA 2023'!E:BO,36,0)</f>
        <v>Normal</v>
      </c>
      <c r="O616" s="63">
        <f>VLOOKUP(C616,'RAW DATA 2023'!E:BO,2,0)</f>
        <v>2.1</v>
      </c>
      <c r="P616" s="322">
        <f t="shared" si="79"/>
        <v>19.180350670976594</v>
      </c>
    </row>
    <row r="617" spans="1:16">
      <c r="A617" s="63" t="str">
        <f>'RAW DATA 2023'!B610</f>
        <v>Lucky1</v>
      </c>
      <c r="B617" s="63" t="str">
        <f>'RAW DATA 2023'!D610</f>
        <v>B1-019-0012</v>
      </c>
      <c r="C617" s="63" t="str">
        <f t="shared" si="73"/>
        <v>Lucky1B1-019-0012</v>
      </c>
      <c r="D617" s="68">
        <f>VLOOKUP(C617,'RAW DATA 2023'!E:BP,63,0)</f>
        <v>2</v>
      </c>
      <c r="E617" s="68" t="str">
        <f t="shared" si="74"/>
        <v>Lucky12</v>
      </c>
      <c r="F617" s="63" t="str">
        <f>VLOOKUP(C617,'RAW DATA 2023'!E:BO,5,0)</f>
        <v>Outdoor</v>
      </c>
      <c r="G617" s="63">
        <f>VLOOKUP(C617,'RAW DATA 2023'!E:BO,13,0)</f>
        <v>94</v>
      </c>
      <c r="H617" s="63">
        <f t="shared" si="77"/>
        <v>100</v>
      </c>
      <c r="I617" s="63">
        <f t="shared" si="75"/>
        <v>6.806</v>
      </c>
      <c r="J617" s="106">
        <f>VLOOKUP(C617,'RAW DATA 2023'!E:BO,22,0)</f>
        <v>7.4811571428571426</v>
      </c>
      <c r="K617" s="70">
        <f t="shared" si="78"/>
        <v>1.099200285462407</v>
      </c>
      <c r="L617" s="72">
        <f t="shared" si="76"/>
        <v>7.4811571428571426</v>
      </c>
      <c r="M617" s="109">
        <f t="shared" si="80"/>
        <v>7.98933713949876</v>
      </c>
      <c r="N617" s="123" t="str">
        <f>VLOOKUP(C617,'RAW DATA 2023'!E:BO,36,0)</f>
        <v>EHP</v>
      </c>
      <c r="O617" s="63">
        <f>VLOOKUP(C617,'RAW DATA 2023'!E:BO,2,0)</f>
        <v>2.1</v>
      </c>
      <c r="P617" s="322">
        <f t="shared" si="79"/>
        <v>16.777607992947395</v>
      </c>
    </row>
    <row r="618" spans="1:16">
      <c r="A618" s="63" t="str">
        <f>'RAW DATA 2023'!B611</f>
        <v>Lucky1</v>
      </c>
      <c r="B618" s="63" t="str">
        <f>'RAW DATA 2023'!D611</f>
        <v>B1-021-0013</v>
      </c>
      <c r="C618" s="63" t="str">
        <f t="shared" si="73"/>
        <v>Lucky1B1-021-0013</v>
      </c>
      <c r="D618" s="68">
        <f>VLOOKUP(C618,'RAW DATA 2023'!E:BP,63,0)</f>
        <v>2</v>
      </c>
      <c r="E618" s="68" t="str">
        <f t="shared" si="74"/>
        <v>Lucky12</v>
      </c>
      <c r="F618" s="63" t="str">
        <f>VLOOKUP(C618,'RAW DATA 2023'!E:BO,5,0)</f>
        <v>Outdoor</v>
      </c>
      <c r="G618" s="63">
        <f>VLOOKUP(C618,'RAW DATA 2023'!E:BO,13,0)</f>
        <v>94</v>
      </c>
      <c r="H618" s="63">
        <f t="shared" si="77"/>
        <v>100</v>
      </c>
      <c r="I618" s="63">
        <f t="shared" si="75"/>
        <v>6.806</v>
      </c>
      <c r="J618" s="106">
        <f>VLOOKUP(C618,'RAW DATA 2023'!E:BO,22,0)</f>
        <v>8.5767904761904763</v>
      </c>
      <c r="K618" s="70">
        <f t="shared" si="78"/>
        <v>1.2601807928578426</v>
      </c>
      <c r="L618" s="72">
        <f t="shared" si="76"/>
        <v>8.5767904761904763</v>
      </c>
      <c r="M618" s="109">
        <f t="shared" si="80"/>
        <v>10.135743904771235</v>
      </c>
      <c r="N618" s="123" t="str">
        <f>VLOOKUP(C618,'RAW DATA 2023'!E:BO,36,0)</f>
        <v>Normal</v>
      </c>
      <c r="O618" s="63">
        <f>VLOOKUP(C618,'RAW DATA 2023'!E:BO,2,0)</f>
        <v>2.1</v>
      </c>
      <c r="P618" s="322">
        <f t="shared" si="79"/>
        <v>21.285062200019595</v>
      </c>
    </row>
    <row r="619" spans="1:16">
      <c r="A619" s="63" t="str">
        <f>'RAW DATA 2023'!B612</f>
        <v>Lucky1</v>
      </c>
      <c r="B619" s="63" t="str">
        <f>'RAW DATA 2023'!D612</f>
        <v>B1-018-0011</v>
      </c>
      <c r="C619" s="63" t="str">
        <f t="shared" si="73"/>
        <v>Lucky1B1-018-0011</v>
      </c>
      <c r="D619" s="68">
        <f>VLOOKUP(C619,'RAW DATA 2023'!E:BP,63,0)</f>
        <v>2</v>
      </c>
      <c r="E619" s="68" t="str">
        <f t="shared" si="74"/>
        <v>Lucky12</v>
      </c>
      <c r="F619" s="63" t="str">
        <f>VLOOKUP(C619,'RAW DATA 2023'!E:BO,5,0)</f>
        <v>Outdoor</v>
      </c>
      <c r="G619" s="63">
        <f>VLOOKUP(C619,'RAW DATA 2023'!E:BO,13,0)</f>
        <v>94</v>
      </c>
      <c r="H619" s="63">
        <f t="shared" si="77"/>
        <v>100</v>
      </c>
      <c r="I619" s="63">
        <f t="shared" si="75"/>
        <v>6.806</v>
      </c>
      <c r="J619" s="106">
        <f>VLOOKUP(C619,'RAW DATA 2023'!E:BO,22,0)</f>
        <v>7.0477333333333334</v>
      </c>
      <c r="K619" s="70">
        <f t="shared" si="78"/>
        <v>1.0355176804780095</v>
      </c>
      <c r="L619" s="72">
        <f t="shared" si="76"/>
        <v>7.0477333333333334</v>
      </c>
      <c r="M619" s="109">
        <f t="shared" si="80"/>
        <v>7.1402357397067941</v>
      </c>
      <c r="N619" s="123" t="str">
        <f>VLOOKUP(C619,'RAW DATA 2023'!E:BO,36,0)</f>
        <v>Normal</v>
      </c>
      <c r="O619" s="63">
        <f>VLOOKUP(C619,'RAW DATA 2023'!E:BO,2,0)</f>
        <v>2.1</v>
      </c>
      <c r="P619" s="322">
        <f t="shared" si="79"/>
        <v>14.994495053384268</v>
      </c>
    </row>
    <row r="620" spans="1:16">
      <c r="A620" s="63" t="str">
        <f>'RAW DATA 2023'!B613</f>
        <v>Lucky1</v>
      </c>
      <c r="B620" s="63" t="str">
        <f>'RAW DATA 2023'!D613</f>
        <v>B1-016-0004</v>
      </c>
      <c r="C620" s="63" t="str">
        <f t="shared" si="73"/>
        <v>Lucky1B1-016-0004</v>
      </c>
      <c r="D620" s="68">
        <f>VLOOKUP(C620,'RAW DATA 2023'!E:BP,63,0)</f>
        <v>5</v>
      </c>
      <c r="E620" s="68" t="str">
        <f t="shared" si="74"/>
        <v>Lucky15</v>
      </c>
      <c r="F620" s="63" t="str">
        <f>VLOOKUP(C620,'RAW DATA 2023'!E:BO,5,0)</f>
        <v>Outdoor</v>
      </c>
      <c r="G620" s="63">
        <f>VLOOKUP(C620,'RAW DATA 2023'!E:BO,13,0)</f>
        <v>119</v>
      </c>
      <c r="H620" s="63">
        <f t="shared" si="77"/>
        <v>100</v>
      </c>
      <c r="I620" s="63">
        <f t="shared" si="75"/>
        <v>6.806</v>
      </c>
      <c r="J620" s="106">
        <f>VLOOKUP(C620,'RAW DATA 2023'!E:BO,22,0)</f>
        <v>6.9942761904761896</v>
      </c>
      <c r="K620" s="70">
        <f t="shared" si="78"/>
        <v>1.0276632663056406</v>
      </c>
      <c r="L620" s="72">
        <f t="shared" si="76"/>
        <v>6.9942761904761896</v>
      </c>
      <c r="M620" s="109">
        <f t="shared" si="80"/>
        <v>7.0355102174085422</v>
      </c>
      <c r="N620" s="123" t="str">
        <f>VLOOKUP(C620,'RAW DATA 2023'!E:BO,36,0)</f>
        <v>EHP</v>
      </c>
      <c r="O620" s="63">
        <f>VLOOKUP(C620,'RAW DATA 2023'!E:BO,2,0)</f>
        <v>2.1</v>
      </c>
      <c r="P620" s="322">
        <f t="shared" si="79"/>
        <v>14.77457145655794</v>
      </c>
    </row>
    <row r="621" spans="1:16">
      <c r="A621" s="63" t="str">
        <f>'RAW DATA 2023'!B614</f>
        <v>Lucky1</v>
      </c>
      <c r="B621" s="63" t="str">
        <f>'RAW DATA 2023'!D614</f>
        <v>B1-022-0010</v>
      </c>
      <c r="C621" s="63" t="str">
        <f t="shared" si="73"/>
        <v>Lucky1B1-022-0010</v>
      </c>
      <c r="D621" s="68">
        <f>VLOOKUP(C621,'RAW DATA 2023'!E:BP,63,0)</f>
        <v>2</v>
      </c>
      <c r="E621" s="68" t="str">
        <f t="shared" si="74"/>
        <v>Lucky12</v>
      </c>
      <c r="F621" s="63" t="str">
        <f>VLOOKUP(C621,'RAW DATA 2023'!E:BO,5,0)</f>
        <v>Outdoor</v>
      </c>
      <c r="G621" s="63">
        <f>VLOOKUP(C621,'RAW DATA 2023'!E:BO,13,0)</f>
        <v>94</v>
      </c>
      <c r="H621" s="63">
        <f t="shared" si="77"/>
        <v>100</v>
      </c>
      <c r="I621" s="63">
        <f t="shared" si="75"/>
        <v>6.806</v>
      </c>
      <c r="J621" s="106">
        <f>VLOOKUP(C621,'RAW DATA 2023'!E:BO,22,0)</f>
        <v>5.9935857142857136</v>
      </c>
      <c r="K621" s="70">
        <f t="shared" si="78"/>
        <v>0.8806326350698962</v>
      </c>
      <c r="L621" s="72">
        <f t="shared" si="76"/>
        <v>5.9935857142857136</v>
      </c>
      <c r="M621" s="109">
        <f t="shared" si="80"/>
        <v>5.0751018009319493</v>
      </c>
      <c r="N621" s="123" t="str">
        <f>VLOOKUP(C621,'RAW DATA 2023'!E:BO,36,0)</f>
        <v>EHP</v>
      </c>
      <c r="O621" s="63">
        <f>VLOOKUP(C621,'RAW DATA 2023'!E:BO,2,0)</f>
        <v>2.1</v>
      </c>
      <c r="P621" s="322">
        <f t="shared" si="79"/>
        <v>10.657713781957094</v>
      </c>
    </row>
    <row r="622" spans="1:16">
      <c r="A622" s="63" t="str">
        <f>'RAW DATA 2023'!B615</f>
        <v>Lucky1</v>
      </c>
      <c r="B622" s="63" t="str">
        <f>'RAW DATA 2023'!D615</f>
        <v>B1-017-0012</v>
      </c>
      <c r="C622" s="63" t="str">
        <f t="shared" si="73"/>
        <v>Lucky1B1-017-0012</v>
      </c>
      <c r="D622" s="68">
        <f>VLOOKUP(C622,'RAW DATA 2023'!E:BP,63,0)</f>
        <v>1</v>
      </c>
      <c r="E622" s="68" t="str">
        <f t="shared" si="74"/>
        <v>Lucky11</v>
      </c>
      <c r="F622" s="63" t="str">
        <f>VLOOKUP(C622,'RAW DATA 2023'!E:BO,5,0)</f>
        <v>Outdoor</v>
      </c>
      <c r="G622" s="63">
        <f>VLOOKUP(C622,'RAW DATA 2023'!E:BO,13,0)</f>
        <v>94</v>
      </c>
      <c r="H622" s="63">
        <f t="shared" si="77"/>
        <v>100</v>
      </c>
      <c r="I622" s="63">
        <f t="shared" si="75"/>
        <v>6.806</v>
      </c>
      <c r="J622" s="106">
        <f>VLOOKUP(C622,'RAW DATA 2023'!E:BO,22,0)</f>
        <v>5.0198476190476189</v>
      </c>
      <c r="K622" s="70">
        <f t="shared" si="78"/>
        <v>0.73756209507017612</v>
      </c>
      <c r="L622" s="72">
        <f t="shared" si="76"/>
        <v>5.0198476190476189</v>
      </c>
      <c r="M622" s="109">
        <f t="shared" si="80"/>
        <v>3.1674946009356817</v>
      </c>
      <c r="N622" s="123" t="str">
        <f>VLOOKUP(C622,'RAW DATA 2023'!E:BO,36,0)</f>
        <v>EHP</v>
      </c>
      <c r="O622" s="63">
        <f>VLOOKUP(C622,'RAW DATA 2023'!E:BO,2,0)</f>
        <v>2.1</v>
      </c>
      <c r="P622" s="322">
        <f t="shared" si="79"/>
        <v>6.6517386619649317</v>
      </c>
    </row>
    <row r="623" spans="1:16">
      <c r="A623" s="63" t="str">
        <f>'RAW DATA 2023'!B616</f>
        <v>Lucky1</v>
      </c>
      <c r="B623" s="63" t="str">
        <f>'RAW DATA 2023'!D616</f>
        <v>B1-024-0011</v>
      </c>
      <c r="C623" s="63" t="str">
        <f t="shared" si="73"/>
        <v>Lucky1B1-024-0011</v>
      </c>
      <c r="D623" s="68">
        <f>VLOOKUP(C623,'RAW DATA 2023'!E:BP,63,0)</f>
        <v>1</v>
      </c>
      <c r="E623" s="68" t="str">
        <f t="shared" si="74"/>
        <v>Lucky11</v>
      </c>
      <c r="F623" s="63" t="str">
        <f>VLOOKUP(C623,'RAW DATA 2023'!E:BO,5,0)</f>
        <v>Outdoor</v>
      </c>
      <c r="G623" s="63">
        <f>VLOOKUP(C623,'RAW DATA 2023'!E:BO,13,0)</f>
        <v>94</v>
      </c>
      <c r="H623" s="63">
        <f t="shared" si="77"/>
        <v>100</v>
      </c>
      <c r="I623" s="63">
        <f t="shared" si="75"/>
        <v>6.806</v>
      </c>
      <c r="J623" s="106">
        <f>VLOOKUP(C623,'RAW DATA 2023'!E:BO,22,0)</f>
        <v>5.1611761904761897</v>
      </c>
      <c r="K623" s="70">
        <f t="shared" si="78"/>
        <v>0.75832738619985152</v>
      </c>
      <c r="L623" s="72">
        <f t="shared" si="76"/>
        <v>5.1611761904761897</v>
      </c>
      <c r="M623" s="109">
        <f t="shared" si="80"/>
        <v>3.4443651493313538</v>
      </c>
      <c r="N623" s="123" t="str">
        <f>VLOOKUP(C623,'RAW DATA 2023'!E:BO,36,0)</f>
        <v>Normal</v>
      </c>
      <c r="O623" s="63">
        <f>VLOOKUP(C623,'RAW DATA 2023'!E:BO,2,0)</f>
        <v>2.1</v>
      </c>
      <c r="P623" s="322">
        <f t="shared" si="79"/>
        <v>7.2331668135958438</v>
      </c>
    </row>
    <row r="624" spans="1:16">
      <c r="A624" s="63" t="str">
        <f>'RAW DATA 2023'!B617</f>
        <v>Lucky1</v>
      </c>
      <c r="B624" s="63" t="str">
        <f>'RAW DATA 2023'!D617</f>
        <v>B1-021-0015</v>
      </c>
      <c r="C624" s="63" t="str">
        <f t="shared" si="73"/>
        <v>Lucky1B1-021-0015</v>
      </c>
      <c r="D624" s="68">
        <f>VLOOKUP(C624,'RAW DATA 2023'!E:BP,63,0)</f>
        <v>8</v>
      </c>
      <c r="E624" s="68" t="str">
        <f t="shared" si="74"/>
        <v>Lucky18</v>
      </c>
      <c r="F624" s="63" t="str">
        <f>VLOOKUP(C624,'RAW DATA 2023'!E:BO,5,0)</f>
        <v>Outdoor</v>
      </c>
      <c r="G624" s="63">
        <f>VLOOKUP(C624,'RAW DATA 2023'!E:BO,13,0)</f>
        <v>136</v>
      </c>
      <c r="H624" s="63">
        <f t="shared" si="77"/>
        <v>150</v>
      </c>
      <c r="I624" s="63">
        <f t="shared" si="75"/>
        <v>9.1999999999999993</v>
      </c>
      <c r="J624" s="106">
        <f>VLOOKUP(C624,'RAW DATA 2023'!E:BO,22,0)</f>
        <v>3.6465380952380952</v>
      </c>
      <c r="K624" s="70">
        <f t="shared" si="78"/>
        <v>0.39636283643892345</v>
      </c>
      <c r="L624" s="72">
        <f t="shared" si="76"/>
        <v>3.6465380952380952</v>
      </c>
      <c r="M624" s="109">
        <f t="shared" si="80"/>
        <v>-1.3818288474810208</v>
      </c>
      <c r="N624" s="123" t="str">
        <f>VLOOKUP(C624,'RAW DATA 2023'!E:BO,36,0)</f>
        <v>EHP</v>
      </c>
      <c r="O624" s="63">
        <f>VLOOKUP(C624,'RAW DATA 2023'!E:BO,2,0)</f>
        <v>2.1</v>
      </c>
      <c r="P624" s="322">
        <f t="shared" si="79"/>
        <v>-2.9018405797101439</v>
      </c>
    </row>
    <row r="625" spans="1:16">
      <c r="A625" s="63" t="str">
        <f>'RAW DATA 2023'!B618</f>
        <v>Lucky1</v>
      </c>
      <c r="B625" s="63" t="str">
        <f>'RAW DATA 2023'!D618</f>
        <v>B1-017-0014</v>
      </c>
      <c r="C625" s="63" t="str">
        <f t="shared" si="73"/>
        <v>Lucky1B1-017-0014</v>
      </c>
      <c r="D625" s="68">
        <f>VLOOKUP(C625,'RAW DATA 2023'!E:BP,63,0)</f>
        <v>9</v>
      </c>
      <c r="E625" s="68" t="str">
        <f t="shared" si="74"/>
        <v>Lucky19</v>
      </c>
      <c r="F625" s="63" t="str">
        <f>VLOOKUP(C625,'RAW DATA 2023'!E:BO,5,0)</f>
        <v>Outdoor</v>
      </c>
      <c r="G625" s="63">
        <f>VLOOKUP(C625,'RAW DATA 2023'!E:BO,13,0)</f>
        <v>170</v>
      </c>
      <c r="H625" s="63">
        <f t="shared" si="77"/>
        <v>180</v>
      </c>
      <c r="I625" s="63">
        <f t="shared" si="75"/>
        <v>10.247</v>
      </c>
      <c r="J625" s="106">
        <f>VLOOKUP(C625,'RAW DATA 2023'!E:BO,22,0)</f>
        <v>5.4556476190476193</v>
      </c>
      <c r="K625" s="70">
        <f t="shared" si="78"/>
        <v>0.53241413282400896</v>
      </c>
      <c r="L625" s="72">
        <f t="shared" si="76"/>
        <v>5.4556476190476193</v>
      </c>
      <c r="M625" s="109">
        <f t="shared" si="80"/>
        <v>0.43218843765345277</v>
      </c>
      <c r="N625" s="123" t="str">
        <f>VLOOKUP(C625,'RAW DATA 2023'!E:BO,36,0)</f>
        <v>EHP</v>
      </c>
      <c r="O625" s="63">
        <f>VLOOKUP(C625,'RAW DATA 2023'!E:BO,2,0)</f>
        <v>2.1</v>
      </c>
      <c r="P625" s="322">
        <f t="shared" si="79"/>
        <v>0.90759571907225089</v>
      </c>
    </row>
    <row r="626" spans="1:16">
      <c r="A626" s="63" t="str">
        <f>'RAW DATA 2023'!B619</f>
        <v>Lucky1</v>
      </c>
      <c r="B626" s="63" t="str">
        <f>'RAW DATA 2023'!D619</f>
        <v>B1-023-0013</v>
      </c>
      <c r="C626" s="63" t="str">
        <f t="shared" si="73"/>
        <v>Lucky1B1-023-0013</v>
      </c>
      <c r="D626" s="68">
        <f>VLOOKUP(C626,'RAW DATA 2023'!E:BP,63,0)</f>
        <v>1</v>
      </c>
      <c r="E626" s="68" t="str">
        <f t="shared" si="74"/>
        <v>Lucky11</v>
      </c>
      <c r="F626" s="63" t="str">
        <f>VLOOKUP(C626,'RAW DATA 2023'!E:BO,5,0)</f>
        <v>Outdoor</v>
      </c>
      <c r="G626" s="63">
        <f>VLOOKUP(C626,'RAW DATA 2023'!E:BO,13,0)</f>
        <v>136</v>
      </c>
      <c r="H626" s="63">
        <f t="shared" si="77"/>
        <v>150</v>
      </c>
      <c r="I626" s="63">
        <f t="shared" si="75"/>
        <v>9.1999999999999993</v>
      </c>
      <c r="J626" s="106">
        <f>VLOOKUP(C626,'RAW DATA 2023'!E:BO,22,0)</f>
        <v>3.6430809523809522</v>
      </c>
      <c r="K626" s="70">
        <f t="shared" si="78"/>
        <v>0.39598706004140788</v>
      </c>
      <c r="L626" s="72">
        <f t="shared" si="76"/>
        <v>3.6430809523809522</v>
      </c>
      <c r="M626" s="109">
        <f t="shared" si="80"/>
        <v>-1.386839199447895</v>
      </c>
      <c r="N626" s="123" t="str">
        <f>VLOOKUP(C626,'RAW DATA 2023'!E:BO,36,0)</f>
        <v>WSSV</v>
      </c>
      <c r="O626" s="63">
        <f>VLOOKUP(C626,'RAW DATA 2023'!E:BO,2,0)</f>
        <v>2.1</v>
      </c>
      <c r="P626" s="322">
        <f t="shared" si="79"/>
        <v>-2.9123623188405796</v>
      </c>
    </row>
    <row r="627" spans="1:16">
      <c r="A627" s="63" t="str">
        <f>'RAW DATA 2023'!B620</f>
        <v>Lucky1</v>
      </c>
      <c r="B627" s="63" t="str">
        <f>'RAW DATA 2023'!D620</f>
        <v>B1-019-0013</v>
      </c>
      <c r="C627" s="63" t="str">
        <f t="shared" si="73"/>
        <v>Lucky1B1-019-0013</v>
      </c>
      <c r="D627" s="68">
        <f>VLOOKUP(C627,'RAW DATA 2023'!E:BP,63,0)</f>
        <v>6</v>
      </c>
      <c r="E627" s="68" t="str">
        <f t="shared" si="74"/>
        <v>Lucky16</v>
      </c>
      <c r="F627" s="63" t="str">
        <f>VLOOKUP(C627,'RAW DATA 2023'!E:BO,5,0)</f>
        <v>Outdoor</v>
      </c>
      <c r="G627" s="63">
        <f>VLOOKUP(C627,'RAW DATA 2023'!E:BO,13,0)</f>
        <v>102</v>
      </c>
      <c r="H627" s="63">
        <f t="shared" si="77"/>
        <v>100</v>
      </c>
      <c r="I627" s="63">
        <f t="shared" si="75"/>
        <v>6.806</v>
      </c>
      <c r="J627" s="106">
        <f>VLOOKUP(C627,'RAW DATA 2023'!E:BO,22,0)</f>
        <v>1.667485714285714</v>
      </c>
      <c r="K627" s="70">
        <f t="shared" si="78"/>
        <v>0.24500230888711635</v>
      </c>
      <c r="L627" s="72">
        <f t="shared" si="76"/>
        <v>1.667485714285714</v>
      </c>
      <c r="M627" s="109">
        <f t="shared" si="80"/>
        <v>-3.3999692148384484</v>
      </c>
      <c r="N627" s="123" t="str">
        <f>VLOOKUP(C627,'RAW DATA 2023'!E:BO,36,0)</f>
        <v>EHP</v>
      </c>
      <c r="O627" s="63">
        <f>VLOOKUP(C627,'RAW DATA 2023'!E:BO,2,0)</f>
        <v>2.1</v>
      </c>
      <c r="P627" s="322">
        <f t="shared" si="79"/>
        <v>-7.1399353511607417</v>
      </c>
    </row>
    <row r="628" spans="1:16">
      <c r="A628" s="63" t="str">
        <f>'RAW DATA 2023'!B621</f>
        <v>Lucky1</v>
      </c>
      <c r="B628" s="63" t="str">
        <f>'RAW DATA 2023'!D621</f>
        <v>B1-021-0014</v>
      </c>
      <c r="C628" s="63" t="str">
        <f t="shared" si="73"/>
        <v>Lucky1B1-021-0014</v>
      </c>
      <c r="D628" s="68">
        <f>VLOOKUP(C628,'RAW DATA 2023'!E:BP,63,0)</f>
        <v>4</v>
      </c>
      <c r="E628" s="68" t="str">
        <f t="shared" si="74"/>
        <v>Lucky14</v>
      </c>
      <c r="F628" s="63" t="str">
        <f>VLOOKUP(C628,'RAW DATA 2023'!E:BO,5,0)</f>
        <v>Outdoor</v>
      </c>
      <c r="G628" s="63">
        <f>VLOOKUP(C628,'RAW DATA 2023'!E:BO,13,0)</f>
        <v>170</v>
      </c>
      <c r="H628" s="63">
        <f t="shared" si="77"/>
        <v>180</v>
      </c>
      <c r="I628" s="63">
        <f t="shared" si="75"/>
        <v>10.247</v>
      </c>
      <c r="J628" s="106">
        <f>VLOOKUP(C628,'RAW DATA 2023'!E:BO,22,0)</f>
        <v>2.7868952380952381</v>
      </c>
      <c r="K628" s="70">
        <f t="shared" si="78"/>
        <v>0.27197181985900637</v>
      </c>
      <c r="L628" s="72">
        <f t="shared" si="76"/>
        <v>2.7868952380952381</v>
      </c>
      <c r="M628" s="109">
        <f t="shared" si="80"/>
        <v>-3.0403757352132486</v>
      </c>
      <c r="N628" s="123" t="str">
        <f>VLOOKUP(C628,'RAW DATA 2023'!E:BO,36,0)</f>
        <v>EHP</v>
      </c>
      <c r="O628" s="63">
        <f>VLOOKUP(C628,'RAW DATA 2023'!E:BO,2,0)</f>
        <v>2.1</v>
      </c>
      <c r="P628" s="322">
        <f t="shared" si="79"/>
        <v>-6.3847890439478219</v>
      </c>
    </row>
    <row r="629" spans="1:16">
      <c r="A629" s="63" t="str">
        <f>'RAW DATA 2023'!B622</f>
        <v>Lucky1</v>
      </c>
      <c r="B629" s="63" t="str">
        <f>'RAW DATA 2023'!D622</f>
        <v>B1-020-0011</v>
      </c>
      <c r="C629" s="63" t="str">
        <f t="shared" si="73"/>
        <v>Lucky1B1-020-0011</v>
      </c>
      <c r="D629" s="68">
        <f>VLOOKUP(C629,'RAW DATA 2023'!E:BP,63,0)</f>
        <v>6</v>
      </c>
      <c r="E629" s="68" t="str">
        <f t="shared" si="74"/>
        <v>Lucky16</v>
      </c>
      <c r="F629" s="63" t="str">
        <f>VLOOKUP(C629,'RAW DATA 2023'!E:BO,5,0)</f>
        <v>Outdoor</v>
      </c>
      <c r="G629" s="63">
        <f>VLOOKUP(C629,'RAW DATA 2023'!E:BO,13,0)</f>
        <v>238</v>
      </c>
      <c r="H629" s="63">
        <f t="shared" si="77"/>
        <v>200</v>
      </c>
      <c r="I629" s="63">
        <f t="shared" si="75"/>
        <v>11.259</v>
      </c>
      <c r="J629" s="106">
        <f>VLOOKUP(C629,'RAW DATA 2023'!E:BO,22,0)</f>
        <v>3.2221761904761901</v>
      </c>
      <c r="K629" s="70">
        <f t="shared" si="78"/>
        <v>0.2861867120060565</v>
      </c>
      <c r="L629" s="72">
        <f t="shared" si="76"/>
        <v>3.2221761904761901</v>
      </c>
      <c r="M629" s="109">
        <f t="shared" si="80"/>
        <v>-2.8508438399192468</v>
      </c>
      <c r="N629" s="123" t="str">
        <f>VLOOKUP(C629,'RAW DATA 2023'!E:BO,36,0)</f>
        <v>EHP</v>
      </c>
      <c r="O629" s="63">
        <f>VLOOKUP(C629,'RAW DATA 2023'!E:BO,2,0)</f>
        <v>2.1</v>
      </c>
      <c r="P629" s="322">
        <f t="shared" si="79"/>
        <v>-5.9867720638304185</v>
      </c>
    </row>
    <row r="630" spans="1:16">
      <c r="A630" s="63" t="str">
        <f>'RAW DATA 2023'!B623</f>
        <v>Lucky1</v>
      </c>
      <c r="B630" s="63" t="str">
        <f>'RAW DATA 2023'!D623</f>
        <v>B1-018-0012</v>
      </c>
      <c r="C630" s="63" t="str">
        <f t="shared" si="73"/>
        <v>Lucky1B1-018-0012</v>
      </c>
      <c r="D630" s="68">
        <f>VLOOKUP(C630,'RAW DATA 2023'!E:BP,63,0)</f>
        <v>5</v>
      </c>
      <c r="E630" s="68" t="str">
        <f t="shared" si="74"/>
        <v>Lucky15</v>
      </c>
      <c r="F630" s="63" t="str">
        <f>VLOOKUP(C630,'RAW DATA 2023'!E:BO,5,0)</f>
        <v>Outdoor</v>
      </c>
      <c r="G630" s="63">
        <f>VLOOKUP(C630,'RAW DATA 2023'!E:BO,13,0)</f>
        <v>238</v>
      </c>
      <c r="H630" s="63">
        <f t="shared" si="77"/>
        <v>200</v>
      </c>
      <c r="I630" s="63">
        <f t="shared" si="75"/>
        <v>11.259</v>
      </c>
      <c r="J630" s="106">
        <f>VLOOKUP(C630,'RAW DATA 2023'!E:BO,22,0)</f>
        <v>0</v>
      </c>
      <c r="K630" s="70">
        <f t="shared" si="78"/>
        <v>0</v>
      </c>
      <c r="L630" s="72">
        <f t="shared" si="76"/>
        <v>0</v>
      </c>
      <c r="M630" s="109">
        <f t="shared" si="80"/>
        <v>-6.666666666666667</v>
      </c>
      <c r="N630" s="123" t="str">
        <f>VLOOKUP(C630,'RAW DATA 2023'!E:BO,36,0)</f>
        <v>EHP</v>
      </c>
      <c r="O630" s="63">
        <f>VLOOKUP(C630,'RAW DATA 2023'!E:BO,2,0)</f>
        <v>2.1</v>
      </c>
      <c r="P630" s="322">
        <f t="shared" si="79"/>
        <v>-14.000000000000002</v>
      </c>
    </row>
    <row r="631" spans="1:16">
      <c r="A631" s="63" t="str">
        <f>'RAW DATA 2023'!B624</f>
        <v>Kamong</v>
      </c>
      <c r="B631" s="63" t="str">
        <f>'RAW DATA 2023'!D624</f>
        <v>AG-031-0013</v>
      </c>
      <c r="C631" s="63" t="str">
        <f t="shared" si="73"/>
        <v>KamongAG-031-0013</v>
      </c>
      <c r="D631" s="68">
        <f>VLOOKUP(C631,'RAW DATA 2023'!E:BP,63,0)</f>
        <v>9</v>
      </c>
      <c r="E631" s="68" t="str">
        <f t="shared" si="74"/>
        <v>Kamong9</v>
      </c>
      <c r="F631" s="63" t="str">
        <f>VLOOKUP(C631,'RAW DATA 2023'!E:BO,5,0)</f>
        <v>Greenhouse</v>
      </c>
      <c r="G631" s="63">
        <f>VLOOKUP(C631,'RAW DATA 2023'!E:BO,13,0)</f>
        <v>126</v>
      </c>
      <c r="H631" s="63">
        <f t="shared" si="77"/>
        <v>100</v>
      </c>
      <c r="I631" s="63">
        <f t="shared" si="75"/>
        <v>0</v>
      </c>
      <c r="J631" s="106">
        <f>VLOOKUP(C631,'RAW DATA 2023'!E:BO,22,0)</f>
        <v>7.2612899999999998</v>
      </c>
      <c r="K631" s="70" t="e">
        <f t="shared" si="78"/>
        <v>#DIV/0!</v>
      </c>
      <c r="L631" s="72">
        <f t="shared" si="76"/>
        <v>7.2612899999999998</v>
      </c>
      <c r="M631" s="109" t="e">
        <f t="shared" si="80"/>
        <v>#DIV/0!</v>
      </c>
      <c r="N631" s="123" t="str">
        <f>VLOOKUP(C631,'RAW DATA 2023'!E:BO,36,0)</f>
        <v>Normal</v>
      </c>
      <c r="O631" s="63">
        <f>VLOOKUP(C631,'RAW DATA 2023'!E:BO,2,0)</f>
        <v>2</v>
      </c>
      <c r="P631" s="322" t="e">
        <f t="shared" si="79"/>
        <v>#DIV/0!</v>
      </c>
    </row>
    <row r="632" spans="1:16">
      <c r="A632" s="63" t="str">
        <f>'RAW DATA 2023'!B625</f>
        <v>Kamong</v>
      </c>
      <c r="B632" s="63" t="str">
        <f>'RAW DATA 2023'!D625</f>
        <v>AG-011-0009</v>
      </c>
      <c r="C632" s="63" t="str">
        <f t="shared" si="73"/>
        <v>KamongAG-011-0009</v>
      </c>
      <c r="D632" s="68">
        <f>VLOOKUP(C632,'RAW DATA 2023'!E:BP,63,0)</f>
        <v>9</v>
      </c>
      <c r="E632" s="68" t="str">
        <f t="shared" si="74"/>
        <v>Kamong9</v>
      </c>
      <c r="F632" s="63" t="str">
        <f>VLOOKUP(C632,'RAW DATA 2023'!E:BO,5,0)</f>
        <v>Greenhouse</v>
      </c>
      <c r="G632" s="63">
        <f>VLOOKUP(C632,'RAW DATA 2023'!E:BO,13,0)</f>
        <v>219</v>
      </c>
      <c r="H632" s="63">
        <f t="shared" si="77"/>
        <v>200</v>
      </c>
      <c r="I632" s="63">
        <f t="shared" si="75"/>
        <v>11.259</v>
      </c>
      <c r="J632" s="106">
        <f>VLOOKUP(C632,'RAW DATA 2023'!E:BO,22,0)</f>
        <v>11.353235</v>
      </c>
      <c r="K632" s="70">
        <f t="shared" si="78"/>
        <v>1.0083697486455279</v>
      </c>
      <c r="L632" s="72">
        <f t="shared" si="76"/>
        <v>11.353235</v>
      </c>
      <c r="M632" s="109">
        <f t="shared" si="80"/>
        <v>6.7782633152737048</v>
      </c>
      <c r="N632" s="123" t="str">
        <f>VLOOKUP(C632,'RAW DATA 2023'!E:BO,36,0)</f>
        <v>Normal</v>
      </c>
      <c r="O632" s="63">
        <f>VLOOKUP(C632,'RAW DATA 2023'!E:BO,2,0)</f>
        <v>2</v>
      </c>
      <c r="P632" s="322">
        <f t="shared" si="79"/>
        <v>13.55652663054741</v>
      </c>
    </row>
    <row r="633" spans="1:16">
      <c r="A633" s="63" t="str">
        <f>'RAW DATA 2023'!B626</f>
        <v>Kamong</v>
      </c>
      <c r="B633" s="63" t="str">
        <f>'RAW DATA 2023'!D626</f>
        <v>AG-031-0012</v>
      </c>
      <c r="C633" s="63" t="str">
        <f t="shared" si="73"/>
        <v>KamongAG-031-0012</v>
      </c>
      <c r="D633" s="68">
        <f>VLOOKUP(C633,'RAW DATA 2023'!E:BP,63,0)</f>
        <v>6</v>
      </c>
      <c r="E633" s="68" t="str">
        <f t="shared" si="74"/>
        <v>Kamong6</v>
      </c>
      <c r="F633" s="63" t="str">
        <f>VLOOKUP(C633,'RAW DATA 2023'!E:BO,5,0)</f>
        <v>Greenhouse</v>
      </c>
      <c r="G633" s="63">
        <f>VLOOKUP(C633,'RAW DATA 2023'!E:BO,13,0)</f>
        <v>250</v>
      </c>
      <c r="H633" s="63">
        <f t="shared" si="77"/>
        <v>200</v>
      </c>
      <c r="I633" s="63">
        <f t="shared" si="75"/>
        <v>11.259</v>
      </c>
      <c r="J633" s="106">
        <f>VLOOKUP(C633,'RAW DATA 2023'!E:BO,22,0)</f>
        <v>13.48485</v>
      </c>
      <c r="K633" s="70">
        <f t="shared" si="78"/>
        <v>1.19769517719158</v>
      </c>
      <c r="L633" s="72">
        <f t="shared" si="76"/>
        <v>13.48485</v>
      </c>
      <c r="M633" s="109">
        <f t="shared" si="80"/>
        <v>9.302602362554401</v>
      </c>
      <c r="N633" s="123" t="str">
        <f>VLOOKUP(C633,'RAW DATA 2023'!E:BO,36,0)</f>
        <v>Normal</v>
      </c>
      <c r="O633" s="63">
        <f>VLOOKUP(C633,'RAW DATA 2023'!E:BO,2,0)</f>
        <v>2</v>
      </c>
      <c r="P633" s="322">
        <f t="shared" si="79"/>
        <v>18.605204725108802</v>
      </c>
    </row>
    <row r="634" spans="1:16">
      <c r="A634" s="63" t="str">
        <f>'RAW DATA 2023'!B627</f>
        <v>Kamong</v>
      </c>
      <c r="B634" s="63" t="str">
        <f>'RAW DATA 2023'!D627</f>
        <v>C1-006-0031</v>
      </c>
      <c r="C634" s="63" t="str">
        <f t="shared" si="73"/>
        <v>KamongC1-006-0031</v>
      </c>
      <c r="D634" s="68">
        <f>VLOOKUP(C634,'RAW DATA 2023'!E:BP,63,0)</f>
        <v>8</v>
      </c>
      <c r="E634" s="68" t="str">
        <f t="shared" si="74"/>
        <v>Kamong8</v>
      </c>
      <c r="F634" s="63" t="str">
        <f>VLOOKUP(C634,'RAW DATA 2023'!E:BO,5,0)</f>
        <v>Outdoor</v>
      </c>
      <c r="G634" s="63">
        <f>VLOOKUP(C634,'RAW DATA 2023'!E:BO,13,0)</f>
        <v>220</v>
      </c>
      <c r="H634" s="63">
        <f t="shared" si="77"/>
        <v>200</v>
      </c>
      <c r="I634" s="63">
        <f t="shared" si="75"/>
        <v>11.259</v>
      </c>
      <c r="J634" s="106">
        <f>VLOOKUP(C634,'RAW DATA 2023'!E:BO,22,0)</f>
        <v>11.884479430379747</v>
      </c>
      <c r="K634" s="70">
        <f t="shared" si="78"/>
        <v>1.0555537286064256</v>
      </c>
      <c r="L634" s="72">
        <f t="shared" si="76"/>
        <v>11.884479430379747</v>
      </c>
      <c r="M634" s="109">
        <f t="shared" si="80"/>
        <v>7.4073830480856753</v>
      </c>
      <c r="N634" s="123" t="str">
        <f>VLOOKUP(C634,'RAW DATA 2023'!E:BO,36,0)</f>
        <v>EHP</v>
      </c>
      <c r="O634" s="63">
        <f>VLOOKUP(C634,'RAW DATA 2023'!E:BO,2,0)</f>
        <v>6.32</v>
      </c>
      <c r="P634" s="322">
        <f t="shared" si="79"/>
        <v>46.814660863901473</v>
      </c>
    </row>
    <row r="635" spans="1:16">
      <c r="A635" s="63" t="str">
        <f>'RAW DATA 2023'!B628</f>
        <v>Kamong</v>
      </c>
      <c r="B635" s="63" t="str">
        <f>'RAW DATA 2023'!D628</f>
        <v>C1-026-0043</v>
      </c>
      <c r="C635" s="63" t="str">
        <f t="shared" si="73"/>
        <v>KamongC1-026-0043</v>
      </c>
      <c r="D635" s="68">
        <f>VLOOKUP(C635,'RAW DATA 2023'!E:BP,63,0)</f>
        <v>12</v>
      </c>
      <c r="E635" s="68" t="str">
        <f t="shared" si="74"/>
        <v>Kamong12</v>
      </c>
      <c r="F635" s="63" t="str">
        <f>VLOOKUP(C635,'RAW DATA 2023'!E:BO,5,0)</f>
        <v>Outdoor</v>
      </c>
      <c r="G635" s="63">
        <f>VLOOKUP(C635,'RAW DATA 2023'!E:BO,13,0)</f>
        <v>104</v>
      </c>
      <c r="H635" s="63">
        <f t="shared" si="77"/>
        <v>100</v>
      </c>
      <c r="I635" s="63">
        <f t="shared" si="75"/>
        <v>6.806</v>
      </c>
      <c r="J635" s="106">
        <f>VLOOKUP(C635,'RAW DATA 2023'!E:BO,22,0)</f>
        <v>6.4132887499999995</v>
      </c>
      <c r="K635" s="70">
        <f t="shared" si="78"/>
        <v>0.94229925800764025</v>
      </c>
      <c r="L635" s="72">
        <f t="shared" si="76"/>
        <v>6.4132887499999995</v>
      </c>
      <c r="M635" s="109">
        <f t="shared" si="80"/>
        <v>5.8973234401018706</v>
      </c>
      <c r="N635" s="123" t="str">
        <f>VLOOKUP(C635,'RAW DATA 2023'!E:BO,36,0)</f>
        <v>Normal</v>
      </c>
      <c r="O635" s="63">
        <f>VLOOKUP(C635,'RAW DATA 2023'!E:BO,2,0)</f>
        <v>8</v>
      </c>
      <c r="P635" s="322">
        <f t="shared" si="79"/>
        <v>47.178587520814965</v>
      </c>
    </row>
    <row r="636" spans="1:16">
      <c r="A636" s="63" t="str">
        <f>'RAW DATA 2023'!B629</f>
        <v>Kamong</v>
      </c>
      <c r="B636" s="63" t="str">
        <f>'RAW DATA 2023'!D629</f>
        <v>C1-018-0018</v>
      </c>
      <c r="C636" s="63" t="str">
        <f t="shared" si="73"/>
        <v>KamongC1-018-0018</v>
      </c>
      <c r="D636" s="68">
        <f>VLOOKUP(C636,'RAW DATA 2023'!E:BP,63,0)</f>
        <v>5</v>
      </c>
      <c r="E636" s="68" t="str">
        <f t="shared" si="74"/>
        <v>Kamong5</v>
      </c>
      <c r="F636" s="63" t="str">
        <f>VLOOKUP(C636,'RAW DATA 2023'!E:BO,5,0)</f>
        <v>Outdoor</v>
      </c>
      <c r="G636" s="63">
        <f>VLOOKUP(C636,'RAW DATA 2023'!E:BO,13,0)</f>
        <v>91</v>
      </c>
      <c r="H636" s="63">
        <f t="shared" si="77"/>
        <v>100</v>
      </c>
      <c r="I636" s="63">
        <f t="shared" si="75"/>
        <v>6.806</v>
      </c>
      <c r="J636" s="106">
        <f>VLOOKUP(C636,'RAW DATA 2023'!E:BO,22,0)</f>
        <v>4.4905024390243913</v>
      </c>
      <c r="K636" s="70">
        <f t="shared" si="78"/>
        <v>0.65978584176085675</v>
      </c>
      <c r="L636" s="72">
        <f t="shared" si="76"/>
        <v>4.4905024390243913</v>
      </c>
      <c r="M636" s="109">
        <f t="shared" si="80"/>
        <v>2.130477890144757</v>
      </c>
      <c r="N636" s="123" t="str">
        <f>VLOOKUP(C636,'RAW DATA 2023'!E:BO,36,0)</f>
        <v>ทยอยตาย</v>
      </c>
      <c r="O636" s="63">
        <f>VLOOKUP(C636,'RAW DATA 2023'!E:BO,2,0)</f>
        <v>8.1999999999999993</v>
      </c>
      <c r="P636" s="322">
        <f t="shared" si="79"/>
        <v>17.469918699187005</v>
      </c>
    </row>
    <row r="637" spans="1:16">
      <c r="A637" s="63" t="str">
        <f>'RAW DATA 2023'!B630</f>
        <v>Kamong</v>
      </c>
      <c r="B637" s="63" t="str">
        <f>'RAW DATA 2023'!D630</f>
        <v>C1-006-0030</v>
      </c>
      <c r="C637" s="63" t="str">
        <f t="shared" si="73"/>
        <v>KamongC1-006-0030</v>
      </c>
      <c r="D637" s="68">
        <f>VLOOKUP(C637,'RAW DATA 2023'!E:BP,63,0)</f>
        <v>4</v>
      </c>
      <c r="E637" s="68" t="str">
        <f t="shared" si="74"/>
        <v>Kamong4</v>
      </c>
      <c r="F637" s="63" t="str">
        <f>VLOOKUP(C637,'RAW DATA 2023'!E:BO,5,0)</f>
        <v>Outdoor</v>
      </c>
      <c r="G637" s="63">
        <f>VLOOKUP(C637,'RAW DATA 2023'!E:BO,13,0)</f>
        <v>209</v>
      </c>
      <c r="H637" s="63">
        <f t="shared" si="77"/>
        <v>200</v>
      </c>
      <c r="I637" s="63">
        <f t="shared" si="75"/>
        <v>11.259</v>
      </c>
      <c r="J637" s="106">
        <f>VLOOKUP(C637,'RAW DATA 2023'!E:BO,22,0)</f>
        <v>12.451768987341771</v>
      </c>
      <c r="K637" s="70">
        <f t="shared" si="78"/>
        <v>1.1059391586590079</v>
      </c>
      <c r="L637" s="72">
        <f t="shared" si="76"/>
        <v>12.451768987341771</v>
      </c>
      <c r="M637" s="109">
        <f t="shared" si="80"/>
        <v>8.0791887821201058</v>
      </c>
      <c r="N637" s="123" t="str">
        <f>VLOOKUP(C637,'RAW DATA 2023'!E:BO,36,0)</f>
        <v>Normal</v>
      </c>
      <c r="O637" s="63">
        <f>VLOOKUP(C637,'RAW DATA 2023'!E:BO,2,0)</f>
        <v>6.32</v>
      </c>
      <c r="P637" s="322">
        <f t="shared" si="79"/>
        <v>51.060473102999069</v>
      </c>
    </row>
    <row r="638" spans="1:16">
      <c r="A638" s="63" t="str">
        <f>'RAW DATA 2023'!B631</f>
        <v>Kamong</v>
      </c>
      <c r="B638" s="63" t="str">
        <f>'RAW DATA 2023'!D631</f>
        <v>C1-024-0042</v>
      </c>
      <c r="C638" s="63" t="str">
        <f t="shared" si="73"/>
        <v>KamongC1-024-0042</v>
      </c>
      <c r="D638" s="68">
        <f>VLOOKUP(C638,'RAW DATA 2023'!E:BP,63,0)</f>
        <v>5</v>
      </c>
      <c r="E638" s="68" t="str">
        <f t="shared" si="74"/>
        <v>Kamong5</v>
      </c>
      <c r="F638" s="63" t="str">
        <f>VLOOKUP(C638,'RAW DATA 2023'!E:BO,5,0)</f>
        <v>Outdoor</v>
      </c>
      <c r="G638" s="63">
        <f>VLOOKUP(C638,'RAW DATA 2023'!E:BO,13,0)</f>
        <v>125</v>
      </c>
      <c r="H638" s="63">
        <f t="shared" si="77"/>
        <v>100</v>
      </c>
      <c r="I638" s="63">
        <f t="shared" si="75"/>
        <v>6.806</v>
      </c>
      <c r="J638" s="106">
        <f>VLOOKUP(C638,'RAW DATA 2023'!E:BO,22,0)</f>
        <v>3.7136262499999999</v>
      </c>
      <c r="K638" s="70">
        <f t="shared" si="78"/>
        <v>0.54564006024096379</v>
      </c>
      <c r="L638" s="72">
        <f t="shared" si="76"/>
        <v>3.7136262499999999</v>
      </c>
      <c r="M638" s="109">
        <f t="shared" si="80"/>
        <v>0.60853413654618382</v>
      </c>
      <c r="N638" s="123" t="str">
        <f>VLOOKUP(C638,'RAW DATA 2023'!E:BO,36,0)</f>
        <v>ทยอยตาย</v>
      </c>
      <c r="O638" s="63">
        <f>VLOOKUP(C638,'RAW DATA 2023'!E:BO,2,0)</f>
        <v>8</v>
      </c>
      <c r="P638" s="322">
        <f t="shared" si="79"/>
        <v>4.8682730923694706</v>
      </c>
    </row>
    <row r="639" spans="1:16">
      <c r="A639" s="63" t="str">
        <f>'RAW DATA 2023'!B632</f>
        <v>Kamong</v>
      </c>
      <c r="B639" s="63" t="str">
        <f>'RAW DATA 2023'!D632</f>
        <v>AG-011-0008</v>
      </c>
      <c r="C639" s="63" t="str">
        <f t="shared" si="73"/>
        <v>KamongAG-011-0008</v>
      </c>
      <c r="D639" s="68">
        <f>VLOOKUP(C639,'RAW DATA 2023'!E:BP,63,0)</f>
        <v>4</v>
      </c>
      <c r="E639" s="68" t="str">
        <f t="shared" si="74"/>
        <v>Kamong4</v>
      </c>
      <c r="F639" s="63" t="str">
        <f>VLOOKUP(C639,'RAW DATA 2023'!E:BO,5,0)</f>
        <v>Greenhouse</v>
      </c>
      <c r="G639" s="63">
        <f>VLOOKUP(C639,'RAW DATA 2023'!E:BO,13,0)</f>
        <v>250</v>
      </c>
      <c r="H639" s="63">
        <f t="shared" si="77"/>
        <v>200</v>
      </c>
      <c r="I639" s="63">
        <f t="shared" si="75"/>
        <v>11.259</v>
      </c>
      <c r="J639" s="106">
        <f>VLOOKUP(C639,'RAW DATA 2023'!E:BO,22,0)</f>
        <v>14.81024</v>
      </c>
      <c r="K639" s="70">
        <f t="shared" si="78"/>
        <v>1.3154134470201617</v>
      </c>
      <c r="L639" s="72">
        <f t="shared" si="76"/>
        <v>14.81024</v>
      </c>
      <c r="M639" s="109">
        <f t="shared" si="80"/>
        <v>10.872179293602157</v>
      </c>
      <c r="N639" s="123" t="str">
        <f>VLOOKUP(C639,'RAW DATA 2023'!E:BO,36,0)</f>
        <v>Normal</v>
      </c>
      <c r="O639" s="63">
        <f>VLOOKUP(C639,'RAW DATA 2023'!E:BO,2,0)</f>
        <v>2</v>
      </c>
      <c r="P639" s="322">
        <f t="shared" si="79"/>
        <v>21.744358587204314</v>
      </c>
    </row>
    <row r="640" spans="1:16">
      <c r="A640" s="63" t="str">
        <f>'RAW DATA 2023'!B633</f>
        <v>Kamong</v>
      </c>
      <c r="B640" s="63" t="str">
        <f>'RAW DATA 2023'!D633</f>
        <v>D1-032-0010</v>
      </c>
      <c r="C640" s="63" t="str">
        <f t="shared" si="73"/>
        <v>KamongD1-032-0010</v>
      </c>
      <c r="D640" s="68">
        <f>VLOOKUP(C640,'RAW DATA 2023'!E:BP,63,0)</f>
        <v>8</v>
      </c>
      <c r="E640" s="68" t="str">
        <f t="shared" si="74"/>
        <v>Kamong8</v>
      </c>
      <c r="F640" s="63" t="str">
        <f>VLOOKUP(C640,'RAW DATA 2023'!E:BO,5,0)</f>
        <v>Outdoor</v>
      </c>
      <c r="G640" s="63">
        <f>VLOOKUP(C640,'RAW DATA 2023'!E:BO,13,0)</f>
        <v>94</v>
      </c>
      <c r="H640" s="63">
        <f t="shared" si="77"/>
        <v>100</v>
      </c>
      <c r="I640" s="63">
        <f t="shared" si="75"/>
        <v>6.806</v>
      </c>
      <c r="J640" s="106">
        <f>VLOOKUP(C640,'RAW DATA 2023'!E:BO,22,0)</f>
        <v>2.4362333333333335</v>
      </c>
      <c r="K640" s="70">
        <f t="shared" si="78"/>
        <v>0.35795376628465081</v>
      </c>
      <c r="L640" s="72">
        <f t="shared" si="76"/>
        <v>2.4362333333333335</v>
      </c>
      <c r="M640" s="109">
        <f t="shared" si="80"/>
        <v>-1.8939497828713225</v>
      </c>
      <c r="N640" s="123" t="str">
        <f>VLOOKUP(C640,'RAW DATA 2023'!E:BO,36,0)</f>
        <v>EHP</v>
      </c>
      <c r="O640" s="63">
        <f>VLOOKUP(C640,'RAW DATA 2023'!E:BO,2,0)</f>
        <v>3</v>
      </c>
      <c r="P640" s="322">
        <f t="shared" si="79"/>
        <v>-5.6818493486139676</v>
      </c>
    </row>
    <row r="641" spans="1:16">
      <c r="A641" s="63" t="str">
        <f>'RAW DATA 2023'!B634</f>
        <v>Kamong</v>
      </c>
      <c r="B641" s="63" t="str">
        <f>'RAW DATA 2023'!D634</f>
        <v>D1-022-0038</v>
      </c>
      <c r="C641" s="63" t="str">
        <f t="shared" si="73"/>
        <v>KamongD1-022-0038</v>
      </c>
      <c r="D641" s="68">
        <f>VLOOKUP(C641,'RAW DATA 2023'!E:BP,63,0)</f>
        <v>2</v>
      </c>
      <c r="E641" s="68" t="str">
        <f t="shared" si="74"/>
        <v>Kamong2</v>
      </c>
      <c r="F641" s="63" t="str">
        <f>VLOOKUP(C641,'RAW DATA 2023'!E:BO,5,0)</f>
        <v>Outdoor</v>
      </c>
      <c r="G641" s="63">
        <f>VLOOKUP(C641,'RAW DATA 2023'!E:BO,13,0)</f>
        <v>146</v>
      </c>
      <c r="H641" s="63">
        <f t="shared" si="77"/>
        <v>150</v>
      </c>
      <c r="I641" s="63">
        <f t="shared" si="75"/>
        <v>9.1999999999999993</v>
      </c>
      <c r="J641" s="106">
        <f>VLOOKUP(C641,'RAW DATA 2023'!E:BO,22,0)</f>
        <v>5.2450799999999997</v>
      </c>
      <c r="K641" s="70">
        <f t="shared" si="78"/>
        <v>0.5701173913043478</v>
      </c>
      <c r="L641" s="72">
        <f t="shared" si="76"/>
        <v>5.2450799999999997</v>
      </c>
      <c r="M641" s="109">
        <f t="shared" si="80"/>
        <v>0.93489855072463734</v>
      </c>
      <c r="N641" s="123" t="str">
        <f>VLOOKUP(C641,'RAW DATA 2023'!E:BO,36,0)</f>
        <v>ทยอยตาย</v>
      </c>
      <c r="O641" s="63">
        <f>VLOOKUP(C641,'RAW DATA 2023'!E:BO,2,0)</f>
        <v>3</v>
      </c>
      <c r="P641" s="322">
        <f t="shared" si="79"/>
        <v>2.8046956521739119</v>
      </c>
    </row>
    <row r="642" spans="1:16">
      <c r="A642" s="63" t="str">
        <f>'RAW DATA 2023'!B635</f>
        <v>Kamong</v>
      </c>
      <c r="B642" s="63" t="str">
        <f>'RAW DATA 2023'!D635</f>
        <v>D1-032-0008</v>
      </c>
      <c r="C642" s="63" t="str">
        <f t="shared" si="73"/>
        <v>KamongD1-032-0008</v>
      </c>
      <c r="D642" s="68">
        <f>VLOOKUP(C642,'RAW DATA 2023'!E:BP,63,0)</f>
        <v>3</v>
      </c>
      <c r="E642" s="68" t="str">
        <f t="shared" si="74"/>
        <v>Kamong3</v>
      </c>
      <c r="F642" s="63" t="str">
        <f>VLOOKUP(C642,'RAW DATA 2023'!E:BO,5,0)</f>
        <v>Outdoor</v>
      </c>
      <c r="G642" s="63">
        <f>VLOOKUP(C642,'RAW DATA 2023'!E:BO,13,0)</f>
        <v>94</v>
      </c>
      <c r="H642" s="63">
        <f t="shared" si="77"/>
        <v>100</v>
      </c>
      <c r="I642" s="63">
        <f t="shared" si="75"/>
        <v>6.806</v>
      </c>
      <c r="J642" s="106">
        <f>VLOOKUP(C642,'RAW DATA 2023'!E:BO,22,0)</f>
        <v>6.7263366666666657</v>
      </c>
      <c r="K642" s="70">
        <f t="shared" si="78"/>
        <v>0.98829513174649808</v>
      </c>
      <c r="L642" s="72">
        <f t="shared" si="76"/>
        <v>6.7263366666666657</v>
      </c>
      <c r="M642" s="109">
        <f t="shared" si="80"/>
        <v>6.510601756619975</v>
      </c>
      <c r="N642" s="123" t="str">
        <f>VLOOKUP(C642,'RAW DATA 2023'!E:BO,36,0)</f>
        <v>Normal</v>
      </c>
      <c r="O642" s="63">
        <f>VLOOKUP(C642,'RAW DATA 2023'!E:BO,2,0)</f>
        <v>3</v>
      </c>
      <c r="P642" s="322">
        <f t="shared" si="79"/>
        <v>19.531805269859923</v>
      </c>
    </row>
    <row r="643" spans="1:16">
      <c r="A643" s="63" t="str">
        <f>'RAW DATA 2023'!B636</f>
        <v>Kamong</v>
      </c>
      <c r="B643" s="63" t="str">
        <f>'RAW DATA 2023'!D636</f>
        <v>D1-022-0040</v>
      </c>
      <c r="C643" s="63" t="str">
        <f t="shared" si="73"/>
        <v>KamongD1-022-0040</v>
      </c>
      <c r="D643" s="68">
        <f>VLOOKUP(C643,'RAW DATA 2023'!E:BP,63,0)</f>
        <v>7</v>
      </c>
      <c r="E643" s="68" t="str">
        <f t="shared" si="74"/>
        <v>Kamong7</v>
      </c>
      <c r="F643" s="63" t="str">
        <f>VLOOKUP(C643,'RAW DATA 2023'!E:BO,5,0)</f>
        <v>Outdoor</v>
      </c>
      <c r="G643" s="63">
        <f>VLOOKUP(C643,'RAW DATA 2023'!E:BO,13,0)</f>
        <v>104</v>
      </c>
      <c r="H643" s="63">
        <f t="shared" si="77"/>
        <v>100</v>
      </c>
      <c r="I643" s="63">
        <f t="shared" si="75"/>
        <v>6.806</v>
      </c>
      <c r="J643" s="106">
        <f>VLOOKUP(C643,'RAW DATA 2023'!E:BO,22,0)</f>
        <v>3.0127566666666667</v>
      </c>
      <c r="K643" s="70">
        <f t="shared" si="78"/>
        <v>0.44266186698011561</v>
      </c>
      <c r="L643" s="72">
        <f t="shared" si="76"/>
        <v>3.0127566666666667</v>
      </c>
      <c r="M643" s="109">
        <f t="shared" si="80"/>
        <v>-0.76450844026512521</v>
      </c>
      <c r="N643" s="123" t="str">
        <f>VLOOKUP(C643,'RAW DATA 2023'!E:BO,36,0)</f>
        <v>EHP</v>
      </c>
      <c r="O643" s="63">
        <f>VLOOKUP(C643,'RAW DATA 2023'!E:BO,2,0)</f>
        <v>3</v>
      </c>
      <c r="P643" s="322">
        <f t="shared" si="79"/>
        <v>-2.2935253207953759</v>
      </c>
    </row>
    <row r="644" spans="1:16">
      <c r="A644" s="63" t="str">
        <f>'RAW DATA 2023'!B637</f>
        <v>Kamong</v>
      </c>
      <c r="B644" s="63" t="str">
        <f>'RAW DATA 2023'!D637</f>
        <v>D1-027-0001</v>
      </c>
      <c r="C644" s="63" t="str">
        <f t="shared" si="73"/>
        <v>KamongD1-027-0001</v>
      </c>
      <c r="D644" s="68">
        <f>VLOOKUP(C644,'RAW DATA 2023'!E:BP,63,0)</f>
        <v>4</v>
      </c>
      <c r="E644" s="68" t="str">
        <f t="shared" si="74"/>
        <v>Kamong4</v>
      </c>
      <c r="F644" s="63" t="str">
        <f>VLOOKUP(C644,'RAW DATA 2023'!E:BO,5,0)</f>
        <v>Outdoor</v>
      </c>
      <c r="G644" s="63">
        <f>VLOOKUP(C644,'RAW DATA 2023'!E:BO,13,0)</f>
        <v>188</v>
      </c>
      <c r="H644" s="63">
        <f t="shared" si="77"/>
        <v>180</v>
      </c>
      <c r="I644" s="63">
        <f t="shared" si="75"/>
        <v>10.247</v>
      </c>
      <c r="J644" s="106">
        <f>VLOOKUP(C644,'RAW DATA 2023'!E:BO,22,0)</f>
        <v>7.3809049999999994</v>
      </c>
      <c r="K644" s="70">
        <f t="shared" si="78"/>
        <v>0.72029911193520046</v>
      </c>
      <c r="L644" s="72">
        <f t="shared" si="76"/>
        <v>7.3809049999999994</v>
      </c>
      <c r="M644" s="109">
        <f t="shared" si="80"/>
        <v>2.9373214924693398</v>
      </c>
      <c r="N644" s="123" t="str">
        <f>VLOOKUP(C644,'RAW DATA 2023'!E:BO,36,0)</f>
        <v>ทยอยตาย</v>
      </c>
      <c r="O644" s="63">
        <f>VLOOKUP(C644,'RAW DATA 2023'!E:BO,2,0)</f>
        <v>2</v>
      </c>
      <c r="P644" s="322">
        <f t="shared" si="79"/>
        <v>5.8746429849386796</v>
      </c>
    </row>
    <row r="645" spans="1:16">
      <c r="A645" s="63" t="str">
        <f>'RAW DATA 2023'!B638</f>
        <v>Kamong</v>
      </c>
      <c r="B645" s="63" t="str">
        <f>'RAW DATA 2023'!D638</f>
        <v>D1-027-0002</v>
      </c>
      <c r="C645" s="63" t="str">
        <f t="shared" si="73"/>
        <v>KamongD1-027-0002</v>
      </c>
      <c r="D645" s="68">
        <f>VLOOKUP(C645,'RAW DATA 2023'!E:BP,63,0)</f>
        <v>7</v>
      </c>
      <c r="E645" s="68" t="str">
        <f t="shared" si="74"/>
        <v>Kamong7</v>
      </c>
      <c r="F645" s="63" t="str">
        <f>VLOOKUP(C645,'RAW DATA 2023'!E:BO,5,0)</f>
        <v>Outdoor</v>
      </c>
      <c r="G645" s="63">
        <f>VLOOKUP(C645,'RAW DATA 2023'!E:BO,13,0)</f>
        <v>188</v>
      </c>
      <c r="H645" s="63">
        <f t="shared" si="77"/>
        <v>180</v>
      </c>
      <c r="I645" s="63">
        <f t="shared" si="75"/>
        <v>10.247</v>
      </c>
      <c r="J645" s="106">
        <f>VLOOKUP(C645,'RAW DATA 2023'!E:BO,22,0)</f>
        <v>4.2084200000000003</v>
      </c>
      <c r="K645" s="70">
        <f t="shared" si="78"/>
        <v>0.41069776519957063</v>
      </c>
      <c r="L645" s="72">
        <f t="shared" si="76"/>
        <v>4.2084200000000003</v>
      </c>
      <c r="M645" s="109">
        <f t="shared" si="80"/>
        <v>-1.1906964640057249</v>
      </c>
      <c r="N645" s="123" t="str">
        <f>VLOOKUP(C645,'RAW DATA 2023'!E:BO,36,0)</f>
        <v>EHP</v>
      </c>
      <c r="O645" s="63">
        <f>VLOOKUP(C645,'RAW DATA 2023'!E:BO,2,0)</f>
        <v>2</v>
      </c>
      <c r="P645" s="322">
        <f t="shared" si="79"/>
        <v>-2.3813929280114499</v>
      </c>
    </row>
    <row r="646" spans="1:16">
      <c r="A646" s="63" t="str">
        <f>'RAW DATA 2023'!B639</f>
        <v>Kamong</v>
      </c>
      <c r="B646" s="63" t="str">
        <f>'RAW DATA 2023'!D639</f>
        <v>D1-022-0039</v>
      </c>
      <c r="C646" s="63" t="str">
        <f t="shared" si="73"/>
        <v>KamongD1-022-0039</v>
      </c>
      <c r="D646" s="68">
        <f>VLOOKUP(C646,'RAW DATA 2023'!E:BP,63,0)</f>
        <v>4</v>
      </c>
      <c r="E646" s="68" t="str">
        <f t="shared" si="74"/>
        <v>Kamong4</v>
      </c>
      <c r="F646" s="63" t="str">
        <f>VLOOKUP(C646,'RAW DATA 2023'!E:BO,5,0)</f>
        <v>Outdoor</v>
      </c>
      <c r="G646" s="63">
        <f>VLOOKUP(C646,'RAW DATA 2023'!E:BO,13,0)</f>
        <v>188</v>
      </c>
      <c r="H646" s="63">
        <f t="shared" si="77"/>
        <v>180</v>
      </c>
      <c r="I646" s="63">
        <f t="shared" si="75"/>
        <v>10.247</v>
      </c>
      <c r="J646" s="106">
        <f>VLOOKUP(C646,'RAW DATA 2023'!E:BO,22,0)</f>
        <v>2.6391899999999997</v>
      </c>
      <c r="K646" s="70">
        <f t="shared" si="78"/>
        <v>0.25755733385381085</v>
      </c>
      <c r="L646" s="72">
        <f t="shared" si="76"/>
        <v>2.6391899999999997</v>
      </c>
      <c r="M646" s="109">
        <f t="shared" si="80"/>
        <v>-3.2325688819491889</v>
      </c>
      <c r="N646" s="123" t="str">
        <f>VLOOKUP(C646,'RAW DATA 2023'!E:BO,36,0)</f>
        <v>EHP</v>
      </c>
      <c r="O646" s="63">
        <f>VLOOKUP(C646,'RAW DATA 2023'!E:BO,2,0)</f>
        <v>3</v>
      </c>
      <c r="P646" s="322">
        <f t="shared" si="79"/>
        <v>-9.6977066458475676</v>
      </c>
    </row>
    <row r="647" spans="1:16">
      <c r="A647" s="63" t="str">
        <f>'RAW DATA 2023'!B640</f>
        <v>Kamong</v>
      </c>
      <c r="B647" s="63" t="str">
        <f>'RAW DATA 2023'!D640</f>
        <v>D1-032-0009</v>
      </c>
      <c r="C647" s="63" t="str">
        <f t="shared" si="73"/>
        <v>KamongD1-032-0009</v>
      </c>
      <c r="D647" s="68">
        <f>VLOOKUP(C647,'RAW DATA 2023'!E:BP,63,0)</f>
        <v>5</v>
      </c>
      <c r="E647" s="68" t="str">
        <f t="shared" si="74"/>
        <v>Kamong5</v>
      </c>
      <c r="F647" s="63" t="str">
        <f>VLOOKUP(C647,'RAW DATA 2023'!E:BO,5,0)</f>
        <v>Outdoor</v>
      </c>
      <c r="G647" s="63">
        <f>VLOOKUP(C647,'RAW DATA 2023'!E:BO,13,0)</f>
        <v>156</v>
      </c>
      <c r="H647" s="63">
        <f t="shared" si="77"/>
        <v>150</v>
      </c>
      <c r="I647" s="63">
        <f t="shared" si="75"/>
        <v>9.1999999999999993</v>
      </c>
      <c r="J647" s="106">
        <f>VLOOKUP(C647,'RAW DATA 2023'!E:BO,22,0)</f>
        <v>0</v>
      </c>
      <c r="K647" s="70">
        <f t="shared" si="78"/>
        <v>0</v>
      </c>
      <c r="L647" s="72">
        <f t="shared" si="76"/>
        <v>0</v>
      </c>
      <c r="M647" s="109">
        <f t="shared" si="80"/>
        <v>-6.666666666666667</v>
      </c>
      <c r="N647" s="123" t="str">
        <f>VLOOKUP(C647,'RAW DATA 2023'!E:BO,36,0)</f>
        <v>EHP</v>
      </c>
      <c r="O647" s="63">
        <f>VLOOKUP(C647,'RAW DATA 2023'!E:BO,2,0)</f>
        <v>3</v>
      </c>
      <c r="P647" s="322">
        <f t="shared" si="79"/>
        <v>-20</v>
      </c>
    </row>
    <row r="648" spans="1:16">
      <c r="A648" s="63" t="str">
        <f>'RAW DATA 2023'!B641</f>
        <v>Talaytong</v>
      </c>
      <c r="B648" s="63" t="str">
        <f>'RAW DATA 2023'!D641</f>
        <v>A1-039-0007</v>
      </c>
      <c r="C648" s="63" t="str">
        <f t="shared" si="73"/>
        <v>TalaytongA1-039-0007</v>
      </c>
      <c r="D648" s="68">
        <f>VLOOKUP(C648,'RAW DATA 2023'!E:BP,63,0)</f>
        <v>8</v>
      </c>
      <c r="E648" s="68" t="str">
        <f t="shared" si="74"/>
        <v>Talaytong8</v>
      </c>
      <c r="F648" s="63" t="str">
        <f>VLOOKUP(C648,'RAW DATA 2023'!E:BO,5,0)</f>
        <v>Outdoor</v>
      </c>
      <c r="G648" s="63">
        <f>VLOOKUP(C648,'RAW DATA 2023'!E:BO,13,0)</f>
        <v>243</v>
      </c>
      <c r="H648" s="63">
        <f t="shared" si="77"/>
        <v>200</v>
      </c>
      <c r="I648" s="63">
        <f t="shared" si="75"/>
        <v>11.259</v>
      </c>
      <c r="J648" s="106">
        <f>VLOOKUP(C648,'RAW DATA 2023'!E:BO,22,0)</f>
        <v>9.0466899766899775</v>
      </c>
      <c r="K648" s="70">
        <f t="shared" si="78"/>
        <v>0.80350741421884508</v>
      </c>
      <c r="L648" s="72">
        <f t="shared" si="76"/>
        <v>9.0466899766899775</v>
      </c>
      <c r="M648" s="109">
        <f t="shared" si="80"/>
        <v>4.0467655229179345</v>
      </c>
      <c r="N648" s="123" t="str">
        <f>VLOOKUP(C648,'RAW DATA 2023'!E:BO,36,0)</f>
        <v>EHP</v>
      </c>
      <c r="O648" s="63">
        <f>VLOOKUP(C648,'RAW DATA 2023'!E:BO,2,0)</f>
        <v>4.29</v>
      </c>
      <c r="P648" s="322">
        <f t="shared" si="79"/>
        <v>17.360624093317938</v>
      </c>
    </row>
    <row r="649" spans="1:16">
      <c r="A649" s="63" t="str">
        <f>'RAW DATA 2023'!B642</f>
        <v>Talaytong</v>
      </c>
      <c r="B649" s="63" t="str">
        <f>'RAW DATA 2023'!D642</f>
        <v>A1-038-0010</v>
      </c>
      <c r="C649" s="63" t="str">
        <f t="shared" si="73"/>
        <v>TalaytongA1-038-0010</v>
      </c>
      <c r="D649" s="68">
        <f>VLOOKUP(C649,'RAW DATA 2023'!E:BP,63,0)</f>
        <v>10</v>
      </c>
      <c r="E649" s="68" t="str">
        <f t="shared" si="74"/>
        <v>Talaytong10</v>
      </c>
      <c r="F649" s="63" t="str">
        <f>VLOOKUP(C649,'RAW DATA 2023'!E:BO,5,0)</f>
        <v>Outdoor</v>
      </c>
      <c r="G649" s="63">
        <f>VLOOKUP(C649,'RAW DATA 2023'!E:BO,13,0)</f>
        <v>229</v>
      </c>
      <c r="H649" s="63">
        <f t="shared" si="77"/>
        <v>200</v>
      </c>
      <c r="I649" s="63">
        <f t="shared" si="75"/>
        <v>11.259</v>
      </c>
      <c r="J649" s="106">
        <f>VLOOKUP(C649,'RAW DATA 2023'!E:BO,22,0)</f>
        <v>6.2722477064220188</v>
      </c>
      <c r="K649" s="70">
        <f t="shared" si="78"/>
        <v>0.55708745949214122</v>
      </c>
      <c r="L649" s="72">
        <f t="shared" si="76"/>
        <v>6.2722477064220188</v>
      </c>
      <c r="M649" s="109">
        <f t="shared" si="80"/>
        <v>0.76116612656188298</v>
      </c>
      <c r="N649" s="123" t="str">
        <f>VLOOKUP(C649,'RAW DATA 2023'!E:BO,36,0)</f>
        <v>EHP</v>
      </c>
      <c r="O649" s="63">
        <f>VLOOKUP(C649,'RAW DATA 2023'!E:BO,2,0)</f>
        <v>5.45</v>
      </c>
      <c r="P649" s="322">
        <f t="shared" si="79"/>
        <v>4.148355389762262</v>
      </c>
    </row>
    <row r="650" spans="1:16">
      <c r="A650" s="63" t="str">
        <f>'RAW DATA 2023'!B643</f>
        <v>Talaytong</v>
      </c>
      <c r="B650" s="63" t="str">
        <f>'RAW DATA 2023'!D643</f>
        <v>A1-038-0008</v>
      </c>
      <c r="C650" s="63" t="str">
        <f t="shared" ref="C650:C713" si="81">A650&amp;B650</f>
        <v>TalaytongA1-038-0008</v>
      </c>
      <c r="D650" s="68">
        <f>VLOOKUP(C650,'RAW DATA 2023'!E:BP,63,0)</f>
        <v>5</v>
      </c>
      <c r="E650" s="68" t="str">
        <f t="shared" ref="E650:E713" si="82">A650&amp;D650</f>
        <v>Talaytong5</v>
      </c>
      <c r="F650" s="63" t="str">
        <f>VLOOKUP(C650,'RAW DATA 2023'!E:BO,5,0)</f>
        <v>Outdoor</v>
      </c>
      <c r="G650" s="63">
        <f>VLOOKUP(C650,'RAW DATA 2023'!E:BO,13,0)</f>
        <v>168</v>
      </c>
      <c r="H650" s="63">
        <f t="shared" si="77"/>
        <v>180</v>
      </c>
      <c r="I650" s="63">
        <f t="shared" ref="I650:I713" si="83">IF(F650=$W$1,VLOOKUP(H650,Y:Z,2,0),VLOOKUP(H650,AF:AG,2,0))</f>
        <v>10.247</v>
      </c>
      <c r="J650" s="106">
        <f>VLOOKUP(C650,'RAW DATA 2023'!E:BO,22,0)</f>
        <v>5.6472036697247701</v>
      </c>
      <c r="K650" s="70">
        <f t="shared" si="78"/>
        <v>0.55110799938760324</v>
      </c>
      <c r="L650" s="72">
        <f t="shared" ref="L650:L713" si="84">IF(J650=0,0,IF(F650=$B$2,J650-$B$6,IF(F650=$C$1,J650-$C$6,IF(AND(F650=$C$2,G650&lt;=$C$3),J650-$C$6,IF(AND(F650=$C$2,G650&lt;=$E$3),J650-$D$6,J650-$E$6)))))</f>
        <v>5.6472036697247701</v>
      </c>
      <c r="M650" s="109">
        <f t="shared" si="80"/>
        <v>0.68143999183470993</v>
      </c>
      <c r="N650" s="123" t="str">
        <f>VLOOKUP(C650,'RAW DATA 2023'!E:BO,36,0)</f>
        <v>Normal</v>
      </c>
      <c r="O650" s="63">
        <f>VLOOKUP(C650,'RAW DATA 2023'!E:BO,2,0)</f>
        <v>5.45</v>
      </c>
      <c r="P650" s="322">
        <f t="shared" si="79"/>
        <v>3.7138479554991695</v>
      </c>
    </row>
    <row r="651" spans="1:16">
      <c r="A651" s="63" t="str">
        <f>'RAW DATA 2023'!B644</f>
        <v>Talaytong</v>
      </c>
      <c r="B651" s="63" t="str">
        <f>'RAW DATA 2023'!D644</f>
        <v>A1-039-0006</v>
      </c>
      <c r="C651" s="63" t="str">
        <f t="shared" si="81"/>
        <v>TalaytongA1-039-0006</v>
      </c>
      <c r="D651" s="68">
        <f>VLOOKUP(C651,'RAW DATA 2023'!E:BP,63,0)</f>
        <v>4</v>
      </c>
      <c r="E651" s="68" t="str">
        <f t="shared" si="82"/>
        <v>Talaytong4</v>
      </c>
      <c r="F651" s="63" t="str">
        <f>VLOOKUP(C651,'RAW DATA 2023'!E:BO,5,0)</f>
        <v>Outdoor</v>
      </c>
      <c r="G651" s="63">
        <f>VLOOKUP(C651,'RAW DATA 2023'!E:BO,13,0)</f>
        <v>194</v>
      </c>
      <c r="H651" s="63">
        <f t="shared" ref="H651:H714" si="85">IF(G651&gt;190,200,IF(G651&gt;165,180,IF(G651&gt;=135,150,IF(D644&gt;=110,120,100))))</f>
        <v>200</v>
      </c>
      <c r="I651" s="63">
        <f t="shared" si="83"/>
        <v>11.259</v>
      </c>
      <c r="J651" s="106">
        <f>VLOOKUP(C651,'RAW DATA 2023'!E:BO,22,0)</f>
        <v>3.6191095571095566</v>
      </c>
      <c r="K651" s="70">
        <f t="shared" ref="K651:K714" si="86">J651/I651</f>
        <v>0.32144147411933177</v>
      </c>
      <c r="L651" s="72">
        <f t="shared" si="84"/>
        <v>3.6191095571095566</v>
      </c>
      <c r="M651" s="109">
        <f t="shared" si="80"/>
        <v>-2.3807803450755767</v>
      </c>
      <c r="N651" s="123" t="str">
        <f>VLOOKUP(C651,'RAW DATA 2023'!E:BO,36,0)</f>
        <v>WFD</v>
      </c>
      <c r="O651" s="63">
        <f>VLOOKUP(C651,'RAW DATA 2023'!E:BO,2,0)</f>
        <v>4.29</v>
      </c>
      <c r="P651" s="322">
        <f t="shared" ref="P651:P714" si="87">M651*O651</f>
        <v>-10.213547680374225</v>
      </c>
    </row>
    <row r="652" spans="1:16">
      <c r="A652" s="63" t="str">
        <f>'RAW DATA 2023'!B645</f>
        <v>Talaytong</v>
      </c>
      <c r="B652" s="63" t="str">
        <f>'RAW DATA 2023'!D645</f>
        <v>B1-032-0008</v>
      </c>
      <c r="C652" s="63" t="str">
        <f t="shared" si="81"/>
        <v>TalaytongB1-032-0008</v>
      </c>
      <c r="D652" s="68">
        <f>VLOOKUP(C652,'RAW DATA 2023'!E:BP,63,0)</f>
        <v>1</v>
      </c>
      <c r="E652" s="68" t="str">
        <f t="shared" si="82"/>
        <v>Talaytong1</v>
      </c>
      <c r="F652" s="63" t="str">
        <f>VLOOKUP(C652,'RAW DATA 2023'!E:BO,5,0)</f>
        <v>Outdoor</v>
      </c>
      <c r="G652" s="63">
        <f>VLOOKUP(C652,'RAW DATA 2023'!E:BO,13,0)</f>
        <v>149</v>
      </c>
      <c r="H652" s="63">
        <f t="shared" si="85"/>
        <v>150</v>
      </c>
      <c r="I652" s="63">
        <f t="shared" si="83"/>
        <v>9.1999999999999993</v>
      </c>
      <c r="J652" s="106">
        <f>VLOOKUP(C652,'RAW DATA 2023'!E:BO,22,0)</f>
        <v>2.0547838827838829</v>
      </c>
      <c r="K652" s="70">
        <f t="shared" si="86"/>
        <v>0.22334607421563946</v>
      </c>
      <c r="L652" s="72">
        <f t="shared" si="84"/>
        <v>2.0547838827838829</v>
      </c>
      <c r="M652" s="109">
        <f t="shared" ref="M652:M715" si="88">(K652-$B$4)*$B$7</f>
        <v>-3.6887190104581409</v>
      </c>
      <c r="N652" s="123" t="str">
        <f>VLOOKUP(C652,'RAW DATA 2023'!E:BO,36,0)</f>
        <v>EHP</v>
      </c>
      <c r="O652" s="63">
        <f>VLOOKUP(C652,'RAW DATA 2023'!E:BO,2,0)</f>
        <v>2.73</v>
      </c>
      <c r="P652" s="322">
        <f t="shared" si="87"/>
        <v>-10.070202898550724</v>
      </c>
    </row>
    <row r="653" spans="1:16">
      <c r="A653" s="63" t="str">
        <f>'RAW DATA 2023'!B646</f>
        <v>Talaytong</v>
      </c>
      <c r="B653" s="63" t="str">
        <f>'RAW DATA 2023'!D646</f>
        <v>A1-034-0008</v>
      </c>
      <c r="C653" s="63" t="str">
        <f t="shared" si="81"/>
        <v>TalaytongA1-034-0008</v>
      </c>
      <c r="D653" s="68">
        <f>VLOOKUP(C653,'RAW DATA 2023'!E:BP,63,0)</f>
        <v>5</v>
      </c>
      <c r="E653" s="68" t="str">
        <f t="shared" si="82"/>
        <v>Talaytong5</v>
      </c>
      <c r="F653" s="63" t="str">
        <f>VLOOKUP(C653,'RAW DATA 2023'!E:BO,5,0)</f>
        <v>Outdoor</v>
      </c>
      <c r="G653" s="63">
        <f>VLOOKUP(C653,'RAW DATA 2023'!E:BO,13,0)</f>
        <v>197</v>
      </c>
      <c r="H653" s="63">
        <f t="shared" si="85"/>
        <v>200</v>
      </c>
      <c r="I653" s="63">
        <f t="shared" si="83"/>
        <v>11.259</v>
      </c>
      <c r="J653" s="106">
        <f>VLOOKUP(C653,'RAW DATA 2023'!E:BO,22,0)</f>
        <v>3.2719194312796209</v>
      </c>
      <c r="K653" s="70">
        <f t="shared" si="86"/>
        <v>0.29060479894125774</v>
      </c>
      <c r="L653" s="72">
        <f t="shared" si="84"/>
        <v>3.2719194312796209</v>
      </c>
      <c r="M653" s="109">
        <f t="shared" si="88"/>
        <v>-2.7919360141165637</v>
      </c>
      <c r="N653" s="123" t="str">
        <f>VLOOKUP(C653,'RAW DATA 2023'!E:BO,36,0)</f>
        <v>EHP</v>
      </c>
      <c r="O653" s="63">
        <f>VLOOKUP(C653,'RAW DATA 2023'!E:BO,2,0)</f>
        <v>4.22</v>
      </c>
      <c r="P653" s="322">
        <f t="shared" si="87"/>
        <v>-11.781969979571898</v>
      </c>
    </row>
    <row r="654" spans="1:16">
      <c r="A654" s="63" t="str">
        <f>'RAW DATA 2023'!B647</f>
        <v>CHBR1</v>
      </c>
      <c r="B654" s="63" t="str">
        <f>'RAW DATA 2023'!D647</f>
        <v>A1-015-0019</v>
      </c>
      <c r="C654" s="63" t="str">
        <f t="shared" si="81"/>
        <v>CHBR1A1-015-0019</v>
      </c>
      <c r="D654" s="68">
        <f>VLOOKUP(C654,'RAW DATA 2023'!E:BP,63,0)</f>
        <v>12</v>
      </c>
      <c r="E654" s="68" t="str">
        <f t="shared" si="82"/>
        <v>CHBR112</v>
      </c>
      <c r="F654" s="63" t="str">
        <f>VLOOKUP(C654,'RAW DATA 2023'!E:BO,5,0)</f>
        <v>Outdoor</v>
      </c>
      <c r="G654" s="63">
        <f>VLOOKUP(C654,'RAW DATA 2023'!E:BO,13,0)</f>
        <v>156</v>
      </c>
      <c r="H654" s="63">
        <f t="shared" si="85"/>
        <v>150</v>
      </c>
      <c r="I654" s="63">
        <f t="shared" si="83"/>
        <v>9.1999999999999993</v>
      </c>
      <c r="J654" s="106">
        <f>VLOOKUP(C654,'RAW DATA 2023'!E:BO,22,0)</f>
        <v>11.067015</v>
      </c>
      <c r="K654" s="70">
        <f t="shared" si="86"/>
        <v>1.2029364130434783</v>
      </c>
      <c r="L654" s="72">
        <f t="shared" si="84"/>
        <v>11.067015</v>
      </c>
      <c r="M654" s="109">
        <f t="shared" si="88"/>
        <v>9.3724855072463775</v>
      </c>
      <c r="N654" s="123" t="str">
        <f>VLOOKUP(C654,'RAW DATA 2023'!E:BO,36,0)</f>
        <v>Normal</v>
      </c>
      <c r="O654" s="63">
        <f>VLOOKUP(C654,'RAW DATA 2023'!E:BO,2,0)</f>
        <v>2</v>
      </c>
      <c r="P654" s="322">
        <f t="shared" si="87"/>
        <v>18.744971014492755</v>
      </c>
    </row>
    <row r="655" spans="1:16">
      <c r="A655" s="63" t="str">
        <f>'RAW DATA 2023'!B648</f>
        <v>CHBR1</v>
      </c>
      <c r="B655" s="63" t="str">
        <f>'RAW DATA 2023'!D648</f>
        <v>A1-019-0005</v>
      </c>
      <c r="C655" s="63" t="str">
        <f t="shared" si="81"/>
        <v>CHBR1A1-019-0005</v>
      </c>
      <c r="D655" s="68">
        <f>VLOOKUP(C655,'RAW DATA 2023'!E:BP,63,0)</f>
        <v>7</v>
      </c>
      <c r="E655" s="68" t="str">
        <f t="shared" si="82"/>
        <v>CHBR17</v>
      </c>
      <c r="F655" s="63" t="str">
        <f>VLOOKUP(C655,'RAW DATA 2023'!E:BO,5,0)</f>
        <v>Outdoor</v>
      </c>
      <c r="G655" s="63">
        <f>VLOOKUP(C655,'RAW DATA 2023'!E:BO,13,0)</f>
        <v>94</v>
      </c>
      <c r="H655" s="63">
        <f t="shared" si="85"/>
        <v>100</v>
      </c>
      <c r="I655" s="63">
        <f t="shared" si="83"/>
        <v>6.806</v>
      </c>
      <c r="J655" s="106">
        <f>VLOOKUP(C655,'RAW DATA 2023'!E:BO,22,0)</f>
        <v>5.2656499999999999</v>
      </c>
      <c r="K655" s="70">
        <f t="shared" si="86"/>
        <v>0.77367763737878337</v>
      </c>
      <c r="L655" s="72">
        <f t="shared" si="84"/>
        <v>5.2656499999999999</v>
      </c>
      <c r="M655" s="109">
        <f t="shared" si="88"/>
        <v>3.6490351650504449</v>
      </c>
      <c r="N655" s="123" t="str">
        <f>VLOOKUP(C655,'RAW DATA 2023'!E:BO,36,0)</f>
        <v>Normal</v>
      </c>
      <c r="O655" s="63">
        <f>VLOOKUP(C655,'RAW DATA 2023'!E:BO,2,0)</f>
        <v>2</v>
      </c>
      <c r="P655" s="322">
        <f t="shared" si="87"/>
        <v>7.2980703301008898</v>
      </c>
    </row>
    <row r="656" spans="1:16">
      <c r="A656" s="63" t="str">
        <f>'RAW DATA 2023'!B649</f>
        <v>CHBR1</v>
      </c>
      <c r="B656" s="63" t="str">
        <f>'RAW DATA 2023'!D649</f>
        <v>A1-016-0013</v>
      </c>
      <c r="C656" s="63" t="str">
        <f t="shared" si="81"/>
        <v>CHBR1A1-016-0013</v>
      </c>
      <c r="D656" s="68">
        <f>VLOOKUP(C656,'RAW DATA 2023'!E:BP,63,0)</f>
        <v>6</v>
      </c>
      <c r="E656" s="68" t="str">
        <f t="shared" si="82"/>
        <v>CHBR16</v>
      </c>
      <c r="F656" s="63" t="str">
        <f>VLOOKUP(C656,'RAW DATA 2023'!E:BO,5,0)</f>
        <v>Outdoor</v>
      </c>
      <c r="G656" s="63">
        <f>VLOOKUP(C656,'RAW DATA 2023'!E:BO,13,0)</f>
        <v>156</v>
      </c>
      <c r="H656" s="63">
        <f t="shared" si="85"/>
        <v>150</v>
      </c>
      <c r="I656" s="63">
        <f t="shared" si="83"/>
        <v>9.1999999999999993</v>
      </c>
      <c r="J656" s="106">
        <f>VLOOKUP(C656,'RAW DATA 2023'!E:BO,22,0)</f>
        <v>6.7981099999999994</v>
      </c>
      <c r="K656" s="70">
        <f t="shared" si="86"/>
        <v>0.73892499999999994</v>
      </c>
      <c r="L656" s="72">
        <f t="shared" si="84"/>
        <v>6.7981099999999994</v>
      </c>
      <c r="M656" s="109">
        <f t="shared" si="88"/>
        <v>3.1856666666666662</v>
      </c>
      <c r="N656" s="123" t="str">
        <f>VLOOKUP(C656,'RAW DATA 2023'!E:BO,36,0)</f>
        <v>กุ้งร่วง</v>
      </c>
      <c r="O656" s="63">
        <f>VLOOKUP(C656,'RAW DATA 2023'!E:BO,2,0)</f>
        <v>2</v>
      </c>
      <c r="P656" s="322">
        <f t="shared" si="87"/>
        <v>6.3713333333333324</v>
      </c>
    </row>
    <row r="657" spans="1:16">
      <c r="A657" s="63" t="str">
        <f>'RAW DATA 2023'!B650</f>
        <v>CHBR1</v>
      </c>
      <c r="B657" s="63" t="str">
        <f>'RAW DATA 2023'!D650</f>
        <v>A1-011-0014</v>
      </c>
      <c r="C657" s="63" t="str">
        <f t="shared" si="81"/>
        <v>CHBR1A1-011-0014</v>
      </c>
      <c r="D657" s="68">
        <f>VLOOKUP(C657,'RAW DATA 2023'!E:BP,63,0)</f>
        <v>7</v>
      </c>
      <c r="E657" s="68" t="str">
        <f t="shared" si="82"/>
        <v>CHBR17</v>
      </c>
      <c r="F657" s="63" t="str">
        <f>VLOOKUP(C657,'RAW DATA 2023'!E:BO,5,0)</f>
        <v>Outdoor</v>
      </c>
      <c r="G657" s="63">
        <f>VLOOKUP(C657,'RAW DATA 2023'!E:BO,13,0)</f>
        <v>156</v>
      </c>
      <c r="H657" s="63">
        <f t="shared" si="85"/>
        <v>150</v>
      </c>
      <c r="I657" s="63">
        <f t="shared" si="83"/>
        <v>9.1999999999999993</v>
      </c>
      <c r="J657" s="106">
        <f>VLOOKUP(C657,'RAW DATA 2023'!E:BO,22,0)</f>
        <v>7.1434750000000005</v>
      </c>
      <c r="K657" s="70">
        <f t="shared" si="86"/>
        <v>0.77646467391304363</v>
      </c>
      <c r="L657" s="72">
        <f t="shared" si="84"/>
        <v>7.1434750000000005</v>
      </c>
      <c r="M657" s="109">
        <f t="shared" si="88"/>
        <v>3.6861956521739154</v>
      </c>
      <c r="N657" s="123" t="str">
        <f>VLOOKUP(C657,'RAW DATA 2023'!E:BO,36,0)</f>
        <v>อัตรารอดต่ำ</v>
      </c>
      <c r="O657" s="63">
        <f>VLOOKUP(C657,'RAW DATA 2023'!E:BO,2,0)</f>
        <v>2</v>
      </c>
      <c r="P657" s="322">
        <f t="shared" si="87"/>
        <v>7.3723913043478309</v>
      </c>
    </row>
    <row r="658" spans="1:16">
      <c r="A658" s="63" t="str">
        <f>'RAW DATA 2023'!B651</f>
        <v>CHBR1</v>
      </c>
      <c r="B658" s="63" t="str">
        <f>'RAW DATA 2023'!D651</f>
        <v>A1-018-0013</v>
      </c>
      <c r="C658" s="63" t="str">
        <f t="shared" si="81"/>
        <v>CHBR1A1-018-0013</v>
      </c>
      <c r="D658" s="68">
        <f>VLOOKUP(C658,'RAW DATA 2023'!E:BP,63,0)</f>
        <v>7</v>
      </c>
      <c r="E658" s="68" t="str">
        <f t="shared" si="82"/>
        <v>CHBR17</v>
      </c>
      <c r="F658" s="63" t="str">
        <f>VLOOKUP(C658,'RAW DATA 2023'!E:BO,5,0)</f>
        <v>Outdoor</v>
      </c>
      <c r="G658" s="63">
        <f>VLOOKUP(C658,'RAW DATA 2023'!E:BO,13,0)</f>
        <v>109</v>
      </c>
      <c r="H658" s="63">
        <f t="shared" si="85"/>
        <v>100</v>
      </c>
      <c r="I658" s="63">
        <f t="shared" si="83"/>
        <v>6.806</v>
      </c>
      <c r="J658" s="106">
        <f>VLOOKUP(C658,'RAW DATA 2023'!E:BO,22,0)</f>
        <v>6.8332499999999996</v>
      </c>
      <c r="K658" s="70">
        <f t="shared" si="86"/>
        <v>1.0040038201586834</v>
      </c>
      <c r="L658" s="72">
        <f t="shared" si="84"/>
        <v>6.8332499999999996</v>
      </c>
      <c r="M658" s="109">
        <f t="shared" si="88"/>
        <v>6.7200509354491125</v>
      </c>
      <c r="N658" s="123" t="str">
        <f>VLOOKUP(C658,'RAW DATA 2023'!E:BO,36,0)</f>
        <v>ทยอยตาย</v>
      </c>
      <c r="O658" s="63">
        <f>VLOOKUP(C658,'RAW DATA 2023'!E:BO,2,0)</f>
        <v>2</v>
      </c>
      <c r="P658" s="322">
        <f t="shared" si="87"/>
        <v>13.440101870898225</v>
      </c>
    </row>
    <row r="659" spans="1:16">
      <c r="A659" s="63" t="str">
        <f>'RAW DATA 2023'!B652</f>
        <v>CHBR1</v>
      </c>
      <c r="B659" s="63" t="str">
        <f>'RAW DATA 2023'!D652</f>
        <v>A1-009-0033</v>
      </c>
      <c r="C659" s="63" t="str">
        <f t="shared" si="81"/>
        <v>CHBR1A1-009-0033</v>
      </c>
      <c r="D659" s="68">
        <f>VLOOKUP(C659,'RAW DATA 2023'!E:BP,63,0)</f>
        <v>5</v>
      </c>
      <c r="E659" s="68" t="str">
        <f t="shared" si="82"/>
        <v>CHBR15</v>
      </c>
      <c r="F659" s="63" t="str">
        <f>VLOOKUP(C659,'RAW DATA 2023'!E:BO,5,0)</f>
        <v>Outdoor</v>
      </c>
      <c r="G659" s="63">
        <f>VLOOKUP(C659,'RAW DATA 2023'!E:BO,13,0)</f>
        <v>156</v>
      </c>
      <c r="H659" s="63">
        <f t="shared" si="85"/>
        <v>150</v>
      </c>
      <c r="I659" s="63">
        <f t="shared" si="83"/>
        <v>9.1999999999999993</v>
      </c>
      <c r="J659" s="106">
        <f>VLOOKUP(C659,'RAW DATA 2023'!E:BO,22,0)</f>
        <v>4.8065299999999995</v>
      </c>
      <c r="K659" s="70">
        <f t="shared" si="86"/>
        <v>0.52244891304347829</v>
      </c>
      <c r="L659" s="72">
        <f t="shared" si="84"/>
        <v>4.8065299999999995</v>
      </c>
      <c r="M659" s="109">
        <f t="shared" si="88"/>
        <v>0.29931884057971059</v>
      </c>
      <c r="N659" s="123" t="str">
        <f>VLOOKUP(C659,'RAW DATA 2023'!E:BO,36,0)</f>
        <v>Normal</v>
      </c>
      <c r="O659" s="63">
        <f>VLOOKUP(C659,'RAW DATA 2023'!E:BO,2,0)</f>
        <v>2</v>
      </c>
      <c r="P659" s="322">
        <f t="shared" si="87"/>
        <v>0.59863768115942118</v>
      </c>
    </row>
    <row r="660" spans="1:16">
      <c r="A660" s="63" t="str">
        <f>'RAW DATA 2023'!B653</f>
        <v>CHBR1</v>
      </c>
      <c r="B660" s="63" t="str">
        <f>'RAW DATA 2023'!D653</f>
        <v>A1-012-0039</v>
      </c>
      <c r="C660" s="63" t="str">
        <f t="shared" si="81"/>
        <v>CHBR1A1-012-0039</v>
      </c>
      <c r="D660" s="68">
        <f>VLOOKUP(C660,'RAW DATA 2023'!E:BP,63,0)</f>
        <v>5</v>
      </c>
      <c r="E660" s="68" t="str">
        <f t="shared" si="82"/>
        <v>CHBR15</v>
      </c>
      <c r="F660" s="63" t="str">
        <f>VLOOKUP(C660,'RAW DATA 2023'!E:BO,5,0)</f>
        <v>Outdoor</v>
      </c>
      <c r="G660" s="63">
        <f>VLOOKUP(C660,'RAW DATA 2023'!E:BO,13,0)</f>
        <v>167</v>
      </c>
      <c r="H660" s="63">
        <f t="shared" si="85"/>
        <v>180</v>
      </c>
      <c r="I660" s="63">
        <f t="shared" si="83"/>
        <v>10.247</v>
      </c>
      <c r="J660" s="106">
        <f>VLOOKUP(C660,'RAW DATA 2023'!E:BO,22,0)</f>
        <v>4.40801</v>
      </c>
      <c r="K660" s="70">
        <f t="shared" si="86"/>
        <v>0.43017566116912265</v>
      </c>
      <c r="L660" s="72">
        <f t="shared" si="84"/>
        <v>4.40801</v>
      </c>
      <c r="M660" s="109">
        <f t="shared" si="88"/>
        <v>-0.93099118441169804</v>
      </c>
      <c r="N660" s="123" t="str">
        <f>VLOOKUP(C660,'RAW DATA 2023'!E:BO,36,0)</f>
        <v>อัตรารอดต่ำ</v>
      </c>
      <c r="O660" s="63">
        <f>VLOOKUP(C660,'RAW DATA 2023'!E:BO,2,0)</f>
        <v>2</v>
      </c>
      <c r="P660" s="322">
        <f t="shared" si="87"/>
        <v>-1.8619823688233961</v>
      </c>
    </row>
    <row r="661" spans="1:16">
      <c r="A661" s="63" t="str">
        <f>'RAW DATA 2023'!B654</f>
        <v>CHBR1</v>
      </c>
      <c r="B661" s="63" t="str">
        <f>'RAW DATA 2023'!D654</f>
        <v>A1-017-0014</v>
      </c>
      <c r="C661" s="63" t="str">
        <f t="shared" si="81"/>
        <v>CHBR1A1-017-0014</v>
      </c>
      <c r="D661" s="68">
        <f>VLOOKUP(C661,'RAW DATA 2023'!E:BP,63,0)</f>
        <v>7</v>
      </c>
      <c r="E661" s="68" t="str">
        <f t="shared" si="82"/>
        <v>CHBR17</v>
      </c>
      <c r="F661" s="63" t="str">
        <f>VLOOKUP(C661,'RAW DATA 2023'!E:BO,5,0)</f>
        <v>Outdoor</v>
      </c>
      <c r="G661" s="63">
        <f>VLOOKUP(C661,'RAW DATA 2023'!E:BO,13,0)</f>
        <v>94</v>
      </c>
      <c r="H661" s="63">
        <f t="shared" si="85"/>
        <v>100</v>
      </c>
      <c r="I661" s="63">
        <f t="shared" si="83"/>
        <v>6.806</v>
      </c>
      <c r="J661" s="106">
        <f>VLOOKUP(C661,'RAW DATA 2023'!E:BO,22,0)</f>
        <v>8.4053550000000001</v>
      </c>
      <c r="K661" s="70">
        <f t="shared" si="86"/>
        <v>1.2349919188950926</v>
      </c>
      <c r="L661" s="72">
        <f t="shared" si="84"/>
        <v>8.4053550000000001</v>
      </c>
      <c r="M661" s="109">
        <f t="shared" si="88"/>
        <v>9.799892251934569</v>
      </c>
      <c r="N661" s="123" t="str">
        <f>VLOOKUP(C661,'RAW DATA 2023'!E:BO,36,0)</f>
        <v>Normal</v>
      </c>
      <c r="O661" s="63">
        <f>VLOOKUP(C661,'RAW DATA 2023'!E:BO,2,0)</f>
        <v>2</v>
      </c>
      <c r="P661" s="322">
        <f t="shared" si="87"/>
        <v>19.599784503869138</v>
      </c>
    </row>
    <row r="662" spans="1:16">
      <c r="A662" s="63" t="str">
        <f>'RAW DATA 2023'!B655</f>
        <v>CHBR1</v>
      </c>
      <c r="B662" s="63" t="str">
        <f>'RAW DATA 2023'!D655</f>
        <v>A1-012-0040</v>
      </c>
      <c r="C662" s="63" t="str">
        <f t="shared" si="81"/>
        <v>CHBR1A1-012-0040</v>
      </c>
      <c r="D662" s="68">
        <f>VLOOKUP(C662,'RAW DATA 2023'!E:BP,63,0)</f>
        <v>7</v>
      </c>
      <c r="E662" s="68" t="str">
        <f t="shared" si="82"/>
        <v>CHBR17</v>
      </c>
      <c r="F662" s="63" t="str">
        <f>VLOOKUP(C662,'RAW DATA 2023'!E:BO,5,0)</f>
        <v>Outdoor</v>
      </c>
      <c r="G662" s="63">
        <f>VLOOKUP(C662,'RAW DATA 2023'!E:BO,13,0)</f>
        <v>94</v>
      </c>
      <c r="H662" s="63">
        <f t="shared" si="85"/>
        <v>100</v>
      </c>
      <c r="I662" s="63">
        <f t="shared" si="83"/>
        <v>6.806</v>
      </c>
      <c r="J662" s="106">
        <f>VLOOKUP(C662,'RAW DATA 2023'!E:BO,22,0)</f>
        <v>2.8364499999999997</v>
      </c>
      <c r="K662" s="70">
        <f t="shared" si="86"/>
        <v>0.41675727299441662</v>
      </c>
      <c r="L662" s="72">
        <f t="shared" si="84"/>
        <v>2.8364499999999997</v>
      </c>
      <c r="M662" s="109">
        <f t="shared" si="88"/>
        <v>-1.1099030267411119</v>
      </c>
      <c r="N662" s="123" t="str">
        <f>VLOOKUP(C662,'RAW DATA 2023'!E:BO,36,0)</f>
        <v>EHP</v>
      </c>
      <c r="O662" s="63">
        <f>VLOOKUP(C662,'RAW DATA 2023'!E:BO,2,0)</f>
        <v>2</v>
      </c>
      <c r="P662" s="322">
        <f t="shared" si="87"/>
        <v>-2.2198060534822237</v>
      </c>
    </row>
    <row r="663" spans="1:16">
      <c r="A663" s="63" t="str">
        <f>'RAW DATA 2023'!B656</f>
        <v>CHBR1</v>
      </c>
      <c r="B663" s="63" t="str">
        <f>'RAW DATA 2023'!D656</f>
        <v>A1-016-0012</v>
      </c>
      <c r="C663" s="63" t="str">
        <f t="shared" si="81"/>
        <v>CHBR1A1-016-0012</v>
      </c>
      <c r="D663" s="68">
        <f>VLOOKUP(C663,'RAW DATA 2023'!E:BP,63,0)</f>
        <v>2</v>
      </c>
      <c r="E663" s="68" t="str">
        <f t="shared" si="82"/>
        <v>CHBR12</v>
      </c>
      <c r="F663" s="63" t="str">
        <f>VLOOKUP(C663,'RAW DATA 2023'!E:BO,5,0)</f>
        <v>Outdoor</v>
      </c>
      <c r="G663" s="63">
        <f>VLOOKUP(C663,'RAW DATA 2023'!E:BO,13,0)</f>
        <v>146</v>
      </c>
      <c r="H663" s="63">
        <f t="shared" si="85"/>
        <v>150</v>
      </c>
      <c r="I663" s="63">
        <f t="shared" si="83"/>
        <v>9.1999999999999993</v>
      </c>
      <c r="J663" s="106">
        <f>VLOOKUP(C663,'RAW DATA 2023'!E:BO,22,0)</f>
        <v>4.6984899999999996</v>
      </c>
      <c r="K663" s="70">
        <f t="shared" si="86"/>
        <v>0.51070543478260866</v>
      </c>
      <c r="L663" s="72">
        <f t="shared" si="84"/>
        <v>4.6984899999999996</v>
      </c>
      <c r="M663" s="109">
        <f t="shared" si="88"/>
        <v>0.14273913043478212</v>
      </c>
      <c r="N663" s="123" t="str">
        <f>VLOOKUP(C663,'RAW DATA 2023'!E:BO,36,0)</f>
        <v>อัตรารอดต่ำ</v>
      </c>
      <c r="O663" s="63">
        <f>VLOOKUP(C663,'RAW DATA 2023'!E:BO,2,0)</f>
        <v>2</v>
      </c>
      <c r="P663" s="322">
        <f t="shared" si="87"/>
        <v>0.28547826086956424</v>
      </c>
    </row>
    <row r="664" spans="1:16">
      <c r="A664" s="63" t="str">
        <f>'RAW DATA 2023'!B657</f>
        <v>CHBR1</v>
      </c>
      <c r="B664" s="63" t="str">
        <f>'RAW DATA 2023'!D657</f>
        <v>A1-011-0013</v>
      </c>
      <c r="C664" s="63" t="str">
        <f t="shared" si="81"/>
        <v>CHBR1A1-011-0013</v>
      </c>
      <c r="D664" s="68">
        <f>VLOOKUP(C664,'RAW DATA 2023'!E:BP,63,0)</f>
        <v>2</v>
      </c>
      <c r="E664" s="68" t="str">
        <f t="shared" si="82"/>
        <v>CHBR12</v>
      </c>
      <c r="F664" s="63" t="str">
        <f>VLOOKUP(C664,'RAW DATA 2023'!E:BO,5,0)</f>
        <v>Outdoor</v>
      </c>
      <c r="G664" s="63">
        <f>VLOOKUP(C664,'RAW DATA 2023'!E:BO,13,0)</f>
        <v>146</v>
      </c>
      <c r="H664" s="63">
        <f t="shared" si="85"/>
        <v>150</v>
      </c>
      <c r="I664" s="63">
        <f t="shared" si="83"/>
        <v>9.1999999999999993</v>
      </c>
      <c r="J664" s="106">
        <f>VLOOKUP(C664,'RAW DATA 2023'!E:BO,22,0)</f>
        <v>3.4512150000000004</v>
      </c>
      <c r="K664" s="70">
        <f t="shared" si="86"/>
        <v>0.3751320652173914</v>
      </c>
      <c r="L664" s="72">
        <f t="shared" si="84"/>
        <v>3.4512150000000004</v>
      </c>
      <c r="M664" s="109">
        <f t="shared" si="88"/>
        <v>-1.664905797101448</v>
      </c>
      <c r="N664" s="123" t="str">
        <f>VLOOKUP(C664,'RAW DATA 2023'!E:BO,36,0)</f>
        <v>ทยอยตาย</v>
      </c>
      <c r="O664" s="63">
        <f>VLOOKUP(C664,'RAW DATA 2023'!E:BO,2,0)</f>
        <v>2</v>
      </c>
      <c r="P664" s="322">
        <f t="shared" si="87"/>
        <v>-3.3298115942028961</v>
      </c>
    </row>
    <row r="665" spans="1:16">
      <c r="A665" s="63" t="str">
        <f>'RAW DATA 2023'!B658</f>
        <v>CHBR1</v>
      </c>
      <c r="B665" s="63" t="str">
        <f>'RAW DATA 2023'!D658</f>
        <v>A1-015-0018</v>
      </c>
      <c r="C665" s="63" t="str">
        <f t="shared" si="81"/>
        <v>CHBR1A1-015-0018</v>
      </c>
      <c r="D665" s="68">
        <f>VLOOKUP(C665,'RAW DATA 2023'!E:BP,63,0)</f>
        <v>7</v>
      </c>
      <c r="E665" s="68" t="str">
        <f t="shared" si="82"/>
        <v>CHBR17</v>
      </c>
      <c r="F665" s="63" t="str">
        <f>VLOOKUP(C665,'RAW DATA 2023'!E:BO,5,0)</f>
        <v>Outdoor</v>
      </c>
      <c r="G665" s="63">
        <f>VLOOKUP(C665,'RAW DATA 2023'!E:BO,13,0)</f>
        <v>94</v>
      </c>
      <c r="H665" s="63">
        <f t="shared" si="85"/>
        <v>100</v>
      </c>
      <c r="I665" s="63">
        <f t="shared" si="83"/>
        <v>6.806</v>
      </c>
      <c r="J665" s="106">
        <f>VLOOKUP(C665,'RAW DATA 2023'!E:BO,22,0)</f>
        <v>8.583260000000001</v>
      </c>
      <c r="K665" s="70">
        <f t="shared" si="86"/>
        <v>1.2611313546870411</v>
      </c>
      <c r="L665" s="72">
        <f t="shared" si="84"/>
        <v>8.583260000000001</v>
      </c>
      <c r="M665" s="109">
        <f t="shared" si="88"/>
        <v>10.148418062493882</v>
      </c>
      <c r="N665" s="123" t="str">
        <f>VLOOKUP(C665,'RAW DATA 2023'!E:BO,36,0)</f>
        <v>Normal</v>
      </c>
      <c r="O665" s="63">
        <f>VLOOKUP(C665,'RAW DATA 2023'!E:BO,2,0)</f>
        <v>2</v>
      </c>
      <c r="P665" s="322">
        <f t="shared" si="87"/>
        <v>20.296836124987763</v>
      </c>
    </row>
    <row r="666" spans="1:16">
      <c r="A666" s="63" t="str">
        <f>'RAW DATA 2023'!B659</f>
        <v>CHBR1</v>
      </c>
      <c r="B666" s="63" t="str">
        <f>'RAW DATA 2023'!D659</f>
        <v>A1-018-0012</v>
      </c>
      <c r="C666" s="63" t="str">
        <f t="shared" si="81"/>
        <v>CHBR1A1-018-0012</v>
      </c>
      <c r="D666" s="68">
        <f>VLOOKUP(C666,'RAW DATA 2023'!E:BP,63,0)</f>
        <v>3</v>
      </c>
      <c r="E666" s="68" t="str">
        <f t="shared" si="82"/>
        <v>CHBR13</v>
      </c>
      <c r="F666" s="63" t="str">
        <f>VLOOKUP(C666,'RAW DATA 2023'!E:BO,5,0)</f>
        <v>Outdoor</v>
      </c>
      <c r="G666" s="63">
        <f>VLOOKUP(C666,'RAW DATA 2023'!E:BO,13,0)</f>
        <v>167</v>
      </c>
      <c r="H666" s="63">
        <f t="shared" si="85"/>
        <v>180</v>
      </c>
      <c r="I666" s="63">
        <f t="shared" si="83"/>
        <v>10.247</v>
      </c>
      <c r="J666" s="106">
        <f>VLOOKUP(C666,'RAW DATA 2023'!E:BO,22,0)</f>
        <v>7.3770850000000001</v>
      </c>
      <c r="K666" s="70">
        <f t="shared" si="86"/>
        <v>0.71992631989850686</v>
      </c>
      <c r="L666" s="72">
        <f t="shared" si="84"/>
        <v>7.3770850000000001</v>
      </c>
      <c r="M666" s="109">
        <f t="shared" si="88"/>
        <v>2.9323509319800918</v>
      </c>
      <c r="N666" s="123" t="str">
        <f>VLOOKUP(C666,'RAW DATA 2023'!E:BO,36,0)</f>
        <v>Slow Growth</v>
      </c>
      <c r="O666" s="63">
        <f>VLOOKUP(C666,'RAW DATA 2023'!E:BO,2,0)</f>
        <v>2</v>
      </c>
      <c r="P666" s="322">
        <f t="shared" si="87"/>
        <v>5.8647018639601836</v>
      </c>
    </row>
    <row r="667" spans="1:16">
      <c r="A667" s="63" t="str">
        <f>'RAW DATA 2023'!B660</f>
        <v>CHBR1</v>
      </c>
      <c r="B667" s="63" t="str">
        <f>'RAW DATA 2023'!D660</f>
        <v>A1-009-0034</v>
      </c>
      <c r="C667" s="63" t="str">
        <f t="shared" si="81"/>
        <v>CHBR1A1-009-0034</v>
      </c>
      <c r="D667" s="68">
        <f>VLOOKUP(C667,'RAW DATA 2023'!E:BP,63,0)</f>
        <v>7</v>
      </c>
      <c r="E667" s="68" t="str">
        <f t="shared" si="82"/>
        <v>CHBR17</v>
      </c>
      <c r="F667" s="63" t="str">
        <f>VLOOKUP(C667,'RAW DATA 2023'!E:BO,5,0)</f>
        <v>Outdoor</v>
      </c>
      <c r="G667" s="63">
        <f>VLOOKUP(C667,'RAW DATA 2023'!E:BO,13,0)</f>
        <v>94</v>
      </c>
      <c r="H667" s="63">
        <f t="shared" si="85"/>
        <v>100</v>
      </c>
      <c r="I667" s="63">
        <f t="shared" si="83"/>
        <v>6.806</v>
      </c>
      <c r="J667" s="106">
        <f>VLOOKUP(C667,'RAW DATA 2023'!E:BO,22,0)</f>
        <v>2.9800200000000001</v>
      </c>
      <c r="K667" s="70">
        <f t="shared" si="86"/>
        <v>0.43785189538642377</v>
      </c>
      <c r="L667" s="72">
        <f t="shared" si="84"/>
        <v>2.9800200000000001</v>
      </c>
      <c r="M667" s="109">
        <f t="shared" si="88"/>
        <v>-0.82864139484768307</v>
      </c>
      <c r="N667" s="123" t="str">
        <f>VLOOKUP(C667,'RAW DATA 2023'!E:BO,36,0)</f>
        <v>EHP</v>
      </c>
      <c r="O667" s="63">
        <f>VLOOKUP(C667,'RAW DATA 2023'!E:BO,2,0)</f>
        <v>2</v>
      </c>
      <c r="P667" s="322">
        <f t="shared" si="87"/>
        <v>-1.6572827896953661</v>
      </c>
    </row>
    <row r="668" spans="1:16">
      <c r="A668" s="63" t="str">
        <f>'RAW DATA 2023'!B661</f>
        <v>CHBR1</v>
      </c>
      <c r="B668" s="63" t="str">
        <f>'RAW DATA 2023'!D661</f>
        <v>A1-019-0004</v>
      </c>
      <c r="C668" s="63" t="str">
        <f t="shared" si="81"/>
        <v>CHBR1A1-019-0004</v>
      </c>
      <c r="D668" s="68">
        <f>VLOOKUP(C668,'RAW DATA 2023'!E:BP,63,0)</f>
        <v>3</v>
      </c>
      <c r="E668" s="68" t="str">
        <f t="shared" si="82"/>
        <v>CHBR13</v>
      </c>
      <c r="F668" s="63" t="str">
        <f>VLOOKUP(C668,'RAW DATA 2023'!E:BO,5,0)</f>
        <v>Outdoor</v>
      </c>
      <c r="G668" s="63">
        <f>VLOOKUP(C668,'RAW DATA 2023'!E:BO,13,0)</f>
        <v>167</v>
      </c>
      <c r="H668" s="63">
        <f t="shared" si="85"/>
        <v>180</v>
      </c>
      <c r="I668" s="63">
        <f t="shared" si="83"/>
        <v>10.247</v>
      </c>
      <c r="J668" s="106">
        <f>VLOOKUP(C668,'RAW DATA 2023'!E:BO,22,0)</f>
        <v>6.2659500000000001</v>
      </c>
      <c r="K668" s="70">
        <f t="shared" si="86"/>
        <v>0.61149116814677473</v>
      </c>
      <c r="L668" s="72">
        <f t="shared" si="84"/>
        <v>6.2659500000000001</v>
      </c>
      <c r="M668" s="109">
        <f t="shared" si="88"/>
        <v>1.4865489086236632</v>
      </c>
      <c r="N668" s="123" t="str">
        <f>VLOOKUP(C668,'RAW DATA 2023'!E:BO,36,0)</f>
        <v>Slow Growth</v>
      </c>
      <c r="O668" s="63">
        <f>VLOOKUP(C668,'RAW DATA 2023'!E:BO,2,0)</f>
        <v>2</v>
      </c>
      <c r="P668" s="322">
        <f t="shared" si="87"/>
        <v>2.9730978172473264</v>
      </c>
    </row>
    <row r="669" spans="1:16">
      <c r="A669" s="63" t="str">
        <f>'RAW DATA 2023'!B662</f>
        <v>CHBR1</v>
      </c>
      <c r="B669" s="63" t="str">
        <f>'RAW DATA 2023'!D662</f>
        <v>A1-017-0013</v>
      </c>
      <c r="C669" s="63" t="str">
        <f t="shared" si="81"/>
        <v>CHBR1A1-017-0013</v>
      </c>
      <c r="D669" s="68">
        <f>VLOOKUP(C669,'RAW DATA 2023'!E:BP,63,0)</f>
        <v>2</v>
      </c>
      <c r="E669" s="68" t="str">
        <f t="shared" si="82"/>
        <v>CHBR12</v>
      </c>
      <c r="F669" s="63" t="str">
        <f>VLOOKUP(C669,'RAW DATA 2023'!E:BO,5,0)</f>
        <v>Outdoor</v>
      </c>
      <c r="G669" s="63">
        <f>VLOOKUP(C669,'RAW DATA 2023'!E:BO,13,0)</f>
        <v>167</v>
      </c>
      <c r="H669" s="63">
        <f t="shared" si="85"/>
        <v>180</v>
      </c>
      <c r="I669" s="63">
        <f t="shared" si="83"/>
        <v>10.247</v>
      </c>
      <c r="J669" s="106">
        <f>VLOOKUP(C669,'RAW DATA 2023'!E:BO,22,0)</f>
        <v>5.8559599999999996</v>
      </c>
      <c r="K669" s="70">
        <f t="shared" si="86"/>
        <v>0.57148043329755049</v>
      </c>
      <c r="L669" s="72">
        <f t="shared" si="84"/>
        <v>5.8559599999999996</v>
      </c>
      <c r="M669" s="109">
        <f t="shared" si="88"/>
        <v>0.95307244396733992</v>
      </c>
      <c r="N669" s="123" t="str">
        <f>VLOOKUP(C669,'RAW DATA 2023'!E:BO,36,0)</f>
        <v>Slow Growth</v>
      </c>
      <c r="O669" s="63">
        <f>VLOOKUP(C669,'RAW DATA 2023'!E:BO,2,0)</f>
        <v>2</v>
      </c>
      <c r="P669" s="322">
        <f t="shared" si="87"/>
        <v>1.9061448879346798</v>
      </c>
    </row>
    <row r="670" spans="1:16">
      <c r="A670" s="63" t="str">
        <f>'RAW DATA 2023'!B663</f>
        <v>CHBR1</v>
      </c>
      <c r="B670" s="63" t="str">
        <f>'RAW DATA 2023'!D663</f>
        <v>A1-015-0017</v>
      </c>
      <c r="C670" s="63" t="str">
        <f t="shared" si="81"/>
        <v>CHBR1A1-015-0017</v>
      </c>
      <c r="D670" s="68">
        <f>VLOOKUP(C670,'RAW DATA 2023'!E:BP,63,0)</f>
        <v>2</v>
      </c>
      <c r="E670" s="68" t="str">
        <f t="shared" si="82"/>
        <v>CHBR12</v>
      </c>
      <c r="F670" s="63" t="str">
        <f>VLOOKUP(C670,'RAW DATA 2023'!E:BO,5,0)</f>
        <v>Outdoor</v>
      </c>
      <c r="G670" s="63">
        <f>VLOOKUP(C670,'RAW DATA 2023'!E:BO,13,0)</f>
        <v>167</v>
      </c>
      <c r="H670" s="63">
        <f t="shared" si="85"/>
        <v>180</v>
      </c>
      <c r="I670" s="63">
        <f t="shared" si="83"/>
        <v>10.247</v>
      </c>
      <c r="J670" s="106">
        <f>VLOOKUP(C670,'RAW DATA 2023'!E:BO,22,0)</f>
        <v>4.2846299999999999</v>
      </c>
      <c r="K670" s="70">
        <f t="shared" si="86"/>
        <v>0.41813506392114763</v>
      </c>
      <c r="L670" s="72">
        <f t="shared" si="84"/>
        <v>4.2846299999999999</v>
      </c>
      <c r="M670" s="109">
        <f t="shared" si="88"/>
        <v>-1.0915324810513649</v>
      </c>
      <c r="N670" s="123" t="str">
        <f>VLOOKUP(C670,'RAW DATA 2023'!E:BO,36,0)</f>
        <v>Slow Growth</v>
      </c>
      <c r="O670" s="63">
        <f>VLOOKUP(C670,'RAW DATA 2023'!E:BO,2,0)</f>
        <v>2</v>
      </c>
      <c r="P670" s="322">
        <f t="shared" si="87"/>
        <v>-2.1830649621027298</v>
      </c>
    </row>
    <row r="671" spans="1:16">
      <c r="A671" s="63" t="str">
        <f>'RAW DATA 2023'!B664</f>
        <v>Tamai2</v>
      </c>
      <c r="B671" s="63" t="str">
        <f>'RAW DATA 2023'!D664</f>
        <v>D1-068-0004</v>
      </c>
      <c r="C671" s="63" t="str">
        <f t="shared" si="81"/>
        <v>Tamai2D1-068-0004</v>
      </c>
      <c r="D671" s="68">
        <f>VLOOKUP(C671,'RAW DATA 2023'!E:BP,63,0)</f>
        <v>7</v>
      </c>
      <c r="E671" s="68" t="str">
        <f t="shared" si="82"/>
        <v>Tamai27</v>
      </c>
      <c r="F671" s="63" t="str">
        <f>VLOOKUP(C671,'RAW DATA 2023'!E:BO,5,0)</f>
        <v>Outdoor</v>
      </c>
      <c r="G671" s="63">
        <f>VLOOKUP(C671,'RAW DATA 2023'!E:BO,13,0)</f>
        <v>157</v>
      </c>
      <c r="H671" s="63">
        <f t="shared" si="85"/>
        <v>150</v>
      </c>
      <c r="I671" s="63">
        <f t="shared" si="83"/>
        <v>9.1999999999999993</v>
      </c>
      <c r="J671" s="106">
        <f>VLOOKUP(C671,'RAW DATA 2023'!E:BO,22,0)</f>
        <v>9.6082046332046342</v>
      </c>
      <c r="K671" s="70">
        <f t="shared" si="86"/>
        <v>1.0443700688265907</v>
      </c>
      <c r="L671" s="72">
        <f t="shared" si="84"/>
        <v>9.6082046332046342</v>
      </c>
      <c r="M671" s="109">
        <f t="shared" si="88"/>
        <v>7.2582675843545426</v>
      </c>
      <c r="N671" s="123" t="str">
        <f>VLOOKUP(C671,'RAW DATA 2023'!E:BO,36,0)</f>
        <v>Normal</v>
      </c>
      <c r="O671" s="63">
        <f>VLOOKUP(C671,'RAW DATA 2023'!E:BO,2,0)</f>
        <v>2.59</v>
      </c>
      <c r="P671" s="322">
        <f t="shared" si="87"/>
        <v>18.798913043478265</v>
      </c>
    </row>
    <row r="672" spans="1:16">
      <c r="A672" s="63" t="str">
        <f>'RAW DATA 2023'!B665</f>
        <v>Tamai2</v>
      </c>
      <c r="B672" s="63" t="str">
        <f>'RAW DATA 2023'!D665</f>
        <v>D1-073-0009</v>
      </c>
      <c r="C672" s="63" t="str">
        <f t="shared" si="81"/>
        <v>Tamai2D1-073-0009</v>
      </c>
      <c r="D672" s="68">
        <f>VLOOKUP(C672,'RAW DATA 2023'!E:BP,63,0)</f>
        <v>5</v>
      </c>
      <c r="E672" s="68" t="str">
        <f t="shared" si="82"/>
        <v>Tamai25</v>
      </c>
      <c r="F672" s="63" t="str">
        <f>VLOOKUP(C672,'RAW DATA 2023'!E:BO,5,0)</f>
        <v>Outdoor</v>
      </c>
      <c r="G672" s="63">
        <f>VLOOKUP(C672,'RAW DATA 2023'!E:BO,13,0)</f>
        <v>167</v>
      </c>
      <c r="H672" s="63">
        <f t="shared" si="85"/>
        <v>180</v>
      </c>
      <c r="I672" s="63">
        <f t="shared" si="83"/>
        <v>10.247</v>
      </c>
      <c r="J672" s="106">
        <f>VLOOKUP(C672,'RAW DATA 2023'!E:BO,22,0)</f>
        <v>13.719917695473253</v>
      </c>
      <c r="K672" s="70">
        <f t="shared" si="86"/>
        <v>1.3389204348075781</v>
      </c>
      <c r="L672" s="72">
        <f t="shared" si="84"/>
        <v>13.719917695473253</v>
      </c>
      <c r="M672" s="109">
        <f t="shared" si="88"/>
        <v>11.185605797434375</v>
      </c>
      <c r="N672" s="123" t="str">
        <f>VLOOKUP(C672,'RAW DATA 2023'!E:BO,36,0)</f>
        <v>Normal</v>
      </c>
      <c r="O672" s="63">
        <f>VLOOKUP(C672,'RAW DATA 2023'!E:BO,2,0)</f>
        <v>2.4300000000000002</v>
      </c>
      <c r="P672" s="322">
        <f t="shared" si="87"/>
        <v>27.181022087765534</v>
      </c>
    </row>
    <row r="673" spans="1:16">
      <c r="A673" s="63" t="str">
        <f>'RAW DATA 2023'!B666</f>
        <v>Tamai2</v>
      </c>
      <c r="B673" s="63" t="str">
        <f>'RAW DATA 2023'!D666</f>
        <v>D1-068-0005</v>
      </c>
      <c r="C673" s="63" t="str">
        <f t="shared" si="81"/>
        <v>Tamai2D1-068-0005</v>
      </c>
      <c r="D673" s="68">
        <f>VLOOKUP(C673,'RAW DATA 2023'!E:BP,63,0)</f>
        <v>12</v>
      </c>
      <c r="E673" s="68" t="str">
        <f t="shared" si="82"/>
        <v>Tamai212</v>
      </c>
      <c r="F673" s="63" t="str">
        <f>VLOOKUP(C673,'RAW DATA 2023'!E:BO,5,0)</f>
        <v>Outdoor</v>
      </c>
      <c r="G673" s="63">
        <f>VLOOKUP(C673,'RAW DATA 2023'!E:BO,13,0)</f>
        <v>161</v>
      </c>
      <c r="H673" s="63">
        <f t="shared" si="85"/>
        <v>150</v>
      </c>
      <c r="I673" s="63">
        <f t="shared" si="83"/>
        <v>9.1999999999999993</v>
      </c>
      <c r="J673" s="106">
        <f>VLOOKUP(C673,'RAW DATA 2023'!E:BO,22,0)</f>
        <v>5.8090000000000002</v>
      </c>
      <c r="K673" s="70">
        <f t="shared" si="86"/>
        <v>0.63141304347826088</v>
      </c>
      <c r="L673" s="72">
        <f t="shared" si="84"/>
        <v>5.8090000000000002</v>
      </c>
      <c r="M673" s="109">
        <f t="shared" si="88"/>
        <v>1.7521739130434786</v>
      </c>
      <c r="N673" s="123" t="str">
        <f>VLOOKUP(C673,'RAW DATA 2023'!E:BO,36,0)</f>
        <v>ปิดฟาร์ม</v>
      </c>
      <c r="O673" s="63">
        <f>VLOOKUP(C673,'RAW DATA 2023'!E:BO,2,0)</f>
        <v>2.59</v>
      </c>
      <c r="P673" s="322">
        <f t="shared" si="87"/>
        <v>4.5381304347826097</v>
      </c>
    </row>
    <row r="674" spans="1:16">
      <c r="A674" s="63" t="str">
        <f>'RAW DATA 2023'!B667</f>
        <v>Tamai2</v>
      </c>
      <c r="B674" s="63" t="str">
        <f>'RAW DATA 2023'!D667</f>
        <v>D1-039-0028</v>
      </c>
      <c r="C674" s="63" t="str">
        <f t="shared" si="81"/>
        <v>Tamai2D1-039-0028</v>
      </c>
      <c r="D674" s="68">
        <f>VLOOKUP(C674,'RAW DATA 2023'!E:BP,63,0)</f>
        <v>6</v>
      </c>
      <c r="E674" s="68" t="str">
        <f t="shared" si="82"/>
        <v>Tamai26</v>
      </c>
      <c r="F674" s="63" t="str">
        <f>VLOOKUP(C674,'RAW DATA 2023'!E:BO,5,0)</f>
        <v>Outdoor</v>
      </c>
      <c r="G674" s="63">
        <f>VLOOKUP(C674,'RAW DATA 2023'!E:BO,13,0)</f>
        <v>135</v>
      </c>
      <c r="H674" s="63">
        <f t="shared" si="85"/>
        <v>150</v>
      </c>
      <c r="I674" s="63">
        <f t="shared" si="83"/>
        <v>9.1999999999999993</v>
      </c>
      <c r="J674" s="106">
        <f>VLOOKUP(C674,'RAW DATA 2023'!E:BO,22,0)</f>
        <v>4.7012600000000004</v>
      </c>
      <c r="K674" s="70">
        <f t="shared" si="86"/>
        <v>0.51100652173913053</v>
      </c>
      <c r="L674" s="72">
        <f t="shared" si="84"/>
        <v>4.7012600000000004</v>
      </c>
      <c r="M674" s="109">
        <f t="shared" si="88"/>
        <v>0.14675362318840701</v>
      </c>
      <c r="N674" s="123" t="str">
        <f>VLOOKUP(C674,'RAW DATA 2023'!E:BO,36,0)</f>
        <v>EHP</v>
      </c>
      <c r="O674" s="63">
        <f>VLOOKUP(C674,'RAW DATA 2023'!E:BO,2,0)</f>
        <v>4</v>
      </c>
      <c r="P674" s="322">
        <f t="shared" si="87"/>
        <v>0.58701449275362805</v>
      </c>
    </row>
    <row r="675" spans="1:16">
      <c r="A675" s="63" t="str">
        <f>'RAW DATA 2023'!B668</f>
        <v>Tamai2</v>
      </c>
      <c r="B675" s="63" t="str">
        <f>'RAW DATA 2023'!D668</f>
        <v>C1-058-0011</v>
      </c>
      <c r="C675" s="63" t="str">
        <f t="shared" si="81"/>
        <v>Tamai2C1-058-0011</v>
      </c>
      <c r="D675" s="68">
        <f>VLOOKUP(C675,'RAW DATA 2023'!E:BP,63,0)</f>
        <v>8</v>
      </c>
      <c r="E675" s="68" t="str">
        <f t="shared" si="82"/>
        <v>Tamai28</v>
      </c>
      <c r="F675" s="63" t="str">
        <f>VLOOKUP(C675,'RAW DATA 2023'!E:BO,5,0)</f>
        <v>Outdoor</v>
      </c>
      <c r="G675" s="63">
        <f>VLOOKUP(C675,'RAW DATA 2023'!E:BO,13,0)</f>
        <v>73</v>
      </c>
      <c r="H675" s="63">
        <f t="shared" si="85"/>
        <v>100</v>
      </c>
      <c r="I675" s="63">
        <f t="shared" si="83"/>
        <v>6.806</v>
      </c>
      <c r="J675" s="106">
        <f>VLOOKUP(C675,'RAW DATA 2023'!E:BO,22,0)</f>
        <v>1.3447953216374269</v>
      </c>
      <c r="K675" s="70">
        <f t="shared" si="86"/>
        <v>0.19758967405780589</v>
      </c>
      <c r="L675" s="72">
        <f t="shared" si="84"/>
        <v>1.3447953216374269</v>
      </c>
      <c r="M675" s="109">
        <f t="shared" si="88"/>
        <v>-4.0321376792292547</v>
      </c>
      <c r="N675" s="123" t="str">
        <f>VLOOKUP(C675,'RAW DATA 2023'!E:BO,36,0)</f>
        <v>EHP</v>
      </c>
      <c r="O675" s="63">
        <f>VLOOKUP(C675,'RAW DATA 2023'!E:BO,2,0)</f>
        <v>3.42</v>
      </c>
      <c r="P675" s="322">
        <f t="shared" si="87"/>
        <v>-13.789910862964051</v>
      </c>
    </row>
    <row r="676" spans="1:16">
      <c r="A676" s="63" t="str">
        <f>'RAW DATA 2023'!B669</f>
        <v>Tamai2</v>
      </c>
      <c r="B676" s="63" t="str">
        <f>'RAW DATA 2023'!D669</f>
        <v>D1-040-0028</v>
      </c>
      <c r="C676" s="63" t="str">
        <f t="shared" si="81"/>
        <v>Tamai2D1-040-0028</v>
      </c>
      <c r="D676" s="68">
        <f>VLOOKUP(C676,'RAW DATA 2023'!E:BP,63,0)</f>
        <v>6</v>
      </c>
      <c r="E676" s="68" t="str">
        <f t="shared" si="82"/>
        <v>Tamai26</v>
      </c>
      <c r="F676" s="63" t="str">
        <f>VLOOKUP(C676,'RAW DATA 2023'!E:BO,5,0)</f>
        <v>Outdoor</v>
      </c>
      <c r="G676" s="63">
        <f>VLOOKUP(C676,'RAW DATA 2023'!E:BO,13,0)</f>
        <v>129</v>
      </c>
      <c r="H676" s="63">
        <f t="shared" si="85"/>
        <v>100</v>
      </c>
      <c r="I676" s="63">
        <f t="shared" si="83"/>
        <v>6.806</v>
      </c>
      <c r="J676" s="106">
        <f>VLOOKUP(C676,'RAW DATA 2023'!E:BO,22,0)</f>
        <v>4.3060575221238944</v>
      </c>
      <c r="K676" s="70">
        <f t="shared" si="86"/>
        <v>0.63268550134056634</v>
      </c>
      <c r="L676" s="72">
        <f t="shared" si="84"/>
        <v>4.3060575221238944</v>
      </c>
      <c r="M676" s="109">
        <f t="shared" si="88"/>
        <v>1.7691400178742178</v>
      </c>
      <c r="N676" s="123" t="str">
        <f>VLOOKUP(C676,'RAW DATA 2023'!E:BO,36,0)</f>
        <v>EHP</v>
      </c>
      <c r="O676" s="63">
        <f>VLOOKUP(C676,'RAW DATA 2023'!E:BO,2,0)</f>
        <v>4.5199999999999996</v>
      </c>
      <c r="P676" s="322">
        <f t="shared" si="87"/>
        <v>7.9965128807914638</v>
      </c>
    </row>
    <row r="677" spans="1:16">
      <c r="A677" s="63" t="str">
        <f>'RAW DATA 2023'!B670</f>
        <v>Tamai2</v>
      </c>
      <c r="B677" s="63" t="str">
        <f>'RAW DATA 2023'!D670</f>
        <v>D1-073-0010</v>
      </c>
      <c r="C677" s="63" t="str">
        <f t="shared" si="81"/>
        <v>Tamai2D1-073-0010</v>
      </c>
      <c r="D677" s="68">
        <f>VLOOKUP(C677,'RAW DATA 2023'!E:BP,63,0)</f>
        <v>8</v>
      </c>
      <c r="E677" s="68" t="str">
        <f t="shared" si="82"/>
        <v>Tamai28</v>
      </c>
      <c r="F677" s="63" t="str">
        <f>VLOOKUP(C677,'RAW DATA 2023'!E:BO,5,0)</f>
        <v>Outdoor</v>
      </c>
      <c r="G677" s="63">
        <f>VLOOKUP(C677,'RAW DATA 2023'!E:BO,13,0)</f>
        <v>120</v>
      </c>
      <c r="H677" s="63">
        <f t="shared" si="85"/>
        <v>100</v>
      </c>
      <c r="I677" s="63">
        <f t="shared" si="83"/>
        <v>6.806</v>
      </c>
      <c r="J677" s="106">
        <f>VLOOKUP(C677,'RAW DATA 2023'!E:BO,22,0)</f>
        <v>2.4109999999999996</v>
      </c>
      <c r="K677" s="70">
        <f t="shared" si="86"/>
        <v>0.35424625330590648</v>
      </c>
      <c r="L677" s="72">
        <f t="shared" si="84"/>
        <v>2.4109999999999996</v>
      </c>
      <c r="M677" s="109">
        <f t="shared" si="88"/>
        <v>-1.9433832892545804</v>
      </c>
      <c r="N677" s="123" t="str">
        <f>VLOOKUP(C677,'RAW DATA 2023'!E:BO,36,0)</f>
        <v>EHP</v>
      </c>
      <c r="O677" s="63">
        <f>VLOOKUP(C677,'RAW DATA 2023'!E:BO,2,0)</f>
        <v>2.4300000000000002</v>
      </c>
      <c r="P677" s="322">
        <f t="shared" si="87"/>
        <v>-4.7224213928886307</v>
      </c>
    </row>
    <row r="678" spans="1:16">
      <c r="A678" s="63" t="str">
        <f>'RAW DATA 2023'!B671</f>
        <v>Tamai2</v>
      </c>
      <c r="B678" s="63" t="str">
        <f>'RAW DATA 2023'!D671</f>
        <v>D1-068-0003</v>
      </c>
      <c r="C678" s="63" t="str">
        <f t="shared" si="81"/>
        <v>Tamai2D1-068-0003</v>
      </c>
      <c r="D678" s="68">
        <f>VLOOKUP(C678,'RAW DATA 2023'!E:BP,63,0)</f>
        <v>3</v>
      </c>
      <c r="E678" s="68" t="str">
        <f t="shared" si="82"/>
        <v>Tamai23</v>
      </c>
      <c r="F678" s="63" t="str">
        <f>VLOOKUP(C678,'RAW DATA 2023'!E:BO,5,0)</f>
        <v>Outdoor</v>
      </c>
      <c r="G678" s="63">
        <f>VLOOKUP(C678,'RAW DATA 2023'!E:BO,13,0)</f>
        <v>145</v>
      </c>
      <c r="H678" s="63">
        <f t="shared" si="85"/>
        <v>150</v>
      </c>
      <c r="I678" s="63">
        <f t="shared" si="83"/>
        <v>9.1999999999999993</v>
      </c>
      <c r="J678" s="106">
        <f>VLOOKUP(C678,'RAW DATA 2023'!E:BO,22,0)</f>
        <v>0</v>
      </c>
      <c r="K678" s="70">
        <f t="shared" si="86"/>
        <v>0</v>
      </c>
      <c r="L678" s="72">
        <f t="shared" si="84"/>
        <v>0</v>
      </c>
      <c r="M678" s="109">
        <f t="shared" si="88"/>
        <v>-6.666666666666667</v>
      </c>
      <c r="N678" s="123" t="str">
        <f>VLOOKUP(C678,'RAW DATA 2023'!E:BO,36,0)</f>
        <v>WSSV</v>
      </c>
      <c r="O678" s="63">
        <f>VLOOKUP(C678,'RAW DATA 2023'!E:BO,2,0)</f>
        <v>2.59</v>
      </c>
      <c r="P678" s="322">
        <f t="shared" si="87"/>
        <v>-17.266666666666666</v>
      </c>
    </row>
    <row r="679" spans="1:16">
      <c r="A679" s="63" t="str">
        <f>'RAW DATA 2023'!B672</f>
        <v>Tamai2</v>
      </c>
      <c r="B679" s="63" t="str">
        <f>'RAW DATA 2023'!D672</f>
        <v>A1-006-0026</v>
      </c>
      <c r="C679" s="63" t="str">
        <f t="shared" si="81"/>
        <v>Tamai2A1-006-0026</v>
      </c>
      <c r="D679" s="68">
        <f>VLOOKUP(C679,'RAW DATA 2023'!E:BP,63,0)</f>
        <v>6</v>
      </c>
      <c r="E679" s="68" t="str">
        <f t="shared" si="82"/>
        <v>Tamai26</v>
      </c>
      <c r="F679" s="63" t="str">
        <f>VLOOKUP(C679,'RAW DATA 2023'!E:BO,5,0)</f>
        <v>Outdoor</v>
      </c>
      <c r="G679" s="63">
        <f>VLOOKUP(C679,'RAW DATA 2023'!E:BO,13,0)</f>
        <v>80</v>
      </c>
      <c r="H679" s="63">
        <f t="shared" si="85"/>
        <v>100</v>
      </c>
      <c r="I679" s="63">
        <f t="shared" si="83"/>
        <v>6.806</v>
      </c>
      <c r="J679" s="106">
        <f>VLOOKUP(C679,'RAW DATA 2023'!E:BO,22,0)</f>
        <v>6.8195717017208404</v>
      </c>
      <c r="K679" s="70">
        <f t="shared" si="86"/>
        <v>1.0019940790068822</v>
      </c>
      <c r="L679" s="72">
        <f t="shared" si="84"/>
        <v>6.8195717017208404</v>
      </c>
      <c r="M679" s="109">
        <f t="shared" si="88"/>
        <v>6.6932543867584293</v>
      </c>
      <c r="N679" s="123" t="str">
        <f>VLOOKUP(C679,'RAW DATA 2023'!E:BO,36,0)</f>
        <v>Normal</v>
      </c>
      <c r="O679" s="63">
        <f>VLOOKUP(C679,'RAW DATA 2023'!E:BO,2,0)</f>
        <v>5.23</v>
      </c>
      <c r="P679" s="322">
        <f t="shared" si="87"/>
        <v>35.005720442746586</v>
      </c>
    </row>
    <row r="680" spans="1:16">
      <c r="A680" s="63" t="str">
        <f>'RAW DATA 2023'!B673</f>
        <v>Tamai2</v>
      </c>
      <c r="B680" s="63" t="str">
        <f>'RAW DATA 2023'!D673</f>
        <v>E1-027-0035</v>
      </c>
      <c r="C680" s="63" t="str">
        <f t="shared" si="81"/>
        <v>Tamai2E1-027-0035</v>
      </c>
      <c r="D680" s="68">
        <f>VLOOKUP(C680,'RAW DATA 2023'!E:BP,63,0)</f>
        <v>5</v>
      </c>
      <c r="E680" s="68" t="str">
        <f t="shared" si="82"/>
        <v>Tamai25</v>
      </c>
      <c r="F680" s="63" t="str">
        <f>VLOOKUP(C680,'RAW DATA 2023'!E:BO,5,0)</f>
        <v>Outdoor</v>
      </c>
      <c r="G680" s="63">
        <f>VLOOKUP(C680,'RAW DATA 2023'!E:BO,13,0)</f>
        <v>60</v>
      </c>
      <c r="H680" s="63">
        <f t="shared" si="85"/>
        <v>100</v>
      </c>
      <c r="I680" s="63">
        <f t="shared" si="83"/>
        <v>6.806</v>
      </c>
      <c r="J680" s="106">
        <f>VLOOKUP(C680,'RAW DATA 2023'!E:BO,22,0)</f>
        <v>5.1587627450980396</v>
      </c>
      <c r="K680" s="70">
        <f t="shared" si="86"/>
        <v>0.75797278064913898</v>
      </c>
      <c r="L680" s="72">
        <f t="shared" si="84"/>
        <v>5.1587627450980396</v>
      </c>
      <c r="M680" s="109">
        <f t="shared" si="88"/>
        <v>3.439637075321853</v>
      </c>
      <c r="N680" s="123" t="str">
        <f>VLOOKUP(C680,'RAW DATA 2023'!E:BO,36,0)</f>
        <v>Normal</v>
      </c>
      <c r="O680" s="63">
        <f>VLOOKUP(C680,'RAW DATA 2023'!E:BO,2,0)</f>
        <v>5.0999999999999996</v>
      </c>
      <c r="P680" s="322">
        <f t="shared" si="87"/>
        <v>17.54214908414145</v>
      </c>
    </row>
    <row r="681" spans="1:16">
      <c r="A681" s="63" t="str">
        <f>'RAW DATA 2023'!B674</f>
        <v>Tamai2</v>
      </c>
      <c r="B681" s="63" t="str">
        <f>'RAW DATA 2023'!D674</f>
        <v>C1-057-0009</v>
      </c>
      <c r="C681" s="63" t="str">
        <f t="shared" si="81"/>
        <v>Tamai2C1-057-0009</v>
      </c>
      <c r="D681" s="68">
        <f>VLOOKUP(C681,'RAW DATA 2023'!E:BP,63,0)</f>
        <v>4</v>
      </c>
      <c r="E681" s="68" t="str">
        <f t="shared" si="82"/>
        <v>Tamai24</v>
      </c>
      <c r="F681" s="63" t="str">
        <f>VLOOKUP(C681,'RAW DATA 2023'!E:BO,5,0)</f>
        <v>Outdoor</v>
      </c>
      <c r="G681" s="63">
        <f>VLOOKUP(C681,'RAW DATA 2023'!E:BO,13,0)</f>
        <v>101</v>
      </c>
      <c r="H681" s="63">
        <f t="shared" si="85"/>
        <v>100</v>
      </c>
      <c r="I681" s="63">
        <f t="shared" si="83"/>
        <v>6.806</v>
      </c>
      <c r="J681" s="106">
        <f>VLOOKUP(C681,'RAW DATA 2023'!E:BO,22,0)</f>
        <v>7.1950000000000003</v>
      </c>
      <c r="K681" s="70">
        <f t="shared" si="86"/>
        <v>1.0571554510725831</v>
      </c>
      <c r="L681" s="72">
        <f t="shared" si="84"/>
        <v>7.1950000000000003</v>
      </c>
      <c r="M681" s="109">
        <f t="shared" si="88"/>
        <v>7.4287393476344423</v>
      </c>
      <c r="N681" s="123" t="str">
        <f>VLOOKUP(C681,'RAW DATA 2023'!E:BO,36,0)</f>
        <v>Normal</v>
      </c>
      <c r="O681" s="63">
        <f>VLOOKUP(C681,'RAW DATA 2023'!E:BO,2,0)</f>
        <v>3.29</v>
      </c>
      <c r="P681" s="322">
        <f t="shared" si="87"/>
        <v>24.440552453717316</v>
      </c>
    </row>
    <row r="682" spans="1:16">
      <c r="A682" s="63" t="str">
        <f>'RAW DATA 2023'!B675</f>
        <v>Tamai2</v>
      </c>
      <c r="B682" s="63" t="str">
        <f>'RAW DATA 2023'!D675</f>
        <v>E1-032-0036</v>
      </c>
      <c r="C682" s="63" t="str">
        <f t="shared" si="81"/>
        <v>Tamai2E1-032-0036</v>
      </c>
      <c r="D682" s="68">
        <f>VLOOKUP(C682,'RAW DATA 2023'!E:BP,63,0)</f>
        <v>3</v>
      </c>
      <c r="E682" s="68" t="str">
        <f t="shared" si="82"/>
        <v>Tamai23</v>
      </c>
      <c r="F682" s="63" t="str">
        <f>VLOOKUP(C682,'RAW DATA 2023'!E:BO,5,0)</f>
        <v>Outdoor</v>
      </c>
      <c r="G682" s="63">
        <f>VLOOKUP(C682,'RAW DATA 2023'!E:BO,13,0)</f>
        <v>79</v>
      </c>
      <c r="H682" s="63">
        <f t="shared" si="85"/>
        <v>100</v>
      </c>
      <c r="I682" s="63">
        <f t="shared" si="83"/>
        <v>6.806</v>
      </c>
      <c r="J682" s="106">
        <f>VLOOKUP(C682,'RAW DATA 2023'!E:BO,22,0)</f>
        <v>7.7127746212121204</v>
      </c>
      <c r="K682" s="70">
        <f t="shared" si="86"/>
        <v>1.1332316516620806</v>
      </c>
      <c r="L682" s="72">
        <f t="shared" si="84"/>
        <v>7.7127746212121204</v>
      </c>
      <c r="M682" s="109">
        <f t="shared" si="88"/>
        <v>8.4430886888277428</v>
      </c>
      <c r="N682" s="123" t="str">
        <f>VLOOKUP(C682,'RAW DATA 2023'!E:BO,36,0)</f>
        <v>Normal</v>
      </c>
      <c r="O682" s="63">
        <f>VLOOKUP(C682,'RAW DATA 2023'!E:BO,2,0)</f>
        <v>5.28</v>
      </c>
      <c r="P682" s="322">
        <f t="shared" si="87"/>
        <v>44.579508277010483</v>
      </c>
    </row>
    <row r="683" spans="1:16">
      <c r="A683" s="63" t="str">
        <f>'RAW DATA 2023'!B676</f>
        <v>Tamai2</v>
      </c>
      <c r="B683" s="63" t="str">
        <f>'RAW DATA 2023'!D676</f>
        <v>C1-057-0011</v>
      </c>
      <c r="C683" s="63" t="str">
        <f t="shared" si="81"/>
        <v>Tamai2C1-057-0011</v>
      </c>
      <c r="D683" s="68">
        <f>VLOOKUP(C683,'RAW DATA 2023'!E:BP,63,0)</f>
        <v>8</v>
      </c>
      <c r="E683" s="68" t="str">
        <f t="shared" si="82"/>
        <v>Tamai28</v>
      </c>
      <c r="F683" s="63" t="str">
        <f>VLOOKUP(C683,'RAW DATA 2023'!E:BO,5,0)</f>
        <v>Outdoor</v>
      </c>
      <c r="G683" s="63">
        <f>VLOOKUP(C683,'RAW DATA 2023'!E:BO,13,0)</f>
        <v>76</v>
      </c>
      <c r="H683" s="63">
        <f t="shared" si="85"/>
        <v>100</v>
      </c>
      <c r="I683" s="63">
        <f t="shared" si="83"/>
        <v>6.806</v>
      </c>
      <c r="J683" s="106">
        <f>VLOOKUP(C683,'RAW DATA 2023'!E:BO,22,0)</f>
        <v>1.3058936170212767</v>
      </c>
      <c r="K683" s="70">
        <f t="shared" si="86"/>
        <v>0.19187387849269419</v>
      </c>
      <c r="L683" s="72">
        <f t="shared" si="84"/>
        <v>1.3058936170212767</v>
      </c>
      <c r="M683" s="109">
        <f t="shared" si="88"/>
        <v>-4.1083482867640777</v>
      </c>
      <c r="N683" s="123" t="str">
        <f>VLOOKUP(C683,'RAW DATA 2023'!E:BO,36,0)</f>
        <v>EHP</v>
      </c>
      <c r="O683" s="63">
        <f>VLOOKUP(C683,'RAW DATA 2023'!E:BO,2,0)</f>
        <v>3.29</v>
      </c>
      <c r="P683" s="322">
        <f t="shared" si="87"/>
        <v>-13.516465863453815</v>
      </c>
    </row>
    <row r="684" spans="1:16">
      <c r="A684" s="63" t="str">
        <f>'RAW DATA 2023'!B677</f>
        <v>Tamai2</v>
      </c>
      <c r="B684" s="63" t="str">
        <f>'RAW DATA 2023'!D677</f>
        <v>A1-082-0008</v>
      </c>
      <c r="C684" s="63" t="str">
        <f t="shared" si="81"/>
        <v>Tamai2A1-082-0008</v>
      </c>
      <c r="D684" s="68">
        <f>VLOOKUP(C684,'RAW DATA 2023'!E:BP,63,0)</f>
        <v>5</v>
      </c>
      <c r="E684" s="68" t="str">
        <f t="shared" si="82"/>
        <v>Tamai25</v>
      </c>
      <c r="F684" s="63" t="str">
        <f>VLOOKUP(C684,'RAW DATA 2023'!E:BO,5,0)</f>
        <v>Outdoor</v>
      </c>
      <c r="G684" s="63">
        <f>VLOOKUP(C684,'RAW DATA 2023'!E:BO,13,0)</f>
        <v>99</v>
      </c>
      <c r="H684" s="63">
        <f t="shared" si="85"/>
        <v>100</v>
      </c>
      <c r="I684" s="63">
        <f t="shared" si="83"/>
        <v>6.806</v>
      </c>
      <c r="J684" s="106">
        <f>VLOOKUP(C684,'RAW DATA 2023'!E:BO,22,0)</f>
        <v>4.9543151658767774</v>
      </c>
      <c r="K684" s="70">
        <f t="shared" si="86"/>
        <v>0.72793346545353765</v>
      </c>
      <c r="L684" s="72">
        <f t="shared" si="84"/>
        <v>4.9543151658767774</v>
      </c>
      <c r="M684" s="109">
        <f t="shared" si="88"/>
        <v>3.0391128727138357</v>
      </c>
      <c r="N684" s="123" t="str">
        <f>VLOOKUP(C684,'RAW DATA 2023'!E:BO,36,0)</f>
        <v>WFD</v>
      </c>
      <c r="O684" s="63">
        <f>VLOOKUP(C684,'RAW DATA 2023'!E:BO,2,0)</f>
        <v>4.22</v>
      </c>
      <c r="P684" s="322">
        <f t="shared" si="87"/>
        <v>12.825056322852387</v>
      </c>
    </row>
    <row r="685" spans="1:16">
      <c r="A685" s="63" t="str">
        <f>'RAW DATA 2023'!B678</f>
        <v>Tamai2</v>
      </c>
      <c r="B685" s="63" t="str">
        <f>'RAW DATA 2023'!D678</f>
        <v>E1-032-0037</v>
      </c>
      <c r="C685" s="63" t="str">
        <f t="shared" si="81"/>
        <v>Tamai2E1-032-0037</v>
      </c>
      <c r="D685" s="68">
        <f>VLOOKUP(C685,'RAW DATA 2023'!E:BP,63,0)</f>
        <v>7</v>
      </c>
      <c r="E685" s="68" t="str">
        <f t="shared" si="82"/>
        <v>Tamai27</v>
      </c>
      <c r="F685" s="63" t="str">
        <f>VLOOKUP(C685,'RAW DATA 2023'!E:BO,5,0)</f>
        <v>Outdoor</v>
      </c>
      <c r="G685" s="63">
        <f>VLOOKUP(C685,'RAW DATA 2023'!E:BO,13,0)</f>
        <v>210</v>
      </c>
      <c r="H685" s="63">
        <f t="shared" si="85"/>
        <v>200</v>
      </c>
      <c r="I685" s="63">
        <f t="shared" si="83"/>
        <v>11.259</v>
      </c>
      <c r="J685" s="106">
        <f>VLOOKUP(C685,'RAW DATA 2023'!E:BO,22,0)</f>
        <v>5.693732954545454</v>
      </c>
      <c r="K685" s="70">
        <f t="shared" si="86"/>
        <v>0.5057050319340487</v>
      </c>
      <c r="L685" s="72">
        <f t="shared" si="84"/>
        <v>5.693732954545454</v>
      </c>
      <c r="M685" s="109">
        <f t="shared" si="88"/>
        <v>7.606709245398266E-2</v>
      </c>
      <c r="N685" s="123" t="str">
        <f>VLOOKUP(C685,'RAW DATA 2023'!E:BO,36,0)</f>
        <v>EHP</v>
      </c>
      <c r="O685" s="63">
        <f>VLOOKUP(C685,'RAW DATA 2023'!E:BO,2,0)</f>
        <v>5.28</v>
      </c>
      <c r="P685" s="322">
        <f t="shared" si="87"/>
        <v>0.40163424815702847</v>
      </c>
    </row>
    <row r="686" spans="1:16">
      <c r="A686" s="63" t="str">
        <f>'RAW DATA 2023'!B679</f>
        <v>Tamai2</v>
      </c>
      <c r="B686" s="63" t="str">
        <f>'RAW DATA 2023'!D679</f>
        <v>C1-058-0010</v>
      </c>
      <c r="C686" s="63" t="str">
        <f t="shared" si="81"/>
        <v>Tamai2C1-058-0010</v>
      </c>
      <c r="D686" s="68">
        <f>VLOOKUP(C686,'RAW DATA 2023'!E:BP,63,0)</f>
        <v>4</v>
      </c>
      <c r="E686" s="68" t="str">
        <f t="shared" si="82"/>
        <v>Tamai24</v>
      </c>
      <c r="F686" s="63" t="str">
        <f>VLOOKUP(C686,'RAW DATA 2023'!E:BO,5,0)</f>
        <v>Outdoor</v>
      </c>
      <c r="G686" s="63">
        <f>VLOOKUP(C686,'RAW DATA 2023'!E:BO,13,0)</f>
        <v>85</v>
      </c>
      <c r="H686" s="63">
        <f t="shared" si="85"/>
        <v>100</v>
      </c>
      <c r="I686" s="63">
        <f t="shared" si="83"/>
        <v>6.806</v>
      </c>
      <c r="J686" s="106">
        <f>VLOOKUP(C686,'RAW DATA 2023'!E:BO,22,0)</f>
        <v>1.4923099415204679</v>
      </c>
      <c r="K686" s="70">
        <f t="shared" si="86"/>
        <v>0.21926387621517307</v>
      </c>
      <c r="L686" s="72">
        <f t="shared" si="84"/>
        <v>1.4923099415204679</v>
      </c>
      <c r="M686" s="109">
        <f t="shared" si="88"/>
        <v>-3.743148317131026</v>
      </c>
      <c r="N686" s="123" t="str">
        <f>VLOOKUP(C686,'RAW DATA 2023'!E:BO,36,0)</f>
        <v>EHP</v>
      </c>
      <c r="O686" s="63">
        <f>VLOOKUP(C686,'RAW DATA 2023'!E:BO,2,0)</f>
        <v>3.42</v>
      </c>
      <c r="P686" s="322">
        <f t="shared" si="87"/>
        <v>-12.801567244588108</v>
      </c>
    </row>
    <row r="687" spans="1:16">
      <c r="A687" s="63" t="str">
        <f>'RAW DATA 2023'!B680</f>
        <v>Tamai2</v>
      </c>
      <c r="B687" s="63" t="str">
        <f>'RAW DATA 2023'!D680</f>
        <v>C1-093-0008</v>
      </c>
      <c r="C687" s="63" t="str">
        <f t="shared" si="81"/>
        <v>Tamai2C1-093-0008</v>
      </c>
      <c r="D687" s="68">
        <f>VLOOKUP(C687,'RAW DATA 2023'!E:BP,63,0)</f>
        <v>6</v>
      </c>
      <c r="E687" s="68" t="str">
        <f t="shared" si="82"/>
        <v>Tamai26</v>
      </c>
      <c r="F687" s="63" t="str">
        <f>VLOOKUP(C687,'RAW DATA 2023'!E:BO,5,0)</f>
        <v>Outdoor</v>
      </c>
      <c r="G687" s="63">
        <f>VLOOKUP(C687,'RAW DATA 2023'!E:BO,13,0)</f>
        <v>92</v>
      </c>
      <c r="H687" s="63">
        <f t="shared" si="85"/>
        <v>100</v>
      </c>
      <c r="I687" s="63">
        <f t="shared" si="83"/>
        <v>6.806</v>
      </c>
      <c r="J687" s="106">
        <f>VLOOKUP(C687,'RAW DATA 2023'!E:BO,22,0)</f>
        <v>1.4241101928374658</v>
      </c>
      <c r="K687" s="70">
        <f t="shared" si="86"/>
        <v>0.20924334305575459</v>
      </c>
      <c r="L687" s="72">
        <f t="shared" si="84"/>
        <v>1.4241101928374658</v>
      </c>
      <c r="M687" s="109">
        <f t="shared" si="88"/>
        <v>-3.8767554259232724</v>
      </c>
      <c r="N687" s="123" t="str">
        <f>VLOOKUP(C687,'RAW DATA 2023'!E:BO,36,0)</f>
        <v>EHP</v>
      </c>
      <c r="O687" s="63">
        <f>VLOOKUP(C687,'RAW DATA 2023'!E:BO,2,0)</f>
        <v>3.63</v>
      </c>
      <c r="P687" s="322">
        <f t="shared" si="87"/>
        <v>-14.072622196101479</v>
      </c>
    </row>
    <row r="688" spans="1:16">
      <c r="A688" s="63" t="str">
        <f>'RAW DATA 2023'!B681</f>
        <v>Tamai2</v>
      </c>
      <c r="B688" s="63" t="str">
        <f>'RAW DATA 2023'!D681</f>
        <v>C1-057-0010</v>
      </c>
      <c r="C688" s="63" t="str">
        <f t="shared" si="81"/>
        <v>Tamai2C1-057-0010</v>
      </c>
      <c r="D688" s="68">
        <f>VLOOKUP(C688,'RAW DATA 2023'!E:BP,63,0)</f>
        <v>6</v>
      </c>
      <c r="E688" s="68" t="str">
        <f t="shared" si="82"/>
        <v>Tamai26</v>
      </c>
      <c r="F688" s="63" t="str">
        <f>VLOOKUP(C688,'RAW DATA 2023'!E:BO,5,0)</f>
        <v>Outdoor</v>
      </c>
      <c r="G688" s="63">
        <f>VLOOKUP(C688,'RAW DATA 2023'!E:BO,13,0)</f>
        <v>101</v>
      </c>
      <c r="H688" s="63">
        <f t="shared" si="85"/>
        <v>100</v>
      </c>
      <c r="I688" s="63">
        <f t="shared" si="83"/>
        <v>6.806</v>
      </c>
      <c r="J688" s="106">
        <f>VLOOKUP(C688,'RAW DATA 2023'!E:BO,22,0)</f>
        <v>1.3729969604863221</v>
      </c>
      <c r="K688" s="70">
        <f t="shared" si="86"/>
        <v>0.20173331773234238</v>
      </c>
      <c r="L688" s="72">
        <f t="shared" si="84"/>
        <v>1.3729969604863221</v>
      </c>
      <c r="M688" s="109">
        <f t="shared" si="88"/>
        <v>-3.9768890969021018</v>
      </c>
      <c r="N688" s="123" t="str">
        <f>VLOOKUP(C688,'RAW DATA 2023'!E:BO,36,0)</f>
        <v>EHP</v>
      </c>
      <c r="O688" s="63">
        <f>VLOOKUP(C688,'RAW DATA 2023'!E:BO,2,0)</f>
        <v>3.29</v>
      </c>
      <c r="P688" s="322">
        <f t="shared" si="87"/>
        <v>-13.083965128807915</v>
      </c>
    </row>
    <row r="689" spans="1:16">
      <c r="A689" s="63" t="str">
        <f>'RAW DATA 2023'!B682</f>
        <v>Tamai2</v>
      </c>
      <c r="B689" s="63" t="str">
        <f>'RAW DATA 2023'!D682</f>
        <v>A1-006-0027</v>
      </c>
      <c r="C689" s="63" t="str">
        <f t="shared" si="81"/>
        <v>Tamai2A1-006-0027</v>
      </c>
      <c r="D689" s="68">
        <f>VLOOKUP(C689,'RAW DATA 2023'!E:BP,63,0)</f>
        <v>7</v>
      </c>
      <c r="E689" s="68" t="str">
        <f t="shared" si="82"/>
        <v>Tamai27</v>
      </c>
      <c r="F689" s="63" t="str">
        <f>VLOOKUP(C689,'RAW DATA 2023'!E:BO,5,0)</f>
        <v>Outdoor</v>
      </c>
      <c r="G689" s="63">
        <f>VLOOKUP(C689,'RAW DATA 2023'!E:BO,13,0)</f>
        <v>80</v>
      </c>
      <c r="H689" s="63">
        <f t="shared" si="85"/>
        <v>100</v>
      </c>
      <c r="I689" s="63">
        <f t="shared" si="83"/>
        <v>6.806</v>
      </c>
      <c r="J689" s="106">
        <f>VLOOKUP(C689,'RAW DATA 2023'!E:BO,22,0)</f>
        <v>0</v>
      </c>
      <c r="K689" s="70">
        <f t="shared" si="86"/>
        <v>0</v>
      </c>
      <c r="L689" s="72">
        <f t="shared" si="84"/>
        <v>0</v>
      </c>
      <c r="M689" s="109">
        <f t="shared" si="88"/>
        <v>-6.666666666666667</v>
      </c>
      <c r="N689" s="123" t="str">
        <f>VLOOKUP(C689,'RAW DATA 2023'!E:BO,36,0)</f>
        <v>EHP</v>
      </c>
      <c r="O689" s="63">
        <f>VLOOKUP(C689,'RAW DATA 2023'!E:BO,2,0)</f>
        <v>5.23</v>
      </c>
      <c r="P689" s="322">
        <f t="shared" si="87"/>
        <v>-34.866666666666674</v>
      </c>
    </row>
    <row r="690" spans="1:16">
      <c r="A690" s="63" t="str">
        <f>'RAW DATA 2023'!B683</f>
        <v>Tamai2</v>
      </c>
      <c r="B690" s="63" t="str">
        <f>'RAW DATA 2023'!D683</f>
        <v>A1-032-0033</v>
      </c>
      <c r="C690" s="63" t="str">
        <f t="shared" si="81"/>
        <v>Tamai2A1-032-0033</v>
      </c>
      <c r="D690" s="68">
        <f>VLOOKUP(C690,'RAW DATA 2023'!E:BP,63,0)</f>
        <v>10</v>
      </c>
      <c r="E690" s="68" t="str">
        <f t="shared" si="82"/>
        <v>Tamai210</v>
      </c>
      <c r="F690" s="63" t="str">
        <f>VLOOKUP(C690,'RAW DATA 2023'!E:BO,5,0)</f>
        <v>Outdoor</v>
      </c>
      <c r="G690" s="63">
        <f>VLOOKUP(C690,'RAW DATA 2023'!E:BO,13,0)</f>
        <v>158</v>
      </c>
      <c r="H690" s="63">
        <f t="shared" si="85"/>
        <v>150</v>
      </c>
      <c r="I690" s="63">
        <f t="shared" si="83"/>
        <v>9.1999999999999993</v>
      </c>
      <c r="J690" s="106">
        <f>VLOOKUP(C690,'RAW DATA 2023'!E:BO,22,0)</f>
        <v>0</v>
      </c>
      <c r="K690" s="70">
        <f t="shared" si="86"/>
        <v>0</v>
      </c>
      <c r="L690" s="72">
        <f t="shared" si="84"/>
        <v>0</v>
      </c>
      <c r="M690" s="109">
        <f t="shared" si="88"/>
        <v>-6.666666666666667</v>
      </c>
      <c r="N690" s="123" t="str">
        <f>VLOOKUP(C690,'RAW DATA 2023'!E:BO,36,0)</f>
        <v>WSSV</v>
      </c>
      <c r="O690" s="63">
        <f>VLOOKUP(C690,'RAW DATA 2023'!E:BO,2,0)</f>
        <v>5.28</v>
      </c>
      <c r="P690" s="322">
        <f t="shared" si="87"/>
        <v>-35.200000000000003</v>
      </c>
    </row>
    <row r="691" spans="1:16">
      <c r="A691" s="63" t="str">
        <f>'RAW DATA 2023'!B684</f>
        <v>Chantaburi3</v>
      </c>
      <c r="B691" s="63" t="str">
        <f>'RAW DATA 2023'!D684</f>
        <v>B1-023-0029</v>
      </c>
      <c r="C691" s="63" t="str">
        <f t="shared" si="81"/>
        <v>Chantaburi3B1-023-0029</v>
      </c>
      <c r="D691" s="68">
        <f>VLOOKUP(C691,'RAW DATA 2023'!E:BP,63,0)</f>
        <v>8</v>
      </c>
      <c r="E691" s="68" t="str">
        <f t="shared" si="82"/>
        <v>Chantaburi38</v>
      </c>
      <c r="F691" s="63" t="str">
        <f>VLOOKUP(C691,'RAW DATA 2023'!E:BO,5,0)</f>
        <v>Outdoor</v>
      </c>
      <c r="G691" s="63">
        <f>VLOOKUP(C691,'RAW DATA 2023'!E:BO,13,0)</f>
        <v>119</v>
      </c>
      <c r="H691" s="63">
        <f t="shared" si="85"/>
        <v>100</v>
      </c>
      <c r="I691" s="63">
        <f t="shared" si="83"/>
        <v>6.806</v>
      </c>
      <c r="J691" s="106">
        <f>VLOOKUP(C691,'RAW DATA 2023'!E:BO,22,0)</f>
        <v>6.5282782608695662</v>
      </c>
      <c r="K691" s="70">
        <f t="shared" si="86"/>
        <v>0.95919457256385043</v>
      </c>
      <c r="L691" s="72">
        <f t="shared" si="84"/>
        <v>6.5282782608695662</v>
      </c>
      <c r="M691" s="109">
        <f t="shared" si="88"/>
        <v>6.1225943008513397</v>
      </c>
      <c r="N691" s="123" t="str">
        <f>VLOOKUP(C691,'RAW DATA 2023'!E:BO,36,0)</f>
        <v>WFD</v>
      </c>
      <c r="O691" s="63">
        <f>VLOOKUP(C691,'RAW DATA 2023'!E:BO,2,0)</f>
        <v>2.2999999999999998</v>
      </c>
      <c r="P691" s="322">
        <f t="shared" si="87"/>
        <v>14.08196689195808</v>
      </c>
    </row>
    <row r="692" spans="1:16">
      <c r="A692" s="63" t="str">
        <f>'RAW DATA 2023'!B685</f>
        <v>Chantaburi3</v>
      </c>
      <c r="B692" s="63" t="str">
        <f>'RAW DATA 2023'!D685</f>
        <v>A1-008-0045</v>
      </c>
      <c r="C692" s="63" t="str">
        <f t="shared" si="81"/>
        <v>Chantaburi3A1-008-0045</v>
      </c>
      <c r="D692" s="68">
        <f>VLOOKUP(C692,'RAW DATA 2023'!E:BP,63,0)</f>
        <v>11</v>
      </c>
      <c r="E692" s="68" t="str">
        <f t="shared" si="82"/>
        <v>Chantaburi311</v>
      </c>
      <c r="F692" s="63" t="str">
        <f>VLOOKUP(C692,'RAW DATA 2023'!E:BO,5,0)</f>
        <v>Outdoor</v>
      </c>
      <c r="G692" s="63">
        <f>VLOOKUP(C692,'RAW DATA 2023'!E:BO,13,0)</f>
        <v>169</v>
      </c>
      <c r="H692" s="63">
        <f t="shared" si="85"/>
        <v>180</v>
      </c>
      <c r="I692" s="63">
        <f t="shared" si="83"/>
        <v>10.247</v>
      </c>
      <c r="J692" s="106">
        <f>VLOOKUP(C692,'RAW DATA 2023'!E:BO,22,0)</f>
        <v>5.7687634146341464</v>
      </c>
      <c r="K692" s="70">
        <f t="shared" si="86"/>
        <v>0.56297095878151127</v>
      </c>
      <c r="L692" s="72">
        <f t="shared" si="84"/>
        <v>5.7687634146341464</v>
      </c>
      <c r="M692" s="109">
        <f t="shared" si="88"/>
        <v>0.83961278375348358</v>
      </c>
      <c r="N692" s="123" t="str">
        <f>VLOOKUP(C692,'RAW DATA 2023'!E:BO,36,0)</f>
        <v>EHP</v>
      </c>
      <c r="O692" s="63">
        <f>VLOOKUP(C692,'RAW DATA 2023'!E:BO,2,0)</f>
        <v>4.0999999999999996</v>
      </c>
      <c r="P692" s="322">
        <f t="shared" si="87"/>
        <v>3.4424124133892824</v>
      </c>
    </row>
    <row r="693" spans="1:16">
      <c r="A693" s="63" t="str">
        <f>'RAW DATA 2023'!B686</f>
        <v>Chantaburi3</v>
      </c>
      <c r="B693" s="63" t="str">
        <f>'RAW DATA 2023'!D686</f>
        <v>B1-024-0042</v>
      </c>
      <c r="C693" s="63" t="str">
        <f t="shared" si="81"/>
        <v>Chantaburi3B1-024-0042</v>
      </c>
      <c r="D693" s="68">
        <f>VLOOKUP(C693,'RAW DATA 2023'!E:BP,63,0)</f>
        <v>7</v>
      </c>
      <c r="E693" s="68" t="str">
        <f t="shared" si="82"/>
        <v>Chantaburi37</v>
      </c>
      <c r="F693" s="63" t="str">
        <f>VLOOKUP(C693,'RAW DATA 2023'!E:BO,5,0)</f>
        <v>Outdoor</v>
      </c>
      <c r="G693" s="63">
        <f>VLOOKUP(C693,'RAW DATA 2023'!E:BO,13,0)</f>
        <v>156</v>
      </c>
      <c r="H693" s="63">
        <f t="shared" si="85"/>
        <v>150</v>
      </c>
      <c r="I693" s="63">
        <f t="shared" si="83"/>
        <v>9.1999999999999993</v>
      </c>
      <c r="J693" s="106">
        <f>VLOOKUP(C693,'RAW DATA 2023'!E:BO,22,0)</f>
        <v>11.9008</v>
      </c>
      <c r="K693" s="70">
        <f t="shared" si="86"/>
        <v>1.2935652173913044</v>
      </c>
      <c r="L693" s="72">
        <f t="shared" si="84"/>
        <v>11.9008</v>
      </c>
      <c r="M693" s="109">
        <f t="shared" si="88"/>
        <v>10.580869565217393</v>
      </c>
      <c r="N693" s="123" t="str">
        <f>VLOOKUP(C693,'RAW DATA 2023'!E:BO,36,0)</f>
        <v>Normal</v>
      </c>
      <c r="O693" s="63">
        <f>VLOOKUP(C693,'RAW DATA 2023'!E:BO,2,0)</f>
        <v>2.5</v>
      </c>
      <c r="P693" s="322">
        <f t="shared" si="87"/>
        <v>26.452173913043481</v>
      </c>
    </row>
    <row r="694" spans="1:16">
      <c r="A694" s="63" t="str">
        <f>'RAW DATA 2023'!B687</f>
        <v>Chantaburi3</v>
      </c>
      <c r="B694" s="63" t="str">
        <f>'RAW DATA 2023'!D687</f>
        <v>A1-011-0043</v>
      </c>
      <c r="C694" s="63" t="str">
        <f t="shared" si="81"/>
        <v>Chantaburi3A1-011-0043</v>
      </c>
      <c r="D694" s="68">
        <f>VLOOKUP(C694,'RAW DATA 2023'!E:BP,63,0)</f>
        <v>4</v>
      </c>
      <c r="E694" s="68" t="str">
        <f t="shared" si="82"/>
        <v>Chantaburi34</v>
      </c>
      <c r="F694" s="63" t="str">
        <f>VLOOKUP(C694,'RAW DATA 2023'!E:BO,5,0)</f>
        <v>Outdoor</v>
      </c>
      <c r="G694" s="63">
        <f>VLOOKUP(C694,'RAW DATA 2023'!E:BO,13,0)</f>
        <v>164</v>
      </c>
      <c r="H694" s="63">
        <f t="shared" si="85"/>
        <v>150</v>
      </c>
      <c r="I694" s="63">
        <f t="shared" si="83"/>
        <v>9.1999999999999993</v>
      </c>
      <c r="J694" s="106">
        <f>VLOOKUP(C694,'RAW DATA 2023'!E:BO,22,0)</f>
        <v>6.3272105263157901</v>
      </c>
      <c r="K694" s="70">
        <f t="shared" si="86"/>
        <v>0.68774027459954246</v>
      </c>
      <c r="L694" s="72">
        <f t="shared" si="84"/>
        <v>6.3272105263157901</v>
      </c>
      <c r="M694" s="109">
        <f t="shared" si="88"/>
        <v>2.503203661327233</v>
      </c>
      <c r="N694" s="123" t="str">
        <f>VLOOKUP(C694,'RAW DATA 2023'!E:BO,36,0)</f>
        <v>Normal</v>
      </c>
      <c r="O694" s="63">
        <f>VLOOKUP(C694,'RAW DATA 2023'!E:BO,2,0)</f>
        <v>3.8</v>
      </c>
      <c r="P694" s="322">
        <f t="shared" si="87"/>
        <v>9.512173913043485</v>
      </c>
    </row>
    <row r="695" spans="1:16">
      <c r="A695" s="63" t="str">
        <f>'RAW DATA 2023'!B688</f>
        <v>Chantaburi3</v>
      </c>
      <c r="B695" s="63" t="str">
        <f>'RAW DATA 2023'!D688</f>
        <v>B1-023-0027</v>
      </c>
      <c r="C695" s="63" t="str">
        <f t="shared" si="81"/>
        <v>Chantaburi3B1-023-0027</v>
      </c>
      <c r="D695" s="68">
        <f>VLOOKUP(C695,'RAW DATA 2023'!E:BP,63,0)</f>
        <v>3</v>
      </c>
      <c r="E695" s="68" t="str">
        <f t="shared" si="82"/>
        <v>Chantaburi33</v>
      </c>
      <c r="F695" s="63" t="str">
        <f>VLOOKUP(C695,'RAW DATA 2023'!E:BO,5,0)</f>
        <v>Outdoor</v>
      </c>
      <c r="G695" s="63">
        <f>VLOOKUP(C695,'RAW DATA 2023'!E:BO,13,0)</f>
        <v>149</v>
      </c>
      <c r="H695" s="63">
        <f t="shared" si="85"/>
        <v>150</v>
      </c>
      <c r="I695" s="63">
        <f t="shared" si="83"/>
        <v>9.1999999999999993</v>
      </c>
      <c r="J695" s="106">
        <f>VLOOKUP(C695,'RAW DATA 2023'!E:BO,22,0)</f>
        <v>10.735734782608697</v>
      </c>
      <c r="K695" s="70">
        <f t="shared" si="86"/>
        <v>1.1669276937618149</v>
      </c>
      <c r="L695" s="72">
        <f t="shared" si="84"/>
        <v>10.735734782608697</v>
      </c>
      <c r="M695" s="109">
        <f t="shared" si="88"/>
        <v>8.8923692501575324</v>
      </c>
      <c r="N695" s="123" t="str">
        <f>VLOOKUP(C695,'RAW DATA 2023'!E:BO,36,0)</f>
        <v>EHP</v>
      </c>
      <c r="O695" s="63">
        <f>VLOOKUP(C695,'RAW DATA 2023'!E:BO,2,0)</f>
        <v>2.2999999999999998</v>
      </c>
      <c r="P695" s="322">
        <f t="shared" si="87"/>
        <v>20.452449275362323</v>
      </c>
    </row>
    <row r="696" spans="1:16">
      <c r="A696" s="63" t="str">
        <f>'RAW DATA 2023'!B689</f>
        <v>Chantaburi3</v>
      </c>
      <c r="B696" s="63" t="str">
        <f>'RAW DATA 2023'!D689</f>
        <v>A1-009-0042</v>
      </c>
      <c r="C696" s="63" t="str">
        <f t="shared" si="81"/>
        <v>Chantaburi3A1-009-0042</v>
      </c>
      <c r="D696" s="68">
        <f>VLOOKUP(C696,'RAW DATA 2023'!E:BP,63,0)</f>
        <v>5</v>
      </c>
      <c r="E696" s="68" t="str">
        <f t="shared" si="82"/>
        <v>Chantaburi35</v>
      </c>
      <c r="F696" s="63" t="str">
        <f>VLOOKUP(C696,'RAW DATA 2023'!E:BO,5,0)</f>
        <v>Outdoor</v>
      </c>
      <c r="G696" s="63">
        <f>VLOOKUP(C696,'RAW DATA 2023'!E:BO,13,0)</f>
        <v>159</v>
      </c>
      <c r="H696" s="63">
        <f t="shared" si="85"/>
        <v>150</v>
      </c>
      <c r="I696" s="63">
        <f t="shared" si="83"/>
        <v>9.1999999999999993</v>
      </c>
      <c r="J696" s="106">
        <f>VLOOKUP(C696,'RAW DATA 2023'!E:BO,22,0)</f>
        <v>6.8879357142857138</v>
      </c>
      <c r="K696" s="70">
        <f t="shared" si="86"/>
        <v>0.74868866459627326</v>
      </c>
      <c r="L696" s="72">
        <f t="shared" si="84"/>
        <v>6.8879357142857138</v>
      </c>
      <c r="M696" s="109">
        <f t="shared" si="88"/>
        <v>3.3158488612836434</v>
      </c>
      <c r="N696" s="123" t="str">
        <f>VLOOKUP(C696,'RAW DATA 2023'!E:BO,36,0)</f>
        <v>EHP</v>
      </c>
      <c r="O696" s="63">
        <f>VLOOKUP(C696,'RAW DATA 2023'!E:BO,2,0)</f>
        <v>4.2</v>
      </c>
      <c r="P696" s="322">
        <f t="shared" si="87"/>
        <v>13.926565217391303</v>
      </c>
    </row>
    <row r="697" spans="1:16">
      <c r="A697" s="63" t="str">
        <f>'RAW DATA 2023'!B690</f>
        <v>Chantaburi3</v>
      </c>
      <c r="B697" s="63" t="str">
        <f>'RAW DATA 2023'!D690</f>
        <v>A1-010-0047</v>
      </c>
      <c r="C697" s="63" t="str">
        <f t="shared" si="81"/>
        <v>Chantaburi3A1-010-0047</v>
      </c>
      <c r="D697" s="68">
        <f>VLOOKUP(C697,'RAW DATA 2023'!E:BP,63,0)</f>
        <v>7</v>
      </c>
      <c r="E697" s="68" t="str">
        <f t="shared" si="82"/>
        <v>Chantaburi37</v>
      </c>
      <c r="F697" s="63" t="str">
        <f>VLOOKUP(C697,'RAW DATA 2023'!E:BO,5,0)</f>
        <v>Outdoor</v>
      </c>
      <c r="G697" s="63">
        <f>VLOOKUP(C697,'RAW DATA 2023'!E:BO,13,0)</f>
        <v>130</v>
      </c>
      <c r="H697" s="63">
        <f t="shared" si="85"/>
        <v>100</v>
      </c>
      <c r="I697" s="63">
        <f t="shared" si="83"/>
        <v>6.806</v>
      </c>
      <c r="J697" s="106">
        <f>VLOOKUP(C697,'RAW DATA 2023'!E:BO,22,0)</f>
        <v>3.6759538461538459</v>
      </c>
      <c r="K697" s="70">
        <f t="shared" si="86"/>
        <v>0.5401048848301272</v>
      </c>
      <c r="L697" s="72">
        <f t="shared" si="84"/>
        <v>3.6759538461538459</v>
      </c>
      <c r="M697" s="109">
        <f t="shared" si="88"/>
        <v>0.53473179773502932</v>
      </c>
      <c r="N697" s="123" t="str">
        <f>VLOOKUP(C697,'RAW DATA 2023'!E:BO,36,0)</f>
        <v>WFD</v>
      </c>
      <c r="O697" s="63">
        <f>VLOOKUP(C697,'RAW DATA 2023'!E:BO,2,0)</f>
        <v>3.9</v>
      </c>
      <c r="P697" s="322">
        <f t="shared" si="87"/>
        <v>2.0854540111666142</v>
      </c>
    </row>
    <row r="698" spans="1:16">
      <c r="A698" s="63" t="str">
        <f>'RAW DATA 2023'!B691</f>
        <v>Chantaburi3</v>
      </c>
      <c r="B698" s="63" t="str">
        <f>'RAW DATA 2023'!D691</f>
        <v>A1-011-0044</v>
      </c>
      <c r="C698" s="63" t="str">
        <f t="shared" si="81"/>
        <v>Chantaburi3A1-011-0044</v>
      </c>
      <c r="D698" s="68">
        <f>VLOOKUP(C698,'RAW DATA 2023'!E:BP,63,0)</f>
        <v>7</v>
      </c>
      <c r="E698" s="68" t="str">
        <f t="shared" si="82"/>
        <v>Chantaburi37</v>
      </c>
      <c r="F698" s="63" t="str">
        <f>VLOOKUP(C698,'RAW DATA 2023'!E:BO,5,0)</f>
        <v>Outdoor</v>
      </c>
      <c r="G698" s="63">
        <f>VLOOKUP(C698,'RAW DATA 2023'!E:BO,13,0)</f>
        <v>134</v>
      </c>
      <c r="H698" s="63">
        <f t="shared" si="85"/>
        <v>100</v>
      </c>
      <c r="I698" s="63">
        <f t="shared" si="83"/>
        <v>6.806</v>
      </c>
      <c r="J698" s="106">
        <f>VLOOKUP(C698,'RAW DATA 2023'!E:BO,22,0)</f>
        <v>3.4207078947368421</v>
      </c>
      <c r="K698" s="70">
        <f t="shared" si="86"/>
        <v>0.50260180645560415</v>
      </c>
      <c r="L698" s="72">
        <f t="shared" si="84"/>
        <v>3.4207078947368421</v>
      </c>
      <c r="M698" s="109">
        <f t="shared" si="88"/>
        <v>3.4690752741388664E-2</v>
      </c>
      <c r="N698" s="123" t="str">
        <f>VLOOKUP(C698,'RAW DATA 2023'!E:BO,36,0)</f>
        <v>EHP</v>
      </c>
      <c r="O698" s="63">
        <f>VLOOKUP(C698,'RAW DATA 2023'!E:BO,2,0)</f>
        <v>3.8</v>
      </c>
      <c r="P698" s="322">
        <f t="shared" si="87"/>
        <v>0.13182486041727692</v>
      </c>
    </row>
    <row r="699" spans="1:16">
      <c r="A699" s="63" t="str">
        <f>'RAW DATA 2023'!B692</f>
        <v>Chantaburi3</v>
      </c>
      <c r="B699" s="63" t="str">
        <f>'RAW DATA 2023'!D692</f>
        <v>B1-024-0041</v>
      </c>
      <c r="C699" s="63" t="str">
        <f t="shared" si="81"/>
        <v>Chantaburi3B1-024-0041</v>
      </c>
      <c r="D699" s="68">
        <f>VLOOKUP(C699,'RAW DATA 2023'!E:BP,63,0)</f>
        <v>2</v>
      </c>
      <c r="E699" s="68" t="str">
        <f t="shared" si="82"/>
        <v>Chantaburi32</v>
      </c>
      <c r="F699" s="63" t="str">
        <f>VLOOKUP(C699,'RAW DATA 2023'!E:BO,5,0)</f>
        <v>Outdoor</v>
      </c>
      <c r="G699" s="63">
        <f>VLOOKUP(C699,'RAW DATA 2023'!E:BO,13,0)</f>
        <v>150</v>
      </c>
      <c r="H699" s="63">
        <f t="shared" si="85"/>
        <v>150</v>
      </c>
      <c r="I699" s="63">
        <f t="shared" si="83"/>
        <v>9.1999999999999993</v>
      </c>
      <c r="J699" s="106">
        <f>VLOOKUP(C699,'RAW DATA 2023'!E:BO,22,0)</f>
        <v>3.65144</v>
      </c>
      <c r="K699" s="70">
        <f t="shared" si="86"/>
        <v>0.39689565217391309</v>
      </c>
      <c r="L699" s="72">
        <f t="shared" si="84"/>
        <v>3.65144</v>
      </c>
      <c r="M699" s="109">
        <f t="shared" si="88"/>
        <v>-1.3747246376811588</v>
      </c>
      <c r="N699" s="123" t="str">
        <f>VLOOKUP(C699,'RAW DATA 2023'!E:BO,36,0)</f>
        <v>EHP</v>
      </c>
      <c r="O699" s="63">
        <f>VLOOKUP(C699,'RAW DATA 2023'!E:BO,2,0)</f>
        <v>2.5</v>
      </c>
      <c r="P699" s="322">
        <f t="shared" si="87"/>
        <v>-3.4368115942028972</v>
      </c>
    </row>
    <row r="700" spans="1:16">
      <c r="A700" s="63" t="str">
        <f>'RAW DATA 2023'!B693</f>
        <v>Chantaburi3</v>
      </c>
      <c r="B700" s="63" t="str">
        <f>'RAW DATA 2023'!D693</f>
        <v>A1-009-0043</v>
      </c>
      <c r="C700" s="63" t="str">
        <f t="shared" si="81"/>
        <v>Chantaburi3A1-009-0043</v>
      </c>
      <c r="D700" s="68">
        <f>VLOOKUP(C700,'RAW DATA 2023'!E:BP,63,0)</f>
        <v>7</v>
      </c>
      <c r="E700" s="68" t="str">
        <f t="shared" si="82"/>
        <v>Chantaburi37</v>
      </c>
      <c r="F700" s="63" t="str">
        <f>VLOOKUP(C700,'RAW DATA 2023'!E:BO,5,0)</f>
        <v>Outdoor</v>
      </c>
      <c r="G700" s="63">
        <f>VLOOKUP(C700,'RAW DATA 2023'!E:BO,13,0)</f>
        <v>102</v>
      </c>
      <c r="H700" s="63">
        <f t="shared" si="85"/>
        <v>100</v>
      </c>
      <c r="I700" s="63">
        <f t="shared" si="83"/>
        <v>6.806</v>
      </c>
      <c r="J700" s="106">
        <f>VLOOKUP(C700,'RAW DATA 2023'!E:BO,22,0)</f>
        <v>2.3369976190476187</v>
      </c>
      <c r="K700" s="70">
        <f t="shared" si="86"/>
        <v>0.3433731441445223</v>
      </c>
      <c r="L700" s="72">
        <f t="shared" si="84"/>
        <v>2.3369976190476187</v>
      </c>
      <c r="M700" s="109">
        <f t="shared" si="88"/>
        <v>-2.088358078073036</v>
      </c>
      <c r="N700" s="123" t="str">
        <f>VLOOKUP(C700,'RAW DATA 2023'!E:BO,36,0)</f>
        <v>EHP</v>
      </c>
      <c r="O700" s="63">
        <f>VLOOKUP(C700,'RAW DATA 2023'!E:BO,2,0)</f>
        <v>4.2</v>
      </c>
      <c r="P700" s="322">
        <f t="shared" si="87"/>
        <v>-8.7711039279067506</v>
      </c>
    </row>
    <row r="701" spans="1:16">
      <c r="A701" s="63" t="str">
        <f>'RAW DATA 2023'!B694</f>
        <v>Chantaburi3</v>
      </c>
      <c r="B701" s="63" t="str">
        <f>'RAW DATA 2023'!D694</f>
        <v>A1-010-0046</v>
      </c>
      <c r="C701" s="63" t="str">
        <f t="shared" si="81"/>
        <v>Chantaburi3A1-010-0046</v>
      </c>
      <c r="D701" s="68">
        <f>VLOOKUP(C701,'RAW DATA 2023'!E:BP,63,0)</f>
        <v>4</v>
      </c>
      <c r="E701" s="68" t="str">
        <f t="shared" si="82"/>
        <v>Chantaburi34</v>
      </c>
      <c r="F701" s="63" t="str">
        <f>VLOOKUP(C701,'RAW DATA 2023'!E:BO,5,0)</f>
        <v>Outdoor</v>
      </c>
      <c r="G701" s="63">
        <f>VLOOKUP(C701,'RAW DATA 2023'!E:BO,13,0)</f>
        <v>160</v>
      </c>
      <c r="H701" s="63">
        <f t="shared" si="85"/>
        <v>150</v>
      </c>
      <c r="I701" s="63">
        <f t="shared" si="83"/>
        <v>9.1999999999999993</v>
      </c>
      <c r="J701" s="106">
        <f>VLOOKUP(C701,'RAW DATA 2023'!E:BO,22,0)</f>
        <v>4.2801589743589741</v>
      </c>
      <c r="K701" s="70">
        <f t="shared" si="86"/>
        <v>0.4652346711259755</v>
      </c>
      <c r="L701" s="72">
        <f t="shared" si="84"/>
        <v>4.2801589743589741</v>
      </c>
      <c r="M701" s="109">
        <f t="shared" si="88"/>
        <v>-0.46353771832032675</v>
      </c>
      <c r="N701" s="123" t="str">
        <f>VLOOKUP(C701,'RAW DATA 2023'!E:BO,36,0)</f>
        <v>ทยอยตาย</v>
      </c>
      <c r="O701" s="63">
        <f>VLOOKUP(C701,'RAW DATA 2023'!E:BO,2,0)</f>
        <v>3.9</v>
      </c>
      <c r="P701" s="322">
        <f t="shared" si="87"/>
        <v>-1.8077971014492742</v>
      </c>
    </row>
    <row r="702" spans="1:16">
      <c r="A702" s="63" t="str">
        <f>'RAW DATA 2023'!B695</f>
        <v>Chantaburi3</v>
      </c>
      <c r="B702" s="63" t="str">
        <f>'RAW DATA 2023'!D695</f>
        <v>B1-023-0028</v>
      </c>
      <c r="C702" s="63" t="str">
        <f t="shared" si="81"/>
        <v>Chantaburi3B1-023-0028</v>
      </c>
      <c r="D702" s="68">
        <f>VLOOKUP(C702,'RAW DATA 2023'!E:BP,63,0)</f>
        <v>5</v>
      </c>
      <c r="E702" s="68" t="str">
        <f t="shared" si="82"/>
        <v>Chantaburi35</v>
      </c>
      <c r="F702" s="63" t="str">
        <f>VLOOKUP(C702,'RAW DATA 2023'!E:BO,5,0)</f>
        <v>Outdoor</v>
      </c>
      <c r="G702" s="63">
        <f>VLOOKUP(C702,'RAW DATA 2023'!E:BO,13,0)</f>
        <v>181</v>
      </c>
      <c r="H702" s="63">
        <f t="shared" si="85"/>
        <v>180</v>
      </c>
      <c r="I702" s="63">
        <f t="shared" si="83"/>
        <v>10.247</v>
      </c>
      <c r="J702" s="106">
        <f>VLOOKUP(C702,'RAW DATA 2023'!E:BO,22,0)</f>
        <v>0</v>
      </c>
      <c r="K702" s="70">
        <f t="shared" si="86"/>
        <v>0</v>
      </c>
      <c r="L702" s="72">
        <f t="shared" si="84"/>
        <v>0</v>
      </c>
      <c r="M702" s="109">
        <f t="shared" si="88"/>
        <v>-6.666666666666667</v>
      </c>
      <c r="N702" s="123" t="str">
        <f>VLOOKUP(C702,'RAW DATA 2023'!E:BO,36,0)</f>
        <v>EHP</v>
      </c>
      <c r="O702" s="63">
        <f>VLOOKUP(C702,'RAW DATA 2023'!E:BO,2,0)</f>
        <v>2.2999999999999998</v>
      </c>
      <c r="P702" s="322">
        <f t="shared" si="87"/>
        <v>-15.333333333333332</v>
      </c>
    </row>
    <row r="703" spans="1:16">
      <c r="A703" s="63" t="str">
        <f>'RAW DATA 2023'!B696</f>
        <v>Lucky3</v>
      </c>
      <c r="B703" s="63" t="str">
        <f>'RAW DATA 2023'!D696</f>
        <v>B1-025-0010</v>
      </c>
      <c r="C703" s="63" t="str">
        <f t="shared" si="81"/>
        <v>Lucky3B1-025-0010</v>
      </c>
      <c r="D703" s="68">
        <f>VLOOKUP(C703,'RAW DATA 2023'!E:BP,63,0)</f>
        <v>5</v>
      </c>
      <c r="E703" s="68" t="str">
        <f t="shared" si="82"/>
        <v>Lucky35</v>
      </c>
      <c r="F703" s="63" t="str">
        <f>VLOOKUP(C703,'RAW DATA 2023'!E:BO,5,0)</f>
        <v>Outdoor</v>
      </c>
      <c r="G703" s="63">
        <f>VLOOKUP(C703,'RAW DATA 2023'!E:BO,13,0)</f>
        <v>146</v>
      </c>
      <c r="H703" s="63">
        <f t="shared" si="85"/>
        <v>150</v>
      </c>
      <c r="I703" s="63">
        <f t="shared" si="83"/>
        <v>9.1999999999999993</v>
      </c>
      <c r="J703" s="106">
        <f>VLOOKUP(C703,'RAW DATA 2023'!E:BO,22,0)</f>
        <v>8.8823466666666668</v>
      </c>
      <c r="K703" s="70">
        <f t="shared" si="86"/>
        <v>0.96547246376811602</v>
      </c>
      <c r="L703" s="72">
        <f t="shared" si="84"/>
        <v>8.8823466666666668</v>
      </c>
      <c r="M703" s="109">
        <f t="shared" si="88"/>
        <v>6.2062995169082136</v>
      </c>
      <c r="N703" s="123" t="str">
        <f>VLOOKUP(C703,'RAW DATA 2023'!E:BO,36,0)</f>
        <v>Normal</v>
      </c>
      <c r="O703" s="63">
        <f>VLOOKUP(C703,'RAW DATA 2023'!E:BO,2,0)</f>
        <v>1.5</v>
      </c>
      <c r="P703" s="322">
        <f t="shared" si="87"/>
        <v>9.3094492753623204</v>
      </c>
    </row>
    <row r="704" spans="1:16">
      <c r="A704" s="63" t="str">
        <f>'RAW DATA 2023'!B697</f>
        <v>Lucky3</v>
      </c>
      <c r="B704" s="63" t="str">
        <f>'RAW DATA 2023'!D697</f>
        <v>B1-024-0009</v>
      </c>
      <c r="C704" s="63" t="str">
        <f t="shared" si="81"/>
        <v>Lucky3B1-024-0009</v>
      </c>
      <c r="D704" s="68">
        <f>VLOOKUP(C704,'RAW DATA 2023'!E:BP,63,0)</f>
        <v>5</v>
      </c>
      <c r="E704" s="68" t="str">
        <f t="shared" si="82"/>
        <v>Lucky35</v>
      </c>
      <c r="F704" s="63" t="str">
        <f>VLOOKUP(C704,'RAW DATA 2023'!E:BO,5,0)</f>
        <v>Outdoor</v>
      </c>
      <c r="G704" s="63">
        <f>VLOOKUP(C704,'RAW DATA 2023'!E:BO,13,0)</f>
        <v>146</v>
      </c>
      <c r="H704" s="63">
        <f t="shared" si="85"/>
        <v>150</v>
      </c>
      <c r="I704" s="63">
        <f t="shared" si="83"/>
        <v>9.1999999999999993</v>
      </c>
      <c r="J704" s="106">
        <f>VLOOKUP(C704,'RAW DATA 2023'!E:BO,22,0)</f>
        <v>8.6725733333333341</v>
      </c>
      <c r="K704" s="70">
        <f t="shared" si="86"/>
        <v>0.94267101449275381</v>
      </c>
      <c r="L704" s="72">
        <f t="shared" si="84"/>
        <v>8.6725733333333341</v>
      </c>
      <c r="M704" s="109">
        <f t="shared" si="88"/>
        <v>5.9022801932367175</v>
      </c>
      <c r="N704" s="123" t="str">
        <f>VLOOKUP(C704,'RAW DATA 2023'!E:BO,36,0)</f>
        <v>Normal</v>
      </c>
      <c r="O704" s="63">
        <f>VLOOKUP(C704,'RAW DATA 2023'!E:BO,2,0)</f>
        <v>1.5</v>
      </c>
      <c r="P704" s="322">
        <f t="shared" si="87"/>
        <v>8.8534202898550767</v>
      </c>
    </row>
    <row r="705" spans="1:16">
      <c r="A705" s="63" t="str">
        <f>'RAW DATA 2023'!B698</f>
        <v>Lucky3</v>
      </c>
      <c r="B705" s="63" t="str">
        <f>'RAW DATA 2023'!D698</f>
        <v>B1-011-0028</v>
      </c>
      <c r="C705" s="63" t="str">
        <f t="shared" si="81"/>
        <v>Lucky3B1-011-0028</v>
      </c>
      <c r="D705" s="68">
        <f>VLOOKUP(C705,'RAW DATA 2023'!E:BP,63,0)</f>
        <v>6</v>
      </c>
      <c r="E705" s="68" t="str">
        <f t="shared" si="82"/>
        <v>Lucky36</v>
      </c>
      <c r="F705" s="63" t="str">
        <f>VLOOKUP(C705,'RAW DATA 2023'!E:BO,5,0)</f>
        <v>Outdoor</v>
      </c>
      <c r="G705" s="63">
        <f>VLOOKUP(C705,'RAW DATA 2023'!E:BO,13,0)</f>
        <v>192</v>
      </c>
      <c r="H705" s="63">
        <f t="shared" si="85"/>
        <v>200</v>
      </c>
      <c r="I705" s="63">
        <f t="shared" si="83"/>
        <v>11.259</v>
      </c>
      <c r="J705" s="106">
        <f>VLOOKUP(C705,'RAW DATA 2023'!E:BO,22,0)</f>
        <v>4.795835078534032</v>
      </c>
      <c r="K705" s="70">
        <f t="shared" si="86"/>
        <v>0.4259556868757467</v>
      </c>
      <c r="L705" s="72">
        <f t="shared" si="84"/>
        <v>4.795835078534032</v>
      </c>
      <c r="M705" s="109">
        <f t="shared" si="88"/>
        <v>-0.98725750832337744</v>
      </c>
      <c r="N705" s="123" t="str">
        <f>VLOOKUP(C705,'RAW DATA 2023'!E:BO,36,0)</f>
        <v>EHP</v>
      </c>
      <c r="O705" s="63">
        <f>VLOOKUP(C705,'RAW DATA 2023'!E:BO,2,0)</f>
        <v>3.82</v>
      </c>
      <c r="P705" s="322">
        <f t="shared" si="87"/>
        <v>-3.7713236817953018</v>
      </c>
    </row>
    <row r="706" spans="1:16">
      <c r="A706" s="63" t="str">
        <f>'RAW DATA 2023'!B699</f>
        <v>Lucky3</v>
      </c>
      <c r="B706" s="63" t="str">
        <f>'RAW DATA 2023'!D699</f>
        <v>B1-023-0012</v>
      </c>
      <c r="C706" s="63" t="str">
        <f t="shared" si="81"/>
        <v>Lucky3B1-023-0012</v>
      </c>
      <c r="D706" s="68">
        <f>VLOOKUP(C706,'RAW DATA 2023'!E:BP,63,0)</f>
        <v>5</v>
      </c>
      <c r="E706" s="68" t="str">
        <f t="shared" si="82"/>
        <v>Lucky35</v>
      </c>
      <c r="F706" s="63" t="str">
        <f>VLOOKUP(C706,'RAW DATA 2023'!E:BO,5,0)</f>
        <v>Outdoor</v>
      </c>
      <c r="G706" s="63">
        <f>VLOOKUP(C706,'RAW DATA 2023'!E:BO,13,0)</f>
        <v>167</v>
      </c>
      <c r="H706" s="63">
        <f t="shared" si="85"/>
        <v>180</v>
      </c>
      <c r="I706" s="63">
        <f t="shared" si="83"/>
        <v>10.247</v>
      </c>
      <c r="J706" s="106">
        <f>VLOOKUP(C706,'RAW DATA 2023'!E:BO,22,0)</f>
        <v>3.1660933333333339</v>
      </c>
      <c r="K706" s="70">
        <f t="shared" si="86"/>
        <v>0.30897758693601385</v>
      </c>
      <c r="L706" s="72">
        <f t="shared" si="84"/>
        <v>3.1660933333333339</v>
      </c>
      <c r="M706" s="109">
        <f t="shared" si="88"/>
        <v>-2.5469655075198157</v>
      </c>
      <c r="N706" s="123" t="str">
        <f>VLOOKUP(C706,'RAW DATA 2023'!E:BO,36,0)</f>
        <v>Nitrite</v>
      </c>
      <c r="O706" s="63">
        <f>VLOOKUP(C706,'RAW DATA 2023'!E:BO,2,0)</f>
        <v>1.5</v>
      </c>
      <c r="P706" s="322">
        <f t="shared" si="87"/>
        <v>-3.8204482612797235</v>
      </c>
    </row>
    <row r="707" spans="1:16">
      <c r="A707" s="63" t="str">
        <f>'RAW DATA 2023'!B700</f>
        <v>Lucky3</v>
      </c>
      <c r="B707" s="63" t="str">
        <f>'RAW DATA 2023'!D700</f>
        <v>B1-011-0027</v>
      </c>
      <c r="C707" s="63" t="str">
        <f t="shared" si="81"/>
        <v>Lucky3B1-011-0027</v>
      </c>
      <c r="D707" s="68">
        <f>VLOOKUP(C707,'RAW DATA 2023'!E:BP,63,0)</f>
        <v>3</v>
      </c>
      <c r="E707" s="68" t="str">
        <f t="shared" si="82"/>
        <v>Lucky33</v>
      </c>
      <c r="F707" s="63" t="str">
        <f>VLOOKUP(C707,'RAW DATA 2023'!E:BO,5,0)</f>
        <v>Outdoor</v>
      </c>
      <c r="G707" s="63">
        <f>VLOOKUP(C707,'RAW DATA 2023'!E:BO,13,0)</f>
        <v>96</v>
      </c>
      <c r="H707" s="63">
        <f t="shared" si="85"/>
        <v>100</v>
      </c>
      <c r="I707" s="63">
        <f t="shared" si="83"/>
        <v>6.806</v>
      </c>
      <c r="J707" s="106">
        <f>VLOOKUP(C707,'RAW DATA 2023'!E:BO,22,0)</f>
        <v>7.2044999999999995</v>
      </c>
      <c r="K707" s="70">
        <f t="shared" si="86"/>
        <v>1.0585512782838671</v>
      </c>
      <c r="L707" s="72">
        <f t="shared" si="84"/>
        <v>7.2044999999999995</v>
      </c>
      <c r="M707" s="109">
        <f t="shared" si="88"/>
        <v>7.4473503771182283</v>
      </c>
      <c r="N707" s="123" t="str">
        <f>VLOOKUP(C707,'RAW DATA 2023'!E:BO,36,0)</f>
        <v>Normal</v>
      </c>
      <c r="O707" s="63">
        <f>VLOOKUP(C707,'RAW DATA 2023'!E:BO,2,0)</f>
        <v>3.82</v>
      </c>
      <c r="P707" s="322">
        <f t="shared" si="87"/>
        <v>28.448878440591631</v>
      </c>
    </row>
    <row r="708" spans="1:16">
      <c r="A708" s="63" t="str">
        <f>'RAW DATA 2023'!B701</f>
        <v>Lucky3</v>
      </c>
      <c r="B708" s="63" t="str">
        <f>'RAW DATA 2023'!D701</f>
        <v>BG-027-0011</v>
      </c>
      <c r="C708" s="63" t="str">
        <f t="shared" si="81"/>
        <v>Lucky3BG-027-0011</v>
      </c>
      <c r="D708" s="68">
        <f>VLOOKUP(C708,'RAW DATA 2023'!E:BP,63,0)</f>
        <v>5</v>
      </c>
      <c r="E708" s="68" t="str">
        <f t="shared" si="82"/>
        <v>Lucky35</v>
      </c>
      <c r="F708" s="63" t="str">
        <f>VLOOKUP(C708,'RAW DATA 2023'!E:BO,5,0)</f>
        <v>Greenhouse</v>
      </c>
      <c r="G708" s="63">
        <f>VLOOKUP(C708,'RAW DATA 2023'!E:BO,13,0)</f>
        <v>167</v>
      </c>
      <c r="H708" s="63">
        <f t="shared" si="85"/>
        <v>180</v>
      </c>
      <c r="I708" s="63">
        <f t="shared" si="83"/>
        <v>10.247</v>
      </c>
      <c r="J708" s="106">
        <f>VLOOKUP(C708,'RAW DATA 2023'!E:BO,22,0)</f>
        <v>3.1145933333333335</v>
      </c>
      <c r="K708" s="70">
        <f t="shared" si="86"/>
        <v>0.30395172570833745</v>
      </c>
      <c r="L708" s="72">
        <f t="shared" si="84"/>
        <v>3.1145933333333335</v>
      </c>
      <c r="M708" s="109">
        <f t="shared" si="88"/>
        <v>-2.6139769905555008</v>
      </c>
      <c r="N708" s="123" t="str">
        <f>VLOOKUP(C708,'RAW DATA 2023'!E:BO,36,0)</f>
        <v>ลอกคราบตาย</v>
      </c>
      <c r="O708" s="63">
        <f>VLOOKUP(C708,'RAW DATA 2023'!E:BO,2,0)</f>
        <v>1.5</v>
      </c>
      <c r="P708" s="322">
        <f t="shared" si="87"/>
        <v>-3.9209654858332512</v>
      </c>
    </row>
    <row r="709" spans="1:16">
      <c r="A709" s="63" t="str">
        <f>'RAW DATA 2023'!B702</f>
        <v>Lucky3</v>
      </c>
      <c r="B709" s="63" t="str">
        <f>'RAW DATA 2023'!D702</f>
        <v>B1-022-0011</v>
      </c>
      <c r="C709" s="63" t="str">
        <f t="shared" si="81"/>
        <v>Lucky3B1-022-0011</v>
      </c>
      <c r="D709" s="68">
        <f>VLOOKUP(C709,'RAW DATA 2023'!E:BP,63,0)</f>
        <v>3</v>
      </c>
      <c r="E709" s="68" t="str">
        <f t="shared" si="82"/>
        <v>Lucky33</v>
      </c>
      <c r="F709" s="63" t="str">
        <f>VLOOKUP(C709,'RAW DATA 2023'!E:BO,5,0)</f>
        <v>Outdoor</v>
      </c>
      <c r="G709" s="63">
        <f>VLOOKUP(C709,'RAW DATA 2023'!E:BO,13,0)</f>
        <v>146</v>
      </c>
      <c r="H709" s="63">
        <f t="shared" si="85"/>
        <v>150</v>
      </c>
      <c r="I709" s="63">
        <f t="shared" si="83"/>
        <v>9.1999999999999993</v>
      </c>
      <c r="J709" s="106">
        <f>VLOOKUP(C709,'RAW DATA 2023'!E:BO,22,0)</f>
        <v>9.3957933333333337</v>
      </c>
      <c r="K709" s="70">
        <f t="shared" si="86"/>
        <v>1.0212818840579712</v>
      </c>
      <c r="L709" s="72">
        <f t="shared" si="84"/>
        <v>9.3957933333333337</v>
      </c>
      <c r="M709" s="109">
        <f t="shared" si="88"/>
        <v>6.9504251207729491</v>
      </c>
      <c r="N709" s="123" t="str">
        <f>VLOOKUP(C709,'RAW DATA 2023'!E:BO,36,0)</f>
        <v>Normal</v>
      </c>
      <c r="O709" s="63">
        <f>VLOOKUP(C709,'RAW DATA 2023'!E:BO,2,0)</f>
        <v>1.5</v>
      </c>
      <c r="P709" s="322">
        <f t="shared" si="87"/>
        <v>10.425637681159424</v>
      </c>
    </row>
    <row r="710" spans="1:16">
      <c r="A710" s="63" t="str">
        <f>'RAW DATA 2023'!B703</f>
        <v>Lucky3</v>
      </c>
      <c r="B710" s="63" t="str">
        <f>'RAW DATA 2023'!D703</f>
        <v>B1-022-0012</v>
      </c>
      <c r="C710" s="63" t="str">
        <f t="shared" si="81"/>
        <v>Lucky3B1-022-0012</v>
      </c>
      <c r="D710" s="68">
        <f>VLOOKUP(C710,'RAW DATA 2023'!E:BP,63,0)</f>
        <v>5</v>
      </c>
      <c r="E710" s="68" t="str">
        <f t="shared" si="82"/>
        <v>Lucky35</v>
      </c>
      <c r="F710" s="63" t="str">
        <f>VLOOKUP(C710,'RAW DATA 2023'!E:BO,5,0)</f>
        <v>Outdoor</v>
      </c>
      <c r="G710" s="63">
        <f>VLOOKUP(C710,'RAW DATA 2023'!E:BO,13,0)</f>
        <v>167</v>
      </c>
      <c r="H710" s="63">
        <f t="shared" si="85"/>
        <v>180</v>
      </c>
      <c r="I710" s="63">
        <f t="shared" si="83"/>
        <v>10.247</v>
      </c>
      <c r="J710" s="106">
        <f>VLOOKUP(C710,'RAW DATA 2023'!E:BO,22,0)</f>
        <v>1.7345933333333334</v>
      </c>
      <c r="K710" s="70">
        <f t="shared" si="86"/>
        <v>0.16927816271429039</v>
      </c>
      <c r="L710" s="72">
        <f t="shared" si="84"/>
        <v>1.7345933333333334</v>
      </c>
      <c r="M710" s="109">
        <f t="shared" si="88"/>
        <v>-4.4096244971427945</v>
      </c>
      <c r="N710" s="123" t="str">
        <f>VLOOKUP(C710,'RAW DATA 2023'!E:BO,36,0)</f>
        <v>Nitrite</v>
      </c>
      <c r="O710" s="63">
        <f>VLOOKUP(C710,'RAW DATA 2023'!E:BO,2,0)</f>
        <v>1.5</v>
      </c>
      <c r="P710" s="322">
        <f t="shared" si="87"/>
        <v>-6.6144367457141922</v>
      </c>
    </row>
    <row r="711" spans="1:16">
      <c r="A711" s="63" t="str">
        <f>'RAW DATA 2023'!B704</f>
        <v>Lucky3</v>
      </c>
      <c r="B711" s="63" t="str">
        <f>'RAW DATA 2023'!D704</f>
        <v>BG-026-0010</v>
      </c>
      <c r="C711" s="63" t="str">
        <f t="shared" si="81"/>
        <v>Lucky3BG-026-0010</v>
      </c>
      <c r="D711" s="68">
        <f>VLOOKUP(C711,'RAW DATA 2023'!E:BP,63,0)</f>
        <v>3</v>
      </c>
      <c r="E711" s="68" t="str">
        <f t="shared" si="82"/>
        <v>Lucky33</v>
      </c>
      <c r="F711" s="63" t="str">
        <f>VLOOKUP(C711,'RAW DATA 2023'!E:BO,5,0)</f>
        <v>Greenhouse</v>
      </c>
      <c r="G711" s="63">
        <f>VLOOKUP(C711,'RAW DATA 2023'!E:BO,13,0)</f>
        <v>146</v>
      </c>
      <c r="H711" s="63">
        <f t="shared" si="85"/>
        <v>150</v>
      </c>
      <c r="I711" s="63">
        <f t="shared" si="83"/>
        <v>9.1999999999999993</v>
      </c>
      <c r="J711" s="106">
        <f>VLOOKUP(C711,'RAW DATA 2023'!E:BO,22,0)</f>
        <v>7.4206533333333331</v>
      </c>
      <c r="K711" s="70">
        <f t="shared" si="86"/>
        <v>0.8065927536231885</v>
      </c>
      <c r="L711" s="72">
        <f t="shared" si="84"/>
        <v>7.4206533333333331</v>
      </c>
      <c r="M711" s="109">
        <f t="shared" si="88"/>
        <v>4.0879033816425139</v>
      </c>
      <c r="N711" s="123" t="str">
        <f>VLOOKUP(C711,'RAW DATA 2023'!E:BO,36,0)</f>
        <v>Normal</v>
      </c>
      <c r="O711" s="63">
        <f>VLOOKUP(C711,'RAW DATA 2023'!E:BO,2,0)</f>
        <v>1.5</v>
      </c>
      <c r="P711" s="322">
        <f t="shared" si="87"/>
        <v>6.1318550724637708</v>
      </c>
    </row>
    <row r="712" spans="1:16">
      <c r="A712" s="63" t="str">
        <f>'RAW DATA 2023'!B705</f>
        <v>Lucky3</v>
      </c>
      <c r="B712" s="63" t="str">
        <f>'RAW DATA 2023'!D705</f>
        <v>BG-027-0010</v>
      </c>
      <c r="C712" s="63" t="str">
        <f t="shared" si="81"/>
        <v>Lucky3BG-027-0010</v>
      </c>
      <c r="D712" s="68">
        <f>VLOOKUP(C712,'RAW DATA 2023'!E:BP,63,0)</f>
        <v>3</v>
      </c>
      <c r="E712" s="68" t="str">
        <f t="shared" si="82"/>
        <v>Lucky33</v>
      </c>
      <c r="F712" s="63" t="str">
        <f>VLOOKUP(C712,'RAW DATA 2023'!E:BO,5,0)</f>
        <v>Greenhouse</v>
      </c>
      <c r="G712" s="63">
        <f>VLOOKUP(C712,'RAW DATA 2023'!E:BO,13,0)</f>
        <v>146</v>
      </c>
      <c r="H712" s="63">
        <f t="shared" si="85"/>
        <v>150</v>
      </c>
      <c r="I712" s="63">
        <f t="shared" si="83"/>
        <v>9.1999999999999993</v>
      </c>
      <c r="J712" s="106">
        <f>VLOOKUP(C712,'RAW DATA 2023'!E:BO,22,0)</f>
        <v>8.3280666666666665</v>
      </c>
      <c r="K712" s="70">
        <f t="shared" si="86"/>
        <v>0.90522463768115946</v>
      </c>
      <c r="L712" s="72">
        <f t="shared" si="84"/>
        <v>8.3280666666666665</v>
      </c>
      <c r="M712" s="109">
        <f t="shared" si="88"/>
        <v>5.4029951690821267</v>
      </c>
      <c r="N712" s="123" t="str">
        <f>VLOOKUP(C712,'RAW DATA 2023'!E:BO,36,0)</f>
        <v>Normal</v>
      </c>
      <c r="O712" s="63">
        <f>VLOOKUP(C712,'RAW DATA 2023'!E:BO,2,0)</f>
        <v>1.5</v>
      </c>
      <c r="P712" s="322">
        <f t="shared" si="87"/>
        <v>8.104492753623191</v>
      </c>
    </row>
    <row r="713" spans="1:16">
      <c r="A713" s="63" t="str">
        <f>'RAW DATA 2023'!B706</f>
        <v>Lucky3</v>
      </c>
      <c r="B713" s="63" t="str">
        <f>'RAW DATA 2023'!D706</f>
        <v>BG-026-0011</v>
      </c>
      <c r="C713" s="63" t="str">
        <f t="shared" si="81"/>
        <v>Lucky3BG-026-0011</v>
      </c>
      <c r="D713" s="68">
        <f>VLOOKUP(C713,'RAW DATA 2023'!E:BP,63,0)</f>
        <v>5</v>
      </c>
      <c r="E713" s="68" t="str">
        <f t="shared" si="82"/>
        <v>Lucky35</v>
      </c>
      <c r="F713" s="63" t="str">
        <f>VLOOKUP(C713,'RAW DATA 2023'!E:BO,5,0)</f>
        <v>Greenhouse</v>
      </c>
      <c r="G713" s="63">
        <f>VLOOKUP(C713,'RAW DATA 2023'!E:BO,13,0)</f>
        <v>167</v>
      </c>
      <c r="H713" s="63">
        <f t="shared" si="85"/>
        <v>180</v>
      </c>
      <c r="I713" s="63">
        <f t="shared" si="83"/>
        <v>10.247</v>
      </c>
      <c r="J713" s="106">
        <f>VLOOKUP(C713,'RAW DATA 2023'!E:BO,22,0)</f>
        <v>2.6868133333333333</v>
      </c>
      <c r="K713" s="70">
        <f t="shared" si="86"/>
        <v>0.26220487297095085</v>
      </c>
      <c r="L713" s="72">
        <f t="shared" si="84"/>
        <v>2.6868133333333333</v>
      </c>
      <c r="M713" s="109">
        <f t="shared" si="88"/>
        <v>-3.1706016937206556</v>
      </c>
      <c r="N713" s="123" t="str">
        <f>VLOOKUP(C713,'RAW DATA 2023'!E:BO,36,0)</f>
        <v>ลอกคราบตาย</v>
      </c>
      <c r="O713" s="63">
        <f>VLOOKUP(C713,'RAW DATA 2023'!E:BO,2,0)</f>
        <v>1.5</v>
      </c>
      <c r="P713" s="322">
        <f t="shared" si="87"/>
        <v>-4.7559025405809834</v>
      </c>
    </row>
    <row r="714" spans="1:16">
      <c r="A714" s="63" t="str">
        <f>'RAW DATA 2023'!B707</f>
        <v>Lucky3</v>
      </c>
      <c r="B714" s="63" t="str">
        <f>'RAW DATA 2023'!D707</f>
        <v>B1-024-0010</v>
      </c>
      <c r="C714" s="63" t="str">
        <f t="shared" ref="C714:C777" si="89">A714&amp;B714</f>
        <v>Lucky3B1-024-0010</v>
      </c>
      <c r="D714" s="68">
        <f>VLOOKUP(C714,'RAW DATA 2023'!E:BP,63,0)</f>
        <v>8</v>
      </c>
      <c r="E714" s="68" t="str">
        <f t="shared" ref="E714:E777" si="90">A714&amp;D714</f>
        <v>Lucky38</v>
      </c>
      <c r="F714" s="63" t="str">
        <f>VLOOKUP(C714,'RAW DATA 2023'!E:BO,5,0)</f>
        <v>Outdoor</v>
      </c>
      <c r="G714" s="63">
        <f>VLOOKUP(C714,'RAW DATA 2023'!E:BO,13,0)</f>
        <v>167</v>
      </c>
      <c r="H714" s="63">
        <f t="shared" si="85"/>
        <v>180</v>
      </c>
      <c r="I714" s="63">
        <f t="shared" ref="I714:I777" si="91">IF(F714=$W$1,VLOOKUP(H714,Y:Z,2,0),VLOOKUP(H714,AF:AG,2,0))</f>
        <v>10.247</v>
      </c>
      <c r="J714" s="106">
        <f>VLOOKUP(C714,'RAW DATA 2023'!E:BO,22,0)</f>
        <v>3.153</v>
      </c>
      <c r="K714" s="70">
        <f t="shared" si="86"/>
        <v>0.30769981457987705</v>
      </c>
      <c r="L714" s="72">
        <f t="shared" ref="L714:L777" si="92">IF(J714=0,0,IF(F714=$B$2,J714-$B$6,IF(F714=$C$1,J714-$C$6,IF(AND(F714=$C$2,G714&lt;=$C$3),J714-$C$6,IF(AND(F714=$C$2,G714&lt;=$E$3),J714-$D$6,J714-$E$6)))))</f>
        <v>3.153</v>
      </c>
      <c r="M714" s="109">
        <f t="shared" si="88"/>
        <v>-2.5640024722683061</v>
      </c>
      <c r="N714" s="123" t="str">
        <f>VLOOKUP(C714,'RAW DATA 2023'!E:BO,36,0)</f>
        <v>EHP</v>
      </c>
      <c r="O714" s="63">
        <f>VLOOKUP(C714,'RAW DATA 2023'!E:BO,2,0)</f>
        <v>1.5</v>
      </c>
      <c r="P714" s="322">
        <f t="shared" si="87"/>
        <v>-3.846003708402459</v>
      </c>
    </row>
    <row r="715" spans="1:16">
      <c r="A715" s="63" t="str">
        <f>'RAW DATA 2023'!B708</f>
        <v>Lucky3</v>
      </c>
      <c r="B715" s="63" t="str">
        <f>'RAW DATA 2023'!D708</f>
        <v>B1-023-0011</v>
      </c>
      <c r="C715" s="63" t="str">
        <f t="shared" si="89"/>
        <v>Lucky3B1-023-0011</v>
      </c>
      <c r="D715" s="68">
        <f>VLOOKUP(C715,'RAW DATA 2023'!E:BP,63,0)</f>
        <v>3</v>
      </c>
      <c r="E715" s="68" t="str">
        <f t="shared" si="90"/>
        <v>Lucky33</v>
      </c>
      <c r="F715" s="63" t="str">
        <f>VLOOKUP(C715,'RAW DATA 2023'!E:BO,5,0)</f>
        <v>Outdoor</v>
      </c>
      <c r="G715" s="63">
        <f>VLOOKUP(C715,'RAW DATA 2023'!E:BO,13,0)</f>
        <v>146</v>
      </c>
      <c r="H715" s="63">
        <f t="shared" ref="H715:H778" si="93">IF(G715&gt;190,200,IF(G715&gt;165,180,IF(G715&gt;=135,150,IF(D708&gt;=110,120,100))))</f>
        <v>150</v>
      </c>
      <c r="I715" s="63">
        <f t="shared" si="91"/>
        <v>9.1999999999999993</v>
      </c>
      <c r="J715" s="106">
        <f>VLOOKUP(C715,'RAW DATA 2023'!E:BO,22,0)</f>
        <v>7.7906533333333323</v>
      </c>
      <c r="K715" s="70">
        <f t="shared" ref="K715:K778" si="94">J715/I715</f>
        <v>0.84681014492753615</v>
      </c>
      <c r="L715" s="72">
        <f t="shared" si="92"/>
        <v>7.7906533333333323</v>
      </c>
      <c r="M715" s="109">
        <f t="shared" si="88"/>
        <v>4.6241352657004819</v>
      </c>
      <c r="N715" s="123" t="str">
        <f>VLOOKUP(C715,'RAW DATA 2023'!E:BO,36,0)</f>
        <v>Normal</v>
      </c>
      <c r="O715" s="63">
        <f>VLOOKUP(C715,'RAW DATA 2023'!E:BO,2,0)</f>
        <v>1.5</v>
      </c>
      <c r="P715" s="322">
        <f t="shared" ref="P715:P778" si="95">M715*O715</f>
        <v>6.9362028985507234</v>
      </c>
    </row>
    <row r="716" spans="1:16">
      <c r="A716" s="63" t="str">
        <f>'RAW DATA 2023'!B709</f>
        <v>Lucky3</v>
      </c>
      <c r="B716" s="63" t="str">
        <f>'RAW DATA 2023'!D709</f>
        <v>BG-027-0012</v>
      </c>
      <c r="C716" s="63" t="str">
        <f t="shared" si="89"/>
        <v>Lucky3BG-027-0012</v>
      </c>
      <c r="D716" s="68">
        <f>VLOOKUP(C716,'RAW DATA 2023'!E:BP,63,0)</f>
        <v>7</v>
      </c>
      <c r="E716" s="68" t="str">
        <f t="shared" si="90"/>
        <v>Lucky37</v>
      </c>
      <c r="F716" s="63" t="str">
        <f>VLOOKUP(C716,'RAW DATA 2023'!E:BO,5,0)</f>
        <v>Greenhouse</v>
      </c>
      <c r="G716" s="63">
        <f>VLOOKUP(C716,'RAW DATA 2023'!E:BO,13,0)</f>
        <v>167</v>
      </c>
      <c r="H716" s="63">
        <f t="shared" si="93"/>
        <v>180</v>
      </c>
      <c r="I716" s="63">
        <f t="shared" si="91"/>
        <v>10.247</v>
      </c>
      <c r="J716" s="106">
        <f>VLOOKUP(C716,'RAW DATA 2023'!E:BO,22,0)</f>
        <v>2.9789066666666666</v>
      </c>
      <c r="K716" s="70">
        <f t="shared" si="94"/>
        <v>0.29071012654110145</v>
      </c>
      <c r="L716" s="72">
        <f t="shared" si="92"/>
        <v>2.9789066666666666</v>
      </c>
      <c r="M716" s="109">
        <f t="shared" ref="M716:M779" si="96">(K716-$B$4)*$B$7</f>
        <v>-2.7905316461186476</v>
      </c>
      <c r="N716" s="123" t="str">
        <f>VLOOKUP(C716,'RAW DATA 2023'!E:BO,36,0)</f>
        <v>EHP</v>
      </c>
      <c r="O716" s="63">
        <f>VLOOKUP(C716,'RAW DATA 2023'!E:BO,2,0)</f>
        <v>1.5</v>
      </c>
      <c r="P716" s="322">
        <f t="shared" si="95"/>
        <v>-4.1857974691779711</v>
      </c>
    </row>
    <row r="717" spans="1:16">
      <c r="A717" s="63" t="str">
        <f>'RAW DATA 2023'!B710</f>
        <v>Lucky3</v>
      </c>
      <c r="B717" s="63" t="str">
        <f>'RAW DATA 2023'!D710</f>
        <v>B1-025-0011</v>
      </c>
      <c r="C717" s="63" t="str">
        <f t="shared" si="89"/>
        <v>Lucky3B1-025-0011</v>
      </c>
      <c r="D717" s="68">
        <f>VLOOKUP(C717,'RAW DATA 2023'!E:BP,63,0)</f>
        <v>8</v>
      </c>
      <c r="E717" s="68" t="str">
        <f t="shared" si="90"/>
        <v>Lucky38</v>
      </c>
      <c r="F717" s="63" t="str">
        <f>VLOOKUP(C717,'RAW DATA 2023'!E:BO,5,0)</f>
        <v>Outdoor</v>
      </c>
      <c r="G717" s="63">
        <f>VLOOKUP(C717,'RAW DATA 2023'!E:BO,13,0)</f>
        <v>167</v>
      </c>
      <c r="H717" s="63">
        <f t="shared" si="93"/>
        <v>180</v>
      </c>
      <c r="I717" s="63">
        <f t="shared" si="91"/>
        <v>10.247</v>
      </c>
      <c r="J717" s="106">
        <f>VLOOKUP(C717,'RAW DATA 2023'!E:BO,22,0)</f>
        <v>0</v>
      </c>
      <c r="K717" s="70">
        <f t="shared" si="94"/>
        <v>0</v>
      </c>
      <c r="L717" s="72">
        <f t="shared" si="92"/>
        <v>0</v>
      </c>
      <c r="M717" s="109">
        <f t="shared" si="96"/>
        <v>-6.666666666666667</v>
      </c>
      <c r="N717" s="123" t="str">
        <f>VLOOKUP(C717,'RAW DATA 2023'!E:BO,36,0)</f>
        <v>EHP</v>
      </c>
      <c r="O717" s="63">
        <f>VLOOKUP(C717,'RAW DATA 2023'!E:BO,2,0)</f>
        <v>1.5</v>
      </c>
      <c r="P717" s="322">
        <f t="shared" si="95"/>
        <v>-10</v>
      </c>
    </row>
    <row r="718" spans="1:16">
      <c r="A718" s="63" t="str">
        <f>'RAW DATA 2023'!B711</f>
        <v>Tachalab</v>
      </c>
      <c r="B718" s="63" t="str">
        <f>'RAW DATA 2023'!D711</f>
        <v>A1-012-0017</v>
      </c>
      <c r="C718" s="63" t="str">
        <f t="shared" si="89"/>
        <v>TachalabA1-012-0017</v>
      </c>
      <c r="D718" s="68">
        <f>VLOOKUP(C718,'RAW DATA 2023'!E:BP,63,0)</f>
        <v>8</v>
      </c>
      <c r="E718" s="68" t="str">
        <f t="shared" si="90"/>
        <v>Tachalab8</v>
      </c>
      <c r="F718" s="63" t="str">
        <f>VLOOKUP(C718,'RAW DATA 2023'!E:BO,5,0)</f>
        <v>Outdoor</v>
      </c>
      <c r="G718" s="63">
        <f>VLOOKUP(C718,'RAW DATA 2023'!E:BO,13,0)</f>
        <v>95</v>
      </c>
      <c r="H718" s="63">
        <f t="shared" si="93"/>
        <v>100</v>
      </c>
      <c r="I718" s="63">
        <f t="shared" si="91"/>
        <v>6.806</v>
      </c>
      <c r="J718" s="106">
        <f>VLOOKUP(C718,'RAW DATA 2023'!E:BO,22,0)</f>
        <v>8.5806782608695649</v>
      </c>
      <c r="K718" s="70">
        <f t="shared" si="94"/>
        <v>1.2607520218732831</v>
      </c>
      <c r="L718" s="72">
        <f t="shared" si="92"/>
        <v>8.5806782608695649</v>
      </c>
      <c r="M718" s="109">
        <f t="shared" si="96"/>
        <v>10.143360291643775</v>
      </c>
      <c r="N718" s="123" t="str">
        <f>VLOOKUP(C718,'RAW DATA 2023'!E:BO,36,0)</f>
        <v>Normal</v>
      </c>
      <c r="O718" s="63">
        <f>VLOOKUP(C718,'RAW DATA 2023'!E:BO,2,0)</f>
        <v>2.2999999999999998</v>
      </c>
      <c r="P718" s="322">
        <f t="shared" si="95"/>
        <v>23.329728670780682</v>
      </c>
    </row>
    <row r="719" spans="1:16">
      <c r="A719" s="63" t="str">
        <f>'RAW DATA 2023'!B712</f>
        <v>Tachalab</v>
      </c>
      <c r="B719" s="63" t="str">
        <f>'RAW DATA 2023'!D712</f>
        <v>A1-013-0012</v>
      </c>
      <c r="C719" s="63" t="str">
        <f t="shared" si="89"/>
        <v>TachalabA1-013-0012</v>
      </c>
      <c r="D719" s="68">
        <f>VLOOKUP(C719,'RAW DATA 2023'!E:BP,63,0)</f>
        <v>7</v>
      </c>
      <c r="E719" s="68" t="str">
        <f t="shared" si="90"/>
        <v>Tachalab7</v>
      </c>
      <c r="F719" s="63" t="str">
        <f>VLOOKUP(C719,'RAW DATA 2023'!E:BO,5,0)</f>
        <v>Outdoor</v>
      </c>
      <c r="G719" s="63">
        <f>VLOOKUP(C719,'RAW DATA 2023'!E:BO,13,0)</f>
        <v>95</v>
      </c>
      <c r="H719" s="63">
        <f t="shared" si="93"/>
        <v>100</v>
      </c>
      <c r="I719" s="63">
        <f t="shared" si="91"/>
        <v>6.806</v>
      </c>
      <c r="J719" s="106">
        <f>VLOOKUP(C719,'RAW DATA 2023'!E:BO,22,0)</f>
        <v>8.0141913043478272</v>
      </c>
      <c r="K719" s="70">
        <f t="shared" si="94"/>
        <v>1.1775185577942737</v>
      </c>
      <c r="L719" s="72">
        <f t="shared" si="92"/>
        <v>8.0141913043478272</v>
      </c>
      <c r="M719" s="109">
        <f t="shared" si="96"/>
        <v>9.0335807705903175</v>
      </c>
      <c r="N719" s="123" t="str">
        <f>VLOOKUP(C719,'RAW DATA 2023'!E:BO,36,0)</f>
        <v>Normal</v>
      </c>
      <c r="O719" s="63">
        <f>VLOOKUP(C719,'RAW DATA 2023'!E:BO,2,0)</f>
        <v>2.2999999999999998</v>
      </c>
      <c r="P719" s="322">
        <f t="shared" si="95"/>
        <v>20.777235772357727</v>
      </c>
    </row>
    <row r="720" spans="1:16">
      <c r="A720" s="63" t="str">
        <f>'RAW DATA 2023'!B713</f>
        <v>Tachalab</v>
      </c>
      <c r="B720" s="63" t="str">
        <f>'RAW DATA 2023'!D713</f>
        <v>A1-011-0018</v>
      </c>
      <c r="C720" s="63" t="str">
        <f t="shared" si="89"/>
        <v>TachalabA1-011-0018</v>
      </c>
      <c r="D720" s="68">
        <f>VLOOKUP(C720,'RAW DATA 2023'!E:BP,63,0)</f>
        <v>8</v>
      </c>
      <c r="E720" s="68" t="str">
        <f t="shared" si="90"/>
        <v>Tachalab8</v>
      </c>
      <c r="F720" s="63" t="str">
        <f>VLOOKUP(C720,'RAW DATA 2023'!E:BO,5,0)</f>
        <v>Outdoor</v>
      </c>
      <c r="G720" s="63">
        <f>VLOOKUP(C720,'RAW DATA 2023'!E:BO,13,0)</f>
        <v>112</v>
      </c>
      <c r="H720" s="63">
        <f t="shared" si="93"/>
        <v>100</v>
      </c>
      <c r="I720" s="63">
        <f t="shared" si="91"/>
        <v>6.806</v>
      </c>
      <c r="J720" s="106">
        <f>VLOOKUP(C720,'RAW DATA 2023'!E:BO,22,0)</f>
        <v>10.210000000000001</v>
      </c>
      <c r="K720" s="70">
        <f t="shared" si="94"/>
        <v>1.5001469291801353</v>
      </c>
      <c r="L720" s="72">
        <f t="shared" si="92"/>
        <v>10.210000000000001</v>
      </c>
      <c r="M720" s="109">
        <f t="shared" si="96"/>
        <v>13.335292389068471</v>
      </c>
      <c r="N720" s="123" t="str">
        <f>VLOOKUP(C720,'RAW DATA 2023'!E:BO,36,0)</f>
        <v>Normal</v>
      </c>
      <c r="O720" s="63">
        <f>VLOOKUP(C720,'RAW DATA 2023'!E:BO,2,0)</f>
        <v>2.8</v>
      </c>
      <c r="P720" s="322">
        <f t="shared" si="95"/>
        <v>37.338818689391715</v>
      </c>
    </row>
    <row r="721" spans="1:16">
      <c r="A721" s="63" t="str">
        <f>'RAW DATA 2023'!B714</f>
        <v>Tachalab</v>
      </c>
      <c r="B721" s="63" t="str">
        <f>'RAW DATA 2023'!D714</f>
        <v>A1-005-0024</v>
      </c>
      <c r="C721" s="63" t="str">
        <f t="shared" si="89"/>
        <v>TachalabA1-005-0024</v>
      </c>
      <c r="D721" s="68">
        <f>VLOOKUP(C721,'RAW DATA 2023'!E:BP,63,0)</f>
        <v>7</v>
      </c>
      <c r="E721" s="68" t="str">
        <f t="shared" si="90"/>
        <v>Tachalab7</v>
      </c>
      <c r="F721" s="63" t="str">
        <f>VLOOKUP(C721,'RAW DATA 2023'!E:BO,5,0)</f>
        <v>Outdoor</v>
      </c>
      <c r="G721" s="63">
        <f>VLOOKUP(C721,'RAW DATA 2023'!E:BO,13,0)</f>
        <v>117</v>
      </c>
      <c r="H721" s="63">
        <f t="shared" si="93"/>
        <v>100</v>
      </c>
      <c r="I721" s="63">
        <f t="shared" si="91"/>
        <v>6.806</v>
      </c>
      <c r="J721" s="106">
        <f>VLOOKUP(C721,'RAW DATA 2023'!E:BO,22,0)</f>
        <v>8.2225774999999999</v>
      </c>
      <c r="K721" s="70">
        <f t="shared" si="94"/>
        <v>1.2081365706729357</v>
      </c>
      <c r="L721" s="72">
        <f t="shared" si="92"/>
        <v>8.2225774999999999</v>
      </c>
      <c r="M721" s="109">
        <f t="shared" si="96"/>
        <v>9.4418209423058101</v>
      </c>
      <c r="N721" s="123" t="str">
        <f>VLOOKUP(C721,'RAW DATA 2023'!E:BO,36,0)</f>
        <v>Normal</v>
      </c>
      <c r="O721" s="63">
        <f>VLOOKUP(C721,'RAW DATA 2023'!E:BO,2,0)</f>
        <v>4</v>
      </c>
      <c r="P721" s="322">
        <f t="shared" si="95"/>
        <v>37.767283769223241</v>
      </c>
    </row>
    <row r="722" spans="1:16">
      <c r="A722" s="63" t="str">
        <f>'RAW DATA 2023'!B715</f>
        <v>Tachalab</v>
      </c>
      <c r="B722" s="63" t="str">
        <f>'RAW DATA 2023'!D715</f>
        <v>B1-025-0015</v>
      </c>
      <c r="C722" s="63" t="str">
        <f t="shared" si="89"/>
        <v>TachalabB1-025-0015</v>
      </c>
      <c r="D722" s="68">
        <f>VLOOKUP(C722,'RAW DATA 2023'!E:BP,63,0)</f>
        <v>6</v>
      </c>
      <c r="E722" s="68" t="str">
        <f t="shared" si="90"/>
        <v>Tachalab6</v>
      </c>
      <c r="F722" s="63" t="str">
        <f>VLOOKUP(C722,'RAW DATA 2023'!E:BO,5,0)</f>
        <v>Outdoor</v>
      </c>
      <c r="G722" s="63">
        <f>VLOOKUP(C722,'RAW DATA 2023'!E:BO,13,0)</f>
        <v>254</v>
      </c>
      <c r="H722" s="63">
        <f t="shared" si="93"/>
        <v>200</v>
      </c>
      <c r="I722" s="63">
        <f t="shared" si="91"/>
        <v>11.259</v>
      </c>
      <c r="J722" s="106">
        <f>VLOOKUP(C722,'RAW DATA 2023'!E:BO,22,0)</f>
        <v>8.7833593749999999</v>
      </c>
      <c r="K722" s="70">
        <f t="shared" si="94"/>
        <v>0.78011896038724571</v>
      </c>
      <c r="L722" s="72">
        <f t="shared" si="92"/>
        <v>8.7833593749999999</v>
      </c>
      <c r="M722" s="109">
        <f t="shared" si="96"/>
        <v>3.7349194718299428</v>
      </c>
      <c r="N722" s="123" t="str">
        <f>VLOOKUP(C722,'RAW DATA 2023'!E:BO,36,0)</f>
        <v>EHP</v>
      </c>
      <c r="O722" s="63">
        <f>VLOOKUP(C722,'RAW DATA 2023'!E:BO,2,0)</f>
        <v>3.2</v>
      </c>
      <c r="P722" s="322">
        <f t="shared" si="95"/>
        <v>11.951742309855817</v>
      </c>
    </row>
    <row r="723" spans="1:16">
      <c r="A723" s="63" t="str">
        <f>'RAW DATA 2023'!B716</f>
        <v>Tachalab</v>
      </c>
      <c r="B723" s="63" t="str">
        <f>'RAW DATA 2023'!D716</f>
        <v>A1-006-0017</v>
      </c>
      <c r="C723" s="63" t="str">
        <f t="shared" si="89"/>
        <v>TachalabA1-006-0017</v>
      </c>
      <c r="D723" s="68">
        <f>VLOOKUP(C723,'RAW DATA 2023'!E:BP,63,0)</f>
        <v>12</v>
      </c>
      <c r="E723" s="68" t="str">
        <f t="shared" si="90"/>
        <v>Tachalab12</v>
      </c>
      <c r="F723" s="63" t="str">
        <f>VLOOKUP(C723,'RAW DATA 2023'!E:BO,5,0)</f>
        <v>Outdoor</v>
      </c>
      <c r="G723" s="63">
        <f>VLOOKUP(C723,'RAW DATA 2023'!E:BO,13,0)</f>
        <v>130</v>
      </c>
      <c r="H723" s="63">
        <f t="shared" si="93"/>
        <v>100</v>
      </c>
      <c r="I723" s="63">
        <f t="shared" si="91"/>
        <v>6.806</v>
      </c>
      <c r="J723" s="106">
        <f>VLOOKUP(C723,'RAW DATA 2023'!E:BO,22,0)</f>
        <v>7.5353874999999997</v>
      </c>
      <c r="K723" s="70">
        <f t="shared" si="94"/>
        <v>1.1071683073758447</v>
      </c>
      <c r="L723" s="72">
        <f t="shared" si="92"/>
        <v>7.5353874999999997</v>
      </c>
      <c r="M723" s="109">
        <f t="shared" si="96"/>
        <v>8.0955774316779294</v>
      </c>
      <c r="N723" s="123" t="str">
        <f>VLOOKUP(C723,'RAW DATA 2023'!E:BO,36,0)</f>
        <v>ปิดฟาร์ม</v>
      </c>
      <c r="O723" s="63">
        <f>VLOOKUP(C723,'RAW DATA 2023'!E:BO,2,0)</f>
        <v>4</v>
      </c>
      <c r="P723" s="322">
        <f t="shared" si="95"/>
        <v>32.382309726711718</v>
      </c>
    </row>
    <row r="724" spans="1:16">
      <c r="A724" s="63" t="str">
        <f>'RAW DATA 2023'!B717</f>
        <v>Tachalab</v>
      </c>
      <c r="B724" s="63" t="str">
        <f>'RAW DATA 2023'!D717</f>
        <v>B1-023-0012</v>
      </c>
      <c r="C724" s="63" t="str">
        <f t="shared" si="89"/>
        <v>TachalabB1-023-0012</v>
      </c>
      <c r="D724" s="68">
        <f>VLOOKUP(C724,'RAW DATA 2023'!E:BP,63,0)</f>
        <v>2</v>
      </c>
      <c r="E724" s="68" t="str">
        <f t="shared" si="90"/>
        <v>Tachalab2</v>
      </c>
      <c r="F724" s="63" t="str">
        <f>VLOOKUP(C724,'RAW DATA 2023'!E:BO,5,0)</f>
        <v>Outdoor</v>
      </c>
      <c r="G724" s="63">
        <f>VLOOKUP(C724,'RAW DATA 2023'!E:BO,13,0)</f>
        <v>97</v>
      </c>
      <c r="H724" s="63">
        <f t="shared" si="93"/>
        <v>100</v>
      </c>
      <c r="I724" s="63">
        <f t="shared" si="91"/>
        <v>6.806</v>
      </c>
      <c r="J724" s="106">
        <f>VLOOKUP(C724,'RAW DATA 2023'!E:BO,22,0)</f>
        <v>6.6738823529411775</v>
      </c>
      <c r="K724" s="70">
        <f t="shared" si="94"/>
        <v>0.98058806243625884</v>
      </c>
      <c r="L724" s="72">
        <f t="shared" si="92"/>
        <v>6.6738823529411775</v>
      </c>
      <c r="M724" s="109">
        <f t="shared" si="96"/>
        <v>6.4078408324834513</v>
      </c>
      <c r="N724" s="123" t="str">
        <f>VLOOKUP(C724,'RAW DATA 2023'!E:BO,36,0)</f>
        <v>Normal</v>
      </c>
      <c r="O724" s="63">
        <f>VLOOKUP(C724,'RAW DATA 2023'!E:BO,2,0)</f>
        <v>3.4</v>
      </c>
      <c r="P724" s="322">
        <f t="shared" si="95"/>
        <v>21.786658830443734</v>
      </c>
    </row>
    <row r="725" spans="1:16">
      <c r="A725" s="63" t="str">
        <f>'RAW DATA 2023'!B718</f>
        <v>Tachalab</v>
      </c>
      <c r="B725" s="63" t="str">
        <f>'RAW DATA 2023'!D718</f>
        <v>A1-003-0023</v>
      </c>
      <c r="C725" s="63" t="str">
        <f t="shared" si="89"/>
        <v>TachalabA1-003-0023</v>
      </c>
      <c r="D725" s="68">
        <f>VLOOKUP(C725,'RAW DATA 2023'!E:BP,63,0)</f>
        <v>3</v>
      </c>
      <c r="E725" s="68" t="str">
        <f t="shared" si="90"/>
        <v>Tachalab3</v>
      </c>
      <c r="F725" s="63" t="str">
        <f>VLOOKUP(C725,'RAW DATA 2023'!E:BO,5,0)</f>
        <v>Outdoor</v>
      </c>
      <c r="G725" s="63">
        <f>VLOOKUP(C725,'RAW DATA 2023'!E:BO,13,0)</f>
        <v>99</v>
      </c>
      <c r="H725" s="63">
        <f t="shared" si="93"/>
        <v>100</v>
      </c>
      <c r="I725" s="63">
        <f t="shared" si="91"/>
        <v>6.806</v>
      </c>
      <c r="J725" s="106">
        <f>VLOOKUP(C725,'RAW DATA 2023'!E:BO,22,0)</f>
        <v>4.210252631578947</v>
      </c>
      <c r="K725" s="70">
        <f t="shared" si="94"/>
        <v>0.61860896731985704</v>
      </c>
      <c r="L725" s="72">
        <f t="shared" si="92"/>
        <v>4.210252631578947</v>
      </c>
      <c r="M725" s="109">
        <f t="shared" si="96"/>
        <v>1.5814528975980939</v>
      </c>
      <c r="N725" s="123" t="str">
        <f>VLOOKUP(C725,'RAW DATA 2023'!E:BO,36,0)</f>
        <v>กุ้งไม่โต</v>
      </c>
      <c r="O725" s="63">
        <f>VLOOKUP(C725,'RAW DATA 2023'!E:BO,2,0)</f>
        <v>3.8</v>
      </c>
      <c r="P725" s="322">
        <f t="shared" si="95"/>
        <v>6.0095210108727564</v>
      </c>
    </row>
    <row r="726" spans="1:16">
      <c r="A726" s="63" t="str">
        <f>'RAW DATA 2023'!B719</f>
        <v>Tachalab</v>
      </c>
      <c r="B726" s="63" t="str">
        <f>'RAW DATA 2023'!D719</f>
        <v>A1-013-0011</v>
      </c>
      <c r="C726" s="63" t="str">
        <f t="shared" si="89"/>
        <v>TachalabA1-013-0011</v>
      </c>
      <c r="D726" s="68">
        <f>VLOOKUP(C726,'RAW DATA 2023'!E:BP,63,0)</f>
        <v>3</v>
      </c>
      <c r="E726" s="68" t="str">
        <f t="shared" si="90"/>
        <v>Tachalab3</v>
      </c>
      <c r="F726" s="63" t="str">
        <f>VLOOKUP(C726,'RAW DATA 2023'!E:BO,5,0)</f>
        <v>Outdoor</v>
      </c>
      <c r="G726" s="63">
        <f>VLOOKUP(C726,'RAW DATA 2023'!E:BO,13,0)</f>
        <v>122</v>
      </c>
      <c r="H726" s="63">
        <f t="shared" si="93"/>
        <v>100</v>
      </c>
      <c r="I726" s="63">
        <f t="shared" si="91"/>
        <v>6.806</v>
      </c>
      <c r="J726" s="106">
        <f>VLOOKUP(C726,'RAW DATA 2023'!E:BO,22,0)</f>
        <v>5.8129391304347831</v>
      </c>
      <c r="K726" s="70">
        <f t="shared" si="94"/>
        <v>0.85409038061045883</v>
      </c>
      <c r="L726" s="72">
        <f t="shared" si="92"/>
        <v>5.8129391304347831</v>
      </c>
      <c r="M726" s="109">
        <f t="shared" si="96"/>
        <v>4.7212050748061181</v>
      </c>
      <c r="N726" s="123" t="str">
        <f>VLOOKUP(C726,'RAW DATA 2023'!E:BO,36,0)</f>
        <v>Normal</v>
      </c>
      <c r="O726" s="63">
        <f>VLOOKUP(C726,'RAW DATA 2023'!E:BO,2,0)</f>
        <v>2.2999999999999998</v>
      </c>
      <c r="P726" s="322">
        <f t="shared" si="95"/>
        <v>10.85877167205407</v>
      </c>
    </row>
    <row r="727" spans="1:16">
      <c r="A727" s="63" t="str">
        <f>'RAW DATA 2023'!B720</f>
        <v>Tachalab</v>
      </c>
      <c r="B727" s="63" t="str">
        <f>'RAW DATA 2023'!D720</f>
        <v>A1-006-0016</v>
      </c>
      <c r="C727" s="63" t="str">
        <f t="shared" si="89"/>
        <v>TachalabA1-006-0016</v>
      </c>
      <c r="D727" s="68">
        <f>VLOOKUP(C727,'RAW DATA 2023'!E:BP,63,0)</f>
        <v>3</v>
      </c>
      <c r="E727" s="68" t="str">
        <f t="shared" si="90"/>
        <v>Tachalab3</v>
      </c>
      <c r="F727" s="63" t="str">
        <f>VLOOKUP(C727,'RAW DATA 2023'!E:BO,5,0)</f>
        <v>Outdoor</v>
      </c>
      <c r="G727" s="63">
        <f>VLOOKUP(C727,'RAW DATA 2023'!E:BO,13,0)</f>
        <v>73</v>
      </c>
      <c r="H727" s="63">
        <f t="shared" si="93"/>
        <v>100</v>
      </c>
      <c r="I727" s="63">
        <f t="shared" si="91"/>
        <v>6.806</v>
      </c>
      <c r="J727" s="106">
        <f>VLOOKUP(C727,'RAW DATA 2023'!E:BO,22,0)</f>
        <v>3.8664899999999998</v>
      </c>
      <c r="K727" s="70">
        <f t="shared" si="94"/>
        <v>0.56810020570085218</v>
      </c>
      <c r="L727" s="72">
        <f t="shared" si="92"/>
        <v>3.8664899999999998</v>
      </c>
      <c r="M727" s="109">
        <f t="shared" si="96"/>
        <v>0.90800274267802905</v>
      </c>
      <c r="N727" s="123" t="str">
        <f>VLOOKUP(C727,'RAW DATA 2023'!E:BO,36,0)</f>
        <v>กุ้งไม่โต</v>
      </c>
      <c r="O727" s="63">
        <f>VLOOKUP(C727,'RAW DATA 2023'!E:BO,2,0)</f>
        <v>4</v>
      </c>
      <c r="P727" s="322">
        <f t="shared" si="95"/>
        <v>3.6320109707121162</v>
      </c>
    </row>
    <row r="728" spans="1:16">
      <c r="A728" s="63" t="str">
        <f>'RAW DATA 2023'!B721</f>
        <v>Tachalab</v>
      </c>
      <c r="B728" s="63" t="str">
        <f>'RAW DATA 2023'!D721</f>
        <v>A1-011-0017</v>
      </c>
      <c r="C728" s="63" t="str">
        <f t="shared" si="89"/>
        <v>TachalabA1-011-0017</v>
      </c>
      <c r="D728" s="68">
        <f>VLOOKUP(C728,'RAW DATA 2023'!E:BP,63,0)</f>
        <v>3</v>
      </c>
      <c r="E728" s="68" t="str">
        <f t="shared" si="90"/>
        <v>Tachalab3</v>
      </c>
      <c r="F728" s="63" t="str">
        <f>VLOOKUP(C728,'RAW DATA 2023'!E:BO,5,0)</f>
        <v>Outdoor</v>
      </c>
      <c r="G728" s="63">
        <f>VLOOKUP(C728,'RAW DATA 2023'!E:BO,13,0)</f>
        <v>134</v>
      </c>
      <c r="H728" s="63">
        <f t="shared" si="93"/>
        <v>100</v>
      </c>
      <c r="I728" s="63">
        <f t="shared" si="91"/>
        <v>6.806</v>
      </c>
      <c r="J728" s="106">
        <f>VLOOKUP(C728,'RAW DATA 2023'!E:BO,22,0)</f>
        <v>4.8484321428571437</v>
      </c>
      <c r="K728" s="70">
        <f t="shared" si="94"/>
        <v>0.71237615969102908</v>
      </c>
      <c r="L728" s="72">
        <f t="shared" si="92"/>
        <v>4.8484321428571437</v>
      </c>
      <c r="M728" s="109">
        <f t="shared" si="96"/>
        <v>2.8316821292137213</v>
      </c>
      <c r="N728" s="123" t="str">
        <f>VLOOKUP(C728,'RAW DATA 2023'!E:BO,36,0)</f>
        <v>กุ้งไม่โต</v>
      </c>
      <c r="O728" s="63">
        <f>VLOOKUP(C728,'RAW DATA 2023'!E:BO,2,0)</f>
        <v>2.8</v>
      </c>
      <c r="P728" s="322">
        <f t="shared" si="95"/>
        <v>7.9287099617984191</v>
      </c>
    </row>
    <row r="729" spans="1:16">
      <c r="A729" s="63" t="str">
        <f>'RAW DATA 2023'!B722</f>
        <v>Tachalab</v>
      </c>
      <c r="B729" s="63" t="str">
        <f>'RAW DATA 2023'!D722</f>
        <v>B1-025-0014</v>
      </c>
      <c r="C729" s="63" t="str">
        <f t="shared" si="89"/>
        <v>TachalabB1-025-0014</v>
      </c>
      <c r="D729" s="68">
        <f>VLOOKUP(C729,'RAW DATA 2023'!E:BP,63,0)</f>
        <v>2</v>
      </c>
      <c r="E729" s="68" t="str">
        <f t="shared" si="90"/>
        <v>Tachalab2</v>
      </c>
      <c r="F729" s="63" t="str">
        <f>VLOOKUP(C729,'RAW DATA 2023'!E:BO,5,0)</f>
        <v>Outdoor</v>
      </c>
      <c r="G729" s="63">
        <f>VLOOKUP(C729,'RAW DATA 2023'!E:BO,13,0)</f>
        <v>111</v>
      </c>
      <c r="H729" s="63">
        <f t="shared" si="93"/>
        <v>100</v>
      </c>
      <c r="I729" s="63">
        <f t="shared" si="91"/>
        <v>6.806</v>
      </c>
      <c r="J729" s="106">
        <f>VLOOKUP(C729,'RAW DATA 2023'!E:BO,22,0)</f>
        <v>3.7143124999999997</v>
      </c>
      <c r="K729" s="70">
        <f t="shared" si="94"/>
        <v>0.54574089039083162</v>
      </c>
      <c r="L729" s="72">
        <f t="shared" si="92"/>
        <v>3.7143124999999997</v>
      </c>
      <c r="M729" s="109">
        <f t="shared" si="96"/>
        <v>0.60987853854442164</v>
      </c>
      <c r="N729" s="123" t="str">
        <f>VLOOKUP(C729,'RAW DATA 2023'!E:BO,36,0)</f>
        <v>Slow Growth</v>
      </c>
      <c r="O729" s="63">
        <f>VLOOKUP(C729,'RAW DATA 2023'!E:BO,2,0)</f>
        <v>3.2</v>
      </c>
      <c r="P729" s="322">
        <f t="shared" si="95"/>
        <v>1.9516113233421493</v>
      </c>
    </row>
    <row r="730" spans="1:16">
      <c r="A730" s="63" t="str">
        <f>'RAW DATA 2023'!B723</f>
        <v>Tachalab</v>
      </c>
      <c r="B730" s="63" t="str">
        <f>'RAW DATA 2023'!D723</f>
        <v>A1-012-0016</v>
      </c>
      <c r="C730" s="63" t="str">
        <f t="shared" si="89"/>
        <v>TachalabA1-012-0016</v>
      </c>
      <c r="D730" s="68">
        <f>VLOOKUP(C730,'RAW DATA 2023'!E:BP,63,0)</f>
        <v>3</v>
      </c>
      <c r="E730" s="68" t="str">
        <f t="shared" si="90"/>
        <v>Tachalab3</v>
      </c>
      <c r="F730" s="63" t="str">
        <f>VLOOKUP(C730,'RAW DATA 2023'!E:BO,5,0)</f>
        <v>Outdoor</v>
      </c>
      <c r="G730" s="63">
        <f>VLOOKUP(C730,'RAW DATA 2023'!E:BO,13,0)</f>
        <v>149</v>
      </c>
      <c r="H730" s="63">
        <f t="shared" si="93"/>
        <v>150</v>
      </c>
      <c r="I730" s="63">
        <f t="shared" si="91"/>
        <v>9.1999999999999993</v>
      </c>
      <c r="J730" s="106">
        <f>VLOOKUP(C730,'RAW DATA 2023'!E:BO,22,0)</f>
        <v>4.5978130434782605</v>
      </c>
      <c r="K730" s="70">
        <f t="shared" si="94"/>
        <v>0.49976228733459355</v>
      </c>
      <c r="L730" s="72">
        <f t="shared" si="92"/>
        <v>4.5978130434782605</v>
      </c>
      <c r="M730" s="109">
        <f t="shared" si="96"/>
        <v>-3.1695022054193762E-3</v>
      </c>
      <c r="N730" s="123" t="str">
        <f>VLOOKUP(C730,'RAW DATA 2023'!E:BO,36,0)</f>
        <v>กุ้งไม่โต</v>
      </c>
      <c r="O730" s="63">
        <f>VLOOKUP(C730,'RAW DATA 2023'!E:BO,2,0)</f>
        <v>2.2999999999999998</v>
      </c>
      <c r="P730" s="322">
        <f t="shared" si="95"/>
        <v>-7.2898550724645643E-3</v>
      </c>
    </row>
    <row r="731" spans="1:16">
      <c r="A731" s="63" t="str">
        <f>'RAW DATA 2023'!B724</f>
        <v>Andaman</v>
      </c>
      <c r="B731" s="63" t="str">
        <f>'RAW DATA 2023'!D724</f>
        <v>A1-014-0018</v>
      </c>
      <c r="C731" s="63" t="str">
        <f t="shared" si="89"/>
        <v>AndamanA1-014-0018</v>
      </c>
      <c r="D731" s="68">
        <f>VLOOKUP(C731,'RAW DATA 2023'!E:BP,63,0)</f>
        <v>5</v>
      </c>
      <c r="E731" s="68" t="str">
        <f t="shared" si="90"/>
        <v>Andaman5</v>
      </c>
      <c r="F731" s="63" t="str">
        <f>VLOOKUP(C731,'RAW DATA 2023'!E:BO,5,0)</f>
        <v>Outdoor</v>
      </c>
      <c r="G731" s="63">
        <f>VLOOKUP(C731,'RAW DATA 2023'!E:BO,13,0)</f>
        <v>150</v>
      </c>
      <c r="H731" s="63">
        <f t="shared" si="93"/>
        <v>150</v>
      </c>
      <c r="I731" s="63">
        <f t="shared" si="91"/>
        <v>9.1999999999999993</v>
      </c>
      <c r="J731" s="106">
        <f>VLOOKUP(C731,'RAW DATA 2023'!E:BO,22,0)</f>
        <v>8.4573866666666664</v>
      </c>
      <c r="K731" s="70">
        <f t="shared" si="94"/>
        <v>0.91928115942028987</v>
      </c>
      <c r="L731" s="72">
        <f t="shared" si="92"/>
        <v>8.4573866666666664</v>
      </c>
      <c r="M731" s="109">
        <f t="shared" si="96"/>
        <v>5.5904154589371986</v>
      </c>
      <c r="N731" s="123" t="str">
        <f>VLOOKUP(C731,'RAW DATA 2023'!E:BO,36,0)</f>
        <v>Normal</v>
      </c>
      <c r="O731" s="63">
        <f>VLOOKUP(C731,'RAW DATA 2023'!E:BO,2,0)</f>
        <v>1.5</v>
      </c>
      <c r="P731" s="322">
        <f t="shared" si="95"/>
        <v>8.3856231884057983</v>
      </c>
    </row>
    <row r="732" spans="1:16">
      <c r="A732" s="63" t="str">
        <f>'RAW DATA 2023'!B725</f>
        <v>Andaman</v>
      </c>
      <c r="B732" s="63" t="str">
        <f>'RAW DATA 2023'!D725</f>
        <v>A1-013-0018</v>
      </c>
      <c r="C732" s="63" t="str">
        <f t="shared" si="89"/>
        <v>AndamanA1-013-0018</v>
      </c>
      <c r="D732" s="68">
        <f>VLOOKUP(C732,'RAW DATA 2023'!E:BP,63,0)</f>
        <v>6</v>
      </c>
      <c r="E732" s="68" t="str">
        <f t="shared" si="90"/>
        <v>Andaman6</v>
      </c>
      <c r="F732" s="63" t="str">
        <f>VLOOKUP(C732,'RAW DATA 2023'!E:BO,5,0)</f>
        <v>Outdoor</v>
      </c>
      <c r="G732" s="63">
        <f>VLOOKUP(C732,'RAW DATA 2023'!E:BO,13,0)</f>
        <v>185</v>
      </c>
      <c r="H732" s="63">
        <f t="shared" si="93"/>
        <v>180</v>
      </c>
      <c r="I732" s="63">
        <f t="shared" si="91"/>
        <v>10.247</v>
      </c>
      <c r="J732" s="106">
        <f>VLOOKUP(C732,'RAW DATA 2023'!E:BO,22,0)</f>
        <v>8.5943400000000008</v>
      </c>
      <c r="K732" s="70">
        <f t="shared" si="94"/>
        <v>0.8387176734654046</v>
      </c>
      <c r="L732" s="72">
        <f t="shared" si="92"/>
        <v>8.5943400000000008</v>
      </c>
      <c r="M732" s="109">
        <f t="shared" si="96"/>
        <v>4.516235646205395</v>
      </c>
      <c r="N732" s="123" t="str">
        <f>VLOOKUP(C732,'RAW DATA 2023'!E:BO,36,0)</f>
        <v>อัตรารอดต่ำ</v>
      </c>
      <c r="O732" s="63">
        <f>VLOOKUP(C732,'RAW DATA 2023'!E:BO,2,0)</f>
        <v>1.5</v>
      </c>
      <c r="P732" s="322">
        <f t="shared" si="95"/>
        <v>6.7743534693080925</v>
      </c>
    </row>
    <row r="733" spans="1:16">
      <c r="A733" s="63" t="str">
        <f>'RAW DATA 2023'!B726</f>
        <v>Andaman</v>
      </c>
      <c r="B733" s="63" t="str">
        <f>'RAW DATA 2023'!D726</f>
        <v>A1-009-0046</v>
      </c>
      <c r="C733" s="63" t="str">
        <f t="shared" si="89"/>
        <v>AndamanA1-009-0046</v>
      </c>
      <c r="D733" s="68">
        <f>VLOOKUP(C733,'RAW DATA 2023'!E:BP,63,0)</f>
        <v>3</v>
      </c>
      <c r="E733" s="68" t="str">
        <f t="shared" si="90"/>
        <v>Andaman3</v>
      </c>
      <c r="F733" s="63" t="str">
        <f>VLOOKUP(C733,'RAW DATA 2023'!E:BO,5,0)</f>
        <v>Outdoor</v>
      </c>
      <c r="G733" s="63">
        <f>VLOOKUP(C733,'RAW DATA 2023'!E:BO,13,0)</f>
        <v>156</v>
      </c>
      <c r="H733" s="63">
        <f t="shared" si="93"/>
        <v>150</v>
      </c>
      <c r="I733" s="63">
        <f t="shared" si="91"/>
        <v>9.1999999999999993</v>
      </c>
      <c r="J733" s="106">
        <f>VLOOKUP(C733,'RAW DATA 2023'!E:BO,22,0)</f>
        <v>8.5140679999999982</v>
      </c>
      <c r="K733" s="70">
        <f t="shared" si="94"/>
        <v>0.9254421739130434</v>
      </c>
      <c r="L733" s="72">
        <f t="shared" si="92"/>
        <v>8.5140679999999982</v>
      </c>
      <c r="M733" s="109">
        <f t="shared" si="96"/>
        <v>5.6725623188405789</v>
      </c>
      <c r="N733" s="123" t="str">
        <f>VLOOKUP(C733,'RAW DATA 2023'!E:BO,36,0)</f>
        <v>Normal</v>
      </c>
      <c r="O733" s="63">
        <f>VLOOKUP(C733,'RAW DATA 2023'!E:BO,2,0)</f>
        <v>2.5</v>
      </c>
      <c r="P733" s="322">
        <f t="shared" si="95"/>
        <v>14.181405797101448</v>
      </c>
    </row>
    <row r="734" spans="1:16">
      <c r="A734" s="63" t="str">
        <f>'RAW DATA 2023'!B727</f>
        <v>Andaman</v>
      </c>
      <c r="B734" s="63" t="str">
        <f>'RAW DATA 2023'!D727</f>
        <v>A1-016-0015</v>
      </c>
      <c r="C734" s="63" t="str">
        <f t="shared" si="89"/>
        <v>AndamanA1-016-0015</v>
      </c>
      <c r="D734" s="68">
        <f>VLOOKUP(C734,'RAW DATA 2023'!E:BP,63,0)</f>
        <v>9</v>
      </c>
      <c r="E734" s="68" t="str">
        <f t="shared" si="90"/>
        <v>Andaman9</v>
      </c>
      <c r="F734" s="63" t="str">
        <f>VLOOKUP(C734,'RAW DATA 2023'!E:BO,5,0)</f>
        <v>Outdoor</v>
      </c>
      <c r="G734" s="63">
        <f>VLOOKUP(C734,'RAW DATA 2023'!E:BO,13,0)</f>
        <v>162</v>
      </c>
      <c r="H734" s="63">
        <f t="shared" si="93"/>
        <v>150</v>
      </c>
      <c r="I734" s="63">
        <f t="shared" si="91"/>
        <v>9.1999999999999993</v>
      </c>
      <c r="J734" s="106">
        <f>VLOOKUP(C734,'RAW DATA 2023'!E:BO,22,0)</f>
        <v>10.248513333333333</v>
      </c>
      <c r="K734" s="70">
        <f t="shared" si="94"/>
        <v>1.1139688405797101</v>
      </c>
      <c r="L734" s="72">
        <f t="shared" si="92"/>
        <v>10.248513333333333</v>
      </c>
      <c r="M734" s="109">
        <f t="shared" si="96"/>
        <v>8.1862512077294696</v>
      </c>
      <c r="N734" s="123" t="str">
        <f>VLOOKUP(C734,'RAW DATA 2023'!E:BO,36,0)</f>
        <v>WFD+EHP</v>
      </c>
      <c r="O734" s="63">
        <f>VLOOKUP(C734,'RAW DATA 2023'!E:BO,2,0)</f>
        <v>1.5</v>
      </c>
      <c r="P734" s="322">
        <f t="shared" si="95"/>
        <v>12.279376811594204</v>
      </c>
    </row>
    <row r="735" spans="1:16">
      <c r="A735" s="63" t="str">
        <f>'RAW DATA 2023'!B728</f>
        <v>Andaman</v>
      </c>
      <c r="B735" s="63" t="str">
        <f>'RAW DATA 2023'!D728</f>
        <v>A1-009-0047</v>
      </c>
      <c r="C735" s="63" t="str">
        <f t="shared" si="89"/>
        <v>AndamanA1-009-0047</v>
      </c>
      <c r="D735" s="68">
        <f>VLOOKUP(C735,'RAW DATA 2023'!E:BP,63,0)</f>
        <v>8</v>
      </c>
      <c r="E735" s="68" t="str">
        <f t="shared" si="90"/>
        <v>Andaman8</v>
      </c>
      <c r="F735" s="63" t="str">
        <f>VLOOKUP(C735,'RAW DATA 2023'!E:BO,5,0)</f>
        <v>Outdoor</v>
      </c>
      <c r="G735" s="63">
        <f>VLOOKUP(C735,'RAW DATA 2023'!E:BO,13,0)</f>
        <v>167</v>
      </c>
      <c r="H735" s="63">
        <f t="shared" si="93"/>
        <v>180</v>
      </c>
      <c r="I735" s="63">
        <f t="shared" si="91"/>
        <v>10.247</v>
      </c>
      <c r="J735" s="106">
        <f>VLOOKUP(C735,'RAW DATA 2023'!E:BO,22,0)</f>
        <v>10.411256</v>
      </c>
      <c r="K735" s="70">
        <f t="shared" si="94"/>
        <v>1.016029667219674</v>
      </c>
      <c r="L735" s="72">
        <f t="shared" si="92"/>
        <v>10.411256</v>
      </c>
      <c r="M735" s="109">
        <f t="shared" si="96"/>
        <v>6.880395562928987</v>
      </c>
      <c r="N735" s="123" t="str">
        <f>VLOOKUP(C735,'RAW DATA 2023'!E:BO,36,0)</f>
        <v>กุ้งร่วง</v>
      </c>
      <c r="O735" s="63">
        <f>VLOOKUP(C735,'RAW DATA 2023'!E:BO,2,0)</f>
        <v>2.5</v>
      </c>
      <c r="P735" s="322">
        <f t="shared" si="95"/>
        <v>17.200988907322468</v>
      </c>
    </row>
    <row r="736" spans="1:16">
      <c r="A736" s="63" t="str">
        <f>'RAW DATA 2023'!B729</f>
        <v>Andaman</v>
      </c>
      <c r="B736" s="63" t="str">
        <f>'RAW DATA 2023'!D729</f>
        <v>A1-014-0019</v>
      </c>
      <c r="C736" s="63" t="str">
        <f t="shared" si="89"/>
        <v>AndamanA1-014-0019</v>
      </c>
      <c r="D736" s="68">
        <f>VLOOKUP(C736,'RAW DATA 2023'!E:BP,63,0)</f>
        <v>9</v>
      </c>
      <c r="E736" s="68" t="str">
        <f t="shared" si="90"/>
        <v>Andaman9</v>
      </c>
      <c r="F736" s="63" t="str">
        <f>VLOOKUP(C736,'RAW DATA 2023'!E:BO,5,0)</f>
        <v>Outdoor</v>
      </c>
      <c r="G736" s="63">
        <f>VLOOKUP(C736,'RAW DATA 2023'!E:BO,13,0)</f>
        <v>197</v>
      </c>
      <c r="H736" s="63">
        <f t="shared" si="93"/>
        <v>200</v>
      </c>
      <c r="I736" s="63">
        <f t="shared" si="91"/>
        <v>11.259</v>
      </c>
      <c r="J736" s="106">
        <f>VLOOKUP(C736,'RAW DATA 2023'!E:BO,22,0)</f>
        <v>5.1225866666666668</v>
      </c>
      <c r="K736" s="70">
        <f t="shared" si="94"/>
        <v>0.45497705539272287</v>
      </c>
      <c r="L736" s="72">
        <f t="shared" si="92"/>
        <v>5.1225866666666668</v>
      </c>
      <c r="M736" s="109">
        <f t="shared" si="96"/>
        <v>-0.60030592809702843</v>
      </c>
      <c r="N736" s="123" t="str">
        <f>VLOOKUP(C736,'RAW DATA 2023'!E:BO,36,0)</f>
        <v>EHP</v>
      </c>
      <c r="O736" s="63">
        <f>VLOOKUP(C736,'RAW DATA 2023'!E:BO,2,0)</f>
        <v>1.5</v>
      </c>
      <c r="P736" s="322">
        <f t="shared" si="95"/>
        <v>-0.90045889214554264</v>
      </c>
    </row>
    <row r="737" spans="1:16">
      <c r="A737" s="63" t="str">
        <f>'RAW DATA 2023'!B730</f>
        <v>Andaman</v>
      </c>
      <c r="B737" s="63" t="str">
        <f>'RAW DATA 2023'!D730</f>
        <v>A1-012-0022</v>
      </c>
      <c r="C737" s="63" t="str">
        <f t="shared" si="89"/>
        <v>AndamanA1-012-0022</v>
      </c>
      <c r="D737" s="68">
        <f>VLOOKUP(C737,'RAW DATA 2023'!E:BP,63,0)</f>
        <v>3</v>
      </c>
      <c r="E737" s="68" t="str">
        <f t="shared" si="90"/>
        <v>Andaman3</v>
      </c>
      <c r="F737" s="63" t="str">
        <f>VLOOKUP(C737,'RAW DATA 2023'!E:BO,5,0)</f>
        <v>Outdoor</v>
      </c>
      <c r="G737" s="63">
        <f>VLOOKUP(C737,'RAW DATA 2023'!E:BO,13,0)</f>
        <v>139</v>
      </c>
      <c r="H737" s="63">
        <f t="shared" si="93"/>
        <v>150</v>
      </c>
      <c r="I737" s="63">
        <f t="shared" si="91"/>
        <v>9.1999999999999993</v>
      </c>
      <c r="J737" s="106">
        <f>VLOOKUP(C737,'RAW DATA 2023'!E:BO,22,0)</f>
        <v>7.693244</v>
      </c>
      <c r="K737" s="70">
        <f t="shared" si="94"/>
        <v>0.83622217391304354</v>
      </c>
      <c r="L737" s="72">
        <f t="shared" si="92"/>
        <v>7.693244</v>
      </c>
      <c r="M737" s="109">
        <f t="shared" si="96"/>
        <v>4.4829623188405812</v>
      </c>
      <c r="N737" s="123" t="str">
        <f>VLOOKUP(C737,'RAW DATA 2023'!E:BO,36,0)</f>
        <v>Normal</v>
      </c>
      <c r="O737" s="63">
        <f>VLOOKUP(C737,'RAW DATA 2023'!E:BO,2,0)</f>
        <v>2.5</v>
      </c>
      <c r="P737" s="322">
        <f t="shared" si="95"/>
        <v>11.207405797101453</v>
      </c>
    </row>
    <row r="738" spans="1:16">
      <c r="A738" s="63" t="str">
        <f>'RAW DATA 2023'!B731</f>
        <v>Andaman</v>
      </c>
      <c r="B738" s="63" t="str">
        <f>'RAW DATA 2023'!D731</f>
        <v>A1-012-0023</v>
      </c>
      <c r="C738" s="63" t="str">
        <f t="shared" si="89"/>
        <v>AndamanA1-012-0023</v>
      </c>
      <c r="D738" s="68">
        <f>VLOOKUP(C738,'RAW DATA 2023'!E:BP,63,0)</f>
        <v>7</v>
      </c>
      <c r="E738" s="68" t="str">
        <f t="shared" si="90"/>
        <v>Andaman7</v>
      </c>
      <c r="F738" s="63" t="str">
        <f>VLOOKUP(C738,'RAW DATA 2023'!E:BO,5,0)</f>
        <v>Outdoor</v>
      </c>
      <c r="G738" s="63">
        <f>VLOOKUP(C738,'RAW DATA 2023'!E:BO,13,0)</f>
        <v>111</v>
      </c>
      <c r="H738" s="63">
        <f t="shared" si="93"/>
        <v>100</v>
      </c>
      <c r="I738" s="63">
        <f t="shared" si="91"/>
        <v>6.806</v>
      </c>
      <c r="J738" s="106">
        <f>VLOOKUP(C738,'RAW DATA 2023'!E:BO,22,0)</f>
        <v>6.9050399999999996</v>
      </c>
      <c r="K738" s="70">
        <f t="shared" si="94"/>
        <v>1.0145518660005877</v>
      </c>
      <c r="L738" s="72">
        <f t="shared" si="92"/>
        <v>6.9050399999999996</v>
      </c>
      <c r="M738" s="109">
        <f t="shared" si="96"/>
        <v>6.8606915466745022</v>
      </c>
      <c r="N738" s="123" t="str">
        <f>VLOOKUP(C738,'RAW DATA 2023'!E:BO,36,0)</f>
        <v>Normal</v>
      </c>
      <c r="O738" s="63">
        <f>VLOOKUP(C738,'RAW DATA 2023'!E:BO,2,0)</f>
        <v>2.5</v>
      </c>
      <c r="P738" s="322">
        <f t="shared" si="95"/>
        <v>17.151728866686256</v>
      </c>
    </row>
    <row r="739" spans="1:16">
      <c r="A739" s="63" t="str">
        <f>'RAW DATA 2023'!B732</f>
        <v>Andaman</v>
      </c>
      <c r="B739" s="63" t="str">
        <f>'RAW DATA 2023'!D732</f>
        <v>A1-004-0047</v>
      </c>
      <c r="C739" s="63" t="str">
        <f t="shared" si="89"/>
        <v>AndamanA1-004-0047</v>
      </c>
      <c r="D739" s="68">
        <f>VLOOKUP(C739,'RAW DATA 2023'!E:BP,63,0)</f>
        <v>4</v>
      </c>
      <c r="E739" s="68" t="str">
        <f t="shared" si="90"/>
        <v>Andaman4</v>
      </c>
      <c r="F739" s="63" t="str">
        <f>VLOOKUP(C739,'RAW DATA 2023'!E:BO,5,0)</f>
        <v>Outdoor</v>
      </c>
      <c r="G739" s="63">
        <f>VLOOKUP(C739,'RAW DATA 2023'!E:BO,13,0)</f>
        <v>191</v>
      </c>
      <c r="H739" s="63">
        <f t="shared" si="93"/>
        <v>200</v>
      </c>
      <c r="I739" s="63">
        <f t="shared" si="91"/>
        <v>11.259</v>
      </c>
      <c r="J739" s="106">
        <f>VLOOKUP(C739,'RAW DATA 2023'!E:BO,22,0)</f>
        <v>8.3372600000000006</v>
      </c>
      <c r="K739" s="70">
        <f t="shared" si="94"/>
        <v>0.74049737987387865</v>
      </c>
      <c r="L739" s="72">
        <f t="shared" si="92"/>
        <v>8.3372600000000006</v>
      </c>
      <c r="M739" s="109">
        <f t="shared" si="96"/>
        <v>3.2066317316517154</v>
      </c>
      <c r="N739" s="123" t="str">
        <f>VLOOKUP(C739,'RAW DATA 2023'!E:BO,36,0)</f>
        <v>Normal</v>
      </c>
      <c r="O739" s="63">
        <f>VLOOKUP(C739,'RAW DATA 2023'!E:BO,2,0)</f>
        <v>2</v>
      </c>
      <c r="P739" s="322">
        <f t="shared" si="95"/>
        <v>6.4132634633034309</v>
      </c>
    </row>
    <row r="740" spans="1:16">
      <c r="A740" s="63" t="str">
        <f>'RAW DATA 2023'!B733</f>
        <v>Andaman</v>
      </c>
      <c r="B740" s="63" t="str">
        <f>'RAW DATA 2023'!D733</f>
        <v>A1-008-0045</v>
      </c>
      <c r="C740" s="63" t="str">
        <f t="shared" si="89"/>
        <v>AndamanA1-008-0045</v>
      </c>
      <c r="D740" s="68">
        <f>VLOOKUP(C740,'RAW DATA 2023'!E:BP,63,0)</f>
        <v>3</v>
      </c>
      <c r="E740" s="68" t="str">
        <f t="shared" si="90"/>
        <v>Andaman3</v>
      </c>
      <c r="F740" s="63" t="str">
        <f>VLOOKUP(C740,'RAW DATA 2023'!E:BO,5,0)</f>
        <v>Outdoor</v>
      </c>
      <c r="G740" s="63">
        <f>VLOOKUP(C740,'RAW DATA 2023'!E:BO,13,0)</f>
        <v>153</v>
      </c>
      <c r="H740" s="63">
        <f t="shared" si="93"/>
        <v>150</v>
      </c>
      <c r="I740" s="63">
        <f t="shared" si="91"/>
        <v>9.1999999999999993</v>
      </c>
      <c r="J740" s="106">
        <f>VLOOKUP(C740,'RAW DATA 2023'!E:BO,22,0)</f>
        <v>9.4481839999999995</v>
      </c>
      <c r="K740" s="70">
        <f t="shared" si="94"/>
        <v>1.0269765217391305</v>
      </c>
      <c r="L740" s="72">
        <f t="shared" si="92"/>
        <v>9.4481839999999995</v>
      </c>
      <c r="M740" s="109">
        <f t="shared" si="96"/>
        <v>7.0263536231884061</v>
      </c>
      <c r="N740" s="123" t="str">
        <f>VLOOKUP(C740,'RAW DATA 2023'!E:BO,36,0)</f>
        <v>Normal</v>
      </c>
      <c r="O740" s="63">
        <f>VLOOKUP(C740,'RAW DATA 2023'!E:BO,2,0)</f>
        <v>2.5</v>
      </c>
      <c r="P740" s="322">
        <f t="shared" si="95"/>
        <v>17.565884057971015</v>
      </c>
    </row>
    <row r="741" spans="1:16">
      <c r="A741" s="63" t="str">
        <f>'RAW DATA 2023'!B734</f>
        <v>Andaman</v>
      </c>
      <c r="B741" s="63" t="str">
        <f>'RAW DATA 2023'!D734</f>
        <v>A1-016-0014</v>
      </c>
      <c r="C741" s="63" t="str">
        <f t="shared" si="89"/>
        <v>AndamanA1-016-0014</v>
      </c>
      <c r="D741" s="68">
        <f>VLOOKUP(C741,'RAW DATA 2023'!E:BP,63,0)</f>
        <v>4</v>
      </c>
      <c r="E741" s="68" t="str">
        <f t="shared" si="90"/>
        <v>Andaman4</v>
      </c>
      <c r="F741" s="63" t="str">
        <f>VLOOKUP(C741,'RAW DATA 2023'!E:BO,5,0)</f>
        <v>Outdoor</v>
      </c>
      <c r="G741" s="63">
        <f>VLOOKUP(C741,'RAW DATA 2023'!E:BO,13,0)</f>
        <v>208</v>
      </c>
      <c r="H741" s="63">
        <f t="shared" si="93"/>
        <v>200</v>
      </c>
      <c r="I741" s="63">
        <f t="shared" si="91"/>
        <v>11.259</v>
      </c>
      <c r="J741" s="106">
        <f>VLOOKUP(C741,'RAW DATA 2023'!E:BO,22,0)</f>
        <v>8.3304333333333336</v>
      </c>
      <c r="K741" s="70">
        <f t="shared" si="94"/>
        <v>0.73989105012286471</v>
      </c>
      <c r="L741" s="72">
        <f t="shared" si="92"/>
        <v>8.3304333333333336</v>
      </c>
      <c r="M741" s="109">
        <f t="shared" si="96"/>
        <v>3.1985473349715297</v>
      </c>
      <c r="N741" s="123" t="str">
        <f>VLOOKUP(C741,'RAW DATA 2023'!E:BO,36,0)</f>
        <v>กุ้งร่วง</v>
      </c>
      <c r="O741" s="63">
        <f>VLOOKUP(C741,'RAW DATA 2023'!E:BO,2,0)</f>
        <v>1.5</v>
      </c>
      <c r="P741" s="322">
        <f t="shared" si="95"/>
        <v>4.7978210024572947</v>
      </c>
    </row>
    <row r="742" spans="1:16">
      <c r="A742" s="63" t="str">
        <f>'RAW DATA 2023'!B735</f>
        <v>Andaman</v>
      </c>
      <c r="B742" s="63" t="str">
        <f>'RAW DATA 2023'!D735</f>
        <v>A1-008-0046</v>
      </c>
      <c r="C742" s="63" t="str">
        <f t="shared" si="89"/>
        <v>AndamanA1-008-0046</v>
      </c>
      <c r="D742" s="68">
        <f>VLOOKUP(C742,'RAW DATA 2023'!E:BP,63,0)</f>
        <v>8</v>
      </c>
      <c r="E742" s="68" t="str">
        <f t="shared" si="90"/>
        <v>Andaman8</v>
      </c>
      <c r="F742" s="63" t="str">
        <f>VLOOKUP(C742,'RAW DATA 2023'!E:BO,5,0)</f>
        <v>Outdoor</v>
      </c>
      <c r="G742" s="63">
        <f>VLOOKUP(C742,'RAW DATA 2023'!E:BO,13,0)</f>
        <v>139</v>
      </c>
      <c r="H742" s="63">
        <f t="shared" si="93"/>
        <v>150</v>
      </c>
      <c r="I742" s="63">
        <f t="shared" si="91"/>
        <v>9.1999999999999993</v>
      </c>
      <c r="J742" s="106">
        <f>VLOOKUP(C742,'RAW DATA 2023'!E:BO,22,0)</f>
        <v>9.6764679999999998</v>
      </c>
      <c r="K742" s="70">
        <f t="shared" si="94"/>
        <v>1.05179</v>
      </c>
      <c r="L742" s="72">
        <f t="shared" si="92"/>
        <v>9.6764679999999998</v>
      </c>
      <c r="M742" s="109">
        <f t="shared" si="96"/>
        <v>7.3572000000000006</v>
      </c>
      <c r="N742" s="123" t="str">
        <f>VLOOKUP(C742,'RAW DATA 2023'!E:BO,36,0)</f>
        <v>กุ้งร่วง</v>
      </c>
      <c r="O742" s="63">
        <f>VLOOKUP(C742,'RAW DATA 2023'!E:BO,2,0)</f>
        <v>2.5</v>
      </c>
      <c r="P742" s="322">
        <f t="shared" si="95"/>
        <v>18.393000000000001</v>
      </c>
    </row>
    <row r="743" spans="1:16">
      <c r="A743" s="63" t="str">
        <f>'RAW DATA 2023'!B736</f>
        <v>Andaman</v>
      </c>
      <c r="B743" s="63" t="str">
        <f>'RAW DATA 2023'!D736</f>
        <v>A1-004-0048</v>
      </c>
      <c r="C743" s="63" t="str">
        <f t="shared" si="89"/>
        <v>AndamanA1-004-0048</v>
      </c>
      <c r="D743" s="68">
        <f>VLOOKUP(C743,'RAW DATA 2023'!E:BP,63,0)</f>
        <v>8</v>
      </c>
      <c r="E743" s="68" t="str">
        <f t="shared" si="90"/>
        <v>Andaman8</v>
      </c>
      <c r="F743" s="63" t="str">
        <f>VLOOKUP(C743,'RAW DATA 2023'!E:BO,5,0)</f>
        <v>Outdoor</v>
      </c>
      <c r="G743" s="63">
        <f>VLOOKUP(C743,'RAW DATA 2023'!E:BO,13,0)</f>
        <v>156</v>
      </c>
      <c r="H743" s="63">
        <f t="shared" si="93"/>
        <v>150</v>
      </c>
      <c r="I743" s="63">
        <f t="shared" si="91"/>
        <v>9.1999999999999993</v>
      </c>
      <c r="J743" s="106">
        <f>VLOOKUP(C743,'RAW DATA 2023'!E:BO,22,0)</f>
        <v>6.0151349999999999</v>
      </c>
      <c r="K743" s="70">
        <f t="shared" si="94"/>
        <v>0.65381902173913042</v>
      </c>
      <c r="L743" s="72">
        <f t="shared" si="92"/>
        <v>6.0151349999999999</v>
      </c>
      <c r="M743" s="109">
        <f t="shared" si="96"/>
        <v>2.0509202898550725</v>
      </c>
      <c r="N743" s="123" t="str">
        <f>VLOOKUP(C743,'RAW DATA 2023'!E:BO,36,0)</f>
        <v>อัตรารอดต่ำ</v>
      </c>
      <c r="O743" s="63">
        <f>VLOOKUP(C743,'RAW DATA 2023'!E:BO,2,0)</f>
        <v>2</v>
      </c>
      <c r="P743" s="322">
        <f t="shared" si="95"/>
        <v>4.1018405797101449</v>
      </c>
    </row>
    <row r="744" spans="1:16">
      <c r="A744" s="63" t="str">
        <f>'RAW DATA 2023'!B737</f>
        <v>Andaman</v>
      </c>
      <c r="B744" s="63" t="str">
        <f>'RAW DATA 2023'!D737</f>
        <v>A1-013-0019</v>
      </c>
      <c r="C744" s="63" t="str">
        <f t="shared" si="89"/>
        <v>AndamanA1-013-0019</v>
      </c>
      <c r="D744" s="68">
        <f>VLOOKUP(C744,'RAW DATA 2023'!E:BP,63,0)</f>
        <v>8</v>
      </c>
      <c r="E744" s="68" t="str">
        <f t="shared" si="90"/>
        <v>Andaman8</v>
      </c>
      <c r="F744" s="63" t="str">
        <f>VLOOKUP(C744,'RAW DATA 2023'!E:BO,5,0)</f>
        <v>Outdoor</v>
      </c>
      <c r="G744" s="63">
        <f>VLOOKUP(C744,'RAW DATA 2023'!E:BO,13,0)</f>
        <v>231</v>
      </c>
      <c r="H744" s="63">
        <f t="shared" si="93"/>
        <v>200</v>
      </c>
      <c r="I744" s="63">
        <f t="shared" si="91"/>
        <v>11.259</v>
      </c>
      <c r="J744" s="106">
        <f>VLOOKUP(C744,'RAW DATA 2023'!E:BO,22,0)</f>
        <v>3.3545199999999995</v>
      </c>
      <c r="K744" s="70">
        <f t="shared" si="94"/>
        <v>0.29794120259348073</v>
      </c>
      <c r="L744" s="72">
        <f t="shared" si="92"/>
        <v>3.3545199999999995</v>
      </c>
      <c r="M744" s="109">
        <f t="shared" si="96"/>
        <v>-2.6941172987535906</v>
      </c>
      <c r="N744" s="123" t="str">
        <f>VLOOKUP(C744,'RAW DATA 2023'!E:BO,36,0)</f>
        <v>EHP</v>
      </c>
      <c r="O744" s="63">
        <f>VLOOKUP(C744,'RAW DATA 2023'!E:BO,2,0)</f>
        <v>1.5</v>
      </c>
      <c r="P744" s="322">
        <f t="shared" si="95"/>
        <v>-4.0411759481303857</v>
      </c>
    </row>
    <row r="745" spans="1:16">
      <c r="A745" s="63" t="str">
        <f>'RAW DATA 2023'!B738</f>
        <v>SR4</v>
      </c>
      <c r="B745" s="63" t="str">
        <f>'RAW DATA 2023'!D738</f>
        <v>H1-048-0014</v>
      </c>
      <c r="C745" s="63" t="str">
        <f t="shared" si="89"/>
        <v>SR4H1-048-0014</v>
      </c>
      <c r="D745" s="68">
        <f>VLOOKUP(C745,'RAW DATA 2023'!E:BP,63,0)</f>
        <v>9</v>
      </c>
      <c r="E745" s="68" t="str">
        <f t="shared" si="90"/>
        <v>SR49</v>
      </c>
      <c r="F745" s="63" t="str">
        <f>VLOOKUP(C745,'RAW DATA 2023'!E:BO,5,0)</f>
        <v>Outdoor</v>
      </c>
      <c r="G745" s="63">
        <f>VLOOKUP(C745,'RAW DATA 2023'!E:BO,13,0)</f>
        <v>158</v>
      </c>
      <c r="H745" s="63">
        <f t="shared" si="93"/>
        <v>150</v>
      </c>
      <c r="I745" s="63">
        <f t="shared" si="91"/>
        <v>9.1999999999999993</v>
      </c>
      <c r="J745" s="106">
        <f>VLOOKUP(C745,'RAW DATA 2023'!E:BO,22,0)</f>
        <v>7.3862575757575772</v>
      </c>
      <c r="K745" s="70">
        <f t="shared" si="94"/>
        <v>0.80285408432147587</v>
      </c>
      <c r="L745" s="72">
        <f t="shared" si="92"/>
        <v>7.3862575757575772</v>
      </c>
      <c r="M745" s="109">
        <f t="shared" si="96"/>
        <v>4.0380544576196788</v>
      </c>
      <c r="N745" s="123" t="str">
        <f>VLOOKUP(C745,'RAW DATA 2023'!E:BO,36,0)</f>
        <v>อัตรารอดต่ำ</v>
      </c>
      <c r="O745" s="63">
        <f>VLOOKUP(C745,'RAW DATA 2023'!E:BO,2,0)</f>
        <v>3.3</v>
      </c>
      <c r="P745" s="322">
        <f t="shared" si="95"/>
        <v>13.32557971014494</v>
      </c>
    </row>
    <row r="746" spans="1:16">
      <c r="A746" s="63" t="str">
        <f>'RAW DATA 2023'!B739</f>
        <v>SR4</v>
      </c>
      <c r="B746" s="63" t="str">
        <f>'RAW DATA 2023'!D739</f>
        <v>H1-047-0012</v>
      </c>
      <c r="C746" s="63" t="str">
        <f t="shared" si="89"/>
        <v>SR4H1-047-0012</v>
      </c>
      <c r="D746" s="68">
        <f>VLOOKUP(C746,'RAW DATA 2023'!E:BP,63,0)</f>
        <v>10</v>
      </c>
      <c r="E746" s="68" t="str">
        <f t="shared" si="90"/>
        <v>SR410</v>
      </c>
      <c r="F746" s="63" t="str">
        <f>VLOOKUP(C746,'RAW DATA 2023'!E:BO,5,0)</f>
        <v>Outdoor</v>
      </c>
      <c r="G746" s="63">
        <f>VLOOKUP(C746,'RAW DATA 2023'!E:BO,13,0)</f>
        <v>186</v>
      </c>
      <c r="H746" s="63">
        <f t="shared" si="93"/>
        <v>180</v>
      </c>
      <c r="I746" s="63">
        <f t="shared" si="91"/>
        <v>10.247</v>
      </c>
      <c r="J746" s="106">
        <f>VLOOKUP(C746,'RAW DATA 2023'!E:BO,22,0)</f>
        <v>7.4161750000000008</v>
      </c>
      <c r="K746" s="70">
        <f t="shared" si="94"/>
        <v>0.72374109495462091</v>
      </c>
      <c r="L746" s="72">
        <f t="shared" si="92"/>
        <v>7.4161750000000008</v>
      </c>
      <c r="M746" s="109">
        <f t="shared" si="96"/>
        <v>2.9832145993949455</v>
      </c>
      <c r="N746" s="123" t="str">
        <f>VLOOKUP(C746,'RAW DATA 2023'!E:BO,36,0)</f>
        <v>EHP</v>
      </c>
      <c r="O746" s="63">
        <f>VLOOKUP(C746,'RAW DATA 2023'!E:BO,2,0)</f>
        <v>2.8</v>
      </c>
      <c r="P746" s="322">
        <f t="shared" si="95"/>
        <v>8.3530008783058474</v>
      </c>
    </row>
    <row r="747" spans="1:16">
      <c r="A747" s="63" t="str">
        <f>'RAW DATA 2023'!B740</f>
        <v>SR4</v>
      </c>
      <c r="B747" s="63" t="str">
        <f>'RAW DATA 2023'!D740</f>
        <v>G2-058-0007</v>
      </c>
      <c r="C747" s="63" t="str">
        <f t="shared" si="89"/>
        <v>SR4G2-058-0007</v>
      </c>
      <c r="D747" s="68">
        <f>VLOOKUP(C747,'RAW DATA 2023'!E:BP,63,0)</f>
        <v>7</v>
      </c>
      <c r="E747" s="68" t="str">
        <f t="shared" si="90"/>
        <v>SR47</v>
      </c>
      <c r="F747" s="63" t="str">
        <f>VLOOKUP(C747,'RAW DATA 2023'!E:BO,5,0)</f>
        <v>Greenhouse</v>
      </c>
      <c r="G747" s="63">
        <f>VLOOKUP(C747,'RAW DATA 2023'!E:BO,13,0)</f>
        <v>169</v>
      </c>
      <c r="H747" s="63">
        <f t="shared" si="93"/>
        <v>180</v>
      </c>
      <c r="I747" s="63">
        <f t="shared" si="91"/>
        <v>10.247</v>
      </c>
      <c r="J747" s="106">
        <f>VLOOKUP(C747,'RAW DATA 2023'!E:BO,22,0)</f>
        <v>7.7850000000000001</v>
      </c>
      <c r="K747" s="70">
        <f t="shared" si="94"/>
        <v>0.75973455645554799</v>
      </c>
      <c r="L747" s="72">
        <f t="shared" si="92"/>
        <v>7.7850000000000001</v>
      </c>
      <c r="M747" s="109">
        <f t="shared" si="96"/>
        <v>3.4631274194073067</v>
      </c>
      <c r="N747" s="123" t="str">
        <f>VLOOKUP(C747,'RAW DATA 2023'!E:BO,36,0)</f>
        <v>อัตรารอดต่ำ</v>
      </c>
      <c r="O747" s="63">
        <f>VLOOKUP(C747,'RAW DATA 2023'!E:BO,2,0)</f>
        <v>1.85</v>
      </c>
      <c r="P747" s="322">
        <f t="shared" si="95"/>
        <v>6.4067857259035179</v>
      </c>
    </row>
    <row r="748" spans="1:16">
      <c r="A748" s="63" t="str">
        <f>'RAW DATA 2023'!B741</f>
        <v>SR4</v>
      </c>
      <c r="B748" s="63" t="str">
        <f>'RAW DATA 2023'!D741</f>
        <v>G2-059-0011</v>
      </c>
      <c r="C748" s="63" t="str">
        <f t="shared" si="89"/>
        <v>SR4G2-059-0011</v>
      </c>
      <c r="D748" s="68">
        <f>VLOOKUP(C748,'RAW DATA 2023'!E:BP,63,0)</f>
        <v>8</v>
      </c>
      <c r="E748" s="68" t="str">
        <f t="shared" si="90"/>
        <v>SR48</v>
      </c>
      <c r="F748" s="63" t="str">
        <f>VLOOKUP(C748,'RAW DATA 2023'!E:BO,5,0)</f>
        <v>Greenhouse</v>
      </c>
      <c r="G748" s="63">
        <f>VLOOKUP(C748,'RAW DATA 2023'!E:BO,13,0)</f>
        <v>169</v>
      </c>
      <c r="H748" s="63">
        <f t="shared" si="93"/>
        <v>180</v>
      </c>
      <c r="I748" s="63">
        <f t="shared" si="91"/>
        <v>10.247</v>
      </c>
      <c r="J748" s="106">
        <f>VLOOKUP(C748,'RAW DATA 2023'!E:BO,22,0)</f>
        <v>11.046643243243242</v>
      </c>
      <c r="K748" s="70">
        <f t="shared" si="94"/>
        <v>1.078036814993973</v>
      </c>
      <c r="L748" s="72">
        <f t="shared" si="92"/>
        <v>11.046643243243242</v>
      </c>
      <c r="M748" s="109">
        <f t="shared" si="96"/>
        <v>7.7071575332529729</v>
      </c>
      <c r="N748" s="123" t="str">
        <f>VLOOKUP(C748,'RAW DATA 2023'!E:BO,36,0)</f>
        <v>Normal</v>
      </c>
      <c r="O748" s="63">
        <f>VLOOKUP(C748,'RAW DATA 2023'!E:BO,2,0)</f>
        <v>1.85</v>
      </c>
      <c r="P748" s="322">
        <f t="shared" si="95"/>
        <v>14.258241436518</v>
      </c>
    </row>
    <row r="749" spans="1:16">
      <c r="A749" s="63" t="str">
        <f>'RAW DATA 2023'!B742</f>
        <v>SR4</v>
      </c>
      <c r="B749" s="63" t="str">
        <f>'RAW DATA 2023'!D742</f>
        <v>G1-052-0012</v>
      </c>
      <c r="C749" s="63" t="str">
        <f t="shared" si="89"/>
        <v>SR4G1-052-0012</v>
      </c>
      <c r="D749" s="68">
        <f>VLOOKUP(C749,'RAW DATA 2023'!E:BP,63,0)</f>
        <v>11</v>
      </c>
      <c r="E749" s="68" t="str">
        <f t="shared" si="90"/>
        <v>SR411</v>
      </c>
      <c r="F749" s="63" t="str">
        <f>VLOOKUP(C749,'RAW DATA 2023'!E:BO,5,0)</f>
        <v>Greenhouse</v>
      </c>
      <c r="G749" s="63">
        <f>VLOOKUP(C749,'RAW DATA 2023'!E:BO,13,0)</f>
        <v>156</v>
      </c>
      <c r="H749" s="63">
        <f t="shared" si="93"/>
        <v>150</v>
      </c>
      <c r="I749" s="63">
        <f t="shared" si="91"/>
        <v>9.1999999999999993</v>
      </c>
      <c r="J749" s="106">
        <f>VLOOKUP(C749,'RAW DATA 2023'!E:BO,22,0)</f>
        <v>8.7903700000000011</v>
      </c>
      <c r="K749" s="70">
        <f t="shared" si="94"/>
        <v>0.95547500000000019</v>
      </c>
      <c r="L749" s="72">
        <f t="shared" si="92"/>
        <v>8.7903700000000011</v>
      </c>
      <c r="M749" s="109">
        <f t="shared" si="96"/>
        <v>6.0730000000000031</v>
      </c>
      <c r="N749" s="123" t="str">
        <f>VLOOKUP(C749,'RAW DATA 2023'!E:BO,36,0)</f>
        <v>Normal</v>
      </c>
      <c r="O749" s="63">
        <f>VLOOKUP(C749,'RAW DATA 2023'!E:BO,2,0)</f>
        <v>2</v>
      </c>
      <c r="P749" s="322">
        <f t="shared" si="95"/>
        <v>12.146000000000006</v>
      </c>
    </row>
    <row r="750" spans="1:16">
      <c r="A750" s="63" t="str">
        <f>'RAW DATA 2023'!B743</f>
        <v>SR4</v>
      </c>
      <c r="B750" s="63" t="str">
        <f>'RAW DATA 2023'!D743</f>
        <v>G1-053-0009</v>
      </c>
      <c r="C750" s="63" t="str">
        <f t="shared" si="89"/>
        <v>SR4G1-053-0009</v>
      </c>
      <c r="D750" s="68">
        <f>VLOOKUP(C750,'RAW DATA 2023'!E:BP,63,0)</f>
        <v>10</v>
      </c>
      <c r="E750" s="68" t="str">
        <f t="shared" si="90"/>
        <v>SR410</v>
      </c>
      <c r="F750" s="63" t="str">
        <f>VLOOKUP(C750,'RAW DATA 2023'!E:BO,5,0)</f>
        <v>Greenhouse</v>
      </c>
      <c r="G750" s="63">
        <f>VLOOKUP(C750,'RAW DATA 2023'!E:BO,13,0)</f>
        <v>156</v>
      </c>
      <c r="H750" s="63">
        <f t="shared" si="93"/>
        <v>150</v>
      </c>
      <c r="I750" s="63">
        <f t="shared" si="91"/>
        <v>9.1999999999999993</v>
      </c>
      <c r="J750" s="106">
        <f>VLOOKUP(C750,'RAW DATA 2023'!E:BO,22,0)</f>
        <v>10.32339</v>
      </c>
      <c r="K750" s="70">
        <f t="shared" si="94"/>
        <v>1.1221076086956523</v>
      </c>
      <c r="L750" s="72">
        <f t="shared" si="92"/>
        <v>10.32339</v>
      </c>
      <c r="M750" s="109">
        <f t="shared" si="96"/>
        <v>8.2947681159420306</v>
      </c>
      <c r="N750" s="123" t="str">
        <f>VLOOKUP(C750,'RAW DATA 2023'!E:BO,36,0)</f>
        <v>Normal</v>
      </c>
      <c r="O750" s="63">
        <f>VLOOKUP(C750,'RAW DATA 2023'!E:BO,2,0)</f>
        <v>2</v>
      </c>
      <c r="P750" s="322">
        <f t="shared" si="95"/>
        <v>16.589536231884061</v>
      </c>
    </row>
    <row r="751" spans="1:16">
      <c r="A751" s="63" t="str">
        <f>'RAW DATA 2023'!B744</f>
        <v>SR4</v>
      </c>
      <c r="B751" s="63" t="str">
        <f>'RAW DATA 2023'!D744</f>
        <v>G1-051-0010</v>
      </c>
      <c r="C751" s="63" t="str">
        <f t="shared" si="89"/>
        <v>SR4G1-051-0010</v>
      </c>
      <c r="D751" s="68">
        <f>VLOOKUP(C751,'RAW DATA 2023'!E:BP,63,0)</f>
        <v>10</v>
      </c>
      <c r="E751" s="68" t="str">
        <f t="shared" si="90"/>
        <v>SR410</v>
      </c>
      <c r="F751" s="63" t="str">
        <f>VLOOKUP(C751,'RAW DATA 2023'!E:BO,5,0)</f>
        <v>Greenhouse</v>
      </c>
      <c r="G751" s="63">
        <f>VLOOKUP(C751,'RAW DATA 2023'!E:BO,13,0)</f>
        <v>156</v>
      </c>
      <c r="H751" s="63">
        <f t="shared" si="93"/>
        <v>150</v>
      </c>
      <c r="I751" s="63">
        <f t="shared" si="91"/>
        <v>9.1999999999999993</v>
      </c>
      <c r="J751" s="106">
        <f>VLOOKUP(C751,'RAW DATA 2023'!E:BO,22,0)</f>
        <v>9.370569999999999</v>
      </c>
      <c r="K751" s="70">
        <f t="shared" si="94"/>
        <v>1.0185402173913043</v>
      </c>
      <c r="L751" s="72">
        <f t="shared" si="92"/>
        <v>9.370569999999999</v>
      </c>
      <c r="M751" s="109">
        <f t="shared" si="96"/>
        <v>6.9138695652173912</v>
      </c>
      <c r="N751" s="123" t="str">
        <f>VLOOKUP(C751,'RAW DATA 2023'!E:BO,36,0)</f>
        <v>Normal</v>
      </c>
      <c r="O751" s="63">
        <f>VLOOKUP(C751,'RAW DATA 2023'!E:BO,2,0)</f>
        <v>2</v>
      </c>
      <c r="P751" s="322">
        <f t="shared" si="95"/>
        <v>13.827739130434782</v>
      </c>
    </row>
    <row r="752" spans="1:16">
      <c r="A752" s="63" t="str">
        <f>'RAW DATA 2023'!B745</f>
        <v>SR4</v>
      </c>
      <c r="B752" s="63" t="str">
        <f>'RAW DATA 2023'!D745</f>
        <v>G2-058-0008</v>
      </c>
      <c r="C752" s="63" t="str">
        <f t="shared" si="89"/>
        <v>SR4G2-058-0008</v>
      </c>
      <c r="D752" s="68">
        <f>VLOOKUP(C752,'RAW DATA 2023'!E:BP,63,0)</f>
        <v>12</v>
      </c>
      <c r="E752" s="68" t="str">
        <f t="shared" si="90"/>
        <v>SR412</v>
      </c>
      <c r="F752" s="63" t="str">
        <f>VLOOKUP(C752,'RAW DATA 2023'!E:BO,5,0)</f>
        <v>Greenhouse</v>
      </c>
      <c r="G752" s="63">
        <f>VLOOKUP(C752,'RAW DATA 2023'!E:BO,13,0)</f>
        <v>169</v>
      </c>
      <c r="H752" s="63">
        <f t="shared" si="93"/>
        <v>180</v>
      </c>
      <c r="I752" s="63">
        <f t="shared" si="91"/>
        <v>10.247</v>
      </c>
      <c r="J752" s="106">
        <f>VLOOKUP(C752,'RAW DATA 2023'!E:BO,22,0)</f>
        <v>5.8487567567567575</v>
      </c>
      <c r="K752" s="70">
        <f t="shared" si="94"/>
        <v>0.57077747211444885</v>
      </c>
      <c r="L752" s="72">
        <f t="shared" si="92"/>
        <v>5.8487567567567575</v>
      </c>
      <c r="M752" s="109">
        <f t="shared" si="96"/>
        <v>0.9436996281926513</v>
      </c>
      <c r="N752" s="123" t="str">
        <f>VLOOKUP(C752,'RAW DATA 2023'!E:BO,36,0)</f>
        <v>อัตรารอดต่ำ</v>
      </c>
      <c r="O752" s="63">
        <f>VLOOKUP(C752,'RAW DATA 2023'!E:BO,2,0)</f>
        <v>1.85</v>
      </c>
      <c r="P752" s="322">
        <f t="shared" si="95"/>
        <v>1.7458443121564049</v>
      </c>
    </row>
    <row r="753" spans="1:16">
      <c r="A753" s="63" t="str">
        <f>'RAW DATA 2023'!B746</f>
        <v>SR4</v>
      </c>
      <c r="B753" s="63" t="str">
        <f>'RAW DATA 2023'!D746</f>
        <v>G1-052-0011</v>
      </c>
      <c r="C753" s="63" t="str">
        <f t="shared" si="89"/>
        <v>SR4G1-052-0011</v>
      </c>
      <c r="D753" s="68">
        <f>VLOOKUP(C753,'RAW DATA 2023'!E:BP,63,0)</f>
        <v>6</v>
      </c>
      <c r="E753" s="68" t="str">
        <f t="shared" si="90"/>
        <v>SR46</v>
      </c>
      <c r="F753" s="63" t="str">
        <f>VLOOKUP(C753,'RAW DATA 2023'!E:BO,5,0)</f>
        <v>Greenhouse</v>
      </c>
      <c r="G753" s="63">
        <f>VLOOKUP(C753,'RAW DATA 2023'!E:BO,13,0)</f>
        <v>156</v>
      </c>
      <c r="H753" s="63">
        <f t="shared" si="93"/>
        <v>150</v>
      </c>
      <c r="I753" s="63">
        <f t="shared" si="91"/>
        <v>9.1999999999999993</v>
      </c>
      <c r="J753" s="106">
        <f>VLOOKUP(C753,'RAW DATA 2023'!E:BO,22,0)</f>
        <v>11.41343</v>
      </c>
      <c r="K753" s="70">
        <f t="shared" si="94"/>
        <v>1.2405902173913044</v>
      </c>
      <c r="L753" s="72">
        <f t="shared" si="92"/>
        <v>11.41343</v>
      </c>
      <c r="M753" s="109">
        <f t="shared" si="96"/>
        <v>9.8745362318840595</v>
      </c>
      <c r="N753" s="123" t="str">
        <f>VLOOKUP(C753,'RAW DATA 2023'!E:BO,36,0)</f>
        <v>ปิดบ่อตามแผนจับปกติ</v>
      </c>
      <c r="O753" s="63">
        <f>VLOOKUP(C753,'RAW DATA 2023'!E:BO,2,0)</f>
        <v>2</v>
      </c>
      <c r="P753" s="322">
        <f t="shared" si="95"/>
        <v>19.749072463768119</v>
      </c>
    </row>
    <row r="754" spans="1:16">
      <c r="A754" s="63" t="str">
        <f>'RAW DATA 2023'!B747</f>
        <v>SR4</v>
      </c>
      <c r="B754" s="63" t="str">
        <f>'RAW DATA 2023'!D747</f>
        <v>G2-057-0010</v>
      </c>
      <c r="C754" s="63" t="str">
        <f t="shared" si="89"/>
        <v>SR4G2-057-0010</v>
      </c>
      <c r="D754" s="68">
        <f>VLOOKUP(C754,'RAW DATA 2023'!E:BP,63,0)</f>
        <v>9</v>
      </c>
      <c r="E754" s="68" t="str">
        <f t="shared" si="90"/>
        <v>SR49</v>
      </c>
      <c r="F754" s="63" t="str">
        <f>VLOOKUP(C754,'RAW DATA 2023'!E:BO,5,0)</f>
        <v>Greenhouse</v>
      </c>
      <c r="G754" s="63">
        <f>VLOOKUP(C754,'RAW DATA 2023'!E:BO,13,0)</f>
        <v>169</v>
      </c>
      <c r="H754" s="63">
        <f t="shared" si="93"/>
        <v>180</v>
      </c>
      <c r="I754" s="63">
        <f t="shared" si="91"/>
        <v>10.247</v>
      </c>
      <c r="J754" s="106">
        <f>VLOOKUP(C754,'RAW DATA 2023'!E:BO,22,0)</f>
        <v>15.89927027027027</v>
      </c>
      <c r="K754" s="70">
        <f t="shared" si="94"/>
        <v>1.5516024465961031</v>
      </c>
      <c r="L754" s="72">
        <f t="shared" si="92"/>
        <v>15.89927027027027</v>
      </c>
      <c r="M754" s="109">
        <f t="shared" si="96"/>
        <v>14.021365954614708</v>
      </c>
      <c r="N754" s="123" t="str">
        <f>VLOOKUP(C754,'RAW DATA 2023'!E:BO,36,0)</f>
        <v>Normal</v>
      </c>
      <c r="O754" s="63">
        <f>VLOOKUP(C754,'RAW DATA 2023'!E:BO,2,0)</f>
        <v>1.85</v>
      </c>
      <c r="P754" s="322">
        <f t="shared" si="95"/>
        <v>25.939527016037211</v>
      </c>
    </row>
    <row r="755" spans="1:16">
      <c r="A755" s="63" t="str">
        <f>'RAW DATA 2023'!B748</f>
        <v>SR4</v>
      </c>
      <c r="B755" s="63" t="str">
        <f>'RAW DATA 2023'!D748</f>
        <v>G1-053-0008</v>
      </c>
      <c r="C755" s="63" t="str">
        <f t="shared" si="89"/>
        <v>SR4G1-053-0008</v>
      </c>
      <c r="D755" s="68">
        <f>VLOOKUP(C755,'RAW DATA 2023'!E:BP,63,0)</f>
        <v>5</v>
      </c>
      <c r="E755" s="68" t="str">
        <f t="shared" si="90"/>
        <v>SR45</v>
      </c>
      <c r="F755" s="63" t="str">
        <f>VLOOKUP(C755,'RAW DATA 2023'!E:BO,5,0)</f>
        <v>Greenhouse</v>
      </c>
      <c r="G755" s="63">
        <f>VLOOKUP(C755,'RAW DATA 2023'!E:BO,13,0)</f>
        <v>156</v>
      </c>
      <c r="H755" s="63">
        <f t="shared" si="93"/>
        <v>150</v>
      </c>
      <c r="I755" s="63">
        <f t="shared" si="91"/>
        <v>9.1999999999999993</v>
      </c>
      <c r="J755" s="106">
        <f>VLOOKUP(C755,'RAW DATA 2023'!E:BO,22,0)</f>
        <v>3.7672699999999999</v>
      </c>
      <c r="K755" s="70">
        <f t="shared" si="94"/>
        <v>0.40948586956521743</v>
      </c>
      <c r="L755" s="72">
        <f t="shared" si="92"/>
        <v>3.7672699999999999</v>
      </c>
      <c r="M755" s="109">
        <f t="shared" si="96"/>
        <v>-1.2068550724637677</v>
      </c>
      <c r="N755" s="123" t="str">
        <f>VLOOKUP(C755,'RAW DATA 2023'!E:BO,36,0)</f>
        <v>Normal</v>
      </c>
      <c r="O755" s="63">
        <f>VLOOKUP(C755,'RAW DATA 2023'!E:BO,2,0)</f>
        <v>2</v>
      </c>
      <c r="P755" s="322">
        <f t="shared" si="95"/>
        <v>-2.4137101449275353</v>
      </c>
    </row>
    <row r="756" spans="1:16">
      <c r="A756" s="63" t="str">
        <f>'RAW DATA 2023'!B749</f>
        <v>SR4</v>
      </c>
      <c r="B756" s="63" t="str">
        <f>'RAW DATA 2023'!D749</f>
        <v>G1-051-0009</v>
      </c>
      <c r="C756" s="63" t="str">
        <f t="shared" si="89"/>
        <v>SR4G1-051-0009</v>
      </c>
      <c r="D756" s="68">
        <f>VLOOKUP(C756,'RAW DATA 2023'!E:BP,63,0)</f>
        <v>5</v>
      </c>
      <c r="E756" s="68" t="str">
        <f t="shared" si="90"/>
        <v>SR45</v>
      </c>
      <c r="F756" s="63" t="str">
        <f>VLOOKUP(C756,'RAW DATA 2023'!E:BO,5,0)</f>
        <v>Greenhouse</v>
      </c>
      <c r="G756" s="63">
        <f>VLOOKUP(C756,'RAW DATA 2023'!E:BO,13,0)</f>
        <v>156</v>
      </c>
      <c r="H756" s="63">
        <f t="shared" si="93"/>
        <v>150</v>
      </c>
      <c r="I756" s="63">
        <f t="shared" si="91"/>
        <v>9.1999999999999993</v>
      </c>
      <c r="J756" s="106">
        <f>VLOOKUP(C756,'RAW DATA 2023'!E:BO,22,0)</f>
        <v>11.69525</v>
      </c>
      <c r="K756" s="70">
        <f t="shared" si="94"/>
        <v>1.2712228260869567</v>
      </c>
      <c r="L756" s="72">
        <f t="shared" si="92"/>
        <v>11.69525</v>
      </c>
      <c r="M756" s="109">
        <f t="shared" si="96"/>
        <v>10.282971014492757</v>
      </c>
      <c r="N756" s="123" t="str">
        <f>VLOOKUP(C756,'RAW DATA 2023'!E:BO,36,0)</f>
        <v>Normal</v>
      </c>
      <c r="O756" s="63">
        <f>VLOOKUP(C756,'RAW DATA 2023'!E:BO,2,0)</f>
        <v>2</v>
      </c>
      <c r="P756" s="322">
        <f t="shared" si="95"/>
        <v>20.565942028985514</v>
      </c>
    </row>
    <row r="757" spans="1:16">
      <c r="A757" s="63" t="str">
        <f>'RAW DATA 2023'!B750</f>
        <v>SR4</v>
      </c>
      <c r="B757" s="63" t="str">
        <f>'RAW DATA 2023'!D750</f>
        <v>G2-059-0012</v>
      </c>
      <c r="C757" s="63" t="str">
        <f t="shared" si="89"/>
        <v>SR4G2-059-0012</v>
      </c>
      <c r="D757" s="68">
        <f>VLOOKUP(C757,'RAW DATA 2023'!E:BP,63,0)</f>
        <v>12</v>
      </c>
      <c r="E757" s="68" t="str">
        <f t="shared" si="90"/>
        <v>SR412</v>
      </c>
      <c r="F757" s="63" t="str">
        <f>VLOOKUP(C757,'RAW DATA 2023'!E:BO,5,0)</f>
        <v>Greenhouse</v>
      </c>
      <c r="G757" s="63">
        <f>VLOOKUP(C757,'RAW DATA 2023'!E:BO,13,0)</f>
        <v>169</v>
      </c>
      <c r="H757" s="63">
        <f t="shared" si="93"/>
        <v>180</v>
      </c>
      <c r="I757" s="63">
        <f t="shared" si="91"/>
        <v>10.247</v>
      </c>
      <c r="J757" s="106">
        <f>VLOOKUP(C757,'RAW DATA 2023'!E:BO,22,0)</f>
        <v>5.7113513513513512</v>
      </c>
      <c r="K757" s="70">
        <f t="shared" si="94"/>
        <v>0.55736814202706653</v>
      </c>
      <c r="L757" s="72">
        <f t="shared" si="92"/>
        <v>5.7113513513513512</v>
      </c>
      <c r="M757" s="109">
        <f t="shared" si="96"/>
        <v>0.76490856036088706</v>
      </c>
      <c r="N757" s="123" t="str">
        <f>VLOOKUP(C757,'RAW DATA 2023'!E:BO,36,0)</f>
        <v>EHP</v>
      </c>
      <c r="O757" s="63">
        <f>VLOOKUP(C757,'RAW DATA 2023'!E:BO,2,0)</f>
        <v>1.85</v>
      </c>
      <c r="P757" s="322">
        <f t="shared" si="95"/>
        <v>1.4150808366676411</v>
      </c>
    </row>
    <row r="758" spans="1:16">
      <c r="A758" s="63" t="str">
        <f>'RAW DATA 2023'!B751</f>
        <v>SR4</v>
      </c>
      <c r="B758" s="63" t="str">
        <f>'RAW DATA 2023'!D751</f>
        <v>G2-059-0010</v>
      </c>
      <c r="C758" s="63" t="str">
        <f t="shared" si="89"/>
        <v>SR4G2-059-0010</v>
      </c>
      <c r="D758" s="68">
        <f>VLOOKUP(C758,'RAW DATA 2023'!E:BP,63,0)</f>
        <v>4</v>
      </c>
      <c r="E758" s="68" t="str">
        <f t="shared" si="90"/>
        <v>SR44</v>
      </c>
      <c r="F758" s="63" t="str">
        <f>VLOOKUP(C758,'RAW DATA 2023'!E:BO,5,0)</f>
        <v>Greenhouse</v>
      </c>
      <c r="G758" s="63">
        <f>VLOOKUP(C758,'RAW DATA 2023'!E:BO,13,0)</f>
        <v>186</v>
      </c>
      <c r="H758" s="63">
        <f t="shared" si="93"/>
        <v>180</v>
      </c>
      <c r="I758" s="63">
        <f t="shared" si="91"/>
        <v>10.247</v>
      </c>
      <c r="J758" s="106">
        <f>VLOOKUP(C758,'RAW DATA 2023'!E:BO,22,0)</f>
        <v>5.0203621621621624</v>
      </c>
      <c r="K758" s="70">
        <f t="shared" si="94"/>
        <v>0.48993482601367838</v>
      </c>
      <c r="L758" s="72">
        <f t="shared" si="92"/>
        <v>5.0203621621621624</v>
      </c>
      <c r="M758" s="109">
        <f t="shared" si="96"/>
        <v>-0.1342023198176216</v>
      </c>
      <c r="N758" s="123" t="str">
        <f>VLOOKUP(C758,'RAW DATA 2023'!E:BO,36,0)</f>
        <v>อัตรารอดต่ำ</v>
      </c>
      <c r="O758" s="63">
        <f>VLOOKUP(C758,'RAW DATA 2023'!E:BO,2,0)</f>
        <v>1.85</v>
      </c>
      <c r="P758" s="322">
        <f t="shared" si="95"/>
        <v>-0.24827429166259996</v>
      </c>
    </row>
    <row r="759" spans="1:16">
      <c r="A759" s="63" t="str">
        <f>'RAW DATA 2023'!B752</f>
        <v>SR4</v>
      </c>
      <c r="B759" s="63" t="str">
        <f>'RAW DATA 2023'!D752</f>
        <v>G2-058-0006</v>
      </c>
      <c r="C759" s="63" t="str">
        <f t="shared" si="89"/>
        <v>SR4G2-058-0006</v>
      </c>
      <c r="D759" s="68">
        <f>VLOOKUP(C759,'RAW DATA 2023'!E:BP,63,0)</f>
        <v>2</v>
      </c>
      <c r="E759" s="68" t="str">
        <f t="shared" si="90"/>
        <v>SR42</v>
      </c>
      <c r="F759" s="63" t="str">
        <f>VLOOKUP(C759,'RAW DATA 2023'!E:BO,5,0)</f>
        <v>Greenhouse</v>
      </c>
      <c r="G759" s="63">
        <f>VLOOKUP(C759,'RAW DATA 2023'!E:BO,13,0)</f>
        <v>141</v>
      </c>
      <c r="H759" s="63">
        <f t="shared" si="93"/>
        <v>150</v>
      </c>
      <c r="I759" s="63">
        <f t="shared" si="91"/>
        <v>9.1999999999999993</v>
      </c>
      <c r="J759" s="106">
        <f>VLOOKUP(C759,'RAW DATA 2023'!E:BO,22,0)</f>
        <v>3.2405949999999999</v>
      </c>
      <c r="K759" s="70">
        <f t="shared" si="94"/>
        <v>0.35223858695652177</v>
      </c>
      <c r="L759" s="72">
        <f t="shared" si="92"/>
        <v>3.2405949999999999</v>
      </c>
      <c r="M759" s="109">
        <f t="shared" si="96"/>
        <v>-1.9701521739130432</v>
      </c>
      <c r="N759" s="123" t="str">
        <f>VLOOKUP(C759,'RAW DATA 2023'!E:BO,36,0)</f>
        <v>EHP</v>
      </c>
      <c r="O759" s="63">
        <f>VLOOKUP(C759,'RAW DATA 2023'!E:BO,2,0)</f>
        <v>2</v>
      </c>
      <c r="P759" s="322">
        <f t="shared" si="95"/>
        <v>-3.9403043478260864</v>
      </c>
    </row>
    <row r="760" spans="1:16">
      <c r="A760" s="63" t="str">
        <f>'RAW DATA 2023'!B753</f>
        <v>SR4</v>
      </c>
      <c r="B760" s="63" t="str">
        <f>'RAW DATA 2023'!D753</f>
        <v>G2-057-0008</v>
      </c>
      <c r="C760" s="63" t="str">
        <f t="shared" si="89"/>
        <v>SR4G2-057-0008</v>
      </c>
      <c r="D760" s="68">
        <f>VLOOKUP(C760,'RAW DATA 2023'!E:BP,63,0)</f>
        <v>1</v>
      </c>
      <c r="E760" s="68" t="str">
        <f t="shared" si="90"/>
        <v>SR41</v>
      </c>
      <c r="F760" s="63" t="str">
        <f>VLOOKUP(C760,'RAW DATA 2023'!E:BO,5,0)</f>
        <v>Greenhouse</v>
      </c>
      <c r="G760" s="63">
        <f>VLOOKUP(C760,'RAW DATA 2023'!E:BO,13,0)</f>
        <v>172</v>
      </c>
      <c r="H760" s="63">
        <f t="shared" si="93"/>
        <v>180</v>
      </c>
      <c r="I760" s="63">
        <f t="shared" si="91"/>
        <v>10.247</v>
      </c>
      <c r="J760" s="106">
        <f>VLOOKUP(C760,'RAW DATA 2023'!E:BO,22,0)</f>
        <v>1.80392</v>
      </c>
      <c r="K760" s="70">
        <f t="shared" si="94"/>
        <v>0.17604372011320385</v>
      </c>
      <c r="L760" s="72">
        <f t="shared" si="92"/>
        <v>1.80392</v>
      </c>
      <c r="M760" s="109">
        <f t="shared" si="96"/>
        <v>-4.3194170651572819</v>
      </c>
      <c r="N760" s="123" t="str">
        <f>VLOOKUP(C760,'RAW DATA 2023'!E:BO,36,0)</f>
        <v>EHP</v>
      </c>
      <c r="O760" s="63">
        <f>VLOOKUP(C760,'RAW DATA 2023'!E:BO,2,0)</f>
        <v>2</v>
      </c>
      <c r="P760" s="322">
        <f t="shared" si="95"/>
        <v>-8.6388341303145637</v>
      </c>
    </row>
    <row r="761" spans="1:16">
      <c r="A761" s="63" t="str">
        <f>'RAW DATA 2023'!B754</f>
        <v>SR4</v>
      </c>
      <c r="B761" s="63" t="str">
        <f>'RAW DATA 2023'!D754</f>
        <v>G2-057-0009</v>
      </c>
      <c r="C761" s="63" t="str">
        <f t="shared" si="89"/>
        <v>SR4G2-057-0009</v>
      </c>
      <c r="D761" s="68">
        <f>VLOOKUP(C761,'RAW DATA 2023'!E:BP,63,0)</f>
        <v>3</v>
      </c>
      <c r="E761" s="68" t="str">
        <f t="shared" si="90"/>
        <v>SR43</v>
      </c>
      <c r="F761" s="63" t="str">
        <f>VLOOKUP(C761,'RAW DATA 2023'!E:BO,5,0)</f>
        <v>Greenhouse</v>
      </c>
      <c r="G761" s="63">
        <f>VLOOKUP(C761,'RAW DATA 2023'!E:BO,13,0)</f>
        <v>47</v>
      </c>
      <c r="H761" s="63">
        <f t="shared" si="93"/>
        <v>100</v>
      </c>
      <c r="I761" s="63">
        <f t="shared" si="91"/>
        <v>0</v>
      </c>
      <c r="J761" s="106">
        <f>VLOOKUP(C761,'RAW DATA 2023'!E:BO,22,0)</f>
        <v>0</v>
      </c>
      <c r="K761" s="70" t="e">
        <f t="shared" si="94"/>
        <v>#DIV/0!</v>
      </c>
      <c r="L761" s="72">
        <f t="shared" si="92"/>
        <v>0</v>
      </c>
      <c r="M761" s="109" t="e">
        <f t="shared" si="96"/>
        <v>#DIV/0!</v>
      </c>
      <c r="N761" s="123" t="str">
        <f>VLOOKUP(C761,'RAW DATA 2023'!E:BO,36,0)</f>
        <v>EHP</v>
      </c>
      <c r="O761" s="63">
        <f>VLOOKUP(C761,'RAW DATA 2023'!E:BO,2,0)</f>
        <v>2</v>
      </c>
      <c r="P761" s="322" t="e">
        <f t="shared" si="95"/>
        <v>#DIV/0!</v>
      </c>
    </row>
    <row r="762" spans="1:16">
      <c r="A762" s="63" t="str">
        <f>'RAW DATA 2023'!B755</f>
        <v>SR4</v>
      </c>
      <c r="B762" s="63" t="str">
        <f>'RAW DATA 2023'!D755</f>
        <v>F1-022-0003</v>
      </c>
      <c r="C762" s="63" t="str">
        <f t="shared" si="89"/>
        <v>SR4F1-022-0003</v>
      </c>
      <c r="D762" s="68">
        <f>VLOOKUP(C762,'RAW DATA 2023'!E:BP,63,0)</f>
        <v>7</v>
      </c>
      <c r="E762" s="68" t="str">
        <f t="shared" si="90"/>
        <v>SR47</v>
      </c>
      <c r="F762" s="63" t="str">
        <f>VLOOKUP(C762,'RAW DATA 2023'!E:BO,5,0)</f>
        <v>Outdoor</v>
      </c>
      <c r="G762" s="63">
        <f>VLOOKUP(C762,'RAW DATA 2023'!E:BO,13,0)</f>
        <v>182</v>
      </c>
      <c r="H762" s="63">
        <f t="shared" si="93"/>
        <v>180</v>
      </c>
      <c r="I762" s="63">
        <f t="shared" si="91"/>
        <v>10.247</v>
      </c>
      <c r="J762" s="106">
        <f>VLOOKUP(C762,'RAW DATA 2023'!E:BO,22,0)</f>
        <v>10.681272727272727</v>
      </c>
      <c r="K762" s="70">
        <f t="shared" si="94"/>
        <v>1.0423804749948988</v>
      </c>
      <c r="L762" s="72">
        <f t="shared" si="92"/>
        <v>10.681272727272727</v>
      </c>
      <c r="M762" s="109">
        <f t="shared" si="96"/>
        <v>7.2317396665986511</v>
      </c>
      <c r="N762" s="123" t="str">
        <f>VLOOKUP(C762,'RAW DATA 2023'!E:BO,36,0)</f>
        <v>Normal</v>
      </c>
      <c r="O762" s="63">
        <f>VLOOKUP(C762,'RAW DATA 2023'!E:BO,2,0)</f>
        <v>5.5</v>
      </c>
      <c r="P762" s="322">
        <f t="shared" si="95"/>
        <v>39.774568166292582</v>
      </c>
    </row>
    <row r="763" spans="1:16">
      <c r="A763" s="63" t="str">
        <f>'RAW DATA 2023'!B756</f>
        <v>SR4</v>
      </c>
      <c r="B763" s="63" t="str">
        <f>'RAW DATA 2023'!D756</f>
        <v>B1-066-0008</v>
      </c>
      <c r="C763" s="63" t="str">
        <f t="shared" si="89"/>
        <v>SR4B1-066-0008</v>
      </c>
      <c r="D763" s="68">
        <f>VLOOKUP(C763,'RAW DATA 2023'!E:BP,63,0)</f>
        <v>7</v>
      </c>
      <c r="E763" s="68" t="str">
        <f t="shared" si="90"/>
        <v>SR47</v>
      </c>
      <c r="F763" s="63" t="str">
        <f>VLOOKUP(C763,'RAW DATA 2023'!E:BO,5,0)</f>
        <v>Outdoor</v>
      </c>
      <c r="G763" s="63">
        <f>VLOOKUP(C763,'RAW DATA 2023'!E:BO,13,0)</f>
        <v>127</v>
      </c>
      <c r="H763" s="63">
        <f t="shared" si="93"/>
        <v>100</v>
      </c>
      <c r="I763" s="63">
        <f t="shared" si="91"/>
        <v>6.806</v>
      </c>
      <c r="J763" s="106">
        <f>VLOOKUP(C763,'RAW DATA 2023'!E:BO,22,0)</f>
        <v>5.0588918918918919</v>
      </c>
      <c r="K763" s="70">
        <f t="shared" si="94"/>
        <v>0.74329883806815922</v>
      </c>
      <c r="L763" s="72">
        <f t="shared" si="92"/>
        <v>5.0588918918918919</v>
      </c>
      <c r="M763" s="109">
        <f t="shared" si="96"/>
        <v>3.2439845075754565</v>
      </c>
      <c r="N763" s="123" t="str">
        <f>VLOOKUP(C763,'RAW DATA 2023'!E:BO,36,0)</f>
        <v>Normal</v>
      </c>
      <c r="O763" s="63">
        <f>VLOOKUP(C763,'RAW DATA 2023'!E:BO,2,0)</f>
        <v>1.85</v>
      </c>
      <c r="P763" s="322">
        <f t="shared" si="95"/>
        <v>6.0013713390145949</v>
      </c>
    </row>
    <row r="764" spans="1:16">
      <c r="A764" s="63" t="str">
        <f>'RAW DATA 2023'!B757</f>
        <v>SR4</v>
      </c>
      <c r="B764" s="63" t="str">
        <f>'RAW DATA 2023'!D757</f>
        <v>B1-063-0009</v>
      </c>
      <c r="C764" s="63" t="str">
        <f t="shared" si="89"/>
        <v>SR4B1-063-0009</v>
      </c>
      <c r="D764" s="68">
        <f>VLOOKUP(C764,'RAW DATA 2023'!E:BP,63,0)</f>
        <v>10</v>
      </c>
      <c r="E764" s="68" t="str">
        <f t="shared" si="90"/>
        <v>SR410</v>
      </c>
      <c r="F764" s="63" t="str">
        <f>VLOOKUP(C764,'RAW DATA 2023'!E:BO,5,0)</f>
        <v>Outdoor</v>
      </c>
      <c r="G764" s="63">
        <f>VLOOKUP(C764,'RAW DATA 2023'!E:BO,13,0)</f>
        <v>211</v>
      </c>
      <c r="H764" s="63">
        <f t="shared" si="93"/>
        <v>200</v>
      </c>
      <c r="I764" s="63">
        <f t="shared" si="91"/>
        <v>11.259</v>
      </c>
      <c r="J764" s="106">
        <f>VLOOKUP(C764,'RAW DATA 2023'!E:BO,22,0)</f>
        <v>9.8428432432432409</v>
      </c>
      <c r="K764" s="70">
        <f t="shared" si="94"/>
        <v>0.8742200233806946</v>
      </c>
      <c r="L764" s="72">
        <f t="shared" si="92"/>
        <v>9.8428432432432409</v>
      </c>
      <c r="M764" s="109">
        <f t="shared" si="96"/>
        <v>4.9896003117425947</v>
      </c>
      <c r="N764" s="123" t="str">
        <f>VLOOKUP(C764,'RAW DATA 2023'!E:BO,36,0)</f>
        <v>Normal</v>
      </c>
      <c r="O764" s="63">
        <f>VLOOKUP(C764,'RAW DATA 2023'!E:BO,2,0)</f>
        <v>1.85</v>
      </c>
      <c r="P764" s="322">
        <f t="shared" si="95"/>
        <v>9.2307605767238012</v>
      </c>
    </row>
    <row r="765" spans="1:16">
      <c r="A765" s="63" t="str">
        <f>'RAW DATA 2023'!B758</f>
        <v>SR4</v>
      </c>
      <c r="B765" s="63" t="str">
        <f>'RAW DATA 2023'!D758</f>
        <v>B1-068-0003</v>
      </c>
      <c r="C765" s="63" t="str">
        <f t="shared" si="89"/>
        <v>SR4B1-068-0003</v>
      </c>
      <c r="D765" s="68">
        <f>VLOOKUP(C765,'RAW DATA 2023'!E:BP,63,0)</f>
        <v>6</v>
      </c>
      <c r="E765" s="68" t="str">
        <f t="shared" si="90"/>
        <v>SR46</v>
      </c>
      <c r="F765" s="63" t="str">
        <f>VLOOKUP(C765,'RAW DATA 2023'!E:BO,5,0)</f>
        <v>Outdoor</v>
      </c>
      <c r="G765" s="63">
        <f>VLOOKUP(C765,'RAW DATA 2023'!E:BO,13,0)</f>
        <v>127</v>
      </c>
      <c r="H765" s="63">
        <f t="shared" si="93"/>
        <v>100</v>
      </c>
      <c r="I765" s="63">
        <f t="shared" si="91"/>
        <v>6.806</v>
      </c>
      <c r="J765" s="106">
        <f>VLOOKUP(C765,'RAW DATA 2023'!E:BO,22,0)</f>
        <v>6.2679351351351347</v>
      </c>
      <c r="K765" s="70">
        <f t="shared" si="94"/>
        <v>0.92094257054586171</v>
      </c>
      <c r="L765" s="72">
        <f t="shared" si="92"/>
        <v>6.2679351351351347</v>
      </c>
      <c r="M765" s="109">
        <f t="shared" si="96"/>
        <v>5.6125676072781561</v>
      </c>
      <c r="N765" s="123" t="str">
        <f>VLOOKUP(C765,'RAW DATA 2023'!E:BO,36,0)</f>
        <v>Normal</v>
      </c>
      <c r="O765" s="63">
        <f>VLOOKUP(C765,'RAW DATA 2023'!E:BO,2,0)</f>
        <v>1.85</v>
      </c>
      <c r="P765" s="322">
        <f t="shared" si="95"/>
        <v>10.383250073464589</v>
      </c>
    </row>
    <row r="766" spans="1:16">
      <c r="A766" s="63" t="str">
        <f>'RAW DATA 2023'!B759</f>
        <v>SR4</v>
      </c>
      <c r="B766" s="63" t="str">
        <f>'RAW DATA 2023'!D759</f>
        <v>B1-065-0002</v>
      </c>
      <c r="C766" s="63" t="str">
        <f t="shared" si="89"/>
        <v>SR4B1-065-0002</v>
      </c>
      <c r="D766" s="68">
        <f>VLOOKUP(C766,'RAW DATA 2023'!E:BP,63,0)</f>
        <v>6</v>
      </c>
      <c r="E766" s="68" t="str">
        <f t="shared" si="90"/>
        <v>SR46</v>
      </c>
      <c r="F766" s="63" t="str">
        <f>VLOOKUP(C766,'RAW DATA 2023'!E:BO,5,0)</f>
        <v>Outdoor</v>
      </c>
      <c r="G766" s="63">
        <f>VLOOKUP(C766,'RAW DATA 2023'!E:BO,13,0)</f>
        <v>127</v>
      </c>
      <c r="H766" s="63">
        <f t="shared" si="93"/>
        <v>100</v>
      </c>
      <c r="I766" s="63">
        <f t="shared" si="91"/>
        <v>6.806</v>
      </c>
      <c r="J766" s="106">
        <f>VLOOKUP(C766,'RAW DATA 2023'!E:BO,22,0)</f>
        <v>6.9062324324324322</v>
      </c>
      <c r="K766" s="70">
        <f t="shared" si="94"/>
        <v>1.0147270691202517</v>
      </c>
      <c r="L766" s="72">
        <f t="shared" si="92"/>
        <v>6.9062324324324322</v>
      </c>
      <c r="M766" s="109">
        <f t="shared" si="96"/>
        <v>6.8630275882700227</v>
      </c>
      <c r="N766" s="123" t="str">
        <f>VLOOKUP(C766,'RAW DATA 2023'!E:BO,36,0)</f>
        <v>Normal</v>
      </c>
      <c r="O766" s="63">
        <f>VLOOKUP(C766,'RAW DATA 2023'!E:BO,2,0)</f>
        <v>1.85</v>
      </c>
      <c r="P766" s="322">
        <f t="shared" si="95"/>
        <v>12.696601038299542</v>
      </c>
    </row>
    <row r="767" spans="1:16">
      <c r="A767" s="63" t="str">
        <f>'RAW DATA 2023'!B760</f>
        <v>SR4</v>
      </c>
      <c r="B767" s="63" t="str">
        <f>'RAW DATA 2023'!D760</f>
        <v>B1-064-0008</v>
      </c>
      <c r="C767" s="63" t="str">
        <f t="shared" si="89"/>
        <v>SR4B1-064-0008</v>
      </c>
      <c r="D767" s="68">
        <f>VLOOKUP(C767,'RAW DATA 2023'!E:BP,63,0)</f>
        <v>10</v>
      </c>
      <c r="E767" s="68" t="str">
        <f t="shared" si="90"/>
        <v>SR410</v>
      </c>
      <c r="F767" s="63" t="str">
        <f>VLOOKUP(C767,'RAW DATA 2023'!E:BO,5,0)</f>
        <v>Outdoor</v>
      </c>
      <c r="G767" s="63">
        <f>VLOOKUP(C767,'RAW DATA 2023'!E:BO,13,0)</f>
        <v>211</v>
      </c>
      <c r="H767" s="63">
        <f t="shared" si="93"/>
        <v>200</v>
      </c>
      <c r="I767" s="63">
        <f t="shared" si="91"/>
        <v>11.259</v>
      </c>
      <c r="J767" s="106">
        <f>VLOOKUP(C767,'RAW DATA 2023'!E:BO,22,0)</f>
        <v>10.910691891891892</v>
      </c>
      <c r="K767" s="70">
        <f t="shared" si="94"/>
        <v>0.96906402805683378</v>
      </c>
      <c r="L767" s="72">
        <f t="shared" si="92"/>
        <v>10.910691891891892</v>
      </c>
      <c r="M767" s="109">
        <f t="shared" si="96"/>
        <v>6.2541870407577838</v>
      </c>
      <c r="N767" s="123" t="str">
        <f>VLOOKUP(C767,'RAW DATA 2023'!E:BO,36,0)</f>
        <v>Normal</v>
      </c>
      <c r="O767" s="63">
        <f>VLOOKUP(C767,'RAW DATA 2023'!E:BO,2,0)</f>
        <v>1.85</v>
      </c>
      <c r="P767" s="322">
        <f t="shared" si="95"/>
        <v>11.5702460254019</v>
      </c>
    </row>
    <row r="768" spans="1:16">
      <c r="A768" s="63" t="str">
        <f>'RAW DATA 2023'!B761</f>
        <v>SR4</v>
      </c>
      <c r="B768" s="63" t="str">
        <f>'RAW DATA 2023'!D761</f>
        <v>B1-067-0010</v>
      </c>
      <c r="C768" s="63" t="str">
        <f t="shared" si="89"/>
        <v>SR4B1-067-0010</v>
      </c>
      <c r="D768" s="68">
        <f>VLOOKUP(C768,'RAW DATA 2023'!E:BP,63,0)</f>
        <v>6</v>
      </c>
      <c r="E768" s="68" t="str">
        <f t="shared" si="90"/>
        <v>SR46</v>
      </c>
      <c r="F768" s="63" t="str">
        <f>VLOOKUP(C768,'RAW DATA 2023'!E:BO,5,0)</f>
        <v>Outdoor</v>
      </c>
      <c r="G768" s="63">
        <f>VLOOKUP(C768,'RAW DATA 2023'!E:BO,13,0)</f>
        <v>127</v>
      </c>
      <c r="H768" s="63">
        <f t="shared" si="93"/>
        <v>100</v>
      </c>
      <c r="I768" s="63">
        <f t="shared" si="91"/>
        <v>6.806</v>
      </c>
      <c r="J768" s="106">
        <f>VLOOKUP(C768,'RAW DATA 2023'!E:BO,22,0)</f>
        <v>6.7366378378378373</v>
      </c>
      <c r="K768" s="70">
        <f t="shared" si="94"/>
        <v>0.98980867438111042</v>
      </c>
      <c r="L768" s="72">
        <f t="shared" si="92"/>
        <v>6.7366378378378373</v>
      </c>
      <c r="M768" s="109">
        <f t="shared" si="96"/>
        <v>6.5307823250814723</v>
      </c>
      <c r="N768" s="123" t="str">
        <f>VLOOKUP(C768,'RAW DATA 2023'!E:BO,36,0)</f>
        <v>Normal</v>
      </c>
      <c r="O768" s="63">
        <f>VLOOKUP(C768,'RAW DATA 2023'!E:BO,2,0)</f>
        <v>1.85</v>
      </c>
      <c r="P768" s="322">
        <f t="shared" si="95"/>
        <v>12.081947301400724</v>
      </c>
    </row>
    <row r="769" spans="1:16">
      <c r="A769" s="63" t="str">
        <f>'RAW DATA 2023'!B762</f>
        <v>SR4</v>
      </c>
      <c r="B769" s="63" t="str">
        <f>'RAW DATA 2023'!D762</f>
        <v>B1-067-0011</v>
      </c>
      <c r="C769" s="63" t="str">
        <f t="shared" si="89"/>
        <v>SR4B1-067-0011</v>
      </c>
      <c r="D769" s="68">
        <f>VLOOKUP(C769,'RAW DATA 2023'!E:BP,63,0)</f>
        <v>10</v>
      </c>
      <c r="E769" s="68" t="str">
        <f t="shared" si="90"/>
        <v>SR410</v>
      </c>
      <c r="F769" s="63" t="str">
        <f>VLOOKUP(C769,'RAW DATA 2023'!E:BO,5,0)</f>
        <v>Outdoor</v>
      </c>
      <c r="G769" s="63">
        <f>VLOOKUP(C769,'RAW DATA 2023'!E:BO,13,0)</f>
        <v>211</v>
      </c>
      <c r="H769" s="63">
        <f t="shared" si="93"/>
        <v>200</v>
      </c>
      <c r="I769" s="63">
        <f t="shared" si="91"/>
        <v>11.259</v>
      </c>
      <c r="J769" s="106">
        <f>VLOOKUP(C769,'RAW DATA 2023'!E:BO,22,0)</f>
        <v>7.6130162162162156</v>
      </c>
      <c r="K769" s="70">
        <f t="shared" si="94"/>
        <v>0.67617161526034419</v>
      </c>
      <c r="L769" s="72">
        <f t="shared" si="92"/>
        <v>7.6130162162162156</v>
      </c>
      <c r="M769" s="109">
        <f t="shared" si="96"/>
        <v>2.3489548701379226</v>
      </c>
      <c r="N769" s="123" t="str">
        <f>VLOOKUP(C769,'RAW DATA 2023'!E:BO,36,0)</f>
        <v>EHP</v>
      </c>
      <c r="O769" s="63">
        <f>VLOOKUP(C769,'RAW DATA 2023'!E:BO,2,0)</f>
        <v>1.85</v>
      </c>
      <c r="P769" s="322">
        <f t="shared" si="95"/>
        <v>4.345566509755157</v>
      </c>
    </row>
    <row r="770" spans="1:16">
      <c r="A770" s="63" t="str">
        <f>'RAW DATA 2023'!B763</f>
        <v>SR4</v>
      </c>
      <c r="B770" s="63" t="str">
        <f>'RAW DATA 2023'!D763</f>
        <v>B1-066-0009</v>
      </c>
      <c r="C770" s="63" t="str">
        <f t="shared" si="89"/>
        <v>SR4B1-066-0009</v>
      </c>
      <c r="D770" s="68">
        <f>VLOOKUP(C770,'RAW DATA 2023'!E:BP,63,0)</f>
        <v>10</v>
      </c>
      <c r="E770" s="68" t="str">
        <f t="shared" si="90"/>
        <v>SR410</v>
      </c>
      <c r="F770" s="63" t="str">
        <f>VLOOKUP(C770,'RAW DATA 2023'!E:BO,5,0)</f>
        <v>Outdoor</v>
      </c>
      <c r="G770" s="63">
        <f>VLOOKUP(C770,'RAW DATA 2023'!E:BO,13,0)</f>
        <v>211</v>
      </c>
      <c r="H770" s="63">
        <f t="shared" si="93"/>
        <v>200</v>
      </c>
      <c r="I770" s="63">
        <f t="shared" si="91"/>
        <v>11.259</v>
      </c>
      <c r="J770" s="106">
        <f>VLOOKUP(C770,'RAW DATA 2023'!E:BO,22,0)</f>
        <v>5.3114756756756751</v>
      </c>
      <c r="K770" s="70">
        <f t="shared" si="94"/>
        <v>0.47175376815664577</v>
      </c>
      <c r="L770" s="72">
        <f t="shared" si="92"/>
        <v>5.3114756756756751</v>
      </c>
      <c r="M770" s="109">
        <f t="shared" si="96"/>
        <v>-0.37661642457805644</v>
      </c>
      <c r="N770" s="123" t="str">
        <f>VLOOKUP(C770,'RAW DATA 2023'!E:BO,36,0)</f>
        <v>EHP</v>
      </c>
      <c r="O770" s="63">
        <f>VLOOKUP(C770,'RAW DATA 2023'!E:BO,2,0)</f>
        <v>1.85</v>
      </c>
      <c r="P770" s="322">
        <f t="shared" si="95"/>
        <v>-0.69674038546940442</v>
      </c>
    </row>
    <row r="771" spans="1:16">
      <c r="A771" s="63" t="str">
        <f>'RAW DATA 2023'!B764</f>
        <v>SR4</v>
      </c>
      <c r="B771" s="63" t="str">
        <f>'RAW DATA 2023'!D764</f>
        <v>A1-085-0008</v>
      </c>
      <c r="C771" s="63" t="str">
        <f t="shared" si="89"/>
        <v>SR4A1-085-0008</v>
      </c>
      <c r="D771" s="68">
        <f>VLOOKUP(C771,'RAW DATA 2023'!E:BP,63,0)</f>
        <v>1</v>
      </c>
      <c r="E771" s="68" t="str">
        <f t="shared" si="90"/>
        <v>SR41</v>
      </c>
      <c r="F771" s="63" t="str">
        <f>VLOOKUP(C771,'RAW DATA 2023'!E:BO,5,0)</f>
        <v>Outdoor</v>
      </c>
      <c r="G771" s="63">
        <f>VLOOKUP(C771,'RAW DATA 2023'!E:BO,13,0)</f>
        <v>156</v>
      </c>
      <c r="H771" s="63">
        <f t="shared" si="93"/>
        <v>150</v>
      </c>
      <c r="I771" s="63">
        <f t="shared" si="91"/>
        <v>9.1999999999999993</v>
      </c>
      <c r="J771" s="106">
        <f>VLOOKUP(C771,'RAW DATA 2023'!E:BO,22,0)</f>
        <v>2.2923749999999998</v>
      </c>
      <c r="K771" s="70">
        <f t="shared" si="94"/>
        <v>0.24917119565217391</v>
      </c>
      <c r="L771" s="72">
        <f t="shared" si="92"/>
        <v>2.2923749999999998</v>
      </c>
      <c r="M771" s="109">
        <f t="shared" si="96"/>
        <v>-3.3443840579710145</v>
      </c>
      <c r="N771" s="123" t="str">
        <f>VLOOKUP(C771,'RAW DATA 2023'!E:BO,36,0)</f>
        <v>WFD</v>
      </c>
      <c r="O771" s="63">
        <f>VLOOKUP(C771,'RAW DATA 2023'!E:BO,2,0)</f>
        <v>2</v>
      </c>
      <c r="P771" s="322">
        <f t="shared" si="95"/>
        <v>-6.6887681159420289</v>
      </c>
    </row>
    <row r="772" spans="1:16">
      <c r="A772" s="63" t="str">
        <f>'RAW DATA 2023'!B765</f>
        <v>SR4</v>
      </c>
      <c r="B772" s="63" t="str">
        <f>'RAW DATA 2023'!D765</f>
        <v>B1-067-0009</v>
      </c>
      <c r="C772" s="63" t="str">
        <f t="shared" si="89"/>
        <v>SR4B1-067-0009</v>
      </c>
      <c r="D772" s="68">
        <f>VLOOKUP(C772,'RAW DATA 2023'!E:BP,63,0)</f>
        <v>1</v>
      </c>
      <c r="E772" s="68" t="str">
        <f t="shared" si="90"/>
        <v>SR41</v>
      </c>
      <c r="F772" s="63" t="str">
        <f>VLOOKUP(C772,'RAW DATA 2023'!E:BO,5,0)</f>
        <v>Outdoor</v>
      </c>
      <c r="G772" s="63">
        <f>VLOOKUP(C772,'RAW DATA 2023'!E:BO,13,0)</f>
        <v>156</v>
      </c>
      <c r="H772" s="63">
        <f t="shared" si="93"/>
        <v>150</v>
      </c>
      <c r="I772" s="63">
        <f t="shared" si="91"/>
        <v>9.1999999999999993</v>
      </c>
      <c r="J772" s="106">
        <f>VLOOKUP(C772,'RAW DATA 2023'!E:BO,22,0)</f>
        <v>1.4200299999999999</v>
      </c>
      <c r="K772" s="70">
        <f t="shared" si="94"/>
        <v>0.15435108695652175</v>
      </c>
      <c r="L772" s="72">
        <f t="shared" si="92"/>
        <v>1.4200299999999999</v>
      </c>
      <c r="M772" s="109">
        <f t="shared" si="96"/>
        <v>-4.6086521739130433</v>
      </c>
      <c r="N772" s="123" t="str">
        <f>VLOOKUP(C772,'RAW DATA 2023'!E:BO,36,0)</f>
        <v>EHP</v>
      </c>
      <c r="O772" s="63">
        <f>VLOOKUP(C772,'RAW DATA 2023'!E:BO,2,0)</f>
        <v>2</v>
      </c>
      <c r="P772" s="322">
        <f t="shared" si="95"/>
        <v>-9.2173043478260865</v>
      </c>
    </row>
    <row r="773" spans="1:16">
      <c r="A773" s="63" t="str">
        <f>'RAW DATA 2023'!B766</f>
        <v>SR4</v>
      </c>
      <c r="B773" s="63" t="str">
        <f>'RAW DATA 2023'!D766</f>
        <v>A1-082-0008</v>
      </c>
      <c r="C773" s="63" t="str">
        <f t="shared" si="89"/>
        <v>SR4A1-082-0008</v>
      </c>
      <c r="D773" s="68">
        <f>VLOOKUP(C773,'RAW DATA 2023'!E:BP,63,0)</f>
        <v>1</v>
      </c>
      <c r="E773" s="68" t="str">
        <f t="shared" si="90"/>
        <v>SR41</v>
      </c>
      <c r="F773" s="63" t="str">
        <f>VLOOKUP(C773,'RAW DATA 2023'!E:BO,5,0)</f>
        <v>Outdoor</v>
      </c>
      <c r="G773" s="63">
        <f>VLOOKUP(C773,'RAW DATA 2023'!E:BO,13,0)</f>
        <v>125</v>
      </c>
      <c r="H773" s="63">
        <f t="shared" si="93"/>
        <v>100</v>
      </c>
      <c r="I773" s="63">
        <f t="shared" si="91"/>
        <v>6.806</v>
      </c>
      <c r="J773" s="106">
        <f>VLOOKUP(C773,'RAW DATA 2023'!E:BO,22,0)</f>
        <v>1.4420200000000001</v>
      </c>
      <c r="K773" s="70">
        <f t="shared" si="94"/>
        <v>0.21187481633852484</v>
      </c>
      <c r="L773" s="72">
        <f t="shared" si="92"/>
        <v>1.4420200000000001</v>
      </c>
      <c r="M773" s="109">
        <f t="shared" si="96"/>
        <v>-3.8416691154863356</v>
      </c>
      <c r="N773" s="123" t="str">
        <f>VLOOKUP(C773,'RAW DATA 2023'!E:BO,36,0)</f>
        <v>EHP</v>
      </c>
      <c r="O773" s="63">
        <f>VLOOKUP(C773,'RAW DATA 2023'!E:BO,2,0)</f>
        <v>2</v>
      </c>
      <c r="P773" s="322">
        <f t="shared" si="95"/>
        <v>-7.6833382309726712</v>
      </c>
    </row>
    <row r="774" spans="1:16">
      <c r="A774" s="63" t="str">
        <f>'RAW DATA 2023'!B767</f>
        <v>Kanchanadit</v>
      </c>
      <c r="B774" s="63" t="str">
        <f>'RAW DATA 2023'!D767</f>
        <v>D1-051-0006</v>
      </c>
      <c r="C774" s="63" t="str">
        <f t="shared" si="89"/>
        <v>KanchanaditD1-051-0006</v>
      </c>
      <c r="D774" s="68">
        <f>VLOOKUP(C774,'RAW DATA 2023'!E:BP,63,0)</f>
        <v>8</v>
      </c>
      <c r="E774" s="68" t="str">
        <f t="shared" si="90"/>
        <v>Kanchanadit8</v>
      </c>
      <c r="F774" s="63" t="str">
        <f>VLOOKUP(C774,'RAW DATA 2023'!E:BO,5,0)</f>
        <v>Outdoor</v>
      </c>
      <c r="G774" s="63">
        <f>VLOOKUP(C774,'RAW DATA 2023'!E:BO,13,0)</f>
        <v>180</v>
      </c>
      <c r="H774" s="63">
        <f t="shared" si="93"/>
        <v>180</v>
      </c>
      <c r="I774" s="63">
        <f t="shared" si="91"/>
        <v>10.247</v>
      </c>
      <c r="J774" s="106">
        <f>VLOOKUP(C774,'RAW DATA 2023'!E:BO,22,0)</f>
        <v>10.024415000000001</v>
      </c>
      <c r="K774" s="70">
        <f t="shared" si="94"/>
        <v>0.97827803259490598</v>
      </c>
      <c r="L774" s="72">
        <f t="shared" si="92"/>
        <v>10.024415000000001</v>
      </c>
      <c r="M774" s="109">
        <f t="shared" si="96"/>
        <v>6.3770404345987464</v>
      </c>
      <c r="N774" s="123" t="str">
        <f>VLOOKUP(C774,'RAW DATA 2023'!E:BO,36,0)</f>
        <v>Normal</v>
      </c>
      <c r="O774" s="63">
        <f>VLOOKUP(C774,'RAW DATA 2023'!E:BO,2,0)</f>
        <v>2</v>
      </c>
      <c r="P774" s="322">
        <f t="shared" si="95"/>
        <v>12.754080869197493</v>
      </c>
    </row>
    <row r="775" spans="1:16">
      <c r="A775" s="63" t="str">
        <f>'RAW DATA 2023'!B768</f>
        <v>Kanchanadit</v>
      </c>
      <c r="B775" s="63" t="str">
        <f>'RAW DATA 2023'!D768</f>
        <v>D1-052-0013</v>
      </c>
      <c r="C775" s="63" t="str">
        <f t="shared" si="89"/>
        <v>KanchanaditD1-052-0013</v>
      </c>
      <c r="D775" s="68">
        <f>VLOOKUP(C775,'RAW DATA 2023'!E:BP,63,0)</f>
        <v>8</v>
      </c>
      <c r="E775" s="68" t="str">
        <f t="shared" si="90"/>
        <v>Kanchanadit8</v>
      </c>
      <c r="F775" s="63" t="str">
        <f>VLOOKUP(C775,'RAW DATA 2023'!E:BO,5,0)</f>
        <v>Outdoor</v>
      </c>
      <c r="G775" s="63">
        <f>VLOOKUP(C775,'RAW DATA 2023'!E:BO,13,0)</f>
        <v>156</v>
      </c>
      <c r="H775" s="63">
        <f t="shared" si="93"/>
        <v>150</v>
      </c>
      <c r="I775" s="63">
        <f t="shared" si="91"/>
        <v>9.1999999999999993</v>
      </c>
      <c r="J775" s="106">
        <f>VLOOKUP(C775,'RAW DATA 2023'!E:BO,22,0)</f>
        <v>10.304195</v>
      </c>
      <c r="K775" s="70">
        <f t="shared" si="94"/>
        <v>1.120021195652174</v>
      </c>
      <c r="L775" s="72">
        <f t="shared" si="92"/>
        <v>10.304195</v>
      </c>
      <c r="M775" s="109">
        <f t="shared" si="96"/>
        <v>8.2669492753623199</v>
      </c>
      <c r="N775" s="123" t="str">
        <f>VLOOKUP(C775,'RAW DATA 2023'!E:BO,36,0)</f>
        <v>Normal</v>
      </c>
      <c r="O775" s="63">
        <f>VLOOKUP(C775,'RAW DATA 2023'!E:BO,2,0)</f>
        <v>2</v>
      </c>
      <c r="P775" s="322">
        <f t="shared" si="95"/>
        <v>16.53389855072464</v>
      </c>
    </row>
    <row r="776" spans="1:16">
      <c r="A776" s="63" t="str">
        <f>'RAW DATA 2023'!B769</f>
        <v>Kanchanadit</v>
      </c>
      <c r="B776" s="63" t="str">
        <f>'RAW DATA 2023'!D769</f>
        <v>C1-043-0014</v>
      </c>
      <c r="C776" s="63" t="str">
        <f t="shared" si="89"/>
        <v>KanchanaditC1-043-0014</v>
      </c>
      <c r="D776" s="68">
        <f>VLOOKUP(C776,'RAW DATA 2023'!E:BP,63,0)</f>
        <v>7</v>
      </c>
      <c r="E776" s="68" t="str">
        <f t="shared" si="90"/>
        <v>Kanchanadit7</v>
      </c>
      <c r="F776" s="63" t="str">
        <f>VLOOKUP(C776,'RAW DATA 2023'!E:BO,5,0)</f>
        <v>Outdoor</v>
      </c>
      <c r="G776" s="63">
        <f>VLOOKUP(C776,'RAW DATA 2023'!E:BO,13,0)</f>
        <v>128</v>
      </c>
      <c r="H776" s="63">
        <f t="shared" si="93"/>
        <v>100</v>
      </c>
      <c r="I776" s="63">
        <f t="shared" si="91"/>
        <v>6.806</v>
      </c>
      <c r="J776" s="106">
        <f>VLOOKUP(C776,'RAW DATA 2023'!E:BO,22,0)</f>
        <v>5.0254183006535955</v>
      </c>
      <c r="K776" s="70">
        <f t="shared" si="94"/>
        <v>0.73838059075133644</v>
      </c>
      <c r="L776" s="72">
        <f t="shared" si="92"/>
        <v>5.0254183006535955</v>
      </c>
      <c r="M776" s="109">
        <f t="shared" si="96"/>
        <v>3.1784078766844859</v>
      </c>
      <c r="N776" s="123" t="str">
        <f>VLOOKUP(C776,'RAW DATA 2023'!E:BO,36,0)</f>
        <v>Normal</v>
      </c>
      <c r="O776" s="63">
        <f>VLOOKUP(C776,'RAW DATA 2023'!E:BO,2,0)</f>
        <v>1.53</v>
      </c>
      <c r="P776" s="322">
        <f t="shared" si="95"/>
        <v>4.8629640513272632</v>
      </c>
    </row>
    <row r="777" spans="1:16">
      <c r="A777" s="63" t="str">
        <f>'RAW DATA 2023'!B770</f>
        <v>Kanchanadit</v>
      </c>
      <c r="B777" s="63" t="str">
        <f>'RAW DATA 2023'!D770</f>
        <v>D1-053-0006</v>
      </c>
      <c r="C777" s="63" t="str">
        <f t="shared" si="89"/>
        <v>KanchanaditD1-053-0006</v>
      </c>
      <c r="D777" s="68">
        <f>VLOOKUP(C777,'RAW DATA 2023'!E:BP,63,0)</f>
        <v>8</v>
      </c>
      <c r="E777" s="68" t="str">
        <f t="shared" si="90"/>
        <v>Kanchanadit8</v>
      </c>
      <c r="F777" s="63" t="str">
        <f>VLOOKUP(C777,'RAW DATA 2023'!E:BO,5,0)</f>
        <v>Outdoor</v>
      </c>
      <c r="G777" s="63">
        <f>VLOOKUP(C777,'RAW DATA 2023'!E:BO,13,0)</f>
        <v>156</v>
      </c>
      <c r="H777" s="63">
        <f t="shared" si="93"/>
        <v>150</v>
      </c>
      <c r="I777" s="63">
        <f t="shared" si="91"/>
        <v>9.1999999999999993</v>
      </c>
      <c r="J777" s="106">
        <f>VLOOKUP(C777,'RAW DATA 2023'!E:BO,22,0)</f>
        <v>11.32649</v>
      </c>
      <c r="K777" s="70">
        <f t="shared" si="94"/>
        <v>1.2311402173913044</v>
      </c>
      <c r="L777" s="72">
        <f t="shared" si="92"/>
        <v>11.32649</v>
      </c>
      <c r="M777" s="109">
        <f t="shared" si="96"/>
        <v>9.74853623188406</v>
      </c>
      <c r="N777" s="123" t="str">
        <f>VLOOKUP(C777,'RAW DATA 2023'!E:BO,36,0)</f>
        <v>Normal</v>
      </c>
      <c r="O777" s="63">
        <f>VLOOKUP(C777,'RAW DATA 2023'!E:BO,2,0)</f>
        <v>2</v>
      </c>
      <c r="P777" s="322">
        <f t="shared" si="95"/>
        <v>19.49707246376812</v>
      </c>
    </row>
    <row r="778" spans="1:16">
      <c r="A778" s="63" t="str">
        <f>'RAW DATA 2023'!B771</f>
        <v>Kanchanadit</v>
      </c>
      <c r="B778" s="63" t="str">
        <f>'RAW DATA 2023'!D771</f>
        <v>C1-044-0016</v>
      </c>
      <c r="C778" s="63" t="str">
        <f t="shared" ref="C778:C841" si="97">A778&amp;B778</f>
        <v>KanchanaditC1-044-0016</v>
      </c>
      <c r="D778" s="68">
        <f>VLOOKUP(C778,'RAW DATA 2023'!E:BP,63,0)</f>
        <v>12</v>
      </c>
      <c r="E778" s="68" t="str">
        <f t="shared" ref="E778:E841" si="98">A778&amp;D778</f>
        <v>Kanchanadit12</v>
      </c>
      <c r="F778" s="63" t="str">
        <f>VLOOKUP(C778,'RAW DATA 2023'!E:BO,5,0)</f>
        <v>Outdoor</v>
      </c>
      <c r="G778" s="63">
        <f>VLOOKUP(C778,'RAW DATA 2023'!E:BO,13,0)</f>
        <v>179</v>
      </c>
      <c r="H778" s="63">
        <f t="shared" si="93"/>
        <v>180</v>
      </c>
      <c r="I778" s="63">
        <f t="shared" ref="I778:I821" si="99">IF(F778=$W$1,VLOOKUP(H778,Y:Z,2,0),VLOOKUP(H778,AF:AG,2,0))</f>
        <v>10.247</v>
      </c>
      <c r="J778" s="106">
        <f>VLOOKUP(C778,'RAW DATA 2023'!E:BO,22,0)</f>
        <v>6.7560588235294112</v>
      </c>
      <c r="K778" s="70">
        <f t="shared" si="94"/>
        <v>0.65932066200150397</v>
      </c>
      <c r="L778" s="72">
        <f t="shared" ref="L778:L820" si="100">IF(J778=0,0,IF(F778=$B$2,J778-$B$6,IF(F778=$C$1,J778-$C$6,IF(AND(F778=$C$2,G778&lt;=$C$3),J778-$C$6,IF(AND(F778=$C$2,G778&lt;=$E$3),J778-$D$6,J778-$E$6)))))</f>
        <v>6.7560588235294112</v>
      </c>
      <c r="M778" s="109">
        <f t="shared" si="96"/>
        <v>2.1242754933533865</v>
      </c>
      <c r="N778" s="123" t="str">
        <f>VLOOKUP(C778,'RAW DATA 2023'!E:BO,36,0)</f>
        <v>Normal</v>
      </c>
      <c r="O778" s="63">
        <f>VLOOKUP(C778,'RAW DATA 2023'!E:BO,2,0)</f>
        <v>1.53</v>
      </c>
      <c r="P778" s="322">
        <f t="shared" si="95"/>
        <v>3.2501415048306814</v>
      </c>
    </row>
    <row r="779" spans="1:16">
      <c r="A779" s="63" t="str">
        <f>'RAW DATA 2023'!B772</f>
        <v>Kanchanadit</v>
      </c>
      <c r="B779" s="63" t="str">
        <f>'RAW DATA 2023'!D772</f>
        <v>C1-041-0015</v>
      </c>
      <c r="C779" s="63" t="str">
        <f t="shared" si="97"/>
        <v>KanchanaditC1-041-0015</v>
      </c>
      <c r="D779" s="68">
        <f>VLOOKUP(C779,'RAW DATA 2023'!E:BP,63,0)</f>
        <v>8</v>
      </c>
      <c r="E779" s="68" t="str">
        <f t="shared" si="98"/>
        <v>Kanchanadit8</v>
      </c>
      <c r="F779" s="63" t="str">
        <f>VLOOKUP(C779,'RAW DATA 2023'!E:BO,5,0)</f>
        <v>Outdoor</v>
      </c>
      <c r="G779" s="63">
        <f>VLOOKUP(C779,'RAW DATA 2023'!E:BO,13,0)</f>
        <v>128</v>
      </c>
      <c r="H779" s="63">
        <f t="shared" ref="H779:H842" si="101">IF(G779&gt;190,200,IF(G779&gt;165,180,IF(G779&gt;=135,150,IF(D772&gt;=110,120,100))))</f>
        <v>100</v>
      </c>
      <c r="I779" s="63">
        <f t="shared" si="99"/>
        <v>6.806</v>
      </c>
      <c r="J779" s="106">
        <f>VLOOKUP(C779,'RAW DATA 2023'!E:BO,22,0)</f>
        <v>5.5711633986928089</v>
      </c>
      <c r="K779" s="70">
        <f t="shared" ref="K779:L822" si="102">J779/I779</f>
        <v>0.81856647056902865</v>
      </c>
      <c r="L779" s="72">
        <f t="shared" si="100"/>
        <v>5.5711633986928089</v>
      </c>
      <c r="M779" s="109">
        <f t="shared" si="96"/>
        <v>4.2475529409203823</v>
      </c>
      <c r="N779" s="123" t="str">
        <f>VLOOKUP(C779,'RAW DATA 2023'!E:BO,36,0)</f>
        <v>Normal</v>
      </c>
      <c r="O779" s="63">
        <f>VLOOKUP(C779,'RAW DATA 2023'!E:BO,2,0)</f>
        <v>1.53</v>
      </c>
      <c r="P779" s="322">
        <f t="shared" ref="P779:P842" si="103">M779*O779</f>
        <v>6.4987559996081847</v>
      </c>
    </row>
    <row r="780" spans="1:16">
      <c r="A780" s="63" t="str">
        <f>'RAW DATA 2023'!B773</f>
        <v>Kanchanadit</v>
      </c>
      <c r="B780" s="63" t="str">
        <f>'RAW DATA 2023'!D773</f>
        <v>C1-047-0008</v>
      </c>
      <c r="C780" s="63" t="str">
        <f t="shared" si="97"/>
        <v>KanchanaditC1-047-0008</v>
      </c>
      <c r="D780" s="68">
        <f>VLOOKUP(C780,'RAW DATA 2023'!E:BP,63,0)</f>
        <v>11</v>
      </c>
      <c r="E780" s="68" t="str">
        <f t="shared" si="98"/>
        <v>Kanchanadit11</v>
      </c>
      <c r="F780" s="63" t="str">
        <f>VLOOKUP(C780,'RAW DATA 2023'!E:BO,5,0)</f>
        <v>Outdoor</v>
      </c>
      <c r="G780" s="63">
        <f>VLOOKUP(C780,'RAW DATA 2023'!E:BO,13,0)</f>
        <v>128</v>
      </c>
      <c r="H780" s="63">
        <f t="shared" si="101"/>
        <v>100</v>
      </c>
      <c r="I780" s="63">
        <f t="shared" si="99"/>
        <v>6.806</v>
      </c>
      <c r="J780" s="106">
        <f>VLOOKUP(C780,'RAW DATA 2023'!E:BO,22,0)</f>
        <v>6.2414967320261443</v>
      </c>
      <c r="K780" s="70">
        <f t="shared" si="102"/>
        <v>0.91705799765297447</v>
      </c>
      <c r="L780" s="72">
        <f t="shared" si="100"/>
        <v>6.2414967320261443</v>
      </c>
      <c r="M780" s="109">
        <f t="shared" ref="M780:M843" si="104">(K780-$B$4)*$B$7</f>
        <v>5.5607733020396601</v>
      </c>
      <c r="N780" s="123" t="str">
        <f>VLOOKUP(C780,'RAW DATA 2023'!E:BO,36,0)</f>
        <v>Normal</v>
      </c>
      <c r="O780" s="63">
        <f>VLOOKUP(C780,'RAW DATA 2023'!E:BO,2,0)</f>
        <v>1.53</v>
      </c>
      <c r="P780" s="322">
        <f t="shared" si="103"/>
        <v>8.5079831521206799</v>
      </c>
    </row>
    <row r="781" spans="1:16">
      <c r="A781" s="63" t="str">
        <f>'RAW DATA 2023'!B774</f>
        <v>Kanchanadit</v>
      </c>
      <c r="B781" s="63" t="str">
        <f>'RAW DATA 2023'!D774</f>
        <v>D1-050-0013</v>
      </c>
      <c r="C781" s="63" t="str">
        <f t="shared" si="97"/>
        <v>KanchanaditD1-050-0013</v>
      </c>
      <c r="D781" s="68">
        <f>VLOOKUP(C781,'RAW DATA 2023'!E:BP,63,0)</f>
        <v>8</v>
      </c>
      <c r="E781" s="68" t="str">
        <f t="shared" si="98"/>
        <v>Kanchanadit8</v>
      </c>
      <c r="F781" s="63" t="str">
        <f>VLOOKUP(C781,'RAW DATA 2023'!E:BO,5,0)</f>
        <v>Outdoor</v>
      </c>
      <c r="G781" s="63">
        <f>VLOOKUP(C781,'RAW DATA 2023'!E:BO,13,0)</f>
        <v>188</v>
      </c>
      <c r="H781" s="63">
        <f t="shared" si="101"/>
        <v>180</v>
      </c>
      <c r="I781" s="63">
        <f t="shared" si="99"/>
        <v>10.247</v>
      </c>
      <c r="J781" s="106">
        <f>VLOOKUP(C781,'RAW DATA 2023'!E:BO,22,0)</f>
        <v>10.825014999999999</v>
      </c>
      <c r="K781" s="70">
        <f t="shared" si="102"/>
        <v>1.0564082170391333</v>
      </c>
      <c r="L781" s="72">
        <f t="shared" si="100"/>
        <v>10.825014999999999</v>
      </c>
      <c r="M781" s="109">
        <f t="shared" si="104"/>
        <v>7.4187762271884452</v>
      </c>
      <c r="N781" s="123" t="str">
        <f>VLOOKUP(C781,'RAW DATA 2023'!E:BO,36,0)</f>
        <v>Normal</v>
      </c>
      <c r="O781" s="63">
        <f>VLOOKUP(C781,'RAW DATA 2023'!E:BO,2,0)</f>
        <v>2</v>
      </c>
      <c r="P781" s="322">
        <f t="shared" si="103"/>
        <v>14.83755245437689</v>
      </c>
    </row>
    <row r="782" spans="1:16">
      <c r="A782" s="63" t="str">
        <f>'RAW DATA 2023'!B775</f>
        <v>Kanchanadit</v>
      </c>
      <c r="B782" s="63" t="str">
        <f>'RAW DATA 2023'!D775</f>
        <v>D1-049-0012</v>
      </c>
      <c r="C782" s="63" t="str">
        <f t="shared" si="97"/>
        <v>KanchanaditD1-049-0012</v>
      </c>
      <c r="D782" s="68">
        <f>VLOOKUP(C782,'RAW DATA 2023'!E:BP,63,0)</f>
        <v>12</v>
      </c>
      <c r="E782" s="68" t="str">
        <f t="shared" si="98"/>
        <v>Kanchanadit12</v>
      </c>
      <c r="F782" s="63" t="str">
        <f>VLOOKUP(C782,'RAW DATA 2023'!E:BO,5,0)</f>
        <v>Outdoor</v>
      </c>
      <c r="G782" s="63">
        <f>VLOOKUP(C782,'RAW DATA 2023'!E:BO,13,0)</f>
        <v>156</v>
      </c>
      <c r="H782" s="63">
        <f t="shared" si="101"/>
        <v>150</v>
      </c>
      <c r="I782" s="63">
        <f t="shared" si="99"/>
        <v>9.1999999999999993</v>
      </c>
      <c r="J782" s="106">
        <f>VLOOKUP(C782,'RAW DATA 2023'!E:BO,22,0)</f>
        <v>8.646255</v>
      </c>
      <c r="K782" s="70">
        <f t="shared" si="102"/>
        <v>0.93981032608695658</v>
      </c>
      <c r="L782" s="72">
        <f t="shared" si="100"/>
        <v>8.646255</v>
      </c>
      <c r="M782" s="109">
        <f t="shared" si="104"/>
        <v>5.8641376811594217</v>
      </c>
      <c r="N782" s="123" t="str">
        <f>VLOOKUP(C782,'RAW DATA 2023'!E:BO,36,0)</f>
        <v>Normal</v>
      </c>
      <c r="O782" s="63">
        <f>VLOOKUP(C782,'RAW DATA 2023'!E:BO,2,0)</f>
        <v>2</v>
      </c>
      <c r="P782" s="322">
        <f t="shared" si="103"/>
        <v>11.728275362318843</v>
      </c>
    </row>
    <row r="783" spans="1:16">
      <c r="A783" s="63" t="str">
        <f>'RAW DATA 2023'!B776</f>
        <v>Kanchanadit</v>
      </c>
      <c r="B783" s="63" t="str">
        <f>'RAW DATA 2023'!D776</f>
        <v>C1-042-0005</v>
      </c>
      <c r="C783" s="63" t="str">
        <f t="shared" si="97"/>
        <v>KanchanaditC1-042-0005</v>
      </c>
      <c r="D783" s="68">
        <f>VLOOKUP(C783,'RAW DATA 2023'!E:BP,63,0)</f>
        <v>8</v>
      </c>
      <c r="E783" s="68" t="str">
        <f t="shared" si="98"/>
        <v>Kanchanadit8</v>
      </c>
      <c r="F783" s="63" t="str">
        <f>VLOOKUP(C783,'RAW DATA 2023'!E:BO,5,0)</f>
        <v>Outdoor</v>
      </c>
      <c r="G783" s="63">
        <f>VLOOKUP(C783,'RAW DATA 2023'!E:BO,13,0)</f>
        <v>191</v>
      </c>
      <c r="H783" s="63">
        <f t="shared" si="101"/>
        <v>200</v>
      </c>
      <c r="I783" s="63">
        <f t="shared" si="99"/>
        <v>11.259</v>
      </c>
      <c r="J783" s="106">
        <f>VLOOKUP(C783,'RAW DATA 2023'!E:BO,22,0)</f>
        <v>7.4131241830065351</v>
      </c>
      <c r="K783" s="70">
        <f t="shared" si="102"/>
        <v>0.65841763771263295</v>
      </c>
      <c r="L783" s="72">
        <f t="shared" si="100"/>
        <v>7.4131241830065351</v>
      </c>
      <c r="M783" s="109">
        <f t="shared" si="104"/>
        <v>2.1122351695017727</v>
      </c>
      <c r="N783" s="123" t="str">
        <f>VLOOKUP(C783,'RAW DATA 2023'!E:BO,36,0)</f>
        <v>Normal</v>
      </c>
      <c r="O783" s="63">
        <f>VLOOKUP(C783,'RAW DATA 2023'!E:BO,2,0)</f>
        <v>1.53</v>
      </c>
      <c r="P783" s="322">
        <f t="shared" si="103"/>
        <v>3.2317198093377124</v>
      </c>
    </row>
    <row r="784" spans="1:16">
      <c r="A784" s="63" t="str">
        <f>'RAW DATA 2023'!B777</f>
        <v>Kanchanadit</v>
      </c>
      <c r="B784" s="63" t="str">
        <f>'RAW DATA 2023'!D777</f>
        <v>C1-046-0013</v>
      </c>
      <c r="C784" s="63" t="str">
        <f t="shared" si="97"/>
        <v>KanchanaditC1-046-0013</v>
      </c>
      <c r="D784" s="68">
        <f>VLOOKUP(C784,'RAW DATA 2023'!E:BP,63,0)</f>
        <v>11</v>
      </c>
      <c r="E784" s="68" t="str">
        <f t="shared" si="98"/>
        <v>Kanchanadit11</v>
      </c>
      <c r="F784" s="63" t="str">
        <f>VLOOKUP(C784,'RAW DATA 2023'!E:BO,5,0)</f>
        <v>Outdoor</v>
      </c>
      <c r="G784" s="63">
        <f>VLOOKUP(C784,'RAW DATA 2023'!E:BO,13,0)</f>
        <v>128</v>
      </c>
      <c r="H784" s="63">
        <f t="shared" si="101"/>
        <v>100</v>
      </c>
      <c r="I784" s="63">
        <f t="shared" si="99"/>
        <v>6.806</v>
      </c>
      <c r="J784" s="106">
        <f>VLOOKUP(C784,'RAW DATA 2023'!E:BO,22,0)</f>
        <v>6.7378496732026134</v>
      </c>
      <c r="K784" s="70">
        <f t="shared" si="102"/>
        <v>0.98998672835771573</v>
      </c>
      <c r="L784" s="72">
        <f t="shared" si="100"/>
        <v>6.7378496732026134</v>
      </c>
      <c r="M784" s="109">
        <f t="shared" si="104"/>
        <v>6.533156378102877</v>
      </c>
      <c r="N784" s="123" t="str">
        <f>VLOOKUP(C784,'RAW DATA 2023'!E:BO,36,0)</f>
        <v>Normal</v>
      </c>
      <c r="O784" s="63">
        <f>VLOOKUP(C784,'RAW DATA 2023'!E:BO,2,0)</f>
        <v>1.53</v>
      </c>
      <c r="P784" s="322">
        <f t="shared" si="103"/>
        <v>9.995729258497402</v>
      </c>
    </row>
    <row r="785" spans="1:16">
      <c r="A785" s="63" t="str">
        <f>'RAW DATA 2023'!B778</f>
        <v>Kanchanadit</v>
      </c>
      <c r="B785" s="63" t="str">
        <f>'RAW DATA 2023'!D778</f>
        <v>C1-045-0012</v>
      </c>
      <c r="C785" s="63" t="str">
        <f t="shared" si="97"/>
        <v>KanchanaditC1-045-0012</v>
      </c>
      <c r="D785" s="68">
        <f>VLOOKUP(C785,'RAW DATA 2023'!E:BP,63,0)</f>
        <v>12</v>
      </c>
      <c r="E785" s="68" t="str">
        <f t="shared" si="98"/>
        <v>Kanchanadit12</v>
      </c>
      <c r="F785" s="63" t="str">
        <f>VLOOKUP(C785,'RAW DATA 2023'!E:BO,5,0)</f>
        <v>Outdoor</v>
      </c>
      <c r="G785" s="63">
        <f>VLOOKUP(C785,'RAW DATA 2023'!E:BO,13,0)</f>
        <v>128</v>
      </c>
      <c r="H785" s="63">
        <f t="shared" si="101"/>
        <v>100</v>
      </c>
      <c r="I785" s="63">
        <f t="shared" si="99"/>
        <v>6.806</v>
      </c>
      <c r="J785" s="106">
        <f>VLOOKUP(C785,'RAW DATA 2023'!E:BO,22,0)</f>
        <v>5.6498496732026142</v>
      </c>
      <c r="K785" s="70">
        <f t="shared" si="102"/>
        <v>0.83012778037064561</v>
      </c>
      <c r="L785" s="72">
        <f t="shared" si="100"/>
        <v>5.6498496732026142</v>
      </c>
      <c r="M785" s="109">
        <f t="shared" si="104"/>
        <v>4.4017037382752751</v>
      </c>
      <c r="N785" s="123" t="str">
        <f>VLOOKUP(C785,'RAW DATA 2023'!E:BO,36,0)</f>
        <v>Normal</v>
      </c>
      <c r="O785" s="63">
        <f>VLOOKUP(C785,'RAW DATA 2023'!E:BO,2,0)</f>
        <v>1.53</v>
      </c>
      <c r="P785" s="322">
        <f t="shared" si="103"/>
        <v>6.734606719561171</v>
      </c>
    </row>
    <row r="786" spans="1:16">
      <c r="A786" s="63" t="str">
        <f>'RAW DATA 2023'!B779</f>
        <v>Kanchanadit</v>
      </c>
      <c r="B786" s="63" t="str">
        <f>'RAW DATA 2023'!D779</f>
        <v>C1-045-0011</v>
      </c>
      <c r="C786" s="63" t="str">
        <f t="shared" si="97"/>
        <v>KanchanaditC1-045-0011</v>
      </c>
      <c r="D786" s="68">
        <f>VLOOKUP(C786,'RAW DATA 2023'!E:BP,63,0)</f>
        <v>6</v>
      </c>
      <c r="E786" s="68" t="str">
        <f t="shared" si="98"/>
        <v>Kanchanadit6</v>
      </c>
      <c r="F786" s="63" t="str">
        <f>VLOOKUP(C786,'RAW DATA 2023'!E:BO,5,0)</f>
        <v>Outdoor</v>
      </c>
      <c r="G786" s="63">
        <f>VLOOKUP(C786,'RAW DATA 2023'!E:BO,13,0)</f>
        <v>128</v>
      </c>
      <c r="H786" s="63">
        <f t="shared" si="101"/>
        <v>100</v>
      </c>
      <c r="I786" s="63">
        <f t="shared" si="99"/>
        <v>6.806</v>
      </c>
      <c r="J786" s="106">
        <f>VLOOKUP(C786,'RAW DATA 2023'!E:BO,22,0)</f>
        <v>6.9953137254901963</v>
      </c>
      <c r="K786" s="70">
        <f t="shared" si="102"/>
        <v>1.0278157104746102</v>
      </c>
      <c r="L786" s="72">
        <f t="shared" si="100"/>
        <v>6.9953137254901963</v>
      </c>
      <c r="M786" s="109">
        <f t="shared" si="104"/>
        <v>7.037542806328136</v>
      </c>
      <c r="N786" s="123" t="str">
        <f>VLOOKUP(C786,'RAW DATA 2023'!E:BO,36,0)</f>
        <v>Normal</v>
      </c>
      <c r="O786" s="63">
        <f>VLOOKUP(C786,'RAW DATA 2023'!E:BO,2,0)</f>
        <v>1.53</v>
      </c>
      <c r="P786" s="322">
        <f t="shared" si="103"/>
        <v>10.767440493682049</v>
      </c>
    </row>
    <row r="787" spans="1:16">
      <c r="A787" s="63" t="str">
        <f>'RAW DATA 2023'!B780</f>
        <v>Kanchanadit</v>
      </c>
      <c r="B787" s="63" t="str">
        <f>'RAW DATA 2023'!D780</f>
        <v>D1-048-0013</v>
      </c>
      <c r="C787" s="63" t="str">
        <f t="shared" si="97"/>
        <v>KanchanaditD1-048-0013</v>
      </c>
      <c r="D787" s="68">
        <f>VLOOKUP(C787,'RAW DATA 2023'!E:BP,63,0)</f>
        <v>12</v>
      </c>
      <c r="E787" s="68" t="str">
        <f t="shared" si="98"/>
        <v>Kanchanadit12</v>
      </c>
      <c r="F787" s="63" t="str">
        <f>VLOOKUP(C787,'RAW DATA 2023'!E:BO,5,0)</f>
        <v>Outdoor</v>
      </c>
      <c r="G787" s="63">
        <f>VLOOKUP(C787,'RAW DATA 2023'!E:BO,13,0)</f>
        <v>156</v>
      </c>
      <c r="H787" s="63">
        <f t="shared" si="101"/>
        <v>150</v>
      </c>
      <c r="I787" s="63">
        <f t="shared" si="99"/>
        <v>9.1999999999999993</v>
      </c>
      <c r="J787" s="106">
        <f>VLOOKUP(C787,'RAW DATA 2023'!E:BO,22,0)</f>
        <v>8.6249900000000004</v>
      </c>
      <c r="K787" s="70">
        <f t="shared" si="102"/>
        <v>0.93749891304347832</v>
      </c>
      <c r="L787" s="72">
        <f t="shared" si="100"/>
        <v>8.6249900000000004</v>
      </c>
      <c r="M787" s="109">
        <f t="shared" si="104"/>
        <v>5.833318840579711</v>
      </c>
      <c r="N787" s="123" t="str">
        <f>VLOOKUP(C787,'RAW DATA 2023'!E:BO,36,0)</f>
        <v>Normal</v>
      </c>
      <c r="O787" s="63">
        <f>VLOOKUP(C787,'RAW DATA 2023'!E:BO,2,0)</f>
        <v>2</v>
      </c>
      <c r="P787" s="322">
        <f t="shared" si="103"/>
        <v>11.666637681159422</v>
      </c>
    </row>
    <row r="788" spans="1:16">
      <c r="A788" s="63" t="str">
        <f>'RAW DATA 2023'!B781</f>
        <v>Kanchanadit</v>
      </c>
      <c r="B788" s="63" t="str">
        <f>'RAW DATA 2023'!D781</f>
        <v>C1-040-0015</v>
      </c>
      <c r="C788" s="63" t="str">
        <f t="shared" si="97"/>
        <v>KanchanaditC1-040-0015</v>
      </c>
      <c r="D788" s="68">
        <f>VLOOKUP(C788,'RAW DATA 2023'!E:BP,63,0)</f>
        <v>7</v>
      </c>
      <c r="E788" s="68" t="str">
        <f t="shared" si="98"/>
        <v>Kanchanadit7</v>
      </c>
      <c r="F788" s="63" t="str">
        <f>VLOOKUP(C788,'RAW DATA 2023'!E:BO,5,0)</f>
        <v>Outdoor</v>
      </c>
      <c r="G788" s="63">
        <f>VLOOKUP(C788,'RAW DATA 2023'!E:BO,13,0)</f>
        <v>128</v>
      </c>
      <c r="H788" s="63">
        <f t="shared" si="101"/>
        <v>100</v>
      </c>
      <c r="I788" s="63">
        <f t="shared" si="99"/>
        <v>6.806</v>
      </c>
      <c r="J788" s="106">
        <f>VLOOKUP(C788,'RAW DATA 2023'!E:BO,22,0)</f>
        <v>7.154908496732026</v>
      </c>
      <c r="K788" s="70">
        <f t="shared" si="102"/>
        <v>1.051264839367033</v>
      </c>
      <c r="L788" s="72">
        <f t="shared" si="100"/>
        <v>7.154908496732026</v>
      </c>
      <c r="M788" s="109">
        <f t="shared" si="104"/>
        <v>7.3501978582271068</v>
      </c>
      <c r="N788" s="123" t="str">
        <f>VLOOKUP(C788,'RAW DATA 2023'!E:BO,36,0)</f>
        <v>Normal</v>
      </c>
      <c r="O788" s="63">
        <f>VLOOKUP(C788,'RAW DATA 2023'!E:BO,2,0)</f>
        <v>1.53</v>
      </c>
      <c r="P788" s="322">
        <f t="shared" si="103"/>
        <v>11.245802723087474</v>
      </c>
    </row>
    <row r="789" spans="1:16">
      <c r="A789" s="63" t="str">
        <f>'RAW DATA 2023'!B782</f>
        <v>Kanchanadit</v>
      </c>
      <c r="B789" s="63" t="str">
        <f>'RAW DATA 2023'!D782</f>
        <v>C1-047-0006</v>
      </c>
      <c r="C789" s="63" t="str">
        <f t="shared" si="97"/>
        <v>KanchanaditC1-047-0006</v>
      </c>
      <c r="D789" s="68">
        <f>VLOOKUP(C789,'RAW DATA 2023'!E:BP,63,0)</f>
        <v>6</v>
      </c>
      <c r="E789" s="68" t="str">
        <f t="shared" si="98"/>
        <v>Kanchanadit6</v>
      </c>
      <c r="F789" s="63" t="str">
        <f>VLOOKUP(C789,'RAW DATA 2023'!E:BO,5,0)</f>
        <v>Outdoor</v>
      </c>
      <c r="G789" s="63">
        <f>VLOOKUP(C789,'RAW DATA 2023'!E:BO,13,0)</f>
        <v>128</v>
      </c>
      <c r="H789" s="63">
        <f t="shared" si="101"/>
        <v>100</v>
      </c>
      <c r="I789" s="63">
        <f t="shared" si="99"/>
        <v>6.806</v>
      </c>
      <c r="J789" s="106">
        <f>VLOOKUP(C789,'RAW DATA 2023'!E:BO,22,0)</f>
        <v>7.9336797385620921</v>
      </c>
      <c r="K789" s="70">
        <f t="shared" si="102"/>
        <v>1.1656890594419764</v>
      </c>
      <c r="L789" s="72">
        <f t="shared" si="100"/>
        <v>7.9336797385620921</v>
      </c>
      <c r="M789" s="109">
        <f t="shared" si="104"/>
        <v>8.875854125893019</v>
      </c>
      <c r="N789" s="123" t="str">
        <f>VLOOKUP(C789,'RAW DATA 2023'!E:BO,36,0)</f>
        <v>Normal</v>
      </c>
      <c r="O789" s="63">
        <f>VLOOKUP(C789,'RAW DATA 2023'!E:BO,2,0)</f>
        <v>1.53</v>
      </c>
      <c r="P789" s="322">
        <f t="shared" si="103"/>
        <v>13.58005681261632</v>
      </c>
    </row>
    <row r="790" spans="1:16">
      <c r="A790" s="63" t="str">
        <f>'RAW DATA 2023'!B783</f>
        <v>Kanchanadit</v>
      </c>
      <c r="B790" s="63" t="str">
        <f>'RAW DATA 2023'!D783</f>
        <v>C1-044-0014</v>
      </c>
      <c r="C790" s="63" t="str">
        <f t="shared" si="97"/>
        <v>KanchanaditC1-044-0014</v>
      </c>
      <c r="D790" s="68">
        <f>VLOOKUP(C790,'RAW DATA 2023'!E:BP,63,0)</f>
        <v>6</v>
      </c>
      <c r="E790" s="68" t="str">
        <f t="shared" si="98"/>
        <v>Kanchanadit6</v>
      </c>
      <c r="F790" s="63" t="str">
        <f>VLOOKUP(C790,'RAW DATA 2023'!E:BO,5,0)</f>
        <v>Outdoor</v>
      </c>
      <c r="G790" s="63">
        <f>VLOOKUP(C790,'RAW DATA 2023'!E:BO,13,0)</f>
        <v>128</v>
      </c>
      <c r="H790" s="63">
        <f t="shared" si="101"/>
        <v>100</v>
      </c>
      <c r="I790" s="63">
        <f t="shared" si="99"/>
        <v>6.806</v>
      </c>
      <c r="J790" s="106">
        <f>VLOOKUP(C790,'RAW DATA 2023'!E:BO,22,0)</f>
        <v>8.592032679738562</v>
      </c>
      <c r="K790" s="70">
        <f t="shared" si="102"/>
        <v>1.2624203173286161</v>
      </c>
      <c r="L790" s="72">
        <f t="shared" si="100"/>
        <v>8.592032679738562</v>
      </c>
      <c r="M790" s="109">
        <f t="shared" si="104"/>
        <v>10.165604231048215</v>
      </c>
      <c r="N790" s="123" t="str">
        <f>VLOOKUP(C790,'RAW DATA 2023'!E:BO,36,0)</f>
        <v>Normal</v>
      </c>
      <c r="O790" s="63">
        <f>VLOOKUP(C790,'RAW DATA 2023'!E:BO,2,0)</f>
        <v>1.53</v>
      </c>
      <c r="P790" s="322">
        <f t="shared" si="103"/>
        <v>15.553374473503769</v>
      </c>
    </row>
    <row r="791" spans="1:16">
      <c r="A791" s="63" t="str">
        <f>'RAW DATA 2023'!B784</f>
        <v>Kanchanadit</v>
      </c>
      <c r="B791" s="63" t="str">
        <f>'RAW DATA 2023'!D784</f>
        <v>C1-046-0012</v>
      </c>
      <c r="C791" s="63" t="str">
        <f t="shared" si="97"/>
        <v>KanchanaditC1-046-0012</v>
      </c>
      <c r="D791" s="68">
        <f>VLOOKUP(C791,'RAW DATA 2023'!E:BP,63,0)</f>
        <v>4</v>
      </c>
      <c r="E791" s="68" t="str">
        <f t="shared" si="98"/>
        <v>Kanchanadit4</v>
      </c>
      <c r="F791" s="63" t="str">
        <f>VLOOKUP(C791,'RAW DATA 2023'!E:BO,5,0)</f>
        <v>Outdoor</v>
      </c>
      <c r="G791" s="63">
        <f>VLOOKUP(C791,'RAW DATA 2023'!E:BO,13,0)</f>
        <v>128</v>
      </c>
      <c r="H791" s="63">
        <f t="shared" si="101"/>
        <v>100</v>
      </c>
      <c r="I791" s="63">
        <f t="shared" si="99"/>
        <v>6.806</v>
      </c>
      <c r="J791" s="106">
        <f>VLOOKUP(C791,'RAW DATA 2023'!E:BO,22,0)</f>
        <v>6.2365490196078426</v>
      </c>
      <c r="K791" s="70">
        <f t="shared" si="102"/>
        <v>0.9163310343238088</v>
      </c>
      <c r="L791" s="72">
        <f t="shared" si="100"/>
        <v>6.2365490196078426</v>
      </c>
      <c r="M791" s="109">
        <f t="shared" si="104"/>
        <v>5.5510804576507846</v>
      </c>
      <c r="N791" s="123" t="str">
        <f>VLOOKUP(C791,'RAW DATA 2023'!E:BO,36,0)</f>
        <v>Normal</v>
      </c>
      <c r="O791" s="63">
        <f>VLOOKUP(C791,'RAW DATA 2023'!E:BO,2,0)</f>
        <v>1.53</v>
      </c>
      <c r="P791" s="322">
        <f t="shared" si="103"/>
        <v>8.493153100205701</v>
      </c>
    </row>
    <row r="792" spans="1:16">
      <c r="A792" s="63" t="str">
        <f>'RAW DATA 2023'!B785</f>
        <v>Kanchanadit</v>
      </c>
      <c r="B792" s="63" t="str">
        <f>'RAW DATA 2023'!D785</f>
        <v>C1-043-0013</v>
      </c>
      <c r="C792" s="63" t="str">
        <f t="shared" si="97"/>
        <v>KanchanaditC1-043-0013</v>
      </c>
      <c r="D792" s="68">
        <f>VLOOKUP(C792,'RAW DATA 2023'!E:BP,63,0)</f>
        <v>1</v>
      </c>
      <c r="E792" s="68" t="str">
        <f t="shared" si="98"/>
        <v>Kanchanadit1</v>
      </c>
      <c r="F792" s="63" t="str">
        <f>VLOOKUP(C792,'RAW DATA 2023'!E:BO,5,0)</f>
        <v>Outdoor</v>
      </c>
      <c r="G792" s="63">
        <f>VLOOKUP(C792,'RAW DATA 2023'!E:BO,13,0)</f>
        <v>179</v>
      </c>
      <c r="H792" s="63">
        <f t="shared" si="101"/>
        <v>180</v>
      </c>
      <c r="I792" s="63">
        <f t="shared" si="99"/>
        <v>10.247</v>
      </c>
      <c r="J792" s="106">
        <f>VLOOKUP(C792,'RAW DATA 2023'!E:BO,22,0)</f>
        <v>3.9335686274509798</v>
      </c>
      <c r="K792" s="70">
        <f t="shared" si="102"/>
        <v>0.38387514662349759</v>
      </c>
      <c r="L792" s="72">
        <f t="shared" si="100"/>
        <v>3.9335686274509798</v>
      </c>
      <c r="M792" s="109">
        <f t="shared" si="104"/>
        <v>-1.5483313783533657</v>
      </c>
      <c r="N792" s="123" t="str">
        <f>VLOOKUP(C792,'RAW DATA 2023'!E:BO,36,0)</f>
        <v>EHP</v>
      </c>
      <c r="O792" s="63">
        <f>VLOOKUP(C792,'RAW DATA 2023'!E:BO,2,0)</f>
        <v>1.53</v>
      </c>
      <c r="P792" s="322">
        <f t="shared" si="103"/>
        <v>-2.3689470088806495</v>
      </c>
    </row>
    <row r="793" spans="1:16">
      <c r="A793" s="63" t="str">
        <f>'RAW DATA 2023'!B786</f>
        <v>Kanchanadit</v>
      </c>
      <c r="B793" s="63" t="str">
        <f>'RAW DATA 2023'!D786</f>
        <v>C1-040-0016</v>
      </c>
      <c r="C793" s="63" t="str">
        <f t="shared" si="97"/>
        <v>KanchanaditC1-040-0016</v>
      </c>
      <c r="D793" s="68">
        <f>VLOOKUP(C793,'RAW DATA 2023'!E:BP,63,0)</f>
        <v>12</v>
      </c>
      <c r="E793" s="68" t="str">
        <f t="shared" si="98"/>
        <v>Kanchanadit12</v>
      </c>
      <c r="F793" s="63" t="str">
        <f>VLOOKUP(C793,'RAW DATA 2023'!E:BO,5,0)</f>
        <v>Outdoor</v>
      </c>
      <c r="G793" s="63">
        <f>VLOOKUP(C793,'RAW DATA 2023'!E:BO,13,0)</f>
        <v>179</v>
      </c>
      <c r="H793" s="63">
        <f t="shared" si="101"/>
        <v>180</v>
      </c>
      <c r="I793" s="63">
        <f t="shared" si="99"/>
        <v>10.247</v>
      </c>
      <c r="J793" s="106">
        <f>VLOOKUP(C793,'RAW DATA 2023'!E:BO,22,0)</f>
        <v>2.6172549019607847</v>
      </c>
      <c r="K793" s="70">
        <f t="shared" si="102"/>
        <v>0.25541669776137255</v>
      </c>
      <c r="L793" s="72">
        <f t="shared" si="100"/>
        <v>2.6172549019607847</v>
      </c>
      <c r="M793" s="109">
        <f t="shared" si="104"/>
        <v>-3.2611106965150327</v>
      </c>
      <c r="N793" s="123" t="str">
        <f>VLOOKUP(C793,'RAW DATA 2023'!E:BO,36,0)</f>
        <v>WSSV</v>
      </c>
      <c r="O793" s="63">
        <f>VLOOKUP(C793,'RAW DATA 2023'!E:BO,2,0)</f>
        <v>1.53</v>
      </c>
      <c r="P793" s="322">
        <f t="shared" si="103"/>
        <v>-4.9894993656680002</v>
      </c>
    </row>
    <row r="794" spans="1:16">
      <c r="A794" s="63" t="str">
        <f>'RAW DATA 2023'!B787</f>
        <v>Kanchanadit</v>
      </c>
      <c r="B794" s="63" t="str">
        <f>'RAW DATA 2023'!D787</f>
        <v>D1-049-0011</v>
      </c>
      <c r="C794" s="63" t="str">
        <f t="shared" si="97"/>
        <v>KanchanaditD1-049-0011</v>
      </c>
      <c r="D794" s="68">
        <f>VLOOKUP(C794,'RAW DATA 2023'!E:BP,63,0)</f>
        <v>7</v>
      </c>
      <c r="E794" s="68" t="str">
        <f t="shared" si="98"/>
        <v>Kanchanadit7</v>
      </c>
      <c r="F794" s="63" t="str">
        <f>VLOOKUP(C794,'RAW DATA 2023'!E:BO,5,0)</f>
        <v>Outdoor</v>
      </c>
      <c r="G794" s="63">
        <f>VLOOKUP(C794,'RAW DATA 2023'!E:BO,13,0)</f>
        <v>156</v>
      </c>
      <c r="H794" s="63">
        <f t="shared" si="101"/>
        <v>150</v>
      </c>
      <c r="I794" s="63">
        <f t="shared" si="99"/>
        <v>9.1999999999999993</v>
      </c>
      <c r="J794" s="106">
        <f>VLOOKUP(C794,'RAW DATA 2023'!E:BO,22,0)</f>
        <v>12.240729999999999</v>
      </c>
      <c r="K794" s="70">
        <f t="shared" si="102"/>
        <v>1.3305141304347827</v>
      </c>
      <c r="L794" s="72">
        <f t="shared" si="100"/>
        <v>12.240729999999999</v>
      </c>
      <c r="M794" s="109">
        <f t="shared" si="104"/>
        <v>11.073521739130436</v>
      </c>
      <c r="N794" s="123" t="str">
        <f>VLOOKUP(C794,'RAW DATA 2023'!E:BO,36,0)</f>
        <v>Normal</v>
      </c>
      <c r="O794" s="63">
        <f>VLOOKUP(C794,'RAW DATA 2023'!E:BO,2,0)</f>
        <v>2</v>
      </c>
      <c r="P794" s="322">
        <f t="shared" si="103"/>
        <v>22.147043478260873</v>
      </c>
    </row>
    <row r="795" spans="1:16">
      <c r="A795" s="63" t="str">
        <f>'RAW DATA 2023'!B788</f>
        <v>Kanchanadit</v>
      </c>
      <c r="B795" s="63" t="str">
        <f>'RAW DATA 2023'!D788</f>
        <v>D1-048-0012</v>
      </c>
      <c r="C795" s="63" t="str">
        <f t="shared" si="97"/>
        <v>KanchanaditD1-048-0012</v>
      </c>
      <c r="D795" s="68">
        <f>VLOOKUP(C795,'RAW DATA 2023'!E:BP,63,0)</f>
        <v>7</v>
      </c>
      <c r="E795" s="68" t="str">
        <f t="shared" si="98"/>
        <v>Kanchanadit7</v>
      </c>
      <c r="F795" s="63" t="str">
        <f>VLOOKUP(C795,'RAW DATA 2023'!E:BO,5,0)</f>
        <v>Outdoor</v>
      </c>
      <c r="G795" s="63">
        <f>VLOOKUP(C795,'RAW DATA 2023'!E:BO,13,0)</f>
        <v>156</v>
      </c>
      <c r="H795" s="63">
        <f t="shared" si="101"/>
        <v>150</v>
      </c>
      <c r="I795" s="63">
        <f t="shared" si="99"/>
        <v>9.1999999999999993</v>
      </c>
      <c r="J795" s="106">
        <f>VLOOKUP(C795,'RAW DATA 2023'!E:BO,22,0)</f>
        <v>10.459425</v>
      </c>
      <c r="K795" s="70">
        <f t="shared" si="102"/>
        <v>1.1368940217391306</v>
      </c>
      <c r="L795" s="72">
        <f t="shared" si="100"/>
        <v>10.459425</v>
      </c>
      <c r="M795" s="109">
        <f t="shared" si="104"/>
        <v>8.4919202898550754</v>
      </c>
      <c r="N795" s="123" t="str">
        <f>VLOOKUP(C795,'RAW DATA 2023'!E:BO,36,0)</f>
        <v>Normal</v>
      </c>
      <c r="O795" s="63">
        <f>VLOOKUP(C795,'RAW DATA 2023'!E:BO,2,0)</f>
        <v>2</v>
      </c>
      <c r="P795" s="322">
        <f t="shared" si="103"/>
        <v>16.983840579710151</v>
      </c>
    </row>
    <row r="796" spans="1:16">
      <c r="A796" s="63" t="str">
        <f>'RAW DATA 2023'!B789</f>
        <v>Kanchanadit</v>
      </c>
      <c r="B796" s="63" t="str">
        <f>'RAW DATA 2023'!D789</f>
        <v>D1-050-0012</v>
      </c>
      <c r="C796" s="63" t="str">
        <f t="shared" si="97"/>
        <v>KanchanaditD1-050-0012</v>
      </c>
      <c r="D796" s="68">
        <f>VLOOKUP(C796,'RAW DATA 2023'!E:BP,63,0)</f>
        <v>1</v>
      </c>
      <c r="E796" s="68" t="str">
        <f t="shared" si="98"/>
        <v>Kanchanadit1</v>
      </c>
      <c r="F796" s="63" t="str">
        <f>VLOOKUP(C796,'RAW DATA 2023'!E:BO,5,0)</f>
        <v>Outdoor</v>
      </c>
      <c r="G796" s="63">
        <f>VLOOKUP(C796,'RAW DATA 2023'!E:BO,13,0)</f>
        <v>188</v>
      </c>
      <c r="H796" s="63">
        <f t="shared" si="101"/>
        <v>180</v>
      </c>
      <c r="I796" s="63">
        <f t="shared" si="99"/>
        <v>10.247</v>
      </c>
      <c r="J796" s="106">
        <f>VLOOKUP(C796,'RAW DATA 2023'!E:BO,22,0)</f>
        <v>6.8427949999999997</v>
      </c>
      <c r="K796" s="70">
        <f t="shared" si="102"/>
        <v>0.6677852054259783</v>
      </c>
      <c r="L796" s="72">
        <f t="shared" si="100"/>
        <v>6.8427949999999997</v>
      </c>
      <c r="M796" s="109">
        <f t="shared" si="104"/>
        <v>2.2371360723463773</v>
      </c>
      <c r="N796" s="123" t="str">
        <f>VLOOKUP(C796,'RAW DATA 2023'!E:BO,36,0)</f>
        <v>AHPND</v>
      </c>
      <c r="O796" s="63">
        <f>VLOOKUP(C796,'RAW DATA 2023'!E:BO,2,0)</f>
        <v>2</v>
      </c>
      <c r="P796" s="322">
        <f t="shared" si="103"/>
        <v>4.4742721446927547</v>
      </c>
    </row>
    <row r="797" spans="1:16">
      <c r="A797" s="63" t="str">
        <f>'RAW DATA 2023'!B790</f>
        <v>Kanchanadit</v>
      </c>
      <c r="B797" s="63" t="str">
        <f>'RAW DATA 2023'!D790</f>
        <v>D1-053-0005</v>
      </c>
      <c r="C797" s="63" t="str">
        <f t="shared" si="97"/>
        <v>KanchanaditD1-053-0005</v>
      </c>
      <c r="D797" s="68">
        <f>VLOOKUP(C797,'RAW DATA 2023'!E:BP,63,0)</f>
        <v>1</v>
      </c>
      <c r="E797" s="68" t="str">
        <f t="shared" si="98"/>
        <v>Kanchanadit1</v>
      </c>
      <c r="F797" s="63" t="str">
        <f>VLOOKUP(C797,'RAW DATA 2023'!E:BO,5,0)</f>
        <v>Outdoor</v>
      </c>
      <c r="G797" s="63">
        <f>VLOOKUP(C797,'RAW DATA 2023'!E:BO,13,0)</f>
        <v>125</v>
      </c>
      <c r="H797" s="63">
        <f t="shared" si="101"/>
        <v>100</v>
      </c>
      <c r="I797" s="63">
        <f t="shared" si="99"/>
        <v>6.806</v>
      </c>
      <c r="J797" s="106">
        <f>VLOOKUP(C797,'RAW DATA 2023'!E:BO,22,0)</f>
        <v>8.0838599999999996</v>
      </c>
      <c r="K797" s="70">
        <f t="shared" si="102"/>
        <v>1.1877549221275345</v>
      </c>
      <c r="L797" s="72">
        <f t="shared" si="100"/>
        <v>8.0838599999999996</v>
      </c>
      <c r="M797" s="109">
        <f t="shared" si="104"/>
        <v>9.1700656283671282</v>
      </c>
      <c r="N797" s="123" t="str">
        <f>VLOOKUP(C797,'RAW DATA 2023'!E:BO,36,0)</f>
        <v>WFD</v>
      </c>
      <c r="O797" s="63">
        <f>VLOOKUP(C797,'RAW DATA 2023'!E:BO,2,0)</f>
        <v>2</v>
      </c>
      <c r="P797" s="322">
        <f t="shared" si="103"/>
        <v>18.340131256734256</v>
      </c>
    </row>
    <row r="798" spans="1:16">
      <c r="A798" s="63" t="str">
        <f>'RAW DATA 2023'!B791</f>
        <v>Kanchanadit</v>
      </c>
      <c r="B798" s="63" t="str">
        <f>'RAW DATA 2023'!D791</f>
        <v>D1-048-0011</v>
      </c>
      <c r="C798" s="63" t="str">
        <f t="shared" si="97"/>
        <v>KanchanaditD1-048-0011</v>
      </c>
      <c r="D798" s="68">
        <f>VLOOKUP(C798,'RAW DATA 2023'!E:BP,63,0)</f>
        <v>1</v>
      </c>
      <c r="E798" s="68" t="str">
        <f t="shared" si="98"/>
        <v>Kanchanadit1</v>
      </c>
      <c r="F798" s="63" t="str">
        <f>VLOOKUP(C798,'RAW DATA 2023'!E:BO,5,0)</f>
        <v>Outdoor</v>
      </c>
      <c r="G798" s="63">
        <f>VLOOKUP(C798,'RAW DATA 2023'!E:BO,13,0)</f>
        <v>109</v>
      </c>
      <c r="H798" s="63">
        <f t="shared" si="101"/>
        <v>100</v>
      </c>
      <c r="I798" s="63">
        <f t="shared" si="99"/>
        <v>6.806</v>
      </c>
      <c r="J798" s="106">
        <f>VLOOKUP(C798,'RAW DATA 2023'!E:BO,22,0)</f>
        <v>4.241625</v>
      </c>
      <c r="K798" s="70">
        <f t="shared" si="102"/>
        <v>0.62321848369086097</v>
      </c>
      <c r="L798" s="72">
        <f t="shared" si="100"/>
        <v>4.241625</v>
      </c>
      <c r="M798" s="109">
        <f t="shared" si="104"/>
        <v>1.6429131158781463</v>
      </c>
      <c r="N798" s="123" t="str">
        <f>VLOOKUP(C798,'RAW DATA 2023'!E:BO,36,0)</f>
        <v>WFD</v>
      </c>
      <c r="O798" s="63">
        <f>VLOOKUP(C798,'RAW DATA 2023'!E:BO,2,0)</f>
        <v>2</v>
      </c>
      <c r="P798" s="322">
        <f t="shared" si="103"/>
        <v>3.2858262317562925</v>
      </c>
    </row>
    <row r="799" spans="1:16">
      <c r="A799" s="63" t="str">
        <f>'RAW DATA 2023'!B792</f>
        <v>Kanchanadit</v>
      </c>
      <c r="B799" s="63" t="str">
        <f>'RAW DATA 2023'!D792</f>
        <v>D1-052-0011</v>
      </c>
      <c r="C799" s="63" t="str">
        <f t="shared" si="97"/>
        <v>KanchanaditD1-052-0011</v>
      </c>
      <c r="D799" s="68">
        <f>VLOOKUP(C799,'RAW DATA 2023'!E:BP,63,0)</f>
        <v>1</v>
      </c>
      <c r="E799" s="68" t="str">
        <f t="shared" si="98"/>
        <v>Kanchanadit1</v>
      </c>
      <c r="F799" s="63" t="str">
        <f>VLOOKUP(C799,'RAW DATA 2023'!E:BO,5,0)</f>
        <v>Outdoor</v>
      </c>
      <c r="G799" s="63">
        <f>VLOOKUP(C799,'RAW DATA 2023'!E:BO,13,0)</f>
        <v>172</v>
      </c>
      <c r="H799" s="63">
        <f t="shared" si="101"/>
        <v>180</v>
      </c>
      <c r="I799" s="63">
        <f t="shared" si="99"/>
        <v>10.247</v>
      </c>
      <c r="J799" s="106">
        <f>VLOOKUP(C799,'RAW DATA 2023'!E:BO,22,0)</f>
        <v>7.1872799999999994</v>
      </c>
      <c r="K799" s="70">
        <f t="shared" si="102"/>
        <v>0.70140333756221329</v>
      </c>
      <c r="L799" s="72">
        <f t="shared" si="100"/>
        <v>7.1872799999999994</v>
      </c>
      <c r="M799" s="109">
        <f t="shared" si="104"/>
        <v>2.685377834162844</v>
      </c>
      <c r="N799" s="123" t="str">
        <f>VLOOKUP(C799,'RAW DATA 2023'!E:BO,36,0)</f>
        <v>AHPND</v>
      </c>
      <c r="O799" s="63">
        <f>VLOOKUP(C799,'RAW DATA 2023'!E:BO,2,0)</f>
        <v>2</v>
      </c>
      <c r="P799" s="322">
        <f t="shared" si="103"/>
        <v>5.3707556683256881</v>
      </c>
    </row>
    <row r="800" spans="1:16">
      <c r="A800" s="63" t="str">
        <f>'RAW DATA 2023'!B793</f>
        <v>Kanchanadit</v>
      </c>
      <c r="B800" s="63" t="str">
        <f>'RAW DATA 2023'!D793</f>
        <v>D1-051-0005</v>
      </c>
      <c r="C800" s="63" t="str">
        <f t="shared" si="97"/>
        <v>KanchanaditD1-051-0005</v>
      </c>
      <c r="D800" s="68">
        <f>VLOOKUP(C800,'RAW DATA 2023'!E:BP,63,0)</f>
        <v>1</v>
      </c>
      <c r="E800" s="68" t="str">
        <f t="shared" si="98"/>
        <v>Kanchanadit1</v>
      </c>
      <c r="F800" s="63" t="str">
        <f>VLOOKUP(C800,'RAW DATA 2023'!E:BO,5,0)</f>
        <v>Outdoor</v>
      </c>
      <c r="G800" s="63">
        <f>VLOOKUP(C800,'RAW DATA 2023'!E:BO,13,0)</f>
        <v>125</v>
      </c>
      <c r="H800" s="63">
        <f t="shared" si="101"/>
        <v>100</v>
      </c>
      <c r="I800" s="63">
        <f t="shared" si="99"/>
        <v>6.806</v>
      </c>
      <c r="J800" s="106">
        <f>VLOOKUP(C800,'RAW DATA 2023'!E:BO,22,0)</f>
        <v>3.1565400000000001</v>
      </c>
      <c r="K800" s="70">
        <f t="shared" si="102"/>
        <v>0.46378783426388481</v>
      </c>
      <c r="L800" s="72">
        <f t="shared" si="100"/>
        <v>3.1565400000000001</v>
      </c>
      <c r="M800" s="109">
        <f t="shared" si="104"/>
        <v>-0.48282887648153583</v>
      </c>
      <c r="N800" s="123" t="str">
        <f>VLOOKUP(C800,'RAW DATA 2023'!E:BO,36,0)</f>
        <v>EHP</v>
      </c>
      <c r="O800" s="63">
        <f>VLOOKUP(C800,'RAW DATA 2023'!E:BO,2,0)</f>
        <v>2</v>
      </c>
      <c r="P800" s="322">
        <f t="shared" si="103"/>
        <v>-0.96565775296307166</v>
      </c>
    </row>
    <row r="801" spans="1:16">
      <c r="A801" s="63" t="str">
        <f>'RAW DATA 2023'!B794</f>
        <v>Kanchanadit</v>
      </c>
      <c r="B801" s="63" t="str">
        <f>'RAW DATA 2023'!D794</f>
        <v>D1-052-0012</v>
      </c>
      <c r="C801" s="63" t="str">
        <f t="shared" si="97"/>
        <v>KanchanaditD1-052-0012</v>
      </c>
      <c r="D801" s="68">
        <f>VLOOKUP(C801,'RAW DATA 2023'!E:BP,63,0)</f>
        <v>3</v>
      </c>
      <c r="E801" s="68" t="str">
        <f t="shared" si="98"/>
        <v>Kanchanadit3</v>
      </c>
      <c r="F801" s="63" t="str">
        <f>VLOOKUP(C801,'RAW DATA 2023'!E:BO,5,0)</f>
        <v>Outdoor</v>
      </c>
      <c r="G801" s="63">
        <f>VLOOKUP(C801,'RAW DATA 2023'!E:BO,13,0)</f>
        <v>156</v>
      </c>
      <c r="H801" s="63">
        <f t="shared" si="101"/>
        <v>150</v>
      </c>
      <c r="I801" s="63">
        <f t="shared" si="99"/>
        <v>9.1999999999999993</v>
      </c>
      <c r="J801" s="106">
        <f>VLOOKUP(C801,'RAW DATA 2023'!E:BO,22,0)</f>
        <v>0</v>
      </c>
      <c r="K801" s="70">
        <f t="shared" si="102"/>
        <v>0</v>
      </c>
      <c r="L801" s="72">
        <f t="shared" si="100"/>
        <v>0</v>
      </c>
      <c r="M801" s="109">
        <f t="shared" si="104"/>
        <v>-6.666666666666667</v>
      </c>
      <c r="N801" s="123" t="str">
        <f>VLOOKUP(C801,'RAW DATA 2023'!E:BO,36,0)</f>
        <v>EHP</v>
      </c>
      <c r="O801" s="63">
        <f>VLOOKUP(C801,'RAW DATA 2023'!E:BO,2,0)</f>
        <v>2</v>
      </c>
      <c r="P801" s="322">
        <f t="shared" si="103"/>
        <v>-13.333333333333334</v>
      </c>
    </row>
    <row r="802" spans="1:16">
      <c r="A802" s="63" t="str">
        <f>'RAW DATA 2023'!B795</f>
        <v>Pakpanang1</v>
      </c>
      <c r="B802" s="63" t="str">
        <f>'RAW DATA 2023'!D795</f>
        <v>C1-139-0010</v>
      </c>
      <c r="C802" s="63" t="str">
        <f t="shared" si="97"/>
        <v>Pakpanang1C1-139-0010</v>
      </c>
      <c r="D802" s="68">
        <f>VLOOKUP(C802,'RAW DATA 2023'!E:BP,63,0)</f>
        <v>11</v>
      </c>
      <c r="E802" s="68" t="str">
        <f t="shared" si="98"/>
        <v>Pakpanang111</v>
      </c>
      <c r="F802" s="63" t="str">
        <f>VLOOKUP(C802,'RAW DATA 2023'!E:BO,5,0)</f>
        <v>Outdoor</v>
      </c>
      <c r="G802" s="63">
        <f>VLOOKUP(C802,'RAW DATA 2023'!E:BO,13,0)</f>
        <v>139</v>
      </c>
      <c r="H802" s="63">
        <f t="shared" si="101"/>
        <v>150</v>
      </c>
      <c r="I802" s="63">
        <f t="shared" si="99"/>
        <v>9.1999999999999993</v>
      </c>
      <c r="J802" s="106">
        <f>VLOOKUP(C802,'RAW DATA 2023'!E:BO,22,0)</f>
        <v>10.645926666666666</v>
      </c>
      <c r="K802" s="70">
        <f t="shared" si="102"/>
        <v>1.1571659420289855</v>
      </c>
      <c r="L802" s="72">
        <f t="shared" si="100"/>
        <v>10.645926666666666</v>
      </c>
      <c r="M802" s="109">
        <f t="shared" si="104"/>
        <v>8.7622125603864731</v>
      </c>
      <c r="N802" s="123" t="str">
        <f>VLOOKUP(C802,'RAW DATA 2023'!E:BO,36,0)</f>
        <v>Normal</v>
      </c>
      <c r="O802" s="63">
        <f>VLOOKUP(C802,'RAW DATA 2023'!E:BO,2,0)</f>
        <v>1.5</v>
      </c>
      <c r="P802" s="322">
        <f t="shared" si="103"/>
        <v>13.14331884057971</v>
      </c>
    </row>
    <row r="803" spans="1:16">
      <c r="A803" s="63" t="str">
        <f>'RAW DATA 2023'!B796</f>
        <v>Pakpanang1</v>
      </c>
      <c r="B803" s="63" t="str">
        <f>'RAW DATA 2023'!D796</f>
        <v>C1-138-0011</v>
      </c>
      <c r="C803" s="63" t="str">
        <f t="shared" si="97"/>
        <v>Pakpanang1C1-138-0011</v>
      </c>
      <c r="D803" s="68">
        <f>VLOOKUP(C803,'RAW DATA 2023'!E:BP,63,0)</f>
        <v>11</v>
      </c>
      <c r="E803" s="68" t="str">
        <f t="shared" si="98"/>
        <v>Pakpanang111</v>
      </c>
      <c r="F803" s="63" t="str">
        <f>VLOOKUP(C803,'RAW DATA 2023'!E:BO,5,0)</f>
        <v>Outdoor</v>
      </c>
      <c r="G803" s="63">
        <f>VLOOKUP(C803,'RAW DATA 2023'!E:BO,13,0)</f>
        <v>162</v>
      </c>
      <c r="H803" s="63">
        <f t="shared" si="101"/>
        <v>150</v>
      </c>
      <c r="I803" s="63">
        <f t="shared" si="99"/>
        <v>9.1999999999999993</v>
      </c>
      <c r="J803" s="106">
        <f>VLOOKUP(C803,'RAW DATA 2023'!E:BO,22,0)</f>
        <v>16.643186666666665</v>
      </c>
      <c r="K803" s="70">
        <f t="shared" si="102"/>
        <v>1.8090420289855071</v>
      </c>
      <c r="L803" s="72">
        <f t="shared" si="100"/>
        <v>16.643186666666665</v>
      </c>
      <c r="M803" s="109">
        <f t="shared" si="104"/>
        <v>17.453893719806764</v>
      </c>
      <c r="N803" s="123" t="str">
        <f>VLOOKUP(C803,'RAW DATA 2023'!E:BO,36,0)</f>
        <v>Normal</v>
      </c>
      <c r="O803" s="63">
        <f>VLOOKUP(C803,'RAW DATA 2023'!E:BO,2,0)</f>
        <v>1.5</v>
      </c>
      <c r="P803" s="322">
        <f t="shared" si="103"/>
        <v>26.180840579710146</v>
      </c>
    </row>
    <row r="804" spans="1:16">
      <c r="A804" s="63" t="str">
        <f>'RAW DATA 2023'!B797</f>
        <v>Pakpanang1</v>
      </c>
      <c r="B804" s="63" t="str">
        <f>'RAW DATA 2023'!D797</f>
        <v>D1-174-0009</v>
      </c>
      <c r="C804" s="63" t="str">
        <f t="shared" si="97"/>
        <v>Pakpanang1D1-174-0009</v>
      </c>
      <c r="D804" s="68">
        <f>VLOOKUP(C804,'RAW DATA 2023'!E:BP,63,0)</f>
        <v>11</v>
      </c>
      <c r="E804" s="68" t="str">
        <f t="shared" si="98"/>
        <v>Pakpanang111</v>
      </c>
      <c r="F804" s="63" t="str">
        <f>VLOOKUP(C804,'RAW DATA 2023'!E:BO,5,0)</f>
        <v>Outdoor</v>
      </c>
      <c r="G804" s="63">
        <f>VLOOKUP(C804,'RAW DATA 2023'!E:BO,13,0)</f>
        <v>154</v>
      </c>
      <c r="H804" s="63">
        <f t="shared" si="101"/>
        <v>150</v>
      </c>
      <c r="I804" s="63">
        <f t="shared" si="99"/>
        <v>9.1999999999999993</v>
      </c>
      <c r="J804" s="106">
        <f>VLOOKUP(C804,'RAW DATA 2023'!E:BO,22,0)</f>
        <v>13.586277777777775</v>
      </c>
      <c r="K804" s="70">
        <f t="shared" si="102"/>
        <v>1.4767693236714974</v>
      </c>
      <c r="L804" s="72">
        <f t="shared" si="100"/>
        <v>13.586277777777775</v>
      </c>
      <c r="M804" s="109">
        <f t="shared" si="104"/>
        <v>13.023590982286633</v>
      </c>
      <c r="N804" s="123" t="str">
        <f>VLOOKUP(C804,'RAW DATA 2023'!E:BO,36,0)</f>
        <v>Normal</v>
      </c>
      <c r="O804" s="63">
        <f>VLOOKUP(C804,'RAW DATA 2023'!E:BO,2,0)</f>
        <v>1.8</v>
      </c>
      <c r="P804" s="322">
        <f t="shared" si="103"/>
        <v>23.442463768115939</v>
      </c>
    </row>
    <row r="805" spans="1:16">
      <c r="A805" s="63" t="str">
        <f>'RAW DATA 2023'!B798</f>
        <v>Pakpanang1</v>
      </c>
      <c r="B805" s="63" t="str">
        <f>'RAW DATA 2023'!D798</f>
        <v>C1-140-0010</v>
      </c>
      <c r="C805" s="63" t="str">
        <f t="shared" si="97"/>
        <v>Pakpanang1C1-140-0010</v>
      </c>
      <c r="D805" s="68">
        <f>VLOOKUP(C805,'RAW DATA 2023'!E:BP,63,0)</f>
        <v>11</v>
      </c>
      <c r="E805" s="68" t="str">
        <f t="shared" si="98"/>
        <v>Pakpanang111</v>
      </c>
      <c r="F805" s="63" t="str">
        <f>VLOOKUP(C805,'RAW DATA 2023'!E:BO,5,0)</f>
        <v>Outdoor</v>
      </c>
      <c r="G805" s="63">
        <f>VLOOKUP(C805,'RAW DATA 2023'!E:BO,13,0)</f>
        <v>139</v>
      </c>
      <c r="H805" s="63">
        <f t="shared" si="101"/>
        <v>150</v>
      </c>
      <c r="I805" s="63">
        <f t="shared" si="99"/>
        <v>9.1999999999999993</v>
      </c>
      <c r="J805" s="106">
        <f>VLOOKUP(C805,'RAW DATA 2023'!E:BO,22,0)</f>
        <v>9.9745333333333317</v>
      </c>
      <c r="K805" s="70">
        <f t="shared" si="102"/>
        <v>1.0841884057971014</v>
      </c>
      <c r="L805" s="72">
        <f t="shared" si="100"/>
        <v>9.9745333333333317</v>
      </c>
      <c r="M805" s="109">
        <f t="shared" si="104"/>
        <v>7.7891787439613527</v>
      </c>
      <c r="N805" s="123" t="str">
        <f>VLOOKUP(C805,'RAW DATA 2023'!E:BO,36,0)</f>
        <v>Normal</v>
      </c>
      <c r="O805" s="63">
        <f>VLOOKUP(C805,'RAW DATA 2023'!E:BO,2,0)</f>
        <v>1.5</v>
      </c>
      <c r="P805" s="322">
        <f t="shared" si="103"/>
        <v>11.68376811594203</v>
      </c>
    </row>
    <row r="806" spans="1:16">
      <c r="A806" s="63" t="str">
        <f>'RAW DATA 2023'!B799</f>
        <v>Pakpanang1</v>
      </c>
      <c r="B806" s="63" t="str">
        <f>'RAW DATA 2023'!D799</f>
        <v>D1-173-0009</v>
      </c>
      <c r="C806" s="63" t="str">
        <f t="shared" si="97"/>
        <v>Pakpanang1D1-173-0009</v>
      </c>
      <c r="D806" s="68">
        <f>VLOOKUP(C806,'RAW DATA 2023'!E:BP,63,0)</f>
        <v>10</v>
      </c>
      <c r="E806" s="68" t="str">
        <f t="shared" si="98"/>
        <v>Pakpanang110</v>
      </c>
      <c r="F806" s="63" t="str">
        <f>VLOOKUP(C806,'RAW DATA 2023'!E:BO,5,0)</f>
        <v>Outdoor</v>
      </c>
      <c r="G806" s="63">
        <f>VLOOKUP(C806,'RAW DATA 2023'!E:BO,13,0)</f>
        <v>139</v>
      </c>
      <c r="H806" s="63">
        <f t="shared" si="101"/>
        <v>150</v>
      </c>
      <c r="I806" s="63">
        <f t="shared" si="99"/>
        <v>9.1999999999999993</v>
      </c>
      <c r="J806" s="106">
        <f>VLOOKUP(C806,'RAW DATA 2023'!E:BO,22,0)</f>
        <v>13.865994444444445</v>
      </c>
      <c r="K806" s="70">
        <f t="shared" si="102"/>
        <v>1.507173309178744</v>
      </c>
      <c r="L806" s="72">
        <f t="shared" si="100"/>
        <v>13.865994444444445</v>
      </c>
      <c r="M806" s="109">
        <f t="shared" si="104"/>
        <v>13.428977455716588</v>
      </c>
      <c r="N806" s="123" t="str">
        <f>VLOOKUP(C806,'RAW DATA 2023'!E:BO,36,0)</f>
        <v>Normal</v>
      </c>
      <c r="O806" s="63">
        <f>VLOOKUP(C806,'RAW DATA 2023'!E:BO,2,0)</f>
        <v>1.8</v>
      </c>
      <c r="P806" s="322">
        <f t="shared" si="103"/>
        <v>24.172159420289859</v>
      </c>
    </row>
    <row r="807" spans="1:16">
      <c r="A807" s="63" t="str">
        <f>'RAW DATA 2023'!B800</f>
        <v>Pakpanang1</v>
      </c>
      <c r="B807" s="63" t="str">
        <f>'RAW DATA 2023'!D800</f>
        <v>A1-183-0011</v>
      </c>
      <c r="C807" s="63" t="str">
        <f t="shared" si="97"/>
        <v>Pakpanang1A1-183-0011</v>
      </c>
      <c r="D807" s="68">
        <f>VLOOKUP(C807,'RAW DATA 2023'!E:BP,63,0)</f>
        <v>11</v>
      </c>
      <c r="E807" s="68" t="str">
        <f t="shared" si="98"/>
        <v>Pakpanang111</v>
      </c>
      <c r="F807" s="63" t="str">
        <f>VLOOKUP(C807,'RAW DATA 2023'!E:BO,5,0)</f>
        <v>Outdoor</v>
      </c>
      <c r="G807" s="63">
        <f>VLOOKUP(C807,'RAW DATA 2023'!E:BO,13,0)</f>
        <v>154</v>
      </c>
      <c r="H807" s="63">
        <f t="shared" si="101"/>
        <v>150</v>
      </c>
      <c r="I807" s="63">
        <f t="shared" si="99"/>
        <v>9.1999999999999993</v>
      </c>
      <c r="J807" s="106">
        <f>VLOOKUP(C807,'RAW DATA 2023'!E:BO,22,0)</f>
        <v>13.176272222222224</v>
      </c>
      <c r="K807" s="70">
        <f t="shared" si="102"/>
        <v>1.4322035024154591</v>
      </c>
      <c r="L807" s="72">
        <f t="shared" si="100"/>
        <v>13.176272222222224</v>
      </c>
      <c r="M807" s="109">
        <f t="shared" si="104"/>
        <v>12.429380032206122</v>
      </c>
      <c r="N807" s="123" t="str">
        <f>VLOOKUP(C807,'RAW DATA 2023'!E:BO,36,0)</f>
        <v>Normal</v>
      </c>
      <c r="O807" s="63">
        <f>VLOOKUP(C807,'RAW DATA 2023'!E:BO,2,0)</f>
        <v>1.8</v>
      </c>
      <c r="P807" s="322">
        <f t="shared" si="103"/>
        <v>22.372884057971021</v>
      </c>
    </row>
    <row r="808" spans="1:16">
      <c r="A808" s="63" t="str">
        <f>'RAW DATA 2023'!B801</f>
        <v>Pakpanang1</v>
      </c>
      <c r="B808" s="63" t="str">
        <f>'RAW DATA 2023'!D801</f>
        <v>C1-137-0010</v>
      </c>
      <c r="C808" s="63" t="str">
        <f t="shared" si="97"/>
        <v>Pakpanang1C1-137-0010</v>
      </c>
      <c r="D808" s="68">
        <f>VLOOKUP(C808,'RAW DATA 2023'!E:BP,63,0)</f>
        <v>5</v>
      </c>
      <c r="E808" s="68" t="str">
        <f t="shared" si="98"/>
        <v>Pakpanang15</v>
      </c>
      <c r="F808" s="63" t="str">
        <f>VLOOKUP(C808,'RAW DATA 2023'!E:BO,5,0)</f>
        <v>Outdoor</v>
      </c>
      <c r="G808" s="63">
        <f>VLOOKUP(C808,'RAW DATA 2023'!E:BO,13,0)</f>
        <v>162</v>
      </c>
      <c r="H808" s="63">
        <f t="shared" si="101"/>
        <v>150</v>
      </c>
      <c r="I808" s="63">
        <f t="shared" si="99"/>
        <v>9.1999999999999993</v>
      </c>
      <c r="J808" s="106">
        <f>VLOOKUP(C808,'RAW DATA 2023'!E:BO,22,0)</f>
        <v>15.249653333333333</v>
      </c>
      <c r="K808" s="70">
        <f t="shared" si="102"/>
        <v>1.6575710144927538</v>
      </c>
      <c r="L808" s="72">
        <f t="shared" si="100"/>
        <v>15.249653333333333</v>
      </c>
      <c r="M808" s="109">
        <f t="shared" si="104"/>
        <v>15.434280193236718</v>
      </c>
      <c r="N808" s="123" t="str">
        <f>VLOOKUP(C808,'RAW DATA 2023'!E:BO,36,0)</f>
        <v>WFD</v>
      </c>
      <c r="O808" s="63">
        <f>VLOOKUP(C808,'RAW DATA 2023'!E:BO,2,0)</f>
        <v>1.5</v>
      </c>
      <c r="P808" s="322">
        <f t="shared" si="103"/>
        <v>23.151420289855078</v>
      </c>
    </row>
    <row r="809" spans="1:16">
      <c r="A809" s="63" t="str">
        <f>'RAW DATA 2023'!B802</f>
        <v>Pakpanang1</v>
      </c>
      <c r="B809" s="63" t="str">
        <f>'RAW DATA 2023'!D802</f>
        <v>C1-136-0009</v>
      </c>
      <c r="C809" s="63" t="str">
        <f t="shared" si="97"/>
        <v>Pakpanang1C1-136-0009</v>
      </c>
      <c r="D809" s="68">
        <f>VLOOKUP(C809,'RAW DATA 2023'!E:BP,63,0)</f>
        <v>5</v>
      </c>
      <c r="E809" s="68" t="str">
        <f t="shared" si="98"/>
        <v>Pakpanang15</v>
      </c>
      <c r="F809" s="63" t="str">
        <f>VLOOKUP(C809,'RAW DATA 2023'!E:BO,5,0)</f>
        <v>Outdoor</v>
      </c>
      <c r="G809" s="63">
        <f>VLOOKUP(C809,'RAW DATA 2023'!E:BO,13,0)</f>
        <v>146</v>
      </c>
      <c r="H809" s="63">
        <f t="shared" si="101"/>
        <v>150</v>
      </c>
      <c r="I809" s="63">
        <f t="shared" si="99"/>
        <v>9.1999999999999993</v>
      </c>
      <c r="J809" s="106">
        <f>VLOOKUP(C809,'RAW DATA 2023'!E:BO,22,0)</f>
        <v>13.0627</v>
      </c>
      <c r="K809" s="70">
        <f t="shared" si="102"/>
        <v>1.4198586956521739</v>
      </c>
      <c r="L809" s="72">
        <f t="shared" si="100"/>
        <v>13.0627</v>
      </c>
      <c r="M809" s="109">
        <f t="shared" si="104"/>
        <v>12.264782608695652</v>
      </c>
      <c r="N809" s="123" t="str">
        <f>VLOOKUP(C809,'RAW DATA 2023'!E:BO,36,0)</f>
        <v>WFD</v>
      </c>
      <c r="O809" s="63">
        <f>VLOOKUP(C809,'RAW DATA 2023'!E:BO,2,0)</f>
        <v>1.5</v>
      </c>
      <c r="P809" s="322">
        <f t="shared" si="103"/>
        <v>18.397173913043478</v>
      </c>
    </row>
    <row r="810" spans="1:16">
      <c r="A810" s="63" t="str">
        <f>'RAW DATA 2023'!B803</f>
        <v>Pakpanang1</v>
      </c>
      <c r="B810" s="63" t="str">
        <f>'RAW DATA 2023'!D803</f>
        <v>D1-171-0009</v>
      </c>
      <c r="C810" s="63" t="str">
        <f t="shared" si="97"/>
        <v>Pakpanang1D1-171-0009</v>
      </c>
      <c r="D810" s="68">
        <f>VLOOKUP(C810,'RAW DATA 2023'!E:BP,63,0)</f>
        <v>5</v>
      </c>
      <c r="E810" s="68" t="str">
        <f t="shared" si="98"/>
        <v>Pakpanang15</v>
      </c>
      <c r="F810" s="63" t="str">
        <f>VLOOKUP(C810,'RAW DATA 2023'!E:BO,5,0)</f>
        <v>Outdoor</v>
      </c>
      <c r="G810" s="63">
        <f>VLOOKUP(C810,'RAW DATA 2023'!E:BO,13,0)</f>
        <v>154</v>
      </c>
      <c r="H810" s="63">
        <f t="shared" si="101"/>
        <v>150</v>
      </c>
      <c r="I810" s="63">
        <f t="shared" si="99"/>
        <v>9.1999999999999993</v>
      </c>
      <c r="J810" s="106">
        <f>VLOOKUP(C810,'RAW DATA 2023'!E:BO,22,0)</f>
        <v>12.30186111111111</v>
      </c>
      <c r="K810" s="70">
        <f t="shared" si="102"/>
        <v>1.3371588164251207</v>
      </c>
      <c r="L810" s="72">
        <f t="shared" si="100"/>
        <v>12.30186111111111</v>
      </c>
      <c r="M810" s="109">
        <f t="shared" si="104"/>
        <v>11.162117552334943</v>
      </c>
      <c r="N810" s="123" t="str">
        <f>VLOOKUP(C810,'RAW DATA 2023'!E:BO,36,0)</f>
        <v>WFD</v>
      </c>
      <c r="O810" s="63">
        <f>VLOOKUP(C810,'RAW DATA 2023'!E:BO,2,0)</f>
        <v>1.8</v>
      </c>
      <c r="P810" s="322">
        <f t="shared" si="103"/>
        <v>20.091811594202898</v>
      </c>
    </row>
    <row r="811" spans="1:16">
      <c r="A811" s="63" t="str">
        <f>'RAW DATA 2023'!B804</f>
        <v>Pakpanang1</v>
      </c>
      <c r="B811" s="63" t="str">
        <f>'RAW DATA 2023'!D804</f>
        <v>A1-184-0010</v>
      </c>
      <c r="C811" s="63" t="str">
        <f t="shared" si="97"/>
        <v>Pakpanang1A1-184-0010</v>
      </c>
      <c r="D811" s="68">
        <f>VLOOKUP(C811,'RAW DATA 2023'!E:BP,63,0)</f>
        <v>5</v>
      </c>
      <c r="E811" s="68" t="str">
        <f t="shared" si="98"/>
        <v>Pakpanang15</v>
      </c>
      <c r="F811" s="63" t="str">
        <f>VLOOKUP(C811,'RAW DATA 2023'!E:BO,5,0)</f>
        <v>Outdoor</v>
      </c>
      <c r="G811" s="63">
        <f>VLOOKUP(C811,'RAW DATA 2023'!E:BO,13,0)</f>
        <v>154</v>
      </c>
      <c r="H811" s="63">
        <f t="shared" si="101"/>
        <v>150</v>
      </c>
      <c r="I811" s="63">
        <f t="shared" si="99"/>
        <v>9.1999999999999993</v>
      </c>
      <c r="J811" s="106">
        <f>VLOOKUP(C811,'RAW DATA 2023'!E:BO,22,0)</f>
        <v>9.1188000000000002</v>
      </c>
      <c r="K811" s="70">
        <f t="shared" si="102"/>
        <v>0.99117391304347835</v>
      </c>
      <c r="L811" s="72">
        <f t="shared" si="100"/>
        <v>9.1188000000000002</v>
      </c>
      <c r="M811" s="109">
        <f t="shared" si="104"/>
        <v>6.5489855072463783</v>
      </c>
      <c r="N811" s="123" t="str">
        <f>VLOOKUP(C811,'RAW DATA 2023'!E:BO,36,0)</f>
        <v>EHP</v>
      </c>
      <c r="O811" s="63">
        <f>VLOOKUP(C811,'RAW DATA 2023'!E:BO,2,0)</f>
        <v>1.8</v>
      </c>
      <c r="P811" s="322">
        <f t="shared" si="103"/>
        <v>11.788173913043481</v>
      </c>
    </row>
    <row r="812" spans="1:16">
      <c r="A812" s="63" t="str">
        <f>'RAW DATA 2023'!B805</f>
        <v>Pakpanang1</v>
      </c>
      <c r="B812" s="63" t="str">
        <f>'RAW DATA 2023'!D805</f>
        <v>D1-172-0008</v>
      </c>
      <c r="C812" s="63" t="str">
        <f t="shared" si="97"/>
        <v>Pakpanang1D1-172-0008</v>
      </c>
      <c r="D812" s="68">
        <f>VLOOKUP(C812,'RAW DATA 2023'!E:BP,63,0)</f>
        <v>5</v>
      </c>
      <c r="E812" s="68" t="str">
        <f t="shared" si="98"/>
        <v>Pakpanang15</v>
      </c>
      <c r="F812" s="63" t="str">
        <f>VLOOKUP(C812,'RAW DATA 2023'!E:BO,5,0)</f>
        <v>Outdoor</v>
      </c>
      <c r="G812" s="63">
        <f>VLOOKUP(C812,'RAW DATA 2023'!E:BO,13,0)</f>
        <v>154</v>
      </c>
      <c r="H812" s="63">
        <f t="shared" si="101"/>
        <v>150</v>
      </c>
      <c r="I812" s="63">
        <f t="shared" si="99"/>
        <v>9.1999999999999993</v>
      </c>
      <c r="J812" s="106">
        <f>VLOOKUP(C812,'RAW DATA 2023'!E:BO,22,0)</f>
        <v>8.1535611111111113</v>
      </c>
      <c r="K812" s="70">
        <f t="shared" si="102"/>
        <v>0.88625664251207736</v>
      </c>
      <c r="L812" s="72">
        <f t="shared" si="100"/>
        <v>8.1535611111111113</v>
      </c>
      <c r="M812" s="109">
        <f t="shared" si="104"/>
        <v>5.1500885668276988</v>
      </c>
      <c r="N812" s="123" t="str">
        <f>VLOOKUP(C812,'RAW DATA 2023'!E:BO,36,0)</f>
        <v>WFD</v>
      </c>
      <c r="O812" s="63">
        <f>VLOOKUP(C812,'RAW DATA 2023'!E:BO,2,0)</f>
        <v>1.8</v>
      </c>
      <c r="P812" s="322">
        <f t="shared" si="103"/>
        <v>9.2701594202898576</v>
      </c>
    </row>
    <row r="813" spans="1:16">
      <c r="A813" s="63" t="str">
        <f>'RAW DATA 2023'!B806</f>
        <v>Pakpanang1</v>
      </c>
      <c r="B813" s="63" t="str">
        <f>'RAW DATA 2023'!D806</f>
        <v>C1-138-0010</v>
      </c>
      <c r="C813" s="63" t="str">
        <f t="shared" si="97"/>
        <v>Pakpanang1C1-138-0010</v>
      </c>
      <c r="D813" s="68">
        <f>VLOOKUP(C813,'RAW DATA 2023'!E:BP,63,0)</f>
        <v>5</v>
      </c>
      <c r="E813" s="68" t="str">
        <f t="shared" si="98"/>
        <v>Pakpanang15</v>
      </c>
      <c r="F813" s="63" t="str">
        <f>VLOOKUP(C813,'RAW DATA 2023'!E:BO,5,0)</f>
        <v>Outdoor</v>
      </c>
      <c r="G813" s="63">
        <f>VLOOKUP(C813,'RAW DATA 2023'!E:BO,13,0)</f>
        <v>162</v>
      </c>
      <c r="H813" s="63">
        <f t="shared" si="101"/>
        <v>150</v>
      </c>
      <c r="I813" s="63">
        <f t="shared" si="99"/>
        <v>9.1999999999999993</v>
      </c>
      <c r="J813" s="106">
        <f>VLOOKUP(C813,'RAW DATA 2023'!E:BO,22,0)</f>
        <v>9.7477266666666669</v>
      </c>
      <c r="K813" s="70">
        <f t="shared" si="102"/>
        <v>1.059535507246377</v>
      </c>
      <c r="L813" s="72">
        <f t="shared" si="100"/>
        <v>9.7477266666666669</v>
      </c>
      <c r="M813" s="109">
        <f t="shared" si="104"/>
        <v>7.4604734299516942</v>
      </c>
      <c r="N813" s="123" t="str">
        <f>VLOOKUP(C813,'RAW DATA 2023'!E:BO,36,0)</f>
        <v>EHP</v>
      </c>
      <c r="O813" s="63">
        <f>VLOOKUP(C813,'RAW DATA 2023'!E:BO,2,0)</f>
        <v>1.5</v>
      </c>
      <c r="P813" s="322">
        <f t="shared" si="103"/>
        <v>11.190710144927541</v>
      </c>
    </row>
    <row r="814" spans="1:16">
      <c r="A814" s="63" t="str">
        <f>'RAW DATA 2023'!B807</f>
        <v>Pakpanang1</v>
      </c>
      <c r="B814" s="63" t="str">
        <f>'RAW DATA 2023'!D807</f>
        <v>A1-183-0010</v>
      </c>
      <c r="C814" s="63" t="str">
        <f t="shared" si="97"/>
        <v>Pakpanang1A1-183-0010</v>
      </c>
      <c r="D814" s="68">
        <f>VLOOKUP(C814,'RAW DATA 2023'!E:BP,63,0)</f>
        <v>5</v>
      </c>
      <c r="E814" s="68" t="str">
        <f t="shared" si="98"/>
        <v>Pakpanang15</v>
      </c>
      <c r="F814" s="63" t="str">
        <f>VLOOKUP(C814,'RAW DATA 2023'!E:BO,5,0)</f>
        <v>Outdoor</v>
      </c>
      <c r="G814" s="63">
        <f>VLOOKUP(C814,'RAW DATA 2023'!E:BO,13,0)</f>
        <v>156</v>
      </c>
      <c r="H814" s="63">
        <f t="shared" si="101"/>
        <v>150</v>
      </c>
      <c r="I814" s="63">
        <f t="shared" si="99"/>
        <v>9.1999999999999993</v>
      </c>
      <c r="J814" s="106">
        <f>VLOOKUP(C814,'RAW DATA 2023'!E:BO,22,0)</f>
        <v>7.9817111111111103</v>
      </c>
      <c r="K814" s="70">
        <f t="shared" si="102"/>
        <v>0.86757729468599032</v>
      </c>
      <c r="L814" s="72">
        <f t="shared" si="100"/>
        <v>7.9817111111111103</v>
      </c>
      <c r="M814" s="109">
        <f t="shared" si="104"/>
        <v>4.9010305958132045</v>
      </c>
      <c r="N814" s="123" t="str">
        <f>VLOOKUP(C814,'RAW DATA 2023'!E:BO,36,0)</f>
        <v>EHP</v>
      </c>
      <c r="O814" s="63">
        <f>VLOOKUP(C814,'RAW DATA 2023'!E:BO,2,0)</f>
        <v>1.8</v>
      </c>
      <c r="P814" s="322">
        <f t="shared" si="103"/>
        <v>8.8218550724637677</v>
      </c>
    </row>
    <row r="815" spans="1:16">
      <c r="A815" s="63" t="str">
        <f>'RAW DATA 2023'!B808</f>
        <v>Pakpanang1</v>
      </c>
      <c r="B815" s="63" t="str">
        <f>'RAW DATA 2023'!D808</f>
        <v>A1-181-0008</v>
      </c>
      <c r="C815" s="63" t="str">
        <f t="shared" si="97"/>
        <v>Pakpanang1A1-181-0008</v>
      </c>
      <c r="D815" s="68">
        <f>VLOOKUP(C815,'RAW DATA 2023'!E:BP,63,0)</f>
        <v>4</v>
      </c>
      <c r="E815" s="68" t="str">
        <f t="shared" si="98"/>
        <v>Pakpanang14</v>
      </c>
      <c r="F815" s="63" t="str">
        <f>VLOOKUP(C815,'RAW DATA 2023'!E:BO,5,0)</f>
        <v>Outdoor</v>
      </c>
      <c r="G815" s="63">
        <f>VLOOKUP(C815,'RAW DATA 2023'!E:BO,13,0)</f>
        <v>154</v>
      </c>
      <c r="H815" s="63">
        <f t="shared" si="101"/>
        <v>150</v>
      </c>
      <c r="I815" s="63">
        <f t="shared" si="99"/>
        <v>9.1999999999999993</v>
      </c>
      <c r="J815" s="106">
        <f>VLOOKUP(C815,'RAW DATA 2023'!E:BO,22,0)</f>
        <v>5.7717055555555552</v>
      </c>
      <c r="K815" s="70">
        <f t="shared" si="102"/>
        <v>0.62735929951690828</v>
      </c>
      <c r="L815" s="72">
        <f t="shared" si="100"/>
        <v>5.7717055555555552</v>
      </c>
      <c r="M815" s="109">
        <f t="shared" si="104"/>
        <v>1.6981239935587771</v>
      </c>
      <c r="N815" s="123" t="str">
        <f>VLOOKUP(C815,'RAW DATA 2023'!E:BO,36,0)</f>
        <v>EHP</v>
      </c>
      <c r="O815" s="63">
        <f>VLOOKUP(C815,'RAW DATA 2023'!E:BO,2,0)</f>
        <v>1.8</v>
      </c>
      <c r="P815" s="322">
        <f t="shared" si="103"/>
        <v>3.0566231884057986</v>
      </c>
    </row>
    <row r="816" spans="1:16">
      <c r="A816" s="63" t="str">
        <f>'RAW DATA 2023'!B809</f>
        <v>Pakpanang1</v>
      </c>
      <c r="B816" s="63" t="str">
        <f>'RAW DATA 2023'!D809</f>
        <v>A1-192-0009</v>
      </c>
      <c r="C816" s="63" t="str">
        <f t="shared" si="97"/>
        <v>Pakpanang1A1-192-0009</v>
      </c>
      <c r="D816" s="68">
        <f>VLOOKUP(C816,'RAW DATA 2023'!E:BP,63,0)</f>
        <v>5</v>
      </c>
      <c r="E816" s="68" t="str">
        <f t="shared" si="98"/>
        <v>Pakpanang15</v>
      </c>
      <c r="F816" s="63" t="str">
        <f>VLOOKUP(C816,'RAW DATA 2023'!E:BO,5,0)</f>
        <v>Outdoor</v>
      </c>
      <c r="G816" s="63">
        <f>VLOOKUP(C816,'RAW DATA 2023'!E:BO,13,0)</f>
        <v>154</v>
      </c>
      <c r="H816" s="63">
        <f t="shared" si="101"/>
        <v>150</v>
      </c>
      <c r="I816" s="63">
        <f t="shared" si="99"/>
        <v>9.1999999999999993</v>
      </c>
      <c r="J816" s="106">
        <f>VLOOKUP(C816,'RAW DATA 2023'!E:BO,22,0)</f>
        <v>5.7706722222222222</v>
      </c>
      <c r="K816" s="70">
        <f t="shared" si="102"/>
        <v>0.62724698067632856</v>
      </c>
      <c r="L816" s="72">
        <f t="shared" si="100"/>
        <v>5.7706722222222222</v>
      </c>
      <c r="M816" s="109">
        <f t="shared" si="104"/>
        <v>1.6966264090177141</v>
      </c>
      <c r="N816" s="123" t="str">
        <f>VLOOKUP(C816,'RAW DATA 2023'!E:BO,36,0)</f>
        <v>EHP</v>
      </c>
      <c r="O816" s="63">
        <f>VLOOKUP(C816,'RAW DATA 2023'!E:BO,2,0)</f>
        <v>1.8</v>
      </c>
      <c r="P816" s="322">
        <f t="shared" si="103"/>
        <v>3.0539275362318854</v>
      </c>
    </row>
    <row r="817" spans="1:16">
      <c r="A817" s="63" t="str">
        <f>'RAW DATA 2023'!B810</f>
        <v>Pakpanang1</v>
      </c>
      <c r="B817" s="63" t="str">
        <f>'RAW DATA 2023'!D810</f>
        <v>D1-173-0008</v>
      </c>
      <c r="C817" s="63" t="str">
        <f t="shared" si="97"/>
        <v>Pakpanang1D1-173-0008</v>
      </c>
      <c r="D817" s="68">
        <f>VLOOKUP(C817,'RAW DATA 2023'!E:BP,63,0)</f>
        <v>5</v>
      </c>
      <c r="E817" s="68" t="str">
        <f t="shared" si="98"/>
        <v>Pakpanang15</v>
      </c>
      <c r="F817" s="63" t="str">
        <f>VLOOKUP(C817,'RAW DATA 2023'!E:BO,5,0)</f>
        <v>Outdoor</v>
      </c>
      <c r="G817" s="63">
        <f>VLOOKUP(C817,'RAW DATA 2023'!E:BO,13,0)</f>
        <v>139</v>
      </c>
      <c r="H817" s="63">
        <f t="shared" si="101"/>
        <v>150</v>
      </c>
      <c r="I817" s="63">
        <f t="shared" si="99"/>
        <v>9.1999999999999993</v>
      </c>
      <c r="J817" s="106">
        <f>VLOOKUP(C817,'RAW DATA 2023'!E:BO,22,0)</f>
        <v>4.4592888888888895</v>
      </c>
      <c r="K817" s="70">
        <f t="shared" si="102"/>
        <v>0.48470531400966194</v>
      </c>
      <c r="L817" s="72">
        <f t="shared" si="100"/>
        <v>4.4592888888888895</v>
      </c>
      <c r="M817" s="109">
        <f t="shared" si="104"/>
        <v>-0.20392914653784086</v>
      </c>
      <c r="N817" s="123" t="str">
        <f>VLOOKUP(C817,'RAW DATA 2023'!E:BO,36,0)</f>
        <v>EHP</v>
      </c>
      <c r="O817" s="63">
        <f>VLOOKUP(C817,'RAW DATA 2023'!E:BO,2,0)</f>
        <v>1.8</v>
      </c>
      <c r="P817" s="322">
        <f t="shared" si="103"/>
        <v>-0.36707246376811353</v>
      </c>
    </row>
    <row r="818" spans="1:16">
      <c r="A818" s="63" t="str">
        <f>'RAW DATA 2023'!B811</f>
        <v>Pakpanang1</v>
      </c>
      <c r="B818" s="63" t="str">
        <f>'RAW DATA 2023'!D811</f>
        <v>C1-139-0009</v>
      </c>
      <c r="C818" s="63" t="str">
        <f t="shared" si="97"/>
        <v>Pakpanang1C1-139-0009</v>
      </c>
      <c r="D818" s="68">
        <f>VLOOKUP(C818,'RAW DATA 2023'!E:BP,63,0)</f>
        <v>5</v>
      </c>
      <c r="E818" s="68" t="str">
        <f t="shared" si="98"/>
        <v>Pakpanang15</v>
      </c>
      <c r="F818" s="63" t="str">
        <f>VLOOKUP(C818,'RAW DATA 2023'!E:BO,5,0)</f>
        <v>Outdoor</v>
      </c>
      <c r="G818" s="63">
        <f>VLOOKUP(C818,'RAW DATA 2023'!E:BO,13,0)</f>
        <v>162</v>
      </c>
      <c r="H818" s="63">
        <f t="shared" si="101"/>
        <v>150</v>
      </c>
      <c r="I818" s="63">
        <f t="shared" si="99"/>
        <v>9.1999999999999993</v>
      </c>
      <c r="J818" s="106">
        <f>VLOOKUP(C818,'RAW DATA 2023'!E:BO,22,0)</f>
        <v>4.916173333333334</v>
      </c>
      <c r="K818" s="70">
        <f t="shared" si="102"/>
        <v>0.53436666666666677</v>
      </c>
      <c r="L818" s="72">
        <f t="shared" si="100"/>
        <v>4.916173333333334</v>
      </c>
      <c r="M818" s="109">
        <f t="shared" si="104"/>
        <v>0.45822222222222359</v>
      </c>
      <c r="N818" s="123" t="str">
        <f>VLOOKUP(C818,'RAW DATA 2023'!E:BO,36,0)</f>
        <v>EHP</v>
      </c>
      <c r="O818" s="63">
        <f>VLOOKUP(C818,'RAW DATA 2023'!E:BO,2,0)</f>
        <v>1.5</v>
      </c>
      <c r="P818" s="322">
        <f t="shared" si="103"/>
        <v>0.68733333333333535</v>
      </c>
    </row>
    <row r="819" spans="1:16">
      <c r="A819" s="63" t="str">
        <f>'RAW DATA 2023'!B812</f>
        <v>Pakpanang1</v>
      </c>
      <c r="B819" s="63" t="str">
        <f>'RAW DATA 2023'!D812</f>
        <v>C1-140-0009</v>
      </c>
      <c r="C819" s="63" t="str">
        <f t="shared" si="97"/>
        <v>Pakpanang1C1-140-0009</v>
      </c>
      <c r="D819" s="68">
        <f>VLOOKUP(C819,'RAW DATA 2023'!E:BP,63,0)</f>
        <v>4</v>
      </c>
      <c r="E819" s="68" t="str">
        <f t="shared" si="98"/>
        <v>Pakpanang14</v>
      </c>
      <c r="F819" s="63" t="str">
        <f>VLOOKUP(C819,'RAW DATA 2023'!E:BO,5,0)</f>
        <v>Outdoor</v>
      </c>
      <c r="G819" s="63">
        <f>VLOOKUP(C819,'RAW DATA 2023'!E:BO,13,0)</f>
        <v>162</v>
      </c>
      <c r="H819" s="63">
        <f t="shared" si="101"/>
        <v>150</v>
      </c>
      <c r="I819" s="63">
        <f t="shared" si="99"/>
        <v>9.1999999999999993</v>
      </c>
      <c r="J819" s="106">
        <f>VLOOKUP(C819,'RAW DATA 2023'!E:BO,22,0)</f>
        <v>4.6047000000000002</v>
      </c>
      <c r="K819" s="70">
        <f t="shared" si="102"/>
        <v>0.50051086956521751</v>
      </c>
      <c r="L819" s="72">
        <f t="shared" si="100"/>
        <v>4.6047000000000002</v>
      </c>
      <c r="M819" s="109">
        <f t="shared" si="104"/>
        <v>6.8115942029001175E-3</v>
      </c>
      <c r="N819" s="123" t="str">
        <f>VLOOKUP(C819,'RAW DATA 2023'!E:BO,36,0)</f>
        <v>EHP</v>
      </c>
      <c r="O819" s="63">
        <f>VLOOKUP(C819,'RAW DATA 2023'!E:BO,2,0)</f>
        <v>1.5</v>
      </c>
      <c r="P819" s="322">
        <f t="shared" si="103"/>
        <v>1.0217391304350176E-2</v>
      </c>
    </row>
    <row r="820" spans="1:16">
      <c r="A820" s="63" t="str">
        <f>'RAW DATA 2023'!B813</f>
        <v>Pakpanang1</v>
      </c>
      <c r="B820" s="63" t="str">
        <f>'RAW DATA 2023'!D813</f>
        <v>C1-141-0009</v>
      </c>
      <c r="C820" s="63" t="str">
        <f t="shared" si="97"/>
        <v>Pakpanang1C1-141-0009</v>
      </c>
      <c r="D820" s="68">
        <f>VLOOKUP(C820,'RAW DATA 2023'!E:BP,63,0)</f>
        <v>5</v>
      </c>
      <c r="E820" s="68" t="str">
        <f t="shared" si="98"/>
        <v>Pakpanang15</v>
      </c>
      <c r="F820" s="63" t="str">
        <f>VLOOKUP(C820,'RAW DATA 2023'!E:BO,5,0)</f>
        <v>Outdoor</v>
      </c>
      <c r="G820" s="63">
        <f>VLOOKUP(C820,'RAW DATA 2023'!E:BO,13,0)</f>
        <v>162</v>
      </c>
      <c r="H820" s="63">
        <f t="shared" si="101"/>
        <v>150</v>
      </c>
      <c r="I820" s="63">
        <f t="shared" si="99"/>
        <v>9.1999999999999993</v>
      </c>
      <c r="J820" s="106">
        <f>VLOOKUP(C820,'RAW DATA 2023'!E:BO,22,0)</f>
        <v>4.1953266666666664</v>
      </c>
      <c r="K820" s="70">
        <f t="shared" si="102"/>
        <v>0.45601376811594202</v>
      </c>
      <c r="L820" s="72">
        <f t="shared" si="100"/>
        <v>4.1953266666666664</v>
      </c>
      <c r="M820" s="109">
        <f t="shared" si="104"/>
        <v>-0.58648309178743974</v>
      </c>
      <c r="N820" s="123" t="str">
        <f>VLOOKUP(C820,'RAW DATA 2023'!E:BO,36,0)</f>
        <v>EHP</v>
      </c>
      <c r="O820" s="63">
        <f>VLOOKUP(C820,'RAW DATA 2023'!E:BO,2,0)</f>
        <v>1.5</v>
      </c>
      <c r="P820" s="322">
        <f t="shared" si="103"/>
        <v>-0.8797246376811596</v>
      </c>
    </row>
    <row r="821" spans="1:16">
      <c r="A821" s="63" t="str">
        <f>'RAW DATA 2023'!B814</f>
        <v>Pakpanang1</v>
      </c>
      <c r="B821" s="63" t="str">
        <f>'RAW DATA 2023'!D814</f>
        <v>A1-004-0020</v>
      </c>
      <c r="C821" s="63" t="str">
        <f t="shared" si="97"/>
        <v>Pakpanang1A1-004-0020</v>
      </c>
      <c r="D821" s="68">
        <f>VLOOKUP(C821,'RAW DATA 2023'!E:BP,63,0)</f>
        <v>11</v>
      </c>
      <c r="E821" s="68" t="str">
        <f t="shared" si="98"/>
        <v>Pakpanang111</v>
      </c>
      <c r="F821" s="63" t="str">
        <f>VLOOKUP(C821,'RAW DATA 2023'!E:BO,5,0)</f>
        <v>Outdoor</v>
      </c>
      <c r="G821" s="63">
        <f>VLOOKUP(C821,'RAW DATA 2023'!E:BO,13,0)</f>
        <v>155</v>
      </c>
      <c r="H821" s="63">
        <f t="shared" si="101"/>
        <v>150</v>
      </c>
      <c r="I821" s="63">
        <f t="shared" si="99"/>
        <v>9.1999999999999993</v>
      </c>
      <c r="J821" s="106">
        <f>VLOOKUP(C821,'RAW DATA 2023'!E:BO,22,0)</f>
        <v>3.8115500000000004</v>
      </c>
      <c r="K821" s="70">
        <f t="shared" si="102"/>
        <v>0.41429891304347832</v>
      </c>
      <c r="L821" s="70">
        <f t="shared" si="102"/>
        <v>0.10869565217391304</v>
      </c>
      <c r="M821" s="109">
        <f t="shared" si="104"/>
        <v>-1.142681159420289</v>
      </c>
      <c r="N821" s="123" t="str">
        <f>VLOOKUP(C821,'RAW DATA 2023'!E:BO,36,0)</f>
        <v>EHP</v>
      </c>
      <c r="O821" s="63">
        <f>VLOOKUP(C821,'RAW DATA 2023'!E:BO,2,0)</f>
        <v>5.6</v>
      </c>
      <c r="P821" s="322">
        <f t="shared" si="103"/>
        <v>-6.3990144927536186</v>
      </c>
    </row>
    <row r="822" spans="1:16">
      <c r="A822" s="63" t="str">
        <f>'RAW DATA 2023'!B815</f>
        <v>Pakpanang1</v>
      </c>
      <c r="B822" s="63" t="str">
        <f>'RAW DATA 2023'!D815</f>
        <v>D1-171-0011</v>
      </c>
      <c r="C822" s="63" t="str">
        <f t="shared" si="97"/>
        <v>Pakpanang1D1-171-0011</v>
      </c>
      <c r="D822" s="68">
        <f>VLOOKUP(C822,'RAW DATA 2023'!E:BP,63,0)</f>
        <v>11</v>
      </c>
      <c r="E822" s="68" t="str">
        <f t="shared" si="98"/>
        <v>Pakpanang111</v>
      </c>
      <c r="F822" s="63" t="str">
        <f>VLOOKUP(C822,'RAW DATA 2023'!E:BO,5,0)</f>
        <v>Outdoor</v>
      </c>
      <c r="G822" s="63">
        <f>VLOOKUP(C822,'RAW DATA 2023'!E:BO,13,0)</f>
        <v>181</v>
      </c>
      <c r="H822" s="63">
        <f t="shared" si="101"/>
        <v>180</v>
      </c>
      <c r="I822" s="63">
        <f t="shared" ref="I822:I885" si="105">IF(F822=$W$1,VLOOKUP(H822,Y:Z,2,0),VLOOKUP(H822,AF:AG,2,0))</f>
        <v>10.247</v>
      </c>
      <c r="J822" s="106">
        <f>VLOOKUP(C822,'RAW DATA 2023'!E:BO,22,0)</f>
        <v>2.7144333333333335</v>
      </c>
      <c r="K822" s="70">
        <f t="shared" si="102"/>
        <v>0.26490029602159981</v>
      </c>
      <c r="L822" s="72"/>
      <c r="M822" s="109">
        <f t="shared" si="104"/>
        <v>-3.1346627197120025</v>
      </c>
      <c r="N822" s="123" t="str">
        <f>VLOOKUP(C822,'RAW DATA 2023'!E:BO,36,0)</f>
        <v>EHP</v>
      </c>
      <c r="O822" s="63">
        <f>VLOOKUP(C822,'RAW DATA 2023'!E:BO,2,0)</f>
        <v>1.8</v>
      </c>
      <c r="P822" s="322">
        <f t="shared" si="103"/>
        <v>-5.6423928954816045</v>
      </c>
    </row>
    <row r="823" spans="1:16">
      <c r="A823" s="63" t="str">
        <f>'RAW DATA 2023'!B816</f>
        <v>Pakpanang1</v>
      </c>
      <c r="B823" s="63" t="str">
        <f>'RAW DATA 2023'!D816</f>
        <v>D1-174-0008</v>
      </c>
      <c r="C823" s="63" t="str">
        <f t="shared" si="97"/>
        <v>Pakpanang1D1-174-0008</v>
      </c>
      <c r="D823" s="68">
        <f>VLOOKUP(C823,'RAW DATA 2023'!E:BP,63,0)</f>
        <v>4</v>
      </c>
      <c r="E823" s="68" t="str">
        <f t="shared" si="98"/>
        <v>Pakpanang14</v>
      </c>
      <c r="F823" s="63" t="str">
        <f>VLOOKUP(C823,'RAW DATA 2023'!E:BO,5,0)</f>
        <v>Outdoor</v>
      </c>
      <c r="G823" s="63">
        <f>VLOOKUP(C823,'RAW DATA 2023'!E:BO,13,0)</f>
        <v>160</v>
      </c>
      <c r="H823" s="63">
        <f t="shared" si="101"/>
        <v>150</v>
      </c>
      <c r="I823" s="63">
        <f t="shared" si="105"/>
        <v>9.1999999999999993</v>
      </c>
      <c r="J823" s="106">
        <f>VLOOKUP(C823,'RAW DATA 2023'!E:BO,22,0)</f>
        <v>3.7661888888888888</v>
      </c>
      <c r="K823" s="70">
        <f t="shared" ref="K823:K886" si="106">J823/I823</f>
        <v>0.40936835748792272</v>
      </c>
      <c r="L823" s="72"/>
      <c r="M823" s="109">
        <f t="shared" si="104"/>
        <v>-1.2084219001610306</v>
      </c>
      <c r="N823" s="123" t="str">
        <f>VLOOKUP(C823,'RAW DATA 2023'!E:BO,36,0)</f>
        <v>EHP</v>
      </c>
      <c r="O823" s="63">
        <f>VLOOKUP(C823,'RAW DATA 2023'!E:BO,2,0)</f>
        <v>1.8</v>
      </c>
      <c r="P823" s="322">
        <f t="shared" si="103"/>
        <v>-2.1751594202898552</v>
      </c>
    </row>
    <row r="824" spans="1:16">
      <c r="A824" s="63" t="str">
        <f>'RAW DATA 2023'!B817</f>
        <v>Pakpanang1</v>
      </c>
      <c r="B824" s="63" t="str">
        <f>'RAW DATA 2023'!D817</f>
        <v>D1-177-0009</v>
      </c>
      <c r="C824" s="63" t="str">
        <f t="shared" si="97"/>
        <v>Pakpanang1D1-177-0009</v>
      </c>
      <c r="D824" s="68">
        <f>VLOOKUP(C824,'RAW DATA 2023'!E:BP,63,0)</f>
        <v>4</v>
      </c>
      <c r="E824" s="68" t="str">
        <f t="shared" si="98"/>
        <v>Pakpanang14</v>
      </c>
      <c r="F824" s="63" t="str">
        <f>VLOOKUP(C824,'RAW DATA 2023'!E:BO,5,0)</f>
        <v>Outdoor</v>
      </c>
      <c r="G824" s="63">
        <f>VLOOKUP(C824,'RAW DATA 2023'!E:BO,13,0)</f>
        <v>154</v>
      </c>
      <c r="H824" s="63">
        <f t="shared" si="101"/>
        <v>150</v>
      </c>
      <c r="I824" s="63">
        <f t="shared" si="105"/>
        <v>9.1999999999999993</v>
      </c>
      <c r="J824" s="106">
        <f>VLOOKUP(C824,'RAW DATA 2023'!E:BO,22,0)</f>
        <v>3.8802055555555555</v>
      </c>
      <c r="K824" s="70">
        <f t="shared" si="106"/>
        <v>0.42176147342995174</v>
      </c>
      <c r="L824" s="72"/>
      <c r="M824" s="109">
        <f t="shared" si="104"/>
        <v>-1.0431803542673102</v>
      </c>
      <c r="N824" s="123" t="str">
        <f>VLOOKUP(C824,'RAW DATA 2023'!E:BO,36,0)</f>
        <v>EHP</v>
      </c>
      <c r="O824" s="63">
        <f>VLOOKUP(C824,'RAW DATA 2023'!E:BO,2,0)</f>
        <v>1.8</v>
      </c>
      <c r="P824" s="322">
        <f t="shared" si="103"/>
        <v>-1.8777246376811583</v>
      </c>
    </row>
    <row r="825" spans="1:16">
      <c r="A825" s="63" t="str">
        <f>'RAW DATA 2023'!B818</f>
        <v>Pakpanang1</v>
      </c>
      <c r="B825" s="63" t="str">
        <f>'RAW DATA 2023'!D818</f>
        <v>D1-172-0010</v>
      </c>
      <c r="C825" s="63" t="str">
        <f t="shared" si="97"/>
        <v>Pakpanang1D1-172-0010</v>
      </c>
      <c r="D825" s="68">
        <f>VLOOKUP(C825,'RAW DATA 2023'!E:BP,63,0)</f>
        <v>11</v>
      </c>
      <c r="E825" s="68" t="str">
        <f t="shared" si="98"/>
        <v>Pakpanang111</v>
      </c>
      <c r="F825" s="63" t="str">
        <f>VLOOKUP(C825,'RAW DATA 2023'!E:BO,5,0)</f>
        <v>Outdoor</v>
      </c>
      <c r="G825" s="63">
        <f>VLOOKUP(C825,'RAW DATA 2023'!E:BO,13,0)</f>
        <v>193</v>
      </c>
      <c r="H825" s="63">
        <f t="shared" si="101"/>
        <v>200</v>
      </c>
      <c r="I825" s="63">
        <f t="shared" si="105"/>
        <v>11.259</v>
      </c>
      <c r="J825" s="106">
        <f>VLOOKUP(C825,'RAW DATA 2023'!E:BO,22,0)</f>
        <v>1.5001777777777778</v>
      </c>
      <c r="K825" s="70">
        <f t="shared" si="106"/>
        <v>0.1332425417690539</v>
      </c>
      <c r="L825" s="72"/>
      <c r="M825" s="109">
        <f t="shared" si="104"/>
        <v>-4.890099443079281</v>
      </c>
      <c r="N825" s="123" t="str">
        <f>VLOOKUP(C825,'RAW DATA 2023'!E:BO,36,0)</f>
        <v>EHP</v>
      </c>
      <c r="O825" s="63">
        <f>VLOOKUP(C825,'RAW DATA 2023'!E:BO,2,0)</f>
        <v>1.8</v>
      </c>
      <c r="P825" s="322">
        <f t="shared" si="103"/>
        <v>-8.8021789975427058</v>
      </c>
    </row>
    <row r="826" spans="1:16">
      <c r="A826" s="63" t="str">
        <f>'RAW DATA 2023'!B819</f>
        <v>Pakpanang1</v>
      </c>
      <c r="B826" s="63" t="str">
        <f>'RAW DATA 2023'!D819</f>
        <v>A1-180-0009</v>
      </c>
      <c r="C826" s="63" t="str">
        <f t="shared" si="97"/>
        <v>Pakpanang1A1-180-0009</v>
      </c>
      <c r="D826" s="68">
        <f>VLOOKUP(C826,'RAW DATA 2023'!E:BP,63,0)</f>
        <v>5</v>
      </c>
      <c r="E826" s="68" t="str">
        <f t="shared" si="98"/>
        <v>Pakpanang15</v>
      </c>
      <c r="F826" s="63" t="str">
        <f>VLOOKUP(C826,'RAW DATA 2023'!E:BO,5,0)</f>
        <v>Outdoor</v>
      </c>
      <c r="G826" s="63">
        <f>VLOOKUP(C826,'RAW DATA 2023'!E:BO,13,0)</f>
        <v>154</v>
      </c>
      <c r="H826" s="63">
        <f t="shared" si="101"/>
        <v>150</v>
      </c>
      <c r="I826" s="63">
        <f t="shared" si="105"/>
        <v>9.1999999999999993</v>
      </c>
      <c r="J826" s="106">
        <f>VLOOKUP(C826,'RAW DATA 2023'!E:BO,22,0)</f>
        <v>3.2212111111111112</v>
      </c>
      <c r="K826" s="70">
        <f t="shared" si="106"/>
        <v>0.35013164251207735</v>
      </c>
      <c r="L826" s="72"/>
      <c r="M826" s="109">
        <f t="shared" si="104"/>
        <v>-1.9982447665056355</v>
      </c>
      <c r="N826" s="123" t="str">
        <f>VLOOKUP(C826,'RAW DATA 2023'!E:BO,36,0)</f>
        <v>EHP</v>
      </c>
      <c r="O826" s="63">
        <f>VLOOKUP(C826,'RAW DATA 2023'!E:BO,2,0)</f>
        <v>1.8</v>
      </c>
      <c r="P826" s="322">
        <f t="shared" si="103"/>
        <v>-3.5968405797101441</v>
      </c>
    </row>
    <row r="827" spans="1:16">
      <c r="A827" s="63" t="str">
        <f>'RAW DATA 2023'!B820</f>
        <v>SR1</v>
      </c>
      <c r="B827" s="63" t="str">
        <f>'RAW DATA 2023'!D820</f>
        <v>A1-028-0037</v>
      </c>
      <c r="C827" s="63" t="str">
        <f t="shared" si="97"/>
        <v>SR1A1-028-0037</v>
      </c>
      <c r="D827" s="68">
        <f>VLOOKUP(C827,'RAW DATA 2023'!E:BP,63,0)</f>
        <v>10</v>
      </c>
      <c r="E827" s="68" t="str">
        <f t="shared" si="98"/>
        <v>SR110</v>
      </c>
      <c r="F827" s="63" t="str">
        <f>VLOOKUP(C827,'RAW DATA 2023'!E:BO,5,0)</f>
        <v>Outdoor</v>
      </c>
      <c r="G827" s="63">
        <f>VLOOKUP(C827,'RAW DATA 2023'!E:BO,13,0)</f>
        <v>166</v>
      </c>
      <c r="H827" s="63">
        <f t="shared" si="101"/>
        <v>180</v>
      </c>
      <c r="I827" s="63">
        <f t="shared" si="105"/>
        <v>10.247</v>
      </c>
      <c r="J827" s="106">
        <f>VLOOKUP(C827,'RAW DATA 2023'!E:BO,22,0)</f>
        <v>7.2549624999999995</v>
      </c>
      <c r="K827" s="70">
        <f t="shared" si="106"/>
        <v>0.70800844149507169</v>
      </c>
      <c r="L827" s="72"/>
      <c r="M827" s="109">
        <f t="shared" si="104"/>
        <v>2.7734458866009559</v>
      </c>
      <c r="N827" s="123" t="str">
        <f>VLOOKUP(C827,'RAW DATA 2023'!E:BO,36,0)</f>
        <v>Normal</v>
      </c>
      <c r="O827" s="63">
        <f>VLOOKUP(C827,'RAW DATA 2023'!E:BO,2,0)</f>
        <v>4</v>
      </c>
      <c r="P827" s="322">
        <f t="shared" si="103"/>
        <v>11.093783546403824</v>
      </c>
    </row>
    <row r="828" spans="1:16">
      <c r="A828" s="63" t="str">
        <f>'RAW DATA 2023'!B821</f>
        <v>SR1</v>
      </c>
      <c r="B828" s="63" t="str">
        <f>'RAW DATA 2023'!D821</f>
        <v>A1-027-0032</v>
      </c>
      <c r="C828" s="63" t="str">
        <f t="shared" si="97"/>
        <v>SR1A1-027-0032</v>
      </c>
      <c r="D828" s="68">
        <f>VLOOKUP(C828,'RAW DATA 2023'!E:BP,63,0)</f>
        <v>9</v>
      </c>
      <c r="E828" s="68" t="str">
        <f t="shared" si="98"/>
        <v>SR19</v>
      </c>
      <c r="F828" s="63" t="str">
        <f>VLOOKUP(C828,'RAW DATA 2023'!E:BO,5,0)</f>
        <v>Outdoor</v>
      </c>
      <c r="G828" s="63">
        <f>VLOOKUP(C828,'RAW DATA 2023'!E:BO,13,0)</f>
        <v>155</v>
      </c>
      <c r="H828" s="63">
        <f t="shared" si="101"/>
        <v>150</v>
      </c>
      <c r="I828" s="63">
        <f t="shared" si="105"/>
        <v>9.1999999999999993</v>
      </c>
      <c r="J828" s="106">
        <f>VLOOKUP(C828,'RAW DATA 2023'!E:BO,22,0)</f>
        <v>10.912756613756613</v>
      </c>
      <c r="K828" s="70">
        <f t="shared" si="106"/>
        <v>1.1861691971474582</v>
      </c>
      <c r="L828" s="72"/>
      <c r="M828" s="109">
        <f t="shared" si="104"/>
        <v>9.1489226286327767</v>
      </c>
      <c r="N828" s="123" t="str">
        <f>VLOOKUP(C828,'RAW DATA 2023'!E:BO,36,0)</f>
        <v>WSSV</v>
      </c>
      <c r="O828" s="63">
        <f>VLOOKUP(C828,'RAW DATA 2023'!E:BO,2,0)</f>
        <v>3.78</v>
      </c>
      <c r="P828" s="322">
        <f t="shared" si="103"/>
        <v>34.582927536231892</v>
      </c>
    </row>
    <row r="829" spans="1:16">
      <c r="A829" s="63" t="str">
        <f>'RAW DATA 2023'!B822</f>
        <v>SR1</v>
      </c>
      <c r="B829" s="63" t="str">
        <f>'RAW DATA 2023'!D822</f>
        <v>A1-026-0028</v>
      </c>
      <c r="C829" s="63" t="str">
        <f t="shared" si="97"/>
        <v>SR1A1-026-0028</v>
      </c>
      <c r="D829" s="68">
        <f>VLOOKUP(C829,'RAW DATA 2023'!E:BP,63,0)</f>
        <v>9</v>
      </c>
      <c r="E829" s="68" t="str">
        <f t="shared" si="98"/>
        <v>SR19</v>
      </c>
      <c r="F829" s="63" t="str">
        <f>VLOOKUP(C829,'RAW DATA 2023'!E:BO,5,0)</f>
        <v>Outdoor</v>
      </c>
      <c r="G829" s="63">
        <f>VLOOKUP(C829,'RAW DATA 2023'!E:BO,13,0)</f>
        <v>127</v>
      </c>
      <c r="H829" s="63">
        <f t="shared" si="101"/>
        <v>100</v>
      </c>
      <c r="I829" s="63">
        <f t="shared" si="105"/>
        <v>6.806</v>
      </c>
      <c r="J829" s="106">
        <f>VLOOKUP(C829,'RAW DATA 2023'!E:BO,22,0)</f>
        <v>7.0237428571428566</v>
      </c>
      <c r="K829" s="70">
        <f t="shared" si="106"/>
        <v>1.0319927794802903</v>
      </c>
      <c r="L829" s="72"/>
      <c r="M829" s="109">
        <f t="shared" si="104"/>
        <v>7.0932370597372048</v>
      </c>
      <c r="N829" s="123" t="str">
        <f>VLOOKUP(C829,'RAW DATA 2023'!E:BO,36,0)</f>
        <v>Normal</v>
      </c>
      <c r="O829" s="63">
        <f>VLOOKUP(C829,'RAW DATA 2023'!E:BO,2,0)</f>
        <v>3.85</v>
      </c>
      <c r="P829" s="322">
        <f t="shared" si="103"/>
        <v>27.308962679988237</v>
      </c>
    </row>
    <row r="830" spans="1:16">
      <c r="A830" s="63" t="str">
        <f>'RAW DATA 2023'!B823</f>
        <v>SR1</v>
      </c>
      <c r="B830" s="63" t="str">
        <f>'RAW DATA 2023'!D823</f>
        <v>A1-026-0029</v>
      </c>
      <c r="C830" s="63" t="str">
        <f t="shared" si="97"/>
        <v>SR1A1-026-0029</v>
      </c>
      <c r="D830" s="68">
        <f>VLOOKUP(C830,'RAW DATA 2023'!E:BP,63,0)</f>
        <v>12</v>
      </c>
      <c r="E830" s="68" t="str">
        <f t="shared" si="98"/>
        <v>SR112</v>
      </c>
      <c r="F830" s="63" t="str">
        <f>VLOOKUP(C830,'RAW DATA 2023'!E:BO,5,0)</f>
        <v>Outdoor</v>
      </c>
      <c r="G830" s="63">
        <f>VLOOKUP(C830,'RAW DATA 2023'!E:BO,13,0)</f>
        <v>203</v>
      </c>
      <c r="H830" s="63">
        <f t="shared" si="101"/>
        <v>200</v>
      </c>
      <c r="I830" s="63">
        <f t="shared" si="105"/>
        <v>11.259</v>
      </c>
      <c r="J830" s="106">
        <f>VLOOKUP(C830,'RAW DATA 2023'!E:BO,22,0)</f>
        <v>5.7885999999999997</v>
      </c>
      <c r="K830" s="70">
        <f t="shared" si="106"/>
        <v>0.51413091748823159</v>
      </c>
      <c r="L830" s="72"/>
      <c r="M830" s="109">
        <f t="shared" si="104"/>
        <v>0.18841223317642117</v>
      </c>
      <c r="N830" s="123" t="str">
        <f>VLOOKUP(C830,'RAW DATA 2023'!E:BO,36,0)</f>
        <v>WSSV</v>
      </c>
      <c r="O830" s="63">
        <f>VLOOKUP(C830,'RAW DATA 2023'!E:BO,2,0)</f>
        <v>3.85</v>
      </c>
      <c r="P830" s="322">
        <f t="shared" si="103"/>
        <v>0.7253870977292215</v>
      </c>
    </row>
    <row r="831" spans="1:16">
      <c r="A831" s="63" t="str">
        <f>'RAW DATA 2023'!B824</f>
        <v>SR1</v>
      </c>
      <c r="B831" s="63" t="str">
        <f>'RAW DATA 2023'!D824</f>
        <v>C1-050-0015</v>
      </c>
      <c r="C831" s="63" t="str">
        <f t="shared" si="97"/>
        <v>SR1C1-050-0015</v>
      </c>
      <c r="D831" s="68">
        <f>VLOOKUP(C831,'RAW DATA 2023'!E:BP,63,0)</f>
        <v>6</v>
      </c>
      <c r="E831" s="68" t="str">
        <f t="shared" si="98"/>
        <v>SR16</v>
      </c>
      <c r="F831" s="63" t="str">
        <f>VLOOKUP(C831,'RAW DATA 2023'!E:BO,5,0)</f>
        <v>Outdoor</v>
      </c>
      <c r="G831" s="63">
        <f>VLOOKUP(C831,'RAW DATA 2023'!E:BO,13,0)</f>
        <v>69</v>
      </c>
      <c r="H831" s="63">
        <f t="shared" si="101"/>
        <v>100</v>
      </c>
      <c r="I831" s="63">
        <f t="shared" si="105"/>
        <v>6.806</v>
      </c>
      <c r="J831" s="106">
        <f>VLOOKUP(C831,'RAW DATA 2023'!E:BO,22,0)</f>
        <v>5.8791333333333329</v>
      </c>
      <c r="K831" s="70">
        <f t="shared" si="106"/>
        <v>0.8638162405720442</v>
      </c>
      <c r="L831" s="72"/>
      <c r="M831" s="109">
        <f t="shared" si="104"/>
        <v>4.8508832076272563</v>
      </c>
      <c r="N831" s="123" t="str">
        <f>VLOOKUP(C831,'RAW DATA 2023'!E:BO,36,0)</f>
        <v>Normal</v>
      </c>
      <c r="O831" s="63">
        <f>VLOOKUP(C831,'RAW DATA 2023'!E:BO,2,0)</f>
        <v>1.8</v>
      </c>
      <c r="P831" s="322">
        <f t="shared" si="103"/>
        <v>8.7315897737290609</v>
      </c>
    </row>
    <row r="832" spans="1:16">
      <c r="A832" s="63" t="str">
        <f>'RAW DATA 2023'!B825</f>
        <v>SR1</v>
      </c>
      <c r="B832" s="63" t="str">
        <f>'RAW DATA 2023'!D825</f>
        <v>C1-050-0016</v>
      </c>
      <c r="C832" s="63" t="str">
        <f t="shared" si="97"/>
        <v>SR1C1-050-0016</v>
      </c>
      <c r="D832" s="68">
        <f>VLOOKUP(C832,'RAW DATA 2023'!E:BP,63,0)</f>
        <v>9</v>
      </c>
      <c r="E832" s="68" t="str">
        <f t="shared" si="98"/>
        <v>SR19</v>
      </c>
      <c r="F832" s="63" t="str">
        <f>VLOOKUP(C832,'RAW DATA 2023'!E:BO,5,0)</f>
        <v>Outdoor</v>
      </c>
      <c r="G832" s="63">
        <f>VLOOKUP(C832,'RAW DATA 2023'!E:BO,13,0)</f>
        <v>87</v>
      </c>
      <c r="H832" s="63">
        <f t="shared" si="101"/>
        <v>100</v>
      </c>
      <c r="I832" s="63">
        <f t="shared" si="105"/>
        <v>6.806</v>
      </c>
      <c r="J832" s="106">
        <f>VLOOKUP(C832,'RAW DATA 2023'!E:BO,22,0)</f>
        <v>10.317977777777777</v>
      </c>
      <c r="K832" s="70">
        <f t="shared" si="106"/>
        <v>1.5160120155418422</v>
      </c>
      <c r="L832" s="72"/>
      <c r="M832" s="109">
        <f t="shared" si="104"/>
        <v>13.546826873891229</v>
      </c>
      <c r="N832" s="123" t="str">
        <f>VLOOKUP(C832,'RAW DATA 2023'!E:BO,36,0)</f>
        <v>Normal</v>
      </c>
      <c r="O832" s="63">
        <f>VLOOKUP(C832,'RAW DATA 2023'!E:BO,2,0)</f>
        <v>1.8</v>
      </c>
      <c r="P832" s="322">
        <f t="shared" si="103"/>
        <v>24.384288373004214</v>
      </c>
    </row>
    <row r="833" spans="1:16">
      <c r="A833" s="63" t="str">
        <f>'RAW DATA 2023'!B826</f>
        <v>SR1</v>
      </c>
      <c r="B833" s="63" t="str">
        <f>'RAW DATA 2023'!D826</f>
        <v>C1-061-0039</v>
      </c>
      <c r="C833" s="63" t="str">
        <f t="shared" si="97"/>
        <v>SR1C1-061-0039</v>
      </c>
      <c r="D833" s="68">
        <f>VLOOKUP(C833,'RAW DATA 2023'!E:BP,63,0)</f>
        <v>9</v>
      </c>
      <c r="E833" s="68" t="str">
        <f t="shared" si="98"/>
        <v>SR19</v>
      </c>
      <c r="F833" s="63" t="str">
        <f>VLOOKUP(C833,'RAW DATA 2023'!E:BO,5,0)</f>
        <v>Outdoor</v>
      </c>
      <c r="G833" s="63">
        <f>VLOOKUP(C833,'RAW DATA 2023'!E:BO,13,0)</f>
        <v>206</v>
      </c>
      <c r="H833" s="63">
        <f t="shared" si="101"/>
        <v>200</v>
      </c>
      <c r="I833" s="63">
        <f t="shared" si="105"/>
        <v>11.259</v>
      </c>
      <c r="J833" s="106">
        <f>VLOOKUP(C833,'RAW DATA 2023'!E:BO,22,0)</f>
        <v>12.944994736842107</v>
      </c>
      <c r="K833" s="70">
        <f t="shared" si="106"/>
        <v>1.1497464017090422</v>
      </c>
      <c r="L833" s="72"/>
      <c r="M833" s="109">
        <f t="shared" si="104"/>
        <v>8.6632853561205625</v>
      </c>
      <c r="N833" s="123" t="str">
        <f>VLOOKUP(C833,'RAW DATA 2023'!E:BO,36,0)</f>
        <v>Normal</v>
      </c>
      <c r="O833" s="63">
        <f>VLOOKUP(C833,'RAW DATA 2023'!E:BO,2,0)</f>
        <v>1.9</v>
      </c>
      <c r="P833" s="322">
        <f t="shared" si="103"/>
        <v>16.46024217662907</v>
      </c>
    </row>
    <row r="834" spans="1:16">
      <c r="A834" s="63" t="str">
        <f>'RAW DATA 2023'!B827</f>
        <v>SR1</v>
      </c>
      <c r="B834" s="63" t="str">
        <f>'RAW DATA 2023'!D827</f>
        <v>C1-059-0036</v>
      </c>
      <c r="C834" s="63" t="str">
        <f t="shared" si="97"/>
        <v>SR1C1-059-0036</v>
      </c>
      <c r="D834" s="68">
        <f>VLOOKUP(C834,'RAW DATA 2023'!E:BP,63,0)</f>
        <v>7</v>
      </c>
      <c r="E834" s="68" t="str">
        <f t="shared" si="98"/>
        <v>SR17</v>
      </c>
      <c r="F834" s="63" t="str">
        <f>VLOOKUP(C834,'RAW DATA 2023'!E:BO,5,0)</f>
        <v>Outdoor</v>
      </c>
      <c r="G834" s="63">
        <f>VLOOKUP(C834,'RAW DATA 2023'!E:BO,13,0)</f>
        <v>191</v>
      </c>
      <c r="H834" s="63">
        <f t="shared" si="101"/>
        <v>200</v>
      </c>
      <c r="I834" s="63">
        <f t="shared" si="105"/>
        <v>11.259</v>
      </c>
      <c r="J834" s="106">
        <f>VLOOKUP(C834,'RAW DATA 2023'!E:BO,22,0)</f>
        <v>8.9318899999999992</v>
      </c>
      <c r="K834" s="70">
        <f t="shared" si="106"/>
        <v>0.79331112887467792</v>
      </c>
      <c r="L834" s="72"/>
      <c r="M834" s="109">
        <f t="shared" si="104"/>
        <v>3.9108150516623725</v>
      </c>
      <c r="N834" s="123" t="str">
        <f>VLOOKUP(C834,'RAW DATA 2023'!E:BO,36,0)</f>
        <v>Normal</v>
      </c>
      <c r="O834" s="63">
        <f>VLOOKUP(C834,'RAW DATA 2023'!E:BO,2,0)</f>
        <v>3</v>
      </c>
      <c r="P834" s="322">
        <f t="shared" si="103"/>
        <v>11.732445154987118</v>
      </c>
    </row>
    <row r="835" spans="1:16">
      <c r="A835" s="63" t="str">
        <f>'RAW DATA 2023'!B828</f>
        <v>SR1</v>
      </c>
      <c r="B835" s="63" t="str">
        <f>'RAW DATA 2023'!D828</f>
        <v>D1-068-0006</v>
      </c>
      <c r="C835" s="63" t="str">
        <f t="shared" si="97"/>
        <v>SR1D1-068-0006</v>
      </c>
      <c r="D835" s="68">
        <f>VLOOKUP(C835,'RAW DATA 2023'!E:BP,63,0)</f>
        <v>9</v>
      </c>
      <c r="E835" s="68" t="str">
        <f t="shared" si="98"/>
        <v>SR19</v>
      </c>
      <c r="F835" s="63" t="str">
        <f>VLOOKUP(C835,'RAW DATA 2023'!E:BO,5,0)</f>
        <v>Outdoor</v>
      </c>
      <c r="G835" s="63">
        <f>VLOOKUP(C835,'RAW DATA 2023'!E:BO,13,0)</f>
        <v>195</v>
      </c>
      <c r="H835" s="63">
        <f t="shared" si="101"/>
        <v>200</v>
      </c>
      <c r="I835" s="63">
        <f t="shared" si="105"/>
        <v>11.259</v>
      </c>
      <c r="J835" s="106">
        <f>VLOOKUP(C835,'RAW DATA 2023'!E:BO,22,0)</f>
        <v>15.665318749999999</v>
      </c>
      <c r="K835" s="70">
        <f t="shared" si="106"/>
        <v>1.391359690025757</v>
      </c>
      <c r="L835" s="72"/>
      <c r="M835" s="109">
        <f t="shared" si="104"/>
        <v>11.884795867010094</v>
      </c>
      <c r="N835" s="123" t="str">
        <f>VLOOKUP(C835,'RAW DATA 2023'!E:BO,36,0)</f>
        <v>Normal</v>
      </c>
      <c r="O835" s="63">
        <f>VLOOKUP(C835,'RAW DATA 2023'!E:BO,2,0)</f>
        <v>1.6</v>
      </c>
      <c r="P835" s="322">
        <f t="shared" si="103"/>
        <v>19.01567338721615</v>
      </c>
    </row>
    <row r="836" spans="1:16">
      <c r="A836" s="63" t="str">
        <f>'RAW DATA 2023'!B829</f>
        <v>SR1</v>
      </c>
      <c r="B836" s="63" t="str">
        <f>'RAW DATA 2023'!D829</f>
        <v>D1-067-0005</v>
      </c>
      <c r="C836" s="63" t="str">
        <f t="shared" si="97"/>
        <v>SR1D1-067-0005</v>
      </c>
      <c r="D836" s="68">
        <f>VLOOKUP(C836,'RAW DATA 2023'!E:BP,63,0)</f>
        <v>9</v>
      </c>
      <c r="E836" s="68" t="str">
        <f t="shared" si="98"/>
        <v>SR19</v>
      </c>
      <c r="F836" s="63" t="str">
        <f>VLOOKUP(C836,'RAW DATA 2023'!E:BO,5,0)</f>
        <v>Outdoor</v>
      </c>
      <c r="G836" s="63">
        <f>VLOOKUP(C836,'RAW DATA 2023'!E:BO,13,0)</f>
        <v>188</v>
      </c>
      <c r="H836" s="63">
        <f t="shared" si="101"/>
        <v>180</v>
      </c>
      <c r="I836" s="63">
        <f t="shared" si="105"/>
        <v>10.247</v>
      </c>
      <c r="J836" s="106">
        <f>VLOOKUP(C836,'RAW DATA 2023'!E:BO,22,0)</f>
        <v>7.0937559999999991</v>
      </c>
      <c r="K836" s="70">
        <f t="shared" si="106"/>
        <v>0.69227637357275296</v>
      </c>
      <c r="L836" s="72"/>
      <c r="M836" s="109">
        <f t="shared" si="104"/>
        <v>2.5636849809700397</v>
      </c>
      <c r="N836" s="123" t="str">
        <f>VLOOKUP(C836,'RAW DATA 2023'!E:BO,36,0)</f>
        <v>Normal</v>
      </c>
      <c r="O836" s="63">
        <f>VLOOKUP(C836,'RAW DATA 2023'!E:BO,2,0)</f>
        <v>2.5</v>
      </c>
      <c r="P836" s="322">
        <f t="shared" si="103"/>
        <v>6.4092124524250993</v>
      </c>
    </row>
    <row r="837" spans="1:16">
      <c r="A837" s="63" t="str">
        <f>'RAW DATA 2023'!B830</f>
        <v>SR1</v>
      </c>
      <c r="B837" s="63" t="str">
        <f>'RAW DATA 2023'!D830</f>
        <v>C1-051-0032</v>
      </c>
      <c r="C837" s="63" t="str">
        <f t="shared" si="97"/>
        <v>SR1C1-051-0032</v>
      </c>
      <c r="D837" s="68">
        <f>VLOOKUP(C837,'RAW DATA 2023'!E:BP,63,0)</f>
        <v>8</v>
      </c>
      <c r="E837" s="68" t="str">
        <f t="shared" si="98"/>
        <v>SR18</v>
      </c>
      <c r="F837" s="63" t="str">
        <f>VLOOKUP(C837,'RAW DATA 2023'!E:BO,5,0)</f>
        <v>Outdoor</v>
      </c>
      <c r="G837" s="63">
        <f>VLOOKUP(C837,'RAW DATA 2023'!E:BO,13,0)</f>
        <v>130</v>
      </c>
      <c r="H837" s="63">
        <f t="shared" si="101"/>
        <v>100</v>
      </c>
      <c r="I837" s="63">
        <f t="shared" si="105"/>
        <v>6.806</v>
      </c>
      <c r="J837" s="106">
        <f>VLOOKUP(C837,'RAW DATA 2023'!E:BO,22,0)</f>
        <v>9.1180000000000003</v>
      </c>
      <c r="K837" s="70">
        <f t="shared" si="106"/>
        <v>1.3397002644725242</v>
      </c>
      <c r="L837" s="72"/>
      <c r="M837" s="109">
        <f t="shared" si="104"/>
        <v>11.196003526300323</v>
      </c>
      <c r="N837" s="123" t="str">
        <f>VLOOKUP(C837,'RAW DATA 2023'!E:BO,36,0)</f>
        <v>Normal</v>
      </c>
      <c r="O837" s="63">
        <f>VLOOKUP(C837,'RAW DATA 2023'!E:BO,2,0)</f>
        <v>3.6</v>
      </c>
      <c r="P837" s="322">
        <f t="shared" si="103"/>
        <v>40.305612694681166</v>
      </c>
    </row>
    <row r="838" spans="1:16">
      <c r="A838" s="63" t="str">
        <f>'RAW DATA 2023'!B831</f>
        <v>SR1</v>
      </c>
      <c r="B838" s="63" t="str">
        <f>'RAW DATA 2023'!D831</f>
        <v>C1-060-0035</v>
      </c>
      <c r="C838" s="63" t="str">
        <f t="shared" si="97"/>
        <v>SR1C1-060-0035</v>
      </c>
      <c r="D838" s="68">
        <f>VLOOKUP(C838,'RAW DATA 2023'!E:BP,63,0)</f>
        <v>2</v>
      </c>
      <c r="E838" s="68" t="str">
        <f t="shared" si="98"/>
        <v>SR12</v>
      </c>
      <c r="F838" s="63" t="str">
        <f>VLOOKUP(C838,'RAW DATA 2023'!E:BO,5,0)</f>
        <v>Outdoor</v>
      </c>
      <c r="G838" s="63">
        <f>VLOOKUP(C838,'RAW DATA 2023'!E:BO,13,0)</f>
        <v>142</v>
      </c>
      <c r="H838" s="63">
        <f t="shared" si="101"/>
        <v>150</v>
      </c>
      <c r="I838" s="63">
        <f t="shared" si="105"/>
        <v>9.1999999999999993</v>
      </c>
      <c r="J838" s="106">
        <f>VLOOKUP(C838,'RAW DATA 2023'!E:BO,22,0)</f>
        <v>6.5595500000000007</v>
      </c>
      <c r="K838" s="70">
        <f t="shared" si="106"/>
        <v>0.71299456521739146</v>
      </c>
      <c r="L838" s="72"/>
      <c r="M838" s="109">
        <f t="shared" si="104"/>
        <v>2.8399275362318863</v>
      </c>
      <c r="N838" s="123" t="str">
        <f>VLOOKUP(C838,'RAW DATA 2023'!E:BO,36,0)</f>
        <v>WFD</v>
      </c>
      <c r="O838" s="63">
        <f>VLOOKUP(C838,'RAW DATA 2023'!E:BO,2,0)</f>
        <v>3</v>
      </c>
      <c r="P838" s="322">
        <f t="shared" si="103"/>
        <v>8.5197826086956585</v>
      </c>
    </row>
    <row r="839" spans="1:16">
      <c r="A839" s="63" t="str">
        <f>'RAW DATA 2023'!B832</f>
        <v>SR1</v>
      </c>
      <c r="B839" s="63" t="str">
        <f>'RAW DATA 2023'!D832</f>
        <v>C1-060-0036</v>
      </c>
      <c r="C839" s="63" t="str">
        <f t="shared" si="97"/>
        <v>SR1C1-060-0036</v>
      </c>
      <c r="D839" s="68">
        <f>VLOOKUP(C839,'RAW DATA 2023'!E:BP,63,0)</f>
        <v>12</v>
      </c>
      <c r="E839" s="68" t="str">
        <f t="shared" si="98"/>
        <v>SR112</v>
      </c>
      <c r="F839" s="63" t="str">
        <f>VLOOKUP(C839,'RAW DATA 2023'!E:BO,5,0)</f>
        <v>Outdoor</v>
      </c>
      <c r="G839" s="63">
        <f>VLOOKUP(C839,'RAW DATA 2023'!E:BO,13,0)</f>
        <v>195</v>
      </c>
      <c r="H839" s="63">
        <f t="shared" si="101"/>
        <v>200</v>
      </c>
      <c r="I839" s="63">
        <f t="shared" si="105"/>
        <v>11.259</v>
      </c>
      <c r="J839" s="106">
        <f>VLOOKUP(C839,'RAW DATA 2023'!E:BO,22,0)</f>
        <v>9.8756800000000009</v>
      </c>
      <c r="K839" s="70">
        <f t="shared" si="106"/>
        <v>0.87713651301181284</v>
      </c>
      <c r="L839" s="72"/>
      <c r="M839" s="109">
        <f t="shared" si="104"/>
        <v>5.0284868401575045</v>
      </c>
      <c r="N839" s="123" t="str">
        <f>VLOOKUP(C839,'RAW DATA 2023'!E:BO,36,0)</f>
        <v>Normal</v>
      </c>
      <c r="O839" s="63">
        <f>VLOOKUP(C839,'RAW DATA 2023'!E:BO,2,0)</f>
        <v>3</v>
      </c>
      <c r="P839" s="322">
        <f t="shared" si="103"/>
        <v>15.085460520472513</v>
      </c>
    </row>
    <row r="840" spans="1:16">
      <c r="A840" s="63" t="str">
        <f>'RAW DATA 2023'!B833</f>
        <v>SR1</v>
      </c>
      <c r="B840" s="63" t="str">
        <f>'RAW DATA 2023'!D833</f>
        <v>D1-067-0004</v>
      </c>
      <c r="C840" s="63" t="str">
        <f t="shared" si="97"/>
        <v>SR1D1-067-0004</v>
      </c>
      <c r="D840" s="68">
        <f>VLOOKUP(C840,'RAW DATA 2023'!E:BP,63,0)</f>
        <v>3</v>
      </c>
      <c r="E840" s="68" t="str">
        <f t="shared" si="98"/>
        <v>SR13</v>
      </c>
      <c r="F840" s="63" t="str">
        <f>VLOOKUP(C840,'RAW DATA 2023'!E:BO,5,0)</f>
        <v>Outdoor</v>
      </c>
      <c r="G840" s="63">
        <f>VLOOKUP(C840,'RAW DATA 2023'!E:BO,13,0)</f>
        <v>197</v>
      </c>
      <c r="H840" s="63">
        <f t="shared" si="101"/>
        <v>200</v>
      </c>
      <c r="I840" s="63">
        <f t="shared" si="105"/>
        <v>11.259</v>
      </c>
      <c r="J840" s="106">
        <f>VLOOKUP(C840,'RAW DATA 2023'!E:BO,22,0)</f>
        <v>8.2283640000000009</v>
      </c>
      <c r="K840" s="70">
        <f t="shared" si="106"/>
        <v>0.73082547295496947</v>
      </c>
      <c r="L840" s="72"/>
      <c r="M840" s="109">
        <f t="shared" si="104"/>
        <v>3.0776729727329264</v>
      </c>
      <c r="N840" s="123" t="str">
        <f>VLOOKUP(C840,'RAW DATA 2023'!E:BO,36,0)</f>
        <v>Normal</v>
      </c>
      <c r="O840" s="63">
        <f>VLOOKUP(C840,'RAW DATA 2023'!E:BO,2,0)</f>
        <v>2.5</v>
      </c>
      <c r="P840" s="322">
        <f t="shared" si="103"/>
        <v>7.6941824318323162</v>
      </c>
    </row>
    <row r="841" spans="1:16">
      <c r="A841" s="63" t="str">
        <f>'RAW DATA 2023'!B834</f>
        <v>SR1</v>
      </c>
      <c r="B841" s="63" t="str">
        <f>'RAW DATA 2023'!D834</f>
        <v>D1-062-0038</v>
      </c>
      <c r="C841" s="63" t="str">
        <f t="shared" si="97"/>
        <v>SR1D1-062-0038</v>
      </c>
      <c r="D841" s="68">
        <f>VLOOKUP(C841,'RAW DATA 2023'!E:BP,63,0)</f>
        <v>12</v>
      </c>
      <c r="E841" s="68" t="str">
        <f t="shared" si="98"/>
        <v>SR112</v>
      </c>
      <c r="F841" s="63" t="str">
        <f>VLOOKUP(C841,'RAW DATA 2023'!E:BO,5,0)</f>
        <v>Outdoor</v>
      </c>
      <c r="G841" s="63">
        <f>VLOOKUP(C841,'RAW DATA 2023'!E:BO,13,0)</f>
        <v>183</v>
      </c>
      <c r="H841" s="63">
        <f t="shared" si="101"/>
        <v>180</v>
      </c>
      <c r="I841" s="63">
        <f t="shared" si="105"/>
        <v>10.247</v>
      </c>
      <c r="J841" s="106">
        <f>VLOOKUP(C841,'RAW DATA 2023'!E:BO,22,0)</f>
        <v>7.0456750000000001</v>
      </c>
      <c r="K841" s="70">
        <f t="shared" si="106"/>
        <v>0.6875841709768713</v>
      </c>
      <c r="L841" s="72"/>
      <c r="M841" s="109">
        <f t="shared" si="104"/>
        <v>2.5011222796916175</v>
      </c>
      <c r="N841" s="123" t="str">
        <f>VLOOKUP(C841,'RAW DATA 2023'!E:BO,36,0)</f>
        <v>EHP</v>
      </c>
      <c r="O841" s="63">
        <f>VLOOKUP(C841,'RAW DATA 2023'!E:BO,2,0)</f>
        <v>3.2</v>
      </c>
      <c r="P841" s="322">
        <f t="shared" si="103"/>
        <v>8.0035912950131767</v>
      </c>
    </row>
    <row r="842" spans="1:16">
      <c r="A842" s="63" t="str">
        <f>'RAW DATA 2023'!B835</f>
        <v>SR1</v>
      </c>
      <c r="B842" s="63" t="str">
        <f>'RAW DATA 2023'!D835</f>
        <v>C1-061-0038</v>
      </c>
      <c r="C842" s="63" t="str">
        <f t="shared" ref="C842:C905" si="107">A842&amp;B842</f>
        <v>SR1C1-061-0038</v>
      </c>
      <c r="D842" s="68">
        <f>VLOOKUP(C842,'RAW DATA 2023'!E:BP,63,0)</f>
        <v>1</v>
      </c>
      <c r="E842" s="68" t="str">
        <f t="shared" ref="E842:E905" si="108">A842&amp;D842</f>
        <v>SR11</v>
      </c>
      <c r="F842" s="63" t="str">
        <f>VLOOKUP(C842,'RAW DATA 2023'!E:BO,5,0)</f>
        <v>Outdoor</v>
      </c>
      <c r="G842" s="63">
        <f>VLOOKUP(C842,'RAW DATA 2023'!E:BO,13,0)</f>
        <v>164</v>
      </c>
      <c r="H842" s="63">
        <f t="shared" si="101"/>
        <v>150</v>
      </c>
      <c r="I842" s="63">
        <f t="shared" si="105"/>
        <v>9.1999999999999993</v>
      </c>
      <c r="J842" s="106">
        <f>VLOOKUP(C842,'RAW DATA 2023'!E:BO,22,0)</f>
        <v>7.1404789473684218</v>
      </c>
      <c r="K842" s="70">
        <f t="shared" si="106"/>
        <v>0.77613901601830682</v>
      </c>
      <c r="L842" s="72"/>
      <c r="M842" s="109">
        <f t="shared" si="104"/>
        <v>3.6818535469107578</v>
      </c>
      <c r="N842" s="123" t="str">
        <f>VLOOKUP(C842,'RAW DATA 2023'!E:BO,36,0)</f>
        <v>WFD</v>
      </c>
      <c r="O842" s="63">
        <f>VLOOKUP(C842,'RAW DATA 2023'!E:BO,2,0)</f>
        <v>1.9</v>
      </c>
      <c r="P842" s="322">
        <f t="shared" si="103"/>
        <v>6.9955217391304396</v>
      </c>
    </row>
    <row r="843" spans="1:16">
      <c r="A843" s="63" t="str">
        <f>'RAW DATA 2023'!B836</f>
        <v>SR1</v>
      </c>
      <c r="B843" s="63" t="str">
        <f>'RAW DATA 2023'!D836</f>
        <v>C1-062-0037</v>
      </c>
      <c r="C843" s="63" t="str">
        <f t="shared" si="107"/>
        <v>SR1C1-062-0037</v>
      </c>
      <c r="D843" s="68">
        <f>VLOOKUP(C843,'RAW DATA 2023'!E:BP,63,0)</f>
        <v>2</v>
      </c>
      <c r="E843" s="68" t="str">
        <f t="shared" si="108"/>
        <v>SR12</v>
      </c>
      <c r="F843" s="63" t="str">
        <f>VLOOKUP(C843,'RAW DATA 2023'!E:BO,5,0)</f>
        <v>Outdoor</v>
      </c>
      <c r="G843" s="63">
        <f>VLOOKUP(C843,'RAW DATA 2023'!E:BO,13,0)</f>
        <v>195</v>
      </c>
      <c r="H843" s="63">
        <f t="shared" ref="H843:H906" si="109">IF(G843&gt;190,200,IF(G843&gt;165,180,IF(G843&gt;=135,150,IF(D836&gt;=110,120,100))))</f>
        <v>200</v>
      </c>
      <c r="I843" s="63">
        <f t="shared" si="105"/>
        <v>11.259</v>
      </c>
      <c r="J843" s="106">
        <f>VLOOKUP(C843,'RAW DATA 2023'!E:BO,22,0)</f>
        <v>5.5355906249999993</v>
      </c>
      <c r="K843" s="70">
        <f t="shared" si="106"/>
        <v>0.49165917266187043</v>
      </c>
      <c r="L843" s="72"/>
      <c r="M843" s="109">
        <f t="shared" si="104"/>
        <v>-0.11121103117506101</v>
      </c>
      <c r="N843" s="123" t="str">
        <f>VLOOKUP(C843,'RAW DATA 2023'!E:BO,36,0)</f>
        <v>WFD</v>
      </c>
      <c r="O843" s="63">
        <f>VLOOKUP(C843,'RAW DATA 2023'!E:BO,2,0)</f>
        <v>3.2</v>
      </c>
      <c r="P843" s="322">
        <f t="shared" ref="P843:P906" si="110">M843*O843</f>
        <v>-0.35587529976019527</v>
      </c>
    </row>
    <row r="844" spans="1:16">
      <c r="A844" s="63" t="str">
        <f>'RAW DATA 2023'!B837</f>
        <v>SR1</v>
      </c>
      <c r="B844" s="63" t="str">
        <f>'RAW DATA 2023'!D837</f>
        <v>D1-066-0037</v>
      </c>
      <c r="C844" s="63" t="str">
        <f t="shared" si="107"/>
        <v>SR1D1-066-0037</v>
      </c>
      <c r="D844" s="68">
        <f>VLOOKUP(C844,'RAW DATA 2023'!E:BP,63,0)</f>
        <v>3</v>
      </c>
      <c r="E844" s="68" t="str">
        <f t="shared" si="108"/>
        <v>SR13</v>
      </c>
      <c r="F844" s="63" t="str">
        <f>VLOOKUP(C844,'RAW DATA 2023'!E:BO,5,0)</f>
        <v>Outdoor</v>
      </c>
      <c r="G844" s="63">
        <f>VLOOKUP(C844,'RAW DATA 2023'!E:BO,13,0)</f>
        <v>241</v>
      </c>
      <c r="H844" s="63">
        <f t="shared" si="109"/>
        <v>200</v>
      </c>
      <c r="I844" s="63">
        <f t="shared" si="105"/>
        <v>11.259</v>
      </c>
      <c r="J844" s="106">
        <f>VLOOKUP(C844,'RAW DATA 2023'!E:BO,22,0)</f>
        <v>4.2927382352941175</v>
      </c>
      <c r="K844" s="70">
        <f t="shared" si="106"/>
        <v>0.38127171465442022</v>
      </c>
      <c r="L844" s="72"/>
      <c r="M844" s="109">
        <f t="shared" ref="M844:M907" si="111">(K844-$B$4)*$B$7</f>
        <v>-1.5830438046077304</v>
      </c>
      <c r="N844" s="123" t="str">
        <f>VLOOKUP(C844,'RAW DATA 2023'!E:BO,36,0)</f>
        <v>WFD</v>
      </c>
      <c r="O844" s="63">
        <f>VLOOKUP(C844,'RAW DATA 2023'!E:BO,2,0)</f>
        <v>3.4</v>
      </c>
      <c r="P844" s="322">
        <f t="shared" si="110"/>
        <v>-5.3823489356662835</v>
      </c>
    </row>
    <row r="845" spans="1:16">
      <c r="A845" s="63" t="str">
        <f>'RAW DATA 2023'!B838</f>
        <v>SR1</v>
      </c>
      <c r="B845" s="63" t="str">
        <f>'RAW DATA 2023'!D838</f>
        <v>A1-027-0031</v>
      </c>
      <c r="C845" s="63" t="str">
        <f t="shared" si="107"/>
        <v>SR1A1-027-0031</v>
      </c>
      <c r="D845" s="68">
        <f>VLOOKUP(C845,'RAW DATA 2023'!E:BP,63,0)</f>
        <v>1</v>
      </c>
      <c r="E845" s="68" t="str">
        <f t="shared" si="108"/>
        <v>SR11</v>
      </c>
      <c r="F845" s="63" t="str">
        <f>VLOOKUP(C845,'RAW DATA 2023'!E:BO,5,0)</f>
        <v>Outdoor</v>
      </c>
      <c r="G845" s="63">
        <f>VLOOKUP(C845,'RAW DATA 2023'!E:BO,13,0)</f>
        <v>124</v>
      </c>
      <c r="H845" s="63">
        <f t="shared" si="109"/>
        <v>100</v>
      </c>
      <c r="I845" s="63">
        <f t="shared" si="105"/>
        <v>6.806</v>
      </c>
      <c r="J845" s="106">
        <f>VLOOKUP(C845,'RAW DATA 2023'!E:BO,22,0)</f>
        <v>1.5106005291005291</v>
      </c>
      <c r="K845" s="70">
        <f t="shared" si="106"/>
        <v>0.22195129725250207</v>
      </c>
      <c r="L845" s="72"/>
      <c r="M845" s="109">
        <f t="shared" si="111"/>
        <v>-3.7073160366333058</v>
      </c>
      <c r="N845" s="123" t="str">
        <f>VLOOKUP(C845,'RAW DATA 2023'!E:BO,36,0)</f>
        <v>WSSV</v>
      </c>
      <c r="O845" s="63">
        <f>VLOOKUP(C845,'RAW DATA 2023'!E:BO,2,0)</f>
        <v>3.78</v>
      </c>
      <c r="P845" s="322">
        <f t="shared" si="110"/>
        <v>-14.013654618473895</v>
      </c>
    </row>
    <row r="846" spans="1:16">
      <c r="A846" s="63" t="str">
        <f>'RAW DATA 2023'!B839</f>
        <v>SR1</v>
      </c>
      <c r="B846" s="63" t="str">
        <f>'RAW DATA 2023'!D839</f>
        <v>C1-063-0004</v>
      </c>
      <c r="C846" s="63" t="str">
        <f t="shared" si="107"/>
        <v>SR1C1-063-0004</v>
      </c>
      <c r="D846" s="68">
        <f>VLOOKUP(C846,'RAW DATA 2023'!E:BP,63,0)</f>
        <v>3</v>
      </c>
      <c r="E846" s="68" t="str">
        <f t="shared" si="108"/>
        <v>SR13</v>
      </c>
      <c r="F846" s="63" t="str">
        <f>VLOOKUP(C846,'RAW DATA 2023'!E:BO,5,0)</f>
        <v>Outdoor</v>
      </c>
      <c r="G846" s="63">
        <f>VLOOKUP(C846,'RAW DATA 2023'!E:BO,13,0)</f>
        <v>156</v>
      </c>
      <c r="H846" s="63">
        <f t="shared" si="109"/>
        <v>150</v>
      </c>
      <c r="I846" s="63">
        <f t="shared" si="105"/>
        <v>9.1999999999999993</v>
      </c>
      <c r="J846" s="106">
        <f>VLOOKUP(C846,'RAW DATA 2023'!E:BO,22,0)</f>
        <v>2.2751840000000003</v>
      </c>
      <c r="K846" s="70">
        <f t="shared" si="106"/>
        <v>0.24730260869565224</v>
      </c>
      <c r="L846" s="72"/>
      <c r="M846" s="109">
        <f t="shared" si="111"/>
        <v>-3.3692985507246371</v>
      </c>
      <c r="N846" s="123" t="str">
        <f>VLOOKUP(C846,'RAW DATA 2023'!E:BO,36,0)</f>
        <v>EHP</v>
      </c>
      <c r="O846" s="63">
        <f>VLOOKUP(C846,'RAW DATA 2023'!E:BO,2,0)</f>
        <v>2.5</v>
      </c>
      <c r="P846" s="322">
        <f t="shared" si="110"/>
        <v>-8.4232463768115924</v>
      </c>
    </row>
    <row r="847" spans="1:16">
      <c r="A847" s="63" t="str">
        <f>'RAW DATA 2023'!B840</f>
        <v>SR1</v>
      </c>
      <c r="B847" s="63" t="str">
        <f>'RAW DATA 2023'!D840</f>
        <v>C1-050-0014</v>
      </c>
      <c r="C847" s="63" t="str">
        <f t="shared" si="107"/>
        <v>SR1C1-050-0014</v>
      </c>
      <c r="D847" s="68">
        <f>VLOOKUP(C847,'RAW DATA 2023'!E:BP,63,0)</f>
        <v>2</v>
      </c>
      <c r="E847" s="68" t="str">
        <f t="shared" si="108"/>
        <v>SR12</v>
      </c>
      <c r="F847" s="63" t="str">
        <f>VLOOKUP(C847,'RAW DATA 2023'!E:BO,5,0)</f>
        <v>Outdoor</v>
      </c>
      <c r="G847" s="63">
        <f>VLOOKUP(C847,'RAW DATA 2023'!E:BO,13,0)</f>
        <v>217</v>
      </c>
      <c r="H847" s="63">
        <f t="shared" si="109"/>
        <v>200</v>
      </c>
      <c r="I847" s="63">
        <f t="shared" si="105"/>
        <v>11.259</v>
      </c>
      <c r="J847" s="106">
        <f>VLOOKUP(C847,'RAW DATA 2023'!E:BO,22,0)</f>
        <v>2.2440888888888888</v>
      </c>
      <c r="K847" s="70">
        <f t="shared" si="106"/>
        <v>0.19931511580858768</v>
      </c>
      <c r="L847" s="72"/>
      <c r="M847" s="109">
        <f t="shared" si="111"/>
        <v>-4.0091317892188307</v>
      </c>
      <c r="N847" s="123" t="str">
        <f>VLOOKUP(C847,'RAW DATA 2023'!E:BO,36,0)</f>
        <v>EHP</v>
      </c>
      <c r="O847" s="63">
        <f>VLOOKUP(C847,'RAW DATA 2023'!E:BO,2,0)</f>
        <v>1.8</v>
      </c>
      <c r="P847" s="322">
        <f t="shared" si="110"/>
        <v>-7.2164372205938951</v>
      </c>
    </row>
    <row r="848" spans="1:16">
      <c r="A848" s="63" t="str">
        <f>'RAW DATA 2023'!B841</f>
        <v>SR1</v>
      </c>
      <c r="B848" s="63" t="str">
        <f>'RAW DATA 2023'!D841</f>
        <v>G1-130-0009</v>
      </c>
      <c r="C848" s="63" t="str">
        <f t="shared" si="107"/>
        <v>SR1G1-130-0009</v>
      </c>
      <c r="D848" s="68">
        <f>VLOOKUP(C848,'RAW DATA 2023'!E:BP,63,0)</f>
        <v>7</v>
      </c>
      <c r="E848" s="68" t="str">
        <f t="shared" si="108"/>
        <v>SR17</v>
      </c>
      <c r="F848" s="63" t="str">
        <f>VLOOKUP(C848,'RAW DATA 2023'!E:BO,5,0)</f>
        <v>Greenhouse</v>
      </c>
      <c r="G848" s="63">
        <f>VLOOKUP(C848,'RAW DATA 2023'!E:BO,13,0)</f>
        <v>174</v>
      </c>
      <c r="H848" s="63">
        <f t="shared" si="109"/>
        <v>180</v>
      </c>
      <c r="I848" s="63">
        <f t="shared" si="105"/>
        <v>10.247</v>
      </c>
      <c r="J848" s="106">
        <f>VLOOKUP(C848,'RAW DATA 2023'!E:BO,22,0)</f>
        <v>6.4621499999999994</v>
      </c>
      <c r="K848" s="70">
        <f t="shared" si="106"/>
        <v>0.63063823558114562</v>
      </c>
      <c r="L848" s="72"/>
      <c r="M848" s="109">
        <f t="shared" si="111"/>
        <v>1.7418431410819417</v>
      </c>
      <c r="N848" s="123" t="str">
        <f>VLOOKUP(C848,'RAW DATA 2023'!E:BO,36,0)</f>
        <v>WFD</v>
      </c>
      <c r="O848" s="63">
        <f>VLOOKUP(C848,'RAW DATA 2023'!E:BO,2,0)</f>
        <v>2</v>
      </c>
      <c r="P848" s="322">
        <f t="shared" si="110"/>
        <v>3.4836862821638834</v>
      </c>
    </row>
    <row r="849" spans="1:16">
      <c r="A849" s="63" t="str">
        <f>'RAW DATA 2023'!B842</f>
        <v>SR1</v>
      </c>
      <c r="B849" s="63" t="str">
        <f>'RAW DATA 2023'!D842</f>
        <v>G1-128-0006</v>
      </c>
      <c r="C849" s="63" t="str">
        <f t="shared" si="107"/>
        <v>SR1G1-128-0006</v>
      </c>
      <c r="D849" s="68">
        <f>VLOOKUP(C849,'RAW DATA 2023'!E:BP,63,0)</f>
        <v>11</v>
      </c>
      <c r="E849" s="68" t="str">
        <f t="shared" si="108"/>
        <v>SR111</v>
      </c>
      <c r="F849" s="63" t="str">
        <f>VLOOKUP(C849,'RAW DATA 2023'!E:BO,5,0)</f>
        <v>Greenhouse</v>
      </c>
      <c r="G849" s="63">
        <f>VLOOKUP(C849,'RAW DATA 2023'!E:BO,13,0)</f>
        <v>195</v>
      </c>
      <c r="H849" s="63">
        <f t="shared" si="109"/>
        <v>200</v>
      </c>
      <c r="I849" s="63">
        <f t="shared" si="105"/>
        <v>11.259</v>
      </c>
      <c r="J849" s="106">
        <f>VLOOKUP(C849,'RAW DATA 2023'!E:BO,22,0)</f>
        <v>6.5412100000000004</v>
      </c>
      <c r="K849" s="70">
        <f t="shared" si="106"/>
        <v>0.58097610800248689</v>
      </c>
      <c r="L849" s="72"/>
      <c r="M849" s="109">
        <f t="shared" si="111"/>
        <v>1.0796814400331587</v>
      </c>
      <c r="N849" s="123" t="str">
        <f>VLOOKUP(C849,'RAW DATA 2023'!E:BO,36,0)</f>
        <v>อัตรารอดต่ำ</v>
      </c>
      <c r="O849" s="63">
        <f>VLOOKUP(C849,'RAW DATA 2023'!E:BO,2,0)</f>
        <v>2</v>
      </c>
      <c r="P849" s="322">
        <f t="shared" si="110"/>
        <v>2.1593628800663174</v>
      </c>
    </row>
    <row r="850" spans="1:16">
      <c r="A850" s="63" t="str">
        <f>'RAW DATA 2023'!B843</f>
        <v>SR1</v>
      </c>
      <c r="B850" s="63" t="str">
        <f>'RAW DATA 2023'!D843</f>
        <v>G1-129-0009</v>
      </c>
      <c r="C850" s="63" t="str">
        <f t="shared" si="107"/>
        <v>SR1G1-129-0009</v>
      </c>
      <c r="D850" s="68">
        <f>VLOOKUP(C850,'RAW DATA 2023'!E:BP,63,0)</f>
        <v>7</v>
      </c>
      <c r="E850" s="68" t="str">
        <f t="shared" si="108"/>
        <v>SR17</v>
      </c>
      <c r="F850" s="63" t="str">
        <f>VLOOKUP(C850,'RAW DATA 2023'!E:BO,5,0)</f>
        <v>Greenhouse</v>
      </c>
      <c r="G850" s="63">
        <f>VLOOKUP(C850,'RAW DATA 2023'!E:BO,13,0)</f>
        <v>174</v>
      </c>
      <c r="H850" s="63">
        <f t="shared" si="109"/>
        <v>180</v>
      </c>
      <c r="I850" s="63">
        <f t="shared" si="105"/>
        <v>10.247</v>
      </c>
      <c r="J850" s="106">
        <f>VLOOKUP(C850,'RAW DATA 2023'!E:BO,22,0)</f>
        <v>5.4654099999999994</v>
      </c>
      <c r="K850" s="70">
        <f t="shared" si="106"/>
        <v>0.53336683907485116</v>
      </c>
      <c r="L850" s="72"/>
      <c r="M850" s="109">
        <f t="shared" si="111"/>
        <v>0.44489118766468216</v>
      </c>
      <c r="N850" s="123" t="str">
        <f>VLOOKUP(C850,'RAW DATA 2023'!E:BO,36,0)</f>
        <v>ปรับแผนให้ตรงตามควทมต้องการของโรงงาน</v>
      </c>
      <c r="O850" s="63">
        <f>VLOOKUP(C850,'RAW DATA 2023'!E:BO,2,0)</f>
        <v>2</v>
      </c>
      <c r="P850" s="322">
        <f t="shared" si="110"/>
        <v>0.88978237532936433</v>
      </c>
    </row>
    <row r="851" spans="1:16">
      <c r="A851" s="63" t="str">
        <f>'RAW DATA 2023'!B844</f>
        <v>SR1</v>
      </c>
      <c r="B851" s="63" t="str">
        <f>'RAW DATA 2023'!D844</f>
        <v>G1-128-0005</v>
      </c>
      <c r="C851" s="63" t="str">
        <f t="shared" si="107"/>
        <v>SR1G1-128-0005</v>
      </c>
      <c r="D851" s="68">
        <f>VLOOKUP(C851,'RAW DATA 2023'!E:BP,63,0)</f>
        <v>6</v>
      </c>
      <c r="E851" s="68" t="str">
        <f t="shared" si="108"/>
        <v>SR16</v>
      </c>
      <c r="F851" s="63" t="str">
        <f>VLOOKUP(C851,'RAW DATA 2023'!E:BO,5,0)</f>
        <v>Greenhouse</v>
      </c>
      <c r="G851" s="63">
        <f>VLOOKUP(C851,'RAW DATA 2023'!E:BO,13,0)</f>
        <v>195</v>
      </c>
      <c r="H851" s="63">
        <f t="shared" si="109"/>
        <v>200</v>
      </c>
      <c r="I851" s="63">
        <f t="shared" si="105"/>
        <v>11.259</v>
      </c>
      <c r="J851" s="106">
        <f>VLOOKUP(C851,'RAW DATA 2023'!E:BO,22,0)</f>
        <v>6.47058</v>
      </c>
      <c r="K851" s="70">
        <f t="shared" si="106"/>
        <v>0.57470290434319204</v>
      </c>
      <c r="L851" s="72"/>
      <c r="M851" s="109">
        <f t="shared" si="111"/>
        <v>0.99603872457589393</v>
      </c>
      <c r="N851" s="123" t="str">
        <f>VLOOKUP(C851,'RAW DATA 2023'!E:BO,36,0)</f>
        <v>อัตรารอดต่ำ</v>
      </c>
      <c r="O851" s="63">
        <f>VLOOKUP(C851,'RAW DATA 2023'!E:BO,2,0)</f>
        <v>2</v>
      </c>
      <c r="P851" s="322">
        <f t="shared" si="110"/>
        <v>1.9920774491517879</v>
      </c>
    </row>
    <row r="852" spans="1:16">
      <c r="A852" s="63" t="str">
        <f>'RAW DATA 2023'!B845</f>
        <v>SR1</v>
      </c>
      <c r="B852" s="63" t="str">
        <f>'RAW DATA 2023'!D845</f>
        <v>A1-028-0036</v>
      </c>
      <c r="C852" s="63" t="str">
        <f t="shared" si="107"/>
        <v>SR1A1-028-0036</v>
      </c>
      <c r="D852" s="68">
        <f>VLOOKUP(C852,'RAW DATA 2023'!E:BP,63,0)</f>
        <v>5</v>
      </c>
      <c r="E852" s="68" t="str">
        <f t="shared" si="108"/>
        <v>SR15</v>
      </c>
      <c r="F852" s="63" t="str">
        <f>VLOOKUP(C852,'RAW DATA 2023'!E:BO,5,0)</f>
        <v>Outdoor</v>
      </c>
      <c r="G852" s="63">
        <f>VLOOKUP(C852,'RAW DATA 2023'!E:BO,13,0)</f>
        <v>98</v>
      </c>
      <c r="H852" s="63">
        <f t="shared" si="109"/>
        <v>100</v>
      </c>
      <c r="I852" s="63">
        <f t="shared" si="105"/>
        <v>6.806</v>
      </c>
      <c r="J852" s="106">
        <f>VLOOKUP(C852,'RAW DATA 2023'!E:BO,22,0)</f>
        <v>7.0337250000000004</v>
      </c>
      <c r="K852" s="70">
        <f t="shared" si="106"/>
        <v>1.0334594475462828</v>
      </c>
      <c r="L852" s="72"/>
      <c r="M852" s="109">
        <f t="shared" si="111"/>
        <v>7.1127926339504377</v>
      </c>
      <c r="N852" s="123" t="str">
        <f>VLOOKUP(C852,'RAW DATA 2023'!E:BO,36,0)</f>
        <v>Normal</v>
      </c>
      <c r="O852" s="63">
        <f>VLOOKUP(C852,'RAW DATA 2023'!E:BO,2,0)</f>
        <v>4</v>
      </c>
      <c r="P852" s="322">
        <f t="shared" si="110"/>
        <v>28.451170535801751</v>
      </c>
    </row>
    <row r="853" spans="1:16">
      <c r="A853" s="63" t="str">
        <f>'RAW DATA 2023'!B846</f>
        <v>SR1</v>
      </c>
      <c r="B853" s="63" t="str">
        <f>'RAW DATA 2023'!D846</f>
        <v>G1-129-0010</v>
      </c>
      <c r="C853" s="63" t="str">
        <f t="shared" si="107"/>
        <v>SR1G1-129-0010</v>
      </c>
      <c r="D853" s="68">
        <f>VLOOKUP(C853,'RAW DATA 2023'!E:BP,63,0)</f>
        <v>10</v>
      </c>
      <c r="E853" s="68" t="str">
        <f t="shared" si="108"/>
        <v>SR110</v>
      </c>
      <c r="F853" s="63" t="str">
        <f>VLOOKUP(C853,'RAW DATA 2023'!E:BO,5,0)</f>
        <v>Greenhouse</v>
      </c>
      <c r="G853" s="63">
        <f>VLOOKUP(C853,'RAW DATA 2023'!E:BO,13,0)</f>
        <v>195</v>
      </c>
      <c r="H853" s="63">
        <f t="shared" si="109"/>
        <v>200</v>
      </c>
      <c r="I853" s="63">
        <f t="shared" si="105"/>
        <v>11.259</v>
      </c>
      <c r="J853" s="106">
        <f>VLOOKUP(C853,'RAW DATA 2023'!E:BO,22,0)</f>
        <v>4.0716549999999998</v>
      </c>
      <c r="K853" s="70">
        <f t="shared" si="106"/>
        <v>0.36163558042454924</v>
      </c>
      <c r="L853" s="72"/>
      <c r="M853" s="109">
        <f t="shared" si="111"/>
        <v>-1.8448589276726768</v>
      </c>
      <c r="N853" s="123" t="str">
        <f>VLOOKUP(C853,'RAW DATA 2023'!E:BO,36,0)</f>
        <v>EHP</v>
      </c>
      <c r="O853" s="63">
        <f>VLOOKUP(C853,'RAW DATA 2023'!E:BO,2,0)</f>
        <v>2</v>
      </c>
      <c r="P853" s="322">
        <f t="shared" si="110"/>
        <v>-3.6897178553453536</v>
      </c>
    </row>
    <row r="854" spans="1:16">
      <c r="A854" s="63" t="str">
        <f>'RAW DATA 2023'!B847</f>
        <v>SR1</v>
      </c>
      <c r="B854" s="63" t="str">
        <f>'RAW DATA 2023'!D847</f>
        <v>G1-129-0008</v>
      </c>
      <c r="C854" s="63" t="str">
        <f t="shared" si="107"/>
        <v>SR1G1-129-0008</v>
      </c>
      <c r="D854" s="68">
        <f>VLOOKUP(C854,'RAW DATA 2023'!E:BP,63,0)</f>
        <v>2</v>
      </c>
      <c r="E854" s="68" t="str">
        <f t="shared" si="108"/>
        <v>SR12</v>
      </c>
      <c r="F854" s="63" t="str">
        <f>VLOOKUP(C854,'RAW DATA 2023'!E:BO,5,0)</f>
        <v>Greenhouse</v>
      </c>
      <c r="G854" s="63">
        <f>VLOOKUP(C854,'RAW DATA 2023'!E:BO,13,0)</f>
        <v>195</v>
      </c>
      <c r="H854" s="63">
        <f t="shared" si="109"/>
        <v>200</v>
      </c>
      <c r="I854" s="63">
        <f t="shared" si="105"/>
        <v>11.259</v>
      </c>
      <c r="J854" s="106">
        <f>VLOOKUP(C854,'RAW DATA 2023'!E:BO,22,0)</f>
        <v>3.9628049999999999</v>
      </c>
      <c r="K854" s="70">
        <f t="shared" si="106"/>
        <v>0.35196775912603251</v>
      </c>
      <c r="L854" s="72"/>
      <c r="M854" s="109">
        <f t="shared" si="111"/>
        <v>-1.9737632116529</v>
      </c>
      <c r="N854" s="123" t="str">
        <f>VLOOKUP(C854,'RAW DATA 2023'!E:BO,36,0)</f>
        <v>EHP</v>
      </c>
      <c r="O854" s="63">
        <f>VLOOKUP(C854,'RAW DATA 2023'!E:BO,2,0)</f>
        <v>2</v>
      </c>
      <c r="P854" s="322">
        <f t="shared" si="110"/>
        <v>-3.9475264233058001</v>
      </c>
    </row>
    <row r="855" spans="1:16">
      <c r="A855" s="63" t="str">
        <f>'RAW DATA 2023'!B848</f>
        <v>SR1</v>
      </c>
      <c r="B855" s="63" t="str">
        <f>'RAW DATA 2023'!D848</f>
        <v>G1-130-0010</v>
      </c>
      <c r="C855" s="63" t="str">
        <f t="shared" si="107"/>
        <v>SR1G1-130-0010</v>
      </c>
      <c r="D855" s="68">
        <f>VLOOKUP(C855,'RAW DATA 2023'!E:BP,63,0)</f>
        <v>10</v>
      </c>
      <c r="E855" s="68" t="str">
        <f t="shared" si="108"/>
        <v>SR110</v>
      </c>
      <c r="F855" s="63" t="str">
        <f>VLOOKUP(C855,'RAW DATA 2023'!E:BO,5,0)</f>
        <v>Greenhouse</v>
      </c>
      <c r="G855" s="63">
        <f>VLOOKUP(C855,'RAW DATA 2023'!E:BO,13,0)</f>
        <v>254</v>
      </c>
      <c r="H855" s="63">
        <f t="shared" si="109"/>
        <v>200</v>
      </c>
      <c r="I855" s="63">
        <f t="shared" si="105"/>
        <v>11.259</v>
      </c>
      <c r="J855" s="106">
        <f>VLOOKUP(C855,'RAW DATA 2023'!E:BO,22,0)</f>
        <v>3.346085</v>
      </c>
      <c r="K855" s="70">
        <f t="shared" si="106"/>
        <v>0.29719202415845103</v>
      </c>
      <c r="L855" s="72"/>
      <c r="M855" s="109">
        <f t="shared" si="111"/>
        <v>-2.7041063445539866</v>
      </c>
      <c r="N855" s="123" t="str">
        <f>VLOOKUP(C855,'RAW DATA 2023'!E:BO,36,0)</f>
        <v>EHP</v>
      </c>
      <c r="O855" s="63">
        <f>VLOOKUP(C855,'RAW DATA 2023'!E:BO,2,0)</f>
        <v>2</v>
      </c>
      <c r="P855" s="322">
        <f t="shared" si="110"/>
        <v>-5.4082126891079731</v>
      </c>
    </row>
    <row r="856" spans="1:16">
      <c r="A856" s="63" t="str">
        <f>'RAW DATA 2023'!B849</f>
        <v>SR1</v>
      </c>
      <c r="B856" s="63" t="str">
        <f>'RAW DATA 2023'!D849</f>
        <v>H1-095-0037</v>
      </c>
      <c r="C856" s="63" t="str">
        <f t="shared" si="107"/>
        <v>SR1H1-095-0037</v>
      </c>
      <c r="D856" s="68">
        <f>VLOOKUP(C856,'RAW DATA 2023'!E:BP,63,0)</f>
        <v>1</v>
      </c>
      <c r="E856" s="68" t="str">
        <f t="shared" si="108"/>
        <v>SR11</v>
      </c>
      <c r="F856" s="63" t="str">
        <f>VLOOKUP(C856,'RAW DATA 2023'!E:BO,5,0)</f>
        <v>Outdoor</v>
      </c>
      <c r="G856" s="63">
        <f>VLOOKUP(C856,'RAW DATA 2023'!E:BO,13,0)</f>
        <v>172</v>
      </c>
      <c r="H856" s="63">
        <f t="shared" si="109"/>
        <v>180</v>
      </c>
      <c r="I856" s="63">
        <f t="shared" si="105"/>
        <v>10.247</v>
      </c>
      <c r="J856" s="106">
        <f>VLOOKUP(C856,'RAW DATA 2023'!E:BO,22,0)</f>
        <v>1.9680759999999999</v>
      </c>
      <c r="K856" s="70">
        <f t="shared" si="106"/>
        <v>0.19206362837903776</v>
      </c>
      <c r="L856" s="72"/>
      <c r="M856" s="109">
        <f t="shared" si="111"/>
        <v>-4.1058182882794965</v>
      </c>
      <c r="N856" s="123" t="str">
        <f>VLOOKUP(C856,'RAW DATA 2023'!E:BO,36,0)</f>
        <v>EHP</v>
      </c>
      <c r="O856" s="63">
        <f>VLOOKUP(C856,'RAW DATA 2023'!E:BO,2,0)</f>
        <v>2.5</v>
      </c>
      <c r="P856" s="322">
        <f t="shared" si="110"/>
        <v>-10.264545720698742</v>
      </c>
    </row>
    <row r="857" spans="1:16">
      <c r="A857" s="63" t="str">
        <f>'RAW DATA 2023'!B850</f>
        <v>SR1</v>
      </c>
      <c r="B857" s="63" t="str">
        <f>'RAW DATA 2023'!D850</f>
        <v>H1-092-0039</v>
      </c>
      <c r="C857" s="63" t="str">
        <f t="shared" si="107"/>
        <v>SR1H1-092-0039</v>
      </c>
      <c r="D857" s="68">
        <f>VLOOKUP(C857,'RAW DATA 2023'!E:BP,63,0)</f>
        <v>1</v>
      </c>
      <c r="E857" s="68" t="str">
        <f t="shared" si="108"/>
        <v>SR11</v>
      </c>
      <c r="F857" s="63" t="str">
        <f>VLOOKUP(C857,'RAW DATA 2023'!E:BO,5,0)</f>
        <v>Outdoor</v>
      </c>
      <c r="G857" s="63">
        <f>VLOOKUP(C857,'RAW DATA 2023'!E:BO,13,0)</f>
        <v>169</v>
      </c>
      <c r="H857" s="63">
        <f t="shared" si="109"/>
        <v>180</v>
      </c>
      <c r="I857" s="63">
        <f t="shared" si="105"/>
        <v>10.247</v>
      </c>
      <c r="J857" s="106">
        <f>VLOOKUP(C857,'RAW DATA 2023'!E:BO,22,0)</f>
        <v>1.7765200000000001</v>
      </c>
      <c r="K857" s="70">
        <f t="shared" si="106"/>
        <v>0.17336976676100324</v>
      </c>
      <c r="L857" s="72"/>
      <c r="M857" s="109">
        <f t="shared" si="111"/>
        <v>-4.3550697765199571</v>
      </c>
      <c r="N857" s="123" t="str">
        <f>VLOOKUP(C857,'RAW DATA 2023'!E:BO,36,0)</f>
        <v>EHP</v>
      </c>
      <c r="O857" s="63">
        <f>VLOOKUP(C857,'RAW DATA 2023'!E:BO,2,0)</f>
        <v>2.5</v>
      </c>
      <c r="P857" s="322">
        <f t="shared" si="110"/>
        <v>-10.887674441299893</v>
      </c>
    </row>
    <row r="858" spans="1:16">
      <c r="A858" s="63" t="str">
        <f>'RAW DATA 2023'!B851</f>
        <v>SR1</v>
      </c>
      <c r="B858" s="63" t="str">
        <f>'RAW DATA 2023'!D851</f>
        <v>H1-126-0008</v>
      </c>
      <c r="C858" s="63" t="str">
        <f t="shared" si="107"/>
        <v>SR1H1-126-0008</v>
      </c>
      <c r="D858" s="68">
        <f>VLOOKUP(C858,'RAW DATA 2023'!E:BP,63,0)</f>
        <v>2</v>
      </c>
      <c r="E858" s="68" t="str">
        <f t="shared" si="108"/>
        <v>SR12</v>
      </c>
      <c r="F858" s="63" t="str">
        <f>VLOOKUP(C858,'RAW DATA 2023'!E:BO,5,0)</f>
        <v>Outdoor</v>
      </c>
      <c r="G858" s="63">
        <f>VLOOKUP(C858,'RAW DATA 2023'!E:BO,13,0)</f>
        <v>137</v>
      </c>
      <c r="H858" s="63">
        <f t="shared" si="109"/>
        <v>150</v>
      </c>
      <c r="I858" s="63">
        <f t="shared" si="105"/>
        <v>9.1999999999999993</v>
      </c>
      <c r="J858" s="106">
        <f>VLOOKUP(C858,'RAW DATA 2023'!E:BO,22,0)</f>
        <v>2.8849749999999998</v>
      </c>
      <c r="K858" s="70">
        <f t="shared" si="106"/>
        <v>0.31358423913043482</v>
      </c>
      <c r="L858" s="72"/>
      <c r="M858" s="109">
        <f t="shared" si="111"/>
        <v>-2.4855434782608694</v>
      </c>
      <c r="N858" s="123" t="str">
        <f>VLOOKUP(C858,'RAW DATA 2023'!E:BO,36,0)</f>
        <v>EHP</v>
      </c>
      <c r="O858" s="63">
        <f>VLOOKUP(C858,'RAW DATA 2023'!E:BO,2,0)</f>
        <v>2</v>
      </c>
      <c r="P858" s="322">
        <f t="shared" si="110"/>
        <v>-4.9710869565217388</v>
      </c>
    </row>
    <row r="859" spans="1:16">
      <c r="A859" s="63" t="str">
        <f>'RAW DATA 2023'!B852</f>
        <v>SR1</v>
      </c>
      <c r="B859" s="63" t="str">
        <f>'RAW DATA 2023'!D852</f>
        <v>G1-130-0008</v>
      </c>
      <c r="C859" s="63" t="str">
        <f t="shared" si="107"/>
        <v>SR1G1-130-0008</v>
      </c>
      <c r="D859" s="68">
        <f>VLOOKUP(C859,'RAW DATA 2023'!E:BP,63,0)</f>
        <v>2</v>
      </c>
      <c r="E859" s="68" t="str">
        <f t="shared" si="108"/>
        <v>SR12</v>
      </c>
      <c r="F859" s="63" t="str">
        <f>VLOOKUP(C859,'RAW DATA 2023'!E:BO,5,0)</f>
        <v>Greenhouse</v>
      </c>
      <c r="G859" s="63">
        <f>VLOOKUP(C859,'RAW DATA 2023'!E:BO,13,0)</f>
        <v>176</v>
      </c>
      <c r="H859" s="63">
        <f t="shared" si="109"/>
        <v>180</v>
      </c>
      <c r="I859" s="63">
        <f t="shared" si="105"/>
        <v>10.247</v>
      </c>
      <c r="J859" s="106">
        <f>VLOOKUP(C859,'RAW DATA 2023'!E:BO,22,0)</f>
        <v>3.6077249999999998</v>
      </c>
      <c r="K859" s="70">
        <f t="shared" si="106"/>
        <v>0.35207621742949152</v>
      </c>
      <c r="L859" s="72"/>
      <c r="M859" s="109">
        <f t="shared" si="111"/>
        <v>-1.972317100940113</v>
      </c>
      <c r="N859" s="123" t="str">
        <f>VLOOKUP(C859,'RAW DATA 2023'!E:BO,36,0)</f>
        <v>EHP</v>
      </c>
      <c r="O859" s="63">
        <f>VLOOKUP(C859,'RAW DATA 2023'!E:BO,2,0)</f>
        <v>2</v>
      </c>
      <c r="P859" s="322">
        <f t="shared" si="110"/>
        <v>-3.9446342018802261</v>
      </c>
    </row>
    <row r="860" spans="1:16">
      <c r="A860" s="63" t="str">
        <f>'RAW DATA 2023'!B853</f>
        <v>SR1</v>
      </c>
      <c r="B860" s="63" t="str">
        <f>'RAW DATA 2023'!D853</f>
        <v>H1-125-0010</v>
      </c>
      <c r="C860" s="63" t="str">
        <f t="shared" si="107"/>
        <v>SR1H1-125-0010</v>
      </c>
      <c r="D860" s="68">
        <f>VLOOKUP(C860,'RAW DATA 2023'!E:BP,63,0)</f>
        <v>3</v>
      </c>
      <c r="E860" s="68" t="str">
        <f t="shared" si="108"/>
        <v>SR13</v>
      </c>
      <c r="F860" s="63" t="str">
        <f>VLOOKUP(C860,'RAW DATA 2023'!E:BO,5,0)</f>
        <v>Outdoor</v>
      </c>
      <c r="G860" s="63">
        <f>VLOOKUP(C860,'RAW DATA 2023'!E:BO,13,0)</f>
        <v>156</v>
      </c>
      <c r="H860" s="63">
        <f t="shared" si="109"/>
        <v>150</v>
      </c>
      <c r="I860" s="63">
        <f t="shared" si="105"/>
        <v>9.1999999999999993</v>
      </c>
      <c r="J860" s="106">
        <f>VLOOKUP(C860,'RAW DATA 2023'!E:BO,22,0)</f>
        <v>2.087275</v>
      </c>
      <c r="K860" s="70">
        <f t="shared" si="106"/>
        <v>0.22687771739130436</v>
      </c>
      <c r="L860" s="72"/>
      <c r="M860" s="109">
        <f t="shared" si="111"/>
        <v>-3.6416304347826087</v>
      </c>
      <c r="N860" s="123" t="str">
        <f>VLOOKUP(C860,'RAW DATA 2023'!E:BO,36,0)</f>
        <v>WFD</v>
      </c>
      <c r="O860" s="63">
        <f>VLOOKUP(C860,'RAW DATA 2023'!E:BO,2,0)</f>
        <v>2</v>
      </c>
      <c r="P860" s="322">
        <f t="shared" si="110"/>
        <v>-7.2832608695652175</v>
      </c>
    </row>
    <row r="861" spans="1:16">
      <c r="A861" s="63" t="str">
        <f>'RAW DATA 2023'!B854</f>
        <v>SR1</v>
      </c>
      <c r="B861" s="63" t="str">
        <f>'RAW DATA 2023'!D854</f>
        <v>H1-126-0009</v>
      </c>
      <c r="C861" s="63" t="str">
        <f t="shared" si="107"/>
        <v>SR1H1-126-0009</v>
      </c>
      <c r="D861" s="68">
        <f>VLOOKUP(C861,'RAW DATA 2023'!E:BP,63,0)</f>
        <v>6</v>
      </c>
      <c r="E861" s="68" t="str">
        <f t="shared" si="108"/>
        <v>SR16</v>
      </c>
      <c r="F861" s="63" t="str">
        <f>VLOOKUP(C861,'RAW DATA 2023'!E:BO,5,0)</f>
        <v>Outdoor</v>
      </c>
      <c r="G861" s="63">
        <f>VLOOKUP(C861,'RAW DATA 2023'!E:BO,13,0)</f>
        <v>125</v>
      </c>
      <c r="H861" s="63">
        <f t="shared" si="109"/>
        <v>100</v>
      </c>
      <c r="I861" s="63">
        <f t="shared" si="105"/>
        <v>6.806</v>
      </c>
      <c r="J861" s="106">
        <f>VLOOKUP(C861,'RAW DATA 2023'!E:BO,22,0)</f>
        <v>4.5380249999999993</v>
      </c>
      <c r="K861" s="70">
        <f t="shared" si="106"/>
        <v>0.6667682926829267</v>
      </c>
      <c r="L861" s="72"/>
      <c r="M861" s="109">
        <f t="shared" si="111"/>
        <v>2.223577235772356</v>
      </c>
      <c r="N861" s="123" t="str">
        <f>VLOOKUP(C861,'RAW DATA 2023'!E:BO,36,0)</f>
        <v>จับกุ้งฉุกเฉินเนื่องจากไฟดับ</v>
      </c>
      <c r="O861" s="63">
        <f>VLOOKUP(C861,'RAW DATA 2023'!E:BO,2,0)</f>
        <v>2</v>
      </c>
      <c r="P861" s="322">
        <f t="shared" si="110"/>
        <v>4.447154471544712</v>
      </c>
    </row>
    <row r="862" spans="1:16">
      <c r="A862" s="63" t="str">
        <f>'RAW DATA 2023'!B855</f>
        <v>SR1</v>
      </c>
      <c r="B862" s="63" t="str">
        <f>'RAW DATA 2023'!D855</f>
        <v>H1-125-0011</v>
      </c>
      <c r="C862" s="63" t="str">
        <f t="shared" si="107"/>
        <v>SR1H1-125-0011</v>
      </c>
      <c r="D862" s="68">
        <f>VLOOKUP(C862,'RAW DATA 2023'!E:BP,63,0)</f>
        <v>7</v>
      </c>
      <c r="E862" s="68" t="str">
        <f t="shared" si="108"/>
        <v>SR17</v>
      </c>
      <c r="F862" s="63" t="str">
        <f>VLOOKUP(C862,'RAW DATA 2023'!E:BO,5,0)</f>
        <v>Outdoor</v>
      </c>
      <c r="G862" s="63">
        <f>VLOOKUP(C862,'RAW DATA 2023'!E:BO,13,0)</f>
        <v>156</v>
      </c>
      <c r="H862" s="63">
        <f t="shared" si="109"/>
        <v>150</v>
      </c>
      <c r="I862" s="63">
        <f t="shared" si="105"/>
        <v>9.1999999999999993</v>
      </c>
      <c r="J862" s="106">
        <f>VLOOKUP(C862,'RAW DATA 2023'!E:BO,22,0)</f>
        <v>2.4276799999999996</v>
      </c>
      <c r="K862" s="70">
        <f t="shared" si="106"/>
        <v>0.26387826086956517</v>
      </c>
      <c r="L862" s="72"/>
      <c r="M862" s="109">
        <f t="shared" si="111"/>
        <v>-3.1482898550724645</v>
      </c>
      <c r="N862" s="123" t="str">
        <f>VLOOKUP(C862,'RAW DATA 2023'!E:BO,36,0)</f>
        <v>WFD</v>
      </c>
      <c r="O862" s="63">
        <f>VLOOKUP(C862,'RAW DATA 2023'!E:BO,2,0)</f>
        <v>2</v>
      </c>
      <c r="P862" s="322">
        <f t="shared" si="110"/>
        <v>-6.296579710144929</v>
      </c>
    </row>
    <row r="863" spans="1:16">
      <c r="A863" s="63" t="str">
        <f>'RAW DATA 2023'!B856</f>
        <v>SR1</v>
      </c>
      <c r="B863" s="63" t="str">
        <f>'RAW DATA 2023'!D856</f>
        <v>H1-095-0038</v>
      </c>
      <c r="C863" s="63" t="str">
        <f t="shared" si="107"/>
        <v>SR1H1-095-0038</v>
      </c>
      <c r="D863" s="68">
        <f>VLOOKUP(C863,'RAW DATA 2023'!E:BP,63,0)</f>
        <v>6</v>
      </c>
      <c r="E863" s="68" t="str">
        <f t="shared" si="108"/>
        <v>SR16</v>
      </c>
      <c r="F863" s="63" t="str">
        <f>VLOOKUP(C863,'RAW DATA 2023'!E:BO,5,0)</f>
        <v>Outdoor</v>
      </c>
      <c r="G863" s="63">
        <f>VLOOKUP(C863,'RAW DATA 2023'!E:BO,13,0)</f>
        <v>125</v>
      </c>
      <c r="H863" s="63">
        <f t="shared" si="109"/>
        <v>100</v>
      </c>
      <c r="I863" s="63">
        <f t="shared" si="105"/>
        <v>6.806</v>
      </c>
      <c r="J863" s="106">
        <f>VLOOKUP(C863,'RAW DATA 2023'!E:BO,22,0)</f>
        <v>2.5401560000000001</v>
      </c>
      <c r="K863" s="70">
        <f t="shared" si="106"/>
        <v>0.37322303849544519</v>
      </c>
      <c r="L863" s="72"/>
      <c r="M863" s="109">
        <f t="shared" si="111"/>
        <v>-1.6903594867273974</v>
      </c>
      <c r="N863" s="123" t="str">
        <f>VLOOKUP(C863,'RAW DATA 2023'!E:BO,36,0)</f>
        <v>WFD</v>
      </c>
      <c r="O863" s="63">
        <f>VLOOKUP(C863,'RAW DATA 2023'!E:BO,2,0)</f>
        <v>2.5</v>
      </c>
      <c r="P863" s="322">
        <f t="shared" si="110"/>
        <v>-4.2258987168184934</v>
      </c>
    </row>
    <row r="864" spans="1:16">
      <c r="A864" s="63" t="str">
        <f>'RAW DATA 2023'!B857</f>
        <v>SR1</v>
      </c>
      <c r="B864" s="63" t="str">
        <f>'RAW DATA 2023'!D857</f>
        <v>H1-094-0029</v>
      </c>
      <c r="C864" s="63" t="str">
        <f t="shared" si="107"/>
        <v>SR1H1-094-0029</v>
      </c>
      <c r="D864" s="68">
        <f>VLOOKUP(C864,'RAW DATA 2023'!E:BP,63,0)</f>
        <v>7</v>
      </c>
      <c r="E864" s="68" t="str">
        <f t="shared" si="108"/>
        <v>SR17</v>
      </c>
      <c r="F864" s="63" t="str">
        <f>VLOOKUP(C864,'RAW DATA 2023'!E:BO,5,0)</f>
        <v>Outdoor</v>
      </c>
      <c r="G864" s="63">
        <f>VLOOKUP(C864,'RAW DATA 2023'!E:BO,13,0)</f>
        <v>156</v>
      </c>
      <c r="H864" s="63">
        <f t="shared" si="109"/>
        <v>150</v>
      </c>
      <c r="I864" s="63">
        <f t="shared" si="105"/>
        <v>9.1999999999999993</v>
      </c>
      <c r="J864" s="106">
        <f>VLOOKUP(C864,'RAW DATA 2023'!E:BO,22,0)</f>
        <v>2.9465159999999999</v>
      </c>
      <c r="K864" s="70">
        <f t="shared" si="106"/>
        <v>0.3202734782608696</v>
      </c>
      <c r="L864" s="72"/>
      <c r="M864" s="109">
        <f t="shared" si="111"/>
        <v>-2.3963536231884053</v>
      </c>
      <c r="N864" s="123" t="str">
        <f>VLOOKUP(C864,'RAW DATA 2023'!E:BO,36,0)</f>
        <v>WFD</v>
      </c>
      <c r="O864" s="63">
        <f>VLOOKUP(C864,'RAW DATA 2023'!E:BO,2,0)</f>
        <v>2.5</v>
      </c>
      <c r="P864" s="322">
        <f t="shared" si="110"/>
        <v>-5.9908840579710132</v>
      </c>
    </row>
    <row r="865" spans="1:16">
      <c r="A865" s="63" t="str">
        <f>'RAW DATA 2023'!B858</f>
        <v>Nakornfarm</v>
      </c>
      <c r="B865" s="63" t="str">
        <f>'RAW DATA 2023'!D858</f>
        <v>BG-113-0010</v>
      </c>
      <c r="C865" s="63" t="str">
        <f t="shared" si="107"/>
        <v>NakornfarmBG-113-0010</v>
      </c>
      <c r="D865" s="68">
        <f>VLOOKUP(C865,'RAW DATA 2023'!E:BP,63,0)</f>
        <v>10</v>
      </c>
      <c r="E865" s="68" t="str">
        <f t="shared" si="108"/>
        <v>Nakornfarm10</v>
      </c>
      <c r="F865" s="63" t="str">
        <f>VLOOKUP(C865,'RAW DATA 2023'!E:BO,5,0)</f>
        <v>Greenhouse</v>
      </c>
      <c r="G865" s="63">
        <f>VLOOKUP(C865,'RAW DATA 2023'!E:BO,13,0)</f>
        <v>167</v>
      </c>
      <c r="H865" s="63">
        <f t="shared" si="109"/>
        <v>180</v>
      </c>
      <c r="I865" s="63">
        <f t="shared" si="105"/>
        <v>10.247</v>
      </c>
      <c r="J865" s="106">
        <f>VLOOKUP(C865,'RAW DATA 2023'!E:BO,22,0)</f>
        <v>11.185146666666668</v>
      </c>
      <c r="K865" s="70">
        <f t="shared" si="106"/>
        <v>1.0915533001528905</v>
      </c>
      <c r="L865" s="72"/>
      <c r="M865" s="109">
        <f t="shared" si="111"/>
        <v>7.8873773353718741</v>
      </c>
      <c r="N865" s="123" t="str">
        <f>VLOOKUP(C865,'RAW DATA 2023'!E:BO,36,0)</f>
        <v>Normal</v>
      </c>
      <c r="O865" s="63">
        <f>VLOOKUP(C865,'RAW DATA 2023'!E:BO,2,0)</f>
        <v>1.5</v>
      </c>
      <c r="P865" s="322">
        <f t="shared" si="110"/>
        <v>11.831066003057812</v>
      </c>
    </row>
    <row r="866" spans="1:16">
      <c r="A866" s="63" t="str">
        <f>'RAW DATA 2023'!B859</f>
        <v>Nakornfarm</v>
      </c>
      <c r="B866" s="63" t="str">
        <f>'RAW DATA 2023'!D859</f>
        <v>BG-101-0010</v>
      </c>
      <c r="C866" s="63" t="str">
        <f t="shared" si="107"/>
        <v>NakornfarmBG-101-0010</v>
      </c>
      <c r="D866" s="68">
        <f>VLOOKUP(C866,'RAW DATA 2023'!E:BP,63,0)</f>
        <v>7</v>
      </c>
      <c r="E866" s="68" t="str">
        <f t="shared" si="108"/>
        <v>Nakornfarm7</v>
      </c>
      <c r="F866" s="63" t="str">
        <f>VLOOKUP(C866,'RAW DATA 2023'!E:BO,5,0)</f>
        <v>Greenhouse</v>
      </c>
      <c r="G866" s="63">
        <f>VLOOKUP(C866,'RAW DATA 2023'!E:BO,13,0)</f>
        <v>194</v>
      </c>
      <c r="H866" s="63">
        <f t="shared" si="109"/>
        <v>200</v>
      </c>
      <c r="I866" s="63">
        <f t="shared" si="105"/>
        <v>11.259</v>
      </c>
      <c r="J866" s="106">
        <f>VLOOKUP(C866,'RAW DATA 2023'!E:BO,22,0)</f>
        <v>10.3728</v>
      </c>
      <c r="K866" s="70">
        <f t="shared" si="106"/>
        <v>0.92128963495869964</v>
      </c>
      <c r="L866" s="72"/>
      <c r="M866" s="109">
        <f t="shared" si="111"/>
        <v>5.6171951327826619</v>
      </c>
      <c r="N866" s="123" t="str">
        <f>VLOOKUP(C866,'RAW DATA 2023'!E:BO,36,0)</f>
        <v>Normal</v>
      </c>
      <c r="O866" s="63">
        <f>VLOOKUP(C866,'RAW DATA 2023'!E:BO,2,0)</f>
        <v>1.5</v>
      </c>
      <c r="P866" s="322">
        <f t="shared" si="110"/>
        <v>8.4257926991739929</v>
      </c>
    </row>
    <row r="867" spans="1:16">
      <c r="A867" s="63" t="str">
        <f>'RAW DATA 2023'!B860</f>
        <v>Nakornfarm</v>
      </c>
      <c r="B867" s="63" t="str">
        <f>'RAW DATA 2023'!D860</f>
        <v>BG-119-0010</v>
      </c>
      <c r="C867" s="63" t="str">
        <f t="shared" si="107"/>
        <v>NakornfarmBG-119-0010</v>
      </c>
      <c r="D867" s="68">
        <f>VLOOKUP(C867,'RAW DATA 2023'!E:BP,63,0)</f>
        <v>5</v>
      </c>
      <c r="E867" s="68" t="str">
        <f t="shared" si="108"/>
        <v>Nakornfarm5</v>
      </c>
      <c r="F867" s="63" t="str">
        <f>VLOOKUP(C867,'RAW DATA 2023'!E:BO,5,0)</f>
        <v>Greenhouse</v>
      </c>
      <c r="G867" s="63">
        <f>VLOOKUP(C867,'RAW DATA 2023'!E:BO,13,0)</f>
        <v>164</v>
      </c>
      <c r="H867" s="63">
        <f t="shared" si="109"/>
        <v>150</v>
      </c>
      <c r="I867" s="63">
        <f t="shared" si="105"/>
        <v>9.1999999999999993</v>
      </c>
      <c r="J867" s="106">
        <f>VLOOKUP(C867,'RAW DATA 2023'!E:BO,22,0)</f>
        <v>13.813810810810811</v>
      </c>
      <c r="K867" s="70">
        <f t="shared" si="106"/>
        <v>1.5015011750881317</v>
      </c>
      <c r="L867" s="72"/>
      <c r="M867" s="109">
        <f t="shared" si="111"/>
        <v>13.35334900117509</v>
      </c>
      <c r="N867" s="123" t="str">
        <f>VLOOKUP(C867,'RAW DATA 2023'!E:BO,36,0)</f>
        <v>Normal</v>
      </c>
      <c r="O867" s="63">
        <f>VLOOKUP(C867,'RAW DATA 2023'!E:BO,2,0)</f>
        <v>1.48</v>
      </c>
      <c r="P867" s="322">
        <f t="shared" si="110"/>
        <v>19.762956521739135</v>
      </c>
    </row>
    <row r="868" spans="1:16">
      <c r="A868" s="63" t="str">
        <f>'RAW DATA 2023'!B861</f>
        <v>Nakornfarm</v>
      </c>
      <c r="B868" s="63" t="str">
        <f>'RAW DATA 2023'!D861</f>
        <v>BG-116-0011</v>
      </c>
      <c r="C868" s="63" t="str">
        <f t="shared" si="107"/>
        <v>NakornfarmBG-116-0011</v>
      </c>
      <c r="D868" s="68">
        <f>VLOOKUP(C868,'RAW DATA 2023'!E:BP,63,0)</f>
        <v>10</v>
      </c>
      <c r="E868" s="68" t="str">
        <f t="shared" si="108"/>
        <v>Nakornfarm10</v>
      </c>
      <c r="F868" s="63" t="str">
        <f>VLOOKUP(C868,'RAW DATA 2023'!E:BO,5,0)</f>
        <v>Greenhouse</v>
      </c>
      <c r="G868" s="63">
        <f>VLOOKUP(C868,'RAW DATA 2023'!E:BO,13,0)</f>
        <v>167</v>
      </c>
      <c r="H868" s="63">
        <f t="shared" si="109"/>
        <v>180</v>
      </c>
      <c r="I868" s="63">
        <f t="shared" si="105"/>
        <v>10.247</v>
      </c>
      <c r="J868" s="106">
        <f>VLOOKUP(C868,'RAW DATA 2023'!E:BO,22,0)</f>
        <v>15.443773333333333</v>
      </c>
      <c r="K868" s="70">
        <f t="shared" si="106"/>
        <v>1.507150710777138</v>
      </c>
      <c r="L868" s="72"/>
      <c r="M868" s="109">
        <f t="shared" si="111"/>
        <v>13.428676143695174</v>
      </c>
      <c r="N868" s="123" t="str">
        <f>VLOOKUP(C868,'RAW DATA 2023'!E:BO,36,0)</f>
        <v>Normal</v>
      </c>
      <c r="O868" s="63">
        <f>VLOOKUP(C868,'RAW DATA 2023'!E:BO,2,0)</f>
        <v>1.5</v>
      </c>
      <c r="P868" s="322">
        <f t="shared" si="110"/>
        <v>20.143014215542763</v>
      </c>
    </row>
    <row r="869" spans="1:16">
      <c r="A869" s="63" t="str">
        <f>'RAW DATA 2023'!B862</f>
        <v>Nakornfarm</v>
      </c>
      <c r="B869" s="63" t="str">
        <f>'RAW DATA 2023'!D862</f>
        <v>BG-119-0011</v>
      </c>
      <c r="C869" s="63" t="str">
        <f t="shared" si="107"/>
        <v>NakornfarmBG-119-0011</v>
      </c>
      <c r="D869" s="68">
        <f>VLOOKUP(C869,'RAW DATA 2023'!E:BP,63,0)</f>
        <v>10</v>
      </c>
      <c r="E869" s="68" t="str">
        <f t="shared" si="108"/>
        <v>Nakornfarm10</v>
      </c>
      <c r="F869" s="63" t="str">
        <f>VLOOKUP(C869,'RAW DATA 2023'!E:BO,5,0)</f>
        <v>Greenhouse</v>
      </c>
      <c r="G869" s="63">
        <f>VLOOKUP(C869,'RAW DATA 2023'!E:BO,13,0)</f>
        <v>169</v>
      </c>
      <c r="H869" s="63">
        <f t="shared" si="109"/>
        <v>180</v>
      </c>
      <c r="I869" s="63">
        <f t="shared" si="105"/>
        <v>10.247</v>
      </c>
      <c r="J869" s="106">
        <f>VLOOKUP(C869,'RAW DATA 2023'!E:BO,22,0)</f>
        <v>13.19139189189189</v>
      </c>
      <c r="K869" s="70">
        <f t="shared" si="106"/>
        <v>1.2873418456027999</v>
      </c>
      <c r="L869" s="72"/>
      <c r="M869" s="109">
        <f t="shared" si="111"/>
        <v>10.497891274703999</v>
      </c>
      <c r="N869" s="123" t="str">
        <f>VLOOKUP(C869,'RAW DATA 2023'!E:BO,36,0)</f>
        <v>Normal</v>
      </c>
      <c r="O869" s="63">
        <f>VLOOKUP(C869,'RAW DATA 2023'!E:BO,2,0)</f>
        <v>1.48</v>
      </c>
      <c r="P869" s="322">
        <f t="shared" si="110"/>
        <v>15.536879086561919</v>
      </c>
    </row>
    <row r="870" spans="1:16">
      <c r="A870" s="63" t="str">
        <f>'RAW DATA 2023'!B863</f>
        <v>Nakornfarm</v>
      </c>
      <c r="B870" s="63" t="str">
        <f>'RAW DATA 2023'!D863</f>
        <v>BG-110-0011</v>
      </c>
      <c r="C870" s="63" t="str">
        <f t="shared" si="107"/>
        <v>NakornfarmBG-110-0011</v>
      </c>
      <c r="D870" s="68">
        <f>VLOOKUP(C870,'RAW DATA 2023'!E:BP,63,0)</f>
        <v>6</v>
      </c>
      <c r="E870" s="68" t="str">
        <f t="shared" si="108"/>
        <v>Nakornfarm6</v>
      </c>
      <c r="F870" s="63" t="str">
        <f>VLOOKUP(C870,'RAW DATA 2023'!E:BO,5,0)</f>
        <v>Greenhouse</v>
      </c>
      <c r="G870" s="63">
        <f>VLOOKUP(C870,'RAW DATA 2023'!E:BO,13,0)</f>
        <v>162</v>
      </c>
      <c r="H870" s="63">
        <f t="shared" si="109"/>
        <v>150</v>
      </c>
      <c r="I870" s="63">
        <f t="shared" si="105"/>
        <v>9.1999999999999993</v>
      </c>
      <c r="J870" s="106">
        <f>VLOOKUP(C870,'RAW DATA 2023'!E:BO,22,0)</f>
        <v>11.884740000000001</v>
      </c>
      <c r="K870" s="70">
        <f t="shared" si="106"/>
        <v>1.2918195652173914</v>
      </c>
      <c r="L870" s="72"/>
      <c r="M870" s="109">
        <f t="shared" si="111"/>
        <v>10.557594202898553</v>
      </c>
      <c r="N870" s="123" t="str">
        <f>VLOOKUP(C870,'RAW DATA 2023'!E:BO,36,0)</f>
        <v>Normal</v>
      </c>
      <c r="O870" s="63">
        <f>VLOOKUP(C870,'RAW DATA 2023'!E:BO,2,0)</f>
        <v>1.5</v>
      </c>
      <c r="P870" s="322">
        <f t="shared" si="110"/>
        <v>15.836391304347829</v>
      </c>
    </row>
    <row r="871" spans="1:16">
      <c r="A871" s="63" t="str">
        <f>'RAW DATA 2023'!B864</f>
        <v>Nakornfarm</v>
      </c>
      <c r="B871" s="63" t="str">
        <f>'RAW DATA 2023'!D864</f>
        <v>BG-102-0011</v>
      </c>
      <c r="C871" s="63" t="str">
        <f t="shared" si="107"/>
        <v>NakornfarmBG-102-0011</v>
      </c>
      <c r="D871" s="68">
        <f>VLOOKUP(C871,'RAW DATA 2023'!E:BP,63,0)</f>
        <v>9</v>
      </c>
      <c r="E871" s="68" t="str">
        <f t="shared" si="108"/>
        <v>Nakornfarm9</v>
      </c>
      <c r="F871" s="63" t="str">
        <f>VLOOKUP(C871,'RAW DATA 2023'!E:BO,5,0)</f>
        <v>Greenhouse</v>
      </c>
      <c r="G871" s="63">
        <f>VLOOKUP(C871,'RAW DATA 2023'!E:BO,13,0)</f>
        <v>167</v>
      </c>
      <c r="H871" s="63">
        <f t="shared" si="109"/>
        <v>180</v>
      </c>
      <c r="I871" s="63">
        <f t="shared" si="105"/>
        <v>10.247</v>
      </c>
      <c r="J871" s="106">
        <f>VLOOKUP(C871,'RAW DATA 2023'!E:BO,22,0)</f>
        <v>10.237319999999999</v>
      </c>
      <c r="K871" s="70">
        <f t="shared" si="106"/>
        <v>0.99905533326827356</v>
      </c>
      <c r="L871" s="72"/>
      <c r="M871" s="109">
        <f t="shared" si="111"/>
        <v>6.6540711102436481</v>
      </c>
      <c r="N871" s="123" t="str">
        <f>VLOOKUP(C871,'RAW DATA 2023'!E:BO,36,0)</f>
        <v>Normal</v>
      </c>
      <c r="O871" s="63">
        <f>VLOOKUP(C871,'RAW DATA 2023'!E:BO,2,0)</f>
        <v>1.5</v>
      </c>
      <c r="P871" s="322">
        <f t="shared" si="110"/>
        <v>9.9811066653654716</v>
      </c>
    </row>
    <row r="872" spans="1:16">
      <c r="A872" s="63" t="str">
        <f>'RAW DATA 2023'!B865</f>
        <v>Nakornfarm</v>
      </c>
      <c r="B872" s="63" t="str">
        <f>'RAW DATA 2023'!D865</f>
        <v>BG-111-0010</v>
      </c>
      <c r="C872" s="63" t="str">
        <f t="shared" si="107"/>
        <v>NakornfarmBG-111-0010</v>
      </c>
      <c r="D872" s="68">
        <f>VLOOKUP(C872,'RAW DATA 2023'!E:BP,63,0)</f>
        <v>6</v>
      </c>
      <c r="E872" s="68" t="str">
        <f t="shared" si="108"/>
        <v>Nakornfarm6</v>
      </c>
      <c r="F872" s="63" t="str">
        <f>VLOOKUP(C872,'RAW DATA 2023'!E:BO,5,0)</f>
        <v>Greenhouse</v>
      </c>
      <c r="G872" s="63">
        <f>VLOOKUP(C872,'RAW DATA 2023'!E:BO,13,0)</f>
        <v>139</v>
      </c>
      <c r="H872" s="63">
        <f t="shared" si="109"/>
        <v>150</v>
      </c>
      <c r="I872" s="63">
        <f t="shared" si="105"/>
        <v>9.1999999999999993</v>
      </c>
      <c r="J872" s="106">
        <f>VLOOKUP(C872,'RAW DATA 2023'!E:BO,22,0)</f>
        <v>14.849254999999999</v>
      </c>
      <c r="K872" s="70">
        <f t="shared" si="106"/>
        <v>1.6140494565217391</v>
      </c>
      <c r="L872" s="72"/>
      <c r="M872" s="109">
        <f t="shared" si="111"/>
        <v>14.853992753623189</v>
      </c>
      <c r="N872" s="123" t="str">
        <f>VLOOKUP(C872,'RAW DATA 2023'!E:BO,36,0)</f>
        <v>Normal</v>
      </c>
      <c r="O872" s="63">
        <f>VLOOKUP(C872,'RAW DATA 2023'!E:BO,2,0)</f>
        <v>2</v>
      </c>
      <c r="P872" s="322">
        <f t="shared" si="110"/>
        <v>29.707985507246377</v>
      </c>
    </row>
    <row r="873" spans="1:16">
      <c r="A873" s="63" t="str">
        <f>'RAW DATA 2023'!B866</f>
        <v>Nakornfarm</v>
      </c>
      <c r="B873" s="63" t="str">
        <f>'RAW DATA 2023'!D866</f>
        <v>BG-116-0009</v>
      </c>
      <c r="C873" s="63" t="str">
        <f t="shared" si="107"/>
        <v>NakornfarmBG-116-0009</v>
      </c>
      <c r="D873" s="68">
        <f>VLOOKUP(C873,'RAW DATA 2023'!E:BP,63,0)</f>
        <v>3</v>
      </c>
      <c r="E873" s="68" t="str">
        <f t="shared" si="108"/>
        <v>Nakornfarm3</v>
      </c>
      <c r="F873" s="63" t="str">
        <f>VLOOKUP(C873,'RAW DATA 2023'!E:BO,5,0)</f>
        <v>Greenhouse</v>
      </c>
      <c r="G873" s="63">
        <f>VLOOKUP(C873,'RAW DATA 2023'!E:BO,13,0)</f>
        <v>198</v>
      </c>
      <c r="H873" s="63">
        <f t="shared" si="109"/>
        <v>200</v>
      </c>
      <c r="I873" s="63">
        <f t="shared" si="105"/>
        <v>11.259</v>
      </c>
      <c r="J873" s="106">
        <f>VLOOKUP(C873,'RAW DATA 2023'!E:BO,22,0)</f>
        <v>2.3604965986394557</v>
      </c>
      <c r="K873" s="70">
        <f t="shared" si="106"/>
        <v>0.20965419652184525</v>
      </c>
      <c r="L873" s="72"/>
      <c r="M873" s="109">
        <f t="shared" si="111"/>
        <v>-3.8712773797087303</v>
      </c>
      <c r="N873" s="123" t="str">
        <f>VLOOKUP(C873,'RAW DATA 2023'!E:BO,36,0)</f>
        <v>EHP</v>
      </c>
      <c r="O873" s="63">
        <f>VLOOKUP(C873,'RAW DATA 2023'!E:BO,2,0)</f>
        <v>1.47</v>
      </c>
      <c r="P873" s="322">
        <f t="shared" si="110"/>
        <v>-5.6907777481718336</v>
      </c>
    </row>
    <row r="874" spans="1:16">
      <c r="A874" s="63" t="str">
        <f>'RAW DATA 2023'!B867</f>
        <v>Nakornfarm</v>
      </c>
      <c r="B874" s="63" t="str">
        <f>'RAW DATA 2023'!D867</f>
        <v>BG-102-0010</v>
      </c>
      <c r="C874" s="63" t="str">
        <f t="shared" si="107"/>
        <v>NakornfarmBG-102-0010</v>
      </c>
      <c r="D874" s="68">
        <f>VLOOKUP(C874,'RAW DATA 2023'!E:BP,63,0)</f>
        <v>2</v>
      </c>
      <c r="E874" s="68" t="str">
        <f t="shared" si="108"/>
        <v>Nakornfarm2</v>
      </c>
      <c r="F874" s="63" t="str">
        <f>VLOOKUP(C874,'RAW DATA 2023'!E:BO,5,0)</f>
        <v>Greenhouse</v>
      </c>
      <c r="G874" s="63">
        <f>VLOOKUP(C874,'RAW DATA 2023'!E:BO,13,0)</f>
        <v>165</v>
      </c>
      <c r="H874" s="63">
        <f t="shared" si="109"/>
        <v>150</v>
      </c>
      <c r="I874" s="63">
        <f t="shared" si="105"/>
        <v>9.1999999999999993</v>
      </c>
      <c r="J874" s="106">
        <f>VLOOKUP(C874,'RAW DATA 2023'!E:BO,22,0)</f>
        <v>2.712979591836735</v>
      </c>
      <c r="K874" s="70">
        <f t="shared" si="106"/>
        <v>0.29488908606921033</v>
      </c>
      <c r="L874" s="72"/>
      <c r="M874" s="109">
        <f t="shared" si="111"/>
        <v>-2.7348121857438623</v>
      </c>
      <c r="N874" s="123" t="str">
        <f>VLOOKUP(C874,'RAW DATA 2023'!E:BO,36,0)</f>
        <v>EHP</v>
      </c>
      <c r="O874" s="63">
        <f>VLOOKUP(C874,'RAW DATA 2023'!E:BO,2,0)</f>
        <v>1.47</v>
      </c>
      <c r="P874" s="322">
        <f t="shared" si="110"/>
        <v>-4.0201739130434779</v>
      </c>
    </row>
    <row r="875" spans="1:16">
      <c r="A875" s="63" t="str">
        <f>'RAW DATA 2023'!B868</f>
        <v>Nakornfarm</v>
      </c>
      <c r="B875" s="63" t="str">
        <f>'RAW DATA 2023'!D868</f>
        <v>BG-110-0012</v>
      </c>
      <c r="C875" s="63" t="str">
        <f t="shared" si="107"/>
        <v>NakornfarmBG-110-0012</v>
      </c>
      <c r="D875" s="68">
        <f>VLOOKUP(C875,'RAW DATA 2023'!E:BP,63,0)</f>
        <v>8</v>
      </c>
      <c r="E875" s="68" t="str">
        <f t="shared" si="108"/>
        <v>Nakornfarm8</v>
      </c>
      <c r="F875" s="63" t="str">
        <f>VLOOKUP(C875,'RAW DATA 2023'!E:BO,5,0)</f>
        <v>Greenhouse</v>
      </c>
      <c r="G875" s="63">
        <f>VLOOKUP(C875,'RAW DATA 2023'!E:BO,13,0)</f>
        <v>140</v>
      </c>
      <c r="H875" s="63">
        <f t="shared" si="109"/>
        <v>150</v>
      </c>
      <c r="I875" s="63">
        <f t="shared" si="105"/>
        <v>9.1999999999999993</v>
      </c>
      <c r="J875" s="106">
        <f>VLOOKUP(C875,'RAW DATA 2023'!E:BO,22,0)</f>
        <v>0</v>
      </c>
      <c r="K875" s="70">
        <f t="shared" si="106"/>
        <v>0</v>
      </c>
      <c r="L875" s="72"/>
      <c r="M875" s="109">
        <f t="shared" si="111"/>
        <v>-6.666666666666667</v>
      </c>
      <c r="N875" s="123" t="str">
        <f>VLOOKUP(C875,'RAW DATA 2023'!E:BO,36,0)</f>
        <v>EHP</v>
      </c>
      <c r="O875" s="63">
        <f>VLOOKUP(C875,'RAW DATA 2023'!E:BO,2,0)</f>
        <v>1.5</v>
      </c>
      <c r="P875" s="322">
        <f t="shared" si="110"/>
        <v>-10</v>
      </c>
    </row>
    <row r="876" spans="1:16">
      <c r="A876" s="63" t="str">
        <f>'RAW DATA 2023'!B869</f>
        <v>Nakornfarm</v>
      </c>
      <c r="B876" s="63" t="str">
        <f>'RAW DATA 2023'!D869</f>
        <v>BG-113-0009</v>
      </c>
      <c r="C876" s="63" t="str">
        <f t="shared" si="107"/>
        <v>NakornfarmBG-113-0009</v>
      </c>
      <c r="D876" s="68">
        <f>VLOOKUP(C876,'RAW DATA 2023'!E:BP,63,0)</f>
        <v>1</v>
      </c>
      <c r="E876" s="68" t="str">
        <f t="shared" si="108"/>
        <v>Nakornfarm1</v>
      </c>
      <c r="F876" s="63" t="str">
        <f>VLOOKUP(C876,'RAW DATA 2023'!E:BO,5,0)</f>
        <v>Greenhouse</v>
      </c>
      <c r="G876" s="63">
        <f>VLOOKUP(C876,'RAW DATA 2023'!E:BO,13,0)</f>
        <v>169</v>
      </c>
      <c r="H876" s="63">
        <f t="shared" si="109"/>
        <v>180</v>
      </c>
      <c r="I876" s="63">
        <f t="shared" si="105"/>
        <v>10.247</v>
      </c>
      <c r="J876" s="106">
        <f>VLOOKUP(C876,'RAW DATA 2023'!E:BO,22,0)</f>
        <v>0</v>
      </c>
      <c r="K876" s="70">
        <f t="shared" si="106"/>
        <v>0</v>
      </c>
      <c r="L876" s="72"/>
      <c r="M876" s="109">
        <f t="shared" si="111"/>
        <v>-6.666666666666667</v>
      </c>
      <c r="N876" s="123" t="str">
        <f>VLOOKUP(C876,'RAW DATA 2023'!E:BO,36,0)</f>
        <v>EHP</v>
      </c>
      <c r="O876" s="63">
        <f>VLOOKUP(C876,'RAW DATA 2023'!E:BO,2,0)</f>
        <v>1.44</v>
      </c>
      <c r="P876" s="322">
        <f t="shared" si="110"/>
        <v>-9.6</v>
      </c>
    </row>
    <row r="877" spans="1:16">
      <c r="A877" s="63" t="str">
        <f>'RAW DATA 2023'!B870</f>
        <v>Nakornfarm</v>
      </c>
      <c r="B877" s="63" t="str">
        <f>'RAW DATA 2023'!D870</f>
        <v>E1-075-0011</v>
      </c>
      <c r="C877" s="63" t="str">
        <f t="shared" si="107"/>
        <v>NakornfarmE1-075-0011</v>
      </c>
      <c r="D877" s="68">
        <f>VLOOKUP(C877,'RAW DATA 2023'!E:BP,63,0)</f>
        <v>4</v>
      </c>
      <c r="E877" s="68" t="str">
        <f t="shared" si="108"/>
        <v>Nakornfarm4</v>
      </c>
      <c r="F877" s="63" t="str">
        <f>VLOOKUP(C877,'RAW DATA 2023'!E:BO,5,0)</f>
        <v>Outdoor</v>
      </c>
      <c r="G877" s="63">
        <f>VLOOKUP(C877,'RAW DATA 2023'!E:BO,13,0)</f>
        <v>172</v>
      </c>
      <c r="H877" s="63">
        <f t="shared" si="109"/>
        <v>180</v>
      </c>
      <c r="I877" s="63">
        <f t="shared" si="105"/>
        <v>10.247</v>
      </c>
      <c r="J877" s="106">
        <f>VLOOKUP(C877,'RAW DATA 2023'!E:BO,22,0)</f>
        <v>6.2901882352941181</v>
      </c>
      <c r="K877" s="70">
        <f t="shared" si="106"/>
        <v>0.61385656634079422</v>
      </c>
      <c r="L877" s="72"/>
      <c r="M877" s="109">
        <f t="shared" si="111"/>
        <v>1.5180875512105896</v>
      </c>
      <c r="N877" s="123" t="str">
        <f>VLOOKUP(C877,'RAW DATA 2023'!E:BO,36,0)</f>
        <v>EHP</v>
      </c>
      <c r="O877" s="63">
        <f>VLOOKUP(C877,'RAW DATA 2023'!E:BO,2,0)</f>
        <v>1.7</v>
      </c>
      <c r="P877" s="322">
        <f t="shared" si="110"/>
        <v>2.5807488370580023</v>
      </c>
    </row>
    <row r="878" spans="1:16">
      <c r="A878" s="63" t="str">
        <f>'RAW DATA 2023'!B871</f>
        <v>Nakornfarm</v>
      </c>
      <c r="B878" s="63" t="str">
        <f>'RAW DATA 2023'!D871</f>
        <v>BG-102-0012</v>
      </c>
      <c r="C878" s="63" t="str">
        <f t="shared" si="107"/>
        <v>NakornfarmBG-102-0012</v>
      </c>
      <c r="D878" s="68">
        <f>VLOOKUP(C878,'RAW DATA 2023'!E:BP,63,0)</f>
        <v>12</v>
      </c>
      <c r="E878" s="68" t="str">
        <f t="shared" si="108"/>
        <v>Nakornfarm12</v>
      </c>
      <c r="F878" s="63" t="str">
        <f>VLOOKUP(C878,'RAW DATA 2023'!E:BO,5,0)</f>
        <v>Greenhouse</v>
      </c>
      <c r="G878" s="63">
        <f>VLOOKUP(C878,'RAW DATA 2023'!E:BO,13,0)</f>
        <v>208</v>
      </c>
      <c r="H878" s="63">
        <f t="shared" si="109"/>
        <v>200</v>
      </c>
      <c r="I878" s="63">
        <f t="shared" si="105"/>
        <v>11.259</v>
      </c>
      <c r="J878" s="106">
        <f>VLOOKUP(C878,'RAW DATA 2023'!E:BO,22,0)</f>
        <v>9.92042</v>
      </c>
      <c r="K878" s="70">
        <f t="shared" si="106"/>
        <v>0.88111022293276486</v>
      </c>
      <c r="L878" s="72"/>
      <c r="M878" s="109">
        <f t="shared" si="111"/>
        <v>5.0814696391035321</v>
      </c>
      <c r="N878" s="123" t="str">
        <f>VLOOKUP(C878,'RAW DATA 2023'!E:BO,36,0)</f>
        <v>EHP</v>
      </c>
      <c r="O878" s="63">
        <f>VLOOKUP(C878,'RAW DATA 2023'!E:BO,2,0)</f>
        <v>1.5</v>
      </c>
      <c r="P878" s="322">
        <f t="shared" si="110"/>
        <v>7.6222044586552986</v>
      </c>
    </row>
    <row r="879" spans="1:16">
      <c r="A879" s="63" t="str">
        <f>'RAW DATA 2023'!B872</f>
        <v>Nakornfarm</v>
      </c>
      <c r="B879" s="63" t="str">
        <f>'RAW DATA 2023'!D872</f>
        <v>BG-101-0011</v>
      </c>
      <c r="C879" s="63" t="str">
        <f t="shared" si="107"/>
        <v>NakornfarmBG-101-0011</v>
      </c>
      <c r="D879" s="68">
        <f>VLOOKUP(C879,'RAW DATA 2023'!E:BP,63,0)</f>
        <v>12</v>
      </c>
      <c r="E879" s="68" t="str">
        <f t="shared" si="108"/>
        <v>Nakornfarm12</v>
      </c>
      <c r="F879" s="63" t="str">
        <f>VLOOKUP(C879,'RAW DATA 2023'!E:BO,5,0)</f>
        <v>Greenhouse</v>
      </c>
      <c r="G879" s="63">
        <f>VLOOKUP(C879,'RAW DATA 2023'!E:BO,13,0)</f>
        <v>208</v>
      </c>
      <c r="H879" s="63">
        <f t="shared" si="109"/>
        <v>200</v>
      </c>
      <c r="I879" s="63">
        <f t="shared" si="105"/>
        <v>11.259</v>
      </c>
      <c r="J879" s="106">
        <f>VLOOKUP(C879,'RAW DATA 2023'!E:BO,22,0)</f>
        <v>11.744926666666666</v>
      </c>
      <c r="K879" s="70">
        <f t="shared" si="106"/>
        <v>1.0431589543180271</v>
      </c>
      <c r="L879" s="72"/>
      <c r="M879" s="109">
        <f t="shared" si="111"/>
        <v>7.2421193909070283</v>
      </c>
      <c r="N879" s="123" t="str">
        <f>VLOOKUP(C879,'RAW DATA 2023'!E:BO,36,0)</f>
        <v>EHP</v>
      </c>
      <c r="O879" s="63">
        <f>VLOOKUP(C879,'RAW DATA 2023'!E:BO,2,0)</f>
        <v>1.5</v>
      </c>
      <c r="P879" s="322">
        <f t="shared" si="110"/>
        <v>10.863179086360542</v>
      </c>
    </row>
    <row r="880" spans="1:16">
      <c r="A880" s="63" t="str">
        <f>'RAW DATA 2023'!B873</f>
        <v>Nakornfarm</v>
      </c>
      <c r="B880" s="63" t="str">
        <f>'RAW DATA 2023'!D873</f>
        <v>E1-077-0016</v>
      </c>
      <c r="C880" s="63" t="str">
        <f t="shared" si="107"/>
        <v>NakornfarmE1-077-0016</v>
      </c>
      <c r="D880" s="68">
        <f>VLOOKUP(C880,'RAW DATA 2023'!E:BP,63,0)</f>
        <v>7</v>
      </c>
      <c r="E880" s="68" t="str">
        <f t="shared" si="108"/>
        <v>Nakornfarm7</v>
      </c>
      <c r="F880" s="63" t="str">
        <f>VLOOKUP(C880,'RAW DATA 2023'!E:BO,5,0)</f>
        <v>Outdoor</v>
      </c>
      <c r="G880" s="63">
        <f>VLOOKUP(C880,'RAW DATA 2023'!E:BO,13,0)</f>
        <v>139</v>
      </c>
      <c r="H880" s="63">
        <f t="shared" si="109"/>
        <v>150</v>
      </c>
      <c r="I880" s="63">
        <f t="shared" si="105"/>
        <v>9.1999999999999993</v>
      </c>
      <c r="J880" s="106">
        <f>VLOOKUP(C880,'RAW DATA 2023'!E:BO,22,0)</f>
        <v>2.8783400000000001</v>
      </c>
      <c r="K880" s="70">
        <f t="shared" si="106"/>
        <v>0.31286304347826088</v>
      </c>
      <c r="L880" s="72"/>
      <c r="M880" s="109">
        <f t="shared" si="111"/>
        <v>-2.495159420289855</v>
      </c>
      <c r="N880" s="123" t="str">
        <f>VLOOKUP(C880,'RAW DATA 2023'!E:BO,36,0)</f>
        <v>EHP</v>
      </c>
      <c r="O880" s="63">
        <f>VLOOKUP(C880,'RAW DATA 2023'!E:BO,2,0)</f>
        <v>1.5</v>
      </c>
      <c r="P880" s="322">
        <f t="shared" si="110"/>
        <v>-3.7427391304347823</v>
      </c>
    </row>
    <row r="881" spans="1:16">
      <c r="A881" s="63" t="str">
        <f>'RAW DATA 2023'!B874</f>
        <v>Nakornfarm</v>
      </c>
      <c r="B881" s="63" t="str">
        <f>'RAW DATA 2023'!D874</f>
        <v>E1-074-0012</v>
      </c>
      <c r="C881" s="63" t="str">
        <f t="shared" si="107"/>
        <v>NakornfarmE1-074-0012</v>
      </c>
      <c r="D881" s="68">
        <f>VLOOKUP(C881,'RAW DATA 2023'!E:BP,63,0)</f>
        <v>4</v>
      </c>
      <c r="E881" s="68" t="str">
        <f t="shared" si="108"/>
        <v>Nakornfarm4</v>
      </c>
      <c r="F881" s="63" t="str">
        <f>VLOOKUP(C881,'RAW DATA 2023'!E:BO,5,0)</f>
        <v>Outdoor</v>
      </c>
      <c r="G881" s="63">
        <f>VLOOKUP(C881,'RAW DATA 2023'!E:BO,13,0)</f>
        <v>172</v>
      </c>
      <c r="H881" s="63">
        <f t="shared" si="109"/>
        <v>180</v>
      </c>
      <c r="I881" s="63">
        <f t="shared" si="105"/>
        <v>10.247</v>
      </c>
      <c r="J881" s="106">
        <f>VLOOKUP(C881,'RAW DATA 2023'!E:BO,22,0)</f>
        <v>3.8728941176470588</v>
      </c>
      <c r="K881" s="70">
        <f t="shared" si="106"/>
        <v>0.37795394921899667</v>
      </c>
      <c r="L881" s="72"/>
      <c r="M881" s="109">
        <f t="shared" si="111"/>
        <v>-1.6272806770800445</v>
      </c>
      <c r="N881" s="123" t="str">
        <f>VLOOKUP(C881,'RAW DATA 2023'!E:BO,36,0)</f>
        <v>EHP</v>
      </c>
      <c r="O881" s="63">
        <f>VLOOKUP(C881,'RAW DATA 2023'!E:BO,2,0)</f>
        <v>1.7</v>
      </c>
      <c r="P881" s="322">
        <f t="shared" si="110"/>
        <v>-2.7663771510360755</v>
      </c>
    </row>
    <row r="882" spans="1:16">
      <c r="A882" s="63" t="str">
        <f>'RAW DATA 2023'!B875</f>
        <v>Nakornfarm</v>
      </c>
      <c r="B882" s="63" t="str">
        <f>'RAW DATA 2023'!D875</f>
        <v>D1-081-0013</v>
      </c>
      <c r="C882" s="63" t="str">
        <f t="shared" si="107"/>
        <v>NakornfarmD1-081-0013</v>
      </c>
      <c r="D882" s="68">
        <f>VLOOKUP(C882,'RAW DATA 2023'!E:BP,63,0)</f>
        <v>4</v>
      </c>
      <c r="E882" s="68" t="str">
        <f t="shared" si="108"/>
        <v>Nakornfarm4</v>
      </c>
      <c r="F882" s="63" t="str">
        <f>VLOOKUP(C882,'RAW DATA 2023'!E:BO,5,0)</f>
        <v>Outdoor</v>
      </c>
      <c r="G882" s="63">
        <f>VLOOKUP(C882,'RAW DATA 2023'!E:BO,13,0)</f>
        <v>139</v>
      </c>
      <c r="H882" s="63">
        <f t="shared" si="109"/>
        <v>150</v>
      </c>
      <c r="I882" s="63">
        <f t="shared" si="105"/>
        <v>9.1999999999999993</v>
      </c>
      <c r="J882" s="106">
        <f>VLOOKUP(C882,'RAW DATA 2023'!E:BO,22,0)</f>
        <v>3.0325944444444444</v>
      </c>
      <c r="K882" s="70">
        <f t="shared" si="106"/>
        <v>0.3296298309178744</v>
      </c>
      <c r="L882" s="72"/>
      <c r="M882" s="109">
        <f t="shared" si="111"/>
        <v>-2.2716022544283416</v>
      </c>
      <c r="N882" s="123" t="str">
        <f>VLOOKUP(C882,'RAW DATA 2023'!E:BO,36,0)</f>
        <v>EHP</v>
      </c>
      <c r="O882" s="63">
        <f>VLOOKUP(C882,'RAW DATA 2023'!E:BO,2,0)</f>
        <v>1.8</v>
      </c>
      <c r="P882" s="322">
        <f t="shared" si="110"/>
        <v>-4.0888840579710148</v>
      </c>
    </row>
    <row r="883" spans="1:16">
      <c r="A883" s="63" t="str">
        <f>'RAW DATA 2023'!B876</f>
        <v>Nakornfarm</v>
      </c>
      <c r="B883" s="63" t="str">
        <f>'RAW DATA 2023'!D876</f>
        <v>E1-077-0015</v>
      </c>
      <c r="C883" s="63" t="str">
        <f t="shared" si="107"/>
        <v>NakornfarmE1-077-0015</v>
      </c>
      <c r="D883" s="68">
        <f>VLOOKUP(C883,'RAW DATA 2023'!E:BP,63,0)</f>
        <v>4</v>
      </c>
      <c r="E883" s="68" t="str">
        <f t="shared" si="108"/>
        <v>Nakornfarm4</v>
      </c>
      <c r="F883" s="63" t="str">
        <f>VLOOKUP(C883,'RAW DATA 2023'!E:BO,5,0)</f>
        <v>Outdoor</v>
      </c>
      <c r="G883" s="63">
        <f>VLOOKUP(C883,'RAW DATA 2023'!E:BO,13,0)</f>
        <v>194</v>
      </c>
      <c r="H883" s="63">
        <f t="shared" si="109"/>
        <v>200</v>
      </c>
      <c r="I883" s="63">
        <f t="shared" si="105"/>
        <v>11.259</v>
      </c>
      <c r="J883" s="106">
        <f>VLOOKUP(C883,'RAW DATA 2023'!E:BO,22,0)</f>
        <v>2.750386666666667</v>
      </c>
      <c r="K883" s="70">
        <f t="shared" si="106"/>
        <v>0.24428338810433137</v>
      </c>
      <c r="L883" s="72"/>
      <c r="M883" s="109">
        <f t="shared" si="111"/>
        <v>-3.4095548252755821</v>
      </c>
      <c r="N883" s="123" t="str">
        <f>VLOOKUP(C883,'RAW DATA 2023'!E:BO,36,0)</f>
        <v>EHP</v>
      </c>
      <c r="O883" s="63">
        <f>VLOOKUP(C883,'RAW DATA 2023'!E:BO,2,0)</f>
        <v>1.5</v>
      </c>
      <c r="P883" s="322">
        <f t="shared" si="110"/>
        <v>-5.1143322379133735</v>
      </c>
    </row>
    <row r="884" spans="1:16">
      <c r="A884" s="63" t="str">
        <f>'RAW DATA 2023'!B877</f>
        <v>Nakornfarm</v>
      </c>
      <c r="B884" s="63" t="str">
        <f>'RAW DATA 2023'!D877</f>
        <v>D1-080-0015</v>
      </c>
      <c r="C884" s="63" t="str">
        <f t="shared" si="107"/>
        <v>NakornfarmD1-080-0015</v>
      </c>
      <c r="D884" s="68">
        <f>VLOOKUP(C884,'RAW DATA 2023'!E:BP,63,0)</f>
        <v>4</v>
      </c>
      <c r="E884" s="68" t="str">
        <f t="shared" si="108"/>
        <v>Nakornfarm4</v>
      </c>
      <c r="F884" s="63" t="str">
        <f>VLOOKUP(C884,'RAW DATA 2023'!E:BO,5,0)</f>
        <v>Outdoor</v>
      </c>
      <c r="G884" s="63">
        <f>VLOOKUP(C884,'RAW DATA 2023'!E:BO,13,0)</f>
        <v>139</v>
      </c>
      <c r="H884" s="63">
        <f t="shared" si="109"/>
        <v>150</v>
      </c>
      <c r="I884" s="63">
        <f t="shared" si="105"/>
        <v>9.1999999999999993</v>
      </c>
      <c r="J884" s="106">
        <f>VLOOKUP(C884,'RAW DATA 2023'!E:BO,22,0)</f>
        <v>2.9711222222222222</v>
      </c>
      <c r="K884" s="70">
        <f t="shared" si="106"/>
        <v>0.32294806763285028</v>
      </c>
      <c r="L884" s="72"/>
      <c r="M884" s="109">
        <f t="shared" si="111"/>
        <v>-2.3606924315619966</v>
      </c>
      <c r="N884" s="123" t="str">
        <f>VLOOKUP(C884,'RAW DATA 2023'!E:BO,36,0)</f>
        <v>EHP</v>
      </c>
      <c r="O884" s="63">
        <f>VLOOKUP(C884,'RAW DATA 2023'!E:BO,2,0)</f>
        <v>1.8</v>
      </c>
      <c r="P884" s="322">
        <f t="shared" si="110"/>
        <v>-4.2492463768115938</v>
      </c>
    </row>
    <row r="885" spans="1:16">
      <c r="A885" s="63" t="str">
        <f>'RAW DATA 2023'!B878</f>
        <v>Nakornfarm</v>
      </c>
      <c r="B885" s="63" t="str">
        <f>'RAW DATA 2023'!D878</f>
        <v>D1-083-0013</v>
      </c>
      <c r="C885" s="63" t="str">
        <f t="shared" si="107"/>
        <v>NakornfarmD1-083-0013</v>
      </c>
      <c r="D885" s="68">
        <f>VLOOKUP(C885,'RAW DATA 2023'!E:BP,63,0)</f>
        <v>4</v>
      </c>
      <c r="E885" s="68" t="str">
        <f t="shared" si="108"/>
        <v>Nakornfarm4</v>
      </c>
      <c r="F885" s="63" t="str">
        <f>VLOOKUP(C885,'RAW DATA 2023'!E:BO,5,0)</f>
        <v>Outdoor</v>
      </c>
      <c r="G885" s="63">
        <f>VLOOKUP(C885,'RAW DATA 2023'!E:BO,13,0)</f>
        <v>154</v>
      </c>
      <c r="H885" s="63">
        <f t="shared" si="109"/>
        <v>150</v>
      </c>
      <c r="I885" s="63">
        <f t="shared" si="105"/>
        <v>9.1999999999999993</v>
      </c>
      <c r="J885" s="106">
        <f>VLOOKUP(C885,'RAW DATA 2023'!E:BO,22,0)</f>
        <v>1.2742222222222221</v>
      </c>
      <c r="K885" s="70">
        <f t="shared" si="106"/>
        <v>0.13850241545893721</v>
      </c>
      <c r="L885" s="72"/>
      <c r="M885" s="109">
        <f t="shared" si="111"/>
        <v>-4.8199677938808376</v>
      </c>
      <c r="N885" s="123" t="str">
        <f>VLOOKUP(C885,'RAW DATA 2023'!E:BO,36,0)</f>
        <v>EHP</v>
      </c>
      <c r="O885" s="63">
        <f>VLOOKUP(C885,'RAW DATA 2023'!E:BO,2,0)</f>
        <v>1.8</v>
      </c>
      <c r="P885" s="322">
        <f t="shared" si="110"/>
        <v>-8.6759420289855083</v>
      </c>
    </row>
    <row r="886" spans="1:16">
      <c r="A886" s="63" t="str">
        <f>'RAW DATA 2023'!B879</f>
        <v>Nakornfarm</v>
      </c>
      <c r="B886" s="63" t="str">
        <f>'RAW DATA 2023'!D879</f>
        <v>FG-125-0009</v>
      </c>
      <c r="C886" s="63" t="str">
        <f t="shared" si="107"/>
        <v>NakornfarmFG-125-0009</v>
      </c>
      <c r="D886" s="68">
        <f>VLOOKUP(C886,'RAW DATA 2023'!E:BP,63,0)</f>
        <v>4</v>
      </c>
      <c r="E886" s="68" t="str">
        <f t="shared" si="108"/>
        <v>Nakornfarm4</v>
      </c>
      <c r="F886" s="63" t="str">
        <f>VLOOKUP(C886,'RAW DATA 2023'!E:BO,5,0)</f>
        <v>Greenhouse</v>
      </c>
      <c r="G886" s="63">
        <f>VLOOKUP(C886,'RAW DATA 2023'!E:BO,13,0)</f>
        <v>124</v>
      </c>
      <c r="H886" s="63">
        <f t="shared" si="109"/>
        <v>100</v>
      </c>
      <c r="I886" s="63">
        <f t="shared" ref="I886:I949" si="112">IF(F886=$W$1,VLOOKUP(H886,Y:Z,2,0),VLOOKUP(H886,AF:AG,2,0))</f>
        <v>0</v>
      </c>
      <c r="J886" s="106">
        <f>VLOOKUP(C886,'RAW DATA 2023'!E:BO,22,0)</f>
        <v>12.757885714285715</v>
      </c>
      <c r="K886" s="70" t="e">
        <f t="shared" si="106"/>
        <v>#DIV/0!</v>
      </c>
      <c r="L886" s="72"/>
      <c r="M886" s="109" t="e">
        <f t="shared" si="111"/>
        <v>#DIV/0!</v>
      </c>
      <c r="N886" s="123" t="str">
        <f>VLOOKUP(C886,'RAW DATA 2023'!E:BO,36,0)</f>
        <v>Normal</v>
      </c>
      <c r="O886" s="63">
        <f>VLOOKUP(C886,'RAW DATA 2023'!E:BO,2,0)</f>
        <v>1.4</v>
      </c>
      <c r="P886" s="322" t="e">
        <f t="shared" si="110"/>
        <v>#DIV/0!</v>
      </c>
    </row>
    <row r="887" spans="1:16">
      <c r="A887" s="63" t="str">
        <f>'RAW DATA 2023'!B880</f>
        <v>Nakornfarm</v>
      </c>
      <c r="B887" s="63" t="str">
        <f>'RAW DATA 2023'!D880</f>
        <v>F1-089-0012</v>
      </c>
      <c r="C887" s="63" t="str">
        <f t="shared" si="107"/>
        <v>NakornfarmF1-089-0012</v>
      </c>
      <c r="D887" s="68">
        <f>VLOOKUP(C887,'RAW DATA 2023'!E:BP,63,0)</f>
        <v>4</v>
      </c>
      <c r="E887" s="68" t="str">
        <f t="shared" si="108"/>
        <v>Nakornfarm4</v>
      </c>
      <c r="F887" s="63" t="str">
        <f>VLOOKUP(C887,'RAW DATA 2023'!E:BO,5,0)</f>
        <v>Outdoor</v>
      </c>
      <c r="G887" s="63">
        <f>VLOOKUP(C887,'RAW DATA 2023'!E:BO,13,0)</f>
        <v>185</v>
      </c>
      <c r="H887" s="63">
        <f t="shared" si="109"/>
        <v>180</v>
      </c>
      <c r="I887" s="63">
        <f t="shared" si="112"/>
        <v>10.247</v>
      </c>
      <c r="J887" s="106">
        <f>VLOOKUP(C887,'RAW DATA 2023'!E:BO,22,0)</f>
        <v>8.5569611111111108</v>
      </c>
      <c r="K887" s="70">
        <f t="shared" ref="K887:K950" si="113">J887/I887</f>
        <v>0.83506988495277745</v>
      </c>
      <c r="L887" s="72"/>
      <c r="M887" s="109">
        <f t="shared" si="111"/>
        <v>4.4675984660370327</v>
      </c>
      <c r="N887" s="123" t="str">
        <f>VLOOKUP(C887,'RAW DATA 2023'!E:BO,36,0)</f>
        <v>EHP</v>
      </c>
      <c r="O887" s="63">
        <f>VLOOKUP(C887,'RAW DATA 2023'!E:BO,2,0)</f>
        <v>1.8</v>
      </c>
      <c r="P887" s="322">
        <f t="shared" si="110"/>
        <v>8.0416772388666597</v>
      </c>
    </row>
    <row r="888" spans="1:16">
      <c r="A888" s="63" t="str">
        <f>'RAW DATA 2023'!B881</f>
        <v>Nakornfarm</v>
      </c>
      <c r="B888" s="63" t="str">
        <f>'RAW DATA 2023'!D881</f>
        <v>F1-090-0012</v>
      </c>
      <c r="C888" s="63" t="str">
        <f t="shared" si="107"/>
        <v>NakornfarmF1-090-0012</v>
      </c>
      <c r="D888" s="68">
        <f>VLOOKUP(C888,'RAW DATA 2023'!E:BP,63,0)</f>
        <v>3</v>
      </c>
      <c r="E888" s="68" t="str">
        <f t="shared" si="108"/>
        <v>Nakornfarm3</v>
      </c>
      <c r="F888" s="63" t="str">
        <f>VLOOKUP(C888,'RAW DATA 2023'!E:BO,5,0)</f>
        <v>Outdoor</v>
      </c>
      <c r="G888" s="63">
        <f>VLOOKUP(C888,'RAW DATA 2023'!E:BO,13,0)</f>
        <v>139</v>
      </c>
      <c r="H888" s="63">
        <f t="shared" si="109"/>
        <v>150</v>
      </c>
      <c r="I888" s="63">
        <f t="shared" si="112"/>
        <v>9.1999999999999993</v>
      </c>
      <c r="J888" s="106">
        <f>VLOOKUP(C888,'RAW DATA 2023'!E:BO,22,0)</f>
        <v>6.5991111111111103</v>
      </c>
      <c r="K888" s="70">
        <f t="shared" si="113"/>
        <v>0.71729468599033808</v>
      </c>
      <c r="L888" s="72"/>
      <c r="M888" s="109">
        <f t="shared" si="111"/>
        <v>2.8972624798711744</v>
      </c>
      <c r="N888" s="123" t="str">
        <f>VLOOKUP(C888,'RAW DATA 2023'!E:BO,36,0)</f>
        <v>EHP</v>
      </c>
      <c r="O888" s="63">
        <f>VLOOKUP(C888,'RAW DATA 2023'!E:BO,2,0)</f>
        <v>1.8</v>
      </c>
      <c r="P888" s="322">
        <f t="shared" si="110"/>
        <v>5.2150724637681138</v>
      </c>
    </row>
    <row r="889" spans="1:16">
      <c r="A889" s="63" t="str">
        <f>'RAW DATA 2023'!B882</f>
        <v>Nakornfarm</v>
      </c>
      <c r="B889" s="63" t="str">
        <f>'RAW DATA 2023'!D882</f>
        <v>F1-089-0013</v>
      </c>
      <c r="C889" s="63" t="str">
        <f t="shared" si="107"/>
        <v>NakornfarmF1-089-0013</v>
      </c>
      <c r="D889" s="68">
        <f>VLOOKUP(C889,'RAW DATA 2023'!E:BP,63,0)</f>
        <v>7</v>
      </c>
      <c r="E889" s="68" t="str">
        <f t="shared" si="108"/>
        <v>Nakornfarm7</v>
      </c>
      <c r="F889" s="63" t="str">
        <f>VLOOKUP(C889,'RAW DATA 2023'!E:BO,5,0)</f>
        <v>Outdoor</v>
      </c>
      <c r="G889" s="63">
        <f>VLOOKUP(C889,'RAW DATA 2023'!E:BO,13,0)</f>
        <v>185</v>
      </c>
      <c r="H889" s="63">
        <f t="shared" si="109"/>
        <v>180</v>
      </c>
      <c r="I889" s="63">
        <f t="shared" si="112"/>
        <v>10.247</v>
      </c>
      <c r="J889" s="106">
        <f>VLOOKUP(C889,'RAW DATA 2023'!E:BO,22,0)</f>
        <v>5.8464055555555561</v>
      </c>
      <c r="K889" s="70">
        <f t="shared" si="113"/>
        <v>0.5705480194745346</v>
      </c>
      <c r="L889" s="72"/>
      <c r="M889" s="109">
        <f t="shared" si="111"/>
        <v>0.94064025966046128</v>
      </c>
      <c r="N889" s="123" t="str">
        <f>VLOOKUP(C889,'RAW DATA 2023'!E:BO,36,0)</f>
        <v>EHP</v>
      </c>
      <c r="O889" s="63">
        <f>VLOOKUP(C889,'RAW DATA 2023'!E:BO,2,0)</f>
        <v>1.8</v>
      </c>
      <c r="P889" s="322">
        <f t="shared" si="110"/>
        <v>1.6931524673888303</v>
      </c>
    </row>
    <row r="890" spans="1:16">
      <c r="A890" s="63" t="str">
        <f>'RAW DATA 2023'!B883</f>
        <v>Nakornfarm</v>
      </c>
      <c r="B890" s="63" t="str">
        <f>'RAW DATA 2023'!D883</f>
        <v>D1-081-0015</v>
      </c>
      <c r="C890" s="63" t="str">
        <f t="shared" si="107"/>
        <v>NakornfarmD1-081-0015</v>
      </c>
      <c r="D890" s="68">
        <f>VLOOKUP(C890,'RAW DATA 2023'!E:BP,63,0)</f>
        <v>11</v>
      </c>
      <c r="E890" s="68" t="str">
        <f t="shared" si="108"/>
        <v>Nakornfarm11</v>
      </c>
      <c r="F890" s="63" t="str">
        <f>VLOOKUP(C890,'RAW DATA 2023'!E:BO,5,0)</f>
        <v>Outdoor</v>
      </c>
      <c r="G890" s="63">
        <f>VLOOKUP(C890,'RAW DATA 2023'!E:BO,13,0)</f>
        <v>174</v>
      </c>
      <c r="H890" s="63">
        <f t="shared" si="109"/>
        <v>180</v>
      </c>
      <c r="I890" s="63">
        <f t="shared" si="112"/>
        <v>10.247</v>
      </c>
      <c r="J890" s="106">
        <f>VLOOKUP(C890,'RAW DATA 2023'!E:BO,22,0)</f>
        <v>9.0754611111111121</v>
      </c>
      <c r="K890" s="70">
        <f t="shared" si="113"/>
        <v>0.88567006061394671</v>
      </c>
      <c r="L890" s="72"/>
      <c r="M890" s="109">
        <f t="shared" si="111"/>
        <v>5.1422674748526234</v>
      </c>
      <c r="N890" s="123" t="str">
        <f>VLOOKUP(C890,'RAW DATA 2023'!E:BO,36,0)</f>
        <v>EHP</v>
      </c>
      <c r="O890" s="63">
        <f>VLOOKUP(C890,'RAW DATA 2023'!E:BO,2,0)</f>
        <v>1.8</v>
      </c>
      <c r="P890" s="322">
        <f t="shared" si="110"/>
        <v>9.2560814547347228</v>
      </c>
    </row>
    <row r="891" spans="1:16">
      <c r="A891" s="63" t="str">
        <f>'RAW DATA 2023'!B884</f>
        <v>Nakornfarm</v>
      </c>
      <c r="B891" s="63" t="str">
        <f>'RAW DATA 2023'!D884</f>
        <v>FG-125-0010</v>
      </c>
      <c r="C891" s="63" t="str">
        <f t="shared" si="107"/>
        <v>NakornfarmFG-125-0010</v>
      </c>
      <c r="D891" s="68">
        <f>VLOOKUP(C891,'RAW DATA 2023'!E:BP,63,0)</f>
        <v>8</v>
      </c>
      <c r="E891" s="68" t="str">
        <f t="shared" si="108"/>
        <v>Nakornfarm8</v>
      </c>
      <c r="F891" s="63" t="str">
        <f>VLOOKUP(C891,'RAW DATA 2023'!E:BO,5,0)</f>
        <v>Greenhouse</v>
      </c>
      <c r="G891" s="63">
        <f>VLOOKUP(C891,'RAW DATA 2023'!E:BO,13,0)</f>
        <v>179</v>
      </c>
      <c r="H891" s="63">
        <f t="shared" si="109"/>
        <v>180</v>
      </c>
      <c r="I891" s="63">
        <f t="shared" si="112"/>
        <v>10.247</v>
      </c>
      <c r="J891" s="106">
        <f>VLOOKUP(C891,'RAW DATA 2023'!E:BO,22,0)</f>
        <v>10.570557142857144</v>
      </c>
      <c r="K891" s="70">
        <f t="shared" si="113"/>
        <v>1.0315757922179314</v>
      </c>
      <c r="L891" s="72"/>
      <c r="M891" s="109">
        <f t="shared" si="111"/>
        <v>7.0876772295724191</v>
      </c>
      <c r="N891" s="123" t="str">
        <f>VLOOKUP(C891,'RAW DATA 2023'!E:BO,36,0)</f>
        <v>Normal</v>
      </c>
      <c r="O891" s="63">
        <f>VLOOKUP(C891,'RAW DATA 2023'!E:BO,2,0)</f>
        <v>1.4</v>
      </c>
      <c r="P891" s="322">
        <f t="shared" si="110"/>
        <v>9.9227481214013853</v>
      </c>
    </row>
    <row r="892" spans="1:16">
      <c r="A892" s="63" t="str">
        <f>'RAW DATA 2023'!B885</f>
        <v>Nakornfarm</v>
      </c>
      <c r="B892" s="63" t="str">
        <f>'RAW DATA 2023'!D885</f>
        <v>F1-124-0008</v>
      </c>
      <c r="C892" s="63" t="str">
        <f t="shared" si="107"/>
        <v>NakornfarmF1-124-0008</v>
      </c>
      <c r="D892" s="68">
        <f>VLOOKUP(C892,'RAW DATA 2023'!E:BP,63,0)</f>
        <v>4</v>
      </c>
      <c r="E892" s="68" t="str">
        <f t="shared" si="108"/>
        <v>Nakornfarm4</v>
      </c>
      <c r="F892" s="63" t="str">
        <f>VLOOKUP(C892,'RAW DATA 2023'!E:BO,5,0)</f>
        <v>Outdoor</v>
      </c>
      <c r="G892" s="63">
        <f>VLOOKUP(C892,'RAW DATA 2023'!E:BO,13,0)</f>
        <v>162</v>
      </c>
      <c r="H892" s="63">
        <f t="shared" si="109"/>
        <v>150</v>
      </c>
      <c r="I892" s="63">
        <f t="shared" si="112"/>
        <v>9.1999999999999993</v>
      </c>
      <c r="J892" s="106">
        <f>VLOOKUP(C892,'RAW DATA 2023'!E:BO,22,0)</f>
        <v>3.8502066666666668</v>
      </c>
      <c r="K892" s="70">
        <f t="shared" si="113"/>
        <v>0.41850072463768118</v>
      </c>
      <c r="L892" s="72"/>
      <c r="M892" s="109">
        <f t="shared" si="111"/>
        <v>-1.0866570048309176</v>
      </c>
      <c r="N892" s="123" t="str">
        <f>VLOOKUP(C892,'RAW DATA 2023'!E:BO,36,0)</f>
        <v>EHP</v>
      </c>
      <c r="O892" s="63">
        <f>VLOOKUP(C892,'RAW DATA 2023'!E:BO,2,0)</f>
        <v>1.5</v>
      </c>
      <c r="P892" s="322">
        <f t="shared" si="110"/>
        <v>-1.6299855072463765</v>
      </c>
    </row>
    <row r="893" spans="1:16">
      <c r="A893" s="63" t="str">
        <f>'RAW DATA 2023'!B886</f>
        <v>Nakornfarm</v>
      </c>
      <c r="B893" s="63" t="str">
        <f>'RAW DATA 2023'!D886</f>
        <v>D1-083-0015</v>
      </c>
      <c r="C893" s="63" t="str">
        <f t="shared" si="107"/>
        <v>NakornfarmD1-083-0015</v>
      </c>
      <c r="D893" s="68">
        <f>VLOOKUP(C893,'RAW DATA 2023'!E:BP,63,0)</f>
        <v>11</v>
      </c>
      <c r="E893" s="68" t="str">
        <f t="shared" si="108"/>
        <v>Nakornfarm11</v>
      </c>
      <c r="F893" s="63" t="str">
        <f>VLOOKUP(C893,'RAW DATA 2023'!E:BO,5,0)</f>
        <v>Outdoor</v>
      </c>
      <c r="G893" s="63">
        <f>VLOOKUP(C893,'RAW DATA 2023'!E:BO,13,0)</f>
        <v>174</v>
      </c>
      <c r="H893" s="63">
        <f t="shared" si="109"/>
        <v>180</v>
      </c>
      <c r="I893" s="63">
        <f t="shared" si="112"/>
        <v>10.247</v>
      </c>
      <c r="J893" s="106">
        <f>VLOOKUP(C893,'RAW DATA 2023'!E:BO,22,0)</f>
        <v>4.1718500000000001</v>
      </c>
      <c r="K893" s="70">
        <f t="shared" si="113"/>
        <v>0.40712891578022836</v>
      </c>
      <c r="L893" s="72"/>
      <c r="M893" s="109">
        <f t="shared" si="111"/>
        <v>-1.2382811229302886</v>
      </c>
      <c r="N893" s="123" t="str">
        <f>VLOOKUP(C893,'RAW DATA 2023'!E:BO,36,0)</f>
        <v>EHP</v>
      </c>
      <c r="O893" s="63">
        <f>VLOOKUP(C893,'RAW DATA 2023'!E:BO,2,0)</f>
        <v>1.8</v>
      </c>
      <c r="P893" s="322">
        <f t="shared" si="110"/>
        <v>-2.2289060212745193</v>
      </c>
    </row>
    <row r="894" spans="1:16">
      <c r="A894" s="63" t="str">
        <f>'RAW DATA 2023'!B887</f>
        <v>Nakornfarm</v>
      </c>
      <c r="B894" s="63" t="str">
        <f>'RAW DATA 2023'!D887</f>
        <v>F1-090-0013</v>
      </c>
      <c r="C894" s="63" t="str">
        <f t="shared" si="107"/>
        <v>NakornfarmF1-090-0013</v>
      </c>
      <c r="D894" s="68">
        <f>VLOOKUP(C894,'RAW DATA 2023'!E:BP,63,0)</f>
        <v>10</v>
      </c>
      <c r="E894" s="68" t="str">
        <f t="shared" si="108"/>
        <v>Nakornfarm10</v>
      </c>
      <c r="F894" s="63" t="str">
        <f>VLOOKUP(C894,'RAW DATA 2023'!E:BO,5,0)</f>
        <v>Outdoor</v>
      </c>
      <c r="G894" s="63">
        <f>VLOOKUP(C894,'RAW DATA 2023'!E:BO,13,0)</f>
        <v>122</v>
      </c>
      <c r="H894" s="63">
        <f t="shared" si="109"/>
        <v>100</v>
      </c>
      <c r="I894" s="63">
        <f t="shared" si="112"/>
        <v>6.806</v>
      </c>
      <c r="J894" s="106">
        <f>VLOOKUP(C894,'RAW DATA 2023'!E:BO,22,0)</f>
        <v>1.6846999999999999</v>
      </c>
      <c r="K894" s="70">
        <f t="shared" si="113"/>
        <v>0.24753158977372905</v>
      </c>
      <c r="L894" s="72"/>
      <c r="M894" s="109">
        <f t="shared" si="111"/>
        <v>-3.366245469683613</v>
      </c>
      <c r="N894" s="123" t="str">
        <f>VLOOKUP(C894,'RAW DATA 2023'!E:BO,36,0)</f>
        <v>EHP</v>
      </c>
      <c r="O894" s="63">
        <f>VLOOKUP(C894,'RAW DATA 2023'!E:BO,2,0)</f>
        <v>1.8</v>
      </c>
      <c r="P894" s="322">
        <f t="shared" si="110"/>
        <v>-6.0592418454305035</v>
      </c>
    </row>
    <row r="895" spans="1:16">
      <c r="A895" s="63" t="str">
        <f>'RAW DATA 2023'!B888</f>
        <v>Nakornfarm</v>
      </c>
      <c r="B895" s="63" t="str">
        <f>'RAW DATA 2023'!D888</f>
        <v>FG-125-0011</v>
      </c>
      <c r="C895" s="63" t="str">
        <f t="shared" si="107"/>
        <v>NakornfarmFG-125-0011</v>
      </c>
      <c r="D895" s="68">
        <f>VLOOKUP(C895,'RAW DATA 2023'!E:BP,63,0)</f>
        <v>11</v>
      </c>
      <c r="E895" s="68" t="str">
        <f t="shared" si="108"/>
        <v>Nakornfarm11</v>
      </c>
      <c r="F895" s="63" t="str">
        <f>VLOOKUP(C895,'RAW DATA 2023'!E:BO,5,0)</f>
        <v>Greenhouse</v>
      </c>
      <c r="G895" s="63">
        <f>VLOOKUP(C895,'RAW DATA 2023'!E:BO,13,0)</f>
        <v>156</v>
      </c>
      <c r="H895" s="63">
        <f t="shared" si="109"/>
        <v>150</v>
      </c>
      <c r="I895" s="63">
        <f t="shared" si="112"/>
        <v>9.1999999999999993</v>
      </c>
      <c r="J895" s="106">
        <f>VLOOKUP(C895,'RAW DATA 2023'!E:BO,22,0)</f>
        <v>2.2764357142857148</v>
      </c>
      <c r="K895" s="70">
        <f t="shared" si="113"/>
        <v>0.24743866459627337</v>
      </c>
      <c r="L895" s="72"/>
      <c r="M895" s="109">
        <f t="shared" si="111"/>
        <v>-3.3674844720496884</v>
      </c>
      <c r="N895" s="123" t="str">
        <f>VLOOKUP(C895,'RAW DATA 2023'!E:BO,36,0)</f>
        <v>EHP</v>
      </c>
      <c r="O895" s="63">
        <f>VLOOKUP(C895,'RAW DATA 2023'!E:BO,2,0)</f>
        <v>1.4</v>
      </c>
      <c r="P895" s="322">
        <f t="shared" si="110"/>
        <v>-4.714478260869563</v>
      </c>
    </row>
    <row r="896" spans="1:16">
      <c r="A896" s="63" t="str">
        <f>'RAW DATA 2023'!B889</f>
        <v>Nakornfarm</v>
      </c>
      <c r="B896" s="63" t="str">
        <f>'RAW DATA 2023'!D889</f>
        <v>F1-070-0019</v>
      </c>
      <c r="C896" s="63" t="str">
        <f t="shared" si="107"/>
        <v>NakornfarmF1-070-0019</v>
      </c>
      <c r="D896" s="68">
        <f>VLOOKUP(C896,'RAW DATA 2023'!E:BP,63,0)</f>
        <v>7</v>
      </c>
      <c r="E896" s="68" t="str">
        <f t="shared" si="108"/>
        <v>Nakornfarm7</v>
      </c>
      <c r="F896" s="63" t="str">
        <f>VLOOKUP(C896,'RAW DATA 2023'!E:BO,5,0)</f>
        <v>Outdoor</v>
      </c>
      <c r="G896" s="63">
        <f>VLOOKUP(C896,'RAW DATA 2023'!E:BO,13,0)</f>
        <v>256</v>
      </c>
      <c r="H896" s="63">
        <f t="shared" si="109"/>
        <v>200</v>
      </c>
      <c r="I896" s="63">
        <f t="shared" si="112"/>
        <v>11.259</v>
      </c>
      <c r="J896" s="106">
        <f>VLOOKUP(C896,'RAW DATA 2023'!E:BO,22,0)</f>
        <v>2.8764230769230767</v>
      </c>
      <c r="K896" s="70">
        <f t="shared" si="113"/>
        <v>0.25547766914673387</v>
      </c>
      <c r="L896" s="72"/>
      <c r="M896" s="109">
        <f t="shared" si="111"/>
        <v>-3.2602977447102153</v>
      </c>
      <c r="N896" s="123" t="str">
        <f>VLOOKUP(C896,'RAW DATA 2023'!E:BO,36,0)</f>
        <v>EHP</v>
      </c>
      <c r="O896" s="63">
        <f>VLOOKUP(C896,'RAW DATA 2023'!E:BO,2,0)</f>
        <v>1.3</v>
      </c>
      <c r="P896" s="322">
        <f t="shared" si="110"/>
        <v>-4.2383870681232798</v>
      </c>
    </row>
    <row r="897" spans="1:16">
      <c r="A897" s="63" t="str">
        <f>'RAW DATA 2023'!B890</f>
        <v>Nakornfarm</v>
      </c>
      <c r="B897" s="63" t="str">
        <f>'RAW DATA 2023'!D890</f>
        <v>E1-075-0013</v>
      </c>
      <c r="C897" s="63" t="str">
        <f t="shared" si="107"/>
        <v>NakornfarmE1-075-0013</v>
      </c>
      <c r="D897" s="68">
        <f>VLOOKUP(C897,'RAW DATA 2023'!E:BP,63,0)</f>
        <v>11</v>
      </c>
      <c r="E897" s="68" t="str">
        <f t="shared" si="108"/>
        <v>Nakornfarm11</v>
      </c>
      <c r="F897" s="63" t="str">
        <f>VLOOKUP(C897,'RAW DATA 2023'!E:BO,5,0)</f>
        <v>Outdoor</v>
      </c>
      <c r="G897" s="63">
        <f>VLOOKUP(C897,'RAW DATA 2023'!E:BO,13,0)</f>
        <v>129</v>
      </c>
      <c r="H897" s="63">
        <f t="shared" si="109"/>
        <v>100</v>
      </c>
      <c r="I897" s="63">
        <f t="shared" si="112"/>
        <v>6.806</v>
      </c>
      <c r="J897" s="106">
        <f>VLOOKUP(C897,'RAW DATA 2023'!E:BO,22,0)</f>
        <v>1.2206235294117649</v>
      </c>
      <c r="K897" s="70">
        <f t="shared" si="113"/>
        <v>0.17934521443017409</v>
      </c>
      <c r="L897" s="72"/>
      <c r="M897" s="109">
        <f t="shared" si="111"/>
        <v>-4.2753971409310125</v>
      </c>
      <c r="N897" s="123" t="str">
        <f>VLOOKUP(C897,'RAW DATA 2023'!E:BO,36,0)</f>
        <v>EHP</v>
      </c>
      <c r="O897" s="63">
        <f>VLOOKUP(C897,'RAW DATA 2023'!E:BO,2,0)</f>
        <v>1.7</v>
      </c>
      <c r="P897" s="322">
        <f t="shared" si="110"/>
        <v>-7.2681751395827208</v>
      </c>
    </row>
    <row r="898" spans="1:16">
      <c r="A898" s="63" t="str">
        <f>'RAW DATA 2023'!B891</f>
        <v>Nakornfarm</v>
      </c>
      <c r="B898" s="63" t="str">
        <f>'RAW DATA 2023'!D891</f>
        <v>A1-099-0008</v>
      </c>
      <c r="C898" s="63" t="str">
        <f t="shared" si="107"/>
        <v>NakornfarmA1-099-0008</v>
      </c>
      <c r="D898" s="68">
        <f>VLOOKUP(C898,'RAW DATA 2023'!E:BP,63,0)</f>
        <v>6</v>
      </c>
      <c r="E898" s="68" t="str">
        <f t="shared" si="108"/>
        <v>Nakornfarm6</v>
      </c>
      <c r="F898" s="63" t="str">
        <f>VLOOKUP(C898,'RAW DATA 2023'!E:BO,5,0)</f>
        <v>Outdoor</v>
      </c>
      <c r="G898" s="63">
        <f>VLOOKUP(C898,'RAW DATA 2023'!E:BO,13,0)</f>
        <v>167</v>
      </c>
      <c r="H898" s="63">
        <f t="shared" si="109"/>
        <v>180</v>
      </c>
      <c r="I898" s="63">
        <f t="shared" si="112"/>
        <v>10.247</v>
      </c>
      <c r="J898" s="106">
        <f>VLOOKUP(C898,'RAW DATA 2023'!E:BO,22,0)</f>
        <v>4.9438066666666662</v>
      </c>
      <c r="K898" s="70">
        <f t="shared" si="113"/>
        <v>0.4824638105461761</v>
      </c>
      <c r="L898" s="72"/>
      <c r="M898" s="109">
        <f t="shared" si="111"/>
        <v>-0.2338158593843187</v>
      </c>
      <c r="N898" s="123" t="str">
        <f>VLOOKUP(C898,'RAW DATA 2023'!E:BO,36,0)</f>
        <v>EHP</v>
      </c>
      <c r="O898" s="63">
        <f>VLOOKUP(C898,'RAW DATA 2023'!E:BO,2,0)</f>
        <v>1.5</v>
      </c>
      <c r="P898" s="322">
        <f t="shared" si="110"/>
        <v>-0.35072378907647805</v>
      </c>
    </row>
    <row r="899" spans="1:16">
      <c r="A899" s="63" t="str">
        <f>'RAW DATA 2023'!B892</f>
        <v>Nakornfarm</v>
      </c>
      <c r="B899" s="63" t="str">
        <f>'RAW DATA 2023'!D892</f>
        <v>A1-098-0006</v>
      </c>
      <c r="C899" s="63" t="str">
        <f t="shared" si="107"/>
        <v>NakornfarmA1-098-0006</v>
      </c>
      <c r="D899" s="68">
        <f>VLOOKUP(C899,'RAW DATA 2023'!E:BP,63,0)</f>
        <v>7</v>
      </c>
      <c r="E899" s="68" t="str">
        <f t="shared" si="108"/>
        <v>Nakornfarm7</v>
      </c>
      <c r="F899" s="63" t="str">
        <f>VLOOKUP(C899,'RAW DATA 2023'!E:BO,5,0)</f>
        <v>Outdoor</v>
      </c>
      <c r="G899" s="63">
        <f>VLOOKUP(C899,'RAW DATA 2023'!E:BO,13,0)</f>
        <v>208</v>
      </c>
      <c r="H899" s="63">
        <f t="shared" si="109"/>
        <v>200</v>
      </c>
      <c r="I899" s="63">
        <f t="shared" si="112"/>
        <v>11.259</v>
      </c>
      <c r="J899" s="106">
        <f>VLOOKUP(C899,'RAW DATA 2023'!E:BO,22,0)</f>
        <v>11.246275000000001</v>
      </c>
      <c r="K899" s="70">
        <f t="shared" si="113"/>
        <v>0.99886979305444534</v>
      </c>
      <c r="L899" s="72"/>
      <c r="M899" s="109">
        <f t="shared" si="111"/>
        <v>6.6515972407259385</v>
      </c>
      <c r="N899" s="123" t="str">
        <f>VLOOKUP(C899,'RAW DATA 2023'!E:BO,36,0)</f>
        <v>Normal</v>
      </c>
      <c r="O899" s="63">
        <f>VLOOKUP(C899,'RAW DATA 2023'!E:BO,2,0)</f>
        <v>1.6</v>
      </c>
      <c r="P899" s="322">
        <f t="shared" si="110"/>
        <v>10.642555585161503</v>
      </c>
    </row>
    <row r="900" spans="1:16">
      <c r="A900" s="63" t="str">
        <f>'RAW DATA 2023'!B893</f>
        <v>Nakornfarm</v>
      </c>
      <c r="B900" s="63" t="str">
        <f>'RAW DATA 2023'!D893</f>
        <v>A1-098-0005</v>
      </c>
      <c r="C900" s="63" t="str">
        <f t="shared" si="107"/>
        <v>NakornfarmA1-098-0005</v>
      </c>
      <c r="D900" s="68">
        <f>VLOOKUP(C900,'RAW DATA 2023'!E:BP,63,0)</f>
        <v>1</v>
      </c>
      <c r="E900" s="68" t="str">
        <f t="shared" si="108"/>
        <v>Nakornfarm1</v>
      </c>
      <c r="F900" s="63" t="str">
        <f>VLOOKUP(C900,'RAW DATA 2023'!E:BO,5,0)</f>
        <v>Outdoor</v>
      </c>
      <c r="G900" s="63">
        <f>VLOOKUP(C900,'RAW DATA 2023'!E:BO,13,0)</f>
        <v>119</v>
      </c>
      <c r="H900" s="63">
        <f t="shared" si="109"/>
        <v>100</v>
      </c>
      <c r="I900" s="63">
        <f t="shared" si="112"/>
        <v>6.806</v>
      </c>
      <c r="J900" s="106">
        <f>VLOOKUP(C900,'RAW DATA 2023'!E:BO,22,0)</f>
        <v>4.7338874999999998</v>
      </c>
      <c r="K900" s="70">
        <f t="shared" si="113"/>
        <v>0.69554620922715249</v>
      </c>
      <c r="L900" s="72"/>
      <c r="M900" s="109">
        <f t="shared" si="111"/>
        <v>2.6072827896953665</v>
      </c>
      <c r="N900" s="123" t="str">
        <f>VLOOKUP(C900,'RAW DATA 2023'!E:BO,36,0)</f>
        <v>EHP</v>
      </c>
      <c r="O900" s="63">
        <f>VLOOKUP(C900,'RAW DATA 2023'!E:BO,2,0)</f>
        <v>1.6</v>
      </c>
      <c r="P900" s="322">
        <f t="shared" si="110"/>
        <v>4.1716524635125865</v>
      </c>
    </row>
    <row r="901" spans="1:16">
      <c r="A901" s="63" t="str">
        <f>'RAW DATA 2023'!B894</f>
        <v>Nakornfarm</v>
      </c>
      <c r="B901" s="63" t="str">
        <f>'RAW DATA 2023'!D894</f>
        <v>A1-099-0007</v>
      </c>
      <c r="C901" s="63" t="str">
        <f t="shared" si="107"/>
        <v>NakornfarmA1-099-0007</v>
      </c>
      <c r="D901" s="68">
        <f>VLOOKUP(C901,'RAW DATA 2023'!E:BP,63,0)</f>
        <v>1</v>
      </c>
      <c r="E901" s="68" t="str">
        <f t="shared" si="108"/>
        <v>Nakornfarm1</v>
      </c>
      <c r="F901" s="63" t="str">
        <f>VLOOKUP(C901,'RAW DATA 2023'!E:BO,5,0)</f>
        <v>Outdoor</v>
      </c>
      <c r="G901" s="63">
        <f>VLOOKUP(C901,'RAW DATA 2023'!E:BO,13,0)</f>
        <v>127</v>
      </c>
      <c r="H901" s="63">
        <f t="shared" si="109"/>
        <v>100</v>
      </c>
      <c r="I901" s="63">
        <f t="shared" si="112"/>
        <v>6.806</v>
      </c>
      <c r="J901" s="106">
        <f>VLOOKUP(C901,'RAW DATA 2023'!E:BO,22,0)</f>
        <v>5.8557066666666664</v>
      </c>
      <c r="K901" s="70">
        <f t="shared" si="113"/>
        <v>0.86037417964541085</v>
      </c>
      <c r="L901" s="72"/>
      <c r="M901" s="109">
        <f t="shared" si="111"/>
        <v>4.8049890619388114</v>
      </c>
      <c r="N901" s="123" t="str">
        <f>VLOOKUP(C901,'RAW DATA 2023'!E:BO,36,0)</f>
        <v>EHP</v>
      </c>
      <c r="O901" s="63">
        <f>VLOOKUP(C901,'RAW DATA 2023'!E:BO,2,0)</f>
        <v>1.5</v>
      </c>
      <c r="P901" s="322">
        <f t="shared" si="110"/>
        <v>7.2074835929082166</v>
      </c>
    </row>
    <row r="902" spans="1:16">
      <c r="A902" s="63" t="str">
        <f>'RAW DATA 2023'!B895</f>
        <v>Nakornfarm</v>
      </c>
      <c r="B902" s="63" t="str">
        <f>'RAW DATA 2023'!D895</f>
        <v>B1-108-0006</v>
      </c>
      <c r="C902" s="63" t="str">
        <f t="shared" si="107"/>
        <v>NakornfarmB1-108-0006</v>
      </c>
      <c r="D902" s="68">
        <f>VLOOKUP(C902,'RAW DATA 2023'!E:BP,63,0)</f>
        <v>8</v>
      </c>
      <c r="E902" s="68" t="str">
        <f t="shared" si="108"/>
        <v>Nakornfarm8</v>
      </c>
      <c r="F902" s="63" t="str">
        <f>VLOOKUP(C902,'RAW DATA 2023'!E:BO,5,0)</f>
        <v>Outdoor</v>
      </c>
      <c r="G902" s="63">
        <f>VLOOKUP(C902,'RAW DATA 2023'!E:BO,13,0)</f>
        <v>167</v>
      </c>
      <c r="H902" s="63">
        <f t="shared" si="109"/>
        <v>180</v>
      </c>
      <c r="I902" s="63">
        <f t="shared" si="112"/>
        <v>10.247</v>
      </c>
      <c r="J902" s="106">
        <f>VLOOKUP(C902,'RAW DATA 2023'!E:BO,22,0)</f>
        <v>4.5843266666666667</v>
      </c>
      <c r="K902" s="70">
        <f t="shared" si="113"/>
        <v>0.44738232328161087</v>
      </c>
      <c r="L902" s="72"/>
      <c r="M902" s="109">
        <f t="shared" si="111"/>
        <v>-0.70156902291185508</v>
      </c>
      <c r="N902" s="123" t="str">
        <f>VLOOKUP(C902,'RAW DATA 2023'!E:BO,36,0)</f>
        <v>EHP</v>
      </c>
      <c r="O902" s="63">
        <f>VLOOKUP(C902,'RAW DATA 2023'!E:BO,2,0)</f>
        <v>1.5</v>
      </c>
      <c r="P902" s="322">
        <f t="shared" si="110"/>
        <v>-1.0523535343677826</v>
      </c>
    </row>
    <row r="903" spans="1:16">
      <c r="A903" s="63" t="str">
        <f>'RAW DATA 2023'!B896</f>
        <v>Nakornfarm</v>
      </c>
      <c r="B903" s="63" t="str">
        <f>'RAW DATA 2023'!D896</f>
        <v>B1-107-0005</v>
      </c>
      <c r="C903" s="63" t="str">
        <f t="shared" si="107"/>
        <v>NakornfarmB1-107-0005</v>
      </c>
      <c r="D903" s="68">
        <f>VLOOKUP(C903,'RAW DATA 2023'!E:BP,63,0)</f>
        <v>2</v>
      </c>
      <c r="E903" s="68" t="str">
        <f t="shared" si="108"/>
        <v>Nakornfarm2</v>
      </c>
      <c r="F903" s="63" t="str">
        <f>VLOOKUP(C903,'RAW DATA 2023'!E:BO,5,0)</f>
        <v>Outdoor</v>
      </c>
      <c r="G903" s="63">
        <f>VLOOKUP(C903,'RAW DATA 2023'!E:BO,13,0)</f>
        <v>139</v>
      </c>
      <c r="H903" s="63">
        <f t="shared" si="109"/>
        <v>150</v>
      </c>
      <c r="I903" s="63">
        <f t="shared" si="112"/>
        <v>9.1999999999999993</v>
      </c>
      <c r="J903" s="106">
        <f>VLOOKUP(C903,'RAW DATA 2023'!E:BO,22,0)</f>
        <v>3.468973333333333</v>
      </c>
      <c r="K903" s="70">
        <f t="shared" si="113"/>
        <v>0.37706231884057972</v>
      </c>
      <c r="L903" s="72"/>
      <c r="M903" s="109">
        <f t="shared" si="111"/>
        <v>-1.6391690821256037</v>
      </c>
      <c r="N903" s="123" t="str">
        <f>VLOOKUP(C903,'RAW DATA 2023'!E:BO,36,0)</f>
        <v>EHP</v>
      </c>
      <c r="O903" s="63">
        <f>VLOOKUP(C903,'RAW DATA 2023'!E:BO,2,0)</f>
        <v>1.5</v>
      </c>
      <c r="P903" s="322">
        <f t="shared" si="110"/>
        <v>-2.4587536231884055</v>
      </c>
    </row>
    <row r="904" spans="1:16">
      <c r="A904" s="63" t="str">
        <f>'RAW DATA 2023'!B897</f>
        <v>Nakornfarm</v>
      </c>
      <c r="B904" s="63" t="str">
        <f>'RAW DATA 2023'!D897</f>
        <v>B1-108-0005</v>
      </c>
      <c r="C904" s="63" t="str">
        <f t="shared" si="107"/>
        <v>NakornfarmB1-108-0005</v>
      </c>
      <c r="D904" s="68">
        <f>VLOOKUP(C904,'RAW DATA 2023'!E:BP,63,0)</f>
        <v>2</v>
      </c>
      <c r="E904" s="68" t="str">
        <f t="shared" si="108"/>
        <v>Nakornfarm2</v>
      </c>
      <c r="F904" s="63" t="str">
        <f>VLOOKUP(C904,'RAW DATA 2023'!E:BO,5,0)</f>
        <v>Outdoor</v>
      </c>
      <c r="G904" s="63">
        <f>VLOOKUP(C904,'RAW DATA 2023'!E:BO,13,0)</f>
        <v>125</v>
      </c>
      <c r="H904" s="63">
        <f t="shared" si="109"/>
        <v>100</v>
      </c>
      <c r="I904" s="63">
        <f t="shared" si="112"/>
        <v>6.806</v>
      </c>
      <c r="J904" s="106">
        <f>VLOOKUP(C904,'RAW DATA 2023'!E:BO,22,0)</f>
        <v>3.327666666666667</v>
      </c>
      <c r="K904" s="70">
        <f t="shared" si="113"/>
        <v>0.48893133509648357</v>
      </c>
      <c r="L904" s="72"/>
      <c r="M904" s="109">
        <f t="shared" si="111"/>
        <v>-0.14758219871355246</v>
      </c>
      <c r="N904" s="123" t="str">
        <f>VLOOKUP(C904,'RAW DATA 2023'!E:BO,36,0)</f>
        <v>EHP</v>
      </c>
      <c r="O904" s="63">
        <f>VLOOKUP(C904,'RAW DATA 2023'!E:BO,2,0)</f>
        <v>1.5</v>
      </c>
      <c r="P904" s="322">
        <f t="shared" si="110"/>
        <v>-0.22137329807032868</v>
      </c>
    </row>
    <row r="905" spans="1:16">
      <c r="A905" s="63" t="str">
        <f>'RAW DATA 2023'!B898</f>
        <v>Nakornfarm</v>
      </c>
      <c r="B905" s="63" t="str">
        <f>'RAW DATA 2023'!D898</f>
        <v>B1-107-0006</v>
      </c>
      <c r="C905" s="63" t="str">
        <f t="shared" si="107"/>
        <v>NakornfarmB1-107-0006</v>
      </c>
      <c r="D905" s="68">
        <f>VLOOKUP(C905,'RAW DATA 2023'!E:BP,63,0)</f>
        <v>8</v>
      </c>
      <c r="E905" s="68" t="str">
        <f t="shared" si="108"/>
        <v>Nakornfarm8</v>
      </c>
      <c r="F905" s="63" t="str">
        <f>VLOOKUP(C905,'RAW DATA 2023'!E:BO,5,0)</f>
        <v>Outdoor</v>
      </c>
      <c r="G905" s="63">
        <f>VLOOKUP(C905,'RAW DATA 2023'!E:BO,13,0)</f>
        <v>120</v>
      </c>
      <c r="H905" s="63">
        <f t="shared" si="109"/>
        <v>100</v>
      </c>
      <c r="I905" s="63">
        <f t="shared" si="112"/>
        <v>6.806</v>
      </c>
      <c r="J905" s="106">
        <f>VLOOKUP(C905,'RAW DATA 2023'!E:BO,22,0)</f>
        <v>0</v>
      </c>
      <c r="K905" s="70">
        <f t="shared" si="113"/>
        <v>0</v>
      </c>
      <c r="L905" s="72"/>
      <c r="M905" s="109">
        <f t="shared" si="111"/>
        <v>-6.666666666666667</v>
      </c>
      <c r="N905" s="123" t="str">
        <f>VLOOKUP(C905,'RAW DATA 2023'!E:BO,36,0)</f>
        <v>EHP</v>
      </c>
      <c r="O905" s="63">
        <f>VLOOKUP(C905,'RAW DATA 2023'!E:BO,2,0)</f>
        <v>1.5</v>
      </c>
      <c r="P905" s="322">
        <f t="shared" si="110"/>
        <v>-10</v>
      </c>
    </row>
    <row r="906" spans="1:16">
      <c r="A906" s="63" t="str">
        <f>'RAW DATA 2023'!B899</f>
        <v>Ranode</v>
      </c>
      <c r="B906" s="63" t="str">
        <f>'RAW DATA 2023'!D899</f>
        <v>AG-091-0013</v>
      </c>
      <c r="C906" s="63" t="str">
        <f t="shared" ref="C906:C969" si="114">A906&amp;B906</f>
        <v>RanodeAG-091-0013</v>
      </c>
      <c r="D906" s="68">
        <f>VLOOKUP(C906,'RAW DATA 2023'!E:BP,63,0)</f>
        <v>11</v>
      </c>
      <c r="E906" s="68" t="str">
        <f t="shared" ref="E906:E969" si="115">A906&amp;D906</f>
        <v>Ranode11</v>
      </c>
      <c r="F906" s="63" t="str">
        <f>VLOOKUP(C906,'RAW DATA 2023'!E:BO,5,0)</f>
        <v>Greenhouse</v>
      </c>
      <c r="G906" s="63">
        <f>VLOOKUP(C906,'RAW DATA 2023'!E:BO,13,0)</f>
        <v>185</v>
      </c>
      <c r="H906" s="63">
        <f t="shared" si="109"/>
        <v>180</v>
      </c>
      <c r="I906" s="63">
        <f t="shared" si="112"/>
        <v>10.247</v>
      </c>
      <c r="J906" s="106">
        <f>VLOOKUP(C906,'RAW DATA 2023'!E:BO,22,0)</f>
        <v>15.442355555555556</v>
      </c>
      <c r="K906" s="70">
        <f t="shared" si="113"/>
        <v>1.5070123504982489</v>
      </c>
      <c r="L906" s="72"/>
      <c r="M906" s="109">
        <f t="shared" si="111"/>
        <v>13.426831339976653</v>
      </c>
      <c r="N906" s="123" t="str">
        <f>VLOOKUP(C906,'RAW DATA 2023'!E:BO,36,0)</f>
        <v>Normal</v>
      </c>
      <c r="O906" s="63">
        <f>VLOOKUP(C906,'RAW DATA 2023'!E:BO,2,0)</f>
        <v>1.8</v>
      </c>
      <c r="P906" s="322">
        <f t="shared" si="110"/>
        <v>24.168296411957975</v>
      </c>
    </row>
    <row r="907" spans="1:16">
      <c r="A907" s="63" t="str">
        <f>'RAW DATA 2023'!B900</f>
        <v>Ranode</v>
      </c>
      <c r="B907" s="63" t="str">
        <f>'RAW DATA 2023'!D900</f>
        <v>AG-090-0011</v>
      </c>
      <c r="C907" s="63" t="str">
        <f t="shared" si="114"/>
        <v>RanodeAG-090-0011</v>
      </c>
      <c r="D907" s="68">
        <f>VLOOKUP(C907,'RAW DATA 2023'!E:BP,63,0)</f>
        <v>12</v>
      </c>
      <c r="E907" s="68" t="str">
        <f t="shared" si="115"/>
        <v>Ranode12</v>
      </c>
      <c r="F907" s="63" t="str">
        <f>VLOOKUP(C907,'RAW DATA 2023'!E:BO,5,0)</f>
        <v>Greenhouse</v>
      </c>
      <c r="G907" s="63">
        <f>VLOOKUP(C907,'RAW DATA 2023'!E:BO,13,0)</f>
        <v>185</v>
      </c>
      <c r="H907" s="63">
        <f t="shared" ref="H907:H970" si="116">IF(G907&gt;190,200,IF(G907&gt;165,180,IF(G907&gt;=135,150,IF(D900&gt;=110,120,100))))</f>
        <v>180</v>
      </c>
      <c r="I907" s="63">
        <f t="shared" si="112"/>
        <v>10.247</v>
      </c>
      <c r="J907" s="106">
        <f>VLOOKUP(C907,'RAW DATA 2023'!E:BO,22,0)</f>
        <v>11.232116666666666</v>
      </c>
      <c r="K907" s="70">
        <f t="shared" si="113"/>
        <v>1.096137080771608</v>
      </c>
      <c r="L907" s="72"/>
      <c r="M907" s="109">
        <f t="shared" si="111"/>
        <v>7.9484944102881068</v>
      </c>
      <c r="N907" s="123" t="str">
        <f>VLOOKUP(C907,'RAW DATA 2023'!E:BO,36,0)</f>
        <v>Normal</v>
      </c>
      <c r="O907" s="63">
        <f>VLOOKUP(C907,'RAW DATA 2023'!E:BO,2,0)</f>
        <v>1.8</v>
      </c>
      <c r="P907" s="322">
        <f t="shared" ref="P907:P970" si="117">M907*O907</f>
        <v>14.307289938518592</v>
      </c>
    </row>
    <row r="908" spans="1:16">
      <c r="A908" s="63" t="str">
        <f>'RAW DATA 2023'!B901</f>
        <v>Ranode</v>
      </c>
      <c r="B908" s="63" t="str">
        <f>'RAW DATA 2023'!D901</f>
        <v>AG-091-0012</v>
      </c>
      <c r="C908" s="63" t="str">
        <f t="shared" si="114"/>
        <v>RanodeAG-091-0012</v>
      </c>
      <c r="D908" s="68">
        <f>VLOOKUP(C908,'RAW DATA 2023'!E:BP,63,0)</f>
        <v>6</v>
      </c>
      <c r="E908" s="68" t="str">
        <f t="shared" si="115"/>
        <v>Ranode6</v>
      </c>
      <c r="F908" s="63" t="str">
        <f>VLOOKUP(C908,'RAW DATA 2023'!E:BO,5,0)</f>
        <v>Greenhouse</v>
      </c>
      <c r="G908" s="63">
        <f>VLOOKUP(C908,'RAW DATA 2023'!E:BO,13,0)</f>
        <v>174</v>
      </c>
      <c r="H908" s="63">
        <f t="shared" si="116"/>
        <v>180</v>
      </c>
      <c r="I908" s="63">
        <f t="shared" si="112"/>
        <v>10.247</v>
      </c>
      <c r="J908" s="106">
        <f>VLOOKUP(C908,'RAW DATA 2023'!E:BO,22,0)</f>
        <v>13.968638888888886</v>
      </c>
      <c r="K908" s="70">
        <f t="shared" si="113"/>
        <v>1.3631930212636758</v>
      </c>
      <c r="L908" s="72"/>
      <c r="M908" s="109">
        <f t="shared" ref="M908:M971" si="118">(K908-$B$4)*$B$7</f>
        <v>11.509240283515679</v>
      </c>
      <c r="N908" s="123" t="str">
        <f>VLOOKUP(C908,'RAW DATA 2023'!E:BO,36,0)</f>
        <v>Normal</v>
      </c>
      <c r="O908" s="63">
        <f>VLOOKUP(C908,'RAW DATA 2023'!E:BO,2,0)</f>
        <v>1.8</v>
      </c>
      <c r="P908" s="322">
        <f t="shared" si="117"/>
        <v>20.716632510328221</v>
      </c>
    </row>
    <row r="909" spans="1:16">
      <c r="A909" s="63" t="str">
        <f>'RAW DATA 2023'!B902</f>
        <v>Ranode</v>
      </c>
      <c r="B909" s="63" t="str">
        <f>'RAW DATA 2023'!D902</f>
        <v>AG-090-0010</v>
      </c>
      <c r="C909" s="63" t="str">
        <f t="shared" si="114"/>
        <v>RanodeAG-090-0010</v>
      </c>
      <c r="D909" s="68">
        <f>VLOOKUP(C909,'RAW DATA 2023'!E:BP,63,0)</f>
        <v>6</v>
      </c>
      <c r="E909" s="68" t="str">
        <f t="shared" si="115"/>
        <v>Ranode6</v>
      </c>
      <c r="F909" s="63" t="str">
        <f>VLOOKUP(C909,'RAW DATA 2023'!E:BO,5,0)</f>
        <v>Greenhouse</v>
      </c>
      <c r="G909" s="63">
        <f>VLOOKUP(C909,'RAW DATA 2023'!E:BO,13,0)</f>
        <v>174</v>
      </c>
      <c r="H909" s="63">
        <f t="shared" si="116"/>
        <v>180</v>
      </c>
      <c r="I909" s="63">
        <f t="shared" si="112"/>
        <v>10.247</v>
      </c>
      <c r="J909" s="106">
        <f>VLOOKUP(C909,'RAW DATA 2023'!E:BO,22,0)</f>
        <v>11.011277777777778</v>
      </c>
      <c r="K909" s="70">
        <f t="shared" si="113"/>
        <v>1.0745855155438448</v>
      </c>
      <c r="L909" s="72"/>
      <c r="M909" s="109">
        <f t="shared" si="118"/>
        <v>7.6611402072512647</v>
      </c>
      <c r="N909" s="123" t="str">
        <f>VLOOKUP(C909,'RAW DATA 2023'!E:BO,36,0)</f>
        <v>Normal</v>
      </c>
      <c r="O909" s="63">
        <f>VLOOKUP(C909,'RAW DATA 2023'!E:BO,2,0)</f>
        <v>1.8</v>
      </c>
      <c r="P909" s="322">
        <f t="shared" si="117"/>
        <v>13.790052373052276</v>
      </c>
    </row>
    <row r="910" spans="1:16">
      <c r="A910" s="63" t="str">
        <f>'RAW DATA 2023'!B903</f>
        <v>Ranode</v>
      </c>
      <c r="B910" s="63" t="str">
        <f>'RAW DATA 2023'!D903</f>
        <v>A1-016-0028</v>
      </c>
      <c r="C910" s="63" t="str">
        <f t="shared" si="114"/>
        <v>RanodeA1-016-0028</v>
      </c>
      <c r="D910" s="68">
        <f>VLOOKUP(C910,'RAW DATA 2023'!E:BP,63,0)</f>
        <v>11</v>
      </c>
      <c r="E910" s="68" t="str">
        <f t="shared" si="115"/>
        <v>Ranode11</v>
      </c>
      <c r="F910" s="63" t="str">
        <f>VLOOKUP(C910,'RAW DATA 2023'!E:BO,5,0)</f>
        <v>Outdoor</v>
      </c>
      <c r="G910" s="63">
        <f>VLOOKUP(C910,'RAW DATA 2023'!E:BO,13,0)</f>
        <v>208</v>
      </c>
      <c r="H910" s="63">
        <f t="shared" si="116"/>
        <v>200</v>
      </c>
      <c r="I910" s="63">
        <f t="shared" si="112"/>
        <v>11.259</v>
      </c>
      <c r="J910" s="106">
        <f>VLOOKUP(C910,'RAW DATA 2023'!E:BO,22,0)</f>
        <v>9.9400756972111566</v>
      </c>
      <c r="K910" s="70">
        <f t="shared" si="113"/>
        <v>0.88285599939702963</v>
      </c>
      <c r="L910" s="72"/>
      <c r="M910" s="109">
        <f t="shared" si="118"/>
        <v>5.1047466586270618</v>
      </c>
      <c r="N910" s="123" t="str">
        <f>VLOOKUP(C910,'RAW DATA 2023'!E:BO,36,0)</f>
        <v>Normal</v>
      </c>
      <c r="O910" s="63">
        <f>VLOOKUP(C910,'RAW DATA 2023'!E:BO,2,0)</f>
        <v>5.0199999999999996</v>
      </c>
      <c r="P910" s="322">
        <f t="shared" si="117"/>
        <v>25.625828226307849</v>
      </c>
    </row>
    <row r="911" spans="1:16">
      <c r="A911" s="63" t="str">
        <f>'RAW DATA 2023'!B904</f>
        <v>Ranode</v>
      </c>
      <c r="B911" s="63" t="str">
        <f>'RAW DATA 2023'!D904</f>
        <v>AG-093-0013</v>
      </c>
      <c r="C911" s="63" t="str">
        <f t="shared" si="114"/>
        <v>RanodeAG-093-0013</v>
      </c>
      <c r="D911" s="68">
        <f>VLOOKUP(C911,'RAW DATA 2023'!E:BP,63,0)</f>
        <v>6</v>
      </c>
      <c r="E911" s="68" t="str">
        <f t="shared" si="115"/>
        <v>Ranode6</v>
      </c>
      <c r="F911" s="63" t="str">
        <f>VLOOKUP(C911,'RAW DATA 2023'!E:BO,5,0)</f>
        <v>Greenhouse</v>
      </c>
      <c r="G911" s="63">
        <f>VLOOKUP(C911,'RAW DATA 2023'!E:BO,13,0)</f>
        <v>193</v>
      </c>
      <c r="H911" s="63">
        <f t="shared" si="116"/>
        <v>200</v>
      </c>
      <c r="I911" s="63">
        <f t="shared" si="112"/>
        <v>11.259</v>
      </c>
      <c r="J911" s="106">
        <f>VLOOKUP(C911,'RAW DATA 2023'!E:BO,22,0)</f>
        <v>6.1444222222222216</v>
      </c>
      <c r="K911" s="70">
        <f t="shared" si="113"/>
        <v>0.54573427677610986</v>
      </c>
      <c r="L911" s="72"/>
      <c r="M911" s="109">
        <f t="shared" si="118"/>
        <v>0.60979035701479822</v>
      </c>
      <c r="N911" s="123" t="str">
        <f>VLOOKUP(C911,'RAW DATA 2023'!E:BO,36,0)</f>
        <v>EHP</v>
      </c>
      <c r="O911" s="63">
        <f>VLOOKUP(C911,'RAW DATA 2023'!E:BO,2,0)</f>
        <v>1.8</v>
      </c>
      <c r="P911" s="322">
        <f t="shared" si="117"/>
        <v>1.0976226426266369</v>
      </c>
    </row>
    <row r="912" spans="1:16">
      <c r="A912" s="63" t="str">
        <f>'RAW DATA 2023'!B905</f>
        <v>Ranode</v>
      </c>
      <c r="B912" s="63" t="str">
        <f>'RAW DATA 2023'!D905</f>
        <v>AG-093-0012</v>
      </c>
      <c r="C912" s="63" t="str">
        <f t="shared" si="114"/>
        <v>RanodeAG-093-0012</v>
      </c>
      <c r="D912" s="68">
        <f>VLOOKUP(C912,'RAW DATA 2023'!E:BP,63,0)</f>
        <v>4</v>
      </c>
      <c r="E912" s="68" t="str">
        <f t="shared" si="115"/>
        <v>Ranode4</v>
      </c>
      <c r="F912" s="63" t="str">
        <f>VLOOKUP(C912,'RAW DATA 2023'!E:BO,5,0)</f>
        <v>Greenhouse</v>
      </c>
      <c r="G912" s="63">
        <f>VLOOKUP(C912,'RAW DATA 2023'!E:BO,13,0)</f>
        <v>141</v>
      </c>
      <c r="H912" s="63">
        <f t="shared" si="116"/>
        <v>150</v>
      </c>
      <c r="I912" s="63">
        <f t="shared" si="112"/>
        <v>9.1999999999999993</v>
      </c>
      <c r="J912" s="106">
        <f>VLOOKUP(C912,'RAW DATA 2023'!E:BO,22,0)</f>
        <v>4.361188888888889</v>
      </c>
      <c r="K912" s="70">
        <f t="shared" si="113"/>
        <v>0.47404227053140102</v>
      </c>
      <c r="L912" s="72"/>
      <c r="M912" s="109">
        <f t="shared" si="118"/>
        <v>-0.34610305958131971</v>
      </c>
      <c r="N912" s="123" t="str">
        <f>VLOOKUP(C912,'RAW DATA 2023'!E:BO,36,0)</f>
        <v>EHP</v>
      </c>
      <c r="O912" s="63">
        <f>VLOOKUP(C912,'RAW DATA 2023'!E:BO,2,0)</f>
        <v>1.8</v>
      </c>
      <c r="P912" s="322">
        <f t="shared" si="117"/>
        <v>-0.62298550724637547</v>
      </c>
    </row>
    <row r="913" spans="1:16">
      <c r="A913" s="63" t="str">
        <f>'RAW DATA 2023'!B906</f>
        <v>Ranode</v>
      </c>
      <c r="B913" s="63" t="str">
        <f>'RAW DATA 2023'!D906</f>
        <v>AG-093-0014</v>
      </c>
      <c r="C913" s="63" t="str">
        <f t="shared" si="114"/>
        <v>RanodeAG-093-0014</v>
      </c>
      <c r="D913" s="68">
        <f>VLOOKUP(C913,'RAW DATA 2023'!E:BP,63,0)</f>
        <v>12</v>
      </c>
      <c r="E913" s="68" t="str">
        <f t="shared" si="115"/>
        <v>Ranode12</v>
      </c>
      <c r="F913" s="63" t="str">
        <f>VLOOKUP(C913,'RAW DATA 2023'!E:BO,5,0)</f>
        <v>Greenhouse</v>
      </c>
      <c r="G913" s="63">
        <f>VLOOKUP(C913,'RAW DATA 2023'!E:BO,13,0)</f>
        <v>193</v>
      </c>
      <c r="H913" s="63">
        <f t="shared" si="116"/>
        <v>200</v>
      </c>
      <c r="I913" s="63">
        <f t="shared" si="112"/>
        <v>11.259</v>
      </c>
      <c r="J913" s="106">
        <f>VLOOKUP(C913,'RAW DATA 2023'!E:BO,22,0)</f>
        <v>3.2073888888888886</v>
      </c>
      <c r="K913" s="70">
        <f t="shared" si="113"/>
        <v>0.28487333589918185</v>
      </c>
      <c r="L913" s="72"/>
      <c r="M913" s="109">
        <f t="shared" si="118"/>
        <v>-2.8683555213442422</v>
      </c>
      <c r="N913" s="123" t="str">
        <f>VLOOKUP(C913,'RAW DATA 2023'!E:BO,36,0)</f>
        <v>EHP</v>
      </c>
      <c r="O913" s="63">
        <f>VLOOKUP(C913,'RAW DATA 2023'!E:BO,2,0)</f>
        <v>1.8</v>
      </c>
      <c r="P913" s="322">
        <f t="shared" si="117"/>
        <v>-5.1630399384196357</v>
      </c>
    </row>
    <row r="914" spans="1:16">
      <c r="A914" s="63" t="str">
        <f>'RAW DATA 2023'!B907</f>
        <v>Ranode</v>
      </c>
      <c r="B914" s="63" t="str">
        <f>'RAW DATA 2023'!D907</f>
        <v>A1-082-0016</v>
      </c>
      <c r="C914" s="63" t="str">
        <f t="shared" si="114"/>
        <v>RanodeA1-082-0016</v>
      </c>
      <c r="D914" s="68">
        <f>VLOOKUP(C914,'RAW DATA 2023'!E:BP,63,0)</f>
        <v>3</v>
      </c>
      <c r="E914" s="68" t="str">
        <f t="shared" si="115"/>
        <v>Ranode3</v>
      </c>
      <c r="F914" s="63" t="str">
        <f>VLOOKUP(C914,'RAW DATA 2023'!E:BO,5,0)</f>
        <v>Outdoor</v>
      </c>
      <c r="G914" s="63">
        <f>VLOOKUP(C914,'RAW DATA 2023'!E:BO,13,0)</f>
        <v>162</v>
      </c>
      <c r="H914" s="63">
        <f t="shared" si="116"/>
        <v>150</v>
      </c>
      <c r="I914" s="63">
        <f t="shared" si="112"/>
        <v>9.1999999999999993</v>
      </c>
      <c r="J914" s="106">
        <f>VLOOKUP(C914,'RAW DATA 2023'!E:BO,22,0)</f>
        <v>3.2199066666666667</v>
      </c>
      <c r="K914" s="70">
        <f t="shared" si="113"/>
        <v>0.34998985507246377</v>
      </c>
      <c r="L914" s="72"/>
      <c r="M914" s="109">
        <f t="shared" si="118"/>
        <v>-2.0001352657004832</v>
      </c>
      <c r="N914" s="123" t="str">
        <f>VLOOKUP(C914,'RAW DATA 2023'!E:BO,36,0)</f>
        <v>EHP</v>
      </c>
      <c r="O914" s="63">
        <f>VLOOKUP(C914,'RAW DATA 2023'!E:BO,2,0)</f>
        <v>1.5</v>
      </c>
      <c r="P914" s="322">
        <f t="shared" si="117"/>
        <v>-3.0002028985507248</v>
      </c>
    </row>
    <row r="915" spans="1:16">
      <c r="A915" s="63" t="str">
        <f>'RAW DATA 2023'!B908</f>
        <v>Ranode</v>
      </c>
      <c r="B915" s="63" t="str">
        <f>'RAW DATA 2023'!D908</f>
        <v>A1-083-0016</v>
      </c>
      <c r="C915" s="63" t="str">
        <f t="shared" si="114"/>
        <v>RanodeA1-083-0016</v>
      </c>
      <c r="D915" s="68">
        <f>VLOOKUP(C915,'RAW DATA 2023'!E:BP,63,0)</f>
        <v>3</v>
      </c>
      <c r="E915" s="68" t="str">
        <f t="shared" si="115"/>
        <v>Ranode3</v>
      </c>
      <c r="F915" s="63" t="str">
        <f>VLOOKUP(C915,'RAW DATA 2023'!E:BO,5,0)</f>
        <v>Outdoor</v>
      </c>
      <c r="G915" s="63">
        <f>VLOOKUP(C915,'RAW DATA 2023'!E:BO,13,0)</f>
        <v>162</v>
      </c>
      <c r="H915" s="63">
        <f t="shared" si="116"/>
        <v>150</v>
      </c>
      <c r="I915" s="63">
        <f t="shared" si="112"/>
        <v>9.1999999999999993</v>
      </c>
      <c r="J915" s="106">
        <f>VLOOKUP(C915,'RAW DATA 2023'!E:BO,22,0)</f>
        <v>2.1001333333333334</v>
      </c>
      <c r="K915" s="70">
        <f t="shared" si="113"/>
        <v>0.2282753623188406</v>
      </c>
      <c r="L915" s="72"/>
      <c r="M915" s="109">
        <f t="shared" si="118"/>
        <v>-3.6229951690821256</v>
      </c>
      <c r="N915" s="123" t="str">
        <f>VLOOKUP(C915,'RAW DATA 2023'!E:BO,36,0)</f>
        <v>EHP</v>
      </c>
      <c r="O915" s="63">
        <f>VLOOKUP(C915,'RAW DATA 2023'!E:BO,2,0)</f>
        <v>1.5</v>
      </c>
      <c r="P915" s="322">
        <f t="shared" si="117"/>
        <v>-5.4344927536231884</v>
      </c>
    </row>
    <row r="916" spans="1:16">
      <c r="A916" s="63" t="str">
        <f>'RAW DATA 2023'!B909</f>
        <v>Ranode</v>
      </c>
      <c r="B916" s="63" t="str">
        <f>'RAW DATA 2023'!D909</f>
        <v>A1-015-0033</v>
      </c>
      <c r="C916" s="63" t="str">
        <f t="shared" si="114"/>
        <v>RanodeA1-015-0033</v>
      </c>
      <c r="D916" s="68">
        <f>VLOOKUP(C916,'RAW DATA 2023'!E:BP,63,0)</f>
        <v>7</v>
      </c>
      <c r="E916" s="68" t="str">
        <f t="shared" si="115"/>
        <v>Ranode7</v>
      </c>
      <c r="F916" s="63" t="str">
        <f>VLOOKUP(C916,'RAW DATA 2023'!E:BO,5,0)</f>
        <v>Outdoor</v>
      </c>
      <c r="G916" s="63">
        <f>VLOOKUP(C916,'RAW DATA 2023'!E:BO,13,0)</f>
        <v>263</v>
      </c>
      <c r="H916" s="63">
        <f t="shared" si="116"/>
        <v>200</v>
      </c>
      <c r="I916" s="63">
        <f t="shared" si="112"/>
        <v>11.259</v>
      </c>
      <c r="J916" s="106">
        <f>VLOOKUP(C916,'RAW DATA 2023'!E:BO,22,0)</f>
        <v>2.3236879999999998</v>
      </c>
      <c r="K916" s="70">
        <f t="shared" si="113"/>
        <v>0.20638493649524822</v>
      </c>
      <c r="L916" s="72"/>
      <c r="M916" s="109">
        <f t="shared" si="118"/>
        <v>-3.9148675133966901</v>
      </c>
      <c r="N916" s="123" t="str">
        <f>VLOOKUP(C916,'RAW DATA 2023'!E:BO,36,0)</f>
        <v>EHP</v>
      </c>
      <c r="O916" s="63">
        <f>VLOOKUP(C916,'RAW DATA 2023'!E:BO,2,0)</f>
        <v>5</v>
      </c>
      <c r="P916" s="322">
        <f t="shared" si="117"/>
        <v>-19.574337566983452</v>
      </c>
    </row>
    <row r="917" spans="1:16">
      <c r="A917" s="63">
        <f>'RAW DATA 2023'!B910</f>
        <v>0</v>
      </c>
      <c r="B917" s="63">
        <f>'RAW DATA 2023'!D910</f>
        <v>0</v>
      </c>
      <c r="C917" s="63" t="str">
        <f t="shared" si="114"/>
        <v>00</v>
      </c>
      <c r="D917" s="68" t="e">
        <f>VLOOKUP(C917,'RAW DATA 2023'!E:BP,63,0)</f>
        <v>#N/A</v>
      </c>
      <c r="E917" s="68" t="e">
        <f t="shared" si="115"/>
        <v>#N/A</v>
      </c>
      <c r="F917" s="63" t="e">
        <f>VLOOKUP(C917,'RAW DATA 2023'!E:BO,5,0)</f>
        <v>#N/A</v>
      </c>
      <c r="G917" s="63" t="e">
        <f>VLOOKUP(C917,'RAW DATA 2023'!E:BO,13,0)</f>
        <v>#N/A</v>
      </c>
      <c r="H917" s="63" t="e">
        <f t="shared" si="116"/>
        <v>#N/A</v>
      </c>
      <c r="I917" s="63" t="e">
        <f t="shared" si="112"/>
        <v>#N/A</v>
      </c>
      <c r="J917" s="106" t="e">
        <f>VLOOKUP(C917,'RAW DATA 2023'!E:BO,22,0)</f>
        <v>#N/A</v>
      </c>
      <c r="K917" s="70" t="e">
        <f t="shared" si="113"/>
        <v>#N/A</v>
      </c>
      <c r="L917" s="72"/>
      <c r="M917" s="109" t="e">
        <f t="shared" si="118"/>
        <v>#N/A</v>
      </c>
      <c r="N917" s="123" t="e">
        <f>VLOOKUP(C917,'RAW DATA 2023'!E:BO,36,0)</f>
        <v>#N/A</v>
      </c>
      <c r="O917" s="63" t="e">
        <f>VLOOKUP(C917,'RAW DATA 2023'!E:BO,2,0)</f>
        <v>#N/A</v>
      </c>
      <c r="P917" s="322" t="e">
        <f t="shared" si="117"/>
        <v>#N/A</v>
      </c>
    </row>
    <row r="918" spans="1:16">
      <c r="A918" s="63">
        <f>'RAW DATA 2023'!B911</f>
        <v>0</v>
      </c>
      <c r="B918" s="63">
        <f>'RAW DATA 2023'!D911</f>
        <v>0</v>
      </c>
      <c r="C918" s="63" t="str">
        <f t="shared" si="114"/>
        <v>00</v>
      </c>
      <c r="D918" s="68" t="e">
        <f>VLOOKUP(C918,'RAW DATA 2023'!E:BP,63,0)</f>
        <v>#N/A</v>
      </c>
      <c r="E918" s="68" t="e">
        <f t="shared" si="115"/>
        <v>#N/A</v>
      </c>
      <c r="F918" s="63" t="e">
        <f>VLOOKUP(C918,'RAW DATA 2023'!E:BO,5,0)</f>
        <v>#N/A</v>
      </c>
      <c r="G918" s="63" t="e">
        <f>VLOOKUP(C918,'RAW DATA 2023'!E:BO,13,0)</f>
        <v>#N/A</v>
      </c>
      <c r="H918" s="63" t="e">
        <f t="shared" si="116"/>
        <v>#N/A</v>
      </c>
      <c r="I918" s="63" t="e">
        <f t="shared" si="112"/>
        <v>#N/A</v>
      </c>
      <c r="J918" s="106" t="e">
        <f>VLOOKUP(C918,'RAW DATA 2023'!E:BO,22,0)</f>
        <v>#N/A</v>
      </c>
      <c r="K918" s="70" t="e">
        <f t="shared" si="113"/>
        <v>#N/A</v>
      </c>
      <c r="L918" s="72"/>
      <c r="M918" s="109" t="e">
        <f t="shared" si="118"/>
        <v>#N/A</v>
      </c>
      <c r="N918" s="123" t="e">
        <f>VLOOKUP(C918,'RAW DATA 2023'!E:BO,36,0)</f>
        <v>#N/A</v>
      </c>
      <c r="O918" s="63" t="e">
        <f>VLOOKUP(C918,'RAW DATA 2023'!E:BO,2,0)</f>
        <v>#N/A</v>
      </c>
      <c r="P918" s="322" t="e">
        <f t="shared" si="117"/>
        <v>#N/A</v>
      </c>
    </row>
    <row r="919" spans="1:16">
      <c r="A919" s="63">
        <f>'RAW DATA 2023'!B912</f>
        <v>0</v>
      </c>
      <c r="B919" s="63">
        <f>'RAW DATA 2023'!D912</f>
        <v>0</v>
      </c>
      <c r="C919" s="63" t="str">
        <f t="shared" si="114"/>
        <v>00</v>
      </c>
      <c r="D919" s="68" t="e">
        <f>VLOOKUP(C919,'RAW DATA 2023'!E:BP,63,0)</f>
        <v>#N/A</v>
      </c>
      <c r="E919" s="68" t="e">
        <f t="shared" si="115"/>
        <v>#N/A</v>
      </c>
      <c r="F919" s="63" t="e">
        <f>VLOOKUP(C919,'RAW DATA 2023'!E:BO,5,0)</f>
        <v>#N/A</v>
      </c>
      <c r="G919" s="63" t="e">
        <f>VLOOKUP(C919,'RAW DATA 2023'!E:BO,13,0)</f>
        <v>#N/A</v>
      </c>
      <c r="H919" s="63" t="e">
        <f t="shared" si="116"/>
        <v>#N/A</v>
      </c>
      <c r="I919" s="63" t="e">
        <f t="shared" si="112"/>
        <v>#N/A</v>
      </c>
      <c r="J919" s="106" t="e">
        <f>VLOOKUP(C919,'RAW DATA 2023'!E:BO,22,0)</f>
        <v>#N/A</v>
      </c>
      <c r="K919" s="70" t="e">
        <f t="shared" si="113"/>
        <v>#N/A</v>
      </c>
      <c r="L919" s="72"/>
      <c r="M919" s="109" t="e">
        <f t="shared" si="118"/>
        <v>#N/A</v>
      </c>
      <c r="N919" s="123" t="e">
        <f>VLOOKUP(C919,'RAW DATA 2023'!E:BO,36,0)</f>
        <v>#N/A</v>
      </c>
      <c r="O919" s="63" t="e">
        <f>VLOOKUP(C919,'RAW DATA 2023'!E:BO,2,0)</f>
        <v>#N/A</v>
      </c>
      <c r="P919" s="322" t="e">
        <f t="shared" si="117"/>
        <v>#N/A</v>
      </c>
    </row>
    <row r="920" spans="1:16">
      <c r="A920" s="63">
        <f>'RAW DATA 2023'!B913</f>
        <v>0</v>
      </c>
      <c r="B920" s="63">
        <f>'RAW DATA 2023'!D913</f>
        <v>0</v>
      </c>
      <c r="C920" s="63" t="str">
        <f t="shared" si="114"/>
        <v>00</v>
      </c>
      <c r="D920" s="68" t="e">
        <f>VLOOKUP(C920,'RAW DATA 2023'!E:BP,63,0)</f>
        <v>#N/A</v>
      </c>
      <c r="E920" s="68" t="e">
        <f t="shared" si="115"/>
        <v>#N/A</v>
      </c>
      <c r="F920" s="63" t="e">
        <f>VLOOKUP(C920,'RAW DATA 2023'!E:BO,5,0)</f>
        <v>#N/A</v>
      </c>
      <c r="G920" s="63" t="e">
        <f>VLOOKUP(C920,'RAW DATA 2023'!E:BO,13,0)</f>
        <v>#N/A</v>
      </c>
      <c r="H920" s="63" t="e">
        <f t="shared" si="116"/>
        <v>#N/A</v>
      </c>
      <c r="I920" s="63" t="e">
        <f t="shared" si="112"/>
        <v>#N/A</v>
      </c>
      <c r="J920" s="106" t="e">
        <f>VLOOKUP(C920,'RAW DATA 2023'!E:BO,22,0)</f>
        <v>#N/A</v>
      </c>
      <c r="K920" s="70" t="e">
        <f t="shared" si="113"/>
        <v>#N/A</v>
      </c>
      <c r="L920" s="72"/>
      <c r="M920" s="109" t="e">
        <f t="shared" si="118"/>
        <v>#N/A</v>
      </c>
      <c r="N920" s="123" t="e">
        <f>VLOOKUP(C920,'RAW DATA 2023'!E:BO,36,0)</f>
        <v>#N/A</v>
      </c>
      <c r="O920" s="63" t="e">
        <f>VLOOKUP(C920,'RAW DATA 2023'!E:BO,2,0)</f>
        <v>#N/A</v>
      </c>
      <c r="P920" s="322" t="e">
        <f t="shared" si="117"/>
        <v>#N/A</v>
      </c>
    </row>
    <row r="921" spans="1:16">
      <c r="A921" s="63">
        <f>'RAW DATA 2023'!B914</f>
        <v>0</v>
      </c>
      <c r="B921" s="63">
        <f>'RAW DATA 2023'!D914</f>
        <v>0</v>
      </c>
      <c r="C921" s="63" t="str">
        <f t="shared" si="114"/>
        <v>00</v>
      </c>
      <c r="D921" s="68" t="e">
        <f>VLOOKUP(C921,'RAW DATA 2023'!E:BP,63,0)</f>
        <v>#N/A</v>
      </c>
      <c r="E921" s="68" t="e">
        <f t="shared" si="115"/>
        <v>#N/A</v>
      </c>
      <c r="F921" s="63" t="e">
        <f>VLOOKUP(C921,'RAW DATA 2023'!E:BO,5,0)</f>
        <v>#N/A</v>
      </c>
      <c r="G921" s="63" t="e">
        <f>VLOOKUP(C921,'RAW DATA 2023'!E:BO,13,0)</f>
        <v>#N/A</v>
      </c>
      <c r="H921" s="63" t="e">
        <f t="shared" si="116"/>
        <v>#N/A</v>
      </c>
      <c r="I921" s="63" t="e">
        <f t="shared" si="112"/>
        <v>#N/A</v>
      </c>
      <c r="J921" s="106" t="e">
        <f>VLOOKUP(C921,'RAW DATA 2023'!E:BO,22,0)</f>
        <v>#N/A</v>
      </c>
      <c r="K921" s="70" t="e">
        <f t="shared" si="113"/>
        <v>#N/A</v>
      </c>
      <c r="L921" s="72"/>
      <c r="M921" s="109" t="e">
        <f t="shared" si="118"/>
        <v>#N/A</v>
      </c>
      <c r="N921" s="123" t="e">
        <f>VLOOKUP(C921,'RAW DATA 2023'!E:BO,36,0)</f>
        <v>#N/A</v>
      </c>
      <c r="O921" s="63" t="e">
        <f>VLOOKUP(C921,'RAW DATA 2023'!E:BO,2,0)</f>
        <v>#N/A</v>
      </c>
      <c r="P921" s="322" t="e">
        <f t="shared" si="117"/>
        <v>#N/A</v>
      </c>
    </row>
    <row r="922" spans="1:16">
      <c r="A922" s="63">
        <f>'RAW DATA 2023'!B915</f>
        <v>0</v>
      </c>
      <c r="B922" s="63">
        <f>'RAW DATA 2023'!D915</f>
        <v>0</v>
      </c>
      <c r="C922" s="63" t="str">
        <f t="shared" si="114"/>
        <v>00</v>
      </c>
      <c r="D922" s="68" t="e">
        <f>VLOOKUP(C922,'RAW DATA 2023'!E:BP,63,0)</f>
        <v>#N/A</v>
      </c>
      <c r="E922" s="68" t="e">
        <f t="shared" si="115"/>
        <v>#N/A</v>
      </c>
      <c r="F922" s="63" t="e">
        <f>VLOOKUP(C922,'RAW DATA 2023'!E:BO,5,0)</f>
        <v>#N/A</v>
      </c>
      <c r="G922" s="63" t="e">
        <f>VLOOKUP(C922,'RAW DATA 2023'!E:BO,13,0)</f>
        <v>#N/A</v>
      </c>
      <c r="H922" s="63" t="e">
        <f t="shared" si="116"/>
        <v>#N/A</v>
      </c>
      <c r="I922" s="63" t="e">
        <f t="shared" si="112"/>
        <v>#N/A</v>
      </c>
      <c r="J922" s="106" t="e">
        <f>VLOOKUP(C922,'RAW DATA 2023'!E:BO,22,0)</f>
        <v>#N/A</v>
      </c>
      <c r="K922" s="70" t="e">
        <f t="shared" si="113"/>
        <v>#N/A</v>
      </c>
      <c r="L922" s="72"/>
      <c r="M922" s="109" t="e">
        <f t="shared" si="118"/>
        <v>#N/A</v>
      </c>
      <c r="N922" s="123" t="e">
        <f>VLOOKUP(C922,'RAW DATA 2023'!E:BO,36,0)</f>
        <v>#N/A</v>
      </c>
      <c r="O922" s="63" t="e">
        <f>VLOOKUP(C922,'RAW DATA 2023'!E:BO,2,0)</f>
        <v>#N/A</v>
      </c>
      <c r="P922" s="322" t="e">
        <f t="shared" si="117"/>
        <v>#N/A</v>
      </c>
    </row>
    <row r="923" spans="1:16">
      <c r="A923" s="63">
        <f>'RAW DATA 2023'!B916</f>
        <v>0</v>
      </c>
      <c r="B923" s="63">
        <f>'RAW DATA 2023'!D916</f>
        <v>0</v>
      </c>
      <c r="C923" s="63" t="str">
        <f t="shared" si="114"/>
        <v>00</v>
      </c>
      <c r="D923" s="68" t="e">
        <f>VLOOKUP(C923,'RAW DATA 2023'!E:BP,63,0)</f>
        <v>#N/A</v>
      </c>
      <c r="E923" s="68" t="e">
        <f t="shared" si="115"/>
        <v>#N/A</v>
      </c>
      <c r="F923" s="63" t="e">
        <f>VLOOKUP(C923,'RAW DATA 2023'!E:BO,5,0)</f>
        <v>#N/A</v>
      </c>
      <c r="G923" s="63" t="e">
        <f>VLOOKUP(C923,'RAW DATA 2023'!E:BO,13,0)</f>
        <v>#N/A</v>
      </c>
      <c r="H923" s="63" t="e">
        <f t="shared" si="116"/>
        <v>#N/A</v>
      </c>
      <c r="I923" s="63" t="e">
        <f t="shared" si="112"/>
        <v>#N/A</v>
      </c>
      <c r="J923" s="106" t="e">
        <f>VLOOKUP(C923,'RAW DATA 2023'!E:BO,22,0)</f>
        <v>#N/A</v>
      </c>
      <c r="K923" s="70" t="e">
        <f t="shared" si="113"/>
        <v>#N/A</v>
      </c>
      <c r="L923" s="72"/>
      <c r="M923" s="109" t="e">
        <f t="shared" si="118"/>
        <v>#N/A</v>
      </c>
      <c r="N923" s="123" t="e">
        <f>VLOOKUP(C923,'RAW DATA 2023'!E:BO,36,0)</f>
        <v>#N/A</v>
      </c>
      <c r="O923" s="63" t="e">
        <f>VLOOKUP(C923,'RAW DATA 2023'!E:BO,2,0)</f>
        <v>#N/A</v>
      </c>
      <c r="P923" s="322" t="e">
        <f t="shared" si="117"/>
        <v>#N/A</v>
      </c>
    </row>
    <row r="924" spans="1:16">
      <c r="A924" s="63">
        <f>'RAW DATA 2023'!B917</f>
        <v>0</v>
      </c>
      <c r="B924" s="63">
        <f>'RAW DATA 2023'!D917</f>
        <v>0</v>
      </c>
      <c r="C924" s="63" t="str">
        <f t="shared" si="114"/>
        <v>00</v>
      </c>
      <c r="D924" s="68" t="e">
        <f>VLOOKUP(C924,'RAW DATA 2023'!E:BP,63,0)</f>
        <v>#N/A</v>
      </c>
      <c r="E924" s="68" t="e">
        <f t="shared" si="115"/>
        <v>#N/A</v>
      </c>
      <c r="F924" s="63" t="e">
        <f>VLOOKUP(C924,'RAW DATA 2023'!E:BO,5,0)</f>
        <v>#N/A</v>
      </c>
      <c r="G924" s="63" t="e">
        <f>VLOOKUP(C924,'RAW DATA 2023'!E:BO,13,0)</f>
        <v>#N/A</v>
      </c>
      <c r="H924" s="63" t="e">
        <f t="shared" si="116"/>
        <v>#N/A</v>
      </c>
      <c r="I924" s="63" t="e">
        <f t="shared" si="112"/>
        <v>#N/A</v>
      </c>
      <c r="J924" s="106" t="e">
        <f>VLOOKUP(C924,'RAW DATA 2023'!E:BO,22,0)</f>
        <v>#N/A</v>
      </c>
      <c r="K924" s="70" t="e">
        <f t="shared" si="113"/>
        <v>#N/A</v>
      </c>
      <c r="L924" s="72"/>
      <c r="M924" s="109" t="e">
        <f t="shared" si="118"/>
        <v>#N/A</v>
      </c>
      <c r="N924" s="123" t="e">
        <f>VLOOKUP(C924,'RAW DATA 2023'!E:BO,36,0)</f>
        <v>#N/A</v>
      </c>
      <c r="O924" s="63" t="e">
        <f>VLOOKUP(C924,'RAW DATA 2023'!E:BO,2,0)</f>
        <v>#N/A</v>
      </c>
      <c r="P924" s="322" t="e">
        <f t="shared" si="117"/>
        <v>#N/A</v>
      </c>
    </row>
    <row r="925" spans="1:16">
      <c r="A925" s="63">
        <f>'RAW DATA 2023'!B918</f>
        <v>0</v>
      </c>
      <c r="B925" s="63">
        <f>'RAW DATA 2023'!D918</f>
        <v>0</v>
      </c>
      <c r="C925" s="63" t="str">
        <f t="shared" si="114"/>
        <v>00</v>
      </c>
      <c r="D925" s="68" t="e">
        <f>VLOOKUP(C925,'RAW DATA 2023'!E:BP,63,0)</f>
        <v>#N/A</v>
      </c>
      <c r="E925" s="68" t="e">
        <f t="shared" si="115"/>
        <v>#N/A</v>
      </c>
      <c r="F925" s="63" t="e">
        <f>VLOOKUP(C925,'RAW DATA 2023'!E:BO,5,0)</f>
        <v>#N/A</v>
      </c>
      <c r="G925" s="63" t="e">
        <f>VLOOKUP(C925,'RAW DATA 2023'!E:BO,13,0)</f>
        <v>#N/A</v>
      </c>
      <c r="H925" s="63" t="e">
        <f t="shared" si="116"/>
        <v>#N/A</v>
      </c>
      <c r="I925" s="63" t="e">
        <f t="shared" si="112"/>
        <v>#N/A</v>
      </c>
      <c r="J925" s="106" t="e">
        <f>VLOOKUP(C925,'RAW DATA 2023'!E:BO,22,0)</f>
        <v>#N/A</v>
      </c>
      <c r="K925" s="70" t="e">
        <f t="shared" si="113"/>
        <v>#N/A</v>
      </c>
      <c r="L925" s="72"/>
      <c r="M925" s="109" t="e">
        <f t="shared" si="118"/>
        <v>#N/A</v>
      </c>
      <c r="N925" s="123" t="e">
        <f>VLOOKUP(C925,'RAW DATA 2023'!E:BO,36,0)</f>
        <v>#N/A</v>
      </c>
      <c r="O925" s="63" t="e">
        <f>VLOOKUP(C925,'RAW DATA 2023'!E:BO,2,0)</f>
        <v>#N/A</v>
      </c>
      <c r="P925" s="322" t="e">
        <f t="shared" si="117"/>
        <v>#N/A</v>
      </c>
    </row>
    <row r="926" spans="1:16">
      <c r="A926" s="63">
        <f>'RAW DATA 2023'!B919</f>
        <v>0</v>
      </c>
      <c r="B926" s="63">
        <f>'RAW DATA 2023'!D919</f>
        <v>0</v>
      </c>
      <c r="C926" s="63" t="str">
        <f t="shared" si="114"/>
        <v>00</v>
      </c>
      <c r="D926" s="68" t="e">
        <f>VLOOKUP(C926,'RAW DATA 2023'!E:BP,63,0)</f>
        <v>#N/A</v>
      </c>
      <c r="E926" s="68" t="e">
        <f t="shared" si="115"/>
        <v>#N/A</v>
      </c>
      <c r="F926" s="63" t="e">
        <f>VLOOKUP(C926,'RAW DATA 2023'!E:BO,5,0)</f>
        <v>#N/A</v>
      </c>
      <c r="G926" s="63" t="e">
        <f>VLOOKUP(C926,'RAW DATA 2023'!E:BO,13,0)</f>
        <v>#N/A</v>
      </c>
      <c r="H926" s="63" t="e">
        <f t="shared" si="116"/>
        <v>#N/A</v>
      </c>
      <c r="I926" s="63" t="e">
        <f t="shared" si="112"/>
        <v>#N/A</v>
      </c>
      <c r="J926" s="106" t="e">
        <f>VLOOKUP(C926,'RAW DATA 2023'!E:BO,22,0)</f>
        <v>#N/A</v>
      </c>
      <c r="K926" s="70" t="e">
        <f t="shared" si="113"/>
        <v>#N/A</v>
      </c>
      <c r="L926" s="72"/>
      <c r="M926" s="109" t="e">
        <f t="shared" si="118"/>
        <v>#N/A</v>
      </c>
      <c r="N926" s="123" t="e">
        <f>VLOOKUP(C926,'RAW DATA 2023'!E:BO,36,0)</f>
        <v>#N/A</v>
      </c>
      <c r="O926" s="63" t="e">
        <f>VLOOKUP(C926,'RAW DATA 2023'!E:BO,2,0)</f>
        <v>#N/A</v>
      </c>
      <c r="P926" s="322" t="e">
        <f t="shared" si="117"/>
        <v>#N/A</v>
      </c>
    </row>
    <row r="927" spans="1:16">
      <c r="A927" s="63">
        <f>'RAW DATA 2023'!B920</f>
        <v>0</v>
      </c>
      <c r="B927" s="63">
        <f>'RAW DATA 2023'!D920</f>
        <v>0</v>
      </c>
      <c r="C927" s="63" t="str">
        <f t="shared" si="114"/>
        <v>00</v>
      </c>
      <c r="D927" s="68" t="e">
        <f>VLOOKUP(C927,'RAW DATA 2023'!E:BP,63,0)</f>
        <v>#N/A</v>
      </c>
      <c r="E927" s="68" t="e">
        <f t="shared" si="115"/>
        <v>#N/A</v>
      </c>
      <c r="F927" s="63" t="e">
        <f>VLOOKUP(C927,'RAW DATA 2023'!E:BO,5,0)</f>
        <v>#N/A</v>
      </c>
      <c r="G927" s="63" t="e">
        <f>VLOOKUP(C927,'RAW DATA 2023'!E:BO,13,0)</f>
        <v>#N/A</v>
      </c>
      <c r="H927" s="63" t="e">
        <f t="shared" si="116"/>
        <v>#N/A</v>
      </c>
      <c r="I927" s="63" t="e">
        <f t="shared" si="112"/>
        <v>#N/A</v>
      </c>
      <c r="J927" s="106" t="e">
        <f>VLOOKUP(C927,'RAW DATA 2023'!E:BO,22,0)</f>
        <v>#N/A</v>
      </c>
      <c r="K927" s="70" t="e">
        <f t="shared" si="113"/>
        <v>#N/A</v>
      </c>
      <c r="L927" s="72"/>
      <c r="M927" s="109" t="e">
        <f t="shared" si="118"/>
        <v>#N/A</v>
      </c>
      <c r="N927" s="123" t="e">
        <f>VLOOKUP(C927,'RAW DATA 2023'!E:BO,36,0)</f>
        <v>#N/A</v>
      </c>
      <c r="O927" s="63" t="e">
        <f>VLOOKUP(C927,'RAW DATA 2023'!E:BO,2,0)</f>
        <v>#N/A</v>
      </c>
      <c r="P927" s="322" t="e">
        <f t="shared" si="117"/>
        <v>#N/A</v>
      </c>
    </row>
    <row r="928" spans="1:16">
      <c r="A928" s="63">
        <f>'RAW DATA 2023'!B921</f>
        <v>0</v>
      </c>
      <c r="B928" s="63">
        <f>'RAW DATA 2023'!D921</f>
        <v>0</v>
      </c>
      <c r="C928" s="63" t="str">
        <f t="shared" si="114"/>
        <v>00</v>
      </c>
      <c r="D928" s="68" t="e">
        <f>VLOOKUP(C928,'RAW DATA 2023'!E:BP,63,0)</f>
        <v>#N/A</v>
      </c>
      <c r="E928" s="68" t="e">
        <f t="shared" si="115"/>
        <v>#N/A</v>
      </c>
      <c r="F928" s="63" t="e">
        <f>VLOOKUP(C928,'RAW DATA 2023'!E:BO,5,0)</f>
        <v>#N/A</v>
      </c>
      <c r="G928" s="63" t="e">
        <f>VLOOKUP(C928,'RAW DATA 2023'!E:BO,13,0)</f>
        <v>#N/A</v>
      </c>
      <c r="H928" s="63" t="e">
        <f t="shared" si="116"/>
        <v>#N/A</v>
      </c>
      <c r="I928" s="63" t="e">
        <f t="shared" si="112"/>
        <v>#N/A</v>
      </c>
      <c r="J928" s="106" t="e">
        <f>VLOOKUP(C928,'RAW DATA 2023'!E:BO,22,0)</f>
        <v>#N/A</v>
      </c>
      <c r="K928" s="70" t="e">
        <f t="shared" si="113"/>
        <v>#N/A</v>
      </c>
      <c r="L928" s="72"/>
      <c r="M928" s="109" t="e">
        <f t="shared" si="118"/>
        <v>#N/A</v>
      </c>
      <c r="N928" s="123" t="e">
        <f>VLOOKUP(C928,'RAW DATA 2023'!E:BO,36,0)</f>
        <v>#N/A</v>
      </c>
      <c r="O928" s="63" t="e">
        <f>VLOOKUP(C928,'RAW DATA 2023'!E:BO,2,0)</f>
        <v>#N/A</v>
      </c>
      <c r="P928" s="322" t="e">
        <f t="shared" si="117"/>
        <v>#N/A</v>
      </c>
    </row>
    <row r="929" spans="1:16">
      <c r="A929" s="63">
        <f>'RAW DATA 2023'!B922</f>
        <v>0</v>
      </c>
      <c r="B929" s="63">
        <f>'RAW DATA 2023'!D922</f>
        <v>0</v>
      </c>
      <c r="C929" s="63" t="str">
        <f t="shared" si="114"/>
        <v>00</v>
      </c>
      <c r="D929" s="68" t="e">
        <f>VLOOKUP(C929,'RAW DATA 2023'!E:BP,63,0)</f>
        <v>#N/A</v>
      </c>
      <c r="E929" s="68" t="e">
        <f t="shared" si="115"/>
        <v>#N/A</v>
      </c>
      <c r="F929" s="63" t="e">
        <f>VLOOKUP(C929,'RAW DATA 2023'!E:BO,5,0)</f>
        <v>#N/A</v>
      </c>
      <c r="G929" s="63" t="e">
        <f>VLOOKUP(C929,'RAW DATA 2023'!E:BO,13,0)</f>
        <v>#N/A</v>
      </c>
      <c r="H929" s="63" t="e">
        <f t="shared" si="116"/>
        <v>#N/A</v>
      </c>
      <c r="I929" s="63" t="e">
        <f t="shared" si="112"/>
        <v>#N/A</v>
      </c>
      <c r="J929" s="106" t="e">
        <f>VLOOKUP(C929,'RAW DATA 2023'!E:BO,22,0)</f>
        <v>#N/A</v>
      </c>
      <c r="K929" s="70" t="e">
        <f t="shared" si="113"/>
        <v>#N/A</v>
      </c>
      <c r="L929" s="72"/>
      <c r="M929" s="109" t="e">
        <f t="shared" si="118"/>
        <v>#N/A</v>
      </c>
      <c r="N929" s="123" t="e">
        <f>VLOOKUP(C929,'RAW DATA 2023'!E:BO,36,0)</f>
        <v>#N/A</v>
      </c>
      <c r="O929" s="63" t="e">
        <f>VLOOKUP(C929,'RAW DATA 2023'!E:BO,2,0)</f>
        <v>#N/A</v>
      </c>
      <c r="P929" s="322" t="e">
        <f t="shared" si="117"/>
        <v>#N/A</v>
      </c>
    </row>
    <row r="930" spans="1:16">
      <c r="A930" s="63">
        <f>'RAW DATA 2023'!B923</f>
        <v>0</v>
      </c>
      <c r="B930" s="63">
        <f>'RAW DATA 2023'!D923</f>
        <v>0</v>
      </c>
      <c r="C930" s="63" t="str">
        <f t="shared" si="114"/>
        <v>00</v>
      </c>
      <c r="D930" s="68" t="e">
        <f>VLOOKUP(C930,'RAW DATA 2023'!E:BP,63,0)</f>
        <v>#N/A</v>
      </c>
      <c r="E930" s="68" t="e">
        <f t="shared" si="115"/>
        <v>#N/A</v>
      </c>
      <c r="F930" s="63" t="e">
        <f>VLOOKUP(C930,'RAW DATA 2023'!E:BO,5,0)</f>
        <v>#N/A</v>
      </c>
      <c r="G930" s="63" t="e">
        <f>VLOOKUP(C930,'RAW DATA 2023'!E:BO,13,0)</f>
        <v>#N/A</v>
      </c>
      <c r="H930" s="63" t="e">
        <f t="shared" si="116"/>
        <v>#N/A</v>
      </c>
      <c r="I930" s="63" t="e">
        <f t="shared" si="112"/>
        <v>#N/A</v>
      </c>
      <c r="J930" s="106" t="e">
        <f>VLOOKUP(C930,'RAW DATA 2023'!E:BO,22,0)</f>
        <v>#N/A</v>
      </c>
      <c r="K930" s="70" t="e">
        <f t="shared" si="113"/>
        <v>#N/A</v>
      </c>
      <c r="L930" s="72"/>
      <c r="M930" s="109" t="e">
        <f t="shared" si="118"/>
        <v>#N/A</v>
      </c>
      <c r="N930" s="123" t="e">
        <f>VLOOKUP(C930,'RAW DATA 2023'!E:BO,36,0)</f>
        <v>#N/A</v>
      </c>
      <c r="O930" s="63" t="e">
        <f>VLOOKUP(C930,'RAW DATA 2023'!E:BO,2,0)</f>
        <v>#N/A</v>
      </c>
      <c r="P930" s="322" t="e">
        <f t="shared" si="117"/>
        <v>#N/A</v>
      </c>
    </row>
    <row r="931" spans="1:16">
      <c r="A931" s="63">
        <f>'RAW DATA 2023'!B924</f>
        <v>0</v>
      </c>
      <c r="B931" s="63">
        <f>'RAW DATA 2023'!D924</f>
        <v>0</v>
      </c>
      <c r="C931" s="63" t="str">
        <f t="shared" si="114"/>
        <v>00</v>
      </c>
      <c r="D931" s="68" t="e">
        <f>VLOOKUP(C931,'RAW DATA 2023'!E:BP,63,0)</f>
        <v>#N/A</v>
      </c>
      <c r="E931" s="68" t="e">
        <f t="shared" si="115"/>
        <v>#N/A</v>
      </c>
      <c r="F931" s="63" t="e">
        <f>VLOOKUP(C931,'RAW DATA 2023'!E:BO,5,0)</f>
        <v>#N/A</v>
      </c>
      <c r="G931" s="63" t="e">
        <f>VLOOKUP(C931,'RAW DATA 2023'!E:BO,13,0)</f>
        <v>#N/A</v>
      </c>
      <c r="H931" s="63" t="e">
        <f t="shared" si="116"/>
        <v>#N/A</v>
      </c>
      <c r="I931" s="63" t="e">
        <f t="shared" si="112"/>
        <v>#N/A</v>
      </c>
      <c r="J931" s="106" t="e">
        <f>VLOOKUP(C931,'RAW DATA 2023'!E:BO,22,0)</f>
        <v>#N/A</v>
      </c>
      <c r="K931" s="70" t="e">
        <f t="shared" si="113"/>
        <v>#N/A</v>
      </c>
      <c r="L931" s="72"/>
      <c r="M931" s="109" t="e">
        <f t="shared" si="118"/>
        <v>#N/A</v>
      </c>
      <c r="N931" s="123" t="e">
        <f>VLOOKUP(C931,'RAW DATA 2023'!E:BO,36,0)</f>
        <v>#N/A</v>
      </c>
      <c r="O931" s="63" t="e">
        <f>VLOOKUP(C931,'RAW DATA 2023'!E:BO,2,0)</f>
        <v>#N/A</v>
      </c>
      <c r="P931" s="322" t="e">
        <f t="shared" si="117"/>
        <v>#N/A</v>
      </c>
    </row>
    <row r="932" spans="1:16">
      <c r="A932" s="63">
        <f>'RAW DATA 2023'!B925</f>
        <v>0</v>
      </c>
      <c r="B932" s="63">
        <f>'RAW DATA 2023'!D925</f>
        <v>0</v>
      </c>
      <c r="C932" s="63" t="str">
        <f t="shared" si="114"/>
        <v>00</v>
      </c>
      <c r="D932" s="68" t="e">
        <f>VLOOKUP(C932,'RAW DATA 2023'!E:BP,63,0)</f>
        <v>#N/A</v>
      </c>
      <c r="E932" s="68" t="e">
        <f t="shared" si="115"/>
        <v>#N/A</v>
      </c>
      <c r="F932" s="63" t="e">
        <f>VLOOKUP(C932,'RAW DATA 2023'!E:BO,5,0)</f>
        <v>#N/A</v>
      </c>
      <c r="G932" s="63" t="e">
        <f>VLOOKUP(C932,'RAW DATA 2023'!E:BO,13,0)</f>
        <v>#N/A</v>
      </c>
      <c r="H932" s="63" t="e">
        <f t="shared" si="116"/>
        <v>#N/A</v>
      </c>
      <c r="I932" s="63" t="e">
        <f t="shared" si="112"/>
        <v>#N/A</v>
      </c>
      <c r="J932" s="106" t="e">
        <f>VLOOKUP(C932,'RAW DATA 2023'!E:BO,22,0)</f>
        <v>#N/A</v>
      </c>
      <c r="K932" s="70" t="e">
        <f t="shared" si="113"/>
        <v>#N/A</v>
      </c>
      <c r="L932" s="72"/>
      <c r="M932" s="109" t="e">
        <f t="shared" si="118"/>
        <v>#N/A</v>
      </c>
      <c r="N932" s="123" t="e">
        <f>VLOOKUP(C932,'RAW DATA 2023'!E:BO,36,0)</f>
        <v>#N/A</v>
      </c>
      <c r="O932" s="63" t="e">
        <f>VLOOKUP(C932,'RAW DATA 2023'!E:BO,2,0)</f>
        <v>#N/A</v>
      </c>
      <c r="P932" s="322" t="e">
        <f t="shared" si="117"/>
        <v>#N/A</v>
      </c>
    </row>
    <row r="933" spans="1:16">
      <c r="A933" s="63">
        <f>'RAW DATA 2023'!B926</f>
        <v>0</v>
      </c>
      <c r="B933" s="63">
        <f>'RAW DATA 2023'!D926</f>
        <v>0</v>
      </c>
      <c r="C933" s="63" t="str">
        <f t="shared" si="114"/>
        <v>00</v>
      </c>
      <c r="D933" s="68" t="e">
        <f>VLOOKUP(C933,'RAW DATA 2023'!E:BP,63,0)</f>
        <v>#N/A</v>
      </c>
      <c r="E933" s="68" t="e">
        <f t="shared" si="115"/>
        <v>#N/A</v>
      </c>
      <c r="F933" s="63" t="e">
        <f>VLOOKUP(C933,'RAW DATA 2023'!E:BO,5,0)</f>
        <v>#N/A</v>
      </c>
      <c r="G933" s="63" t="e">
        <f>VLOOKUP(C933,'RAW DATA 2023'!E:BO,13,0)</f>
        <v>#N/A</v>
      </c>
      <c r="H933" s="63" t="e">
        <f t="shared" si="116"/>
        <v>#N/A</v>
      </c>
      <c r="I933" s="63" t="e">
        <f t="shared" si="112"/>
        <v>#N/A</v>
      </c>
      <c r="J933" s="106" t="e">
        <f>VLOOKUP(C933,'RAW DATA 2023'!E:BO,22,0)</f>
        <v>#N/A</v>
      </c>
      <c r="K933" s="70" t="e">
        <f t="shared" si="113"/>
        <v>#N/A</v>
      </c>
      <c r="L933" s="72"/>
      <c r="M933" s="109" t="e">
        <f t="shared" si="118"/>
        <v>#N/A</v>
      </c>
      <c r="N933" s="123" t="e">
        <f>VLOOKUP(C933,'RAW DATA 2023'!E:BO,36,0)</f>
        <v>#N/A</v>
      </c>
      <c r="O933" s="63" t="e">
        <f>VLOOKUP(C933,'RAW DATA 2023'!E:BO,2,0)</f>
        <v>#N/A</v>
      </c>
      <c r="P933" s="322" t="e">
        <f t="shared" si="117"/>
        <v>#N/A</v>
      </c>
    </row>
    <row r="934" spans="1:16">
      <c r="A934" s="63">
        <f>'RAW DATA 2023'!B927</f>
        <v>0</v>
      </c>
      <c r="B934" s="63">
        <f>'RAW DATA 2023'!D927</f>
        <v>0</v>
      </c>
      <c r="C934" s="63" t="str">
        <f t="shared" si="114"/>
        <v>00</v>
      </c>
      <c r="D934" s="68" t="e">
        <f>VLOOKUP(C934,'RAW DATA 2023'!E:BP,63,0)</f>
        <v>#N/A</v>
      </c>
      <c r="E934" s="68" t="e">
        <f t="shared" si="115"/>
        <v>#N/A</v>
      </c>
      <c r="F934" s="63" t="e">
        <f>VLOOKUP(C934,'RAW DATA 2023'!E:BO,5,0)</f>
        <v>#N/A</v>
      </c>
      <c r="G934" s="63" t="e">
        <f>VLOOKUP(C934,'RAW DATA 2023'!E:BO,13,0)</f>
        <v>#N/A</v>
      </c>
      <c r="H934" s="63" t="e">
        <f t="shared" si="116"/>
        <v>#N/A</v>
      </c>
      <c r="I934" s="63" t="e">
        <f t="shared" si="112"/>
        <v>#N/A</v>
      </c>
      <c r="J934" s="106" t="e">
        <f>VLOOKUP(C934,'RAW DATA 2023'!E:BO,22,0)</f>
        <v>#N/A</v>
      </c>
      <c r="K934" s="70" t="e">
        <f t="shared" si="113"/>
        <v>#N/A</v>
      </c>
      <c r="L934" s="72"/>
      <c r="M934" s="109" t="e">
        <f t="shared" si="118"/>
        <v>#N/A</v>
      </c>
      <c r="N934" s="123" t="e">
        <f>VLOOKUP(C934,'RAW DATA 2023'!E:BO,36,0)</f>
        <v>#N/A</v>
      </c>
      <c r="O934" s="63" t="e">
        <f>VLOOKUP(C934,'RAW DATA 2023'!E:BO,2,0)</f>
        <v>#N/A</v>
      </c>
      <c r="P934" s="322" t="e">
        <f t="shared" si="117"/>
        <v>#N/A</v>
      </c>
    </row>
    <row r="935" spans="1:16">
      <c r="A935" s="63">
        <f>'RAW DATA 2023'!B928</f>
        <v>0</v>
      </c>
      <c r="B935" s="63">
        <f>'RAW DATA 2023'!D928</f>
        <v>0</v>
      </c>
      <c r="C935" s="63" t="str">
        <f t="shared" si="114"/>
        <v>00</v>
      </c>
      <c r="D935" s="68" t="e">
        <f>VLOOKUP(C935,'RAW DATA 2023'!E:BP,63,0)</f>
        <v>#N/A</v>
      </c>
      <c r="E935" s="68" t="e">
        <f t="shared" si="115"/>
        <v>#N/A</v>
      </c>
      <c r="F935" s="63" t="e">
        <f>VLOOKUP(C935,'RAW DATA 2023'!E:BO,5,0)</f>
        <v>#N/A</v>
      </c>
      <c r="G935" s="63" t="e">
        <f>VLOOKUP(C935,'RAW DATA 2023'!E:BO,13,0)</f>
        <v>#N/A</v>
      </c>
      <c r="H935" s="63" t="e">
        <f t="shared" si="116"/>
        <v>#N/A</v>
      </c>
      <c r="I935" s="63" t="e">
        <f t="shared" si="112"/>
        <v>#N/A</v>
      </c>
      <c r="J935" s="106" t="e">
        <f>VLOOKUP(C935,'RAW DATA 2023'!E:BO,22,0)</f>
        <v>#N/A</v>
      </c>
      <c r="K935" s="70" t="e">
        <f t="shared" si="113"/>
        <v>#N/A</v>
      </c>
      <c r="L935" s="72"/>
      <c r="M935" s="109" t="e">
        <f t="shared" si="118"/>
        <v>#N/A</v>
      </c>
      <c r="N935" s="123" t="e">
        <f>VLOOKUP(C935,'RAW DATA 2023'!E:BO,36,0)</f>
        <v>#N/A</v>
      </c>
      <c r="O935" s="63" t="e">
        <f>VLOOKUP(C935,'RAW DATA 2023'!E:BO,2,0)</f>
        <v>#N/A</v>
      </c>
      <c r="P935" s="322" t="e">
        <f t="shared" si="117"/>
        <v>#N/A</v>
      </c>
    </row>
    <row r="936" spans="1:16">
      <c r="A936" s="63">
        <f>'RAW DATA 2023'!B929</f>
        <v>0</v>
      </c>
      <c r="B936" s="63">
        <f>'RAW DATA 2023'!D929</f>
        <v>0</v>
      </c>
      <c r="C936" s="63" t="str">
        <f t="shared" si="114"/>
        <v>00</v>
      </c>
      <c r="D936" s="68" t="e">
        <f>VLOOKUP(C936,'RAW DATA 2023'!E:BP,63,0)</f>
        <v>#N/A</v>
      </c>
      <c r="E936" s="68" t="e">
        <f t="shared" si="115"/>
        <v>#N/A</v>
      </c>
      <c r="F936" s="63" t="e">
        <f>VLOOKUP(C936,'RAW DATA 2023'!E:BO,5,0)</f>
        <v>#N/A</v>
      </c>
      <c r="G936" s="63" t="e">
        <f>VLOOKUP(C936,'RAW DATA 2023'!E:BO,13,0)</f>
        <v>#N/A</v>
      </c>
      <c r="H936" s="63" t="e">
        <f t="shared" si="116"/>
        <v>#N/A</v>
      </c>
      <c r="I936" s="63" t="e">
        <f t="shared" si="112"/>
        <v>#N/A</v>
      </c>
      <c r="J936" s="106" t="e">
        <f>VLOOKUP(C936,'RAW DATA 2023'!E:BO,22,0)</f>
        <v>#N/A</v>
      </c>
      <c r="K936" s="70" t="e">
        <f t="shared" si="113"/>
        <v>#N/A</v>
      </c>
      <c r="L936" s="72"/>
      <c r="M936" s="109" t="e">
        <f t="shared" si="118"/>
        <v>#N/A</v>
      </c>
      <c r="N936" s="123" t="e">
        <f>VLOOKUP(C936,'RAW DATA 2023'!E:BO,36,0)</f>
        <v>#N/A</v>
      </c>
      <c r="O936" s="63" t="e">
        <f>VLOOKUP(C936,'RAW DATA 2023'!E:BO,2,0)</f>
        <v>#N/A</v>
      </c>
      <c r="P936" s="322" t="e">
        <f t="shared" si="117"/>
        <v>#N/A</v>
      </c>
    </row>
    <row r="937" spans="1:16">
      <c r="A937" s="63">
        <f>'RAW DATA 2023'!B930</f>
        <v>0</v>
      </c>
      <c r="B937" s="63">
        <f>'RAW DATA 2023'!D930</f>
        <v>0</v>
      </c>
      <c r="C937" s="63" t="str">
        <f t="shared" si="114"/>
        <v>00</v>
      </c>
      <c r="D937" s="68" t="e">
        <f>VLOOKUP(C937,'RAW DATA 2023'!E:BP,63,0)</f>
        <v>#N/A</v>
      </c>
      <c r="E937" s="68" t="e">
        <f t="shared" si="115"/>
        <v>#N/A</v>
      </c>
      <c r="F937" s="63" t="e">
        <f>VLOOKUP(C937,'RAW DATA 2023'!E:BO,5,0)</f>
        <v>#N/A</v>
      </c>
      <c r="G937" s="63" t="e">
        <f>VLOOKUP(C937,'RAW DATA 2023'!E:BO,13,0)</f>
        <v>#N/A</v>
      </c>
      <c r="H937" s="63" t="e">
        <f t="shared" si="116"/>
        <v>#N/A</v>
      </c>
      <c r="I937" s="63" t="e">
        <f t="shared" si="112"/>
        <v>#N/A</v>
      </c>
      <c r="J937" s="106" t="e">
        <f>VLOOKUP(C937,'RAW DATA 2023'!E:BO,22,0)</f>
        <v>#N/A</v>
      </c>
      <c r="K937" s="70" t="e">
        <f t="shared" si="113"/>
        <v>#N/A</v>
      </c>
      <c r="L937" s="72"/>
      <c r="M937" s="109" t="e">
        <f t="shared" si="118"/>
        <v>#N/A</v>
      </c>
      <c r="N937" s="123" t="e">
        <f>VLOOKUP(C937,'RAW DATA 2023'!E:BO,36,0)</f>
        <v>#N/A</v>
      </c>
      <c r="O937" s="63" t="e">
        <f>VLOOKUP(C937,'RAW DATA 2023'!E:BO,2,0)</f>
        <v>#N/A</v>
      </c>
      <c r="P937" s="322" t="e">
        <f t="shared" si="117"/>
        <v>#N/A</v>
      </c>
    </row>
    <row r="938" spans="1:16">
      <c r="A938" s="63">
        <f>'RAW DATA 2023'!B931</f>
        <v>0</v>
      </c>
      <c r="B938" s="63">
        <f>'RAW DATA 2023'!D931</f>
        <v>0</v>
      </c>
      <c r="C938" s="63" t="str">
        <f t="shared" si="114"/>
        <v>00</v>
      </c>
      <c r="D938" s="68" t="e">
        <f>VLOOKUP(C938,'RAW DATA 2023'!E:BP,63,0)</f>
        <v>#N/A</v>
      </c>
      <c r="E938" s="68" t="e">
        <f t="shared" si="115"/>
        <v>#N/A</v>
      </c>
      <c r="F938" s="63" t="e">
        <f>VLOOKUP(C938,'RAW DATA 2023'!E:BO,5,0)</f>
        <v>#N/A</v>
      </c>
      <c r="G938" s="63" t="e">
        <f>VLOOKUP(C938,'RAW DATA 2023'!E:BO,13,0)</f>
        <v>#N/A</v>
      </c>
      <c r="H938" s="63" t="e">
        <f t="shared" si="116"/>
        <v>#N/A</v>
      </c>
      <c r="I938" s="63" t="e">
        <f t="shared" si="112"/>
        <v>#N/A</v>
      </c>
      <c r="J938" s="106" t="e">
        <f>VLOOKUP(C938,'RAW DATA 2023'!E:BO,22,0)</f>
        <v>#N/A</v>
      </c>
      <c r="K938" s="70" t="e">
        <f t="shared" si="113"/>
        <v>#N/A</v>
      </c>
      <c r="L938" s="72"/>
      <c r="M938" s="109" t="e">
        <f t="shared" si="118"/>
        <v>#N/A</v>
      </c>
      <c r="N938" s="123" t="e">
        <f>VLOOKUP(C938,'RAW DATA 2023'!E:BO,36,0)</f>
        <v>#N/A</v>
      </c>
      <c r="O938" s="63" t="e">
        <f>VLOOKUP(C938,'RAW DATA 2023'!E:BO,2,0)</f>
        <v>#N/A</v>
      </c>
      <c r="P938" s="322" t="e">
        <f t="shared" si="117"/>
        <v>#N/A</v>
      </c>
    </row>
    <row r="939" spans="1:16">
      <c r="A939" s="63">
        <f>'RAW DATA 2023'!B932</f>
        <v>0</v>
      </c>
      <c r="B939" s="63">
        <f>'RAW DATA 2023'!D932</f>
        <v>0</v>
      </c>
      <c r="C939" s="63" t="str">
        <f t="shared" si="114"/>
        <v>00</v>
      </c>
      <c r="D939" s="68" t="e">
        <f>VLOOKUP(C939,'RAW DATA 2023'!E:BP,63,0)</f>
        <v>#N/A</v>
      </c>
      <c r="E939" s="68" t="e">
        <f t="shared" si="115"/>
        <v>#N/A</v>
      </c>
      <c r="F939" s="63" t="e">
        <f>VLOOKUP(C939,'RAW DATA 2023'!E:BO,5,0)</f>
        <v>#N/A</v>
      </c>
      <c r="G939" s="63" t="e">
        <f>VLOOKUP(C939,'RAW DATA 2023'!E:BO,13,0)</f>
        <v>#N/A</v>
      </c>
      <c r="H939" s="63" t="e">
        <f t="shared" si="116"/>
        <v>#N/A</v>
      </c>
      <c r="I939" s="63" t="e">
        <f t="shared" si="112"/>
        <v>#N/A</v>
      </c>
      <c r="J939" s="106" t="e">
        <f>VLOOKUP(C939,'RAW DATA 2023'!E:BO,22,0)</f>
        <v>#N/A</v>
      </c>
      <c r="K939" s="70" t="e">
        <f t="shared" si="113"/>
        <v>#N/A</v>
      </c>
      <c r="L939" s="72"/>
      <c r="M939" s="109" t="e">
        <f t="shared" si="118"/>
        <v>#N/A</v>
      </c>
      <c r="N939" s="123" t="e">
        <f>VLOOKUP(C939,'RAW DATA 2023'!E:BO,36,0)</f>
        <v>#N/A</v>
      </c>
      <c r="O939" s="63" t="e">
        <f>VLOOKUP(C939,'RAW DATA 2023'!E:BO,2,0)</f>
        <v>#N/A</v>
      </c>
      <c r="P939" s="322" t="e">
        <f t="shared" si="117"/>
        <v>#N/A</v>
      </c>
    </row>
    <row r="940" spans="1:16">
      <c r="A940" s="63">
        <f>'RAW DATA 2023'!B933</f>
        <v>0</v>
      </c>
      <c r="B940" s="63">
        <f>'RAW DATA 2023'!D933</f>
        <v>0</v>
      </c>
      <c r="C940" s="63" t="str">
        <f t="shared" si="114"/>
        <v>00</v>
      </c>
      <c r="D940" s="68" t="e">
        <f>VLOOKUP(C940,'RAW DATA 2023'!E:BP,63,0)</f>
        <v>#N/A</v>
      </c>
      <c r="E940" s="68" t="e">
        <f t="shared" si="115"/>
        <v>#N/A</v>
      </c>
      <c r="F940" s="63" t="e">
        <f>VLOOKUP(C940,'RAW DATA 2023'!E:BO,5,0)</f>
        <v>#N/A</v>
      </c>
      <c r="G940" s="63" t="e">
        <f>VLOOKUP(C940,'RAW DATA 2023'!E:BO,13,0)</f>
        <v>#N/A</v>
      </c>
      <c r="H940" s="63" t="e">
        <f t="shared" si="116"/>
        <v>#N/A</v>
      </c>
      <c r="I940" s="63" t="e">
        <f t="shared" si="112"/>
        <v>#N/A</v>
      </c>
      <c r="J940" s="106" t="e">
        <f>VLOOKUP(C940,'RAW DATA 2023'!E:BO,22,0)</f>
        <v>#N/A</v>
      </c>
      <c r="K940" s="70" t="e">
        <f t="shared" si="113"/>
        <v>#N/A</v>
      </c>
      <c r="L940" s="72"/>
      <c r="M940" s="109" t="e">
        <f t="shared" si="118"/>
        <v>#N/A</v>
      </c>
      <c r="N940" s="123" t="e">
        <f>VLOOKUP(C940,'RAW DATA 2023'!E:BO,36,0)</f>
        <v>#N/A</v>
      </c>
      <c r="O940" s="63" t="e">
        <f>VLOOKUP(C940,'RAW DATA 2023'!E:BO,2,0)</f>
        <v>#N/A</v>
      </c>
      <c r="P940" s="322" t="e">
        <f t="shared" si="117"/>
        <v>#N/A</v>
      </c>
    </row>
    <row r="941" spans="1:16">
      <c r="A941" s="63">
        <f>'RAW DATA 2023'!B934</f>
        <v>0</v>
      </c>
      <c r="B941" s="63">
        <f>'RAW DATA 2023'!D934</f>
        <v>0</v>
      </c>
      <c r="C941" s="63" t="str">
        <f t="shared" si="114"/>
        <v>00</v>
      </c>
      <c r="D941" s="68" t="e">
        <f>VLOOKUP(C941,'RAW DATA 2023'!E:BP,63,0)</f>
        <v>#N/A</v>
      </c>
      <c r="E941" s="68" t="e">
        <f t="shared" si="115"/>
        <v>#N/A</v>
      </c>
      <c r="F941" s="63" t="e">
        <f>VLOOKUP(C941,'RAW DATA 2023'!E:BO,5,0)</f>
        <v>#N/A</v>
      </c>
      <c r="G941" s="63" t="e">
        <f>VLOOKUP(C941,'RAW DATA 2023'!E:BO,13,0)</f>
        <v>#N/A</v>
      </c>
      <c r="H941" s="63" t="e">
        <f t="shared" si="116"/>
        <v>#N/A</v>
      </c>
      <c r="I941" s="63" t="e">
        <f t="shared" si="112"/>
        <v>#N/A</v>
      </c>
      <c r="J941" s="106" t="e">
        <f>VLOOKUP(C941,'RAW DATA 2023'!E:BO,22,0)</f>
        <v>#N/A</v>
      </c>
      <c r="K941" s="70" t="e">
        <f t="shared" si="113"/>
        <v>#N/A</v>
      </c>
      <c r="L941" s="72"/>
      <c r="M941" s="109" t="e">
        <f t="shared" si="118"/>
        <v>#N/A</v>
      </c>
      <c r="N941" s="123" t="e">
        <f>VLOOKUP(C941,'RAW DATA 2023'!E:BO,36,0)</f>
        <v>#N/A</v>
      </c>
      <c r="O941" s="63" t="e">
        <f>VLOOKUP(C941,'RAW DATA 2023'!E:BO,2,0)</f>
        <v>#N/A</v>
      </c>
      <c r="P941" s="322" t="e">
        <f t="shared" si="117"/>
        <v>#N/A</v>
      </c>
    </row>
    <row r="942" spans="1:16">
      <c r="A942" s="63">
        <f>'RAW DATA 2023'!B935</f>
        <v>0</v>
      </c>
      <c r="B942" s="63">
        <f>'RAW DATA 2023'!D935</f>
        <v>0</v>
      </c>
      <c r="C942" s="63" t="str">
        <f t="shared" si="114"/>
        <v>00</v>
      </c>
      <c r="D942" s="68" t="e">
        <f>VLOOKUP(C942,'RAW DATA 2023'!E:BP,63,0)</f>
        <v>#N/A</v>
      </c>
      <c r="E942" s="68" t="e">
        <f t="shared" si="115"/>
        <v>#N/A</v>
      </c>
      <c r="F942" s="63" t="e">
        <f>VLOOKUP(C942,'RAW DATA 2023'!E:BO,5,0)</f>
        <v>#N/A</v>
      </c>
      <c r="G942" s="63" t="e">
        <f>VLOOKUP(C942,'RAW DATA 2023'!E:BO,13,0)</f>
        <v>#N/A</v>
      </c>
      <c r="H942" s="63" t="e">
        <f t="shared" si="116"/>
        <v>#N/A</v>
      </c>
      <c r="I942" s="63" t="e">
        <f t="shared" si="112"/>
        <v>#N/A</v>
      </c>
      <c r="J942" s="106" t="e">
        <f>VLOOKUP(C942,'RAW DATA 2023'!E:BO,22,0)</f>
        <v>#N/A</v>
      </c>
      <c r="K942" s="70" t="e">
        <f t="shared" si="113"/>
        <v>#N/A</v>
      </c>
      <c r="L942" s="72"/>
      <c r="M942" s="109" t="e">
        <f t="shared" si="118"/>
        <v>#N/A</v>
      </c>
      <c r="N942" s="123" t="e">
        <f>VLOOKUP(C942,'RAW DATA 2023'!E:BO,36,0)</f>
        <v>#N/A</v>
      </c>
      <c r="O942" s="63" t="e">
        <f>VLOOKUP(C942,'RAW DATA 2023'!E:BO,2,0)</f>
        <v>#N/A</v>
      </c>
      <c r="P942" s="322" t="e">
        <f t="shared" si="117"/>
        <v>#N/A</v>
      </c>
    </row>
    <row r="943" spans="1:16">
      <c r="A943" s="63">
        <f>'RAW DATA 2023'!B936</f>
        <v>0</v>
      </c>
      <c r="B943" s="63">
        <f>'RAW DATA 2023'!D936</f>
        <v>0</v>
      </c>
      <c r="C943" s="63" t="str">
        <f t="shared" si="114"/>
        <v>00</v>
      </c>
      <c r="D943" s="68" t="e">
        <f>VLOOKUP(C943,'RAW DATA 2023'!E:BP,63,0)</f>
        <v>#N/A</v>
      </c>
      <c r="E943" s="68" t="e">
        <f t="shared" si="115"/>
        <v>#N/A</v>
      </c>
      <c r="F943" s="63" t="e">
        <f>VLOOKUP(C943,'RAW DATA 2023'!E:BO,5,0)</f>
        <v>#N/A</v>
      </c>
      <c r="G943" s="63" t="e">
        <f>VLOOKUP(C943,'RAW DATA 2023'!E:BO,13,0)</f>
        <v>#N/A</v>
      </c>
      <c r="H943" s="63" t="e">
        <f t="shared" si="116"/>
        <v>#N/A</v>
      </c>
      <c r="I943" s="63" t="e">
        <f t="shared" si="112"/>
        <v>#N/A</v>
      </c>
      <c r="J943" s="106" t="e">
        <f>VLOOKUP(C943,'RAW DATA 2023'!E:BO,22,0)</f>
        <v>#N/A</v>
      </c>
      <c r="K943" s="70" t="e">
        <f t="shared" si="113"/>
        <v>#N/A</v>
      </c>
      <c r="L943" s="72"/>
      <c r="M943" s="109" t="e">
        <f t="shared" si="118"/>
        <v>#N/A</v>
      </c>
      <c r="N943" s="123" t="e">
        <f>VLOOKUP(C943,'RAW DATA 2023'!E:BO,36,0)</f>
        <v>#N/A</v>
      </c>
      <c r="O943" s="63" t="e">
        <f>VLOOKUP(C943,'RAW DATA 2023'!E:BO,2,0)</f>
        <v>#N/A</v>
      </c>
      <c r="P943" s="322" t="e">
        <f t="shared" si="117"/>
        <v>#N/A</v>
      </c>
    </row>
    <row r="944" spans="1:16">
      <c r="A944" s="63">
        <f>'RAW DATA 2023'!B937</f>
        <v>0</v>
      </c>
      <c r="B944" s="63">
        <f>'RAW DATA 2023'!D937</f>
        <v>0</v>
      </c>
      <c r="C944" s="63" t="str">
        <f t="shared" si="114"/>
        <v>00</v>
      </c>
      <c r="D944" s="68" t="e">
        <f>VLOOKUP(C944,'RAW DATA 2023'!E:BP,63,0)</f>
        <v>#N/A</v>
      </c>
      <c r="E944" s="68" t="e">
        <f t="shared" si="115"/>
        <v>#N/A</v>
      </c>
      <c r="F944" s="63" t="e">
        <f>VLOOKUP(C944,'RAW DATA 2023'!E:BO,5,0)</f>
        <v>#N/A</v>
      </c>
      <c r="G944" s="63" t="e">
        <f>VLOOKUP(C944,'RAW DATA 2023'!E:BO,13,0)</f>
        <v>#N/A</v>
      </c>
      <c r="H944" s="63" t="e">
        <f t="shared" si="116"/>
        <v>#N/A</v>
      </c>
      <c r="I944" s="63" t="e">
        <f t="shared" si="112"/>
        <v>#N/A</v>
      </c>
      <c r="J944" s="106" t="e">
        <f>VLOOKUP(C944,'RAW DATA 2023'!E:BO,22,0)</f>
        <v>#N/A</v>
      </c>
      <c r="K944" s="70" t="e">
        <f t="shared" si="113"/>
        <v>#N/A</v>
      </c>
      <c r="L944" s="72"/>
      <c r="M944" s="109" t="e">
        <f t="shared" si="118"/>
        <v>#N/A</v>
      </c>
      <c r="N944" s="123" t="e">
        <f>VLOOKUP(C944,'RAW DATA 2023'!E:BO,36,0)</f>
        <v>#N/A</v>
      </c>
      <c r="O944" s="63" t="e">
        <f>VLOOKUP(C944,'RAW DATA 2023'!E:BO,2,0)</f>
        <v>#N/A</v>
      </c>
      <c r="P944" s="322" t="e">
        <f t="shared" si="117"/>
        <v>#N/A</v>
      </c>
    </row>
    <row r="945" spans="1:16">
      <c r="A945" s="63">
        <f>'RAW DATA 2023'!B938</f>
        <v>0</v>
      </c>
      <c r="B945" s="63">
        <f>'RAW DATA 2023'!D938</f>
        <v>0</v>
      </c>
      <c r="C945" s="63" t="str">
        <f t="shared" si="114"/>
        <v>00</v>
      </c>
      <c r="D945" s="68" t="e">
        <f>VLOOKUP(C945,'RAW DATA 2023'!E:BP,63,0)</f>
        <v>#N/A</v>
      </c>
      <c r="E945" s="68" t="e">
        <f t="shared" si="115"/>
        <v>#N/A</v>
      </c>
      <c r="F945" s="63" t="e">
        <f>VLOOKUP(C945,'RAW DATA 2023'!E:BO,5,0)</f>
        <v>#N/A</v>
      </c>
      <c r="G945" s="63" t="e">
        <f>VLOOKUP(C945,'RAW DATA 2023'!E:BO,13,0)</f>
        <v>#N/A</v>
      </c>
      <c r="H945" s="63" t="e">
        <f t="shared" si="116"/>
        <v>#N/A</v>
      </c>
      <c r="I945" s="63" t="e">
        <f t="shared" si="112"/>
        <v>#N/A</v>
      </c>
      <c r="J945" s="106" t="e">
        <f>VLOOKUP(C945,'RAW DATA 2023'!E:BO,22,0)</f>
        <v>#N/A</v>
      </c>
      <c r="K945" s="70" t="e">
        <f t="shared" si="113"/>
        <v>#N/A</v>
      </c>
      <c r="L945" s="72"/>
      <c r="M945" s="109" t="e">
        <f t="shared" si="118"/>
        <v>#N/A</v>
      </c>
      <c r="N945" s="123" t="e">
        <f>VLOOKUP(C945,'RAW DATA 2023'!E:BO,36,0)</f>
        <v>#N/A</v>
      </c>
      <c r="O945" s="63" t="e">
        <f>VLOOKUP(C945,'RAW DATA 2023'!E:BO,2,0)</f>
        <v>#N/A</v>
      </c>
      <c r="P945" s="322" t="e">
        <f t="shared" si="117"/>
        <v>#N/A</v>
      </c>
    </row>
    <row r="946" spans="1:16">
      <c r="A946" s="63">
        <f>'RAW DATA 2023'!B939</f>
        <v>0</v>
      </c>
      <c r="B946" s="63">
        <f>'RAW DATA 2023'!D939</f>
        <v>0</v>
      </c>
      <c r="C946" s="63" t="str">
        <f t="shared" si="114"/>
        <v>00</v>
      </c>
      <c r="D946" s="68" t="e">
        <f>VLOOKUP(C946,'RAW DATA 2023'!E:BP,63,0)</f>
        <v>#N/A</v>
      </c>
      <c r="E946" s="68" t="e">
        <f t="shared" si="115"/>
        <v>#N/A</v>
      </c>
      <c r="F946" s="63" t="e">
        <f>VLOOKUP(C946,'RAW DATA 2023'!E:BO,5,0)</f>
        <v>#N/A</v>
      </c>
      <c r="G946" s="63" t="e">
        <f>VLOOKUP(C946,'RAW DATA 2023'!E:BO,13,0)</f>
        <v>#N/A</v>
      </c>
      <c r="H946" s="63" t="e">
        <f t="shared" si="116"/>
        <v>#N/A</v>
      </c>
      <c r="I946" s="63" t="e">
        <f t="shared" si="112"/>
        <v>#N/A</v>
      </c>
      <c r="J946" s="106" t="e">
        <f>VLOOKUP(C946,'RAW DATA 2023'!E:BO,22,0)</f>
        <v>#N/A</v>
      </c>
      <c r="K946" s="70" t="e">
        <f t="shared" si="113"/>
        <v>#N/A</v>
      </c>
      <c r="L946" s="72"/>
      <c r="M946" s="109" t="e">
        <f t="shared" si="118"/>
        <v>#N/A</v>
      </c>
      <c r="N946" s="123" t="e">
        <f>VLOOKUP(C946,'RAW DATA 2023'!E:BO,36,0)</f>
        <v>#N/A</v>
      </c>
      <c r="O946" s="63" t="e">
        <f>VLOOKUP(C946,'RAW DATA 2023'!E:BO,2,0)</f>
        <v>#N/A</v>
      </c>
      <c r="P946" s="322" t="e">
        <f t="shared" si="117"/>
        <v>#N/A</v>
      </c>
    </row>
    <row r="947" spans="1:16">
      <c r="A947" s="63">
        <f>'RAW DATA 2023'!B940</f>
        <v>0</v>
      </c>
      <c r="B947" s="63">
        <f>'RAW DATA 2023'!D940</f>
        <v>0</v>
      </c>
      <c r="C947" s="63" t="str">
        <f t="shared" si="114"/>
        <v>00</v>
      </c>
      <c r="D947" s="68" t="e">
        <f>VLOOKUP(C947,'RAW DATA 2023'!E:BP,63,0)</f>
        <v>#N/A</v>
      </c>
      <c r="E947" s="68" t="e">
        <f t="shared" si="115"/>
        <v>#N/A</v>
      </c>
      <c r="F947" s="63" t="e">
        <f>VLOOKUP(C947,'RAW DATA 2023'!E:BO,5,0)</f>
        <v>#N/A</v>
      </c>
      <c r="G947" s="63" t="e">
        <f>VLOOKUP(C947,'RAW DATA 2023'!E:BO,13,0)</f>
        <v>#N/A</v>
      </c>
      <c r="H947" s="63" t="e">
        <f t="shared" si="116"/>
        <v>#N/A</v>
      </c>
      <c r="I947" s="63" t="e">
        <f t="shared" si="112"/>
        <v>#N/A</v>
      </c>
      <c r="J947" s="106" t="e">
        <f>VLOOKUP(C947,'RAW DATA 2023'!E:BO,22,0)</f>
        <v>#N/A</v>
      </c>
      <c r="K947" s="70" t="e">
        <f t="shared" si="113"/>
        <v>#N/A</v>
      </c>
      <c r="L947" s="72"/>
      <c r="M947" s="109" t="e">
        <f t="shared" si="118"/>
        <v>#N/A</v>
      </c>
      <c r="N947" s="123" t="e">
        <f>VLOOKUP(C947,'RAW DATA 2023'!E:BO,36,0)</f>
        <v>#N/A</v>
      </c>
      <c r="O947" s="63" t="e">
        <f>VLOOKUP(C947,'RAW DATA 2023'!E:BO,2,0)</f>
        <v>#N/A</v>
      </c>
      <c r="P947" s="322" t="e">
        <f t="shared" si="117"/>
        <v>#N/A</v>
      </c>
    </row>
    <row r="948" spans="1:16">
      <c r="A948" s="63">
        <f>'RAW DATA 2023'!B941</f>
        <v>0</v>
      </c>
      <c r="B948" s="63">
        <f>'RAW DATA 2023'!D941</f>
        <v>0</v>
      </c>
      <c r="C948" s="63" t="str">
        <f t="shared" si="114"/>
        <v>00</v>
      </c>
      <c r="D948" s="68" t="e">
        <f>VLOOKUP(C948,'RAW DATA 2023'!E:BP,63,0)</f>
        <v>#N/A</v>
      </c>
      <c r="E948" s="68" t="e">
        <f t="shared" si="115"/>
        <v>#N/A</v>
      </c>
      <c r="F948" s="63" t="e">
        <f>VLOOKUP(C948,'RAW DATA 2023'!E:BO,5,0)</f>
        <v>#N/A</v>
      </c>
      <c r="G948" s="63" t="e">
        <f>VLOOKUP(C948,'RAW DATA 2023'!E:BO,13,0)</f>
        <v>#N/A</v>
      </c>
      <c r="H948" s="63" t="e">
        <f t="shared" si="116"/>
        <v>#N/A</v>
      </c>
      <c r="I948" s="63" t="e">
        <f t="shared" si="112"/>
        <v>#N/A</v>
      </c>
      <c r="J948" s="106" t="e">
        <f>VLOOKUP(C948,'RAW DATA 2023'!E:BO,22,0)</f>
        <v>#N/A</v>
      </c>
      <c r="K948" s="70" t="e">
        <f t="shared" si="113"/>
        <v>#N/A</v>
      </c>
      <c r="L948" s="72"/>
      <c r="M948" s="109" t="e">
        <f t="shared" si="118"/>
        <v>#N/A</v>
      </c>
      <c r="N948" s="123" t="e">
        <f>VLOOKUP(C948,'RAW DATA 2023'!E:BO,36,0)</f>
        <v>#N/A</v>
      </c>
      <c r="O948" s="63" t="e">
        <f>VLOOKUP(C948,'RAW DATA 2023'!E:BO,2,0)</f>
        <v>#N/A</v>
      </c>
      <c r="P948" s="322" t="e">
        <f t="shared" si="117"/>
        <v>#N/A</v>
      </c>
    </row>
    <row r="949" spans="1:16">
      <c r="A949" s="63">
        <f>'RAW DATA 2023'!B942</f>
        <v>0</v>
      </c>
      <c r="B949" s="63">
        <f>'RAW DATA 2023'!D942</f>
        <v>0</v>
      </c>
      <c r="C949" s="63" t="str">
        <f t="shared" si="114"/>
        <v>00</v>
      </c>
      <c r="D949" s="68" t="e">
        <f>VLOOKUP(C949,'RAW DATA 2023'!E:BP,63,0)</f>
        <v>#N/A</v>
      </c>
      <c r="E949" s="68" t="e">
        <f t="shared" si="115"/>
        <v>#N/A</v>
      </c>
      <c r="F949" s="63" t="e">
        <f>VLOOKUP(C949,'RAW DATA 2023'!E:BO,5,0)</f>
        <v>#N/A</v>
      </c>
      <c r="G949" s="63" t="e">
        <f>VLOOKUP(C949,'RAW DATA 2023'!E:BO,13,0)</f>
        <v>#N/A</v>
      </c>
      <c r="H949" s="63" t="e">
        <f t="shared" si="116"/>
        <v>#N/A</v>
      </c>
      <c r="I949" s="63" t="e">
        <f t="shared" si="112"/>
        <v>#N/A</v>
      </c>
      <c r="J949" s="106" t="e">
        <f>VLOOKUP(C949,'RAW DATA 2023'!E:BO,22,0)</f>
        <v>#N/A</v>
      </c>
      <c r="K949" s="70" t="e">
        <f t="shared" si="113"/>
        <v>#N/A</v>
      </c>
      <c r="L949" s="72"/>
      <c r="M949" s="109" t="e">
        <f t="shared" si="118"/>
        <v>#N/A</v>
      </c>
      <c r="N949" s="123" t="e">
        <f>VLOOKUP(C949,'RAW DATA 2023'!E:BO,36,0)</f>
        <v>#N/A</v>
      </c>
      <c r="O949" s="63" t="e">
        <f>VLOOKUP(C949,'RAW DATA 2023'!E:BO,2,0)</f>
        <v>#N/A</v>
      </c>
      <c r="P949" s="322" t="e">
        <f t="shared" si="117"/>
        <v>#N/A</v>
      </c>
    </row>
    <row r="950" spans="1:16">
      <c r="A950" s="63">
        <f>'RAW DATA 2023'!B943</f>
        <v>0</v>
      </c>
      <c r="B950" s="63">
        <f>'RAW DATA 2023'!D943</f>
        <v>0</v>
      </c>
      <c r="C950" s="63" t="str">
        <f t="shared" si="114"/>
        <v>00</v>
      </c>
      <c r="D950" s="68" t="e">
        <f>VLOOKUP(C950,'RAW DATA 2023'!E:BP,63,0)</f>
        <v>#N/A</v>
      </c>
      <c r="E950" s="68" t="e">
        <f t="shared" si="115"/>
        <v>#N/A</v>
      </c>
      <c r="F950" s="63" t="e">
        <f>VLOOKUP(C950,'RAW DATA 2023'!E:BO,5,0)</f>
        <v>#N/A</v>
      </c>
      <c r="G950" s="63" t="e">
        <f>VLOOKUP(C950,'RAW DATA 2023'!E:BO,13,0)</f>
        <v>#N/A</v>
      </c>
      <c r="H950" s="63" t="e">
        <f t="shared" si="116"/>
        <v>#N/A</v>
      </c>
      <c r="I950" s="63" t="e">
        <f t="shared" ref="I950:I1013" si="119">IF(F950=$W$1,VLOOKUP(H950,Y:Z,2,0),VLOOKUP(H950,AF:AG,2,0))</f>
        <v>#N/A</v>
      </c>
      <c r="J950" s="106" t="e">
        <f>VLOOKUP(C950,'RAW DATA 2023'!E:BO,22,0)</f>
        <v>#N/A</v>
      </c>
      <c r="K950" s="70" t="e">
        <f t="shared" si="113"/>
        <v>#N/A</v>
      </c>
      <c r="L950" s="72"/>
      <c r="M950" s="109" t="e">
        <f t="shared" si="118"/>
        <v>#N/A</v>
      </c>
      <c r="N950" s="123" t="e">
        <f>VLOOKUP(C950,'RAW DATA 2023'!E:BO,36,0)</f>
        <v>#N/A</v>
      </c>
      <c r="O950" s="63" t="e">
        <f>VLOOKUP(C950,'RAW DATA 2023'!E:BO,2,0)</f>
        <v>#N/A</v>
      </c>
      <c r="P950" s="322" t="e">
        <f t="shared" si="117"/>
        <v>#N/A</v>
      </c>
    </row>
    <row r="951" spans="1:16">
      <c r="A951" s="63">
        <f>'RAW DATA 2023'!B944</f>
        <v>0</v>
      </c>
      <c r="B951" s="63">
        <f>'RAW DATA 2023'!D944</f>
        <v>0</v>
      </c>
      <c r="C951" s="63" t="str">
        <f t="shared" si="114"/>
        <v>00</v>
      </c>
      <c r="D951" s="68" t="e">
        <f>VLOOKUP(C951,'RAW DATA 2023'!E:BP,63,0)</f>
        <v>#N/A</v>
      </c>
      <c r="E951" s="68" t="e">
        <f t="shared" si="115"/>
        <v>#N/A</v>
      </c>
      <c r="F951" s="63" t="e">
        <f>VLOOKUP(C951,'RAW DATA 2023'!E:BO,5,0)</f>
        <v>#N/A</v>
      </c>
      <c r="G951" s="63" t="e">
        <f>VLOOKUP(C951,'RAW DATA 2023'!E:BO,13,0)</f>
        <v>#N/A</v>
      </c>
      <c r="H951" s="63" t="e">
        <f t="shared" si="116"/>
        <v>#N/A</v>
      </c>
      <c r="I951" s="63" t="e">
        <f t="shared" si="119"/>
        <v>#N/A</v>
      </c>
      <c r="J951" s="106" t="e">
        <f>VLOOKUP(C951,'RAW DATA 2023'!E:BO,22,0)</f>
        <v>#N/A</v>
      </c>
      <c r="K951" s="70" t="e">
        <f t="shared" ref="K951:K1014" si="120">J951/I951</f>
        <v>#N/A</v>
      </c>
      <c r="L951" s="72"/>
      <c r="M951" s="109" t="e">
        <f t="shared" si="118"/>
        <v>#N/A</v>
      </c>
      <c r="N951" s="123" t="e">
        <f>VLOOKUP(C951,'RAW DATA 2023'!E:BO,36,0)</f>
        <v>#N/A</v>
      </c>
      <c r="O951" s="63" t="e">
        <f>VLOOKUP(C951,'RAW DATA 2023'!E:BO,2,0)</f>
        <v>#N/A</v>
      </c>
      <c r="P951" s="322" t="e">
        <f t="shared" si="117"/>
        <v>#N/A</v>
      </c>
    </row>
    <row r="952" spans="1:16">
      <c r="A952" s="63">
        <f>'RAW DATA 2023'!B945</f>
        <v>0</v>
      </c>
      <c r="B952" s="63">
        <f>'RAW DATA 2023'!D945</f>
        <v>0</v>
      </c>
      <c r="C952" s="63" t="str">
        <f t="shared" si="114"/>
        <v>00</v>
      </c>
      <c r="D952" s="68" t="e">
        <f>VLOOKUP(C952,'RAW DATA 2023'!E:BP,63,0)</f>
        <v>#N/A</v>
      </c>
      <c r="E952" s="68" t="e">
        <f t="shared" si="115"/>
        <v>#N/A</v>
      </c>
      <c r="F952" s="63" t="e">
        <f>VLOOKUP(C952,'RAW DATA 2023'!E:BO,5,0)</f>
        <v>#N/A</v>
      </c>
      <c r="G952" s="63" t="e">
        <f>VLOOKUP(C952,'RAW DATA 2023'!E:BO,13,0)</f>
        <v>#N/A</v>
      </c>
      <c r="H952" s="63" t="e">
        <f t="shared" si="116"/>
        <v>#N/A</v>
      </c>
      <c r="I952" s="63" t="e">
        <f t="shared" si="119"/>
        <v>#N/A</v>
      </c>
      <c r="J952" s="106" t="e">
        <f>VLOOKUP(C952,'RAW DATA 2023'!E:BO,22,0)</f>
        <v>#N/A</v>
      </c>
      <c r="K952" s="70" t="e">
        <f t="shared" si="120"/>
        <v>#N/A</v>
      </c>
      <c r="L952" s="72"/>
      <c r="M952" s="109" t="e">
        <f t="shared" si="118"/>
        <v>#N/A</v>
      </c>
      <c r="N952" s="123" t="e">
        <f>VLOOKUP(C952,'RAW DATA 2023'!E:BO,36,0)</f>
        <v>#N/A</v>
      </c>
      <c r="O952" s="63" t="e">
        <f>VLOOKUP(C952,'RAW DATA 2023'!E:BO,2,0)</f>
        <v>#N/A</v>
      </c>
      <c r="P952" s="322" t="e">
        <f t="shared" si="117"/>
        <v>#N/A</v>
      </c>
    </row>
    <row r="953" spans="1:16">
      <c r="A953" s="63">
        <f>'RAW DATA 2023'!B946</f>
        <v>0</v>
      </c>
      <c r="B953" s="63">
        <f>'RAW DATA 2023'!D946</f>
        <v>0</v>
      </c>
      <c r="C953" s="63" t="str">
        <f t="shared" si="114"/>
        <v>00</v>
      </c>
      <c r="D953" s="68" t="e">
        <f>VLOOKUP(C953,'RAW DATA 2023'!E:BP,63,0)</f>
        <v>#N/A</v>
      </c>
      <c r="E953" s="68" t="e">
        <f t="shared" si="115"/>
        <v>#N/A</v>
      </c>
      <c r="F953" s="63" t="e">
        <f>VLOOKUP(C953,'RAW DATA 2023'!E:BO,5,0)</f>
        <v>#N/A</v>
      </c>
      <c r="G953" s="63" t="e">
        <f>VLOOKUP(C953,'RAW DATA 2023'!E:BO,13,0)</f>
        <v>#N/A</v>
      </c>
      <c r="H953" s="63" t="e">
        <f t="shared" si="116"/>
        <v>#N/A</v>
      </c>
      <c r="I953" s="63" t="e">
        <f t="shared" si="119"/>
        <v>#N/A</v>
      </c>
      <c r="J953" s="106" t="e">
        <f>VLOOKUP(C953,'RAW DATA 2023'!E:BO,22,0)</f>
        <v>#N/A</v>
      </c>
      <c r="K953" s="70" t="e">
        <f t="shared" si="120"/>
        <v>#N/A</v>
      </c>
      <c r="L953" s="72"/>
      <c r="M953" s="109" t="e">
        <f t="shared" si="118"/>
        <v>#N/A</v>
      </c>
      <c r="N953" s="123" t="e">
        <f>VLOOKUP(C953,'RAW DATA 2023'!E:BO,36,0)</f>
        <v>#N/A</v>
      </c>
      <c r="O953" s="63" t="e">
        <f>VLOOKUP(C953,'RAW DATA 2023'!E:BO,2,0)</f>
        <v>#N/A</v>
      </c>
      <c r="P953" s="322" t="e">
        <f t="shared" si="117"/>
        <v>#N/A</v>
      </c>
    </row>
    <row r="954" spans="1:16">
      <c r="A954" s="63">
        <f>'RAW DATA 2023'!B947</f>
        <v>0</v>
      </c>
      <c r="B954" s="63">
        <f>'RAW DATA 2023'!D947</f>
        <v>0</v>
      </c>
      <c r="C954" s="63" t="str">
        <f t="shared" si="114"/>
        <v>00</v>
      </c>
      <c r="D954" s="68" t="e">
        <f>VLOOKUP(C954,'RAW DATA 2023'!E:BP,63,0)</f>
        <v>#N/A</v>
      </c>
      <c r="E954" s="68" t="e">
        <f t="shared" si="115"/>
        <v>#N/A</v>
      </c>
      <c r="F954" s="63" t="e">
        <f>VLOOKUP(C954,'RAW DATA 2023'!E:BO,5,0)</f>
        <v>#N/A</v>
      </c>
      <c r="G954" s="63" t="e">
        <f>VLOOKUP(C954,'RAW DATA 2023'!E:BO,13,0)</f>
        <v>#N/A</v>
      </c>
      <c r="H954" s="63" t="e">
        <f t="shared" si="116"/>
        <v>#N/A</v>
      </c>
      <c r="I954" s="63" t="e">
        <f t="shared" si="119"/>
        <v>#N/A</v>
      </c>
      <c r="J954" s="106" t="e">
        <f>VLOOKUP(C954,'RAW DATA 2023'!E:BO,22,0)</f>
        <v>#N/A</v>
      </c>
      <c r="K954" s="70" t="e">
        <f t="shared" si="120"/>
        <v>#N/A</v>
      </c>
      <c r="L954" s="72"/>
      <c r="M954" s="109" t="e">
        <f t="shared" si="118"/>
        <v>#N/A</v>
      </c>
      <c r="N954" s="123" t="e">
        <f>VLOOKUP(C954,'RAW DATA 2023'!E:BO,36,0)</f>
        <v>#N/A</v>
      </c>
      <c r="O954" s="63" t="e">
        <f>VLOOKUP(C954,'RAW DATA 2023'!E:BO,2,0)</f>
        <v>#N/A</v>
      </c>
      <c r="P954" s="322" t="e">
        <f t="shared" si="117"/>
        <v>#N/A</v>
      </c>
    </row>
    <row r="955" spans="1:16">
      <c r="A955" s="63">
        <f>'RAW DATA 2023'!B948</f>
        <v>0</v>
      </c>
      <c r="B955" s="63">
        <f>'RAW DATA 2023'!D948</f>
        <v>0</v>
      </c>
      <c r="C955" s="63" t="str">
        <f t="shared" si="114"/>
        <v>00</v>
      </c>
      <c r="D955" s="68" t="e">
        <f>VLOOKUP(C955,'RAW DATA 2023'!E:BP,63,0)</f>
        <v>#N/A</v>
      </c>
      <c r="E955" s="68" t="e">
        <f t="shared" si="115"/>
        <v>#N/A</v>
      </c>
      <c r="F955" s="63" t="e">
        <f>VLOOKUP(C955,'RAW DATA 2023'!E:BO,5,0)</f>
        <v>#N/A</v>
      </c>
      <c r="G955" s="63" t="e">
        <f>VLOOKUP(C955,'RAW DATA 2023'!E:BO,13,0)</f>
        <v>#N/A</v>
      </c>
      <c r="H955" s="63" t="e">
        <f t="shared" si="116"/>
        <v>#N/A</v>
      </c>
      <c r="I955" s="63" t="e">
        <f t="shared" si="119"/>
        <v>#N/A</v>
      </c>
      <c r="J955" s="106" t="e">
        <f>VLOOKUP(C955,'RAW DATA 2023'!E:BO,22,0)</f>
        <v>#N/A</v>
      </c>
      <c r="K955" s="70" t="e">
        <f t="shared" si="120"/>
        <v>#N/A</v>
      </c>
      <c r="L955" s="72"/>
      <c r="M955" s="109" t="e">
        <f t="shared" si="118"/>
        <v>#N/A</v>
      </c>
      <c r="N955" s="123" t="e">
        <f>VLOOKUP(C955,'RAW DATA 2023'!E:BO,36,0)</f>
        <v>#N/A</v>
      </c>
      <c r="O955" s="63" t="e">
        <f>VLOOKUP(C955,'RAW DATA 2023'!E:BO,2,0)</f>
        <v>#N/A</v>
      </c>
      <c r="P955" s="322" t="e">
        <f t="shared" si="117"/>
        <v>#N/A</v>
      </c>
    </row>
    <row r="956" spans="1:16">
      <c r="A956" s="63">
        <f>'RAW DATA 2023'!B949</f>
        <v>0</v>
      </c>
      <c r="B956" s="63">
        <f>'RAW DATA 2023'!D949</f>
        <v>0</v>
      </c>
      <c r="C956" s="63" t="str">
        <f t="shared" si="114"/>
        <v>00</v>
      </c>
      <c r="D956" s="68" t="e">
        <f>VLOOKUP(C956,'RAW DATA 2023'!E:BP,63,0)</f>
        <v>#N/A</v>
      </c>
      <c r="E956" s="68" t="e">
        <f t="shared" si="115"/>
        <v>#N/A</v>
      </c>
      <c r="F956" s="63" t="e">
        <f>VLOOKUP(C956,'RAW DATA 2023'!E:BO,5,0)</f>
        <v>#N/A</v>
      </c>
      <c r="G956" s="63" t="e">
        <f>VLOOKUP(C956,'RAW DATA 2023'!E:BO,13,0)</f>
        <v>#N/A</v>
      </c>
      <c r="H956" s="63" t="e">
        <f t="shared" si="116"/>
        <v>#N/A</v>
      </c>
      <c r="I956" s="63" t="e">
        <f t="shared" si="119"/>
        <v>#N/A</v>
      </c>
      <c r="J956" s="106" t="e">
        <f>VLOOKUP(C956,'RAW DATA 2023'!E:BO,22,0)</f>
        <v>#N/A</v>
      </c>
      <c r="K956" s="70" t="e">
        <f t="shared" si="120"/>
        <v>#N/A</v>
      </c>
      <c r="L956" s="72"/>
      <c r="M956" s="109" t="e">
        <f t="shared" si="118"/>
        <v>#N/A</v>
      </c>
      <c r="N956" s="123" t="e">
        <f>VLOOKUP(C956,'RAW DATA 2023'!E:BO,36,0)</f>
        <v>#N/A</v>
      </c>
      <c r="O956" s="63" t="e">
        <f>VLOOKUP(C956,'RAW DATA 2023'!E:BO,2,0)</f>
        <v>#N/A</v>
      </c>
      <c r="P956" s="322" t="e">
        <f t="shared" si="117"/>
        <v>#N/A</v>
      </c>
    </row>
    <row r="957" spans="1:16">
      <c r="A957" s="63">
        <f>'RAW DATA 2023'!B950</f>
        <v>0</v>
      </c>
      <c r="B957" s="63">
        <f>'RAW DATA 2023'!D950</f>
        <v>0</v>
      </c>
      <c r="C957" s="63" t="str">
        <f t="shared" si="114"/>
        <v>00</v>
      </c>
      <c r="D957" s="68" t="e">
        <f>VLOOKUP(C957,'RAW DATA 2023'!E:BP,63,0)</f>
        <v>#N/A</v>
      </c>
      <c r="E957" s="68" t="e">
        <f t="shared" si="115"/>
        <v>#N/A</v>
      </c>
      <c r="F957" s="63" t="e">
        <f>VLOOKUP(C957,'RAW DATA 2023'!E:BO,5,0)</f>
        <v>#N/A</v>
      </c>
      <c r="G957" s="63" t="e">
        <f>VLOOKUP(C957,'RAW DATA 2023'!E:BO,13,0)</f>
        <v>#N/A</v>
      </c>
      <c r="H957" s="63" t="e">
        <f t="shared" si="116"/>
        <v>#N/A</v>
      </c>
      <c r="I957" s="63" t="e">
        <f t="shared" si="119"/>
        <v>#N/A</v>
      </c>
      <c r="J957" s="106" t="e">
        <f>VLOOKUP(C957,'RAW DATA 2023'!E:BO,22,0)</f>
        <v>#N/A</v>
      </c>
      <c r="K957" s="70" t="e">
        <f t="shared" si="120"/>
        <v>#N/A</v>
      </c>
      <c r="L957" s="72"/>
      <c r="M957" s="109" t="e">
        <f t="shared" si="118"/>
        <v>#N/A</v>
      </c>
      <c r="N957" s="123" t="e">
        <f>VLOOKUP(C957,'RAW DATA 2023'!E:BO,36,0)</f>
        <v>#N/A</v>
      </c>
      <c r="O957" s="63" t="e">
        <f>VLOOKUP(C957,'RAW DATA 2023'!E:BO,2,0)</f>
        <v>#N/A</v>
      </c>
      <c r="P957" s="322" t="e">
        <f t="shared" si="117"/>
        <v>#N/A</v>
      </c>
    </row>
    <row r="958" spans="1:16">
      <c r="A958" s="63">
        <f>'RAW DATA 2023'!B951</f>
        <v>0</v>
      </c>
      <c r="B958" s="63">
        <f>'RAW DATA 2023'!D951</f>
        <v>0</v>
      </c>
      <c r="C958" s="63" t="str">
        <f t="shared" si="114"/>
        <v>00</v>
      </c>
      <c r="D958" s="68" t="e">
        <f>VLOOKUP(C958,'RAW DATA 2023'!E:BP,63,0)</f>
        <v>#N/A</v>
      </c>
      <c r="E958" s="68" t="e">
        <f t="shared" si="115"/>
        <v>#N/A</v>
      </c>
      <c r="F958" s="63" t="e">
        <f>VLOOKUP(C958,'RAW DATA 2023'!E:BO,5,0)</f>
        <v>#N/A</v>
      </c>
      <c r="G958" s="63" t="e">
        <f>VLOOKUP(C958,'RAW DATA 2023'!E:BO,13,0)</f>
        <v>#N/A</v>
      </c>
      <c r="H958" s="63" t="e">
        <f t="shared" si="116"/>
        <v>#N/A</v>
      </c>
      <c r="I958" s="63" t="e">
        <f t="shared" si="119"/>
        <v>#N/A</v>
      </c>
      <c r="J958" s="106" t="e">
        <f>VLOOKUP(C958,'RAW DATA 2023'!E:BO,22,0)</f>
        <v>#N/A</v>
      </c>
      <c r="K958" s="70" t="e">
        <f t="shared" si="120"/>
        <v>#N/A</v>
      </c>
      <c r="L958" s="72"/>
      <c r="M958" s="109" t="e">
        <f t="shared" si="118"/>
        <v>#N/A</v>
      </c>
      <c r="N958" s="123" t="e">
        <f>VLOOKUP(C958,'RAW DATA 2023'!E:BO,36,0)</f>
        <v>#N/A</v>
      </c>
      <c r="O958" s="63" t="e">
        <f>VLOOKUP(C958,'RAW DATA 2023'!E:BO,2,0)</f>
        <v>#N/A</v>
      </c>
      <c r="P958" s="322" t="e">
        <f t="shared" si="117"/>
        <v>#N/A</v>
      </c>
    </row>
    <row r="959" spans="1:16">
      <c r="A959" s="63">
        <f>'RAW DATA 2023'!B952</f>
        <v>0</v>
      </c>
      <c r="B959" s="63">
        <f>'RAW DATA 2023'!D952</f>
        <v>0</v>
      </c>
      <c r="C959" s="63" t="str">
        <f t="shared" si="114"/>
        <v>00</v>
      </c>
      <c r="D959" s="68" t="e">
        <f>VLOOKUP(C959,'RAW DATA 2023'!E:BP,63,0)</f>
        <v>#N/A</v>
      </c>
      <c r="E959" s="68" t="e">
        <f t="shared" si="115"/>
        <v>#N/A</v>
      </c>
      <c r="F959" s="63" t="e">
        <f>VLOOKUP(C959,'RAW DATA 2023'!E:BO,5,0)</f>
        <v>#N/A</v>
      </c>
      <c r="G959" s="63" t="e">
        <f>VLOOKUP(C959,'RAW DATA 2023'!E:BO,13,0)</f>
        <v>#N/A</v>
      </c>
      <c r="H959" s="63" t="e">
        <f t="shared" si="116"/>
        <v>#N/A</v>
      </c>
      <c r="I959" s="63" t="e">
        <f t="shared" si="119"/>
        <v>#N/A</v>
      </c>
      <c r="J959" s="106" t="e">
        <f>VLOOKUP(C959,'RAW DATA 2023'!E:BO,22,0)</f>
        <v>#N/A</v>
      </c>
      <c r="K959" s="70" t="e">
        <f t="shared" si="120"/>
        <v>#N/A</v>
      </c>
      <c r="L959" s="72"/>
      <c r="M959" s="109" t="e">
        <f t="shared" si="118"/>
        <v>#N/A</v>
      </c>
      <c r="N959" s="123" t="e">
        <f>VLOOKUP(C959,'RAW DATA 2023'!E:BO,36,0)</f>
        <v>#N/A</v>
      </c>
      <c r="O959" s="63" t="e">
        <f>VLOOKUP(C959,'RAW DATA 2023'!E:BO,2,0)</f>
        <v>#N/A</v>
      </c>
      <c r="P959" s="322" t="e">
        <f t="shared" si="117"/>
        <v>#N/A</v>
      </c>
    </row>
    <row r="960" spans="1:16">
      <c r="A960" s="63">
        <f>'RAW DATA 2023'!B953</f>
        <v>0</v>
      </c>
      <c r="B960" s="63">
        <f>'RAW DATA 2023'!D953</f>
        <v>0</v>
      </c>
      <c r="C960" s="63" t="str">
        <f t="shared" si="114"/>
        <v>00</v>
      </c>
      <c r="D960" s="68" t="e">
        <f>VLOOKUP(C960,'RAW DATA 2023'!E:BP,63,0)</f>
        <v>#N/A</v>
      </c>
      <c r="E960" s="68" t="e">
        <f t="shared" si="115"/>
        <v>#N/A</v>
      </c>
      <c r="F960" s="63" t="e">
        <f>VLOOKUP(C960,'RAW DATA 2023'!E:BO,5,0)</f>
        <v>#N/A</v>
      </c>
      <c r="G960" s="63" t="e">
        <f>VLOOKUP(C960,'RAW DATA 2023'!E:BO,13,0)</f>
        <v>#N/A</v>
      </c>
      <c r="H960" s="63" t="e">
        <f t="shared" si="116"/>
        <v>#N/A</v>
      </c>
      <c r="I960" s="63" t="e">
        <f t="shared" si="119"/>
        <v>#N/A</v>
      </c>
      <c r="J960" s="106" t="e">
        <f>VLOOKUP(C960,'RAW DATA 2023'!E:BO,22,0)</f>
        <v>#N/A</v>
      </c>
      <c r="K960" s="70" t="e">
        <f t="shared" si="120"/>
        <v>#N/A</v>
      </c>
      <c r="L960" s="72"/>
      <c r="M960" s="109" t="e">
        <f t="shared" si="118"/>
        <v>#N/A</v>
      </c>
      <c r="N960" s="123" t="e">
        <f>VLOOKUP(C960,'RAW DATA 2023'!E:BO,36,0)</f>
        <v>#N/A</v>
      </c>
      <c r="O960" s="63" t="e">
        <f>VLOOKUP(C960,'RAW DATA 2023'!E:BO,2,0)</f>
        <v>#N/A</v>
      </c>
      <c r="P960" s="322" t="e">
        <f t="shared" si="117"/>
        <v>#N/A</v>
      </c>
    </row>
    <row r="961" spans="1:16">
      <c r="A961" s="63">
        <f>'RAW DATA 2023'!B954</f>
        <v>0</v>
      </c>
      <c r="B961" s="63">
        <f>'RAW DATA 2023'!D954</f>
        <v>0</v>
      </c>
      <c r="C961" s="63" t="str">
        <f t="shared" si="114"/>
        <v>00</v>
      </c>
      <c r="D961" s="68" t="e">
        <f>VLOOKUP(C961,'RAW DATA 2023'!E:BP,63,0)</f>
        <v>#N/A</v>
      </c>
      <c r="E961" s="68" t="e">
        <f t="shared" si="115"/>
        <v>#N/A</v>
      </c>
      <c r="F961" s="63" t="e">
        <f>VLOOKUP(C961,'RAW DATA 2023'!E:BO,5,0)</f>
        <v>#N/A</v>
      </c>
      <c r="G961" s="63" t="e">
        <f>VLOOKUP(C961,'RAW DATA 2023'!E:BO,13,0)</f>
        <v>#N/A</v>
      </c>
      <c r="H961" s="63" t="e">
        <f t="shared" si="116"/>
        <v>#N/A</v>
      </c>
      <c r="I961" s="63" t="e">
        <f t="shared" si="119"/>
        <v>#N/A</v>
      </c>
      <c r="J961" s="106" t="e">
        <f>VLOOKUP(C961,'RAW DATA 2023'!E:BO,22,0)</f>
        <v>#N/A</v>
      </c>
      <c r="K961" s="70" t="e">
        <f t="shared" si="120"/>
        <v>#N/A</v>
      </c>
      <c r="L961" s="72"/>
      <c r="M961" s="109" t="e">
        <f t="shared" si="118"/>
        <v>#N/A</v>
      </c>
      <c r="N961" s="123" t="e">
        <f>VLOOKUP(C961,'RAW DATA 2023'!E:BO,36,0)</f>
        <v>#N/A</v>
      </c>
      <c r="O961" s="63" t="e">
        <f>VLOOKUP(C961,'RAW DATA 2023'!E:BO,2,0)</f>
        <v>#N/A</v>
      </c>
      <c r="P961" s="322" t="e">
        <f t="shared" si="117"/>
        <v>#N/A</v>
      </c>
    </row>
    <row r="962" spans="1:16">
      <c r="A962" s="63">
        <f>'RAW DATA 2023'!B955</f>
        <v>0</v>
      </c>
      <c r="B962" s="63">
        <f>'RAW DATA 2023'!D955</f>
        <v>0</v>
      </c>
      <c r="C962" s="63" t="str">
        <f t="shared" si="114"/>
        <v>00</v>
      </c>
      <c r="D962" s="68" t="e">
        <f>VLOOKUP(C962,'RAW DATA 2023'!E:BP,63,0)</f>
        <v>#N/A</v>
      </c>
      <c r="E962" s="68" t="e">
        <f t="shared" si="115"/>
        <v>#N/A</v>
      </c>
      <c r="F962" s="63" t="e">
        <f>VLOOKUP(C962,'RAW DATA 2023'!E:BO,5,0)</f>
        <v>#N/A</v>
      </c>
      <c r="G962" s="63" t="e">
        <f>VLOOKUP(C962,'RAW DATA 2023'!E:BO,13,0)</f>
        <v>#N/A</v>
      </c>
      <c r="H962" s="63" t="e">
        <f t="shared" si="116"/>
        <v>#N/A</v>
      </c>
      <c r="I962" s="63" t="e">
        <f t="shared" si="119"/>
        <v>#N/A</v>
      </c>
      <c r="J962" s="106" t="e">
        <f>VLOOKUP(C962,'RAW DATA 2023'!E:BO,22,0)</f>
        <v>#N/A</v>
      </c>
      <c r="K962" s="70" t="e">
        <f t="shared" si="120"/>
        <v>#N/A</v>
      </c>
      <c r="L962" s="72"/>
      <c r="M962" s="109" t="e">
        <f t="shared" si="118"/>
        <v>#N/A</v>
      </c>
      <c r="N962" s="123" t="e">
        <f>VLOOKUP(C962,'RAW DATA 2023'!E:BO,36,0)</f>
        <v>#N/A</v>
      </c>
      <c r="O962" s="63" t="e">
        <f>VLOOKUP(C962,'RAW DATA 2023'!E:BO,2,0)</f>
        <v>#N/A</v>
      </c>
      <c r="P962" s="322" t="e">
        <f t="shared" si="117"/>
        <v>#N/A</v>
      </c>
    </row>
    <row r="963" spans="1:16">
      <c r="A963" s="63">
        <f>'RAW DATA 2023'!B956</f>
        <v>0</v>
      </c>
      <c r="B963" s="63">
        <f>'RAW DATA 2023'!D956</f>
        <v>0</v>
      </c>
      <c r="C963" s="63" t="str">
        <f t="shared" si="114"/>
        <v>00</v>
      </c>
      <c r="D963" s="68" t="e">
        <f>VLOOKUP(C963,'RAW DATA 2023'!E:BP,63,0)</f>
        <v>#N/A</v>
      </c>
      <c r="E963" s="68" t="e">
        <f t="shared" si="115"/>
        <v>#N/A</v>
      </c>
      <c r="F963" s="63" t="e">
        <f>VLOOKUP(C963,'RAW DATA 2023'!E:BO,5,0)</f>
        <v>#N/A</v>
      </c>
      <c r="G963" s="63" t="e">
        <f>VLOOKUP(C963,'RAW DATA 2023'!E:BO,13,0)</f>
        <v>#N/A</v>
      </c>
      <c r="H963" s="63" t="e">
        <f t="shared" si="116"/>
        <v>#N/A</v>
      </c>
      <c r="I963" s="63" t="e">
        <f t="shared" si="119"/>
        <v>#N/A</v>
      </c>
      <c r="J963" s="106" t="e">
        <f>VLOOKUP(C963,'RAW DATA 2023'!E:BO,22,0)</f>
        <v>#N/A</v>
      </c>
      <c r="K963" s="70" t="e">
        <f t="shared" si="120"/>
        <v>#N/A</v>
      </c>
      <c r="L963" s="72"/>
      <c r="M963" s="109" t="e">
        <f t="shared" si="118"/>
        <v>#N/A</v>
      </c>
      <c r="N963" s="123" t="e">
        <f>VLOOKUP(C963,'RAW DATA 2023'!E:BO,36,0)</f>
        <v>#N/A</v>
      </c>
      <c r="O963" s="63" t="e">
        <f>VLOOKUP(C963,'RAW DATA 2023'!E:BO,2,0)</f>
        <v>#N/A</v>
      </c>
      <c r="P963" s="322" t="e">
        <f t="shared" si="117"/>
        <v>#N/A</v>
      </c>
    </row>
    <row r="964" spans="1:16">
      <c r="A964" s="63">
        <f>'RAW DATA 2023'!B957</f>
        <v>0</v>
      </c>
      <c r="B964" s="63">
        <f>'RAW DATA 2023'!D957</f>
        <v>0</v>
      </c>
      <c r="C964" s="63" t="str">
        <f t="shared" si="114"/>
        <v>00</v>
      </c>
      <c r="D964" s="68" t="e">
        <f>VLOOKUP(C964,'RAW DATA 2023'!E:BP,63,0)</f>
        <v>#N/A</v>
      </c>
      <c r="E964" s="68" t="e">
        <f t="shared" si="115"/>
        <v>#N/A</v>
      </c>
      <c r="F964" s="63" t="e">
        <f>VLOOKUP(C964,'RAW DATA 2023'!E:BO,5,0)</f>
        <v>#N/A</v>
      </c>
      <c r="G964" s="63" t="e">
        <f>VLOOKUP(C964,'RAW DATA 2023'!E:BO,13,0)</f>
        <v>#N/A</v>
      </c>
      <c r="H964" s="63" t="e">
        <f t="shared" si="116"/>
        <v>#N/A</v>
      </c>
      <c r="I964" s="63" t="e">
        <f t="shared" si="119"/>
        <v>#N/A</v>
      </c>
      <c r="J964" s="106" t="e">
        <f>VLOOKUP(C964,'RAW DATA 2023'!E:BO,22,0)</f>
        <v>#N/A</v>
      </c>
      <c r="K964" s="70" t="e">
        <f t="shared" si="120"/>
        <v>#N/A</v>
      </c>
      <c r="L964" s="72"/>
      <c r="M964" s="109" t="e">
        <f t="shared" si="118"/>
        <v>#N/A</v>
      </c>
      <c r="N964" s="123" t="e">
        <f>VLOOKUP(C964,'RAW DATA 2023'!E:BO,36,0)</f>
        <v>#N/A</v>
      </c>
      <c r="O964" s="63" t="e">
        <f>VLOOKUP(C964,'RAW DATA 2023'!E:BO,2,0)</f>
        <v>#N/A</v>
      </c>
      <c r="P964" s="322" t="e">
        <f t="shared" si="117"/>
        <v>#N/A</v>
      </c>
    </row>
    <row r="965" spans="1:16">
      <c r="A965" s="63">
        <f>'RAW DATA 2023'!B958</f>
        <v>0</v>
      </c>
      <c r="B965" s="63">
        <f>'RAW DATA 2023'!D958</f>
        <v>0</v>
      </c>
      <c r="C965" s="63" t="str">
        <f t="shared" si="114"/>
        <v>00</v>
      </c>
      <c r="D965" s="68" t="e">
        <f>VLOOKUP(C965,'RAW DATA 2023'!E:BP,63,0)</f>
        <v>#N/A</v>
      </c>
      <c r="E965" s="68" t="e">
        <f t="shared" si="115"/>
        <v>#N/A</v>
      </c>
      <c r="F965" s="63" t="e">
        <f>VLOOKUP(C965,'RAW DATA 2023'!E:BO,5,0)</f>
        <v>#N/A</v>
      </c>
      <c r="G965" s="63" t="e">
        <f>VLOOKUP(C965,'RAW DATA 2023'!E:BO,13,0)</f>
        <v>#N/A</v>
      </c>
      <c r="H965" s="63" t="e">
        <f t="shared" si="116"/>
        <v>#N/A</v>
      </c>
      <c r="I965" s="63" t="e">
        <f t="shared" si="119"/>
        <v>#N/A</v>
      </c>
      <c r="J965" s="106" t="e">
        <f>VLOOKUP(C965,'RAW DATA 2023'!E:BO,22,0)</f>
        <v>#N/A</v>
      </c>
      <c r="K965" s="70" t="e">
        <f t="shared" si="120"/>
        <v>#N/A</v>
      </c>
      <c r="L965" s="72"/>
      <c r="M965" s="109" t="e">
        <f t="shared" si="118"/>
        <v>#N/A</v>
      </c>
      <c r="N965" s="123" t="e">
        <f>VLOOKUP(C965,'RAW DATA 2023'!E:BO,36,0)</f>
        <v>#N/A</v>
      </c>
      <c r="O965" s="63" t="e">
        <f>VLOOKUP(C965,'RAW DATA 2023'!E:BO,2,0)</f>
        <v>#N/A</v>
      </c>
      <c r="P965" s="322" t="e">
        <f t="shared" si="117"/>
        <v>#N/A</v>
      </c>
    </row>
    <row r="966" spans="1:16">
      <c r="A966" s="63">
        <f>'RAW DATA 2023'!B959</f>
        <v>0</v>
      </c>
      <c r="B966" s="63">
        <f>'RAW DATA 2023'!D959</f>
        <v>0</v>
      </c>
      <c r="C966" s="63" t="str">
        <f t="shared" si="114"/>
        <v>00</v>
      </c>
      <c r="D966" s="68" t="e">
        <f>VLOOKUP(C966,'RAW DATA 2023'!E:BP,63,0)</f>
        <v>#N/A</v>
      </c>
      <c r="E966" s="68" t="e">
        <f t="shared" si="115"/>
        <v>#N/A</v>
      </c>
      <c r="F966" s="63" t="e">
        <f>VLOOKUP(C966,'RAW DATA 2023'!E:BO,5,0)</f>
        <v>#N/A</v>
      </c>
      <c r="G966" s="63" t="e">
        <f>VLOOKUP(C966,'RAW DATA 2023'!E:BO,13,0)</f>
        <v>#N/A</v>
      </c>
      <c r="H966" s="63" t="e">
        <f t="shared" si="116"/>
        <v>#N/A</v>
      </c>
      <c r="I966" s="63" t="e">
        <f t="shared" si="119"/>
        <v>#N/A</v>
      </c>
      <c r="J966" s="106" t="e">
        <f>VLOOKUP(C966,'RAW DATA 2023'!E:BO,22,0)</f>
        <v>#N/A</v>
      </c>
      <c r="K966" s="70" t="e">
        <f t="shared" si="120"/>
        <v>#N/A</v>
      </c>
      <c r="L966" s="72"/>
      <c r="M966" s="109" t="e">
        <f t="shared" si="118"/>
        <v>#N/A</v>
      </c>
      <c r="N966" s="123" t="e">
        <f>VLOOKUP(C966,'RAW DATA 2023'!E:BO,36,0)</f>
        <v>#N/A</v>
      </c>
      <c r="O966" s="63" t="e">
        <f>VLOOKUP(C966,'RAW DATA 2023'!E:BO,2,0)</f>
        <v>#N/A</v>
      </c>
      <c r="P966" s="322" t="e">
        <f t="shared" si="117"/>
        <v>#N/A</v>
      </c>
    </row>
    <row r="967" spans="1:16">
      <c r="A967" s="63">
        <f>'RAW DATA 2023'!B960</f>
        <v>0</v>
      </c>
      <c r="B967" s="63">
        <f>'RAW DATA 2023'!D960</f>
        <v>0</v>
      </c>
      <c r="C967" s="63" t="str">
        <f t="shared" si="114"/>
        <v>00</v>
      </c>
      <c r="D967" s="68" t="e">
        <f>VLOOKUP(C967,'RAW DATA 2023'!E:BP,63,0)</f>
        <v>#N/A</v>
      </c>
      <c r="E967" s="68" t="e">
        <f t="shared" si="115"/>
        <v>#N/A</v>
      </c>
      <c r="F967" s="63" t="e">
        <f>VLOOKUP(C967,'RAW DATA 2023'!E:BO,5,0)</f>
        <v>#N/A</v>
      </c>
      <c r="G967" s="63" t="e">
        <f>VLOOKUP(C967,'RAW DATA 2023'!E:BO,13,0)</f>
        <v>#N/A</v>
      </c>
      <c r="H967" s="63" t="e">
        <f t="shared" si="116"/>
        <v>#N/A</v>
      </c>
      <c r="I967" s="63" t="e">
        <f t="shared" si="119"/>
        <v>#N/A</v>
      </c>
      <c r="J967" s="106" t="e">
        <f>VLOOKUP(C967,'RAW DATA 2023'!E:BO,22,0)</f>
        <v>#N/A</v>
      </c>
      <c r="K967" s="70" t="e">
        <f t="shared" si="120"/>
        <v>#N/A</v>
      </c>
      <c r="L967" s="72"/>
      <c r="M967" s="109" t="e">
        <f t="shared" si="118"/>
        <v>#N/A</v>
      </c>
      <c r="N967" s="123" t="e">
        <f>VLOOKUP(C967,'RAW DATA 2023'!E:BO,36,0)</f>
        <v>#N/A</v>
      </c>
      <c r="O967" s="63" t="e">
        <f>VLOOKUP(C967,'RAW DATA 2023'!E:BO,2,0)</f>
        <v>#N/A</v>
      </c>
      <c r="P967" s="322" t="e">
        <f t="shared" si="117"/>
        <v>#N/A</v>
      </c>
    </row>
    <row r="968" spans="1:16">
      <c r="A968" s="63">
        <f>'RAW DATA 2023'!B961</f>
        <v>0</v>
      </c>
      <c r="B968" s="63">
        <f>'RAW DATA 2023'!D961</f>
        <v>0</v>
      </c>
      <c r="C968" s="63" t="str">
        <f t="shared" si="114"/>
        <v>00</v>
      </c>
      <c r="D968" s="68" t="e">
        <f>VLOOKUP(C968,'RAW DATA 2023'!E:BP,63,0)</f>
        <v>#N/A</v>
      </c>
      <c r="E968" s="68" t="e">
        <f t="shared" si="115"/>
        <v>#N/A</v>
      </c>
      <c r="F968" s="63" t="e">
        <f>VLOOKUP(C968,'RAW DATA 2023'!E:BO,5,0)</f>
        <v>#N/A</v>
      </c>
      <c r="G968" s="63" t="e">
        <f>VLOOKUP(C968,'RAW DATA 2023'!E:BO,13,0)</f>
        <v>#N/A</v>
      </c>
      <c r="H968" s="63" t="e">
        <f t="shared" si="116"/>
        <v>#N/A</v>
      </c>
      <c r="I968" s="63" t="e">
        <f t="shared" si="119"/>
        <v>#N/A</v>
      </c>
      <c r="J968" s="106" t="e">
        <f>VLOOKUP(C968,'RAW DATA 2023'!E:BO,22,0)</f>
        <v>#N/A</v>
      </c>
      <c r="K968" s="70" t="e">
        <f t="shared" si="120"/>
        <v>#N/A</v>
      </c>
      <c r="L968" s="72"/>
      <c r="M968" s="109" t="e">
        <f t="shared" si="118"/>
        <v>#N/A</v>
      </c>
      <c r="N968" s="123" t="e">
        <f>VLOOKUP(C968,'RAW DATA 2023'!E:BO,36,0)</f>
        <v>#N/A</v>
      </c>
      <c r="O968" s="63" t="e">
        <f>VLOOKUP(C968,'RAW DATA 2023'!E:BO,2,0)</f>
        <v>#N/A</v>
      </c>
      <c r="P968" s="322" t="e">
        <f t="shared" si="117"/>
        <v>#N/A</v>
      </c>
    </row>
    <row r="969" spans="1:16">
      <c r="A969" s="63">
        <f>'RAW DATA 2023'!B962</f>
        <v>0</v>
      </c>
      <c r="B969" s="63">
        <f>'RAW DATA 2023'!D962</f>
        <v>0</v>
      </c>
      <c r="C969" s="63" t="str">
        <f t="shared" si="114"/>
        <v>00</v>
      </c>
      <c r="D969" s="68" t="e">
        <f>VLOOKUP(C969,'RAW DATA 2023'!E:BP,63,0)</f>
        <v>#N/A</v>
      </c>
      <c r="E969" s="68" t="e">
        <f t="shared" si="115"/>
        <v>#N/A</v>
      </c>
      <c r="F969" s="63" t="e">
        <f>VLOOKUP(C969,'RAW DATA 2023'!E:BO,5,0)</f>
        <v>#N/A</v>
      </c>
      <c r="G969" s="63" t="e">
        <f>VLOOKUP(C969,'RAW DATA 2023'!E:BO,13,0)</f>
        <v>#N/A</v>
      </c>
      <c r="H969" s="63" t="e">
        <f t="shared" si="116"/>
        <v>#N/A</v>
      </c>
      <c r="I969" s="63" t="e">
        <f t="shared" si="119"/>
        <v>#N/A</v>
      </c>
      <c r="J969" s="106" t="e">
        <f>VLOOKUP(C969,'RAW DATA 2023'!E:BO,22,0)</f>
        <v>#N/A</v>
      </c>
      <c r="K969" s="70" t="e">
        <f t="shared" si="120"/>
        <v>#N/A</v>
      </c>
      <c r="L969" s="72"/>
      <c r="M969" s="109" t="e">
        <f t="shared" si="118"/>
        <v>#N/A</v>
      </c>
      <c r="N969" s="123" t="e">
        <f>VLOOKUP(C969,'RAW DATA 2023'!E:BO,36,0)</f>
        <v>#N/A</v>
      </c>
      <c r="O969" s="63" t="e">
        <f>VLOOKUP(C969,'RAW DATA 2023'!E:BO,2,0)</f>
        <v>#N/A</v>
      </c>
      <c r="P969" s="322" t="e">
        <f t="shared" si="117"/>
        <v>#N/A</v>
      </c>
    </row>
    <row r="970" spans="1:16">
      <c r="A970" s="63">
        <f>'RAW DATA 2023'!B963</f>
        <v>0</v>
      </c>
      <c r="B970" s="63">
        <f>'RAW DATA 2023'!D963</f>
        <v>0</v>
      </c>
      <c r="C970" s="63" t="str">
        <f t="shared" ref="C970:C1033" si="121">A970&amp;B970</f>
        <v>00</v>
      </c>
      <c r="D970" s="68" t="e">
        <f>VLOOKUP(C970,'RAW DATA 2023'!E:BP,63,0)</f>
        <v>#N/A</v>
      </c>
      <c r="E970" s="68" t="e">
        <f t="shared" ref="E970:E1033" si="122">A970&amp;D970</f>
        <v>#N/A</v>
      </c>
      <c r="F970" s="63" t="e">
        <f>VLOOKUP(C970,'RAW DATA 2023'!E:BO,5,0)</f>
        <v>#N/A</v>
      </c>
      <c r="G970" s="63" t="e">
        <f>VLOOKUP(C970,'RAW DATA 2023'!E:BO,13,0)</f>
        <v>#N/A</v>
      </c>
      <c r="H970" s="63" t="e">
        <f t="shared" si="116"/>
        <v>#N/A</v>
      </c>
      <c r="I970" s="63" t="e">
        <f t="shared" si="119"/>
        <v>#N/A</v>
      </c>
      <c r="J970" s="106" t="e">
        <f>VLOOKUP(C970,'RAW DATA 2023'!E:BO,22,0)</f>
        <v>#N/A</v>
      </c>
      <c r="K970" s="70" t="e">
        <f t="shared" si="120"/>
        <v>#N/A</v>
      </c>
      <c r="L970" s="72"/>
      <c r="M970" s="109" t="e">
        <f t="shared" si="118"/>
        <v>#N/A</v>
      </c>
      <c r="N970" s="123" t="e">
        <f>VLOOKUP(C970,'RAW DATA 2023'!E:BO,36,0)</f>
        <v>#N/A</v>
      </c>
      <c r="O970" s="63" t="e">
        <f>VLOOKUP(C970,'RAW DATA 2023'!E:BO,2,0)</f>
        <v>#N/A</v>
      </c>
      <c r="P970" s="322" t="e">
        <f t="shared" si="117"/>
        <v>#N/A</v>
      </c>
    </row>
    <row r="971" spans="1:16">
      <c r="A971" s="63">
        <f>'RAW DATA 2023'!B964</f>
        <v>0</v>
      </c>
      <c r="B971" s="63">
        <f>'RAW DATA 2023'!D964</f>
        <v>0</v>
      </c>
      <c r="C971" s="63" t="str">
        <f t="shared" si="121"/>
        <v>00</v>
      </c>
      <c r="D971" s="68" t="e">
        <f>VLOOKUP(C971,'RAW DATA 2023'!E:BP,63,0)</f>
        <v>#N/A</v>
      </c>
      <c r="E971" s="68" t="e">
        <f t="shared" si="122"/>
        <v>#N/A</v>
      </c>
      <c r="F971" s="63" t="e">
        <f>VLOOKUP(C971,'RAW DATA 2023'!E:BO,5,0)</f>
        <v>#N/A</v>
      </c>
      <c r="G971" s="63" t="e">
        <f>VLOOKUP(C971,'RAW DATA 2023'!E:BO,13,0)</f>
        <v>#N/A</v>
      </c>
      <c r="H971" s="63" t="e">
        <f t="shared" ref="H971:H1034" si="123">IF(G971&gt;190,200,IF(G971&gt;165,180,IF(G971&gt;=135,150,IF(D964&gt;=110,120,100))))</f>
        <v>#N/A</v>
      </c>
      <c r="I971" s="63" t="e">
        <f t="shared" si="119"/>
        <v>#N/A</v>
      </c>
      <c r="J971" s="106" t="e">
        <f>VLOOKUP(C971,'RAW DATA 2023'!E:BO,22,0)</f>
        <v>#N/A</v>
      </c>
      <c r="K971" s="70" t="e">
        <f t="shared" si="120"/>
        <v>#N/A</v>
      </c>
      <c r="L971" s="72"/>
      <c r="M971" s="109" t="e">
        <f t="shared" si="118"/>
        <v>#N/A</v>
      </c>
      <c r="N971" s="123" t="e">
        <f>VLOOKUP(C971,'RAW DATA 2023'!E:BO,36,0)</f>
        <v>#N/A</v>
      </c>
      <c r="O971" s="63" t="e">
        <f>VLOOKUP(C971,'RAW DATA 2023'!E:BO,2,0)</f>
        <v>#N/A</v>
      </c>
      <c r="P971" s="322" t="e">
        <f t="shared" ref="P971:P1034" si="124">M971*O971</f>
        <v>#N/A</v>
      </c>
    </row>
    <row r="972" spans="1:16">
      <c r="A972" s="63">
        <f>'RAW DATA 2023'!B965</f>
        <v>0</v>
      </c>
      <c r="B972" s="63">
        <f>'RAW DATA 2023'!D965</f>
        <v>0</v>
      </c>
      <c r="C972" s="63" t="str">
        <f t="shared" si="121"/>
        <v>00</v>
      </c>
      <c r="D972" s="68" t="e">
        <f>VLOOKUP(C972,'RAW DATA 2023'!E:BP,63,0)</f>
        <v>#N/A</v>
      </c>
      <c r="E972" s="68" t="e">
        <f t="shared" si="122"/>
        <v>#N/A</v>
      </c>
      <c r="F972" s="63" t="e">
        <f>VLOOKUP(C972,'RAW DATA 2023'!E:BO,5,0)</f>
        <v>#N/A</v>
      </c>
      <c r="G972" s="63" t="e">
        <f>VLOOKUP(C972,'RAW DATA 2023'!E:BO,13,0)</f>
        <v>#N/A</v>
      </c>
      <c r="H972" s="63" t="e">
        <f t="shared" si="123"/>
        <v>#N/A</v>
      </c>
      <c r="I972" s="63" t="e">
        <f t="shared" si="119"/>
        <v>#N/A</v>
      </c>
      <c r="J972" s="106" t="e">
        <f>VLOOKUP(C972,'RAW DATA 2023'!E:BO,22,0)</f>
        <v>#N/A</v>
      </c>
      <c r="K972" s="70" t="e">
        <f t="shared" si="120"/>
        <v>#N/A</v>
      </c>
      <c r="L972" s="72"/>
      <c r="M972" s="109" t="e">
        <f t="shared" ref="M972:M1035" si="125">(K972-$B$4)*$B$7</f>
        <v>#N/A</v>
      </c>
      <c r="N972" s="123" t="e">
        <f>VLOOKUP(C972,'RAW DATA 2023'!E:BO,36,0)</f>
        <v>#N/A</v>
      </c>
      <c r="O972" s="63" t="e">
        <f>VLOOKUP(C972,'RAW DATA 2023'!E:BO,2,0)</f>
        <v>#N/A</v>
      </c>
      <c r="P972" s="322" t="e">
        <f t="shared" si="124"/>
        <v>#N/A</v>
      </c>
    </row>
    <row r="973" spans="1:16">
      <c r="A973" s="63">
        <f>'RAW DATA 2023'!B966</f>
        <v>0</v>
      </c>
      <c r="B973" s="63">
        <f>'RAW DATA 2023'!D966</f>
        <v>0</v>
      </c>
      <c r="C973" s="63" t="str">
        <f t="shared" si="121"/>
        <v>00</v>
      </c>
      <c r="D973" s="68" t="e">
        <f>VLOOKUP(C973,'RAW DATA 2023'!E:BP,63,0)</f>
        <v>#N/A</v>
      </c>
      <c r="E973" s="68" t="e">
        <f t="shared" si="122"/>
        <v>#N/A</v>
      </c>
      <c r="F973" s="63" t="e">
        <f>VLOOKUP(C973,'RAW DATA 2023'!E:BO,5,0)</f>
        <v>#N/A</v>
      </c>
      <c r="G973" s="63" t="e">
        <f>VLOOKUP(C973,'RAW DATA 2023'!E:BO,13,0)</f>
        <v>#N/A</v>
      </c>
      <c r="H973" s="63" t="e">
        <f t="shared" si="123"/>
        <v>#N/A</v>
      </c>
      <c r="I973" s="63" t="e">
        <f t="shared" si="119"/>
        <v>#N/A</v>
      </c>
      <c r="J973" s="106" t="e">
        <f>VLOOKUP(C973,'RAW DATA 2023'!E:BO,22,0)</f>
        <v>#N/A</v>
      </c>
      <c r="K973" s="70" t="e">
        <f t="shared" si="120"/>
        <v>#N/A</v>
      </c>
      <c r="L973" s="72"/>
      <c r="M973" s="109" t="e">
        <f t="shared" si="125"/>
        <v>#N/A</v>
      </c>
      <c r="N973" s="123" t="e">
        <f>VLOOKUP(C973,'RAW DATA 2023'!E:BO,36,0)</f>
        <v>#N/A</v>
      </c>
      <c r="O973" s="63" t="e">
        <f>VLOOKUP(C973,'RAW DATA 2023'!E:BO,2,0)</f>
        <v>#N/A</v>
      </c>
      <c r="P973" s="322" t="e">
        <f t="shared" si="124"/>
        <v>#N/A</v>
      </c>
    </row>
    <row r="974" spans="1:16">
      <c r="A974" s="63">
        <f>'RAW DATA 2023'!B967</f>
        <v>0</v>
      </c>
      <c r="B974" s="63">
        <f>'RAW DATA 2023'!D967</f>
        <v>0</v>
      </c>
      <c r="C974" s="63" t="str">
        <f t="shared" si="121"/>
        <v>00</v>
      </c>
      <c r="D974" s="68" t="e">
        <f>VLOOKUP(C974,'RAW DATA 2023'!E:BP,63,0)</f>
        <v>#N/A</v>
      </c>
      <c r="E974" s="68" t="e">
        <f t="shared" si="122"/>
        <v>#N/A</v>
      </c>
      <c r="F974" s="63" t="e">
        <f>VLOOKUP(C974,'RAW DATA 2023'!E:BO,5,0)</f>
        <v>#N/A</v>
      </c>
      <c r="G974" s="63" t="e">
        <f>VLOOKUP(C974,'RAW DATA 2023'!E:BO,13,0)</f>
        <v>#N/A</v>
      </c>
      <c r="H974" s="63" t="e">
        <f t="shared" si="123"/>
        <v>#N/A</v>
      </c>
      <c r="I974" s="63" t="e">
        <f t="shared" si="119"/>
        <v>#N/A</v>
      </c>
      <c r="J974" s="106" t="e">
        <f>VLOOKUP(C974,'RAW DATA 2023'!E:BO,22,0)</f>
        <v>#N/A</v>
      </c>
      <c r="K974" s="70" t="e">
        <f t="shared" si="120"/>
        <v>#N/A</v>
      </c>
      <c r="L974" s="72"/>
      <c r="M974" s="109" t="e">
        <f t="shared" si="125"/>
        <v>#N/A</v>
      </c>
      <c r="N974" s="123" t="e">
        <f>VLOOKUP(C974,'RAW DATA 2023'!E:BO,36,0)</f>
        <v>#N/A</v>
      </c>
      <c r="O974" s="63" t="e">
        <f>VLOOKUP(C974,'RAW DATA 2023'!E:BO,2,0)</f>
        <v>#N/A</v>
      </c>
      <c r="P974" s="322" t="e">
        <f t="shared" si="124"/>
        <v>#N/A</v>
      </c>
    </row>
    <row r="975" spans="1:16">
      <c r="A975" s="63">
        <f>'RAW DATA 2023'!B968</f>
        <v>0</v>
      </c>
      <c r="B975" s="63">
        <f>'RAW DATA 2023'!D968</f>
        <v>0</v>
      </c>
      <c r="C975" s="63" t="str">
        <f t="shared" si="121"/>
        <v>00</v>
      </c>
      <c r="D975" s="68" t="e">
        <f>VLOOKUP(C975,'RAW DATA 2023'!E:BP,63,0)</f>
        <v>#N/A</v>
      </c>
      <c r="E975" s="68" t="e">
        <f t="shared" si="122"/>
        <v>#N/A</v>
      </c>
      <c r="F975" s="63" t="e">
        <f>VLOOKUP(C975,'RAW DATA 2023'!E:BO,5,0)</f>
        <v>#N/A</v>
      </c>
      <c r="G975" s="63" t="e">
        <f>VLOOKUP(C975,'RAW DATA 2023'!E:BO,13,0)</f>
        <v>#N/A</v>
      </c>
      <c r="H975" s="63" t="e">
        <f t="shared" si="123"/>
        <v>#N/A</v>
      </c>
      <c r="I975" s="63" t="e">
        <f t="shared" si="119"/>
        <v>#N/A</v>
      </c>
      <c r="J975" s="106" t="e">
        <f>VLOOKUP(C975,'RAW DATA 2023'!E:BO,22,0)</f>
        <v>#N/A</v>
      </c>
      <c r="K975" s="70" t="e">
        <f t="shared" si="120"/>
        <v>#N/A</v>
      </c>
      <c r="L975" s="72"/>
      <c r="M975" s="109" t="e">
        <f t="shared" si="125"/>
        <v>#N/A</v>
      </c>
      <c r="N975" s="123" t="e">
        <f>VLOOKUP(C975,'RAW DATA 2023'!E:BO,36,0)</f>
        <v>#N/A</v>
      </c>
      <c r="O975" s="63" t="e">
        <f>VLOOKUP(C975,'RAW DATA 2023'!E:BO,2,0)</f>
        <v>#N/A</v>
      </c>
      <c r="P975" s="322" t="e">
        <f t="shared" si="124"/>
        <v>#N/A</v>
      </c>
    </row>
    <row r="976" spans="1:16">
      <c r="A976" s="63">
        <f>'RAW DATA 2023'!B969</f>
        <v>0</v>
      </c>
      <c r="B976" s="63">
        <f>'RAW DATA 2023'!D969</f>
        <v>0</v>
      </c>
      <c r="C976" s="63" t="str">
        <f t="shared" si="121"/>
        <v>00</v>
      </c>
      <c r="D976" s="68" t="e">
        <f>VLOOKUP(C976,'RAW DATA 2023'!E:BP,63,0)</f>
        <v>#N/A</v>
      </c>
      <c r="E976" s="68" t="e">
        <f t="shared" si="122"/>
        <v>#N/A</v>
      </c>
      <c r="F976" s="63" t="e">
        <f>VLOOKUP(C976,'RAW DATA 2023'!E:BO,5,0)</f>
        <v>#N/A</v>
      </c>
      <c r="G976" s="63" t="e">
        <f>VLOOKUP(C976,'RAW DATA 2023'!E:BO,13,0)</f>
        <v>#N/A</v>
      </c>
      <c r="H976" s="63" t="e">
        <f t="shared" si="123"/>
        <v>#N/A</v>
      </c>
      <c r="I976" s="63" t="e">
        <f t="shared" si="119"/>
        <v>#N/A</v>
      </c>
      <c r="J976" s="106" t="e">
        <f>VLOOKUP(C976,'RAW DATA 2023'!E:BO,22,0)</f>
        <v>#N/A</v>
      </c>
      <c r="K976" s="70" t="e">
        <f t="shared" si="120"/>
        <v>#N/A</v>
      </c>
      <c r="L976" s="72"/>
      <c r="M976" s="109" t="e">
        <f t="shared" si="125"/>
        <v>#N/A</v>
      </c>
      <c r="N976" s="123" t="e">
        <f>VLOOKUP(C976,'RAW DATA 2023'!E:BO,36,0)</f>
        <v>#N/A</v>
      </c>
      <c r="O976" s="63" t="e">
        <f>VLOOKUP(C976,'RAW DATA 2023'!E:BO,2,0)</f>
        <v>#N/A</v>
      </c>
      <c r="P976" s="322" t="e">
        <f t="shared" si="124"/>
        <v>#N/A</v>
      </c>
    </row>
    <row r="977" spans="1:16">
      <c r="A977" s="63">
        <f>'RAW DATA 2023'!B970</f>
        <v>0</v>
      </c>
      <c r="B977" s="63">
        <f>'RAW DATA 2023'!D970</f>
        <v>0</v>
      </c>
      <c r="C977" s="63" t="str">
        <f t="shared" si="121"/>
        <v>00</v>
      </c>
      <c r="D977" s="68" t="e">
        <f>VLOOKUP(C977,'RAW DATA 2023'!E:BP,63,0)</f>
        <v>#N/A</v>
      </c>
      <c r="E977" s="68" t="e">
        <f t="shared" si="122"/>
        <v>#N/A</v>
      </c>
      <c r="F977" s="63" t="e">
        <f>VLOOKUP(C977,'RAW DATA 2023'!E:BO,5,0)</f>
        <v>#N/A</v>
      </c>
      <c r="G977" s="63" t="e">
        <f>VLOOKUP(C977,'RAW DATA 2023'!E:BO,13,0)</f>
        <v>#N/A</v>
      </c>
      <c r="H977" s="63" t="e">
        <f t="shared" si="123"/>
        <v>#N/A</v>
      </c>
      <c r="I977" s="63" t="e">
        <f t="shared" si="119"/>
        <v>#N/A</v>
      </c>
      <c r="J977" s="106" t="e">
        <f>VLOOKUP(C977,'RAW DATA 2023'!E:BO,22,0)</f>
        <v>#N/A</v>
      </c>
      <c r="K977" s="70" t="e">
        <f t="shared" si="120"/>
        <v>#N/A</v>
      </c>
      <c r="L977" s="72"/>
      <c r="M977" s="109" t="e">
        <f t="shared" si="125"/>
        <v>#N/A</v>
      </c>
      <c r="N977" s="123" t="e">
        <f>VLOOKUP(C977,'RAW DATA 2023'!E:BO,36,0)</f>
        <v>#N/A</v>
      </c>
      <c r="O977" s="63" t="e">
        <f>VLOOKUP(C977,'RAW DATA 2023'!E:BO,2,0)</f>
        <v>#N/A</v>
      </c>
      <c r="P977" s="322" t="e">
        <f t="shared" si="124"/>
        <v>#N/A</v>
      </c>
    </row>
    <row r="978" spans="1:16">
      <c r="A978" s="63">
        <f>'RAW DATA 2023'!B971</f>
        <v>0</v>
      </c>
      <c r="B978" s="63">
        <f>'RAW DATA 2023'!D971</f>
        <v>0</v>
      </c>
      <c r="C978" s="63" t="str">
        <f t="shared" si="121"/>
        <v>00</v>
      </c>
      <c r="D978" s="68" t="e">
        <f>VLOOKUP(C978,'RAW DATA 2023'!E:BP,63,0)</f>
        <v>#N/A</v>
      </c>
      <c r="E978" s="68" t="e">
        <f t="shared" si="122"/>
        <v>#N/A</v>
      </c>
      <c r="F978" s="63" t="e">
        <f>VLOOKUP(C978,'RAW DATA 2023'!E:BO,5,0)</f>
        <v>#N/A</v>
      </c>
      <c r="G978" s="63" t="e">
        <f>VLOOKUP(C978,'RAW DATA 2023'!E:BO,13,0)</f>
        <v>#N/A</v>
      </c>
      <c r="H978" s="63" t="e">
        <f t="shared" si="123"/>
        <v>#N/A</v>
      </c>
      <c r="I978" s="63" t="e">
        <f t="shared" si="119"/>
        <v>#N/A</v>
      </c>
      <c r="J978" s="106" t="e">
        <f>VLOOKUP(C978,'RAW DATA 2023'!E:BO,22,0)</f>
        <v>#N/A</v>
      </c>
      <c r="K978" s="70" t="e">
        <f t="shared" si="120"/>
        <v>#N/A</v>
      </c>
      <c r="L978" s="72"/>
      <c r="M978" s="109" t="e">
        <f t="shared" si="125"/>
        <v>#N/A</v>
      </c>
      <c r="N978" s="123" t="e">
        <f>VLOOKUP(C978,'RAW DATA 2023'!E:BO,36,0)</f>
        <v>#N/A</v>
      </c>
      <c r="O978" s="63" t="e">
        <f>VLOOKUP(C978,'RAW DATA 2023'!E:BO,2,0)</f>
        <v>#N/A</v>
      </c>
      <c r="P978" s="322" t="e">
        <f t="shared" si="124"/>
        <v>#N/A</v>
      </c>
    </row>
    <row r="979" spans="1:16">
      <c r="A979" s="63">
        <f>'RAW DATA 2023'!B972</f>
        <v>0</v>
      </c>
      <c r="B979" s="63">
        <f>'RAW DATA 2023'!D972</f>
        <v>0</v>
      </c>
      <c r="C979" s="63" t="str">
        <f t="shared" si="121"/>
        <v>00</v>
      </c>
      <c r="D979" s="68" t="e">
        <f>VLOOKUP(C979,'RAW DATA 2023'!E:BP,63,0)</f>
        <v>#N/A</v>
      </c>
      <c r="E979" s="68" t="e">
        <f t="shared" si="122"/>
        <v>#N/A</v>
      </c>
      <c r="F979" s="63" t="e">
        <f>VLOOKUP(C979,'RAW DATA 2023'!E:BO,5,0)</f>
        <v>#N/A</v>
      </c>
      <c r="G979" s="63" t="e">
        <f>VLOOKUP(C979,'RAW DATA 2023'!E:BO,13,0)</f>
        <v>#N/A</v>
      </c>
      <c r="H979" s="63" t="e">
        <f t="shared" si="123"/>
        <v>#N/A</v>
      </c>
      <c r="I979" s="63" t="e">
        <f t="shared" si="119"/>
        <v>#N/A</v>
      </c>
      <c r="J979" s="106" t="e">
        <f>VLOOKUP(C979,'RAW DATA 2023'!E:BO,22,0)</f>
        <v>#N/A</v>
      </c>
      <c r="K979" s="70" t="e">
        <f t="shared" si="120"/>
        <v>#N/A</v>
      </c>
      <c r="L979" s="72"/>
      <c r="M979" s="109" t="e">
        <f t="shared" si="125"/>
        <v>#N/A</v>
      </c>
      <c r="N979" s="123" t="e">
        <f>VLOOKUP(C979,'RAW DATA 2023'!E:BO,36,0)</f>
        <v>#N/A</v>
      </c>
      <c r="O979" s="63" t="e">
        <f>VLOOKUP(C979,'RAW DATA 2023'!E:BO,2,0)</f>
        <v>#N/A</v>
      </c>
      <c r="P979" s="322" t="e">
        <f t="shared" si="124"/>
        <v>#N/A</v>
      </c>
    </row>
    <row r="980" spans="1:16">
      <c r="A980" s="63">
        <f>'RAW DATA 2023'!B973</f>
        <v>0</v>
      </c>
      <c r="B980" s="63">
        <f>'RAW DATA 2023'!D973</f>
        <v>0</v>
      </c>
      <c r="C980" s="63" t="str">
        <f t="shared" si="121"/>
        <v>00</v>
      </c>
      <c r="D980" s="68" t="e">
        <f>VLOOKUP(C980,'RAW DATA 2023'!E:BP,63,0)</f>
        <v>#N/A</v>
      </c>
      <c r="E980" s="68" t="e">
        <f t="shared" si="122"/>
        <v>#N/A</v>
      </c>
      <c r="F980" s="63" t="e">
        <f>VLOOKUP(C980,'RAW DATA 2023'!E:BO,5,0)</f>
        <v>#N/A</v>
      </c>
      <c r="G980" s="63" t="e">
        <f>VLOOKUP(C980,'RAW DATA 2023'!E:BO,13,0)</f>
        <v>#N/A</v>
      </c>
      <c r="H980" s="63" t="e">
        <f t="shared" si="123"/>
        <v>#N/A</v>
      </c>
      <c r="I980" s="63" t="e">
        <f t="shared" si="119"/>
        <v>#N/A</v>
      </c>
      <c r="J980" s="106" t="e">
        <f>VLOOKUP(C980,'RAW DATA 2023'!E:BO,22,0)</f>
        <v>#N/A</v>
      </c>
      <c r="K980" s="70" t="e">
        <f t="shared" si="120"/>
        <v>#N/A</v>
      </c>
      <c r="L980" s="72"/>
      <c r="M980" s="109" t="e">
        <f t="shared" si="125"/>
        <v>#N/A</v>
      </c>
      <c r="N980" s="123" t="e">
        <f>VLOOKUP(C980,'RAW DATA 2023'!E:BO,36,0)</f>
        <v>#N/A</v>
      </c>
      <c r="O980" s="63" t="e">
        <f>VLOOKUP(C980,'RAW DATA 2023'!E:BO,2,0)</f>
        <v>#N/A</v>
      </c>
      <c r="P980" s="322" t="e">
        <f t="shared" si="124"/>
        <v>#N/A</v>
      </c>
    </row>
    <row r="981" spans="1:16">
      <c r="A981" s="63">
        <f>'RAW DATA 2023'!B974</f>
        <v>0</v>
      </c>
      <c r="B981" s="63">
        <f>'RAW DATA 2023'!D974</f>
        <v>0</v>
      </c>
      <c r="C981" s="63" t="str">
        <f t="shared" si="121"/>
        <v>00</v>
      </c>
      <c r="D981" s="68" t="e">
        <f>VLOOKUP(C981,'RAW DATA 2023'!E:BP,63,0)</f>
        <v>#N/A</v>
      </c>
      <c r="E981" s="68" t="e">
        <f t="shared" si="122"/>
        <v>#N/A</v>
      </c>
      <c r="F981" s="63" t="e">
        <f>VLOOKUP(C981,'RAW DATA 2023'!E:BO,5,0)</f>
        <v>#N/A</v>
      </c>
      <c r="G981" s="63" t="e">
        <f>VLOOKUP(C981,'RAW DATA 2023'!E:BO,13,0)</f>
        <v>#N/A</v>
      </c>
      <c r="H981" s="63" t="e">
        <f t="shared" si="123"/>
        <v>#N/A</v>
      </c>
      <c r="I981" s="63" t="e">
        <f t="shared" si="119"/>
        <v>#N/A</v>
      </c>
      <c r="J981" s="106" t="e">
        <f>VLOOKUP(C981,'RAW DATA 2023'!E:BO,22,0)</f>
        <v>#N/A</v>
      </c>
      <c r="K981" s="70" t="e">
        <f t="shared" si="120"/>
        <v>#N/A</v>
      </c>
      <c r="L981" s="72"/>
      <c r="M981" s="109" t="e">
        <f t="shared" si="125"/>
        <v>#N/A</v>
      </c>
      <c r="N981" s="123" t="e">
        <f>VLOOKUP(C981,'RAW DATA 2023'!E:BO,36,0)</f>
        <v>#N/A</v>
      </c>
      <c r="O981" s="63" t="e">
        <f>VLOOKUP(C981,'RAW DATA 2023'!E:BO,2,0)</f>
        <v>#N/A</v>
      </c>
      <c r="P981" s="322" t="e">
        <f t="shared" si="124"/>
        <v>#N/A</v>
      </c>
    </row>
    <row r="982" spans="1:16">
      <c r="A982" s="63">
        <f>'RAW DATA 2023'!B975</f>
        <v>0</v>
      </c>
      <c r="B982" s="63">
        <f>'RAW DATA 2023'!D975</f>
        <v>0</v>
      </c>
      <c r="C982" s="63" t="str">
        <f t="shared" si="121"/>
        <v>00</v>
      </c>
      <c r="D982" s="68" t="e">
        <f>VLOOKUP(C982,'RAW DATA 2023'!E:BP,63,0)</f>
        <v>#N/A</v>
      </c>
      <c r="E982" s="68" t="e">
        <f t="shared" si="122"/>
        <v>#N/A</v>
      </c>
      <c r="F982" s="63" t="e">
        <f>VLOOKUP(C982,'RAW DATA 2023'!E:BO,5,0)</f>
        <v>#N/A</v>
      </c>
      <c r="G982" s="63" t="e">
        <f>VLOOKUP(C982,'RAW DATA 2023'!E:BO,13,0)</f>
        <v>#N/A</v>
      </c>
      <c r="H982" s="63" t="e">
        <f t="shared" si="123"/>
        <v>#N/A</v>
      </c>
      <c r="I982" s="63" t="e">
        <f t="shared" si="119"/>
        <v>#N/A</v>
      </c>
      <c r="J982" s="106" t="e">
        <f>VLOOKUP(C982,'RAW DATA 2023'!E:BO,22,0)</f>
        <v>#N/A</v>
      </c>
      <c r="K982" s="70" t="e">
        <f t="shared" si="120"/>
        <v>#N/A</v>
      </c>
      <c r="L982" s="72"/>
      <c r="M982" s="109" t="e">
        <f t="shared" si="125"/>
        <v>#N/A</v>
      </c>
      <c r="N982" s="123" t="e">
        <f>VLOOKUP(C982,'RAW DATA 2023'!E:BO,36,0)</f>
        <v>#N/A</v>
      </c>
      <c r="O982" s="63" t="e">
        <f>VLOOKUP(C982,'RAW DATA 2023'!E:BO,2,0)</f>
        <v>#N/A</v>
      </c>
      <c r="P982" s="322" t="e">
        <f t="shared" si="124"/>
        <v>#N/A</v>
      </c>
    </row>
    <row r="983" spans="1:16">
      <c r="A983" s="63">
        <f>'RAW DATA 2023'!B976</f>
        <v>0</v>
      </c>
      <c r="B983" s="63">
        <f>'RAW DATA 2023'!D976</f>
        <v>0</v>
      </c>
      <c r="C983" s="63" t="str">
        <f t="shared" si="121"/>
        <v>00</v>
      </c>
      <c r="D983" s="68" t="e">
        <f>VLOOKUP(C983,'RAW DATA 2023'!E:BP,63,0)</f>
        <v>#N/A</v>
      </c>
      <c r="E983" s="68" t="e">
        <f t="shared" si="122"/>
        <v>#N/A</v>
      </c>
      <c r="F983" s="63" t="e">
        <f>VLOOKUP(C983,'RAW DATA 2023'!E:BO,5,0)</f>
        <v>#N/A</v>
      </c>
      <c r="G983" s="63" t="e">
        <f>VLOOKUP(C983,'RAW DATA 2023'!E:BO,13,0)</f>
        <v>#N/A</v>
      </c>
      <c r="H983" s="63" t="e">
        <f t="shared" si="123"/>
        <v>#N/A</v>
      </c>
      <c r="I983" s="63" t="e">
        <f t="shared" si="119"/>
        <v>#N/A</v>
      </c>
      <c r="J983" s="106" t="e">
        <f>VLOOKUP(C983,'RAW DATA 2023'!E:BO,22,0)</f>
        <v>#N/A</v>
      </c>
      <c r="K983" s="70" t="e">
        <f t="shared" si="120"/>
        <v>#N/A</v>
      </c>
      <c r="L983" s="72"/>
      <c r="M983" s="109" t="e">
        <f t="shared" si="125"/>
        <v>#N/A</v>
      </c>
      <c r="N983" s="123" t="e">
        <f>VLOOKUP(C983,'RAW DATA 2023'!E:BO,36,0)</f>
        <v>#N/A</v>
      </c>
      <c r="O983" s="63" t="e">
        <f>VLOOKUP(C983,'RAW DATA 2023'!E:BO,2,0)</f>
        <v>#N/A</v>
      </c>
      <c r="P983" s="322" t="e">
        <f t="shared" si="124"/>
        <v>#N/A</v>
      </c>
    </row>
    <row r="984" spans="1:16">
      <c r="A984" s="63">
        <f>'RAW DATA 2023'!B977</f>
        <v>0</v>
      </c>
      <c r="B984" s="63">
        <f>'RAW DATA 2023'!D977</f>
        <v>0</v>
      </c>
      <c r="C984" s="63" t="str">
        <f t="shared" si="121"/>
        <v>00</v>
      </c>
      <c r="D984" s="68" t="e">
        <f>VLOOKUP(C984,'RAW DATA 2023'!E:BP,63,0)</f>
        <v>#N/A</v>
      </c>
      <c r="E984" s="68" t="e">
        <f t="shared" si="122"/>
        <v>#N/A</v>
      </c>
      <c r="F984" s="63" t="e">
        <f>VLOOKUP(C984,'RAW DATA 2023'!E:BO,5,0)</f>
        <v>#N/A</v>
      </c>
      <c r="G984" s="63" t="e">
        <f>VLOOKUP(C984,'RAW DATA 2023'!E:BO,13,0)</f>
        <v>#N/A</v>
      </c>
      <c r="H984" s="63" t="e">
        <f t="shared" si="123"/>
        <v>#N/A</v>
      </c>
      <c r="I984" s="63" t="e">
        <f t="shared" si="119"/>
        <v>#N/A</v>
      </c>
      <c r="J984" s="106" t="e">
        <f>VLOOKUP(C984,'RAW DATA 2023'!E:BO,22,0)</f>
        <v>#N/A</v>
      </c>
      <c r="K984" s="70" t="e">
        <f t="shared" si="120"/>
        <v>#N/A</v>
      </c>
      <c r="L984" s="72"/>
      <c r="M984" s="109" t="e">
        <f t="shared" si="125"/>
        <v>#N/A</v>
      </c>
      <c r="N984" s="123" t="e">
        <f>VLOOKUP(C984,'RAW DATA 2023'!E:BO,36,0)</f>
        <v>#N/A</v>
      </c>
      <c r="O984" s="63" t="e">
        <f>VLOOKUP(C984,'RAW DATA 2023'!E:BO,2,0)</f>
        <v>#N/A</v>
      </c>
      <c r="P984" s="322" t="e">
        <f t="shared" si="124"/>
        <v>#N/A</v>
      </c>
    </row>
    <row r="985" spans="1:16">
      <c r="A985" s="63">
        <f>'RAW DATA 2023'!B978</f>
        <v>0</v>
      </c>
      <c r="B985" s="63">
        <f>'RAW DATA 2023'!D978</f>
        <v>0</v>
      </c>
      <c r="C985" s="63" t="str">
        <f t="shared" si="121"/>
        <v>00</v>
      </c>
      <c r="D985" s="68" t="e">
        <f>VLOOKUP(C985,'RAW DATA 2023'!E:BP,63,0)</f>
        <v>#N/A</v>
      </c>
      <c r="E985" s="68" t="e">
        <f t="shared" si="122"/>
        <v>#N/A</v>
      </c>
      <c r="F985" s="63" t="e">
        <f>VLOOKUP(C985,'RAW DATA 2023'!E:BO,5,0)</f>
        <v>#N/A</v>
      </c>
      <c r="G985" s="63" t="e">
        <f>VLOOKUP(C985,'RAW DATA 2023'!E:BO,13,0)</f>
        <v>#N/A</v>
      </c>
      <c r="H985" s="63" t="e">
        <f t="shared" si="123"/>
        <v>#N/A</v>
      </c>
      <c r="I985" s="63" t="e">
        <f t="shared" si="119"/>
        <v>#N/A</v>
      </c>
      <c r="J985" s="106" t="e">
        <f>VLOOKUP(C985,'RAW DATA 2023'!E:BO,22,0)</f>
        <v>#N/A</v>
      </c>
      <c r="K985" s="70" t="e">
        <f t="shared" si="120"/>
        <v>#N/A</v>
      </c>
      <c r="L985" s="72"/>
      <c r="M985" s="109" t="e">
        <f t="shared" si="125"/>
        <v>#N/A</v>
      </c>
      <c r="N985" s="123" t="e">
        <f>VLOOKUP(C985,'RAW DATA 2023'!E:BO,36,0)</f>
        <v>#N/A</v>
      </c>
      <c r="O985" s="63" t="e">
        <f>VLOOKUP(C985,'RAW DATA 2023'!E:BO,2,0)</f>
        <v>#N/A</v>
      </c>
      <c r="P985" s="322" t="e">
        <f t="shared" si="124"/>
        <v>#N/A</v>
      </c>
    </row>
    <row r="986" spans="1:16">
      <c r="A986" s="63">
        <f>'RAW DATA 2023'!B979</f>
        <v>0</v>
      </c>
      <c r="B986" s="63">
        <f>'RAW DATA 2023'!D979</f>
        <v>0</v>
      </c>
      <c r="C986" s="63" t="str">
        <f t="shared" si="121"/>
        <v>00</v>
      </c>
      <c r="D986" s="68" t="e">
        <f>VLOOKUP(C986,'RAW DATA 2023'!E:BP,63,0)</f>
        <v>#N/A</v>
      </c>
      <c r="E986" s="68" t="e">
        <f t="shared" si="122"/>
        <v>#N/A</v>
      </c>
      <c r="F986" s="63" t="e">
        <f>VLOOKUP(C986,'RAW DATA 2023'!E:BO,5,0)</f>
        <v>#N/A</v>
      </c>
      <c r="G986" s="63" t="e">
        <f>VLOOKUP(C986,'RAW DATA 2023'!E:BO,13,0)</f>
        <v>#N/A</v>
      </c>
      <c r="H986" s="63" t="e">
        <f t="shared" si="123"/>
        <v>#N/A</v>
      </c>
      <c r="I986" s="63" t="e">
        <f t="shared" si="119"/>
        <v>#N/A</v>
      </c>
      <c r="J986" s="106" t="e">
        <f>VLOOKUP(C986,'RAW DATA 2023'!E:BO,22,0)</f>
        <v>#N/A</v>
      </c>
      <c r="K986" s="70" t="e">
        <f t="shared" si="120"/>
        <v>#N/A</v>
      </c>
      <c r="L986" s="72"/>
      <c r="M986" s="109" t="e">
        <f t="shared" si="125"/>
        <v>#N/A</v>
      </c>
      <c r="N986" s="123" t="e">
        <f>VLOOKUP(C986,'RAW DATA 2023'!E:BO,36,0)</f>
        <v>#N/A</v>
      </c>
      <c r="O986" s="63" t="e">
        <f>VLOOKUP(C986,'RAW DATA 2023'!E:BO,2,0)</f>
        <v>#N/A</v>
      </c>
      <c r="P986" s="322" t="e">
        <f t="shared" si="124"/>
        <v>#N/A</v>
      </c>
    </row>
    <row r="987" spans="1:16">
      <c r="A987" s="63">
        <f>'RAW DATA 2023'!B980</f>
        <v>0</v>
      </c>
      <c r="B987" s="63">
        <f>'RAW DATA 2023'!D980</f>
        <v>0</v>
      </c>
      <c r="C987" s="63" t="str">
        <f t="shared" si="121"/>
        <v>00</v>
      </c>
      <c r="D987" s="68" t="e">
        <f>VLOOKUP(C987,'RAW DATA 2023'!E:BP,63,0)</f>
        <v>#N/A</v>
      </c>
      <c r="E987" s="68" t="e">
        <f t="shared" si="122"/>
        <v>#N/A</v>
      </c>
      <c r="F987" s="63" t="e">
        <f>VLOOKUP(C987,'RAW DATA 2023'!E:BO,5,0)</f>
        <v>#N/A</v>
      </c>
      <c r="G987" s="63" t="e">
        <f>VLOOKUP(C987,'RAW DATA 2023'!E:BO,13,0)</f>
        <v>#N/A</v>
      </c>
      <c r="H987" s="63" t="e">
        <f t="shared" si="123"/>
        <v>#N/A</v>
      </c>
      <c r="I987" s="63" t="e">
        <f t="shared" si="119"/>
        <v>#N/A</v>
      </c>
      <c r="J987" s="106" t="e">
        <f>VLOOKUP(C987,'RAW DATA 2023'!E:BO,22,0)</f>
        <v>#N/A</v>
      </c>
      <c r="K987" s="70" t="e">
        <f t="shared" si="120"/>
        <v>#N/A</v>
      </c>
      <c r="L987" s="72"/>
      <c r="M987" s="109" t="e">
        <f t="shared" si="125"/>
        <v>#N/A</v>
      </c>
      <c r="N987" s="123" t="e">
        <f>VLOOKUP(C987,'RAW DATA 2023'!E:BO,36,0)</f>
        <v>#N/A</v>
      </c>
      <c r="O987" s="63" t="e">
        <f>VLOOKUP(C987,'RAW DATA 2023'!E:BO,2,0)</f>
        <v>#N/A</v>
      </c>
      <c r="P987" s="322" t="e">
        <f t="shared" si="124"/>
        <v>#N/A</v>
      </c>
    </row>
    <row r="988" spans="1:16">
      <c r="A988" s="63">
        <f>'RAW DATA 2023'!B981</f>
        <v>0</v>
      </c>
      <c r="B988" s="63">
        <f>'RAW DATA 2023'!D981</f>
        <v>0</v>
      </c>
      <c r="C988" s="63" t="str">
        <f t="shared" si="121"/>
        <v>00</v>
      </c>
      <c r="D988" s="68" t="e">
        <f>VLOOKUP(C988,'RAW DATA 2023'!E:BP,63,0)</f>
        <v>#N/A</v>
      </c>
      <c r="E988" s="68" t="e">
        <f t="shared" si="122"/>
        <v>#N/A</v>
      </c>
      <c r="F988" s="63" t="e">
        <f>VLOOKUP(C988,'RAW DATA 2023'!E:BO,5,0)</f>
        <v>#N/A</v>
      </c>
      <c r="G988" s="63" t="e">
        <f>VLOOKUP(C988,'RAW DATA 2023'!E:BO,13,0)</f>
        <v>#N/A</v>
      </c>
      <c r="H988" s="63" t="e">
        <f t="shared" si="123"/>
        <v>#N/A</v>
      </c>
      <c r="I988" s="63" t="e">
        <f t="shared" si="119"/>
        <v>#N/A</v>
      </c>
      <c r="J988" s="106" t="e">
        <f>VLOOKUP(C988,'RAW DATA 2023'!E:BO,22,0)</f>
        <v>#N/A</v>
      </c>
      <c r="K988" s="70" t="e">
        <f t="shared" si="120"/>
        <v>#N/A</v>
      </c>
      <c r="L988" s="72"/>
      <c r="M988" s="109" t="e">
        <f t="shared" si="125"/>
        <v>#N/A</v>
      </c>
      <c r="N988" s="123" t="e">
        <f>VLOOKUP(C988,'RAW DATA 2023'!E:BO,36,0)</f>
        <v>#N/A</v>
      </c>
      <c r="O988" s="63" t="e">
        <f>VLOOKUP(C988,'RAW DATA 2023'!E:BO,2,0)</f>
        <v>#N/A</v>
      </c>
      <c r="P988" s="322" t="e">
        <f t="shared" si="124"/>
        <v>#N/A</v>
      </c>
    </row>
    <row r="989" spans="1:16">
      <c r="A989" s="63">
        <f>'RAW DATA 2023'!B982</f>
        <v>0</v>
      </c>
      <c r="B989" s="63">
        <f>'RAW DATA 2023'!D982</f>
        <v>0</v>
      </c>
      <c r="C989" s="63" t="str">
        <f t="shared" si="121"/>
        <v>00</v>
      </c>
      <c r="D989" s="68" t="e">
        <f>VLOOKUP(C989,'RAW DATA 2023'!E:BP,63,0)</f>
        <v>#N/A</v>
      </c>
      <c r="E989" s="68" t="e">
        <f t="shared" si="122"/>
        <v>#N/A</v>
      </c>
      <c r="F989" s="63" t="e">
        <f>VLOOKUP(C989,'RAW DATA 2023'!E:BO,5,0)</f>
        <v>#N/A</v>
      </c>
      <c r="G989" s="63" t="e">
        <f>VLOOKUP(C989,'RAW DATA 2023'!E:BO,13,0)</f>
        <v>#N/A</v>
      </c>
      <c r="H989" s="63" t="e">
        <f t="shared" si="123"/>
        <v>#N/A</v>
      </c>
      <c r="I989" s="63" t="e">
        <f t="shared" si="119"/>
        <v>#N/A</v>
      </c>
      <c r="J989" s="106" t="e">
        <f>VLOOKUP(C989,'RAW DATA 2023'!E:BO,22,0)</f>
        <v>#N/A</v>
      </c>
      <c r="K989" s="70" t="e">
        <f t="shared" si="120"/>
        <v>#N/A</v>
      </c>
      <c r="L989" s="72"/>
      <c r="M989" s="109" t="e">
        <f t="shared" si="125"/>
        <v>#N/A</v>
      </c>
      <c r="N989" s="123" t="e">
        <f>VLOOKUP(C989,'RAW DATA 2023'!E:BO,36,0)</f>
        <v>#N/A</v>
      </c>
      <c r="O989" s="63" t="e">
        <f>VLOOKUP(C989,'RAW DATA 2023'!E:BO,2,0)</f>
        <v>#N/A</v>
      </c>
      <c r="P989" s="322" t="e">
        <f t="shared" si="124"/>
        <v>#N/A</v>
      </c>
    </row>
    <row r="990" spans="1:16">
      <c r="A990" s="63">
        <f>'RAW DATA 2023'!B983</f>
        <v>0</v>
      </c>
      <c r="B990" s="63">
        <f>'RAW DATA 2023'!D983</f>
        <v>0</v>
      </c>
      <c r="C990" s="63" t="str">
        <f t="shared" si="121"/>
        <v>00</v>
      </c>
      <c r="D990" s="68" t="e">
        <f>VLOOKUP(C990,'RAW DATA 2023'!E:BP,63,0)</f>
        <v>#N/A</v>
      </c>
      <c r="E990" s="68" t="e">
        <f t="shared" si="122"/>
        <v>#N/A</v>
      </c>
      <c r="F990" s="63" t="e">
        <f>VLOOKUP(C990,'RAW DATA 2023'!E:BO,5,0)</f>
        <v>#N/A</v>
      </c>
      <c r="G990" s="63" t="e">
        <f>VLOOKUP(C990,'RAW DATA 2023'!E:BO,13,0)</f>
        <v>#N/A</v>
      </c>
      <c r="H990" s="63" t="e">
        <f t="shared" si="123"/>
        <v>#N/A</v>
      </c>
      <c r="I990" s="63" t="e">
        <f t="shared" si="119"/>
        <v>#N/A</v>
      </c>
      <c r="J990" s="106" t="e">
        <f>VLOOKUP(C990,'RAW DATA 2023'!E:BO,22,0)</f>
        <v>#N/A</v>
      </c>
      <c r="K990" s="70" t="e">
        <f t="shared" si="120"/>
        <v>#N/A</v>
      </c>
      <c r="L990" s="72"/>
      <c r="M990" s="109" t="e">
        <f t="shared" si="125"/>
        <v>#N/A</v>
      </c>
      <c r="N990" s="123" t="e">
        <f>VLOOKUP(C990,'RAW DATA 2023'!E:BO,36,0)</f>
        <v>#N/A</v>
      </c>
      <c r="O990" s="63" t="e">
        <f>VLOOKUP(C990,'RAW DATA 2023'!E:BO,2,0)</f>
        <v>#N/A</v>
      </c>
      <c r="P990" s="322" t="e">
        <f t="shared" si="124"/>
        <v>#N/A</v>
      </c>
    </row>
    <row r="991" spans="1:16">
      <c r="A991" s="63">
        <f>'RAW DATA 2023'!B984</f>
        <v>0</v>
      </c>
      <c r="B991" s="63">
        <f>'RAW DATA 2023'!D984</f>
        <v>0</v>
      </c>
      <c r="C991" s="63" t="str">
        <f t="shared" si="121"/>
        <v>00</v>
      </c>
      <c r="D991" s="68" t="e">
        <f>VLOOKUP(C991,'RAW DATA 2023'!E:BP,63,0)</f>
        <v>#N/A</v>
      </c>
      <c r="E991" s="68" t="e">
        <f t="shared" si="122"/>
        <v>#N/A</v>
      </c>
      <c r="F991" s="63" t="e">
        <f>VLOOKUP(C991,'RAW DATA 2023'!E:BO,5,0)</f>
        <v>#N/A</v>
      </c>
      <c r="G991" s="63" t="e">
        <f>VLOOKUP(C991,'RAW DATA 2023'!E:BO,13,0)</f>
        <v>#N/A</v>
      </c>
      <c r="H991" s="63" t="e">
        <f t="shared" si="123"/>
        <v>#N/A</v>
      </c>
      <c r="I991" s="63" t="e">
        <f t="shared" si="119"/>
        <v>#N/A</v>
      </c>
      <c r="J991" s="106" t="e">
        <f>VLOOKUP(C991,'RAW DATA 2023'!E:BO,22,0)</f>
        <v>#N/A</v>
      </c>
      <c r="K991" s="70" t="e">
        <f t="shared" si="120"/>
        <v>#N/A</v>
      </c>
      <c r="L991" s="72"/>
      <c r="M991" s="109" t="e">
        <f t="shared" si="125"/>
        <v>#N/A</v>
      </c>
      <c r="N991" s="123" t="e">
        <f>VLOOKUP(C991,'RAW DATA 2023'!E:BO,36,0)</f>
        <v>#N/A</v>
      </c>
      <c r="O991" s="63" t="e">
        <f>VLOOKUP(C991,'RAW DATA 2023'!E:BO,2,0)</f>
        <v>#N/A</v>
      </c>
      <c r="P991" s="322" t="e">
        <f t="shared" si="124"/>
        <v>#N/A</v>
      </c>
    </row>
    <row r="992" spans="1:16">
      <c r="A992" s="63">
        <f>'RAW DATA 2023'!B985</f>
        <v>0</v>
      </c>
      <c r="B992" s="63">
        <f>'RAW DATA 2023'!D985</f>
        <v>0</v>
      </c>
      <c r="C992" s="63" t="str">
        <f t="shared" si="121"/>
        <v>00</v>
      </c>
      <c r="D992" s="68" t="e">
        <f>VLOOKUP(C992,'RAW DATA 2023'!E:BP,63,0)</f>
        <v>#N/A</v>
      </c>
      <c r="E992" s="68" t="e">
        <f t="shared" si="122"/>
        <v>#N/A</v>
      </c>
      <c r="F992" s="63" t="e">
        <f>VLOOKUP(C992,'RAW DATA 2023'!E:BO,5,0)</f>
        <v>#N/A</v>
      </c>
      <c r="G992" s="63" t="e">
        <f>VLOOKUP(C992,'RAW DATA 2023'!E:BO,13,0)</f>
        <v>#N/A</v>
      </c>
      <c r="H992" s="63" t="e">
        <f t="shared" si="123"/>
        <v>#N/A</v>
      </c>
      <c r="I992" s="63" t="e">
        <f t="shared" si="119"/>
        <v>#N/A</v>
      </c>
      <c r="J992" s="106" t="e">
        <f>VLOOKUP(C992,'RAW DATA 2023'!E:BO,22,0)</f>
        <v>#N/A</v>
      </c>
      <c r="K992" s="70" t="e">
        <f t="shared" si="120"/>
        <v>#N/A</v>
      </c>
      <c r="L992" s="72"/>
      <c r="M992" s="109" t="e">
        <f t="shared" si="125"/>
        <v>#N/A</v>
      </c>
      <c r="N992" s="123" t="e">
        <f>VLOOKUP(C992,'RAW DATA 2023'!E:BO,36,0)</f>
        <v>#N/A</v>
      </c>
      <c r="O992" s="63" t="e">
        <f>VLOOKUP(C992,'RAW DATA 2023'!E:BO,2,0)</f>
        <v>#N/A</v>
      </c>
      <c r="P992" s="322" t="e">
        <f t="shared" si="124"/>
        <v>#N/A</v>
      </c>
    </row>
    <row r="993" spans="1:16">
      <c r="A993" s="63">
        <f>'RAW DATA 2023'!B986</f>
        <v>0</v>
      </c>
      <c r="B993" s="63">
        <f>'RAW DATA 2023'!D986</f>
        <v>0</v>
      </c>
      <c r="C993" s="63" t="str">
        <f t="shared" si="121"/>
        <v>00</v>
      </c>
      <c r="D993" s="68" t="e">
        <f>VLOOKUP(C993,'RAW DATA 2023'!E:BP,63,0)</f>
        <v>#N/A</v>
      </c>
      <c r="E993" s="68" t="e">
        <f t="shared" si="122"/>
        <v>#N/A</v>
      </c>
      <c r="F993" s="63" t="e">
        <f>VLOOKUP(C993,'RAW DATA 2023'!E:BO,5,0)</f>
        <v>#N/A</v>
      </c>
      <c r="G993" s="63" t="e">
        <f>VLOOKUP(C993,'RAW DATA 2023'!E:BO,13,0)</f>
        <v>#N/A</v>
      </c>
      <c r="H993" s="63" t="e">
        <f t="shared" si="123"/>
        <v>#N/A</v>
      </c>
      <c r="I993" s="63" t="e">
        <f t="shared" si="119"/>
        <v>#N/A</v>
      </c>
      <c r="J993" s="106" t="e">
        <f>VLOOKUP(C993,'RAW DATA 2023'!E:BO,22,0)</f>
        <v>#N/A</v>
      </c>
      <c r="K993" s="70" t="e">
        <f t="shared" si="120"/>
        <v>#N/A</v>
      </c>
      <c r="L993" s="72"/>
      <c r="M993" s="109" t="e">
        <f t="shared" si="125"/>
        <v>#N/A</v>
      </c>
      <c r="N993" s="123" t="e">
        <f>VLOOKUP(C993,'RAW DATA 2023'!E:BO,36,0)</f>
        <v>#N/A</v>
      </c>
      <c r="O993" s="63" t="e">
        <f>VLOOKUP(C993,'RAW DATA 2023'!E:BO,2,0)</f>
        <v>#N/A</v>
      </c>
      <c r="P993" s="322" t="e">
        <f t="shared" si="124"/>
        <v>#N/A</v>
      </c>
    </row>
    <row r="994" spans="1:16">
      <c r="A994" s="63">
        <f>'RAW DATA 2023'!B987</f>
        <v>0</v>
      </c>
      <c r="B994" s="63">
        <f>'RAW DATA 2023'!D987</f>
        <v>0</v>
      </c>
      <c r="C994" s="63" t="str">
        <f t="shared" si="121"/>
        <v>00</v>
      </c>
      <c r="D994" s="68" t="e">
        <f>VLOOKUP(C994,'RAW DATA 2023'!E:BP,63,0)</f>
        <v>#N/A</v>
      </c>
      <c r="E994" s="68" t="e">
        <f t="shared" si="122"/>
        <v>#N/A</v>
      </c>
      <c r="F994" s="63" t="e">
        <f>VLOOKUP(C994,'RAW DATA 2023'!E:BO,5,0)</f>
        <v>#N/A</v>
      </c>
      <c r="G994" s="63" t="e">
        <f>VLOOKUP(C994,'RAW DATA 2023'!E:BO,13,0)</f>
        <v>#N/A</v>
      </c>
      <c r="H994" s="63" t="e">
        <f t="shared" si="123"/>
        <v>#N/A</v>
      </c>
      <c r="I994" s="63" t="e">
        <f t="shared" si="119"/>
        <v>#N/A</v>
      </c>
      <c r="J994" s="106" t="e">
        <f>VLOOKUP(C994,'RAW DATA 2023'!E:BO,22,0)</f>
        <v>#N/A</v>
      </c>
      <c r="K994" s="70" t="e">
        <f t="shared" si="120"/>
        <v>#N/A</v>
      </c>
      <c r="L994" s="72"/>
      <c r="M994" s="109" t="e">
        <f t="shared" si="125"/>
        <v>#N/A</v>
      </c>
      <c r="N994" s="123" t="e">
        <f>VLOOKUP(C994,'RAW DATA 2023'!E:BO,36,0)</f>
        <v>#N/A</v>
      </c>
      <c r="O994" s="63" t="e">
        <f>VLOOKUP(C994,'RAW DATA 2023'!E:BO,2,0)</f>
        <v>#N/A</v>
      </c>
      <c r="P994" s="322" t="e">
        <f t="shared" si="124"/>
        <v>#N/A</v>
      </c>
    </row>
    <row r="995" spans="1:16">
      <c r="A995" s="63">
        <f>'RAW DATA 2023'!B988</f>
        <v>0</v>
      </c>
      <c r="B995" s="63">
        <f>'RAW DATA 2023'!D988</f>
        <v>0</v>
      </c>
      <c r="C995" s="63" t="str">
        <f t="shared" si="121"/>
        <v>00</v>
      </c>
      <c r="D995" s="68" t="e">
        <f>VLOOKUP(C995,'RAW DATA 2023'!E:BP,63,0)</f>
        <v>#N/A</v>
      </c>
      <c r="E995" s="68" t="e">
        <f t="shared" si="122"/>
        <v>#N/A</v>
      </c>
      <c r="F995" s="63" t="e">
        <f>VLOOKUP(C995,'RAW DATA 2023'!E:BO,5,0)</f>
        <v>#N/A</v>
      </c>
      <c r="G995" s="63" t="e">
        <f>VLOOKUP(C995,'RAW DATA 2023'!E:BO,13,0)</f>
        <v>#N/A</v>
      </c>
      <c r="H995" s="63" t="e">
        <f t="shared" si="123"/>
        <v>#N/A</v>
      </c>
      <c r="I995" s="63" t="e">
        <f t="shared" si="119"/>
        <v>#N/A</v>
      </c>
      <c r="J995" s="106" t="e">
        <f>VLOOKUP(C995,'RAW DATA 2023'!E:BO,22,0)</f>
        <v>#N/A</v>
      </c>
      <c r="K995" s="70" t="e">
        <f t="shared" si="120"/>
        <v>#N/A</v>
      </c>
      <c r="L995" s="72"/>
      <c r="M995" s="109" t="e">
        <f t="shared" si="125"/>
        <v>#N/A</v>
      </c>
      <c r="N995" s="123" t="e">
        <f>VLOOKUP(C995,'RAW DATA 2023'!E:BO,36,0)</f>
        <v>#N/A</v>
      </c>
      <c r="O995" s="63" t="e">
        <f>VLOOKUP(C995,'RAW DATA 2023'!E:BO,2,0)</f>
        <v>#N/A</v>
      </c>
      <c r="P995" s="322" t="e">
        <f t="shared" si="124"/>
        <v>#N/A</v>
      </c>
    </row>
    <row r="996" spans="1:16">
      <c r="A996" s="63">
        <f>'RAW DATA 2023'!B989</f>
        <v>0</v>
      </c>
      <c r="B996" s="63">
        <f>'RAW DATA 2023'!D989</f>
        <v>0</v>
      </c>
      <c r="C996" s="63" t="str">
        <f t="shared" si="121"/>
        <v>00</v>
      </c>
      <c r="D996" s="68" t="e">
        <f>VLOOKUP(C996,'RAW DATA 2023'!E:BP,63,0)</f>
        <v>#N/A</v>
      </c>
      <c r="E996" s="68" t="e">
        <f t="shared" si="122"/>
        <v>#N/A</v>
      </c>
      <c r="F996" s="63" t="e">
        <f>VLOOKUP(C996,'RAW DATA 2023'!E:BO,5,0)</f>
        <v>#N/A</v>
      </c>
      <c r="G996" s="63" t="e">
        <f>VLOOKUP(C996,'RAW DATA 2023'!E:BO,13,0)</f>
        <v>#N/A</v>
      </c>
      <c r="H996" s="63" t="e">
        <f t="shared" si="123"/>
        <v>#N/A</v>
      </c>
      <c r="I996" s="63" t="e">
        <f t="shared" si="119"/>
        <v>#N/A</v>
      </c>
      <c r="J996" s="106" t="e">
        <f>VLOOKUP(C996,'RAW DATA 2023'!E:BO,22,0)</f>
        <v>#N/A</v>
      </c>
      <c r="K996" s="70" t="e">
        <f t="shared" si="120"/>
        <v>#N/A</v>
      </c>
      <c r="L996" s="72"/>
      <c r="M996" s="109" t="e">
        <f t="shared" si="125"/>
        <v>#N/A</v>
      </c>
      <c r="N996" s="123" t="e">
        <f>VLOOKUP(C996,'RAW DATA 2023'!E:BO,36,0)</f>
        <v>#N/A</v>
      </c>
      <c r="O996" s="63" t="e">
        <f>VLOOKUP(C996,'RAW DATA 2023'!E:BO,2,0)</f>
        <v>#N/A</v>
      </c>
      <c r="P996" s="322" t="e">
        <f t="shared" si="124"/>
        <v>#N/A</v>
      </c>
    </row>
    <row r="997" spans="1:16">
      <c r="A997" s="63">
        <f>'RAW DATA 2023'!B990</f>
        <v>0</v>
      </c>
      <c r="B997" s="63">
        <f>'RAW DATA 2023'!D990</f>
        <v>0</v>
      </c>
      <c r="C997" s="63" t="str">
        <f t="shared" si="121"/>
        <v>00</v>
      </c>
      <c r="D997" s="68" t="e">
        <f>VLOOKUP(C997,'RAW DATA 2023'!E:BP,63,0)</f>
        <v>#N/A</v>
      </c>
      <c r="E997" s="68" t="e">
        <f t="shared" si="122"/>
        <v>#N/A</v>
      </c>
      <c r="F997" s="63" t="e">
        <f>VLOOKUP(C997,'RAW DATA 2023'!E:BO,5,0)</f>
        <v>#N/A</v>
      </c>
      <c r="G997" s="63" t="e">
        <f>VLOOKUP(C997,'RAW DATA 2023'!E:BO,13,0)</f>
        <v>#N/A</v>
      </c>
      <c r="H997" s="63" t="e">
        <f t="shared" si="123"/>
        <v>#N/A</v>
      </c>
      <c r="I997" s="63" t="e">
        <f t="shared" si="119"/>
        <v>#N/A</v>
      </c>
      <c r="J997" s="106" t="e">
        <f>VLOOKUP(C997,'RAW DATA 2023'!E:BO,22,0)</f>
        <v>#N/A</v>
      </c>
      <c r="K997" s="70" t="e">
        <f t="shared" si="120"/>
        <v>#N/A</v>
      </c>
      <c r="L997" s="72"/>
      <c r="M997" s="109" t="e">
        <f t="shared" si="125"/>
        <v>#N/A</v>
      </c>
      <c r="N997" s="123" t="e">
        <f>VLOOKUP(C997,'RAW DATA 2023'!E:BO,36,0)</f>
        <v>#N/A</v>
      </c>
      <c r="O997" s="63" t="e">
        <f>VLOOKUP(C997,'RAW DATA 2023'!E:BO,2,0)</f>
        <v>#N/A</v>
      </c>
      <c r="P997" s="322" t="e">
        <f t="shared" si="124"/>
        <v>#N/A</v>
      </c>
    </row>
    <row r="998" spans="1:16">
      <c r="A998" s="63">
        <f>'RAW DATA 2023'!B991</f>
        <v>0</v>
      </c>
      <c r="B998" s="63">
        <f>'RAW DATA 2023'!D991</f>
        <v>0</v>
      </c>
      <c r="C998" s="63" t="str">
        <f t="shared" si="121"/>
        <v>00</v>
      </c>
      <c r="D998" s="68" t="e">
        <f>VLOOKUP(C998,'RAW DATA 2023'!E:BP,63,0)</f>
        <v>#N/A</v>
      </c>
      <c r="E998" s="68" t="e">
        <f t="shared" si="122"/>
        <v>#N/A</v>
      </c>
      <c r="F998" s="63" t="e">
        <f>VLOOKUP(C998,'RAW DATA 2023'!E:BO,5,0)</f>
        <v>#N/A</v>
      </c>
      <c r="G998" s="63" t="e">
        <f>VLOOKUP(C998,'RAW DATA 2023'!E:BO,13,0)</f>
        <v>#N/A</v>
      </c>
      <c r="H998" s="63" t="e">
        <f t="shared" si="123"/>
        <v>#N/A</v>
      </c>
      <c r="I998" s="63" t="e">
        <f t="shared" si="119"/>
        <v>#N/A</v>
      </c>
      <c r="J998" s="106" t="e">
        <f>VLOOKUP(C998,'RAW DATA 2023'!E:BO,22,0)</f>
        <v>#N/A</v>
      </c>
      <c r="K998" s="70" t="e">
        <f t="shared" si="120"/>
        <v>#N/A</v>
      </c>
      <c r="L998" s="72"/>
      <c r="M998" s="109" t="e">
        <f t="shared" si="125"/>
        <v>#N/A</v>
      </c>
      <c r="N998" s="123" t="e">
        <f>VLOOKUP(C998,'RAW DATA 2023'!E:BO,36,0)</f>
        <v>#N/A</v>
      </c>
      <c r="O998" s="63" t="e">
        <f>VLOOKUP(C998,'RAW DATA 2023'!E:BO,2,0)</f>
        <v>#N/A</v>
      </c>
      <c r="P998" s="322" t="e">
        <f t="shared" si="124"/>
        <v>#N/A</v>
      </c>
    </row>
    <row r="999" spans="1:16">
      <c r="A999" s="63">
        <f>'RAW DATA 2023'!B992</f>
        <v>0</v>
      </c>
      <c r="B999" s="63">
        <f>'RAW DATA 2023'!D992</f>
        <v>0</v>
      </c>
      <c r="C999" s="63" t="str">
        <f t="shared" si="121"/>
        <v>00</v>
      </c>
      <c r="D999" s="68" t="e">
        <f>VLOOKUP(C999,'RAW DATA 2023'!E:BP,63,0)</f>
        <v>#N/A</v>
      </c>
      <c r="E999" s="68" t="e">
        <f t="shared" si="122"/>
        <v>#N/A</v>
      </c>
      <c r="F999" s="63" t="e">
        <f>VLOOKUP(C999,'RAW DATA 2023'!E:BO,5,0)</f>
        <v>#N/A</v>
      </c>
      <c r="G999" s="63" t="e">
        <f>VLOOKUP(C999,'RAW DATA 2023'!E:BO,13,0)</f>
        <v>#N/A</v>
      </c>
      <c r="H999" s="63" t="e">
        <f t="shared" si="123"/>
        <v>#N/A</v>
      </c>
      <c r="I999" s="63" t="e">
        <f t="shared" si="119"/>
        <v>#N/A</v>
      </c>
      <c r="J999" s="106" t="e">
        <f>VLOOKUP(C999,'RAW DATA 2023'!E:BO,22,0)</f>
        <v>#N/A</v>
      </c>
      <c r="K999" s="70" t="e">
        <f t="shared" si="120"/>
        <v>#N/A</v>
      </c>
      <c r="L999" s="72"/>
      <c r="M999" s="109" t="e">
        <f t="shared" si="125"/>
        <v>#N/A</v>
      </c>
      <c r="N999" s="123" t="e">
        <f>VLOOKUP(C999,'RAW DATA 2023'!E:BO,36,0)</f>
        <v>#N/A</v>
      </c>
      <c r="O999" s="63" t="e">
        <f>VLOOKUP(C999,'RAW DATA 2023'!E:BO,2,0)</f>
        <v>#N/A</v>
      </c>
      <c r="P999" s="322" t="e">
        <f t="shared" si="124"/>
        <v>#N/A</v>
      </c>
    </row>
    <row r="1000" spans="1:16">
      <c r="A1000" s="63">
        <f>'RAW DATA 2023'!B993</f>
        <v>0</v>
      </c>
      <c r="B1000" s="63">
        <f>'RAW DATA 2023'!D993</f>
        <v>0</v>
      </c>
      <c r="C1000" s="63" t="str">
        <f t="shared" si="121"/>
        <v>00</v>
      </c>
      <c r="D1000" s="68" t="e">
        <f>VLOOKUP(C1000,'RAW DATA 2023'!E:BP,63,0)</f>
        <v>#N/A</v>
      </c>
      <c r="E1000" s="68" t="e">
        <f t="shared" si="122"/>
        <v>#N/A</v>
      </c>
      <c r="F1000" s="63" t="e">
        <f>VLOOKUP(C1000,'RAW DATA 2023'!E:BO,5,0)</f>
        <v>#N/A</v>
      </c>
      <c r="G1000" s="63" t="e">
        <f>VLOOKUP(C1000,'RAW DATA 2023'!E:BO,13,0)</f>
        <v>#N/A</v>
      </c>
      <c r="H1000" s="63" t="e">
        <f t="shared" si="123"/>
        <v>#N/A</v>
      </c>
      <c r="I1000" s="63" t="e">
        <f t="shared" si="119"/>
        <v>#N/A</v>
      </c>
      <c r="J1000" s="106" t="e">
        <f>VLOOKUP(C1000,'RAW DATA 2023'!E:BO,22,0)</f>
        <v>#N/A</v>
      </c>
      <c r="K1000" s="70" t="e">
        <f t="shared" si="120"/>
        <v>#N/A</v>
      </c>
      <c r="L1000" s="72"/>
      <c r="M1000" s="109" t="e">
        <f t="shared" si="125"/>
        <v>#N/A</v>
      </c>
      <c r="N1000" s="123" t="e">
        <f>VLOOKUP(C1000,'RAW DATA 2023'!E:BO,36,0)</f>
        <v>#N/A</v>
      </c>
      <c r="O1000" s="63" t="e">
        <f>VLOOKUP(C1000,'RAW DATA 2023'!E:BO,2,0)</f>
        <v>#N/A</v>
      </c>
      <c r="P1000" s="322" t="e">
        <f t="shared" si="124"/>
        <v>#N/A</v>
      </c>
    </row>
    <row r="1001" spans="1:16">
      <c r="A1001" s="63">
        <f>'RAW DATA 2023'!B994</f>
        <v>0</v>
      </c>
      <c r="B1001" s="63">
        <f>'RAW DATA 2023'!D994</f>
        <v>0</v>
      </c>
      <c r="C1001" s="63" t="str">
        <f t="shared" si="121"/>
        <v>00</v>
      </c>
      <c r="D1001" s="68" t="e">
        <f>VLOOKUP(C1001,'RAW DATA 2023'!E:BP,63,0)</f>
        <v>#N/A</v>
      </c>
      <c r="E1001" s="68" t="e">
        <f t="shared" si="122"/>
        <v>#N/A</v>
      </c>
      <c r="F1001" s="63" t="e">
        <f>VLOOKUP(C1001,'RAW DATA 2023'!E:BO,5,0)</f>
        <v>#N/A</v>
      </c>
      <c r="G1001" s="63" t="e">
        <f>VLOOKUP(C1001,'RAW DATA 2023'!E:BO,13,0)</f>
        <v>#N/A</v>
      </c>
      <c r="H1001" s="63" t="e">
        <f t="shared" si="123"/>
        <v>#N/A</v>
      </c>
      <c r="I1001" s="63" t="e">
        <f t="shared" si="119"/>
        <v>#N/A</v>
      </c>
      <c r="J1001" s="106" t="e">
        <f>VLOOKUP(C1001,'RAW DATA 2023'!E:BO,22,0)</f>
        <v>#N/A</v>
      </c>
      <c r="K1001" s="70" t="e">
        <f t="shared" si="120"/>
        <v>#N/A</v>
      </c>
      <c r="L1001" s="72"/>
      <c r="M1001" s="109" t="e">
        <f t="shared" si="125"/>
        <v>#N/A</v>
      </c>
      <c r="N1001" s="123" t="e">
        <f>VLOOKUP(C1001,'RAW DATA 2023'!E:BO,36,0)</f>
        <v>#N/A</v>
      </c>
      <c r="O1001" s="63" t="e">
        <f>VLOOKUP(C1001,'RAW DATA 2023'!E:BO,2,0)</f>
        <v>#N/A</v>
      </c>
      <c r="P1001" s="322" t="e">
        <f t="shared" si="124"/>
        <v>#N/A</v>
      </c>
    </row>
    <row r="1002" spans="1:16">
      <c r="A1002" s="63">
        <f>'RAW DATA 2023'!B995</f>
        <v>0</v>
      </c>
      <c r="B1002" s="63">
        <f>'RAW DATA 2023'!D995</f>
        <v>0</v>
      </c>
      <c r="C1002" s="63" t="str">
        <f t="shared" si="121"/>
        <v>00</v>
      </c>
      <c r="D1002" s="68" t="e">
        <f>VLOOKUP(C1002,'RAW DATA 2023'!E:BP,63,0)</f>
        <v>#N/A</v>
      </c>
      <c r="E1002" s="68" t="e">
        <f t="shared" si="122"/>
        <v>#N/A</v>
      </c>
      <c r="F1002" s="63" t="e">
        <f>VLOOKUP(C1002,'RAW DATA 2023'!E:BO,5,0)</f>
        <v>#N/A</v>
      </c>
      <c r="G1002" s="63" t="e">
        <f>VLOOKUP(C1002,'RAW DATA 2023'!E:BO,13,0)</f>
        <v>#N/A</v>
      </c>
      <c r="H1002" s="63" t="e">
        <f t="shared" si="123"/>
        <v>#N/A</v>
      </c>
      <c r="I1002" s="63" t="e">
        <f t="shared" si="119"/>
        <v>#N/A</v>
      </c>
      <c r="J1002" s="106" t="e">
        <f>VLOOKUP(C1002,'RAW DATA 2023'!E:BO,22,0)</f>
        <v>#N/A</v>
      </c>
      <c r="K1002" s="70" t="e">
        <f t="shared" si="120"/>
        <v>#N/A</v>
      </c>
      <c r="L1002" s="72"/>
      <c r="M1002" s="109" t="e">
        <f t="shared" si="125"/>
        <v>#N/A</v>
      </c>
      <c r="N1002" s="123" t="e">
        <f>VLOOKUP(C1002,'RAW DATA 2023'!E:BO,36,0)</f>
        <v>#N/A</v>
      </c>
      <c r="O1002" s="63" t="e">
        <f>VLOOKUP(C1002,'RAW DATA 2023'!E:BO,2,0)</f>
        <v>#N/A</v>
      </c>
      <c r="P1002" s="322" t="e">
        <f t="shared" si="124"/>
        <v>#N/A</v>
      </c>
    </row>
    <row r="1003" spans="1:16">
      <c r="A1003" s="63">
        <f>'RAW DATA 2023'!B996</f>
        <v>0</v>
      </c>
      <c r="B1003" s="63">
        <f>'RAW DATA 2023'!D996</f>
        <v>0</v>
      </c>
      <c r="C1003" s="63" t="str">
        <f t="shared" si="121"/>
        <v>00</v>
      </c>
      <c r="D1003" s="68" t="e">
        <f>VLOOKUP(C1003,'RAW DATA 2023'!E:BP,63,0)</f>
        <v>#N/A</v>
      </c>
      <c r="E1003" s="68" t="e">
        <f t="shared" si="122"/>
        <v>#N/A</v>
      </c>
      <c r="F1003" s="63" t="e">
        <f>VLOOKUP(C1003,'RAW DATA 2023'!E:BO,5,0)</f>
        <v>#N/A</v>
      </c>
      <c r="G1003" s="63" t="e">
        <f>VLOOKUP(C1003,'RAW DATA 2023'!E:BO,13,0)</f>
        <v>#N/A</v>
      </c>
      <c r="H1003" s="63" t="e">
        <f t="shared" si="123"/>
        <v>#N/A</v>
      </c>
      <c r="I1003" s="63" t="e">
        <f t="shared" si="119"/>
        <v>#N/A</v>
      </c>
      <c r="J1003" s="106" t="e">
        <f>VLOOKUP(C1003,'RAW DATA 2023'!E:BO,22,0)</f>
        <v>#N/A</v>
      </c>
      <c r="K1003" s="70" t="e">
        <f t="shared" si="120"/>
        <v>#N/A</v>
      </c>
      <c r="L1003" s="72"/>
      <c r="M1003" s="109" t="e">
        <f t="shared" si="125"/>
        <v>#N/A</v>
      </c>
      <c r="N1003" s="123" t="e">
        <f>VLOOKUP(C1003,'RAW DATA 2023'!E:BO,36,0)</f>
        <v>#N/A</v>
      </c>
      <c r="O1003" s="63" t="e">
        <f>VLOOKUP(C1003,'RAW DATA 2023'!E:BO,2,0)</f>
        <v>#N/A</v>
      </c>
      <c r="P1003" s="322" t="e">
        <f t="shared" si="124"/>
        <v>#N/A</v>
      </c>
    </row>
    <row r="1004" spans="1:16">
      <c r="A1004" s="63">
        <f>'RAW DATA 2023'!B997</f>
        <v>0</v>
      </c>
      <c r="B1004" s="63">
        <f>'RAW DATA 2023'!D997</f>
        <v>0</v>
      </c>
      <c r="C1004" s="63" t="str">
        <f t="shared" si="121"/>
        <v>00</v>
      </c>
      <c r="D1004" s="68" t="e">
        <f>VLOOKUP(C1004,'RAW DATA 2023'!E:BP,63,0)</f>
        <v>#N/A</v>
      </c>
      <c r="E1004" s="68" t="e">
        <f t="shared" si="122"/>
        <v>#N/A</v>
      </c>
      <c r="F1004" s="63" t="e">
        <f>VLOOKUP(C1004,'RAW DATA 2023'!E:BO,5,0)</f>
        <v>#N/A</v>
      </c>
      <c r="G1004" s="63" t="e">
        <f>VLOOKUP(C1004,'RAW DATA 2023'!E:BO,13,0)</f>
        <v>#N/A</v>
      </c>
      <c r="H1004" s="63" t="e">
        <f t="shared" si="123"/>
        <v>#N/A</v>
      </c>
      <c r="I1004" s="63" t="e">
        <f t="shared" si="119"/>
        <v>#N/A</v>
      </c>
      <c r="J1004" s="106" t="e">
        <f>VLOOKUP(C1004,'RAW DATA 2023'!E:BO,22,0)</f>
        <v>#N/A</v>
      </c>
      <c r="K1004" s="70" t="e">
        <f t="shared" si="120"/>
        <v>#N/A</v>
      </c>
      <c r="L1004" s="72"/>
      <c r="M1004" s="109" t="e">
        <f t="shared" si="125"/>
        <v>#N/A</v>
      </c>
      <c r="N1004" s="123" t="e">
        <f>VLOOKUP(C1004,'RAW DATA 2023'!E:BO,36,0)</f>
        <v>#N/A</v>
      </c>
      <c r="O1004" s="63" t="e">
        <f>VLOOKUP(C1004,'RAW DATA 2023'!E:BO,2,0)</f>
        <v>#N/A</v>
      </c>
      <c r="P1004" s="322" t="e">
        <f t="shared" si="124"/>
        <v>#N/A</v>
      </c>
    </row>
    <row r="1005" spans="1:16">
      <c r="A1005" s="63">
        <f>'RAW DATA 2023'!B998</f>
        <v>0</v>
      </c>
      <c r="B1005" s="63">
        <f>'RAW DATA 2023'!D998</f>
        <v>0</v>
      </c>
      <c r="C1005" s="63" t="str">
        <f t="shared" si="121"/>
        <v>00</v>
      </c>
      <c r="D1005" s="68" t="e">
        <f>VLOOKUP(C1005,'RAW DATA 2023'!E:BP,63,0)</f>
        <v>#N/A</v>
      </c>
      <c r="E1005" s="68" t="e">
        <f t="shared" si="122"/>
        <v>#N/A</v>
      </c>
      <c r="F1005" s="63" t="e">
        <f>VLOOKUP(C1005,'RAW DATA 2023'!E:BO,5,0)</f>
        <v>#N/A</v>
      </c>
      <c r="G1005" s="63" t="e">
        <f>VLOOKUP(C1005,'RAW DATA 2023'!E:BO,13,0)</f>
        <v>#N/A</v>
      </c>
      <c r="H1005" s="63" t="e">
        <f t="shared" si="123"/>
        <v>#N/A</v>
      </c>
      <c r="I1005" s="63" t="e">
        <f t="shared" si="119"/>
        <v>#N/A</v>
      </c>
      <c r="J1005" s="106" t="e">
        <f>VLOOKUP(C1005,'RAW DATA 2023'!E:BO,22,0)</f>
        <v>#N/A</v>
      </c>
      <c r="K1005" s="70" t="e">
        <f t="shared" si="120"/>
        <v>#N/A</v>
      </c>
      <c r="L1005" s="72"/>
      <c r="M1005" s="109" t="e">
        <f t="shared" si="125"/>
        <v>#N/A</v>
      </c>
      <c r="N1005" s="123" t="e">
        <f>VLOOKUP(C1005,'RAW DATA 2023'!E:BO,36,0)</f>
        <v>#N/A</v>
      </c>
      <c r="O1005" s="63" t="e">
        <f>VLOOKUP(C1005,'RAW DATA 2023'!E:BO,2,0)</f>
        <v>#N/A</v>
      </c>
      <c r="P1005" s="322" t="e">
        <f t="shared" si="124"/>
        <v>#N/A</v>
      </c>
    </row>
    <row r="1006" spans="1:16">
      <c r="A1006" s="63">
        <f>'RAW DATA 2023'!B999</f>
        <v>0</v>
      </c>
      <c r="B1006" s="63">
        <f>'RAW DATA 2023'!D999</f>
        <v>0</v>
      </c>
      <c r="C1006" s="63" t="str">
        <f t="shared" si="121"/>
        <v>00</v>
      </c>
      <c r="D1006" s="68" t="e">
        <f>VLOOKUP(C1006,'RAW DATA 2023'!E:BP,63,0)</f>
        <v>#N/A</v>
      </c>
      <c r="E1006" s="68" t="e">
        <f t="shared" si="122"/>
        <v>#N/A</v>
      </c>
      <c r="F1006" s="63" t="e">
        <f>VLOOKUP(C1006,'RAW DATA 2023'!E:BO,5,0)</f>
        <v>#N/A</v>
      </c>
      <c r="G1006" s="63" t="e">
        <f>VLOOKUP(C1006,'RAW DATA 2023'!E:BO,13,0)</f>
        <v>#N/A</v>
      </c>
      <c r="H1006" s="63" t="e">
        <f t="shared" si="123"/>
        <v>#N/A</v>
      </c>
      <c r="I1006" s="63" t="e">
        <f t="shared" si="119"/>
        <v>#N/A</v>
      </c>
      <c r="J1006" s="106" t="e">
        <f>VLOOKUP(C1006,'RAW DATA 2023'!E:BO,22,0)</f>
        <v>#N/A</v>
      </c>
      <c r="K1006" s="70" t="e">
        <f t="shared" si="120"/>
        <v>#N/A</v>
      </c>
      <c r="L1006" s="72"/>
      <c r="M1006" s="109" t="e">
        <f t="shared" si="125"/>
        <v>#N/A</v>
      </c>
      <c r="N1006" s="123" t="e">
        <f>VLOOKUP(C1006,'RAW DATA 2023'!E:BO,36,0)</f>
        <v>#N/A</v>
      </c>
      <c r="O1006" s="63" t="e">
        <f>VLOOKUP(C1006,'RAW DATA 2023'!E:BO,2,0)</f>
        <v>#N/A</v>
      </c>
      <c r="P1006" s="322" t="e">
        <f t="shared" si="124"/>
        <v>#N/A</v>
      </c>
    </row>
    <row r="1007" spans="1:16">
      <c r="A1007" s="63">
        <f>'RAW DATA 2023'!B1000</f>
        <v>0</v>
      </c>
      <c r="B1007" s="63">
        <f>'RAW DATA 2023'!D1000</f>
        <v>0</v>
      </c>
      <c r="C1007" s="63" t="str">
        <f t="shared" si="121"/>
        <v>00</v>
      </c>
      <c r="D1007" s="68" t="e">
        <f>VLOOKUP(C1007,'RAW DATA 2023'!E:BP,63,0)</f>
        <v>#N/A</v>
      </c>
      <c r="E1007" s="68" t="e">
        <f t="shared" si="122"/>
        <v>#N/A</v>
      </c>
      <c r="F1007" s="63" t="e">
        <f>VLOOKUP(C1007,'RAW DATA 2023'!E:BO,5,0)</f>
        <v>#N/A</v>
      </c>
      <c r="G1007" s="63" t="e">
        <f>VLOOKUP(C1007,'RAW DATA 2023'!E:BO,13,0)</f>
        <v>#N/A</v>
      </c>
      <c r="H1007" s="63" t="e">
        <f t="shared" si="123"/>
        <v>#N/A</v>
      </c>
      <c r="I1007" s="63" t="e">
        <f t="shared" si="119"/>
        <v>#N/A</v>
      </c>
      <c r="J1007" s="106" t="e">
        <f>VLOOKUP(C1007,'RAW DATA 2023'!E:BO,22,0)</f>
        <v>#N/A</v>
      </c>
      <c r="K1007" s="70" t="e">
        <f t="shared" si="120"/>
        <v>#N/A</v>
      </c>
      <c r="L1007" s="72"/>
      <c r="M1007" s="109" t="e">
        <f t="shared" si="125"/>
        <v>#N/A</v>
      </c>
      <c r="N1007" s="123" t="e">
        <f>VLOOKUP(C1007,'RAW DATA 2023'!E:BO,36,0)</f>
        <v>#N/A</v>
      </c>
      <c r="O1007" s="63" t="e">
        <f>VLOOKUP(C1007,'RAW DATA 2023'!E:BO,2,0)</f>
        <v>#N/A</v>
      </c>
      <c r="P1007" s="322" t="e">
        <f t="shared" si="124"/>
        <v>#N/A</v>
      </c>
    </row>
    <row r="1008" spans="1:16">
      <c r="A1008" s="63">
        <f>'RAW DATA 2023'!B1001</f>
        <v>0</v>
      </c>
      <c r="B1008" s="63">
        <f>'RAW DATA 2023'!D1001</f>
        <v>0</v>
      </c>
      <c r="C1008" s="63" t="str">
        <f t="shared" si="121"/>
        <v>00</v>
      </c>
      <c r="D1008" s="68" t="e">
        <f>VLOOKUP(C1008,'RAW DATA 2023'!E:BP,63,0)</f>
        <v>#N/A</v>
      </c>
      <c r="E1008" s="68" t="e">
        <f t="shared" si="122"/>
        <v>#N/A</v>
      </c>
      <c r="F1008" s="63" t="e">
        <f>VLOOKUP(C1008,'RAW DATA 2023'!E:BO,5,0)</f>
        <v>#N/A</v>
      </c>
      <c r="G1008" s="63" t="e">
        <f>VLOOKUP(C1008,'RAW DATA 2023'!E:BO,13,0)</f>
        <v>#N/A</v>
      </c>
      <c r="H1008" s="63" t="e">
        <f t="shared" si="123"/>
        <v>#N/A</v>
      </c>
      <c r="I1008" s="63" t="e">
        <f t="shared" si="119"/>
        <v>#N/A</v>
      </c>
      <c r="J1008" s="106" t="e">
        <f>VLOOKUP(C1008,'RAW DATA 2023'!E:BO,22,0)</f>
        <v>#N/A</v>
      </c>
      <c r="K1008" s="70" t="e">
        <f t="shared" si="120"/>
        <v>#N/A</v>
      </c>
      <c r="L1008" s="72"/>
      <c r="M1008" s="109" t="e">
        <f t="shared" si="125"/>
        <v>#N/A</v>
      </c>
      <c r="N1008" s="123" t="e">
        <f>VLOOKUP(C1008,'RAW DATA 2023'!E:BO,36,0)</f>
        <v>#N/A</v>
      </c>
      <c r="O1008" s="63" t="e">
        <f>VLOOKUP(C1008,'RAW DATA 2023'!E:BO,2,0)</f>
        <v>#N/A</v>
      </c>
      <c r="P1008" s="322" t="e">
        <f t="shared" si="124"/>
        <v>#N/A</v>
      </c>
    </row>
    <row r="1009" spans="1:16">
      <c r="A1009" s="63">
        <f>'RAW DATA 2023'!B1002</f>
        <v>0</v>
      </c>
      <c r="B1009" s="63">
        <f>'RAW DATA 2023'!D1002</f>
        <v>0</v>
      </c>
      <c r="C1009" s="63" t="str">
        <f t="shared" si="121"/>
        <v>00</v>
      </c>
      <c r="D1009" s="68" t="e">
        <f>VLOOKUP(C1009,'RAW DATA 2023'!E:BP,63,0)</f>
        <v>#N/A</v>
      </c>
      <c r="E1009" s="68" t="e">
        <f t="shared" si="122"/>
        <v>#N/A</v>
      </c>
      <c r="F1009" s="63" t="e">
        <f>VLOOKUP(C1009,'RAW DATA 2023'!E:BO,5,0)</f>
        <v>#N/A</v>
      </c>
      <c r="G1009" s="63" t="e">
        <f>VLOOKUP(C1009,'RAW DATA 2023'!E:BO,13,0)</f>
        <v>#N/A</v>
      </c>
      <c r="H1009" s="63" t="e">
        <f t="shared" si="123"/>
        <v>#N/A</v>
      </c>
      <c r="I1009" s="63" t="e">
        <f t="shared" si="119"/>
        <v>#N/A</v>
      </c>
      <c r="J1009" s="106" t="e">
        <f>VLOOKUP(C1009,'RAW DATA 2023'!E:BO,22,0)</f>
        <v>#N/A</v>
      </c>
      <c r="K1009" s="70" t="e">
        <f t="shared" si="120"/>
        <v>#N/A</v>
      </c>
      <c r="L1009" s="72"/>
      <c r="M1009" s="109" t="e">
        <f t="shared" si="125"/>
        <v>#N/A</v>
      </c>
      <c r="N1009" s="123" t="e">
        <f>VLOOKUP(C1009,'RAW DATA 2023'!E:BO,36,0)</f>
        <v>#N/A</v>
      </c>
      <c r="O1009" s="63" t="e">
        <f>VLOOKUP(C1009,'RAW DATA 2023'!E:BO,2,0)</f>
        <v>#N/A</v>
      </c>
      <c r="P1009" s="322" t="e">
        <f t="shared" si="124"/>
        <v>#N/A</v>
      </c>
    </row>
    <row r="1010" spans="1:16">
      <c r="A1010" s="63">
        <f>'RAW DATA 2023'!B1003</f>
        <v>0</v>
      </c>
      <c r="B1010" s="63">
        <f>'RAW DATA 2023'!D1003</f>
        <v>0</v>
      </c>
      <c r="C1010" s="63" t="str">
        <f t="shared" si="121"/>
        <v>00</v>
      </c>
      <c r="D1010" s="68" t="e">
        <f>VLOOKUP(C1010,'RAW DATA 2023'!E:BP,63,0)</f>
        <v>#N/A</v>
      </c>
      <c r="E1010" s="68" t="e">
        <f t="shared" si="122"/>
        <v>#N/A</v>
      </c>
      <c r="F1010" s="63" t="e">
        <f>VLOOKUP(C1010,'RAW DATA 2023'!E:BO,5,0)</f>
        <v>#N/A</v>
      </c>
      <c r="G1010" s="63" t="e">
        <f>VLOOKUP(C1010,'RAW DATA 2023'!E:BO,13,0)</f>
        <v>#N/A</v>
      </c>
      <c r="H1010" s="63" t="e">
        <f t="shared" si="123"/>
        <v>#N/A</v>
      </c>
      <c r="I1010" s="63" t="e">
        <f t="shared" si="119"/>
        <v>#N/A</v>
      </c>
      <c r="J1010" s="106" t="e">
        <f>VLOOKUP(C1010,'RAW DATA 2023'!E:BO,22,0)</f>
        <v>#N/A</v>
      </c>
      <c r="K1010" s="70" t="e">
        <f t="shared" si="120"/>
        <v>#N/A</v>
      </c>
      <c r="L1010" s="72"/>
      <c r="M1010" s="109" t="e">
        <f t="shared" si="125"/>
        <v>#N/A</v>
      </c>
      <c r="N1010" s="123" t="e">
        <f>VLOOKUP(C1010,'RAW DATA 2023'!E:BO,36,0)</f>
        <v>#N/A</v>
      </c>
      <c r="O1010" s="63" t="e">
        <f>VLOOKUP(C1010,'RAW DATA 2023'!E:BO,2,0)</f>
        <v>#N/A</v>
      </c>
      <c r="P1010" s="322" t="e">
        <f t="shared" si="124"/>
        <v>#N/A</v>
      </c>
    </row>
    <row r="1011" spans="1:16">
      <c r="A1011" s="63">
        <f>'RAW DATA 2023'!B1004</f>
        <v>0</v>
      </c>
      <c r="B1011" s="63">
        <f>'RAW DATA 2023'!D1004</f>
        <v>0</v>
      </c>
      <c r="C1011" s="63" t="str">
        <f t="shared" si="121"/>
        <v>00</v>
      </c>
      <c r="D1011" s="68" t="e">
        <f>VLOOKUP(C1011,'RAW DATA 2023'!E:BP,63,0)</f>
        <v>#N/A</v>
      </c>
      <c r="E1011" s="68" t="e">
        <f t="shared" si="122"/>
        <v>#N/A</v>
      </c>
      <c r="F1011" s="63" t="e">
        <f>VLOOKUP(C1011,'RAW DATA 2023'!E:BO,5,0)</f>
        <v>#N/A</v>
      </c>
      <c r="G1011" s="63" t="e">
        <f>VLOOKUP(C1011,'RAW DATA 2023'!E:BO,13,0)</f>
        <v>#N/A</v>
      </c>
      <c r="H1011" s="63" t="e">
        <f t="shared" si="123"/>
        <v>#N/A</v>
      </c>
      <c r="I1011" s="63" t="e">
        <f t="shared" si="119"/>
        <v>#N/A</v>
      </c>
      <c r="J1011" s="106" t="e">
        <f>VLOOKUP(C1011,'RAW DATA 2023'!E:BO,22,0)</f>
        <v>#N/A</v>
      </c>
      <c r="K1011" s="70" t="e">
        <f t="shared" si="120"/>
        <v>#N/A</v>
      </c>
      <c r="L1011" s="72"/>
      <c r="M1011" s="109" t="e">
        <f t="shared" si="125"/>
        <v>#N/A</v>
      </c>
      <c r="N1011" s="123" t="e">
        <f>VLOOKUP(C1011,'RAW DATA 2023'!E:BO,36,0)</f>
        <v>#N/A</v>
      </c>
      <c r="O1011" s="63" t="e">
        <f>VLOOKUP(C1011,'RAW DATA 2023'!E:BO,2,0)</f>
        <v>#N/A</v>
      </c>
      <c r="P1011" s="322" t="e">
        <f t="shared" si="124"/>
        <v>#N/A</v>
      </c>
    </row>
    <row r="1012" spans="1:16">
      <c r="A1012" s="63">
        <f>'RAW DATA 2023'!B1005</f>
        <v>0</v>
      </c>
      <c r="B1012" s="63">
        <f>'RAW DATA 2023'!D1005</f>
        <v>0</v>
      </c>
      <c r="C1012" s="63" t="str">
        <f t="shared" si="121"/>
        <v>00</v>
      </c>
      <c r="D1012" s="68" t="e">
        <f>VLOOKUP(C1012,'RAW DATA 2023'!E:BP,63,0)</f>
        <v>#N/A</v>
      </c>
      <c r="E1012" s="68" t="e">
        <f t="shared" si="122"/>
        <v>#N/A</v>
      </c>
      <c r="F1012" s="63" t="e">
        <f>VLOOKUP(C1012,'RAW DATA 2023'!E:BO,5,0)</f>
        <v>#N/A</v>
      </c>
      <c r="G1012" s="63" t="e">
        <f>VLOOKUP(C1012,'RAW DATA 2023'!E:BO,13,0)</f>
        <v>#N/A</v>
      </c>
      <c r="H1012" s="63" t="e">
        <f t="shared" si="123"/>
        <v>#N/A</v>
      </c>
      <c r="I1012" s="63" t="e">
        <f t="shared" si="119"/>
        <v>#N/A</v>
      </c>
      <c r="J1012" s="106" t="e">
        <f>VLOOKUP(C1012,'RAW DATA 2023'!E:BO,22,0)</f>
        <v>#N/A</v>
      </c>
      <c r="K1012" s="70" t="e">
        <f t="shared" si="120"/>
        <v>#N/A</v>
      </c>
      <c r="L1012" s="72"/>
      <c r="M1012" s="109" t="e">
        <f t="shared" si="125"/>
        <v>#N/A</v>
      </c>
      <c r="N1012" s="123" t="e">
        <f>VLOOKUP(C1012,'RAW DATA 2023'!E:BO,36,0)</f>
        <v>#N/A</v>
      </c>
      <c r="O1012" s="63" t="e">
        <f>VLOOKUP(C1012,'RAW DATA 2023'!E:BO,2,0)</f>
        <v>#N/A</v>
      </c>
      <c r="P1012" s="322" t="e">
        <f t="shared" si="124"/>
        <v>#N/A</v>
      </c>
    </row>
    <row r="1013" spans="1:16">
      <c r="A1013" s="63">
        <f>'RAW DATA 2023'!B1006</f>
        <v>0</v>
      </c>
      <c r="B1013" s="63">
        <f>'RAW DATA 2023'!D1006</f>
        <v>0</v>
      </c>
      <c r="C1013" s="63" t="str">
        <f t="shared" si="121"/>
        <v>00</v>
      </c>
      <c r="D1013" s="68" t="e">
        <f>VLOOKUP(C1013,'RAW DATA 2023'!E:BP,63,0)</f>
        <v>#N/A</v>
      </c>
      <c r="E1013" s="68" t="e">
        <f t="shared" si="122"/>
        <v>#N/A</v>
      </c>
      <c r="F1013" s="63" t="e">
        <f>VLOOKUP(C1013,'RAW DATA 2023'!E:BO,5,0)</f>
        <v>#N/A</v>
      </c>
      <c r="G1013" s="63" t="e">
        <f>VLOOKUP(C1013,'RAW DATA 2023'!E:BO,13,0)</f>
        <v>#N/A</v>
      </c>
      <c r="H1013" s="63" t="e">
        <f t="shared" si="123"/>
        <v>#N/A</v>
      </c>
      <c r="I1013" s="63" t="e">
        <f t="shared" si="119"/>
        <v>#N/A</v>
      </c>
      <c r="J1013" s="106" t="e">
        <f>VLOOKUP(C1013,'RAW DATA 2023'!E:BO,22,0)</f>
        <v>#N/A</v>
      </c>
      <c r="K1013" s="70" t="e">
        <f t="shared" si="120"/>
        <v>#N/A</v>
      </c>
      <c r="L1013" s="72"/>
      <c r="M1013" s="109" t="e">
        <f t="shared" si="125"/>
        <v>#N/A</v>
      </c>
      <c r="N1013" s="123" t="e">
        <f>VLOOKUP(C1013,'RAW DATA 2023'!E:BO,36,0)</f>
        <v>#N/A</v>
      </c>
      <c r="O1013" s="63" t="e">
        <f>VLOOKUP(C1013,'RAW DATA 2023'!E:BO,2,0)</f>
        <v>#N/A</v>
      </c>
      <c r="P1013" s="322" t="e">
        <f t="shared" si="124"/>
        <v>#N/A</v>
      </c>
    </row>
    <row r="1014" spans="1:16">
      <c r="A1014" s="63">
        <f>'RAW DATA 2023'!B1007</f>
        <v>0</v>
      </c>
      <c r="B1014" s="63">
        <f>'RAW DATA 2023'!D1007</f>
        <v>0</v>
      </c>
      <c r="C1014" s="63" t="str">
        <f t="shared" si="121"/>
        <v>00</v>
      </c>
      <c r="D1014" s="68" t="e">
        <f>VLOOKUP(C1014,'RAW DATA 2023'!E:BP,63,0)</f>
        <v>#N/A</v>
      </c>
      <c r="E1014" s="68" t="e">
        <f t="shared" si="122"/>
        <v>#N/A</v>
      </c>
      <c r="F1014" s="63" t="e">
        <f>VLOOKUP(C1014,'RAW DATA 2023'!E:BO,5,0)</f>
        <v>#N/A</v>
      </c>
      <c r="G1014" s="63" t="e">
        <f>VLOOKUP(C1014,'RAW DATA 2023'!E:BO,13,0)</f>
        <v>#N/A</v>
      </c>
      <c r="H1014" s="63" t="e">
        <f t="shared" si="123"/>
        <v>#N/A</v>
      </c>
      <c r="I1014" s="63" t="e">
        <f t="shared" ref="I1014:I1077" si="126">IF(F1014=$W$1,VLOOKUP(H1014,Y:Z,2,0),VLOOKUP(H1014,AF:AG,2,0))</f>
        <v>#N/A</v>
      </c>
      <c r="J1014" s="106" t="e">
        <f>VLOOKUP(C1014,'RAW DATA 2023'!E:BO,22,0)</f>
        <v>#N/A</v>
      </c>
      <c r="K1014" s="70" t="e">
        <f t="shared" si="120"/>
        <v>#N/A</v>
      </c>
      <c r="L1014" s="72"/>
      <c r="M1014" s="109" t="e">
        <f t="shared" si="125"/>
        <v>#N/A</v>
      </c>
      <c r="N1014" s="123" t="e">
        <f>VLOOKUP(C1014,'RAW DATA 2023'!E:BO,36,0)</f>
        <v>#N/A</v>
      </c>
      <c r="O1014" s="63" t="e">
        <f>VLOOKUP(C1014,'RAW DATA 2023'!E:BO,2,0)</f>
        <v>#N/A</v>
      </c>
      <c r="P1014" s="322" t="e">
        <f t="shared" si="124"/>
        <v>#N/A</v>
      </c>
    </row>
    <row r="1015" spans="1:16">
      <c r="A1015" s="63">
        <f>'RAW DATA 2023'!B1008</f>
        <v>0</v>
      </c>
      <c r="B1015" s="63">
        <f>'RAW DATA 2023'!D1008</f>
        <v>0</v>
      </c>
      <c r="C1015" s="63" t="str">
        <f t="shared" si="121"/>
        <v>00</v>
      </c>
      <c r="D1015" s="68" t="e">
        <f>VLOOKUP(C1015,'RAW DATA 2023'!E:BP,63,0)</f>
        <v>#N/A</v>
      </c>
      <c r="E1015" s="68" t="e">
        <f t="shared" si="122"/>
        <v>#N/A</v>
      </c>
      <c r="F1015" s="63" t="e">
        <f>VLOOKUP(C1015,'RAW DATA 2023'!E:BO,5,0)</f>
        <v>#N/A</v>
      </c>
      <c r="G1015" s="63" t="e">
        <f>VLOOKUP(C1015,'RAW DATA 2023'!E:BO,13,0)</f>
        <v>#N/A</v>
      </c>
      <c r="H1015" s="63" t="e">
        <f t="shared" si="123"/>
        <v>#N/A</v>
      </c>
      <c r="I1015" s="63" t="e">
        <f t="shared" si="126"/>
        <v>#N/A</v>
      </c>
      <c r="J1015" s="106" t="e">
        <f>VLOOKUP(C1015,'RAW DATA 2023'!E:BO,22,0)</f>
        <v>#N/A</v>
      </c>
      <c r="K1015" s="70" t="e">
        <f t="shared" ref="K1015:K1078" si="127">J1015/I1015</f>
        <v>#N/A</v>
      </c>
      <c r="L1015" s="72"/>
      <c r="M1015" s="109" t="e">
        <f t="shared" si="125"/>
        <v>#N/A</v>
      </c>
      <c r="N1015" s="123" t="e">
        <f>VLOOKUP(C1015,'RAW DATA 2023'!E:BO,36,0)</f>
        <v>#N/A</v>
      </c>
      <c r="O1015" s="63" t="e">
        <f>VLOOKUP(C1015,'RAW DATA 2023'!E:BO,2,0)</f>
        <v>#N/A</v>
      </c>
      <c r="P1015" s="322" t="e">
        <f t="shared" si="124"/>
        <v>#N/A</v>
      </c>
    </row>
    <row r="1016" spans="1:16">
      <c r="A1016" s="63">
        <f>'RAW DATA 2023'!B1009</f>
        <v>0</v>
      </c>
      <c r="B1016" s="63">
        <f>'RAW DATA 2023'!D1009</f>
        <v>0</v>
      </c>
      <c r="C1016" s="63" t="str">
        <f t="shared" si="121"/>
        <v>00</v>
      </c>
      <c r="D1016" s="68" t="e">
        <f>VLOOKUP(C1016,'RAW DATA 2023'!E:BP,63,0)</f>
        <v>#N/A</v>
      </c>
      <c r="E1016" s="68" t="e">
        <f t="shared" si="122"/>
        <v>#N/A</v>
      </c>
      <c r="F1016" s="63" t="e">
        <f>VLOOKUP(C1016,'RAW DATA 2023'!E:BO,5,0)</f>
        <v>#N/A</v>
      </c>
      <c r="G1016" s="63" t="e">
        <f>VLOOKUP(C1016,'RAW DATA 2023'!E:BO,13,0)</f>
        <v>#N/A</v>
      </c>
      <c r="H1016" s="63" t="e">
        <f t="shared" si="123"/>
        <v>#N/A</v>
      </c>
      <c r="I1016" s="63" t="e">
        <f t="shared" si="126"/>
        <v>#N/A</v>
      </c>
      <c r="J1016" s="106" t="e">
        <f>VLOOKUP(C1016,'RAW DATA 2023'!E:BO,22,0)</f>
        <v>#N/A</v>
      </c>
      <c r="K1016" s="70" t="e">
        <f t="shared" si="127"/>
        <v>#N/A</v>
      </c>
      <c r="L1016" s="72"/>
      <c r="M1016" s="109" t="e">
        <f t="shared" si="125"/>
        <v>#N/A</v>
      </c>
      <c r="N1016" s="123" t="e">
        <f>VLOOKUP(C1016,'RAW DATA 2023'!E:BO,36,0)</f>
        <v>#N/A</v>
      </c>
      <c r="O1016" s="63" t="e">
        <f>VLOOKUP(C1016,'RAW DATA 2023'!E:BO,2,0)</f>
        <v>#N/A</v>
      </c>
      <c r="P1016" s="322" t="e">
        <f t="shared" si="124"/>
        <v>#N/A</v>
      </c>
    </row>
    <row r="1017" spans="1:16">
      <c r="A1017" s="63">
        <f>'RAW DATA 2023'!B1010</f>
        <v>0</v>
      </c>
      <c r="B1017" s="63">
        <f>'RAW DATA 2023'!D1010</f>
        <v>0</v>
      </c>
      <c r="C1017" s="63" t="str">
        <f t="shared" si="121"/>
        <v>00</v>
      </c>
      <c r="D1017" s="68" t="e">
        <f>VLOOKUP(C1017,'RAW DATA 2023'!E:BP,63,0)</f>
        <v>#N/A</v>
      </c>
      <c r="E1017" s="68" t="e">
        <f t="shared" si="122"/>
        <v>#N/A</v>
      </c>
      <c r="F1017" s="63" t="e">
        <f>VLOOKUP(C1017,'RAW DATA 2023'!E:BO,5,0)</f>
        <v>#N/A</v>
      </c>
      <c r="G1017" s="63" t="e">
        <f>VLOOKUP(C1017,'RAW DATA 2023'!E:BO,13,0)</f>
        <v>#N/A</v>
      </c>
      <c r="H1017" s="63" t="e">
        <f t="shared" si="123"/>
        <v>#N/A</v>
      </c>
      <c r="I1017" s="63" t="e">
        <f t="shared" si="126"/>
        <v>#N/A</v>
      </c>
      <c r="J1017" s="106" t="e">
        <f>VLOOKUP(C1017,'RAW DATA 2023'!E:BO,22,0)</f>
        <v>#N/A</v>
      </c>
      <c r="K1017" s="70" t="e">
        <f t="shared" si="127"/>
        <v>#N/A</v>
      </c>
      <c r="L1017" s="72"/>
      <c r="M1017" s="109" t="e">
        <f t="shared" si="125"/>
        <v>#N/A</v>
      </c>
      <c r="N1017" s="123" t="e">
        <f>VLOOKUP(C1017,'RAW DATA 2023'!E:BO,36,0)</f>
        <v>#N/A</v>
      </c>
      <c r="O1017" s="63" t="e">
        <f>VLOOKUP(C1017,'RAW DATA 2023'!E:BO,2,0)</f>
        <v>#N/A</v>
      </c>
      <c r="P1017" s="322" t="e">
        <f t="shared" si="124"/>
        <v>#N/A</v>
      </c>
    </row>
    <row r="1018" spans="1:16">
      <c r="A1018" s="63">
        <f>'RAW DATA 2023'!B1011</f>
        <v>0</v>
      </c>
      <c r="B1018" s="63">
        <f>'RAW DATA 2023'!D1011</f>
        <v>0</v>
      </c>
      <c r="C1018" s="63" t="str">
        <f t="shared" si="121"/>
        <v>00</v>
      </c>
      <c r="D1018" s="68" t="e">
        <f>VLOOKUP(C1018,'RAW DATA 2023'!E:BP,63,0)</f>
        <v>#N/A</v>
      </c>
      <c r="E1018" s="68" t="e">
        <f t="shared" si="122"/>
        <v>#N/A</v>
      </c>
      <c r="F1018" s="63" t="e">
        <f>VLOOKUP(C1018,'RAW DATA 2023'!E:BO,5,0)</f>
        <v>#N/A</v>
      </c>
      <c r="G1018" s="63" t="e">
        <f>VLOOKUP(C1018,'RAW DATA 2023'!E:BO,13,0)</f>
        <v>#N/A</v>
      </c>
      <c r="H1018" s="63" t="e">
        <f t="shared" si="123"/>
        <v>#N/A</v>
      </c>
      <c r="I1018" s="63" t="e">
        <f t="shared" si="126"/>
        <v>#N/A</v>
      </c>
      <c r="J1018" s="106" t="e">
        <f>VLOOKUP(C1018,'RAW DATA 2023'!E:BO,22,0)</f>
        <v>#N/A</v>
      </c>
      <c r="K1018" s="70" t="e">
        <f t="shared" si="127"/>
        <v>#N/A</v>
      </c>
      <c r="L1018" s="72"/>
      <c r="M1018" s="109" t="e">
        <f t="shared" si="125"/>
        <v>#N/A</v>
      </c>
      <c r="N1018" s="123" t="e">
        <f>VLOOKUP(C1018,'RAW DATA 2023'!E:BO,36,0)</f>
        <v>#N/A</v>
      </c>
      <c r="O1018" s="63" t="e">
        <f>VLOOKUP(C1018,'RAW DATA 2023'!E:BO,2,0)</f>
        <v>#N/A</v>
      </c>
      <c r="P1018" s="322" t="e">
        <f t="shared" si="124"/>
        <v>#N/A</v>
      </c>
    </row>
    <row r="1019" spans="1:16">
      <c r="A1019" s="63">
        <f>'RAW DATA 2023'!B1012</f>
        <v>0</v>
      </c>
      <c r="B1019" s="63">
        <f>'RAW DATA 2023'!D1012</f>
        <v>0</v>
      </c>
      <c r="C1019" s="63" t="str">
        <f t="shared" si="121"/>
        <v>00</v>
      </c>
      <c r="D1019" s="68" t="e">
        <f>VLOOKUP(C1019,'RAW DATA 2023'!E:BP,63,0)</f>
        <v>#N/A</v>
      </c>
      <c r="E1019" s="68" t="e">
        <f t="shared" si="122"/>
        <v>#N/A</v>
      </c>
      <c r="F1019" s="63" t="e">
        <f>VLOOKUP(C1019,'RAW DATA 2023'!E:BO,5,0)</f>
        <v>#N/A</v>
      </c>
      <c r="G1019" s="63" t="e">
        <f>VLOOKUP(C1019,'RAW DATA 2023'!E:BO,13,0)</f>
        <v>#N/A</v>
      </c>
      <c r="H1019" s="63" t="e">
        <f t="shared" si="123"/>
        <v>#N/A</v>
      </c>
      <c r="I1019" s="63" t="e">
        <f t="shared" si="126"/>
        <v>#N/A</v>
      </c>
      <c r="J1019" s="106" t="e">
        <f>VLOOKUP(C1019,'RAW DATA 2023'!E:BO,22,0)</f>
        <v>#N/A</v>
      </c>
      <c r="K1019" s="70" t="e">
        <f t="shared" si="127"/>
        <v>#N/A</v>
      </c>
      <c r="L1019" s="72"/>
      <c r="M1019" s="109" t="e">
        <f t="shared" si="125"/>
        <v>#N/A</v>
      </c>
      <c r="N1019" s="123" t="e">
        <f>VLOOKUP(C1019,'RAW DATA 2023'!E:BO,36,0)</f>
        <v>#N/A</v>
      </c>
      <c r="O1019" s="63" t="e">
        <f>VLOOKUP(C1019,'RAW DATA 2023'!E:BO,2,0)</f>
        <v>#N/A</v>
      </c>
      <c r="P1019" s="322" t="e">
        <f t="shared" si="124"/>
        <v>#N/A</v>
      </c>
    </row>
    <row r="1020" spans="1:16">
      <c r="A1020" s="63">
        <f>'RAW DATA 2023'!B1013</f>
        <v>0</v>
      </c>
      <c r="B1020" s="63">
        <f>'RAW DATA 2023'!D1013</f>
        <v>0</v>
      </c>
      <c r="C1020" s="63" t="str">
        <f t="shared" si="121"/>
        <v>00</v>
      </c>
      <c r="D1020" s="68" t="e">
        <f>VLOOKUP(C1020,'RAW DATA 2023'!E:BP,63,0)</f>
        <v>#N/A</v>
      </c>
      <c r="E1020" s="68" t="e">
        <f t="shared" si="122"/>
        <v>#N/A</v>
      </c>
      <c r="F1020" s="63" t="e">
        <f>VLOOKUP(C1020,'RAW DATA 2023'!E:BO,5,0)</f>
        <v>#N/A</v>
      </c>
      <c r="G1020" s="63" t="e">
        <f>VLOOKUP(C1020,'RAW DATA 2023'!E:BO,13,0)</f>
        <v>#N/A</v>
      </c>
      <c r="H1020" s="63" t="e">
        <f t="shared" si="123"/>
        <v>#N/A</v>
      </c>
      <c r="I1020" s="63" t="e">
        <f t="shared" si="126"/>
        <v>#N/A</v>
      </c>
      <c r="J1020" s="106" t="e">
        <f>VLOOKUP(C1020,'RAW DATA 2023'!E:BO,22,0)</f>
        <v>#N/A</v>
      </c>
      <c r="K1020" s="70" t="e">
        <f t="shared" si="127"/>
        <v>#N/A</v>
      </c>
      <c r="L1020" s="72"/>
      <c r="M1020" s="109" t="e">
        <f t="shared" si="125"/>
        <v>#N/A</v>
      </c>
      <c r="N1020" s="123" t="e">
        <f>VLOOKUP(C1020,'RAW DATA 2023'!E:BO,36,0)</f>
        <v>#N/A</v>
      </c>
      <c r="O1020" s="63" t="e">
        <f>VLOOKUP(C1020,'RAW DATA 2023'!E:BO,2,0)</f>
        <v>#N/A</v>
      </c>
      <c r="P1020" s="322" t="e">
        <f t="shared" si="124"/>
        <v>#N/A</v>
      </c>
    </row>
    <row r="1021" spans="1:16">
      <c r="A1021" s="63">
        <f>'RAW DATA 2023'!B1014</f>
        <v>0</v>
      </c>
      <c r="B1021" s="63">
        <f>'RAW DATA 2023'!D1014</f>
        <v>0</v>
      </c>
      <c r="C1021" s="63" t="str">
        <f t="shared" si="121"/>
        <v>00</v>
      </c>
      <c r="D1021" s="68" t="e">
        <f>VLOOKUP(C1021,'RAW DATA 2023'!E:BP,63,0)</f>
        <v>#N/A</v>
      </c>
      <c r="E1021" s="68" t="e">
        <f t="shared" si="122"/>
        <v>#N/A</v>
      </c>
      <c r="F1021" s="63" t="e">
        <f>VLOOKUP(C1021,'RAW DATA 2023'!E:BO,5,0)</f>
        <v>#N/A</v>
      </c>
      <c r="G1021" s="63" t="e">
        <f>VLOOKUP(C1021,'RAW DATA 2023'!E:BO,13,0)</f>
        <v>#N/A</v>
      </c>
      <c r="H1021" s="63" t="e">
        <f t="shared" si="123"/>
        <v>#N/A</v>
      </c>
      <c r="I1021" s="63" t="e">
        <f t="shared" si="126"/>
        <v>#N/A</v>
      </c>
      <c r="J1021" s="106" t="e">
        <f>VLOOKUP(C1021,'RAW DATA 2023'!E:BO,22,0)</f>
        <v>#N/A</v>
      </c>
      <c r="K1021" s="70" t="e">
        <f t="shared" si="127"/>
        <v>#N/A</v>
      </c>
      <c r="L1021" s="72"/>
      <c r="M1021" s="109" t="e">
        <f t="shared" si="125"/>
        <v>#N/A</v>
      </c>
      <c r="N1021" s="123" t="e">
        <f>VLOOKUP(C1021,'RAW DATA 2023'!E:BO,36,0)</f>
        <v>#N/A</v>
      </c>
      <c r="O1021" s="63" t="e">
        <f>VLOOKUP(C1021,'RAW DATA 2023'!E:BO,2,0)</f>
        <v>#N/A</v>
      </c>
      <c r="P1021" s="322" t="e">
        <f t="shared" si="124"/>
        <v>#N/A</v>
      </c>
    </row>
    <row r="1022" spans="1:16">
      <c r="A1022" s="63">
        <f>'RAW DATA 2023'!B1015</f>
        <v>0</v>
      </c>
      <c r="B1022" s="63">
        <f>'RAW DATA 2023'!D1015</f>
        <v>0</v>
      </c>
      <c r="C1022" s="63" t="str">
        <f t="shared" si="121"/>
        <v>00</v>
      </c>
      <c r="D1022" s="68" t="e">
        <f>VLOOKUP(C1022,'RAW DATA 2023'!E:BP,63,0)</f>
        <v>#N/A</v>
      </c>
      <c r="E1022" s="68" t="e">
        <f t="shared" si="122"/>
        <v>#N/A</v>
      </c>
      <c r="F1022" s="63" t="e">
        <f>VLOOKUP(C1022,'RAW DATA 2023'!E:BO,5,0)</f>
        <v>#N/A</v>
      </c>
      <c r="G1022" s="63" t="e">
        <f>VLOOKUP(C1022,'RAW DATA 2023'!E:BO,13,0)</f>
        <v>#N/A</v>
      </c>
      <c r="H1022" s="63" t="e">
        <f t="shared" si="123"/>
        <v>#N/A</v>
      </c>
      <c r="I1022" s="63" t="e">
        <f t="shared" si="126"/>
        <v>#N/A</v>
      </c>
      <c r="J1022" s="106" t="e">
        <f>VLOOKUP(C1022,'RAW DATA 2023'!E:BO,22,0)</f>
        <v>#N/A</v>
      </c>
      <c r="K1022" s="70" t="e">
        <f t="shared" si="127"/>
        <v>#N/A</v>
      </c>
      <c r="L1022" s="72"/>
      <c r="M1022" s="109" t="e">
        <f t="shared" si="125"/>
        <v>#N/A</v>
      </c>
      <c r="N1022" s="123" t="e">
        <f>VLOOKUP(C1022,'RAW DATA 2023'!E:BO,36,0)</f>
        <v>#N/A</v>
      </c>
      <c r="O1022" s="63" t="e">
        <f>VLOOKUP(C1022,'RAW DATA 2023'!E:BO,2,0)</f>
        <v>#N/A</v>
      </c>
      <c r="P1022" s="322" t="e">
        <f t="shared" si="124"/>
        <v>#N/A</v>
      </c>
    </row>
    <row r="1023" spans="1:16">
      <c r="A1023" s="63">
        <f>'RAW DATA 2023'!B1016</f>
        <v>0</v>
      </c>
      <c r="B1023" s="63">
        <f>'RAW DATA 2023'!D1016</f>
        <v>0</v>
      </c>
      <c r="C1023" s="63" t="str">
        <f t="shared" si="121"/>
        <v>00</v>
      </c>
      <c r="D1023" s="68" t="e">
        <f>VLOOKUP(C1023,'RAW DATA 2023'!E:BP,63,0)</f>
        <v>#N/A</v>
      </c>
      <c r="E1023" s="68" t="e">
        <f t="shared" si="122"/>
        <v>#N/A</v>
      </c>
      <c r="F1023" s="63" t="e">
        <f>VLOOKUP(C1023,'RAW DATA 2023'!E:BO,5,0)</f>
        <v>#N/A</v>
      </c>
      <c r="G1023" s="63" t="e">
        <f>VLOOKUP(C1023,'RAW DATA 2023'!E:BO,13,0)</f>
        <v>#N/A</v>
      </c>
      <c r="H1023" s="63" t="e">
        <f t="shared" si="123"/>
        <v>#N/A</v>
      </c>
      <c r="I1023" s="63" t="e">
        <f t="shared" si="126"/>
        <v>#N/A</v>
      </c>
      <c r="J1023" s="106" t="e">
        <f>VLOOKUP(C1023,'RAW DATA 2023'!E:BO,22,0)</f>
        <v>#N/A</v>
      </c>
      <c r="K1023" s="70" t="e">
        <f t="shared" si="127"/>
        <v>#N/A</v>
      </c>
      <c r="L1023" s="72"/>
      <c r="M1023" s="109" t="e">
        <f t="shared" si="125"/>
        <v>#N/A</v>
      </c>
      <c r="N1023" s="123" t="e">
        <f>VLOOKUP(C1023,'RAW DATA 2023'!E:BO,36,0)</f>
        <v>#N/A</v>
      </c>
      <c r="O1023" s="63" t="e">
        <f>VLOOKUP(C1023,'RAW DATA 2023'!E:BO,2,0)</f>
        <v>#N/A</v>
      </c>
      <c r="P1023" s="322" t="e">
        <f t="shared" si="124"/>
        <v>#N/A</v>
      </c>
    </row>
    <row r="1024" spans="1:16">
      <c r="A1024" s="63">
        <f>'RAW DATA 2023'!B1017</f>
        <v>0</v>
      </c>
      <c r="B1024" s="63">
        <f>'RAW DATA 2023'!D1017</f>
        <v>0</v>
      </c>
      <c r="C1024" s="63" t="str">
        <f t="shared" si="121"/>
        <v>00</v>
      </c>
      <c r="D1024" s="68" t="e">
        <f>VLOOKUP(C1024,'RAW DATA 2023'!E:BP,63,0)</f>
        <v>#N/A</v>
      </c>
      <c r="E1024" s="68" t="e">
        <f t="shared" si="122"/>
        <v>#N/A</v>
      </c>
      <c r="F1024" s="63" t="e">
        <f>VLOOKUP(C1024,'RAW DATA 2023'!E:BO,5,0)</f>
        <v>#N/A</v>
      </c>
      <c r="G1024" s="63" t="e">
        <f>VLOOKUP(C1024,'RAW DATA 2023'!E:BO,13,0)</f>
        <v>#N/A</v>
      </c>
      <c r="H1024" s="63" t="e">
        <f t="shared" si="123"/>
        <v>#N/A</v>
      </c>
      <c r="I1024" s="63" t="e">
        <f t="shared" si="126"/>
        <v>#N/A</v>
      </c>
      <c r="J1024" s="106" t="e">
        <f>VLOOKUP(C1024,'RAW DATA 2023'!E:BO,22,0)</f>
        <v>#N/A</v>
      </c>
      <c r="K1024" s="70" t="e">
        <f t="shared" si="127"/>
        <v>#N/A</v>
      </c>
      <c r="L1024" s="72"/>
      <c r="M1024" s="109" t="e">
        <f t="shared" si="125"/>
        <v>#N/A</v>
      </c>
      <c r="N1024" s="123" t="e">
        <f>VLOOKUP(C1024,'RAW DATA 2023'!E:BO,36,0)</f>
        <v>#N/A</v>
      </c>
      <c r="O1024" s="63" t="e">
        <f>VLOOKUP(C1024,'RAW DATA 2023'!E:BO,2,0)</f>
        <v>#N/A</v>
      </c>
      <c r="P1024" s="322" t="e">
        <f t="shared" si="124"/>
        <v>#N/A</v>
      </c>
    </row>
    <row r="1025" spans="1:16">
      <c r="A1025" s="63">
        <f>'RAW DATA 2023'!B1018</f>
        <v>0</v>
      </c>
      <c r="B1025" s="63">
        <f>'RAW DATA 2023'!D1018</f>
        <v>0</v>
      </c>
      <c r="C1025" s="63" t="str">
        <f t="shared" si="121"/>
        <v>00</v>
      </c>
      <c r="D1025" s="68" t="e">
        <f>VLOOKUP(C1025,'RAW DATA 2023'!E:BP,63,0)</f>
        <v>#N/A</v>
      </c>
      <c r="E1025" s="68" t="e">
        <f t="shared" si="122"/>
        <v>#N/A</v>
      </c>
      <c r="F1025" s="63" t="e">
        <f>VLOOKUP(C1025,'RAW DATA 2023'!E:BO,5,0)</f>
        <v>#N/A</v>
      </c>
      <c r="G1025" s="63" t="e">
        <f>VLOOKUP(C1025,'RAW DATA 2023'!E:BO,13,0)</f>
        <v>#N/A</v>
      </c>
      <c r="H1025" s="63" t="e">
        <f t="shared" si="123"/>
        <v>#N/A</v>
      </c>
      <c r="I1025" s="63" t="e">
        <f t="shared" si="126"/>
        <v>#N/A</v>
      </c>
      <c r="J1025" s="106" t="e">
        <f>VLOOKUP(C1025,'RAW DATA 2023'!E:BO,22,0)</f>
        <v>#N/A</v>
      </c>
      <c r="K1025" s="70" t="e">
        <f t="shared" si="127"/>
        <v>#N/A</v>
      </c>
      <c r="L1025" s="72"/>
      <c r="M1025" s="109" t="e">
        <f t="shared" si="125"/>
        <v>#N/A</v>
      </c>
      <c r="N1025" s="123" t="e">
        <f>VLOOKUP(C1025,'RAW DATA 2023'!E:BO,36,0)</f>
        <v>#N/A</v>
      </c>
      <c r="O1025" s="63" t="e">
        <f>VLOOKUP(C1025,'RAW DATA 2023'!E:BO,2,0)</f>
        <v>#N/A</v>
      </c>
      <c r="P1025" s="322" t="e">
        <f t="shared" si="124"/>
        <v>#N/A</v>
      </c>
    </row>
    <row r="1026" spans="1:16">
      <c r="A1026" s="63">
        <f>'RAW DATA 2023'!B1019</f>
        <v>0</v>
      </c>
      <c r="B1026" s="63">
        <f>'RAW DATA 2023'!D1019</f>
        <v>0</v>
      </c>
      <c r="C1026" s="63" t="str">
        <f t="shared" si="121"/>
        <v>00</v>
      </c>
      <c r="D1026" s="68" t="e">
        <f>VLOOKUP(C1026,'RAW DATA 2023'!E:BP,63,0)</f>
        <v>#N/A</v>
      </c>
      <c r="E1026" s="68" t="e">
        <f t="shared" si="122"/>
        <v>#N/A</v>
      </c>
      <c r="F1026" s="63" t="e">
        <f>VLOOKUP(C1026,'RAW DATA 2023'!E:BO,5,0)</f>
        <v>#N/A</v>
      </c>
      <c r="G1026" s="63" t="e">
        <f>VLOOKUP(C1026,'RAW DATA 2023'!E:BO,13,0)</f>
        <v>#N/A</v>
      </c>
      <c r="H1026" s="63" t="e">
        <f t="shared" si="123"/>
        <v>#N/A</v>
      </c>
      <c r="I1026" s="63" t="e">
        <f t="shared" si="126"/>
        <v>#N/A</v>
      </c>
      <c r="J1026" s="106" t="e">
        <f>VLOOKUP(C1026,'RAW DATA 2023'!E:BO,22,0)</f>
        <v>#N/A</v>
      </c>
      <c r="K1026" s="70" t="e">
        <f t="shared" si="127"/>
        <v>#N/A</v>
      </c>
      <c r="L1026" s="72"/>
      <c r="M1026" s="109" t="e">
        <f t="shared" si="125"/>
        <v>#N/A</v>
      </c>
      <c r="N1026" s="123" t="e">
        <f>VLOOKUP(C1026,'RAW DATA 2023'!E:BO,36,0)</f>
        <v>#N/A</v>
      </c>
      <c r="O1026" s="63" t="e">
        <f>VLOOKUP(C1026,'RAW DATA 2023'!E:BO,2,0)</f>
        <v>#N/A</v>
      </c>
      <c r="P1026" s="322" t="e">
        <f t="shared" si="124"/>
        <v>#N/A</v>
      </c>
    </row>
    <row r="1027" spans="1:16">
      <c r="A1027" s="63">
        <f>'RAW DATA 2023'!B1020</f>
        <v>0</v>
      </c>
      <c r="B1027" s="63">
        <f>'RAW DATA 2023'!D1020</f>
        <v>0</v>
      </c>
      <c r="C1027" s="63" t="str">
        <f t="shared" si="121"/>
        <v>00</v>
      </c>
      <c r="D1027" s="68" t="e">
        <f>VLOOKUP(C1027,'RAW DATA 2023'!E:BP,63,0)</f>
        <v>#N/A</v>
      </c>
      <c r="E1027" s="68" t="e">
        <f t="shared" si="122"/>
        <v>#N/A</v>
      </c>
      <c r="F1027" s="63" t="e">
        <f>VLOOKUP(C1027,'RAW DATA 2023'!E:BO,5,0)</f>
        <v>#N/A</v>
      </c>
      <c r="G1027" s="63" t="e">
        <f>VLOOKUP(C1027,'RAW DATA 2023'!E:BO,13,0)</f>
        <v>#N/A</v>
      </c>
      <c r="H1027" s="63" t="e">
        <f t="shared" si="123"/>
        <v>#N/A</v>
      </c>
      <c r="I1027" s="63" t="e">
        <f t="shared" si="126"/>
        <v>#N/A</v>
      </c>
      <c r="J1027" s="106" t="e">
        <f>VLOOKUP(C1027,'RAW DATA 2023'!E:BO,22,0)</f>
        <v>#N/A</v>
      </c>
      <c r="K1027" s="70" t="e">
        <f t="shared" si="127"/>
        <v>#N/A</v>
      </c>
      <c r="L1027" s="72"/>
      <c r="M1027" s="109" t="e">
        <f t="shared" si="125"/>
        <v>#N/A</v>
      </c>
      <c r="N1027" s="123" t="e">
        <f>VLOOKUP(C1027,'RAW DATA 2023'!E:BO,36,0)</f>
        <v>#N/A</v>
      </c>
      <c r="O1027" s="63" t="e">
        <f>VLOOKUP(C1027,'RAW DATA 2023'!E:BO,2,0)</f>
        <v>#N/A</v>
      </c>
      <c r="P1027" s="322" t="e">
        <f t="shared" si="124"/>
        <v>#N/A</v>
      </c>
    </row>
    <row r="1028" spans="1:16">
      <c r="A1028" s="63">
        <f>'RAW DATA 2023'!B1021</f>
        <v>0</v>
      </c>
      <c r="B1028" s="63">
        <f>'RAW DATA 2023'!D1021</f>
        <v>0</v>
      </c>
      <c r="C1028" s="63" t="str">
        <f t="shared" si="121"/>
        <v>00</v>
      </c>
      <c r="D1028" s="68" t="e">
        <f>VLOOKUP(C1028,'RAW DATA 2023'!E:BP,63,0)</f>
        <v>#N/A</v>
      </c>
      <c r="E1028" s="68" t="e">
        <f t="shared" si="122"/>
        <v>#N/A</v>
      </c>
      <c r="F1028" s="63" t="e">
        <f>VLOOKUP(C1028,'RAW DATA 2023'!E:BO,5,0)</f>
        <v>#N/A</v>
      </c>
      <c r="G1028" s="63" t="e">
        <f>VLOOKUP(C1028,'RAW DATA 2023'!E:BO,13,0)</f>
        <v>#N/A</v>
      </c>
      <c r="H1028" s="63" t="e">
        <f t="shared" si="123"/>
        <v>#N/A</v>
      </c>
      <c r="I1028" s="63" t="e">
        <f t="shared" si="126"/>
        <v>#N/A</v>
      </c>
      <c r="J1028" s="106" t="e">
        <f>VLOOKUP(C1028,'RAW DATA 2023'!E:BO,22,0)</f>
        <v>#N/A</v>
      </c>
      <c r="K1028" s="70" t="e">
        <f t="shared" si="127"/>
        <v>#N/A</v>
      </c>
      <c r="L1028" s="72"/>
      <c r="M1028" s="109" t="e">
        <f t="shared" si="125"/>
        <v>#N/A</v>
      </c>
      <c r="N1028" s="123" t="e">
        <f>VLOOKUP(C1028,'RAW DATA 2023'!E:BO,36,0)</f>
        <v>#N/A</v>
      </c>
      <c r="O1028" s="63" t="e">
        <f>VLOOKUP(C1028,'RAW DATA 2023'!E:BO,2,0)</f>
        <v>#N/A</v>
      </c>
      <c r="P1028" s="322" t="e">
        <f t="shared" si="124"/>
        <v>#N/A</v>
      </c>
    </row>
    <row r="1029" spans="1:16">
      <c r="A1029" s="63">
        <f>'RAW DATA 2023'!B1022</f>
        <v>0</v>
      </c>
      <c r="B1029" s="63">
        <f>'RAW DATA 2023'!D1022</f>
        <v>0</v>
      </c>
      <c r="C1029" s="63" t="str">
        <f t="shared" si="121"/>
        <v>00</v>
      </c>
      <c r="D1029" s="68" t="e">
        <f>VLOOKUP(C1029,'RAW DATA 2023'!E:BP,63,0)</f>
        <v>#N/A</v>
      </c>
      <c r="E1029" s="68" t="e">
        <f t="shared" si="122"/>
        <v>#N/A</v>
      </c>
      <c r="F1029" s="63" t="e">
        <f>VLOOKUP(C1029,'RAW DATA 2023'!E:BO,5,0)</f>
        <v>#N/A</v>
      </c>
      <c r="G1029" s="63" t="e">
        <f>VLOOKUP(C1029,'RAW DATA 2023'!E:BO,13,0)</f>
        <v>#N/A</v>
      </c>
      <c r="H1029" s="63" t="e">
        <f t="shared" si="123"/>
        <v>#N/A</v>
      </c>
      <c r="I1029" s="63" t="e">
        <f t="shared" si="126"/>
        <v>#N/A</v>
      </c>
      <c r="J1029" s="106" t="e">
        <f>VLOOKUP(C1029,'RAW DATA 2023'!E:BO,22,0)</f>
        <v>#N/A</v>
      </c>
      <c r="K1029" s="70" t="e">
        <f t="shared" si="127"/>
        <v>#N/A</v>
      </c>
      <c r="L1029" s="72"/>
      <c r="M1029" s="109" t="e">
        <f t="shared" si="125"/>
        <v>#N/A</v>
      </c>
      <c r="N1029" s="123" t="e">
        <f>VLOOKUP(C1029,'RAW DATA 2023'!E:BO,36,0)</f>
        <v>#N/A</v>
      </c>
      <c r="O1029" s="63" t="e">
        <f>VLOOKUP(C1029,'RAW DATA 2023'!E:BO,2,0)</f>
        <v>#N/A</v>
      </c>
      <c r="P1029" s="322" t="e">
        <f t="shared" si="124"/>
        <v>#N/A</v>
      </c>
    </row>
    <row r="1030" spans="1:16">
      <c r="A1030" s="63">
        <f>'RAW DATA 2023'!B1023</f>
        <v>0</v>
      </c>
      <c r="B1030" s="63">
        <f>'RAW DATA 2023'!D1023</f>
        <v>0</v>
      </c>
      <c r="C1030" s="63" t="str">
        <f t="shared" si="121"/>
        <v>00</v>
      </c>
      <c r="D1030" s="68" t="e">
        <f>VLOOKUP(C1030,'RAW DATA 2023'!E:BP,63,0)</f>
        <v>#N/A</v>
      </c>
      <c r="E1030" s="68" t="e">
        <f t="shared" si="122"/>
        <v>#N/A</v>
      </c>
      <c r="F1030" s="63" t="e">
        <f>VLOOKUP(C1030,'RAW DATA 2023'!E:BO,5,0)</f>
        <v>#N/A</v>
      </c>
      <c r="G1030" s="63" t="e">
        <f>VLOOKUP(C1030,'RAW DATA 2023'!E:BO,13,0)</f>
        <v>#N/A</v>
      </c>
      <c r="H1030" s="63" t="e">
        <f t="shared" si="123"/>
        <v>#N/A</v>
      </c>
      <c r="I1030" s="63" t="e">
        <f t="shared" si="126"/>
        <v>#N/A</v>
      </c>
      <c r="J1030" s="106" t="e">
        <f>VLOOKUP(C1030,'RAW DATA 2023'!E:BO,22,0)</f>
        <v>#N/A</v>
      </c>
      <c r="K1030" s="70" t="e">
        <f t="shared" si="127"/>
        <v>#N/A</v>
      </c>
      <c r="L1030" s="72"/>
      <c r="M1030" s="109" t="e">
        <f t="shared" si="125"/>
        <v>#N/A</v>
      </c>
      <c r="N1030" s="123" t="e">
        <f>VLOOKUP(C1030,'RAW DATA 2023'!E:BO,36,0)</f>
        <v>#N/A</v>
      </c>
      <c r="O1030" s="63" t="e">
        <f>VLOOKUP(C1030,'RAW DATA 2023'!E:BO,2,0)</f>
        <v>#N/A</v>
      </c>
      <c r="P1030" s="322" t="e">
        <f t="shared" si="124"/>
        <v>#N/A</v>
      </c>
    </row>
    <row r="1031" spans="1:16">
      <c r="A1031" s="63">
        <f>'RAW DATA 2023'!B1024</f>
        <v>0</v>
      </c>
      <c r="B1031" s="63">
        <f>'RAW DATA 2023'!D1024</f>
        <v>0</v>
      </c>
      <c r="C1031" s="63" t="str">
        <f t="shared" si="121"/>
        <v>00</v>
      </c>
      <c r="D1031" s="68" t="e">
        <f>VLOOKUP(C1031,'RAW DATA 2023'!E:BP,63,0)</f>
        <v>#N/A</v>
      </c>
      <c r="E1031" s="68" t="e">
        <f t="shared" si="122"/>
        <v>#N/A</v>
      </c>
      <c r="F1031" s="63" t="e">
        <f>VLOOKUP(C1031,'RAW DATA 2023'!E:BO,5,0)</f>
        <v>#N/A</v>
      </c>
      <c r="G1031" s="63" t="e">
        <f>VLOOKUP(C1031,'RAW DATA 2023'!E:BO,13,0)</f>
        <v>#N/A</v>
      </c>
      <c r="H1031" s="63" t="e">
        <f t="shared" si="123"/>
        <v>#N/A</v>
      </c>
      <c r="I1031" s="63" t="e">
        <f t="shared" si="126"/>
        <v>#N/A</v>
      </c>
      <c r="J1031" s="106" t="e">
        <f>VLOOKUP(C1031,'RAW DATA 2023'!E:BO,22,0)</f>
        <v>#N/A</v>
      </c>
      <c r="K1031" s="70" t="e">
        <f t="shared" si="127"/>
        <v>#N/A</v>
      </c>
      <c r="L1031" s="72"/>
      <c r="M1031" s="109" t="e">
        <f t="shared" si="125"/>
        <v>#N/A</v>
      </c>
      <c r="N1031" s="123" t="e">
        <f>VLOOKUP(C1031,'RAW DATA 2023'!E:BO,36,0)</f>
        <v>#N/A</v>
      </c>
      <c r="O1031" s="63" t="e">
        <f>VLOOKUP(C1031,'RAW DATA 2023'!E:BO,2,0)</f>
        <v>#N/A</v>
      </c>
      <c r="P1031" s="322" t="e">
        <f t="shared" si="124"/>
        <v>#N/A</v>
      </c>
    </row>
    <row r="1032" spans="1:16">
      <c r="A1032" s="63">
        <f>'RAW DATA 2023'!B1025</f>
        <v>0</v>
      </c>
      <c r="B1032" s="63">
        <f>'RAW DATA 2023'!D1025</f>
        <v>0</v>
      </c>
      <c r="C1032" s="63" t="str">
        <f t="shared" si="121"/>
        <v>00</v>
      </c>
      <c r="D1032" s="68" t="e">
        <f>VLOOKUP(C1032,'RAW DATA 2023'!E:BP,63,0)</f>
        <v>#N/A</v>
      </c>
      <c r="E1032" s="68" t="e">
        <f t="shared" si="122"/>
        <v>#N/A</v>
      </c>
      <c r="F1032" s="63" t="e">
        <f>VLOOKUP(C1032,'RAW DATA 2023'!E:BO,5,0)</f>
        <v>#N/A</v>
      </c>
      <c r="G1032" s="63" t="e">
        <f>VLOOKUP(C1032,'RAW DATA 2023'!E:BO,13,0)</f>
        <v>#N/A</v>
      </c>
      <c r="H1032" s="63" t="e">
        <f t="shared" si="123"/>
        <v>#N/A</v>
      </c>
      <c r="I1032" s="63" t="e">
        <f t="shared" si="126"/>
        <v>#N/A</v>
      </c>
      <c r="J1032" s="106" t="e">
        <f>VLOOKUP(C1032,'RAW DATA 2023'!E:BO,22,0)</f>
        <v>#N/A</v>
      </c>
      <c r="K1032" s="70" t="e">
        <f t="shared" si="127"/>
        <v>#N/A</v>
      </c>
      <c r="L1032" s="72"/>
      <c r="M1032" s="109" t="e">
        <f t="shared" si="125"/>
        <v>#N/A</v>
      </c>
      <c r="N1032" s="123" t="e">
        <f>VLOOKUP(C1032,'RAW DATA 2023'!E:BO,36,0)</f>
        <v>#N/A</v>
      </c>
      <c r="O1032" s="63" t="e">
        <f>VLOOKUP(C1032,'RAW DATA 2023'!E:BO,2,0)</f>
        <v>#N/A</v>
      </c>
      <c r="P1032" s="322" t="e">
        <f t="shared" si="124"/>
        <v>#N/A</v>
      </c>
    </row>
    <row r="1033" spans="1:16">
      <c r="A1033" s="63">
        <f>'RAW DATA 2023'!B1026</f>
        <v>0</v>
      </c>
      <c r="B1033" s="63">
        <f>'RAW DATA 2023'!D1026</f>
        <v>0</v>
      </c>
      <c r="C1033" s="63" t="str">
        <f t="shared" si="121"/>
        <v>00</v>
      </c>
      <c r="D1033" s="68" t="e">
        <f>VLOOKUP(C1033,'RAW DATA 2023'!E:BP,63,0)</f>
        <v>#N/A</v>
      </c>
      <c r="E1033" s="68" t="e">
        <f t="shared" si="122"/>
        <v>#N/A</v>
      </c>
      <c r="F1033" s="63" t="e">
        <f>VLOOKUP(C1033,'RAW DATA 2023'!E:BO,5,0)</f>
        <v>#N/A</v>
      </c>
      <c r="G1033" s="63" t="e">
        <f>VLOOKUP(C1033,'RAW DATA 2023'!E:BO,13,0)</f>
        <v>#N/A</v>
      </c>
      <c r="H1033" s="63" t="e">
        <f t="shared" si="123"/>
        <v>#N/A</v>
      </c>
      <c r="I1033" s="63" t="e">
        <f t="shared" si="126"/>
        <v>#N/A</v>
      </c>
      <c r="J1033" s="106" t="e">
        <f>VLOOKUP(C1033,'RAW DATA 2023'!E:BO,22,0)</f>
        <v>#N/A</v>
      </c>
      <c r="K1033" s="70" t="e">
        <f t="shared" si="127"/>
        <v>#N/A</v>
      </c>
      <c r="L1033" s="72"/>
      <c r="M1033" s="109" t="e">
        <f t="shared" si="125"/>
        <v>#N/A</v>
      </c>
      <c r="N1033" s="123" t="e">
        <f>VLOOKUP(C1033,'RAW DATA 2023'!E:BO,36,0)</f>
        <v>#N/A</v>
      </c>
      <c r="O1033" s="63" t="e">
        <f>VLOOKUP(C1033,'RAW DATA 2023'!E:BO,2,0)</f>
        <v>#N/A</v>
      </c>
      <c r="P1033" s="322" t="e">
        <f t="shared" si="124"/>
        <v>#N/A</v>
      </c>
    </row>
    <row r="1034" spans="1:16">
      <c r="A1034" s="63">
        <f>'RAW DATA 2023'!B1027</f>
        <v>0</v>
      </c>
      <c r="B1034" s="63">
        <f>'RAW DATA 2023'!D1027</f>
        <v>0</v>
      </c>
      <c r="C1034" s="63" t="str">
        <f t="shared" ref="C1034:C1097" si="128">A1034&amp;B1034</f>
        <v>00</v>
      </c>
      <c r="D1034" s="68" t="e">
        <f>VLOOKUP(C1034,'RAW DATA 2023'!E:BP,63,0)</f>
        <v>#N/A</v>
      </c>
      <c r="E1034" s="68" t="e">
        <f t="shared" ref="E1034:E1097" si="129">A1034&amp;D1034</f>
        <v>#N/A</v>
      </c>
      <c r="F1034" s="63" t="e">
        <f>VLOOKUP(C1034,'RAW DATA 2023'!E:BO,5,0)</f>
        <v>#N/A</v>
      </c>
      <c r="G1034" s="63" t="e">
        <f>VLOOKUP(C1034,'RAW DATA 2023'!E:BO,13,0)</f>
        <v>#N/A</v>
      </c>
      <c r="H1034" s="63" t="e">
        <f t="shared" si="123"/>
        <v>#N/A</v>
      </c>
      <c r="I1034" s="63" t="e">
        <f t="shared" si="126"/>
        <v>#N/A</v>
      </c>
      <c r="J1034" s="106" t="e">
        <f>VLOOKUP(C1034,'RAW DATA 2023'!E:BO,22,0)</f>
        <v>#N/A</v>
      </c>
      <c r="K1034" s="70" t="e">
        <f t="shared" si="127"/>
        <v>#N/A</v>
      </c>
      <c r="L1034" s="72"/>
      <c r="M1034" s="109" t="e">
        <f t="shared" si="125"/>
        <v>#N/A</v>
      </c>
      <c r="N1034" s="123" t="e">
        <f>VLOOKUP(C1034,'RAW DATA 2023'!E:BO,36,0)</f>
        <v>#N/A</v>
      </c>
      <c r="O1034" s="63" t="e">
        <f>VLOOKUP(C1034,'RAW DATA 2023'!E:BO,2,0)</f>
        <v>#N/A</v>
      </c>
      <c r="P1034" s="322" t="e">
        <f t="shared" si="124"/>
        <v>#N/A</v>
      </c>
    </row>
    <row r="1035" spans="1:16">
      <c r="A1035" s="63">
        <f>'RAW DATA 2023'!B1028</f>
        <v>0</v>
      </c>
      <c r="B1035" s="63">
        <f>'RAW DATA 2023'!D1028</f>
        <v>0</v>
      </c>
      <c r="C1035" s="63" t="str">
        <f t="shared" si="128"/>
        <v>00</v>
      </c>
      <c r="D1035" s="68" t="e">
        <f>VLOOKUP(C1035,'RAW DATA 2023'!E:BP,63,0)</f>
        <v>#N/A</v>
      </c>
      <c r="E1035" s="68" t="e">
        <f t="shared" si="129"/>
        <v>#N/A</v>
      </c>
      <c r="F1035" s="63" t="e">
        <f>VLOOKUP(C1035,'RAW DATA 2023'!E:BO,5,0)</f>
        <v>#N/A</v>
      </c>
      <c r="G1035" s="63" t="e">
        <f>VLOOKUP(C1035,'RAW DATA 2023'!E:BO,13,0)</f>
        <v>#N/A</v>
      </c>
      <c r="H1035" s="63" t="e">
        <f t="shared" ref="H1035:H1098" si="130">IF(G1035&gt;190,200,IF(G1035&gt;165,180,IF(G1035&gt;=135,150,IF(D1028&gt;=110,120,100))))</f>
        <v>#N/A</v>
      </c>
      <c r="I1035" s="63" t="e">
        <f t="shared" si="126"/>
        <v>#N/A</v>
      </c>
      <c r="J1035" s="106" t="e">
        <f>VLOOKUP(C1035,'RAW DATA 2023'!E:BO,22,0)</f>
        <v>#N/A</v>
      </c>
      <c r="K1035" s="70" t="e">
        <f t="shared" si="127"/>
        <v>#N/A</v>
      </c>
      <c r="L1035" s="72"/>
      <c r="M1035" s="109" t="e">
        <f t="shared" si="125"/>
        <v>#N/A</v>
      </c>
      <c r="N1035" s="123" t="e">
        <f>VLOOKUP(C1035,'RAW DATA 2023'!E:BO,36,0)</f>
        <v>#N/A</v>
      </c>
      <c r="O1035" s="63" t="e">
        <f>VLOOKUP(C1035,'RAW DATA 2023'!E:BO,2,0)</f>
        <v>#N/A</v>
      </c>
      <c r="P1035" s="322" t="e">
        <f t="shared" ref="P1035:P1098" si="131">M1035*O1035</f>
        <v>#N/A</v>
      </c>
    </row>
    <row r="1036" spans="1:16">
      <c r="A1036" s="63">
        <f>'RAW DATA 2023'!B1029</f>
        <v>0</v>
      </c>
      <c r="B1036" s="63">
        <f>'RAW DATA 2023'!D1029</f>
        <v>0</v>
      </c>
      <c r="C1036" s="63" t="str">
        <f t="shared" si="128"/>
        <v>00</v>
      </c>
      <c r="D1036" s="68" t="e">
        <f>VLOOKUP(C1036,'RAW DATA 2023'!E:BP,63,0)</f>
        <v>#N/A</v>
      </c>
      <c r="E1036" s="68" t="e">
        <f t="shared" si="129"/>
        <v>#N/A</v>
      </c>
      <c r="F1036" s="63" t="e">
        <f>VLOOKUP(C1036,'RAW DATA 2023'!E:BO,5,0)</f>
        <v>#N/A</v>
      </c>
      <c r="G1036" s="63" t="e">
        <f>VLOOKUP(C1036,'RAW DATA 2023'!E:BO,13,0)</f>
        <v>#N/A</v>
      </c>
      <c r="H1036" s="63" t="e">
        <f t="shared" si="130"/>
        <v>#N/A</v>
      </c>
      <c r="I1036" s="63" t="e">
        <f t="shared" si="126"/>
        <v>#N/A</v>
      </c>
      <c r="J1036" s="106" t="e">
        <f>VLOOKUP(C1036,'RAW DATA 2023'!E:BO,22,0)</f>
        <v>#N/A</v>
      </c>
      <c r="K1036" s="70" t="e">
        <f t="shared" si="127"/>
        <v>#N/A</v>
      </c>
      <c r="L1036" s="72"/>
      <c r="M1036" s="109" t="e">
        <f t="shared" ref="M1036:M1099" si="132">(K1036-$B$4)*$B$7</f>
        <v>#N/A</v>
      </c>
      <c r="N1036" s="123" t="e">
        <f>VLOOKUP(C1036,'RAW DATA 2023'!E:BO,36,0)</f>
        <v>#N/A</v>
      </c>
      <c r="O1036" s="63" t="e">
        <f>VLOOKUP(C1036,'RAW DATA 2023'!E:BO,2,0)</f>
        <v>#N/A</v>
      </c>
      <c r="P1036" s="322" t="e">
        <f t="shared" si="131"/>
        <v>#N/A</v>
      </c>
    </row>
    <row r="1037" spans="1:16">
      <c r="A1037" s="63">
        <f>'RAW DATA 2023'!B1030</f>
        <v>0</v>
      </c>
      <c r="B1037" s="63">
        <f>'RAW DATA 2023'!D1030</f>
        <v>0</v>
      </c>
      <c r="C1037" s="63" t="str">
        <f t="shared" si="128"/>
        <v>00</v>
      </c>
      <c r="D1037" s="68" t="e">
        <f>VLOOKUP(C1037,'RAW DATA 2023'!E:BP,63,0)</f>
        <v>#N/A</v>
      </c>
      <c r="E1037" s="68" t="e">
        <f t="shared" si="129"/>
        <v>#N/A</v>
      </c>
      <c r="F1037" s="63" t="e">
        <f>VLOOKUP(C1037,'RAW DATA 2023'!E:BO,5,0)</f>
        <v>#N/A</v>
      </c>
      <c r="G1037" s="63" t="e">
        <f>VLOOKUP(C1037,'RAW DATA 2023'!E:BO,13,0)</f>
        <v>#N/A</v>
      </c>
      <c r="H1037" s="63" t="e">
        <f t="shared" si="130"/>
        <v>#N/A</v>
      </c>
      <c r="I1037" s="63" t="e">
        <f t="shared" si="126"/>
        <v>#N/A</v>
      </c>
      <c r="J1037" s="106" t="e">
        <f>VLOOKUP(C1037,'RAW DATA 2023'!E:BO,22,0)</f>
        <v>#N/A</v>
      </c>
      <c r="K1037" s="70" t="e">
        <f t="shared" si="127"/>
        <v>#N/A</v>
      </c>
      <c r="L1037" s="72"/>
      <c r="M1037" s="109" t="e">
        <f t="shared" si="132"/>
        <v>#N/A</v>
      </c>
      <c r="N1037" s="123" t="e">
        <f>VLOOKUP(C1037,'RAW DATA 2023'!E:BO,36,0)</f>
        <v>#N/A</v>
      </c>
      <c r="O1037" s="63" t="e">
        <f>VLOOKUP(C1037,'RAW DATA 2023'!E:BO,2,0)</f>
        <v>#N/A</v>
      </c>
      <c r="P1037" s="322" t="e">
        <f t="shared" si="131"/>
        <v>#N/A</v>
      </c>
    </row>
    <row r="1038" spans="1:16">
      <c r="A1038" s="63">
        <f>'RAW DATA 2023'!B1031</f>
        <v>0</v>
      </c>
      <c r="B1038" s="63">
        <f>'RAW DATA 2023'!D1031</f>
        <v>0</v>
      </c>
      <c r="C1038" s="63" t="str">
        <f t="shared" si="128"/>
        <v>00</v>
      </c>
      <c r="D1038" s="68" t="e">
        <f>VLOOKUP(C1038,'RAW DATA 2023'!E:BP,63,0)</f>
        <v>#N/A</v>
      </c>
      <c r="E1038" s="68" t="e">
        <f t="shared" si="129"/>
        <v>#N/A</v>
      </c>
      <c r="F1038" s="63" t="e">
        <f>VLOOKUP(C1038,'RAW DATA 2023'!E:BO,5,0)</f>
        <v>#N/A</v>
      </c>
      <c r="G1038" s="63" t="e">
        <f>VLOOKUP(C1038,'RAW DATA 2023'!E:BO,13,0)</f>
        <v>#N/A</v>
      </c>
      <c r="H1038" s="63" t="e">
        <f t="shared" si="130"/>
        <v>#N/A</v>
      </c>
      <c r="I1038" s="63" t="e">
        <f t="shared" si="126"/>
        <v>#N/A</v>
      </c>
      <c r="J1038" s="106" t="e">
        <f>VLOOKUP(C1038,'RAW DATA 2023'!E:BO,22,0)</f>
        <v>#N/A</v>
      </c>
      <c r="K1038" s="70" t="e">
        <f t="shared" si="127"/>
        <v>#N/A</v>
      </c>
      <c r="L1038" s="72"/>
      <c r="M1038" s="109" t="e">
        <f t="shared" si="132"/>
        <v>#N/A</v>
      </c>
      <c r="N1038" s="123" t="e">
        <f>VLOOKUP(C1038,'RAW DATA 2023'!E:BO,36,0)</f>
        <v>#N/A</v>
      </c>
      <c r="O1038" s="63" t="e">
        <f>VLOOKUP(C1038,'RAW DATA 2023'!E:BO,2,0)</f>
        <v>#N/A</v>
      </c>
      <c r="P1038" s="322" t="e">
        <f t="shared" si="131"/>
        <v>#N/A</v>
      </c>
    </row>
    <row r="1039" spans="1:16">
      <c r="A1039" s="63">
        <f>'RAW DATA 2023'!B1032</f>
        <v>0</v>
      </c>
      <c r="B1039" s="63">
        <f>'RAW DATA 2023'!D1032</f>
        <v>0</v>
      </c>
      <c r="C1039" s="63" t="str">
        <f t="shared" si="128"/>
        <v>00</v>
      </c>
      <c r="D1039" s="68" t="e">
        <f>VLOOKUP(C1039,'RAW DATA 2023'!E:BP,63,0)</f>
        <v>#N/A</v>
      </c>
      <c r="E1039" s="68" t="e">
        <f t="shared" si="129"/>
        <v>#N/A</v>
      </c>
      <c r="F1039" s="63" t="e">
        <f>VLOOKUP(C1039,'RAW DATA 2023'!E:BO,5,0)</f>
        <v>#N/A</v>
      </c>
      <c r="G1039" s="63" t="e">
        <f>VLOOKUP(C1039,'RAW DATA 2023'!E:BO,13,0)</f>
        <v>#N/A</v>
      </c>
      <c r="H1039" s="63" t="e">
        <f t="shared" si="130"/>
        <v>#N/A</v>
      </c>
      <c r="I1039" s="63" t="e">
        <f t="shared" si="126"/>
        <v>#N/A</v>
      </c>
      <c r="J1039" s="106" t="e">
        <f>VLOOKUP(C1039,'RAW DATA 2023'!E:BO,22,0)</f>
        <v>#N/A</v>
      </c>
      <c r="K1039" s="70" t="e">
        <f t="shared" si="127"/>
        <v>#N/A</v>
      </c>
      <c r="L1039" s="72"/>
      <c r="M1039" s="109" t="e">
        <f t="shared" si="132"/>
        <v>#N/A</v>
      </c>
      <c r="N1039" s="123" t="e">
        <f>VLOOKUP(C1039,'RAW DATA 2023'!E:BO,36,0)</f>
        <v>#N/A</v>
      </c>
      <c r="O1039" s="63" t="e">
        <f>VLOOKUP(C1039,'RAW DATA 2023'!E:BO,2,0)</f>
        <v>#N/A</v>
      </c>
      <c r="P1039" s="322" t="e">
        <f t="shared" si="131"/>
        <v>#N/A</v>
      </c>
    </row>
    <row r="1040" spans="1:16">
      <c r="A1040" s="63">
        <f>'RAW DATA 2023'!B1033</f>
        <v>0</v>
      </c>
      <c r="B1040" s="63">
        <f>'RAW DATA 2023'!D1033</f>
        <v>0</v>
      </c>
      <c r="C1040" s="63" t="str">
        <f t="shared" si="128"/>
        <v>00</v>
      </c>
      <c r="D1040" s="68" t="e">
        <f>VLOOKUP(C1040,'RAW DATA 2023'!E:BP,63,0)</f>
        <v>#N/A</v>
      </c>
      <c r="E1040" s="68" t="e">
        <f t="shared" si="129"/>
        <v>#N/A</v>
      </c>
      <c r="F1040" s="63" t="e">
        <f>VLOOKUP(C1040,'RAW DATA 2023'!E:BO,5,0)</f>
        <v>#N/A</v>
      </c>
      <c r="G1040" s="63" t="e">
        <f>VLOOKUP(C1040,'RAW DATA 2023'!E:BO,13,0)</f>
        <v>#N/A</v>
      </c>
      <c r="H1040" s="63" t="e">
        <f t="shared" si="130"/>
        <v>#N/A</v>
      </c>
      <c r="I1040" s="63" t="e">
        <f t="shared" si="126"/>
        <v>#N/A</v>
      </c>
      <c r="J1040" s="106" t="e">
        <f>VLOOKUP(C1040,'RAW DATA 2023'!E:BO,22,0)</f>
        <v>#N/A</v>
      </c>
      <c r="K1040" s="70" t="e">
        <f t="shared" si="127"/>
        <v>#N/A</v>
      </c>
      <c r="L1040" s="72"/>
      <c r="M1040" s="109" t="e">
        <f t="shared" si="132"/>
        <v>#N/A</v>
      </c>
      <c r="N1040" s="123" t="e">
        <f>VLOOKUP(C1040,'RAW DATA 2023'!E:BO,36,0)</f>
        <v>#N/A</v>
      </c>
      <c r="O1040" s="63" t="e">
        <f>VLOOKUP(C1040,'RAW DATA 2023'!E:BO,2,0)</f>
        <v>#N/A</v>
      </c>
      <c r="P1040" s="322" t="e">
        <f t="shared" si="131"/>
        <v>#N/A</v>
      </c>
    </row>
    <row r="1041" spans="1:16">
      <c r="A1041" s="63">
        <f>'RAW DATA 2023'!B1034</f>
        <v>0</v>
      </c>
      <c r="B1041" s="63">
        <f>'RAW DATA 2023'!D1034</f>
        <v>0</v>
      </c>
      <c r="C1041" s="63" t="str">
        <f t="shared" si="128"/>
        <v>00</v>
      </c>
      <c r="D1041" s="68" t="e">
        <f>VLOOKUP(C1041,'RAW DATA 2023'!E:BP,63,0)</f>
        <v>#N/A</v>
      </c>
      <c r="E1041" s="68" t="e">
        <f t="shared" si="129"/>
        <v>#N/A</v>
      </c>
      <c r="F1041" s="63" t="e">
        <f>VLOOKUP(C1041,'RAW DATA 2023'!E:BO,5,0)</f>
        <v>#N/A</v>
      </c>
      <c r="G1041" s="63" t="e">
        <f>VLOOKUP(C1041,'RAW DATA 2023'!E:BO,13,0)</f>
        <v>#N/A</v>
      </c>
      <c r="H1041" s="63" t="e">
        <f t="shared" si="130"/>
        <v>#N/A</v>
      </c>
      <c r="I1041" s="63" t="e">
        <f t="shared" si="126"/>
        <v>#N/A</v>
      </c>
      <c r="J1041" s="106" t="e">
        <f>VLOOKUP(C1041,'RAW DATA 2023'!E:BO,22,0)</f>
        <v>#N/A</v>
      </c>
      <c r="K1041" s="70" t="e">
        <f t="shared" si="127"/>
        <v>#N/A</v>
      </c>
      <c r="L1041" s="72"/>
      <c r="M1041" s="109" t="e">
        <f t="shared" si="132"/>
        <v>#N/A</v>
      </c>
      <c r="N1041" s="123" t="e">
        <f>VLOOKUP(C1041,'RAW DATA 2023'!E:BO,36,0)</f>
        <v>#N/A</v>
      </c>
      <c r="O1041" s="63" t="e">
        <f>VLOOKUP(C1041,'RAW DATA 2023'!E:BO,2,0)</f>
        <v>#N/A</v>
      </c>
      <c r="P1041" s="322" t="e">
        <f t="shared" si="131"/>
        <v>#N/A</v>
      </c>
    </row>
    <row r="1042" spans="1:16">
      <c r="A1042" s="63">
        <f>'RAW DATA 2023'!B1035</f>
        <v>0</v>
      </c>
      <c r="B1042" s="63">
        <f>'RAW DATA 2023'!D1035</f>
        <v>0</v>
      </c>
      <c r="C1042" s="63" t="str">
        <f t="shared" si="128"/>
        <v>00</v>
      </c>
      <c r="D1042" s="68" t="e">
        <f>VLOOKUP(C1042,'RAW DATA 2023'!E:BP,63,0)</f>
        <v>#N/A</v>
      </c>
      <c r="E1042" s="68" t="e">
        <f t="shared" si="129"/>
        <v>#N/A</v>
      </c>
      <c r="F1042" s="63" t="e">
        <f>VLOOKUP(C1042,'RAW DATA 2023'!E:BO,5,0)</f>
        <v>#N/A</v>
      </c>
      <c r="G1042" s="63" t="e">
        <f>VLOOKUP(C1042,'RAW DATA 2023'!E:BO,13,0)</f>
        <v>#N/A</v>
      </c>
      <c r="H1042" s="63" t="e">
        <f t="shared" si="130"/>
        <v>#N/A</v>
      </c>
      <c r="I1042" s="63" t="e">
        <f t="shared" si="126"/>
        <v>#N/A</v>
      </c>
      <c r="J1042" s="106" t="e">
        <f>VLOOKUP(C1042,'RAW DATA 2023'!E:BO,22,0)</f>
        <v>#N/A</v>
      </c>
      <c r="K1042" s="70" t="e">
        <f t="shared" si="127"/>
        <v>#N/A</v>
      </c>
      <c r="L1042" s="72"/>
      <c r="M1042" s="109" t="e">
        <f t="shared" si="132"/>
        <v>#N/A</v>
      </c>
      <c r="N1042" s="123" t="e">
        <f>VLOOKUP(C1042,'RAW DATA 2023'!E:BO,36,0)</f>
        <v>#N/A</v>
      </c>
      <c r="O1042" s="63" t="e">
        <f>VLOOKUP(C1042,'RAW DATA 2023'!E:BO,2,0)</f>
        <v>#N/A</v>
      </c>
      <c r="P1042" s="322" t="e">
        <f t="shared" si="131"/>
        <v>#N/A</v>
      </c>
    </row>
    <row r="1043" spans="1:16">
      <c r="A1043" s="63">
        <f>'RAW DATA 2023'!B1036</f>
        <v>0</v>
      </c>
      <c r="B1043" s="63">
        <f>'RAW DATA 2023'!D1036</f>
        <v>0</v>
      </c>
      <c r="C1043" s="63" t="str">
        <f t="shared" si="128"/>
        <v>00</v>
      </c>
      <c r="D1043" s="68" t="e">
        <f>VLOOKUP(C1043,'RAW DATA 2023'!E:BP,63,0)</f>
        <v>#N/A</v>
      </c>
      <c r="E1043" s="68" t="e">
        <f t="shared" si="129"/>
        <v>#N/A</v>
      </c>
      <c r="F1043" s="63" t="e">
        <f>VLOOKUP(C1043,'RAW DATA 2023'!E:BO,5,0)</f>
        <v>#N/A</v>
      </c>
      <c r="G1043" s="63" t="e">
        <f>VLOOKUP(C1043,'RAW DATA 2023'!E:BO,13,0)</f>
        <v>#N/A</v>
      </c>
      <c r="H1043" s="63" t="e">
        <f t="shared" si="130"/>
        <v>#N/A</v>
      </c>
      <c r="I1043" s="63" t="e">
        <f t="shared" si="126"/>
        <v>#N/A</v>
      </c>
      <c r="J1043" s="106" t="e">
        <f>VLOOKUP(C1043,'RAW DATA 2023'!E:BO,22,0)</f>
        <v>#N/A</v>
      </c>
      <c r="K1043" s="70" t="e">
        <f t="shared" si="127"/>
        <v>#N/A</v>
      </c>
      <c r="L1043" s="72"/>
      <c r="M1043" s="109" t="e">
        <f t="shared" si="132"/>
        <v>#N/A</v>
      </c>
      <c r="N1043" s="123" t="e">
        <f>VLOOKUP(C1043,'RAW DATA 2023'!E:BO,36,0)</f>
        <v>#N/A</v>
      </c>
      <c r="O1043" s="63" t="e">
        <f>VLOOKUP(C1043,'RAW DATA 2023'!E:BO,2,0)</f>
        <v>#N/A</v>
      </c>
      <c r="P1043" s="322" t="e">
        <f t="shared" si="131"/>
        <v>#N/A</v>
      </c>
    </row>
    <row r="1044" spans="1:16">
      <c r="A1044" s="63">
        <f>'RAW DATA 2023'!B1037</f>
        <v>0</v>
      </c>
      <c r="B1044" s="63">
        <f>'RAW DATA 2023'!D1037</f>
        <v>0</v>
      </c>
      <c r="C1044" s="63" t="str">
        <f t="shared" si="128"/>
        <v>00</v>
      </c>
      <c r="D1044" s="68" t="e">
        <f>VLOOKUP(C1044,'RAW DATA 2023'!E:BP,63,0)</f>
        <v>#N/A</v>
      </c>
      <c r="E1044" s="68" t="e">
        <f t="shared" si="129"/>
        <v>#N/A</v>
      </c>
      <c r="F1044" s="63" t="e">
        <f>VLOOKUP(C1044,'RAW DATA 2023'!E:BO,5,0)</f>
        <v>#N/A</v>
      </c>
      <c r="G1044" s="63" t="e">
        <f>VLOOKUP(C1044,'RAW DATA 2023'!E:BO,13,0)</f>
        <v>#N/A</v>
      </c>
      <c r="H1044" s="63" t="e">
        <f t="shared" si="130"/>
        <v>#N/A</v>
      </c>
      <c r="I1044" s="63" t="e">
        <f t="shared" si="126"/>
        <v>#N/A</v>
      </c>
      <c r="J1044" s="106" t="e">
        <f>VLOOKUP(C1044,'RAW DATA 2023'!E:BO,22,0)</f>
        <v>#N/A</v>
      </c>
      <c r="K1044" s="70" t="e">
        <f t="shared" si="127"/>
        <v>#N/A</v>
      </c>
      <c r="L1044" s="72"/>
      <c r="M1044" s="109" t="e">
        <f t="shared" si="132"/>
        <v>#N/A</v>
      </c>
      <c r="N1044" s="123" t="e">
        <f>VLOOKUP(C1044,'RAW DATA 2023'!E:BO,36,0)</f>
        <v>#N/A</v>
      </c>
      <c r="O1044" s="63" t="e">
        <f>VLOOKUP(C1044,'RAW DATA 2023'!E:BO,2,0)</f>
        <v>#N/A</v>
      </c>
      <c r="P1044" s="322" t="e">
        <f t="shared" si="131"/>
        <v>#N/A</v>
      </c>
    </row>
    <row r="1045" spans="1:16">
      <c r="A1045" s="63">
        <f>'RAW DATA 2023'!B1038</f>
        <v>0</v>
      </c>
      <c r="B1045" s="63">
        <f>'RAW DATA 2023'!D1038</f>
        <v>0</v>
      </c>
      <c r="C1045" s="63" t="str">
        <f t="shared" si="128"/>
        <v>00</v>
      </c>
      <c r="D1045" s="68" t="e">
        <f>VLOOKUP(C1045,'RAW DATA 2023'!E:BP,63,0)</f>
        <v>#N/A</v>
      </c>
      <c r="E1045" s="68" t="e">
        <f t="shared" si="129"/>
        <v>#N/A</v>
      </c>
      <c r="F1045" s="63" t="e">
        <f>VLOOKUP(C1045,'RAW DATA 2023'!E:BO,5,0)</f>
        <v>#N/A</v>
      </c>
      <c r="G1045" s="63" t="e">
        <f>VLOOKUP(C1045,'RAW DATA 2023'!E:BO,13,0)</f>
        <v>#N/A</v>
      </c>
      <c r="H1045" s="63" t="e">
        <f t="shared" si="130"/>
        <v>#N/A</v>
      </c>
      <c r="I1045" s="63" t="e">
        <f t="shared" si="126"/>
        <v>#N/A</v>
      </c>
      <c r="J1045" s="106" t="e">
        <f>VLOOKUP(C1045,'RAW DATA 2023'!E:BO,22,0)</f>
        <v>#N/A</v>
      </c>
      <c r="K1045" s="70" t="e">
        <f t="shared" si="127"/>
        <v>#N/A</v>
      </c>
      <c r="L1045" s="72"/>
      <c r="M1045" s="109" t="e">
        <f t="shared" si="132"/>
        <v>#N/A</v>
      </c>
      <c r="N1045" s="123" t="e">
        <f>VLOOKUP(C1045,'RAW DATA 2023'!E:BO,36,0)</f>
        <v>#N/A</v>
      </c>
      <c r="O1045" s="63" t="e">
        <f>VLOOKUP(C1045,'RAW DATA 2023'!E:BO,2,0)</f>
        <v>#N/A</v>
      </c>
      <c r="P1045" s="322" t="e">
        <f t="shared" si="131"/>
        <v>#N/A</v>
      </c>
    </row>
    <row r="1046" spans="1:16">
      <c r="A1046" s="63">
        <f>'RAW DATA 2023'!B1039</f>
        <v>0</v>
      </c>
      <c r="B1046" s="63">
        <f>'RAW DATA 2023'!D1039</f>
        <v>0</v>
      </c>
      <c r="C1046" s="63" t="str">
        <f t="shared" si="128"/>
        <v>00</v>
      </c>
      <c r="D1046" s="68" t="e">
        <f>VLOOKUP(C1046,'RAW DATA 2023'!E:BP,63,0)</f>
        <v>#N/A</v>
      </c>
      <c r="E1046" s="68" t="e">
        <f t="shared" si="129"/>
        <v>#N/A</v>
      </c>
      <c r="F1046" s="63" t="e">
        <f>VLOOKUP(C1046,'RAW DATA 2023'!E:BO,5,0)</f>
        <v>#N/A</v>
      </c>
      <c r="G1046" s="63" t="e">
        <f>VLOOKUP(C1046,'RAW DATA 2023'!E:BO,13,0)</f>
        <v>#N/A</v>
      </c>
      <c r="H1046" s="63" t="e">
        <f t="shared" si="130"/>
        <v>#N/A</v>
      </c>
      <c r="I1046" s="63" t="e">
        <f t="shared" si="126"/>
        <v>#N/A</v>
      </c>
      <c r="J1046" s="106" t="e">
        <f>VLOOKUP(C1046,'RAW DATA 2023'!E:BO,22,0)</f>
        <v>#N/A</v>
      </c>
      <c r="K1046" s="70" t="e">
        <f t="shared" si="127"/>
        <v>#N/A</v>
      </c>
      <c r="L1046" s="72"/>
      <c r="M1046" s="109" t="e">
        <f t="shared" si="132"/>
        <v>#N/A</v>
      </c>
      <c r="N1046" s="123" t="e">
        <f>VLOOKUP(C1046,'RAW DATA 2023'!E:BO,36,0)</f>
        <v>#N/A</v>
      </c>
      <c r="O1046" s="63" t="e">
        <f>VLOOKUP(C1046,'RAW DATA 2023'!E:BO,2,0)</f>
        <v>#N/A</v>
      </c>
      <c r="P1046" s="322" t="e">
        <f t="shared" si="131"/>
        <v>#N/A</v>
      </c>
    </row>
    <row r="1047" spans="1:16">
      <c r="A1047" s="63">
        <f>'RAW DATA 2023'!B1040</f>
        <v>0</v>
      </c>
      <c r="B1047" s="63">
        <f>'RAW DATA 2023'!D1040</f>
        <v>0</v>
      </c>
      <c r="C1047" s="63" t="str">
        <f t="shared" si="128"/>
        <v>00</v>
      </c>
      <c r="D1047" s="68" t="e">
        <f>VLOOKUP(C1047,'RAW DATA 2023'!E:BP,63,0)</f>
        <v>#N/A</v>
      </c>
      <c r="E1047" s="68" t="e">
        <f t="shared" si="129"/>
        <v>#N/A</v>
      </c>
      <c r="F1047" s="63" t="e">
        <f>VLOOKUP(C1047,'RAW DATA 2023'!E:BO,5,0)</f>
        <v>#N/A</v>
      </c>
      <c r="G1047" s="63" t="e">
        <f>VLOOKUP(C1047,'RAW DATA 2023'!E:BO,13,0)</f>
        <v>#N/A</v>
      </c>
      <c r="H1047" s="63" t="e">
        <f t="shared" si="130"/>
        <v>#N/A</v>
      </c>
      <c r="I1047" s="63" t="e">
        <f t="shared" si="126"/>
        <v>#N/A</v>
      </c>
      <c r="J1047" s="106" t="e">
        <f>VLOOKUP(C1047,'RAW DATA 2023'!E:BO,22,0)</f>
        <v>#N/A</v>
      </c>
      <c r="K1047" s="70" t="e">
        <f t="shared" si="127"/>
        <v>#N/A</v>
      </c>
      <c r="L1047" s="72"/>
      <c r="M1047" s="109" t="e">
        <f t="shared" si="132"/>
        <v>#N/A</v>
      </c>
      <c r="N1047" s="123" t="e">
        <f>VLOOKUP(C1047,'RAW DATA 2023'!E:BO,36,0)</f>
        <v>#N/A</v>
      </c>
      <c r="O1047" s="63" t="e">
        <f>VLOOKUP(C1047,'RAW DATA 2023'!E:BO,2,0)</f>
        <v>#N/A</v>
      </c>
      <c r="P1047" s="322" t="e">
        <f t="shared" si="131"/>
        <v>#N/A</v>
      </c>
    </row>
    <row r="1048" spans="1:16">
      <c r="A1048" s="63">
        <f>'RAW DATA 2023'!B1041</f>
        <v>0</v>
      </c>
      <c r="B1048" s="63">
        <f>'RAW DATA 2023'!D1041</f>
        <v>0</v>
      </c>
      <c r="C1048" s="63" t="str">
        <f t="shared" si="128"/>
        <v>00</v>
      </c>
      <c r="D1048" s="68" t="e">
        <f>VLOOKUP(C1048,'RAW DATA 2023'!E:BP,63,0)</f>
        <v>#N/A</v>
      </c>
      <c r="E1048" s="68" t="e">
        <f t="shared" si="129"/>
        <v>#N/A</v>
      </c>
      <c r="F1048" s="63" t="e">
        <f>VLOOKUP(C1048,'RAW DATA 2023'!E:BO,5,0)</f>
        <v>#N/A</v>
      </c>
      <c r="G1048" s="63" t="e">
        <f>VLOOKUP(C1048,'RAW DATA 2023'!E:BO,13,0)</f>
        <v>#N/A</v>
      </c>
      <c r="H1048" s="63" t="e">
        <f t="shared" si="130"/>
        <v>#N/A</v>
      </c>
      <c r="I1048" s="63" t="e">
        <f t="shared" si="126"/>
        <v>#N/A</v>
      </c>
      <c r="J1048" s="106" t="e">
        <f>VLOOKUP(C1048,'RAW DATA 2023'!E:BO,22,0)</f>
        <v>#N/A</v>
      </c>
      <c r="K1048" s="70" t="e">
        <f t="shared" si="127"/>
        <v>#N/A</v>
      </c>
      <c r="L1048" s="72"/>
      <c r="M1048" s="109" t="e">
        <f t="shared" si="132"/>
        <v>#N/A</v>
      </c>
      <c r="N1048" s="123" t="e">
        <f>VLOOKUP(C1048,'RAW DATA 2023'!E:BO,36,0)</f>
        <v>#N/A</v>
      </c>
      <c r="O1048" s="63" t="e">
        <f>VLOOKUP(C1048,'RAW DATA 2023'!E:BO,2,0)</f>
        <v>#N/A</v>
      </c>
      <c r="P1048" s="322" t="e">
        <f t="shared" si="131"/>
        <v>#N/A</v>
      </c>
    </row>
    <row r="1049" spans="1:16">
      <c r="A1049" s="63">
        <f>'RAW DATA 2023'!B1042</f>
        <v>0</v>
      </c>
      <c r="B1049" s="63">
        <f>'RAW DATA 2023'!D1042</f>
        <v>0</v>
      </c>
      <c r="C1049" s="63" t="str">
        <f t="shared" si="128"/>
        <v>00</v>
      </c>
      <c r="D1049" s="68" t="e">
        <f>VLOOKUP(C1049,'RAW DATA 2023'!E:BP,63,0)</f>
        <v>#N/A</v>
      </c>
      <c r="E1049" s="68" t="e">
        <f t="shared" si="129"/>
        <v>#N/A</v>
      </c>
      <c r="F1049" s="63" t="e">
        <f>VLOOKUP(C1049,'RAW DATA 2023'!E:BO,5,0)</f>
        <v>#N/A</v>
      </c>
      <c r="G1049" s="63" t="e">
        <f>VLOOKUP(C1049,'RAW DATA 2023'!E:BO,13,0)</f>
        <v>#N/A</v>
      </c>
      <c r="H1049" s="63" t="e">
        <f t="shared" si="130"/>
        <v>#N/A</v>
      </c>
      <c r="I1049" s="63" t="e">
        <f t="shared" si="126"/>
        <v>#N/A</v>
      </c>
      <c r="J1049" s="106" t="e">
        <f>VLOOKUP(C1049,'RAW DATA 2023'!E:BO,22,0)</f>
        <v>#N/A</v>
      </c>
      <c r="K1049" s="70" t="e">
        <f t="shared" si="127"/>
        <v>#N/A</v>
      </c>
      <c r="L1049" s="72"/>
      <c r="M1049" s="109" t="e">
        <f t="shared" si="132"/>
        <v>#N/A</v>
      </c>
      <c r="N1049" s="123" t="e">
        <f>VLOOKUP(C1049,'RAW DATA 2023'!E:BO,36,0)</f>
        <v>#N/A</v>
      </c>
      <c r="O1049" s="63" t="e">
        <f>VLOOKUP(C1049,'RAW DATA 2023'!E:BO,2,0)</f>
        <v>#N/A</v>
      </c>
      <c r="P1049" s="322" t="e">
        <f t="shared" si="131"/>
        <v>#N/A</v>
      </c>
    </row>
    <row r="1050" spans="1:16">
      <c r="A1050" s="63">
        <f>'RAW DATA 2023'!B1043</f>
        <v>0</v>
      </c>
      <c r="B1050" s="63">
        <f>'RAW DATA 2023'!D1043</f>
        <v>0</v>
      </c>
      <c r="C1050" s="63" t="str">
        <f t="shared" si="128"/>
        <v>00</v>
      </c>
      <c r="D1050" s="68" t="e">
        <f>VLOOKUP(C1050,'RAW DATA 2023'!E:BP,63,0)</f>
        <v>#N/A</v>
      </c>
      <c r="E1050" s="68" t="e">
        <f t="shared" si="129"/>
        <v>#N/A</v>
      </c>
      <c r="F1050" s="63" t="e">
        <f>VLOOKUP(C1050,'RAW DATA 2023'!E:BO,5,0)</f>
        <v>#N/A</v>
      </c>
      <c r="G1050" s="63" t="e">
        <f>VLOOKUP(C1050,'RAW DATA 2023'!E:BO,13,0)</f>
        <v>#N/A</v>
      </c>
      <c r="H1050" s="63" t="e">
        <f t="shared" si="130"/>
        <v>#N/A</v>
      </c>
      <c r="I1050" s="63" t="e">
        <f t="shared" si="126"/>
        <v>#N/A</v>
      </c>
      <c r="J1050" s="106" t="e">
        <f>VLOOKUP(C1050,'RAW DATA 2023'!E:BO,22,0)</f>
        <v>#N/A</v>
      </c>
      <c r="K1050" s="70" t="e">
        <f t="shared" si="127"/>
        <v>#N/A</v>
      </c>
      <c r="L1050" s="72"/>
      <c r="M1050" s="109" t="e">
        <f t="shared" si="132"/>
        <v>#N/A</v>
      </c>
      <c r="N1050" s="123" t="e">
        <f>VLOOKUP(C1050,'RAW DATA 2023'!E:BO,36,0)</f>
        <v>#N/A</v>
      </c>
      <c r="O1050" s="63" t="e">
        <f>VLOOKUP(C1050,'RAW DATA 2023'!E:BO,2,0)</f>
        <v>#N/A</v>
      </c>
      <c r="P1050" s="322" t="e">
        <f t="shared" si="131"/>
        <v>#N/A</v>
      </c>
    </row>
    <row r="1051" spans="1:16">
      <c r="A1051" s="63">
        <f>'RAW DATA 2023'!B1044</f>
        <v>0</v>
      </c>
      <c r="B1051" s="63">
        <f>'RAW DATA 2023'!D1044</f>
        <v>0</v>
      </c>
      <c r="C1051" s="63" t="str">
        <f t="shared" si="128"/>
        <v>00</v>
      </c>
      <c r="D1051" s="68" t="e">
        <f>VLOOKUP(C1051,'RAW DATA 2023'!E:BP,63,0)</f>
        <v>#N/A</v>
      </c>
      <c r="E1051" s="68" t="e">
        <f t="shared" si="129"/>
        <v>#N/A</v>
      </c>
      <c r="F1051" s="63" t="e">
        <f>VLOOKUP(C1051,'RAW DATA 2023'!E:BO,5,0)</f>
        <v>#N/A</v>
      </c>
      <c r="G1051" s="63" t="e">
        <f>VLOOKUP(C1051,'RAW DATA 2023'!E:BO,13,0)</f>
        <v>#N/A</v>
      </c>
      <c r="H1051" s="63" t="e">
        <f t="shared" si="130"/>
        <v>#N/A</v>
      </c>
      <c r="I1051" s="63" t="e">
        <f t="shared" si="126"/>
        <v>#N/A</v>
      </c>
      <c r="J1051" s="106" t="e">
        <f>VLOOKUP(C1051,'RAW DATA 2023'!E:BO,22,0)</f>
        <v>#N/A</v>
      </c>
      <c r="K1051" s="70" t="e">
        <f t="shared" si="127"/>
        <v>#N/A</v>
      </c>
      <c r="L1051" s="72"/>
      <c r="M1051" s="109" t="e">
        <f t="shared" si="132"/>
        <v>#N/A</v>
      </c>
      <c r="N1051" s="123" t="e">
        <f>VLOOKUP(C1051,'RAW DATA 2023'!E:BO,36,0)</f>
        <v>#N/A</v>
      </c>
      <c r="O1051" s="63" t="e">
        <f>VLOOKUP(C1051,'RAW DATA 2023'!E:BO,2,0)</f>
        <v>#N/A</v>
      </c>
      <c r="P1051" s="322" t="e">
        <f t="shared" si="131"/>
        <v>#N/A</v>
      </c>
    </row>
    <row r="1052" spans="1:16">
      <c r="A1052" s="63">
        <f>'RAW DATA 2023'!B1045</f>
        <v>0</v>
      </c>
      <c r="B1052" s="63">
        <f>'RAW DATA 2023'!D1045</f>
        <v>0</v>
      </c>
      <c r="C1052" s="63" t="str">
        <f t="shared" si="128"/>
        <v>00</v>
      </c>
      <c r="D1052" s="68" t="e">
        <f>VLOOKUP(C1052,'RAW DATA 2023'!E:BP,63,0)</f>
        <v>#N/A</v>
      </c>
      <c r="E1052" s="68" t="e">
        <f t="shared" si="129"/>
        <v>#N/A</v>
      </c>
      <c r="F1052" s="63" t="e">
        <f>VLOOKUP(C1052,'RAW DATA 2023'!E:BO,5,0)</f>
        <v>#N/A</v>
      </c>
      <c r="G1052" s="63" t="e">
        <f>VLOOKUP(C1052,'RAW DATA 2023'!E:BO,13,0)</f>
        <v>#N/A</v>
      </c>
      <c r="H1052" s="63" t="e">
        <f t="shared" si="130"/>
        <v>#N/A</v>
      </c>
      <c r="I1052" s="63" t="e">
        <f t="shared" si="126"/>
        <v>#N/A</v>
      </c>
      <c r="J1052" s="106" t="e">
        <f>VLOOKUP(C1052,'RAW DATA 2023'!E:BO,22,0)</f>
        <v>#N/A</v>
      </c>
      <c r="K1052" s="70" t="e">
        <f t="shared" si="127"/>
        <v>#N/A</v>
      </c>
      <c r="L1052" s="72"/>
      <c r="M1052" s="109" t="e">
        <f t="shared" si="132"/>
        <v>#N/A</v>
      </c>
      <c r="N1052" s="123" t="e">
        <f>VLOOKUP(C1052,'RAW DATA 2023'!E:BO,36,0)</f>
        <v>#N/A</v>
      </c>
      <c r="O1052" s="63" t="e">
        <f>VLOOKUP(C1052,'RAW DATA 2023'!E:BO,2,0)</f>
        <v>#N/A</v>
      </c>
      <c r="P1052" s="322" t="e">
        <f t="shared" si="131"/>
        <v>#N/A</v>
      </c>
    </row>
    <row r="1053" spans="1:16">
      <c r="A1053" s="63">
        <f>'RAW DATA 2023'!B1046</f>
        <v>0</v>
      </c>
      <c r="B1053" s="63">
        <f>'RAW DATA 2023'!D1046</f>
        <v>0</v>
      </c>
      <c r="C1053" s="63" t="str">
        <f t="shared" si="128"/>
        <v>00</v>
      </c>
      <c r="D1053" s="68" t="e">
        <f>VLOOKUP(C1053,'RAW DATA 2023'!E:BP,63,0)</f>
        <v>#N/A</v>
      </c>
      <c r="E1053" s="68" t="e">
        <f t="shared" si="129"/>
        <v>#N/A</v>
      </c>
      <c r="F1053" s="63" t="e">
        <f>VLOOKUP(C1053,'RAW DATA 2023'!E:BO,5,0)</f>
        <v>#N/A</v>
      </c>
      <c r="G1053" s="63" t="e">
        <f>VLOOKUP(C1053,'RAW DATA 2023'!E:BO,13,0)</f>
        <v>#N/A</v>
      </c>
      <c r="H1053" s="63" t="e">
        <f t="shared" si="130"/>
        <v>#N/A</v>
      </c>
      <c r="I1053" s="63" t="e">
        <f t="shared" si="126"/>
        <v>#N/A</v>
      </c>
      <c r="J1053" s="106" t="e">
        <f>VLOOKUP(C1053,'RAW DATA 2023'!E:BO,22,0)</f>
        <v>#N/A</v>
      </c>
      <c r="K1053" s="70" t="e">
        <f t="shared" si="127"/>
        <v>#N/A</v>
      </c>
      <c r="L1053" s="72"/>
      <c r="M1053" s="109" t="e">
        <f t="shared" si="132"/>
        <v>#N/A</v>
      </c>
      <c r="N1053" s="123" t="e">
        <f>VLOOKUP(C1053,'RAW DATA 2023'!E:BO,36,0)</f>
        <v>#N/A</v>
      </c>
      <c r="O1053" s="63" t="e">
        <f>VLOOKUP(C1053,'RAW DATA 2023'!E:BO,2,0)</f>
        <v>#N/A</v>
      </c>
      <c r="P1053" s="322" t="e">
        <f t="shared" si="131"/>
        <v>#N/A</v>
      </c>
    </row>
    <row r="1054" spans="1:16">
      <c r="A1054" s="63">
        <f>'RAW DATA 2023'!B1047</f>
        <v>0</v>
      </c>
      <c r="B1054" s="63">
        <f>'RAW DATA 2023'!D1047</f>
        <v>0</v>
      </c>
      <c r="C1054" s="63" t="str">
        <f t="shared" si="128"/>
        <v>00</v>
      </c>
      <c r="D1054" s="68" t="e">
        <f>VLOOKUP(C1054,'RAW DATA 2023'!E:BP,63,0)</f>
        <v>#N/A</v>
      </c>
      <c r="E1054" s="68" t="e">
        <f t="shared" si="129"/>
        <v>#N/A</v>
      </c>
      <c r="F1054" s="63" t="e">
        <f>VLOOKUP(C1054,'RAW DATA 2023'!E:BO,5,0)</f>
        <v>#N/A</v>
      </c>
      <c r="G1054" s="63" t="e">
        <f>VLOOKUP(C1054,'RAW DATA 2023'!E:BO,13,0)</f>
        <v>#N/A</v>
      </c>
      <c r="H1054" s="63" t="e">
        <f t="shared" si="130"/>
        <v>#N/A</v>
      </c>
      <c r="I1054" s="63" t="e">
        <f t="shared" si="126"/>
        <v>#N/A</v>
      </c>
      <c r="J1054" s="106" t="e">
        <f>VLOOKUP(C1054,'RAW DATA 2023'!E:BO,22,0)</f>
        <v>#N/A</v>
      </c>
      <c r="K1054" s="70" t="e">
        <f t="shared" si="127"/>
        <v>#N/A</v>
      </c>
      <c r="L1054" s="72"/>
      <c r="M1054" s="109" t="e">
        <f t="shared" si="132"/>
        <v>#N/A</v>
      </c>
      <c r="N1054" s="123" t="e">
        <f>VLOOKUP(C1054,'RAW DATA 2023'!E:BO,36,0)</f>
        <v>#N/A</v>
      </c>
      <c r="O1054" s="63" t="e">
        <f>VLOOKUP(C1054,'RAW DATA 2023'!E:BO,2,0)</f>
        <v>#N/A</v>
      </c>
      <c r="P1054" s="322" t="e">
        <f t="shared" si="131"/>
        <v>#N/A</v>
      </c>
    </row>
    <row r="1055" spans="1:16">
      <c r="A1055" s="63">
        <f>'RAW DATA 2023'!B1048</f>
        <v>0</v>
      </c>
      <c r="B1055" s="63">
        <f>'RAW DATA 2023'!D1048</f>
        <v>0</v>
      </c>
      <c r="C1055" s="63" t="str">
        <f t="shared" si="128"/>
        <v>00</v>
      </c>
      <c r="D1055" s="68" t="e">
        <f>VLOOKUP(C1055,'RAW DATA 2023'!E:BP,63,0)</f>
        <v>#N/A</v>
      </c>
      <c r="E1055" s="68" t="e">
        <f t="shared" si="129"/>
        <v>#N/A</v>
      </c>
      <c r="F1055" s="63" t="e">
        <f>VLOOKUP(C1055,'RAW DATA 2023'!E:BO,5,0)</f>
        <v>#N/A</v>
      </c>
      <c r="G1055" s="63" t="e">
        <f>VLOOKUP(C1055,'RAW DATA 2023'!E:BO,13,0)</f>
        <v>#N/A</v>
      </c>
      <c r="H1055" s="63" t="e">
        <f t="shared" si="130"/>
        <v>#N/A</v>
      </c>
      <c r="I1055" s="63" t="e">
        <f t="shared" si="126"/>
        <v>#N/A</v>
      </c>
      <c r="J1055" s="106" t="e">
        <f>VLOOKUP(C1055,'RAW DATA 2023'!E:BO,22,0)</f>
        <v>#N/A</v>
      </c>
      <c r="K1055" s="70" t="e">
        <f t="shared" si="127"/>
        <v>#N/A</v>
      </c>
      <c r="L1055" s="72"/>
      <c r="M1055" s="109" t="e">
        <f t="shared" si="132"/>
        <v>#N/A</v>
      </c>
      <c r="N1055" s="123" t="e">
        <f>VLOOKUP(C1055,'RAW DATA 2023'!E:BO,36,0)</f>
        <v>#N/A</v>
      </c>
      <c r="O1055" s="63" t="e">
        <f>VLOOKUP(C1055,'RAW DATA 2023'!E:BO,2,0)</f>
        <v>#N/A</v>
      </c>
      <c r="P1055" s="322" t="e">
        <f t="shared" si="131"/>
        <v>#N/A</v>
      </c>
    </row>
    <row r="1056" spans="1:16">
      <c r="A1056" s="63">
        <f>'RAW DATA 2023'!B1049</f>
        <v>0</v>
      </c>
      <c r="B1056" s="63">
        <f>'RAW DATA 2023'!D1049</f>
        <v>0</v>
      </c>
      <c r="C1056" s="63" t="str">
        <f t="shared" si="128"/>
        <v>00</v>
      </c>
      <c r="D1056" s="68" t="e">
        <f>VLOOKUP(C1056,'RAW DATA 2023'!E:BP,63,0)</f>
        <v>#N/A</v>
      </c>
      <c r="E1056" s="68" t="e">
        <f t="shared" si="129"/>
        <v>#N/A</v>
      </c>
      <c r="F1056" s="63" t="e">
        <f>VLOOKUP(C1056,'RAW DATA 2023'!E:BO,5,0)</f>
        <v>#N/A</v>
      </c>
      <c r="G1056" s="63" t="e">
        <f>VLOOKUP(C1056,'RAW DATA 2023'!E:BO,13,0)</f>
        <v>#N/A</v>
      </c>
      <c r="H1056" s="63" t="e">
        <f t="shared" si="130"/>
        <v>#N/A</v>
      </c>
      <c r="I1056" s="63" t="e">
        <f t="shared" si="126"/>
        <v>#N/A</v>
      </c>
      <c r="J1056" s="106" t="e">
        <f>VLOOKUP(C1056,'RAW DATA 2023'!E:BO,22,0)</f>
        <v>#N/A</v>
      </c>
      <c r="K1056" s="70" t="e">
        <f t="shared" si="127"/>
        <v>#N/A</v>
      </c>
      <c r="L1056" s="72"/>
      <c r="M1056" s="109" t="e">
        <f t="shared" si="132"/>
        <v>#N/A</v>
      </c>
      <c r="N1056" s="123" t="e">
        <f>VLOOKUP(C1056,'RAW DATA 2023'!E:BO,36,0)</f>
        <v>#N/A</v>
      </c>
      <c r="O1056" s="63" t="e">
        <f>VLOOKUP(C1056,'RAW DATA 2023'!E:BO,2,0)</f>
        <v>#N/A</v>
      </c>
      <c r="P1056" s="322" t="e">
        <f t="shared" si="131"/>
        <v>#N/A</v>
      </c>
    </row>
    <row r="1057" spans="1:16">
      <c r="A1057" s="63">
        <f>'RAW DATA 2023'!B1050</f>
        <v>0</v>
      </c>
      <c r="B1057" s="63">
        <f>'RAW DATA 2023'!D1050</f>
        <v>0</v>
      </c>
      <c r="C1057" s="63" t="str">
        <f t="shared" si="128"/>
        <v>00</v>
      </c>
      <c r="D1057" s="68" t="e">
        <f>VLOOKUP(C1057,'RAW DATA 2023'!E:BP,63,0)</f>
        <v>#N/A</v>
      </c>
      <c r="E1057" s="68" t="e">
        <f t="shared" si="129"/>
        <v>#N/A</v>
      </c>
      <c r="F1057" s="63" t="e">
        <f>VLOOKUP(C1057,'RAW DATA 2023'!E:BO,5,0)</f>
        <v>#N/A</v>
      </c>
      <c r="G1057" s="63" t="e">
        <f>VLOOKUP(C1057,'RAW DATA 2023'!E:BO,13,0)</f>
        <v>#N/A</v>
      </c>
      <c r="H1057" s="63" t="e">
        <f t="shared" si="130"/>
        <v>#N/A</v>
      </c>
      <c r="I1057" s="63" t="e">
        <f t="shared" si="126"/>
        <v>#N/A</v>
      </c>
      <c r="J1057" s="106" t="e">
        <f>VLOOKUP(C1057,'RAW DATA 2023'!E:BO,22,0)</f>
        <v>#N/A</v>
      </c>
      <c r="K1057" s="70" t="e">
        <f t="shared" si="127"/>
        <v>#N/A</v>
      </c>
      <c r="L1057" s="72"/>
      <c r="M1057" s="109" t="e">
        <f t="shared" si="132"/>
        <v>#N/A</v>
      </c>
      <c r="N1057" s="123" t="e">
        <f>VLOOKUP(C1057,'RAW DATA 2023'!E:BO,36,0)</f>
        <v>#N/A</v>
      </c>
      <c r="O1057" s="63" t="e">
        <f>VLOOKUP(C1057,'RAW DATA 2023'!E:BO,2,0)</f>
        <v>#N/A</v>
      </c>
      <c r="P1057" s="322" t="e">
        <f t="shared" si="131"/>
        <v>#N/A</v>
      </c>
    </row>
    <row r="1058" spans="1:16">
      <c r="A1058" s="63">
        <f>'RAW DATA 2023'!B1051</f>
        <v>0</v>
      </c>
      <c r="B1058" s="63">
        <f>'RAW DATA 2023'!D1051</f>
        <v>0</v>
      </c>
      <c r="C1058" s="63" t="str">
        <f t="shared" si="128"/>
        <v>00</v>
      </c>
      <c r="D1058" s="68" t="e">
        <f>VLOOKUP(C1058,'RAW DATA 2023'!E:BP,63,0)</f>
        <v>#N/A</v>
      </c>
      <c r="E1058" s="68" t="e">
        <f t="shared" si="129"/>
        <v>#N/A</v>
      </c>
      <c r="F1058" s="63" t="e">
        <f>VLOOKUP(C1058,'RAW DATA 2023'!E:BO,5,0)</f>
        <v>#N/A</v>
      </c>
      <c r="G1058" s="63" t="e">
        <f>VLOOKUP(C1058,'RAW DATA 2023'!E:BO,13,0)</f>
        <v>#N/A</v>
      </c>
      <c r="H1058" s="63" t="e">
        <f t="shared" si="130"/>
        <v>#N/A</v>
      </c>
      <c r="I1058" s="63" t="e">
        <f t="shared" si="126"/>
        <v>#N/A</v>
      </c>
      <c r="J1058" s="106" t="e">
        <f>VLOOKUP(C1058,'RAW DATA 2023'!E:BO,22,0)</f>
        <v>#N/A</v>
      </c>
      <c r="K1058" s="70" t="e">
        <f t="shared" si="127"/>
        <v>#N/A</v>
      </c>
      <c r="L1058" s="72"/>
      <c r="M1058" s="109" t="e">
        <f t="shared" si="132"/>
        <v>#N/A</v>
      </c>
      <c r="N1058" s="123" t="e">
        <f>VLOOKUP(C1058,'RAW DATA 2023'!E:BO,36,0)</f>
        <v>#N/A</v>
      </c>
      <c r="O1058" s="63" t="e">
        <f>VLOOKUP(C1058,'RAW DATA 2023'!E:BO,2,0)</f>
        <v>#N/A</v>
      </c>
      <c r="P1058" s="322" t="e">
        <f t="shared" si="131"/>
        <v>#N/A</v>
      </c>
    </row>
    <row r="1059" spans="1:16">
      <c r="A1059" s="63">
        <f>'RAW DATA 2023'!B1052</f>
        <v>0</v>
      </c>
      <c r="B1059" s="63">
        <f>'RAW DATA 2023'!D1052</f>
        <v>0</v>
      </c>
      <c r="C1059" s="63" t="str">
        <f t="shared" si="128"/>
        <v>00</v>
      </c>
      <c r="D1059" s="68" t="e">
        <f>VLOOKUP(C1059,'RAW DATA 2023'!E:BP,63,0)</f>
        <v>#N/A</v>
      </c>
      <c r="E1059" s="68" t="e">
        <f t="shared" si="129"/>
        <v>#N/A</v>
      </c>
      <c r="F1059" s="63" t="e">
        <f>VLOOKUP(C1059,'RAW DATA 2023'!E:BO,5,0)</f>
        <v>#N/A</v>
      </c>
      <c r="G1059" s="63" t="e">
        <f>VLOOKUP(C1059,'RAW DATA 2023'!E:BO,13,0)</f>
        <v>#N/A</v>
      </c>
      <c r="H1059" s="63" t="e">
        <f t="shared" si="130"/>
        <v>#N/A</v>
      </c>
      <c r="I1059" s="63" t="e">
        <f t="shared" si="126"/>
        <v>#N/A</v>
      </c>
      <c r="J1059" s="106" t="e">
        <f>VLOOKUP(C1059,'RAW DATA 2023'!E:BO,22,0)</f>
        <v>#N/A</v>
      </c>
      <c r="K1059" s="70" t="e">
        <f t="shared" si="127"/>
        <v>#N/A</v>
      </c>
      <c r="L1059" s="72"/>
      <c r="M1059" s="109" t="e">
        <f t="shared" si="132"/>
        <v>#N/A</v>
      </c>
      <c r="N1059" s="123" t="e">
        <f>VLOOKUP(C1059,'RAW DATA 2023'!E:BO,36,0)</f>
        <v>#N/A</v>
      </c>
      <c r="O1059" s="63" t="e">
        <f>VLOOKUP(C1059,'RAW DATA 2023'!E:BO,2,0)</f>
        <v>#N/A</v>
      </c>
      <c r="P1059" s="322" t="e">
        <f t="shared" si="131"/>
        <v>#N/A</v>
      </c>
    </row>
    <row r="1060" spans="1:16">
      <c r="A1060" s="63">
        <f>'RAW DATA 2023'!B1053</f>
        <v>0</v>
      </c>
      <c r="B1060" s="63">
        <f>'RAW DATA 2023'!D1053</f>
        <v>0</v>
      </c>
      <c r="C1060" s="63" t="str">
        <f t="shared" si="128"/>
        <v>00</v>
      </c>
      <c r="D1060" s="68" t="e">
        <f>VLOOKUP(C1060,'RAW DATA 2023'!E:BP,63,0)</f>
        <v>#N/A</v>
      </c>
      <c r="E1060" s="68" t="e">
        <f t="shared" si="129"/>
        <v>#N/A</v>
      </c>
      <c r="F1060" s="63" t="e">
        <f>VLOOKUP(C1060,'RAW DATA 2023'!E:BO,5,0)</f>
        <v>#N/A</v>
      </c>
      <c r="G1060" s="63" t="e">
        <f>VLOOKUP(C1060,'RAW DATA 2023'!E:BO,13,0)</f>
        <v>#N/A</v>
      </c>
      <c r="H1060" s="63" t="e">
        <f t="shared" si="130"/>
        <v>#N/A</v>
      </c>
      <c r="I1060" s="63" t="e">
        <f t="shared" si="126"/>
        <v>#N/A</v>
      </c>
      <c r="J1060" s="106" t="e">
        <f>VLOOKUP(C1060,'RAW DATA 2023'!E:BO,22,0)</f>
        <v>#N/A</v>
      </c>
      <c r="K1060" s="70" t="e">
        <f t="shared" si="127"/>
        <v>#N/A</v>
      </c>
      <c r="L1060" s="72"/>
      <c r="M1060" s="109" t="e">
        <f t="shared" si="132"/>
        <v>#N/A</v>
      </c>
      <c r="N1060" s="123" t="e">
        <f>VLOOKUP(C1060,'RAW DATA 2023'!E:BO,36,0)</f>
        <v>#N/A</v>
      </c>
      <c r="O1060" s="63" t="e">
        <f>VLOOKUP(C1060,'RAW DATA 2023'!E:BO,2,0)</f>
        <v>#N/A</v>
      </c>
      <c r="P1060" s="322" t="e">
        <f t="shared" si="131"/>
        <v>#N/A</v>
      </c>
    </row>
    <row r="1061" spans="1:16">
      <c r="A1061" s="63">
        <f>'RAW DATA 2023'!B1054</f>
        <v>0</v>
      </c>
      <c r="B1061" s="63">
        <f>'RAW DATA 2023'!D1054</f>
        <v>0</v>
      </c>
      <c r="C1061" s="63" t="str">
        <f t="shared" si="128"/>
        <v>00</v>
      </c>
      <c r="D1061" s="68" t="e">
        <f>VLOOKUP(C1061,'RAW DATA 2023'!E:BP,63,0)</f>
        <v>#N/A</v>
      </c>
      <c r="E1061" s="68" t="e">
        <f t="shared" si="129"/>
        <v>#N/A</v>
      </c>
      <c r="F1061" s="63" t="e">
        <f>VLOOKUP(C1061,'RAW DATA 2023'!E:BO,5,0)</f>
        <v>#N/A</v>
      </c>
      <c r="G1061" s="63" t="e">
        <f>VLOOKUP(C1061,'RAW DATA 2023'!E:BO,13,0)</f>
        <v>#N/A</v>
      </c>
      <c r="H1061" s="63" t="e">
        <f t="shared" si="130"/>
        <v>#N/A</v>
      </c>
      <c r="I1061" s="63" t="e">
        <f t="shared" si="126"/>
        <v>#N/A</v>
      </c>
      <c r="J1061" s="106" t="e">
        <f>VLOOKUP(C1061,'RAW DATA 2023'!E:BO,22,0)</f>
        <v>#N/A</v>
      </c>
      <c r="K1061" s="70" t="e">
        <f t="shared" si="127"/>
        <v>#N/A</v>
      </c>
      <c r="L1061" s="72"/>
      <c r="M1061" s="109" t="e">
        <f t="shared" si="132"/>
        <v>#N/A</v>
      </c>
      <c r="N1061" s="123" t="e">
        <f>VLOOKUP(C1061,'RAW DATA 2023'!E:BO,36,0)</f>
        <v>#N/A</v>
      </c>
      <c r="O1061" s="63" t="e">
        <f>VLOOKUP(C1061,'RAW DATA 2023'!E:BO,2,0)</f>
        <v>#N/A</v>
      </c>
      <c r="P1061" s="322" t="e">
        <f t="shared" si="131"/>
        <v>#N/A</v>
      </c>
    </row>
    <row r="1062" spans="1:16">
      <c r="A1062" s="63">
        <f>'RAW DATA 2023'!B1055</f>
        <v>0</v>
      </c>
      <c r="B1062" s="63">
        <f>'RAW DATA 2023'!D1055</f>
        <v>0</v>
      </c>
      <c r="C1062" s="63" t="str">
        <f t="shared" si="128"/>
        <v>00</v>
      </c>
      <c r="D1062" s="68" t="e">
        <f>VLOOKUP(C1062,'RAW DATA 2023'!E:BP,63,0)</f>
        <v>#N/A</v>
      </c>
      <c r="E1062" s="68" t="e">
        <f t="shared" si="129"/>
        <v>#N/A</v>
      </c>
      <c r="F1062" s="63" t="e">
        <f>VLOOKUP(C1062,'RAW DATA 2023'!E:BO,5,0)</f>
        <v>#N/A</v>
      </c>
      <c r="G1062" s="63" t="e">
        <f>VLOOKUP(C1062,'RAW DATA 2023'!E:BO,13,0)</f>
        <v>#N/A</v>
      </c>
      <c r="H1062" s="63" t="e">
        <f t="shared" si="130"/>
        <v>#N/A</v>
      </c>
      <c r="I1062" s="63" t="e">
        <f t="shared" si="126"/>
        <v>#N/A</v>
      </c>
      <c r="J1062" s="106" t="e">
        <f>VLOOKUP(C1062,'RAW DATA 2023'!E:BO,22,0)</f>
        <v>#N/A</v>
      </c>
      <c r="K1062" s="70" t="e">
        <f t="shared" si="127"/>
        <v>#N/A</v>
      </c>
      <c r="L1062" s="72"/>
      <c r="M1062" s="109" t="e">
        <f t="shared" si="132"/>
        <v>#N/A</v>
      </c>
      <c r="N1062" s="123" t="e">
        <f>VLOOKUP(C1062,'RAW DATA 2023'!E:BO,36,0)</f>
        <v>#N/A</v>
      </c>
      <c r="O1062" s="63" t="e">
        <f>VLOOKUP(C1062,'RAW DATA 2023'!E:BO,2,0)</f>
        <v>#N/A</v>
      </c>
      <c r="P1062" s="322" t="e">
        <f t="shared" si="131"/>
        <v>#N/A</v>
      </c>
    </row>
    <row r="1063" spans="1:16">
      <c r="A1063" s="63">
        <f>'RAW DATA 2023'!B1056</f>
        <v>0</v>
      </c>
      <c r="B1063" s="63">
        <f>'RAW DATA 2023'!D1056</f>
        <v>0</v>
      </c>
      <c r="C1063" s="63" t="str">
        <f t="shared" si="128"/>
        <v>00</v>
      </c>
      <c r="D1063" s="68" t="e">
        <f>VLOOKUP(C1063,'RAW DATA 2023'!E:BP,63,0)</f>
        <v>#N/A</v>
      </c>
      <c r="E1063" s="68" t="e">
        <f t="shared" si="129"/>
        <v>#N/A</v>
      </c>
      <c r="F1063" s="63" t="e">
        <f>VLOOKUP(C1063,'RAW DATA 2023'!E:BO,5,0)</f>
        <v>#N/A</v>
      </c>
      <c r="G1063" s="63" t="e">
        <f>VLOOKUP(C1063,'RAW DATA 2023'!E:BO,13,0)</f>
        <v>#N/A</v>
      </c>
      <c r="H1063" s="63" t="e">
        <f t="shared" si="130"/>
        <v>#N/A</v>
      </c>
      <c r="I1063" s="63" t="e">
        <f t="shared" si="126"/>
        <v>#N/A</v>
      </c>
      <c r="J1063" s="106" t="e">
        <f>VLOOKUP(C1063,'RAW DATA 2023'!E:BO,22,0)</f>
        <v>#N/A</v>
      </c>
      <c r="K1063" s="70" t="e">
        <f t="shared" si="127"/>
        <v>#N/A</v>
      </c>
      <c r="L1063" s="72"/>
      <c r="M1063" s="109" t="e">
        <f t="shared" si="132"/>
        <v>#N/A</v>
      </c>
      <c r="N1063" s="123" t="e">
        <f>VLOOKUP(C1063,'RAW DATA 2023'!E:BO,36,0)</f>
        <v>#N/A</v>
      </c>
      <c r="O1063" s="63" t="e">
        <f>VLOOKUP(C1063,'RAW DATA 2023'!E:BO,2,0)</f>
        <v>#N/A</v>
      </c>
      <c r="P1063" s="322" t="e">
        <f t="shared" si="131"/>
        <v>#N/A</v>
      </c>
    </row>
    <row r="1064" spans="1:16">
      <c r="A1064" s="63">
        <f>'RAW DATA 2023'!B1057</f>
        <v>0</v>
      </c>
      <c r="B1064" s="63">
        <f>'RAW DATA 2023'!D1057</f>
        <v>0</v>
      </c>
      <c r="C1064" s="63" t="str">
        <f t="shared" si="128"/>
        <v>00</v>
      </c>
      <c r="D1064" s="68" t="e">
        <f>VLOOKUP(C1064,'RAW DATA 2023'!E:BP,63,0)</f>
        <v>#N/A</v>
      </c>
      <c r="E1064" s="68" t="e">
        <f t="shared" si="129"/>
        <v>#N/A</v>
      </c>
      <c r="F1064" s="63" t="e">
        <f>VLOOKUP(C1064,'RAW DATA 2023'!E:BO,5,0)</f>
        <v>#N/A</v>
      </c>
      <c r="G1064" s="63" t="e">
        <f>VLOOKUP(C1064,'RAW DATA 2023'!E:BO,13,0)</f>
        <v>#N/A</v>
      </c>
      <c r="H1064" s="63" t="e">
        <f t="shared" si="130"/>
        <v>#N/A</v>
      </c>
      <c r="I1064" s="63" t="e">
        <f t="shared" si="126"/>
        <v>#N/A</v>
      </c>
      <c r="J1064" s="106" t="e">
        <f>VLOOKUP(C1064,'RAW DATA 2023'!E:BO,22,0)</f>
        <v>#N/A</v>
      </c>
      <c r="K1064" s="70" t="e">
        <f t="shared" si="127"/>
        <v>#N/A</v>
      </c>
      <c r="L1064" s="72"/>
      <c r="M1064" s="109" t="e">
        <f t="shared" si="132"/>
        <v>#N/A</v>
      </c>
      <c r="N1064" s="123" t="e">
        <f>VLOOKUP(C1064,'RAW DATA 2023'!E:BO,36,0)</f>
        <v>#N/A</v>
      </c>
      <c r="O1064" s="63" t="e">
        <f>VLOOKUP(C1064,'RAW DATA 2023'!E:BO,2,0)</f>
        <v>#N/A</v>
      </c>
      <c r="P1064" s="322" t="e">
        <f t="shared" si="131"/>
        <v>#N/A</v>
      </c>
    </row>
    <row r="1065" spans="1:16">
      <c r="A1065" s="63">
        <f>'RAW DATA 2023'!B1058</f>
        <v>0</v>
      </c>
      <c r="B1065" s="63">
        <f>'RAW DATA 2023'!D1058</f>
        <v>0</v>
      </c>
      <c r="C1065" s="63" t="str">
        <f t="shared" si="128"/>
        <v>00</v>
      </c>
      <c r="D1065" s="68" t="e">
        <f>VLOOKUP(C1065,'RAW DATA 2023'!E:BP,63,0)</f>
        <v>#N/A</v>
      </c>
      <c r="E1065" s="68" t="e">
        <f t="shared" si="129"/>
        <v>#N/A</v>
      </c>
      <c r="F1065" s="63" t="e">
        <f>VLOOKUP(C1065,'RAW DATA 2023'!E:BO,5,0)</f>
        <v>#N/A</v>
      </c>
      <c r="G1065" s="63" t="e">
        <f>VLOOKUP(C1065,'RAW DATA 2023'!E:BO,13,0)</f>
        <v>#N/A</v>
      </c>
      <c r="H1065" s="63" t="e">
        <f t="shared" si="130"/>
        <v>#N/A</v>
      </c>
      <c r="I1065" s="63" t="e">
        <f t="shared" si="126"/>
        <v>#N/A</v>
      </c>
      <c r="J1065" s="106" t="e">
        <f>VLOOKUP(C1065,'RAW DATA 2023'!E:BO,22,0)</f>
        <v>#N/A</v>
      </c>
      <c r="K1065" s="70" t="e">
        <f t="shared" si="127"/>
        <v>#N/A</v>
      </c>
      <c r="L1065" s="72"/>
      <c r="M1065" s="109" t="e">
        <f t="shared" si="132"/>
        <v>#N/A</v>
      </c>
      <c r="N1065" s="123" t="e">
        <f>VLOOKUP(C1065,'RAW DATA 2023'!E:BO,36,0)</f>
        <v>#N/A</v>
      </c>
      <c r="O1065" s="63" t="e">
        <f>VLOOKUP(C1065,'RAW DATA 2023'!E:BO,2,0)</f>
        <v>#N/A</v>
      </c>
      <c r="P1065" s="322" t="e">
        <f t="shared" si="131"/>
        <v>#N/A</v>
      </c>
    </row>
    <row r="1066" spans="1:16">
      <c r="A1066" s="63">
        <f>'RAW DATA 2023'!B1059</f>
        <v>0</v>
      </c>
      <c r="B1066" s="63">
        <f>'RAW DATA 2023'!D1059</f>
        <v>0</v>
      </c>
      <c r="C1066" s="63" t="str">
        <f t="shared" si="128"/>
        <v>00</v>
      </c>
      <c r="D1066" s="68" t="e">
        <f>VLOOKUP(C1066,'RAW DATA 2023'!E:BP,63,0)</f>
        <v>#N/A</v>
      </c>
      <c r="E1066" s="68" t="e">
        <f t="shared" si="129"/>
        <v>#N/A</v>
      </c>
      <c r="F1066" s="63" t="e">
        <f>VLOOKUP(C1066,'RAW DATA 2023'!E:BO,5,0)</f>
        <v>#N/A</v>
      </c>
      <c r="G1066" s="63" t="e">
        <f>VLOOKUP(C1066,'RAW DATA 2023'!E:BO,13,0)</f>
        <v>#N/A</v>
      </c>
      <c r="H1066" s="63" t="e">
        <f t="shared" si="130"/>
        <v>#N/A</v>
      </c>
      <c r="I1066" s="63" t="e">
        <f t="shared" si="126"/>
        <v>#N/A</v>
      </c>
      <c r="J1066" s="106" t="e">
        <f>VLOOKUP(C1066,'RAW DATA 2023'!E:BO,22,0)</f>
        <v>#N/A</v>
      </c>
      <c r="K1066" s="70" t="e">
        <f t="shared" si="127"/>
        <v>#N/A</v>
      </c>
      <c r="L1066" s="72"/>
      <c r="M1066" s="109" t="e">
        <f t="shared" si="132"/>
        <v>#N/A</v>
      </c>
      <c r="N1066" s="123" t="e">
        <f>VLOOKUP(C1066,'RAW DATA 2023'!E:BO,36,0)</f>
        <v>#N/A</v>
      </c>
      <c r="O1066" s="63" t="e">
        <f>VLOOKUP(C1066,'RAW DATA 2023'!E:BO,2,0)</f>
        <v>#N/A</v>
      </c>
      <c r="P1066" s="322" t="e">
        <f t="shared" si="131"/>
        <v>#N/A</v>
      </c>
    </row>
    <row r="1067" spans="1:16">
      <c r="A1067" s="63">
        <f>'RAW DATA 2023'!B1060</f>
        <v>0</v>
      </c>
      <c r="B1067" s="63">
        <f>'RAW DATA 2023'!D1060</f>
        <v>0</v>
      </c>
      <c r="C1067" s="63" t="str">
        <f t="shared" si="128"/>
        <v>00</v>
      </c>
      <c r="D1067" s="68" t="e">
        <f>VLOOKUP(C1067,'RAW DATA 2023'!E:BP,63,0)</f>
        <v>#N/A</v>
      </c>
      <c r="E1067" s="68" t="e">
        <f t="shared" si="129"/>
        <v>#N/A</v>
      </c>
      <c r="F1067" s="63" t="e">
        <f>VLOOKUP(C1067,'RAW DATA 2023'!E:BO,5,0)</f>
        <v>#N/A</v>
      </c>
      <c r="G1067" s="63" t="e">
        <f>VLOOKUP(C1067,'RAW DATA 2023'!E:BO,13,0)</f>
        <v>#N/A</v>
      </c>
      <c r="H1067" s="63" t="e">
        <f t="shared" si="130"/>
        <v>#N/A</v>
      </c>
      <c r="I1067" s="63" t="e">
        <f t="shared" si="126"/>
        <v>#N/A</v>
      </c>
      <c r="J1067" s="106" t="e">
        <f>VLOOKUP(C1067,'RAW DATA 2023'!E:BO,22,0)</f>
        <v>#N/A</v>
      </c>
      <c r="K1067" s="70" t="e">
        <f t="shared" si="127"/>
        <v>#N/A</v>
      </c>
      <c r="L1067" s="72"/>
      <c r="M1067" s="109" t="e">
        <f t="shared" si="132"/>
        <v>#N/A</v>
      </c>
      <c r="N1067" s="123" t="e">
        <f>VLOOKUP(C1067,'RAW DATA 2023'!E:BO,36,0)</f>
        <v>#N/A</v>
      </c>
      <c r="O1067" s="63" t="e">
        <f>VLOOKUP(C1067,'RAW DATA 2023'!E:BO,2,0)</f>
        <v>#N/A</v>
      </c>
      <c r="P1067" s="322" t="e">
        <f t="shared" si="131"/>
        <v>#N/A</v>
      </c>
    </row>
    <row r="1068" spans="1:16">
      <c r="A1068" s="63">
        <f>'RAW DATA 2023'!B1061</f>
        <v>0</v>
      </c>
      <c r="B1068" s="63">
        <f>'RAW DATA 2023'!D1061</f>
        <v>0</v>
      </c>
      <c r="C1068" s="63" t="str">
        <f t="shared" si="128"/>
        <v>00</v>
      </c>
      <c r="D1068" s="68" t="e">
        <f>VLOOKUP(C1068,'RAW DATA 2023'!E:BP,63,0)</f>
        <v>#N/A</v>
      </c>
      <c r="E1068" s="68" t="e">
        <f t="shared" si="129"/>
        <v>#N/A</v>
      </c>
      <c r="F1068" s="63" t="e">
        <f>VLOOKUP(C1068,'RAW DATA 2023'!E:BO,5,0)</f>
        <v>#N/A</v>
      </c>
      <c r="G1068" s="63" t="e">
        <f>VLOOKUP(C1068,'RAW DATA 2023'!E:BO,13,0)</f>
        <v>#N/A</v>
      </c>
      <c r="H1068" s="63" t="e">
        <f t="shared" si="130"/>
        <v>#N/A</v>
      </c>
      <c r="I1068" s="63" t="e">
        <f t="shared" si="126"/>
        <v>#N/A</v>
      </c>
      <c r="J1068" s="106" t="e">
        <f>VLOOKUP(C1068,'RAW DATA 2023'!E:BO,22,0)</f>
        <v>#N/A</v>
      </c>
      <c r="K1068" s="70" t="e">
        <f t="shared" si="127"/>
        <v>#N/A</v>
      </c>
      <c r="L1068" s="72"/>
      <c r="M1068" s="109" t="e">
        <f t="shared" si="132"/>
        <v>#N/A</v>
      </c>
      <c r="N1068" s="123" t="e">
        <f>VLOOKUP(C1068,'RAW DATA 2023'!E:BO,36,0)</f>
        <v>#N/A</v>
      </c>
      <c r="O1068" s="63" t="e">
        <f>VLOOKUP(C1068,'RAW DATA 2023'!E:BO,2,0)</f>
        <v>#N/A</v>
      </c>
      <c r="P1068" s="322" t="e">
        <f t="shared" si="131"/>
        <v>#N/A</v>
      </c>
    </row>
    <row r="1069" spans="1:16">
      <c r="A1069" s="63">
        <f>'RAW DATA 2023'!B1062</f>
        <v>0</v>
      </c>
      <c r="B1069" s="63">
        <f>'RAW DATA 2023'!D1062</f>
        <v>0</v>
      </c>
      <c r="C1069" s="63" t="str">
        <f t="shared" si="128"/>
        <v>00</v>
      </c>
      <c r="D1069" s="68" t="e">
        <f>VLOOKUP(C1069,'RAW DATA 2023'!E:BP,63,0)</f>
        <v>#N/A</v>
      </c>
      <c r="E1069" s="68" t="e">
        <f t="shared" si="129"/>
        <v>#N/A</v>
      </c>
      <c r="F1069" s="63" t="e">
        <f>VLOOKUP(C1069,'RAW DATA 2023'!E:BO,5,0)</f>
        <v>#N/A</v>
      </c>
      <c r="G1069" s="63" t="e">
        <f>VLOOKUP(C1069,'RAW DATA 2023'!E:BO,13,0)</f>
        <v>#N/A</v>
      </c>
      <c r="H1069" s="63" t="e">
        <f t="shared" si="130"/>
        <v>#N/A</v>
      </c>
      <c r="I1069" s="63" t="e">
        <f t="shared" si="126"/>
        <v>#N/A</v>
      </c>
      <c r="J1069" s="106" t="e">
        <f>VLOOKUP(C1069,'RAW DATA 2023'!E:BO,22,0)</f>
        <v>#N/A</v>
      </c>
      <c r="K1069" s="70" t="e">
        <f t="shared" si="127"/>
        <v>#N/A</v>
      </c>
      <c r="L1069" s="72"/>
      <c r="M1069" s="109" t="e">
        <f t="shared" si="132"/>
        <v>#N/A</v>
      </c>
      <c r="N1069" s="123" t="e">
        <f>VLOOKUP(C1069,'RAW DATA 2023'!E:BO,36,0)</f>
        <v>#N/A</v>
      </c>
      <c r="O1069" s="63" t="e">
        <f>VLOOKUP(C1069,'RAW DATA 2023'!E:BO,2,0)</f>
        <v>#N/A</v>
      </c>
      <c r="P1069" s="322" t="e">
        <f t="shared" si="131"/>
        <v>#N/A</v>
      </c>
    </row>
    <row r="1070" spans="1:16">
      <c r="A1070" s="63">
        <f>'RAW DATA 2023'!B1063</f>
        <v>0</v>
      </c>
      <c r="B1070" s="63">
        <f>'RAW DATA 2023'!D1063</f>
        <v>0</v>
      </c>
      <c r="C1070" s="63" t="str">
        <f t="shared" si="128"/>
        <v>00</v>
      </c>
      <c r="D1070" s="68" t="e">
        <f>VLOOKUP(C1070,'RAW DATA 2023'!E:BP,63,0)</f>
        <v>#N/A</v>
      </c>
      <c r="E1070" s="68" t="e">
        <f t="shared" si="129"/>
        <v>#N/A</v>
      </c>
      <c r="F1070" s="63" t="e">
        <f>VLOOKUP(C1070,'RAW DATA 2023'!E:BO,5,0)</f>
        <v>#N/A</v>
      </c>
      <c r="G1070" s="63" t="e">
        <f>VLOOKUP(C1070,'RAW DATA 2023'!E:BO,13,0)</f>
        <v>#N/A</v>
      </c>
      <c r="H1070" s="63" t="e">
        <f t="shared" si="130"/>
        <v>#N/A</v>
      </c>
      <c r="I1070" s="63" t="e">
        <f t="shared" si="126"/>
        <v>#N/A</v>
      </c>
      <c r="J1070" s="106" t="e">
        <f>VLOOKUP(C1070,'RAW DATA 2023'!E:BO,22,0)</f>
        <v>#N/A</v>
      </c>
      <c r="K1070" s="70" t="e">
        <f t="shared" si="127"/>
        <v>#N/A</v>
      </c>
      <c r="L1070" s="72"/>
      <c r="M1070" s="109" t="e">
        <f t="shared" si="132"/>
        <v>#N/A</v>
      </c>
      <c r="N1070" s="123" t="e">
        <f>VLOOKUP(C1070,'RAW DATA 2023'!E:BO,36,0)</f>
        <v>#N/A</v>
      </c>
      <c r="O1070" s="63" t="e">
        <f>VLOOKUP(C1070,'RAW DATA 2023'!E:BO,2,0)</f>
        <v>#N/A</v>
      </c>
      <c r="P1070" s="322" t="e">
        <f t="shared" si="131"/>
        <v>#N/A</v>
      </c>
    </row>
    <row r="1071" spans="1:16">
      <c r="A1071" s="63">
        <f>'RAW DATA 2023'!B1064</f>
        <v>0</v>
      </c>
      <c r="B1071" s="63">
        <f>'RAW DATA 2023'!D1064</f>
        <v>0</v>
      </c>
      <c r="C1071" s="63" t="str">
        <f t="shared" si="128"/>
        <v>00</v>
      </c>
      <c r="D1071" s="68" t="e">
        <f>VLOOKUP(C1071,'RAW DATA 2023'!E:BP,63,0)</f>
        <v>#N/A</v>
      </c>
      <c r="E1071" s="68" t="e">
        <f t="shared" si="129"/>
        <v>#N/A</v>
      </c>
      <c r="F1071" s="63" t="e">
        <f>VLOOKUP(C1071,'RAW DATA 2023'!E:BO,5,0)</f>
        <v>#N/A</v>
      </c>
      <c r="G1071" s="63" t="e">
        <f>VLOOKUP(C1071,'RAW DATA 2023'!E:BO,13,0)</f>
        <v>#N/A</v>
      </c>
      <c r="H1071" s="63" t="e">
        <f t="shared" si="130"/>
        <v>#N/A</v>
      </c>
      <c r="I1071" s="63" t="e">
        <f t="shared" si="126"/>
        <v>#N/A</v>
      </c>
      <c r="J1071" s="106" t="e">
        <f>VLOOKUP(C1071,'RAW DATA 2023'!E:BO,22,0)</f>
        <v>#N/A</v>
      </c>
      <c r="K1071" s="70" t="e">
        <f t="shared" si="127"/>
        <v>#N/A</v>
      </c>
      <c r="L1071" s="72"/>
      <c r="M1071" s="109" t="e">
        <f t="shared" si="132"/>
        <v>#N/A</v>
      </c>
      <c r="N1071" s="123" t="e">
        <f>VLOOKUP(C1071,'RAW DATA 2023'!E:BO,36,0)</f>
        <v>#N/A</v>
      </c>
      <c r="O1071" s="63" t="e">
        <f>VLOOKUP(C1071,'RAW DATA 2023'!E:BO,2,0)</f>
        <v>#N/A</v>
      </c>
      <c r="P1071" s="322" t="e">
        <f t="shared" si="131"/>
        <v>#N/A</v>
      </c>
    </row>
    <row r="1072" spans="1:16">
      <c r="A1072" s="63">
        <f>'RAW DATA 2023'!B1065</f>
        <v>0</v>
      </c>
      <c r="B1072" s="63">
        <f>'RAW DATA 2023'!D1065</f>
        <v>0</v>
      </c>
      <c r="C1072" s="63" t="str">
        <f t="shared" si="128"/>
        <v>00</v>
      </c>
      <c r="D1072" s="68" t="e">
        <f>VLOOKUP(C1072,'RAW DATA 2023'!E:BP,63,0)</f>
        <v>#N/A</v>
      </c>
      <c r="E1072" s="68" t="e">
        <f t="shared" si="129"/>
        <v>#N/A</v>
      </c>
      <c r="F1072" s="63" t="e">
        <f>VLOOKUP(C1072,'RAW DATA 2023'!E:BO,5,0)</f>
        <v>#N/A</v>
      </c>
      <c r="G1072" s="63" t="e">
        <f>VLOOKUP(C1072,'RAW DATA 2023'!E:BO,13,0)</f>
        <v>#N/A</v>
      </c>
      <c r="H1072" s="63" t="e">
        <f t="shared" si="130"/>
        <v>#N/A</v>
      </c>
      <c r="I1072" s="63" t="e">
        <f t="shared" si="126"/>
        <v>#N/A</v>
      </c>
      <c r="J1072" s="106" t="e">
        <f>VLOOKUP(C1072,'RAW DATA 2023'!E:BO,22,0)</f>
        <v>#N/A</v>
      </c>
      <c r="K1072" s="70" t="e">
        <f t="shared" si="127"/>
        <v>#N/A</v>
      </c>
      <c r="L1072" s="72"/>
      <c r="M1072" s="109" t="e">
        <f t="shared" si="132"/>
        <v>#N/A</v>
      </c>
      <c r="N1072" s="123" t="e">
        <f>VLOOKUP(C1072,'RAW DATA 2023'!E:BO,36,0)</f>
        <v>#N/A</v>
      </c>
      <c r="O1072" s="63" t="e">
        <f>VLOOKUP(C1072,'RAW DATA 2023'!E:BO,2,0)</f>
        <v>#N/A</v>
      </c>
      <c r="P1072" s="322" t="e">
        <f t="shared" si="131"/>
        <v>#N/A</v>
      </c>
    </row>
    <row r="1073" spans="1:16">
      <c r="A1073" s="63">
        <f>'RAW DATA 2023'!B1066</f>
        <v>0</v>
      </c>
      <c r="B1073" s="63">
        <f>'RAW DATA 2023'!D1066</f>
        <v>0</v>
      </c>
      <c r="C1073" s="63" t="str">
        <f t="shared" si="128"/>
        <v>00</v>
      </c>
      <c r="D1073" s="68" t="e">
        <f>VLOOKUP(C1073,'RAW DATA 2023'!E:BP,63,0)</f>
        <v>#N/A</v>
      </c>
      <c r="E1073" s="68" t="e">
        <f t="shared" si="129"/>
        <v>#N/A</v>
      </c>
      <c r="F1073" s="63" t="e">
        <f>VLOOKUP(C1073,'RAW DATA 2023'!E:BO,5,0)</f>
        <v>#N/A</v>
      </c>
      <c r="G1073" s="63" t="e">
        <f>VLOOKUP(C1073,'RAW DATA 2023'!E:BO,13,0)</f>
        <v>#N/A</v>
      </c>
      <c r="H1073" s="63" t="e">
        <f t="shared" si="130"/>
        <v>#N/A</v>
      </c>
      <c r="I1073" s="63" t="e">
        <f t="shared" si="126"/>
        <v>#N/A</v>
      </c>
      <c r="J1073" s="106" t="e">
        <f>VLOOKUP(C1073,'RAW DATA 2023'!E:BO,22,0)</f>
        <v>#N/A</v>
      </c>
      <c r="K1073" s="70" t="e">
        <f t="shared" si="127"/>
        <v>#N/A</v>
      </c>
      <c r="L1073" s="72"/>
      <c r="M1073" s="109" t="e">
        <f t="shared" si="132"/>
        <v>#N/A</v>
      </c>
      <c r="N1073" s="123" t="e">
        <f>VLOOKUP(C1073,'RAW DATA 2023'!E:BO,36,0)</f>
        <v>#N/A</v>
      </c>
      <c r="O1073" s="63" t="e">
        <f>VLOOKUP(C1073,'RAW DATA 2023'!E:BO,2,0)</f>
        <v>#N/A</v>
      </c>
      <c r="P1073" s="322" t="e">
        <f t="shared" si="131"/>
        <v>#N/A</v>
      </c>
    </row>
    <row r="1074" spans="1:16">
      <c r="A1074" s="63">
        <f>'RAW DATA 2023'!B1067</f>
        <v>0</v>
      </c>
      <c r="B1074" s="63">
        <f>'RAW DATA 2023'!D1067</f>
        <v>0</v>
      </c>
      <c r="C1074" s="63" t="str">
        <f t="shared" si="128"/>
        <v>00</v>
      </c>
      <c r="D1074" s="68" t="e">
        <f>VLOOKUP(C1074,'RAW DATA 2023'!E:BP,63,0)</f>
        <v>#N/A</v>
      </c>
      <c r="E1074" s="68" t="e">
        <f t="shared" si="129"/>
        <v>#N/A</v>
      </c>
      <c r="F1074" s="63" t="e">
        <f>VLOOKUP(C1074,'RAW DATA 2023'!E:BO,5,0)</f>
        <v>#N/A</v>
      </c>
      <c r="G1074" s="63" t="e">
        <f>VLOOKUP(C1074,'RAW DATA 2023'!E:BO,13,0)</f>
        <v>#N/A</v>
      </c>
      <c r="H1074" s="63" t="e">
        <f t="shared" si="130"/>
        <v>#N/A</v>
      </c>
      <c r="I1074" s="63" t="e">
        <f t="shared" si="126"/>
        <v>#N/A</v>
      </c>
      <c r="J1074" s="106" t="e">
        <f>VLOOKUP(C1074,'RAW DATA 2023'!E:BO,22,0)</f>
        <v>#N/A</v>
      </c>
      <c r="K1074" s="70" t="e">
        <f t="shared" si="127"/>
        <v>#N/A</v>
      </c>
      <c r="L1074" s="72"/>
      <c r="M1074" s="109" t="e">
        <f t="shared" si="132"/>
        <v>#N/A</v>
      </c>
      <c r="N1074" s="123" t="e">
        <f>VLOOKUP(C1074,'RAW DATA 2023'!E:BO,36,0)</f>
        <v>#N/A</v>
      </c>
      <c r="O1074" s="63" t="e">
        <f>VLOOKUP(C1074,'RAW DATA 2023'!E:BO,2,0)</f>
        <v>#N/A</v>
      </c>
      <c r="P1074" s="322" t="e">
        <f t="shared" si="131"/>
        <v>#N/A</v>
      </c>
    </row>
    <row r="1075" spans="1:16">
      <c r="A1075" s="63">
        <f>'RAW DATA 2023'!B1068</f>
        <v>0</v>
      </c>
      <c r="B1075" s="63">
        <f>'RAW DATA 2023'!D1068</f>
        <v>0</v>
      </c>
      <c r="C1075" s="63" t="str">
        <f t="shared" si="128"/>
        <v>00</v>
      </c>
      <c r="D1075" s="68" t="e">
        <f>VLOOKUP(C1075,'RAW DATA 2023'!E:BP,63,0)</f>
        <v>#N/A</v>
      </c>
      <c r="E1075" s="68" t="e">
        <f t="shared" si="129"/>
        <v>#N/A</v>
      </c>
      <c r="F1075" s="63" t="e">
        <f>VLOOKUP(C1075,'RAW DATA 2023'!E:BO,5,0)</f>
        <v>#N/A</v>
      </c>
      <c r="G1075" s="63" t="e">
        <f>VLOOKUP(C1075,'RAW DATA 2023'!E:BO,13,0)</f>
        <v>#N/A</v>
      </c>
      <c r="H1075" s="63" t="e">
        <f t="shared" si="130"/>
        <v>#N/A</v>
      </c>
      <c r="I1075" s="63" t="e">
        <f t="shared" si="126"/>
        <v>#N/A</v>
      </c>
      <c r="J1075" s="106" t="e">
        <f>VLOOKUP(C1075,'RAW DATA 2023'!E:BO,22,0)</f>
        <v>#N/A</v>
      </c>
      <c r="K1075" s="70" t="e">
        <f t="shared" si="127"/>
        <v>#N/A</v>
      </c>
      <c r="L1075" s="72"/>
      <c r="M1075" s="109" t="e">
        <f t="shared" si="132"/>
        <v>#N/A</v>
      </c>
      <c r="N1075" s="123" t="e">
        <f>VLOOKUP(C1075,'RAW DATA 2023'!E:BO,36,0)</f>
        <v>#N/A</v>
      </c>
      <c r="O1075" s="63" t="e">
        <f>VLOOKUP(C1075,'RAW DATA 2023'!E:BO,2,0)</f>
        <v>#N/A</v>
      </c>
      <c r="P1075" s="322" t="e">
        <f t="shared" si="131"/>
        <v>#N/A</v>
      </c>
    </row>
    <row r="1076" spans="1:16">
      <c r="A1076" s="63">
        <f>'RAW DATA 2023'!B1069</f>
        <v>0</v>
      </c>
      <c r="B1076" s="63">
        <f>'RAW DATA 2023'!D1069</f>
        <v>0</v>
      </c>
      <c r="C1076" s="63" t="str">
        <f t="shared" si="128"/>
        <v>00</v>
      </c>
      <c r="D1076" s="68" t="e">
        <f>VLOOKUP(C1076,'RAW DATA 2023'!E:BP,63,0)</f>
        <v>#N/A</v>
      </c>
      <c r="E1076" s="68" t="e">
        <f t="shared" si="129"/>
        <v>#N/A</v>
      </c>
      <c r="F1076" s="63" t="e">
        <f>VLOOKUP(C1076,'RAW DATA 2023'!E:BO,5,0)</f>
        <v>#N/A</v>
      </c>
      <c r="G1076" s="63" t="e">
        <f>VLOOKUP(C1076,'RAW DATA 2023'!E:BO,13,0)</f>
        <v>#N/A</v>
      </c>
      <c r="H1076" s="63" t="e">
        <f t="shared" si="130"/>
        <v>#N/A</v>
      </c>
      <c r="I1076" s="63" t="e">
        <f t="shared" si="126"/>
        <v>#N/A</v>
      </c>
      <c r="J1076" s="106" t="e">
        <f>VLOOKUP(C1076,'RAW DATA 2023'!E:BO,22,0)</f>
        <v>#N/A</v>
      </c>
      <c r="K1076" s="70" t="e">
        <f t="shared" si="127"/>
        <v>#N/A</v>
      </c>
      <c r="L1076" s="72"/>
      <c r="M1076" s="109" t="e">
        <f t="shared" si="132"/>
        <v>#N/A</v>
      </c>
      <c r="N1076" s="123" t="e">
        <f>VLOOKUP(C1076,'RAW DATA 2023'!E:BO,36,0)</f>
        <v>#N/A</v>
      </c>
      <c r="O1076" s="63" t="e">
        <f>VLOOKUP(C1076,'RAW DATA 2023'!E:BO,2,0)</f>
        <v>#N/A</v>
      </c>
      <c r="P1076" s="322" t="e">
        <f t="shared" si="131"/>
        <v>#N/A</v>
      </c>
    </row>
    <row r="1077" spans="1:16">
      <c r="A1077" s="63">
        <f>'RAW DATA 2023'!B1070</f>
        <v>0</v>
      </c>
      <c r="B1077" s="63">
        <f>'RAW DATA 2023'!D1070</f>
        <v>0</v>
      </c>
      <c r="C1077" s="63" t="str">
        <f t="shared" si="128"/>
        <v>00</v>
      </c>
      <c r="D1077" s="68" t="e">
        <f>VLOOKUP(C1077,'RAW DATA 2023'!E:BP,63,0)</f>
        <v>#N/A</v>
      </c>
      <c r="E1077" s="68" t="e">
        <f t="shared" si="129"/>
        <v>#N/A</v>
      </c>
      <c r="F1077" s="63" t="e">
        <f>VLOOKUP(C1077,'RAW DATA 2023'!E:BO,5,0)</f>
        <v>#N/A</v>
      </c>
      <c r="G1077" s="63" t="e">
        <f>VLOOKUP(C1077,'RAW DATA 2023'!E:BO,13,0)</f>
        <v>#N/A</v>
      </c>
      <c r="H1077" s="63" t="e">
        <f t="shared" si="130"/>
        <v>#N/A</v>
      </c>
      <c r="I1077" s="63" t="e">
        <f t="shared" si="126"/>
        <v>#N/A</v>
      </c>
      <c r="J1077" s="106" t="e">
        <f>VLOOKUP(C1077,'RAW DATA 2023'!E:BO,22,0)</f>
        <v>#N/A</v>
      </c>
      <c r="K1077" s="70" t="e">
        <f t="shared" si="127"/>
        <v>#N/A</v>
      </c>
      <c r="L1077" s="72"/>
      <c r="M1077" s="109" t="e">
        <f t="shared" si="132"/>
        <v>#N/A</v>
      </c>
      <c r="N1077" s="123" t="e">
        <f>VLOOKUP(C1077,'RAW DATA 2023'!E:BO,36,0)</f>
        <v>#N/A</v>
      </c>
      <c r="O1077" s="63" t="e">
        <f>VLOOKUP(C1077,'RAW DATA 2023'!E:BO,2,0)</f>
        <v>#N/A</v>
      </c>
      <c r="P1077" s="322" t="e">
        <f t="shared" si="131"/>
        <v>#N/A</v>
      </c>
    </row>
    <row r="1078" spans="1:16">
      <c r="A1078" s="63">
        <f>'RAW DATA 2023'!B1071</f>
        <v>0</v>
      </c>
      <c r="B1078" s="63">
        <f>'RAW DATA 2023'!D1071</f>
        <v>0</v>
      </c>
      <c r="C1078" s="63" t="str">
        <f t="shared" si="128"/>
        <v>00</v>
      </c>
      <c r="D1078" s="68" t="e">
        <f>VLOOKUP(C1078,'RAW DATA 2023'!E:BP,63,0)</f>
        <v>#N/A</v>
      </c>
      <c r="E1078" s="68" t="e">
        <f t="shared" si="129"/>
        <v>#N/A</v>
      </c>
      <c r="F1078" s="63" t="e">
        <f>VLOOKUP(C1078,'RAW DATA 2023'!E:BO,5,0)</f>
        <v>#N/A</v>
      </c>
      <c r="G1078" s="63" t="e">
        <f>VLOOKUP(C1078,'RAW DATA 2023'!E:BO,13,0)</f>
        <v>#N/A</v>
      </c>
      <c r="H1078" s="63" t="e">
        <f t="shared" si="130"/>
        <v>#N/A</v>
      </c>
      <c r="I1078" s="63" t="e">
        <f t="shared" ref="I1078:I1141" si="133">IF(F1078=$W$1,VLOOKUP(H1078,Y:Z,2,0),VLOOKUP(H1078,AF:AG,2,0))</f>
        <v>#N/A</v>
      </c>
      <c r="J1078" s="106" t="e">
        <f>VLOOKUP(C1078,'RAW DATA 2023'!E:BO,22,0)</f>
        <v>#N/A</v>
      </c>
      <c r="K1078" s="70" t="e">
        <f t="shared" si="127"/>
        <v>#N/A</v>
      </c>
      <c r="L1078" s="72"/>
      <c r="M1078" s="109" t="e">
        <f t="shared" si="132"/>
        <v>#N/A</v>
      </c>
      <c r="N1078" s="123" t="e">
        <f>VLOOKUP(C1078,'RAW DATA 2023'!E:BO,36,0)</f>
        <v>#N/A</v>
      </c>
      <c r="O1078" s="63" t="e">
        <f>VLOOKUP(C1078,'RAW DATA 2023'!E:BO,2,0)</f>
        <v>#N/A</v>
      </c>
      <c r="P1078" s="322" t="e">
        <f t="shared" si="131"/>
        <v>#N/A</v>
      </c>
    </row>
    <row r="1079" spans="1:16">
      <c r="A1079" s="63">
        <f>'RAW DATA 2023'!B1072</f>
        <v>0</v>
      </c>
      <c r="B1079" s="63">
        <f>'RAW DATA 2023'!D1072</f>
        <v>0</v>
      </c>
      <c r="C1079" s="63" t="str">
        <f t="shared" si="128"/>
        <v>00</v>
      </c>
      <c r="D1079" s="68" t="e">
        <f>VLOOKUP(C1079,'RAW DATA 2023'!E:BP,63,0)</f>
        <v>#N/A</v>
      </c>
      <c r="E1079" s="68" t="e">
        <f t="shared" si="129"/>
        <v>#N/A</v>
      </c>
      <c r="F1079" s="63" t="e">
        <f>VLOOKUP(C1079,'RAW DATA 2023'!E:BO,5,0)</f>
        <v>#N/A</v>
      </c>
      <c r="G1079" s="63" t="e">
        <f>VLOOKUP(C1079,'RAW DATA 2023'!E:BO,13,0)</f>
        <v>#N/A</v>
      </c>
      <c r="H1079" s="63" t="e">
        <f t="shared" si="130"/>
        <v>#N/A</v>
      </c>
      <c r="I1079" s="63" t="e">
        <f t="shared" si="133"/>
        <v>#N/A</v>
      </c>
      <c r="J1079" s="106" t="e">
        <f>VLOOKUP(C1079,'RAW DATA 2023'!E:BO,22,0)</f>
        <v>#N/A</v>
      </c>
      <c r="K1079" s="70" t="e">
        <f t="shared" ref="K1079:K1142" si="134">J1079/I1079</f>
        <v>#N/A</v>
      </c>
      <c r="L1079" s="72"/>
      <c r="M1079" s="109" t="e">
        <f t="shared" si="132"/>
        <v>#N/A</v>
      </c>
      <c r="N1079" s="123" t="e">
        <f>VLOOKUP(C1079,'RAW DATA 2023'!E:BO,36,0)</f>
        <v>#N/A</v>
      </c>
      <c r="O1079" s="63" t="e">
        <f>VLOOKUP(C1079,'RAW DATA 2023'!E:BO,2,0)</f>
        <v>#N/A</v>
      </c>
      <c r="P1079" s="322" t="e">
        <f t="shared" si="131"/>
        <v>#N/A</v>
      </c>
    </row>
    <row r="1080" spans="1:16">
      <c r="A1080" s="63">
        <f>'RAW DATA 2023'!B1073</f>
        <v>0</v>
      </c>
      <c r="B1080" s="63">
        <f>'RAW DATA 2023'!D1073</f>
        <v>0</v>
      </c>
      <c r="C1080" s="63" t="str">
        <f t="shared" si="128"/>
        <v>00</v>
      </c>
      <c r="D1080" s="68" t="e">
        <f>VLOOKUP(C1080,'RAW DATA 2023'!E:BP,63,0)</f>
        <v>#N/A</v>
      </c>
      <c r="E1080" s="68" t="e">
        <f t="shared" si="129"/>
        <v>#N/A</v>
      </c>
      <c r="F1080" s="63" t="e">
        <f>VLOOKUP(C1080,'RAW DATA 2023'!E:BO,5,0)</f>
        <v>#N/A</v>
      </c>
      <c r="G1080" s="63" t="e">
        <f>VLOOKUP(C1080,'RAW DATA 2023'!E:BO,13,0)</f>
        <v>#N/A</v>
      </c>
      <c r="H1080" s="63" t="e">
        <f t="shared" si="130"/>
        <v>#N/A</v>
      </c>
      <c r="I1080" s="63" t="e">
        <f t="shared" si="133"/>
        <v>#N/A</v>
      </c>
      <c r="J1080" s="106" t="e">
        <f>VLOOKUP(C1080,'RAW DATA 2023'!E:BO,22,0)</f>
        <v>#N/A</v>
      </c>
      <c r="K1080" s="70" t="e">
        <f t="shared" si="134"/>
        <v>#N/A</v>
      </c>
      <c r="L1080" s="72"/>
      <c r="M1080" s="109" t="e">
        <f t="shared" si="132"/>
        <v>#N/A</v>
      </c>
      <c r="N1080" s="123" t="e">
        <f>VLOOKUP(C1080,'RAW DATA 2023'!E:BO,36,0)</f>
        <v>#N/A</v>
      </c>
      <c r="O1080" s="63" t="e">
        <f>VLOOKUP(C1080,'RAW DATA 2023'!E:BO,2,0)</f>
        <v>#N/A</v>
      </c>
      <c r="P1080" s="322" t="e">
        <f t="shared" si="131"/>
        <v>#N/A</v>
      </c>
    </row>
    <row r="1081" spans="1:16">
      <c r="A1081" s="63">
        <f>'RAW DATA 2023'!B1074</f>
        <v>0</v>
      </c>
      <c r="B1081" s="63">
        <f>'RAW DATA 2023'!D1074</f>
        <v>0</v>
      </c>
      <c r="C1081" s="63" t="str">
        <f t="shared" si="128"/>
        <v>00</v>
      </c>
      <c r="D1081" s="68" t="e">
        <f>VLOOKUP(C1081,'RAW DATA 2023'!E:BP,63,0)</f>
        <v>#N/A</v>
      </c>
      <c r="E1081" s="68" t="e">
        <f t="shared" si="129"/>
        <v>#N/A</v>
      </c>
      <c r="F1081" s="63" t="e">
        <f>VLOOKUP(C1081,'RAW DATA 2023'!E:BO,5,0)</f>
        <v>#N/A</v>
      </c>
      <c r="G1081" s="63" t="e">
        <f>VLOOKUP(C1081,'RAW DATA 2023'!E:BO,13,0)</f>
        <v>#N/A</v>
      </c>
      <c r="H1081" s="63" t="e">
        <f t="shared" si="130"/>
        <v>#N/A</v>
      </c>
      <c r="I1081" s="63" t="e">
        <f t="shared" si="133"/>
        <v>#N/A</v>
      </c>
      <c r="J1081" s="106" t="e">
        <f>VLOOKUP(C1081,'RAW DATA 2023'!E:BO,22,0)</f>
        <v>#N/A</v>
      </c>
      <c r="K1081" s="70" t="e">
        <f t="shared" si="134"/>
        <v>#N/A</v>
      </c>
      <c r="L1081" s="72"/>
      <c r="M1081" s="109" t="e">
        <f t="shared" si="132"/>
        <v>#N/A</v>
      </c>
      <c r="N1081" s="123" t="e">
        <f>VLOOKUP(C1081,'RAW DATA 2023'!E:BO,36,0)</f>
        <v>#N/A</v>
      </c>
      <c r="O1081" s="63" t="e">
        <f>VLOOKUP(C1081,'RAW DATA 2023'!E:BO,2,0)</f>
        <v>#N/A</v>
      </c>
      <c r="P1081" s="322" t="e">
        <f t="shared" si="131"/>
        <v>#N/A</v>
      </c>
    </row>
    <row r="1082" spans="1:16">
      <c r="A1082" s="63">
        <f>'RAW DATA 2023'!B1075</f>
        <v>0</v>
      </c>
      <c r="B1082" s="63">
        <f>'RAW DATA 2023'!D1075</f>
        <v>0</v>
      </c>
      <c r="C1082" s="63" t="str">
        <f t="shared" si="128"/>
        <v>00</v>
      </c>
      <c r="D1082" s="68" t="e">
        <f>VLOOKUP(C1082,'RAW DATA 2023'!E:BP,63,0)</f>
        <v>#N/A</v>
      </c>
      <c r="E1082" s="68" t="e">
        <f t="shared" si="129"/>
        <v>#N/A</v>
      </c>
      <c r="F1082" s="63" t="e">
        <f>VLOOKUP(C1082,'RAW DATA 2023'!E:BO,5,0)</f>
        <v>#N/A</v>
      </c>
      <c r="G1082" s="63" t="e">
        <f>VLOOKUP(C1082,'RAW DATA 2023'!E:BO,13,0)</f>
        <v>#N/A</v>
      </c>
      <c r="H1082" s="63" t="e">
        <f t="shared" si="130"/>
        <v>#N/A</v>
      </c>
      <c r="I1082" s="63" t="e">
        <f t="shared" si="133"/>
        <v>#N/A</v>
      </c>
      <c r="J1082" s="106" t="e">
        <f>VLOOKUP(C1082,'RAW DATA 2023'!E:BO,22,0)</f>
        <v>#N/A</v>
      </c>
      <c r="K1082" s="70" t="e">
        <f t="shared" si="134"/>
        <v>#N/A</v>
      </c>
      <c r="L1082" s="72"/>
      <c r="M1082" s="109" t="e">
        <f t="shared" si="132"/>
        <v>#N/A</v>
      </c>
      <c r="N1082" s="123" t="e">
        <f>VLOOKUP(C1082,'RAW DATA 2023'!E:BO,36,0)</f>
        <v>#N/A</v>
      </c>
      <c r="O1082" s="63" t="e">
        <f>VLOOKUP(C1082,'RAW DATA 2023'!E:BO,2,0)</f>
        <v>#N/A</v>
      </c>
      <c r="P1082" s="322" t="e">
        <f t="shared" si="131"/>
        <v>#N/A</v>
      </c>
    </row>
    <row r="1083" spans="1:16">
      <c r="A1083" s="63">
        <f>'RAW DATA 2023'!B1076</f>
        <v>0</v>
      </c>
      <c r="B1083" s="63">
        <f>'RAW DATA 2023'!D1076</f>
        <v>0</v>
      </c>
      <c r="C1083" s="63" t="str">
        <f t="shared" si="128"/>
        <v>00</v>
      </c>
      <c r="D1083" s="68" t="e">
        <f>VLOOKUP(C1083,'RAW DATA 2023'!E:BP,63,0)</f>
        <v>#N/A</v>
      </c>
      <c r="E1083" s="68" t="e">
        <f t="shared" si="129"/>
        <v>#N/A</v>
      </c>
      <c r="F1083" s="63" t="e">
        <f>VLOOKUP(C1083,'RAW DATA 2023'!E:BO,5,0)</f>
        <v>#N/A</v>
      </c>
      <c r="G1083" s="63" t="e">
        <f>VLOOKUP(C1083,'RAW DATA 2023'!E:BO,13,0)</f>
        <v>#N/A</v>
      </c>
      <c r="H1083" s="63" t="e">
        <f t="shared" si="130"/>
        <v>#N/A</v>
      </c>
      <c r="I1083" s="63" t="e">
        <f t="shared" si="133"/>
        <v>#N/A</v>
      </c>
      <c r="J1083" s="106" t="e">
        <f>VLOOKUP(C1083,'RAW DATA 2023'!E:BO,22,0)</f>
        <v>#N/A</v>
      </c>
      <c r="K1083" s="70" t="e">
        <f t="shared" si="134"/>
        <v>#N/A</v>
      </c>
      <c r="L1083" s="72"/>
      <c r="M1083" s="109" t="e">
        <f t="shared" si="132"/>
        <v>#N/A</v>
      </c>
      <c r="N1083" s="123" t="e">
        <f>VLOOKUP(C1083,'RAW DATA 2023'!E:BO,36,0)</f>
        <v>#N/A</v>
      </c>
      <c r="O1083" s="63" t="e">
        <f>VLOOKUP(C1083,'RAW DATA 2023'!E:BO,2,0)</f>
        <v>#N/A</v>
      </c>
      <c r="P1083" s="322" t="e">
        <f t="shared" si="131"/>
        <v>#N/A</v>
      </c>
    </row>
    <row r="1084" spans="1:16">
      <c r="A1084" s="63">
        <f>'RAW DATA 2023'!B1077</f>
        <v>0</v>
      </c>
      <c r="B1084" s="63">
        <f>'RAW DATA 2023'!D1077</f>
        <v>0</v>
      </c>
      <c r="C1084" s="63" t="str">
        <f t="shared" si="128"/>
        <v>00</v>
      </c>
      <c r="D1084" s="68" t="e">
        <f>VLOOKUP(C1084,'RAW DATA 2023'!E:BP,63,0)</f>
        <v>#N/A</v>
      </c>
      <c r="E1084" s="68" t="e">
        <f t="shared" si="129"/>
        <v>#N/A</v>
      </c>
      <c r="F1084" s="63" t="e">
        <f>VLOOKUP(C1084,'RAW DATA 2023'!E:BO,5,0)</f>
        <v>#N/A</v>
      </c>
      <c r="G1084" s="63" t="e">
        <f>VLOOKUP(C1084,'RAW DATA 2023'!E:BO,13,0)</f>
        <v>#N/A</v>
      </c>
      <c r="H1084" s="63" t="e">
        <f t="shared" si="130"/>
        <v>#N/A</v>
      </c>
      <c r="I1084" s="63" t="e">
        <f t="shared" si="133"/>
        <v>#N/A</v>
      </c>
      <c r="J1084" s="106" t="e">
        <f>VLOOKUP(C1084,'RAW DATA 2023'!E:BO,22,0)</f>
        <v>#N/A</v>
      </c>
      <c r="K1084" s="70" t="e">
        <f t="shared" si="134"/>
        <v>#N/A</v>
      </c>
      <c r="L1084" s="72"/>
      <c r="M1084" s="109" t="e">
        <f t="shared" si="132"/>
        <v>#N/A</v>
      </c>
      <c r="N1084" s="123" t="e">
        <f>VLOOKUP(C1084,'RAW DATA 2023'!E:BO,36,0)</f>
        <v>#N/A</v>
      </c>
      <c r="O1084" s="63" t="e">
        <f>VLOOKUP(C1084,'RAW DATA 2023'!E:BO,2,0)</f>
        <v>#N/A</v>
      </c>
      <c r="P1084" s="322" t="e">
        <f t="shared" si="131"/>
        <v>#N/A</v>
      </c>
    </row>
    <row r="1085" spans="1:16">
      <c r="A1085" s="63">
        <f>'RAW DATA 2023'!B1078</f>
        <v>0</v>
      </c>
      <c r="B1085" s="63">
        <f>'RAW DATA 2023'!D1078</f>
        <v>0</v>
      </c>
      <c r="C1085" s="63" t="str">
        <f t="shared" si="128"/>
        <v>00</v>
      </c>
      <c r="D1085" s="68" t="e">
        <f>VLOOKUP(C1085,'RAW DATA 2023'!E:BP,63,0)</f>
        <v>#N/A</v>
      </c>
      <c r="E1085" s="68" t="e">
        <f t="shared" si="129"/>
        <v>#N/A</v>
      </c>
      <c r="F1085" s="63" t="e">
        <f>VLOOKUP(C1085,'RAW DATA 2023'!E:BO,5,0)</f>
        <v>#N/A</v>
      </c>
      <c r="G1085" s="63" t="e">
        <f>VLOOKUP(C1085,'RAW DATA 2023'!E:BO,13,0)</f>
        <v>#N/A</v>
      </c>
      <c r="H1085" s="63" t="e">
        <f t="shared" si="130"/>
        <v>#N/A</v>
      </c>
      <c r="I1085" s="63" t="e">
        <f t="shared" si="133"/>
        <v>#N/A</v>
      </c>
      <c r="J1085" s="106" t="e">
        <f>VLOOKUP(C1085,'RAW DATA 2023'!E:BO,22,0)</f>
        <v>#N/A</v>
      </c>
      <c r="K1085" s="70" t="e">
        <f t="shared" si="134"/>
        <v>#N/A</v>
      </c>
      <c r="L1085" s="72"/>
      <c r="M1085" s="109" t="e">
        <f t="shared" si="132"/>
        <v>#N/A</v>
      </c>
      <c r="N1085" s="123" t="e">
        <f>VLOOKUP(C1085,'RAW DATA 2023'!E:BO,36,0)</f>
        <v>#N/A</v>
      </c>
      <c r="O1085" s="63" t="e">
        <f>VLOOKUP(C1085,'RAW DATA 2023'!E:BO,2,0)</f>
        <v>#N/A</v>
      </c>
      <c r="P1085" s="322" t="e">
        <f t="shared" si="131"/>
        <v>#N/A</v>
      </c>
    </row>
    <row r="1086" spans="1:16">
      <c r="A1086" s="63">
        <f>'RAW DATA 2023'!B1079</f>
        <v>0</v>
      </c>
      <c r="B1086" s="63">
        <f>'RAW DATA 2023'!D1079</f>
        <v>0</v>
      </c>
      <c r="C1086" s="63" t="str">
        <f t="shared" si="128"/>
        <v>00</v>
      </c>
      <c r="D1086" s="68" t="e">
        <f>VLOOKUP(C1086,'RAW DATA 2023'!E:BP,63,0)</f>
        <v>#N/A</v>
      </c>
      <c r="E1086" s="68" t="e">
        <f t="shared" si="129"/>
        <v>#N/A</v>
      </c>
      <c r="F1086" s="63" t="e">
        <f>VLOOKUP(C1086,'RAW DATA 2023'!E:BO,5,0)</f>
        <v>#N/A</v>
      </c>
      <c r="G1086" s="63" t="e">
        <f>VLOOKUP(C1086,'RAW DATA 2023'!E:BO,13,0)</f>
        <v>#N/A</v>
      </c>
      <c r="H1086" s="63" t="e">
        <f t="shared" si="130"/>
        <v>#N/A</v>
      </c>
      <c r="I1086" s="63" t="e">
        <f t="shared" si="133"/>
        <v>#N/A</v>
      </c>
      <c r="J1086" s="106" t="e">
        <f>VLOOKUP(C1086,'RAW DATA 2023'!E:BO,22,0)</f>
        <v>#N/A</v>
      </c>
      <c r="K1086" s="70" t="e">
        <f t="shared" si="134"/>
        <v>#N/A</v>
      </c>
      <c r="L1086" s="72"/>
      <c r="M1086" s="109" t="e">
        <f t="shared" si="132"/>
        <v>#N/A</v>
      </c>
      <c r="N1086" s="123" t="e">
        <f>VLOOKUP(C1086,'RAW DATA 2023'!E:BO,36,0)</f>
        <v>#N/A</v>
      </c>
      <c r="O1086" s="63" t="e">
        <f>VLOOKUP(C1086,'RAW DATA 2023'!E:BO,2,0)</f>
        <v>#N/A</v>
      </c>
      <c r="P1086" s="322" t="e">
        <f t="shared" si="131"/>
        <v>#N/A</v>
      </c>
    </row>
    <row r="1087" spans="1:16">
      <c r="A1087" s="63">
        <f>'RAW DATA 2023'!B1080</f>
        <v>0</v>
      </c>
      <c r="B1087" s="63">
        <f>'RAW DATA 2023'!D1080</f>
        <v>0</v>
      </c>
      <c r="C1087" s="63" t="str">
        <f t="shared" si="128"/>
        <v>00</v>
      </c>
      <c r="D1087" s="68" t="e">
        <f>VLOOKUP(C1087,'RAW DATA 2023'!E:BP,63,0)</f>
        <v>#N/A</v>
      </c>
      <c r="E1087" s="68" t="e">
        <f t="shared" si="129"/>
        <v>#N/A</v>
      </c>
      <c r="F1087" s="63" t="e">
        <f>VLOOKUP(C1087,'RAW DATA 2023'!E:BO,5,0)</f>
        <v>#N/A</v>
      </c>
      <c r="G1087" s="63" t="e">
        <f>VLOOKUP(C1087,'RAW DATA 2023'!E:BO,13,0)</f>
        <v>#N/A</v>
      </c>
      <c r="H1087" s="63" t="e">
        <f t="shared" si="130"/>
        <v>#N/A</v>
      </c>
      <c r="I1087" s="63" t="e">
        <f t="shared" si="133"/>
        <v>#N/A</v>
      </c>
      <c r="J1087" s="106" t="e">
        <f>VLOOKUP(C1087,'RAW DATA 2023'!E:BO,22,0)</f>
        <v>#N/A</v>
      </c>
      <c r="K1087" s="70" t="e">
        <f t="shared" si="134"/>
        <v>#N/A</v>
      </c>
      <c r="L1087" s="72"/>
      <c r="M1087" s="109" t="e">
        <f t="shared" si="132"/>
        <v>#N/A</v>
      </c>
      <c r="N1087" s="123" t="e">
        <f>VLOOKUP(C1087,'RAW DATA 2023'!E:BO,36,0)</f>
        <v>#N/A</v>
      </c>
      <c r="O1087" s="63" t="e">
        <f>VLOOKUP(C1087,'RAW DATA 2023'!E:BO,2,0)</f>
        <v>#N/A</v>
      </c>
      <c r="P1087" s="322" t="e">
        <f t="shared" si="131"/>
        <v>#N/A</v>
      </c>
    </row>
    <row r="1088" spans="1:16">
      <c r="A1088" s="63">
        <f>'RAW DATA 2023'!B1081</f>
        <v>0</v>
      </c>
      <c r="B1088" s="63">
        <f>'RAW DATA 2023'!D1081</f>
        <v>0</v>
      </c>
      <c r="C1088" s="63" t="str">
        <f t="shared" si="128"/>
        <v>00</v>
      </c>
      <c r="D1088" s="68" t="e">
        <f>VLOOKUP(C1088,'RAW DATA 2023'!E:BP,63,0)</f>
        <v>#N/A</v>
      </c>
      <c r="E1088" s="68" t="e">
        <f t="shared" si="129"/>
        <v>#N/A</v>
      </c>
      <c r="F1088" s="63" t="e">
        <f>VLOOKUP(C1088,'RAW DATA 2023'!E:BO,5,0)</f>
        <v>#N/A</v>
      </c>
      <c r="G1088" s="63" t="e">
        <f>VLOOKUP(C1088,'RAW DATA 2023'!E:BO,13,0)</f>
        <v>#N/A</v>
      </c>
      <c r="H1088" s="63" t="e">
        <f t="shared" si="130"/>
        <v>#N/A</v>
      </c>
      <c r="I1088" s="63" t="e">
        <f t="shared" si="133"/>
        <v>#N/A</v>
      </c>
      <c r="J1088" s="106" t="e">
        <f>VLOOKUP(C1088,'RAW DATA 2023'!E:BO,22,0)</f>
        <v>#N/A</v>
      </c>
      <c r="K1088" s="70" t="e">
        <f t="shared" si="134"/>
        <v>#N/A</v>
      </c>
      <c r="L1088" s="72"/>
      <c r="M1088" s="109" t="e">
        <f t="shared" si="132"/>
        <v>#N/A</v>
      </c>
      <c r="N1088" s="123" t="e">
        <f>VLOOKUP(C1088,'RAW DATA 2023'!E:BO,36,0)</f>
        <v>#N/A</v>
      </c>
      <c r="O1088" s="63" t="e">
        <f>VLOOKUP(C1088,'RAW DATA 2023'!E:BO,2,0)</f>
        <v>#N/A</v>
      </c>
      <c r="P1088" s="322" t="e">
        <f t="shared" si="131"/>
        <v>#N/A</v>
      </c>
    </row>
    <row r="1089" spans="1:16">
      <c r="A1089" s="63">
        <f>'RAW DATA 2023'!B1082</f>
        <v>0</v>
      </c>
      <c r="B1089" s="63">
        <f>'RAW DATA 2023'!D1082</f>
        <v>0</v>
      </c>
      <c r="C1089" s="63" t="str">
        <f t="shared" si="128"/>
        <v>00</v>
      </c>
      <c r="D1089" s="68" t="e">
        <f>VLOOKUP(C1089,'RAW DATA 2023'!E:BP,63,0)</f>
        <v>#N/A</v>
      </c>
      <c r="E1089" s="68" t="e">
        <f t="shared" si="129"/>
        <v>#N/A</v>
      </c>
      <c r="F1089" s="63" t="e">
        <f>VLOOKUP(C1089,'RAW DATA 2023'!E:BO,5,0)</f>
        <v>#N/A</v>
      </c>
      <c r="G1089" s="63" t="e">
        <f>VLOOKUP(C1089,'RAW DATA 2023'!E:BO,13,0)</f>
        <v>#N/A</v>
      </c>
      <c r="H1089" s="63" t="e">
        <f t="shared" si="130"/>
        <v>#N/A</v>
      </c>
      <c r="I1089" s="63" t="e">
        <f t="shared" si="133"/>
        <v>#N/A</v>
      </c>
      <c r="J1089" s="106" t="e">
        <f>VLOOKUP(C1089,'RAW DATA 2023'!E:BO,22,0)</f>
        <v>#N/A</v>
      </c>
      <c r="K1089" s="70" t="e">
        <f t="shared" si="134"/>
        <v>#N/A</v>
      </c>
      <c r="L1089" s="72"/>
      <c r="M1089" s="109" t="e">
        <f t="shared" si="132"/>
        <v>#N/A</v>
      </c>
      <c r="N1089" s="123" t="e">
        <f>VLOOKUP(C1089,'RAW DATA 2023'!E:BO,36,0)</f>
        <v>#N/A</v>
      </c>
      <c r="O1089" s="63" t="e">
        <f>VLOOKUP(C1089,'RAW DATA 2023'!E:BO,2,0)</f>
        <v>#N/A</v>
      </c>
      <c r="P1089" s="322" t="e">
        <f t="shared" si="131"/>
        <v>#N/A</v>
      </c>
    </row>
    <row r="1090" spans="1:16">
      <c r="A1090" s="63">
        <f>'RAW DATA 2023'!B1083</f>
        <v>0</v>
      </c>
      <c r="B1090" s="63">
        <f>'RAW DATA 2023'!D1083</f>
        <v>0</v>
      </c>
      <c r="C1090" s="63" t="str">
        <f t="shared" si="128"/>
        <v>00</v>
      </c>
      <c r="D1090" s="68" t="e">
        <f>VLOOKUP(C1090,'RAW DATA 2023'!E:BP,63,0)</f>
        <v>#N/A</v>
      </c>
      <c r="E1090" s="68" t="e">
        <f t="shared" si="129"/>
        <v>#N/A</v>
      </c>
      <c r="F1090" s="63" t="e">
        <f>VLOOKUP(C1090,'RAW DATA 2023'!E:BO,5,0)</f>
        <v>#N/A</v>
      </c>
      <c r="G1090" s="63" t="e">
        <f>VLOOKUP(C1090,'RAW DATA 2023'!E:BO,13,0)</f>
        <v>#N/A</v>
      </c>
      <c r="H1090" s="63" t="e">
        <f t="shared" si="130"/>
        <v>#N/A</v>
      </c>
      <c r="I1090" s="63" t="e">
        <f t="shared" si="133"/>
        <v>#N/A</v>
      </c>
      <c r="J1090" s="106" t="e">
        <f>VLOOKUP(C1090,'RAW DATA 2023'!E:BO,22,0)</f>
        <v>#N/A</v>
      </c>
      <c r="K1090" s="70" t="e">
        <f t="shared" si="134"/>
        <v>#N/A</v>
      </c>
      <c r="L1090" s="72"/>
      <c r="M1090" s="109" t="e">
        <f t="shared" si="132"/>
        <v>#N/A</v>
      </c>
      <c r="N1090" s="123" t="e">
        <f>VLOOKUP(C1090,'RAW DATA 2023'!E:BO,36,0)</f>
        <v>#N/A</v>
      </c>
      <c r="O1090" s="63" t="e">
        <f>VLOOKUP(C1090,'RAW DATA 2023'!E:BO,2,0)</f>
        <v>#N/A</v>
      </c>
      <c r="P1090" s="322" t="e">
        <f t="shared" si="131"/>
        <v>#N/A</v>
      </c>
    </row>
    <row r="1091" spans="1:16">
      <c r="A1091" s="63">
        <f>'RAW DATA 2023'!B1084</f>
        <v>0</v>
      </c>
      <c r="B1091" s="63">
        <f>'RAW DATA 2023'!D1084</f>
        <v>0</v>
      </c>
      <c r="C1091" s="63" t="str">
        <f t="shared" si="128"/>
        <v>00</v>
      </c>
      <c r="D1091" s="68" t="e">
        <f>VLOOKUP(C1091,'RAW DATA 2023'!E:BP,63,0)</f>
        <v>#N/A</v>
      </c>
      <c r="E1091" s="68" t="e">
        <f t="shared" si="129"/>
        <v>#N/A</v>
      </c>
      <c r="F1091" s="63" t="e">
        <f>VLOOKUP(C1091,'RAW DATA 2023'!E:BO,5,0)</f>
        <v>#N/A</v>
      </c>
      <c r="G1091" s="63" t="e">
        <f>VLOOKUP(C1091,'RAW DATA 2023'!E:BO,13,0)</f>
        <v>#N/A</v>
      </c>
      <c r="H1091" s="63" t="e">
        <f t="shared" si="130"/>
        <v>#N/A</v>
      </c>
      <c r="I1091" s="63" t="e">
        <f t="shared" si="133"/>
        <v>#N/A</v>
      </c>
      <c r="J1091" s="106" t="e">
        <f>VLOOKUP(C1091,'RAW DATA 2023'!E:BO,22,0)</f>
        <v>#N/A</v>
      </c>
      <c r="K1091" s="70" t="e">
        <f t="shared" si="134"/>
        <v>#N/A</v>
      </c>
      <c r="L1091" s="72"/>
      <c r="M1091" s="109" t="e">
        <f t="shared" si="132"/>
        <v>#N/A</v>
      </c>
      <c r="N1091" s="123" t="e">
        <f>VLOOKUP(C1091,'RAW DATA 2023'!E:BO,36,0)</f>
        <v>#N/A</v>
      </c>
      <c r="O1091" s="63" t="e">
        <f>VLOOKUP(C1091,'RAW DATA 2023'!E:BO,2,0)</f>
        <v>#N/A</v>
      </c>
      <c r="P1091" s="322" t="e">
        <f t="shared" si="131"/>
        <v>#N/A</v>
      </c>
    </row>
    <row r="1092" spans="1:16">
      <c r="A1092" s="63">
        <f>'RAW DATA 2023'!B1085</f>
        <v>0</v>
      </c>
      <c r="B1092" s="63">
        <f>'RAW DATA 2023'!D1085</f>
        <v>0</v>
      </c>
      <c r="C1092" s="63" t="str">
        <f t="shared" si="128"/>
        <v>00</v>
      </c>
      <c r="D1092" s="68" t="e">
        <f>VLOOKUP(C1092,'RAW DATA 2023'!E:BP,63,0)</f>
        <v>#N/A</v>
      </c>
      <c r="E1092" s="68" t="e">
        <f t="shared" si="129"/>
        <v>#N/A</v>
      </c>
      <c r="F1092" s="63" t="e">
        <f>VLOOKUP(C1092,'RAW DATA 2023'!E:BO,5,0)</f>
        <v>#N/A</v>
      </c>
      <c r="G1092" s="63" t="e">
        <f>VLOOKUP(C1092,'RAW DATA 2023'!E:BO,13,0)</f>
        <v>#N/A</v>
      </c>
      <c r="H1092" s="63" t="e">
        <f t="shared" si="130"/>
        <v>#N/A</v>
      </c>
      <c r="I1092" s="63" t="e">
        <f t="shared" si="133"/>
        <v>#N/A</v>
      </c>
      <c r="J1092" s="106" t="e">
        <f>VLOOKUP(C1092,'RAW DATA 2023'!E:BO,22,0)</f>
        <v>#N/A</v>
      </c>
      <c r="K1092" s="70" t="e">
        <f t="shared" si="134"/>
        <v>#N/A</v>
      </c>
      <c r="L1092" s="72"/>
      <c r="M1092" s="109" t="e">
        <f t="shared" si="132"/>
        <v>#N/A</v>
      </c>
      <c r="N1092" s="123" t="e">
        <f>VLOOKUP(C1092,'RAW DATA 2023'!E:BO,36,0)</f>
        <v>#N/A</v>
      </c>
      <c r="O1092" s="63" t="e">
        <f>VLOOKUP(C1092,'RAW DATA 2023'!E:BO,2,0)</f>
        <v>#N/A</v>
      </c>
      <c r="P1092" s="322" t="e">
        <f t="shared" si="131"/>
        <v>#N/A</v>
      </c>
    </row>
    <row r="1093" spans="1:16">
      <c r="A1093" s="63">
        <f>'RAW DATA 2023'!B1086</f>
        <v>0</v>
      </c>
      <c r="B1093" s="63">
        <f>'RAW DATA 2023'!D1086</f>
        <v>0</v>
      </c>
      <c r="C1093" s="63" t="str">
        <f t="shared" si="128"/>
        <v>00</v>
      </c>
      <c r="D1093" s="68" t="e">
        <f>VLOOKUP(C1093,'RAW DATA 2023'!E:BP,63,0)</f>
        <v>#N/A</v>
      </c>
      <c r="E1093" s="68" t="e">
        <f t="shared" si="129"/>
        <v>#N/A</v>
      </c>
      <c r="F1093" s="63" t="e">
        <f>VLOOKUP(C1093,'RAW DATA 2023'!E:BO,5,0)</f>
        <v>#N/A</v>
      </c>
      <c r="G1093" s="63" t="e">
        <f>VLOOKUP(C1093,'RAW DATA 2023'!E:BO,13,0)</f>
        <v>#N/A</v>
      </c>
      <c r="H1093" s="63" t="e">
        <f t="shared" si="130"/>
        <v>#N/A</v>
      </c>
      <c r="I1093" s="63" t="e">
        <f t="shared" si="133"/>
        <v>#N/A</v>
      </c>
      <c r="J1093" s="106" t="e">
        <f>VLOOKUP(C1093,'RAW DATA 2023'!E:BO,22,0)</f>
        <v>#N/A</v>
      </c>
      <c r="K1093" s="70" t="e">
        <f t="shared" si="134"/>
        <v>#N/A</v>
      </c>
      <c r="L1093" s="72"/>
      <c r="M1093" s="109" t="e">
        <f t="shared" si="132"/>
        <v>#N/A</v>
      </c>
      <c r="N1093" s="123" t="e">
        <f>VLOOKUP(C1093,'RAW DATA 2023'!E:BO,36,0)</f>
        <v>#N/A</v>
      </c>
      <c r="O1093" s="63" t="e">
        <f>VLOOKUP(C1093,'RAW DATA 2023'!E:BO,2,0)</f>
        <v>#N/A</v>
      </c>
      <c r="P1093" s="322" t="e">
        <f t="shared" si="131"/>
        <v>#N/A</v>
      </c>
    </row>
    <row r="1094" spans="1:16">
      <c r="A1094" s="63">
        <f>'RAW DATA 2023'!B1087</f>
        <v>0</v>
      </c>
      <c r="B1094" s="63">
        <f>'RAW DATA 2023'!D1087</f>
        <v>0</v>
      </c>
      <c r="C1094" s="63" t="str">
        <f t="shared" si="128"/>
        <v>00</v>
      </c>
      <c r="D1094" s="68" t="e">
        <f>VLOOKUP(C1094,'RAW DATA 2023'!E:BP,63,0)</f>
        <v>#N/A</v>
      </c>
      <c r="E1094" s="68" t="e">
        <f t="shared" si="129"/>
        <v>#N/A</v>
      </c>
      <c r="F1094" s="63" t="e">
        <f>VLOOKUP(C1094,'RAW DATA 2023'!E:BO,5,0)</f>
        <v>#N/A</v>
      </c>
      <c r="G1094" s="63" t="e">
        <f>VLOOKUP(C1094,'RAW DATA 2023'!E:BO,13,0)</f>
        <v>#N/A</v>
      </c>
      <c r="H1094" s="63" t="e">
        <f t="shared" si="130"/>
        <v>#N/A</v>
      </c>
      <c r="I1094" s="63" t="e">
        <f t="shared" si="133"/>
        <v>#N/A</v>
      </c>
      <c r="J1094" s="106" t="e">
        <f>VLOOKUP(C1094,'RAW DATA 2023'!E:BO,22,0)</f>
        <v>#N/A</v>
      </c>
      <c r="K1094" s="70" t="e">
        <f t="shared" si="134"/>
        <v>#N/A</v>
      </c>
      <c r="L1094" s="72"/>
      <c r="M1094" s="109" t="e">
        <f t="shared" si="132"/>
        <v>#N/A</v>
      </c>
      <c r="N1094" s="123" t="e">
        <f>VLOOKUP(C1094,'RAW DATA 2023'!E:BO,36,0)</f>
        <v>#N/A</v>
      </c>
      <c r="O1094" s="63" t="e">
        <f>VLOOKUP(C1094,'RAW DATA 2023'!E:BO,2,0)</f>
        <v>#N/A</v>
      </c>
      <c r="P1094" s="322" t="e">
        <f t="shared" si="131"/>
        <v>#N/A</v>
      </c>
    </row>
    <row r="1095" spans="1:16">
      <c r="A1095" s="63">
        <f>'RAW DATA 2023'!B1088</f>
        <v>0</v>
      </c>
      <c r="B1095" s="63">
        <f>'RAW DATA 2023'!D1088</f>
        <v>0</v>
      </c>
      <c r="C1095" s="63" t="str">
        <f t="shared" si="128"/>
        <v>00</v>
      </c>
      <c r="D1095" s="68" t="e">
        <f>VLOOKUP(C1095,'RAW DATA 2023'!E:BP,63,0)</f>
        <v>#N/A</v>
      </c>
      <c r="E1095" s="68" t="e">
        <f t="shared" si="129"/>
        <v>#N/A</v>
      </c>
      <c r="F1095" s="63" t="e">
        <f>VLOOKUP(C1095,'RAW DATA 2023'!E:BO,5,0)</f>
        <v>#N/A</v>
      </c>
      <c r="G1095" s="63" t="e">
        <f>VLOOKUP(C1095,'RAW DATA 2023'!E:BO,13,0)</f>
        <v>#N/A</v>
      </c>
      <c r="H1095" s="63" t="e">
        <f t="shared" si="130"/>
        <v>#N/A</v>
      </c>
      <c r="I1095" s="63" t="e">
        <f t="shared" si="133"/>
        <v>#N/A</v>
      </c>
      <c r="J1095" s="106" t="e">
        <f>VLOOKUP(C1095,'RAW DATA 2023'!E:BO,22,0)</f>
        <v>#N/A</v>
      </c>
      <c r="K1095" s="70" t="e">
        <f t="shared" si="134"/>
        <v>#N/A</v>
      </c>
      <c r="L1095" s="72"/>
      <c r="M1095" s="109" t="e">
        <f t="shared" si="132"/>
        <v>#N/A</v>
      </c>
      <c r="N1095" s="123" t="e">
        <f>VLOOKUP(C1095,'RAW DATA 2023'!E:BO,36,0)</f>
        <v>#N/A</v>
      </c>
      <c r="O1095" s="63" t="e">
        <f>VLOOKUP(C1095,'RAW DATA 2023'!E:BO,2,0)</f>
        <v>#N/A</v>
      </c>
      <c r="P1095" s="322" t="e">
        <f t="shared" si="131"/>
        <v>#N/A</v>
      </c>
    </row>
    <row r="1096" spans="1:16">
      <c r="A1096" s="63">
        <f>'RAW DATA 2023'!B1089</f>
        <v>0</v>
      </c>
      <c r="B1096" s="63">
        <f>'RAW DATA 2023'!D1089</f>
        <v>0</v>
      </c>
      <c r="C1096" s="63" t="str">
        <f t="shared" si="128"/>
        <v>00</v>
      </c>
      <c r="D1096" s="68" t="e">
        <f>VLOOKUP(C1096,'RAW DATA 2023'!E:BP,63,0)</f>
        <v>#N/A</v>
      </c>
      <c r="E1096" s="68" t="e">
        <f t="shared" si="129"/>
        <v>#N/A</v>
      </c>
      <c r="F1096" s="63" t="e">
        <f>VLOOKUP(C1096,'RAW DATA 2023'!E:BO,5,0)</f>
        <v>#N/A</v>
      </c>
      <c r="G1096" s="63" t="e">
        <f>VLOOKUP(C1096,'RAW DATA 2023'!E:BO,13,0)</f>
        <v>#N/A</v>
      </c>
      <c r="H1096" s="63" t="e">
        <f t="shared" si="130"/>
        <v>#N/A</v>
      </c>
      <c r="I1096" s="63" t="e">
        <f t="shared" si="133"/>
        <v>#N/A</v>
      </c>
      <c r="J1096" s="106" t="e">
        <f>VLOOKUP(C1096,'RAW DATA 2023'!E:BO,22,0)</f>
        <v>#N/A</v>
      </c>
      <c r="K1096" s="70" t="e">
        <f t="shared" si="134"/>
        <v>#N/A</v>
      </c>
      <c r="L1096" s="72"/>
      <c r="M1096" s="109" t="e">
        <f t="shared" si="132"/>
        <v>#N/A</v>
      </c>
      <c r="N1096" s="123" t="e">
        <f>VLOOKUP(C1096,'RAW DATA 2023'!E:BO,36,0)</f>
        <v>#N/A</v>
      </c>
      <c r="O1096" s="63" t="e">
        <f>VLOOKUP(C1096,'RAW DATA 2023'!E:BO,2,0)</f>
        <v>#N/A</v>
      </c>
      <c r="P1096" s="322" t="e">
        <f t="shared" si="131"/>
        <v>#N/A</v>
      </c>
    </row>
    <row r="1097" spans="1:16">
      <c r="A1097" s="63">
        <f>'RAW DATA 2023'!B1090</f>
        <v>0</v>
      </c>
      <c r="B1097" s="63">
        <f>'RAW DATA 2023'!D1090</f>
        <v>0</v>
      </c>
      <c r="C1097" s="63" t="str">
        <f t="shared" si="128"/>
        <v>00</v>
      </c>
      <c r="D1097" s="68" t="e">
        <f>VLOOKUP(C1097,'RAW DATA 2023'!E:BP,63,0)</f>
        <v>#N/A</v>
      </c>
      <c r="E1097" s="68" t="e">
        <f t="shared" si="129"/>
        <v>#N/A</v>
      </c>
      <c r="F1097" s="63" t="e">
        <f>VLOOKUP(C1097,'RAW DATA 2023'!E:BO,5,0)</f>
        <v>#N/A</v>
      </c>
      <c r="G1097" s="63" t="e">
        <f>VLOOKUP(C1097,'RAW DATA 2023'!E:BO,13,0)</f>
        <v>#N/A</v>
      </c>
      <c r="H1097" s="63" t="e">
        <f t="shared" si="130"/>
        <v>#N/A</v>
      </c>
      <c r="I1097" s="63" t="e">
        <f t="shared" si="133"/>
        <v>#N/A</v>
      </c>
      <c r="J1097" s="106" t="e">
        <f>VLOOKUP(C1097,'RAW DATA 2023'!E:BO,22,0)</f>
        <v>#N/A</v>
      </c>
      <c r="K1097" s="70" t="e">
        <f t="shared" si="134"/>
        <v>#N/A</v>
      </c>
      <c r="L1097" s="72"/>
      <c r="M1097" s="109" t="e">
        <f t="shared" si="132"/>
        <v>#N/A</v>
      </c>
      <c r="N1097" s="123" t="e">
        <f>VLOOKUP(C1097,'RAW DATA 2023'!E:BO,36,0)</f>
        <v>#N/A</v>
      </c>
      <c r="O1097" s="63" t="e">
        <f>VLOOKUP(C1097,'RAW DATA 2023'!E:BO,2,0)</f>
        <v>#N/A</v>
      </c>
      <c r="P1097" s="322" t="e">
        <f t="shared" si="131"/>
        <v>#N/A</v>
      </c>
    </row>
    <row r="1098" spans="1:16">
      <c r="A1098" s="63">
        <f>'RAW DATA 2023'!B1091</f>
        <v>0</v>
      </c>
      <c r="B1098" s="63">
        <f>'RAW DATA 2023'!D1091</f>
        <v>0</v>
      </c>
      <c r="C1098" s="63" t="str">
        <f t="shared" ref="C1098:C1161" si="135">A1098&amp;B1098</f>
        <v>00</v>
      </c>
      <c r="D1098" s="68" t="e">
        <f>VLOOKUP(C1098,'RAW DATA 2023'!E:BP,63,0)</f>
        <v>#N/A</v>
      </c>
      <c r="E1098" s="68" t="e">
        <f t="shared" ref="E1098:E1161" si="136">A1098&amp;D1098</f>
        <v>#N/A</v>
      </c>
      <c r="F1098" s="63" t="e">
        <f>VLOOKUP(C1098,'RAW DATA 2023'!E:BO,5,0)</f>
        <v>#N/A</v>
      </c>
      <c r="G1098" s="63" t="e">
        <f>VLOOKUP(C1098,'RAW DATA 2023'!E:BO,13,0)</f>
        <v>#N/A</v>
      </c>
      <c r="H1098" s="63" t="e">
        <f t="shared" si="130"/>
        <v>#N/A</v>
      </c>
      <c r="I1098" s="63" t="e">
        <f t="shared" si="133"/>
        <v>#N/A</v>
      </c>
      <c r="J1098" s="106" t="e">
        <f>VLOOKUP(C1098,'RAW DATA 2023'!E:BO,22,0)</f>
        <v>#N/A</v>
      </c>
      <c r="K1098" s="70" t="e">
        <f t="shared" si="134"/>
        <v>#N/A</v>
      </c>
      <c r="L1098" s="72"/>
      <c r="M1098" s="109" t="e">
        <f t="shared" si="132"/>
        <v>#N/A</v>
      </c>
      <c r="N1098" s="123" t="e">
        <f>VLOOKUP(C1098,'RAW DATA 2023'!E:BO,36,0)</f>
        <v>#N/A</v>
      </c>
      <c r="O1098" s="63" t="e">
        <f>VLOOKUP(C1098,'RAW DATA 2023'!E:BO,2,0)</f>
        <v>#N/A</v>
      </c>
      <c r="P1098" s="322" t="e">
        <f t="shared" si="131"/>
        <v>#N/A</v>
      </c>
    </row>
    <row r="1099" spans="1:16">
      <c r="A1099" s="63">
        <f>'RAW DATA 2023'!B1092</f>
        <v>0</v>
      </c>
      <c r="B1099" s="63">
        <f>'RAW DATA 2023'!D1092</f>
        <v>0</v>
      </c>
      <c r="C1099" s="63" t="str">
        <f t="shared" si="135"/>
        <v>00</v>
      </c>
      <c r="D1099" s="68" t="e">
        <f>VLOOKUP(C1099,'RAW DATA 2023'!E:BP,63,0)</f>
        <v>#N/A</v>
      </c>
      <c r="E1099" s="68" t="e">
        <f t="shared" si="136"/>
        <v>#N/A</v>
      </c>
      <c r="F1099" s="63" t="e">
        <f>VLOOKUP(C1099,'RAW DATA 2023'!E:BO,5,0)</f>
        <v>#N/A</v>
      </c>
      <c r="G1099" s="63" t="e">
        <f>VLOOKUP(C1099,'RAW DATA 2023'!E:BO,13,0)</f>
        <v>#N/A</v>
      </c>
      <c r="H1099" s="63" t="e">
        <f t="shared" ref="H1099:H1162" si="137">IF(G1099&gt;190,200,IF(G1099&gt;165,180,IF(G1099&gt;=135,150,IF(D1092&gt;=110,120,100))))</f>
        <v>#N/A</v>
      </c>
      <c r="I1099" s="63" t="e">
        <f t="shared" si="133"/>
        <v>#N/A</v>
      </c>
      <c r="J1099" s="106" t="e">
        <f>VLOOKUP(C1099,'RAW DATA 2023'!E:BO,22,0)</f>
        <v>#N/A</v>
      </c>
      <c r="K1099" s="70" t="e">
        <f t="shared" si="134"/>
        <v>#N/A</v>
      </c>
      <c r="L1099" s="72"/>
      <c r="M1099" s="109" t="e">
        <f t="shared" si="132"/>
        <v>#N/A</v>
      </c>
      <c r="N1099" s="123" t="e">
        <f>VLOOKUP(C1099,'RAW DATA 2023'!E:BO,36,0)</f>
        <v>#N/A</v>
      </c>
      <c r="O1099" s="63" t="e">
        <f>VLOOKUP(C1099,'RAW DATA 2023'!E:BO,2,0)</f>
        <v>#N/A</v>
      </c>
      <c r="P1099" s="322" t="e">
        <f t="shared" ref="P1099:P1162" si="138">M1099*O1099</f>
        <v>#N/A</v>
      </c>
    </row>
    <row r="1100" spans="1:16">
      <c r="A1100" s="63">
        <f>'RAW DATA 2023'!B1093</f>
        <v>0</v>
      </c>
      <c r="B1100" s="63">
        <f>'RAW DATA 2023'!D1093</f>
        <v>0</v>
      </c>
      <c r="C1100" s="63" t="str">
        <f t="shared" si="135"/>
        <v>00</v>
      </c>
      <c r="D1100" s="68" t="e">
        <f>VLOOKUP(C1100,'RAW DATA 2023'!E:BP,63,0)</f>
        <v>#N/A</v>
      </c>
      <c r="E1100" s="68" t="e">
        <f t="shared" si="136"/>
        <v>#N/A</v>
      </c>
      <c r="F1100" s="63" t="e">
        <f>VLOOKUP(C1100,'RAW DATA 2023'!E:BO,5,0)</f>
        <v>#N/A</v>
      </c>
      <c r="G1100" s="63" t="e">
        <f>VLOOKUP(C1100,'RAW DATA 2023'!E:BO,13,0)</f>
        <v>#N/A</v>
      </c>
      <c r="H1100" s="63" t="e">
        <f t="shared" si="137"/>
        <v>#N/A</v>
      </c>
      <c r="I1100" s="63" t="e">
        <f t="shared" si="133"/>
        <v>#N/A</v>
      </c>
      <c r="J1100" s="106" t="e">
        <f>VLOOKUP(C1100,'RAW DATA 2023'!E:BO,22,0)</f>
        <v>#N/A</v>
      </c>
      <c r="K1100" s="70" t="e">
        <f t="shared" si="134"/>
        <v>#N/A</v>
      </c>
      <c r="L1100" s="72"/>
      <c r="M1100" s="109" t="e">
        <f t="shared" ref="M1100:M1163" si="139">(K1100-$B$4)*$B$7</f>
        <v>#N/A</v>
      </c>
      <c r="N1100" s="123" t="e">
        <f>VLOOKUP(C1100,'RAW DATA 2023'!E:BO,36,0)</f>
        <v>#N/A</v>
      </c>
      <c r="O1100" s="63" t="e">
        <f>VLOOKUP(C1100,'RAW DATA 2023'!E:BO,2,0)</f>
        <v>#N/A</v>
      </c>
      <c r="P1100" s="322" t="e">
        <f t="shared" si="138"/>
        <v>#N/A</v>
      </c>
    </row>
    <row r="1101" spans="1:16">
      <c r="A1101" s="63">
        <f>'RAW DATA 2023'!B1094</f>
        <v>0</v>
      </c>
      <c r="B1101" s="63">
        <f>'RAW DATA 2023'!D1094</f>
        <v>0</v>
      </c>
      <c r="C1101" s="63" t="str">
        <f t="shared" si="135"/>
        <v>00</v>
      </c>
      <c r="D1101" s="68" t="e">
        <f>VLOOKUP(C1101,'RAW DATA 2023'!E:BP,63,0)</f>
        <v>#N/A</v>
      </c>
      <c r="E1101" s="68" t="e">
        <f t="shared" si="136"/>
        <v>#N/A</v>
      </c>
      <c r="F1101" s="63" t="e">
        <f>VLOOKUP(C1101,'RAW DATA 2023'!E:BO,5,0)</f>
        <v>#N/A</v>
      </c>
      <c r="G1101" s="63" t="e">
        <f>VLOOKUP(C1101,'RAW DATA 2023'!E:BO,13,0)</f>
        <v>#N/A</v>
      </c>
      <c r="H1101" s="63" t="e">
        <f t="shared" si="137"/>
        <v>#N/A</v>
      </c>
      <c r="I1101" s="63" t="e">
        <f t="shared" si="133"/>
        <v>#N/A</v>
      </c>
      <c r="J1101" s="106" t="e">
        <f>VLOOKUP(C1101,'RAW DATA 2023'!E:BO,22,0)</f>
        <v>#N/A</v>
      </c>
      <c r="K1101" s="70" t="e">
        <f t="shared" si="134"/>
        <v>#N/A</v>
      </c>
      <c r="L1101" s="72"/>
      <c r="M1101" s="109" t="e">
        <f t="shared" si="139"/>
        <v>#N/A</v>
      </c>
      <c r="N1101" s="123" t="e">
        <f>VLOOKUP(C1101,'RAW DATA 2023'!E:BO,36,0)</f>
        <v>#N/A</v>
      </c>
      <c r="O1101" s="63" t="e">
        <f>VLOOKUP(C1101,'RAW DATA 2023'!E:BO,2,0)</f>
        <v>#N/A</v>
      </c>
      <c r="P1101" s="322" t="e">
        <f t="shared" si="138"/>
        <v>#N/A</v>
      </c>
    </row>
    <row r="1102" spans="1:16">
      <c r="A1102" s="63">
        <f>'RAW DATA 2023'!B1095</f>
        <v>0</v>
      </c>
      <c r="B1102" s="63">
        <f>'RAW DATA 2023'!D1095</f>
        <v>0</v>
      </c>
      <c r="C1102" s="63" t="str">
        <f t="shared" si="135"/>
        <v>00</v>
      </c>
      <c r="D1102" s="68" t="e">
        <f>VLOOKUP(C1102,'RAW DATA 2023'!E:BP,63,0)</f>
        <v>#N/A</v>
      </c>
      <c r="E1102" s="68" t="e">
        <f t="shared" si="136"/>
        <v>#N/A</v>
      </c>
      <c r="F1102" s="63" t="e">
        <f>VLOOKUP(C1102,'RAW DATA 2023'!E:BO,5,0)</f>
        <v>#N/A</v>
      </c>
      <c r="G1102" s="63" t="e">
        <f>VLOOKUP(C1102,'RAW DATA 2023'!E:BO,13,0)</f>
        <v>#N/A</v>
      </c>
      <c r="H1102" s="63" t="e">
        <f t="shared" si="137"/>
        <v>#N/A</v>
      </c>
      <c r="I1102" s="63" t="e">
        <f t="shared" si="133"/>
        <v>#N/A</v>
      </c>
      <c r="J1102" s="106" t="e">
        <f>VLOOKUP(C1102,'RAW DATA 2023'!E:BO,22,0)</f>
        <v>#N/A</v>
      </c>
      <c r="K1102" s="70" t="e">
        <f t="shared" si="134"/>
        <v>#N/A</v>
      </c>
      <c r="L1102" s="72"/>
      <c r="M1102" s="109" t="e">
        <f t="shared" si="139"/>
        <v>#N/A</v>
      </c>
      <c r="N1102" s="123" t="e">
        <f>VLOOKUP(C1102,'RAW DATA 2023'!E:BO,36,0)</f>
        <v>#N/A</v>
      </c>
      <c r="O1102" s="63" t="e">
        <f>VLOOKUP(C1102,'RAW DATA 2023'!E:BO,2,0)</f>
        <v>#N/A</v>
      </c>
      <c r="P1102" s="322" t="e">
        <f t="shared" si="138"/>
        <v>#N/A</v>
      </c>
    </row>
    <row r="1103" spans="1:16">
      <c r="A1103" s="63">
        <f>'RAW DATA 2023'!B1096</f>
        <v>0</v>
      </c>
      <c r="B1103" s="63">
        <f>'RAW DATA 2023'!D1096</f>
        <v>0</v>
      </c>
      <c r="C1103" s="63" t="str">
        <f t="shared" si="135"/>
        <v>00</v>
      </c>
      <c r="D1103" s="68" t="e">
        <f>VLOOKUP(C1103,'RAW DATA 2023'!E:BP,63,0)</f>
        <v>#N/A</v>
      </c>
      <c r="E1103" s="68" t="e">
        <f t="shared" si="136"/>
        <v>#N/A</v>
      </c>
      <c r="F1103" s="63" t="e">
        <f>VLOOKUP(C1103,'RAW DATA 2023'!E:BO,5,0)</f>
        <v>#N/A</v>
      </c>
      <c r="G1103" s="63" t="e">
        <f>VLOOKUP(C1103,'RAW DATA 2023'!E:BO,13,0)</f>
        <v>#N/A</v>
      </c>
      <c r="H1103" s="63" t="e">
        <f t="shared" si="137"/>
        <v>#N/A</v>
      </c>
      <c r="I1103" s="63" t="e">
        <f t="shared" si="133"/>
        <v>#N/A</v>
      </c>
      <c r="J1103" s="106" t="e">
        <f>VLOOKUP(C1103,'RAW DATA 2023'!E:BO,22,0)</f>
        <v>#N/A</v>
      </c>
      <c r="K1103" s="70" t="e">
        <f t="shared" si="134"/>
        <v>#N/A</v>
      </c>
      <c r="L1103" s="72"/>
      <c r="M1103" s="109" t="e">
        <f t="shared" si="139"/>
        <v>#N/A</v>
      </c>
      <c r="N1103" s="123" t="e">
        <f>VLOOKUP(C1103,'RAW DATA 2023'!E:BO,36,0)</f>
        <v>#N/A</v>
      </c>
      <c r="O1103" s="63" t="e">
        <f>VLOOKUP(C1103,'RAW DATA 2023'!E:BO,2,0)</f>
        <v>#N/A</v>
      </c>
      <c r="P1103" s="322" t="e">
        <f t="shared" si="138"/>
        <v>#N/A</v>
      </c>
    </row>
    <row r="1104" spans="1:16">
      <c r="A1104" s="63">
        <f>'RAW DATA 2023'!B1097</f>
        <v>0</v>
      </c>
      <c r="B1104" s="63">
        <f>'RAW DATA 2023'!D1097</f>
        <v>0</v>
      </c>
      <c r="C1104" s="63" t="str">
        <f t="shared" si="135"/>
        <v>00</v>
      </c>
      <c r="D1104" s="68" t="e">
        <f>VLOOKUP(C1104,'RAW DATA 2023'!E:BP,63,0)</f>
        <v>#N/A</v>
      </c>
      <c r="E1104" s="68" t="e">
        <f t="shared" si="136"/>
        <v>#N/A</v>
      </c>
      <c r="F1104" s="63" t="e">
        <f>VLOOKUP(C1104,'RAW DATA 2023'!E:BO,5,0)</f>
        <v>#N/A</v>
      </c>
      <c r="G1104" s="63" t="e">
        <f>VLOOKUP(C1104,'RAW DATA 2023'!E:BO,13,0)</f>
        <v>#N/A</v>
      </c>
      <c r="H1104" s="63" t="e">
        <f t="shared" si="137"/>
        <v>#N/A</v>
      </c>
      <c r="I1104" s="63" t="e">
        <f t="shared" si="133"/>
        <v>#N/A</v>
      </c>
      <c r="J1104" s="106" t="e">
        <f>VLOOKUP(C1104,'RAW DATA 2023'!E:BO,22,0)</f>
        <v>#N/A</v>
      </c>
      <c r="K1104" s="70" t="e">
        <f t="shared" si="134"/>
        <v>#N/A</v>
      </c>
      <c r="L1104" s="72"/>
      <c r="M1104" s="109" t="e">
        <f t="shared" si="139"/>
        <v>#N/A</v>
      </c>
      <c r="N1104" s="123" t="e">
        <f>VLOOKUP(C1104,'RAW DATA 2023'!E:BO,36,0)</f>
        <v>#N/A</v>
      </c>
      <c r="O1104" s="63" t="e">
        <f>VLOOKUP(C1104,'RAW DATA 2023'!E:BO,2,0)</f>
        <v>#N/A</v>
      </c>
      <c r="P1104" s="322" t="e">
        <f t="shared" si="138"/>
        <v>#N/A</v>
      </c>
    </row>
    <row r="1105" spans="1:16">
      <c r="A1105" s="63">
        <f>'RAW DATA 2023'!B1098</f>
        <v>0</v>
      </c>
      <c r="B1105" s="63">
        <f>'RAW DATA 2023'!D1098</f>
        <v>0</v>
      </c>
      <c r="C1105" s="63" t="str">
        <f t="shared" si="135"/>
        <v>00</v>
      </c>
      <c r="D1105" s="68" t="e">
        <f>VLOOKUP(C1105,'RAW DATA 2023'!E:BP,63,0)</f>
        <v>#N/A</v>
      </c>
      <c r="E1105" s="68" t="e">
        <f t="shared" si="136"/>
        <v>#N/A</v>
      </c>
      <c r="F1105" s="63" t="e">
        <f>VLOOKUP(C1105,'RAW DATA 2023'!E:BO,5,0)</f>
        <v>#N/A</v>
      </c>
      <c r="G1105" s="63" t="e">
        <f>VLOOKUP(C1105,'RAW DATA 2023'!E:BO,13,0)</f>
        <v>#N/A</v>
      </c>
      <c r="H1105" s="63" t="e">
        <f t="shared" si="137"/>
        <v>#N/A</v>
      </c>
      <c r="I1105" s="63" t="e">
        <f t="shared" si="133"/>
        <v>#N/A</v>
      </c>
      <c r="J1105" s="106" t="e">
        <f>VLOOKUP(C1105,'RAW DATA 2023'!E:BO,22,0)</f>
        <v>#N/A</v>
      </c>
      <c r="K1105" s="70" t="e">
        <f t="shared" si="134"/>
        <v>#N/A</v>
      </c>
      <c r="L1105" s="72"/>
      <c r="M1105" s="109" t="e">
        <f t="shared" si="139"/>
        <v>#N/A</v>
      </c>
      <c r="N1105" s="123" t="e">
        <f>VLOOKUP(C1105,'RAW DATA 2023'!E:BO,36,0)</f>
        <v>#N/A</v>
      </c>
      <c r="O1105" s="63" t="e">
        <f>VLOOKUP(C1105,'RAW DATA 2023'!E:BO,2,0)</f>
        <v>#N/A</v>
      </c>
      <c r="P1105" s="322" t="e">
        <f t="shared" si="138"/>
        <v>#N/A</v>
      </c>
    </row>
    <row r="1106" spans="1:16">
      <c r="A1106" s="63">
        <f>'RAW DATA 2023'!B1099</f>
        <v>0</v>
      </c>
      <c r="B1106" s="63">
        <f>'RAW DATA 2023'!D1099</f>
        <v>0</v>
      </c>
      <c r="C1106" s="63" t="str">
        <f t="shared" si="135"/>
        <v>00</v>
      </c>
      <c r="D1106" s="68" t="e">
        <f>VLOOKUP(C1106,'RAW DATA 2023'!E:BP,63,0)</f>
        <v>#N/A</v>
      </c>
      <c r="E1106" s="68" t="e">
        <f t="shared" si="136"/>
        <v>#N/A</v>
      </c>
      <c r="F1106" s="63" t="e">
        <f>VLOOKUP(C1106,'RAW DATA 2023'!E:BO,5,0)</f>
        <v>#N/A</v>
      </c>
      <c r="G1106" s="63" t="e">
        <f>VLOOKUP(C1106,'RAW DATA 2023'!E:BO,13,0)</f>
        <v>#N/A</v>
      </c>
      <c r="H1106" s="63" t="e">
        <f t="shared" si="137"/>
        <v>#N/A</v>
      </c>
      <c r="I1106" s="63" t="e">
        <f t="shared" si="133"/>
        <v>#N/A</v>
      </c>
      <c r="J1106" s="106" t="e">
        <f>VLOOKUP(C1106,'RAW DATA 2023'!E:BO,22,0)</f>
        <v>#N/A</v>
      </c>
      <c r="K1106" s="70" t="e">
        <f t="shared" si="134"/>
        <v>#N/A</v>
      </c>
      <c r="L1106" s="72"/>
      <c r="M1106" s="109" t="e">
        <f t="shared" si="139"/>
        <v>#N/A</v>
      </c>
      <c r="N1106" s="123" t="e">
        <f>VLOOKUP(C1106,'RAW DATA 2023'!E:BO,36,0)</f>
        <v>#N/A</v>
      </c>
      <c r="O1106" s="63" t="e">
        <f>VLOOKUP(C1106,'RAW DATA 2023'!E:BO,2,0)</f>
        <v>#N/A</v>
      </c>
      <c r="P1106" s="322" t="e">
        <f t="shared" si="138"/>
        <v>#N/A</v>
      </c>
    </row>
    <row r="1107" spans="1:16">
      <c r="A1107" s="63">
        <f>'RAW DATA 2023'!B1100</f>
        <v>0</v>
      </c>
      <c r="B1107" s="63">
        <f>'RAW DATA 2023'!D1100</f>
        <v>0</v>
      </c>
      <c r="C1107" s="63" t="str">
        <f t="shared" si="135"/>
        <v>00</v>
      </c>
      <c r="D1107" s="68" t="e">
        <f>VLOOKUP(C1107,'RAW DATA 2023'!E:BP,63,0)</f>
        <v>#N/A</v>
      </c>
      <c r="E1107" s="68" t="e">
        <f t="shared" si="136"/>
        <v>#N/A</v>
      </c>
      <c r="F1107" s="63" t="e">
        <f>VLOOKUP(C1107,'RAW DATA 2023'!E:BO,5,0)</f>
        <v>#N/A</v>
      </c>
      <c r="G1107" s="63" t="e">
        <f>VLOOKUP(C1107,'RAW DATA 2023'!E:BO,13,0)</f>
        <v>#N/A</v>
      </c>
      <c r="H1107" s="63" t="e">
        <f t="shared" si="137"/>
        <v>#N/A</v>
      </c>
      <c r="I1107" s="63" t="e">
        <f t="shared" si="133"/>
        <v>#N/A</v>
      </c>
      <c r="J1107" s="106" t="e">
        <f>VLOOKUP(C1107,'RAW DATA 2023'!E:BO,22,0)</f>
        <v>#N/A</v>
      </c>
      <c r="K1107" s="70" t="e">
        <f t="shared" si="134"/>
        <v>#N/A</v>
      </c>
      <c r="L1107" s="72"/>
      <c r="M1107" s="109" t="e">
        <f t="shared" si="139"/>
        <v>#N/A</v>
      </c>
      <c r="N1107" s="123" t="e">
        <f>VLOOKUP(C1107,'RAW DATA 2023'!E:BO,36,0)</f>
        <v>#N/A</v>
      </c>
      <c r="O1107" s="63" t="e">
        <f>VLOOKUP(C1107,'RAW DATA 2023'!E:BO,2,0)</f>
        <v>#N/A</v>
      </c>
      <c r="P1107" s="322" t="e">
        <f t="shared" si="138"/>
        <v>#N/A</v>
      </c>
    </row>
    <row r="1108" spans="1:16">
      <c r="A1108" s="63">
        <f>'RAW DATA 2023'!B1101</f>
        <v>0</v>
      </c>
      <c r="B1108" s="63">
        <f>'RAW DATA 2023'!D1101</f>
        <v>0</v>
      </c>
      <c r="C1108" s="63" t="str">
        <f t="shared" si="135"/>
        <v>00</v>
      </c>
      <c r="D1108" s="68" t="e">
        <f>VLOOKUP(C1108,'RAW DATA 2023'!E:BP,63,0)</f>
        <v>#N/A</v>
      </c>
      <c r="E1108" s="68" t="e">
        <f t="shared" si="136"/>
        <v>#N/A</v>
      </c>
      <c r="F1108" s="63" t="e">
        <f>VLOOKUP(C1108,'RAW DATA 2023'!E:BO,5,0)</f>
        <v>#N/A</v>
      </c>
      <c r="G1108" s="63" t="e">
        <f>VLOOKUP(C1108,'RAW DATA 2023'!E:BO,13,0)</f>
        <v>#N/A</v>
      </c>
      <c r="H1108" s="63" t="e">
        <f t="shared" si="137"/>
        <v>#N/A</v>
      </c>
      <c r="I1108" s="63" t="e">
        <f t="shared" si="133"/>
        <v>#N/A</v>
      </c>
      <c r="J1108" s="106" t="e">
        <f>VLOOKUP(C1108,'RAW DATA 2023'!E:BO,22,0)</f>
        <v>#N/A</v>
      </c>
      <c r="K1108" s="70" t="e">
        <f t="shared" si="134"/>
        <v>#N/A</v>
      </c>
      <c r="L1108" s="72"/>
      <c r="M1108" s="109" t="e">
        <f t="shared" si="139"/>
        <v>#N/A</v>
      </c>
      <c r="N1108" s="123" t="e">
        <f>VLOOKUP(C1108,'RAW DATA 2023'!E:BO,36,0)</f>
        <v>#N/A</v>
      </c>
      <c r="O1108" s="63" t="e">
        <f>VLOOKUP(C1108,'RAW DATA 2023'!E:BO,2,0)</f>
        <v>#N/A</v>
      </c>
      <c r="P1108" s="322" t="e">
        <f t="shared" si="138"/>
        <v>#N/A</v>
      </c>
    </row>
    <row r="1109" spans="1:16">
      <c r="A1109" s="63">
        <f>'RAW DATA 2023'!B1102</f>
        <v>0</v>
      </c>
      <c r="B1109" s="63">
        <f>'RAW DATA 2023'!D1102</f>
        <v>0</v>
      </c>
      <c r="C1109" s="63" t="str">
        <f t="shared" si="135"/>
        <v>00</v>
      </c>
      <c r="D1109" s="68" t="e">
        <f>VLOOKUP(C1109,'RAW DATA 2023'!E:BP,63,0)</f>
        <v>#N/A</v>
      </c>
      <c r="E1109" s="68" t="e">
        <f t="shared" si="136"/>
        <v>#N/A</v>
      </c>
      <c r="F1109" s="63" t="e">
        <f>VLOOKUP(C1109,'RAW DATA 2023'!E:BO,5,0)</f>
        <v>#N/A</v>
      </c>
      <c r="G1109" s="63" t="e">
        <f>VLOOKUP(C1109,'RAW DATA 2023'!E:BO,13,0)</f>
        <v>#N/A</v>
      </c>
      <c r="H1109" s="63" t="e">
        <f t="shared" si="137"/>
        <v>#N/A</v>
      </c>
      <c r="I1109" s="63" t="e">
        <f t="shared" si="133"/>
        <v>#N/A</v>
      </c>
      <c r="J1109" s="106" t="e">
        <f>VLOOKUP(C1109,'RAW DATA 2023'!E:BO,22,0)</f>
        <v>#N/A</v>
      </c>
      <c r="K1109" s="70" t="e">
        <f t="shared" si="134"/>
        <v>#N/A</v>
      </c>
      <c r="L1109" s="72"/>
      <c r="M1109" s="109" t="e">
        <f t="shared" si="139"/>
        <v>#N/A</v>
      </c>
      <c r="N1109" s="123" t="e">
        <f>VLOOKUP(C1109,'RAW DATA 2023'!E:BO,36,0)</f>
        <v>#N/A</v>
      </c>
      <c r="O1109" s="63" t="e">
        <f>VLOOKUP(C1109,'RAW DATA 2023'!E:BO,2,0)</f>
        <v>#N/A</v>
      </c>
      <c r="P1109" s="322" t="e">
        <f t="shared" si="138"/>
        <v>#N/A</v>
      </c>
    </row>
    <row r="1110" spans="1:16">
      <c r="A1110" s="63">
        <f>'RAW DATA 2023'!B1103</f>
        <v>0</v>
      </c>
      <c r="B1110" s="63">
        <f>'RAW DATA 2023'!D1103</f>
        <v>0</v>
      </c>
      <c r="C1110" s="63" t="str">
        <f t="shared" si="135"/>
        <v>00</v>
      </c>
      <c r="D1110" s="68" t="e">
        <f>VLOOKUP(C1110,'RAW DATA 2023'!E:BP,63,0)</f>
        <v>#N/A</v>
      </c>
      <c r="E1110" s="68" t="e">
        <f t="shared" si="136"/>
        <v>#N/A</v>
      </c>
      <c r="F1110" s="63" t="e">
        <f>VLOOKUP(C1110,'RAW DATA 2023'!E:BO,5,0)</f>
        <v>#N/A</v>
      </c>
      <c r="G1110" s="63" t="e">
        <f>VLOOKUP(C1110,'RAW DATA 2023'!E:BO,13,0)</f>
        <v>#N/A</v>
      </c>
      <c r="H1110" s="63" t="e">
        <f t="shared" si="137"/>
        <v>#N/A</v>
      </c>
      <c r="I1110" s="63" t="e">
        <f t="shared" si="133"/>
        <v>#N/A</v>
      </c>
      <c r="J1110" s="106" t="e">
        <f>VLOOKUP(C1110,'RAW DATA 2023'!E:BO,22,0)</f>
        <v>#N/A</v>
      </c>
      <c r="K1110" s="70" t="e">
        <f t="shared" si="134"/>
        <v>#N/A</v>
      </c>
      <c r="L1110" s="72"/>
      <c r="M1110" s="109" t="e">
        <f t="shared" si="139"/>
        <v>#N/A</v>
      </c>
      <c r="N1110" s="123" t="e">
        <f>VLOOKUP(C1110,'RAW DATA 2023'!E:BO,36,0)</f>
        <v>#N/A</v>
      </c>
      <c r="O1110" s="63" t="e">
        <f>VLOOKUP(C1110,'RAW DATA 2023'!E:BO,2,0)</f>
        <v>#N/A</v>
      </c>
      <c r="P1110" s="322" t="e">
        <f t="shared" si="138"/>
        <v>#N/A</v>
      </c>
    </row>
    <row r="1111" spans="1:16">
      <c r="A1111" s="63">
        <f>'RAW DATA 2023'!B1104</f>
        <v>0</v>
      </c>
      <c r="B1111" s="63">
        <f>'RAW DATA 2023'!D1104</f>
        <v>0</v>
      </c>
      <c r="C1111" s="63" t="str">
        <f t="shared" si="135"/>
        <v>00</v>
      </c>
      <c r="D1111" s="68" t="e">
        <f>VLOOKUP(C1111,'RAW DATA 2023'!E:BP,63,0)</f>
        <v>#N/A</v>
      </c>
      <c r="E1111" s="68" t="e">
        <f t="shared" si="136"/>
        <v>#N/A</v>
      </c>
      <c r="F1111" s="63" t="e">
        <f>VLOOKUP(C1111,'RAW DATA 2023'!E:BO,5,0)</f>
        <v>#N/A</v>
      </c>
      <c r="G1111" s="63" t="e">
        <f>VLOOKUP(C1111,'RAW DATA 2023'!E:BO,13,0)</f>
        <v>#N/A</v>
      </c>
      <c r="H1111" s="63" t="e">
        <f t="shared" si="137"/>
        <v>#N/A</v>
      </c>
      <c r="I1111" s="63" t="e">
        <f t="shared" si="133"/>
        <v>#N/A</v>
      </c>
      <c r="J1111" s="106" t="e">
        <f>VLOOKUP(C1111,'RAW DATA 2023'!E:BO,22,0)</f>
        <v>#N/A</v>
      </c>
      <c r="K1111" s="70" t="e">
        <f t="shared" si="134"/>
        <v>#N/A</v>
      </c>
      <c r="L1111" s="72"/>
      <c r="M1111" s="109" t="e">
        <f t="shared" si="139"/>
        <v>#N/A</v>
      </c>
      <c r="N1111" s="123" t="e">
        <f>VLOOKUP(C1111,'RAW DATA 2023'!E:BO,36,0)</f>
        <v>#N/A</v>
      </c>
      <c r="O1111" s="63" t="e">
        <f>VLOOKUP(C1111,'RAW DATA 2023'!E:BO,2,0)</f>
        <v>#N/A</v>
      </c>
      <c r="P1111" s="322" t="e">
        <f t="shared" si="138"/>
        <v>#N/A</v>
      </c>
    </row>
    <row r="1112" spans="1:16">
      <c r="A1112" s="63">
        <f>'RAW DATA 2023'!B1105</f>
        <v>0</v>
      </c>
      <c r="B1112" s="63">
        <f>'RAW DATA 2023'!D1105</f>
        <v>0</v>
      </c>
      <c r="C1112" s="63" t="str">
        <f t="shared" si="135"/>
        <v>00</v>
      </c>
      <c r="D1112" s="68" t="e">
        <f>VLOOKUP(C1112,'RAW DATA 2023'!E:BP,63,0)</f>
        <v>#N/A</v>
      </c>
      <c r="E1112" s="68" t="e">
        <f t="shared" si="136"/>
        <v>#N/A</v>
      </c>
      <c r="F1112" s="63" t="e">
        <f>VLOOKUP(C1112,'RAW DATA 2023'!E:BO,5,0)</f>
        <v>#N/A</v>
      </c>
      <c r="G1112" s="63" t="e">
        <f>VLOOKUP(C1112,'RAW DATA 2023'!E:BO,13,0)</f>
        <v>#N/A</v>
      </c>
      <c r="H1112" s="63" t="e">
        <f t="shared" si="137"/>
        <v>#N/A</v>
      </c>
      <c r="I1112" s="63" t="e">
        <f t="shared" si="133"/>
        <v>#N/A</v>
      </c>
      <c r="J1112" s="106" t="e">
        <f>VLOOKUP(C1112,'RAW DATA 2023'!E:BO,22,0)</f>
        <v>#N/A</v>
      </c>
      <c r="K1112" s="70" t="e">
        <f t="shared" si="134"/>
        <v>#N/A</v>
      </c>
      <c r="L1112" s="72"/>
      <c r="M1112" s="109" t="e">
        <f t="shared" si="139"/>
        <v>#N/A</v>
      </c>
      <c r="N1112" s="123" t="e">
        <f>VLOOKUP(C1112,'RAW DATA 2023'!E:BO,36,0)</f>
        <v>#N/A</v>
      </c>
      <c r="O1112" s="63" t="e">
        <f>VLOOKUP(C1112,'RAW DATA 2023'!E:BO,2,0)</f>
        <v>#N/A</v>
      </c>
      <c r="P1112" s="322" t="e">
        <f t="shared" si="138"/>
        <v>#N/A</v>
      </c>
    </row>
    <row r="1113" spans="1:16">
      <c r="A1113" s="63">
        <f>'RAW DATA 2023'!B1106</f>
        <v>0</v>
      </c>
      <c r="B1113" s="63">
        <f>'RAW DATA 2023'!D1106</f>
        <v>0</v>
      </c>
      <c r="C1113" s="63" t="str">
        <f t="shared" si="135"/>
        <v>00</v>
      </c>
      <c r="D1113" s="68" t="e">
        <f>VLOOKUP(C1113,'RAW DATA 2023'!E:BP,63,0)</f>
        <v>#N/A</v>
      </c>
      <c r="E1113" s="68" t="e">
        <f t="shared" si="136"/>
        <v>#N/A</v>
      </c>
      <c r="F1113" s="63" t="e">
        <f>VLOOKUP(C1113,'RAW DATA 2023'!E:BO,5,0)</f>
        <v>#N/A</v>
      </c>
      <c r="G1113" s="63" t="e">
        <f>VLOOKUP(C1113,'RAW DATA 2023'!E:BO,13,0)</f>
        <v>#N/A</v>
      </c>
      <c r="H1113" s="63" t="e">
        <f t="shared" si="137"/>
        <v>#N/A</v>
      </c>
      <c r="I1113" s="63" t="e">
        <f t="shared" si="133"/>
        <v>#N/A</v>
      </c>
      <c r="J1113" s="106" t="e">
        <f>VLOOKUP(C1113,'RAW DATA 2023'!E:BO,22,0)</f>
        <v>#N/A</v>
      </c>
      <c r="K1113" s="70" t="e">
        <f t="shared" si="134"/>
        <v>#N/A</v>
      </c>
      <c r="L1113" s="72"/>
      <c r="M1113" s="109" t="e">
        <f t="shared" si="139"/>
        <v>#N/A</v>
      </c>
      <c r="N1113" s="123" t="e">
        <f>VLOOKUP(C1113,'RAW DATA 2023'!E:BO,36,0)</f>
        <v>#N/A</v>
      </c>
      <c r="O1113" s="63" t="e">
        <f>VLOOKUP(C1113,'RAW DATA 2023'!E:BO,2,0)</f>
        <v>#N/A</v>
      </c>
      <c r="P1113" s="322" t="e">
        <f t="shared" si="138"/>
        <v>#N/A</v>
      </c>
    </row>
    <row r="1114" spans="1:16">
      <c r="A1114" s="63">
        <f>'RAW DATA 2023'!B1107</f>
        <v>0</v>
      </c>
      <c r="B1114" s="63">
        <f>'RAW DATA 2023'!D1107</f>
        <v>0</v>
      </c>
      <c r="C1114" s="63" t="str">
        <f t="shared" si="135"/>
        <v>00</v>
      </c>
      <c r="D1114" s="68" t="e">
        <f>VLOOKUP(C1114,'RAW DATA 2023'!E:BP,63,0)</f>
        <v>#N/A</v>
      </c>
      <c r="E1114" s="68" t="e">
        <f t="shared" si="136"/>
        <v>#N/A</v>
      </c>
      <c r="F1114" s="63" t="e">
        <f>VLOOKUP(C1114,'RAW DATA 2023'!E:BO,5,0)</f>
        <v>#N/A</v>
      </c>
      <c r="G1114" s="63" t="e">
        <f>VLOOKUP(C1114,'RAW DATA 2023'!E:BO,13,0)</f>
        <v>#N/A</v>
      </c>
      <c r="H1114" s="63" t="e">
        <f t="shared" si="137"/>
        <v>#N/A</v>
      </c>
      <c r="I1114" s="63" t="e">
        <f t="shared" si="133"/>
        <v>#N/A</v>
      </c>
      <c r="J1114" s="106" t="e">
        <f>VLOOKUP(C1114,'RAW DATA 2023'!E:BO,22,0)</f>
        <v>#N/A</v>
      </c>
      <c r="K1114" s="70" t="e">
        <f t="shared" si="134"/>
        <v>#N/A</v>
      </c>
      <c r="L1114" s="72"/>
      <c r="M1114" s="109" t="e">
        <f t="shared" si="139"/>
        <v>#N/A</v>
      </c>
      <c r="N1114" s="123" t="e">
        <f>VLOOKUP(C1114,'RAW DATA 2023'!E:BO,36,0)</f>
        <v>#N/A</v>
      </c>
      <c r="O1114" s="63" t="e">
        <f>VLOOKUP(C1114,'RAW DATA 2023'!E:BO,2,0)</f>
        <v>#N/A</v>
      </c>
      <c r="P1114" s="322" t="e">
        <f t="shared" si="138"/>
        <v>#N/A</v>
      </c>
    </row>
    <row r="1115" spans="1:16">
      <c r="A1115" s="63">
        <f>'RAW DATA 2023'!B1108</f>
        <v>0</v>
      </c>
      <c r="B1115" s="63">
        <f>'RAW DATA 2023'!D1108</f>
        <v>0</v>
      </c>
      <c r="C1115" s="63" t="str">
        <f t="shared" si="135"/>
        <v>00</v>
      </c>
      <c r="D1115" s="68" t="e">
        <f>VLOOKUP(C1115,'RAW DATA 2023'!E:BP,63,0)</f>
        <v>#N/A</v>
      </c>
      <c r="E1115" s="68" t="e">
        <f t="shared" si="136"/>
        <v>#N/A</v>
      </c>
      <c r="F1115" s="63" t="e">
        <f>VLOOKUP(C1115,'RAW DATA 2023'!E:BO,5,0)</f>
        <v>#N/A</v>
      </c>
      <c r="G1115" s="63" t="e">
        <f>VLOOKUP(C1115,'RAW DATA 2023'!E:BO,13,0)</f>
        <v>#N/A</v>
      </c>
      <c r="H1115" s="63" t="e">
        <f t="shared" si="137"/>
        <v>#N/A</v>
      </c>
      <c r="I1115" s="63" t="e">
        <f t="shared" si="133"/>
        <v>#N/A</v>
      </c>
      <c r="J1115" s="106" t="e">
        <f>VLOOKUP(C1115,'RAW DATA 2023'!E:BO,22,0)</f>
        <v>#N/A</v>
      </c>
      <c r="K1115" s="70" t="e">
        <f t="shared" si="134"/>
        <v>#N/A</v>
      </c>
      <c r="L1115" s="72"/>
      <c r="M1115" s="109" t="e">
        <f t="shared" si="139"/>
        <v>#N/A</v>
      </c>
      <c r="N1115" s="123" t="e">
        <f>VLOOKUP(C1115,'RAW DATA 2023'!E:BO,36,0)</f>
        <v>#N/A</v>
      </c>
      <c r="O1115" s="63" t="e">
        <f>VLOOKUP(C1115,'RAW DATA 2023'!E:BO,2,0)</f>
        <v>#N/A</v>
      </c>
      <c r="P1115" s="322" t="e">
        <f t="shared" si="138"/>
        <v>#N/A</v>
      </c>
    </row>
    <row r="1116" spans="1:16">
      <c r="A1116" s="63">
        <f>'RAW DATA 2023'!B1109</f>
        <v>0</v>
      </c>
      <c r="B1116" s="63">
        <f>'RAW DATA 2023'!D1109</f>
        <v>0</v>
      </c>
      <c r="C1116" s="63" t="str">
        <f t="shared" si="135"/>
        <v>00</v>
      </c>
      <c r="D1116" s="68" t="e">
        <f>VLOOKUP(C1116,'RAW DATA 2023'!E:BP,63,0)</f>
        <v>#N/A</v>
      </c>
      <c r="E1116" s="68" t="e">
        <f t="shared" si="136"/>
        <v>#N/A</v>
      </c>
      <c r="F1116" s="63" t="e">
        <f>VLOOKUP(C1116,'RAW DATA 2023'!E:BO,5,0)</f>
        <v>#N/A</v>
      </c>
      <c r="G1116" s="63" t="e">
        <f>VLOOKUP(C1116,'RAW DATA 2023'!E:BO,13,0)</f>
        <v>#N/A</v>
      </c>
      <c r="H1116" s="63" t="e">
        <f t="shared" si="137"/>
        <v>#N/A</v>
      </c>
      <c r="I1116" s="63" t="e">
        <f t="shared" si="133"/>
        <v>#N/A</v>
      </c>
      <c r="J1116" s="106" t="e">
        <f>VLOOKUP(C1116,'RAW DATA 2023'!E:BO,22,0)</f>
        <v>#N/A</v>
      </c>
      <c r="K1116" s="70" t="e">
        <f t="shared" si="134"/>
        <v>#N/A</v>
      </c>
      <c r="L1116" s="72"/>
      <c r="M1116" s="109" t="e">
        <f t="shared" si="139"/>
        <v>#N/A</v>
      </c>
      <c r="N1116" s="123" t="e">
        <f>VLOOKUP(C1116,'RAW DATA 2023'!E:BO,36,0)</f>
        <v>#N/A</v>
      </c>
      <c r="O1116" s="63" t="e">
        <f>VLOOKUP(C1116,'RAW DATA 2023'!E:BO,2,0)</f>
        <v>#N/A</v>
      </c>
      <c r="P1116" s="322" t="e">
        <f t="shared" si="138"/>
        <v>#N/A</v>
      </c>
    </row>
    <row r="1117" spans="1:16">
      <c r="A1117" s="63">
        <f>'RAW DATA 2023'!B1110</f>
        <v>0</v>
      </c>
      <c r="B1117" s="63">
        <f>'RAW DATA 2023'!D1110</f>
        <v>0</v>
      </c>
      <c r="C1117" s="63" t="str">
        <f t="shared" si="135"/>
        <v>00</v>
      </c>
      <c r="D1117" s="68" t="e">
        <f>VLOOKUP(C1117,'RAW DATA 2023'!E:BP,63,0)</f>
        <v>#N/A</v>
      </c>
      <c r="E1117" s="68" t="e">
        <f t="shared" si="136"/>
        <v>#N/A</v>
      </c>
      <c r="F1117" s="63" t="e">
        <f>VLOOKUP(C1117,'RAW DATA 2023'!E:BO,5,0)</f>
        <v>#N/A</v>
      </c>
      <c r="G1117" s="63" t="e">
        <f>VLOOKUP(C1117,'RAW DATA 2023'!E:BO,13,0)</f>
        <v>#N/A</v>
      </c>
      <c r="H1117" s="63" t="e">
        <f t="shared" si="137"/>
        <v>#N/A</v>
      </c>
      <c r="I1117" s="63" t="e">
        <f t="shared" si="133"/>
        <v>#N/A</v>
      </c>
      <c r="J1117" s="106" t="e">
        <f>VLOOKUP(C1117,'RAW DATA 2023'!E:BO,22,0)</f>
        <v>#N/A</v>
      </c>
      <c r="K1117" s="70" t="e">
        <f t="shared" si="134"/>
        <v>#N/A</v>
      </c>
      <c r="L1117" s="72"/>
      <c r="M1117" s="109" t="e">
        <f t="shared" si="139"/>
        <v>#N/A</v>
      </c>
      <c r="N1117" s="123" t="e">
        <f>VLOOKUP(C1117,'RAW DATA 2023'!E:BO,36,0)</f>
        <v>#N/A</v>
      </c>
      <c r="O1117" s="63" t="e">
        <f>VLOOKUP(C1117,'RAW DATA 2023'!E:BO,2,0)</f>
        <v>#N/A</v>
      </c>
      <c r="P1117" s="322" t="e">
        <f t="shared" si="138"/>
        <v>#N/A</v>
      </c>
    </row>
    <row r="1118" spans="1:16">
      <c r="A1118" s="63">
        <f>'RAW DATA 2023'!B1111</f>
        <v>0</v>
      </c>
      <c r="B1118" s="63">
        <f>'RAW DATA 2023'!D1111</f>
        <v>0</v>
      </c>
      <c r="C1118" s="63" t="str">
        <f t="shared" si="135"/>
        <v>00</v>
      </c>
      <c r="D1118" s="68" t="e">
        <f>VLOOKUP(C1118,'RAW DATA 2023'!E:BP,63,0)</f>
        <v>#N/A</v>
      </c>
      <c r="E1118" s="68" t="e">
        <f t="shared" si="136"/>
        <v>#N/A</v>
      </c>
      <c r="F1118" s="63" t="e">
        <f>VLOOKUP(C1118,'RAW DATA 2023'!E:BO,5,0)</f>
        <v>#N/A</v>
      </c>
      <c r="G1118" s="63" t="e">
        <f>VLOOKUP(C1118,'RAW DATA 2023'!E:BO,13,0)</f>
        <v>#N/A</v>
      </c>
      <c r="H1118" s="63" t="e">
        <f t="shared" si="137"/>
        <v>#N/A</v>
      </c>
      <c r="I1118" s="63" t="e">
        <f t="shared" si="133"/>
        <v>#N/A</v>
      </c>
      <c r="J1118" s="106" t="e">
        <f>VLOOKUP(C1118,'RAW DATA 2023'!E:BO,22,0)</f>
        <v>#N/A</v>
      </c>
      <c r="K1118" s="70" t="e">
        <f t="shared" si="134"/>
        <v>#N/A</v>
      </c>
      <c r="L1118" s="72"/>
      <c r="M1118" s="109" t="e">
        <f t="shared" si="139"/>
        <v>#N/A</v>
      </c>
      <c r="N1118" s="123" t="e">
        <f>VLOOKUP(C1118,'RAW DATA 2023'!E:BO,36,0)</f>
        <v>#N/A</v>
      </c>
      <c r="O1118" s="63" t="e">
        <f>VLOOKUP(C1118,'RAW DATA 2023'!E:BO,2,0)</f>
        <v>#N/A</v>
      </c>
      <c r="P1118" s="322" t="e">
        <f t="shared" si="138"/>
        <v>#N/A</v>
      </c>
    </row>
    <row r="1119" spans="1:16">
      <c r="A1119" s="63">
        <f>'RAW DATA 2023'!B1112</f>
        <v>0</v>
      </c>
      <c r="B1119" s="63">
        <f>'RAW DATA 2023'!D1112</f>
        <v>0</v>
      </c>
      <c r="C1119" s="63" t="str">
        <f t="shared" si="135"/>
        <v>00</v>
      </c>
      <c r="D1119" s="68" t="e">
        <f>VLOOKUP(C1119,'RAW DATA 2023'!E:BP,63,0)</f>
        <v>#N/A</v>
      </c>
      <c r="E1119" s="68" t="e">
        <f t="shared" si="136"/>
        <v>#N/A</v>
      </c>
      <c r="F1119" s="63" t="e">
        <f>VLOOKUP(C1119,'RAW DATA 2023'!E:BO,5,0)</f>
        <v>#N/A</v>
      </c>
      <c r="G1119" s="63" t="e">
        <f>VLOOKUP(C1119,'RAW DATA 2023'!E:BO,13,0)</f>
        <v>#N/A</v>
      </c>
      <c r="H1119" s="63" t="e">
        <f t="shared" si="137"/>
        <v>#N/A</v>
      </c>
      <c r="I1119" s="63" t="e">
        <f t="shared" si="133"/>
        <v>#N/A</v>
      </c>
      <c r="J1119" s="106" t="e">
        <f>VLOOKUP(C1119,'RAW DATA 2023'!E:BO,22,0)</f>
        <v>#N/A</v>
      </c>
      <c r="K1119" s="70" t="e">
        <f t="shared" si="134"/>
        <v>#N/A</v>
      </c>
      <c r="L1119" s="72"/>
      <c r="M1119" s="109" t="e">
        <f t="shared" si="139"/>
        <v>#N/A</v>
      </c>
      <c r="N1119" s="123" t="e">
        <f>VLOOKUP(C1119,'RAW DATA 2023'!E:BO,36,0)</f>
        <v>#N/A</v>
      </c>
      <c r="O1119" s="63" t="e">
        <f>VLOOKUP(C1119,'RAW DATA 2023'!E:BO,2,0)</f>
        <v>#N/A</v>
      </c>
      <c r="P1119" s="322" t="e">
        <f t="shared" si="138"/>
        <v>#N/A</v>
      </c>
    </row>
    <row r="1120" spans="1:16">
      <c r="A1120" s="63">
        <f>'RAW DATA 2023'!B1113</f>
        <v>0</v>
      </c>
      <c r="B1120" s="63">
        <f>'RAW DATA 2023'!D1113</f>
        <v>0</v>
      </c>
      <c r="C1120" s="63" t="str">
        <f t="shared" si="135"/>
        <v>00</v>
      </c>
      <c r="D1120" s="68" t="e">
        <f>VLOOKUP(C1120,'RAW DATA 2023'!E:BP,63,0)</f>
        <v>#N/A</v>
      </c>
      <c r="E1120" s="68" t="e">
        <f t="shared" si="136"/>
        <v>#N/A</v>
      </c>
      <c r="F1120" s="63" t="e">
        <f>VLOOKUP(C1120,'RAW DATA 2023'!E:BO,5,0)</f>
        <v>#N/A</v>
      </c>
      <c r="G1120" s="63" t="e">
        <f>VLOOKUP(C1120,'RAW DATA 2023'!E:BO,13,0)</f>
        <v>#N/A</v>
      </c>
      <c r="H1120" s="63" t="e">
        <f t="shared" si="137"/>
        <v>#N/A</v>
      </c>
      <c r="I1120" s="63" t="e">
        <f t="shared" si="133"/>
        <v>#N/A</v>
      </c>
      <c r="J1120" s="106" t="e">
        <f>VLOOKUP(C1120,'RAW DATA 2023'!E:BO,22,0)</f>
        <v>#N/A</v>
      </c>
      <c r="K1120" s="70" t="e">
        <f t="shared" si="134"/>
        <v>#N/A</v>
      </c>
      <c r="L1120" s="72"/>
      <c r="M1120" s="109" t="e">
        <f t="shared" si="139"/>
        <v>#N/A</v>
      </c>
      <c r="N1120" s="123" t="e">
        <f>VLOOKUP(C1120,'RAW DATA 2023'!E:BO,36,0)</f>
        <v>#N/A</v>
      </c>
      <c r="O1120" s="63" t="e">
        <f>VLOOKUP(C1120,'RAW DATA 2023'!E:BO,2,0)</f>
        <v>#N/A</v>
      </c>
      <c r="P1120" s="322" t="e">
        <f t="shared" si="138"/>
        <v>#N/A</v>
      </c>
    </row>
    <row r="1121" spans="1:16">
      <c r="A1121" s="63">
        <f>'RAW DATA 2023'!B1114</f>
        <v>0</v>
      </c>
      <c r="B1121" s="63">
        <f>'RAW DATA 2023'!D1114</f>
        <v>0</v>
      </c>
      <c r="C1121" s="63" t="str">
        <f t="shared" si="135"/>
        <v>00</v>
      </c>
      <c r="D1121" s="68" t="e">
        <f>VLOOKUP(C1121,'RAW DATA 2023'!E:BP,63,0)</f>
        <v>#N/A</v>
      </c>
      <c r="E1121" s="68" t="e">
        <f t="shared" si="136"/>
        <v>#N/A</v>
      </c>
      <c r="F1121" s="63" t="e">
        <f>VLOOKUP(C1121,'RAW DATA 2023'!E:BO,5,0)</f>
        <v>#N/A</v>
      </c>
      <c r="G1121" s="63" t="e">
        <f>VLOOKUP(C1121,'RAW DATA 2023'!E:BO,13,0)</f>
        <v>#N/A</v>
      </c>
      <c r="H1121" s="63" t="e">
        <f t="shared" si="137"/>
        <v>#N/A</v>
      </c>
      <c r="I1121" s="63" t="e">
        <f t="shared" si="133"/>
        <v>#N/A</v>
      </c>
      <c r="J1121" s="106" t="e">
        <f>VLOOKUP(C1121,'RAW DATA 2023'!E:BO,22,0)</f>
        <v>#N/A</v>
      </c>
      <c r="K1121" s="70" t="e">
        <f t="shared" si="134"/>
        <v>#N/A</v>
      </c>
      <c r="L1121" s="72"/>
      <c r="M1121" s="109" t="e">
        <f t="shared" si="139"/>
        <v>#N/A</v>
      </c>
      <c r="N1121" s="123" t="e">
        <f>VLOOKUP(C1121,'RAW DATA 2023'!E:BO,36,0)</f>
        <v>#N/A</v>
      </c>
      <c r="O1121" s="63" t="e">
        <f>VLOOKUP(C1121,'RAW DATA 2023'!E:BO,2,0)</f>
        <v>#N/A</v>
      </c>
      <c r="P1121" s="322" t="e">
        <f t="shared" si="138"/>
        <v>#N/A</v>
      </c>
    </row>
    <row r="1122" spans="1:16">
      <c r="A1122" s="63">
        <f>'RAW DATA 2023'!B1115</f>
        <v>0</v>
      </c>
      <c r="B1122" s="63">
        <f>'RAW DATA 2023'!D1115</f>
        <v>0</v>
      </c>
      <c r="C1122" s="63" t="str">
        <f t="shared" si="135"/>
        <v>00</v>
      </c>
      <c r="D1122" s="68" t="e">
        <f>VLOOKUP(C1122,'RAW DATA 2023'!E:BP,63,0)</f>
        <v>#N/A</v>
      </c>
      <c r="E1122" s="68" t="e">
        <f t="shared" si="136"/>
        <v>#N/A</v>
      </c>
      <c r="F1122" s="63" t="e">
        <f>VLOOKUP(C1122,'RAW DATA 2023'!E:BO,5,0)</f>
        <v>#N/A</v>
      </c>
      <c r="G1122" s="63" t="e">
        <f>VLOOKUP(C1122,'RAW DATA 2023'!E:BO,13,0)</f>
        <v>#N/A</v>
      </c>
      <c r="H1122" s="63" t="e">
        <f t="shared" si="137"/>
        <v>#N/A</v>
      </c>
      <c r="I1122" s="63" t="e">
        <f t="shared" si="133"/>
        <v>#N/A</v>
      </c>
      <c r="J1122" s="106" t="e">
        <f>VLOOKUP(C1122,'RAW DATA 2023'!E:BO,22,0)</f>
        <v>#N/A</v>
      </c>
      <c r="K1122" s="70" t="e">
        <f t="shared" si="134"/>
        <v>#N/A</v>
      </c>
      <c r="L1122" s="72"/>
      <c r="M1122" s="109" t="e">
        <f t="shared" si="139"/>
        <v>#N/A</v>
      </c>
      <c r="N1122" s="123" t="e">
        <f>VLOOKUP(C1122,'RAW DATA 2023'!E:BO,36,0)</f>
        <v>#N/A</v>
      </c>
      <c r="O1122" s="63" t="e">
        <f>VLOOKUP(C1122,'RAW DATA 2023'!E:BO,2,0)</f>
        <v>#N/A</v>
      </c>
      <c r="P1122" s="322" t="e">
        <f t="shared" si="138"/>
        <v>#N/A</v>
      </c>
    </row>
    <row r="1123" spans="1:16">
      <c r="A1123" s="63">
        <f>'RAW DATA 2023'!B1116</f>
        <v>0</v>
      </c>
      <c r="B1123" s="63">
        <f>'RAW DATA 2023'!D1116</f>
        <v>0</v>
      </c>
      <c r="C1123" s="63" t="str">
        <f t="shared" si="135"/>
        <v>00</v>
      </c>
      <c r="D1123" s="68" t="e">
        <f>VLOOKUP(C1123,'RAW DATA 2023'!E:BP,63,0)</f>
        <v>#N/A</v>
      </c>
      <c r="E1123" s="68" t="e">
        <f t="shared" si="136"/>
        <v>#N/A</v>
      </c>
      <c r="F1123" s="63" t="e">
        <f>VLOOKUP(C1123,'RAW DATA 2023'!E:BO,5,0)</f>
        <v>#N/A</v>
      </c>
      <c r="G1123" s="63" t="e">
        <f>VLOOKUP(C1123,'RAW DATA 2023'!E:BO,13,0)</f>
        <v>#N/A</v>
      </c>
      <c r="H1123" s="63" t="e">
        <f t="shared" si="137"/>
        <v>#N/A</v>
      </c>
      <c r="I1123" s="63" t="e">
        <f t="shared" si="133"/>
        <v>#N/A</v>
      </c>
      <c r="J1123" s="106" t="e">
        <f>VLOOKUP(C1123,'RAW DATA 2023'!E:BO,22,0)</f>
        <v>#N/A</v>
      </c>
      <c r="K1123" s="70" t="e">
        <f t="shared" si="134"/>
        <v>#N/A</v>
      </c>
      <c r="L1123" s="72"/>
      <c r="M1123" s="109" t="e">
        <f t="shared" si="139"/>
        <v>#N/A</v>
      </c>
      <c r="N1123" s="123" t="e">
        <f>VLOOKUP(C1123,'RAW DATA 2023'!E:BO,36,0)</f>
        <v>#N/A</v>
      </c>
      <c r="O1123" s="63" t="e">
        <f>VLOOKUP(C1123,'RAW DATA 2023'!E:BO,2,0)</f>
        <v>#N/A</v>
      </c>
      <c r="P1123" s="322" t="e">
        <f t="shared" si="138"/>
        <v>#N/A</v>
      </c>
    </row>
    <row r="1124" spans="1:16">
      <c r="A1124" s="63">
        <f>'RAW DATA 2023'!B1117</f>
        <v>0</v>
      </c>
      <c r="B1124" s="63">
        <f>'RAW DATA 2023'!D1117</f>
        <v>0</v>
      </c>
      <c r="C1124" s="63" t="str">
        <f t="shared" si="135"/>
        <v>00</v>
      </c>
      <c r="D1124" s="68" t="e">
        <f>VLOOKUP(C1124,'RAW DATA 2023'!E:BP,63,0)</f>
        <v>#N/A</v>
      </c>
      <c r="E1124" s="68" t="e">
        <f t="shared" si="136"/>
        <v>#N/A</v>
      </c>
      <c r="F1124" s="63" t="e">
        <f>VLOOKUP(C1124,'RAW DATA 2023'!E:BO,5,0)</f>
        <v>#N/A</v>
      </c>
      <c r="G1124" s="63" t="e">
        <f>VLOOKUP(C1124,'RAW DATA 2023'!E:BO,13,0)</f>
        <v>#N/A</v>
      </c>
      <c r="H1124" s="63" t="e">
        <f t="shared" si="137"/>
        <v>#N/A</v>
      </c>
      <c r="I1124" s="63" t="e">
        <f t="shared" si="133"/>
        <v>#N/A</v>
      </c>
      <c r="J1124" s="106" t="e">
        <f>VLOOKUP(C1124,'RAW DATA 2023'!E:BO,22,0)</f>
        <v>#N/A</v>
      </c>
      <c r="K1124" s="70" t="e">
        <f t="shared" si="134"/>
        <v>#N/A</v>
      </c>
      <c r="L1124" s="72"/>
      <c r="M1124" s="109" t="e">
        <f t="shared" si="139"/>
        <v>#N/A</v>
      </c>
      <c r="N1124" s="123" t="e">
        <f>VLOOKUP(C1124,'RAW DATA 2023'!E:BO,36,0)</f>
        <v>#N/A</v>
      </c>
      <c r="O1124" s="63" t="e">
        <f>VLOOKUP(C1124,'RAW DATA 2023'!E:BO,2,0)</f>
        <v>#N/A</v>
      </c>
      <c r="P1124" s="322" t="e">
        <f t="shared" si="138"/>
        <v>#N/A</v>
      </c>
    </row>
    <row r="1125" spans="1:16">
      <c r="A1125" s="63">
        <f>'RAW DATA 2023'!B1118</f>
        <v>0</v>
      </c>
      <c r="B1125" s="63">
        <f>'RAW DATA 2023'!D1118</f>
        <v>0</v>
      </c>
      <c r="C1125" s="63" t="str">
        <f t="shared" si="135"/>
        <v>00</v>
      </c>
      <c r="D1125" s="68" t="e">
        <f>VLOOKUP(C1125,'RAW DATA 2023'!E:BP,63,0)</f>
        <v>#N/A</v>
      </c>
      <c r="E1125" s="68" t="e">
        <f t="shared" si="136"/>
        <v>#N/A</v>
      </c>
      <c r="F1125" s="63" t="e">
        <f>VLOOKUP(C1125,'RAW DATA 2023'!E:BO,5,0)</f>
        <v>#N/A</v>
      </c>
      <c r="G1125" s="63" t="e">
        <f>VLOOKUP(C1125,'RAW DATA 2023'!E:BO,13,0)</f>
        <v>#N/A</v>
      </c>
      <c r="H1125" s="63" t="e">
        <f t="shared" si="137"/>
        <v>#N/A</v>
      </c>
      <c r="I1125" s="63" t="e">
        <f t="shared" si="133"/>
        <v>#N/A</v>
      </c>
      <c r="J1125" s="106" t="e">
        <f>VLOOKUP(C1125,'RAW DATA 2023'!E:BO,22,0)</f>
        <v>#N/A</v>
      </c>
      <c r="K1125" s="70" t="e">
        <f t="shared" si="134"/>
        <v>#N/A</v>
      </c>
      <c r="L1125" s="72"/>
      <c r="M1125" s="109" t="e">
        <f t="shared" si="139"/>
        <v>#N/A</v>
      </c>
      <c r="N1125" s="123" t="e">
        <f>VLOOKUP(C1125,'RAW DATA 2023'!E:BO,36,0)</f>
        <v>#N/A</v>
      </c>
      <c r="O1125" s="63" t="e">
        <f>VLOOKUP(C1125,'RAW DATA 2023'!E:BO,2,0)</f>
        <v>#N/A</v>
      </c>
      <c r="P1125" s="322" t="e">
        <f t="shared" si="138"/>
        <v>#N/A</v>
      </c>
    </row>
    <row r="1126" spans="1:16">
      <c r="A1126" s="63">
        <f>'RAW DATA 2023'!B1119</f>
        <v>0</v>
      </c>
      <c r="B1126" s="63">
        <f>'RAW DATA 2023'!D1119</f>
        <v>0</v>
      </c>
      <c r="C1126" s="63" t="str">
        <f t="shared" si="135"/>
        <v>00</v>
      </c>
      <c r="D1126" s="68" t="e">
        <f>VLOOKUP(C1126,'RAW DATA 2023'!E:BP,63,0)</f>
        <v>#N/A</v>
      </c>
      <c r="E1126" s="68" t="e">
        <f t="shared" si="136"/>
        <v>#N/A</v>
      </c>
      <c r="F1126" s="63" t="e">
        <f>VLOOKUP(C1126,'RAW DATA 2023'!E:BO,5,0)</f>
        <v>#N/A</v>
      </c>
      <c r="G1126" s="63" t="e">
        <f>VLOOKUP(C1126,'RAW DATA 2023'!E:BO,13,0)</f>
        <v>#N/A</v>
      </c>
      <c r="H1126" s="63" t="e">
        <f t="shared" si="137"/>
        <v>#N/A</v>
      </c>
      <c r="I1126" s="63" t="e">
        <f t="shared" si="133"/>
        <v>#N/A</v>
      </c>
      <c r="J1126" s="106" t="e">
        <f>VLOOKUP(C1126,'RAW DATA 2023'!E:BO,22,0)</f>
        <v>#N/A</v>
      </c>
      <c r="K1126" s="70" t="e">
        <f t="shared" si="134"/>
        <v>#N/A</v>
      </c>
      <c r="L1126" s="72"/>
      <c r="M1126" s="109" t="e">
        <f t="shared" si="139"/>
        <v>#N/A</v>
      </c>
      <c r="N1126" s="123" t="e">
        <f>VLOOKUP(C1126,'RAW DATA 2023'!E:BO,36,0)</f>
        <v>#N/A</v>
      </c>
      <c r="O1126" s="63" t="e">
        <f>VLOOKUP(C1126,'RAW DATA 2023'!E:BO,2,0)</f>
        <v>#N/A</v>
      </c>
      <c r="P1126" s="322" t="e">
        <f t="shared" si="138"/>
        <v>#N/A</v>
      </c>
    </row>
    <row r="1127" spans="1:16">
      <c r="A1127" s="63">
        <f>'RAW DATA 2023'!B1120</f>
        <v>0</v>
      </c>
      <c r="B1127" s="63">
        <f>'RAW DATA 2023'!D1120</f>
        <v>0</v>
      </c>
      <c r="C1127" s="63" t="str">
        <f t="shared" si="135"/>
        <v>00</v>
      </c>
      <c r="D1127" s="68" t="e">
        <f>VLOOKUP(C1127,'RAW DATA 2023'!E:BP,63,0)</f>
        <v>#N/A</v>
      </c>
      <c r="E1127" s="68" t="e">
        <f t="shared" si="136"/>
        <v>#N/A</v>
      </c>
      <c r="F1127" s="63" t="e">
        <f>VLOOKUP(C1127,'RAW DATA 2023'!E:BO,5,0)</f>
        <v>#N/A</v>
      </c>
      <c r="G1127" s="63" t="e">
        <f>VLOOKUP(C1127,'RAW DATA 2023'!E:BO,13,0)</f>
        <v>#N/A</v>
      </c>
      <c r="H1127" s="63" t="e">
        <f t="shared" si="137"/>
        <v>#N/A</v>
      </c>
      <c r="I1127" s="63" t="e">
        <f t="shared" si="133"/>
        <v>#N/A</v>
      </c>
      <c r="J1127" s="106" t="e">
        <f>VLOOKUP(C1127,'RAW DATA 2023'!E:BO,22,0)</f>
        <v>#N/A</v>
      </c>
      <c r="K1127" s="70" t="e">
        <f t="shared" si="134"/>
        <v>#N/A</v>
      </c>
      <c r="L1127" s="72"/>
      <c r="M1127" s="109" t="e">
        <f t="shared" si="139"/>
        <v>#N/A</v>
      </c>
      <c r="N1127" s="123" t="e">
        <f>VLOOKUP(C1127,'RAW DATA 2023'!E:BO,36,0)</f>
        <v>#N/A</v>
      </c>
      <c r="O1127" s="63" t="e">
        <f>VLOOKUP(C1127,'RAW DATA 2023'!E:BO,2,0)</f>
        <v>#N/A</v>
      </c>
      <c r="P1127" s="322" t="e">
        <f t="shared" si="138"/>
        <v>#N/A</v>
      </c>
    </row>
    <row r="1128" spans="1:16">
      <c r="A1128" s="63">
        <f>'RAW DATA 2023'!B1121</f>
        <v>0</v>
      </c>
      <c r="B1128" s="63">
        <f>'RAW DATA 2023'!D1121</f>
        <v>0</v>
      </c>
      <c r="C1128" s="63" t="str">
        <f t="shared" si="135"/>
        <v>00</v>
      </c>
      <c r="D1128" s="68" t="e">
        <f>VLOOKUP(C1128,'RAW DATA 2023'!E:BP,63,0)</f>
        <v>#N/A</v>
      </c>
      <c r="E1128" s="68" t="e">
        <f t="shared" si="136"/>
        <v>#N/A</v>
      </c>
      <c r="F1128" s="63" t="e">
        <f>VLOOKUP(C1128,'RAW DATA 2023'!E:BO,5,0)</f>
        <v>#N/A</v>
      </c>
      <c r="G1128" s="63" t="e">
        <f>VLOOKUP(C1128,'RAW DATA 2023'!E:BO,13,0)</f>
        <v>#N/A</v>
      </c>
      <c r="H1128" s="63" t="e">
        <f t="shared" si="137"/>
        <v>#N/A</v>
      </c>
      <c r="I1128" s="63" t="e">
        <f t="shared" si="133"/>
        <v>#N/A</v>
      </c>
      <c r="J1128" s="106" t="e">
        <f>VLOOKUP(C1128,'RAW DATA 2023'!E:BO,22,0)</f>
        <v>#N/A</v>
      </c>
      <c r="K1128" s="70" t="e">
        <f t="shared" si="134"/>
        <v>#N/A</v>
      </c>
      <c r="L1128" s="72"/>
      <c r="M1128" s="109" t="e">
        <f t="shared" si="139"/>
        <v>#N/A</v>
      </c>
      <c r="N1128" s="123" t="e">
        <f>VLOOKUP(C1128,'RAW DATA 2023'!E:BO,36,0)</f>
        <v>#N/A</v>
      </c>
      <c r="O1128" s="63" t="e">
        <f>VLOOKUP(C1128,'RAW DATA 2023'!E:BO,2,0)</f>
        <v>#N/A</v>
      </c>
      <c r="P1128" s="322" t="e">
        <f t="shared" si="138"/>
        <v>#N/A</v>
      </c>
    </row>
    <row r="1129" spans="1:16">
      <c r="A1129" s="63">
        <f>'RAW DATA 2023'!B1122</f>
        <v>0</v>
      </c>
      <c r="B1129" s="63">
        <f>'RAW DATA 2023'!D1122</f>
        <v>0</v>
      </c>
      <c r="C1129" s="63" t="str">
        <f t="shared" si="135"/>
        <v>00</v>
      </c>
      <c r="D1129" s="68" t="e">
        <f>VLOOKUP(C1129,'RAW DATA 2023'!E:BP,63,0)</f>
        <v>#N/A</v>
      </c>
      <c r="E1129" s="68" t="e">
        <f t="shared" si="136"/>
        <v>#N/A</v>
      </c>
      <c r="F1129" s="63" t="e">
        <f>VLOOKUP(C1129,'RAW DATA 2023'!E:BO,5,0)</f>
        <v>#N/A</v>
      </c>
      <c r="G1129" s="63" t="e">
        <f>VLOOKUP(C1129,'RAW DATA 2023'!E:BO,13,0)</f>
        <v>#N/A</v>
      </c>
      <c r="H1129" s="63" t="e">
        <f t="shared" si="137"/>
        <v>#N/A</v>
      </c>
      <c r="I1129" s="63" t="e">
        <f t="shared" si="133"/>
        <v>#N/A</v>
      </c>
      <c r="J1129" s="106" t="e">
        <f>VLOOKUP(C1129,'RAW DATA 2023'!E:BO,22,0)</f>
        <v>#N/A</v>
      </c>
      <c r="K1129" s="70" t="e">
        <f t="shared" si="134"/>
        <v>#N/A</v>
      </c>
      <c r="L1129" s="72"/>
      <c r="M1129" s="109" t="e">
        <f t="shared" si="139"/>
        <v>#N/A</v>
      </c>
      <c r="N1129" s="123" t="e">
        <f>VLOOKUP(C1129,'RAW DATA 2023'!E:BO,36,0)</f>
        <v>#N/A</v>
      </c>
      <c r="O1129" s="63" t="e">
        <f>VLOOKUP(C1129,'RAW DATA 2023'!E:BO,2,0)</f>
        <v>#N/A</v>
      </c>
      <c r="P1129" s="322" t="e">
        <f t="shared" si="138"/>
        <v>#N/A</v>
      </c>
    </row>
    <row r="1130" spans="1:16">
      <c r="A1130" s="63">
        <f>'RAW DATA 2023'!B1123</f>
        <v>0</v>
      </c>
      <c r="B1130" s="63">
        <f>'RAW DATA 2023'!D1123</f>
        <v>0</v>
      </c>
      <c r="C1130" s="63" t="str">
        <f t="shared" si="135"/>
        <v>00</v>
      </c>
      <c r="D1130" s="68" t="e">
        <f>VLOOKUP(C1130,'RAW DATA 2023'!E:BP,63,0)</f>
        <v>#N/A</v>
      </c>
      <c r="E1130" s="68" t="e">
        <f t="shared" si="136"/>
        <v>#N/A</v>
      </c>
      <c r="F1130" s="63" t="e">
        <f>VLOOKUP(C1130,'RAW DATA 2023'!E:BO,5,0)</f>
        <v>#N/A</v>
      </c>
      <c r="G1130" s="63" t="e">
        <f>VLOOKUP(C1130,'RAW DATA 2023'!E:BO,13,0)</f>
        <v>#N/A</v>
      </c>
      <c r="H1130" s="63" t="e">
        <f t="shared" si="137"/>
        <v>#N/A</v>
      </c>
      <c r="I1130" s="63" t="e">
        <f t="shared" si="133"/>
        <v>#N/A</v>
      </c>
      <c r="J1130" s="106" t="e">
        <f>VLOOKUP(C1130,'RAW DATA 2023'!E:BO,22,0)</f>
        <v>#N/A</v>
      </c>
      <c r="K1130" s="70" t="e">
        <f t="shared" si="134"/>
        <v>#N/A</v>
      </c>
      <c r="L1130" s="72"/>
      <c r="M1130" s="109" t="e">
        <f t="shared" si="139"/>
        <v>#N/A</v>
      </c>
      <c r="N1130" s="123" t="e">
        <f>VLOOKUP(C1130,'RAW DATA 2023'!E:BO,36,0)</f>
        <v>#N/A</v>
      </c>
      <c r="O1130" s="63" t="e">
        <f>VLOOKUP(C1130,'RAW DATA 2023'!E:BO,2,0)</f>
        <v>#N/A</v>
      </c>
      <c r="P1130" s="322" t="e">
        <f t="shared" si="138"/>
        <v>#N/A</v>
      </c>
    </row>
    <row r="1131" spans="1:16">
      <c r="A1131" s="63">
        <f>'RAW DATA 2023'!B1124</f>
        <v>0</v>
      </c>
      <c r="B1131" s="63">
        <f>'RAW DATA 2023'!D1124</f>
        <v>0</v>
      </c>
      <c r="C1131" s="63" t="str">
        <f t="shared" si="135"/>
        <v>00</v>
      </c>
      <c r="D1131" s="68" t="e">
        <f>VLOOKUP(C1131,'RAW DATA 2023'!E:BP,63,0)</f>
        <v>#N/A</v>
      </c>
      <c r="E1131" s="68" t="e">
        <f t="shared" si="136"/>
        <v>#N/A</v>
      </c>
      <c r="F1131" s="63" t="e">
        <f>VLOOKUP(C1131,'RAW DATA 2023'!E:BO,5,0)</f>
        <v>#N/A</v>
      </c>
      <c r="G1131" s="63" t="e">
        <f>VLOOKUP(C1131,'RAW DATA 2023'!E:BO,13,0)</f>
        <v>#N/A</v>
      </c>
      <c r="H1131" s="63" t="e">
        <f t="shared" si="137"/>
        <v>#N/A</v>
      </c>
      <c r="I1131" s="63" t="e">
        <f t="shared" si="133"/>
        <v>#N/A</v>
      </c>
      <c r="J1131" s="106" t="e">
        <f>VLOOKUP(C1131,'RAW DATA 2023'!E:BO,22,0)</f>
        <v>#N/A</v>
      </c>
      <c r="K1131" s="70" t="e">
        <f t="shared" si="134"/>
        <v>#N/A</v>
      </c>
      <c r="L1131" s="72"/>
      <c r="M1131" s="109" t="e">
        <f t="shared" si="139"/>
        <v>#N/A</v>
      </c>
      <c r="N1131" s="123" t="e">
        <f>VLOOKUP(C1131,'RAW DATA 2023'!E:BO,36,0)</f>
        <v>#N/A</v>
      </c>
      <c r="O1131" s="63" t="e">
        <f>VLOOKUP(C1131,'RAW DATA 2023'!E:BO,2,0)</f>
        <v>#N/A</v>
      </c>
      <c r="P1131" s="322" t="e">
        <f t="shared" si="138"/>
        <v>#N/A</v>
      </c>
    </row>
    <row r="1132" spans="1:16">
      <c r="A1132" s="63">
        <f>'RAW DATA 2023'!B1125</f>
        <v>0</v>
      </c>
      <c r="B1132" s="63">
        <f>'RAW DATA 2023'!D1125</f>
        <v>0</v>
      </c>
      <c r="C1132" s="63" t="str">
        <f t="shared" si="135"/>
        <v>00</v>
      </c>
      <c r="D1132" s="68" t="e">
        <f>VLOOKUP(C1132,'RAW DATA 2023'!E:BP,63,0)</f>
        <v>#N/A</v>
      </c>
      <c r="E1132" s="68" t="e">
        <f t="shared" si="136"/>
        <v>#N/A</v>
      </c>
      <c r="F1132" s="63" t="e">
        <f>VLOOKUP(C1132,'RAW DATA 2023'!E:BO,5,0)</f>
        <v>#N/A</v>
      </c>
      <c r="G1132" s="63" t="e">
        <f>VLOOKUP(C1132,'RAW DATA 2023'!E:BO,13,0)</f>
        <v>#N/A</v>
      </c>
      <c r="H1132" s="63" t="e">
        <f t="shared" si="137"/>
        <v>#N/A</v>
      </c>
      <c r="I1132" s="63" t="e">
        <f t="shared" si="133"/>
        <v>#N/A</v>
      </c>
      <c r="J1132" s="106" t="e">
        <f>VLOOKUP(C1132,'RAW DATA 2023'!E:BO,22,0)</f>
        <v>#N/A</v>
      </c>
      <c r="K1132" s="70" t="e">
        <f t="shared" si="134"/>
        <v>#N/A</v>
      </c>
      <c r="L1132" s="72"/>
      <c r="M1132" s="109" t="e">
        <f t="shared" si="139"/>
        <v>#N/A</v>
      </c>
      <c r="N1132" s="123" t="e">
        <f>VLOOKUP(C1132,'RAW DATA 2023'!E:BO,36,0)</f>
        <v>#N/A</v>
      </c>
      <c r="O1132" s="63" t="e">
        <f>VLOOKUP(C1132,'RAW DATA 2023'!E:BO,2,0)</f>
        <v>#N/A</v>
      </c>
      <c r="P1132" s="322" t="e">
        <f t="shared" si="138"/>
        <v>#N/A</v>
      </c>
    </row>
    <row r="1133" spans="1:16">
      <c r="A1133" s="63">
        <f>'RAW DATA 2023'!B1126</f>
        <v>0</v>
      </c>
      <c r="B1133" s="63">
        <f>'RAW DATA 2023'!D1126</f>
        <v>0</v>
      </c>
      <c r="C1133" s="63" t="str">
        <f t="shared" si="135"/>
        <v>00</v>
      </c>
      <c r="D1133" s="68" t="e">
        <f>VLOOKUP(C1133,'RAW DATA 2023'!E:BP,63,0)</f>
        <v>#N/A</v>
      </c>
      <c r="E1133" s="68" t="e">
        <f t="shared" si="136"/>
        <v>#N/A</v>
      </c>
      <c r="F1133" s="63" t="e">
        <f>VLOOKUP(C1133,'RAW DATA 2023'!E:BO,5,0)</f>
        <v>#N/A</v>
      </c>
      <c r="G1133" s="63" t="e">
        <f>VLOOKUP(C1133,'RAW DATA 2023'!E:BO,13,0)</f>
        <v>#N/A</v>
      </c>
      <c r="H1133" s="63" t="e">
        <f t="shared" si="137"/>
        <v>#N/A</v>
      </c>
      <c r="I1133" s="63" t="e">
        <f t="shared" si="133"/>
        <v>#N/A</v>
      </c>
      <c r="J1133" s="106" t="e">
        <f>VLOOKUP(C1133,'RAW DATA 2023'!E:BO,22,0)</f>
        <v>#N/A</v>
      </c>
      <c r="K1133" s="70" t="e">
        <f t="shared" si="134"/>
        <v>#N/A</v>
      </c>
      <c r="L1133" s="72"/>
      <c r="M1133" s="109" t="e">
        <f t="shared" si="139"/>
        <v>#N/A</v>
      </c>
      <c r="N1133" s="123" t="e">
        <f>VLOOKUP(C1133,'RAW DATA 2023'!E:BO,36,0)</f>
        <v>#N/A</v>
      </c>
      <c r="O1133" s="63" t="e">
        <f>VLOOKUP(C1133,'RAW DATA 2023'!E:BO,2,0)</f>
        <v>#N/A</v>
      </c>
      <c r="P1133" s="322" t="e">
        <f t="shared" si="138"/>
        <v>#N/A</v>
      </c>
    </row>
    <row r="1134" spans="1:16">
      <c r="A1134" s="63">
        <f>'RAW DATA 2023'!B1127</f>
        <v>0</v>
      </c>
      <c r="B1134" s="63">
        <f>'RAW DATA 2023'!D1127</f>
        <v>0</v>
      </c>
      <c r="C1134" s="63" t="str">
        <f t="shared" si="135"/>
        <v>00</v>
      </c>
      <c r="D1134" s="68" t="e">
        <f>VLOOKUP(C1134,'RAW DATA 2023'!E:BP,63,0)</f>
        <v>#N/A</v>
      </c>
      <c r="E1134" s="68" t="e">
        <f t="shared" si="136"/>
        <v>#N/A</v>
      </c>
      <c r="F1134" s="63" t="e">
        <f>VLOOKUP(C1134,'RAW DATA 2023'!E:BO,5,0)</f>
        <v>#N/A</v>
      </c>
      <c r="G1134" s="63" t="e">
        <f>VLOOKUP(C1134,'RAW DATA 2023'!E:BO,13,0)</f>
        <v>#N/A</v>
      </c>
      <c r="H1134" s="63" t="e">
        <f t="shared" si="137"/>
        <v>#N/A</v>
      </c>
      <c r="I1134" s="63" t="e">
        <f t="shared" si="133"/>
        <v>#N/A</v>
      </c>
      <c r="J1134" s="106" t="e">
        <f>VLOOKUP(C1134,'RAW DATA 2023'!E:BO,22,0)</f>
        <v>#N/A</v>
      </c>
      <c r="K1134" s="70" t="e">
        <f t="shared" si="134"/>
        <v>#N/A</v>
      </c>
      <c r="L1134" s="72"/>
      <c r="M1134" s="109" t="e">
        <f t="shared" si="139"/>
        <v>#N/A</v>
      </c>
      <c r="N1134" s="123" t="e">
        <f>VLOOKUP(C1134,'RAW DATA 2023'!E:BO,36,0)</f>
        <v>#N/A</v>
      </c>
      <c r="O1134" s="63" t="e">
        <f>VLOOKUP(C1134,'RAW DATA 2023'!E:BO,2,0)</f>
        <v>#N/A</v>
      </c>
      <c r="P1134" s="322" t="e">
        <f t="shared" si="138"/>
        <v>#N/A</v>
      </c>
    </row>
    <row r="1135" spans="1:16">
      <c r="A1135" s="63">
        <f>'RAW DATA 2023'!B1128</f>
        <v>0</v>
      </c>
      <c r="B1135" s="63">
        <f>'RAW DATA 2023'!D1128</f>
        <v>0</v>
      </c>
      <c r="C1135" s="63" t="str">
        <f t="shared" si="135"/>
        <v>00</v>
      </c>
      <c r="D1135" s="68" t="e">
        <f>VLOOKUP(C1135,'RAW DATA 2023'!E:BP,63,0)</f>
        <v>#N/A</v>
      </c>
      <c r="E1135" s="68" t="e">
        <f t="shared" si="136"/>
        <v>#N/A</v>
      </c>
      <c r="F1135" s="63" t="e">
        <f>VLOOKUP(C1135,'RAW DATA 2023'!E:BO,5,0)</f>
        <v>#N/A</v>
      </c>
      <c r="G1135" s="63" t="e">
        <f>VLOOKUP(C1135,'RAW DATA 2023'!E:BO,13,0)</f>
        <v>#N/A</v>
      </c>
      <c r="H1135" s="63" t="e">
        <f t="shared" si="137"/>
        <v>#N/A</v>
      </c>
      <c r="I1135" s="63" t="e">
        <f t="shared" si="133"/>
        <v>#N/A</v>
      </c>
      <c r="J1135" s="106" t="e">
        <f>VLOOKUP(C1135,'RAW DATA 2023'!E:BO,22,0)</f>
        <v>#N/A</v>
      </c>
      <c r="K1135" s="70" t="e">
        <f t="shared" si="134"/>
        <v>#N/A</v>
      </c>
      <c r="L1135" s="72"/>
      <c r="M1135" s="109" t="e">
        <f t="shared" si="139"/>
        <v>#N/A</v>
      </c>
      <c r="N1135" s="123" t="e">
        <f>VLOOKUP(C1135,'RAW DATA 2023'!E:BO,36,0)</f>
        <v>#N/A</v>
      </c>
      <c r="O1135" s="63" t="e">
        <f>VLOOKUP(C1135,'RAW DATA 2023'!E:BO,2,0)</f>
        <v>#N/A</v>
      </c>
      <c r="P1135" s="322" t="e">
        <f t="shared" si="138"/>
        <v>#N/A</v>
      </c>
    </row>
    <row r="1136" spans="1:16">
      <c r="A1136" s="63">
        <f>'RAW DATA 2023'!B1129</f>
        <v>0</v>
      </c>
      <c r="B1136" s="63">
        <f>'RAW DATA 2023'!D1129</f>
        <v>0</v>
      </c>
      <c r="C1136" s="63" t="str">
        <f t="shared" si="135"/>
        <v>00</v>
      </c>
      <c r="D1136" s="68" t="e">
        <f>VLOOKUP(C1136,'RAW DATA 2023'!E:BP,63,0)</f>
        <v>#N/A</v>
      </c>
      <c r="E1136" s="68" t="e">
        <f t="shared" si="136"/>
        <v>#N/A</v>
      </c>
      <c r="F1136" s="63" t="e">
        <f>VLOOKUP(C1136,'RAW DATA 2023'!E:BO,5,0)</f>
        <v>#N/A</v>
      </c>
      <c r="G1136" s="63" t="e">
        <f>VLOOKUP(C1136,'RAW DATA 2023'!E:BO,13,0)</f>
        <v>#N/A</v>
      </c>
      <c r="H1136" s="63" t="e">
        <f t="shared" si="137"/>
        <v>#N/A</v>
      </c>
      <c r="I1136" s="63" t="e">
        <f t="shared" si="133"/>
        <v>#N/A</v>
      </c>
      <c r="J1136" s="106" t="e">
        <f>VLOOKUP(C1136,'RAW DATA 2023'!E:BO,22,0)</f>
        <v>#N/A</v>
      </c>
      <c r="K1136" s="70" t="e">
        <f t="shared" si="134"/>
        <v>#N/A</v>
      </c>
      <c r="L1136" s="72"/>
      <c r="M1136" s="109" t="e">
        <f t="shared" si="139"/>
        <v>#N/A</v>
      </c>
      <c r="N1136" s="123" t="e">
        <f>VLOOKUP(C1136,'RAW DATA 2023'!E:BO,36,0)</f>
        <v>#N/A</v>
      </c>
      <c r="O1136" s="63" t="e">
        <f>VLOOKUP(C1136,'RAW DATA 2023'!E:BO,2,0)</f>
        <v>#N/A</v>
      </c>
      <c r="P1136" s="322" t="e">
        <f t="shared" si="138"/>
        <v>#N/A</v>
      </c>
    </row>
    <row r="1137" spans="1:16">
      <c r="A1137" s="63">
        <f>'RAW DATA 2023'!B1130</f>
        <v>0</v>
      </c>
      <c r="B1137" s="63">
        <f>'RAW DATA 2023'!D1130</f>
        <v>0</v>
      </c>
      <c r="C1137" s="63" t="str">
        <f t="shared" si="135"/>
        <v>00</v>
      </c>
      <c r="D1137" s="68" t="e">
        <f>VLOOKUP(C1137,'RAW DATA 2023'!E:BP,63,0)</f>
        <v>#N/A</v>
      </c>
      <c r="E1137" s="68" t="e">
        <f t="shared" si="136"/>
        <v>#N/A</v>
      </c>
      <c r="F1137" s="63" t="e">
        <f>VLOOKUP(C1137,'RAW DATA 2023'!E:BO,5,0)</f>
        <v>#N/A</v>
      </c>
      <c r="G1137" s="63" t="e">
        <f>VLOOKUP(C1137,'RAW DATA 2023'!E:BO,13,0)</f>
        <v>#N/A</v>
      </c>
      <c r="H1137" s="63" t="e">
        <f t="shared" si="137"/>
        <v>#N/A</v>
      </c>
      <c r="I1137" s="63" t="e">
        <f t="shared" si="133"/>
        <v>#N/A</v>
      </c>
      <c r="J1137" s="106" t="e">
        <f>VLOOKUP(C1137,'RAW DATA 2023'!E:BO,22,0)</f>
        <v>#N/A</v>
      </c>
      <c r="K1137" s="70" t="e">
        <f t="shared" si="134"/>
        <v>#N/A</v>
      </c>
      <c r="L1137" s="72"/>
      <c r="M1137" s="109" t="e">
        <f t="shared" si="139"/>
        <v>#N/A</v>
      </c>
      <c r="N1137" s="123" t="e">
        <f>VLOOKUP(C1137,'RAW DATA 2023'!E:BO,36,0)</f>
        <v>#N/A</v>
      </c>
      <c r="O1137" s="63" t="e">
        <f>VLOOKUP(C1137,'RAW DATA 2023'!E:BO,2,0)</f>
        <v>#N/A</v>
      </c>
      <c r="P1137" s="322" t="e">
        <f t="shared" si="138"/>
        <v>#N/A</v>
      </c>
    </row>
    <row r="1138" spans="1:16">
      <c r="A1138" s="63">
        <f>'RAW DATA 2023'!B1131</f>
        <v>0</v>
      </c>
      <c r="B1138" s="63">
        <f>'RAW DATA 2023'!D1131</f>
        <v>0</v>
      </c>
      <c r="C1138" s="63" t="str">
        <f t="shared" si="135"/>
        <v>00</v>
      </c>
      <c r="D1138" s="68" t="e">
        <f>VLOOKUP(C1138,'RAW DATA 2023'!E:BP,63,0)</f>
        <v>#N/A</v>
      </c>
      <c r="E1138" s="68" t="e">
        <f t="shared" si="136"/>
        <v>#N/A</v>
      </c>
      <c r="F1138" s="63" t="e">
        <f>VLOOKUP(C1138,'RAW DATA 2023'!E:BO,5,0)</f>
        <v>#N/A</v>
      </c>
      <c r="G1138" s="63" t="e">
        <f>VLOOKUP(C1138,'RAW DATA 2023'!E:BO,13,0)</f>
        <v>#N/A</v>
      </c>
      <c r="H1138" s="63" t="e">
        <f t="shared" si="137"/>
        <v>#N/A</v>
      </c>
      <c r="I1138" s="63" t="e">
        <f t="shared" si="133"/>
        <v>#N/A</v>
      </c>
      <c r="J1138" s="106" t="e">
        <f>VLOOKUP(C1138,'RAW DATA 2023'!E:BO,22,0)</f>
        <v>#N/A</v>
      </c>
      <c r="K1138" s="70" t="e">
        <f t="shared" si="134"/>
        <v>#N/A</v>
      </c>
      <c r="L1138" s="72"/>
      <c r="M1138" s="109" t="e">
        <f t="shared" si="139"/>
        <v>#N/A</v>
      </c>
      <c r="N1138" s="123" t="e">
        <f>VLOOKUP(C1138,'RAW DATA 2023'!E:BO,36,0)</f>
        <v>#N/A</v>
      </c>
      <c r="O1138" s="63" t="e">
        <f>VLOOKUP(C1138,'RAW DATA 2023'!E:BO,2,0)</f>
        <v>#N/A</v>
      </c>
      <c r="P1138" s="322" t="e">
        <f t="shared" si="138"/>
        <v>#N/A</v>
      </c>
    </row>
    <row r="1139" spans="1:16">
      <c r="A1139" s="63">
        <f>'RAW DATA 2023'!B1132</f>
        <v>0</v>
      </c>
      <c r="B1139" s="63">
        <f>'RAW DATA 2023'!D1132</f>
        <v>0</v>
      </c>
      <c r="C1139" s="63" t="str">
        <f t="shared" si="135"/>
        <v>00</v>
      </c>
      <c r="D1139" s="68" t="e">
        <f>VLOOKUP(C1139,'RAW DATA 2023'!E:BP,63,0)</f>
        <v>#N/A</v>
      </c>
      <c r="E1139" s="68" t="e">
        <f t="shared" si="136"/>
        <v>#N/A</v>
      </c>
      <c r="F1139" s="63" t="e">
        <f>VLOOKUP(C1139,'RAW DATA 2023'!E:BO,5,0)</f>
        <v>#N/A</v>
      </c>
      <c r="G1139" s="63" t="e">
        <f>VLOOKUP(C1139,'RAW DATA 2023'!E:BO,13,0)</f>
        <v>#N/A</v>
      </c>
      <c r="H1139" s="63" t="e">
        <f t="shared" si="137"/>
        <v>#N/A</v>
      </c>
      <c r="I1139" s="63" t="e">
        <f t="shared" si="133"/>
        <v>#N/A</v>
      </c>
      <c r="J1139" s="106" t="e">
        <f>VLOOKUP(C1139,'RAW DATA 2023'!E:BO,22,0)</f>
        <v>#N/A</v>
      </c>
      <c r="K1139" s="70" t="e">
        <f t="shared" si="134"/>
        <v>#N/A</v>
      </c>
      <c r="L1139" s="72"/>
      <c r="M1139" s="109" t="e">
        <f t="shared" si="139"/>
        <v>#N/A</v>
      </c>
      <c r="N1139" s="123" t="e">
        <f>VLOOKUP(C1139,'RAW DATA 2023'!E:BO,36,0)</f>
        <v>#N/A</v>
      </c>
      <c r="O1139" s="63" t="e">
        <f>VLOOKUP(C1139,'RAW DATA 2023'!E:BO,2,0)</f>
        <v>#N/A</v>
      </c>
      <c r="P1139" s="322" t="e">
        <f t="shared" si="138"/>
        <v>#N/A</v>
      </c>
    </row>
    <row r="1140" spans="1:16">
      <c r="A1140" s="63">
        <f>'RAW DATA 2023'!B1133</f>
        <v>0</v>
      </c>
      <c r="B1140" s="63">
        <f>'RAW DATA 2023'!D1133</f>
        <v>0</v>
      </c>
      <c r="C1140" s="63" t="str">
        <f t="shared" si="135"/>
        <v>00</v>
      </c>
      <c r="D1140" s="68" t="e">
        <f>VLOOKUP(C1140,'RAW DATA 2023'!E:BP,63,0)</f>
        <v>#N/A</v>
      </c>
      <c r="E1140" s="68" t="e">
        <f t="shared" si="136"/>
        <v>#N/A</v>
      </c>
      <c r="F1140" s="63" t="e">
        <f>VLOOKUP(C1140,'RAW DATA 2023'!E:BO,5,0)</f>
        <v>#N/A</v>
      </c>
      <c r="G1140" s="63" t="e">
        <f>VLOOKUP(C1140,'RAW DATA 2023'!E:BO,13,0)</f>
        <v>#N/A</v>
      </c>
      <c r="H1140" s="63" t="e">
        <f t="shared" si="137"/>
        <v>#N/A</v>
      </c>
      <c r="I1140" s="63" t="e">
        <f t="shared" si="133"/>
        <v>#N/A</v>
      </c>
      <c r="J1140" s="106" t="e">
        <f>VLOOKUP(C1140,'RAW DATA 2023'!E:BO,22,0)</f>
        <v>#N/A</v>
      </c>
      <c r="K1140" s="70" t="e">
        <f t="shared" si="134"/>
        <v>#N/A</v>
      </c>
      <c r="L1140" s="72"/>
      <c r="M1140" s="109" t="e">
        <f t="shared" si="139"/>
        <v>#N/A</v>
      </c>
      <c r="N1140" s="123" t="e">
        <f>VLOOKUP(C1140,'RAW DATA 2023'!E:BO,36,0)</f>
        <v>#N/A</v>
      </c>
      <c r="O1140" s="63" t="e">
        <f>VLOOKUP(C1140,'RAW DATA 2023'!E:BO,2,0)</f>
        <v>#N/A</v>
      </c>
      <c r="P1140" s="322" t="e">
        <f t="shared" si="138"/>
        <v>#N/A</v>
      </c>
    </row>
    <row r="1141" spans="1:16">
      <c r="A1141" s="63">
        <f>'RAW DATA 2023'!B1134</f>
        <v>0</v>
      </c>
      <c r="B1141" s="63">
        <f>'RAW DATA 2023'!D1134</f>
        <v>0</v>
      </c>
      <c r="C1141" s="63" t="str">
        <f t="shared" si="135"/>
        <v>00</v>
      </c>
      <c r="D1141" s="68" t="e">
        <f>VLOOKUP(C1141,'RAW DATA 2023'!E:BP,63,0)</f>
        <v>#N/A</v>
      </c>
      <c r="E1141" s="68" t="e">
        <f t="shared" si="136"/>
        <v>#N/A</v>
      </c>
      <c r="F1141" s="63" t="e">
        <f>VLOOKUP(C1141,'RAW DATA 2023'!E:BO,5,0)</f>
        <v>#N/A</v>
      </c>
      <c r="G1141" s="63" t="e">
        <f>VLOOKUP(C1141,'RAW DATA 2023'!E:BO,13,0)</f>
        <v>#N/A</v>
      </c>
      <c r="H1141" s="63" t="e">
        <f t="shared" si="137"/>
        <v>#N/A</v>
      </c>
      <c r="I1141" s="63" t="e">
        <f t="shared" si="133"/>
        <v>#N/A</v>
      </c>
      <c r="J1141" s="106" t="e">
        <f>VLOOKUP(C1141,'RAW DATA 2023'!E:BO,22,0)</f>
        <v>#N/A</v>
      </c>
      <c r="K1141" s="70" t="e">
        <f t="shared" si="134"/>
        <v>#N/A</v>
      </c>
      <c r="L1141" s="72"/>
      <c r="M1141" s="109" t="e">
        <f t="shared" si="139"/>
        <v>#N/A</v>
      </c>
      <c r="N1141" s="123" t="e">
        <f>VLOOKUP(C1141,'RAW DATA 2023'!E:BO,36,0)</f>
        <v>#N/A</v>
      </c>
      <c r="O1141" s="63" t="e">
        <f>VLOOKUP(C1141,'RAW DATA 2023'!E:BO,2,0)</f>
        <v>#N/A</v>
      </c>
      <c r="P1141" s="322" t="e">
        <f t="shared" si="138"/>
        <v>#N/A</v>
      </c>
    </row>
    <row r="1142" spans="1:16">
      <c r="A1142" s="63">
        <f>'RAW DATA 2023'!B1135</f>
        <v>0</v>
      </c>
      <c r="B1142" s="63">
        <f>'RAW DATA 2023'!D1135</f>
        <v>0</v>
      </c>
      <c r="C1142" s="63" t="str">
        <f t="shared" si="135"/>
        <v>00</v>
      </c>
      <c r="D1142" s="68" t="e">
        <f>VLOOKUP(C1142,'RAW DATA 2023'!E:BP,63,0)</f>
        <v>#N/A</v>
      </c>
      <c r="E1142" s="68" t="e">
        <f t="shared" si="136"/>
        <v>#N/A</v>
      </c>
      <c r="F1142" s="63" t="e">
        <f>VLOOKUP(C1142,'RAW DATA 2023'!E:BO,5,0)</f>
        <v>#N/A</v>
      </c>
      <c r="G1142" s="63" t="e">
        <f>VLOOKUP(C1142,'RAW DATA 2023'!E:BO,13,0)</f>
        <v>#N/A</v>
      </c>
      <c r="H1142" s="63" t="e">
        <f t="shared" si="137"/>
        <v>#N/A</v>
      </c>
      <c r="I1142" s="63" t="e">
        <f t="shared" ref="I1142:I1205" si="140">IF(F1142=$W$1,VLOOKUP(H1142,Y:Z,2,0),VLOOKUP(H1142,AF:AG,2,0))</f>
        <v>#N/A</v>
      </c>
      <c r="J1142" s="106" t="e">
        <f>VLOOKUP(C1142,'RAW DATA 2023'!E:BO,22,0)</f>
        <v>#N/A</v>
      </c>
      <c r="K1142" s="70" t="e">
        <f t="shared" si="134"/>
        <v>#N/A</v>
      </c>
      <c r="L1142" s="72"/>
      <c r="M1142" s="109" t="e">
        <f t="shared" si="139"/>
        <v>#N/A</v>
      </c>
      <c r="N1142" s="123" t="e">
        <f>VLOOKUP(C1142,'RAW DATA 2023'!E:BO,36,0)</f>
        <v>#N/A</v>
      </c>
      <c r="O1142" s="63" t="e">
        <f>VLOOKUP(C1142,'RAW DATA 2023'!E:BO,2,0)</f>
        <v>#N/A</v>
      </c>
      <c r="P1142" s="322" t="e">
        <f t="shared" si="138"/>
        <v>#N/A</v>
      </c>
    </row>
    <row r="1143" spans="1:16">
      <c r="A1143" s="63">
        <f>'RAW DATA 2023'!B1136</f>
        <v>0</v>
      </c>
      <c r="B1143" s="63">
        <f>'RAW DATA 2023'!D1136</f>
        <v>0</v>
      </c>
      <c r="C1143" s="63" t="str">
        <f t="shared" si="135"/>
        <v>00</v>
      </c>
      <c r="D1143" s="68" t="e">
        <f>VLOOKUP(C1143,'RAW DATA 2023'!E:BP,63,0)</f>
        <v>#N/A</v>
      </c>
      <c r="E1143" s="68" t="e">
        <f t="shared" si="136"/>
        <v>#N/A</v>
      </c>
      <c r="F1143" s="63" t="e">
        <f>VLOOKUP(C1143,'RAW DATA 2023'!E:BO,5,0)</f>
        <v>#N/A</v>
      </c>
      <c r="G1143" s="63" t="e">
        <f>VLOOKUP(C1143,'RAW DATA 2023'!E:BO,13,0)</f>
        <v>#N/A</v>
      </c>
      <c r="H1143" s="63" t="e">
        <f t="shared" si="137"/>
        <v>#N/A</v>
      </c>
      <c r="I1143" s="63" t="e">
        <f t="shared" si="140"/>
        <v>#N/A</v>
      </c>
      <c r="J1143" s="106" t="e">
        <f>VLOOKUP(C1143,'RAW DATA 2023'!E:BO,22,0)</f>
        <v>#N/A</v>
      </c>
      <c r="K1143" s="70" t="e">
        <f t="shared" ref="K1143:K1206" si="141">J1143/I1143</f>
        <v>#N/A</v>
      </c>
      <c r="L1143" s="72"/>
      <c r="M1143" s="109" t="e">
        <f t="shared" si="139"/>
        <v>#N/A</v>
      </c>
      <c r="N1143" s="123" t="e">
        <f>VLOOKUP(C1143,'RAW DATA 2023'!E:BO,36,0)</f>
        <v>#N/A</v>
      </c>
      <c r="O1143" s="63" t="e">
        <f>VLOOKUP(C1143,'RAW DATA 2023'!E:BO,2,0)</f>
        <v>#N/A</v>
      </c>
      <c r="P1143" s="322" t="e">
        <f t="shared" si="138"/>
        <v>#N/A</v>
      </c>
    </row>
    <row r="1144" spans="1:16">
      <c r="A1144" s="63">
        <f>'RAW DATA 2023'!B1137</f>
        <v>0</v>
      </c>
      <c r="B1144" s="63">
        <f>'RAW DATA 2023'!D1137</f>
        <v>0</v>
      </c>
      <c r="C1144" s="63" t="str">
        <f t="shared" si="135"/>
        <v>00</v>
      </c>
      <c r="D1144" s="68" t="e">
        <f>VLOOKUP(C1144,'RAW DATA 2023'!E:BP,63,0)</f>
        <v>#N/A</v>
      </c>
      <c r="E1144" s="68" t="e">
        <f t="shared" si="136"/>
        <v>#N/A</v>
      </c>
      <c r="F1144" s="63" t="e">
        <f>VLOOKUP(C1144,'RAW DATA 2023'!E:BO,5,0)</f>
        <v>#N/A</v>
      </c>
      <c r="G1144" s="63" t="e">
        <f>VLOOKUP(C1144,'RAW DATA 2023'!E:BO,13,0)</f>
        <v>#N/A</v>
      </c>
      <c r="H1144" s="63" t="e">
        <f t="shared" si="137"/>
        <v>#N/A</v>
      </c>
      <c r="I1144" s="63" t="e">
        <f t="shared" si="140"/>
        <v>#N/A</v>
      </c>
      <c r="J1144" s="106" t="e">
        <f>VLOOKUP(C1144,'RAW DATA 2023'!E:BO,22,0)</f>
        <v>#N/A</v>
      </c>
      <c r="K1144" s="70" t="e">
        <f t="shared" si="141"/>
        <v>#N/A</v>
      </c>
      <c r="L1144" s="72"/>
      <c r="M1144" s="109" t="e">
        <f t="shared" si="139"/>
        <v>#N/A</v>
      </c>
      <c r="N1144" s="123" t="e">
        <f>VLOOKUP(C1144,'RAW DATA 2023'!E:BO,36,0)</f>
        <v>#N/A</v>
      </c>
      <c r="O1144" s="63" t="e">
        <f>VLOOKUP(C1144,'RAW DATA 2023'!E:BO,2,0)</f>
        <v>#N/A</v>
      </c>
      <c r="P1144" s="322" t="e">
        <f t="shared" si="138"/>
        <v>#N/A</v>
      </c>
    </row>
    <row r="1145" spans="1:16">
      <c r="A1145" s="63">
        <f>'RAW DATA 2023'!B1138</f>
        <v>0</v>
      </c>
      <c r="B1145" s="63">
        <f>'RAW DATA 2023'!D1138</f>
        <v>0</v>
      </c>
      <c r="C1145" s="63" t="str">
        <f t="shared" si="135"/>
        <v>00</v>
      </c>
      <c r="D1145" s="68" t="e">
        <f>VLOOKUP(C1145,'RAW DATA 2023'!E:BP,63,0)</f>
        <v>#N/A</v>
      </c>
      <c r="E1145" s="68" t="e">
        <f t="shared" si="136"/>
        <v>#N/A</v>
      </c>
      <c r="F1145" s="63" t="e">
        <f>VLOOKUP(C1145,'RAW DATA 2023'!E:BO,5,0)</f>
        <v>#N/A</v>
      </c>
      <c r="G1145" s="63" t="e">
        <f>VLOOKUP(C1145,'RAW DATA 2023'!E:BO,13,0)</f>
        <v>#N/A</v>
      </c>
      <c r="H1145" s="63" t="e">
        <f t="shared" si="137"/>
        <v>#N/A</v>
      </c>
      <c r="I1145" s="63" t="e">
        <f t="shared" si="140"/>
        <v>#N/A</v>
      </c>
      <c r="J1145" s="106" t="e">
        <f>VLOOKUP(C1145,'RAW DATA 2023'!E:BO,22,0)</f>
        <v>#N/A</v>
      </c>
      <c r="K1145" s="70" t="e">
        <f t="shared" si="141"/>
        <v>#N/A</v>
      </c>
      <c r="L1145" s="72"/>
      <c r="M1145" s="109" t="e">
        <f t="shared" si="139"/>
        <v>#N/A</v>
      </c>
      <c r="N1145" s="123" t="e">
        <f>VLOOKUP(C1145,'RAW DATA 2023'!E:BO,36,0)</f>
        <v>#N/A</v>
      </c>
      <c r="O1145" s="63" t="e">
        <f>VLOOKUP(C1145,'RAW DATA 2023'!E:BO,2,0)</f>
        <v>#N/A</v>
      </c>
      <c r="P1145" s="322" t="e">
        <f t="shared" si="138"/>
        <v>#N/A</v>
      </c>
    </row>
    <row r="1146" spans="1:16">
      <c r="A1146" s="63">
        <f>'RAW DATA 2023'!B1139</f>
        <v>0</v>
      </c>
      <c r="B1146" s="63">
        <f>'RAW DATA 2023'!D1139</f>
        <v>0</v>
      </c>
      <c r="C1146" s="63" t="str">
        <f t="shared" si="135"/>
        <v>00</v>
      </c>
      <c r="D1146" s="68" t="e">
        <f>VLOOKUP(C1146,'RAW DATA 2023'!E:BP,63,0)</f>
        <v>#N/A</v>
      </c>
      <c r="E1146" s="68" t="e">
        <f t="shared" si="136"/>
        <v>#N/A</v>
      </c>
      <c r="F1146" s="63" t="e">
        <f>VLOOKUP(C1146,'RAW DATA 2023'!E:BO,5,0)</f>
        <v>#N/A</v>
      </c>
      <c r="G1146" s="63" t="e">
        <f>VLOOKUP(C1146,'RAW DATA 2023'!E:BO,13,0)</f>
        <v>#N/A</v>
      </c>
      <c r="H1146" s="63" t="e">
        <f t="shared" si="137"/>
        <v>#N/A</v>
      </c>
      <c r="I1146" s="63" t="e">
        <f t="shared" si="140"/>
        <v>#N/A</v>
      </c>
      <c r="J1146" s="106" t="e">
        <f>VLOOKUP(C1146,'RAW DATA 2023'!E:BO,22,0)</f>
        <v>#N/A</v>
      </c>
      <c r="K1146" s="70" t="e">
        <f t="shared" si="141"/>
        <v>#N/A</v>
      </c>
      <c r="L1146" s="72"/>
      <c r="M1146" s="109" t="e">
        <f t="shared" si="139"/>
        <v>#N/A</v>
      </c>
      <c r="N1146" s="123" t="e">
        <f>VLOOKUP(C1146,'RAW DATA 2023'!E:BO,36,0)</f>
        <v>#N/A</v>
      </c>
      <c r="O1146" s="63" t="e">
        <f>VLOOKUP(C1146,'RAW DATA 2023'!E:BO,2,0)</f>
        <v>#N/A</v>
      </c>
      <c r="P1146" s="322" t="e">
        <f t="shared" si="138"/>
        <v>#N/A</v>
      </c>
    </row>
    <row r="1147" spans="1:16">
      <c r="A1147" s="63">
        <f>'RAW DATA 2023'!B1140</f>
        <v>0</v>
      </c>
      <c r="B1147" s="63">
        <f>'RAW DATA 2023'!D1140</f>
        <v>0</v>
      </c>
      <c r="C1147" s="63" t="str">
        <f t="shared" si="135"/>
        <v>00</v>
      </c>
      <c r="D1147" s="68" t="e">
        <f>VLOOKUP(C1147,'RAW DATA 2023'!E:BP,63,0)</f>
        <v>#N/A</v>
      </c>
      <c r="E1147" s="68" t="e">
        <f t="shared" si="136"/>
        <v>#N/A</v>
      </c>
      <c r="F1147" s="63" t="e">
        <f>VLOOKUP(C1147,'RAW DATA 2023'!E:BO,5,0)</f>
        <v>#N/A</v>
      </c>
      <c r="G1147" s="63" t="e">
        <f>VLOOKUP(C1147,'RAW DATA 2023'!E:BO,13,0)</f>
        <v>#N/A</v>
      </c>
      <c r="H1147" s="63" t="e">
        <f t="shared" si="137"/>
        <v>#N/A</v>
      </c>
      <c r="I1147" s="63" t="e">
        <f t="shared" si="140"/>
        <v>#N/A</v>
      </c>
      <c r="J1147" s="106" t="e">
        <f>VLOOKUP(C1147,'RAW DATA 2023'!E:BO,22,0)</f>
        <v>#N/A</v>
      </c>
      <c r="K1147" s="70" t="e">
        <f t="shared" si="141"/>
        <v>#N/A</v>
      </c>
      <c r="L1147" s="72"/>
      <c r="M1147" s="109" t="e">
        <f t="shared" si="139"/>
        <v>#N/A</v>
      </c>
      <c r="N1147" s="123" t="e">
        <f>VLOOKUP(C1147,'RAW DATA 2023'!E:BO,36,0)</f>
        <v>#N/A</v>
      </c>
      <c r="O1147" s="63" t="e">
        <f>VLOOKUP(C1147,'RAW DATA 2023'!E:BO,2,0)</f>
        <v>#N/A</v>
      </c>
      <c r="P1147" s="322" t="e">
        <f t="shared" si="138"/>
        <v>#N/A</v>
      </c>
    </row>
    <row r="1148" spans="1:16">
      <c r="A1148" s="63">
        <f>'RAW DATA 2023'!B1141</f>
        <v>0</v>
      </c>
      <c r="B1148" s="63">
        <f>'RAW DATA 2023'!D1141</f>
        <v>0</v>
      </c>
      <c r="C1148" s="63" t="str">
        <f t="shared" si="135"/>
        <v>00</v>
      </c>
      <c r="D1148" s="68" t="e">
        <f>VLOOKUP(C1148,'RAW DATA 2023'!E:BP,63,0)</f>
        <v>#N/A</v>
      </c>
      <c r="E1148" s="68" t="e">
        <f t="shared" si="136"/>
        <v>#N/A</v>
      </c>
      <c r="F1148" s="63" t="e">
        <f>VLOOKUP(C1148,'RAW DATA 2023'!E:BO,5,0)</f>
        <v>#N/A</v>
      </c>
      <c r="G1148" s="63" t="e">
        <f>VLOOKUP(C1148,'RAW DATA 2023'!E:BO,13,0)</f>
        <v>#N/A</v>
      </c>
      <c r="H1148" s="63" t="e">
        <f t="shared" si="137"/>
        <v>#N/A</v>
      </c>
      <c r="I1148" s="63" t="e">
        <f t="shared" si="140"/>
        <v>#N/A</v>
      </c>
      <c r="J1148" s="106" t="e">
        <f>VLOOKUP(C1148,'RAW DATA 2023'!E:BO,22,0)</f>
        <v>#N/A</v>
      </c>
      <c r="K1148" s="70" t="e">
        <f t="shared" si="141"/>
        <v>#N/A</v>
      </c>
      <c r="L1148" s="72"/>
      <c r="M1148" s="109" t="e">
        <f t="shared" si="139"/>
        <v>#N/A</v>
      </c>
      <c r="N1148" s="123" t="e">
        <f>VLOOKUP(C1148,'RAW DATA 2023'!E:BO,36,0)</f>
        <v>#N/A</v>
      </c>
      <c r="O1148" s="63" t="e">
        <f>VLOOKUP(C1148,'RAW DATA 2023'!E:BO,2,0)</f>
        <v>#N/A</v>
      </c>
      <c r="P1148" s="322" t="e">
        <f t="shared" si="138"/>
        <v>#N/A</v>
      </c>
    </row>
    <row r="1149" spans="1:16">
      <c r="A1149" s="63">
        <f>'RAW DATA 2023'!B1142</f>
        <v>0</v>
      </c>
      <c r="B1149" s="63">
        <f>'RAW DATA 2023'!D1142</f>
        <v>0</v>
      </c>
      <c r="C1149" s="63" t="str">
        <f t="shared" si="135"/>
        <v>00</v>
      </c>
      <c r="D1149" s="68" t="e">
        <f>VLOOKUP(C1149,'RAW DATA 2023'!E:BP,63,0)</f>
        <v>#N/A</v>
      </c>
      <c r="E1149" s="68" t="e">
        <f t="shared" si="136"/>
        <v>#N/A</v>
      </c>
      <c r="F1149" s="63" t="e">
        <f>VLOOKUP(C1149,'RAW DATA 2023'!E:BO,5,0)</f>
        <v>#N/A</v>
      </c>
      <c r="G1149" s="63" t="e">
        <f>VLOOKUP(C1149,'RAW DATA 2023'!E:BO,13,0)</f>
        <v>#N/A</v>
      </c>
      <c r="H1149" s="63" t="e">
        <f t="shared" si="137"/>
        <v>#N/A</v>
      </c>
      <c r="I1149" s="63" t="e">
        <f t="shared" si="140"/>
        <v>#N/A</v>
      </c>
      <c r="J1149" s="106" t="e">
        <f>VLOOKUP(C1149,'RAW DATA 2023'!E:BO,22,0)</f>
        <v>#N/A</v>
      </c>
      <c r="K1149" s="70" t="e">
        <f t="shared" si="141"/>
        <v>#N/A</v>
      </c>
      <c r="L1149" s="72"/>
      <c r="M1149" s="109" t="e">
        <f t="shared" si="139"/>
        <v>#N/A</v>
      </c>
      <c r="N1149" s="123" t="e">
        <f>VLOOKUP(C1149,'RAW DATA 2023'!E:BO,36,0)</f>
        <v>#N/A</v>
      </c>
      <c r="O1149" s="63" t="e">
        <f>VLOOKUP(C1149,'RAW DATA 2023'!E:BO,2,0)</f>
        <v>#N/A</v>
      </c>
      <c r="P1149" s="322" t="e">
        <f t="shared" si="138"/>
        <v>#N/A</v>
      </c>
    </row>
    <row r="1150" spans="1:16">
      <c r="A1150" s="63">
        <f>'RAW DATA 2023'!B1143</f>
        <v>0</v>
      </c>
      <c r="B1150" s="63">
        <f>'RAW DATA 2023'!D1143</f>
        <v>0</v>
      </c>
      <c r="C1150" s="63" t="str">
        <f t="shared" si="135"/>
        <v>00</v>
      </c>
      <c r="D1150" s="68" t="e">
        <f>VLOOKUP(C1150,'RAW DATA 2023'!E:BP,63,0)</f>
        <v>#N/A</v>
      </c>
      <c r="E1150" s="68" t="e">
        <f t="shared" si="136"/>
        <v>#N/A</v>
      </c>
      <c r="F1150" s="63" t="e">
        <f>VLOOKUP(C1150,'RAW DATA 2023'!E:BO,5,0)</f>
        <v>#N/A</v>
      </c>
      <c r="G1150" s="63" t="e">
        <f>VLOOKUP(C1150,'RAW DATA 2023'!E:BO,13,0)</f>
        <v>#N/A</v>
      </c>
      <c r="H1150" s="63" t="e">
        <f t="shared" si="137"/>
        <v>#N/A</v>
      </c>
      <c r="I1150" s="63" t="e">
        <f t="shared" si="140"/>
        <v>#N/A</v>
      </c>
      <c r="J1150" s="106" t="e">
        <f>VLOOKUP(C1150,'RAW DATA 2023'!E:BO,22,0)</f>
        <v>#N/A</v>
      </c>
      <c r="K1150" s="70" t="e">
        <f t="shared" si="141"/>
        <v>#N/A</v>
      </c>
      <c r="L1150" s="72"/>
      <c r="M1150" s="109" t="e">
        <f t="shared" si="139"/>
        <v>#N/A</v>
      </c>
      <c r="N1150" s="123" t="e">
        <f>VLOOKUP(C1150,'RAW DATA 2023'!E:BO,36,0)</f>
        <v>#N/A</v>
      </c>
      <c r="O1150" s="63" t="e">
        <f>VLOOKUP(C1150,'RAW DATA 2023'!E:BO,2,0)</f>
        <v>#N/A</v>
      </c>
      <c r="P1150" s="322" t="e">
        <f t="shared" si="138"/>
        <v>#N/A</v>
      </c>
    </row>
    <row r="1151" spans="1:16">
      <c r="A1151" s="63">
        <f>'RAW DATA 2023'!B1144</f>
        <v>0</v>
      </c>
      <c r="B1151" s="63">
        <f>'RAW DATA 2023'!D1144</f>
        <v>0</v>
      </c>
      <c r="C1151" s="63" t="str">
        <f t="shared" si="135"/>
        <v>00</v>
      </c>
      <c r="D1151" s="68" t="e">
        <f>VLOOKUP(C1151,'RAW DATA 2023'!E:BP,63,0)</f>
        <v>#N/A</v>
      </c>
      <c r="E1151" s="68" t="e">
        <f t="shared" si="136"/>
        <v>#N/A</v>
      </c>
      <c r="F1151" s="63" t="e">
        <f>VLOOKUP(C1151,'RAW DATA 2023'!E:BO,5,0)</f>
        <v>#N/A</v>
      </c>
      <c r="G1151" s="63" t="e">
        <f>VLOOKUP(C1151,'RAW DATA 2023'!E:BO,13,0)</f>
        <v>#N/A</v>
      </c>
      <c r="H1151" s="63" t="e">
        <f t="shared" si="137"/>
        <v>#N/A</v>
      </c>
      <c r="I1151" s="63" t="e">
        <f t="shared" si="140"/>
        <v>#N/A</v>
      </c>
      <c r="J1151" s="106" t="e">
        <f>VLOOKUP(C1151,'RAW DATA 2023'!E:BO,22,0)</f>
        <v>#N/A</v>
      </c>
      <c r="K1151" s="70" t="e">
        <f t="shared" si="141"/>
        <v>#N/A</v>
      </c>
      <c r="L1151" s="72"/>
      <c r="M1151" s="109" t="e">
        <f t="shared" si="139"/>
        <v>#N/A</v>
      </c>
      <c r="N1151" s="123" t="e">
        <f>VLOOKUP(C1151,'RAW DATA 2023'!E:BO,36,0)</f>
        <v>#N/A</v>
      </c>
      <c r="O1151" s="63" t="e">
        <f>VLOOKUP(C1151,'RAW DATA 2023'!E:BO,2,0)</f>
        <v>#N/A</v>
      </c>
      <c r="P1151" s="322" t="e">
        <f t="shared" si="138"/>
        <v>#N/A</v>
      </c>
    </row>
    <row r="1152" spans="1:16">
      <c r="A1152" s="63">
        <f>'RAW DATA 2023'!B1145</f>
        <v>0</v>
      </c>
      <c r="B1152" s="63">
        <f>'RAW DATA 2023'!D1145</f>
        <v>0</v>
      </c>
      <c r="C1152" s="63" t="str">
        <f t="shared" si="135"/>
        <v>00</v>
      </c>
      <c r="D1152" s="68" t="e">
        <f>VLOOKUP(C1152,'RAW DATA 2023'!E:BP,63,0)</f>
        <v>#N/A</v>
      </c>
      <c r="E1152" s="68" t="e">
        <f t="shared" si="136"/>
        <v>#N/A</v>
      </c>
      <c r="F1152" s="63" t="e">
        <f>VLOOKUP(C1152,'RAW DATA 2023'!E:BO,5,0)</f>
        <v>#N/A</v>
      </c>
      <c r="G1152" s="63" t="e">
        <f>VLOOKUP(C1152,'RAW DATA 2023'!E:BO,13,0)</f>
        <v>#N/A</v>
      </c>
      <c r="H1152" s="63" t="e">
        <f t="shared" si="137"/>
        <v>#N/A</v>
      </c>
      <c r="I1152" s="63" t="e">
        <f t="shared" si="140"/>
        <v>#N/A</v>
      </c>
      <c r="J1152" s="106" t="e">
        <f>VLOOKUP(C1152,'RAW DATA 2023'!E:BO,22,0)</f>
        <v>#N/A</v>
      </c>
      <c r="K1152" s="70" t="e">
        <f t="shared" si="141"/>
        <v>#N/A</v>
      </c>
      <c r="L1152" s="72"/>
      <c r="M1152" s="109" t="e">
        <f t="shared" si="139"/>
        <v>#N/A</v>
      </c>
      <c r="N1152" s="123" t="e">
        <f>VLOOKUP(C1152,'RAW DATA 2023'!E:BO,36,0)</f>
        <v>#N/A</v>
      </c>
      <c r="O1152" s="63" t="e">
        <f>VLOOKUP(C1152,'RAW DATA 2023'!E:BO,2,0)</f>
        <v>#N/A</v>
      </c>
      <c r="P1152" s="322" t="e">
        <f t="shared" si="138"/>
        <v>#N/A</v>
      </c>
    </row>
    <row r="1153" spans="1:16">
      <c r="A1153" s="63">
        <f>'RAW DATA 2023'!B1146</f>
        <v>0</v>
      </c>
      <c r="B1153" s="63">
        <f>'RAW DATA 2023'!D1146</f>
        <v>0</v>
      </c>
      <c r="C1153" s="63" t="str">
        <f t="shared" si="135"/>
        <v>00</v>
      </c>
      <c r="D1153" s="68" t="e">
        <f>VLOOKUP(C1153,'RAW DATA 2023'!E:BP,63,0)</f>
        <v>#N/A</v>
      </c>
      <c r="E1153" s="68" t="e">
        <f t="shared" si="136"/>
        <v>#N/A</v>
      </c>
      <c r="F1153" s="63" t="e">
        <f>VLOOKUP(C1153,'RAW DATA 2023'!E:BO,5,0)</f>
        <v>#N/A</v>
      </c>
      <c r="G1153" s="63" t="e">
        <f>VLOOKUP(C1153,'RAW DATA 2023'!E:BO,13,0)</f>
        <v>#N/A</v>
      </c>
      <c r="H1153" s="63" t="e">
        <f t="shared" si="137"/>
        <v>#N/A</v>
      </c>
      <c r="I1153" s="63" t="e">
        <f t="shared" si="140"/>
        <v>#N/A</v>
      </c>
      <c r="J1153" s="106" t="e">
        <f>VLOOKUP(C1153,'RAW DATA 2023'!E:BO,22,0)</f>
        <v>#N/A</v>
      </c>
      <c r="K1153" s="70" t="e">
        <f t="shared" si="141"/>
        <v>#N/A</v>
      </c>
      <c r="L1153" s="72"/>
      <c r="M1153" s="109" t="e">
        <f t="shared" si="139"/>
        <v>#N/A</v>
      </c>
      <c r="N1153" s="123" t="e">
        <f>VLOOKUP(C1153,'RAW DATA 2023'!E:BO,36,0)</f>
        <v>#N/A</v>
      </c>
      <c r="O1153" s="63" t="e">
        <f>VLOOKUP(C1153,'RAW DATA 2023'!E:BO,2,0)</f>
        <v>#N/A</v>
      </c>
      <c r="P1153" s="322" t="e">
        <f t="shared" si="138"/>
        <v>#N/A</v>
      </c>
    </row>
    <row r="1154" spans="1:16">
      <c r="A1154" s="63">
        <f>'RAW DATA 2023'!B1147</f>
        <v>0</v>
      </c>
      <c r="B1154" s="63">
        <f>'RAW DATA 2023'!D1147</f>
        <v>0</v>
      </c>
      <c r="C1154" s="63" t="str">
        <f t="shared" si="135"/>
        <v>00</v>
      </c>
      <c r="D1154" s="68" t="e">
        <f>VLOOKUP(C1154,'RAW DATA 2023'!E:BP,63,0)</f>
        <v>#N/A</v>
      </c>
      <c r="E1154" s="68" t="e">
        <f t="shared" si="136"/>
        <v>#N/A</v>
      </c>
      <c r="F1154" s="63" t="e">
        <f>VLOOKUP(C1154,'RAW DATA 2023'!E:BO,5,0)</f>
        <v>#N/A</v>
      </c>
      <c r="G1154" s="63" t="e">
        <f>VLOOKUP(C1154,'RAW DATA 2023'!E:BO,13,0)</f>
        <v>#N/A</v>
      </c>
      <c r="H1154" s="63" t="e">
        <f t="shared" si="137"/>
        <v>#N/A</v>
      </c>
      <c r="I1154" s="63" t="e">
        <f t="shared" si="140"/>
        <v>#N/A</v>
      </c>
      <c r="J1154" s="106" t="e">
        <f>VLOOKUP(C1154,'RAW DATA 2023'!E:BO,22,0)</f>
        <v>#N/A</v>
      </c>
      <c r="K1154" s="70" t="e">
        <f t="shared" si="141"/>
        <v>#N/A</v>
      </c>
      <c r="L1154" s="72"/>
      <c r="M1154" s="109" t="e">
        <f t="shared" si="139"/>
        <v>#N/A</v>
      </c>
      <c r="N1154" s="123" t="e">
        <f>VLOOKUP(C1154,'RAW DATA 2023'!E:BO,36,0)</f>
        <v>#N/A</v>
      </c>
      <c r="O1154" s="63" t="e">
        <f>VLOOKUP(C1154,'RAW DATA 2023'!E:BO,2,0)</f>
        <v>#N/A</v>
      </c>
      <c r="P1154" s="322" t="e">
        <f t="shared" si="138"/>
        <v>#N/A</v>
      </c>
    </row>
    <row r="1155" spans="1:16">
      <c r="A1155" s="63">
        <f>'RAW DATA 2023'!B1148</f>
        <v>0</v>
      </c>
      <c r="B1155" s="63">
        <f>'RAW DATA 2023'!D1148</f>
        <v>0</v>
      </c>
      <c r="C1155" s="63" t="str">
        <f t="shared" si="135"/>
        <v>00</v>
      </c>
      <c r="D1155" s="68" t="e">
        <f>VLOOKUP(C1155,'RAW DATA 2023'!E:BP,63,0)</f>
        <v>#N/A</v>
      </c>
      <c r="E1155" s="68" t="e">
        <f t="shared" si="136"/>
        <v>#N/A</v>
      </c>
      <c r="F1155" s="63" t="e">
        <f>VLOOKUP(C1155,'RAW DATA 2023'!E:BO,5,0)</f>
        <v>#N/A</v>
      </c>
      <c r="G1155" s="63" t="e">
        <f>VLOOKUP(C1155,'RAW DATA 2023'!E:BO,13,0)</f>
        <v>#N/A</v>
      </c>
      <c r="H1155" s="63" t="e">
        <f t="shared" si="137"/>
        <v>#N/A</v>
      </c>
      <c r="I1155" s="63" t="e">
        <f t="shared" si="140"/>
        <v>#N/A</v>
      </c>
      <c r="J1155" s="106" t="e">
        <f>VLOOKUP(C1155,'RAW DATA 2023'!E:BO,22,0)</f>
        <v>#N/A</v>
      </c>
      <c r="K1155" s="70" t="e">
        <f t="shared" si="141"/>
        <v>#N/A</v>
      </c>
      <c r="L1155" s="72"/>
      <c r="M1155" s="109" t="e">
        <f t="shared" si="139"/>
        <v>#N/A</v>
      </c>
      <c r="N1155" s="123" t="e">
        <f>VLOOKUP(C1155,'RAW DATA 2023'!E:BO,36,0)</f>
        <v>#N/A</v>
      </c>
      <c r="O1155" s="63" t="e">
        <f>VLOOKUP(C1155,'RAW DATA 2023'!E:BO,2,0)</f>
        <v>#N/A</v>
      </c>
      <c r="P1155" s="322" t="e">
        <f t="shared" si="138"/>
        <v>#N/A</v>
      </c>
    </row>
    <row r="1156" spans="1:16">
      <c r="A1156" s="63">
        <f>'RAW DATA 2023'!B1149</f>
        <v>0</v>
      </c>
      <c r="B1156" s="63">
        <f>'RAW DATA 2023'!D1149</f>
        <v>0</v>
      </c>
      <c r="C1156" s="63" t="str">
        <f t="shared" si="135"/>
        <v>00</v>
      </c>
      <c r="D1156" s="68" t="e">
        <f>VLOOKUP(C1156,'RAW DATA 2023'!E:BP,63,0)</f>
        <v>#N/A</v>
      </c>
      <c r="E1156" s="68" t="e">
        <f t="shared" si="136"/>
        <v>#N/A</v>
      </c>
      <c r="F1156" s="63" t="e">
        <f>VLOOKUP(C1156,'RAW DATA 2023'!E:BO,5,0)</f>
        <v>#N/A</v>
      </c>
      <c r="G1156" s="63" t="e">
        <f>VLOOKUP(C1156,'RAW DATA 2023'!E:BO,13,0)</f>
        <v>#N/A</v>
      </c>
      <c r="H1156" s="63" t="e">
        <f t="shared" si="137"/>
        <v>#N/A</v>
      </c>
      <c r="I1156" s="63" t="e">
        <f t="shared" si="140"/>
        <v>#N/A</v>
      </c>
      <c r="J1156" s="106" t="e">
        <f>VLOOKUP(C1156,'RAW DATA 2023'!E:BO,22,0)</f>
        <v>#N/A</v>
      </c>
      <c r="K1156" s="70" t="e">
        <f t="shared" si="141"/>
        <v>#N/A</v>
      </c>
      <c r="L1156" s="72"/>
      <c r="M1156" s="109" t="e">
        <f t="shared" si="139"/>
        <v>#N/A</v>
      </c>
      <c r="N1156" s="123" t="e">
        <f>VLOOKUP(C1156,'RAW DATA 2023'!E:BO,36,0)</f>
        <v>#N/A</v>
      </c>
      <c r="O1156" s="63" t="e">
        <f>VLOOKUP(C1156,'RAW DATA 2023'!E:BO,2,0)</f>
        <v>#N/A</v>
      </c>
      <c r="P1156" s="322" t="e">
        <f t="shared" si="138"/>
        <v>#N/A</v>
      </c>
    </row>
    <row r="1157" spans="1:16">
      <c r="A1157" s="63">
        <f>'RAW DATA 2023'!B1150</f>
        <v>0</v>
      </c>
      <c r="B1157" s="63">
        <f>'RAW DATA 2023'!D1150</f>
        <v>0</v>
      </c>
      <c r="C1157" s="63" t="str">
        <f t="shared" si="135"/>
        <v>00</v>
      </c>
      <c r="D1157" s="68" t="e">
        <f>VLOOKUP(C1157,'RAW DATA 2023'!E:BP,63,0)</f>
        <v>#N/A</v>
      </c>
      <c r="E1157" s="68" t="e">
        <f t="shared" si="136"/>
        <v>#N/A</v>
      </c>
      <c r="F1157" s="63" t="e">
        <f>VLOOKUP(C1157,'RAW DATA 2023'!E:BO,5,0)</f>
        <v>#N/A</v>
      </c>
      <c r="G1157" s="63" t="e">
        <f>VLOOKUP(C1157,'RAW DATA 2023'!E:BO,13,0)</f>
        <v>#N/A</v>
      </c>
      <c r="H1157" s="63" t="e">
        <f t="shared" si="137"/>
        <v>#N/A</v>
      </c>
      <c r="I1157" s="63" t="e">
        <f t="shared" si="140"/>
        <v>#N/A</v>
      </c>
      <c r="J1157" s="106" t="e">
        <f>VLOOKUP(C1157,'RAW DATA 2023'!E:BO,22,0)</f>
        <v>#N/A</v>
      </c>
      <c r="K1157" s="70" t="e">
        <f t="shared" si="141"/>
        <v>#N/A</v>
      </c>
      <c r="L1157" s="72"/>
      <c r="M1157" s="109" t="e">
        <f t="shared" si="139"/>
        <v>#N/A</v>
      </c>
      <c r="N1157" s="123" t="e">
        <f>VLOOKUP(C1157,'RAW DATA 2023'!E:BO,36,0)</f>
        <v>#N/A</v>
      </c>
      <c r="O1157" s="63" t="e">
        <f>VLOOKUP(C1157,'RAW DATA 2023'!E:BO,2,0)</f>
        <v>#N/A</v>
      </c>
      <c r="P1157" s="322" t="e">
        <f t="shared" si="138"/>
        <v>#N/A</v>
      </c>
    </row>
    <row r="1158" spans="1:16">
      <c r="A1158" s="63">
        <f>'RAW DATA 2023'!B1151</f>
        <v>0</v>
      </c>
      <c r="B1158" s="63">
        <f>'RAW DATA 2023'!D1151</f>
        <v>0</v>
      </c>
      <c r="C1158" s="63" t="str">
        <f t="shared" si="135"/>
        <v>00</v>
      </c>
      <c r="D1158" s="68" t="e">
        <f>VLOOKUP(C1158,'RAW DATA 2023'!E:BP,63,0)</f>
        <v>#N/A</v>
      </c>
      <c r="E1158" s="68" t="e">
        <f t="shared" si="136"/>
        <v>#N/A</v>
      </c>
      <c r="F1158" s="63" t="e">
        <f>VLOOKUP(C1158,'RAW DATA 2023'!E:BO,5,0)</f>
        <v>#N/A</v>
      </c>
      <c r="G1158" s="63" t="e">
        <f>VLOOKUP(C1158,'RAW DATA 2023'!E:BO,13,0)</f>
        <v>#N/A</v>
      </c>
      <c r="H1158" s="63" t="e">
        <f t="shared" si="137"/>
        <v>#N/A</v>
      </c>
      <c r="I1158" s="63" t="e">
        <f t="shared" si="140"/>
        <v>#N/A</v>
      </c>
      <c r="J1158" s="106" t="e">
        <f>VLOOKUP(C1158,'RAW DATA 2023'!E:BO,22,0)</f>
        <v>#N/A</v>
      </c>
      <c r="K1158" s="70" t="e">
        <f t="shared" si="141"/>
        <v>#N/A</v>
      </c>
      <c r="L1158" s="72"/>
      <c r="M1158" s="109" t="e">
        <f t="shared" si="139"/>
        <v>#N/A</v>
      </c>
      <c r="N1158" s="123" t="e">
        <f>VLOOKUP(C1158,'RAW DATA 2023'!E:BO,36,0)</f>
        <v>#N/A</v>
      </c>
      <c r="O1158" s="63" t="e">
        <f>VLOOKUP(C1158,'RAW DATA 2023'!E:BO,2,0)</f>
        <v>#N/A</v>
      </c>
      <c r="P1158" s="322" t="e">
        <f t="shared" si="138"/>
        <v>#N/A</v>
      </c>
    </row>
    <row r="1159" spans="1:16">
      <c r="A1159" s="63">
        <f>'RAW DATA 2023'!B1152</f>
        <v>0</v>
      </c>
      <c r="B1159" s="63">
        <f>'RAW DATA 2023'!D1152</f>
        <v>0</v>
      </c>
      <c r="C1159" s="63" t="str">
        <f t="shared" si="135"/>
        <v>00</v>
      </c>
      <c r="D1159" s="68" t="e">
        <f>VLOOKUP(C1159,'RAW DATA 2023'!E:BP,63,0)</f>
        <v>#N/A</v>
      </c>
      <c r="E1159" s="68" t="e">
        <f t="shared" si="136"/>
        <v>#N/A</v>
      </c>
      <c r="F1159" s="63" t="e">
        <f>VLOOKUP(C1159,'RAW DATA 2023'!E:BO,5,0)</f>
        <v>#N/A</v>
      </c>
      <c r="G1159" s="63" t="e">
        <f>VLOOKUP(C1159,'RAW DATA 2023'!E:BO,13,0)</f>
        <v>#N/A</v>
      </c>
      <c r="H1159" s="63" t="e">
        <f t="shared" si="137"/>
        <v>#N/A</v>
      </c>
      <c r="I1159" s="63" t="e">
        <f t="shared" si="140"/>
        <v>#N/A</v>
      </c>
      <c r="J1159" s="106" t="e">
        <f>VLOOKUP(C1159,'RAW DATA 2023'!E:BO,22,0)</f>
        <v>#N/A</v>
      </c>
      <c r="K1159" s="70" t="e">
        <f t="shared" si="141"/>
        <v>#N/A</v>
      </c>
      <c r="L1159" s="72"/>
      <c r="M1159" s="109" t="e">
        <f t="shared" si="139"/>
        <v>#N/A</v>
      </c>
      <c r="N1159" s="123" t="e">
        <f>VLOOKUP(C1159,'RAW DATA 2023'!E:BO,36,0)</f>
        <v>#N/A</v>
      </c>
      <c r="O1159" s="63" t="e">
        <f>VLOOKUP(C1159,'RAW DATA 2023'!E:BO,2,0)</f>
        <v>#N/A</v>
      </c>
      <c r="P1159" s="322" t="e">
        <f t="shared" si="138"/>
        <v>#N/A</v>
      </c>
    </row>
    <row r="1160" spans="1:16">
      <c r="A1160" s="63">
        <f>'RAW DATA 2023'!B1153</f>
        <v>0</v>
      </c>
      <c r="B1160" s="63">
        <f>'RAW DATA 2023'!D1153</f>
        <v>0</v>
      </c>
      <c r="C1160" s="63" t="str">
        <f t="shared" si="135"/>
        <v>00</v>
      </c>
      <c r="D1160" s="68" t="e">
        <f>VLOOKUP(C1160,'RAW DATA 2023'!E:BP,63,0)</f>
        <v>#N/A</v>
      </c>
      <c r="E1160" s="68" t="e">
        <f t="shared" si="136"/>
        <v>#N/A</v>
      </c>
      <c r="F1160" s="63" t="e">
        <f>VLOOKUP(C1160,'RAW DATA 2023'!E:BO,5,0)</f>
        <v>#N/A</v>
      </c>
      <c r="G1160" s="63" t="e">
        <f>VLOOKUP(C1160,'RAW DATA 2023'!E:BO,13,0)</f>
        <v>#N/A</v>
      </c>
      <c r="H1160" s="63" t="e">
        <f t="shared" si="137"/>
        <v>#N/A</v>
      </c>
      <c r="I1160" s="63" t="e">
        <f t="shared" si="140"/>
        <v>#N/A</v>
      </c>
      <c r="J1160" s="106" t="e">
        <f>VLOOKUP(C1160,'RAW DATA 2023'!E:BO,22,0)</f>
        <v>#N/A</v>
      </c>
      <c r="K1160" s="70" t="e">
        <f t="shared" si="141"/>
        <v>#N/A</v>
      </c>
      <c r="L1160" s="72"/>
      <c r="M1160" s="109" t="e">
        <f t="shared" si="139"/>
        <v>#N/A</v>
      </c>
      <c r="N1160" s="123" t="e">
        <f>VLOOKUP(C1160,'RAW DATA 2023'!E:BO,36,0)</f>
        <v>#N/A</v>
      </c>
      <c r="O1160" s="63" t="e">
        <f>VLOOKUP(C1160,'RAW DATA 2023'!E:BO,2,0)</f>
        <v>#N/A</v>
      </c>
      <c r="P1160" s="322" t="e">
        <f t="shared" si="138"/>
        <v>#N/A</v>
      </c>
    </row>
    <row r="1161" spans="1:16">
      <c r="A1161" s="63">
        <f>'RAW DATA 2023'!B1154</f>
        <v>0</v>
      </c>
      <c r="B1161" s="63">
        <f>'RAW DATA 2023'!D1154</f>
        <v>0</v>
      </c>
      <c r="C1161" s="63" t="str">
        <f t="shared" si="135"/>
        <v>00</v>
      </c>
      <c r="D1161" s="68" t="e">
        <f>VLOOKUP(C1161,'RAW DATA 2023'!E:BP,63,0)</f>
        <v>#N/A</v>
      </c>
      <c r="E1161" s="68" t="e">
        <f t="shared" si="136"/>
        <v>#N/A</v>
      </c>
      <c r="F1161" s="63" t="e">
        <f>VLOOKUP(C1161,'RAW DATA 2023'!E:BO,5,0)</f>
        <v>#N/A</v>
      </c>
      <c r="G1161" s="63" t="e">
        <f>VLOOKUP(C1161,'RAW DATA 2023'!E:BO,13,0)</f>
        <v>#N/A</v>
      </c>
      <c r="H1161" s="63" t="e">
        <f t="shared" si="137"/>
        <v>#N/A</v>
      </c>
      <c r="I1161" s="63" t="e">
        <f t="shared" si="140"/>
        <v>#N/A</v>
      </c>
      <c r="J1161" s="106" t="e">
        <f>VLOOKUP(C1161,'RAW DATA 2023'!E:BO,22,0)</f>
        <v>#N/A</v>
      </c>
      <c r="K1161" s="70" t="e">
        <f t="shared" si="141"/>
        <v>#N/A</v>
      </c>
      <c r="L1161" s="72"/>
      <c r="M1161" s="109" t="e">
        <f t="shared" si="139"/>
        <v>#N/A</v>
      </c>
      <c r="N1161" s="123" t="e">
        <f>VLOOKUP(C1161,'RAW DATA 2023'!E:BO,36,0)</f>
        <v>#N/A</v>
      </c>
      <c r="O1161" s="63" t="e">
        <f>VLOOKUP(C1161,'RAW DATA 2023'!E:BO,2,0)</f>
        <v>#N/A</v>
      </c>
      <c r="P1161" s="322" t="e">
        <f t="shared" si="138"/>
        <v>#N/A</v>
      </c>
    </row>
    <row r="1162" spans="1:16">
      <c r="A1162" s="63">
        <f>'RAW DATA 2023'!B1155</f>
        <v>0</v>
      </c>
      <c r="B1162" s="63">
        <f>'RAW DATA 2023'!D1155</f>
        <v>0</v>
      </c>
      <c r="C1162" s="63" t="str">
        <f t="shared" ref="C1162:C1221" si="142">A1162&amp;B1162</f>
        <v>00</v>
      </c>
      <c r="D1162" s="68" t="e">
        <f>VLOOKUP(C1162,'RAW DATA 2023'!E:BP,63,0)</f>
        <v>#N/A</v>
      </c>
      <c r="E1162" s="68" t="e">
        <f t="shared" ref="E1162:E1221" si="143">A1162&amp;D1162</f>
        <v>#N/A</v>
      </c>
      <c r="F1162" s="63" t="e">
        <f>VLOOKUP(C1162,'RAW DATA 2023'!E:BO,5,0)</f>
        <v>#N/A</v>
      </c>
      <c r="G1162" s="63" t="e">
        <f>VLOOKUP(C1162,'RAW DATA 2023'!E:BO,13,0)</f>
        <v>#N/A</v>
      </c>
      <c r="H1162" s="63" t="e">
        <f t="shared" si="137"/>
        <v>#N/A</v>
      </c>
      <c r="I1162" s="63" t="e">
        <f t="shared" si="140"/>
        <v>#N/A</v>
      </c>
      <c r="J1162" s="106" t="e">
        <f>VLOOKUP(C1162,'RAW DATA 2023'!E:BO,22,0)</f>
        <v>#N/A</v>
      </c>
      <c r="K1162" s="70" t="e">
        <f t="shared" si="141"/>
        <v>#N/A</v>
      </c>
      <c r="L1162" s="72"/>
      <c r="M1162" s="109" t="e">
        <f t="shared" si="139"/>
        <v>#N/A</v>
      </c>
      <c r="N1162" s="123" t="e">
        <f>VLOOKUP(C1162,'RAW DATA 2023'!E:BO,36,0)</f>
        <v>#N/A</v>
      </c>
      <c r="O1162" s="63" t="e">
        <f>VLOOKUP(C1162,'RAW DATA 2023'!E:BO,2,0)</f>
        <v>#N/A</v>
      </c>
      <c r="P1162" s="322" t="e">
        <f t="shared" si="138"/>
        <v>#N/A</v>
      </c>
    </row>
    <row r="1163" spans="1:16">
      <c r="A1163" s="63">
        <f>'RAW DATA 2023'!B1156</f>
        <v>0</v>
      </c>
      <c r="B1163" s="63">
        <f>'RAW DATA 2023'!D1156</f>
        <v>0</v>
      </c>
      <c r="C1163" s="63" t="str">
        <f t="shared" si="142"/>
        <v>00</v>
      </c>
      <c r="D1163" s="68" t="e">
        <f>VLOOKUP(C1163,'RAW DATA 2023'!E:BP,63,0)</f>
        <v>#N/A</v>
      </c>
      <c r="E1163" s="68" t="e">
        <f t="shared" si="143"/>
        <v>#N/A</v>
      </c>
      <c r="F1163" s="63" t="e">
        <f>VLOOKUP(C1163,'RAW DATA 2023'!E:BO,5,0)</f>
        <v>#N/A</v>
      </c>
      <c r="G1163" s="63" t="e">
        <f>VLOOKUP(C1163,'RAW DATA 2023'!E:BO,13,0)</f>
        <v>#N/A</v>
      </c>
      <c r="H1163" s="63" t="e">
        <f t="shared" ref="H1163:H1221" si="144">IF(G1163&gt;190,200,IF(G1163&gt;165,180,IF(G1163&gt;=135,150,IF(D1156&gt;=110,120,100))))</f>
        <v>#N/A</v>
      </c>
      <c r="I1163" s="63" t="e">
        <f t="shared" si="140"/>
        <v>#N/A</v>
      </c>
      <c r="J1163" s="106" t="e">
        <f>VLOOKUP(C1163,'RAW DATA 2023'!E:BO,22,0)</f>
        <v>#N/A</v>
      </c>
      <c r="K1163" s="70" t="e">
        <f t="shared" si="141"/>
        <v>#N/A</v>
      </c>
      <c r="L1163" s="72"/>
      <c r="M1163" s="109" t="e">
        <f t="shared" si="139"/>
        <v>#N/A</v>
      </c>
      <c r="N1163" s="123" t="e">
        <f>VLOOKUP(C1163,'RAW DATA 2023'!E:BO,36,0)</f>
        <v>#N/A</v>
      </c>
      <c r="O1163" s="63" t="e">
        <f>VLOOKUP(C1163,'RAW DATA 2023'!E:BO,2,0)</f>
        <v>#N/A</v>
      </c>
      <c r="P1163" s="322" t="e">
        <f t="shared" ref="P1163:P1221" si="145">M1163*O1163</f>
        <v>#N/A</v>
      </c>
    </row>
    <row r="1164" spans="1:16">
      <c r="A1164" s="63">
        <f>'RAW DATA 2023'!B1157</f>
        <v>0</v>
      </c>
      <c r="B1164" s="63">
        <f>'RAW DATA 2023'!D1157</f>
        <v>0</v>
      </c>
      <c r="C1164" s="63" t="str">
        <f t="shared" si="142"/>
        <v>00</v>
      </c>
      <c r="D1164" s="68" t="e">
        <f>VLOOKUP(C1164,'RAW DATA 2023'!E:BP,63,0)</f>
        <v>#N/A</v>
      </c>
      <c r="E1164" s="68" t="e">
        <f t="shared" si="143"/>
        <v>#N/A</v>
      </c>
      <c r="F1164" s="63" t="e">
        <f>VLOOKUP(C1164,'RAW DATA 2023'!E:BO,5,0)</f>
        <v>#N/A</v>
      </c>
      <c r="G1164" s="63" t="e">
        <f>VLOOKUP(C1164,'RAW DATA 2023'!E:BO,13,0)</f>
        <v>#N/A</v>
      </c>
      <c r="H1164" s="63" t="e">
        <f t="shared" si="144"/>
        <v>#N/A</v>
      </c>
      <c r="I1164" s="63" t="e">
        <f t="shared" si="140"/>
        <v>#N/A</v>
      </c>
      <c r="J1164" s="106" t="e">
        <f>VLOOKUP(C1164,'RAW DATA 2023'!E:BO,22,0)</f>
        <v>#N/A</v>
      </c>
      <c r="K1164" s="70" t="e">
        <f t="shared" si="141"/>
        <v>#N/A</v>
      </c>
      <c r="L1164" s="72"/>
      <c r="M1164" s="109" t="e">
        <f t="shared" ref="M1164:M1221" si="146">(K1164-$B$4)*$B$7</f>
        <v>#N/A</v>
      </c>
      <c r="N1164" s="123" t="e">
        <f>VLOOKUP(C1164,'RAW DATA 2023'!E:BO,36,0)</f>
        <v>#N/A</v>
      </c>
      <c r="O1164" s="63" t="e">
        <f>VLOOKUP(C1164,'RAW DATA 2023'!E:BO,2,0)</f>
        <v>#N/A</v>
      </c>
      <c r="P1164" s="322" t="e">
        <f t="shared" si="145"/>
        <v>#N/A</v>
      </c>
    </row>
    <row r="1165" spans="1:16">
      <c r="A1165" s="63">
        <f>'RAW DATA 2023'!B1158</f>
        <v>0</v>
      </c>
      <c r="B1165" s="63">
        <f>'RAW DATA 2023'!D1158</f>
        <v>0</v>
      </c>
      <c r="C1165" s="63" t="str">
        <f t="shared" si="142"/>
        <v>00</v>
      </c>
      <c r="D1165" s="68" t="e">
        <f>VLOOKUP(C1165,'RAW DATA 2023'!E:BP,63,0)</f>
        <v>#N/A</v>
      </c>
      <c r="E1165" s="68" t="e">
        <f t="shared" si="143"/>
        <v>#N/A</v>
      </c>
      <c r="F1165" s="63" t="e">
        <f>VLOOKUP(C1165,'RAW DATA 2023'!E:BO,5,0)</f>
        <v>#N/A</v>
      </c>
      <c r="G1165" s="63" t="e">
        <f>VLOOKUP(C1165,'RAW DATA 2023'!E:BO,13,0)</f>
        <v>#N/A</v>
      </c>
      <c r="H1165" s="63" t="e">
        <f t="shared" si="144"/>
        <v>#N/A</v>
      </c>
      <c r="I1165" s="63" t="e">
        <f t="shared" si="140"/>
        <v>#N/A</v>
      </c>
      <c r="J1165" s="106" t="e">
        <f>VLOOKUP(C1165,'RAW DATA 2023'!E:BO,22,0)</f>
        <v>#N/A</v>
      </c>
      <c r="K1165" s="70" t="e">
        <f t="shared" si="141"/>
        <v>#N/A</v>
      </c>
      <c r="L1165" s="72"/>
      <c r="M1165" s="109" t="e">
        <f t="shared" si="146"/>
        <v>#N/A</v>
      </c>
      <c r="N1165" s="123" t="e">
        <f>VLOOKUP(C1165,'RAW DATA 2023'!E:BO,36,0)</f>
        <v>#N/A</v>
      </c>
      <c r="O1165" s="63" t="e">
        <f>VLOOKUP(C1165,'RAW DATA 2023'!E:BO,2,0)</f>
        <v>#N/A</v>
      </c>
      <c r="P1165" s="322" t="e">
        <f t="shared" si="145"/>
        <v>#N/A</v>
      </c>
    </row>
    <row r="1166" spans="1:16">
      <c r="A1166" s="63">
        <f>'RAW DATA 2023'!B1159</f>
        <v>0</v>
      </c>
      <c r="B1166" s="63">
        <f>'RAW DATA 2023'!D1159</f>
        <v>0</v>
      </c>
      <c r="C1166" s="63" t="str">
        <f t="shared" si="142"/>
        <v>00</v>
      </c>
      <c r="D1166" s="68" t="e">
        <f>VLOOKUP(C1166,'RAW DATA 2023'!E:BP,63,0)</f>
        <v>#N/A</v>
      </c>
      <c r="E1166" s="68" t="e">
        <f t="shared" si="143"/>
        <v>#N/A</v>
      </c>
      <c r="F1166" s="63" t="e">
        <f>VLOOKUP(C1166,'RAW DATA 2023'!E:BO,5,0)</f>
        <v>#N/A</v>
      </c>
      <c r="G1166" s="63" t="e">
        <f>VLOOKUP(C1166,'RAW DATA 2023'!E:BO,13,0)</f>
        <v>#N/A</v>
      </c>
      <c r="H1166" s="63" t="e">
        <f t="shared" si="144"/>
        <v>#N/A</v>
      </c>
      <c r="I1166" s="63" t="e">
        <f t="shared" si="140"/>
        <v>#N/A</v>
      </c>
      <c r="J1166" s="106" t="e">
        <f>VLOOKUP(C1166,'RAW DATA 2023'!E:BO,22,0)</f>
        <v>#N/A</v>
      </c>
      <c r="K1166" s="70" t="e">
        <f t="shared" si="141"/>
        <v>#N/A</v>
      </c>
      <c r="L1166" s="72"/>
      <c r="M1166" s="109" t="e">
        <f t="shared" si="146"/>
        <v>#N/A</v>
      </c>
      <c r="N1166" s="123" t="e">
        <f>VLOOKUP(C1166,'RAW DATA 2023'!E:BO,36,0)</f>
        <v>#N/A</v>
      </c>
      <c r="O1166" s="63" t="e">
        <f>VLOOKUP(C1166,'RAW DATA 2023'!E:BO,2,0)</f>
        <v>#N/A</v>
      </c>
      <c r="P1166" s="322" t="e">
        <f t="shared" si="145"/>
        <v>#N/A</v>
      </c>
    </row>
    <row r="1167" spans="1:16">
      <c r="A1167" s="63">
        <f>'RAW DATA 2023'!B1160</f>
        <v>0</v>
      </c>
      <c r="B1167" s="63">
        <f>'RAW DATA 2023'!D1160</f>
        <v>0</v>
      </c>
      <c r="C1167" s="63" t="str">
        <f t="shared" si="142"/>
        <v>00</v>
      </c>
      <c r="D1167" s="68" t="e">
        <f>VLOOKUP(C1167,'RAW DATA 2023'!E:BP,63,0)</f>
        <v>#N/A</v>
      </c>
      <c r="E1167" s="68" t="e">
        <f t="shared" si="143"/>
        <v>#N/A</v>
      </c>
      <c r="F1167" s="63" t="e">
        <f>VLOOKUP(C1167,'RAW DATA 2023'!E:BO,5,0)</f>
        <v>#N/A</v>
      </c>
      <c r="G1167" s="63" t="e">
        <f>VLOOKUP(C1167,'RAW DATA 2023'!E:BO,13,0)</f>
        <v>#N/A</v>
      </c>
      <c r="H1167" s="63" t="e">
        <f t="shared" si="144"/>
        <v>#N/A</v>
      </c>
      <c r="I1167" s="63" t="e">
        <f t="shared" si="140"/>
        <v>#N/A</v>
      </c>
      <c r="J1167" s="106" t="e">
        <f>VLOOKUP(C1167,'RAW DATA 2023'!E:BO,22,0)</f>
        <v>#N/A</v>
      </c>
      <c r="K1167" s="70" t="e">
        <f t="shared" si="141"/>
        <v>#N/A</v>
      </c>
      <c r="L1167" s="72"/>
      <c r="M1167" s="109" t="e">
        <f t="shared" si="146"/>
        <v>#N/A</v>
      </c>
      <c r="N1167" s="123" t="e">
        <f>VLOOKUP(C1167,'RAW DATA 2023'!E:BO,36,0)</f>
        <v>#N/A</v>
      </c>
      <c r="O1167" s="63" t="e">
        <f>VLOOKUP(C1167,'RAW DATA 2023'!E:BO,2,0)</f>
        <v>#N/A</v>
      </c>
      <c r="P1167" s="322" t="e">
        <f t="shared" si="145"/>
        <v>#N/A</v>
      </c>
    </row>
    <row r="1168" spans="1:16">
      <c r="A1168" s="63">
        <f>'RAW DATA 2023'!B1161</f>
        <v>0</v>
      </c>
      <c r="B1168" s="63">
        <f>'RAW DATA 2023'!D1161</f>
        <v>0</v>
      </c>
      <c r="C1168" s="63" t="str">
        <f t="shared" si="142"/>
        <v>00</v>
      </c>
      <c r="D1168" s="68" t="e">
        <f>VLOOKUP(C1168,'RAW DATA 2023'!E:BP,63,0)</f>
        <v>#N/A</v>
      </c>
      <c r="E1168" s="68" t="e">
        <f t="shared" si="143"/>
        <v>#N/A</v>
      </c>
      <c r="F1168" s="63" t="e">
        <f>VLOOKUP(C1168,'RAW DATA 2023'!E:BO,5,0)</f>
        <v>#N/A</v>
      </c>
      <c r="G1168" s="63" t="e">
        <f>VLOOKUP(C1168,'RAW DATA 2023'!E:BO,13,0)</f>
        <v>#N/A</v>
      </c>
      <c r="H1168" s="63" t="e">
        <f t="shared" si="144"/>
        <v>#N/A</v>
      </c>
      <c r="I1168" s="63" t="e">
        <f t="shared" si="140"/>
        <v>#N/A</v>
      </c>
      <c r="J1168" s="106" t="e">
        <f>VLOOKUP(C1168,'RAW DATA 2023'!E:BO,22,0)</f>
        <v>#N/A</v>
      </c>
      <c r="K1168" s="70" t="e">
        <f t="shared" si="141"/>
        <v>#N/A</v>
      </c>
      <c r="L1168" s="72"/>
      <c r="M1168" s="109" t="e">
        <f t="shared" si="146"/>
        <v>#N/A</v>
      </c>
      <c r="N1168" s="123" t="e">
        <f>VLOOKUP(C1168,'RAW DATA 2023'!E:BO,36,0)</f>
        <v>#N/A</v>
      </c>
      <c r="O1168" s="63" t="e">
        <f>VLOOKUP(C1168,'RAW DATA 2023'!E:BO,2,0)</f>
        <v>#N/A</v>
      </c>
      <c r="P1168" s="322" t="e">
        <f t="shared" si="145"/>
        <v>#N/A</v>
      </c>
    </row>
    <row r="1169" spans="1:16">
      <c r="A1169" s="63">
        <f>'RAW DATA 2023'!B1162</f>
        <v>0</v>
      </c>
      <c r="B1169" s="63">
        <f>'RAW DATA 2023'!D1162</f>
        <v>0</v>
      </c>
      <c r="C1169" s="63" t="str">
        <f t="shared" si="142"/>
        <v>00</v>
      </c>
      <c r="D1169" s="68" t="e">
        <f>VLOOKUP(C1169,'RAW DATA 2023'!E:BP,63,0)</f>
        <v>#N/A</v>
      </c>
      <c r="E1169" s="68" t="e">
        <f t="shared" si="143"/>
        <v>#N/A</v>
      </c>
      <c r="F1169" s="63" t="e">
        <f>VLOOKUP(C1169,'RAW DATA 2023'!E:BO,5,0)</f>
        <v>#N/A</v>
      </c>
      <c r="G1169" s="63" t="e">
        <f>VLOOKUP(C1169,'RAW DATA 2023'!E:BO,13,0)</f>
        <v>#N/A</v>
      </c>
      <c r="H1169" s="63" t="e">
        <f t="shared" si="144"/>
        <v>#N/A</v>
      </c>
      <c r="I1169" s="63" t="e">
        <f t="shared" si="140"/>
        <v>#N/A</v>
      </c>
      <c r="J1169" s="106" t="e">
        <f>VLOOKUP(C1169,'RAW DATA 2023'!E:BO,22,0)</f>
        <v>#N/A</v>
      </c>
      <c r="K1169" s="70" t="e">
        <f t="shared" si="141"/>
        <v>#N/A</v>
      </c>
      <c r="L1169" s="72"/>
      <c r="M1169" s="109" t="e">
        <f t="shared" si="146"/>
        <v>#N/A</v>
      </c>
      <c r="N1169" s="123" t="e">
        <f>VLOOKUP(C1169,'RAW DATA 2023'!E:BO,36,0)</f>
        <v>#N/A</v>
      </c>
      <c r="O1169" s="63" t="e">
        <f>VLOOKUP(C1169,'RAW DATA 2023'!E:BO,2,0)</f>
        <v>#N/A</v>
      </c>
      <c r="P1169" s="322" t="e">
        <f t="shared" si="145"/>
        <v>#N/A</v>
      </c>
    </row>
    <row r="1170" spans="1:16">
      <c r="A1170" s="63">
        <f>'RAW DATA 2023'!B1163</f>
        <v>0</v>
      </c>
      <c r="B1170" s="63">
        <f>'RAW DATA 2023'!D1163</f>
        <v>0</v>
      </c>
      <c r="C1170" s="63" t="str">
        <f t="shared" si="142"/>
        <v>00</v>
      </c>
      <c r="D1170" s="68" t="e">
        <f>VLOOKUP(C1170,'RAW DATA 2023'!E:BP,63,0)</f>
        <v>#N/A</v>
      </c>
      <c r="E1170" s="68" t="e">
        <f t="shared" si="143"/>
        <v>#N/A</v>
      </c>
      <c r="F1170" s="63" t="e">
        <f>VLOOKUP(C1170,'RAW DATA 2023'!E:BO,5,0)</f>
        <v>#N/A</v>
      </c>
      <c r="G1170" s="63" t="e">
        <f>VLOOKUP(C1170,'RAW DATA 2023'!E:BO,13,0)</f>
        <v>#N/A</v>
      </c>
      <c r="H1170" s="63" t="e">
        <f t="shared" si="144"/>
        <v>#N/A</v>
      </c>
      <c r="I1170" s="63" t="e">
        <f t="shared" si="140"/>
        <v>#N/A</v>
      </c>
      <c r="J1170" s="106" t="e">
        <f>VLOOKUP(C1170,'RAW DATA 2023'!E:BO,22,0)</f>
        <v>#N/A</v>
      </c>
      <c r="K1170" s="70" t="e">
        <f t="shared" si="141"/>
        <v>#N/A</v>
      </c>
      <c r="L1170" s="72"/>
      <c r="M1170" s="109" t="e">
        <f t="shared" si="146"/>
        <v>#N/A</v>
      </c>
      <c r="N1170" s="123" t="e">
        <f>VLOOKUP(C1170,'RAW DATA 2023'!E:BO,36,0)</f>
        <v>#N/A</v>
      </c>
      <c r="O1170" s="63" t="e">
        <f>VLOOKUP(C1170,'RAW DATA 2023'!E:BO,2,0)</f>
        <v>#N/A</v>
      </c>
      <c r="P1170" s="322" t="e">
        <f t="shared" si="145"/>
        <v>#N/A</v>
      </c>
    </row>
    <row r="1171" spans="1:16">
      <c r="A1171" s="63">
        <f>'RAW DATA 2023'!B1164</f>
        <v>0</v>
      </c>
      <c r="B1171" s="63">
        <f>'RAW DATA 2023'!D1164</f>
        <v>0</v>
      </c>
      <c r="C1171" s="63" t="str">
        <f t="shared" si="142"/>
        <v>00</v>
      </c>
      <c r="D1171" s="68" t="e">
        <f>VLOOKUP(C1171,'RAW DATA 2023'!E:BP,63,0)</f>
        <v>#N/A</v>
      </c>
      <c r="E1171" s="68" t="e">
        <f t="shared" si="143"/>
        <v>#N/A</v>
      </c>
      <c r="F1171" s="63" t="e">
        <f>VLOOKUP(C1171,'RAW DATA 2023'!E:BO,5,0)</f>
        <v>#N/A</v>
      </c>
      <c r="G1171" s="63" t="e">
        <f>VLOOKUP(C1171,'RAW DATA 2023'!E:BO,13,0)</f>
        <v>#N/A</v>
      </c>
      <c r="H1171" s="63" t="e">
        <f t="shared" si="144"/>
        <v>#N/A</v>
      </c>
      <c r="I1171" s="63" t="e">
        <f t="shared" si="140"/>
        <v>#N/A</v>
      </c>
      <c r="J1171" s="106" t="e">
        <f>VLOOKUP(C1171,'RAW DATA 2023'!E:BO,22,0)</f>
        <v>#N/A</v>
      </c>
      <c r="K1171" s="70" t="e">
        <f t="shared" si="141"/>
        <v>#N/A</v>
      </c>
      <c r="L1171" s="72"/>
      <c r="M1171" s="109" t="e">
        <f t="shared" si="146"/>
        <v>#N/A</v>
      </c>
      <c r="N1171" s="123" t="e">
        <f>VLOOKUP(C1171,'RAW DATA 2023'!E:BO,36,0)</f>
        <v>#N/A</v>
      </c>
      <c r="O1171" s="63" t="e">
        <f>VLOOKUP(C1171,'RAW DATA 2023'!E:BO,2,0)</f>
        <v>#N/A</v>
      </c>
      <c r="P1171" s="322" t="e">
        <f t="shared" si="145"/>
        <v>#N/A</v>
      </c>
    </row>
    <row r="1172" spans="1:16">
      <c r="A1172" s="63">
        <f>'RAW DATA 2023'!B1165</f>
        <v>0</v>
      </c>
      <c r="B1172" s="63">
        <f>'RAW DATA 2023'!D1165</f>
        <v>0</v>
      </c>
      <c r="C1172" s="63" t="str">
        <f t="shared" si="142"/>
        <v>00</v>
      </c>
      <c r="D1172" s="68" t="e">
        <f>VLOOKUP(C1172,'RAW DATA 2023'!E:BP,63,0)</f>
        <v>#N/A</v>
      </c>
      <c r="E1172" s="68" t="e">
        <f t="shared" si="143"/>
        <v>#N/A</v>
      </c>
      <c r="F1172" s="63" t="e">
        <f>VLOOKUP(C1172,'RAW DATA 2023'!E:BO,5,0)</f>
        <v>#N/A</v>
      </c>
      <c r="G1172" s="63" t="e">
        <f>VLOOKUP(C1172,'RAW DATA 2023'!E:BO,13,0)</f>
        <v>#N/A</v>
      </c>
      <c r="H1172" s="63" t="e">
        <f t="shared" si="144"/>
        <v>#N/A</v>
      </c>
      <c r="I1172" s="63" t="e">
        <f t="shared" si="140"/>
        <v>#N/A</v>
      </c>
      <c r="J1172" s="106" t="e">
        <f>VLOOKUP(C1172,'RAW DATA 2023'!E:BO,22,0)</f>
        <v>#N/A</v>
      </c>
      <c r="K1172" s="70" t="e">
        <f t="shared" si="141"/>
        <v>#N/A</v>
      </c>
      <c r="L1172" s="72"/>
      <c r="M1172" s="109" t="e">
        <f t="shared" si="146"/>
        <v>#N/A</v>
      </c>
      <c r="N1172" s="123" t="e">
        <f>VLOOKUP(C1172,'RAW DATA 2023'!E:BO,36,0)</f>
        <v>#N/A</v>
      </c>
      <c r="O1172" s="63" t="e">
        <f>VLOOKUP(C1172,'RAW DATA 2023'!E:BO,2,0)</f>
        <v>#N/A</v>
      </c>
      <c r="P1172" s="322" t="e">
        <f t="shared" si="145"/>
        <v>#N/A</v>
      </c>
    </row>
    <row r="1173" spans="1:16">
      <c r="A1173" s="63">
        <f>'RAW DATA 2023'!B1166</f>
        <v>0</v>
      </c>
      <c r="B1173" s="63">
        <f>'RAW DATA 2023'!D1166</f>
        <v>0</v>
      </c>
      <c r="C1173" s="63" t="str">
        <f t="shared" si="142"/>
        <v>00</v>
      </c>
      <c r="D1173" s="68" t="e">
        <f>VLOOKUP(C1173,'RAW DATA 2023'!E:BP,63,0)</f>
        <v>#N/A</v>
      </c>
      <c r="E1173" s="68" t="e">
        <f t="shared" si="143"/>
        <v>#N/A</v>
      </c>
      <c r="F1173" s="63" t="e">
        <f>VLOOKUP(C1173,'RAW DATA 2023'!E:BO,5,0)</f>
        <v>#N/A</v>
      </c>
      <c r="G1173" s="63" t="e">
        <f>VLOOKUP(C1173,'RAW DATA 2023'!E:BO,13,0)</f>
        <v>#N/A</v>
      </c>
      <c r="H1173" s="63" t="e">
        <f t="shared" si="144"/>
        <v>#N/A</v>
      </c>
      <c r="I1173" s="63" t="e">
        <f t="shared" si="140"/>
        <v>#N/A</v>
      </c>
      <c r="J1173" s="106" t="e">
        <f>VLOOKUP(C1173,'RAW DATA 2023'!E:BO,22,0)</f>
        <v>#N/A</v>
      </c>
      <c r="K1173" s="70" t="e">
        <f t="shared" si="141"/>
        <v>#N/A</v>
      </c>
      <c r="L1173" s="72"/>
      <c r="M1173" s="109" t="e">
        <f t="shared" si="146"/>
        <v>#N/A</v>
      </c>
      <c r="N1173" s="123" t="e">
        <f>VLOOKUP(C1173,'RAW DATA 2023'!E:BO,36,0)</f>
        <v>#N/A</v>
      </c>
      <c r="O1173" s="63" t="e">
        <f>VLOOKUP(C1173,'RAW DATA 2023'!E:BO,2,0)</f>
        <v>#N/A</v>
      </c>
      <c r="P1173" s="322" t="e">
        <f t="shared" si="145"/>
        <v>#N/A</v>
      </c>
    </row>
    <row r="1174" spans="1:16">
      <c r="A1174" s="63">
        <f>'RAW DATA 2023'!B1167</f>
        <v>0</v>
      </c>
      <c r="B1174" s="63">
        <f>'RAW DATA 2023'!D1167</f>
        <v>0</v>
      </c>
      <c r="C1174" s="63" t="str">
        <f t="shared" si="142"/>
        <v>00</v>
      </c>
      <c r="D1174" s="68" t="e">
        <f>VLOOKUP(C1174,'RAW DATA 2023'!E:BP,63,0)</f>
        <v>#N/A</v>
      </c>
      <c r="E1174" s="68" t="e">
        <f t="shared" si="143"/>
        <v>#N/A</v>
      </c>
      <c r="F1174" s="63" t="e">
        <f>VLOOKUP(C1174,'RAW DATA 2023'!E:BO,5,0)</f>
        <v>#N/A</v>
      </c>
      <c r="G1174" s="63" t="e">
        <f>VLOOKUP(C1174,'RAW DATA 2023'!E:BO,13,0)</f>
        <v>#N/A</v>
      </c>
      <c r="H1174" s="63" t="e">
        <f t="shared" si="144"/>
        <v>#N/A</v>
      </c>
      <c r="I1174" s="63" t="e">
        <f t="shared" si="140"/>
        <v>#N/A</v>
      </c>
      <c r="J1174" s="106" t="e">
        <f>VLOOKUP(C1174,'RAW DATA 2023'!E:BO,22,0)</f>
        <v>#N/A</v>
      </c>
      <c r="K1174" s="70" t="e">
        <f t="shared" si="141"/>
        <v>#N/A</v>
      </c>
      <c r="L1174" s="72"/>
      <c r="M1174" s="109" t="e">
        <f t="shared" si="146"/>
        <v>#N/A</v>
      </c>
      <c r="N1174" s="123" t="e">
        <f>VLOOKUP(C1174,'RAW DATA 2023'!E:BO,36,0)</f>
        <v>#N/A</v>
      </c>
      <c r="O1174" s="63" t="e">
        <f>VLOOKUP(C1174,'RAW DATA 2023'!E:BO,2,0)</f>
        <v>#N/A</v>
      </c>
      <c r="P1174" s="322" t="e">
        <f t="shared" si="145"/>
        <v>#N/A</v>
      </c>
    </row>
    <row r="1175" spans="1:16">
      <c r="A1175" s="63">
        <f>'RAW DATA 2023'!B1168</f>
        <v>0</v>
      </c>
      <c r="B1175" s="63">
        <f>'RAW DATA 2023'!D1168</f>
        <v>0</v>
      </c>
      <c r="C1175" s="63" t="str">
        <f t="shared" si="142"/>
        <v>00</v>
      </c>
      <c r="D1175" s="68" t="e">
        <f>VLOOKUP(C1175,'RAW DATA 2023'!E:BP,63,0)</f>
        <v>#N/A</v>
      </c>
      <c r="E1175" s="68" t="e">
        <f t="shared" si="143"/>
        <v>#N/A</v>
      </c>
      <c r="F1175" s="63" t="e">
        <f>VLOOKUP(C1175,'RAW DATA 2023'!E:BO,5,0)</f>
        <v>#N/A</v>
      </c>
      <c r="G1175" s="63" t="e">
        <f>VLOOKUP(C1175,'RAW DATA 2023'!E:BO,13,0)</f>
        <v>#N/A</v>
      </c>
      <c r="H1175" s="63" t="e">
        <f t="shared" si="144"/>
        <v>#N/A</v>
      </c>
      <c r="I1175" s="63" t="e">
        <f t="shared" si="140"/>
        <v>#N/A</v>
      </c>
      <c r="J1175" s="106" t="e">
        <f>VLOOKUP(C1175,'RAW DATA 2023'!E:BO,22,0)</f>
        <v>#N/A</v>
      </c>
      <c r="K1175" s="70" t="e">
        <f t="shared" si="141"/>
        <v>#N/A</v>
      </c>
      <c r="L1175" s="72"/>
      <c r="M1175" s="109" t="e">
        <f t="shared" si="146"/>
        <v>#N/A</v>
      </c>
      <c r="N1175" s="123" t="e">
        <f>VLOOKUP(C1175,'RAW DATA 2023'!E:BO,36,0)</f>
        <v>#N/A</v>
      </c>
      <c r="O1175" s="63" t="e">
        <f>VLOOKUP(C1175,'RAW DATA 2023'!E:BO,2,0)</f>
        <v>#N/A</v>
      </c>
      <c r="P1175" s="322" t="e">
        <f t="shared" si="145"/>
        <v>#N/A</v>
      </c>
    </row>
    <row r="1176" spans="1:16">
      <c r="A1176" s="63">
        <f>'RAW DATA 2023'!B1169</f>
        <v>0</v>
      </c>
      <c r="B1176" s="63">
        <f>'RAW DATA 2023'!D1169</f>
        <v>0</v>
      </c>
      <c r="C1176" s="63" t="str">
        <f t="shared" si="142"/>
        <v>00</v>
      </c>
      <c r="D1176" s="68" t="e">
        <f>VLOOKUP(C1176,'RAW DATA 2023'!E:BP,63,0)</f>
        <v>#N/A</v>
      </c>
      <c r="E1176" s="68" t="e">
        <f t="shared" si="143"/>
        <v>#N/A</v>
      </c>
      <c r="F1176" s="63" t="e">
        <f>VLOOKUP(C1176,'RAW DATA 2023'!E:BO,5,0)</f>
        <v>#N/A</v>
      </c>
      <c r="G1176" s="63" t="e">
        <f>VLOOKUP(C1176,'RAW DATA 2023'!E:BO,13,0)</f>
        <v>#N/A</v>
      </c>
      <c r="H1176" s="63" t="e">
        <f t="shared" si="144"/>
        <v>#N/A</v>
      </c>
      <c r="I1176" s="63" t="e">
        <f t="shared" si="140"/>
        <v>#N/A</v>
      </c>
      <c r="J1176" s="106" t="e">
        <f>VLOOKUP(C1176,'RAW DATA 2023'!E:BO,22,0)</f>
        <v>#N/A</v>
      </c>
      <c r="K1176" s="70" t="e">
        <f t="shared" si="141"/>
        <v>#N/A</v>
      </c>
      <c r="L1176" s="72"/>
      <c r="M1176" s="109" t="e">
        <f t="shared" si="146"/>
        <v>#N/A</v>
      </c>
      <c r="N1176" s="123" t="e">
        <f>VLOOKUP(C1176,'RAW DATA 2023'!E:BO,36,0)</f>
        <v>#N/A</v>
      </c>
      <c r="O1176" s="63" t="e">
        <f>VLOOKUP(C1176,'RAW DATA 2023'!E:BO,2,0)</f>
        <v>#N/A</v>
      </c>
      <c r="P1176" s="322" t="e">
        <f t="shared" si="145"/>
        <v>#N/A</v>
      </c>
    </row>
    <row r="1177" spans="1:16">
      <c r="A1177" s="63">
        <f>'RAW DATA 2023'!B1170</f>
        <v>0</v>
      </c>
      <c r="B1177" s="63">
        <f>'RAW DATA 2023'!D1170</f>
        <v>0</v>
      </c>
      <c r="C1177" s="63" t="str">
        <f t="shared" si="142"/>
        <v>00</v>
      </c>
      <c r="D1177" s="68" t="e">
        <f>VLOOKUP(C1177,'RAW DATA 2023'!E:BP,63,0)</f>
        <v>#N/A</v>
      </c>
      <c r="E1177" s="68" t="e">
        <f t="shared" si="143"/>
        <v>#N/A</v>
      </c>
      <c r="F1177" s="63" t="e">
        <f>VLOOKUP(C1177,'RAW DATA 2023'!E:BO,5,0)</f>
        <v>#N/A</v>
      </c>
      <c r="G1177" s="63" t="e">
        <f>VLOOKUP(C1177,'RAW DATA 2023'!E:BO,13,0)</f>
        <v>#N/A</v>
      </c>
      <c r="H1177" s="63" t="e">
        <f t="shared" si="144"/>
        <v>#N/A</v>
      </c>
      <c r="I1177" s="63" t="e">
        <f t="shared" si="140"/>
        <v>#N/A</v>
      </c>
      <c r="J1177" s="106" t="e">
        <f>VLOOKUP(C1177,'RAW DATA 2023'!E:BO,22,0)</f>
        <v>#N/A</v>
      </c>
      <c r="K1177" s="70" t="e">
        <f t="shared" si="141"/>
        <v>#N/A</v>
      </c>
      <c r="L1177" s="72"/>
      <c r="M1177" s="109" t="e">
        <f t="shared" si="146"/>
        <v>#N/A</v>
      </c>
      <c r="N1177" s="123" t="e">
        <f>VLOOKUP(C1177,'RAW DATA 2023'!E:BO,36,0)</f>
        <v>#N/A</v>
      </c>
      <c r="O1177" s="63" t="e">
        <f>VLOOKUP(C1177,'RAW DATA 2023'!E:BO,2,0)</f>
        <v>#N/A</v>
      </c>
      <c r="P1177" s="322" t="e">
        <f t="shared" si="145"/>
        <v>#N/A</v>
      </c>
    </row>
    <row r="1178" spans="1:16">
      <c r="A1178" s="63">
        <f>'RAW DATA 2023'!B1171</f>
        <v>0</v>
      </c>
      <c r="B1178" s="63">
        <f>'RAW DATA 2023'!D1171</f>
        <v>0</v>
      </c>
      <c r="C1178" s="63" t="str">
        <f t="shared" si="142"/>
        <v>00</v>
      </c>
      <c r="D1178" s="68" t="e">
        <f>VLOOKUP(C1178,'RAW DATA 2023'!E:BP,63,0)</f>
        <v>#N/A</v>
      </c>
      <c r="E1178" s="68" t="e">
        <f t="shared" si="143"/>
        <v>#N/A</v>
      </c>
      <c r="F1178" s="63" t="e">
        <f>VLOOKUP(C1178,'RAW DATA 2023'!E:BO,5,0)</f>
        <v>#N/A</v>
      </c>
      <c r="G1178" s="63" t="e">
        <f>VLOOKUP(C1178,'RAW DATA 2023'!E:BO,13,0)</f>
        <v>#N/A</v>
      </c>
      <c r="H1178" s="63" t="e">
        <f t="shared" si="144"/>
        <v>#N/A</v>
      </c>
      <c r="I1178" s="63" t="e">
        <f t="shared" si="140"/>
        <v>#N/A</v>
      </c>
      <c r="J1178" s="106" t="e">
        <f>VLOOKUP(C1178,'RAW DATA 2023'!E:BO,22,0)</f>
        <v>#N/A</v>
      </c>
      <c r="K1178" s="70" t="e">
        <f t="shared" si="141"/>
        <v>#N/A</v>
      </c>
      <c r="L1178" s="72"/>
      <c r="M1178" s="109" t="e">
        <f t="shared" si="146"/>
        <v>#N/A</v>
      </c>
      <c r="N1178" s="123" t="e">
        <f>VLOOKUP(C1178,'RAW DATA 2023'!E:BO,36,0)</f>
        <v>#N/A</v>
      </c>
      <c r="O1178" s="63" t="e">
        <f>VLOOKUP(C1178,'RAW DATA 2023'!E:BO,2,0)</f>
        <v>#N/A</v>
      </c>
      <c r="P1178" s="322" t="e">
        <f t="shared" si="145"/>
        <v>#N/A</v>
      </c>
    </row>
    <row r="1179" spans="1:16">
      <c r="A1179" s="63">
        <f>'RAW DATA 2023'!B1172</f>
        <v>0</v>
      </c>
      <c r="B1179" s="63">
        <f>'RAW DATA 2023'!D1172</f>
        <v>0</v>
      </c>
      <c r="C1179" s="63" t="str">
        <f t="shared" si="142"/>
        <v>00</v>
      </c>
      <c r="D1179" s="68" t="e">
        <f>VLOOKUP(C1179,'RAW DATA 2023'!E:BP,63,0)</f>
        <v>#N/A</v>
      </c>
      <c r="E1179" s="68" t="e">
        <f t="shared" si="143"/>
        <v>#N/A</v>
      </c>
      <c r="F1179" s="63" t="e">
        <f>VLOOKUP(C1179,'RAW DATA 2023'!E:BO,5,0)</f>
        <v>#N/A</v>
      </c>
      <c r="G1179" s="63" t="e">
        <f>VLOOKUP(C1179,'RAW DATA 2023'!E:BO,13,0)</f>
        <v>#N/A</v>
      </c>
      <c r="H1179" s="63" t="e">
        <f t="shared" si="144"/>
        <v>#N/A</v>
      </c>
      <c r="I1179" s="63" t="e">
        <f t="shared" si="140"/>
        <v>#N/A</v>
      </c>
      <c r="J1179" s="106" t="e">
        <f>VLOOKUP(C1179,'RAW DATA 2023'!E:BO,22,0)</f>
        <v>#N/A</v>
      </c>
      <c r="K1179" s="70" t="e">
        <f t="shared" si="141"/>
        <v>#N/A</v>
      </c>
      <c r="L1179" s="72"/>
      <c r="M1179" s="109" t="e">
        <f t="shared" si="146"/>
        <v>#N/A</v>
      </c>
      <c r="N1179" s="123" t="e">
        <f>VLOOKUP(C1179,'RAW DATA 2023'!E:BO,36,0)</f>
        <v>#N/A</v>
      </c>
      <c r="O1179" s="63" t="e">
        <f>VLOOKUP(C1179,'RAW DATA 2023'!E:BO,2,0)</f>
        <v>#N/A</v>
      </c>
      <c r="P1179" s="322" t="e">
        <f t="shared" si="145"/>
        <v>#N/A</v>
      </c>
    </row>
    <row r="1180" spans="1:16">
      <c r="A1180" s="63">
        <f>'RAW DATA 2023'!B1173</f>
        <v>0</v>
      </c>
      <c r="B1180" s="63">
        <f>'RAW DATA 2023'!D1173</f>
        <v>0</v>
      </c>
      <c r="C1180" s="63" t="str">
        <f t="shared" si="142"/>
        <v>00</v>
      </c>
      <c r="D1180" s="68" t="e">
        <f>VLOOKUP(C1180,'RAW DATA 2023'!E:BP,63,0)</f>
        <v>#N/A</v>
      </c>
      <c r="E1180" s="68" t="e">
        <f t="shared" si="143"/>
        <v>#N/A</v>
      </c>
      <c r="F1180" s="63" t="e">
        <f>VLOOKUP(C1180,'RAW DATA 2023'!E:BO,5,0)</f>
        <v>#N/A</v>
      </c>
      <c r="G1180" s="63" t="e">
        <f>VLOOKUP(C1180,'RAW DATA 2023'!E:BO,13,0)</f>
        <v>#N/A</v>
      </c>
      <c r="H1180" s="63" t="e">
        <f t="shared" si="144"/>
        <v>#N/A</v>
      </c>
      <c r="I1180" s="63" t="e">
        <f t="shared" si="140"/>
        <v>#N/A</v>
      </c>
      <c r="J1180" s="106" t="e">
        <f>VLOOKUP(C1180,'RAW DATA 2023'!E:BO,22,0)</f>
        <v>#N/A</v>
      </c>
      <c r="K1180" s="70" t="e">
        <f t="shared" si="141"/>
        <v>#N/A</v>
      </c>
      <c r="L1180" s="72"/>
      <c r="M1180" s="109" t="e">
        <f t="shared" si="146"/>
        <v>#N/A</v>
      </c>
      <c r="N1180" s="123" t="e">
        <f>VLOOKUP(C1180,'RAW DATA 2023'!E:BO,36,0)</f>
        <v>#N/A</v>
      </c>
      <c r="O1180" s="63" t="e">
        <f>VLOOKUP(C1180,'RAW DATA 2023'!E:BO,2,0)</f>
        <v>#N/A</v>
      </c>
      <c r="P1180" s="322" t="e">
        <f t="shared" si="145"/>
        <v>#N/A</v>
      </c>
    </row>
    <row r="1181" spans="1:16">
      <c r="A1181" s="63">
        <f>'RAW DATA 2023'!B1174</f>
        <v>0</v>
      </c>
      <c r="B1181" s="63">
        <f>'RAW DATA 2023'!D1174</f>
        <v>0</v>
      </c>
      <c r="C1181" s="63" t="str">
        <f t="shared" si="142"/>
        <v>00</v>
      </c>
      <c r="D1181" s="68" t="e">
        <f>VLOOKUP(C1181,'RAW DATA 2023'!E:BP,63,0)</f>
        <v>#N/A</v>
      </c>
      <c r="E1181" s="68" t="e">
        <f t="shared" si="143"/>
        <v>#N/A</v>
      </c>
      <c r="F1181" s="63" t="e">
        <f>VLOOKUP(C1181,'RAW DATA 2023'!E:BO,5,0)</f>
        <v>#N/A</v>
      </c>
      <c r="G1181" s="63" t="e">
        <f>VLOOKUP(C1181,'RAW DATA 2023'!E:BO,13,0)</f>
        <v>#N/A</v>
      </c>
      <c r="H1181" s="63" t="e">
        <f t="shared" si="144"/>
        <v>#N/A</v>
      </c>
      <c r="I1181" s="63" t="e">
        <f t="shared" si="140"/>
        <v>#N/A</v>
      </c>
      <c r="J1181" s="106" t="e">
        <f>VLOOKUP(C1181,'RAW DATA 2023'!E:BO,22,0)</f>
        <v>#N/A</v>
      </c>
      <c r="K1181" s="70" t="e">
        <f t="shared" si="141"/>
        <v>#N/A</v>
      </c>
      <c r="L1181" s="72"/>
      <c r="M1181" s="109" t="e">
        <f t="shared" si="146"/>
        <v>#N/A</v>
      </c>
      <c r="N1181" s="123" t="e">
        <f>VLOOKUP(C1181,'RAW DATA 2023'!E:BO,36,0)</f>
        <v>#N/A</v>
      </c>
      <c r="O1181" s="63" t="e">
        <f>VLOOKUP(C1181,'RAW DATA 2023'!E:BO,2,0)</f>
        <v>#N/A</v>
      </c>
      <c r="P1181" s="322" t="e">
        <f t="shared" si="145"/>
        <v>#N/A</v>
      </c>
    </row>
    <row r="1182" spans="1:16">
      <c r="A1182" s="63">
        <f>'RAW DATA 2023'!B1175</f>
        <v>0</v>
      </c>
      <c r="B1182" s="63">
        <f>'RAW DATA 2023'!D1175</f>
        <v>0</v>
      </c>
      <c r="C1182" s="63" t="str">
        <f t="shared" si="142"/>
        <v>00</v>
      </c>
      <c r="D1182" s="68" t="e">
        <f>VLOOKUP(C1182,'RAW DATA 2023'!E:BP,63,0)</f>
        <v>#N/A</v>
      </c>
      <c r="E1182" s="68" t="e">
        <f t="shared" si="143"/>
        <v>#N/A</v>
      </c>
      <c r="F1182" s="63" t="e">
        <f>VLOOKUP(C1182,'RAW DATA 2023'!E:BO,5,0)</f>
        <v>#N/A</v>
      </c>
      <c r="G1182" s="63" t="e">
        <f>VLOOKUP(C1182,'RAW DATA 2023'!E:BO,13,0)</f>
        <v>#N/A</v>
      </c>
      <c r="H1182" s="63" t="e">
        <f t="shared" si="144"/>
        <v>#N/A</v>
      </c>
      <c r="I1182" s="63" t="e">
        <f t="shared" si="140"/>
        <v>#N/A</v>
      </c>
      <c r="J1182" s="106" t="e">
        <f>VLOOKUP(C1182,'RAW DATA 2023'!E:BO,22,0)</f>
        <v>#N/A</v>
      </c>
      <c r="K1182" s="70" t="e">
        <f t="shared" si="141"/>
        <v>#N/A</v>
      </c>
      <c r="L1182" s="72"/>
      <c r="M1182" s="109" t="e">
        <f t="shared" si="146"/>
        <v>#N/A</v>
      </c>
      <c r="N1182" s="123" t="e">
        <f>VLOOKUP(C1182,'RAW DATA 2023'!E:BO,36,0)</f>
        <v>#N/A</v>
      </c>
      <c r="O1182" s="63" t="e">
        <f>VLOOKUP(C1182,'RAW DATA 2023'!E:BO,2,0)</f>
        <v>#N/A</v>
      </c>
      <c r="P1182" s="322" t="e">
        <f t="shared" si="145"/>
        <v>#N/A</v>
      </c>
    </row>
    <row r="1183" spans="1:16">
      <c r="A1183" s="63">
        <f>'RAW DATA 2023'!B1176</f>
        <v>0</v>
      </c>
      <c r="B1183" s="63">
        <f>'RAW DATA 2023'!D1176</f>
        <v>0</v>
      </c>
      <c r="C1183" s="63" t="str">
        <f t="shared" si="142"/>
        <v>00</v>
      </c>
      <c r="D1183" s="68" t="e">
        <f>VLOOKUP(C1183,'RAW DATA 2023'!E:BP,63,0)</f>
        <v>#N/A</v>
      </c>
      <c r="E1183" s="68" t="e">
        <f t="shared" si="143"/>
        <v>#N/A</v>
      </c>
      <c r="F1183" s="63" t="e">
        <f>VLOOKUP(C1183,'RAW DATA 2023'!E:BO,5,0)</f>
        <v>#N/A</v>
      </c>
      <c r="G1183" s="63" t="e">
        <f>VLOOKUP(C1183,'RAW DATA 2023'!E:BO,13,0)</f>
        <v>#N/A</v>
      </c>
      <c r="H1183" s="63" t="e">
        <f t="shared" si="144"/>
        <v>#N/A</v>
      </c>
      <c r="I1183" s="63" t="e">
        <f t="shared" si="140"/>
        <v>#N/A</v>
      </c>
      <c r="J1183" s="106" t="e">
        <f>VLOOKUP(C1183,'RAW DATA 2023'!E:BO,22,0)</f>
        <v>#N/A</v>
      </c>
      <c r="K1183" s="70" t="e">
        <f t="shared" si="141"/>
        <v>#N/A</v>
      </c>
      <c r="L1183" s="72"/>
      <c r="M1183" s="109" t="e">
        <f t="shared" si="146"/>
        <v>#N/A</v>
      </c>
      <c r="N1183" s="123" t="e">
        <f>VLOOKUP(C1183,'RAW DATA 2023'!E:BO,36,0)</f>
        <v>#N/A</v>
      </c>
      <c r="O1183" s="63" t="e">
        <f>VLOOKUP(C1183,'RAW DATA 2023'!E:BO,2,0)</f>
        <v>#N/A</v>
      </c>
      <c r="P1183" s="322" t="e">
        <f t="shared" si="145"/>
        <v>#N/A</v>
      </c>
    </row>
    <row r="1184" spans="1:16">
      <c r="A1184" s="63">
        <f>'RAW DATA 2023'!B1177</f>
        <v>0</v>
      </c>
      <c r="B1184" s="63">
        <f>'RAW DATA 2023'!D1177</f>
        <v>0</v>
      </c>
      <c r="C1184" s="63" t="str">
        <f t="shared" si="142"/>
        <v>00</v>
      </c>
      <c r="D1184" s="68" t="e">
        <f>VLOOKUP(C1184,'RAW DATA 2023'!E:BP,63,0)</f>
        <v>#N/A</v>
      </c>
      <c r="E1184" s="68" t="e">
        <f t="shared" si="143"/>
        <v>#N/A</v>
      </c>
      <c r="F1184" s="63" t="e">
        <f>VLOOKUP(C1184,'RAW DATA 2023'!E:BO,5,0)</f>
        <v>#N/A</v>
      </c>
      <c r="G1184" s="63" t="e">
        <f>VLOOKUP(C1184,'RAW DATA 2023'!E:BO,13,0)</f>
        <v>#N/A</v>
      </c>
      <c r="H1184" s="63" t="e">
        <f t="shared" si="144"/>
        <v>#N/A</v>
      </c>
      <c r="I1184" s="63" t="e">
        <f t="shared" si="140"/>
        <v>#N/A</v>
      </c>
      <c r="J1184" s="106" t="e">
        <f>VLOOKUP(C1184,'RAW DATA 2023'!E:BO,22,0)</f>
        <v>#N/A</v>
      </c>
      <c r="K1184" s="70" t="e">
        <f t="shared" si="141"/>
        <v>#N/A</v>
      </c>
      <c r="L1184" s="72"/>
      <c r="M1184" s="109" t="e">
        <f t="shared" si="146"/>
        <v>#N/A</v>
      </c>
      <c r="N1184" s="123" t="e">
        <f>VLOOKUP(C1184,'RAW DATA 2023'!E:BO,36,0)</f>
        <v>#N/A</v>
      </c>
      <c r="O1184" s="63" t="e">
        <f>VLOOKUP(C1184,'RAW DATA 2023'!E:BO,2,0)</f>
        <v>#N/A</v>
      </c>
      <c r="P1184" s="322" t="e">
        <f t="shared" si="145"/>
        <v>#N/A</v>
      </c>
    </row>
    <row r="1185" spans="1:16">
      <c r="A1185" s="63">
        <f>'RAW DATA 2023'!B1178</f>
        <v>0</v>
      </c>
      <c r="B1185" s="63">
        <f>'RAW DATA 2023'!D1178</f>
        <v>0</v>
      </c>
      <c r="C1185" s="63" t="str">
        <f t="shared" si="142"/>
        <v>00</v>
      </c>
      <c r="D1185" s="68" t="e">
        <f>VLOOKUP(C1185,'RAW DATA 2023'!E:BP,63,0)</f>
        <v>#N/A</v>
      </c>
      <c r="E1185" s="68" t="e">
        <f t="shared" si="143"/>
        <v>#N/A</v>
      </c>
      <c r="F1185" s="63" t="e">
        <f>VLOOKUP(C1185,'RAW DATA 2023'!E:BO,5,0)</f>
        <v>#N/A</v>
      </c>
      <c r="G1185" s="63" t="e">
        <f>VLOOKUP(C1185,'RAW DATA 2023'!E:BO,13,0)</f>
        <v>#N/A</v>
      </c>
      <c r="H1185" s="63" t="e">
        <f t="shared" si="144"/>
        <v>#N/A</v>
      </c>
      <c r="I1185" s="63" t="e">
        <f t="shared" si="140"/>
        <v>#N/A</v>
      </c>
      <c r="J1185" s="106" t="e">
        <f>VLOOKUP(C1185,'RAW DATA 2023'!E:BO,22,0)</f>
        <v>#N/A</v>
      </c>
      <c r="K1185" s="70" t="e">
        <f t="shared" si="141"/>
        <v>#N/A</v>
      </c>
      <c r="L1185" s="72"/>
      <c r="M1185" s="109" t="e">
        <f t="shared" si="146"/>
        <v>#N/A</v>
      </c>
      <c r="N1185" s="123" t="e">
        <f>VLOOKUP(C1185,'RAW DATA 2023'!E:BO,36,0)</f>
        <v>#N/A</v>
      </c>
      <c r="O1185" s="63" t="e">
        <f>VLOOKUP(C1185,'RAW DATA 2023'!E:BO,2,0)</f>
        <v>#N/A</v>
      </c>
      <c r="P1185" s="322" t="e">
        <f t="shared" si="145"/>
        <v>#N/A</v>
      </c>
    </row>
    <row r="1186" spans="1:16">
      <c r="A1186" s="63">
        <f>'RAW DATA 2023'!B1179</f>
        <v>0</v>
      </c>
      <c r="B1186" s="63">
        <f>'RAW DATA 2023'!D1179</f>
        <v>0</v>
      </c>
      <c r="C1186" s="63" t="str">
        <f t="shared" si="142"/>
        <v>00</v>
      </c>
      <c r="D1186" s="68" t="e">
        <f>VLOOKUP(C1186,'RAW DATA 2023'!E:BP,63,0)</f>
        <v>#N/A</v>
      </c>
      <c r="E1186" s="68" t="e">
        <f t="shared" si="143"/>
        <v>#N/A</v>
      </c>
      <c r="F1186" s="63" t="e">
        <f>VLOOKUP(C1186,'RAW DATA 2023'!E:BO,5,0)</f>
        <v>#N/A</v>
      </c>
      <c r="G1186" s="63" t="e">
        <f>VLOOKUP(C1186,'RAW DATA 2023'!E:BO,13,0)</f>
        <v>#N/A</v>
      </c>
      <c r="H1186" s="63" t="e">
        <f t="shared" si="144"/>
        <v>#N/A</v>
      </c>
      <c r="I1186" s="63" t="e">
        <f t="shared" si="140"/>
        <v>#N/A</v>
      </c>
      <c r="J1186" s="106" t="e">
        <f>VLOOKUP(C1186,'RAW DATA 2023'!E:BO,22,0)</f>
        <v>#N/A</v>
      </c>
      <c r="K1186" s="70" t="e">
        <f t="shared" si="141"/>
        <v>#N/A</v>
      </c>
      <c r="L1186" s="72"/>
      <c r="M1186" s="109" t="e">
        <f t="shared" si="146"/>
        <v>#N/A</v>
      </c>
      <c r="N1186" s="123" t="e">
        <f>VLOOKUP(C1186,'RAW DATA 2023'!E:BO,36,0)</f>
        <v>#N/A</v>
      </c>
      <c r="O1186" s="63" t="e">
        <f>VLOOKUP(C1186,'RAW DATA 2023'!E:BO,2,0)</f>
        <v>#N/A</v>
      </c>
      <c r="P1186" s="322" t="e">
        <f t="shared" si="145"/>
        <v>#N/A</v>
      </c>
    </row>
    <row r="1187" spans="1:16">
      <c r="A1187" s="63">
        <f>'RAW DATA 2023'!B1180</f>
        <v>0</v>
      </c>
      <c r="B1187" s="63">
        <f>'RAW DATA 2023'!D1180</f>
        <v>0</v>
      </c>
      <c r="C1187" s="63" t="str">
        <f t="shared" si="142"/>
        <v>00</v>
      </c>
      <c r="D1187" s="68" t="e">
        <f>VLOOKUP(C1187,'RAW DATA 2023'!E:BP,63,0)</f>
        <v>#N/A</v>
      </c>
      <c r="E1187" s="68" t="e">
        <f t="shared" si="143"/>
        <v>#N/A</v>
      </c>
      <c r="F1187" s="63" t="e">
        <f>VLOOKUP(C1187,'RAW DATA 2023'!E:BO,5,0)</f>
        <v>#N/A</v>
      </c>
      <c r="G1187" s="63" t="e">
        <f>VLOOKUP(C1187,'RAW DATA 2023'!E:BO,13,0)</f>
        <v>#N/A</v>
      </c>
      <c r="H1187" s="63" t="e">
        <f t="shared" si="144"/>
        <v>#N/A</v>
      </c>
      <c r="I1187" s="63" t="e">
        <f t="shared" si="140"/>
        <v>#N/A</v>
      </c>
      <c r="J1187" s="106" t="e">
        <f>VLOOKUP(C1187,'RAW DATA 2023'!E:BO,22,0)</f>
        <v>#N/A</v>
      </c>
      <c r="K1187" s="70" t="e">
        <f t="shared" si="141"/>
        <v>#N/A</v>
      </c>
      <c r="L1187" s="72"/>
      <c r="M1187" s="109" t="e">
        <f t="shared" si="146"/>
        <v>#N/A</v>
      </c>
      <c r="N1187" s="123" t="e">
        <f>VLOOKUP(C1187,'RAW DATA 2023'!E:BO,36,0)</f>
        <v>#N/A</v>
      </c>
      <c r="O1187" s="63" t="e">
        <f>VLOOKUP(C1187,'RAW DATA 2023'!E:BO,2,0)</f>
        <v>#N/A</v>
      </c>
      <c r="P1187" s="322" t="e">
        <f t="shared" si="145"/>
        <v>#N/A</v>
      </c>
    </row>
    <row r="1188" spans="1:16">
      <c r="A1188" s="63">
        <f>'RAW DATA 2023'!B1181</f>
        <v>0</v>
      </c>
      <c r="B1188" s="63">
        <f>'RAW DATA 2023'!D1181</f>
        <v>0</v>
      </c>
      <c r="C1188" s="63" t="str">
        <f t="shared" si="142"/>
        <v>00</v>
      </c>
      <c r="D1188" s="68" t="e">
        <f>VLOOKUP(C1188,'RAW DATA 2023'!E:BP,63,0)</f>
        <v>#N/A</v>
      </c>
      <c r="E1188" s="68" t="e">
        <f t="shared" si="143"/>
        <v>#N/A</v>
      </c>
      <c r="F1188" s="63" t="e">
        <f>VLOOKUP(C1188,'RAW DATA 2023'!E:BO,5,0)</f>
        <v>#N/A</v>
      </c>
      <c r="G1188" s="63" t="e">
        <f>VLOOKUP(C1188,'RAW DATA 2023'!E:BO,13,0)</f>
        <v>#N/A</v>
      </c>
      <c r="H1188" s="63" t="e">
        <f t="shared" si="144"/>
        <v>#N/A</v>
      </c>
      <c r="I1188" s="63" t="e">
        <f t="shared" si="140"/>
        <v>#N/A</v>
      </c>
      <c r="J1188" s="106" t="e">
        <f>VLOOKUP(C1188,'RAW DATA 2023'!E:BO,22,0)</f>
        <v>#N/A</v>
      </c>
      <c r="K1188" s="70" t="e">
        <f t="shared" si="141"/>
        <v>#N/A</v>
      </c>
      <c r="L1188" s="72"/>
      <c r="M1188" s="109" t="e">
        <f t="shared" si="146"/>
        <v>#N/A</v>
      </c>
      <c r="N1188" s="123" t="e">
        <f>VLOOKUP(C1188,'RAW DATA 2023'!E:BO,36,0)</f>
        <v>#N/A</v>
      </c>
      <c r="O1188" s="63" t="e">
        <f>VLOOKUP(C1188,'RAW DATA 2023'!E:BO,2,0)</f>
        <v>#N/A</v>
      </c>
      <c r="P1188" s="322" t="e">
        <f t="shared" si="145"/>
        <v>#N/A</v>
      </c>
    </row>
    <row r="1189" spans="1:16">
      <c r="A1189" s="63">
        <f>'RAW DATA 2023'!B1182</f>
        <v>0</v>
      </c>
      <c r="B1189" s="63">
        <f>'RAW DATA 2023'!D1182</f>
        <v>0</v>
      </c>
      <c r="C1189" s="63" t="str">
        <f t="shared" si="142"/>
        <v>00</v>
      </c>
      <c r="D1189" s="68" t="e">
        <f>VLOOKUP(C1189,'RAW DATA 2023'!E:BP,63,0)</f>
        <v>#N/A</v>
      </c>
      <c r="E1189" s="68" t="e">
        <f t="shared" si="143"/>
        <v>#N/A</v>
      </c>
      <c r="F1189" s="63" t="e">
        <f>VLOOKUP(C1189,'RAW DATA 2023'!E:BO,5,0)</f>
        <v>#N/A</v>
      </c>
      <c r="G1189" s="63" t="e">
        <f>VLOOKUP(C1189,'RAW DATA 2023'!E:BO,13,0)</f>
        <v>#N/A</v>
      </c>
      <c r="H1189" s="63" t="e">
        <f t="shared" si="144"/>
        <v>#N/A</v>
      </c>
      <c r="I1189" s="63" t="e">
        <f t="shared" si="140"/>
        <v>#N/A</v>
      </c>
      <c r="J1189" s="106" t="e">
        <f>VLOOKUP(C1189,'RAW DATA 2023'!E:BO,22,0)</f>
        <v>#N/A</v>
      </c>
      <c r="K1189" s="70" t="e">
        <f t="shared" si="141"/>
        <v>#N/A</v>
      </c>
      <c r="L1189" s="72"/>
      <c r="M1189" s="109" t="e">
        <f t="shared" si="146"/>
        <v>#N/A</v>
      </c>
      <c r="N1189" s="123" t="e">
        <f>VLOOKUP(C1189,'RAW DATA 2023'!E:BO,36,0)</f>
        <v>#N/A</v>
      </c>
      <c r="O1189" s="63" t="e">
        <f>VLOOKUP(C1189,'RAW DATA 2023'!E:BO,2,0)</f>
        <v>#N/A</v>
      </c>
      <c r="P1189" s="322" t="e">
        <f t="shared" si="145"/>
        <v>#N/A</v>
      </c>
    </row>
    <row r="1190" spans="1:16">
      <c r="A1190" s="63">
        <f>'RAW DATA 2023'!B1183</f>
        <v>0</v>
      </c>
      <c r="B1190" s="63">
        <f>'RAW DATA 2023'!D1183</f>
        <v>0</v>
      </c>
      <c r="C1190" s="63" t="str">
        <f t="shared" si="142"/>
        <v>00</v>
      </c>
      <c r="D1190" s="68" t="e">
        <f>VLOOKUP(C1190,'RAW DATA 2023'!E:BP,63,0)</f>
        <v>#N/A</v>
      </c>
      <c r="E1190" s="68" t="e">
        <f t="shared" si="143"/>
        <v>#N/A</v>
      </c>
      <c r="F1190" s="63" t="e">
        <f>VLOOKUP(C1190,'RAW DATA 2023'!E:BO,5,0)</f>
        <v>#N/A</v>
      </c>
      <c r="G1190" s="63" t="e">
        <f>VLOOKUP(C1190,'RAW DATA 2023'!E:BO,13,0)</f>
        <v>#N/A</v>
      </c>
      <c r="H1190" s="63" t="e">
        <f t="shared" si="144"/>
        <v>#N/A</v>
      </c>
      <c r="I1190" s="63" t="e">
        <f t="shared" si="140"/>
        <v>#N/A</v>
      </c>
      <c r="J1190" s="106" t="e">
        <f>VLOOKUP(C1190,'RAW DATA 2023'!E:BO,22,0)</f>
        <v>#N/A</v>
      </c>
      <c r="K1190" s="70" t="e">
        <f t="shared" si="141"/>
        <v>#N/A</v>
      </c>
      <c r="L1190" s="72"/>
      <c r="M1190" s="109" t="e">
        <f t="shared" si="146"/>
        <v>#N/A</v>
      </c>
      <c r="N1190" s="123" t="e">
        <f>VLOOKUP(C1190,'RAW DATA 2023'!E:BO,36,0)</f>
        <v>#N/A</v>
      </c>
      <c r="O1190" s="63" t="e">
        <f>VLOOKUP(C1190,'RAW DATA 2023'!E:BO,2,0)</f>
        <v>#N/A</v>
      </c>
      <c r="P1190" s="322" t="e">
        <f t="shared" si="145"/>
        <v>#N/A</v>
      </c>
    </row>
    <row r="1191" spans="1:16">
      <c r="A1191" s="63">
        <f>'RAW DATA 2023'!B1184</f>
        <v>0</v>
      </c>
      <c r="B1191" s="63">
        <f>'RAW DATA 2023'!D1184</f>
        <v>0</v>
      </c>
      <c r="C1191" s="63" t="str">
        <f t="shared" si="142"/>
        <v>00</v>
      </c>
      <c r="D1191" s="68" t="e">
        <f>VLOOKUP(C1191,'RAW DATA 2023'!E:BP,63,0)</f>
        <v>#N/A</v>
      </c>
      <c r="E1191" s="68" t="e">
        <f t="shared" si="143"/>
        <v>#N/A</v>
      </c>
      <c r="F1191" s="63" t="e">
        <f>VLOOKUP(C1191,'RAW DATA 2023'!E:BO,5,0)</f>
        <v>#N/A</v>
      </c>
      <c r="G1191" s="63" t="e">
        <f>VLOOKUP(C1191,'RAW DATA 2023'!E:BO,13,0)</f>
        <v>#N/A</v>
      </c>
      <c r="H1191" s="63" t="e">
        <f t="shared" si="144"/>
        <v>#N/A</v>
      </c>
      <c r="I1191" s="63" t="e">
        <f t="shared" si="140"/>
        <v>#N/A</v>
      </c>
      <c r="J1191" s="106" t="e">
        <f>VLOOKUP(C1191,'RAW DATA 2023'!E:BO,22,0)</f>
        <v>#N/A</v>
      </c>
      <c r="K1191" s="70" t="e">
        <f t="shared" si="141"/>
        <v>#N/A</v>
      </c>
      <c r="L1191" s="72"/>
      <c r="M1191" s="109" t="e">
        <f t="shared" si="146"/>
        <v>#N/A</v>
      </c>
      <c r="N1191" s="123" t="e">
        <f>VLOOKUP(C1191,'RAW DATA 2023'!E:BO,36,0)</f>
        <v>#N/A</v>
      </c>
      <c r="O1191" s="63" t="e">
        <f>VLOOKUP(C1191,'RAW DATA 2023'!E:BO,2,0)</f>
        <v>#N/A</v>
      </c>
      <c r="P1191" s="322" t="e">
        <f t="shared" si="145"/>
        <v>#N/A</v>
      </c>
    </row>
    <row r="1192" spans="1:16">
      <c r="A1192" s="63">
        <f>'RAW DATA 2023'!B1185</f>
        <v>0</v>
      </c>
      <c r="B1192" s="63">
        <f>'RAW DATA 2023'!D1185</f>
        <v>0</v>
      </c>
      <c r="C1192" s="63" t="str">
        <f t="shared" si="142"/>
        <v>00</v>
      </c>
      <c r="D1192" s="68" t="e">
        <f>VLOOKUP(C1192,'RAW DATA 2023'!E:BP,63,0)</f>
        <v>#N/A</v>
      </c>
      <c r="E1192" s="68" t="e">
        <f t="shared" si="143"/>
        <v>#N/A</v>
      </c>
      <c r="F1192" s="63" t="e">
        <f>VLOOKUP(C1192,'RAW DATA 2023'!E:BO,5,0)</f>
        <v>#N/A</v>
      </c>
      <c r="G1192" s="63" t="e">
        <f>VLOOKUP(C1192,'RAW DATA 2023'!E:BO,13,0)</f>
        <v>#N/A</v>
      </c>
      <c r="H1192" s="63" t="e">
        <f t="shared" si="144"/>
        <v>#N/A</v>
      </c>
      <c r="I1192" s="63" t="e">
        <f t="shared" si="140"/>
        <v>#N/A</v>
      </c>
      <c r="J1192" s="106" t="e">
        <f>VLOOKUP(C1192,'RAW DATA 2023'!E:BO,22,0)</f>
        <v>#N/A</v>
      </c>
      <c r="K1192" s="70" t="e">
        <f t="shared" si="141"/>
        <v>#N/A</v>
      </c>
      <c r="L1192" s="72"/>
      <c r="M1192" s="109" t="e">
        <f t="shared" si="146"/>
        <v>#N/A</v>
      </c>
      <c r="N1192" s="123" t="e">
        <f>VLOOKUP(C1192,'RAW DATA 2023'!E:BO,36,0)</f>
        <v>#N/A</v>
      </c>
      <c r="O1192" s="63" t="e">
        <f>VLOOKUP(C1192,'RAW DATA 2023'!E:BO,2,0)</f>
        <v>#N/A</v>
      </c>
      <c r="P1192" s="322" t="e">
        <f t="shared" si="145"/>
        <v>#N/A</v>
      </c>
    </row>
    <row r="1193" spans="1:16">
      <c r="A1193" s="63">
        <f>'RAW DATA 2023'!B1186</f>
        <v>0</v>
      </c>
      <c r="B1193" s="63">
        <f>'RAW DATA 2023'!D1186</f>
        <v>0</v>
      </c>
      <c r="C1193" s="63" t="str">
        <f t="shared" si="142"/>
        <v>00</v>
      </c>
      <c r="D1193" s="68" t="e">
        <f>VLOOKUP(C1193,'RAW DATA 2023'!E:BP,63,0)</f>
        <v>#N/A</v>
      </c>
      <c r="E1193" s="68" t="e">
        <f t="shared" si="143"/>
        <v>#N/A</v>
      </c>
      <c r="F1193" s="63" t="e">
        <f>VLOOKUP(C1193,'RAW DATA 2023'!E:BO,5,0)</f>
        <v>#N/A</v>
      </c>
      <c r="G1193" s="63" t="e">
        <f>VLOOKUP(C1193,'RAW DATA 2023'!E:BO,13,0)</f>
        <v>#N/A</v>
      </c>
      <c r="H1193" s="63" t="e">
        <f t="shared" si="144"/>
        <v>#N/A</v>
      </c>
      <c r="I1193" s="63" t="e">
        <f t="shared" si="140"/>
        <v>#N/A</v>
      </c>
      <c r="J1193" s="106" t="e">
        <f>VLOOKUP(C1193,'RAW DATA 2023'!E:BO,22,0)</f>
        <v>#N/A</v>
      </c>
      <c r="K1193" s="70" t="e">
        <f t="shared" si="141"/>
        <v>#N/A</v>
      </c>
      <c r="L1193" s="72"/>
      <c r="M1193" s="109" t="e">
        <f t="shared" si="146"/>
        <v>#N/A</v>
      </c>
      <c r="N1193" s="123" t="e">
        <f>VLOOKUP(C1193,'RAW DATA 2023'!E:BO,36,0)</f>
        <v>#N/A</v>
      </c>
      <c r="O1193" s="63" t="e">
        <f>VLOOKUP(C1193,'RAW DATA 2023'!E:BO,2,0)</f>
        <v>#N/A</v>
      </c>
      <c r="P1193" s="322" t="e">
        <f t="shared" si="145"/>
        <v>#N/A</v>
      </c>
    </row>
    <row r="1194" spans="1:16">
      <c r="A1194" s="63">
        <f>'RAW DATA 2023'!B1187</f>
        <v>0</v>
      </c>
      <c r="B1194" s="63">
        <f>'RAW DATA 2023'!D1187</f>
        <v>0</v>
      </c>
      <c r="C1194" s="63" t="str">
        <f t="shared" si="142"/>
        <v>00</v>
      </c>
      <c r="D1194" s="68" t="e">
        <f>VLOOKUP(C1194,'RAW DATA 2023'!E:BP,63,0)</f>
        <v>#N/A</v>
      </c>
      <c r="E1194" s="68" t="e">
        <f t="shared" si="143"/>
        <v>#N/A</v>
      </c>
      <c r="F1194" s="63" t="e">
        <f>VLOOKUP(C1194,'RAW DATA 2023'!E:BO,5,0)</f>
        <v>#N/A</v>
      </c>
      <c r="G1194" s="63" t="e">
        <f>VLOOKUP(C1194,'RAW DATA 2023'!E:BO,13,0)</f>
        <v>#N/A</v>
      </c>
      <c r="H1194" s="63" t="e">
        <f t="shared" si="144"/>
        <v>#N/A</v>
      </c>
      <c r="I1194" s="63" t="e">
        <f t="shared" si="140"/>
        <v>#N/A</v>
      </c>
      <c r="J1194" s="106" t="e">
        <f>VLOOKUP(C1194,'RAW DATA 2023'!E:BO,22,0)</f>
        <v>#N/A</v>
      </c>
      <c r="K1194" s="70" t="e">
        <f t="shared" si="141"/>
        <v>#N/A</v>
      </c>
      <c r="L1194" s="72"/>
      <c r="M1194" s="109" t="e">
        <f t="shared" si="146"/>
        <v>#N/A</v>
      </c>
      <c r="N1194" s="123" t="e">
        <f>VLOOKUP(C1194,'RAW DATA 2023'!E:BO,36,0)</f>
        <v>#N/A</v>
      </c>
      <c r="O1194" s="63" t="e">
        <f>VLOOKUP(C1194,'RAW DATA 2023'!E:BO,2,0)</f>
        <v>#N/A</v>
      </c>
      <c r="P1194" s="322" t="e">
        <f t="shared" si="145"/>
        <v>#N/A</v>
      </c>
    </row>
    <row r="1195" spans="1:16">
      <c r="A1195" s="63">
        <f>'RAW DATA 2023'!B1188</f>
        <v>0</v>
      </c>
      <c r="B1195" s="63">
        <f>'RAW DATA 2023'!D1188</f>
        <v>0</v>
      </c>
      <c r="C1195" s="63" t="str">
        <f t="shared" si="142"/>
        <v>00</v>
      </c>
      <c r="D1195" s="68" t="e">
        <f>VLOOKUP(C1195,'RAW DATA 2023'!E:BP,63,0)</f>
        <v>#N/A</v>
      </c>
      <c r="E1195" s="68" t="e">
        <f t="shared" si="143"/>
        <v>#N/A</v>
      </c>
      <c r="F1195" s="63" t="e">
        <f>VLOOKUP(C1195,'RAW DATA 2023'!E:BO,5,0)</f>
        <v>#N/A</v>
      </c>
      <c r="G1195" s="63" t="e">
        <f>VLOOKUP(C1195,'RAW DATA 2023'!E:BO,13,0)</f>
        <v>#N/A</v>
      </c>
      <c r="H1195" s="63" t="e">
        <f t="shared" si="144"/>
        <v>#N/A</v>
      </c>
      <c r="I1195" s="63" t="e">
        <f t="shared" si="140"/>
        <v>#N/A</v>
      </c>
      <c r="J1195" s="106" t="e">
        <f>VLOOKUP(C1195,'RAW DATA 2023'!E:BO,22,0)</f>
        <v>#N/A</v>
      </c>
      <c r="K1195" s="70" t="e">
        <f t="shared" si="141"/>
        <v>#N/A</v>
      </c>
      <c r="L1195" s="72"/>
      <c r="M1195" s="109" t="e">
        <f t="shared" si="146"/>
        <v>#N/A</v>
      </c>
      <c r="N1195" s="123" t="e">
        <f>VLOOKUP(C1195,'RAW DATA 2023'!E:BO,36,0)</f>
        <v>#N/A</v>
      </c>
      <c r="O1195" s="63" t="e">
        <f>VLOOKUP(C1195,'RAW DATA 2023'!E:BO,2,0)</f>
        <v>#N/A</v>
      </c>
      <c r="P1195" s="322" t="e">
        <f t="shared" si="145"/>
        <v>#N/A</v>
      </c>
    </row>
    <row r="1196" spans="1:16">
      <c r="A1196" s="63">
        <f>'RAW DATA 2023'!B1189</f>
        <v>0</v>
      </c>
      <c r="B1196" s="63">
        <f>'RAW DATA 2023'!D1189</f>
        <v>0</v>
      </c>
      <c r="C1196" s="63" t="str">
        <f t="shared" si="142"/>
        <v>00</v>
      </c>
      <c r="D1196" s="68" t="e">
        <f>VLOOKUP(C1196,'RAW DATA 2023'!E:BP,63,0)</f>
        <v>#N/A</v>
      </c>
      <c r="E1196" s="68" t="e">
        <f t="shared" si="143"/>
        <v>#N/A</v>
      </c>
      <c r="F1196" s="63" t="e">
        <f>VLOOKUP(C1196,'RAW DATA 2023'!E:BO,5,0)</f>
        <v>#N/A</v>
      </c>
      <c r="G1196" s="63" t="e">
        <f>VLOOKUP(C1196,'RAW DATA 2023'!E:BO,13,0)</f>
        <v>#N/A</v>
      </c>
      <c r="H1196" s="63" t="e">
        <f t="shared" si="144"/>
        <v>#N/A</v>
      </c>
      <c r="I1196" s="63" t="e">
        <f t="shared" si="140"/>
        <v>#N/A</v>
      </c>
      <c r="J1196" s="106" t="e">
        <f>VLOOKUP(C1196,'RAW DATA 2023'!E:BO,22,0)</f>
        <v>#N/A</v>
      </c>
      <c r="K1196" s="70" t="e">
        <f t="shared" si="141"/>
        <v>#N/A</v>
      </c>
      <c r="L1196" s="72"/>
      <c r="M1196" s="109" t="e">
        <f t="shared" si="146"/>
        <v>#N/A</v>
      </c>
      <c r="N1196" s="123" t="e">
        <f>VLOOKUP(C1196,'RAW DATA 2023'!E:BO,36,0)</f>
        <v>#N/A</v>
      </c>
      <c r="O1196" s="63" t="e">
        <f>VLOOKUP(C1196,'RAW DATA 2023'!E:BO,2,0)</f>
        <v>#N/A</v>
      </c>
      <c r="P1196" s="322" t="e">
        <f t="shared" si="145"/>
        <v>#N/A</v>
      </c>
    </row>
    <row r="1197" spans="1:16">
      <c r="A1197" s="63">
        <f>'RAW DATA 2023'!B1190</f>
        <v>0</v>
      </c>
      <c r="B1197" s="63">
        <f>'RAW DATA 2023'!D1190</f>
        <v>0</v>
      </c>
      <c r="C1197" s="63" t="str">
        <f t="shared" si="142"/>
        <v>00</v>
      </c>
      <c r="D1197" s="68" t="e">
        <f>VLOOKUP(C1197,'RAW DATA 2023'!E:BP,63,0)</f>
        <v>#N/A</v>
      </c>
      <c r="E1197" s="68" t="e">
        <f t="shared" si="143"/>
        <v>#N/A</v>
      </c>
      <c r="F1197" s="63" t="e">
        <f>VLOOKUP(C1197,'RAW DATA 2023'!E:BO,5,0)</f>
        <v>#N/A</v>
      </c>
      <c r="G1197" s="63" t="e">
        <f>VLOOKUP(C1197,'RAW DATA 2023'!E:BO,13,0)</f>
        <v>#N/A</v>
      </c>
      <c r="H1197" s="63" t="e">
        <f t="shared" si="144"/>
        <v>#N/A</v>
      </c>
      <c r="I1197" s="63" t="e">
        <f t="shared" si="140"/>
        <v>#N/A</v>
      </c>
      <c r="J1197" s="106" t="e">
        <f>VLOOKUP(C1197,'RAW DATA 2023'!E:BO,22,0)</f>
        <v>#N/A</v>
      </c>
      <c r="K1197" s="70" t="e">
        <f t="shared" si="141"/>
        <v>#N/A</v>
      </c>
      <c r="L1197" s="72"/>
      <c r="M1197" s="109" t="e">
        <f t="shared" si="146"/>
        <v>#N/A</v>
      </c>
      <c r="N1197" s="123" t="e">
        <f>VLOOKUP(C1197,'RAW DATA 2023'!E:BO,36,0)</f>
        <v>#N/A</v>
      </c>
      <c r="O1197" s="63" t="e">
        <f>VLOOKUP(C1197,'RAW DATA 2023'!E:BO,2,0)</f>
        <v>#N/A</v>
      </c>
      <c r="P1197" s="322" t="e">
        <f t="shared" si="145"/>
        <v>#N/A</v>
      </c>
    </row>
    <row r="1198" spans="1:16">
      <c r="A1198" s="63">
        <f>'RAW DATA 2023'!B1191</f>
        <v>0</v>
      </c>
      <c r="B1198" s="63">
        <f>'RAW DATA 2023'!D1191</f>
        <v>0</v>
      </c>
      <c r="C1198" s="63" t="str">
        <f t="shared" si="142"/>
        <v>00</v>
      </c>
      <c r="D1198" s="68" t="e">
        <f>VLOOKUP(C1198,'RAW DATA 2023'!E:BP,63,0)</f>
        <v>#N/A</v>
      </c>
      <c r="E1198" s="68" t="e">
        <f t="shared" si="143"/>
        <v>#N/A</v>
      </c>
      <c r="F1198" s="63" t="e">
        <f>VLOOKUP(C1198,'RAW DATA 2023'!E:BO,5,0)</f>
        <v>#N/A</v>
      </c>
      <c r="G1198" s="63" t="e">
        <f>VLOOKUP(C1198,'RAW DATA 2023'!E:BO,13,0)</f>
        <v>#N/A</v>
      </c>
      <c r="H1198" s="63" t="e">
        <f t="shared" si="144"/>
        <v>#N/A</v>
      </c>
      <c r="I1198" s="63" t="e">
        <f t="shared" si="140"/>
        <v>#N/A</v>
      </c>
      <c r="J1198" s="106" t="e">
        <f>VLOOKUP(C1198,'RAW DATA 2023'!E:BO,22,0)</f>
        <v>#N/A</v>
      </c>
      <c r="K1198" s="70" t="e">
        <f t="shared" si="141"/>
        <v>#N/A</v>
      </c>
      <c r="L1198" s="72"/>
      <c r="M1198" s="109" t="e">
        <f t="shared" si="146"/>
        <v>#N/A</v>
      </c>
      <c r="N1198" s="123" t="e">
        <f>VLOOKUP(C1198,'RAW DATA 2023'!E:BO,36,0)</f>
        <v>#N/A</v>
      </c>
      <c r="O1198" s="63" t="e">
        <f>VLOOKUP(C1198,'RAW DATA 2023'!E:BO,2,0)</f>
        <v>#N/A</v>
      </c>
      <c r="P1198" s="322" t="e">
        <f t="shared" si="145"/>
        <v>#N/A</v>
      </c>
    </row>
    <row r="1199" spans="1:16">
      <c r="A1199" s="63">
        <f>'RAW DATA 2023'!B1192</f>
        <v>0</v>
      </c>
      <c r="B1199" s="63">
        <f>'RAW DATA 2023'!D1192</f>
        <v>0</v>
      </c>
      <c r="C1199" s="63" t="str">
        <f t="shared" si="142"/>
        <v>00</v>
      </c>
      <c r="D1199" s="68" t="e">
        <f>VLOOKUP(C1199,'RAW DATA 2023'!E:BP,63,0)</f>
        <v>#N/A</v>
      </c>
      <c r="E1199" s="68" t="e">
        <f t="shared" si="143"/>
        <v>#N/A</v>
      </c>
      <c r="F1199" s="63" t="e">
        <f>VLOOKUP(C1199,'RAW DATA 2023'!E:BO,5,0)</f>
        <v>#N/A</v>
      </c>
      <c r="G1199" s="63" t="e">
        <f>VLOOKUP(C1199,'RAW DATA 2023'!E:BO,13,0)</f>
        <v>#N/A</v>
      </c>
      <c r="H1199" s="63" t="e">
        <f t="shared" si="144"/>
        <v>#N/A</v>
      </c>
      <c r="I1199" s="63" t="e">
        <f t="shared" si="140"/>
        <v>#N/A</v>
      </c>
      <c r="J1199" s="106" t="e">
        <f>VLOOKUP(C1199,'RAW DATA 2023'!E:BO,22,0)</f>
        <v>#N/A</v>
      </c>
      <c r="K1199" s="70" t="e">
        <f t="shared" si="141"/>
        <v>#N/A</v>
      </c>
      <c r="L1199" s="72"/>
      <c r="M1199" s="109" t="e">
        <f t="shared" si="146"/>
        <v>#N/A</v>
      </c>
      <c r="N1199" s="123" t="e">
        <f>VLOOKUP(C1199,'RAW DATA 2023'!E:BO,36,0)</f>
        <v>#N/A</v>
      </c>
      <c r="O1199" s="63" t="e">
        <f>VLOOKUP(C1199,'RAW DATA 2023'!E:BO,2,0)</f>
        <v>#N/A</v>
      </c>
      <c r="P1199" s="322" t="e">
        <f t="shared" si="145"/>
        <v>#N/A</v>
      </c>
    </row>
    <row r="1200" spans="1:16">
      <c r="A1200" s="63">
        <f>'RAW DATA 2023'!B1193</f>
        <v>0</v>
      </c>
      <c r="B1200" s="63">
        <f>'RAW DATA 2023'!D1193</f>
        <v>0</v>
      </c>
      <c r="C1200" s="63" t="str">
        <f t="shared" si="142"/>
        <v>00</v>
      </c>
      <c r="D1200" s="68" t="e">
        <f>VLOOKUP(C1200,'RAW DATA 2023'!E:BP,63,0)</f>
        <v>#N/A</v>
      </c>
      <c r="E1200" s="68" t="e">
        <f t="shared" si="143"/>
        <v>#N/A</v>
      </c>
      <c r="F1200" s="63" t="e">
        <f>VLOOKUP(C1200,'RAW DATA 2023'!E:BO,5,0)</f>
        <v>#N/A</v>
      </c>
      <c r="G1200" s="63" t="e">
        <f>VLOOKUP(C1200,'RAW DATA 2023'!E:BO,13,0)</f>
        <v>#N/A</v>
      </c>
      <c r="H1200" s="63" t="e">
        <f t="shared" si="144"/>
        <v>#N/A</v>
      </c>
      <c r="I1200" s="63" t="e">
        <f t="shared" si="140"/>
        <v>#N/A</v>
      </c>
      <c r="J1200" s="106" t="e">
        <f>VLOOKUP(C1200,'RAW DATA 2023'!E:BO,22,0)</f>
        <v>#N/A</v>
      </c>
      <c r="K1200" s="70" t="e">
        <f t="shared" si="141"/>
        <v>#N/A</v>
      </c>
      <c r="L1200" s="72"/>
      <c r="M1200" s="109" t="e">
        <f t="shared" si="146"/>
        <v>#N/A</v>
      </c>
      <c r="N1200" s="123" t="e">
        <f>VLOOKUP(C1200,'RAW DATA 2023'!E:BO,36,0)</f>
        <v>#N/A</v>
      </c>
      <c r="O1200" s="63" t="e">
        <f>VLOOKUP(C1200,'RAW DATA 2023'!E:BO,2,0)</f>
        <v>#N/A</v>
      </c>
      <c r="P1200" s="322" t="e">
        <f t="shared" si="145"/>
        <v>#N/A</v>
      </c>
    </row>
    <row r="1201" spans="1:16">
      <c r="A1201" s="63">
        <f>'RAW DATA 2023'!B1194</f>
        <v>0</v>
      </c>
      <c r="B1201" s="63">
        <f>'RAW DATA 2023'!D1194</f>
        <v>0</v>
      </c>
      <c r="C1201" s="63" t="str">
        <f t="shared" si="142"/>
        <v>00</v>
      </c>
      <c r="D1201" s="68" t="e">
        <f>VLOOKUP(C1201,'RAW DATA 2023'!E:BP,63,0)</f>
        <v>#N/A</v>
      </c>
      <c r="E1201" s="68" t="e">
        <f t="shared" si="143"/>
        <v>#N/A</v>
      </c>
      <c r="F1201" s="63" t="e">
        <f>VLOOKUP(C1201,'RAW DATA 2023'!E:BO,5,0)</f>
        <v>#N/A</v>
      </c>
      <c r="G1201" s="63" t="e">
        <f>VLOOKUP(C1201,'RAW DATA 2023'!E:BO,13,0)</f>
        <v>#N/A</v>
      </c>
      <c r="H1201" s="63" t="e">
        <f t="shared" si="144"/>
        <v>#N/A</v>
      </c>
      <c r="I1201" s="63" t="e">
        <f t="shared" si="140"/>
        <v>#N/A</v>
      </c>
      <c r="J1201" s="106" t="e">
        <f>VLOOKUP(C1201,'RAW DATA 2023'!E:BO,22,0)</f>
        <v>#N/A</v>
      </c>
      <c r="K1201" s="70" t="e">
        <f t="shared" si="141"/>
        <v>#N/A</v>
      </c>
      <c r="L1201" s="72"/>
      <c r="M1201" s="109" t="e">
        <f t="shared" si="146"/>
        <v>#N/A</v>
      </c>
      <c r="N1201" s="123" t="e">
        <f>VLOOKUP(C1201,'RAW DATA 2023'!E:BO,36,0)</f>
        <v>#N/A</v>
      </c>
      <c r="O1201" s="63" t="e">
        <f>VLOOKUP(C1201,'RAW DATA 2023'!E:BO,2,0)</f>
        <v>#N/A</v>
      </c>
      <c r="P1201" s="322" t="e">
        <f t="shared" si="145"/>
        <v>#N/A</v>
      </c>
    </row>
    <row r="1202" spans="1:16">
      <c r="A1202" s="63">
        <f>'RAW DATA 2023'!B1195</f>
        <v>0</v>
      </c>
      <c r="B1202" s="63">
        <f>'RAW DATA 2023'!D1195</f>
        <v>0</v>
      </c>
      <c r="C1202" s="63" t="str">
        <f t="shared" si="142"/>
        <v>00</v>
      </c>
      <c r="D1202" s="68" t="e">
        <f>VLOOKUP(C1202,'RAW DATA 2023'!E:BP,63,0)</f>
        <v>#N/A</v>
      </c>
      <c r="E1202" s="68" t="e">
        <f t="shared" si="143"/>
        <v>#N/A</v>
      </c>
      <c r="F1202" s="63" t="e">
        <f>VLOOKUP(C1202,'RAW DATA 2023'!E:BO,5,0)</f>
        <v>#N/A</v>
      </c>
      <c r="G1202" s="63" t="e">
        <f>VLOOKUP(C1202,'RAW DATA 2023'!E:BO,13,0)</f>
        <v>#N/A</v>
      </c>
      <c r="H1202" s="63" t="e">
        <f t="shared" si="144"/>
        <v>#N/A</v>
      </c>
      <c r="I1202" s="63" t="e">
        <f t="shared" si="140"/>
        <v>#N/A</v>
      </c>
      <c r="J1202" s="106" t="e">
        <f>VLOOKUP(C1202,'RAW DATA 2023'!E:BO,22,0)</f>
        <v>#N/A</v>
      </c>
      <c r="K1202" s="70" t="e">
        <f t="shared" si="141"/>
        <v>#N/A</v>
      </c>
      <c r="L1202" s="72"/>
      <c r="M1202" s="109" t="e">
        <f t="shared" si="146"/>
        <v>#N/A</v>
      </c>
      <c r="N1202" s="123" t="e">
        <f>VLOOKUP(C1202,'RAW DATA 2023'!E:BO,36,0)</f>
        <v>#N/A</v>
      </c>
      <c r="O1202" s="63" t="e">
        <f>VLOOKUP(C1202,'RAW DATA 2023'!E:BO,2,0)</f>
        <v>#N/A</v>
      </c>
      <c r="P1202" s="322" t="e">
        <f t="shared" si="145"/>
        <v>#N/A</v>
      </c>
    </row>
    <row r="1203" spans="1:16">
      <c r="A1203" s="63">
        <f>'RAW DATA 2023'!B1196</f>
        <v>0</v>
      </c>
      <c r="B1203" s="63">
        <f>'RAW DATA 2023'!D1196</f>
        <v>0</v>
      </c>
      <c r="C1203" s="63" t="str">
        <f t="shared" si="142"/>
        <v>00</v>
      </c>
      <c r="D1203" s="68" t="e">
        <f>VLOOKUP(C1203,'RAW DATA 2023'!E:BP,63,0)</f>
        <v>#N/A</v>
      </c>
      <c r="E1203" s="68" t="e">
        <f t="shared" si="143"/>
        <v>#N/A</v>
      </c>
      <c r="F1203" s="63" t="e">
        <f>VLOOKUP(C1203,'RAW DATA 2023'!E:BO,5,0)</f>
        <v>#N/A</v>
      </c>
      <c r="G1203" s="63" t="e">
        <f>VLOOKUP(C1203,'RAW DATA 2023'!E:BO,13,0)</f>
        <v>#N/A</v>
      </c>
      <c r="H1203" s="63" t="e">
        <f t="shared" si="144"/>
        <v>#N/A</v>
      </c>
      <c r="I1203" s="63" t="e">
        <f t="shared" si="140"/>
        <v>#N/A</v>
      </c>
      <c r="J1203" s="106" t="e">
        <f>VLOOKUP(C1203,'RAW DATA 2023'!E:BO,22,0)</f>
        <v>#N/A</v>
      </c>
      <c r="K1203" s="70" t="e">
        <f t="shared" si="141"/>
        <v>#N/A</v>
      </c>
      <c r="L1203" s="72"/>
      <c r="M1203" s="109" t="e">
        <f t="shared" si="146"/>
        <v>#N/A</v>
      </c>
      <c r="N1203" s="123" t="e">
        <f>VLOOKUP(C1203,'RAW DATA 2023'!E:BO,36,0)</f>
        <v>#N/A</v>
      </c>
      <c r="O1203" s="63" t="e">
        <f>VLOOKUP(C1203,'RAW DATA 2023'!E:BO,2,0)</f>
        <v>#N/A</v>
      </c>
      <c r="P1203" s="322" t="e">
        <f t="shared" si="145"/>
        <v>#N/A</v>
      </c>
    </row>
    <row r="1204" spans="1:16">
      <c r="A1204" s="63">
        <f>'RAW DATA 2023'!B1197</f>
        <v>0</v>
      </c>
      <c r="B1204" s="63">
        <f>'RAW DATA 2023'!D1197</f>
        <v>0</v>
      </c>
      <c r="C1204" s="63" t="str">
        <f t="shared" si="142"/>
        <v>00</v>
      </c>
      <c r="D1204" s="68" t="e">
        <f>VLOOKUP(C1204,'RAW DATA 2023'!E:BP,63,0)</f>
        <v>#N/A</v>
      </c>
      <c r="E1204" s="68" t="e">
        <f t="shared" si="143"/>
        <v>#N/A</v>
      </c>
      <c r="F1204" s="63" t="e">
        <f>VLOOKUP(C1204,'RAW DATA 2023'!E:BO,5,0)</f>
        <v>#N/A</v>
      </c>
      <c r="G1204" s="63" t="e">
        <f>VLOOKUP(C1204,'RAW DATA 2023'!E:BO,13,0)</f>
        <v>#N/A</v>
      </c>
      <c r="H1204" s="63" t="e">
        <f t="shared" si="144"/>
        <v>#N/A</v>
      </c>
      <c r="I1204" s="63" t="e">
        <f t="shared" si="140"/>
        <v>#N/A</v>
      </c>
      <c r="J1204" s="106" t="e">
        <f>VLOOKUP(C1204,'RAW DATA 2023'!E:BO,22,0)</f>
        <v>#N/A</v>
      </c>
      <c r="K1204" s="70" t="e">
        <f t="shared" si="141"/>
        <v>#N/A</v>
      </c>
      <c r="L1204" s="72"/>
      <c r="M1204" s="109" t="e">
        <f t="shared" si="146"/>
        <v>#N/A</v>
      </c>
      <c r="N1204" s="123" t="e">
        <f>VLOOKUP(C1204,'RAW DATA 2023'!E:BO,36,0)</f>
        <v>#N/A</v>
      </c>
      <c r="O1204" s="63" t="e">
        <f>VLOOKUP(C1204,'RAW DATA 2023'!E:BO,2,0)</f>
        <v>#N/A</v>
      </c>
      <c r="P1204" s="322" t="e">
        <f t="shared" si="145"/>
        <v>#N/A</v>
      </c>
    </row>
    <row r="1205" spans="1:16">
      <c r="A1205" s="63">
        <f>'RAW DATA 2023'!B1198</f>
        <v>0</v>
      </c>
      <c r="B1205" s="63">
        <f>'RAW DATA 2023'!D1198</f>
        <v>0</v>
      </c>
      <c r="C1205" s="63" t="str">
        <f t="shared" si="142"/>
        <v>00</v>
      </c>
      <c r="D1205" s="68" t="e">
        <f>VLOOKUP(C1205,'RAW DATA 2023'!E:BP,63,0)</f>
        <v>#N/A</v>
      </c>
      <c r="E1205" s="68" t="e">
        <f t="shared" si="143"/>
        <v>#N/A</v>
      </c>
      <c r="F1205" s="63" t="e">
        <f>VLOOKUP(C1205,'RAW DATA 2023'!E:BO,5,0)</f>
        <v>#N/A</v>
      </c>
      <c r="G1205" s="63" t="e">
        <f>VLOOKUP(C1205,'RAW DATA 2023'!E:BO,13,0)</f>
        <v>#N/A</v>
      </c>
      <c r="H1205" s="63" t="e">
        <f t="shared" si="144"/>
        <v>#N/A</v>
      </c>
      <c r="I1205" s="63" t="e">
        <f t="shared" si="140"/>
        <v>#N/A</v>
      </c>
      <c r="J1205" s="106" t="e">
        <f>VLOOKUP(C1205,'RAW DATA 2023'!E:BO,22,0)</f>
        <v>#N/A</v>
      </c>
      <c r="K1205" s="70" t="e">
        <f t="shared" si="141"/>
        <v>#N/A</v>
      </c>
      <c r="L1205" s="72"/>
      <c r="M1205" s="109" t="e">
        <f t="shared" si="146"/>
        <v>#N/A</v>
      </c>
      <c r="N1205" s="123" t="e">
        <f>VLOOKUP(C1205,'RAW DATA 2023'!E:BO,36,0)</f>
        <v>#N/A</v>
      </c>
      <c r="O1205" s="63" t="e">
        <f>VLOOKUP(C1205,'RAW DATA 2023'!E:BO,2,0)</f>
        <v>#N/A</v>
      </c>
      <c r="P1205" s="322" t="e">
        <f t="shared" si="145"/>
        <v>#N/A</v>
      </c>
    </row>
    <row r="1206" spans="1:16">
      <c r="A1206" s="63">
        <f>'RAW DATA 2023'!B1199</f>
        <v>0</v>
      </c>
      <c r="B1206" s="63">
        <f>'RAW DATA 2023'!D1199</f>
        <v>0</v>
      </c>
      <c r="C1206" s="63" t="str">
        <f t="shared" si="142"/>
        <v>00</v>
      </c>
      <c r="D1206" s="68" t="e">
        <f>VLOOKUP(C1206,'RAW DATA 2023'!E:BP,63,0)</f>
        <v>#N/A</v>
      </c>
      <c r="E1206" s="68" t="e">
        <f t="shared" si="143"/>
        <v>#N/A</v>
      </c>
      <c r="F1206" s="63" t="e">
        <f>VLOOKUP(C1206,'RAW DATA 2023'!E:BO,5,0)</f>
        <v>#N/A</v>
      </c>
      <c r="G1206" s="63" t="e">
        <f>VLOOKUP(C1206,'RAW DATA 2023'!E:BO,13,0)</f>
        <v>#N/A</v>
      </c>
      <c r="H1206" s="63" t="e">
        <f t="shared" si="144"/>
        <v>#N/A</v>
      </c>
      <c r="I1206" s="63" t="e">
        <f t="shared" ref="I1206:I1221" si="147">IF(F1206=$W$1,VLOOKUP(H1206,Y:Z,2,0),VLOOKUP(H1206,AF:AG,2,0))</f>
        <v>#N/A</v>
      </c>
      <c r="J1206" s="106" t="e">
        <f>VLOOKUP(C1206,'RAW DATA 2023'!E:BO,22,0)</f>
        <v>#N/A</v>
      </c>
      <c r="K1206" s="70" t="e">
        <f t="shared" si="141"/>
        <v>#N/A</v>
      </c>
      <c r="L1206" s="72"/>
      <c r="M1206" s="109" t="e">
        <f t="shared" si="146"/>
        <v>#N/A</v>
      </c>
      <c r="N1206" s="123" t="e">
        <f>VLOOKUP(C1206,'RAW DATA 2023'!E:BO,36,0)</f>
        <v>#N/A</v>
      </c>
      <c r="O1206" s="63" t="e">
        <f>VLOOKUP(C1206,'RAW DATA 2023'!E:BO,2,0)</f>
        <v>#N/A</v>
      </c>
      <c r="P1206" s="322" t="e">
        <f t="shared" si="145"/>
        <v>#N/A</v>
      </c>
    </row>
    <row r="1207" spans="1:16">
      <c r="A1207" s="63">
        <f>'RAW DATA 2023'!B1200</f>
        <v>0</v>
      </c>
      <c r="B1207" s="63">
        <f>'RAW DATA 2023'!D1200</f>
        <v>0</v>
      </c>
      <c r="C1207" s="63" t="str">
        <f t="shared" si="142"/>
        <v>00</v>
      </c>
      <c r="D1207" s="68" t="e">
        <f>VLOOKUP(C1207,'RAW DATA 2023'!E:BP,63,0)</f>
        <v>#N/A</v>
      </c>
      <c r="E1207" s="68" t="e">
        <f t="shared" si="143"/>
        <v>#N/A</v>
      </c>
      <c r="F1207" s="63" t="e">
        <f>VLOOKUP(C1207,'RAW DATA 2023'!E:BO,5,0)</f>
        <v>#N/A</v>
      </c>
      <c r="G1207" s="63" t="e">
        <f>VLOOKUP(C1207,'RAW DATA 2023'!E:BO,13,0)</f>
        <v>#N/A</v>
      </c>
      <c r="H1207" s="63" t="e">
        <f t="shared" si="144"/>
        <v>#N/A</v>
      </c>
      <c r="I1207" s="63" t="e">
        <f t="shared" si="147"/>
        <v>#N/A</v>
      </c>
      <c r="J1207" s="106" t="e">
        <f>VLOOKUP(C1207,'RAW DATA 2023'!E:BO,22,0)</f>
        <v>#N/A</v>
      </c>
      <c r="K1207" s="70" t="e">
        <f t="shared" ref="K1207:K1221" si="148">J1207/I1207</f>
        <v>#N/A</v>
      </c>
      <c r="L1207" s="72"/>
      <c r="M1207" s="109" t="e">
        <f t="shared" si="146"/>
        <v>#N/A</v>
      </c>
      <c r="N1207" s="123" t="e">
        <f>VLOOKUP(C1207,'RAW DATA 2023'!E:BO,36,0)</f>
        <v>#N/A</v>
      </c>
      <c r="O1207" s="63" t="e">
        <f>VLOOKUP(C1207,'RAW DATA 2023'!E:BO,2,0)</f>
        <v>#N/A</v>
      </c>
      <c r="P1207" s="322" t="e">
        <f t="shared" si="145"/>
        <v>#N/A</v>
      </c>
    </row>
    <row r="1208" spans="1:16">
      <c r="A1208" s="63">
        <f>'RAW DATA 2023'!B1201</f>
        <v>0</v>
      </c>
      <c r="B1208" s="63">
        <f>'RAW DATA 2023'!D1201</f>
        <v>0</v>
      </c>
      <c r="C1208" s="63" t="str">
        <f t="shared" si="142"/>
        <v>00</v>
      </c>
      <c r="D1208" s="68" t="e">
        <f>VLOOKUP(C1208,'RAW DATA 2023'!E:BP,63,0)</f>
        <v>#N/A</v>
      </c>
      <c r="E1208" s="68" t="e">
        <f t="shared" si="143"/>
        <v>#N/A</v>
      </c>
      <c r="F1208" s="63" t="e">
        <f>VLOOKUP(C1208,'RAW DATA 2023'!E:BO,5,0)</f>
        <v>#N/A</v>
      </c>
      <c r="G1208" s="63" t="e">
        <f>VLOOKUP(C1208,'RAW DATA 2023'!E:BO,13,0)</f>
        <v>#N/A</v>
      </c>
      <c r="H1208" s="63" t="e">
        <f t="shared" si="144"/>
        <v>#N/A</v>
      </c>
      <c r="I1208" s="63" t="e">
        <f t="shared" si="147"/>
        <v>#N/A</v>
      </c>
      <c r="J1208" s="106" t="e">
        <f>VLOOKUP(C1208,'RAW DATA 2023'!E:BO,22,0)</f>
        <v>#N/A</v>
      </c>
      <c r="K1208" s="70" t="e">
        <f t="shared" si="148"/>
        <v>#N/A</v>
      </c>
      <c r="L1208" s="72"/>
      <c r="M1208" s="109" t="e">
        <f t="shared" si="146"/>
        <v>#N/A</v>
      </c>
      <c r="N1208" s="123" t="e">
        <f>VLOOKUP(C1208,'RAW DATA 2023'!E:BO,36,0)</f>
        <v>#N/A</v>
      </c>
      <c r="O1208" s="63" t="e">
        <f>VLOOKUP(C1208,'RAW DATA 2023'!E:BO,2,0)</f>
        <v>#N/A</v>
      </c>
      <c r="P1208" s="322" t="e">
        <f t="shared" si="145"/>
        <v>#N/A</v>
      </c>
    </row>
    <row r="1209" spans="1:16">
      <c r="A1209" s="63">
        <f>'RAW DATA 2023'!B1202</f>
        <v>0</v>
      </c>
      <c r="B1209" s="63">
        <f>'RAW DATA 2023'!D1202</f>
        <v>0</v>
      </c>
      <c r="C1209" s="63" t="str">
        <f t="shared" si="142"/>
        <v>00</v>
      </c>
      <c r="D1209" s="68" t="e">
        <f>VLOOKUP(C1209,'RAW DATA 2023'!E:BP,63,0)</f>
        <v>#N/A</v>
      </c>
      <c r="E1209" s="68" t="e">
        <f t="shared" si="143"/>
        <v>#N/A</v>
      </c>
      <c r="F1209" s="63" t="e">
        <f>VLOOKUP(C1209,'RAW DATA 2023'!E:BO,5,0)</f>
        <v>#N/A</v>
      </c>
      <c r="G1209" s="63" t="e">
        <f>VLOOKUP(C1209,'RAW DATA 2023'!E:BO,13,0)</f>
        <v>#N/A</v>
      </c>
      <c r="H1209" s="63" t="e">
        <f t="shared" si="144"/>
        <v>#N/A</v>
      </c>
      <c r="I1209" s="63" t="e">
        <f t="shared" si="147"/>
        <v>#N/A</v>
      </c>
      <c r="J1209" s="106" t="e">
        <f>VLOOKUP(C1209,'RAW DATA 2023'!E:BO,22,0)</f>
        <v>#N/A</v>
      </c>
      <c r="K1209" s="70" t="e">
        <f t="shared" si="148"/>
        <v>#N/A</v>
      </c>
      <c r="L1209" s="72"/>
      <c r="M1209" s="109" t="e">
        <f t="shared" si="146"/>
        <v>#N/A</v>
      </c>
      <c r="N1209" s="123" t="e">
        <f>VLOOKUP(C1209,'RAW DATA 2023'!E:BO,36,0)</f>
        <v>#N/A</v>
      </c>
      <c r="O1209" s="63" t="e">
        <f>VLOOKUP(C1209,'RAW DATA 2023'!E:BO,2,0)</f>
        <v>#N/A</v>
      </c>
      <c r="P1209" s="322" t="e">
        <f t="shared" si="145"/>
        <v>#N/A</v>
      </c>
    </row>
    <row r="1210" spans="1:16">
      <c r="A1210" s="63">
        <f>'RAW DATA 2023'!B1203</f>
        <v>0</v>
      </c>
      <c r="B1210" s="63">
        <f>'RAW DATA 2023'!D1203</f>
        <v>0</v>
      </c>
      <c r="C1210" s="63" t="str">
        <f t="shared" si="142"/>
        <v>00</v>
      </c>
      <c r="D1210" s="68" t="e">
        <f>VLOOKUP(C1210,'RAW DATA 2023'!E:BP,63,0)</f>
        <v>#N/A</v>
      </c>
      <c r="E1210" s="68" t="e">
        <f t="shared" si="143"/>
        <v>#N/A</v>
      </c>
      <c r="F1210" s="63" t="e">
        <f>VLOOKUP(C1210,'RAW DATA 2023'!E:BO,5,0)</f>
        <v>#N/A</v>
      </c>
      <c r="G1210" s="63" t="e">
        <f>VLOOKUP(C1210,'RAW DATA 2023'!E:BO,13,0)</f>
        <v>#N/A</v>
      </c>
      <c r="H1210" s="63" t="e">
        <f t="shared" si="144"/>
        <v>#N/A</v>
      </c>
      <c r="I1210" s="63" t="e">
        <f t="shared" si="147"/>
        <v>#N/A</v>
      </c>
      <c r="J1210" s="106" t="e">
        <f>VLOOKUP(C1210,'RAW DATA 2023'!E:BO,22,0)</f>
        <v>#N/A</v>
      </c>
      <c r="K1210" s="70" t="e">
        <f t="shared" si="148"/>
        <v>#N/A</v>
      </c>
      <c r="L1210" s="72"/>
      <c r="M1210" s="109" t="e">
        <f t="shared" si="146"/>
        <v>#N/A</v>
      </c>
      <c r="N1210" s="123" t="e">
        <f>VLOOKUP(C1210,'RAW DATA 2023'!E:BO,36,0)</f>
        <v>#N/A</v>
      </c>
      <c r="O1210" s="63" t="e">
        <f>VLOOKUP(C1210,'RAW DATA 2023'!E:BO,2,0)</f>
        <v>#N/A</v>
      </c>
      <c r="P1210" s="322" t="e">
        <f t="shared" si="145"/>
        <v>#N/A</v>
      </c>
    </row>
    <row r="1211" spans="1:16">
      <c r="A1211" s="63">
        <f>'RAW DATA 2023'!B1204</f>
        <v>0</v>
      </c>
      <c r="B1211" s="63">
        <f>'RAW DATA 2023'!D1204</f>
        <v>0</v>
      </c>
      <c r="C1211" s="63" t="str">
        <f t="shared" si="142"/>
        <v>00</v>
      </c>
      <c r="D1211" s="68" t="e">
        <f>VLOOKUP(C1211,'RAW DATA 2023'!E:BP,63,0)</f>
        <v>#N/A</v>
      </c>
      <c r="E1211" s="68" t="e">
        <f t="shared" si="143"/>
        <v>#N/A</v>
      </c>
      <c r="F1211" s="63" t="e">
        <f>VLOOKUP(C1211,'RAW DATA 2023'!E:BO,5,0)</f>
        <v>#N/A</v>
      </c>
      <c r="G1211" s="63" t="e">
        <f>VLOOKUP(C1211,'RAW DATA 2023'!E:BO,13,0)</f>
        <v>#N/A</v>
      </c>
      <c r="H1211" s="63" t="e">
        <f t="shared" si="144"/>
        <v>#N/A</v>
      </c>
      <c r="I1211" s="63" t="e">
        <f t="shared" si="147"/>
        <v>#N/A</v>
      </c>
      <c r="J1211" s="106" t="e">
        <f>VLOOKUP(C1211,'RAW DATA 2023'!E:BO,22,0)</f>
        <v>#N/A</v>
      </c>
      <c r="K1211" s="70" t="e">
        <f t="shared" si="148"/>
        <v>#N/A</v>
      </c>
      <c r="L1211" s="72"/>
      <c r="M1211" s="109" t="e">
        <f t="shared" si="146"/>
        <v>#N/A</v>
      </c>
      <c r="N1211" s="123" t="e">
        <f>VLOOKUP(C1211,'RAW DATA 2023'!E:BO,36,0)</f>
        <v>#N/A</v>
      </c>
      <c r="O1211" s="63" t="e">
        <f>VLOOKUP(C1211,'RAW DATA 2023'!E:BO,2,0)</f>
        <v>#N/A</v>
      </c>
      <c r="P1211" s="322" t="e">
        <f t="shared" si="145"/>
        <v>#N/A</v>
      </c>
    </row>
    <row r="1212" spans="1:16">
      <c r="A1212" s="63">
        <f>'RAW DATA 2023'!B1205</f>
        <v>0</v>
      </c>
      <c r="B1212" s="63">
        <f>'RAW DATA 2023'!D1205</f>
        <v>0</v>
      </c>
      <c r="C1212" s="63" t="str">
        <f t="shared" si="142"/>
        <v>00</v>
      </c>
      <c r="D1212" s="68" t="e">
        <f>VLOOKUP(C1212,'RAW DATA 2023'!E:BP,63,0)</f>
        <v>#N/A</v>
      </c>
      <c r="E1212" s="68" t="e">
        <f t="shared" si="143"/>
        <v>#N/A</v>
      </c>
      <c r="F1212" s="63" t="e">
        <f>VLOOKUP(C1212,'RAW DATA 2023'!E:BO,5,0)</f>
        <v>#N/A</v>
      </c>
      <c r="G1212" s="63" t="e">
        <f>VLOOKUP(C1212,'RAW DATA 2023'!E:BO,13,0)</f>
        <v>#N/A</v>
      </c>
      <c r="H1212" s="63" t="e">
        <f t="shared" si="144"/>
        <v>#N/A</v>
      </c>
      <c r="I1212" s="63" t="e">
        <f t="shared" si="147"/>
        <v>#N/A</v>
      </c>
      <c r="J1212" s="106" t="e">
        <f>VLOOKUP(C1212,'RAW DATA 2023'!E:BO,22,0)</f>
        <v>#N/A</v>
      </c>
      <c r="K1212" s="70" t="e">
        <f t="shared" si="148"/>
        <v>#N/A</v>
      </c>
      <c r="L1212" s="72"/>
      <c r="M1212" s="109" t="e">
        <f t="shared" si="146"/>
        <v>#N/A</v>
      </c>
      <c r="N1212" s="123" t="e">
        <f>VLOOKUP(C1212,'RAW DATA 2023'!E:BO,36,0)</f>
        <v>#N/A</v>
      </c>
      <c r="O1212" s="63" t="e">
        <f>VLOOKUP(C1212,'RAW DATA 2023'!E:BO,2,0)</f>
        <v>#N/A</v>
      </c>
      <c r="P1212" s="322" t="e">
        <f t="shared" si="145"/>
        <v>#N/A</v>
      </c>
    </row>
    <row r="1213" spans="1:16">
      <c r="A1213" s="63">
        <f>'RAW DATA 2023'!B1206</f>
        <v>0</v>
      </c>
      <c r="B1213" s="63">
        <f>'RAW DATA 2023'!D1206</f>
        <v>0</v>
      </c>
      <c r="C1213" s="63" t="str">
        <f t="shared" si="142"/>
        <v>00</v>
      </c>
      <c r="D1213" s="68" t="e">
        <f>VLOOKUP(C1213,'RAW DATA 2023'!E:BP,63,0)</f>
        <v>#N/A</v>
      </c>
      <c r="E1213" s="68" t="e">
        <f t="shared" si="143"/>
        <v>#N/A</v>
      </c>
      <c r="F1213" s="63" t="e">
        <f>VLOOKUP(C1213,'RAW DATA 2023'!E:BO,5,0)</f>
        <v>#N/A</v>
      </c>
      <c r="G1213" s="63" t="e">
        <f>VLOOKUP(C1213,'RAW DATA 2023'!E:BO,13,0)</f>
        <v>#N/A</v>
      </c>
      <c r="H1213" s="63" t="e">
        <f t="shared" si="144"/>
        <v>#N/A</v>
      </c>
      <c r="I1213" s="63" t="e">
        <f t="shared" si="147"/>
        <v>#N/A</v>
      </c>
      <c r="J1213" s="106" t="e">
        <f>VLOOKUP(C1213,'RAW DATA 2023'!E:BO,22,0)</f>
        <v>#N/A</v>
      </c>
      <c r="K1213" s="70" t="e">
        <f t="shared" si="148"/>
        <v>#N/A</v>
      </c>
      <c r="L1213" s="72"/>
      <c r="M1213" s="109" t="e">
        <f t="shared" si="146"/>
        <v>#N/A</v>
      </c>
      <c r="N1213" s="123" t="e">
        <f>VLOOKUP(C1213,'RAW DATA 2023'!E:BO,36,0)</f>
        <v>#N/A</v>
      </c>
      <c r="O1213" s="63" t="e">
        <f>VLOOKUP(C1213,'RAW DATA 2023'!E:BO,2,0)</f>
        <v>#N/A</v>
      </c>
      <c r="P1213" s="322" t="e">
        <f t="shared" si="145"/>
        <v>#N/A</v>
      </c>
    </row>
    <row r="1214" spans="1:16">
      <c r="A1214" s="63">
        <f>'RAW DATA 2023'!B1207</f>
        <v>0</v>
      </c>
      <c r="B1214" s="63">
        <f>'RAW DATA 2023'!D1207</f>
        <v>0</v>
      </c>
      <c r="C1214" s="63" t="str">
        <f t="shared" si="142"/>
        <v>00</v>
      </c>
      <c r="D1214" s="68" t="e">
        <f>VLOOKUP(C1214,'RAW DATA 2023'!E:BP,63,0)</f>
        <v>#N/A</v>
      </c>
      <c r="E1214" s="68" t="e">
        <f t="shared" si="143"/>
        <v>#N/A</v>
      </c>
      <c r="F1214" s="63" t="e">
        <f>VLOOKUP(C1214,'RAW DATA 2023'!E:BO,5,0)</f>
        <v>#N/A</v>
      </c>
      <c r="G1214" s="63" t="e">
        <f>VLOOKUP(C1214,'RAW DATA 2023'!E:BO,13,0)</f>
        <v>#N/A</v>
      </c>
      <c r="H1214" s="63" t="e">
        <f t="shared" si="144"/>
        <v>#N/A</v>
      </c>
      <c r="I1214" s="63" t="e">
        <f t="shared" si="147"/>
        <v>#N/A</v>
      </c>
      <c r="J1214" s="106" t="e">
        <f>VLOOKUP(C1214,'RAW DATA 2023'!E:BO,22,0)</f>
        <v>#N/A</v>
      </c>
      <c r="K1214" s="70" t="e">
        <f t="shared" si="148"/>
        <v>#N/A</v>
      </c>
      <c r="L1214" s="72"/>
      <c r="M1214" s="109" t="e">
        <f t="shared" si="146"/>
        <v>#N/A</v>
      </c>
      <c r="N1214" s="123" t="e">
        <f>VLOOKUP(C1214,'RAW DATA 2023'!E:BO,36,0)</f>
        <v>#N/A</v>
      </c>
      <c r="O1214" s="63" t="e">
        <f>VLOOKUP(C1214,'RAW DATA 2023'!E:BO,2,0)</f>
        <v>#N/A</v>
      </c>
      <c r="P1214" s="322" t="e">
        <f t="shared" si="145"/>
        <v>#N/A</v>
      </c>
    </row>
    <row r="1215" spans="1:16">
      <c r="A1215" s="63">
        <f>'RAW DATA 2023'!B1208</f>
        <v>0</v>
      </c>
      <c r="B1215" s="63">
        <f>'RAW DATA 2023'!D1208</f>
        <v>0</v>
      </c>
      <c r="C1215" s="63" t="str">
        <f t="shared" si="142"/>
        <v>00</v>
      </c>
      <c r="D1215" s="68" t="e">
        <f>VLOOKUP(C1215,'RAW DATA 2023'!E:BP,63,0)</f>
        <v>#N/A</v>
      </c>
      <c r="E1215" s="68" t="e">
        <f t="shared" si="143"/>
        <v>#N/A</v>
      </c>
      <c r="F1215" s="63" t="e">
        <f>VLOOKUP(C1215,'RAW DATA 2023'!E:BO,5,0)</f>
        <v>#N/A</v>
      </c>
      <c r="G1215" s="63" t="e">
        <f>VLOOKUP(C1215,'RAW DATA 2023'!E:BO,13,0)</f>
        <v>#N/A</v>
      </c>
      <c r="H1215" s="63" t="e">
        <f t="shared" si="144"/>
        <v>#N/A</v>
      </c>
      <c r="I1215" s="63" t="e">
        <f t="shared" si="147"/>
        <v>#N/A</v>
      </c>
      <c r="J1215" s="106" t="e">
        <f>VLOOKUP(C1215,'RAW DATA 2023'!E:BO,22,0)</f>
        <v>#N/A</v>
      </c>
      <c r="K1215" s="70" t="e">
        <f t="shared" si="148"/>
        <v>#N/A</v>
      </c>
      <c r="L1215" s="72"/>
      <c r="M1215" s="109" t="e">
        <f t="shared" si="146"/>
        <v>#N/A</v>
      </c>
      <c r="N1215" s="123" t="e">
        <f>VLOOKUP(C1215,'RAW DATA 2023'!E:BO,36,0)</f>
        <v>#N/A</v>
      </c>
      <c r="O1215" s="63" t="e">
        <f>VLOOKUP(C1215,'RAW DATA 2023'!E:BO,2,0)</f>
        <v>#N/A</v>
      </c>
      <c r="P1215" s="322" t="e">
        <f t="shared" si="145"/>
        <v>#N/A</v>
      </c>
    </row>
    <row r="1216" spans="1:16">
      <c r="A1216" s="63">
        <f>'RAW DATA 2023'!B1209</f>
        <v>0</v>
      </c>
      <c r="B1216" s="63">
        <f>'RAW DATA 2023'!D1209</f>
        <v>0</v>
      </c>
      <c r="C1216" s="63" t="str">
        <f t="shared" si="142"/>
        <v>00</v>
      </c>
      <c r="D1216" s="68" t="e">
        <f>VLOOKUP(C1216,'RAW DATA 2023'!E:BP,63,0)</f>
        <v>#N/A</v>
      </c>
      <c r="E1216" s="68" t="e">
        <f t="shared" si="143"/>
        <v>#N/A</v>
      </c>
      <c r="F1216" s="63" t="e">
        <f>VLOOKUP(C1216,'RAW DATA 2023'!E:BO,5,0)</f>
        <v>#N/A</v>
      </c>
      <c r="G1216" s="63" t="e">
        <f>VLOOKUP(C1216,'RAW DATA 2023'!E:BO,13,0)</f>
        <v>#N/A</v>
      </c>
      <c r="H1216" s="63" t="e">
        <f t="shared" si="144"/>
        <v>#N/A</v>
      </c>
      <c r="I1216" s="63" t="e">
        <f t="shared" si="147"/>
        <v>#N/A</v>
      </c>
      <c r="J1216" s="106" t="e">
        <f>VLOOKUP(C1216,'RAW DATA 2023'!E:BO,22,0)</f>
        <v>#N/A</v>
      </c>
      <c r="K1216" s="70" t="e">
        <f t="shared" si="148"/>
        <v>#N/A</v>
      </c>
      <c r="L1216" s="72"/>
      <c r="M1216" s="109" t="e">
        <f t="shared" si="146"/>
        <v>#N/A</v>
      </c>
      <c r="N1216" s="123" t="e">
        <f>VLOOKUP(C1216,'RAW DATA 2023'!E:BO,36,0)</f>
        <v>#N/A</v>
      </c>
      <c r="O1216" s="63" t="e">
        <f>VLOOKUP(C1216,'RAW DATA 2023'!E:BO,2,0)</f>
        <v>#N/A</v>
      </c>
      <c r="P1216" s="322" t="e">
        <f t="shared" si="145"/>
        <v>#N/A</v>
      </c>
    </row>
    <row r="1217" spans="1:16">
      <c r="A1217" s="63">
        <f>'RAW DATA 2023'!B1210</f>
        <v>0</v>
      </c>
      <c r="B1217" s="63">
        <f>'RAW DATA 2023'!D1210</f>
        <v>0</v>
      </c>
      <c r="C1217" s="63" t="str">
        <f t="shared" si="142"/>
        <v>00</v>
      </c>
      <c r="D1217" s="68" t="e">
        <f>VLOOKUP(C1217,'RAW DATA 2023'!E:BP,63,0)</f>
        <v>#N/A</v>
      </c>
      <c r="E1217" s="68" t="e">
        <f t="shared" si="143"/>
        <v>#N/A</v>
      </c>
      <c r="F1217" s="63" t="e">
        <f>VLOOKUP(C1217,'RAW DATA 2023'!E:BO,5,0)</f>
        <v>#N/A</v>
      </c>
      <c r="G1217" s="63" t="e">
        <f>VLOOKUP(C1217,'RAW DATA 2023'!E:BO,13,0)</f>
        <v>#N/A</v>
      </c>
      <c r="H1217" s="63" t="e">
        <f t="shared" si="144"/>
        <v>#N/A</v>
      </c>
      <c r="I1217" s="63" t="e">
        <f t="shared" si="147"/>
        <v>#N/A</v>
      </c>
      <c r="J1217" s="106" t="e">
        <f>VLOOKUP(C1217,'RAW DATA 2023'!E:BO,22,0)</f>
        <v>#N/A</v>
      </c>
      <c r="K1217" s="70" t="e">
        <f t="shared" si="148"/>
        <v>#N/A</v>
      </c>
      <c r="L1217" s="72"/>
      <c r="M1217" s="109" t="e">
        <f t="shared" si="146"/>
        <v>#N/A</v>
      </c>
      <c r="N1217" s="123" t="e">
        <f>VLOOKUP(C1217,'RAW DATA 2023'!E:BO,36,0)</f>
        <v>#N/A</v>
      </c>
      <c r="O1217" s="63" t="e">
        <f>VLOOKUP(C1217,'RAW DATA 2023'!E:BO,2,0)</f>
        <v>#N/A</v>
      </c>
      <c r="P1217" s="322" t="e">
        <f t="shared" si="145"/>
        <v>#N/A</v>
      </c>
    </row>
    <row r="1218" spans="1:16">
      <c r="A1218" s="63">
        <f>'RAW DATA 2023'!B1211</f>
        <v>0</v>
      </c>
      <c r="B1218" s="63">
        <f>'RAW DATA 2023'!D1211</f>
        <v>0</v>
      </c>
      <c r="C1218" s="63" t="str">
        <f t="shared" si="142"/>
        <v>00</v>
      </c>
      <c r="D1218" s="68" t="e">
        <f>VLOOKUP(C1218,'RAW DATA 2023'!E:BP,63,0)</f>
        <v>#N/A</v>
      </c>
      <c r="E1218" s="68" t="e">
        <f t="shared" si="143"/>
        <v>#N/A</v>
      </c>
      <c r="F1218" s="63" t="e">
        <f>VLOOKUP(C1218,'RAW DATA 2023'!E:BO,5,0)</f>
        <v>#N/A</v>
      </c>
      <c r="G1218" s="63" t="e">
        <f>VLOOKUP(C1218,'RAW DATA 2023'!E:BO,13,0)</f>
        <v>#N/A</v>
      </c>
      <c r="H1218" s="63" t="e">
        <f t="shared" si="144"/>
        <v>#N/A</v>
      </c>
      <c r="I1218" s="63" t="e">
        <f t="shared" si="147"/>
        <v>#N/A</v>
      </c>
      <c r="J1218" s="106" t="e">
        <f>VLOOKUP(C1218,'RAW DATA 2023'!E:BO,22,0)</f>
        <v>#N/A</v>
      </c>
      <c r="K1218" s="70" t="e">
        <f t="shared" si="148"/>
        <v>#N/A</v>
      </c>
      <c r="L1218" s="72"/>
      <c r="M1218" s="109" t="e">
        <f t="shared" si="146"/>
        <v>#N/A</v>
      </c>
      <c r="N1218" s="123" t="e">
        <f>VLOOKUP(C1218,'RAW DATA 2023'!E:BO,36,0)</f>
        <v>#N/A</v>
      </c>
      <c r="O1218" s="63" t="e">
        <f>VLOOKUP(C1218,'RAW DATA 2023'!E:BO,2,0)</f>
        <v>#N/A</v>
      </c>
      <c r="P1218" s="322" t="e">
        <f t="shared" si="145"/>
        <v>#N/A</v>
      </c>
    </row>
    <row r="1219" spans="1:16">
      <c r="A1219" s="63">
        <f>'RAW DATA 2023'!B1212</f>
        <v>0</v>
      </c>
      <c r="B1219" s="63">
        <f>'RAW DATA 2023'!D1212</f>
        <v>0</v>
      </c>
      <c r="C1219" s="63" t="str">
        <f t="shared" si="142"/>
        <v>00</v>
      </c>
      <c r="D1219" s="68" t="e">
        <f>VLOOKUP(C1219,'RAW DATA 2023'!E:BP,63,0)</f>
        <v>#N/A</v>
      </c>
      <c r="E1219" s="68" t="e">
        <f t="shared" si="143"/>
        <v>#N/A</v>
      </c>
      <c r="F1219" s="63" t="e">
        <f>VLOOKUP(C1219,'RAW DATA 2023'!E:BO,5,0)</f>
        <v>#N/A</v>
      </c>
      <c r="G1219" s="63" t="e">
        <f>VLOOKUP(C1219,'RAW DATA 2023'!E:BO,13,0)</f>
        <v>#N/A</v>
      </c>
      <c r="H1219" s="63" t="e">
        <f t="shared" si="144"/>
        <v>#N/A</v>
      </c>
      <c r="I1219" s="63" t="e">
        <f t="shared" si="147"/>
        <v>#N/A</v>
      </c>
      <c r="J1219" s="106" t="e">
        <f>VLOOKUP(C1219,'RAW DATA 2023'!E:BO,22,0)</f>
        <v>#N/A</v>
      </c>
      <c r="K1219" s="70" t="e">
        <f t="shared" si="148"/>
        <v>#N/A</v>
      </c>
      <c r="L1219" s="72"/>
      <c r="M1219" s="109" t="e">
        <f t="shared" si="146"/>
        <v>#N/A</v>
      </c>
      <c r="N1219" s="123" t="e">
        <f>VLOOKUP(C1219,'RAW DATA 2023'!E:BO,36,0)</f>
        <v>#N/A</v>
      </c>
      <c r="O1219" s="63" t="e">
        <f>VLOOKUP(C1219,'RAW DATA 2023'!E:BO,2,0)</f>
        <v>#N/A</v>
      </c>
      <c r="P1219" s="322" t="e">
        <f t="shared" si="145"/>
        <v>#N/A</v>
      </c>
    </row>
    <row r="1220" spans="1:16">
      <c r="A1220" s="63">
        <f>'RAW DATA 2023'!B1213</f>
        <v>0</v>
      </c>
      <c r="B1220" s="63">
        <f>'RAW DATA 2023'!D1213</f>
        <v>0</v>
      </c>
      <c r="C1220" s="63" t="str">
        <f t="shared" si="142"/>
        <v>00</v>
      </c>
      <c r="D1220" s="68" t="e">
        <f>VLOOKUP(C1220,'RAW DATA 2023'!E:BP,63,0)</f>
        <v>#N/A</v>
      </c>
      <c r="E1220" s="68" t="e">
        <f t="shared" si="143"/>
        <v>#N/A</v>
      </c>
      <c r="F1220" s="63" t="e">
        <f>VLOOKUP(C1220,'RAW DATA 2023'!E:BO,5,0)</f>
        <v>#N/A</v>
      </c>
      <c r="G1220" s="63" t="e">
        <f>VLOOKUP(C1220,'RAW DATA 2023'!E:BO,13,0)</f>
        <v>#N/A</v>
      </c>
      <c r="H1220" s="63" t="e">
        <f t="shared" si="144"/>
        <v>#N/A</v>
      </c>
      <c r="I1220" s="63" t="e">
        <f t="shared" si="147"/>
        <v>#N/A</v>
      </c>
      <c r="J1220" s="106" t="e">
        <f>VLOOKUP(C1220,'RAW DATA 2023'!E:BO,22,0)</f>
        <v>#N/A</v>
      </c>
      <c r="K1220" s="70" t="e">
        <f t="shared" si="148"/>
        <v>#N/A</v>
      </c>
      <c r="L1220" s="72"/>
      <c r="M1220" s="109" t="e">
        <f t="shared" si="146"/>
        <v>#N/A</v>
      </c>
      <c r="N1220" s="123" t="e">
        <f>VLOOKUP(C1220,'RAW DATA 2023'!E:BO,36,0)</f>
        <v>#N/A</v>
      </c>
      <c r="O1220" s="63" t="e">
        <f>VLOOKUP(C1220,'RAW DATA 2023'!E:BO,2,0)</f>
        <v>#N/A</v>
      </c>
      <c r="P1220" s="322" t="e">
        <f t="shared" si="145"/>
        <v>#N/A</v>
      </c>
    </row>
    <row r="1221" spans="1:16">
      <c r="A1221" s="63">
        <f>'RAW DATA 2023'!B1214</f>
        <v>0</v>
      </c>
      <c r="B1221" s="63">
        <f>'RAW DATA 2023'!D1214</f>
        <v>0</v>
      </c>
      <c r="C1221" s="63" t="str">
        <f t="shared" si="142"/>
        <v>00</v>
      </c>
      <c r="D1221" s="68" t="e">
        <f>VLOOKUP(C1221,'RAW DATA 2023'!E:BP,63,0)</f>
        <v>#N/A</v>
      </c>
      <c r="E1221" s="68" t="e">
        <f t="shared" si="143"/>
        <v>#N/A</v>
      </c>
      <c r="F1221" s="63" t="e">
        <f>VLOOKUP(C1221,'RAW DATA 2023'!E:BO,5,0)</f>
        <v>#N/A</v>
      </c>
      <c r="G1221" s="63" t="e">
        <f>VLOOKUP(C1221,'RAW DATA 2023'!E:BO,13,0)</f>
        <v>#N/A</v>
      </c>
      <c r="H1221" s="63" t="e">
        <f t="shared" si="144"/>
        <v>#N/A</v>
      </c>
      <c r="I1221" s="63" t="e">
        <f t="shared" si="147"/>
        <v>#N/A</v>
      </c>
      <c r="J1221" s="106" t="e">
        <f>VLOOKUP(C1221,'RAW DATA 2023'!E:BO,22,0)</f>
        <v>#N/A</v>
      </c>
      <c r="K1221" s="70" t="e">
        <f t="shared" si="148"/>
        <v>#N/A</v>
      </c>
      <c r="L1221" s="72"/>
      <c r="M1221" s="109" t="e">
        <f t="shared" si="146"/>
        <v>#N/A</v>
      </c>
      <c r="N1221" s="123" t="e">
        <f>VLOOKUP(C1221,'RAW DATA 2023'!E:BO,36,0)</f>
        <v>#N/A</v>
      </c>
      <c r="O1221" s="63" t="e">
        <f>VLOOKUP(C1221,'RAW DATA 2023'!E:BO,2,0)</f>
        <v>#N/A</v>
      </c>
      <c r="P1221" s="322" t="e">
        <f t="shared" si="145"/>
        <v>#N/A</v>
      </c>
    </row>
    <row r="1222" spans="1:16">
      <c r="D1222" s="68"/>
      <c r="E1222" s="68"/>
      <c r="F1222" s="111"/>
      <c r="L1222" s="72"/>
      <c r="M1222" s="109"/>
      <c r="O1222" s="123"/>
    </row>
    <row r="1223" spans="1:16">
      <c r="D1223" s="68"/>
      <c r="E1223" s="68"/>
      <c r="F1223" s="111"/>
      <c r="L1223" s="72"/>
      <c r="M1223" s="109"/>
      <c r="O1223" s="123"/>
    </row>
    <row r="1224" spans="1:16">
      <c r="D1224" s="68"/>
      <c r="E1224" s="68"/>
      <c r="F1224" s="111"/>
      <c r="L1224" s="72"/>
      <c r="M1224" s="109"/>
      <c r="O1224" s="123"/>
    </row>
    <row r="1225" spans="1:16">
      <c r="D1225" s="68"/>
      <c r="E1225" s="68"/>
      <c r="F1225" s="111"/>
      <c r="L1225" s="72"/>
      <c r="M1225" s="109"/>
      <c r="O1225" s="123"/>
    </row>
    <row r="1226" spans="1:16">
      <c r="D1226" s="68"/>
      <c r="E1226" s="68"/>
      <c r="F1226" s="111"/>
      <c r="L1226" s="72"/>
      <c r="M1226" s="109"/>
      <c r="O1226" s="123"/>
    </row>
    <row r="1227" spans="1:16">
      <c r="D1227" s="68"/>
      <c r="E1227" s="68"/>
      <c r="F1227" s="111"/>
      <c r="L1227" s="72"/>
      <c r="M1227" s="109"/>
      <c r="O1227" s="123"/>
    </row>
    <row r="1228" spans="1:16">
      <c r="D1228" s="68"/>
      <c r="E1228" s="68"/>
      <c r="F1228" s="111"/>
      <c r="L1228" s="72"/>
      <c r="M1228" s="109"/>
      <c r="O1228" s="123"/>
    </row>
    <row r="1229" spans="1:16">
      <c r="D1229" s="68"/>
      <c r="E1229" s="68"/>
      <c r="F1229" s="111"/>
      <c r="L1229" s="72"/>
      <c r="M1229" s="109"/>
      <c r="O1229" s="123"/>
    </row>
    <row r="1230" spans="1:16">
      <c r="D1230" s="68"/>
      <c r="E1230" s="68"/>
      <c r="F1230" s="111"/>
      <c r="L1230" s="72"/>
      <c r="M1230" s="109"/>
      <c r="O1230" s="123"/>
    </row>
    <row r="1231" spans="1:16">
      <c r="D1231" s="68"/>
      <c r="E1231" s="68"/>
      <c r="F1231" s="111"/>
      <c r="L1231" s="72"/>
      <c r="M1231" s="109"/>
      <c r="O1231" s="123"/>
    </row>
    <row r="1232" spans="1:16">
      <c r="D1232" s="68"/>
      <c r="E1232" s="68"/>
      <c r="F1232" s="111"/>
      <c r="L1232" s="72"/>
      <c r="M1232" s="109"/>
      <c r="O1232" s="123"/>
    </row>
    <row r="1233" spans="4:15">
      <c r="D1233" s="68"/>
      <c r="E1233" s="68"/>
      <c r="F1233" s="111"/>
      <c r="L1233" s="72"/>
      <c r="M1233" s="109"/>
      <c r="O1233" s="123"/>
    </row>
    <row r="1234" spans="4:15">
      <c r="D1234" s="68"/>
      <c r="E1234" s="68"/>
      <c r="F1234" s="111"/>
      <c r="L1234" s="72"/>
      <c r="M1234" s="109"/>
      <c r="O1234" s="123"/>
    </row>
    <row r="1235" spans="4:15">
      <c r="D1235" s="68"/>
      <c r="E1235" s="68"/>
      <c r="F1235" s="111"/>
      <c r="L1235" s="72"/>
      <c r="M1235" s="109"/>
      <c r="O1235" s="123"/>
    </row>
    <row r="1236" spans="4:15">
      <c r="D1236" s="68"/>
      <c r="E1236" s="68"/>
      <c r="F1236" s="111"/>
      <c r="L1236" s="72"/>
      <c r="M1236" s="109"/>
      <c r="O1236" s="123"/>
    </row>
    <row r="1237" spans="4:15">
      <c r="D1237" s="68"/>
      <c r="E1237" s="68"/>
      <c r="F1237" s="111"/>
      <c r="L1237" s="72"/>
      <c r="M1237" s="109"/>
      <c r="O1237" s="123"/>
    </row>
    <row r="1238" spans="4:15">
      <c r="D1238" s="68"/>
      <c r="E1238" s="68"/>
      <c r="F1238" s="111"/>
      <c r="L1238" s="72"/>
      <c r="M1238" s="109"/>
      <c r="O1238" s="123"/>
    </row>
    <row r="1239" spans="4:15">
      <c r="D1239" s="68"/>
      <c r="E1239" s="68"/>
      <c r="F1239" s="111"/>
      <c r="L1239" s="72"/>
      <c r="M1239" s="109"/>
      <c r="O1239" s="123"/>
    </row>
    <row r="1240" spans="4:15">
      <c r="D1240" s="68"/>
      <c r="E1240" s="68"/>
      <c r="F1240" s="111"/>
      <c r="L1240" s="72"/>
      <c r="M1240" s="109"/>
      <c r="O1240" s="123"/>
    </row>
    <row r="1241" spans="4:15">
      <c r="D1241" s="68"/>
      <c r="E1241" s="68"/>
      <c r="F1241" s="111"/>
      <c r="L1241" s="72"/>
      <c r="M1241" s="109"/>
      <c r="O1241" s="123"/>
    </row>
    <row r="1242" spans="4:15">
      <c r="D1242" s="68"/>
      <c r="E1242" s="68"/>
      <c r="F1242" s="111"/>
      <c r="L1242" s="72"/>
      <c r="M1242" s="109"/>
      <c r="O1242" s="123"/>
    </row>
    <row r="1243" spans="4:15">
      <c r="D1243" s="68"/>
      <c r="E1243" s="68"/>
      <c r="F1243" s="111"/>
      <c r="L1243" s="72"/>
      <c r="M1243" s="109"/>
      <c r="O1243" s="123"/>
    </row>
    <row r="1244" spans="4:15">
      <c r="D1244" s="68"/>
      <c r="E1244" s="68"/>
      <c r="F1244" s="111"/>
      <c r="L1244" s="72"/>
      <c r="M1244" s="109"/>
      <c r="O1244" s="123"/>
    </row>
    <row r="1245" spans="4:15">
      <c r="D1245" s="68"/>
      <c r="E1245" s="68"/>
      <c r="F1245" s="111"/>
      <c r="L1245" s="72"/>
      <c r="M1245" s="109"/>
      <c r="O1245" s="123"/>
    </row>
    <row r="1246" spans="4:15">
      <c r="D1246" s="68"/>
      <c r="E1246" s="68"/>
      <c r="F1246" s="111"/>
      <c r="L1246" s="72"/>
      <c r="M1246" s="109"/>
      <c r="O1246" s="123"/>
    </row>
    <row r="1247" spans="4:15">
      <c r="D1247" s="68"/>
      <c r="E1247" s="68"/>
      <c r="F1247" s="111"/>
      <c r="L1247" s="72"/>
      <c r="M1247" s="109"/>
      <c r="O1247" s="123"/>
    </row>
    <row r="1248" spans="4:15">
      <c r="D1248" s="68"/>
      <c r="E1248" s="68"/>
      <c r="F1248" s="111"/>
      <c r="L1248" s="72"/>
      <c r="M1248" s="109"/>
      <c r="O1248" s="123"/>
    </row>
    <row r="1249" spans="4:15">
      <c r="D1249" s="68"/>
      <c r="E1249" s="68"/>
      <c r="F1249" s="111"/>
      <c r="L1249" s="72"/>
      <c r="M1249" s="109"/>
      <c r="O1249" s="123"/>
    </row>
    <row r="1250" spans="4:15">
      <c r="D1250" s="68"/>
      <c r="E1250" s="68"/>
      <c r="F1250" s="111"/>
      <c r="L1250" s="72"/>
      <c r="M1250" s="109"/>
      <c r="O1250" s="123"/>
    </row>
    <row r="1251" spans="4:15">
      <c r="D1251" s="68"/>
      <c r="E1251" s="68"/>
      <c r="F1251" s="111"/>
      <c r="L1251" s="72"/>
      <c r="M1251" s="109"/>
      <c r="O1251" s="123"/>
    </row>
    <row r="1252" spans="4:15">
      <c r="D1252" s="68"/>
      <c r="E1252" s="68"/>
      <c r="F1252" s="111"/>
      <c r="L1252" s="72"/>
      <c r="M1252" s="109"/>
      <c r="O1252" s="123"/>
    </row>
    <row r="1253" spans="4:15">
      <c r="D1253" s="68"/>
      <c r="E1253" s="68"/>
      <c r="F1253" s="111"/>
      <c r="L1253" s="72"/>
      <c r="M1253" s="109"/>
      <c r="O1253" s="123"/>
    </row>
    <row r="1254" spans="4:15">
      <c r="D1254" s="68"/>
      <c r="E1254" s="68"/>
      <c r="F1254" s="111"/>
      <c r="L1254" s="72"/>
      <c r="M1254" s="109"/>
      <c r="O1254" s="123"/>
    </row>
    <row r="1255" spans="4:15">
      <c r="D1255" s="68"/>
      <c r="E1255" s="68"/>
      <c r="F1255" s="111"/>
      <c r="L1255" s="72"/>
      <c r="M1255" s="109"/>
      <c r="O1255" s="123"/>
    </row>
    <row r="1256" spans="4:15">
      <c r="D1256" s="68"/>
      <c r="E1256" s="68"/>
      <c r="F1256" s="111"/>
      <c r="L1256" s="72"/>
      <c r="M1256" s="109"/>
      <c r="O1256" s="123"/>
    </row>
    <row r="1257" spans="4:15">
      <c r="D1257" s="68"/>
      <c r="E1257" s="68"/>
      <c r="F1257" s="111"/>
      <c r="L1257" s="72"/>
      <c r="M1257" s="109"/>
      <c r="O1257" s="123"/>
    </row>
    <row r="1258" spans="4:15">
      <c r="D1258" s="68"/>
      <c r="E1258" s="68"/>
      <c r="F1258" s="111"/>
      <c r="L1258" s="72"/>
      <c r="M1258" s="109"/>
      <c r="O1258" s="123"/>
    </row>
    <row r="1259" spans="4:15">
      <c r="D1259" s="68"/>
      <c r="E1259" s="68"/>
      <c r="F1259" s="111"/>
      <c r="L1259" s="72"/>
      <c r="M1259" s="109"/>
      <c r="O1259" s="123"/>
    </row>
    <row r="1260" spans="4:15">
      <c r="D1260" s="68"/>
      <c r="E1260" s="68"/>
      <c r="F1260" s="111"/>
      <c r="L1260" s="72"/>
      <c r="M1260" s="109"/>
      <c r="O1260" s="123"/>
    </row>
    <row r="1261" spans="4:15">
      <c r="D1261" s="68"/>
      <c r="E1261" s="68"/>
      <c r="F1261" s="111"/>
      <c r="L1261" s="72"/>
      <c r="M1261" s="109"/>
      <c r="O1261" s="123"/>
    </row>
    <row r="1262" spans="4:15">
      <c r="D1262" s="68"/>
      <c r="E1262" s="68"/>
      <c r="F1262" s="111"/>
      <c r="L1262" s="72"/>
      <c r="M1262" s="109"/>
      <c r="O1262" s="123"/>
    </row>
    <row r="1263" spans="4:15">
      <c r="D1263" s="68"/>
      <c r="E1263" s="68"/>
      <c r="F1263" s="111"/>
      <c r="L1263" s="72"/>
      <c r="M1263" s="109"/>
      <c r="O1263" s="123"/>
    </row>
    <row r="1264" spans="4:15">
      <c r="D1264" s="68"/>
      <c r="E1264" s="68"/>
      <c r="F1264" s="111"/>
      <c r="L1264" s="72"/>
      <c r="M1264" s="109"/>
      <c r="O1264" s="123"/>
    </row>
    <row r="1265" spans="4:15">
      <c r="D1265" s="68"/>
      <c r="E1265" s="68"/>
      <c r="F1265" s="111"/>
      <c r="L1265" s="72"/>
      <c r="M1265" s="109"/>
      <c r="O1265" s="123"/>
    </row>
    <row r="1266" spans="4:15">
      <c r="D1266" s="68"/>
      <c r="E1266" s="68"/>
      <c r="F1266" s="111"/>
      <c r="L1266" s="72"/>
      <c r="M1266" s="109"/>
      <c r="O1266" s="123"/>
    </row>
    <row r="1267" spans="4:15">
      <c r="D1267" s="68"/>
      <c r="E1267" s="68"/>
      <c r="F1267" s="111"/>
      <c r="L1267" s="72"/>
      <c r="M1267" s="109"/>
      <c r="O1267" s="123"/>
    </row>
    <row r="1268" spans="4:15">
      <c r="D1268" s="68"/>
      <c r="E1268" s="68"/>
      <c r="F1268" s="111"/>
      <c r="L1268" s="72"/>
      <c r="M1268" s="109"/>
      <c r="O1268" s="123"/>
    </row>
    <row r="1269" spans="4:15">
      <c r="D1269" s="68"/>
      <c r="E1269" s="68"/>
      <c r="F1269" s="111"/>
      <c r="L1269" s="72"/>
      <c r="M1269" s="109"/>
      <c r="O1269" s="123"/>
    </row>
    <row r="1270" spans="4:15">
      <c r="D1270" s="68"/>
      <c r="E1270" s="68"/>
      <c r="F1270" s="111"/>
      <c r="L1270" s="72"/>
      <c r="M1270" s="109"/>
      <c r="O1270" s="123"/>
    </row>
    <row r="1271" spans="4:15">
      <c r="D1271" s="68"/>
      <c r="E1271" s="68"/>
      <c r="F1271" s="111"/>
      <c r="L1271" s="72"/>
      <c r="M1271" s="109"/>
      <c r="O1271" s="123"/>
    </row>
    <row r="1272" spans="4:15">
      <c r="D1272" s="68"/>
      <c r="E1272" s="68"/>
      <c r="F1272" s="111"/>
      <c r="L1272" s="72"/>
      <c r="M1272" s="109"/>
      <c r="O1272" s="123"/>
    </row>
    <row r="1273" spans="4:15">
      <c r="D1273" s="68"/>
      <c r="E1273" s="68"/>
      <c r="F1273" s="111"/>
      <c r="L1273" s="72"/>
      <c r="M1273" s="109"/>
      <c r="O1273" s="123"/>
    </row>
    <row r="1274" spans="4:15">
      <c r="D1274" s="68"/>
      <c r="E1274" s="68"/>
      <c r="F1274" s="111"/>
      <c r="L1274" s="72"/>
      <c r="M1274" s="109"/>
      <c r="O1274" s="123"/>
    </row>
    <row r="1275" spans="4:15">
      <c r="D1275" s="68"/>
      <c r="E1275" s="68"/>
      <c r="F1275" s="111"/>
      <c r="L1275" s="72"/>
      <c r="M1275" s="109"/>
      <c r="O1275" s="123"/>
    </row>
    <row r="1276" spans="4:15">
      <c r="D1276" s="68"/>
      <c r="E1276" s="68"/>
      <c r="F1276" s="111"/>
      <c r="L1276" s="72"/>
      <c r="M1276" s="109"/>
      <c r="O1276" s="123"/>
    </row>
    <row r="1277" spans="4:15">
      <c r="D1277" s="68"/>
      <c r="E1277" s="68"/>
      <c r="F1277" s="111"/>
      <c r="L1277" s="72"/>
      <c r="M1277" s="109"/>
      <c r="O1277" s="123"/>
    </row>
    <row r="1278" spans="4:15">
      <c r="D1278" s="68"/>
      <c r="E1278" s="68"/>
      <c r="F1278" s="111"/>
      <c r="L1278" s="72"/>
      <c r="M1278" s="109"/>
      <c r="O1278" s="123"/>
    </row>
    <row r="1279" spans="4:15">
      <c r="D1279" s="68"/>
      <c r="E1279" s="68"/>
      <c r="F1279" s="111"/>
      <c r="L1279" s="72"/>
      <c r="M1279" s="109"/>
      <c r="O1279" s="123"/>
    </row>
    <row r="1280" spans="4:15">
      <c r="D1280" s="68"/>
      <c r="E1280" s="68"/>
      <c r="F1280" s="111"/>
      <c r="L1280" s="72"/>
      <c r="M1280" s="109"/>
      <c r="O1280" s="123"/>
    </row>
    <row r="1281" spans="4:15">
      <c r="D1281" s="68"/>
      <c r="E1281" s="68"/>
      <c r="F1281" s="111"/>
      <c r="L1281" s="72"/>
      <c r="M1281" s="109"/>
      <c r="O1281" s="123"/>
    </row>
    <row r="1282" spans="4:15">
      <c r="D1282" s="68"/>
      <c r="E1282" s="68"/>
      <c r="F1282" s="111"/>
      <c r="L1282" s="72"/>
      <c r="M1282" s="109"/>
      <c r="O1282" s="123"/>
    </row>
    <row r="1283" spans="4:15">
      <c r="D1283" s="68"/>
      <c r="E1283" s="68"/>
      <c r="F1283" s="111"/>
      <c r="L1283" s="72"/>
      <c r="M1283" s="109"/>
      <c r="O1283" s="123"/>
    </row>
    <row r="1284" spans="4:15">
      <c r="D1284" s="68"/>
      <c r="E1284" s="68"/>
      <c r="F1284" s="111"/>
      <c r="L1284" s="72"/>
      <c r="M1284" s="109"/>
      <c r="O1284" s="123"/>
    </row>
    <row r="1285" spans="4:15">
      <c r="D1285" s="68"/>
      <c r="E1285" s="68"/>
      <c r="F1285" s="111"/>
      <c r="L1285" s="72"/>
      <c r="M1285" s="109"/>
      <c r="O1285" s="123"/>
    </row>
    <row r="1286" spans="4:15">
      <c r="D1286" s="68"/>
      <c r="E1286" s="68"/>
      <c r="F1286" s="111"/>
      <c r="L1286" s="72"/>
      <c r="M1286" s="109"/>
      <c r="O1286" s="123"/>
    </row>
    <row r="1287" spans="4:15">
      <c r="D1287" s="68"/>
      <c r="E1287" s="68"/>
      <c r="F1287" s="111"/>
      <c r="L1287" s="72"/>
      <c r="M1287" s="109"/>
      <c r="O1287" s="123"/>
    </row>
    <row r="1288" spans="4:15">
      <c r="D1288" s="68"/>
      <c r="E1288" s="68"/>
      <c r="F1288" s="111"/>
      <c r="L1288" s="72"/>
      <c r="M1288" s="109"/>
      <c r="O1288" s="123"/>
    </row>
    <row r="1289" spans="4:15">
      <c r="D1289" s="68"/>
      <c r="E1289" s="68"/>
      <c r="F1289" s="111"/>
      <c r="L1289" s="72"/>
      <c r="M1289" s="109"/>
      <c r="O1289" s="123"/>
    </row>
    <row r="1290" spans="4:15">
      <c r="D1290" s="68"/>
      <c r="E1290" s="68"/>
      <c r="F1290" s="111"/>
      <c r="L1290" s="72"/>
      <c r="M1290" s="109"/>
      <c r="O1290" s="123"/>
    </row>
    <row r="1291" spans="4:15">
      <c r="D1291" s="68"/>
      <c r="E1291" s="68"/>
      <c r="F1291" s="111"/>
      <c r="L1291" s="72"/>
      <c r="M1291" s="109"/>
      <c r="O1291" s="123"/>
    </row>
    <row r="1292" spans="4:15">
      <c r="D1292" s="68"/>
      <c r="E1292" s="68"/>
      <c r="F1292" s="111"/>
      <c r="L1292" s="72"/>
      <c r="M1292" s="109"/>
      <c r="O1292" s="123"/>
    </row>
    <row r="1293" spans="4:15">
      <c r="D1293" s="68"/>
      <c r="E1293" s="68"/>
      <c r="F1293" s="111"/>
      <c r="L1293" s="72"/>
      <c r="M1293" s="109"/>
      <c r="O1293" s="123"/>
    </row>
    <row r="1294" spans="4:15">
      <c r="D1294" s="68"/>
      <c r="E1294" s="68"/>
      <c r="F1294" s="111"/>
      <c r="L1294" s="72"/>
      <c r="M1294" s="109"/>
      <c r="O1294" s="123"/>
    </row>
    <row r="1295" spans="4:15">
      <c r="D1295" s="68"/>
      <c r="E1295" s="68"/>
      <c r="F1295" s="111"/>
      <c r="L1295" s="72"/>
      <c r="M1295" s="109"/>
      <c r="O1295" s="123"/>
    </row>
    <row r="1296" spans="4:15">
      <c r="D1296" s="68"/>
      <c r="E1296" s="68"/>
      <c r="F1296" s="111"/>
      <c r="L1296" s="72"/>
      <c r="M1296" s="109"/>
      <c r="O1296" s="123"/>
    </row>
    <row r="1297" spans="4:15">
      <c r="D1297" s="68"/>
      <c r="E1297" s="68"/>
      <c r="F1297" s="111"/>
      <c r="L1297" s="72"/>
      <c r="M1297" s="109"/>
      <c r="O1297" s="123"/>
    </row>
  </sheetData>
  <autoFilter ref="A9:P821" xr:uid="{4D9A8FC4-6EB1-3A46-95CE-3FA87CF517C5}"/>
  <pageMargins left="0.7" right="0.7" top="0.75" bottom="0.75" header="0.3" footer="0.3"/>
  <pageSetup paperSize="9" orientation="portrait" horizontalDpi="0" verticalDpi="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B53AF-11CC-A44A-9072-AA19B5C0A9CF}">
  <dimension ref="A1:P130"/>
  <sheetViews>
    <sheetView topLeftCell="F1" workbookViewId="0">
      <selection activeCell="R2" sqref="R2"/>
    </sheetView>
  </sheetViews>
  <sheetFormatPr baseColWidth="10" defaultRowHeight="16"/>
  <cols>
    <col min="3" max="3" width="12.6640625" customWidth="1"/>
    <col min="4" max="4" width="14.5" customWidth="1"/>
    <col min="5" max="5" width="13" customWidth="1"/>
    <col min="6" max="6" width="12" customWidth="1"/>
    <col min="8" max="8" width="11.83203125" customWidth="1"/>
    <col min="9" max="9" width="15.83203125" customWidth="1"/>
    <col min="11" max="12" width="11.5" customWidth="1"/>
    <col min="15" max="15" width="13" bestFit="1" customWidth="1"/>
    <col min="16" max="16" width="23.1640625" style="7" customWidth="1"/>
  </cols>
  <sheetData>
    <row r="1" spans="1:16">
      <c r="A1" t="s">
        <v>1</v>
      </c>
      <c r="B1" t="s">
        <v>3</v>
      </c>
      <c r="C1" t="s">
        <v>1903</v>
      </c>
      <c r="D1" t="s">
        <v>1873</v>
      </c>
      <c r="E1" t="s">
        <v>1953</v>
      </c>
      <c r="F1" t="s">
        <v>7</v>
      </c>
      <c r="G1" t="s">
        <v>1952</v>
      </c>
      <c r="H1" t="s">
        <v>4</v>
      </c>
      <c r="I1" t="s">
        <v>24</v>
      </c>
      <c r="J1" t="s">
        <v>1834</v>
      </c>
      <c r="K1" t="s">
        <v>1829</v>
      </c>
      <c r="L1" t="s">
        <v>1958</v>
      </c>
    </row>
    <row r="2" spans="1:16">
      <c r="A2" t="s">
        <v>408</v>
      </c>
      <c r="B2" t="s">
        <v>413</v>
      </c>
      <c r="C2" t="s">
        <v>2383</v>
      </c>
      <c r="D2">
        <v>1</v>
      </c>
      <c r="E2" t="s">
        <v>1982</v>
      </c>
      <c r="F2" t="s">
        <v>75</v>
      </c>
      <c r="G2" t="s">
        <v>1955</v>
      </c>
      <c r="H2">
        <v>4.3</v>
      </c>
      <c r="I2">
        <v>2.3868348837209301</v>
      </c>
      <c r="J2">
        <v>0.38683488372093011</v>
      </c>
      <c r="K2">
        <v>0.64472480620155026</v>
      </c>
      <c r="L2">
        <v>0.64472480620155026</v>
      </c>
    </row>
    <row r="3" spans="1:16">
      <c r="A3" t="s">
        <v>1574</v>
      </c>
      <c r="B3" t="s">
        <v>1898</v>
      </c>
      <c r="C3" t="s">
        <v>2384</v>
      </c>
      <c r="D3">
        <v>11</v>
      </c>
      <c r="E3" t="s">
        <v>2385</v>
      </c>
      <c r="F3" t="s">
        <v>75</v>
      </c>
      <c r="G3" t="s">
        <v>1955</v>
      </c>
      <c r="H3">
        <v>5.72</v>
      </c>
      <c r="I3">
        <v>3.8918601398601402</v>
      </c>
      <c r="J3">
        <v>1.8918601398601402</v>
      </c>
      <c r="K3">
        <v>3.153100233100234</v>
      </c>
      <c r="L3">
        <v>3.153100233100234</v>
      </c>
    </row>
    <row r="4" spans="1:16">
      <c r="A4" t="s">
        <v>1795</v>
      </c>
      <c r="B4" t="s">
        <v>1901</v>
      </c>
      <c r="C4" t="s">
        <v>2386</v>
      </c>
      <c r="D4">
        <v>11</v>
      </c>
      <c r="E4" t="s">
        <v>2387</v>
      </c>
      <c r="F4" t="s">
        <v>75</v>
      </c>
      <c r="G4" t="s">
        <v>1955</v>
      </c>
      <c r="H4">
        <v>8</v>
      </c>
      <c r="I4">
        <v>5.5114425000000002</v>
      </c>
      <c r="J4">
        <v>3.5114425000000002</v>
      </c>
      <c r="K4">
        <v>5.8524041666666671</v>
      </c>
      <c r="L4">
        <v>5.8524041666666671</v>
      </c>
      <c r="O4" s="200" t="s">
        <v>1956</v>
      </c>
      <c r="P4" s="267" t="s">
        <v>1960</v>
      </c>
    </row>
    <row r="5" spans="1:16">
      <c r="A5" t="s">
        <v>1771</v>
      </c>
      <c r="B5" t="s">
        <v>992</v>
      </c>
      <c r="C5" t="s">
        <v>2388</v>
      </c>
      <c r="D5">
        <v>11</v>
      </c>
      <c r="E5" t="s">
        <v>2389</v>
      </c>
      <c r="F5" t="s">
        <v>75</v>
      </c>
      <c r="G5" t="s">
        <v>1955</v>
      </c>
      <c r="H5">
        <v>5.5</v>
      </c>
      <c r="I5">
        <v>5.5434999999999999</v>
      </c>
      <c r="J5">
        <v>3.5434999999999999</v>
      </c>
      <c r="K5">
        <v>5.9058333333333337</v>
      </c>
      <c r="L5">
        <v>5.9058333333333337</v>
      </c>
      <c r="O5" s="201" t="s">
        <v>408</v>
      </c>
      <c r="P5" s="267">
        <v>2.5506559669522644</v>
      </c>
    </row>
    <row r="6" spans="1:16">
      <c r="A6" t="s">
        <v>209</v>
      </c>
      <c r="B6" t="s">
        <v>247</v>
      </c>
      <c r="C6" t="s">
        <v>2390</v>
      </c>
      <c r="D6">
        <v>10</v>
      </c>
      <c r="E6" t="s">
        <v>2391</v>
      </c>
      <c r="F6" t="s">
        <v>75</v>
      </c>
      <c r="G6" t="s">
        <v>1955</v>
      </c>
      <c r="H6">
        <v>5.28</v>
      </c>
      <c r="I6">
        <v>0</v>
      </c>
      <c r="J6">
        <v>0</v>
      </c>
      <c r="K6">
        <v>0</v>
      </c>
      <c r="L6">
        <v>0</v>
      </c>
      <c r="O6" s="277" t="s">
        <v>507</v>
      </c>
      <c r="P6" s="279">
        <v>10.151766179540708</v>
      </c>
    </row>
    <row r="7" spans="1:16">
      <c r="A7" t="s">
        <v>115</v>
      </c>
      <c r="B7" t="s">
        <v>129</v>
      </c>
      <c r="C7" t="s">
        <v>1966</v>
      </c>
      <c r="D7">
        <v>10</v>
      </c>
      <c r="E7" t="s">
        <v>1967</v>
      </c>
      <c r="F7" t="s">
        <v>75</v>
      </c>
      <c r="G7" t="s">
        <v>1955</v>
      </c>
      <c r="H7">
        <v>5.45</v>
      </c>
      <c r="I7">
        <v>6.2722477064220188</v>
      </c>
      <c r="J7">
        <v>4.2722477064220188</v>
      </c>
      <c r="K7">
        <v>7.1204128440366983</v>
      </c>
      <c r="L7">
        <v>6.25</v>
      </c>
      <c r="O7" s="201" t="s">
        <v>138</v>
      </c>
      <c r="P7" s="267">
        <v>4.6124666666666663</v>
      </c>
    </row>
    <row r="8" spans="1:16">
      <c r="A8" t="s">
        <v>999</v>
      </c>
      <c r="B8" t="s">
        <v>1022</v>
      </c>
      <c r="C8" t="s">
        <v>2392</v>
      </c>
      <c r="D8">
        <v>10</v>
      </c>
      <c r="E8" t="s">
        <v>2393</v>
      </c>
      <c r="F8" t="s">
        <v>75</v>
      </c>
      <c r="G8" t="s">
        <v>1955</v>
      </c>
      <c r="H8">
        <v>4.5</v>
      </c>
      <c r="I8">
        <v>2.8025533333333335</v>
      </c>
      <c r="J8">
        <v>0.80255333333333345</v>
      </c>
      <c r="K8">
        <v>1.3375888888888892</v>
      </c>
      <c r="L8">
        <v>1.3375888888888892</v>
      </c>
      <c r="O8" s="201" t="s">
        <v>1771</v>
      </c>
      <c r="P8" s="267">
        <v>5.341016909090909</v>
      </c>
    </row>
    <row r="9" spans="1:16">
      <c r="A9" t="s">
        <v>1771</v>
      </c>
      <c r="B9" t="s">
        <v>1790</v>
      </c>
      <c r="C9" t="s">
        <v>2394</v>
      </c>
      <c r="D9">
        <v>1</v>
      </c>
      <c r="E9" t="s">
        <v>2395</v>
      </c>
      <c r="F9" t="s">
        <v>75</v>
      </c>
      <c r="G9" t="s">
        <v>1955</v>
      </c>
      <c r="H9">
        <v>5.5</v>
      </c>
      <c r="I9">
        <v>0</v>
      </c>
      <c r="J9">
        <v>0</v>
      </c>
      <c r="K9">
        <v>0</v>
      </c>
      <c r="L9">
        <v>0</v>
      </c>
      <c r="O9" s="201" t="s">
        <v>1066</v>
      </c>
      <c r="P9" s="267">
        <v>1.993964761904762</v>
      </c>
    </row>
    <row r="10" spans="1:16">
      <c r="A10" t="s">
        <v>1123</v>
      </c>
      <c r="B10" t="s">
        <v>1125</v>
      </c>
      <c r="C10" t="s">
        <v>2396</v>
      </c>
      <c r="D10">
        <v>10</v>
      </c>
      <c r="E10" t="s">
        <v>2397</v>
      </c>
      <c r="F10" t="s">
        <v>75</v>
      </c>
      <c r="G10" t="s">
        <v>1955</v>
      </c>
      <c r="H10">
        <v>4.5</v>
      </c>
      <c r="I10">
        <v>3.9914199999999997</v>
      </c>
      <c r="J10">
        <v>1.9914199999999997</v>
      </c>
      <c r="K10">
        <v>3.3190333333333331</v>
      </c>
      <c r="L10">
        <v>3.3190333333333331</v>
      </c>
      <c r="O10" s="201" t="s">
        <v>283</v>
      </c>
      <c r="P10" s="267">
        <v>8.1350942766864769</v>
      </c>
    </row>
    <row r="11" spans="1:16">
      <c r="A11" t="s">
        <v>1600</v>
      </c>
      <c r="B11" t="s">
        <v>1651</v>
      </c>
      <c r="C11" t="s">
        <v>2398</v>
      </c>
      <c r="D11">
        <v>10</v>
      </c>
      <c r="E11" t="s">
        <v>2399</v>
      </c>
      <c r="F11" t="s">
        <v>75</v>
      </c>
      <c r="G11" t="s">
        <v>1955</v>
      </c>
      <c r="H11">
        <v>5.24</v>
      </c>
      <c r="I11">
        <v>11.133864503816792</v>
      </c>
      <c r="J11">
        <v>9.1338645038167918</v>
      </c>
      <c r="K11">
        <v>15.22310750636132</v>
      </c>
      <c r="L11">
        <v>6.25</v>
      </c>
      <c r="O11" s="201" t="s">
        <v>1795</v>
      </c>
      <c r="P11" s="267">
        <v>4.4136574095365422</v>
      </c>
    </row>
    <row r="12" spans="1:16">
      <c r="A12" t="s">
        <v>1146</v>
      </c>
      <c r="B12" t="s">
        <v>980</v>
      </c>
      <c r="C12" t="s">
        <v>2400</v>
      </c>
      <c r="D12">
        <v>10</v>
      </c>
      <c r="E12" t="s">
        <v>2401</v>
      </c>
      <c r="F12" t="s">
        <v>75</v>
      </c>
      <c r="G12" t="s">
        <v>1955</v>
      </c>
      <c r="H12">
        <v>5</v>
      </c>
      <c r="I12">
        <v>9.5009759999999996</v>
      </c>
      <c r="J12">
        <v>7.5009759999999996</v>
      </c>
      <c r="K12">
        <v>12.501626666666667</v>
      </c>
      <c r="L12">
        <v>6.25</v>
      </c>
      <c r="O12" s="201" t="s">
        <v>1146</v>
      </c>
      <c r="P12" s="267">
        <v>7.3233650769230785</v>
      </c>
    </row>
    <row r="13" spans="1:16">
      <c r="A13" t="s">
        <v>1146</v>
      </c>
      <c r="B13" t="s">
        <v>1155</v>
      </c>
      <c r="C13" t="s">
        <v>2402</v>
      </c>
      <c r="D13">
        <v>10</v>
      </c>
      <c r="E13" t="s">
        <v>2401</v>
      </c>
      <c r="F13" t="s">
        <v>75</v>
      </c>
      <c r="G13" t="s">
        <v>1955</v>
      </c>
      <c r="H13">
        <v>5</v>
      </c>
      <c r="I13">
        <v>5.2693640000000004</v>
      </c>
      <c r="J13">
        <v>3.2693640000000004</v>
      </c>
      <c r="K13">
        <v>5.4489400000000012</v>
      </c>
      <c r="L13">
        <v>5.4489400000000012</v>
      </c>
      <c r="O13" s="201" t="s">
        <v>166</v>
      </c>
      <c r="P13" s="267">
        <v>5.4329515723270445</v>
      </c>
    </row>
    <row r="14" spans="1:16">
      <c r="A14" t="s">
        <v>1771</v>
      </c>
      <c r="B14" t="s">
        <v>603</v>
      </c>
      <c r="C14" t="s">
        <v>2403</v>
      </c>
      <c r="D14">
        <v>10</v>
      </c>
      <c r="E14" t="s">
        <v>2404</v>
      </c>
      <c r="F14" t="s">
        <v>75</v>
      </c>
      <c r="G14" t="s">
        <v>1955</v>
      </c>
      <c r="H14">
        <v>5.5</v>
      </c>
      <c r="I14">
        <v>7.4003527272727272</v>
      </c>
      <c r="J14">
        <v>5.4003527272727272</v>
      </c>
      <c r="K14">
        <v>9.0005878787878792</v>
      </c>
      <c r="L14">
        <v>6.25</v>
      </c>
      <c r="O14" s="277" t="s">
        <v>1600</v>
      </c>
      <c r="P14" s="279">
        <v>10.493831106870228</v>
      </c>
    </row>
    <row r="15" spans="1:16">
      <c r="A15" t="s">
        <v>999</v>
      </c>
      <c r="B15" t="s">
        <v>1024</v>
      </c>
      <c r="C15" t="s">
        <v>2405</v>
      </c>
      <c r="D15">
        <v>9</v>
      </c>
      <c r="E15" t="s">
        <v>2406</v>
      </c>
      <c r="F15" t="s">
        <v>75</v>
      </c>
      <c r="G15" t="s">
        <v>1955</v>
      </c>
      <c r="H15">
        <v>4.4000000000000004</v>
      </c>
      <c r="I15">
        <v>4.6518022727272719</v>
      </c>
      <c r="J15">
        <v>2.6518022727272719</v>
      </c>
      <c r="K15">
        <v>4.4196704545454537</v>
      </c>
      <c r="L15">
        <v>4.4196704545454537</v>
      </c>
      <c r="O15" s="201" t="s">
        <v>1574</v>
      </c>
      <c r="P15" s="267">
        <v>3.2447273745029839</v>
      </c>
    </row>
    <row r="16" spans="1:16">
      <c r="A16" t="s">
        <v>1123</v>
      </c>
      <c r="B16" t="s">
        <v>1127</v>
      </c>
      <c r="C16" t="s">
        <v>2407</v>
      </c>
      <c r="D16">
        <v>9</v>
      </c>
      <c r="E16" t="s">
        <v>2408</v>
      </c>
      <c r="F16" t="s">
        <v>75</v>
      </c>
      <c r="G16" t="s">
        <v>1955</v>
      </c>
      <c r="H16">
        <v>4.9000000000000004</v>
      </c>
      <c r="I16">
        <v>4.9031693877551019</v>
      </c>
      <c r="J16">
        <v>2.9031693877551019</v>
      </c>
      <c r="K16">
        <v>4.8386156462585035</v>
      </c>
      <c r="L16">
        <v>4.8386156462585035</v>
      </c>
      <c r="O16" s="201" t="s">
        <v>632</v>
      </c>
      <c r="P16" s="267">
        <v>2.3236879999999998</v>
      </c>
    </row>
    <row r="17" spans="1:16">
      <c r="A17" t="s">
        <v>166</v>
      </c>
      <c r="B17" t="s">
        <v>169</v>
      </c>
      <c r="C17" t="s">
        <v>2409</v>
      </c>
      <c r="D17">
        <v>9</v>
      </c>
      <c r="E17" t="s">
        <v>2410</v>
      </c>
      <c r="F17" t="s">
        <v>75</v>
      </c>
      <c r="G17" t="s">
        <v>1955</v>
      </c>
      <c r="H17">
        <v>5.3</v>
      </c>
      <c r="I17">
        <v>4.2543433962264157</v>
      </c>
      <c r="J17">
        <v>2.2543433962264157</v>
      </c>
      <c r="K17">
        <v>3.7572389937106929</v>
      </c>
      <c r="L17">
        <v>3.7572389937106929</v>
      </c>
      <c r="O17" s="201" t="s">
        <v>474</v>
      </c>
      <c r="P17" s="267">
        <v>9.0778356000000002</v>
      </c>
    </row>
    <row r="18" spans="1:16">
      <c r="A18" t="s">
        <v>1146</v>
      </c>
      <c r="B18" t="s">
        <v>1150</v>
      </c>
      <c r="C18" t="s">
        <v>2411</v>
      </c>
      <c r="D18">
        <v>1</v>
      </c>
      <c r="E18" t="s">
        <v>2412</v>
      </c>
      <c r="F18" t="s">
        <v>75</v>
      </c>
      <c r="G18" t="s">
        <v>1955</v>
      </c>
      <c r="H18">
        <v>5</v>
      </c>
      <c r="I18">
        <v>1.960904</v>
      </c>
      <c r="J18">
        <v>-3.909600000000002E-2</v>
      </c>
      <c r="K18">
        <v>-6.5160000000000037E-2</v>
      </c>
      <c r="L18">
        <v>0</v>
      </c>
      <c r="O18" s="201" t="s">
        <v>1123</v>
      </c>
      <c r="P18" s="267">
        <v>4.1844221134988651</v>
      </c>
    </row>
    <row r="19" spans="1:16">
      <c r="A19" t="s">
        <v>1146</v>
      </c>
      <c r="B19" t="s">
        <v>1172</v>
      </c>
      <c r="C19" t="s">
        <v>2413</v>
      </c>
      <c r="D19">
        <v>9</v>
      </c>
      <c r="E19" t="s">
        <v>2414</v>
      </c>
      <c r="F19" t="s">
        <v>75</v>
      </c>
      <c r="G19" t="s">
        <v>1955</v>
      </c>
      <c r="H19">
        <v>5</v>
      </c>
      <c r="I19">
        <v>7.6342060000000007</v>
      </c>
      <c r="J19">
        <v>5.6342060000000007</v>
      </c>
      <c r="K19">
        <v>9.3903433333333357</v>
      </c>
      <c r="L19">
        <v>6.25</v>
      </c>
      <c r="O19" s="201" t="s">
        <v>999</v>
      </c>
      <c r="P19" s="267">
        <v>4.1494188725739276</v>
      </c>
    </row>
    <row r="20" spans="1:16">
      <c r="A20" t="s">
        <v>1146</v>
      </c>
      <c r="B20" t="s">
        <v>1170</v>
      </c>
      <c r="C20" t="s">
        <v>2415</v>
      </c>
      <c r="D20">
        <v>9</v>
      </c>
      <c r="E20" t="s">
        <v>2414</v>
      </c>
      <c r="F20" t="s">
        <v>75</v>
      </c>
      <c r="G20" t="s">
        <v>1955</v>
      </c>
      <c r="H20">
        <v>5</v>
      </c>
      <c r="I20">
        <v>11.605546</v>
      </c>
      <c r="J20">
        <v>9.6055460000000004</v>
      </c>
      <c r="K20">
        <v>16.009243333333334</v>
      </c>
      <c r="L20">
        <v>6.25</v>
      </c>
      <c r="O20" s="277" t="s">
        <v>835</v>
      </c>
      <c r="P20" s="279">
        <v>10.681272727272727</v>
      </c>
    </row>
    <row r="21" spans="1:16">
      <c r="A21" t="s">
        <v>1146</v>
      </c>
      <c r="B21" t="s">
        <v>1167</v>
      </c>
      <c r="C21" t="s">
        <v>2416</v>
      </c>
      <c r="D21">
        <v>9</v>
      </c>
      <c r="E21" t="s">
        <v>2414</v>
      </c>
      <c r="F21" t="s">
        <v>75</v>
      </c>
      <c r="G21" t="s">
        <v>1955</v>
      </c>
      <c r="H21">
        <v>5</v>
      </c>
      <c r="I21">
        <v>12.5245</v>
      </c>
      <c r="J21">
        <v>10.5245</v>
      </c>
      <c r="K21">
        <v>17.540833333333335</v>
      </c>
      <c r="L21">
        <v>6.25</v>
      </c>
      <c r="O21" s="201" t="s">
        <v>115</v>
      </c>
      <c r="P21" s="267">
        <v>5.5714340682451891</v>
      </c>
    </row>
    <row r="22" spans="1:16">
      <c r="A22" t="s">
        <v>1146</v>
      </c>
      <c r="B22" t="s">
        <v>1152</v>
      </c>
      <c r="C22" t="s">
        <v>2417</v>
      </c>
      <c r="D22">
        <v>9</v>
      </c>
      <c r="E22" t="s">
        <v>2414</v>
      </c>
      <c r="F22" t="s">
        <v>75</v>
      </c>
      <c r="G22" t="s">
        <v>1955</v>
      </c>
      <c r="H22">
        <v>5</v>
      </c>
      <c r="I22">
        <v>4.9445800000000002</v>
      </c>
      <c r="J22">
        <v>2.9445800000000002</v>
      </c>
      <c r="K22">
        <v>4.907633333333334</v>
      </c>
      <c r="L22">
        <v>4.907633333333334</v>
      </c>
      <c r="O22" s="201" t="s">
        <v>209</v>
      </c>
      <c r="P22" s="267">
        <v>4.3306518388221411</v>
      </c>
    </row>
    <row r="23" spans="1:16">
      <c r="A23" t="s">
        <v>1795</v>
      </c>
      <c r="B23" t="s">
        <v>258</v>
      </c>
      <c r="C23" t="s">
        <v>1974</v>
      </c>
      <c r="D23">
        <v>9</v>
      </c>
      <c r="E23" t="s">
        <v>1965</v>
      </c>
      <c r="F23" t="s">
        <v>75</v>
      </c>
      <c r="G23" t="s">
        <v>1955</v>
      </c>
      <c r="H23">
        <v>8.5</v>
      </c>
      <c r="I23">
        <v>5.0910517647058828</v>
      </c>
      <c r="J23">
        <v>3.0910517647058828</v>
      </c>
      <c r="K23">
        <v>5.151752941176472</v>
      </c>
      <c r="L23">
        <v>5.151752941176472</v>
      </c>
      <c r="O23" s="201" t="s">
        <v>1957</v>
      </c>
      <c r="P23" s="267">
        <v>5.1735142381244783</v>
      </c>
    </row>
    <row r="24" spans="1:16">
      <c r="A24" t="s">
        <v>1771</v>
      </c>
      <c r="B24" t="s">
        <v>1780</v>
      </c>
      <c r="C24" t="s">
        <v>2418</v>
      </c>
      <c r="D24">
        <v>9</v>
      </c>
      <c r="E24" t="s">
        <v>2419</v>
      </c>
      <c r="F24" t="s">
        <v>75</v>
      </c>
      <c r="G24" t="s">
        <v>1955</v>
      </c>
      <c r="H24">
        <v>5</v>
      </c>
      <c r="I24">
        <v>8.0455199999999998</v>
      </c>
      <c r="J24">
        <v>6.0455199999999998</v>
      </c>
      <c r="K24">
        <v>10.075866666666666</v>
      </c>
      <c r="L24">
        <v>6.25</v>
      </c>
    </row>
    <row r="25" spans="1:16">
      <c r="A25" t="s">
        <v>408</v>
      </c>
      <c r="B25" t="s">
        <v>416</v>
      </c>
      <c r="C25" t="s">
        <v>2420</v>
      </c>
      <c r="D25">
        <v>9</v>
      </c>
      <c r="E25" t="s">
        <v>2421</v>
      </c>
      <c r="F25" t="s">
        <v>75</v>
      </c>
      <c r="G25" t="s">
        <v>1955</v>
      </c>
      <c r="H25">
        <v>4.75</v>
      </c>
      <c r="I25">
        <v>0</v>
      </c>
      <c r="J25">
        <v>0</v>
      </c>
      <c r="K25">
        <v>0</v>
      </c>
      <c r="L25">
        <v>0</v>
      </c>
    </row>
    <row r="26" spans="1:16">
      <c r="A26" t="s">
        <v>115</v>
      </c>
      <c r="B26" t="s">
        <v>135</v>
      </c>
      <c r="C26" t="s">
        <v>2422</v>
      </c>
      <c r="D26">
        <v>8</v>
      </c>
      <c r="E26" t="s">
        <v>2423</v>
      </c>
      <c r="F26" t="s">
        <v>75</v>
      </c>
      <c r="G26" t="s">
        <v>1955</v>
      </c>
      <c r="H26">
        <v>4.29</v>
      </c>
      <c r="I26">
        <v>9.0466899766899775</v>
      </c>
      <c r="J26">
        <v>7.0466899766899775</v>
      </c>
      <c r="K26">
        <v>11.744483294483297</v>
      </c>
      <c r="L26">
        <v>6.25</v>
      </c>
    </row>
    <row r="27" spans="1:16">
      <c r="A27" t="s">
        <v>999</v>
      </c>
      <c r="B27" t="s">
        <v>1004</v>
      </c>
      <c r="C27" t="s">
        <v>2424</v>
      </c>
      <c r="D27">
        <v>8</v>
      </c>
      <c r="E27" t="s">
        <v>2425</v>
      </c>
      <c r="F27" t="s">
        <v>75</v>
      </c>
      <c r="G27" t="s">
        <v>1955</v>
      </c>
      <c r="H27">
        <v>4.5</v>
      </c>
      <c r="I27">
        <v>2.9688155555555555</v>
      </c>
      <c r="J27">
        <v>0.96881555555555554</v>
      </c>
      <c r="K27">
        <v>1.6146925925925926</v>
      </c>
      <c r="L27">
        <v>1.6146925925925926</v>
      </c>
    </row>
    <row r="28" spans="1:16">
      <c r="A28" t="s">
        <v>474</v>
      </c>
      <c r="B28" t="s">
        <v>490</v>
      </c>
      <c r="C28" t="s">
        <v>2426</v>
      </c>
      <c r="D28">
        <v>8</v>
      </c>
      <c r="E28" t="s">
        <v>2427</v>
      </c>
      <c r="F28" t="s">
        <v>75</v>
      </c>
      <c r="G28" t="s">
        <v>1955</v>
      </c>
      <c r="H28">
        <v>6.25</v>
      </c>
      <c r="I28">
        <v>15.6816336</v>
      </c>
      <c r="J28">
        <v>13.6816336</v>
      </c>
      <c r="K28">
        <v>22.802722666666668</v>
      </c>
      <c r="L28">
        <v>6.25</v>
      </c>
    </row>
    <row r="29" spans="1:16">
      <c r="A29" t="s">
        <v>474</v>
      </c>
      <c r="B29" t="s">
        <v>486</v>
      </c>
      <c r="C29" t="s">
        <v>2428</v>
      </c>
      <c r="D29">
        <v>8</v>
      </c>
      <c r="E29" t="s">
        <v>2427</v>
      </c>
      <c r="F29" t="s">
        <v>75</v>
      </c>
      <c r="G29" t="s">
        <v>1955</v>
      </c>
      <c r="H29">
        <v>6.25</v>
      </c>
      <c r="I29">
        <v>4.1617376000000004</v>
      </c>
      <c r="J29">
        <v>2.1617376000000004</v>
      </c>
      <c r="K29">
        <v>3.6028960000000008</v>
      </c>
      <c r="L29">
        <v>3.6028960000000008</v>
      </c>
    </row>
    <row r="30" spans="1:16">
      <c r="A30" t="s">
        <v>474</v>
      </c>
      <c r="B30" t="s">
        <v>481</v>
      </c>
      <c r="C30" t="s">
        <v>2429</v>
      </c>
      <c r="D30">
        <v>8</v>
      </c>
      <c r="E30" t="s">
        <v>2427</v>
      </c>
      <c r="F30" t="s">
        <v>75</v>
      </c>
      <c r="G30" t="s">
        <v>1955</v>
      </c>
      <c r="H30">
        <v>6.25</v>
      </c>
      <c r="I30">
        <v>4.8919600000000001</v>
      </c>
      <c r="J30">
        <v>2.8919600000000001</v>
      </c>
      <c r="K30">
        <v>4.8199333333333341</v>
      </c>
      <c r="L30">
        <v>4.8199333333333341</v>
      </c>
    </row>
    <row r="31" spans="1:16">
      <c r="A31" t="s">
        <v>474</v>
      </c>
      <c r="B31" t="s">
        <v>477</v>
      </c>
      <c r="C31" t="s">
        <v>2430</v>
      </c>
      <c r="D31">
        <v>8</v>
      </c>
      <c r="E31" t="s">
        <v>2427</v>
      </c>
      <c r="F31" t="s">
        <v>75</v>
      </c>
      <c r="G31" t="s">
        <v>1955</v>
      </c>
      <c r="H31">
        <v>6.25</v>
      </c>
      <c r="I31">
        <v>5.3328144000000002</v>
      </c>
      <c r="J31">
        <v>3.3328144000000002</v>
      </c>
      <c r="K31">
        <v>5.5546906666666676</v>
      </c>
      <c r="L31">
        <v>5.5546906666666676</v>
      </c>
    </row>
    <row r="32" spans="1:16">
      <c r="A32" t="s">
        <v>1574</v>
      </c>
      <c r="B32" t="s">
        <v>1589</v>
      </c>
      <c r="C32" t="s">
        <v>2431</v>
      </c>
      <c r="D32">
        <v>8</v>
      </c>
      <c r="E32" t="s">
        <v>2432</v>
      </c>
      <c r="F32" t="s">
        <v>75</v>
      </c>
      <c r="G32" t="s">
        <v>1955</v>
      </c>
      <c r="H32">
        <v>4.62</v>
      </c>
      <c r="I32">
        <v>6.6622943722943715</v>
      </c>
      <c r="J32">
        <v>4.6622943722943715</v>
      </c>
      <c r="K32">
        <v>7.7704906204906194</v>
      </c>
      <c r="L32">
        <v>6.25</v>
      </c>
    </row>
    <row r="33" spans="1:12">
      <c r="A33" t="s">
        <v>1146</v>
      </c>
      <c r="B33" t="s">
        <v>1165</v>
      </c>
      <c r="C33" t="s">
        <v>2433</v>
      </c>
      <c r="D33">
        <v>8</v>
      </c>
      <c r="E33" t="s">
        <v>2434</v>
      </c>
      <c r="F33" t="s">
        <v>75</v>
      </c>
      <c r="G33" t="s">
        <v>1955</v>
      </c>
      <c r="H33">
        <v>5</v>
      </c>
      <c r="I33">
        <v>8.9294479999999989</v>
      </c>
      <c r="J33">
        <v>6.9294479999999989</v>
      </c>
      <c r="K33">
        <v>11.549079999999998</v>
      </c>
      <c r="L33">
        <v>6.25</v>
      </c>
    </row>
    <row r="34" spans="1:12">
      <c r="A34" t="s">
        <v>1795</v>
      </c>
      <c r="B34" t="s">
        <v>351</v>
      </c>
      <c r="C34" t="s">
        <v>2435</v>
      </c>
      <c r="D34">
        <v>8</v>
      </c>
      <c r="E34" t="s">
        <v>2436</v>
      </c>
      <c r="F34" t="s">
        <v>75</v>
      </c>
      <c r="G34" t="s">
        <v>1955</v>
      </c>
      <c r="H34">
        <v>8.5</v>
      </c>
      <c r="I34">
        <v>5.3971247058823533</v>
      </c>
      <c r="J34">
        <v>3.3971247058823533</v>
      </c>
      <c r="K34">
        <v>5.6618745098039227</v>
      </c>
      <c r="L34">
        <v>5.6618745098039227</v>
      </c>
    </row>
    <row r="35" spans="1:12">
      <c r="A35" t="s">
        <v>1795</v>
      </c>
      <c r="B35" t="s">
        <v>1810</v>
      </c>
      <c r="C35" t="s">
        <v>2437</v>
      </c>
      <c r="D35">
        <v>8</v>
      </c>
      <c r="E35" t="s">
        <v>2436</v>
      </c>
      <c r="F35" t="s">
        <v>75</v>
      </c>
      <c r="G35" t="s">
        <v>1955</v>
      </c>
      <c r="H35">
        <v>5</v>
      </c>
      <c r="I35">
        <v>6.4384479999999993</v>
      </c>
      <c r="J35">
        <v>4.4384479999999993</v>
      </c>
      <c r="K35">
        <v>7.3974133333333327</v>
      </c>
      <c r="L35">
        <v>6.25</v>
      </c>
    </row>
    <row r="36" spans="1:12">
      <c r="A36" t="s">
        <v>1795</v>
      </c>
      <c r="B36" t="s">
        <v>1808</v>
      </c>
      <c r="C36" t="s">
        <v>2438</v>
      </c>
      <c r="D36">
        <v>8</v>
      </c>
      <c r="E36" t="s">
        <v>2436</v>
      </c>
      <c r="F36" t="s">
        <v>75</v>
      </c>
      <c r="G36" t="s">
        <v>1955</v>
      </c>
      <c r="H36">
        <v>5</v>
      </c>
      <c r="I36">
        <v>6.7963700000000005</v>
      </c>
      <c r="J36">
        <v>4.7963700000000005</v>
      </c>
      <c r="K36">
        <v>7.9939500000000008</v>
      </c>
      <c r="L36">
        <v>6.25</v>
      </c>
    </row>
    <row r="37" spans="1:12">
      <c r="A37" t="s">
        <v>283</v>
      </c>
      <c r="B37" t="s">
        <v>307</v>
      </c>
      <c r="C37" t="s">
        <v>2439</v>
      </c>
      <c r="D37">
        <v>8</v>
      </c>
      <c r="E37" t="s">
        <v>2440</v>
      </c>
      <c r="F37" t="s">
        <v>75</v>
      </c>
      <c r="G37" t="s">
        <v>1955</v>
      </c>
      <c r="H37">
        <v>6.32</v>
      </c>
      <c r="I37">
        <v>11.884479430379747</v>
      </c>
      <c r="J37">
        <v>9.8844794303797467</v>
      </c>
      <c r="K37">
        <v>16.474132383966246</v>
      </c>
      <c r="L37">
        <v>6.25</v>
      </c>
    </row>
    <row r="38" spans="1:12">
      <c r="A38" t="s">
        <v>1771</v>
      </c>
      <c r="B38" t="s">
        <v>1778</v>
      </c>
      <c r="C38" t="s">
        <v>2441</v>
      </c>
      <c r="D38">
        <v>8</v>
      </c>
      <c r="E38" t="s">
        <v>2442</v>
      </c>
      <c r="F38" t="s">
        <v>75</v>
      </c>
      <c r="G38" t="s">
        <v>1955</v>
      </c>
      <c r="H38">
        <v>5.5</v>
      </c>
      <c r="I38">
        <v>6.7299272727272728</v>
      </c>
      <c r="J38">
        <v>4.7299272727272728</v>
      </c>
      <c r="K38">
        <v>7.8832121212121216</v>
      </c>
      <c r="L38">
        <v>6.25</v>
      </c>
    </row>
    <row r="39" spans="1:12">
      <c r="A39" t="s">
        <v>209</v>
      </c>
      <c r="B39" t="s">
        <v>246</v>
      </c>
      <c r="C39" t="s">
        <v>2443</v>
      </c>
      <c r="D39">
        <v>7</v>
      </c>
      <c r="E39" t="s">
        <v>2444</v>
      </c>
      <c r="F39" t="s">
        <v>75</v>
      </c>
      <c r="G39" t="s">
        <v>1955</v>
      </c>
      <c r="H39">
        <v>5.23</v>
      </c>
      <c r="I39">
        <v>0</v>
      </c>
      <c r="J39">
        <v>0</v>
      </c>
      <c r="K39">
        <v>0</v>
      </c>
      <c r="L39">
        <v>0</v>
      </c>
    </row>
    <row r="40" spans="1:12">
      <c r="A40" t="s">
        <v>209</v>
      </c>
      <c r="B40" t="s">
        <v>235</v>
      </c>
      <c r="C40" t="s">
        <v>2445</v>
      </c>
      <c r="D40">
        <v>7</v>
      </c>
      <c r="E40" t="s">
        <v>2444</v>
      </c>
      <c r="F40" t="s">
        <v>75</v>
      </c>
      <c r="G40" t="s">
        <v>1955</v>
      </c>
      <c r="H40">
        <v>5.28</v>
      </c>
      <c r="I40">
        <v>5.693732954545454</v>
      </c>
      <c r="J40">
        <v>3.693732954545454</v>
      </c>
      <c r="K40">
        <v>6.15622159090909</v>
      </c>
      <c r="L40">
        <v>6.15622159090909</v>
      </c>
    </row>
    <row r="41" spans="1:12">
      <c r="A41" t="s">
        <v>835</v>
      </c>
      <c r="B41" t="s">
        <v>839</v>
      </c>
      <c r="C41" t="s">
        <v>2446</v>
      </c>
      <c r="D41">
        <v>7</v>
      </c>
      <c r="E41" t="s">
        <v>2165</v>
      </c>
      <c r="F41" t="s">
        <v>75</v>
      </c>
      <c r="G41" t="s">
        <v>1955</v>
      </c>
      <c r="H41">
        <v>5.5</v>
      </c>
      <c r="I41">
        <v>10.681272727272727</v>
      </c>
      <c r="J41">
        <v>8.6812727272727273</v>
      </c>
      <c r="K41">
        <v>14.468787878787879</v>
      </c>
      <c r="L41">
        <v>6.25</v>
      </c>
    </row>
    <row r="42" spans="1:12">
      <c r="A42" t="s">
        <v>999</v>
      </c>
      <c r="B42" t="s">
        <v>1043</v>
      </c>
      <c r="C42" t="s">
        <v>2447</v>
      </c>
      <c r="D42">
        <v>7</v>
      </c>
      <c r="E42" t="s">
        <v>2448</v>
      </c>
      <c r="F42" t="s">
        <v>75</v>
      </c>
      <c r="G42" t="s">
        <v>1955</v>
      </c>
      <c r="H42">
        <v>4.5</v>
      </c>
      <c r="I42">
        <v>2.368266666666667</v>
      </c>
      <c r="J42">
        <v>0.36826666666666696</v>
      </c>
      <c r="K42">
        <v>0.61377777777777831</v>
      </c>
      <c r="L42">
        <v>0.61377777777777831</v>
      </c>
    </row>
    <row r="43" spans="1:12">
      <c r="A43" t="s">
        <v>999</v>
      </c>
      <c r="B43" t="s">
        <v>1041</v>
      </c>
      <c r="C43" t="s">
        <v>2449</v>
      </c>
      <c r="D43">
        <v>7</v>
      </c>
      <c r="E43" t="s">
        <v>2448</v>
      </c>
      <c r="F43" t="s">
        <v>75</v>
      </c>
      <c r="G43" t="s">
        <v>1955</v>
      </c>
      <c r="H43">
        <v>4.5</v>
      </c>
      <c r="I43">
        <v>2.3042844444444444</v>
      </c>
      <c r="J43">
        <v>0.30428444444444436</v>
      </c>
      <c r="K43">
        <v>0.50714074074074067</v>
      </c>
      <c r="L43">
        <v>0.50714074074074067</v>
      </c>
    </row>
    <row r="44" spans="1:12">
      <c r="A44" t="s">
        <v>999</v>
      </c>
      <c r="B44" t="s">
        <v>1039</v>
      </c>
      <c r="C44" t="s">
        <v>2450</v>
      </c>
      <c r="D44">
        <v>7</v>
      </c>
      <c r="E44" t="s">
        <v>2448</v>
      </c>
      <c r="F44" t="s">
        <v>75</v>
      </c>
      <c r="G44" t="s">
        <v>1955</v>
      </c>
      <c r="H44">
        <v>4.5</v>
      </c>
      <c r="I44">
        <v>3.9834777777777779</v>
      </c>
      <c r="J44">
        <v>1.9834777777777779</v>
      </c>
      <c r="K44">
        <v>3.3057962962962968</v>
      </c>
      <c r="L44">
        <v>3.3057962962962968</v>
      </c>
    </row>
    <row r="45" spans="1:12">
      <c r="A45" t="s">
        <v>999</v>
      </c>
      <c r="B45" t="s">
        <v>1037</v>
      </c>
      <c r="C45" t="s">
        <v>2451</v>
      </c>
      <c r="D45">
        <v>7</v>
      </c>
      <c r="E45" t="s">
        <v>2448</v>
      </c>
      <c r="F45" t="s">
        <v>75</v>
      </c>
      <c r="G45" t="s">
        <v>1955</v>
      </c>
      <c r="H45">
        <v>4.5</v>
      </c>
      <c r="I45">
        <v>1.6248177777777777</v>
      </c>
      <c r="J45">
        <v>-0.37518222222222231</v>
      </c>
      <c r="K45">
        <v>-0.62530370370370392</v>
      </c>
      <c r="L45">
        <v>0</v>
      </c>
    </row>
    <row r="46" spans="1:12">
      <c r="A46" t="s">
        <v>999</v>
      </c>
      <c r="B46" t="s">
        <v>1035</v>
      </c>
      <c r="C46" t="s">
        <v>2452</v>
      </c>
      <c r="D46">
        <v>7</v>
      </c>
      <c r="E46" t="s">
        <v>2448</v>
      </c>
      <c r="F46" t="s">
        <v>75</v>
      </c>
      <c r="G46" t="s">
        <v>1955</v>
      </c>
      <c r="H46">
        <v>4.5</v>
      </c>
      <c r="I46">
        <v>1.8158444444444446</v>
      </c>
      <c r="J46">
        <v>-0.18415555555555541</v>
      </c>
      <c r="K46">
        <v>-0.30692592592592571</v>
      </c>
      <c r="L46">
        <v>0</v>
      </c>
    </row>
    <row r="47" spans="1:12">
      <c r="A47" t="s">
        <v>999</v>
      </c>
      <c r="B47" t="s">
        <v>1031</v>
      </c>
      <c r="C47" t="s">
        <v>2453</v>
      </c>
      <c r="D47">
        <v>7</v>
      </c>
      <c r="E47" t="s">
        <v>2448</v>
      </c>
      <c r="F47" t="s">
        <v>75</v>
      </c>
      <c r="G47" t="s">
        <v>1955</v>
      </c>
      <c r="H47">
        <v>4.5</v>
      </c>
      <c r="I47">
        <v>2.3336311111111114</v>
      </c>
      <c r="J47">
        <v>0.33363111111111143</v>
      </c>
      <c r="K47">
        <v>0.55605185185185246</v>
      </c>
      <c r="L47">
        <v>0.55605185185185246</v>
      </c>
    </row>
    <row r="48" spans="1:12">
      <c r="A48" t="s">
        <v>999</v>
      </c>
      <c r="B48" t="s">
        <v>1029</v>
      </c>
      <c r="C48" t="s">
        <v>2454</v>
      </c>
      <c r="D48">
        <v>7</v>
      </c>
      <c r="E48" t="s">
        <v>2448</v>
      </c>
      <c r="F48" t="s">
        <v>75</v>
      </c>
      <c r="G48" t="s">
        <v>1955</v>
      </c>
      <c r="H48">
        <v>4.5</v>
      </c>
      <c r="I48">
        <v>1.5769111111111114</v>
      </c>
      <c r="J48">
        <v>-0.42308888888888863</v>
      </c>
      <c r="K48">
        <v>-0.70514814814814775</v>
      </c>
      <c r="L48">
        <v>0</v>
      </c>
    </row>
    <row r="49" spans="1:12">
      <c r="A49" t="s">
        <v>632</v>
      </c>
      <c r="B49" t="s">
        <v>635</v>
      </c>
      <c r="C49" t="s">
        <v>2455</v>
      </c>
      <c r="D49">
        <v>7</v>
      </c>
      <c r="E49" t="s">
        <v>2456</v>
      </c>
      <c r="F49" t="s">
        <v>75</v>
      </c>
      <c r="G49" t="s">
        <v>1955</v>
      </c>
      <c r="H49">
        <v>5</v>
      </c>
      <c r="I49">
        <v>2.3236879999999998</v>
      </c>
      <c r="J49">
        <v>0.32368799999999975</v>
      </c>
      <c r="K49">
        <v>0.53947999999999963</v>
      </c>
      <c r="L49">
        <v>0.53947999999999963</v>
      </c>
    </row>
    <row r="50" spans="1:12">
      <c r="A50" t="s">
        <v>1574</v>
      </c>
      <c r="B50" t="s">
        <v>1593</v>
      </c>
      <c r="C50" t="s">
        <v>2457</v>
      </c>
      <c r="D50">
        <v>7</v>
      </c>
      <c r="E50" t="s">
        <v>2458</v>
      </c>
      <c r="F50" t="s">
        <v>75</v>
      </c>
      <c r="G50" t="s">
        <v>1955</v>
      </c>
      <c r="H50">
        <v>5.72</v>
      </c>
      <c r="I50">
        <v>5.0387325174825177</v>
      </c>
      <c r="J50">
        <v>3.0387325174825177</v>
      </c>
      <c r="K50">
        <v>5.0645541958041962</v>
      </c>
      <c r="L50">
        <v>5.0645541958041962</v>
      </c>
    </row>
    <row r="51" spans="1:12">
      <c r="A51" t="s">
        <v>1574</v>
      </c>
      <c r="B51" t="s">
        <v>1582</v>
      </c>
      <c r="C51" t="s">
        <v>2459</v>
      </c>
      <c r="D51">
        <v>7</v>
      </c>
      <c r="E51" t="s">
        <v>2458</v>
      </c>
      <c r="F51" t="s">
        <v>75</v>
      </c>
      <c r="G51" t="s">
        <v>1955</v>
      </c>
      <c r="H51">
        <v>4.37</v>
      </c>
      <c r="I51">
        <v>2.5505789473684213</v>
      </c>
      <c r="J51">
        <v>0.55057894736842128</v>
      </c>
      <c r="K51">
        <v>0.9176315789473688</v>
      </c>
      <c r="L51">
        <v>0.9176315789473688</v>
      </c>
    </row>
    <row r="52" spans="1:12">
      <c r="A52" t="s">
        <v>1146</v>
      </c>
      <c r="B52" t="s">
        <v>1163</v>
      </c>
      <c r="C52" t="s">
        <v>2460</v>
      </c>
      <c r="D52">
        <v>7</v>
      </c>
      <c r="E52" t="s">
        <v>2461</v>
      </c>
      <c r="F52" t="s">
        <v>75</v>
      </c>
      <c r="G52" t="s">
        <v>1955</v>
      </c>
      <c r="H52">
        <v>5</v>
      </c>
      <c r="I52">
        <v>11.409408000000001</v>
      </c>
      <c r="J52">
        <v>9.4094080000000009</v>
      </c>
      <c r="K52">
        <v>15.682346666666669</v>
      </c>
      <c r="L52">
        <v>6.25</v>
      </c>
    </row>
    <row r="53" spans="1:12">
      <c r="A53" t="s">
        <v>1795</v>
      </c>
      <c r="B53" t="s">
        <v>1824</v>
      </c>
      <c r="C53" t="s">
        <v>2462</v>
      </c>
      <c r="D53">
        <v>7</v>
      </c>
      <c r="E53" t="s">
        <v>2463</v>
      </c>
      <c r="F53" t="s">
        <v>75</v>
      </c>
      <c r="G53" t="s">
        <v>1955</v>
      </c>
      <c r="H53">
        <v>8</v>
      </c>
      <c r="I53">
        <v>2.8335987500000002</v>
      </c>
      <c r="J53">
        <v>0.83359875000000017</v>
      </c>
      <c r="K53">
        <v>1.3893312500000004</v>
      </c>
      <c r="L53">
        <v>1.3893312500000004</v>
      </c>
    </row>
    <row r="54" spans="1:12">
      <c r="A54" t="s">
        <v>1795</v>
      </c>
      <c r="B54" t="s">
        <v>1797</v>
      </c>
      <c r="C54" t="s">
        <v>2464</v>
      </c>
      <c r="D54">
        <v>7</v>
      </c>
      <c r="E54" t="s">
        <v>2463</v>
      </c>
      <c r="F54" t="s">
        <v>75</v>
      </c>
      <c r="G54" t="s">
        <v>1955</v>
      </c>
      <c r="H54">
        <v>6</v>
      </c>
      <c r="I54">
        <v>4.2321749999999998</v>
      </c>
      <c r="J54">
        <v>2.2321749999999998</v>
      </c>
      <c r="K54">
        <v>3.7202916666666663</v>
      </c>
      <c r="L54">
        <v>3.7202916666666663</v>
      </c>
    </row>
    <row r="55" spans="1:12">
      <c r="A55" t="s">
        <v>1771</v>
      </c>
      <c r="B55" t="s">
        <v>1783</v>
      </c>
      <c r="C55" t="s">
        <v>2465</v>
      </c>
      <c r="D55">
        <v>7</v>
      </c>
      <c r="E55" t="s">
        <v>1973</v>
      </c>
      <c r="F55" t="s">
        <v>75</v>
      </c>
      <c r="G55" t="s">
        <v>1955</v>
      </c>
      <c r="H55">
        <v>5.5</v>
      </c>
      <c r="I55">
        <v>5.5964709090909093</v>
      </c>
      <c r="J55">
        <v>3.5964709090909093</v>
      </c>
      <c r="K55">
        <v>5.9941181818181821</v>
      </c>
      <c r="L55">
        <v>5.9941181818181821</v>
      </c>
    </row>
    <row r="56" spans="1:12">
      <c r="A56" t="s">
        <v>1771</v>
      </c>
      <c r="B56" t="s">
        <v>1776</v>
      </c>
      <c r="C56" t="s">
        <v>1972</v>
      </c>
      <c r="D56">
        <v>7</v>
      </c>
      <c r="E56" t="s">
        <v>1973</v>
      </c>
      <c r="F56" t="s">
        <v>75</v>
      </c>
      <c r="G56" t="s">
        <v>1955</v>
      </c>
      <c r="H56">
        <v>5.5</v>
      </c>
      <c r="I56">
        <v>6.3440218181818189</v>
      </c>
      <c r="J56">
        <v>4.3440218181818189</v>
      </c>
      <c r="K56">
        <v>7.2400363636363654</v>
      </c>
      <c r="L56">
        <v>6.25</v>
      </c>
    </row>
    <row r="57" spans="1:12">
      <c r="A57" t="s">
        <v>138</v>
      </c>
      <c r="B57" t="s">
        <v>141</v>
      </c>
      <c r="C57" t="s">
        <v>2466</v>
      </c>
      <c r="D57">
        <v>7</v>
      </c>
      <c r="E57" t="s">
        <v>2467</v>
      </c>
      <c r="F57" t="s">
        <v>75</v>
      </c>
      <c r="G57" t="s">
        <v>1955</v>
      </c>
      <c r="H57">
        <v>4.2</v>
      </c>
      <c r="I57">
        <v>2.3369976190476187</v>
      </c>
      <c r="J57">
        <v>0.33699761904761871</v>
      </c>
      <c r="K57">
        <v>0.56166269841269789</v>
      </c>
      <c r="L57">
        <v>0.56166269841269789</v>
      </c>
    </row>
    <row r="58" spans="1:12">
      <c r="A58" t="s">
        <v>507</v>
      </c>
      <c r="B58" t="s">
        <v>514</v>
      </c>
      <c r="C58" t="s">
        <v>2468</v>
      </c>
      <c r="D58">
        <v>7</v>
      </c>
      <c r="E58" t="s">
        <v>2199</v>
      </c>
      <c r="F58" t="s">
        <v>75</v>
      </c>
      <c r="G58" t="s">
        <v>1955</v>
      </c>
      <c r="H58">
        <v>4.79</v>
      </c>
      <c r="I58">
        <v>8.5513048016701454</v>
      </c>
      <c r="J58">
        <v>6.5513048016701454</v>
      </c>
      <c r="K58">
        <v>10.918841336116909</v>
      </c>
      <c r="L58">
        <v>6.25</v>
      </c>
    </row>
    <row r="59" spans="1:12">
      <c r="A59" t="s">
        <v>209</v>
      </c>
      <c r="B59" t="s">
        <v>241</v>
      </c>
      <c r="C59" t="s">
        <v>2469</v>
      </c>
      <c r="D59">
        <v>6</v>
      </c>
      <c r="E59" t="s">
        <v>2470</v>
      </c>
      <c r="F59" t="s">
        <v>75</v>
      </c>
      <c r="G59" t="s">
        <v>1955</v>
      </c>
      <c r="H59">
        <v>5.23</v>
      </c>
      <c r="I59">
        <v>6.8195717017208404</v>
      </c>
      <c r="J59">
        <v>4.8195717017208404</v>
      </c>
      <c r="K59">
        <v>8.0326195028680676</v>
      </c>
      <c r="L59">
        <v>6.25</v>
      </c>
    </row>
    <row r="60" spans="1:12">
      <c r="A60" t="s">
        <v>209</v>
      </c>
      <c r="B60" t="s">
        <v>217</v>
      </c>
      <c r="C60" t="s">
        <v>2471</v>
      </c>
      <c r="D60">
        <v>6</v>
      </c>
      <c r="E60" t="s">
        <v>2470</v>
      </c>
      <c r="F60" t="s">
        <v>75</v>
      </c>
      <c r="G60" t="s">
        <v>1955</v>
      </c>
      <c r="H60">
        <v>4.5199999999999996</v>
      </c>
      <c r="I60">
        <v>4.3060575221238944</v>
      </c>
      <c r="J60">
        <v>2.3060575221238944</v>
      </c>
      <c r="K60">
        <v>3.8434292035398241</v>
      </c>
      <c r="L60">
        <v>3.8434292035398241</v>
      </c>
    </row>
    <row r="61" spans="1:12">
      <c r="A61" t="s">
        <v>999</v>
      </c>
      <c r="B61" t="s">
        <v>1027</v>
      </c>
      <c r="C61" t="s">
        <v>2472</v>
      </c>
      <c r="D61">
        <v>6</v>
      </c>
      <c r="E61" t="s">
        <v>2473</v>
      </c>
      <c r="F61" t="s">
        <v>75</v>
      </c>
      <c r="G61" t="s">
        <v>1955</v>
      </c>
      <c r="H61">
        <v>5.8</v>
      </c>
      <c r="I61">
        <v>2.0382758620689656</v>
      </c>
      <c r="J61">
        <v>3.8275862068965605E-2</v>
      </c>
      <c r="K61">
        <v>6.3793103448276017E-2</v>
      </c>
      <c r="L61">
        <v>6.3793103448276017E-2</v>
      </c>
    </row>
    <row r="62" spans="1:12">
      <c r="A62" t="s">
        <v>1574</v>
      </c>
      <c r="B62" t="s">
        <v>1580</v>
      </c>
      <c r="C62" t="s">
        <v>2474</v>
      </c>
      <c r="D62">
        <v>6</v>
      </c>
      <c r="E62" t="s">
        <v>2475</v>
      </c>
      <c r="F62" t="s">
        <v>75</v>
      </c>
      <c r="G62" t="s">
        <v>1955</v>
      </c>
      <c r="H62">
        <v>5.72</v>
      </c>
      <c r="I62">
        <v>4.4222167832167836</v>
      </c>
      <c r="J62">
        <v>2.4222167832167836</v>
      </c>
      <c r="K62">
        <v>4.0370279720279729</v>
      </c>
      <c r="L62">
        <v>4.0370279720279729</v>
      </c>
    </row>
    <row r="63" spans="1:12">
      <c r="A63" t="s">
        <v>1574</v>
      </c>
      <c r="B63" t="s">
        <v>1129</v>
      </c>
      <c r="C63" t="s">
        <v>2476</v>
      </c>
      <c r="D63">
        <v>6</v>
      </c>
      <c r="E63" t="s">
        <v>2475</v>
      </c>
      <c r="F63" t="s">
        <v>75</v>
      </c>
      <c r="G63" t="s">
        <v>1955</v>
      </c>
      <c r="H63">
        <v>4.5199999999999996</v>
      </c>
      <c r="I63">
        <v>2.4887190265486727</v>
      </c>
      <c r="J63">
        <v>0.48871902654867272</v>
      </c>
      <c r="K63">
        <v>0.81453171091445453</v>
      </c>
      <c r="L63">
        <v>0.81453171091445453</v>
      </c>
    </row>
    <row r="64" spans="1:12">
      <c r="A64" t="s">
        <v>1574</v>
      </c>
      <c r="B64" t="s">
        <v>1577</v>
      </c>
      <c r="C64" t="s">
        <v>2477</v>
      </c>
      <c r="D64">
        <v>6</v>
      </c>
      <c r="E64" t="s">
        <v>2475</v>
      </c>
      <c r="F64" t="s">
        <v>75</v>
      </c>
      <c r="G64" t="s">
        <v>1955</v>
      </c>
      <c r="H64">
        <v>5.9</v>
      </c>
      <c r="I64">
        <v>1.3349322033898305</v>
      </c>
      <c r="J64">
        <v>-0.66506779661016946</v>
      </c>
      <c r="K64">
        <v>-1.1084463276836158</v>
      </c>
      <c r="L64">
        <v>0</v>
      </c>
    </row>
    <row r="65" spans="1:12">
      <c r="A65" t="s">
        <v>166</v>
      </c>
      <c r="B65" t="s">
        <v>182</v>
      </c>
      <c r="C65" t="s">
        <v>2478</v>
      </c>
      <c r="D65">
        <v>6</v>
      </c>
      <c r="E65" t="s">
        <v>2479</v>
      </c>
      <c r="F65" t="s">
        <v>75</v>
      </c>
      <c r="G65" t="s">
        <v>1955</v>
      </c>
      <c r="H65">
        <v>5.3</v>
      </c>
      <c r="I65">
        <v>4.6213566037735845</v>
      </c>
      <c r="J65">
        <v>2.6213566037735845</v>
      </c>
      <c r="K65">
        <v>4.3689276729559747</v>
      </c>
      <c r="L65">
        <v>4.3689276729559747</v>
      </c>
    </row>
    <row r="66" spans="1:12">
      <c r="A66" t="s">
        <v>408</v>
      </c>
      <c r="B66" t="s">
        <v>414</v>
      </c>
      <c r="C66" t="s">
        <v>2480</v>
      </c>
      <c r="D66">
        <v>6</v>
      </c>
      <c r="E66" t="s">
        <v>2289</v>
      </c>
      <c r="F66" t="s">
        <v>75</v>
      </c>
      <c r="G66" t="s">
        <v>1955</v>
      </c>
      <c r="H66">
        <v>4.75</v>
      </c>
      <c r="I66">
        <v>6.6267052631578949</v>
      </c>
      <c r="J66">
        <v>4.6267052631578949</v>
      </c>
      <c r="K66">
        <v>7.7111754385964915</v>
      </c>
      <c r="L66">
        <v>6.25</v>
      </c>
    </row>
    <row r="67" spans="1:12">
      <c r="A67" t="s">
        <v>209</v>
      </c>
      <c r="B67" t="s">
        <v>244</v>
      </c>
      <c r="C67" t="s">
        <v>2481</v>
      </c>
      <c r="D67">
        <v>5</v>
      </c>
      <c r="E67" t="s">
        <v>2482</v>
      </c>
      <c r="F67" t="s">
        <v>75</v>
      </c>
      <c r="G67" t="s">
        <v>1955</v>
      </c>
      <c r="H67">
        <v>5.0999999999999996</v>
      </c>
      <c r="I67">
        <v>5.1587627450980396</v>
      </c>
      <c r="J67">
        <v>3.1587627450980396</v>
      </c>
      <c r="K67">
        <v>5.2646045751633999</v>
      </c>
      <c r="L67">
        <v>5.2646045751633999</v>
      </c>
    </row>
    <row r="68" spans="1:12">
      <c r="A68" t="s">
        <v>209</v>
      </c>
      <c r="B68" t="s">
        <v>237</v>
      </c>
      <c r="C68" t="s">
        <v>2483</v>
      </c>
      <c r="D68">
        <v>5</v>
      </c>
      <c r="E68" t="s">
        <v>2482</v>
      </c>
      <c r="F68" t="s">
        <v>75</v>
      </c>
      <c r="G68" t="s">
        <v>1955</v>
      </c>
      <c r="H68">
        <v>4.22</v>
      </c>
      <c r="I68">
        <v>4.9543151658767774</v>
      </c>
      <c r="J68">
        <v>2.9543151658767774</v>
      </c>
      <c r="K68">
        <v>4.9238586097946291</v>
      </c>
      <c r="L68">
        <v>4.9238586097946291</v>
      </c>
    </row>
    <row r="69" spans="1:12">
      <c r="A69" t="s">
        <v>115</v>
      </c>
      <c r="B69" t="s">
        <v>133</v>
      </c>
      <c r="C69" t="s">
        <v>2484</v>
      </c>
      <c r="D69">
        <v>5</v>
      </c>
      <c r="E69" t="s">
        <v>2485</v>
      </c>
      <c r="F69" t="s">
        <v>75</v>
      </c>
      <c r="G69" t="s">
        <v>1955</v>
      </c>
      <c r="H69">
        <v>5.45</v>
      </c>
      <c r="I69">
        <v>5.6472036697247701</v>
      </c>
      <c r="J69">
        <v>3.6472036697247701</v>
      </c>
      <c r="K69">
        <v>6.0786727828746168</v>
      </c>
      <c r="L69">
        <v>6.0786727828746168</v>
      </c>
    </row>
    <row r="70" spans="1:12">
      <c r="A70" t="s">
        <v>115</v>
      </c>
      <c r="B70" t="s">
        <v>119</v>
      </c>
      <c r="C70" t="s">
        <v>2486</v>
      </c>
      <c r="D70">
        <v>5</v>
      </c>
      <c r="E70" t="s">
        <v>2485</v>
      </c>
      <c r="F70" t="s">
        <v>75</v>
      </c>
      <c r="G70" t="s">
        <v>1955</v>
      </c>
      <c r="H70">
        <v>4.22</v>
      </c>
      <c r="I70">
        <v>3.2719194312796209</v>
      </c>
      <c r="J70">
        <v>1.2719194312796209</v>
      </c>
      <c r="K70">
        <v>2.1198657187993684</v>
      </c>
      <c r="L70">
        <v>2.1198657187993684</v>
      </c>
    </row>
    <row r="71" spans="1:12">
      <c r="A71" t="s">
        <v>999</v>
      </c>
      <c r="B71" t="s">
        <v>1013</v>
      </c>
      <c r="C71" t="s">
        <v>2487</v>
      </c>
      <c r="D71">
        <v>5</v>
      </c>
      <c r="E71" t="s">
        <v>2488</v>
      </c>
      <c r="F71" t="s">
        <v>75</v>
      </c>
      <c r="G71" t="s">
        <v>1955</v>
      </c>
      <c r="H71">
        <v>4.9000000000000004</v>
      </c>
      <c r="I71">
        <v>6.0665061224489794</v>
      </c>
      <c r="J71">
        <v>4.0665061224489794</v>
      </c>
      <c r="K71">
        <v>6.7775102040816328</v>
      </c>
      <c r="L71">
        <v>6.25</v>
      </c>
    </row>
    <row r="72" spans="1:12">
      <c r="A72" t="s">
        <v>1066</v>
      </c>
      <c r="B72" t="s">
        <v>1118</v>
      </c>
      <c r="C72" t="s">
        <v>2489</v>
      </c>
      <c r="D72">
        <v>2</v>
      </c>
      <c r="E72" t="s">
        <v>2490</v>
      </c>
      <c r="F72" t="s">
        <v>75</v>
      </c>
      <c r="G72" t="s">
        <v>1955</v>
      </c>
      <c r="H72">
        <v>4.25</v>
      </c>
      <c r="I72">
        <v>2.7803200000000001</v>
      </c>
      <c r="J72">
        <v>0.78032000000000012</v>
      </c>
      <c r="K72">
        <v>1.3005333333333335</v>
      </c>
      <c r="L72">
        <v>1.3005333333333335</v>
      </c>
    </row>
    <row r="73" spans="1:12">
      <c r="A73" t="s">
        <v>999</v>
      </c>
      <c r="B73" t="s">
        <v>1008</v>
      </c>
      <c r="C73" t="s">
        <v>2491</v>
      </c>
      <c r="D73">
        <v>5</v>
      </c>
      <c r="E73" t="s">
        <v>2488</v>
      </c>
      <c r="F73" t="s">
        <v>75</v>
      </c>
      <c r="G73" t="s">
        <v>1955</v>
      </c>
      <c r="H73">
        <v>4.5</v>
      </c>
      <c r="I73">
        <v>3.1337177777777776</v>
      </c>
      <c r="J73">
        <v>1.1337177777777776</v>
      </c>
      <c r="K73">
        <v>1.8895296296296293</v>
      </c>
      <c r="L73">
        <v>1.8895296296296293</v>
      </c>
    </row>
    <row r="74" spans="1:12">
      <c r="A74" t="s">
        <v>999</v>
      </c>
      <c r="B74" t="s">
        <v>1002</v>
      </c>
      <c r="C74" t="s">
        <v>2492</v>
      </c>
      <c r="D74">
        <v>5</v>
      </c>
      <c r="E74" t="s">
        <v>2488</v>
      </c>
      <c r="F74" t="s">
        <v>75</v>
      </c>
      <c r="G74" t="s">
        <v>1955</v>
      </c>
      <c r="H74">
        <v>4.9000000000000004</v>
      </c>
      <c r="I74">
        <v>5.5537897959183669</v>
      </c>
      <c r="J74">
        <v>3.5537897959183669</v>
      </c>
      <c r="K74">
        <v>5.9229829931972784</v>
      </c>
      <c r="L74">
        <v>5.9229829931972784</v>
      </c>
    </row>
    <row r="75" spans="1:12">
      <c r="A75" t="s">
        <v>1795</v>
      </c>
      <c r="B75" t="s">
        <v>1812</v>
      </c>
      <c r="C75" t="s">
        <v>2493</v>
      </c>
      <c r="D75">
        <v>2</v>
      </c>
      <c r="E75" t="s">
        <v>2494</v>
      </c>
      <c r="F75" t="s">
        <v>75</v>
      </c>
      <c r="G75" t="s">
        <v>1955</v>
      </c>
      <c r="H75">
        <v>8</v>
      </c>
      <c r="I75">
        <v>0.99416499999999997</v>
      </c>
      <c r="J75">
        <v>-1.005835</v>
      </c>
      <c r="K75">
        <v>-1.6763916666666667</v>
      </c>
      <c r="L75">
        <v>0</v>
      </c>
    </row>
    <row r="76" spans="1:12">
      <c r="A76" t="s">
        <v>1795</v>
      </c>
      <c r="B76" t="s">
        <v>272</v>
      </c>
      <c r="C76" t="s">
        <v>2495</v>
      </c>
      <c r="D76">
        <v>2</v>
      </c>
      <c r="E76" t="s">
        <v>2494</v>
      </c>
      <c r="F76" t="s">
        <v>75</v>
      </c>
      <c r="G76" t="s">
        <v>1955</v>
      </c>
      <c r="H76">
        <v>8.5</v>
      </c>
      <c r="I76">
        <v>2.8354752941176469</v>
      </c>
      <c r="J76">
        <v>0.83547529411764687</v>
      </c>
      <c r="K76">
        <v>1.3924588235294115</v>
      </c>
      <c r="L76">
        <v>1.3924588235294115</v>
      </c>
    </row>
    <row r="77" spans="1:12">
      <c r="A77" t="s">
        <v>1795</v>
      </c>
      <c r="B77" t="s">
        <v>1820</v>
      </c>
      <c r="C77" t="s">
        <v>2496</v>
      </c>
      <c r="D77">
        <v>2</v>
      </c>
      <c r="E77" t="s">
        <v>2494</v>
      </c>
      <c r="F77" t="s">
        <v>75</v>
      </c>
      <c r="G77" t="s">
        <v>1955</v>
      </c>
      <c r="H77">
        <v>8.5</v>
      </c>
      <c r="I77">
        <v>2.7157788235294116</v>
      </c>
      <c r="J77">
        <v>0.71577882352941158</v>
      </c>
      <c r="K77">
        <v>1.1929647058823527</v>
      </c>
      <c r="L77">
        <v>1.1929647058823527</v>
      </c>
    </row>
    <row r="78" spans="1:12">
      <c r="A78" t="s">
        <v>1123</v>
      </c>
      <c r="B78" t="s">
        <v>1145</v>
      </c>
      <c r="C78" t="s">
        <v>2497</v>
      </c>
      <c r="D78">
        <v>5</v>
      </c>
      <c r="E78" t="s">
        <v>2498</v>
      </c>
      <c r="F78" t="s">
        <v>75</v>
      </c>
      <c r="G78" t="s">
        <v>1955</v>
      </c>
      <c r="H78">
        <v>4.2</v>
      </c>
      <c r="I78">
        <v>3.1428499999999997</v>
      </c>
      <c r="J78">
        <v>1.1428499999999997</v>
      </c>
      <c r="K78">
        <v>1.9047499999999995</v>
      </c>
      <c r="L78">
        <v>1.9047499999999995</v>
      </c>
    </row>
    <row r="79" spans="1:12">
      <c r="A79" t="s">
        <v>1123</v>
      </c>
      <c r="B79" t="s">
        <v>1141</v>
      </c>
      <c r="C79" t="s">
        <v>2499</v>
      </c>
      <c r="D79">
        <v>5</v>
      </c>
      <c r="E79" t="s">
        <v>2498</v>
      </c>
      <c r="F79" t="s">
        <v>75</v>
      </c>
      <c r="G79" t="s">
        <v>1955</v>
      </c>
      <c r="H79">
        <v>5.3</v>
      </c>
      <c r="I79">
        <v>5.6923867924528304</v>
      </c>
      <c r="J79">
        <v>3.6923867924528304</v>
      </c>
      <c r="K79">
        <v>6.153977987421384</v>
      </c>
      <c r="L79">
        <v>6.153977987421384</v>
      </c>
    </row>
    <row r="80" spans="1:12">
      <c r="A80" t="s">
        <v>1123</v>
      </c>
      <c r="B80" t="s">
        <v>997</v>
      </c>
      <c r="C80" t="s">
        <v>2500</v>
      </c>
      <c r="D80">
        <v>5</v>
      </c>
      <c r="E80" t="s">
        <v>2498</v>
      </c>
      <c r="F80" t="s">
        <v>75</v>
      </c>
      <c r="G80" t="s">
        <v>1955</v>
      </c>
      <c r="H80">
        <v>5.2</v>
      </c>
      <c r="I80">
        <v>3.6580288461538464</v>
      </c>
      <c r="J80">
        <v>1.6580288461538464</v>
      </c>
      <c r="K80">
        <v>2.7633814102564109</v>
      </c>
      <c r="L80">
        <v>2.7633814102564109</v>
      </c>
    </row>
    <row r="81" spans="1:12">
      <c r="A81" t="s">
        <v>1123</v>
      </c>
      <c r="B81" t="s">
        <v>1138</v>
      </c>
      <c r="C81" t="s">
        <v>2501</v>
      </c>
      <c r="D81">
        <v>5</v>
      </c>
      <c r="E81" t="s">
        <v>2498</v>
      </c>
      <c r="F81" t="s">
        <v>75</v>
      </c>
      <c r="G81" t="s">
        <v>1955</v>
      </c>
      <c r="H81">
        <v>4.5</v>
      </c>
      <c r="I81">
        <v>3.279355555555556</v>
      </c>
      <c r="J81">
        <v>1.279355555555556</v>
      </c>
      <c r="K81">
        <v>2.1322592592592602</v>
      </c>
      <c r="L81">
        <v>2.1322592592592602</v>
      </c>
    </row>
    <row r="82" spans="1:12">
      <c r="A82" t="s">
        <v>1123</v>
      </c>
      <c r="B82" t="s">
        <v>1135</v>
      </c>
      <c r="C82" t="s">
        <v>2502</v>
      </c>
      <c r="D82">
        <v>5</v>
      </c>
      <c r="E82" t="s">
        <v>2498</v>
      </c>
      <c r="F82" t="s">
        <v>75</v>
      </c>
      <c r="G82" t="s">
        <v>1955</v>
      </c>
      <c r="H82">
        <v>4.5</v>
      </c>
      <c r="I82">
        <v>4.6165288888888893</v>
      </c>
      <c r="J82">
        <v>2.6165288888888893</v>
      </c>
      <c r="K82">
        <v>4.3608814814814822</v>
      </c>
      <c r="L82">
        <v>4.3608814814814822</v>
      </c>
    </row>
    <row r="83" spans="1:12">
      <c r="A83" t="s">
        <v>1123</v>
      </c>
      <c r="B83" t="s">
        <v>1131</v>
      </c>
      <c r="C83" t="s">
        <v>2503</v>
      </c>
      <c r="D83">
        <v>5</v>
      </c>
      <c r="E83" t="s">
        <v>2498</v>
      </c>
      <c r="F83" t="s">
        <v>75</v>
      </c>
      <c r="G83" t="s">
        <v>1955</v>
      </c>
      <c r="H83">
        <v>4.5</v>
      </c>
      <c r="I83">
        <v>5.3942866666666669</v>
      </c>
      <c r="J83">
        <v>3.3942866666666669</v>
      </c>
      <c r="K83">
        <v>5.6571444444444454</v>
      </c>
      <c r="L83">
        <v>5.6571444444444454</v>
      </c>
    </row>
    <row r="84" spans="1:12">
      <c r="A84" t="s">
        <v>474</v>
      </c>
      <c r="B84" t="s">
        <v>483</v>
      </c>
      <c r="C84" t="s">
        <v>2504</v>
      </c>
      <c r="D84">
        <v>5</v>
      </c>
      <c r="E84" t="s">
        <v>2505</v>
      </c>
      <c r="F84" t="s">
        <v>75</v>
      </c>
      <c r="G84" t="s">
        <v>1955</v>
      </c>
      <c r="H84">
        <v>6.25</v>
      </c>
      <c r="I84">
        <v>16.080868799999998</v>
      </c>
      <c r="J84">
        <v>14.080868799999998</v>
      </c>
      <c r="K84">
        <v>23.468114666666665</v>
      </c>
      <c r="L84">
        <v>6.25</v>
      </c>
    </row>
    <row r="85" spans="1:12">
      <c r="A85" t="s">
        <v>1600</v>
      </c>
      <c r="B85" t="s">
        <v>1647</v>
      </c>
      <c r="C85" t="s">
        <v>2506</v>
      </c>
      <c r="D85">
        <v>5</v>
      </c>
      <c r="E85" t="s">
        <v>2507</v>
      </c>
      <c r="F85" t="s">
        <v>75</v>
      </c>
      <c r="G85" t="s">
        <v>1955</v>
      </c>
      <c r="H85">
        <v>5.24</v>
      </c>
      <c r="I85">
        <v>9.8537977099236649</v>
      </c>
      <c r="J85">
        <v>7.8537977099236649</v>
      </c>
      <c r="K85">
        <v>13.089662849872775</v>
      </c>
      <c r="L85">
        <v>6.25</v>
      </c>
    </row>
    <row r="86" spans="1:12">
      <c r="A86" t="s">
        <v>283</v>
      </c>
      <c r="B86" t="s">
        <v>304</v>
      </c>
      <c r="C86" t="s">
        <v>2508</v>
      </c>
      <c r="D86">
        <v>5</v>
      </c>
      <c r="E86" t="s">
        <v>2509</v>
      </c>
      <c r="F86" t="s">
        <v>75</v>
      </c>
      <c r="G86" t="s">
        <v>1955</v>
      </c>
      <c r="H86">
        <v>8.1999999999999993</v>
      </c>
      <c r="I86">
        <v>4.4905024390243913</v>
      </c>
      <c r="J86">
        <v>2.4905024390243913</v>
      </c>
      <c r="K86">
        <v>4.1508373983739855</v>
      </c>
      <c r="L86">
        <v>4.1508373983739855</v>
      </c>
    </row>
    <row r="87" spans="1:12">
      <c r="A87" t="s">
        <v>283</v>
      </c>
      <c r="B87" t="s">
        <v>302</v>
      </c>
      <c r="C87" t="s">
        <v>2510</v>
      </c>
      <c r="D87">
        <v>5</v>
      </c>
      <c r="E87" t="s">
        <v>2509</v>
      </c>
      <c r="F87" t="s">
        <v>75</v>
      </c>
      <c r="G87" t="s">
        <v>1955</v>
      </c>
      <c r="H87">
        <v>8</v>
      </c>
      <c r="I87">
        <v>3.7136262499999999</v>
      </c>
      <c r="J87">
        <v>1.7136262499999999</v>
      </c>
      <c r="K87">
        <v>2.85604375</v>
      </c>
      <c r="L87">
        <v>2.85604375</v>
      </c>
    </row>
    <row r="88" spans="1:12">
      <c r="A88" t="s">
        <v>1066</v>
      </c>
      <c r="B88" t="s">
        <v>1076</v>
      </c>
      <c r="C88" t="s">
        <v>2511</v>
      </c>
      <c r="D88">
        <v>5</v>
      </c>
      <c r="E88" t="s">
        <v>2512</v>
      </c>
      <c r="F88" t="s">
        <v>75</v>
      </c>
      <c r="G88" t="s">
        <v>1955</v>
      </c>
      <c r="H88">
        <v>4.2</v>
      </c>
      <c r="I88">
        <v>1.2076095238095237</v>
      </c>
      <c r="J88">
        <v>-0.79239047619047631</v>
      </c>
      <c r="K88">
        <v>-1.3206507936507939</v>
      </c>
      <c r="L88">
        <v>0</v>
      </c>
    </row>
    <row r="89" spans="1:12">
      <c r="A89" t="s">
        <v>138</v>
      </c>
      <c r="B89" t="s">
        <v>154</v>
      </c>
      <c r="C89" t="s">
        <v>2513</v>
      </c>
      <c r="D89">
        <v>5</v>
      </c>
      <c r="E89" t="s">
        <v>2514</v>
      </c>
      <c r="F89" t="s">
        <v>75</v>
      </c>
      <c r="G89" t="s">
        <v>1955</v>
      </c>
      <c r="H89">
        <v>4.2</v>
      </c>
      <c r="I89">
        <v>6.8879357142857138</v>
      </c>
      <c r="J89">
        <v>4.8879357142857138</v>
      </c>
      <c r="K89">
        <v>8.1465595238095236</v>
      </c>
      <c r="L89">
        <v>6.25</v>
      </c>
    </row>
    <row r="90" spans="1:12">
      <c r="A90" t="s">
        <v>115</v>
      </c>
      <c r="B90" t="s">
        <v>125</v>
      </c>
      <c r="C90" t="s">
        <v>2515</v>
      </c>
      <c r="D90">
        <v>4</v>
      </c>
      <c r="E90" t="s">
        <v>2516</v>
      </c>
      <c r="F90" t="s">
        <v>75</v>
      </c>
      <c r="G90" t="s">
        <v>1955</v>
      </c>
      <c r="H90">
        <v>4.29</v>
      </c>
      <c r="I90">
        <v>3.6191095571095566</v>
      </c>
      <c r="J90">
        <v>1.6191095571095566</v>
      </c>
      <c r="K90">
        <v>2.6985159285159277</v>
      </c>
      <c r="L90">
        <v>2.6985159285159277</v>
      </c>
    </row>
    <row r="91" spans="1:12">
      <c r="A91" t="s">
        <v>999</v>
      </c>
      <c r="B91" t="s">
        <v>1064</v>
      </c>
      <c r="C91" t="s">
        <v>2517</v>
      </c>
      <c r="D91">
        <v>4</v>
      </c>
      <c r="E91" t="s">
        <v>2518</v>
      </c>
      <c r="F91" t="s">
        <v>75</v>
      </c>
      <c r="G91" t="s">
        <v>1955</v>
      </c>
      <c r="H91">
        <v>4.5</v>
      </c>
      <c r="I91">
        <v>4.9599622222222228</v>
      </c>
      <c r="J91">
        <v>2.9599622222222228</v>
      </c>
      <c r="K91">
        <v>4.933270370370372</v>
      </c>
      <c r="L91">
        <v>4.933270370370372</v>
      </c>
    </row>
    <row r="92" spans="1:12">
      <c r="A92" t="s">
        <v>999</v>
      </c>
      <c r="B92" t="s">
        <v>1060</v>
      </c>
      <c r="C92" t="s">
        <v>2519</v>
      </c>
      <c r="D92">
        <v>4</v>
      </c>
      <c r="E92" t="s">
        <v>2518</v>
      </c>
      <c r="F92" t="s">
        <v>75</v>
      </c>
      <c r="G92" t="s">
        <v>1955</v>
      </c>
      <c r="H92">
        <v>4.5</v>
      </c>
      <c r="I92">
        <v>3.8017955555555556</v>
      </c>
      <c r="J92">
        <v>1.8017955555555556</v>
      </c>
      <c r="K92">
        <v>3.0029925925925927</v>
      </c>
      <c r="L92">
        <v>3.0029925925925927</v>
      </c>
    </row>
    <row r="93" spans="1:12">
      <c r="A93" t="s">
        <v>999</v>
      </c>
      <c r="B93" t="s">
        <v>1056</v>
      </c>
      <c r="C93" t="s">
        <v>2520</v>
      </c>
      <c r="D93">
        <v>4</v>
      </c>
      <c r="E93" t="s">
        <v>2518</v>
      </c>
      <c r="F93" t="s">
        <v>75</v>
      </c>
      <c r="G93" t="s">
        <v>1955</v>
      </c>
      <c r="H93">
        <v>4.5</v>
      </c>
      <c r="I93">
        <v>3.502971111111111</v>
      </c>
      <c r="J93">
        <v>1.502971111111111</v>
      </c>
      <c r="K93">
        <v>2.5049518518518519</v>
      </c>
      <c r="L93">
        <v>2.5049518518518519</v>
      </c>
    </row>
    <row r="94" spans="1:12">
      <c r="A94" t="s">
        <v>999</v>
      </c>
      <c r="B94" t="s">
        <v>1053</v>
      </c>
      <c r="C94" t="s">
        <v>2521</v>
      </c>
      <c r="D94">
        <v>4</v>
      </c>
      <c r="E94" t="s">
        <v>2518</v>
      </c>
      <c r="F94" t="s">
        <v>75</v>
      </c>
      <c r="G94" t="s">
        <v>1955</v>
      </c>
      <c r="H94">
        <v>4.5</v>
      </c>
      <c r="I94">
        <v>4.1126022222222218</v>
      </c>
      <c r="J94">
        <v>2.1126022222222218</v>
      </c>
      <c r="K94">
        <v>3.5210037037037032</v>
      </c>
      <c r="L94">
        <v>3.5210037037037032</v>
      </c>
    </row>
    <row r="95" spans="1:12">
      <c r="A95" t="s">
        <v>999</v>
      </c>
      <c r="B95" t="s">
        <v>1051</v>
      </c>
      <c r="C95" t="s">
        <v>2522</v>
      </c>
      <c r="D95">
        <v>4</v>
      </c>
      <c r="E95" t="s">
        <v>2518</v>
      </c>
      <c r="F95" t="s">
        <v>75</v>
      </c>
      <c r="G95" t="s">
        <v>1955</v>
      </c>
      <c r="H95">
        <v>4.5</v>
      </c>
      <c r="I95">
        <v>5.7259311111111106</v>
      </c>
      <c r="J95">
        <v>3.7259311111111106</v>
      </c>
      <c r="K95">
        <v>6.2098851851851844</v>
      </c>
      <c r="L95">
        <v>6.2098851851851844</v>
      </c>
    </row>
    <row r="96" spans="1:12">
      <c r="A96" t="s">
        <v>999</v>
      </c>
      <c r="B96" t="s">
        <v>1049</v>
      </c>
      <c r="C96" t="s">
        <v>2523</v>
      </c>
      <c r="D96">
        <v>4</v>
      </c>
      <c r="E96" t="s">
        <v>2518</v>
      </c>
      <c r="F96" t="s">
        <v>75</v>
      </c>
      <c r="G96" t="s">
        <v>1955</v>
      </c>
      <c r="H96">
        <v>4.5</v>
      </c>
      <c r="I96">
        <v>7.5922377777777781</v>
      </c>
      <c r="J96">
        <v>5.5922377777777781</v>
      </c>
      <c r="K96">
        <v>9.3203962962962965</v>
      </c>
      <c r="L96">
        <v>6.25</v>
      </c>
    </row>
    <row r="97" spans="1:12">
      <c r="A97" t="s">
        <v>1574</v>
      </c>
      <c r="B97" t="s">
        <v>1587</v>
      </c>
      <c r="C97" t="s">
        <v>2524</v>
      </c>
      <c r="D97">
        <v>2</v>
      </c>
      <c r="E97" t="s">
        <v>2525</v>
      </c>
      <c r="F97" t="s">
        <v>75</v>
      </c>
      <c r="G97" t="s">
        <v>1955</v>
      </c>
      <c r="H97">
        <v>5.72</v>
      </c>
      <c r="I97">
        <v>2.6411503496503497</v>
      </c>
      <c r="J97">
        <v>0.64115034965034967</v>
      </c>
      <c r="K97">
        <v>1.0685839160839161</v>
      </c>
      <c r="L97">
        <v>1.0685839160839161</v>
      </c>
    </row>
    <row r="98" spans="1:12">
      <c r="A98" t="s">
        <v>1574</v>
      </c>
      <c r="B98" t="s">
        <v>1598</v>
      </c>
      <c r="C98" t="s">
        <v>2526</v>
      </c>
      <c r="D98">
        <v>2</v>
      </c>
      <c r="E98" t="s">
        <v>2525</v>
      </c>
      <c r="F98" t="s">
        <v>75</v>
      </c>
      <c r="G98" t="s">
        <v>1955</v>
      </c>
      <c r="H98">
        <v>4.37</v>
      </c>
      <c r="I98">
        <v>2.6454485125858125</v>
      </c>
      <c r="J98">
        <v>0.64544851258581248</v>
      </c>
      <c r="K98">
        <v>1.0757475209763543</v>
      </c>
      <c r="L98">
        <v>1.0757475209763543</v>
      </c>
    </row>
    <row r="99" spans="1:12">
      <c r="A99" t="s">
        <v>999</v>
      </c>
      <c r="B99" t="s">
        <v>1047</v>
      </c>
      <c r="C99" t="s">
        <v>2527</v>
      </c>
      <c r="D99">
        <v>4</v>
      </c>
      <c r="E99" t="s">
        <v>2518</v>
      </c>
      <c r="F99" t="s">
        <v>75</v>
      </c>
      <c r="G99" t="s">
        <v>1955</v>
      </c>
      <c r="H99">
        <v>4.5</v>
      </c>
      <c r="I99">
        <v>4.5831955555555561</v>
      </c>
      <c r="J99">
        <v>2.5831955555555561</v>
      </c>
      <c r="K99">
        <v>4.3053259259259269</v>
      </c>
      <c r="L99">
        <v>4.3053259259259269</v>
      </c>
    </row>
    <row r="100" spans="1:12">
      <c r="A100" t="s">
        <v>999</v>
      </c>
      <c r="B100" t="s">
        <v>1045</v>
      </c>
      <c r="C100" t="s">
        <v>2528</v>
      </c>
      <c r="D100">
        <v>4</v>
      </c>
      <c r="E100" t="s">
        <v>2518</v>
      </c>
      <c r="F100" t="s">
        <v>75</v>
      </c>
      <c r="G100" t="s">
        <v>1955</v>
      </c>
      <c r="H100">
        <v>4.5</v>
      </c>
      <c r="I100">
        <v>6.1955422222222216</v>
      </c>
      <c r="J100">
        <v>4.1955422222222216</v>
      </c>
      <c r="K100">
        <v>6.9925703703703697</v>
      </c>
      <c r="L100">
        <v>6.25</v>
      </c>
    </row>
    <row r="101" spans="1:12">
      <c r="A101" t="s">
        <v>999</v>
      </c>
      <c r="B101" t="s">
        <v>1006</v>
      </c>
      <c r="C101" t="s">
        <v>2529</v>
      </c>
      <c r="D101">
        <v>4</v>
      </c>
      <c r="E101" t="s">
        <v>2518</v>
      </c>
      <c r="F101" t="s">
        <v>75</v>
      </c>
      <c r="G101" t="s">
        <v>1955</v>
      </c>
      <c r="H101">
        <v>4.5</v>
      </c>
      <c r="I101">
        <v>3.7954377777777779</v>
      </c>
      <c r="J101">
        <v>1.7954377777777779</v>
      </c>
      <c r="K101">
        <v>2.9923962962962967</v>
      </c>
      <c r="L101">
        <v>2.9923962962962967</v>
      </c>
    </row>
    <row r="102" spans="1:12">
      <c r="A102" t="s">
        <v>1123</v>
      </c>
      <c r="B102" t="s">
        <v>1122</v>
      </c>
      <c r="C102" t="s">
        <v>2530</v>
      </c>
      <c r="D102">
        <v>4</v>
      </c>
      <c r="E102" t="s">
        <v>2531</v>
      </c>
      <c r="F102" t="s">
        <v>75</v>
      </c>
      <c r="G102" t="s">
        <v>1955</v>
      </c>
      <c r="H102">
        <v>4.7</v>
      </c>
      <c r="I102">
        <v>4.7938425531914888</v>
      </c>
      <c r="J102">
        <v>2.7938425531914888</v>
      </c>
      <c r="K102">
        <v>4.6564042553191483</v>
      </c>
      <c r="L102">
        <v>4.6564042553191483</v>
      </c>
    </row>
    <row r="103" spans="1:12">
      <c r="A103" t="s">
        <v>474</v>
      </c>
      <c r="B103" t="s">
        <v>506</v>
      </c>
      <c r="C103" t="s">
        <v>2532</v>
      </c>
      <c r="D103">
        <v>4</v>
      </c>
      <c r="E103" t="s">
        <v>2533</v>
      </c>
      <c r="F103" t="s">
        <v>75</v>
      </c>
      <c r="G103" t="s">
        <v>1955</v>
      </c>
      <c r="H103">
        <v>6.25</v>
      </c>
      <c r="I103">
        <v>7.6210880000000012</v>
      </c>
      <c r="J103">
        <v>5.6210880000000012</v>
      </c>
      <c r="K103">
        <v>9.3684800000000017</v>
      </c>
      <c r="L103">
        <v>6.25</v>
      </c>
    </row>
    <row r="104" spans="1:12">
      <c r="A104" t="s">
        <v>474</v>
      </c>
      <c r="B104" t="s">
        <v>496</v>
      </c>
      <c r="C104" t="s">
        <v>2534</v>
      </c>
      <c r="D104">
        <v>4</v>
      </c>
      <c r="E104" t="s">
        <v>2533</v>
      </c>
      <c r="F104" t="s">
        <v>75</v>
      </c>
      <c r="G104" t="s">
        <v>1955</v>
      </c>
      <c r="H104">
        <v>6.25</v>
      </c>
      <c r="I104">
        <v>10.129568000000001</v>
      </c>
      <c r="J104">
        <v>8.1295680000000008</v>
      </c>
      <c r="K104">
        <v>13.549280000000001</v>
      </c>
      <c r="L104">
        <v>6.25</v>
      </c>
    </row>
    <row r="105" spans="1:12">
      <c r="A105" t="s">
        <v>1574</v>
      </c>
      <c r="B105" t="s">
        <v>1591</v>
      </c>
      <c r="C105" t="s">
        <v>2535</v>
      </c>
      <c r="D105">
        <v>4</v>
      </c>
      <c r="E105" t="s">
        <v>2536</v>
      </c>
      <c r="F105" t="s">
        <v>75</v>
      </c>
      <c r="G105" t="s">
        <v>1955</v>
      </c>
      <c r="H105">
        <v>5.9</v>
      </c>
      <c r="I105">
        <v>3.1966491525423724</v>
      </c>
      <c r="J105">
        <v>1.1966491525423724</v>
      </c>
      <c r="K105">
        <v>1.9944152542372873</v>
      </c>
      <c r="L105">
        <v>1.9944152542372873</v>
      </c>
    </row>
    <row r="106" spans="1:12">
      <c r="A106" t="s">
        <v>1146</v>
      </c>
      <c r="B106" t="s">
        <v>1161</v>
      </c>
      <c r="C106" t="s">
        <v>2537</v>
      </c>
      <c r="D106">
        <v>4</v>
      </c>
      <c r="E106" t="s">
        <v>2538</v>
      </c>
      <c r="F106" t="s">
        <v>75</v>
      </c>
      <c r="G106" t="s">
        <v>1955</v>
      </c>
      <c r="H106">
        <v>5</v>
      </c>
      <c r="I106">
        <v>6.3795960000000003</v>
      </c>
      <c r="J106">
        <v>4.3795960000000003</v>
      </c>
      <c r="K106">
        <v>7.2993266666666674</v>
      </c>
      <c r="L106">
        <v>6.25</v>
      </c>
    </row>
    <row r="107" spans="1:12">
      <c r="A107" t="s">
        <v>1146</v>
      </c>
      <c r="B107" t="s">
        <v>1159</v>
      </c>
      <c r="C107" t="s">
        <v>2539</v>
      </c>
      <c r="D107">
        <v>4</v>
      </c>
      <c r="E107" t="s">
        <v>2538</v>
      </c>
      <c r="F107" t="s">
        <v>75</v>
      </c>
      <c r="G107" t="s">
        <v>1955</v>
      </c>
      <c r="H107">
        <v>5</v>
      </c>
      <c r="I107">
        <v>5.2900640000000001</v>
      </c>
      <c r="J107">
        <v>3.2900640000000001</v>
      </c>
      <c r="K107">
        <v>5.4834400000000008</v>
      </c>
      <c r="L107">
        <v>5.4834400000000008</v>
      </c>
    </row>
    <row r="108" spans="1:12">
      <c r="A108" t="s">
        <v>1146</v>
      </c>
      <c r="B108" t="s">
        <v>1157</v>
      </c>
      <c r="C108" t="s">
        <v>2540</v>
      </c>
      <c r="D108">
        <v>4</v>
      </c>
      <c r="E108" t="s">
        <v>2538</v>
      </c>
      <c r="F108" t="s">
        <v>75</v>
      </c>
      <c r="G108" t="s">
        <v>1955</v>
      </c>
      <c r="H108">
        <v>5</v>
      </c>
      <c r="I108">
        <v>7.0380820000000002</v>
      </c>
      <c r="J108">
        <v>5.0380820000000002</v>
      </c>
      <c r="K108">
        <v>8.3968033333333345</v>
      </c>
      <c r="L108">
        <v>6.25</v>
      </c>
    </row>
    <row r="109" spans="1:12">
      <c r="A109" t="s">
        <v>283</v>
      </c>
      <c r="B109" t="s">
        <v>306</v>
      </c>
      <c r="C109" t="s">
        <v>2541</v>
      </c>
      <c r="D109">
        <v>4</v>
      </c>
      <c r="E109" t="s">
        <v>2265</v>
      </c>
      <c r="F109" t="s">
        <v>75</v>
      </c>
      <c r="G109" t="s">
        <v>1955</v>
      </c>
      <c r="H109">
        <v>6.32</v>
      </c>
      <c r="I109">
        <v>12.451768987341771</v>
      </c>
      <c r="J109">
        <v>10.451768987341771</v>
      </c>
      <c r="K109">
        <v>17.419614978902953</v>
      </c>
      <c r="L109">
        <v>6.25</v>
      </c>
    </row>
    <row r="110" spans="1:12">
      <c r="A110" t="s">
        <v>1771</v>
      </c>
      <c r="B110" t="s">
        <v>1788</v>
      </c>
      <c r="C110" t="s">
        <v>2542</v>
      </c>
      <c r="D110">
        <v>4</v>
      </c>
      <c r="E110" t="s">
        <v>2543</v>
      </c>
      <c r="F110" t="s">
        <v>75</v>
      </c>
      <c r="G110" t="s">
        <v>1955</v>
      </c>
      <c r="H110">
        <v>5.5</v>
      </c>
      <c r="I110">
        <v>3.7339236363636363</v>
      </c>
      <c r="J110">
        <v>1.7339236363636363</v>
      </c>
      <c r="K110">
        <v>2.8898727272727274</v>
      </c>
      <c r="L110">
        <v>2.8898727272727274</v>
      </c>
    </row>
    <row r="111" spans="1:12">
      <c r="A111" t="s">
        <v>1771</v>
      </c>
      <c r="B111" t="s">
        <v>1785</v>
      </c>
      <c r="C111" t="s">
        <v>2544</v>
      </c>
      <c r="D111">
        <v>4</v>
      </c>
      <c r="E111" t="s">
        <v>2543</v>
      </c>
      <c r="F111" t="s">
        <v>75</v>
      </c>
      <c r="G111" t="s">
        <v>1955</v>
      </c>
      <c r="H111">
        <v>5</v>
      </c>
      <c r="I111">
        <v>4.2900599999999995</v>
      </c>
      <c r="J111">
        <v>2.2900599999999995</v>
      </c>
      <c r="K111">
        <v>3.8167666666666662</v>
      </c>
      <c r="L111">
        <v>3.8167666666666662</v>
      </c>
    </row>
    <row r="112" spans="1:12">
      <c r="A112" t="s">
        <v>507</v>
      </c>
      <c r="B112" t="s">
        <v>527</v>
      </c>
      <c r="C112" t="s">
        <v>2545</v>
      </c>
      <c r="D112">
        <v>4</v>
      </c>
      <c r="E112" t="s">
        <v>2546</v>
      </c>
      <c r="F112" t="s">
        <v>75</v>
      </c>
      <c r="G112" t="s">
        <v>1955</v>
      </c>
      <c r="H112">
        <v>4.79</v>
      </c>
      <c r="I112">
        <v>11.752227557411272</v>
      </c>
      <c r="J112">
        <v>9.7522275574112722</v>
      </c>
      <c r="K112">
        <v>16.253712595685453</v>
      </c>
      <c r="L112">
        <v>6.25</v>
      </c>
    </row>
    <row r="113" spans="1:12">
      <c r="A113" t="s">
        <v>209</v>
      </c>
      <c r="B113" t="s">
        <v>239</v>
      </c>
      <c r="C113" t="s">
        <v>2547</v>
      </c>
      <c r="D113">
        <v>3</v>
      </c>
      <c r="E113" t="s">
        <v>2548</v>
      </c>
      <c r="F113" t="s">
        <v>75</v>
      </c>
      <c r="G113" t="s">
        <v>1955</v>
      </c>
      <c r="H113">
        <v>5.28</v>
      </c>
      <c r="I113">
        <v>7.7127746212121204</v>
      </c>
      <c r="J113">
        <v>5.7127746212121204</v>
      </c>
      <c r="K113">
        <v>9.5212910353535349</v>
      </c>
      <c r="L113">
        <v>6.25</v>
      </c>
    </row>
    <row r="114" spans="1:12">
      <c r="A114" t="s">
        <v>999</v>
      </c>
      <c r="B114" t="s">
        <v>1062</v>
      </c>
      <c r="C114" t="s">
        <v>2549</v>
      </c>
      <c r="D114">
        <v>3</v>
      </c>
      <c r="E114" t="s">
        <v>2550</v>
      </c>
      <c r="F114" t="s">
        <v>75</v>
      </c>
      <c r="G114" t="s">
        <v>1955</v>
      </c>
      <c r="H114">
        <v>4.5</v>
      </c>
      <c r="I114">
        <v>3.5227244444444441</v>
      </c>
      <c r="J114">
        <v>1.5227244444444441</v>
      </c>
      <c r="K114">
        <v>2.5378740740740735</v>
      </c>
      <c r="L114">
        <v>2.5378740740740735</v>
      </c>
    </row>
    <row r="115" spans="1:12">
      <c r="A115" t="s">
        <v>999</v>
      </c>
      <c r="B115" t="s">
        <v>1055</v>
      </c>
      <c r="C115" t="s">
        <v>2551</v>
      </c>
      <c r="D115">
        <v>3</v>
      </c>
      <c r="E115" t="s">
        <v>2550</v>
      </c>
      <c r="F115" t="s">
        <v>75</v>
      </c>
      <c r="G115" t="s">
        <v>1955</v>
      </c>
      <c r="H115">
        <v>5.8</v>
      </c>
      <c r="I115">
        <v>5.2043172413793108</v>
      </c>
      <c r="J115">
        <v>3.2043172413793108</v>
      </c>
      <c r="K115">
        <v>5.3405287356321853</v>
      </c>
      <c r="L115">
        <v>5.3405287356321853</v>
      </c>
    </row>
    <row r="116" spans="1:12">
      <c r="A116" t="s">
        <v>999</v>
      </c>
      <c r="B116" t="s">
        <v>1018</v>
      </c>
      <c r="C116" t="s">
        <v>2552</v>
      </c>
      <c r="D116">
        <v>3</v>
      </c>
      <c r="E116" t="s">
        <v>2550</v>
      </c>
      <c r="F116" t="s">
        <v>75</v>
      </c>
      <c r="G116" t="s">
        <v>1955</v>
      </c>
      <c r="H116">
        <v>4.4000000000000004</v>
      </c>
      <c r="I116">
        <v>6.6639204545454538</v>
      </c>
      <c r="J116">
        <v>4.6639204545454538</v>
      </c>
      <c r="K116">
        <v>7.7732007575757569</v>
      </c>
      <c r="L116">
        <v>6.25</v>
      </c>
    </row>
    <row r="117" spans="1:12">
      <c r="A117" t="s">
        <v>999</v>
      </c>
      <c r="B117" t="s">
        <v>1016</v>
      </c>
      <c r="C117" t="s">
        <v>2553</v>
      </c>
      <c r="D117">
        <v>3</v>
      </c>
      <c r="E117" t="s">
        <v>2550</v>
      </c>
      <c r="F117" t="s">
        <v>75</v>
      </c>
      <c r="G117" t="s">
        <v>1955</v>
      </c>
      <c r="H117">
        <v>4.5</v>
      </c>
      <c r="I117">
        <v>6.1515777777777778</v>
      </c>
      <c r="J117">
        <v>4.1515777777777778</v>
      </c>
      <c r="K117">
        <v>6.9192962962962969</v>
      </c>
      <c r="L117">
        <v>6.25</v>
      </c>
    </row>
    <row r="118" spans="1:12">
      <c r="A118" t="s">
        <v>999</v>
      </c>
      <c r="B118" t="s">
        <v>1015</v>
      </c>
      <c r="C118" t="s">
        <v>2554</v>
      </c>
      <c r="D118">
        <v>3</v>
      </c>
      <c r="E118" t="s">
        <v>2550</v>
      </c>
      <c r="F118" t="s">
        <v>75</v>
      </c>
      <c r="G118" t="s">
        <v>1955</v>
      </c>
      <c r="H118">
        <v>4.5</v>
      </c>
      <c r="I118">
        <v>6.9997133333333332</v>
      </c>
      <c r="J118">
        <v>4.9997133333333332</v>
      </c>
      <c r="K118">
        <v>8.3328555555555557</v>
      </c>
      <c r="L118">
        <v>6.25</v>
      </c>
    </row>
    <row r="119" spans="1:12">
      <c r="A119" t="s">
        <v>1123</v>
      </c>
      <c r="B119" t="s">
        <v>1143</v>
      </c>
      <c r="C119" t="s">
        <v>2555</v>
      </c>
      <c r="D119">
        <v>3</v>
      </c>
      <c r="E119" t="s">
        <v>2556</v>
      </c>
      <c r="F119" t="s">
        <v>75</v>
      </c>
      <c r="G119" t="s">
        <v>1955</v>
      </c>
      <c r="H119">
        <v>4.9000000000000004</v>
      </c>
      <c r="I119">
        <v>3.6834612244897951</v>
      </c>
      <c r="J119">
        <v>1.6834612244897951</v>
      </c>
      <c r="K119">
        <v>2.8057687074829918</v>
      </c>
      <c r="L119">
        <v>2.8057687074829918</v>
      </c>
    </row>
    <row r="120" spans="1:12">
      <c r="A120" t="s">
        <v>999</v>
      </c>
      <c r="B120" t="s">
        <v>1010</v>
      </c>
      <c r="C120" t="s">
        <v>2557</v>
      </c>
      <c r="D120">
        <v>2</v>
      </c>
      <c r="E120" t="s">
        <v>2558</v>
      </c>
      <c r="F120" t="s">
        <v>75</v>
      </c>
      <c r="G120" t="s">
        <v>1955</v>
      </c>
      <c r="H120">
        <v>4.5</v>
      </c>
      <c r="I120">
        <v>4.2985244444444444</v>
      </c>
      <c r="J120">
        <v>2.2985244444444444</v>
      </c>
      <c r="K120">
        <v>3.8308740740740741</v>
      </c>
      <c r="L120">
        <v>3.8308740740740741</v>
      </c>
    </row>
    <row r="121" spans="1:12">
      <c r="A121" t="s">
        <v>1123</v>
      </c>
      <c r="B121" t="s">
        <v>1133</v>
      </c>
      <c r="C121" t="s">
        <v>2559</v>
      </c>
      <c r="D121">
        <v>3</v>
      </c>
      <c r="E121" t="s">
        <v>2556</v>
      </c>
      <c r="F121" t="s">
        <v>75</v>
      </c>
      <c r="G121" t="s">
        <v>1955</v>
      </c>
      <c r="H121">
        <v>4.5</v>
      </c>
      <c r="I121">
        <v>2.8733133333333334</v>
      </c>
      <c r="J121">
        <v>0.87331333333333339</v>
      </c>
      <c r="K121">
        <v>1.4555222222222224</v>
      </c>
      <c r="L121">
        <v>1.4555222222222224</v>
      </c>
    </row>
    <row r="122" spans="1:12">
      <c r="A122" t="s">
        <v>474</v>
      </c>
      <c r="B122" t="s">
        <v>495</v>
      </c>
      <c r="C122" t="s">
        <v>2560</v>
      </c>
      <c r="D122">
        <v>3</v>
      </c>
      <c r="E122" t="s">
        <v>2561</v>
      </c>
      <c r="F122" t="s">
        <v>75</v>
      </c>
      <c r="G122" t="s">
        <v>1955</v>
      </c>
      <c r="H122">
        <v>6.25</v>
      </c>
      <c r="I122">
        <v>8.7230144000000003</v>
      </c>
      <c r="J122">
        <v>6.7230144000000003</v>
      </c>
      <c r="K122">
        <v>11.205024000000002</v>
      </c>
      <c r="L122">
        <v>6.25</v>
      </c>
    </row>
    <row r="123" spans="1:12">
      <c r="A123" t="s">
        <v>1574</v>
      </c>
      <c r="B123" t="s">
        <v>1122</v>
      </c>
      <c r="C123" t="s">
        <v>2562</v>
      </c>
      <c r="D123">
        <v>3</v>
      </c>
      <c r="E123" t="s">
        <v>2563</v>
      </c>
      <c r="F123" t="s">
        <v>75</v>
      </c>
      <c r="G123" t="s">
        <v>1955</v>
      </c>
      <c r="H123">
        <v>4.5199999999999996</v>
      </c>
      <c r="I123">
        <v>1.5869955752212392</v>
      </c>
      <c r="J123">
        <v>-0.41300442477876076</v>
      </c>
      <c r="K123">
        <v>-0.68834070796460134</v>
      </c>
      <c r="L123">
        <v>0</v>
      </c>
    </row>
    <row r="124" spans="1:12">
      <c r="A124" t="s">
        <v>1574</v>
      </c>
      <c r="B124" t="s">
        <v>913</v>
      </c>
      <c r="C124" t="s">
        <v>2564</v>
      </c>
      <c r="D124">
        <v>3</v>
      </c>
      <c r="E124" t="s">
        <v>2563</v>
      </c>
      <c r="F124" t="s">
        <v>75</v>
      </c>
      <c r="G124" t="s">
        <v>1955</v>
      </c>
      <c r="H124">
        <v>4.62</v>
      </c>
      <c r="I124">
        <v>3.1593398268398265</v>
      </c>
      <c r="J124">
        <v>1.1593398268398265</v>
      </c>
      <c r="K124">
        <v>1.9322330447330442</v>
      </c>
      <c r="L124">
        <v>1.9322330447330442</v>
      </c>
    </row>
    <row r="125" spans="1:12">
      <c r="A125" t="s">
        <v>1574</v>
      </c>
      <c r="B125" t="s">
        <v>1595</v>
      </c>
      <c r="C125" t="s">
        <v>2565</v>
      </c>
      <c r="D125">
        <v>3</v>
      </c>
      <c r="E125" t="s">
        <v>2563</v>
      </c>
      <c r="F125" t="s">
        <v>75</v>
      </c>
      <c r="G125" t="s">
        <v>1955</v>
      </c>
      <c r="H125">
        <v>5.72</v>
      </c>
      <c r="I125">
        <v>2.5625384615384617</v>
      </c>
      <c r="J125">
        <v>0.56253846153846165</v>
      </c>
      <c r="K125">
        <v>0.93756410256410283</v>
      </c>
      <c r="L125">
        <v>0.93756410256410283</v>
      </c>
    </row>
    <row r="126" spans="1:12">
      <c r="A126" t="s">
        <v>166</v>
      </c>
      <c r="B126" t="s">
        <v>205</v>
      </c>
      <c r="C126" t="s">
        <v>2566</v>
      </c>
      <c r="D126">
        <v>3</v>
      </c>
      <c r="E126" t="s">
        <v>2176</v>
      </c>
      <c r="F126" t="s">
        <v>75</v>
      </c>
      <c r="G126" t="s">
        <v>1955</v>
      </c>
      <c r="H126">
        <v>5.3</v>
      </c>
      <c r="I126">
        <v>7.4231547169811325</v>
      </c>
      <c r="J126">
        <v>5.4231547169811325</v>
      </c>
      <c r="K126">
        <v>9.0385911949685553</v>
      </c>
      <c r="L126">
        <v>6.25</v>
      </c>
    </row>
    <row r="127" spans="1:12">
      <c r="A127" t="s">
        <v>1146</v>
      </c>
      <c r="B127" t="s">
        <v>1149</v>
      </c>
      <c r="C127" t="s">
        <v>2567</v>
      </c>
      <c r="D127">
        <v>3</v>
      </c>
      <c r="E127" t="s">
        <v>2568</v>
      </c>
      <c r="F127" t="s">
        <v>75</v>
      </c>
      <c r="G127" t="s">
        <v>1955</v>
      </c>
      <c r="H127">
        <v>5</v>
      </c>
      <c r="I127">
        <v>2.7170720000000004</v>
      </c>
      <c r="J127">
        <v>0.71707200000000038</v>
      </c>
      <c r="K127">
        <v>1.1951200000000006</v>
      </c>
      <c r="L127">
        <v>1.1951200000000006</v>
      </c>
    </row>
    <row r="128" spans="1:12">
      <c r="A128" t="s">
        <v>1795</v>
      </c>
      <c r="B128" t="s">
        <v>353</v>
      </c>
      <c r="C128" t="s">
        <v>2569</v>
      </c>
      <c r="D128">
        <v>3</v>
      </c>
      <c r="E128" t="s">
        <v>2570</v>
      </c>
      <c r="F128" t="s">
        <v>75</v>
      </c>
      <c r="G128" t="s">
        <v>1955</v>
      </c>
      <c r="H128">
        <v>6</v>
      </c>
      <c r="I128">
        <v>5.7046016666666661</v>
      </c>
      <c r="J128">
        <v>3.7046016666666661</v>
      </c>
      <c r="K128">
        <v>6.1743361111111108</v>
      </c>
      <c r="L128">
        <v>6.1743361111111108</v>
      </c>
    </row>
    <row r="129" spans="1:12">
      <c r="A129" t="s">
        <v>1771</v>
      </c>
      <c r="B129" t="s">
        <v>1786</v>
      </c>
      <c r="C129" t="s">
        <v>2571</v>
      </c>
      <c r="D129">
        <v>3</v>
      </c>
      <c r="E129" t="s">
        <v>2572</v>
      </c>
      <c r="F129" t="s">
        <v>75</v>
      </c>
      <c r="G129" t="s">
        <v>1955</v>
      </c>
      <c r="H129">
        <v>5.5</v>
      </c>
      <c r="I129">
        <v>5.7263927272727271</v>
      </c>
      <c r="J129">
        <v>3.7263927272727271</v>
      </c>
      <c r="K129">
        <v>6.2106545454545454</v>
      </c>
      <c r="L129">
        <v>6.2106545454545454</v>
      </c>
    </row>
    <row r="130" spans="1:12">
      <c r="A130" t="s">
        <v>408</v>
      </c>
      <c r="B130" t="s">
        <v>411</v>
      </c>
      <c r="C130" t="s">
        <v>2573</v>
      </c>
      <c r="D130">
        <v>3</v>
      </c>
      <c r="E130" t="s">
        <v>2143</v>
      </c>
      <c r="F130" t="s">
        <v>75</v>
      </c>
      <c r="G130" t="s">
        <v>1955</v>
      </c>
      <c r="H130">
        <v>4.3</v>
      </c>
      <c r="I130">
        <v>1.1890837209302327</v>
      </c>
      <c r="J130">
        <v>-0.81091627906976727</v>
      </c>
      <c r="K130">
        <v>-1.3515271317829456</v>
      </c>
      <c r="L130">
        <v>0</v>
      </c>
    </row>
  </sheetData>
  <pageMargins left="0.7" right="0.7" top="0.75" bottom="0.75" header="0.3" footer="0.3"/>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2D328-EF54-5740-B0B5-58F5C7DCB6FF}">
  <dimension ref="A1:N330"/>
  <sheetViews>
    <sheetView workbookViewId="0">
      <selection activeCell="K16" sqref="K16"/>
    </sheetView>
  </sheetViews>
  <sheetFormatPr baseColWidth="10" defaultRowHeight="16"/>
  <cols>
    <col min="3" max="3" width="12.6640625" customWidth="1"/>
    <col min="4" max="4" width="14.5" customWidth="1"/>
    <col min="5" max="5" width="13" customWidth="1"/>
    <col min="6" max="6" width="12" customWidth="1"/>
    <col min="8" max="8" width="11.83203125" customWidth="1"/>
    <col min="9" max="9" width="15.83203125" style="7" customWidth="1"/>
    <col min="10" max="10" width="11.5" style="7" customWidth="1"/>
    <col min="13" max="13" width="13" bestFit="1" customWidth="1"/>
    <col min="14" max="14" width="24.1640625" style="25" customWidth="1"/>
  </cols>
  <sheetData>
    <row r="1" spans="1:10">
      <c r="A1" t="s">
        <v>1</v>
      </c>
      <c r="B1" t="s">
        <v>3</v>
      </c>
      <c r="C1" t="s">
        <v>1903</v>
      </c>
      <c r="D1" t="s">
        <v>1873</v>
      </c>
      <c r="E1" t="s">
        <v>1953</v>
      </c>
      <c r="F1" t="s">
        <v>7</v>
      </c>
      <c r="G1" t="s">
        <v>1952</v>
      </c>
      <c r="H1" t="s">
        <v>4</v>
      </c>
      <c r="I1" s="7" t="s">
        <v>24</v>
      </c>
      <c r="J1" s="7" t="s">
        <v>1829</v>
      </c>
    </row>
    <row r="2" spans="1:10">
      <c r="A2" t="s">
        <v>610</v>
      </c>
      <c r="B2" t="s">
        <v>620</v>
      </c>
      <c r="C2" t="s">
        <v>2066</v>
      </c>
      <c r="D2">
        <v>10</v>
      </c>
      <c r="E2" t="s">
        <v>2067</v>
      </c>
      <c r="F2" t="s">
        <v>67</v>
      </c>
      <c r="G2" t="s">
        <v>67</v>
      </c>
      <c r="H2">
        <v>2.1</v>
      </c>
      <c r="I2" s="7">
        <v>7.2373571428571433</v>
      </c>
      <c r="J2" s="7">
        <v>5.3955952380952388</v>
      </c>
    </row>
    <row r="3" spans="1:10">
      <c r="A3" t="s">
        <v>610</v>
      </c>
      <c r="B3" t="s">
        <v>622</v>
      </c>
      <c r="C3" t="s">
        <v>2138</v>
      </c>
      <c r="D3">
        <v>3</v>
      </c>
      <c r="E3" t="s">
        <v>2139</v>
      </c>
      <c r="F3" t="s">
        <v>67</v>
      </c>
      <c r="G3" t="s">
        <v>67</v>
      </c>
      <c r="H3">
        <v>2.1</v>
      </c>
      <c r="I3" s="7">
        <v>9.5902428571428562</v>
      </c>
      <c r="J3" s="7">
        <v>9.3170714285714276</v>
      </c>
    </row>
    <row r="4" spans="1:10">
      <c r="A4" t="s">
        <v>610</v>
      </c>
      <c r="B4" t="s">
        <v>616</v>
      </c>
      <c r="C4" t="s">
        <v>2162</v>
      </c>
      <c r="D4">
        <v>8</v>
      </c>
      <c r="E4" t="s">
        <v>2163</v>
      </c>
      <c r="F4" t="s">
        <v>67</v>
      </c>
      <c r="G4" t="s">
        <v>67</v>
      </c>
      <c r="H4">
        <v>2.1</v>
      </c>
      <c r="I4" s="7">
        <v>8.7993380952380953</v>
      </c>
      <c r="J4" s="7">
        <v>7.9988968253968258</v>
      </c>
    </row>
    <row r="5" spans="1:10">
      <c r="A5" t="s">
        <v>610</v>
      </c>
      <c r="B5" t="s">
        <v>625</v>
      </c>
      <c r="C5" t="s">
        <v>2346</v>
      </c>
      <c r="D5">
        <v>5</v>
      </c>
      <c r="E5" t="s">
        <v>2347</v>
      </c>
      <c r="F5" t="s">
        <v>67</v>
      </c>
      <c r="G5" t="s">
        <v>67</v>
      </c>
      <c r="H5">
        <v>2.1</v>
      </c>
      <c r="I5" s="7">
        <v>10.179671428571428</v>
      </c>
      <c r="J5" s="7">
        <v>10.299452380952381</v>
      </c>
    </row>
    <row r="6" spans="1:10">
      <c r="A6" t="s">
        <v>408</v>
      </c>
      <c r="B6" t="s">
        <v>435</v>
      </c>
      <c r="C6" t="s">
        <v>1981</v>
      </c>
      <c r="D6">
        <v>1</v>
      </c>
      <c r="E6" t="s">
        <v>1982</v>
      </c>
      <c r="F6" t="s">
        <v>67</v>
      </c>
      <c r="G6" t="s">
        <v>67</v>
      </c>
      <c r="H6">
        <v>4.5599999999999996</v>
      </c>
      <c r="I6" s="7">
        <v>7.8208947368421056</v>
      </c>
      <c r="J6" s="7">
        <v>6.3681578947368429</v>
      </c>
    </row>
    <row r="7" spans="1:10">
      <c r="A7" t="s">
        <v>408</v>
      </c>
      <c r="B7" t="s">
        <v>443</v>
      </c>
      <c r="C7" t="s">
        <v>1983</v>
      </c>
      <c r="D7">
        <v>1</v>
      </c>
      <c r="E7" t="s">
        <v>1982</v>
      </c>
      <c r="F7" t="s">
        <v>67</v>
      </c>
      <c r="G7" t="s">
        <v>67</v>
      </c>
      <c r="H7">
        <v>3.8</v>
      </c>
      <c r="I7" s="7">
        <v>7.1982552631578942</v>
      </c>
      <c r="J7" s="7">
        <v>5.3304254385964907</v>
      </c>
    </row>
    <row r="8" spans="1:10">
      <c r="A8" t="s">
        <v>408</v>
      </c>
      <c r="B8" t="s">
        <v>453</v>
      </c>
      <c r="C8" t="s">
        <v>1984</v>
      </c>
      <c r="D8">
        <v>1</v>
      </c>
      <c r="E8" t="s">
        <v>1982</v>
      </c>
      <c r="F8" t="s">
        <v>67</v>
      </c>
      <c r="G8" t="s">
        <v>67</v>
      </c>
      <c r="H8">
        <v>2</v>
      </c>
      <c r="I8" s="7">
        <v>9.8239900000000002</v>
      </c>
      <c r="J8" s="7">
        <v>9.7066500000000016</v>
      </c>
    </row>
    <row r="9" spans="1:10">
      <c r="A9" t="s">
        <v>408</v>
      </c>
      <c r="B9" t="s">
        <v>458</v>
      </c>
      <c r="C9" t="s">
        <v>1985</v>
      </c>
      <c r="D9">
        <v>1</v>
      </c>
      <c r="E9" t="s">
        <v>1982</v>
      </c>
      <c r="F9" t="s">
        <v>67</v>
      </c>
      <c r="G9" t="s">
        <v>67</v>
      </c>
      <c r="H9">
        <v>2</v>
      </c>
      <c r="I9" s="7">
        <v>9.1268999999999991</v>
      </c>
      <c r="J9" s="7">
        <v>8.5448333333333331</v>
      </c>
    </row>
    <row r="10" spans="1:10">
      <c r="A10" t="s">
        <v>408</v>
      </c>
      <c r="B10" t="s">
        <v>1877</v>
      </c>
      <c r="C10" t="s">
        <v>1993</v>
      </c>
      <c r="D10">
        <v>11</v>
      </c>
      <c r="E10" t="s">
        <v>1994</v>
      </c>
      <c r="F10" t="s">
        <v>67</v>
      </c>
      <c r="G10" t="s">
        <v>67</v>
      </c>
      <c r="H10">
        <v>2</v>
      </c>
      <c r="I10" s="7">
        <v>7.2801350000000005</v>
      </c>
      <c r="J10" s="7">
        <v>5.466891666666668</v>
      </c>
    </row>
    <row r="11" spans="1:10">
      <c r="A11" t="s">
        <v>408</v>
      </c>
      <c r="B11" t="s">
        <v>437</v>
      </c>
      <c r="C11" t="s">
        <v>2043</v>
      </c>
      <c r="D11">
        <v>2</v>
      </c>
      <c r="E11" t="s">
        <v>2044</v>
      </c>
      <c r="F11" t="s">
        <v>67</v>
      </c>
      <c r="G11" t="s">
        <v>67</v>
      </c>
      <c r="H11">
        <v>5.36</v>
      </c>
      <c r="I11" s="7">
        <v>7.8630466417910441</v>
      </c>
      <c r="J11" s="7">
        <v>6.4384110696517407</v>
      </c>
    </row>
    <row r="12" spans="1:10">
      <c r="A12" t="s">
        <v>408</v>
      </c>
      <c r="B12" t="s">
        <v>454</v>
      </c>
      <c r="C12" t="s">
        <v>2045</v>
      </c>
      <c r="D12">
        <v>2</v>
      </c>
      <c r="E12" t="s">
        <v>2044</v>
      </c>
      <c r="F12" t="s">
        <v>67</v>
      </c>
      <c r="G12" t="s">
        <v>67</v>
      </c>
      <c r="H12">
        <v>1.9</v>
      </c>
      <c r="I12" s="7">
        <v>9.484963157894736</v>
      </c>
      <c r="J12" s="7">
        <v>9.1416052631578939</v>
      </c>
    </row>
    <row r="13" spans="1:10">
      <c r="A13" t="s">
        <v>408</v>
      </c>
      <c r="B13" t="s">
        <v>456</v>
      </c>
      <c r="C13" t="s">
        <v>2046</v>
      </c>
      <c r="D13">
        <v>2</v>
      </c>
      <c r="E13" t="s">
        <v>2044</v>
      </c>
      <c r="F13" t="s">
        <v>67</v>
      </c>
      <c r="G13" t="s">
        <v>67</v>
      </c>
      <c r="H13">
        <v>2</v>
      </c>
      <c r="I13" s="7">
        <v>9.87425</v>
      </c>
      <c r="J13" s="7">
        <v>9.7904166666666672</v>
      </c>
    </row>
    <row r="14" spans="1:10">
      <c r="A14" t="s">
        <v>408</v>
      </c>
      <c r="B14" t="s">
        <v>440</v>
      </c>
      <c r="C14" t="s">
        <v>2142</v>
      </c>
      <c r="D14">
        <v>3</v>
      </c>
      <c r="E14" t="s">
        <v>2143</v>
      </c>
      <c r="F14" t="s">
        <v>67</v>
      </c>
      <c r="G14" t="s">
        <v>67</v>
      </c>
      <c r="H14">
        <v>3.81</v>
      </c>
      <c r="I14" s="7">
        <v>8.6188923884514441</v>
      </c>
      <c r="J14" s="7">
        <v>7.6981539807524069</v>
      </c>
    </row>
    <row r="15" spans="1:10">
      <c r="A15" t="s">
        <v>408</v>
      </c>
      <c r="B15" t="s">
        <v>442</v>
      </c>
      <c r="C15" t="s">
        <v>2144</v>
      </c>
      <c r="D15">
        <v>3</v>
      </c>
      <c r="E15" t="s">
        <v>2143</v>
      </c>
      <c r="F15" t="s">
        <v>67</v>
      </c>
      <c r="G15" t="s">
        <v>67</v>
      </c>
      <c r="H15">
        <v>3.45</v>
      </c>
      <c r="I15" s="7">
        <v>9.9564202898550729</v>
      </c>
      <c r="J15" s="7">
        <v>9.9273671497584548</v>
      </c>
    </row>
    <row r="16" spans="1:10">
      <c r="A16" t="s">
        <v>408</v>
      </c>
      <c r="B16" t="s">
        <v>460</v>
      </c>
      <c r="C16" t="s">
        <v>2145</v>
      </c>
      <c r="D16">
        <v>3</v>
      </c>
      <c r="E16" t="s">
        <v>2143</v>
      </c>
      <c r="F16" t="s">
        <v>67</v>
      </c>
      <c r="G16" t="s">
        <v>67</v>
      </c>
      <c r="H16">
        <v>2</v>
      </c>
      <c r="I16" s="7">
        <v>11.443770000000001</v>
      </c>
      <c r="J16" s="7">
        <v>12.406283333333334</v>
      </c>
    </row>
    <row r="17" spans="1:14">
      <c r="A17" t="s">
        <v>408</v>
      </c>
      <c r="B17" t="s">
        <v>464</v>
      </c>
      <c r="C17" t="s">
        <v>2146</v>
      </c>
      <c r="D17">
        <v>3</v>
      </c>
      <c r="E17" t="s">
        <v>2143</v>
      </c>
      <c r="F17" t="s">
        <v>67</v>
      </c>
      <c r="G17" t="s">
        <v>67</v>
      </c>
      <c r="H17">
        <v>2</v>
      </c>
      <c r="I17" s="7">
        <v>12.750080000000001</v>
      </c>
      <c r="J17" s="7">
        <v>14.583466666666668</v>
      </c>
      <c r="M17" s="200" t="s">
        <v>1956</v>
      </c>
      <c r="N17" s="25" t="s">
        <v>1960</v>
      </c>
    </row>
    <row r="18" spans="1:14">
      <c r="A18" t="s">
        <v>408</v>
      </c>
      <c r="B18" t="s">
        <v>468</v>
      </c>
      <c r="C18" t="s">
        <v>2160</v>
      </c>
      <c r="D18">
        <v>8</v>
      </c>
      <c r="E18" t="s">
        <v>2161</v>
      </c>
      <c r="F18" t="s">
        <v>67</v>
      </c>
      <c r="G18" t="s">
        <v>67</v>
      </c>
      <c r="H18">
        <v>2</v>
      </c>
      <c r="I18" s="7">
        <v>9.7317700000000009</v>
      </c>
      <c r="J18" s="7">
        <v>9.5529500000000027</v>
      </c>
      <c r="M18" s="201" t="s">
        <v>610</v>
      </c>
      <c r="N18" s="25">
        <v>8.9516523809523818</v>
      </c>
    </row>
    <row r="19" spans="1:14">
      <c r="A19" t="s">
        <v>408</v>
      </c>
      <c r="B19" t="s">
        <v>462</v>
      </c>
      <c r="C19" t="s">
        <v>2203</v>
      </c>
      <c r="D19">
        <v>7</v>
      </c>
      <c r="E19" t="s">
        <v>2204</v>
      </c>
      <c r="F19" t="s">
        <v>67</v>
      </c>
      <c r="G19" t="s">
        <v>67</v>
      </c>
      <c r="H19">
        <v>1.9</v>
      </c>
      <c r="I19" s="7">
        <v>11.475621052631579</v>
      </c>
      <c r="J19" s="7">
        <v>12.459368421052632</v>
      </c>
      <c r="M19" s="201" t="s">
        <v>408</v>
      </c>
      <c r="N19" s="25">
        <v>8.3927758282879097</v>
      </c>
    </row>
    <row r="20" spans="1:14">
      <c r="A20" t="s">
        <v>408</v>
      </c>
      <c r="B20" t="s">
        <v>421</v>
      </c>
      <c r="C20" t="s">
        <v>2205</v>
      </c>
      <c r="D20">
        <v>7</v>
      </c>
      <c r="E20" t="s">
        <v>2204</v>
      </c>
      <c r="F20" t="s">
        <v>67</v>
      </c>
      <c r="G20" t="s">
        <v>67</v>
      </c>
      <c r="H20">
        <v>4.5999999999999996</v>
      </c>
      <c r="I20" s="7">
        <v>2.4845652173913044</v>
      </c>
      <c r="J20" s="7">
        <v>-2.5257246376811593</v>
      </c>
      <c r="M20" s="277" t="s">
        <v>507</v>
      </c>
      <c r="N20" s="278">
        <v>5.5705610039893623</v>
      </c>
    </row>
    <row r="21" spans="1:14">
      <c r="A21" t="s">
        <v>408</v>
      </c>
      <c r="B21" t="s">
        <v>419</v>
      </c>
      <c r="C21" t="s">
        <v>2206</v>
      </c>
      <c r="D21">
        <v>7</v>
      </c>
      <c r="E21" t="s">
        <v>2204</v>
      </c>
      <c r="F21" t="s">
        <v>67</v>
      </c>
      <c r="G21" t="s">
        <v>67</v>
      </c>
      <c r="H21">
        <v>4.5599999999999996</v>
      </c>
      <c r="I21" s="7">
        <v>2.8117105263157893</v>
      </c>
      <c r="J21" s="7">
        <v>-1.9804824561403511</v>
      </c>
      <c r="M21" s="201" t="s">
        <v>1771</v>
      </c>
      <c r="N21" s="25">
        <v>7.3647866666666673</v>
      </c>
    </row>
    <row r="22" spans="1:14">
      <c r="A22" t="s">
        <v>408</v>
      </c>
      <c r="B22" t="s">
        <v>427</v>
      </c>
      <c r="C22" t="s">
        <v>2249</v>
      </c>
      <c r="D22">
        <v>4</v>
      </c>
      <c r="E22" t="s">
        <v>2250</v>
      </c>
      <c r="F22" t="s">
        <v>67</v>
      </c>
      <c r="G22" t="s">
        <v>67</v>
      </c>
      <c r="H22">
        <v>4.5599999999999996</v>
      </c>
      <c r="I22" s="7">
        <v>5.8869627192982454</v>
      </c>
      <c r="J22" s="7">
        <v>3.1449378654970759</v>
      </c>
      <c r="M22" s="201" t="s">
        <v>283</v>
      </c>
      <c r="N22" s="25">
        <v>11.727403750000001</v>
      </c>
    </row>
    <row r="23" spans="1:14">
      <c r="A23" t="s">
        <v>408</v>
      </c>
      <c r="B23" t="s">
        <v>431</v>
      </c>
      <c r="C23" t="s">
        <v>2251</v>
      </c>
      <c r="D23">
        <v>4</v>
      </c>
      <c r="E23" t="s">
        <v>2250</v>
      </c>
      <c r="F23" t="s">
        <v>67</v>
      </c>
      <c r="G23" t="s">
        <v>67</v>
      </c>
      <c r="H23">
        <v>4.5999999999999996</v>
      </c>
      <c r="I23" s="7">
        <v>8.202165217391304</v>
      </c>
      <c r="J23" s="7">
        <v>7.0036086956521739</v>
      </c>
      <c r="M23" s="277" t="s">
        <v>317</v>
      </c>
      <c r="N23" s="278">
        <v>5.8959666666666672</v>
      </c>
    </row>
    <row r="24" spans="1:14">
      <c r="A24" t="s">
        <v>408</v>
      </c>
      <c r="B24" t="s">
        <v>447</v>
      </c>
      <c r="C24" t="s">
        <v>2252</v>
      </c>
      <c r="D24">
        <v>4</v>
      </c>
      <c r="E24" t="s">
        <v>2250</v>
      </c>
      <c r="F24" t="s">
        <v>67</v>
      </c>
      <c r="G24" t="s">
        <v>67</v>
      </c>
      <c r="H24">
        <v>3.73</v>
      </c>
      <c r="I24" s="7">
        <v>10.232302949061662</v>
      </c>
      <c r="J24" s="7">
        <v>10.387171581769437</v>
      </c>
      <c r="M24" s="277" t="s">
        <v>166</v>
      </c>
      <c r="N24" s="278">
        <v>6.5853657142857145</v>
      </c>
    </row>
    <row r="25" spans="1:14">
      <c r="A25" t="s">
        <v>408</v>
      </c>
      <c r="B25" t="s">
        <v>470</v>
      </c>
      <c r="C25" t="s">
        <v>2288</v>
      </c>
      <c r="D25">
        <v>6</v>
      </c>
      <c r="E25" t="s">
        <v>2289</v>
      </c>
      <c r="F25" t="s">
        <v>67</v>
      </c>
      <c r="G25" t="s">
        <v>67</v>
      </c>
      <c r="H25">
        <v>2</v>
      </c>
      <c r="I25" s="7">
        <v>13.929559999999999</v>
      </c>
      <c r="J25" s="7">
        <v>16.549266666666664</v>
      </c>
      <c r="M25" s="201" t="s">
        <v>248</v>
      </c>
      <c r="N25" s="25">
        <v>4.905806666666666</v>
      </c>
    </row>
    <row r="26" spans="1:14">
      <c r="A26" t="s">
        <v>408</v>
      </c>
      <c r="B26" t="s">
        <v>466</v>
      </c>
      <c r="C26" t="s">
        <v>2290</v>
      </c>
      <c r="D26">
        <v>6</v>
      </c>
      <c r="E26" t="s">
        <v>2289</v>
      </c>
      <c r="F26" t="s">
        <v>67</v>
      </c>
      <c r="G26" t="s">
        <v>67</v>
      </c>
      <c r="H26">
        <v>2</v>
      </c>
      <c r="I26" s="7">
        <v>11.235989999999999</v>
      </c>
      <c r="J26" s="7">
        <v>12.059983333333333</v>
      </c>
      <c r="M26" s="201" t="s">
        <v>651</v>
      </c>
      <c r="N26" s="25">
        <v>9.2414397678801254</v>
      </c>
    </row>
    <row r="27" spans="1:14">
      <c r="A27" t="s">
        <v>408</v>
      </c>
      <c r="B27" t="s">
        <v>451</v>
      </c>
      <c r="C27" t="s">
        <v>2291</v>
      </c>
      <c r="D27">
        <v>6</v>
      </c>
      <c r="E27" t="s">
        <v>2289</v>
      </c>
      <c r="F27" t="s">
        <v>67</v>
      </c>
      <c r="G27" t="s">
        <v>67</v>
      </c>
      <c r="H27">
        <v>2</v>
      </c>
      <c r="I27" s="7">
        <v>6.0914399999999995</v>
      </c>
      <c r="J27" s="7">
        <v>3.4857333333333327</v>
      </c>
      <c r="M27" s="201" t="s">
        <v>1660</v>
      </c>
      <c r="N27" s="25">
        <v>12.952683703703704</v>
      </c>
    </row>
    <row r="28" spans="1:14">
      <c r="A28" t="s">
        <v>408</v>
      </c>
      <c r="B28" t="s">
        <v>445</v>
      </c>
      <c r="C28" t="s">
        <v>2294</v>
      </c>
      <c r="D28">
        <v>6</v>
      </c>
      <c r="E28" t="s">
        <v>2289</v>
      </c>
      <c r="F28" t="s">
        <v>67</v>
      </c>
      <c r="G28" t="s">
        <v>67</v>
      </c>
      <c r="H28">
        <v>3.8</v>
      </c>
      <c r="I28" s="7">
        <v>9.6817289473684216</v>
      </c>
      <c r="J28" s="7">
        <v>9.4695482456140372</v>
      </c>
      <c r="M28" s="201" t="s">
        <v>632</v>
      </c>
      <c r="N28" s="25">
        <v>8.8713819444444439</v>
      </c>
    </row>
    <row r="29" spans="1:14">
      <c r="A29" t="s">
        <v>408</v>
      </c>
      <c r="B29" t="s">
        <v>433</v>
      </c>
      <c r="C29" t="s">
        <v>2295</v>
      </c>
      <c r="D29">
        <v>6</v>
      </c>
      <c r="E29" t="s">
        <v>2289</v>
      </c>
      <c r="F29" t="s">
        <v>67</v>
      </c>
      <c r="G29" t="s">
        <v>67</v>
      </c>
      <c r="H29">
        <v>3.45</v>
      </c>
      <c r="I29" s="7">
        <v>8.7178434782608694</v>
      </c>
      <c r="J29" s="7">
        <v>7.8630724637681162</v>
      </c>
      <c r="M29" s="201" t="s">
        <v>1174</v>
      </c>
      <c r="N29" s="25">
        <v>6.0819591425956734</v>
      </c>
    </row>
    <row r="30" spans="1:14">
      <c r="A30" t="s">
        <v>408</v>
      </c>
      <c r="B30" t="s">
        <v>429</v>
      </c>
      <c r="C30" t="s">
        <v>2296</v>
      </c>
      <c r="D30">
        <v>6</v>
      </c>
      <c r="E30" t="s">
        <v>2289</v>
      </c>
      <c r="F30" t="s">
        <v>67</v>
      </c>
      <c r="G30" t="s">
        <v>67</v>
      </c>
      <c r="H30">
        <v>3.73</v>
      </c>
      <c r="I30" s="7">
        <v>4.6767024128686323</v>
      </c>
      <c r="J30" s="7">
        <v>1.1278373547810538</v>
      </c>
      <c r="M30" s="201" t="s">
        <v>760</v>
      </c>
      <c r="N30" s="25">
        <v>4.7694871428571428</v>
      </c>
    </row>
    <row r="31" spans="1:14">
      <c r="A31" t="s">
        <v>408</v>
      </c>
      <c r="B31" t="s">
        <v>423</v>
      </c>
      <c r="C31" t="s">
        <v>2297</v>
      </c>
      <c r="D31">
        <v>6</v>
      </c>
      <c r="E31" t="s">
        <v>2289</v>
      </c>
      <c r="F31" t="s">
        <v>67</v>
      </c>
      <c r="G31" t="s">
        <v>67</v>
      </c>
      <c r="H31">
        <v>3.81</v>
      </c>
      <c r="I31" s="7">
        <v>3.3107506561679787</v>
      </c>
      <c r="J31" s="7">
        <v>-1.1487489063867022</v>
      </c>
      <c r="M31" s="201" t="s">
        <v>835</v>
      </c>
      <c r="N31" s="25">
        <v>7.7043131288981277</v>
      </c>
    </row>
    <row r="32" spans="1:14">
      <c r="A32" t="s">
        <v>408</v>
      </c>
      <c r="B32" t="s">
        <v>425</v>
      </c>
      <c r="C32" t="s">
        <v>2348</v>
      </c>
      <c r="D32">
        <v>5</v>
      </c>
      <c r="E32" t="s">
        <v>2349</v>
      </c>
      <c r="F32" t="s">
        <v>67</v>
      </c>
      <c r="G32" t="s">
        <v>67</v>
      </c>
      <c r="H32">
        <v>5.36</v>
      </c>
      <c r="I32" s="7">
        <v>4.3461175373134324</v>
      </c>
      <c r="J32" s="7">
        <v>0.57686256218905407</v>
      </c>
      <c r="M32" s="201" t="s">
        <v>1957</v>
      </c>
      <c r="N32" s="25">
        <v>6.9576078533128554</v>
      </c>
    </row>
    <row r="33" spans="1:10">
      <c r="A33" t="s">
        <v>408</v>
      </c>
      <c r="B33" t="s">
        <v>472</v>
      </c>
      <c r="C33" t="s">
        <v>2350</v>
      </c>
      <c r="D33">
        <v>5</v>
      </c>
      <c r="E33" t="s">
        <v>2349</v>
      </c>
      <c r="F33" t="s">
        <v>67</v>
      </c>
      <c r="G33" t="s">
        <v>67</v>
      </c>
      <c r="H33">
        <v>2</v>
      </c>
      <c r="I33" s="7">
        <v>10.940895000000001</v>
      </c>
      <c r="J33" s="7">
        <v>11.568158333333336</v>
      </c>
    </row>
    <row r="34" spans="1:10">
      <c r="A34" t="s">
        <v>507</v>
      </c>
      <c r="B34" t="s">
        <v>538</v>
      </c>
      <c r="C34" t="s">
        <v>2047</v>
      </c>
      <c r="D34">
        <v>2</v>
      </c>
      <c r="E34" t="s">
        <v>2048</v>
      </c>
      <c r="F34" t="s">
        <v>67</v>
      </c>
      <c r="G34" t="s">
        <v>67</v>
      </c>
      <c r="H34">
        <v>1.88</v>
      </c>
      <c r="I34" s="7">
        <v>9.3746436170212775</v>
      </c>
      <c r="J34" s="7">
        <v>8.9577393617021297</v>
      </c>
    </row>
    <row r="35" spans="1:10">
      <c r="A35" t="s">
        <v>507</v>
      </c>
      <c r="B35" t="s">
        <v>539</v>
      </c>
      <c r="C35" t="s">
        <v>2198</v>
      </c>
      <c r="D35">
        <v>7</v>
      </c>
      <c r="E35" t="s">
        <v>2199</v>
      </c>
      <c r="F35" t="s">
        <v>67</v>
      </c>
      <c r="G35" t="s">
        <v>67</v>
      </c>
      <c r="H35">
        <v>1.88</v>
      </c>
      <c r="I35" s="7">
        <v>0</v>
      </c>
      <c r="J35" s="7">
        <v>0</v>
      </c>
    </row>
    <row r="36" spans="1:10">
      <c r="A36" t="s">
        <v>507</v>
      </c>
      <c r="B36" t="s">
        <v>511</v>
      </c>
      <c r="C36" t="s">
        <v>2200</v>
      </c>
      <c r="D36">
        <v>7</v>
      </c>
      <c r="E36" t="s">
        <v>2199</v>
      </c>
      <c r="F36" t="s">
        <v>67</v>
      </c>
      <c r="G36" t="s">
        <v>67</v>
      </c>
      <c r="H36">
        <v>1.92</v>
      </c>
      <c r="I36" s="7">
        <v>4.1880312499999999</v>
      </c>
      <c r="J36" s="7">
        <v>0.31338541666666647</v>
      </c>
    </row>
    <row r="37" spans="1:10">
      <c r="A37" t="s">
        <v>507</v>
      </c>
      <c r="B37" t="s">
        <v>536</v>
      </c>
      <c r="C37" t="s">
        <v>2286</v>
      </c>
      <c r="D37">
        <v>6</v>
      </c>
      <c r="E37" t="s">
        <v>2287</v>
      </c>
      <c r="F37" t="s">
        <v>67</v>
      </c>
      <c r="G37" t="s">
        <v>67</v>
      </c>
      <c r="H37">
        <v>1.88</v>
      </c>
      <c r="I37" s="7">
        <v>8.7195691489361717</v>
      </c>
      <c r="J37" s="7">
        <v>7.8659485815602865</v>
      </c>
    </row>
    <row r="38" spans="1:10">
      <c r="A38" t="s">
        <v>1771</v>
      </c>
      <c r="B38" t="s">
        <v>1774</v>
      </c>
      <c r="C38" t="s">
        <v>2356</v>
      </c>
      <c r="D38">
        <v>5</v>
      </c>
      <c r="E38" t="s">
        <v>2357</v>
      </c>
      <c r="F38" t="s">
        <v>67</v>
      </c>
      <c r="G38" t="s">
        <v>67</v>
      </c>
      <c r="H38">
        <v>0.75</v>
      </c>
      <c r="I38" s="7">
        <v>7.3647866666666673</v>
      </c>
      <c r="J38" s="7">
        <v>5.6079777777777791</v>
      </c>
    </row>
    <row r="39" spans="1:10">
      <c r="A39" t="s">
        <v>283</v>
      </c>
      <c r="B39" t="s">
        <v>313</v>
      </c>
      <c r="C39" t="s">
        <v>2130</v>
      </c>
      <c r="D39">
        <v>9</v>
      </c>
      <c r="E39" t="s">
        <v>2131</v>
      </c>
      <c r="F39" t="s">
        <v>67</v>
      </c>
      <c r="G39" t="s">
        <v>67</v>
      </c>
      <c r="H39">
        <v>2</v>
      </c>
      <c r="I39" s="7">
        <v>7.2612899999999998</v>
      </c>
      <c r="J39" s="7">
        <v>5.435483333333333</v>
      </c>
    </row>
    <row r="40" spans="1:10">
      <c r="A40" t="s">
        <v>283</v>
      </c>
      <c r="B40" t="s">
        <v>312</v>
      </c>
      <c r="C40" t="s">
        <v>2132</v>
      </c>
      <c r="D40">
        <v>9</v>
      </c>
      <c r="E40" t="s">
        <v>2131</v>
      </c>
      <c r="F40" t="s">
        <v>67</v>
      </c>
      <c r="G40" t="s">
        <v>67</v>
      </c>
      <c r="H40">
        <v>2</v>
      </c>
      <c r="I40" s="7">
        <v>11.353235</v>
      </c>
      <c r="J40" s="7">
        <v>12.255391666666666</v>
      </c>
    </row>
    <row r="41" spans="1:10">
      <c r="A41" t="s">
        <v>283</v>
      </c>
      <c r="B41" t="s">
        <v>300</v>
      </c>
      <c r="C41" t="s">
        <v>2264</v>
      </c>
      <c r="D41">
        <v>4</v>
      </c>
      <c r="E41" t="s">
        <v>2265</v>
      </c>
      <c r="F41" t="s">
        <v>67</v>
      </c>
      <c r="G41" t="s">
        <v>67</v>
      </c>
      <c r="H41">
        <v>2</v>
      </c>
      <c r="I41" s="7">
        <v>14.81024</v>
      </c>
      <c r="J41" s="7">
        <v>18.017066666666668</v>
      </c>
    </row>
    <row r="42" spans="1:10">
      <c r="A42" t="s">
        <v>283</v>
      </c>
      <c r="B42" t="s">
        <v>315</v>
      </c>
      <c r="C42" t="s">
        <v>2284</v>
      </c>
      <c r="D42">
        <v>6</v>
      </c>
      <c r="E42" t="s">
        <v>2285</v>
      </c>
      <c r="F42" t="s">
        <v>67</v>
      </c>
      <c r="G42" t="s">
        <v>67</v>
      </c>
      <c r="H42">
        <v>2</v>
      </c>
      <c r="I42" s="7">
        <v>13.48485</v>
      </c>
      <c r="J42" s="7">
        <v>15.808083333333334</v>
      </c>
    </row>
    <row r="43" spans="1:10">
      <c r="A43" t="s">
        <v>317</v>
      </c>
      <c r="B43" t="s">
        <v>251</v>
      </c>
      <c r="C43" t="s">
        <v>2064</v>
      </c>
      <c r="D43">
        <v>10</v>
      </c>
      <c r="E43" t="s">
        <v>2065</v>
      </c>
      <c r="F43" t="s">
        <v>67</v>
      </c>
      <c r="G43" t="s">
        <v>67</v>
      </c>
      <c r="H43">
        <v>2.1</v>
      </c>
      <c r="I43" s="7">
        <v>10.855028571428571</v>
      </c>
      <c r="J43" s="7">
        <v>11.42504761904762</v>
      </c>
    </row>
    <row r="44" spans="1:10">
      <c r="A44" t="s">
        <v>317</v>
      </c>
      <c r="B44" t="s">
        <v>367</v>
      </c>
      <c r="C44" t="s">
        <v>2079</v>
      </c>
      <c r="D44">
        <v>2</v>
      </c>
      <c r="E44" t="s">
        <v>2080</v>
      </c>
      <c r="F44" t="s">
        <v>67</v>
      </c>
      <c r="G44" t="s">
        <v>67</v>
      </c>
      <c r="H44">
        <v>2.1</v>
      </c>
      <c r="I44" s="7">
        <v>4.0879190476190468</v>
      </c>
      <c r="J44" s="7">
        <v>0.14653174603174465</v>
      </c>
    </row>
    <row r="45" spans="1:10">
      <c r="A45" t="s">
        <v>317</v>
      </c>
      <c r="B45" t="s">
        <v>369</v>
      </c>
      <c r="C45" t="s">
        <v>2081</v>
      </c>
      <c r="D45">
        <v>2</v>
      </c>
      <c r="E45" t="s">
        <v>2080</v>
      </c>
      <c r="F45" t="s">
        <v>67</v>
      </c>
      <c r="G45" t="s">
        <v>67</v>
      </c>
      <c r="H45">
        <v>2.1</v>
      </c>
      <c r="I45" s="7">
        <v>4.1755095238095237</v>
      </c>
      <c r="J45" s="7">
        <v>0.29251587301587278</v>
      </c>
    </row>
    <row r="46" spans="1:10">
      <c r="A46" t="s">
        <v>317</v>
      </c>
      <c r="B46" t="s">
        <v>270</v>
      </c>
      <c r="C46" t="s">
        <v>2082</v>
      </c>
      <c r="D46">
        <v>2</v>
      </c>
      <c r="E46" t="s">
        <v>2080</v>
      </c>
      <c r="F46" t="s">
        <v>67</v>
      </c>
      <c r="G46" t="s">
        <v>67</v>
      </c>
      <c r="H46">
        <v>2.1</v>
      </c>
      <c r="I46" s="7">
        <v>6.1906333333333334</v>
      </c>
      <c r="J46" s="7">
        <v>3.6510555555555557</v>
      </c>
    </row>
    <row r="47" spans="1:10">
      <c r="A47" t="s">
        <v>317</v>
      </c>
      <c r="B47" t="s">
        <v>255</v>
      </c>
      <c r="C47" t="s">
        <v>2083</v>
      </c>
      <c r="D47">
        <v>2</v>
      </c>
      <c r="E47" t="s">
        <v>2080</v>
      </c>
      <c r="F47" t="s">
        <v>67</v>
      </c>
      <c r="G47" t="s">
        <v>67</v>
      </c>
      <c r="H47">
        <v>2.1</v>
      </c>
      <c r="I47" s="7">
        <v>3.3544714285714283</v>
      </c>
      <c r="J47" s="7">
        <v>-1.0758809523809529</v>
      </c>
    </row>
    <row r="48" spans="1:10">
      <c r="A48" t="s">
        <v>317</v>
      </c>
      <c r="B48" t="s">
        <v>356</v>
      </c>
      <c r="C48" t="s">
        <v>2126</v>
      </c>
      <c r="D48">
        <v>9</v>
      </c>
      <c r="E48" t="s">
        <v>2127</v>
      </c>
      <c r="F48" t="s">
        <v>67</v>
      </c>
      <c r="G48" t="s">
        <v>67</v>
      </c>
      <c r="H48">
        <v>2.1</v>
      </c>
      <c r="I48" s="7">
        <v>6.0682380952380948</v>
      </c>
      <c r="J48" s="7">
        <v>3.4470634920634913</v>
      </c>
    </row>
    <row r="49" spans="1:10">
      <c r="A49" t="s">
        <v>317</v>
      </c>
      <c r="B49" t="s">
        <v>372</v>
      </c>
      <c r="C49" t="s">
        <v>2157</v>
      </c>
      <c r="D49">
        <v>8</v>
      </c>
      <c r="E49" t="s">
        <v>2158</v>
      </c>
      <c r="F49" t="s">
        <v>67</v>
      </c>
      <c r="G49" t="s">
        <v>67</v>
      </c>
      <c r="H49">
        <v>2.1</v>
      </c>
      <c r="I49" s="7">
        <v>10.880095238095238</v>
      </c>
      <c r="J49" s="7">
        <v>11.466825396825397</v>
      </c>
    </row>
    <row r="50" spans="1:10">
      <c r="A50" t="s">
        <v>317</v>
      </c>
      <c r="B50" t="s">
        <v>359</v>
      </c>
      <c r="C50" t="s">
        <v>2159</v>
      </c>
      <c r="D50">
        <v>8</v>
      </c>
      <c r="E50" t="s">
        <v>2158</v>
      </c>
      <c r="F50" t="s">
        <v>67</v>
      </c>
      <c r="G50" t="s">
        <v>67</v>
      </c>
      <c r="H50">
        <v>2.1</v>
      </c>
      <c r="I50" s="7">
        <v>3.9348047619047617</v>
      </c>
      <c r="J50" s="7">
        <v>-0.10865873015873051</v>
      </c>
    </row>
    <row r="51" spans="1:10">
      <c r="A51" t="s">
        <v>317</v>
      </c>
      <c r="B51" t="s">
        <v>365</v>
      </c>
      <c r="C51" t="s">
        <v>2281</v>
      </c>
      <c r="D51">
        <v>6</v>
      </c>
      <c r="E51" t="s">
        <v>2282</v>
      </c>
      <c r="F51" t="s">
        <v>67</v>
      </c>
      <c r="G51" t="s">
        <v>67</v>
      </c>
      <c r="H51">
        <v>2.1</v>
      </c>
      <c r="I51" s="7">
        <v>8.9890857142857161</v>
      </c>
      <c r="J51" s="7">
        <v>8.3151428571428614</v>
      </c>
    </row>
    <row r="52" spans="1:10">
      <c r="A52" t="s">
        <v>317</v>
      </c>
      <c r="B52" t="s">
        <v>261</v>
      </c>
      <c r="C52" t="s">
        <v>2283</v>
      </c>
      <c r="D52">
        <v>6</v>
      </c>
      <c r="E52" t="s">
        <v>2282</v>
      </c>
      <c r="F52" t="s">
        <v>67</v>
      </c>
      <c r="G52" t="s">
        <v>67</v>
      </c>
      <c r="H52">
        <v>2.1</v>
      </c>
      <c r="I52" s="7">
        <v>3.4778190476190476</v>
      </c>
      <c r="J52" s="7">
        <v>-0.87030158730158735</v>
      </c>
    </row>
    <row r="53" spans="1:10">
      <c r="A53" t="s">
        <v>317</v>
      </c>
      <c r="B53" t="s">
        <v>282</v>
      </c>
      <c r="C53" t="s">
        <v>2381</v>
      </c>
      <c r="D53">
        <v>5</v>
      </c>
      <c r="E53" t="s">
        <v>2382</v>
      </c>
      <c r="F53" t="s">
        <v>67</v>
      </c>
      <c r="G53" t="s">
        <v>67</v>
      </c>
      <c r="H53">
        <v>2.1</v>
      </c>
      <c r="I53" s="7">
        <v>2.8420285714285711</v>
      </c>
      <c r="J53" s="7">
        <v>-1.9299523809523815</v>
      </c>
    </row>
    <row r="54" spans="1:10">
      <c r="A54" t="s">
        <v>166</v>
      </c>
      <c r="B54" t="s">
        <v>196</v>
      </c>
      <c r="C54" t="s">
        <v>2084</v>
      </c>
      <c r="D54">
        <v>2</v>
      </c>
      <c r="E54" t="s">
        <v>2085</v>
      </c>
      <c r="F54" t="s">
        <v>91</v>
      </c>
      <c r="G54" t="s">
        <v>67</v>
      </c>
      <c r="H54">
        <v>0.5</v>
      </c>
      <c r="I54" s="7">
        <v>7.2637200000000002</v>
      </c>
      <c r="J54" s="7">
        <v>2.1062000000000003</v>
      </c>
    </row>
    <row r="55" spans="1:10">
      <c r="A55" t="s">
        <v>166</v>
      </c>
      <c r="B55" t="s">
        <v>202</v>
      </c>
      <c r="C55" t="s">
        <v>2086</v>
      </c>
      <c r="D55">
        <v>2</v>
      </c>
      <c r="E55" t="s">
        <v>2085</v>
      </c>
      <c r="F55" t="s">
        <v>91</v>
      </c>
      <c r="G55" t="s">
        <v>67</v>
      </c>
      <c r="H55">
        <v>0.5</v>
      </c>
      <c r="I55" s="7">
        <v>6.7498000000000005</v>
      </c>
      <c r="J55" s="7">
        <v>1.2496666666666676</v>
      </c>
    </row>
    <row r="56" spans="1:10">
      <c r="A56" t="s">
        <v>166</v>
      </c>
      <c r="B56" t="s">
        <v>203</v>
      </c>
      <c r="C56" t="s">
        <v>2087</v>
      </c>
      <c r="D56">
        <v>2</v>
      </c>
      <c r="E56" t="s">
        <v>2085</v>
      </c>
      <c r="F56" t="s">
        <v>91</v>
      </c>
      <c r="G56" t="s">
        <v>67</v>
      </c>
      <c r="H56">
        <v>0.5</v>
      </c>
      <c r="I56" s="7">
        <v>5.7474799999999995</v>
      </c>
      <c r="J56" s="7">
        <v>-0.42086666666666755</v>
      </c>
    </row>
    <row r="57" spans="1:10">
      <c r="A57" t="s">
        <v>166</v>
      </c>
      <c r="B57" t="s">
        <v>207</v>
      </c>
      <c r="C57" t="s">
        <v>2088</v>
      </c>
      <c r="D57">
        <v>2</v>
      </c>
      <c r="E57" t="s">
        <v>2085</v>
      </c>
      <c r="F57" t="s">
        <v>91</v>
      </c>
      <c r="G57" t="s">
        <v>67</v>
      </c>
      <c r="H57">
        <v>0.5</v>
      </c>
      <c r="I57" s="7">
        <v>5.4089999999999998</v>
      </c>
      <c r="J57" s="7">
        <v>-0.98500000000000032</v>
      </c>
    </row>
    <row r="58" spans="1:10">
      <c r="A58" t="s">
        <v>166</v>
      </c>
      <c r="B58" t="s">
        <v>193</v>
      </c>
      <c r="C58" t="s">
        <v>2175</v>
      </c>
      <c r="D58">
        <v>3</v>
      </c>
      <c r="E58" t="s">
        <v>2176</v>
      </c>
      <c r="F58" t="s">
        <v>91</v>
      </c>
      <c r="G58" t="s">
        <v>67</v>
      </c>
      <c r="H58">
        <v>0.5</v>
      </c>
      <c r="I58" s="7">
        <v>6.3956200000000001</v>
      </c>
      <c r="J58" s="7">
        <v>0.65936666666666688</v>
      </c>
    </row>
    <row r="59" spans="1:10">
      <c r="A59" t="s">
        <v>166</v>
      </c>
      <c r="B59" t="s">
        <v>200</v>
      </c>
      <c r="C59" t="s">
        <v>2190</v>
      </c>
      <c r="D59">
        <v>7</v>
      </c>
      <c r="E59" t="s">
        <v>2191</v>
      </c>
      <c r="F59" t="s">
        <v>91</v>
      </c>
      <c r="G59" t="s">
        <v>67</v>
      </c>
      <c r="H59">
        <v>0.5</v>
      </c>
      <c r="I59" s="7">
        <v>6.4164200000000005</v>
      </c>
      <c r="J59" s="7">
        <v>0.69403333333333417</v>
      </c>
    </row>
    <row r="60" spans="1:10">
      <c r="A60" t="s">
        <v>166</v>
      </c>
      <c r="B60" t="s">
        <v>191</v>
      </c>
      <c r="C60" t="s">
        <v>2192</v>
      </c>
      <c r="D60">
        <v>7</v>
      </c>
      <c r="E60" t="s">
        <v>2191</v>
      </c>
      <c r="F60" t="s">
        <v>91</v>
      </c>
      <c r="G60" t="s">
        <v>67</v>
      </c>
      <c r="H60">
        <v>0.5</v>
      </c>
      <c r="I60" s="7">
        <v>8.0628399999999996</v>
      </c>
      <c r="J60" s="7">
        <v>3.4380666666666659</v>
      </c>
    </row>
    <row r="61" spans="1:10">
      <c r="A61" t="s">
        <v>166</v>
      </c>
      <c r="B61" t="s">
        <v>178</v>
      </c>
      <c r="C61" t="s">
        <v>2193</v>
      </c>
      <c r="D61">
        <v>7</v>
      </c>
      <c r="E61" t="s">
        <v>2191</v>
      </c>
      <c r="F61" t="s">
        <v>91</v>
      </c>
      <c r="G61" t="s">
        <v>67</v>
      </c>
      <c r="H61">
        <v>0.5</v>
      </c>
      <c r="I61" s="7">
        <v>6.2941400000000005</v>
      </c>
      <c r="J61" s="7">
        <v>0.49023333333333419</v>
      </c>
    </row>
    <row r="62" spans="1:10">
      <c r="A62" t="s">
        <v>166</v>
      </c>
      <c r="B62" t="s">
        <v>175</v>
      </c>
      <c r="C62" t="s">
        <v>2194</v>
      </c>
      <c r="D62">
        <v>7</v>
      </c>
      <c r="E62" t="s">
        <v>2191</v>
      </c>
      <c r="F62" t="s">
        <v>91</v>
      </c>
      <c r="G62" t="s">
        <v>67</v>
      </c>
      <c r="H62">
        <v>0.5</v>
      </c>
      <c r="I62" s="7">
        <v>10.158719999999999</v>
      </c>
      <c r="J62" s="7">
        <v>6.9311999999999987</v>
      </c>
    </row>
    <row r="63" spans="1:10">
      <c r="A63" t="s">
        <v>166</v>
      </c>
      <c r="B63" t="s">
        <v>172</v>
      </c>
      <c r="C63" t="s">
        <v>2197</v>
      </c>
      <c r="D63">
        <v>7</v>
      </c>
      <c r="E63" t="s">
        <v>2191</v>
      </c>
      <c r="F63" t="s">
        <v>91</v>
      </c>
      <c r="G63" t="s">
        <v>67</v>
      </c>
      <c r="H63">
        <v>0.5</v>
      </c>
      <c r="I63" s="7">
        <v>8.7763200000000001</v>
      </c>
      <c r="J63" s="7">
        <v>4.6272000000000002</v>
      </c>
    </row>
    <row r="64" spans="1:10">
      <c r="A64" t="s">
        <v>166</v>
      </c>
      <c r="B64" t="s">
        <v>188</v>
      </c>
      <c r="C64" t="s">
        <v>2376</v>
      </c>
      <c r="D64">
        <v>5</v>
      </c>
      <c r="E64" t="s">
        <v>2377</v>
      </c>
      <c r="F64" t="s">
        <v>91</v>
      </c>
      <c r="G64" t="s">
        <v>67</v>
      </c>
      <c r="H64">
        <v>0.5</v>
      </c>
      <c r="I64" s="7">
        <v>4.1474799999999998</v>
      </c>
      <c r="J64" s="7">
        <v>-3.0875333333333339</v>
      </c>
    </row>
    <row r="65" spans="1:10">
      <c r="A65" t="s">
        <v>166</v>
      </c>
      <c r="B65" t="s">
        <v>186</v>
      </c>
      <c r="C65" t="s">
        <v>2378</v>
      </c>
      <c r="D65">
        <v>5</v>
      </c>
      <c r="E65" t="s">
        <v>2377</v>
      </c>
      <c r="F65" t="s">
        <v>91</v>
      </c>
      <c r="G65" t="s">
        <v>67</v>
      </c>
      <c r="H65">
        <v>0.5</v>
      </c>
      <c r="I65" s="7">
        <v>5.2615600000000002</v>
      </c>
      <c r="J65" s="7">
        <v>-1.230733333333333</v>
      </c>
    </row>
    <row r="66" spans="1:10">
      <c r="A66" t="s">
        <v>166</v>
      </c>
      <c r="B66" t="s">
        <v>184</v>
      </c>
      <c r="C66" t="s">
        <v>2379</v>
      </c>
      <c r="D66">
        <v>5</v>
      </c>
      <c r="E66" t="s">
        <v>2377</v>
      </c>
      <c r="F66" t="s">
        <v>91</v>
      </c>
      <c r="G66" t="s">
        <v>67</v>
      </c>
      <c r="H66">
        <v>0.5</v>
      </c>
      <c r="I66" s="7">
        <v>5.56874</v>
      </c>
      <c r="J66" s="7">
        <v>-0.71876666666666666</v>
      </c>
    </row>
    <row r="67" spans="1:10">
      <c r="A67" t="s">
        <v>166</v>
      </c>
      <c r="B67" t="s">
        <v>180</v>
      </c>
      <c r="C67" t="s">
        <v>2380</v>
      </c>
      <c r="D67">
        <v>5</v>
      </c>
      <c r="E67" t="s">
        <v>2377</v>
      </c>
      <c r="F67" t="s">
        <v>91</v>
      </c>
      <c r="G67" t="s">
        <v>67</v>
      </c>
      <c r="H67">
        <v>0.5</v>
      </c>
      <c r="I67" s="7">
        <v>5.9432799999999997</v>
      </c>
      <c r="J67" s="7">
        <v>-9.4533333333333885E-2</v>
      </c>
    </row>
    <row r="68" spans="1:10">
      <c r="A68" t="s">
        <v>248</v>
      </c>
      <c r="B68" t="s">
        <v>270</v>
      </c>
      <c r="C68" t="s">
        <v>2179</v>
      </c>
      <c r="D68">
        <v>3</v>
      </c>
      <c r="E68" t="s">
        <v>2180</v>
      </c>
      <c r="F68" t="s">
        <v>67</v>
      </c>
      <c r="G68" t="s">
        <v>67</v>
      </c>
      <c r="H68">
        <v>1.5</v>
      </c>
      <c r="I68" s="7">
        <v>8.3280666666666665</v>
      </c>
      <c r="J68" s="7">
        <v>7.2134444444444448</v>
      </c>
    </row>
    <row r="69" spans="1:10">
      <c r="A69" t="s">
        <v>248</v>
      </c>
      <c r="B69" t="s">
        <v>278</v>
      </c>
      <c r="C69" t="s">
        <v>2182</v>
      </c>
      <c r="D69">
        <v>3</v>
      </c>
      <c r="E69" t="s">
        <v>2180</v>
      </c>
      <c r="F69" t="s">
        <v>67</v>
      </c>
      <c r="G69" t="s">
        <v>67</v>
      </c>
      <c r="H69">
        <v>1.5</v>
      </c>
      <c r="I69" s="7">
        <v>7.4206533333333331</v>
      </c>
      <c r="J69" s="7">
        <v>5.7010888888888891</v>
      </c>
    </row>
    <row r="70" spans="1:10">
      <c r="A70" t="s">
        <v>248</v>
      </c>
      <c r="B70" t="s">
        <v>251</v>
      </c>
      <c r="C70" t="s">
        <v>2188</v>
      </c>
      <c r="D70">
        <v>7</v>
      </c>
      <c r="E70" t="s">
        <v>2189</v>
      </c>
      <c r="F70" t="s">
        <v>67</v>
      </c>
      <c r="G70" t="s">
        <v>67</v>
      </c>
      <c r="H70">
        <v>1.5</v>
      </c>
      <c r="I70" s="7">
        <v>2.9789066666666666</v>
      </c>
      <c r="J70" s="7">
        <v>-1.7018222222222223</v>
      </c>
    </row>
    <row r="71" spans="1:10">
      <c r="A71" t="s">
        <v>248</v>
      </c>
      <c r="B71" t="s">
        <v>261</v>
      </c>
      <c r="C71" t="s">
        <v>2373</v>
      </c>
      <c r="D71">
        <v>5</v>
      </c>
      <c r="E71" t="s">
        <v>2374</v>
      </c>
      <c r="F71" t="s">
        <v>67</v>
      </c>
      <c r="G71" t="s">
        <v>67</v>
      </c>
      <c r="H71">
        <v>1.5</v>
      </c>
      <c r="I71" s="7">
        <v>3.1145933333333335</v>
      </c>
      <c r="J71" s="7">
        <v>-1.4756777777777774</v>
      </c>
    </row>
    <row r="72" spans="1:10">
      <c r="A72" t="s">
        <v>248</v>
      </c>
      <c r="B72" t="s">
        <v>255</v>
      </c>
      <c r="C72" t="s">
        <v>2375</v>
      </c>
      <c r="D72">
        <v>5</v>
      </c>
      <c r="E72" t="s">
        <v>2374</v>
      </c>
      <c r="F72" t="s">
        <v>67</v>
      </c>
      <c r="G72" t="s">
        <v>67</v>
      </c>
      <c r="H72">
        <v>1.5</v>
      </c>
      <c r="I72" s="7">
        <v>2.6868133333333333</v>
      </c>
      <c r="J72" s="7">
        <v>-2.1886444444444448</v>
      </c>
    </row>
    <row r="73" spans="1:10">
      <c r="A73" t="s">
        <v>651</v>
      </c>
      <c r="B73" t="s">
        <v>723</v>
      </c>
      <c r="C73" t="s">
        <v>2010</v>
      </c>
      <c r="D73">
        <v>1</v>
      </c>
      <c r="E73" t="s">
        <v>2011</v>
      </c>
      <c r="F73" t="s">
        <v>67</v>
      </c>
      <c r="G73" t="s">
        <v>67</v>
      </c>
      <c r="H73">
        <v>1.44</v>
      </c>
      <c r="I73" s="7">
        <v>0</v>
      </c>
      <c r="J73" s="7">
        <v>0</v>
      </c>
    </row>
    <row r="74" spans="1:10">
      <c r="A74" t="s">
        <v>651</v>
      </c>
      <c r="B74" t="s">
        <v>718</v>
      </c>
      <c r="C74" t="s">
        <v>2060</v>
      </c>
      <c r="D74">
        <v>10</v>
      </c>
      <c r="E74" t="s">
        <v>2061</v>
      </c>
      <c r="F74" t="s">
        <v>67</v>
      </c>
      <c r="G74" t="s">
        <v>67</v>
      </c>
      <c r="H74">
        <v>1.5</v>
      </c>
      <c r="I74" s="7">
        <v>11.185146666666668</v>
      </c>
      <c r="J74" s="7">
        <v>11.975244444444447</v>
      </c>
    </row>
    <row r="75" spans="1:10">
      <c r="A75" t="s">
        <v>651</v>
      </c>
      <c r="B75" t="s">
        <v>712</v>
      </c>
      <c r="C75" t="s">
        <v>2062</v>
      </c>
      <c r="D75">
        <v>10</v>
      </c>
      <c r="E75" t="s">
        <v>2061</v>
      </c>
      <c r="F75" t="s">
        <v>67</v>
      </c>
      <c r="G75" t="s">
        <v>67</v>
      </c>
      <c r="H75">
        <v>1.5</v>
      </c>
      <c r="I75" s="7">
        <v>15.443773333333333</v>
      </c>
      <c r="J75" s="7">
        <v>19.072955555555556</v>
      </c>
    </row>
    <row r="76" spans="1:10">
      <c r="A76" t="s">
        <v>651</v>
      </c>
      <c r="B76" t="s">
        <v>708</v>
      </c>
      <c r="C76" t="s">
        <v>2063</v>
      </c>
      <c r="D76">
        <v>10</v>
      </c>
      <c r="E76" t="s">
        <v>2061</v>
      </c>
      <c r="F76" t="s">
        <v>67</v>
      </c>
      <c r="G76" t="s">
        <v>67</v>
      </c>
      <c r="H76">
        <v>1.48</v>
      </c>
      <c r="I76" s="7">
        <v>13.19139189189189</v>
      </c>
      <c r="J76" s="7">
        <v>15.318986486486484</v>
      </c>
    </row>
    <row r="77" spans="1:10">
      <c r="A77" t="s">
        <v>651</v>
      </c>
      <c r="B77" t="s">
        <v>702</v>
      </c>
      <c r="C77" t="s">
        <v>2093</v>
      </c>
      <c r="D77">
        <v>2</v>
      </c>
      <c r="E77" t="s">
        <v>2094</v>
      </c>
      <c r="F77" t="s">
        <v>67</v>
      </c>
      <c r="G77" t="s">
        <v>67</v>
      </c>
      <c r="H77">
        <v>1.47</v>
      </c>
      <c r="I77" s="7">
        <v>2.712979591836735</v>
      </c>
      <c r="J77" s="7">
        <v>-2.145034013605442</v>
      </c>
    </row>
    <row r="78" spans="1:10">
      <c r="A78" t="s">
        <v>651</v>
      </c>
      <c r="B78" t="s">
        <v>706</v>
      </c>
      <c r="C78" t="s">
        <v>2124</v>
      </c>
      <c r="D78">
        <v>9</v>
      </c>
      <c r="E78" t="s">
        <v>2125</v>
      </c>
      <c r="F78" t="s">
        <v>67</v>
      </c>
      <c r="G78" t="s">
        <v>67</v>
      </c>
      <c r="H78">
        <v>1.5</v>
      </c>
      <c r="I78" s="7">
        <v>10.237319999999999</v>
      </c>
      <c r="J78" s="7">
        <v>10.395533333333331</v>
      </c>
    </row>
    <row r="79" spans="1:10">
      <c r="A79" t="s">
        <v>651</v>
      </c>
      <c r="B79" t="s">
        <v>722</v>
      </c>
      <c r="C79" t="s">
        <v>2154</v>
      </c>
      <c r="D79">
        <v>8</v>
      </c>
      <c r="E79" t="s">
        <v>2155</v>
      </c>
      <c r="F79" t="s">
        <v>67</v>
      </c>
      <c r="G79" t="s">
        <v>67</v>
      </c>
      <c r="H79">
        <v>1.5</v>
      </c>
      <c r="I79" s="7">
        <v>0</v>
      </c>
      <c r="J79" s="7">
        <v>0</v>
      </c>
    </row>
    <row r="80" spans="1:10">
      <c r="A80" t="s">
        <v>651</v>
      </c>
      <c r="B80" t="s">
        <v>695</v>
      </c>
      <c r="C80" t="s">
        <v>2156</v>
      </c>
      <c r="D80">
        <v>8</v>
      </c>
      <c r="E80" t="s">
        <v>2155</v>
      </c>
      <c r="F80" t="s">
        <v>67</v>
      </c>
      <c r="G80" t="s">
        <v>67</v>
      </c>
      <c r="H80">
        <v>1.4</v>
      </c>
      <c r="I80" s="7">
        <v>10.570557142857144</v>
      </c>
      <c r="J80" s="7">
        <v>10.950928571428573</v>
      </c>
    </row>
    <row r="81" spans="1:10">
      <c r="A81" t="s">
        <v>651</v>
      </c>
      <c r="B81" t="s">
        <v>720</v>
      </c>
      <c r="C81" t="s">
        <v>2186</v>
      </c>
      <c r="D81">
        <v>7</v>
      </c>
      <c r="E81" t="s">
        <v>2187</v>
      </c>
      <c r="F81" t="s">
        <v>67</v>
      </c>
      <c r="G81" t="s">
        <v>67</v>
      </c>
      <c r="H81">
        <v>1.5</v>
      </c>
      <c r="I81" s="7">
        <v>10.3728</v>
      </c>
      <c r="J81" s="7">
        <v>10.621333333333334</v>
      </c>
    </row>
    <row r="82" spans="1:10">
      <c r="A82" t="s">
        <v>651</v>
      </c>
      <c r="B82" t="s">
        <v>704</v>
      </c>
      <c r="C82" t="s">
        <v>2195</v>
      </c>
      <c r="D82">
        <v>3</v>
      </c>
      <c r="E82" t="s">
        <v>2196</v>
      </c>
      <c r="F82" t="s">
        <v>67</v>
      </c>
      <c r="G82" t="s">
        <v>67</v>
      </c>
      <c r="H82">
        <v>1.47</v>
      </c>
      <c r="I82" s="7">
        <v>2.3604965986394557</v>
      </c>
      <c r="J82" s="7">
        <v>-2.7325056689342406</v>
      </c>
    </row>
    <row r="83" spans="1:10">
      <c r="A83" t="s">
        <v>651</v>
      </c>
      <c r="B83" t="s">
        <v>716</v>
      </c>
      <c r="C83" t="s">
        <v>2278</v>
      </c>
      <c r="D83">
        <v>6</v>
      </c>
      <c r="E83" t="s">
        <v>2279</v>
      </c>
      <c r="F83" t="s">
        <v>67</v>
      </c>
      <c r="G83" t="s">
        <v>67</v>
      </c>
      <c r="H83">
        <v>1.5</v>
      </c>
      <c r="I83" s="7">
        <v>11.884740000000001</v>
      </c>
      <c r="J83" s="7">
        <v>13.141233333333336</v>
      </c>
    </row>
    <row r="84" spans="1:10">
      <c r="A84" t="s">
        <v>651</v>
      </c>
      <c r="B84" t="s">
        <v>710</v>
      </c>
      <c r="C84" t="s">
        <v>2280</v>
      </c>
      <c r="D84">
        <v>6</v>
      </c>
      <c r="E84" t="s">
        <v>2279</v>
      </c>
      <c r="F84" t="s">
        <v>67</v>
      </c>
      <c r="G84" t="s">
        <v>67</v>
      </c>
      <c r="H84">
        <v>2</v>
      </c>
      <c r="I84" s="7">
        <v>14.849254999999999</v>
      </c>
      <c r="J84" s="7">
        <v>18.082091666666667</v>
      </c>
    </row>
    <row r="85" spans="1:10">
      <c r="A85" t="s">
        <v>651</v>
      </c>
      <c r="B85" t="s">
        <v>699</v>
      </c>
      <c r="C85" t="s">
        <v>2292</v>
      </c>
      <c r="D85">
        <v>4</v>
      </c>
      <c r="E85" t="s">
        <v>2293</v>
      </c>
      <c r="F85" t="s">
        <v>67</v>
      </c>
      <c r="G85" t="s">
        <v>67</v>
      </c>
      <c r="H85">
        <v>1.4</v>
      </c>
      <c r="I85" s="7">
        <v>12.757885714285715</v>
      </c>
      <c r="J85" s="7">
        <v>14.596476190476192</v>
      </c>
    </row>
    <row r="86" spans="1:10">
      <c r="A86" t="s">
        <v>651</v>
      </c>
      <c r="B86" t="s">
        <v>714</v>
      </c>
      <c r="C86" t="s">
        <v>2371</v>
      </c>
      <c r="D86">
        <v>5</v>
      </c>
      <c r="E86" t="s">
        <v>2372</v>
      </c>
      <c r="F86" t="s">
        <v>67</v>
      </c>
      <c r="G86" t="s">
        <v>67</v>
      </c>
      <c r="H86">
        <v>1.48</v>
      </c>
      <c r="I86" s="7">
        <v>13.813810810810811</v>
      </c>
      <c r="J86" s="7">
        <v>16.356351351351353</v>
      </c>
    </row>
    <row r="87" spans="1:10">
      <c r="A87" t="s">
        <v>1660</v>
      </c>
      <c r="B87" t="s">
        <v>1669</v>
      </c>
      <c r="C87" t="s">
        <v>2012</v>
      </c>
      <c r="D87">
        <v>1</v>
      </c>
      <c r="E87" t="s">
        <v>2013</v>
      </c>
      <c r="F87" t="s">
        <v>67</v>
      </c>
      <c r="G87" t="s">
        <v>67</v>
      </c>
      <c r="H87">
        <v>1</v>
      </c>
      <c r="I87" s="7">
        <v>13.1435</v>
      </c>
      <c r="J87" s="7">
        <v>15.239166666666666</v>
      </c>
    </row>
    <row r="88" spans="1:10">
      <c r="A88" t="s">
        <v>1660</v>
      </c>
      <c r="B88" t="s">
        <v>1695</v>
      </c>
      <c r="C88" t="s">
        <v>2014</v>
      </c>
      <c r="D88">
        <v>1</v>
      </c>
      <c r="E88" t="s">
        <v>2013</v>
      </c>
      <c r="F88" t="s">
        <v>67</v>
      </c>
      <c r="G88" t="s">
        <v>67</v>
      </c>
      <c r="H88">
        <v>1.5</v>
      </c>
      <c r="I88" s="7">
        <v>16.101566666666667</v>
      </c>
      <c r="J88" s="7">
        <v>20.169277777777779</v>
      </c>
    </row>
    <row r="89" spans="1:10">
      <c r="A89" t="s">
        <v>1660</v>
      </c>
      <c r="B89" t="s">
        <v>1697</v>
      </c>
      <c r="C89" t="s">
        <v>2015</v>
      </c>
      <c r="D89">
        <v>1</v>
      </c>
      <c r="E89" t="s">
        <v>2013</v>
      </c>
      <c r="F89" t="s">
        <v>67</v>
      </c>
      <c r="G89" t="s">
        <v>67</v>
      </c>
      <c r="H89">
        <v>1.5</v>
      </c>
      <c r="I89" s="7">
        <v>12.104693333333335</v>
      </c>
      <c r="J89" s="7">
        <v>13.507822222222226</v>
      </c>
    </row>
    <row r="90" spans="1:10">
      <c r="A90" t="s">
        <v>1660</v>
      </c>
      <c r="B90" t="s">
        <v>1685</v>
      </c>
      <c r="C90" t="s">
        <v>2055</v>
      </c>
      <c r="D90">
        <v>10</v>
      </c>
      <c r="E90" t="s">
        <v>2056</v>
      </c>
      <c r="F90" t="s">
        <v>67</v>
      </c>
      <c r="G90" t="s">
        <v>67</v>
      </c>
      <c r="H90">
        <v>1.5</v>
      </c>
      <c r="I90" s="7">
        <v>14.321266666666668</v>
      </c>
      <c r="J90" s="7">
        <v>17.202111111111115</v>
      </c>
    </row>
    <row r="91" spans="1:10">
      <c r="A91" t="s">
        <v>1660</v>
      </c>
      <c r="B91" t="s">
        <v>1677</v>
      </c>
      <c r="C91" t="s">
        <v>2057</v>
      </c>
      <c r="D91">
        <v>10</v>
      </c>
      <c r="E91" t="s">
        <v>2056</v>
      </c>
      <c r="F91" t="s">
        <v>67</v>
      </c>
      <c r="G91" t="s">
        <v>67</v>
      </c>
      <c r="H91">
        <v>1.5</v>
      </c>
      <c r="I91" s="7">
        <v>7.8171933333333348</v>
      </c>
      <c r="J91" s="7">
        <v>6.3619888888888916</v>
      </c>
    </row>
    <row r="92" spans="1:10">
      <c r="A92" t="s">
        <v>1660</v>
      </c>
      <c r="B92" t="s">
        <v>1675</v>
      </c>
      <c r="C92" t="s">
        <v>2058</v>
      </c>
      <c r="D92">
        <v>10</v>
      </c>
      <c r="E92" t="s">
        <v>2056</v>
      </c>
      <c r="F92" t="s">
        <v>67</v>
      </c>
      <c r="G92" t="s">
        <v>67</v>
      </c>
      <c r="H92">
        <v>1.5</v>
      </c>
      <c r="I92" s="7">
        <v>12.897513333333334</v>
      </c>
      <c r="J92" s="7">
        <v>14.829188888888892</v>
      </c>
    </row>
    <row r="93" spans="1:10">
      <c r="A93" t="s">
        <v>1660</v>
      </c>
      <c r="B93" t="s">
        <v>1673</v>
      </c>
      <c r="C93" t="s">
        <v>2059</v>
      </c>
      <c r="D93">
        <v>10</v>
      </c>
      <c r="E93" t="s">
        <v>2056</v>
      </c>
      <c r="F93" t="s">
        <v>67</v>
      </c>
      <c r="G93" t="s">
        <v>67</v>
      </c>
      <c r="H93">
        <v>1.5</v>
      </c>
      <c r="I93" s="7">
        <v>12.276633333333335</v>
      </c>
      <c r="J93" s="7">
        <v>13.794388888888891</v>
      </c>
    </row>
    <row r="94" spans="1:10">
      <c r="A94" t="s">
        <v>1660</v>
      </c>
      <c r="B94" t="s">
        <v>1693</v>
      </c>
      <c r="C94" t="s">
        <v>2151</v>
      </c>
      <c r="D94">
        <v>8</v>
      </c>
      <c r="E94" t="s">
        <v>2152</v>
      </c>
      <c r="F94" t="s">
        <v>67</v>
      </c>
      <c r="G94" t="s">
        <v>67</v>
      </c>
      <c r="H94">
        <v>1.5</v>
      </c>
      <c r="I94" s="7">
        <v>10.219306666666666</v>
      </c>
      <c r="J94" s="7">
        <v>10.365511111111111</v>
      </c>
    </row>
    <row r="95" spans="1:10">
      <c r="A95" t="s">
        <v>1660</v>
      </c>
      <c r="B95" t="s">
        <v>1665</v>
      </c>
      <c r="C95" t="s">
        <v>2153</v>
      </c>
      <c r="D95">
        <v>8</v>
      </c>
      <c r="E95" t="s">
        <v>2152</v>
      </c>
      <c r="F95" t="s">
        <v>67</v>
      </c>
      <c r="G95" t="s">
        <v>67</v>
      </c>
      <c r="H95">
        <v>1</v>
      </c>
      <c r="I95" s="7">
        <v>20.16797</v>
      </c>
      <c r="J95" s="7">
        <v>26.946616666666667</v>
      </c>
    </row>
    <row r="96" spans="1:10">
      <c r="A96" t="s">
        <v>1660</v>
      </c>
      <c r="B96" t="s">
        <v>1691</v>
      </c>
      <c r="C96" t="s">
        <v>2201</v>
      </c>
      <c r="D96">
        <v>3</v>
      </c>
      <c r="E96" t="s">
        <v>2202</v>
      </c>
      <c r="F96" t="s">
        <v>67</v>
      </c>
      <c r="G96" t="s">
        <v>67</v>
      </c>
      <c r="H96">
        <v>1.5</v>
      </c>
      <c r="I96" s="7">
        <v>12.677373333333335</v>
      </c>
      <c r="J96" s="7">
        <v>14.462288888888892</v>
      </c>
    </row>
    <row r="97" spans="1:10">
      <c r="A97" t="s">
        <v>1660</v>
      </c>
      <c r="B97" t="s">
        <v>1689</v>
      </c>
      <c r="C97" t="s">
        <v>2275</v>
      </c>
      <c r="D97">
        <v>6</v>
      </c>
      <c r="E97" t="s">
        <v>1977</v>
      </c>
      <c r="F97" t="s">
        <v>67</v>
      </c>
      <c r="G97" t="s">
        <v>67</v>
      </c>
      <c r="H97">
        <v>1.5</v>
      </c>
      <c r="I97" s="7">
        <v>14.17966</v>
      </c>
      <c r="J97" s="7">
        <v>16.966100000000001</v>
      </c>
    </row>
    <row r="98" spans="1:10">
      <c r="A98" t="s">
        <v>1660</v>
      </c>
      <c r="B98" t="s">
        <v>1671</v>
      </c>
      <c r="C98" t="s">
        <v>2276</v>
      </c>
      <c r="D98">
        <v>6</v>
      </c>
      <c r="E98" t="s">
        <v>1977</v>
      </c>
      <c r="F98" t="s">
        <v>67</v>
      </c>
      <c r="G98" t="s">
        <v>67</v>
      </c>
      <c r="H98">
        <v>1.5</v>
      </c>
      <c r="I98" s="7">
        <v>6.5484133333333334</v>
      </c>
      <c r="J98" s="7">
        <v>4.247355555555556</v>
      </c>
    </row>
    <row r="99" spans="1:10">
      <c r="A99" t="s">
        <v>1660</v>
      </c>
      <c r="B99" t="s">
        <v>1663</v>
      </c>
      <c r="C99" t="s">
        <v>2277</v>
      </c>
      <c r="D99">
        <v>6</v>
      </c>
      <c r="E99" t="s">
        <v>1977</v>
      </c>
      <c r="F99" t="s">
        <v>67</v>
      </c>
      <c r="G99" t="s">
        <v>67</v>
      </c>
      <c r="H99">
        <v>1</v>
      </c>
      <c r="I99" s="7">
        <v>14.975200000000001</v>
      </c>
      <c r="J99" s="7">
        <v>18.292000000000002</v>
      </c>
    </row>
    <row r="100" spans="1:10">
      <c r="A100" t="s">
        <v>1660</v>
      </c>
      <c r="B100" t="s">
        <v>1667</v>
      </c>
      <c r="C100" t="s">
        <v>2301</v>
      </c>
      <c r="D100">
        <v>4</v>
      </c>
      <c r="E100" t="s">
        <v>2302</v>
      </c>
      <c r="F100" t="s">
        <v>67</v>
      </c>
      <c r="G100" t="s">
        <v>67</v>
      </c>
      <c r="H100">
        <v>1</v>
      </c>
      <c r="I100" s="7">
        <v>15.27791</v>
      </c>
      <c r="J100" s="7">
        <v>18.796516666666669</v>
      </c>
    </row>
    <row r="101" spans="1:10">
      <c r="A101" t="s">
        <v>1660</v>
      </c>
      <c r="B101" t="s">
        <v>1687</v>
      </c>
      <c r="C101" t="s">
        <v>2303</v>
      </c>
      <c r="D101">
        <v>4</v>
      </c>
      <c r="E101" t="s">
        <v>2302</v>
      </c>
      <c r="F101" t="s">
        <v>67</v>
      </c>
      <c r="G101" t="s">
        <v>67</v>
      </c>
      <c r="H101">
        <v>1.5</v>
      </c>
      <c r="I101" s="7">
        <v>12.428493333333334</v>
      </c>
      <c r="J101" s="7">
        <v>14.047488888888891</v>
      </c>
    </row>
    <row r="102" spans="1:10">
      <c r="A102" t="s">
        <v>1660</v>
      </c>
      <c r="B102" t="s">
        <v>1683</v>
      </c>
      <c r="C102" t="s">
        <v>2367</v>
      </c>
      <c r="D102">
        <v>5</v>
      </c>
      <c r="E102" t="s">
        <v>2368</v>
      </c>
      <c r="F102" t="s">
        <v>67</v>
      </c>
      <c r="G102" t="s">
        <v>67</v>
      </c>
      <c r="H102">
        <v>1.5</v>
      </c>
      <c r="I102" s="7">
        <v>11.570819999999999</v>
      </c>
      <c r="J102" s="7">
        <v>12.618033333333333</v>
      </c>
    </row>
    <row r="103" spans="1:10">
      <c r="A103" t="s">
        <v>1660</v>
      </c>
      <c r="B103" t="s">
        <v>1681</v>
      </c>
      <c r="C103" t="s">
        <v>2369</v>
      </c>
      <c r="D103">
        <v>5</v>
      </c>
      <c r="E103" t="s">
        <v>2368</v>
      </c>
      <c r="F103" t="s">
        <v>67</v>
      </c>
      <c r="G103" t="s">
        <v>67</v>
      </c>
      <c r="H103">
        <v>1.5</v>
      </c>
      <c r="I103" s="7">
        <v>13.364973333333332</v>
      </c>
      <c r="J103" s="7">
        <v>15.608288888888886</v>
      </c>
    </row>
    <row r="104" spans="1:10">
      <c r="A104" t="s">
        <v>1660</v>
      </c>
      <c r="B104" t="s">
        <v>1679</v>
      </c>
      <c r="C104" t="s">
        <v>2370</v>
      </c>
      <c r="D104">
        <v>5</v>
      </c>
      <c r="E104" t="s">
        <v>2368</v>
      </c>
      <c r="F104" t="s">
        <v>67</v>
      </c>
      <c r="G104" t="s">
        <v>67</v>
      </c>
      <c r="H104">
        <v>1.5</v>
      </c>
      <c r="I104" s="7">
        <v>13.07582</v>
      </c>
      <c r="J104" s="7">
        <v>15.126366666666668</v>
      </c>
    </row>
    <row r="105" spans="1:10">
      <c r="A105" t="s">
        <v>632</v>
      </c>
      <c r="B105" t="s">
        <v>649</v>
      </c>
      <c r="C105" t="s">
        <v>2271</v>
      </c>
      <c r="D105">
        <v>6</v>
      </c>
      <c r="E105" t="s">
        <v>2272</v>
      </c>
      <c r="F105" t="s">
        <v>67</v>
      </c>
      <c r="G105" t="s">
        <v>67</v>
      </c>
      <c r="H105">
        <v>1.8</v>
      </c>
      <c r="I105" s="7">
        <v>11.011277777777778</v>
      </c>
      <c r="J105" s="7">
        <v>11.685462962962964</v>
      </c>
    </row>
    <row r="106" spans="1:10">
      <c r="A106" t="s">
        <v>632</v>
      </c>
      <c r="B106" t="s">
        <v>647</v>
      </c>
      <c r="C106" t="s">
        <v>2273</v>
      </c>
      <c r="D106">
        <v>6</v>
      </c>
      <c r="E106" t="s">
        <v>2272</v>
      </c>
      <c r="F106" t="s">
        <v>67</v>
      </c>
      <c r="G106" t="s">
        <v>67</v>
      </c>
      <c r="H106">
        <v>1.8</v>
      </c>
      <c r="I106" s="7">
        <v>13.968638888888886</v>
      </c>
      <c r="J106" s="7">
        <v>16.614398148148144</v>
      </c>
    </row>
    <row r="107" spans="1:10">
      <c r="A107" t="s">
        <v>632</v>
      </c>
      <c r="B107" t="s">
        <v>640</v>
      </c>
      <c r="C107" t="s">
        <v>2274</v>
      </c>
      <c r="D107">
        <v>6</v>
      </c>
      <c r="E107" t="s">
        <v>2272</v>
      </c>
      <c r="F107" t="s">
        <v>67</v>
      </c>
      <c r="G107" t="s">
        <v>67</v>
      </c>
      <c r="H107">
        <v>1.8</v>
      </c>
      <c r="I107" s="7">
        <v>6.1444222222222216</v>
      </c>
      <c r="J107" s="7">
        <v>3.5740370370370362</v>
      </c>
    </row>
    <row r="108" spans="1:10">
      <c r="A108" t="s">
        <v>632</v>
      </c>
      <c r="B108" t="s">
        <v>644</v>
      </c>
      <c r="C108" t="s">
        <v>2310</v>
      </c>
      <c r="D108">
        <v>4</v>
      </c>
      <c r="E108" t="s">
        <v>2311</v>
      </c>
      <c r="F108" t="s">
        <v>67</v>
      </c>
      <c r="G108" t="s">
        <v>67</v>
      </c>
      <c r="H108">
        <v>1.8</v>
      </c>
      <c r="I108" s="7">
        <v>4.361188888888889</v>
      </c>
      <c r="J108" s="7">
        <v>0.60198148148148167</v>
      </c>
    </row>
    <row r="109" spans="1:10">
      <c r="A109" t="s">
        <v>1174</v>
      </c>
      <c r="B109" t="s">
        <v>1896</v>
      </c>
      <c r="C109" t="s">
        <v>1986</v>
      </c>
      <c r="D109">
        <v>11</v>
      </c>
      <c r="E109" t="s">
        <v>1987</v>
      </c>
      <c r="F109" t="s">
        <v>67</v>
      </c>
      <c r="G109" t="s">
        <v>67</v>
      </c>
      <c r="H109">
        <v>1.1299999999999999</v>
      </c>
      <c r="I109" s="7">
        <v>7.7309734513274346</v>
      </c>
      <c r="J109" s="7">
        <v>6.2182890855457247</v>
      </c>
    </row>
    <row r="110" spans="1:10">
      <c r="A110" t="s">
        <v>1174</v>
      </c>
      <c r="B110" t="s">
        <v>1894</v>
      </c>
      <c r="C110" t="s">
        <v>1988</v>
      </c>
      <c r="D110">
        <v>11</v>
      </c>
      <c r="E110" t="s">
        <v>1987</v>
      </c>
      <c r="F110" t="s">
        <v>67</v>
      </c>
      <c r="G110" t="s">
        <v>67</v>
      </c>
      <c r="H110">
        <v>0.72</v>
      </c>
      <c r="I110" s="7">
        <v>3.9815277777777776</v>
      </c>
      <c r="J110" s="7">
        <v>-3.0787037037037411E-2</v>
      </c>
    </row>
    <row r="111" spans="1:10">
      <c r="A111" t="s">
        <v>1174</v>
      </c>
      <c r="B111" t="s">
        <v>1892</v>
      </c>
      <c r="C111" t="s">
        <v>1989</v>
      </c>
      <c r="D111">
        <v>11</v>
      </c>
      <c r="E111" t="s">
        <v>1987</v>
      </c>
      <c r="F111" t="s">
        <v>67</v>
      </c>
      <c r="G111" t="s">
        <v>67</v>
      </c>
      <c r="H111">
        <v>0.72</v>
      </c>
      <c r="I111" s="7">
        <v>5.3458888888888891</v>
      </c>
      <c r="J111" s="7">
        <v>2.2431481481481486</v>
      </c>
    </row>
    <row r="112" spans="1:10">
      <c r="A112" t="s">
        <v>1174</v>
      </c>
      <c r="B112" t="s">
        <v>1890</v>
      </c>
      <c r="C112" t="s">
        <v>1990</v>
      </c>
      <c r="D112">
        <v>11</v>
      </c>
      <c r="E112" t="s">
        <v>1987</v>
      </c>
      <c r="F112" t="s">
        <v>67</v>
      </c>
      <c r="G112" t="s">
        <v>67</v>
      </c>
      <c r="H112">
        <v>1.1299999999999999</v>
      </c>
      <c r="I112" s="7">
        <v>6.3774247787610623</v>
      </c>
      <c r="J112" s="7">
        <v>3.9623746312684371</v>
      </c>
    </row>
    <row r="113" spans="1:10">
      <c r="A113" t="s">
        <v>1174</v>
      </c>
      <c r="B113" t="s">
        <v>1888</v>
      </c>
      <c r="C113" t="s">
        <v>1991</v>
      </c>
      <c r="D113">
        <v>11</v>
      </c>
      <c r="E113" t="s">
        <v>1987</v>
      </c>
      <c r="F113" t="s">
        <v>67</v>
      </c>
      <c r="G113" t="s">
        <v>67</v>
      </c>
      <c r="H113">
        <v>1.1299999999999999</v>
      </c>
      <c r="I113" s="7">
        <v>8.2109734513274333</v>
      </c>
      <c r="J113" s="7">
        <v>7.0182890855457227</v>
      </c>
    </row>
    <row r="114" spans="1:10">
      <c r="A114" t="s">
        <v>1174</v>
      </c>
      <c r="B114" t="s">
        <v>1886</v>
      </c>
      <c r="C114" t="s">
        <v>1992</v>
      </c>
      <c r="D114">
        <v>11</v>
      </c>
      <c r="E114" t="s">
        <v>1987</v>
      </c>
      <c r="F114" t="s">
        <v>67</v>
      </c>
      <c r="G114" t="s">
        <v>67</v>
      </c>
      <c r="H114">
        <v>1.1299999999999999</v>
      </c>
      <c r="I114" s="7">
        <v>5.3292389380530976</v>
      </c>
      <c r="J114" s="7">
        <v>2.2153982300884962</v>
      </c>
    </row>
    <row r="115" spans="1:10">
      <c r="A115" t="s">
        <v>1174</v>
      </c>
      <c r="B115" t="s">
        <v>1570</v>
      </c>
      <c r="C115" t="s">
        <v>2001</v>
      </c>
      <c r="D115">
        <v>10</v>
      </c>
      <c r="E115" t="s">
        <v>2002</v>
      </c>
      <c r="F115" t="s">
        <v>67</v>
      </c>
      <c r="G115" t="s">
        <v>67</v>
      </c>
      <c r="H115">
        <v>0.72</v>
      </c>
      <c r="I115" s="7">
        <v>4.4443055555555553</v>
      </c>
      <c r="J115" s="7">
        <v>0.74050925925925881</v>
      </c>
    </row>
    <row r="116" spans="1:10">
      <c r="A116" t="s">
        <v>1174</v>
      </c>
      <c r="B116" t="s">
        <v>1566</v>
      </c>
      <c r="C116" t="s">
        <v>2003</v>
      </c>
      <c r="D116">
        <v>10</v>
      </c>
      <c r="E116" t="s">
        <v>2002</v>
      </c>
      <c r="F116" t="s">
        <v>67</v>
      </c>
      <c r="G116" t="s">
        <v>67</v>
      </c>
      <c r="H116">
        <v>0.72</v>
      </c>
      <c r="I116" s="7">
        <v>3.9314166666666663</v>
      </c>
      <c r="J116" s="7">
        <v>-0.1143055555555561</v>
      </c>
    </row>
    <row r="117" spans="1:10">
      <c r="A117" t="s">
        <v>1174</v>
      </c>
      <c r="B117" t="s">
        <v>1564</v>
      </c>
      <c r="C117" t="s">
        <v>2004</v>
      </c>
      <c r="D117">
        <v>10</v>
      </c>
      <c r="E117" t="s">
        <v>2002</v>
      </c>
      <c r="F117" t="s">
        <v>67</v>
      </c>
      <c r="G117" t="s">
        <v>67</v>
      </c>
      <c r="H117">
        <v>0.72</v>
      </c>
      <c r="I117" s="7">
        <v>4.5623472222222219</v>
      </c>
      <c r="J117" s="7">
        <v>0.93724537037036981</v>
      </c>
    </row>
    <row r="118" spans="1:10">
      <c r="A118" t="s">
        <v>1174</v>
      </c>
      <c r="B118" t="s">
        <v>1518</v>
      </c>
      <c r="C118" t="s">
        <v>2005</v>
      </c>
      <c r="D118">
        <v>10</v>
      </c>
      <c r="E118" t="s">
        <v>2002</v>
      </c>
      <c r="F118" t="s">
        <v>67</v>
      </c>
      <c r="G118" t="s">
        <v>67</v>
      </c>
      <c r="H118">
        <v>1.1299999999999999</v>
      </c>
      <c r="I118" s="7">
        <v>6.6824955752212398</v>
      </c>
      <c r="J118" s="7">
        <v>4.4708259587020667</v>
      </c>
    </row>
    <row r="119" spans="1:10">
      <c r="A119" t="s">
        <v>1174</v>
      </c>
      <c r="B119" t="s">
        <v>1514</v>
      </c>
      <c r="C119" t="s">
        <v>2006</v>
      </c>
      <c r="D119">
        <v>10</v>
      </c>
      <c r="E119" t="s">
        <v>2002</v>
      </c>
      <c r="F119" t="s">
        <v>67</v>
      </c>
      <c r="G119" t="s">
        <v>67</v>
      </c>
      <c r="H119">
        <v>1.1299999999999999</v>
      </c>
      <c r="I119" s="7">
        <v>5.7100619469026554</v>
      </c>
      <c r="J119" s="7">
        <v>2.8501032448377592</v>
      </c>
    </row>
    <row r="120" spans="1:10">
      <c r="A120" t="s">
        <v>1174</v>
      </c>
      <c r="B120" t="s">
        <v>1510</v>
      </c>
      <c r="C120" t="s">
        <v>2007</v>
      </c>
      <c r="D120">
        <v>10</v>
      </c>
      <c r="E120" t="s">
        <v>2002</v>
      </c>
      <c r="F120" t="s">
        <v>67</v>
      </c>
      <c r="G120" t="s">
        <v>67</v>
      </c>
      <c r="H120">
        <v>0.72</v>
      </c>
      <c r="I120" s="7">
        <v>5.4604722222222222</v>
      </c>
      <c r="J120" s="7">
        <v>2.4341203703703704</v>
      </c>
    </row>
    <row r="121" spans="1:10">
      <c r="A121" t="s">
        <v>1174</v>
      </c>
      <c r="B121" t="s">
        <v>1506</v>
      </c>
      <c r="C121" t="s">
        <v>2008</v>
      </c>
      <c r="D121">
        <v>10</v>
      </c>
      <c r="E121" t="s">
        <v>2002</v>
      </c>
      <c r="F121" t="s">
        <v>67</v>
      </c>
      <c r="G121" t="s">
        <v>67</v>
      </c>
      <c r="H121">
        <v>1.1299999999999999</v>
      </c>
      <c r="I121" s="7">
        <v>6.4483628318584074</v>
      </c>
      <c r="J121" s="7">
        <v>4.080604719764013</v>
      </c>
    </row>
    <row r="122" spans="1:10">
      <c r="A122" t="s">
        <v>1174</v>
      </c>
      <c r="B122" t="s">
        <v>1495</v>
      </c>
      <c r="C122" t="s">
        <v>2009</v>
      </c>
      <c r="D122">
        <v>10</v>
      </c>
      <c r="E122" t="s">
        <v>2002</v>
      </c>
      <c r="F122" t="s">
        <v>67</v>
      </c>
      <c r="G122" t="s">
        <v>67</v>
      </c>
      <c r="H122">
        <v>1.1299999999999999</v>
      </c>
      <c r="I122" s="7">
        <v>6.3925752212389382</v>
      </c>
      <c r="J122" s="7">
        <v>3.9876253687315639</v>
      </c>
    </row>
    <row r="123" spans="1:10">
      <c r="A123" t="s">
        <v>1174</v>
      </c>
      <c r="B123" t="s">
        <v>1493</v>
      </c>
      <c r="C123" t="s">
        <v>2016</v>
      </c>
      <c r="D123">
        <v>10</v>
      </c>
      <c r="E123" t="s">
        <v>2002</v>
      </c>
      <c r="F123" t="s">
        <v>67</v>
      </c>
      <c r="G123" t="s">
        <v>67</v>
      </c>
      <c r="H123">
        <v>1.1299999999999999</v>
      </c>
      <c r="I123" s="7">
        <v>5.6074867256637173</v>
      </c>
      <c r="J123" s="7">
        <v>2.6791445427728622</v>
      </c>
    </row>
    <row r="124" spans="1:10">
      <c r="A124" t="s">
        <v>1174</v>
      </c>
      <c r="B124" t="s">
        <v>1491</v>
      </c>
      <c r="C124" t="s">
        <v>2017</v>
      </c>
      <c r="D124">
        <v>10</v>
      </c>
      <c r="E124" t="s">
        <v>2002</v>
      </c>
      <c r="F124" t="s">
        <v>67</v>
      </c>
      <c r="G124" t="s">
        <v>67</v>
      </c>
      <c r="H124">
        <v>0.72</v>
      </c>
      <c r="I124" s="7">
        <v>4.4227638888888894</v>
      </c>
      <c r="J124" s="7">
        <v>0.70460648148148231</v>
      </c>
    </row>
    <row r="125" spans="1:10">
      <c r="A125" t="s">
        <v>1174</v>
      </c>
      <c r="B125" t="s">
        <v>1220</v>
      </c>
      <c r="C125" t="s">
        <v>2018</v>
      </c>
      <c r="D125">
        <v>1</v>
      </c>
      <c r="E125" t="s">
        <v>2019</v>
      </c>
      <c r="F125" t="s">
        <v>67</v>
      </c>
      <c r="G125" t="s">
        <v>67</v>
      </c>
      <c r="H125">
        <v>1.1299999999999999</v>
      </c>
      <c r="I125" s="7">
        <v>6.725300884955753</v>
      </c>
      <c r="J125" s="7">
        <v>4.5421681415929216</v>
      </c>
    </row>
    <row r="126" spans="1:10">
      <c r="A126" t="s">
        <v>1174</v>
      </c>
      <c r="B126" t="s">
        <v>1224</v>
      </c>
      <c r="C126" t="s">
        <v>2020</v>
      </c>
      <c r="D126">
        <v>1</v>
      </c>
      <c r="E126" t="s">
        <v>2019</v>
      </c>
      <c r="F126" t="s">
        <v>67</v>
      </c>
      <c r="G126" t="s">
        <v>67</v>
      </c>
      <c r="H126">
        <v>1.1299999999999999</v>
      </c>
      <c r="I126" s="7">
        <v>7.2075752212389386</v>
      </c>
      <c r="J126" s="7">
        <v>5.3459587020648982</v>
      </c>
    </row>
    <row r="127" spans="1:10">
      <c r="A127" t="s">
        <v>1174</v>
      </c>
      <c r="B127" t="s">
        <v>1367</v>
      </c>
      <c r="C127" t="s">
        <v>2021</v>
      </c>
      <c r="D127">
        <v>1</v>
      </c>
      <c r="E127" t="s">
        <v>2019</v>
      </c>
      <c r="F127" t="s">
        <v>67</v>
      </c>
      <c r="G127" t="s">
        <v>67</v>
      </c>
      <c r="H127">
        <v>0.72</v>
      </c>
      <c r="I127" s="7">
        <v>4.7051388888888885</v>
      </c>
      <c r="J127" s="7">
        <v>1.175231481481481</v>
      </c>
    </row>
    <row r="128" spans="1:10">
      <c r="A128" t="s">
        <v>1174</v>
      </c>
      <c r="B128" t="s">
        <v>1371</v>
      </c>
      <c r="C128" t="s">
        <v>2022</v>
      </c>
      <c r="D128">
        <v>1</v>
      </c>
      <c r="E128" t="s">
        <v>2019</v>
      </c>
      <c r="F128" t="s">
        <v>67</v>
      </c>
      <c r="G128" t="s">
        <v>67</v>
      </c>
      <c r="H128">
        <v>1.1299999999999999</v>
      </c>
      <c r="I128" s="7">
        <v>5.9715663716814165</v>
      </c>
      <c r="J128" s="7">
        <v>3.2859439528023611</v>
      </c>
    </row>
    <row r="129" spans="1:10">
      <c r="A129" t="s">
        <v>1174</v>
      </c>
      <c r="B129" t="s">
        <v>1375</v>
      </c>
      <c r="C129" t="s">
        <v>2023</v>
      </c>
      <c r="D129">
        <v>1</v>
      </c>
      <c r="E129" t="s">
        <v>2019</v>
      </c>
      <c r="F129" t="s">
        <v>67</v>
      </c>
      <c r="G129" t="s">
        <v>67</v>
      </c>
      <c r="H129">
        <v>0.72</v>
      </c>
      <c r="I129" s="7">
        <v>4.948722222222222</v>
      </c>
      <c r="J129" s="7">
        <v>1.5812037037037034</v>
      </c>
    </row>
    <row r="130" spans="1:10">
      <c r="A130" t="s">
        <v>1174</v>
      </c>
      <c r="B130" t="s">
        <v>1381</v>
      </c>
      <c r="C130" t="s">
        <v>2024</v>
      </c>
      <c r="D130">
        <v>1</v>
      </c>
      <c r="E130" t="s">
        <v>2019</v>
      </c>
      <c r="F130" t="s">
        <v>67</v>
      </c>
      <c r="G130" t="s">
        <v>67</v>
      </c>
      <c r="H130">
        <v>1.1299999999999999</v>
      </c>
      <c r="I130" s="7">
        <v>7.1049823008849557</v>
      </c>
      <c r="J130" s="7">
        <v>5.1749705014749265</v>
      </c>
    </row>
    <row r="131" spans="1:10">
      <c r="A131" t="s">
        <v>1174</v>
      </c>
      <c r="B131" t="s">
        <v>1393</v>
      </c>
      <c r="C131" t="s">
        <v>2025</v>
      </c>
      <c r="D131">
        <v>1</v>
      </c>
      <c r="E131" t="s">
        <v>2019</v>
      </c>
      <c r="F131" t="s">
        <v>67</v>
      </c>
      <c r="G131" t="s">
        <v>67</v>
      </c>
      <c r="H131">
        <v>1.1299999999999999</v>
      </c>
      <c r="I131" s="7">
        <v>6.8455044247787624</v>
      </c>
      <c r="J131" s="7">
        <v>4.7425073746312707</v>
      </c>
    </row>
    <row r="132" spans="1:10">
      <c r="A132" t="s">
        <v>1174</v>
      </c>
      <c r="B132" t="s">
        <v>1402</v>
      </c>
      <c r="C132" t="s">
        <v>2026</v>
      </c>
      <c r="D132">
        <v>1</v>
      </c>
      <c r="E132" t="s">
        <v>2019</v>
      </c>
      <c r="F132" t="s">
        <v>67</v>
      </c>
      <c r="G132" t="s">
        <v>67</v>
      </c>
      <c r="H132">
        <v>0.72</v>
      </c>
      <c r="I132" s="7">
        <v>5.7323611111111115</v>
      </c>
      <c r="J132" s="7">
        <v>2.8872685185185194</v>
      </c>
    </row>
    <row r="133" spans="1:10">
      <c r="A133" t="s">
        <v>1174</v>
      </c>
      <c r="B133" t="s">
        <v>1409</v>
      </c>
      <c r="C133" t="s">
        <v>2027</v>
      </c>
      <c r="D133">
        <v>1</v>
      </c>
      <c r="E133" t="s">
        <v>2019</v>
      </c>
      <c r="F133" t="s">
        <v>67</v>
      </c>
      <c r="G133" t="s">
        <v>67</v>
      </c>
      <c r="H133">
        <v>0.72</v>
      </c>
      <c r="I133" s="7">
        <v>5.3092916666666667</v>
      </c>
      <c r="J133" s="7">
        <v>2.1821527777777781</v>
      </c>
    </row>
    <row r="134" spans="1:10">
      <c r="A134" t="s">
        <v>1174</v>
      </c>
      <c r="B134" t="s">
        <v>1421</v>
      </c>
      <c r="C134" t="s">
        <v>2028</v>
      </c>
      <c r="D134">
        <v>1</v>
      </c>
      <c r="E134" t="s">
        <v>2019</v>
      </c>
      <c r="F134" t="s">
        <v>67</v>
      </c>
      <c r="G134" t="s">
        <v>67</v>
      </c>
      <c r="H134">
        <v>0.72</v>
      </c>
      <c r="I134" s="7">
        <v>7.9090277777777773</v>
      </c>
      <c r="J134" s="7">
        <v>6.5150462962962958</v>
      </c>
    </row>
    <row r="135" spans="1:10">
      <c r="A135" t="s">
        <v>1174</v>
      </c>
      <c r="B135" t="s">
        <v>1487</v>
      </c>
      <c r="C135" t="s">
        <v>2029</v>
      </c>
      <c r="D135">
        <v>1</v>
      </c>
      <c r="E135" t="s">
        <v>2019</v>
      </c>
      <c r="F135" t="s">
        <v>67</v>
      </c>
      <c r="G135" t="s">
        <v>67</v>
      </c>
      <c r="H135">
        <v>1.1299999999999999</v>
      </c>
      <c r="I135" s="7">
        <v>5.1117522123893808</v>
      </c>
      <c r="J135" s="7">
        <v>1.8529203539823014</v>
      </c>
    </row>
    <row r="136" spans="1:10">
      <c r="A136" t="s">
        <v>1174</v>
      </c>
      <c r="B136" t="s">
        <v>1497</v>
      </c>
      <c r="C136" t="s">
        <v>2030</v>
      </c>
      <c r="D136">
        <v>1</v>
      </c>
      <c r="E136" t="s">
        <v>2019</v>
      </c>
      <c r="F136" t="s">
        <v>67</v>
      </c>
      <c r="G136" t="s">
        <v>67</v>
      </c>
      <c r="H136">
        <v>1.1299999999999999</v>
      </c>
      <c r="I136" s="7">
        <v>4.8262831858407083</v>
      </c>
      <c r="J136" s="7">
        <v>1.3771386430678472</v>
      </c>
    </row>
    <row r="137" spans="1:10">
      <c r="A137" t="s">
        <v>1174</v>
      </c>
      <c r="B137" t="s">
        <v>1502</v>
      </c>
      <c r="C137" t="s">
        <v>2031</v>
      </c>
      <c r="D137">
        <v>1</v>
      </c>
      <c r="E137" t="s">
        <v>2019</v>
      </c>
      <c r="F137" t="s">
        <v>67</v>
      </c>
      <c r="G137" t="s">
        <v>67</v>
      </c>
      <c r="H137">
        <v>0.72</v>
      </c>
      <c r="I137" s="7">
        <v>4.2550277777777774</v>
      </c>
      <c r="J137" s="7">
        <v>0.4250462962962957</v>
      </c>
    </row>
    <row r="138" spans="1:10">
      <c r="A138" t="s">
        <v>1174</v>
      </c>
      <c r="B138" t="s">
        <v>1508</v>
      </c>
      <c r="C138" t="s">
        <v>2032</v>
      </c>
      <c r="D138">
        <v>1</v>
      </c>
      <c r="E138" t="s">
        <v>2019</v>
      </c>
      <c r="F138" t="s">
        <v>67</v>
      </c>
      <c r="G138" t="s">
        <v>67</v>
      </c>
      <c r="H138">
        <v>0.72</v>
      </c>
      <c r="I138" s="7">
        <v>4.4229722222222225</v>
      </c>
      <c r="J138" s="7">
        <v>0.70495370370370425</v>
      </c>
    </row>
    <row r="139" spans="1:10">
      <c r="A139" t="s">
        <v>1174</v>
      </c>
      <c r="B139" t="s">
        <v>1466</v>
      </c>
      <c r="C139" t="s">
        <v>2033</v>
      </c>
      <c r="D139">
        <v>10</v>
      </c>
      <c r="E139" t="s">
        <v>2002</v>
      </c>
      <c r="F139" t="s">
        <v>67</v>
      </c>
      <c r="G139" t="s">
        <v>67</v>
      </c>
      <c r="H139">
        <v>1.1299999999999999</v>
      </c>
      <c r="I139" s="7">
        <v>12.1252389380531</v>
      </c>
      <c r="J139" s="7">
        <v>13.542064896755166</v>
      </c>
    </row>
    <row r="140" spans="1:10">
      <c r="A140" t="s">
        <v>1174</v>
      </c>
      <c r="B140" t="s">
        <v>1440</v>
      </c>
      <c r="C140" t="s">
        <v>2034</v>
      </c>
      <c r="D140">
        <v>10</v>
      </c>
      <c r="E140" t="s">
        <v>2002</v>
      </c>
      <c r="F140" t="s">
        <v>67</v>
      </c>
      <c r="G140" t="s">
        <v>67</v>
      </c>
      <c r="H140">
        <v>1.1299999999999999</v>
      </c>
      <c r="I140" s="7">
        <v>9.2553185840707979</v>
      </c>
      <c r="J140" s="7">
        <v>8.7588643067846643</v>
      </c>
    </row>
    <row r="141" spans="1:10">
      <c r="A141" t="s">
        <v>1174</v>
      </c>
      <c r="B141" t="s">
        <v>1432</v>
      </c>
      <c r="C141" t="s">
        <v>2035</v>
      </c>
      <c r="D141">
        <v>10</v>
      </c>
      <c r="E141" t="s">
        <v>2002</v>
      </c>
      <c r="F141" t="s">
        <v>67</v>
      </c>
      <c r="G141" t="s">
        <v>67</v>
      </c>
      <c r="H141">
        <v>0.72</v>
      </c>
      <c r="I141" s="7">
        <v>6.9261527777777783</v>
      </c>
      <c r="J141" s="7">
        <v>4.8769212962962971</v>
      </c>
    </row>
    <row r="142" spans="1:10">
      <c r="A142" t="s">
        <v>1174</v>
      </c>
      <c r="B142" t="s">
        <v>1417</v>
      </c>
      <c r="C142" t="s">
        <v>2036</v>
      </c>
      <c r="D142">
        <v>10</v>
      </c>
      <c r="E142" t="s">
        <v>2002</v>
      </c>
      <c r="F142" t="s">
        <v>67</v>
      </c>
      <c r="G142" t="s">
        <v>67</v>
      </c>
      <c r="H142">
        <v>1.1299999999999999</v>
      </c>
      <c r="I142" s="7">
        <v>7.999973451327433</v>
      </c>
      <c r="J142" s="7">
        <v>6.6666224188790553</v>
      </c>
    </row>
    <row r="143" spans="1:10">
      <c r="A143" t="s">
        <v>1174</v>
      </c>
      <c r="B143" t="s">
        <v>1415</v>
      </c>
      <c r="C143" t="s">
        <v>2037</v>
      </c>
      <c r="D143">
        <v>10</v>
      </c>
      <c r="E143" t="s">
        <v>2002</v>
      </c>
      <c r="F143" t="s">
        <v>67</v>
      </c>
      <c r="G143" t="s">
        <v>67</v>
      </c>
      <c r="H143">
        <v>0.72</v>
      </c>
      <c r="I143" s="7">
        <v>7.2012499999999999</v>
      </c>
      <c r="J143" s="7">
        <v>5.3354166666666671</v>
      </c>
    </row>
    <row r="144" spans="1:10">
      <c r="A144" t="s">
        <v>1174</v>
      </c>
      <c r="B144" t="s">
        <v>1405</v>
      </c>
      <c r="C144" t="s">
        <v>2038</v>
      </c>
      <c r="D144">
        <v>10</v>
      </c>
      <c r="E144" t="s">
        <v>2002</v>
      </c>
      <c r="F144" t="s">
        <v>67</v>
      </c>
      <c r="G144" t="s">
        <v>67</v>
      </c>
      <c r="H144">
        <v>1.1299999999999999</v>
      </c>
      <c r="I144" s="7">
        <v>7.6966814159292047</v>
      </c>
      <c r="J144" s="7">
        <v>6.1611356932153418</v>
      </c>
    </row>
    <row r="145" spans="1:10">
      <c r="A145" t="s">
        <v>1174</v>
      </c>
      <c r="B145" t="s">
        <v>1252</v>
      </c>
      <c r="C145" t="s">
        <v>2039</v>
      </c>
      <c r="D145">
        <v>10</v>
      </c>
      <c r="E145" t="s">
        <v>2002</v>
      </c>
      <c r="F145" t="s">
        <v>67</v>
      </c>
      <c r="G145" t="s">
        <v>67</v>
      </c>
      <c r="H145">
        <v>0.72</v>
      </c>
      <c r="I145" s="7">
        <v>6.082416666666667</v>
      </c>
      <c r="J145" s="7">
        <v>3.4706944444444452</v>
      </c>
    </row>
    <row r="146" spans="1:10">
      <c r="A146" t="s">
        <v>1174</v>
      </c>
      <c r="B146" t="s">
        <v>1244</v>
      </c>
      <c r="C146" t="s">
        <v>2042</v>
      </c>
      <c r="D146">
        <v>10</v>
      </c>
      <c r="E146" t="s">
        <v>2002</v>
      </c>
      <c r="F146" t="s">
        <v>67</v>
      </c>
      <c r="G146" t="s">
        <v>67</v>
      </c>
      <c r="H146">
        <v>0.72</v>
      </c>
      <c r="I146" s="7">
        <v>4.6338611111111119</v>
      </c>
      <c r="J146" s="7">
        <v>1.0564351851851865</v>
      </c>
    </row>
    <row r="147" spans="1:10">
      <c r="A147" t="s">
        <v>1174</v>
      </c>
      <c r="B147" t="s">
        <v>1236</v>
      </c>
      <c r="C147" t="s">
        <v>2049</v>
      </c>
      <c r="D147">
        <v>10</v>
      </c>
      <c r="E147" t="s">
        <v>2002</v>
      </c>
      <c r="F147" t="s">
        <v>67</v>
      </c>
      <c r="G147" t="s">
        <v>67</v>
      </c>
      <c r="H147">
        <v>1.1299999999999999</v>
      </c>
      <c r="I147" s="7">
        <v>7.3060265486725671</v>
      </c>
      <c r="J147" s="7">
        <v>5.5100442477876124</v>
      </c>
    </row>
    <row r="148" spans="1:10">
      <c r="A148" t="s">
        <v>1174</v>
      </c>
      <c r="B148" t="s">
        <v>1216</v>
      </c>
      <c r="C148" t="s">
        <v>2050</v>
      </c>
      <c r="D148">
        <v>10</v>
      </c>
      <c r="E148" t="s">
        <v>2002</v>
      </c>
      <c r="F148" t="s">
        <v>67</v>
      </c>
      <c r="G148" t="s">
        <v>67</v>
      </c>
      <c r="H148">
        <v>0.72</v>
      </c>
      <c r="I148" s="7">
        <v>4.9276111111111112</v>
      </c>
      <c r="J148" s="7">
        <v>1.5460185185185187</v>
      </c>
    </row>
    <row r="149" spans="1:10">
      <c r="A149" t="s">
        <v>1174</v>
      </c>
      <c r="B149" t="s">
        <v>1212</v>
      </c>
      <c r="C149" t="s">
        <v>2051</v>
      </c>
      <c r="D149">
        <v>10</v>
      </c>
      <c r="E149" t="s">
        <v>2002</v>
      </c>
      <c r="F149" t="s">
        <v>67</v>
      </c>
      <c r="G149" t="s">
        <v>67</v>
      </c>
      <c r="H149">
        <v>1.1299999999999999</v>
      </c>
      <c r="I149" s="7">
        <v>6.3073982300884959</v>
      </c>
      <c r="J149" s="7">
        <v>3.8456637168141601</v>
      </c>
    </row>
    <row r="150" spans="1:10">
      <c r="A150" t="s">
        <v>1174</v>
      </c>
      <c r="B150" t="s">
        <v>1202</v>
      </c>
      <c r="C150" t="s">
        <v>2052</v>
      </c>
      <c r="D150">
        <v>10</v>
      </c>
      <c r="E150" t="s">
        <v>2002</v>
      </c>
      <c r="F150" t="s">
        <v>67</v>
      </c>
      <c r="G150" t="s">
        <v>67</v>
      </c>
      <c r="H150">
        <v>0.72</v>
      </c>
      <c r="I150" s="7">
        <v>4.2101111111111118</v>
      </c>
      <c r="J150" s="7">
        <v>0.35018518518518638</v>
      </c>
    </row>
    <row r="151" spans="1:10">
      <c r="A151" t="s">
        <v>1174</v>
      </c>
      <c r="B151" t="s">
        <v>1200</v>
      </c>
      <c r="C151" t="s">
        <v>2053</v>
      </c>
      <c r="D151">
        <v>10</v>
      </c>
      <c r="E151" t="s">
        <v>2002</v>
      </c>
      <c r="F151" t="s">
        <v>67</v>
      </c>
      <c r="G151" t="s">
        <v>67</v>
      </c>
      <c r="H151">
        <v>1.1299999999999999</v>
      </c>
      <c r="I151" s="7">
        <v>5.1011415929203547</v>
      </c>
      <c r="J151" s="7">
        <v>1.8352359882005913</v>
      </c>
    </row>
    <row r="152" spans="1:10">
      <c r="A152" t="s">
        <v>1174</v>
      </c>
      <c r="B152" t="s">
        <v>1198</v>
      </c>
      <c r="C152" t="s">
        <v>2054</v>
      </c>
      <c r="D152">
        <v>10</v>
      </c>
      <c r="E152" t="s">
        <v>2002</v>
      </c>
      <c r="F152" t="s">
        <v>67</v>
      </c>
      <c r="G152" t="s">
        <v>67</v>
      </c>
      <c r="H152">
        <v>1.1299999999999999</v>
      </c>
      <c r="I152" s="7">
        <v>4.5055486725663725</v>
      </c>
      <c r="J152" s="7">
        <v>0.84258112094395421</v>
      </c>
    </row>
    <row r="153" spans="1:10">
      <c r="A153" t="s">
        <v>1174</v>
      </c>
      <c r="B153" t="s">
        <v>1528</v>
      </c>
      <c r="C153" t="s">
        <v>2070</v>
      </c>
      <c r="D153">
        <v>9</v>
      </c>
      <c r="E153" t="s">
        <v>1971</v>
      </c>
      <c r="F153" t="s">
        <v>67</v>
      </c>
      <c r="G153" t="s">
        <v>67</v>
      </c>
      <c r="H153">
        <v>0.72</v>
      </c>
      <c r="I153" s="7">
        <v>4.1594722222222229</v>
      </c>
      <c r="J153" s="7">
        <v>0.26578703703703821</v>
      </c>
    </row>
    <row r="154" spans="1:10">
      <c r="A154" t="s">
        <v>1174</v>
      </c>
      <c r="B154" t="s">
        <v>1524</v>
      </c>
      <c r="C154" t="s">
        <v>2071</v>
      </c>
      <c r="D154">
        <v>9</v>
      </c>
      <c r="E154" t="s">
        <v>1971</v>
      </c>
      <c r="F154" t="s">
        <v>67</v>
      </c>
      <c r="G154" t="s">
        <v>67</v>
      </c>
      <c r="H154">
        <v>1.1299999999999999</v>
      </c>
      <c r="I154" s="7">
        <v>5.5695044247787617</v>
      </c>
      <c r="J154" s="7">
        <v>2.6158407079646029</v>
      </c>
    </row>
    <row r="155" spans="1:10">
      <c r="A155" t="s">
        <v>1174</v>
      </c>
      <c r="B155" t="s">
        <v>1520</v>
      </c>
      <c r="C155" t="s">
        <v>2072</v>
      </c>
      <c r="D155">
        <v>9</v>
      </c>
      <c r="E155" t="s">
        <v>1971</v>
      </c>
      <c r="F155" t="s">
        <v>67</v>
      </c>
      <c r="G155" t="s">
        <v>67</v>
      </c>
      <c r="H155">
        <v>0.72</v>
      </c>
      <c r="I155" s="7">
        <v>4.4508888888888887</v>
      </c>
      <c r="J155" s="7">
        <v>0.75148148148148119</v>
      </c>
    </row>
    <row r="156" spans="1:10">
      <c r="A156" t="s">
        <v>1174</v>
      </c>
      <c r="B156" t="s">
        <v>1516</v>
      </c>
      <c r="C156" t="s">
        <v>2073</v>
      </c>
      <c r="D156">
        <v>9</v>
      </c>
      <c r="E156" t="s">
        <v>1971</v>
      </c>
      <c r="F156" t="s">
        <v>67</v>
      </c>
      <c r="G156" t="s">
        <v>67</v>
      </c>
      <c r="H156">
        <v>0.72</v>
      </c>
      <c r="I156" s="7">
        <v>4.8289444444444447</v>
      </c>
      <c r="J156" s="7">
        <v>1.3815740740740745</v>
      </c>
    </row>
    <row r="157" spans="1:10">
      <c r="A157" t="s">
        <v>1174</v>
      </c>
      <c r="B157" t="s">
        <v>1504</v>
      </c>
      <c r="C157" t="s">
        <v>2074</v>
      </c>
      <c r="D157">
        <v>9</v>
      </c>
      <c r="E157" t="s">
        <v>1971</v>
      </c>
      <c r="F157" t="s">
        <v>67</v>
      </c>
      <c r="G157" t="s">
        <v>67</v>
      </c>
      <c r="H157">
        <v>1.1299999999999999</v>
      </c>
      <c r="I157" s="7">
        <v>4.7650619469026552</v>
      </c>
      <c r="J157" s="7">
        <v>1.2751032448377586</v>
      </c>
    </row>
    <row r="158" spans="1:10">
      <c r="A158" t="s">
        <v>1174</v>
      </c>
      <c r="B158" t="s">
        <v>1500</v>
      </c>
      <c r="C158" t="s">
        <v>2075</v>
      </c>
      <c r="D158">
        <v>9</v>
      </c>
      <c r="E158" t="s">
        <v>1971</v>
      </c>
      <c r="F158" t="s">
        <v>67</v>
      </c>
      <c r="G158" t="s">
        <v>67</v>
      </c>
      <c r="H158">
        <v>0.72</v>
      </c>
      <c r="I158" s="7">
        <v>4.473958333333333</v>
      </c>
      <c r="J158" s="7">
        <v>0.78993055555555514</v>
      </c>
    </row>
    <row r="159" spans="1:10">
      <c r="A159" t="s">
        <v>1174</v>
      </c>
      <c r="B159" t="s">
        <v>1498</v>
      </c>
      <c r="C159" t="s">
        <v>2076</v>
      </c>
      <c r="D159">
        <v>9</v>
      </c>
      <c r="E159" t="s">
        <v>1971</v>
      </c>
      <c r="F159" t="s">
        <v>67</v>
      </c>
      <c r="G159" t="s">
        <v>67</v>
      </c>
      <c r="H159">
        <v>1.1299999999999999</v>
      </c>
      <c r="I159" s="7">
        <v>5.1540707964601777</v>
      </c>
      <c r="J159" s="7">
        <v>1.9234513274336296</v>
      </c>
    </row>
    <row r="160" spans="1:10">
      <c r="A160" t="s">
        <v>1174</v>
      </c>
      <c r="B160" t="s">
        <v>1489</v>
      </c>
      <c r="C160" t="s">
        <v>2077</v>
      </c>
      <c r="D160">
        <v>9</v>
      </c>
      <c r="E160" t="s">
        <v>1971</v>
      </c>
      <c r="F160" t="s">
        <v>67</v>
      </c>
      <c r="G160" t="s">
        <v>67</v>
      </c>
      <c r="H160">
        <v>0.72</v>
      </c>
      <c r="I160" s="7">
        <v>3.8858194444444445</v>
      </c>
      <c r="J160" s="7">
        <v>-0.19030092592592585</v>
      </c>
    </row>
    <row r="161" spans="1:10">
      <c r="A161" t="s">
        <v>1174</v>
      </c>
      <c r="B161" t="s">
        <v>1485</v>
      </c>
      <c r="C161" t="s">
        <v>2078</v>
      </c>
      <c r="D161">
        <v>9</v>
      </c>
      <c r="E161" t="s">
        <v>1971</v>
      </c>
      <c r="F161" t="s">
        <v>67</v>
      </c>
      <c r="G161" t="s">
        <v>67</v>
      </c>
      <c r="H161">
        <v>1.1299999999999999</v>
      </c>
      <c r="I161" s="7">
        <v>4.6014424778761063</v>
      </c>
      <c r="J161" s="7">
        <v>1.0024041297935105</v>
      </c>
    </row>
    <row r="162" spans="1:10">
      <c r="A162" t="s">
        <v>1174</v>
      </c>
      <c r="B162" t="s">
        <v>1483</v>
      </c>
      <c r="C162" t="s">
        <v>2089</v>
      </c>
      <c r="D162">
        <v>9</v>
      </c>
      <c r="E162" t="s">
        <v>1971</v>
      </c>
      <c r="F162" t="s">
        <v>67</v>
      </c>
      <c r="G162" t="s">
        <v>67</v>
      </c>
      <c r="H162">
        <v>1.1299999999999999</v>
      </c>
      <c r="I162" s="7">
        <v>6.3674247787610616</v>
      </c>
      <c r="J162" s="7">
        <v>3.9457079646017696</v>
      </c>
    </row>
    <row r="163" spans="1:10">
      <c r="A163" t="s">
        <v>1174</v>
      </c>
      <c r="B163" t="s">
        <v>1480</v>
      </c>
      <c r="C163" t="s">
        <v>2090</v>
      </c>
      <c r="D163">
        <v>9</v>
      </c>
      <c r="E163" t="s">
        <v>1971</v>
      </c>
      <c r="F163" t="s">
        <v>67</v>
      </c>
      <c r="G163" t="s">
        <v>67</v>
      </c>
      <c r="H163">
        <v>0.72</v>
      </c>
      <c r="I163" s="7">
        <v>6.4538888888888888</v>
      </c>
      <c r="J163" s="7">
        <v>4.0898148148148152</v>
      </c>
    </row>
    <row r="164" spans="1:10">
      <c r="A164" t="s">
        <v>1174</v>
      </c>
      <c r="B164" t="s">
        <v>1464</v>
      </c>
      <c r="C164" t="s">
        <v>2091</v>
      </c>
      <c r="D164">
        <v>9</v>
      </c>
      <c r="E164" t="s">
        <v>1971</v>
      </c>
      <c r="F164" t="s">
        <v>67</v>
      </c>
      <c r="G164" t="s">
        <v>67</v>
      </c>
      <c r="H164">
        <v>1.1299999999999999</v>
      </c>
      <c r="I164" s="7">
        <v>10.934867256637169</v>
      </c>
      <c r="J164" s="7">
        <v>11.558112094395282</v>
      </c>
    </row>
    <row r="165" spans="1:10">
      <c r="A165" t="s">
        <v>1174</v>
      </c>
      <c r="B165" t="s">
        <v>1456</v>
      </c>
      <c r="C165" t="s">
        <v>2092</v>
      </c>
      <c r="D165">
        <v>9</v>
      </c>
      <c r="E165" t="s">
        <v>1971</v>
      </c>
      <c r="F165" t="s">
        <v>67</v>
      </c>
      <c r="G165" t="s">
        <v>67</v>
      </c>
      <c r="H165">
        <v>1.1299999999999999</v>
      </c>
      <c r="I165" s="7">
        <v>11.323309734513275</v>
      </c>
      <c r="J165" s="7">
        <v>12.205516224188793</v>
      </c>
    </row>
    <row r="166" spans="1:10">
      <c r="A166" t="s">
        <v>1174</v>
      </c>
      <c r="B166" t="s">
        <v>1444</v>
      </c>
      <c r="C166" t="s">
        <v>1970</v>
      </c>
      <c r="D166">
        <v>9</v>
      </c>
      <c r="E166" t="s">
        <v>1971</v>
      </c>
      <c r="F166" t="s">
        <v>67</v>
      </c>
      <c r="G166" t="s">
        <v>67</v>
      </c>
      <c r="H166">
        <v>0.72</v>
      </c>
      <c r="I166" s="7">
        <v>8.1516527777777785</v>
      </c>
      <c r="J166" s="7">
        <v>6.9194212962962975</v>
      </c>
    </row>
    <row r="167" spans="1:10">
      <c r="A167" t="s">
        <v>1174</v>
      </c>
      <c r="B167" t="s">
        <v>1262</v>
      </c>
      <c r="C167" t="s">
        <v>2095</v>
      </c>
      <c r="D167">
        <v>9</v>
      </c>
      <c r="E167" t="s">
        <v>1971</v>
      </c>
      <c r="F167" t="s">
        <v>67</v>
      </c>
      <c r="G167" t="s">
        <v>67</v>
      </c>
      <c r="H167">
        <v>0.72</v>
      </c>
      <c r="I167" s="7">
        <v>4.8285</v>
      </c>
      <c r="J167" s="7">
        <v>1.3808333333333334</v>
      </c>
    </row>
    <row r="168" spans="1:10">
      <c r="A168" t="s">
        <v>1174</v>
      </c>
      <c r="B168" t="s">
        <v>1240</v>
      </c>
      <c r="C168" t="s">
        <v>2096</v>
      </c>
      <c r="D168">
        <v>9</v>
      </c>
      <c r="E168" t="s">
        <v>1971</v>
      </c>
      <c r="F168" t="s">
        <v>67</v>
      </c>
      <c r="G168" t="s">
        <v>67</v>
      </c>
      <c r="H168">
        <v>1.1299999999999999</v>
      </c>
      <c r="I168" s="7">
        <v>5.1203893805309741</v>
      </c>
      <c r="J168" s="7">
        <v>1.8673156342182904</v>
      </c>
    </row>
    <row r="169" spans="1:10">
      <c r="A169" t="s">
        <v>1174</v>
      </c>
      <c r="B169" t="s">
        <v>1228</v>
      </c>
      <c r="C169" t="s">
        <v>2097</v>
      </c>
      <c r="D169">
        <v>9</v>
      </c>
      <c r="E169" t="s">
        <v>1971</v>
      </c>
      <c r="F169" t="s">
        <v>67</v>
      </c>
      <c r="G169" t="s">
        <v>67</v>
      </c>
      <c r="H169">
        <v>0.72</v>
      </c>
      <c r="I169" s="7">
        <v>4.8971388888888887</v>
      </c>
      <c r="J169" s="7">
        <v>1.4952314814814813</v>
      </c>
    </row>
    <row r="170" spans="1:10">
      <c r="A170" t="s">
        <v>1174</v>
      </c>
      <c r="B170" t="s">
        <v>1218</v>
      </c>
      <c r="C170" t="s">
        <v>2098</v>
      </c>
      <c r="D170">
        <v>2</v>
      </c>
      <c r="E170" t="s">
        <v>2099</v>
      </c>
      <c r="F170" t="s">
        <v>67</v>
      </c>
      <c r="G170" t="s">
        <v>67</v>
      </c>
      <c r="H170">
        <v>0.72</v>
      </c>
      <c r="I170" s="7">
        <v>6.6730416666666672</v>
      </c>
      <c r="J170" s="7">
        <v>4.4550694444444456</v>
      </c>
    </row>
    <row r="171" spans="1:10">
      <c r="A171" t="s">
        <v>1174</v>
      </c>
      <c r="B171" t="s">
        <v>1232</v>
      </c>
      <c r="C171" t="s">
        <v>2100</v>
      </c>
      <c r="D171">
        <v>2</v>
      </c>
      <c r="E171" t="s">
        <v>2099</v>
      </c>
      <c r="F171" t="s">
        <v>67</v>
      </c>
      <c r="G171" t="s">
        <v>67</v>
      </c>
      <c r="H171">
        <v>0.72</v>
      </c>
      <c r="I171" s="7">
        <v>5.8085833333333348</v>
      </c>
      <c r="J171" s="7">
        <v>3.0143055555555582</v>
      </c>
    </row>
    <row r="172" spans="1:10">
      <c r="A172" t="s">
        <v>1174</v>
      </c>
      <c r="B172" t="s">
        <v>1234</v>
      </c>
      <c r="C172" t="s">
        <v>2101</v>
      </c>
      <c r="D172">
        <v>2</v>
      </c>
      <c r="E172" t="s">
        <v>2099</v>
      </c>
      <c r="F172" t="s">
        <v>67</v>
      </c>
      <c r="G172" t="s">
        <v>67</v>
      </c>
      <c r="H172">
        <v>0.72</v>
      </c>
      <c r="I172" s="7">
        <v>6.3292916666666672</v>
      </c>
      <c r="J172" s="7">
        <v>3.8821527777777787</v>
      </c>
    </row>
    <row r="173" spans="1:10">
      <c r="A173" t="s">
        <v>1174</v>
      </c>
      <c r="B173" t="s">
        <v>1242</v>
      </c>
      <c r="C173" t="s">
        <v>2102</v>
      </c>
      <c r="D173">
        <v>2</v>
      </c>
      <c r="E173" t="s">
        <v>2099</v>
      </c>
      <c r="F173" t="s">
        <v>67</v>
      </c>
      <c r="G173" t="s">
        <v>67</v>
      </c>
      <c r="H173">
        <v>1.1299999999999999</v>
      </c>
      <c r="I173" s="7">
        <v>6.1085486725663722</v>
      </c>
      <c r="J173" s="7">
        <v>3.5142477876106204</v>
      </c>
    </row>
    <row r="174" spans="1:10">
      <c r="A174" t="s">
        <v>1174</v>
      </c>
      <c r="B174" t="s">
        <v>1366</v>
      </c>
      <c r="C174" t="s">
        <v>2103</v>
      </c>
      <c r="D174">
        <v>2</v>
      </c>
      <c r="E174" t="s">
        <v>2099</v>
      </c>
      <c r="F174" t="s">
        <v>67</v>
      </c>
      <c r="G174" t="s">
        <v>67</v>
      </c>
      <c r="H174">
        <v>1.1299999999999999</v>
      </c>
      <c r="I174" s="7">
        <v>5.5950442477876114</v>
      </c>
      <c r="J174" s="7">
        <v>2.6584070796460191</v>
      </c>
    </row>
    <row r="175" spans="1:10">
      <c r="A175" t="s">
        <v>1174</v>
      </c>
      <c r="B175" t="s">
        <v>1369</v>
      </c>
      <c r="C175" t="s">
        <v>2104</v>
      </c>
      <c r="D175">
        <v>2</v>
      </c>
      <c r="E175" t="s">
        <v>2099</v>
      </c>
      <c r="F175" t="s">
        <v>67</v>
      </c>
      <c r="G175" t="s">
        <v>67</v>
      </c>
      <c r="H175">
        <v>0.72</v>
      </c>
      <c r="I175" s="7">
        <v>4.9309722222222225</v>
      </c>
      <c r="J175" s="7">
        <v>1.551620370370371</v>
      </c>
    </row>
    <row r="176" spans="1:10">
      <c r="A176" t="s">
        <v>1174</v>
      </c>
      <c r="B176" t="s">
        <v>1373</v>
      </c>
      <c r="C176" t="s">
        <v>2105</v>
      </c>
      <c r="D176">
        <v>2</v>
      </c>
      <c r="E176" t="s">
        <v>2099</v>
      </c>
      <c r="F176" t="s">
        <v>67</v>
      </c>
      <c r="G176" t="s">
        <v>67</v>
      </c>
      <c r="H176">
        <v>1.1299999999999999</v>
      </c>
      <c r="I176" s="7">
        <v>7.1540973451327439</v>
      </c>
      <c r="J176" s="7">
        <v>5.2568289085545734</v>
      </c>
    </row>
    <row r="177" spans="1:10">
      <c r="A177" t="s">
        <v>1174</v>
      </c>
      <c r="B177" t="s">
        <v>1377</v>
      </c>
      <c r="C177" t="s">
        <v>2106</v>
      </c>
      <c r="D177">
        <v>2</v>
      </c>
      <c r="E177" t="s">
        <v>2099</v>
      </c>
      <c r="F177" t="s">
        <v>67</v>
      </c>
      <c r="G177" t="s">
        <v>67</v>
      </c>
      <c r="H177">
        <v>0.72</v>
      </c>
      <c r="I177" s="7">
        <v>6.825277777777778</v>
      </c>
      <c r="J177" s="7">
        <v>4.7087962962962973</v>
      </c>
    </row>
    <row r="178" spans="1:10">
      <c r="A178" t="s">
        <v>1174</v>
      </c>
      <c r="B178" t="s">
        <v>1379</v>
      </c>
      <c r="C178" t="s">
        <v>2107</v>
      </c>
      <c r="D178">
        <v>2</v>
      </c>
      <c r="E178" t="s">
        <v>2099</v>
      </c>
      <c r="F178" t="s">
        <v>67</v>
      </c>
      <c r="G178" t="s">
        <v>67</v>
      </c>
      <c r="H178">
        <v>1.1299999999999999</v>
      </c>
      <c r="I178" s="7">
        <v>6.7139292035398235</v>
      </c>
      <c r="J178" s="7">
        <v>4.5232153392330394</v>
      </c>
    </row>
    <row r="179" spans="1:10">
      <c r="A179" t="s">
        <v>1174</v>
      </c>
      <c r="B179" t="s">
        <v>1383</v>
      </c>
      <c r="C179" t="s">
        <v>2108</v>
      </c>
      <c r="D179">
        <v>2</v>
      </c>
      <c r="E179" t="s">
        <v>2099</v>
      </c>
      <c r="F179" t="s">
        <v>67</v>
      </c>
      <c r="G179" t="s">
        <v>67</v>
      </c>
      <c r="H179">
        <v>1.1299999999999999</v>
      </c>
      <c r="I179" s="7">
        <v>6.1874778761061959</v>
      </c>
      <c r="J179" s="7">
        <v>3.6457964601769932</v>
      </c>
    </row>
    <row r="180" spans="1:10">
      <c r="A180" t="s">
        <v>1174</v>
      </c>
      <c r="B180" t="s">
        <v>1385</v>
      </c>
      <c r="C180" t="s">
        <v>2109</v>
      </c>
      <c r="D180">
        <v>2</v>
      </c>
      <c r="E180" t="s">
        <v>2099</v>
      </c>
      <c r="F180" t="s">
        <v>67</v>
      </c>
      <c r="G180" t="s">
        <v>67</v>
      </c>
      <c r="H180">
        <v>0.72</v>
      </c>
      <c r="I180" s="7">
        <v>3.9459305555555559</v>
      </c>
      <c r="J180" s="7">
        <v>-9.0115740740740108E-2</v>
      </c>
    </row>
    <row r="181" spans="1:10">
      <c r="A181" t="s">
        <v>1174</v>
      </c>
      <c r="B181" t="s">
        <v>1387</v>
      </c>
      <c r="C181" t="s">
        <v>2110</v>
      </c>
      <c r="D181">
        <v>2</v>
      </c>
      <c r="E181" t="s">
        <v>2099</v>
      </c>
      <c r="F181" t="s">
        <v>67</v>
      </c>
      <c r="G181" t="s">
        <v>67</v>
      </c>
      <c r="H181">
        <v>1.1299999999999999</v>
      </c>
      <c r="I181" s="7">
        <v>4.8915221238938056</v>
      </c>
      <c r="J181" s="7">
        <v>1.485870206489676</v>
      </c>
    </row>
    <row r="182" spans="1:10">
      <c r="A182" t="s">
        <v>1174</v>
      </c>
      <c r="B182" t="s">
        <v>1389</v>
      </c>
      <c r="C182" t="s">
        <v>2111</v>
      </c>
      <c r="D182">
        <v>2</v>
      </c>
      <c r="E182" t="s">
        <v>2099</v>
      </c>
      <c r="F182" t="s">
        <v>67</v>
      </c>
      <c r="G182" t="s">
        <v>67</v>
      </c>
      <c r="H182">
        <v>0.72</v>
      </c>
      <c r="I182" s="7">
        <v>4.667583333333333</v>
      </c>
      <c r="J182" s="7">
        <v>1.1126388888888883</v>
      </c>
    </row>
    <row r="183" spans="1:10">
      <c r="A183" t="s">
        <v>1174</v>
      </c>
      <c r="B183" t="s">
        <v>1407</v>
      </c>
      <c r="C183" t="s">
        <v>2112</v>
      </c>
      <c r="D183">
        <v>2</v>
      </c>
      <c r="E183" t="s">
        <v>2099</v>
      </c>
      <c r="F183" t="s">
        <v>67</v>
      </c>
      <c r="G183" t="s">
        <v>67</v>
      </c>
      <c r="H183">
        <v>0.72</v>
      </c>
      <c r="I183" s="7">
        <v>6.4015972222222217</v>
      </c>
      <c r="J183" s="7">
        <v>4.0026620370370365</v>
      </c>
    </row>
    <row r="184" spans="1:10">
      <c r="A184" t="s">
        <v>1174</v>
      </c>
      <c r="B184" t="s">
        <v>1411</v>
      </c>
      <c r="C184" t="s">
        <v>2113</v>
      </c>
      <c r="D184">
        <v>2</v>
      </c>
      <c r="E184" t="s">
        <v>2099</v>
      </c>
      <c r="F184" t="s">
        <v>67</v>
      </c>
      <c r="G184" t="s">
        <v>67</v>
      </c>
      <c r="H184">
        <v>1.1299999999999999</v>
      </c>
      <c r="I184" s="7">
        <v>6.9734247787610624</v>
      </c>
      <c r="J184" s="7">
        <v>4.9557079646017712</v>
      </c>
    </row>
    <row r="185" spans="1:10">
      <c r="A185" t="s">
        <v>1174</v>
      </c>
      <c r="B185" t="s">
        <v>1425</v>
      </c>
      <c r="C185" t="s">
        <v>2114</v>
      </c>
      <c r="D185">
        <v>2</v>
      </c>
      <c r="E185" t="s">
        <v>2099</v>
      </c>
      <c r="F185" t="s">
        <v>67</v>
      </c>
      <c r="G185" t="s">
        <v>67</v>
      </c>
      <c r="H185">
        <v>1.1299999999999999</v>
      </c>
      <c r="I185" s="7">
        <v>9.3965486725663734</v>
      </c>
      <c r="J185" s="7">
        <v>8.9942477876106235</v>
      </c>
    </row>
    <row r="186" spans="1:10">
      <c r="A186" t="s">
        <v>1174</v>
      </c>
      <c r="B186" t="s">
        <v>1434</v>
      </c>
      <c r="C186" t="s">
        <v>2115</v>
      </c>
      <c r="D186">
        <v>2</v>
      </c>
      <c r="E186" t="s">
        <v>2099</v>
      </c>
      <c r="F186" t="s">
        <v>67</v>
      </c>
      <c r="G186" t="s">
        <v>67</v>
      </c>
      <c r="H186">
        <v>1.1299999999999999</v>
      </c>
      <c r="I186" s="7">
        <v>8.3763893805309753</v>
      </c>
      <c r="J186" s="7">
        <v>7.2939823008849594</v>
      </c>
    </row>
    <row r="187" spans="1:10">
      <c r="A187" t="s">
        <v>1174</v>
      </c>
      <c r="B187" t="s">
        <v>1442</v>
      </c>
      <c r="C187" t="s">
        <v>2116</v>
      </c>
      <c r="D187">
        <v>2</v>
      </c>
      <c r="E187" t="s">
        <v>2099</v>
      </c>
      <c r="F187" t="s">
        <v>67</v>
      </c>
      <c r="G187" t="s">
        <v>67</v>
      </c>
      <c r="H187">
        <v>1.1299999999999999</v>
      </c>
      <c r="I187" s="7">
        <v>10.446716814159293</v>
      </c>
      <c r="J187" s="7">
        <v>10.744528023598823</v>
      </c>
    </row>
    <row r="188" spans="1:10">
      <c r="A188" t="s">
        <v>1174</v>
      </c>
      <c r="B188" t="s">
        <v>1458</v>
      </c>
      <c r="C188" t="s">
        <v>2117</v>
      </c>
      <c r="D188">
        <v>2</v>
      </c>
      <c r="E188" t="s">
        <v>2099</v>
      </c>
      <c r="F188" t="s">
        <v>67</v>
      </c>
      <c r="G188" t="s">
        <v>67</v>
      </c>
      <c r="H188">
        <v>0.72</v>
      </c>
      <c r="I188" s="7">
        <v>5.7737083333333334</v>
      </c>
      <c r="J188" s="7">
        <v>2.956180555555556</v>
      </c>
    </row>
    <row r="189" spans="1:10">
      <c r="A189" t="s">
        <v>1174</v>
      </c>
      <c r="B189" t="s">
        <v>1214</v>
      </c>
      <c r="C189" t="s">
        <v>2118</v>
      </c>
      <c r="D189">
        <v>9</v>
      </c>
      <c r="E189" t="s">
        <v>1971</v>
      </c>
      <c r="F189" t="s">
        <v>67</v>
      </c>
      <c r="G189" t="s">
        <v>67</v>
      </c>
      <c r="H189">
        <v>1.1299999999999999</v>
      </c>
      <c r="I189" s="7">
        <v>5.8821415929203544</v>
      </c>
      <c r="J189" s="7">
        <v>3.1369026548672574</v>
      </c>
    </row>
    <row r="190" spans="1:10">
      <c r="A190" t="s">
        <v>1174</v>
      </c>
      <c r="B190" t="s">
        <v>1196</v>
      </c>
      <c r="C190" t="s">
        <v>2119</v>
      </c>
      <c r="D190">
        <v>9</v>
      </c>
      <c r="E190" t="s">
        <v>1971</v>
      </c>
      <c r="F190" t="s">
        <v>67</v>
      </c>
      <c r="G190" t="s">
        <v>67</v>
      </c>
      <c r="H190">
        <v>1.1299999999999999</v>
      </c>
      <c r="I190" s="7">
        <v>3.9879026548672574</v>
      </c>
      <c r="J190" s="7">
        <v>-2.0162241887904386E-2</v>
      </c>
    </row>
    <row r="191" spans="1:10">
      <c r="A191" t="s">
        <v>1174</v>
      </c>
      <c r="B191" t="s">
        <v>1194</v>
      </c>
      <c r="C191" t="s">
        <v>2123</v>
      </c>
      <c r="D191">
        <v>9</v>
      </c>
      <c r="E191" t="s">
        <v>1971</v>
      </c>
      <c r="F191" t="s">
        <v>67</v>
      </c>
      <c r="G191" t="s">
        <v>67</v>
      </c>
      <c r="H191">
        <v>1.1299999999999999</v>
      </c>
      <c r="I191" s="7">
        <v>3.6308141592920351</v>
      </c>
      <c r="J191" s="7">
        <v>-0.61530973451327486</v>
      </c>
    </row>
    <row r="192" spans="1:10">
      <c r="A192" t="s">
        <v>1174</v>
      </c>
      <c r="B192" t="s">
        <v>1315</v>
      </c>
      <c r="C192" t="s">
        <v>2135</v>
      </c>
      <c r="D192">
        <v>8</v>
      </c>
      <c r="E192" t="s">
        <v>2136</v>
      </c>
      <c r="F192" t="s">
        <v>67</v>
      </c>
      <c r="G192" t="s">
        <v>67</v>
      </c>
      <c r="H192">
        <v>0.72</v>
      </c>
      <c r="I192" s="7">
        <v>2.771527777777778</v>
      </c>
      <c r="J192" s="7">
        <v>-2.0474537037037033</v>
      </c>
    </row>
    <row r="193" spans="1:10">
      <c r="A193" t="s">
        <v>1174</v>
      </c>
      <c r="B193" t="s">
        <v>1299</v>
      </c>
      <c r="C193" t="s">
        <v>2137</v>
      </c>
      <c r="D193">
        <v>8</v>
      </c>
      <c r="E193" t="s">
        <v>2136</v>
      </c>
      <c r="F193" t="s">
        <v>67</v>
      </c>
      <c r="G193" t="s">
        <v>67</v>
      </c>
      <c r="H193">
        <v>0.72</v>
      </c>
      <c r="I193" s="7">
        <v>2.9153472222222225</v>
      </c>
      <c r="J193" s="7">
        <v>-1.8077546296296292</v>
      </c>
    </row>
    <row r="194" spans="1:10">
      <c r="A194" t="s">
        <v>1174</v>
      </c>
      <c r="B194" t="s">
        <v>1297</v>
      </c>
      <c r="C194" t="s">
        <v>2140</v>
      </c>
      <c r="D194">
        <v>8</v>
      </c>
      <c r="E194" t="s">
        <v>2136</v>
      </c>
      <c r="F194" t="s">
        <v>67</v>
      </c>
      <c r="G194" t="s">
        <v>67</v>
      </c>
      <c r="H194">
        <v>1.1299999999999999</v>
      </c>
      <c r="I194" s="7">
        <v>4.0597610619469036</v>
      </c>
      <c r="J194" s="7">
        <v>9.9601769911505933E-2</v>
      </c>
    </row>
    <row r="195" spans="1:10">
      <c r="A195" t="s">
        <v>1174</v>
      </c>
      <c r="B195" t="s">
        <v>1295</v>
      </c>
      <c r="C195" t="s">
        <v>2141</v>
      </c>
      <c r="D195">
        <v>8</v>
      </c>
      <c r="E195" t="s">
        <v>2136</v>
      </c>
      <c r="F195" t="s">
        <v>67</v>
      </c>
      <c r="G195" t="s">
        <v>67</v>
      </c>
      <c r="H195">
        <v>0.72</v>
      </c>
      <c r="I195" s="7">
        <v>3.3106944444444442</v>
      </c>
      <c r="J195" s="7">
        <v>-1.1488425925925931</v>
      </c>
    </row>
    <row r="196" spans="1:10">
      <c r="A196" t="s">
        <v>1174</v>
      </c>
      <c r="B196" t="s">
        <v>1293</v>
      </c>
      <c r="C196" t="s">
        <v>2147</v>
      </c>
      <c r="D196">
        <v>8</v>
      </c>
      <c r="E196" t="s">
        <v>2136</v>
      </c>
      <c r="F196" t="s">
        <v>67</v>
      </c>
      <c r="G196" t="s">
        <v>67</v>
      </c>
      <c r="H196">
        <v>0.72</v>
      </c>
      <c r="I196" s="7">
        <v>2.6742222222222223</v>
      </c>
      <c r="J196" s="7">
        <v>-2.2096296296296298</v>
      </c>
    </row>
    <row r="197" spans="1:10">
      <c r="A197" t="s">
        <v>1174</v>
      </c>
      <c r="B197" t="s">
        <v>1291</v>
      </c>
      <c r="C197" t="s">
        <v>2148</v>
      </c>
      <c r="D197">
        <v>8</v>
      </c>
      <c r="E197" t="s">
        <v>2136</v>
      </c>
      <c r="F197" t="s">
        <v>67</v>
      </c>
      <c r="G197" t="s">
        <v>67</v>
      </c>
      <c r="H197">
        <v>1.1299999999999999</v>
      </c>
      <c r="I197" s="7">
        <v>3.4487610619469029</v>
      </c>
      <c r="J197" s="7">
        <v>-0.91873156342182849</v>
      </c>
    </row>
    <row r="198" spans="1:10">
      <c r="A198" t="s">
        <v>1174</v>
      </c>
      <c r="B198" t="s">
        <v>1289</v>
      </c>
      <c r="C198" t="s">
        <v>2149</v>
      </c>
      <c r="D198">
        <v>8</v>
      </c>
      <c r="E198" t="s">
        <v>2136</v>
      </c>
      <c r="F198" t="s">
        <v>67</v>
      </c>
      <c r="G198" t="s">
        <v>67</v>
      </c>
      <c r="H198">
        <v>1.1299999999999999</v>
      </c>
      <c r="I198" s="7">
        <v>3.0093982300884958</v>
      </c>
      <c r="J198" s="7">
        <v>-1.651002949852507</v>
      </c>
    </row>
    <row r="199" spans="1:10">
      <c r="A199" t="s">
        <v>1174</v>
      </c>
      <c r="B199" t="s">
        <v>1287</v>
      </c>
      <c r="C199" t="s">
        <v>2150</v>
      </c>
      <c r="D199">
        <v>8</v>
      </c>
      <c r="E199" t="s">
        <v>2136</v>
      </c>
      <c r="F199" t="s">
        <v>67</v>
      </c>
      <c r="G199" t="s">
        <v>67</v>
      </c>
      <c r="H199">
        <v>1.1299999999999999</v>
      </c>
      <c r="I199" s="7">
        <v>2.210256637168142</v>
      </c>
      <c r="J199" s="7">
        <v>-2.9829056047197633</v>
      </c>
    </row>
    <row r="200" spans="1:10">
      <c r="A200" t="s">
        <v>1174</v>
      </c>
      <c r="B200" t="s">
        <v>1334</v>
      </c>
      <c r="C200" t="s">
        <v>2169</v>
      </c>
      <c r="D200">
        <v>7</v>
      </c>
      <c r="E200" t="s">
        <v>2170</v>
      </c>
      <c r="F200" t="s">
        <v>67</v>
      </c>
      <c r="G200" t="s">
        <v>67</v>
      </c>
      <c r="H200">
        <v>0.72</v>
      </c>
      <c r="I200" s="7">
        <v>4.8766805555555557</v>
      </c>
      <c r="J200" s="7">
        <v>1.4611342592592595</v>
      </c>
    </row>
    <row r="201" spans="1:10">
      <c r="A201" t="s">
        <v>1174</v>
      </c>
      <c r="B201" t="s">
        <v>1332</v>
      </c>
      <c r="C201" t="s">
        <v>2171</v>
      </c>
      <c r="D201">
        <v>7</v>
      </c>
      <c r="E201" t="s">
        <v>2170</v>
      </c>
      <c r="F201" t="s">
        <v>67</v>
      </c>
      <c r="G201" t="s">
        <v>67</v>
      </c>
      <c r="H201">
        <v>0.72</v>
      </c>
      <c r="I201" s="7">
        <v>5.0922083333333337</v>
      </c>
      <c r="J201" s="7">
        <v>1.8203472222222228</v>
      </c>
    </row>
    <row r="202" spans="1:10">
      <c r="A202" t="s">
        <v>1174</v>
      </c>
      <c r="B202" t="s">
        <v>1322</v>
      </c>
      <c r="C202" t="s">
        <v>2172</v>
      </c>
      <c r="D202">
        <v>7</v>
      </c>
      <c r="E202" t="s">
        <v>2170</v>
      </c>
      <c r="F202" t="s">
        <v>67</v>
      </c>
      <c r="G202" t="s">
        <v>67</v>
      </c>
      <c r="H202">
        <v>1.1299999999999999</v>
      </c>
      <c r="I202" s="7">
        <v>6.6914601769911508</v>
      </c>
      <c r="J202" s="7">
        <v>4.485766961651918</v>
      </c>
    </row>
    <row r="203" spans="1:10">
      <c r="A203" t="s">
        <v>1174</v>
      </c>
      <c r="B203" t="s">
        <v>1313</v>
      </c>
      <c r="C203" t="s">
        <v>2173</v>
      </c>
      <c r="D203">
        <v>7</v>
      </c>
      <c r="E203" t="s">
        <v>2170</v>
      </c>
      <c r="F203" t="s">
        <v>67</v>
      </c>
      <c r="G203" t="s">
        <v>67</v>
      </c>
      <c r="H203">
        <v>1.1299999999999999</v>
      </c>
      <c r="I203" s="7">
        <v>5.6413008849557524</v>
      </c>
      <c r="J203" s="7">
        <v>2.7355014749262541</v>
      </c>
    </row>
    <row r="204" spans="1:10">
      <c r="A204" t="s">
        <v>1174</v>
      </c>
      <c r="B204" t="s">
        <v>1309</v>
      </c>
      <c r="C204" t="s">
        <v>2174</v>
      </c>
      <c r="D204">
        <v>7</v>
      </c>
      <c r="E204" t="s">
        <v>2170</v>
      </c>
      <c r="F204" t="s">
        <v>67</v>
      </c>
      <c r="G204" t="s">
        <v>67</v>
      </c>
      <c r="H204">
        <v>0.72</v>
      </c>
      <c r="I204" s="7">
        <v>3.5375277777777776</v>
      </c>
      <c r="J204" s="7">
        <v>-0.77078703703703733</v>
      </c>
    </row>
    <row r="205" spans="1:10">
      <c r="A205" t="s">
        <v>1174</v>
      </c>
      <c r="B205" t="s">
        <v>1305</v>
      </c>
      <c r="C205" t="s">
        <v>2177</v>
      </c>
      <c r="D205">
        <v>7</v>
      </c>
      <c r="E205" t="s">
        <v>2170</v>
      </c>
      <c r="F205" t="s">
        <v>67</v>
      </c>
      <c r="G205" t="s">
        <v>67</v>
      </c>
      <c r="H205">
        <v>1.1299999999999999</v>
      </c>
      <c r="I205" s="7">
        <v>5.2008849557522128</v>
      </c>
      <c r="J205" s="7">
        <v>2.0014749262536879</v>
      </c>
    </row>
    <row r="206" spans="1:10">
      <c r="A206" t="s">
        <v>1174</v>
      </c>
      <c r="B206" t="s">
        <v>1303</v>
      </c>
      <c r="C206" t="s">
        <v>2178</v>
      </c>
      <c r="D206">
        <v>7</v>
      </c>
      <c r="E206" t="s">
        <v>2170</v>
      </c>
      <c r="F206" t="s">
        <v>67</v>
      </c>
      <c r="G206" t="s">
        <v>67</v>
      </c>
      <c r="H206">
        <v>0.72</v>
      </c>
      <c r="I206" s="7">
        <v>3.8736527777777785</v>
      </c>
      <c r="J206" s="7">
        <v>-0.21057870370370252</v>
      </c>
    </row>
    <row r="207" spans="1:10">
      <c r="A207" t="s">
        <v>1174</v>
      </c>
      <c r="B207" t="s">
        <v>1301</v>
      </c>
      <c r="C207" t="s">
        <v>2181</v>
      </c>
      <c r="D207">
        <v>7</v>
      </c>
      <c r="E207" t="s">
        <v>2170</v>
      </c>
      <c r="F207" t="s">
        <v>67</v>
      </c>
      <c r="G207" t="s">
        <v>67</v>
      </c>
      <c r="H207">
        <v>1.1299999999999999</v>
      </c>
      <c r="I207" s="7">
        <v>2.4771415929203542</v>
      </c>
      <c r="J207" s="7">
        <v>-2.5380973451327433</v>
      </c>
    </row>
    <row r="208" spans="1:10">
      <c r="A208" t="s">
        <v>1174</v>
      </c>
      <c r="B208" t="s">
        <v>1275</v>
      </c>
      <c r="C208" t="s">
        <v>2183</v>
      </c>
      <c r="D208">
        <v>7</v>
      </c>
      <c r="E208" t="s">
        <v>2170</v>
      </c>
      <c r="F208" t="s">
        <v>67</v>
      </c>
      <c r="G208" t="s">
        <v>67</v>
      </c>
      <c r="H208">
        <v>0.72</v>
      </c>
      <c r="I208" s="7">
        <v>5.5523472222222221</v>
      </c>
      <c r="J208" s="7">
        <v>2.5872453703703702</v>
      </c>
    </row>
    <row r="209" spans="1:10">
      <c r="A209" t="s">
        <v>1174</v>
      </c>
      <c r="B209" t="s">
        <v>1273</v>
      </c>
      <c r="C209" t="s">
        <v>2184</v>
      </c>
      <c r="D209">
        <v>7</v>
      </c>
      <c r="E209" t="s">
        <v>2170</v>
      </c>
      <c r="F209" t="s">
        <v>67</v>
      </c>
      <c r="G209" t="s">
        <v>67</v>
      </c>
      <c r="H209">
        <v>0.72</v>
      </c>
      <c r="I209" s="7">
        <v>6.1241805555555562</v>
      </c>
      <c r="J209" s="7">
        <v>3.5403009259259273</v>
      </c>
    </row>
    <row r="210" spans="1:10">
      <c r="A210" t="s">
        <v>1174</v>
      </c>
      <c r="B210" t="s">
        <v>1270</v>
      </c>
      <c r="C210" t="s">
        <v>2185</v>
      </c>
      <c r="D210">
        <v>7</v>
      </c>
      <c r="E210" t="s">
        <v>2170</v>
      </c>
      <c r="F210" t="s">
        <v>67</v>
      </c>
      <c r="G210" t="s">
        <v>67</v>
      </c>
      <c r="H210">
        <v>1.1299999999999999</v>
      </c>
      <c r="I210" s="7">
        <v>7.8509203539823025</v>
      </c>
      <c r="J210" s="7">
        <v>6.4182005899705041</v>
      </c>
    </row>
    <row r="211" spans="1:10">
      <c r="A211" t="s">
        <v>1174</v>
      </c>
      <c r="B211" t="s">
        <v>1572</v>
      </c>
      <c r="C211" t="s">
        <v>2211</v>
      </c>
      <c r="D211">
        <v>6</v>
      </c>
      <c r="E211" t="s">
        <v>2212</v>
      </c>
      <c r="F211" t="s">
        <v>67</v>
      </c>
      <c r="G211" t="s">
        <v>67</v>
      </c>
      <c r="H211">
        <v>0.72</v>
      </c>
      <c r="I211" s="7">
        <v>4.8982083333333337</v>
      </c>
      <c r="J211" s="7">
        <v>1.4970138888888895</v>
      </c>
    </row>
    <row r="212" spans="1:10">
      <c r="A212" t="s">
        <v>1174</v>
      </c>
      <c r="B212" t="s">
        <v>1558</v>
      </c>
      <c r="C212" t="s">
        <v>2213</v>
      </c>
      <c r="D212">
        <v>6</v>
      </c>
      <c r="E212" t="s">
        <v>2212</v>
      </c>
      <c r="F212" t="s">
        <v>67</v>
      </c>
      <c r="G212" t="s">
        <v>67</v>
      </c>
      <c r="H212">
        <v>1.1299999999999999</v>
      </c>
      <c r="I212" s="7">
        <v>6.0895575221238945</v>
      </c>
      <c r="J212" s="7">
        <v>3.4825958702064908</v>
      </c>
    </row>
    <row r="213" spans="1:10">
      <c r="A213" t="s">
        <v>1174</v>
      </c>
      <c r="B213" t="s">
        <v>1552</v>
      </c>
      <c r="C213" t="s">
        <v>2214</v>
      </c>
      <c r="D213">
        <v>6</v>
      </c>
      <c r="E213" t="s">
        <v>2212</v>
      </c>
      <c r="F213" t="s">
        <v>67</v>
      </c>
      <c r="G213" t="s">
        <v>67</v>
      </c>
      <c r="H213">
        <v>0.72</v>
      </c>
      <c r="I213" s="7">
        <v>5.469611111111111</v>
      </c>
      <c r="J213" s="7">
        <v>2.4493518518518518</v>
      </c>
    </row>
    <row r="214" spans="1:10">
      <c r="A214" t="s">
        <v>1174</v>
      </c>
      <c r="B214" t="s">
        <v>1548</v>
      </c>
      <c r="C214" t="s">
        <v>2215</v>
      </c>
      <c r="D214">
        <v>6</v>
      </c>
      <c r="E214" t="s">
        <v>2212</v>
      </c>
      <c r="F214" t="s">
        <v>67</v>
      </c>
      <c r="G214" t="s">
        <v>67</v>
      </c>
      <c r="H214">
        <v>1.1299999999999999</v>
      </c>
      <c r="I214" s="7">
        <v>5.4823362831858411</v>
      </c>
      <c r="J214" s="7">
        <v>2.4705604719764018</v>
      </c>
    </row>
    <row r="215" spans="1:10">
      <c r="A215" t="s">
        <v>1174</v>
      </c>
      <c r="B215" t="s">
        <v>1540</v>
      </c>
      <c r="C215" t="s">
        <v>2216</v>
      </c>
      <c r="D215">
        <v>6</v>
      </c>
      <c r="E215" t="s">
        <v>2212</v>
      </c>
      <c r="F215" t="s">
        <v>67</v>
      </c>
      <c r="G215" t="s">
        <v>67</v>
      </c>
      <c r="H215">
        <v>1.1299999999999999</v>
      </c>
      <c r="I215" s="7">
        <v>5.0652920353982305</v>
      </c>
      <c r="J215" s="7">
        <v>1.7754867256637175</v>
      </c>
    </row>
    <row r="216" spans="1:10">
      <c r="A216" t="s">
        <v>1174</v>
      </c>
      <c r="B216" t="s">
        <v>1204</v>
      </c>
      <c r="C216" t="s">
        <v>2217</v>
      </c>
      <c r="D216">
        <v>3</v>
      </c>
      <c r="E216" t="s">
        <v>2218</v>
      </c>
      <c r="F216" t="s">
        <v>67</v>
      </c>
      <c r="G216" t="s">
        <v>67</v>
      </c>
      <c r="H216">
        <v>1.1299999999999999</v>
      </c>
      <c r="I216" s="7">
        <v>5.8711681415929213</v>
      </c>
      <c r="J216" s="7">
        <v>3.1186135693215356</v>
      </c>
    </row>
    <row r="217" spans="1:10">
      <c r="A217" t="s">
        <v>1174</v>
      </c>
      <c r="B217" t="s">
        <v>1206</v>
      </c>
      <c r="C217" t="s">
        <v>2219</v>
      </c>
      <c r="D217">
        <v>3</v>
      </c>
      <c r="E217" t="s">
        <v>2218</v>
      </c>
      <c r="F217" t="s">
        <v>67</v>
      </c>
      <c r="G217" t="s">
        <v>67</v>
      </c>
      <c r="H217">
        <v>1.1299999999999999</v>
      </c>
      <c r="I217" s="7">
        <v>6.9510530973451328</v>
      </c>
      <c r="J217" s="7">
        <v>4.9184218289085546</v>
      </c>
    </row>
    <row r="218" spans="1:10">
      <c r="A218" t="s">
        <v>1174</v>
      </c>
      <c r="B218" t="s">
        <v>1246</v>
      </c>
      <c r="C218" t="s">
        <v>2220</v>
      </c>
      <c r="D218">
        <v>3</v>
      </c>
      <c r="E218" t="s">
        <v>2218</v>
      </c>
      <c r="F218" t="s">
        <v>67</v>
      </c>
      <c r="G218" t="s">
        <v>67</v>
      </c>
      <c r="H218">
        <v>0.72</v>
      </c>
      <c r="I218" s="7">
        <v>9.3016527777777789</v>
      </c>
      <c r="J218" s="7">
        <v>8.8360879629629654</v>
      </c>
    </row>
    <row r="219" spans="1:10">
      <c r="A219" t="s">
        <v>1174</v>
      </c>
      <c r="B219" t="s">
        <v>1256</v>
      </c>
      <c r="C219" t="s">
        <v>2221</v>
      </c>
      <c r="D219">
        <v>3</v>
      </c>
      <c r="E219" t="s">
        <v>2218</v>
      </c>
      <c r="F219" t="s">
        <v>67</v>
      </c>
      <c r="G219" t="s">
        <v>67</v>
      </c>
      <c r="H219">
        <v>0.72</v>
      </c>
      <c r="I219" s="7">
        <v>6.5565277777777782</v>
      </c>
      <c r="J219" s="7">
        <v>4.2608796296296303</v>
      </c>
    </row>
    <row r="220" spans="1:10">
      <c r="A220" t="s">
        <v>1174</v>
      </c>
      <c r="B220" t="s">
        <v>1258</v>
      </c>
      <c r="C220" t="s">
        <v>2222</v>
      </c>
      <c r="D220">
        <v>3</v>
      </c>
      <c r="E220" t="s">
        <v>2218</v>
      </c>
      <c r="F220" t="s">
        <v>67</v>
      </c>
      <c r="G220" t="s">
        <v>67</v>
      </c>
      <c r="H220">
        <v>0.72</v>
      </c>
      <c r="I220" s="7">
        <v>9.909527777777777</v>
      </c>
      <c r="J220" s="7">
        <v>9.8492129629629623</v>
      </c>
    </row>
    <row r="221" spans="1:10">
      <c r="A221" t="s">
        <v>1174</v>
      </c>
      <c r="B221" t="s">
        <v>1266</v>
      </c>
      <c r="C221" t="s">
        <v>2223</v>
      </c>
      <c r="D221">
        <v>3</v>
      </c>
      <c r="E221" t="s">
        <v>2218</v>
      </c>
      <c r="F221" t="s">
        <v>67</v>
      </c>
      <c r="G221" t="s">
        <v>67</v>
      </c>
      <c r="H221">
        <v>1.1299999999999999</v>
      </c>
      <c r="I221" s="7">
        <v>9.9567787610619476</v>
      </c>
      <c r="J221" s="7">
        <v>9.9279646017699132</v>
      </c>
    </row>
    <row r="222" spans="1:10">
      <c r="A222" t="s">
        <v>1174</v>
      </c>
      <c r="B222" t="s">
        <v>1328</v>
      </c>
      <c r="C222" t="s">
        <v>2224</v>
      </c>
      <c r="D222">
        <v>3</v>
      </c>
      <c r="E222" t="s">
        <v>2218</v>
      </c>
      <c r="F222" t="s">
        <v>67</v>
      </c>
      <c r="G222" t="s">
        <v>67</v>
      </c>
      <c r="H222">
        <v>1.1299999999999999</v>
      </c>
      <c r="I222" s="7">
        <v>6.9169734513274346</v>
      </c>
      <c r="J222" s="7">
        <v>4.8616224188790582</v>
      </c>
    </row>
    <row r="223" spans="1:10">
      <c r="A223" t="s">
        <v>1174</v>
      </c>
      <c r="B223" t="s">
        <v>1340</v>
      </c>
      <c r="C223" t="s">
        <v>2225</v>
      </c>
      <c r="D223">
        <v>3</v>
      </c>
      <c r="E223" t="s">
        <v>2218</v>
      </c>
      <c r="F223" t="s">
        <v>67</v>
      </c>
      <c r="G223" t="s">
        <v>67</v>
      </c>
      <c r="H223">
        <v>0.72</v>
      </c>
      <c r="I223" s="7">
        <v>5.8466944444444451</v>
      </c>
      <c r="J223" s="7">
        <v>3.0778240740740754</v>
      </c>
    </row>
    <row r="224" spans="1:10">
      <c r="A224" t="s">
        <v>1174</v>
      </c>
      <c r="B224" t="s">
        <v>1344</v>
      </c>
      <c r="C224" t="s">
        <v>2226</v>
      </c>
      <c r="D224">
        <v>3</v>
      </c>
      <c r="E224" t="s">
        <v>2218</v>
      </c>
      <c r="F224" t="s">
        <v>67</v>
      </c>
      <c r="G224" t="s">
        <v>67</v>
      </c>
      <c r="H224">
        <v>0.72</v>
      </c>
      <c r="I224" s="7">
        <v>6.5184583333333341</v>
      </c>
      <c r="J224" s="7">
        <v>4.1974305555555569</v>
      </c>
    </row>
    <row r="225" spans="1:10">
      <c r="A225" t="s">
        <v>1174</v>
      </c>
      <c r="B225" t="s">
        <v>1538</v>
      </c>
      <c r="C225" t="s">
        <v>2227</v>
      </c>
      <c r="D225">
        <v>6</v>
      </c>
      <c r="E225" t="s">
        <v>2212</v>
      </c>
      <c r="F225" t="s">
        <v>67</v>
      </c>
      <c r="G225" t="s">
        <v>67</v>
      </c>
      <c r="H225">
        <v>0.72</v>
      </c>
      <c r="I225" s="7">
        <v>5.431055555555556</v>
      </c>
      <c r="J225" s="7">
        <v>2.3850925925925934</v>
      </c>
    </row>
    <row r="226" spans="1:10">
      <c r="A226" t="s">
        <v>1174</v>
      </c>
      <c r="B226" t="s">
        <v>1534</v>
      </c>
      <c r="C226" t="s">
        <v>2228</v>
      </c>
      <c r="D226">
        <v>6</v>
      </c>
      <c r="E226" t="s">
        <v>2212</v>
      </c>
      <c r="F226" t="s">
        <v>67</v>
      </c>
      <c r="G226" t="s">
        <v>67</v>
      </c>
      <c r="H226">
        <v>1.1299999999999999</v>
      </c>
      <c r="I226" s="7">
        <v>6.2335840707964607</v>
      </c>
      <c r="J226" s="7">
        <v>3.7226401179941013</v>
      </c>
    </row>
    <row r="227" spans="1:10">
      <c r="A227" t="s">
        <v>1174</v>
      </c>
      <c r="B227" t="s">
        <v>1526</v>
      </c>
      <c r="C227" t="s">
        <v>2229</v>
      </c>
      <c r="D227">
        <v>6</v>
      </c>
      <c r="E227" t="s">
        <v>2212</v>
      </c>
      <c r="F227" t="s">
        <v>67</v>
      </c>
      <c r="G227" t="s">
        <v>67</v>
      </c>
      <c r="H227">
        <v>0.72</v>
      </c>
      <c r="I227" s="7">
        <v>6.5020138888888885</v>
      </c>
      <c r="J227" s="7">
        <v>4.1700231481481476</v>
      </c>
    </row>
    <row r="228" spans="1:10">
      <c r="A228" t="s">
        <v>1174</v>
      </c>
      <c r="B228" t="s">
        <v>1522</v>
      </c>
      <c r="C228" t="s">
        <v>2230</v>
      </c>
      <c r="D228">
        <v>6</v>
      </c>
      <c r="E228" t="s">
        <v>2212</v>
      </c>
      <c r="F228" t="s">
        <v>67</v>
      </c>
      <c r="G228" t="s">
        <v>67</v>
      </c>
      <c r="H228">
        <v>1.1299999999999999</v>
      </c>
      <c r="I228" s="7">
        <v>5.8968053097345141</v>
      </c>
      <c r="J228" s="7">
        <v>3.161342182890857</v>
      </c>
    </row>
    <row r="229" spans="1:10">
      <c r="A229" t="s">
        <v>1174</v>
      </c>
      <c r="B229" t="s">
        <v>1512</v>
      </c>
      <c r="C229" t="s">
        <v>2231</v>
      </c>
      <c r="D229">
        <v>6</v>
      </c>
      <c r="E229" t="s">
        <v>2212</v>
      </c>
      <c r="F229" t="s">
        <v>67</v>
      </c>
      <c r="G229" t="s">
        <v>67</v>
      </c>
      <c r="H229">
        <v>0.72</v>
      </c>
      <c r="I229" s="7">
        <v>4.7674583333333338</v>
      </c>
      <c r="J229" s="7">
        <v>1.279097222222223</v>
      </c>
    </row>
    <row r="230" spans="1:10">
      <c r="A230" t="s">
        <v>1174</v>
      </c>
      <c r="B230" t="s">
        <v>1478</v>
      </c>
      <c r="C230" t="s">
        <v>2232</v>
      </c>
      <c r="D230">
        <v>6</v>
      </c>
      <c r="E230" t="s">
        <v>2212</v>
      </c>
      <c r="F230" t="s">
        <v>67</v>
      </c>
      <c r="G230" t="s">
        <v>67</v>
      </c>
      <c r="H230">
        <v>0.72</v>
      </c>
      <c r="I230" s="7">
        <v>3.915430555555556</v>
      </c>
      <c r="J230" s="7">
        <v>-0.14094907407407339</v>
      </c>
    </row>
    <row r="231" spans="1:10">
      <c r="A231" t="s">
        <v>1174</v>
      </c>
      <c r="B231" t="s">
        <v>1476</v>
      </c>
      <c r="C231" t="s">
        <v>2233</v>
      </c>
      <c r="D231">
        <v>6</v>
      </c>
      <c r="E231" t="s">
        <v>2212</v>
      </c>
      <c r="F231" t="s">
        <v>67</v>
      </c>
      <c r="G231" t="s">
        <v>67</v>
      </c>
      <c r="H231">
        <v>0.72</v>
      </c>
      <c r="I231" s="7">
        <v>3.5612499999999998</v>
      </c>
      <c r="J231" s="7">
        <v>-0.7312500000000004</v>
      </c>
    </row>
    <row r="232" spans="1:10">
      <c r="A232" t="s">
        <v>1174</v>
      </c>
      <c r="B232" t="s">
        <v>1474</v>
      </c>
      <c r="C232" t="s">
        <v>2234</v>
      </c>
      <c r="D232">
        <v>6</v>
      </c>
      <c r="E232" t="s">
        <v>2212</v>
      </c>
      <c r="F232" t="s">
        <v>67</v>
      </c>
      <c r="G232" t="s">
        <v>67</v>
      </c>
      <c r="H232">
        <v>1.1299999999999999</v>
      </c>
      <c r="I232" s="7">
        <v>5.8067964601769919</v>
      </c>
      <c r="J232" s="7">
        <v>3.01132743362832</v>
      </c>
    </row>
    <row r="233" spans="1:10">
      <c r="A233" t="s">
        <v>1174</v>
      </c>
      <c r="B233" t="s">
        <v>1472</v>
      </c>
      <c r="C233" t="s">
        <v>2235</v>
      </c>
      <c r="D233">
        <v>6</v>
      </c>
      <c r="E233" t="s">
        <v>2212</v>
      </c>
      <c r="F233" t="s">
        <v>67</v>
      </c>
      <c r="G233" t="s">
        <v>67</v>
      </c>
      <c r="H233">
        <v>1.1299999999999999</v>
      </c>
      <c r="I233" s="7">
        <v>5.658283185840709</v>
      </c>
      <c r="J233" s="7">
        <v>2.763805309734515</v>
      </c>
    </row>
    <row r="234" spans="1:10">
      <c r="A234" t="s">
        <v>1174</v>
      </c>
      <c r="B234" t="s">
        <v>1419</v>
      </c>
      <c r="C234" t="s">
        <v>2236</v>
      </c>
      <c r="D234">
        <v>6</v>
      </c>
      <c r="E234" t="s">
        <v>2212</v>
      </c>
      <c r="F234" t="s">
        <v>67</v>
      </c>
      <c r="G234" t="s">
        <v>67</v>
      </c>
      <c r="H234">
        <v>0.72</v>
      </c>
      <c r="I234" s="7">
        <v>5.9523333333333337</v>
      </c>
      <c r="J234" s="7">
        <v>3.2538888888888895</v>
      </c>
    </row>
    <row r="235" spans="1:10">
      <c r="A235" t="s">
        <v>1174</v>
      </c>
      <c r="B235" t="s">
        <v>1400</v>
      </c>
      <c r="C235" t="s">
        <v>2237</v>
      </c>
      <c r="D235">
        <v>6</v>
      </c>
      <c r="E235" t="s">
        <v>2212</v>
      </c>
      <c r="F235" t="s">
        <v>67</v>
      </c>
      <c r="G235" t="s">
        <v>67</v>
      </c>
      <c r="H235">
        <v>0.72</v>
      </c>
      <c r="I235" s="7">
        <v>6.6756388888888898</v>
      </c>
      <c r="J235" s="7">
        <v>4.4593981481481499</v>
      </c>
    </row>
    <row r="236" spans="1:10">
      <c r="A236" t="s">
        <v>1174</v>
      </c>
      <c r="B236" t="s">
        <v>1398</v>
      </c>
      <c r="C236" t="s">
        <v>2240</v>
      </c>
      <c r="D236">
        <v>6</v>
      </c>
      <c r="E236" t="s">
        <v>2212</v>
      </c>
      <c r="F236" t="s">
        <v>67</v>
      </c>
      <c r="G236" t="s">
        <v>67</v>
      </c>
      <c r="H236">
        <v>1.1299999999999999</v>
      </c>
      <c r="I236" s="7">
        <v>7.0125663716814168</v>
      </c>
      <c r="J236" s="7">
        <v>5.0209439528023614</v>
      </c>
    </row>
    <row r="237" spans="1:10">
      <c r="A237" t="s">
        <v>1174</v>
      </c>
      <c r="B237" t="s">
        <v>1396</v>
      </c>
      <c r="C237" t="s">
        <v>2241</v>
      </c>
      <c r="D237">
        <v>6</v>
      </c>
      <c r="E237" t="s">
        <v>2212</v>
      </c>
      <c r="F237" t="s">
        <v>67</v>
      </c>
      <c r="G237" t="s">
        <v>67</v>
      </c>
      <c r="H237">
        <v>1.1299999999999999</v>
      </c>
      <c r="I237" s="7">
        <v>6.2035840707964613</v>
      </c>
      <c r="J237" s="7">
        <v>3.6726401179941024</v>
      </c>
    </row>
    <row r="238" spans="1:10">
      <c r="A238" t="s">
        <v>1174</v>
      </c>
      <c r="B238" t="s">
        <v>1360</v>
      </c>
      <c r="C238" t="s">
        <v>2242</v>
      </c>
      <c r="D238">
        <v>6</v>
      </c>
      <c r="E238" t="s">
        <v>2212</v>
      </c>
      <c r="F238" t="s">
        <v>67</v>
      </c>
      <c r="G238" t="s">
        <v>67</v>
      </c>
      <c r="H238">
        <v>1.1299999999999999</v>
      </c>
      <c r="I238" s="7">
        <v>6.7530442477876109</v>
      </c>
      <c r="J238" s="7">
        <v>4.5884070796460188</v>
      </c>
    </row>
    <row r="239" spans="1:10">
      <c r="A239" t="s">
        <v>1174</v>
      </c>
      <c r="B239" t="s">
        <v>1354</v>
      </c>
      <c r="C239" t="s">
        <v>2243</v>
      </c>
      <c r="D239">
        <v>6</v>
      </c>
      <c r="E239" t="s">
        <v>2212</v>
      </c>
      <c r="F239" t="s">
        <v>67</v>
      </c>
      <c r="G239" t="s">
        <v>67</v>
      </c>
      <c r="H239">
        <v>1.1299999999999999</v>
      </c>
      <c r="I239" s="7">
        <v>7.5503362831858407</v>
      </c>
      <c r="J239" s="7">
        <v>5.9172271386430682</v>
      </c>
    </row>
    <row r="240" spans="1:10">
      <c r="A240" t="s">
        <v>1174</v>
      </c>
      <c r="B240" t="s">
        <v>1348</v>
      </c>
      <c r="C240" t="s">
        <v>2244</v>
      </c>
      <c r="D240">
        <v>6</v>
      </c>
      <c r="E240" t="s">
        <v>2212</v>
      </c>
      <c r="F240" t="s">
        <v>67</v>
      </c>
      <c r="G240" t="s">
        <v>67</v>
      </c>
      <c r="H240">
        <v>0.72</v>
      </c>
      <c r="I240" s="7">
        <v>6.6656111111111116</v>
      </c>
      <c r="J240" s="7">
        <v>4.4426851851851863</v>
      </c>
    </row>
    <row r="241" spans="1:10">
      <c r="A241" t="s">
        <v>1174</v>
      </c>
      <c r="B241" t="s">
        <v>1342</v>
      </c>
      <c r="C241" t="s">
        <v>2245</v>
      </c>
      <c r="D241">
        <v>6</v>
      </c>
      <c r="E241" t="s">
        <v>2212</v>
      </c>
      <c r="F241" t="s">
        <v>67</v>
      </c>
      <c r="G241" t="s">
        <v>67</v>
      </c>
      <c r="H241">
        <v>0.72</v>
      </c>
      <c r="I241" s="7">
        <v>7.0005138888888894</v>
      </c>
      <c r="J241" s="7">
        <v>5.0008564814814829</v>
      </c>
    </row>
    <row r="242" spans="1:10">
      <c r="A242" t="s">
        <v>1174</v>
      </c>
      <c r="B242" t="s">
        <v>1338</v>
      </c>
      <c r="C242" t="s">
        <v>2246</v>
      </c>
      <c r="D242">
        <v>6</v>
      </c>
      <c r="E242" t="s">
        <v>2212</v>
      </c>
      <c r="F242" t="s">
        <v>67</v>
      </c>
      <c r="G242" t="s">
        <v>67</v>
      </c>
      <c r="H242">
        <v>1.1299999999999999</v>
      </c>
      <c r="I242" s="7">
        <v>8.9557256637168141</v>
      </c>
      <c r="J242" s="7">
        <v>8.2595427728613569</v>
      </c>
    </row>
    <row r="243" spans="1:10">
      <c r="A243" t="s">
        <v>1174</v>
      </c>
      <c r="B243" t="s">
        <v>1336</v>
      </c>
      <c r="C243" t="s">
        <v>2247</v>
      </c>
      <c r="D243">
        <v>6</v>
      </c>
      <c r="E243" t="s">
        <v>2212</v>
      </c>
      <c r="F243" t="s">
        <v>67</v>
      </c>
      <c r="G243" t="s">
        <v>67</v>
      </c>
      <c r="H243">
        <v>0.72</v>
      </c>
      <c r="I243" s="7">
        <v>6.2286527777777785</v>
      </c>
      <c r="J243" s="7">
        <v>3.7144212962962975</v>
      </c>
    </row>
    <row r="244" spans="1:10">
      <c r="A244" t="s">
        <v>1174</v>
      </c>
      <c r="B244" t="s">
        <v>1330</v>
      </c>
      <c r="C244" t="s">
        <v>2248</v>
      </c>
      <c r="D244">
        <v>6</v>
      </c>
      <c r="E244" t="s">
        <v>2212</v>
      </c>
      <c r="F244" t="s">
        <v>67</v>
      </c>
      <c r="G244" t="s">
        <v>67</v>
      </c>
      <c r="H244">
        <v>0.72</v>
      </c>
      <c r="I244" s="7">
        <v>6.1293055555555558</v>
      </c>
      <c r="J244" s="7">
        <v>3.5488425925925933</v>
      </c>
    </row>
    <row r="245" spans="1:10">
      <c r="A245" t="s">
        <v>1174</v>
      </c>
      <c r="B245" t="s">
        <v>1326</v>
      </c>
      <c r="C245" t="s">
        <v>2253</v>
      </c>
      <c r="D245">
        <v>6</v>
      </c>
      <c r="E245" t="s">
        <v>2212</v>
      </c>
      <c r="F245" t="s">
        <v>67</v>
      </c>
      <c r="G245" t="s">
        <v>67</v>
      </c>
      <c r="H245">
        <v>0.72</v>
      </c>
      <c r="I245" s="7">
        <v>7.8475972222222232</v>
      </c>
      <c r="J245" s="7">
        <v>6.4126620370370393</v>
      </c>
    </row>
    <row r="246" spans="1:10">
      <c r="A246" t="s">
        <v>1174</v>
      </c>
      <c r="B246" t="s">
        <v>1324</v>
      </c>
      <c r="C246" t="s">
        <v>2254</v>
      </c>
      <c r="D246">
        <v>6</v>
      </c>
      <c r="E246" t="s">
        <v>2212</v>
      </c>
      <c r="F246" t="s">
        <v>67</v>
      </c>
      <c r="G246" t="s">
        <v>67</v>
      </c>
      <c r="H246">
        <v>1.1299999999999999</v>
      </c>
      <c r="I246" s="7">
        <v>5.2594424778761066</v>
      </c>
      <c r="J246" s="7">
        <v>2.099070796460178</v>
      </c>
    </row>
    <row r="247" spans="1:10">
      <c r="A247" t="s">
        <v>1174</v>
      </c>
      <c r="B247" t="s">
        <v>1320</v>
      </c>
      <c r="C247" t="s">
        <v>2255</v>
      </c>
      <c r="D247">
        <v>6</v>
      </c>
      <c r="E247" t="s">
        <v>2212</v>
      </c>
      <c r="F247" t="s">
        <v>67</v>
      </c>
      <c r="G247" t="s">
        <v>67</v>
      </c>
      <c r="H247">
        <v>0.72</v>
      </c>
      <c r="I247" s="7">
        <v>4.7564305555555562</v>
      </c>
      <c r="J247" s="7">
        <v>1.2607175925925937</v>
      </c>
    </row>
    <row r="248" spans="1:10">
      <c r="A248" t="s">
        <v>1174</v>
      </c>
      <c r="B248" t="s">
        <v>1318</v>
      </c>
      <c r="C248" t="s">
        <v>2256</v>
      </c>
      <c r="D248">
        <v>6</v>
      </c>
      <c r="E248" t="s">
        <v>2212</v>
      </c>
      <c r="F248" t="s">
        <v>67</v>
      </c>
      <c r="G248" t="s">
        <v>67</v>
      </c>
      <c r="H248">
        <v>0.72</v>
      </c>
      <c r="I248" s="7">
        <v>4.5602777777777774</v>
      </c>
      <c r="J248" s="7">
        <v>0.93379629629629579</v>
      </c>
    </row>
    <row r="249" spans="1:10">
      <c r="A249" t="s">
        <v>1174</v>
      </c>
      <c r="B249" t="s">
        <v>1317</v>
      </c>
      <c r="C249" t="s">
        <v>2257</v>
      </c>
      <c r="D249">
        <v>6</v>
      </c>
      <c r="E249" t="s">
        <v>2212</v>
      </c>
      <c r="F249" t="s">
        <v>67</v>
      </c>
      <c r="G249" t="s">
        <v>67</v>
      </c>
      <c r="H249">
        <v>1.1299999999999999</v>
      </c>
      <c r="I249" s="7">
        <v>7.0180530973451329</v>
      </c>
      <c r="J249" s="7">
        <v>5.0300884955752219</v>
      </c>
    </row>
    <row r="250" spans="1:10">
      <c r="A250" t="s">
        <v>1174</v>
      </c>
      <c r="B250" t="s">
        <v>1311</v>
      </c>
      <c r="C250" t="s">
        <v>2258</v>
      </c>
      <c r="D250">
        <v>6</v>
      </c>
      <c r="E250" t="s">
        <v>2212</v>
      </c>
      <c r="F250" t="s">
        <v>67</v>
      </c>
      <c r="G250" t="s">
        <v>67</v>
      </c>
      <c r="H250">
        <v>1.1299999999999999</v>
      </c>
      <c r="I250" s="7">
        <v>7.8953185840707967</v>
      </c>
      <c r="J250" s="7">
        <v>6.492197640117995</v>
      </c>
    </row>
    <row r="251" spans="1:10">
      <c r="A251" t="s">
        <v>1174</v>
      </c>
      <c r="B251" t="s">
        <v>1307</v>
      </c>
      <c r="C251" t="s">
        <v>2259</v>
      </c>
      <c r="D251">
        <v>6</v>
      </c>
      <c r="E251" t="s">
        <v>2212</v>
      </c>
      <c r="F251" t="s">
        <v>67</v>
      </c>
      <c r="G251" t="s">
        <v>67</v>
      </c>
      <c r="H251">
        <v>1.1299999999999999</v>
      </c>
      <c r="I251" s="7">
        <v>5.1312035398230096</v>
      </c>
      <c r="J251" s="7">
        <v>1.8853392330383494</v>
      </c>
    </row>
    <row r="252" spans="1:10">
      <c r="A252" t="s">
        <v>1174</v>
      </c>
      <c r="B252" t="s">
        <v>1283</v>
      </c>
      <c r="C252" t="s">
        <v>2260</v>
      </c>
      <c r="D252">
        <v>6</v>
      </c>
      <c r="E252" t="s">
        <v>2212</v>
      </c>
      <c r="F252" t="s">
        <v>67</v>
      </c>
      <c r="G252" t="s">
        <v>67</v>
      </c>
      <c r="H252">
        <v>0.72</v>
      </c>
      <c r="I252" s="7">
        <v>4.290486111111111</v>
      </c>
      <c r="J252" s="7">
        <v>0.48414351851851833</v>
      </c>
    </row>
    <row r="253" spans="1:10">
      <c r="A253" t="s">
        <v>1174</v>
      </c>
      <c r="B253" t="s">
        <v>1281</v>
      </c>
      <c r="C253" t="s">
        <v>2261</v>
      </c>
      <c r="D253">
        <v>6</v>
      </c>
      <c r="E253" t="s">
        <v>2212</v>
      </c>
      <c r="F253" t="s">
        <v>67</v>
      </c>
      <c r="G253" t="s">
        <v>67</v>
      </c>
      <c r="H253">
        <v>0.72</v>
      </c>
      <c r="I253" s="7">
        <v>4.379402777777778</v>
      </c>
      <c r="J253" s="7">
        <v>0.6323379629629633</v>
      </c>
    </row>
    <row r="254" spans="1:10">
      <c r="A254" t="s">
        <v>1174</v>
      </c>
      <c r="B254" t="s">
        <v>1279</v>
      </c>
      <c r="C254" t="s">
        <v>2262</v>
      </c>
      <c r="D254">
        <v>6</v>
      </c>
      <c r="E254" t="s">
        <v>2212</v>
      </c>
      <c r="F254" t="s">
        <v>67</v>
      </c>
      <c r="G254" t="s">
        <v>67</v>
      </c>
      <c r="H254">
        <v>1.1299999999999999</v>
      </c>
      <c r="I254" s="7">
        <v>5.8269203539823016</v>
      </c>
      <c r="J254" s="7">
        <v>3.0448672566371693</v>
      </c>
    </row>
    <row r="255" spans="1:10">
      <c r="A255" t="s">
        <v>1174</v>
      </c>
      <c r="B255" t="s">
        <v>1277</v>
      </c>
      <c r="C255" t="s">
        <v>2263</v>
      </c>
      <c r="D255">
        <v>6</v>
      </c>
      <c r="E255" t="s">
        <v>2212</v>
      </c>
      <c r="F255" t="s">
        <v>67</v>
      </c>
      <c r="G255" t="s">
        <v>67</v>
      </c>
      <c r="H255">
        <v>1.1299999999999999</v>
      </c>
      <c r="I255" s="7">
        <v>5.5015929203539828</v>
      </c>
      <c r="J255" s="7">
        <v>2.5026548672566382</v>
      </c>
    </row>
    <row r="256" spans="1:10">
      <c r="A256" t="s">
        <v>1174</v>
      </c>
      <c r="B256" t="s">
        <v>1238</v>
      </c>
      <c r="C256" t="s">
        <v>2266</v>
      </c>
      <c r="D256">
        <v>6</v>
      </c>
      <c r="E256" t="s">
        <v>2212</v>
      </c>
      <c r="F256" t="s">
        <v>67</v>
      </c>
      <c r="G256" t="s">
        <v>67</v>
      </c>
      <c r="H256">
        <v>1.1299999999999999</v>
      </c>
      <c r="I256" s="7">
        <v>7.126424778761062</v>
      </c>
      <c r="J256" s="7">
        <v>5.2107079646017702</v>
      </c>
    </row>
    <row r="257" spans="1:10">
      <c r="A257" t="s">
        <v>1174</v>
      </c>
      <c r="B257" t="s">
        <v>1192</v>
      </c>
      <c r="C257" t="s">
        <v>2267</v>
      </c>
      <c r="D257">
        <v>6</v>
      </c>
      <c r="E257" t="s">
        <v>2212</v>
      </c>
      <c r="F257" t="s">
        <v>67</v>
      </c>
      <c r="G257" t="s">
        <v>67</v>
      </c>
      <c r="H257">
        <v>0.72</v>
      </c>
      <c r="I257" s="7">
        <v>3.7113750000000003</v>
      </c>
      <c r="J257" s="7">
        <v>-0.48104166666666615</v>
      </c>
    </row>
    <row r="258" spans="1:10">
      <c r="A258" t="s">
        <v>1174</v>
      </c>
      <c r="B258" t="s">
        <v>1190</v>
      </c>
      <c r="C258" t="s">
        <v>2268</v>
      </c>
      <c r="D258">
        <v>6</v>
      </c>
      <c r="E258" t="s">
        <v>2212</v>
      </c>
      <c r="F258" t="s">
        <v>67</v>
      </c>
      <c r="G258" t="s">
        <v>67</v>
      </c>
      <c r="H258">
        <v>0.72</v>
      </c>
      <c r="I258" s="7">
        <v>3.1706805555555557</v>
      </c>
      <c r="J258" s="7">
        <v>-1.3821990740740739</v>
      </c>
    </row>
    <row r="259" spans="1:10">
      <c r="A259" t="s">
        <v>1174</v>
      </c>
      <c r="B259" t="s">
        <v>1182</v>
      </c>
      <c r="C259" t="s">
        <v>2269</v>
      </c>
      <c r="D259">
        <v>6</v>
      </c>
      <c r="E259" t="s">
        <v>2212</v>
      </c>
      <c r="F259" t="s">
        <v>67</v>
      </c>
      <c r="G259" t="s">
        <v>67</v>
      </c>
      <c r="H259">
        <v>1.1299999999999999</v>
      </c>
      <c r="I259" s="7">
        <v>3.2967345132743366</v>
      </c>
      <c r="J259" s="7">
        <v>-1.1721091445427723</v>
      </c>
    </row>
    <row r="260" spans="1:10">
      <c r="A260" t="s">
        <v>1174</v>
      </c>
      <c r="B260" t="s">
        <v>1180</v>
      </c>
      <c r="C260" t="s">
        <v>2270</v>
      </c>
      <c r="D260">
        <v>6</v>
      </c>
      <c r="E260" t="s">
        <v>2212</v>
      </c>
      <c r="F260" t="s">
        <v>67</v>
      </c>
      <c r="G260" t="s">
        <v>67</v>
      </c>
      <c r="H260">
        <v>1.1299999999999999</v>
      </c>
      <c r="I260" s="7">
        <v>3.1751415929203541</v>
      </c>
      <c r="J260" s="7">
        <v>-1.3747640117994098</v>
      </c>
    </row>
    <row r="261" spans="1:10">
      <c r="A261" t="s">
        <v>1174</v>
      </c>
      <c r="B261" t="s">
        <v>1568</v>
      </c>
      <c r="C261" t="s">
        <v>2304</v>
      </c>
      <c r="D261">
        <v>5</v>
      </c>
      <c r="E261" t="s">
        <v>2305</v>
      </c>
      <c r="F261" t="s">
        <v>67</v>
      </c>
      <c r="G261" t="s">
        <v>67</v>
      </c>
      <c r="H261">
        <v>1.1299999999999999</v>
      </c>
      <c r="I261" s="7">
        <v>6.8285044247787621</v>
      </c>
      <c r="J261" s="7">
        <v>4.7141740412979374</v>
      </c>
    </row>
    <row r="262" spans="1:10">
      <c r="A262" t="s">
        <v>1174</v>
      </c>
      <c r="B262" t="s">
        <v>1560</v>
      </c>
      <c r="C262" t="s">
        <v>2306</v>
      </c>
      <c r="D262">
        <v>5</v>
      </c>
      <c r="E262" t="s">
        <v>2305</v>
      </c>
      <c r="F262" t="s">
        <v>67</v>
      </c>
      <c r="G262" t="s">
        <v>67</v>
      </c>
      <c r="H262">
        <v>1.1299999999999999</v>
      </c>
      <c r="I262" s="7">
        <v>5.2871858407079655</v>
      </c>
      <c r="J262" s="7">
        <v>2.1453097345132761</v>
      </c>
    </row>
    <row r="263" spans="1:10">
      <c r="A263" t="s">
        <v>1174</v>
      </c>
      <c r="B263" t="s">
        <v>1556</v>
      </c>
      <c r="C263" t="s">
        <v>2307</v>
      </c>
      <c r="D263">
        <v>5</v>
      </c>
      <c r="E263" t="s">
        <v>2305</v>
      </c>
      <c r="F263" t="s">
        <v>67</v>
      </c>
      <c r="G263" t="s">
        <v>67</v>
      </c>
      <c r="H263">
        <v>1.1299999999999999</v>
      </c>
      <c r="I263" s="7">
        <v>6.0484070796460179</v>
      </c>
      <c r="J263" s="7">
        <v>3.4140117994100301</v>
      </c>
    </row>
    <row r="264" spans="1:10">
      <c r="A264" t="s">
        <v>1174</v>
      </c>
      <c r="B264" t="s">
        <v>1554</v>
      </c>
      <c r="C264" t="s">
        <v>2308</v>
      </c>
      <c r="D264">
        <v>5</v>
      </c>
      <c r="E264" t="s">
        <v>2305</v>
      </c>
      <c r="F264" t="s">
        <v>67</v>
      </c>
      <c r="G264" t="s">
        <v>67</v>
      </c>
      <c r="H264">
        <v>0.72</v>
      </c>
      <c r="I264" s="7">
        <v>4.8111805555555565</v>
      </c>
      <c r="J264" s="7">
        <v>1.3519675925925942</v>
      </c>
    </row>
    <row r="265" spans="1:10">
      <c r="A265" t="s">
        <v>1174</v>
      </c>
      <c r="B265" t="s">
        <v>1550</v>
      </c>
      <c r="C265" t="s">
        <v>2309</v>
      </c>
      <c r="D265">
        <v>5</v>
      </c>
      <c r="E265" t="s">
        <v>2305</v>
      </c>
      <c r="F265" t="s">
        <v>67</v>
      </c>
      <c r="G265" t="s">
        <v>67</v>
      </c>
      <c r="H265">
        <v>0.72</v>
      </c>
      <c r="I265" s="7">
        <v>4.6213055555555558</v>
      </c>
      <c r="J265" s="7">
        <v>1.0355092592592596</v>
      </c>
    </row>
    <row r="266" spans="1:10">
      <c r="A266" t="s">
        <v>1174</v>
      </c>
      <c r="B266" t="s">
        <v>1546</v>
      </c>
      <c r="C266" t="s">
        <v>2312</v>
      </c>
      <c r="D266">
        <v>5</v>
      </c>
      <c r="E266" t="s">
        <v>2305</v>
      </c>
      <c r="F266" t="s">
        <v>67</v>
      </c>
      <c r="G266" t="s">
        <v>67</v>
      </c>
      <c r="H266">
        <v>0.72</v>
      </c>
      <c r="I266" s="7">
        <v>6.9745833333333334</v>
      </c>
      <c r="J266" s="7">
        <v>4.9576388888888889</v>
      </c>
    </row>
    <row r="267" spans="1:10">
      <c r="A267" t="s">
        <v>1174</v>
      </c>
      <c r="B267" t="s">
        <v>1544</v>
      </c>
      <c r="C267" t="s">
        <v>2313</v>
      </c>
      <c r="D267">
        <v>5</v>
      </c>
      <c r="E267" t="s">
        <v>2305</v>
      </c>
      <c r="F267" t="s">
        <v>67</v>
      </c>
      <c r="G267" t="s">
        <v>67</v>
      </c>
      <c r="H267">
        <v>1.1299999999999999</v>
      </c>
      <c r="I267" s="7">
        <v>7.919734513274336</v>
      </c>
      <c r="J267" s="7">
        <v>6.5328908554572269</v>
      </c>
    </row>
    <row r="268" spans="1:10">
      <c r="A268" t="s">
        <v>1174</v>
      </c>
      <c r="B268" t="s">
        <v>1542</v>
      </c>
      <c r="C268" t="s">
        <v>2314</v>
      </c>
      <c r="D268">
        <v>5</v>
      </c>
      <c r="E268" t="s">
        <v>2305</v>
      </c>
      <c r="F268" t="s">
        <v>67</v>
      </c>
      <c r="G268" t="s">
        <v>67</v>
      </c>
      <c r="H268">
        <v>1.1299999999999999</v>
      </c>
      <c r="I268" s="7">
        <v>8.834398230088496</v>
      </c>
      <c r="J268" s="7">
        <v>8.0573303834808279</v>
      </c>
    </row>
    <row r="269" spans="1:10">
      <c r="A269" t="s">
        <v>1174</v>
      </c>
      <c r="B269" t="s">
        <v>1208</v>
      </c>
      <c r="C269" t="s">
        <v>2315</v>
      </c>
      <c r="D269">
        <v>4</v>
      </c>
      <c r="E269" t="s">
        <v>2316</v>
      </c>
      <c r="F269" t="s">
        <v>67</v>
      </c>
      <c r="G269" t="s">
        <v>67</v>
      </c>
      <c r="H269">
        <v>0.72</v>
      </c>
      <c r="I269" s="7">
        <v>5.1777500000000005</v>
      </c>
      <c r="J269" s="7">
        <v>1.9629166666666675</v>
      </c>
    </row>
    <row r="270" spans="1:10">
      <c r="A270" t="s">
        <v>1174</v>
      </c>
      <c r="B270" t="s">
        <v>1210</v>
      </c>
      <c r="C270" t="s">
        <v>2317</v>
      </c>
      <c r="D270">
        <v>4</v>
      </c>
      <c r="E270" t="s">
        <v>2316</v>
      </c>
      <c r="F270" t="s">
        <v>67</v>
      </c>
      <c r="G270" t="s">
        <v>67</v>
      </c>
      <c r="H270">
        <v>0.72</v>
      </c>
      <c r="I270" s="7">
        <v>5.7765555555555554</v>
      </c>
      <c r="J270" s="7">
        <v>2.9609259259259257</v>
      </c>
    </row>
    <row r="271" spans="1:10">
      <c r="A271" t="s">
        <v>1174</v>
      </c>
      <c r="B271" t="s">
        <v>1222</v>
      </c>
      <c r="C271" t="s">
        <v>2318</v>
      </c>
      <c r="D271">
        <v>4</v>
      </c>
      <c r="E271" t="s">
        <v>2316</v>
      </c>
      <c r="F271" t="s">
        <v>67</v>
      </c>
      <c r="G271" t="s">
        <v>67</v>
      </c>
      <c r="H271">
        <v>1.1299999999999999</v>
      </c>
      <c r="I271" s="7">
        <v>10.483707964601772</v>
      </c>
      <c r="J271" s="7">
        <v>10.806179941002954</v>
      </c>
    </row>
    <row r="272" spans="1:10">
      <c r="A272" t="s">
        <v>1174</v>
      </c>
      <c r="B272" t="s">
        <v>1226</v>
      </c>
      <c r="C272" t="s">
        <v>2319</v>
      </c>
      <c r="D272">
        <v>4</v>
      </c>
      <c r="E272" t="s">
        <v>2316</v>
      </c>
      <c r="F272" t="s">
        <v>67</v>
      </c>
      <c r="G272" t="s">
        <v>67</v>
      </c>
      <c r="H272">
        <v>1.1299999999999999</v>
      </c>
      <c r="I272" s="7">
        <v>9.9499380530973465</v>
      </c>
      <c r="J272" s="7">
        <v>9.9165634218289114</v>
      </c>
    </row>
    <row r="273" spans="1:10">
      <c r="A273" t="s">
        <v>1174</v>
      </c>
      <c r="B273" t="s">
        <v>1423</v>
      </c>
      <c r="C273" t="s">
        <v>2320</v>
      </c>
      <c r="D273">
        <v>4</v>
      </c>
      <c r="E273" t="s">
        <v>2316</v>
      </c>
      <c r="F273" t="s">
        <v>67</v>
      </c>
      <c r="G273" t="s">
        <v>67</v>
      </c>
      <c r="H273">
        <v>0.72</v>
      </c>
      <c r="I273" s="7">
        <v>6.4425833333333333</v>
      </c>
      <c r="J273" s="7">
        <v>4.0709722222222222</v>
      </c>
    </row>
    <row r="274" spans="1:10">
      <c r="A274" t="s">
        <v>1174</v>
      </c>
      <c r="B274" t="s">
        <v>1428</v>
      </c>
      <c r="C274" t="s">
        <v>2321</v>
      </c>
      <c r="D274">
        <v>4</v>
      </c>
      <c r="E274" t="s">
        <v>2316</v>
      </c>
      <c r="F274" t="s">
        <v>67</v>
      </c>
      <c r="G274" t="s">
        <v>67</v>
      </c>
      <c r="H274">
        <v>0.72</v>
      </c>
      <c r="I274" s="7">
        <v>6.0539722222222228</v>
      </c>
      <c r="J274" s="7">
        <v>3.4232870370370381</v>
      </c>
    </row>
    <row r="275" spans="1:10">
      <c r="A275" t="s">
        <v>1174</v>
      </c>
      <c r="B275" t="s">
        <v>1446</v>
      </c>
      <c r="C275" t="s">
        <v>2322</v>
      </c>
      <c r="D275">
        <v>4</v>
      </c>
      <c r="E275" t="s">
        <v>2316</v>
      </c>
      <c r="F275" t="s">
        <v>67</v>
      </c>
      <c r="G275" t="s">
        <v>67</v>
      </c>
      <c r="H275">
        <v>1.1299999999999999</v>
      </c>
      <c r="I275" s="7">
        <v>8.4893097345132755</v>
      </c>
      <c r="J275" s="7">
        <v>7.4821828908554595</v>
      </c>
    </row>
    <row r="276" spans="1:10">
      <c r="A276" t="s">
        <v>1174</v>
      </c>
      <c r="B276" t="s">
        <v>1448</v>
      </c>
      <c r="C276" t="s">
        <v>2323</v>
      </c>
      <c r="D276">
        <v>4</v>
      </c>
      <c r="E276" t="s">
        <v>2316</v>
      </c>
      <c r="F276" t="s">
        <v>67</v>
      </c>
      <c r="G276" t="s">
        <v>67</v>
      </c>
      <c r="H276">
        <v>0.72</v>
      </c>
      <c r="I276" s="7">
        <v>6.4069722222222234</v>
      </c>
      <c r="J276" s="7">
        <v>4.0116203703703723</v>
      </c>
    </row>
    <row r="277" spans="1:10">
      <c r="A277" t="s">
        <v>1174</v>
      </c>
      <c r="B277" t="s">
        <v>1462</v>
      </c>
      <c r="C277" t="s">
        <v>2324</v>
      </c>
      <c r="D277">
        <v>4</v>
      </c>
      <c r="E277" t="s">
        <v>2316</v>
      </c>
      <c r="F277" t="s">
        <v>67</v>
      </c>
      <c r="G277" t="s">
        <v>67</v>
      </c>
      <c r="H277">
        <v>1.1299999999999999</v>
      </c>
      <c r="I277" s="7">
        <v>8.0369469026548668</v>
      </c>
      <c r="J277" s="7">
        <v>6.7282448377581119</v>
      </c>
    </row>
    <row r="278" spans="1:10">
      <c r="A278" t="s">
        <v>1174</v>
      </c>
      <c r="B278" t="s">
        <v>1470</v>
      </c>
      <c r="C278" t="s">
        <v>2325</v>
      </c>
      <c r="D278">
        <v>4</v>
      </c>
      <c r="E278" t="s">
        <v>2316</v>
      </c>
      <c r="F278" t="s">
        <v>67</v>
      </c>
      <c r="G278" t="s">
        <v>67</v>
      </c>
      <c r="H278">
        <v>1.1299999999999999</v>
      </c>
      <c r="I278" s="7">
        <v>9.6466548672566379</v>
      </c>
      <c r="J278" s="7">
        <v>9.411091445427731</v>
      </c>
    </row>
    <row r="279" spans="1:10">
      <c r="A279" t="s">
        <v>1174</v>
      </c>
      <c r="B279" t="s">
        <v>1562</v>
      </c>
      <c r="C279" t="s">
        <v>2326</v>
      </c>
      <c r="D279">
        <v>4</v>
      </c>
      <c r="E279" t="s">
        <v>2316</v>
      </c>
      <c r="F279" t="s">
        <v>67</v>
      </c>
      <c r="G279" t="s">
        <v>67</v>
      </c>
      <c r="H279">
        <v>0.72</v>
      </c>
      <c r="I279" s="7">
        <v>6.6172222222222219</v>
      </c>
      <c r="J279" s="7">
        <v>4.3620370370370365</v>
      </c>
    </row>
    <row r="280" spans="1:10">
      <c r="A280" t="s">
        <v>1174</v>
      </c>
      <c r="B280" t="s">
        <v>1536</v>
      </c>
      <c r="C280" t="s">
        <v>2327</v>
      </c>
      <c r="D280">
        <v>5</v>
      </c>
      <c r="E280" t="s">
        <v>2305</v>
      </c>
      <c r="F280" t="s">
        <v>67</v>
      </c>
      <c r="G280" t="s">
        <v>67</v>
      </c>
      <c r="H280">
        <v>0.72</v>
      </c>
      <c r="I280" s="7">
        <v>7.109430555555555</v>
      </c>
      <c r="J280" s="7">
        <v>5.1823842592592584</v>
      </c>
    </row>
    <row r="281" spans="1:10">
      <c r="A281" t="s">
        <v>1174</v>
      </c>
      <c r="B281" t="s">
        <v>1532</v>
      </c>
      <c r="C281" t="s">
        <v>2328</v>
      </c>
      <c r="D281">
        <v>5</v>
      </c>
      <c r="E281" t="s">
        <v>2305</v>
      </c>
      <c r="F281" t="s">
        <v>67</v>
      </c>
      <c r="G281" t="s">
        <v>67</v>
      </c>
      <c r="H281">
        <v>0.72</v>
      </c>
      <c r="I281" s="7">
        <v>6.1501250000000001</v>
      </c>
      <c r="J281" s="7">
        <v>3.5835416666666671</v>
      </c>
    </row>
    <row r="282" spans="1:10">
      <c r="A282" t="s">
        <v>1174</v>
      </c>
      <c r="B282" t="s">
        <v>1530</v>
      </c>
      <c r="C282" t="s">
        <v>2329</v>
      </c>
      <c r="D282">
        <v>5</v>
      </c>
      <c r="E282" t="s">
        <v>2305</v>
      </c>
      <c r="F282" t="s">
        <v>67</v>
      </c>
      <c r="G282" t="s">
        <v>67</v>
      </c>
      <c r="H282">
        <v>1.1299999999999999</v>
      </c>
      <c r="I282" s="7">
        <v>7.4836725663716823</v>
      </c>
      <c r="J282" s="7">
        <v>5.8061209439528039</v>
      </c>
    </row>
    <row r="283" spans="1:10">
      <c r="A283" t="s">
        <v>1174</v>
      </c>
      <c r="B283" t="s">
        <v>1468</v>
      </c>
      <c r="C283" t="s">
        <v>2330</v>
      </c>
      <c r="D283">
        <v>5</v>
      </c>
      <c r="E283" t="s">
        <v>2305</v>
      </c>
      <c r="F283" t="s">
        <v>67</v>
      </c>
      <c r="G283" t="s">
        <v>67</v>
      </c>
      <c r="H283">
        <v>0.72</v>
      </c>
      <c r="I283" s="7">
        <v>5.6074722222222224</v>
      </c>
      <c r="J283" s="7">
        <v>2.679120370370371</v>
      </c>
    </row>
    <row r="284" spans="1:10">
      <c r="A284" t="s">
        <v>1174</v>
      </c>
      <c r="B284" t="s">
        <v>1460</v>
      </c>
      <c r="C284" t="s">
        <v>2331</v>
      </c>
      <c r="D284">
        <v>5</v>
      </c>
      <c r="E284" t="s">
        <v>2305</v>
      </c>
      <c r="F284" t="s">
        <v>67</v>
      </c>
      <c r="G284" t="s">
        <v>67</v>
      </c>
      <c r="H284">
        <v>1.1299999999999999</v>
      </c>
      <c r="I284" s="7">
        <v>9.6553628318584082</v>
      </c>
      <c r="J284" s="7">
        <v>9.4256047197640136</v>
      </c>
    </row>
    <row r="285" spans="1:10">
      <c r="A285" t="s">
        <v>1174</v>
      </c>
      <c r="B285" t="s">
        <v>1454</v>
      </c>
      <c r="C285" t="s">
        <v>2332</v>
      </c>
      <c r="D285">
        <v>5</v>
      </c>
      <c r="E285" t="s">
        <v>2305</v>
      </c>
      <c r="F285" t="s">
        <v>67</v>
      </c>
      <c r="G285" t="s">
        <v>67</v>
      </c>
      <c r="H285">
        <v>1.1299999999999999</v>
      </c>
      <c r="I285" s="7">
        <v>8.5474070796460175</v>
      </c>
      <c r="J285" s="7">
        <v>7.5790117994100292</v>
      </c>
    </row>
    <row r="286" spans="1:10">
      <c r="A286" t="s">
        <v>1174</v>
      </c>
      <c r="B286" t="s">
        <v>1452</v>
      </c>
      <c r="C286" t="s">
        <v>2333</v>
      </c>
      <c r="D286">
        <v>5</v>
      </c>
      <c r="E286" t="s">
        <v>2305</v>
      </c>
      <c r="F286" t="s">
        <v>67</v>
      </c>
      <c r="G286" t="s">
        <v>67</v>
      </c>
      <c r="H286">
        <v>0.72</v>
      </c>
      <c r="I286" s="7">
        <v>6.1246111111111112</v>
      </c>
      <c r="J286" s="7">
        <v>3.541018518518519</v>
      </c>
    </row>
    <row r="287" spans="1:10">
      <c r="A287" t="s">
        <v>1174</v>
      </c>
      <c r="B287" t="s">
        <v>1450</v>
      </c>
      <c r="C287" t="s">
        <v>2334</v>
      </c>
      <c r="D287">
        <v>5</v>
      </c>
      <c r="E287" t="s">
        <v>2305</v>
      </c>
      <c r="F287" t="s">
        <v>67</v>
      </c>
      <c r="G287" t="s">
        <v>67</v>
      </c>
      <c r="H287">
        <v>1.1299999999999999</v>
      </c>
      <c r="I287" s="7">
        <v>10.665699115044248</v>
      </c>
      <c r="J287" s="7">
        <v>11.109498525073747</v>
      </c>
    </row>
    <row r="288" spans="1:10">
      <c r="A288" t="s">
        <v>1174</v>
      </c>
      <c r="B288" t="s">
        <v>1438</v>
      </c>
      <c r="C288" t="s">
        <v>2335</v>
      </c>
      <c r="D288">
        <v>5</v>
      </c>
      <c r="E288" t="s">
        <v>2305</v>
      </c>
      <c r="F288" t="s">
        <v>67</v>
      </c>
      <c r="G288" t="s">
        <v>67</v>
      </c>
      <c r="H288">
        <v>0.72</v>
      </c>
      <c r="I288" s="7">
        <v>6.8775694444444451</v>
      </c>
      <c r="J288" s="7">
        <v>4.7959490740740751</v>
      </c>
    </row>
    <row r="289" spans="1:10">
      <c r="A289" t="s">
        <v>1174</v>
      </c>
      <c r="B289" t="s">
        <v>1436</v>
      </c>
      <c r="C289" t="s">
        <v>2336</v>
      </c>
      <c r="D289">
        <v>5</v>
      </c>
      <c r="E289" t="s">
        <v>2305</v>
      </c>
      <c r="F289" t="s">
        <v>67</v>
      </c>
      <c r="G289" t="s">
        <v>67</v>
      </c>
      <c r="H289">
        <v>1.1299999999999999</v>
      </c>
      <c r="I289" s="7">
        <v>7.0548141592920359</v>
      </c>
      <c r="J289" s="7">
        <v>5.0913569321533938</v>
      </c>
    </row>
    <row r="290" spans="1:10">
      <c r="A290" t="s">
        <v>1174</v>
      </c>
      <c r="B290" t="s">
        <v>1430</v>
      </c>
      <c r="C290" t="s">
        <v>2337</v>
      </c>
      <c r="D290">
        <v>5</v>
      </c>
      <c r="E290" t="s">
        <v>2305</v>
      </c>
      <c r="F290" t="s">
        <v>67</v>
      </c>
      <c r="G290" t="s">
        <v>67</v>
      </c>
      <c r="H290">
        <v>0.72</v>
      </c>
      <c r="I290" s="7">
        <v>9.1990138888888886</v>
      </c>
      <c r="J290" s="7">
        <v>8.6650231481481477</v>
      </c>
    </row>
    <row r="291" spans="1:10">
      <c r="A291" t="s">
        <v>1174</v>
      </c>
      <c r="B291" t="s">
        <v>1426</v>
      </c>
      <c r="C291" t="s">
        <v>2340</v>
      </c>
      <c r="D291">
        <v>5</v>
      </c>
      <c r="E291" t="s">
        <v>2305</v>
      </c>
      <c r="F291" t="s">
        <v>67</v>
      </c>
      <c r="G291" t="s">
        <v>67</v>
      </c>
      <c r="H291">
        <v>0.72</v>
      </c>
      <c r="I291" s="7">
        <v>6.9358055555555556</v>
      </c>
      <c r="J291" s="7">
        <v>4.8930092592592596</v>
      </c>
    </row>
    <row r="292" spans="1:10">
      <c r="A292" t="s">
        <v>1174</v>
      </c>
      <c r="B292" t="s">
        <v>1413</v>
      </c>
      <c r="C292" t="s">
        <v>2341</v>
      </c>
      <c r="D292">
        <v>5</v>
      </c>
      <c r="E292" t="s">
        <v>2305</v>
      </c>
      <c r="F292" t="s">
        <v>67</v>
      </c>
      <c r="G292" t="s">
        <v>67</v>
      </c>
      <c r="H292">
        <v>1.1299999999999999</v>
      </c>
      <c r="I292" s="7">
        <v>7.3515663716814172</v>
      </c>
      <c r="J292" s="7">
        <v>5.5859439528023627</v>
      </c>
    </row>
    <row r="293" spans="1:10">
      <c r="A293" t="s">
        <v>1174</v>
      </c>
      <c r="B293" t="s">
        <v>1362</v>
      </c>
      <c r="C293" t="s">
        <v>2342</v>
      </c>
      <c r="D293">
        <v>5</v>
      </c>
      <c r="E293" t="s">
        <v>2305</v>
      </c>
      <c r="F293" t="s">
        <v>67</v>
      </c>
      <c r="G293" t="s">
        <v>67</v>
      </c>
      <c r="H293">
        <v>0.72</v>
      </c>
      <c r="I293" s="7">
        <v>6.7899305555555554</v>
      </c>
      <c r="J293" s="7">
        <v>4.6498842592592595</v>
      </c>
    </row>
    <row r="294" spans="1:10">
      <c r="A294" t="s">
        <v>1174</v>
      </c>
      <c r="B294" t="s">
        <v>1358</v>
      </c>
      <c r="C294" t="s">
        <v>2343</v>
      </c>
      <c r="D294">
        <v>5</v>
      </c>
      <c r="E294" t="s">
        <v>2305</v>
      </c>
      <c r="F294" t="s">
        <v>67</v>
      </c>
      <c r="G294" t="s">
        <v>67</v>
      </c>
      <c r="H294">
        <v>0.72</v>
      </c>
      <c r="I294" s="7">
        <v>6.9570833333333342</v>
      </c>
      <c r="J294" s="7">
        <v>4.9284722222222239</v>
      </c>
    </row>
    <row r="295" spans="1:10">
      <c r="A295" t="s">
        <v>1174</v>
      </c>
      <c r="B295" t="s">
        <v>1356</v>
      </c>
      <c r="C295" t="s">
        <v>2344</v>
      </c>
      <c r="D295">
        <v>5</v>
      </c>
      <c r="E295" t="s">
        <v>2305</v>
      </c>
      <c r="F295" t="s">
        <v>67</v>
      </c>
      <c r="G295" t="s">
        <v>67</v>
      </c>
      <c r="H295">
        <v>1.1299999999999999</v>
      </c>
      <c r="I295" s="7">
        <v>7.7662212389380532</v>
      </c>
      <c r="J295" s="7">
        <v>6.2770353982300886</v>
      </c>
    </row>
    <row r="296" spans="1:10">
      <c r="A296" t="s">
        <v>1174</v>
      </c>
      <c r="B296" t="s">
        <v>1352</v>
      </c>
      <c r="C296" t="s">
        <v>2345</v>
      </c>
      <c r="D296">
        <v>5</v>
      </c>
      <c r="E296" t="s">
        <v>2305</v>
      </c>
      <c r="F296" t="s">
        <v>67</v>
      </c>
      <c r="G296" t="s">
        <v>67</v>
      </c>
      <c r="H296">
        <v>0.72</v>
      </c>
      <c r="I296" s="7">
        <v>6.2116111111111119</v>
      </c>
      <c r="J296" s="7">
        <v>3.6860185185185199</v>
      </c>
    </row>
    <row r="297" spans="1:10">
      <c r="A297" t="s">
        <v>1174</v>
      </c>
      <c r="B297" t="s">
        <v>1350</v>
      </c>
      <c r="C297" t="s">
        <v>2351</v>
      </c>
      <c r="D297">
        <v>5</v>
      </c>
      <c r="E297" t="s">
        <v>2305</v>
      </c>
      <c r="F297" t="s">
        <v>67</v>
      </c>
      <c r="G297" t="s">
        <v>67</v>
      </c>
      <c r="H297">
        <v>1.1299999999999999</v>
      </c>
      <c r="I297" s="7">
        <v>7.661522123893806</v>
      </c>
      <c r="J297" s="7">
        <v>6.1025368731563434</v>
      </c>
    </row>
    <row r="298" spans="1:10">
      <c r="A298" t="s">
        <v>1174</v>
      </c>
      <c r="B298" t="s">
        <v>1346</v>
      </c>
      <c r="C298" t="s">
        <v>2352</v>
      </c>
      <c r="D298">
        <v>5</v>
      </c>
      <c r="E298" t="s">
        <v>2305</v>
      </c>
      <c r="F298" t="s">
        <v>67</v>
      </c>
      <c r="G298" t="s">
        <v>67</v>
      </c>
      <c r="H298">
        <v>1.1299999999999999</v>
      </c>
      <c r="I298" s="7">
        <v>9.5306194690265507</v>
      </c>
      <c r="J298" s="7">
        <v>9.2176991150442511</v>
      </c>
    </row>
    <row r="299" spans="1:10">
      <c r="A299" t="s">
        <v>1174</v>
      </c>
      <c r="B299" t="s">
        <v>1272</v>
      </c>
      <c r="C299" t="s">
        <v>2353</v>
      </c>
      <c r="D299">
        <v>5</v>
      </c>
      <c r="E299" t="s">
        <v>2305</v>
      </c>
      <c r="F299" t="s">
        <v>67</v>
      </c>
      <c r="G299" t="s">
        <v>67</v>
      </c>
      <c r="H299">
        <v>1.1299999999999999</v>
      </c>
      <c r="I299" s="7">
        <v>6.3897610619469036</v>
      </c>
      <c r="J299" s="7">
        <v>3.9829351032448397</v>
      </c>
    </row>
    <row r="300" spans="1:10">
      <c r="A300" t="s">
        <v>1174</v>
      </c>
      <c r="B300" t="s">
        <v>1268</v>
      </c>
      <c r="C300" t="s">
        <v>2354</v>
      </c>
      <c r="D300">
        <v>5</v>
      </c>
      <c r="E300" t="s">
        <v>2305</v>
      </c>
      <c r="F300" t="s">
        <v>67</v>
      </c>
      <c r="G300" t="s">
        <v>67</v>
      </c>
      <c r="H300">
        <v>0.72</v>
      </c>
      <c r="I300" s="7">
        <v>6.6060138888888895</v>
      </c>
      <c r="J300" s="7">
        <v>4.3433564814814831</v>
      </c>
    </row>
    <row r="301" spans="1:10">
      <c r="A301" t="s">
        <v>1174</v>
      </c>
      <c r="B301" t="s">
        <v>1264</v>
      </c>
      <c r="C301" t="s">
        <v>2355</v>
      </c>
      <c r="D301">
        <v>5</v>
      </c>
      <c r="E301" t="s">
        <v>2305</v>
      </c>
      <c r="F301" t="s">
        <v>67</v>
      </c>
      <c r="G301" t="s">
        <v>67</v>
      </c>
      <c r="H301">
        <v>0.72</v>
      </c>
      <c r="I301" s="7">
        <v>6.4782777777777776</v>
      </c>
      <c r="J301" s="7">
        <v>4.1304629629629632</v>
      </c>
    </row>
    <row r="302" spans="1:10">
      <c r="A302" t="s">
        <v>1174</v>
      </c>
      <c r="B302" t="s">
        <v>1260</v>
      </c>
      <c r="C302" t="s">
        <v>2358</v>
      </c>
      <c r="D302">
        <v>5</v>
      </c>
      <c r="E302" t="s">
        <v>2305</v>
      </c>
      <c r="F302" t="s">
        <v>67</v>
      </c>
      <c r="G302" t="s">
        <v>67</v>
      </c>
      <c r="H302">
        <v>1.1299999999999999</v>
      </c>
      <c r="I302" s="7">
        <v>7.232893805309736</v>
      </c>
      <c r="J302" s="7">
        <v>5.388156342182894</v>
      </c>
    </row>
    <row r="303" spans="1:10">
      <c r="A303" t="s">
        <v>1174</v>
      </c>
      <c r="B303" t="s">
        <v>1254</v>
      </c>
      <c r="C303" t="s">
        <v>2359</v>
      </c>
      <c r="D303">
        <v>5</v>
      </c>
      <c r="E303" t="s">
        <v>2305</v>
      </c>
      <c r="F303" t="s">
        <v>67</v>
      </c>
      <c r="G303" t="s">
        <v>67</v>
      </c>
      <c r="H303">
        <v>1.1299999999999999</v>
      </c>
      <c r="I303" s="7">
        <v>8.2240442477876119</v>
      </c>
      <c r="J303" s="7">
        <v>7.0400737463126868</v>
      </c>
    </row>
    <row r="304" spans="1:10">
      <c r="A304" t="s">
        <v>1174</v>
      </c>
      <c r="B304" t="s">
        <v>1250</v>
      </c>
      <c r="C304" t="s">
        <v>2360</v>
      </c>
      <c r="D304">
        <v>5</v>
      </c>
      <c r="E304" t="s">
        <v>2305</v>
      </c>
      <c r="F304" t="s">
        <v>67</v>
      </c>
      <c r="G304" t="s">
        <v>67</v>
      </c>
      <c r="H304">
        <v>1.1299999999999999</v>
      </c>
      <c r="I304" s="7">
        <v>7.3095309734513281</v>
      </c>
      <c r="J304" s="7">
        <v>5.515884955752214</v>
      </c>
    </row>
    <row r="305" spans="1:10">
      <c r="A305" t="s">
        <v>1174</v>
      </c>
      <c r="B305" t="s">
        <v>1248</v>
      </c>
      <c r="C305" t="s">
        <v>2361</v>
      </c>
      <c r="D305">
        <v>5</v>
      </c>
      <c r="E305" t="s">
        <v>2305</v>
      </c>
      <c r="F305" t="s">
        <v>67</v>
      </c>
      <c r="G305" t="s">
        <v>67</v>
      </c>
      <c r="H305">
        <v>0.72</v>
      </c>
      <c r="I305" s="7">
        <v>6.7585555555555556</v>
      </c>
      <c r="J305" s="7">
        <v>4.5975925925925933</v>
      </c>
    </row>
    <row r="306" spans="1:10">
      <c r="A306" t="s">
        <v>1174</v>
      </c>
      <c r="B306" t="s">
        <v>1230</v>
      </c>
      <c r="C306" t="s">
        <v>2362</v>
      </c>
      <c r="D306">
        <v>5</v>
      </c>
      <c r="E306" t="s">
        <v>2305</v>
      </c>
      <c r="F306" t="s">
        <v>67</v>
      </c>
      <c r="G306" t="s">
        <v>67</v>
      </c>
      <c r="H306">
        <v>0.72</v>
      </c>
      <c r="I306" s="7">
        <v>6.3479722222222232</v>
      </c>
      <c r="J306" s="7">
        <v>3.9132870370370387</v>
      </c>
    </row>
    <row r="307" spans="1:10">
      <c r="A307" t="s">
        <v>1174</v>
      </c>
      <c r="B307" t="s">
        <v>1188</v>
      </c>
      <c r="C307" t="s">
        <v>2363</v>
      </c>
      <c r="D307">
        <v>5</v>
      </c>
      <c r="E307" t="s">
        <v>2305</v>
      </c>
      <c r="F307" t="s">
        <v>67</v>
      </c>
      <c r="G307" t="s">
        <v>67</v>
      </c>
      <c r="H307">
        <v>0.72</v>
      </c>
      <c r="I307" s="7">
        <v>2.3845694444444447</v>
      </c>
      <c r="J307" s="7">
        <v>-2.6923842592592591</v>
      </c>
    </row>
    <row r="308" spans="1:10">
      <c r="A308" t="s">
        <v>1174</v>
      </c>
      <c r="B308" t="s">
        <v>1186</v>
      </c>
      <c r="C308" t="s">
        <v>2364</v>
      </c>
      <c r="D308">
        <v>5</v>
      </c>
      <c r="E308" t="s">
        <v>2305</v>
      </c>
      <c r="F308" t="s">
        <v>67</v>
      </c>
      <c r="G308" t="s">
        <v>67</v>
      </c>
      <c r="H308">
        <v>1.1299999999999999</v>
      </c>
      <c r="I308" s="7">
        <v>3.0837610619469031</v>
      </c>
      <c r="J308" s="7">
        <v>-1.5270648967551614</v>
      </c>
    </row>
    <row r="309" spans="1:10">
      <c r="A309" t="s">
        <v>1174</v>
      </c>
      <c r="B309" t="s">
        <v>1184</v>
      </c>
      <c r="C309" t="s">
        <v>2365</v>
      </c>
      <c r="D309">
        <v>5</v>
      </c>
      <c r="E309" t="s">
        <v>2305</v>
      </c>
      <c r="F309" t="s">
        <v>67</v>
      </c>
      <c r="G309" t="s">
        <v>67</v>
      </c>
      <c r="H309">
        <v>0.72</v>
      </c>
      <c r="I309" s="7">
        <v>2.1116111111111109</v>
      </c>
      <c r="J309" s="7">
        <v>-3.1473148148148153</v>
      </c>
    </row>
    <row r="310" spans="1:10">
      <c r="A310" t="s">
        <v>1174</v>
      </c>
      <c r="B310" t="s">
        <v>1178</v>
      </c>
      <c r="C310" t="s">
        <v>2366</v>
      </c>
      <c r="D310">
        <v>5</v>
      </c>
      <c r="E310" t="s">
        <v>2305</v>
      </c>
      <c r="F310" t="s">
        <v>67</v>
      </c>
      <c r="G310" t="s">
        <v>67</v>
      </c>
      <c r="H310">
        <v>1.1299999999999999</v>
      </c>
      <c r="I310" s="7">
        <v>2.883690265486726</v>
      </c>
      <c r="J310" s="7">
        <v>-1.86051622418879</v>
      </c>
    </row>
    <row r="311" spans="1:10">
      <c r="A311" t="s">
        <v>760</v>
      </c>
      <c r="B311" t="s">
        <v>788</v>
      </c>
      <c r="C311" t="s">
        <v>1998</v>
      </c>
      <c r="D311">
        <v>10</v>
      </c>
      <c r="E311" t="s">
        <v>1999</v>
      </c>
      <c r="F311" t="s">
        <v>67</v>
      </c>
      <c r="G311" t="s">
        <v>67</v>
      </c>
      <c r="H311">
        <v>2</v>
      </c>
      <c r="I311" s="7">
        <v>4.0716549999999998</v>
      </c>
      <c r="J311" s="7">
        <v>0.11942499999999967</v>
      </c>
    </row>
    <row r="312" spans="1:10">
      <c r="A312" t="s">
        <v>760</v>
      </c>
      <c r="B312" t="s">
        <v>776</v>
      </c>
      <c r="C312" t="s">
        <v>2000</v>
      </c>
      <c r="D312">
        <v>10</v>
      </c>
      <c r="E312" t="s">
        <v>1999</v>
      </c>
      <c r="F312" t="s">
        <v>67</v>
      </c>
      <c r="G312" t="s">
        <v>67</v>
      </c>
      <c r="H312">
        <v>2</v>
      </c>
      <c r="I312" s="7">
        <v>3.346085</v>
      </c>
      <c r="J312" s="7">
        <v>-1.0898583333333334</v>
      </c>
    </row>
    <row r="313" spans="1:10">
      <c r="A313" t="s">
        <v>760</v>
      </c>
      <c r="B313" t="s">
        <v>780</v>
      </c>
      <c r="C313" t="s">
        <v>2120</v>
      </c>
      <c r="D313">
        <v>2</v>
      </c>
      <c r="E313" t="s">
        <v>2121</v>
      </c>
      <c r="F313" t="s">
        <v>67</v>
      </c>
      <c r="G313" t="s">
        <v>67</v>
      </c>
      <c r="H313">
        <v>2</v>
      </c>
      <c r="I313" s="7">
        <v>3.6077249999999998</v>
      </c>
      <c r="J313" s="7">
        <v>-0.65379166666666699</v>
      </c>
    </row>
    <row r="314" spans="1:10">
      <c r="A314" t="s">
        <v>760</v>
      </c>
      <c r="B314" t="s">
        <v>786</v>
      </c>
      <c r="C314" t="s">
        <v>2122</v>
      </c>
      <c r="D314">
        <v>2</v>
      </c>
      <c r="E314" t="s">
        <v>2121</v>
      </c>
      <c r="F314" t="s">
        <v>67</v>
      </c>
      <c r="G314" t="s">
        <v>67</v>
      </c>
      <c r="H314">
        <v>2</v>
      </c>
      <c r="I314" s="7">
        <v>3.9628049999999999</v>
      </c>
      <c r="J314" s="7">
        <v>-6.199166666666682E-2</v>
      </c>
    </row>
    <row r="315" spans="1:10">
      <c r="A315" t="s">
        <v>760</v>
      </c>
      <c r="B315" t="s">
        <v>793</v>
      </c>
      <c r="C315" t="s">
        <v>2166</v>
      </c>
      <c r="D315">
        <v>7</v>
      </c>
      <c r="E315" t="s">
        <v>2167</v>
      </c>
      <c r="F315" t="s">
        <v>67</v>
      </c>
      <c r="G315" t="s">
        <v>67</v>
      </c>
      <c r="H315">
        <v>2</v>
      </c>
      <c r="I315" s="7">
        <v>6.4621499999999994</v>
      </c>
      <c r="J315" s="7">
        <v>4.1035833333333329</v>
      </c>
    </row>
    <row r="316" spans="1:10">
      <c r="A316" t="s">
        <v>760</v>
      </c>
      <c r="B316" t="s">
        <v>790</v>
      </c>
      <c r="C316" t="s">
        <v>2168</v>
      </c>
      <c r="D316">
        <v>7</v>
      </c>
      <c r="E316" t="s">
        <v>2167</v>
      </c>
      <c r="F316" t="s">
        <v>67</v>
      </c>
      <c r="G316" t="s">
        <v>67</v>
      </c>
      <c r="H316">
        <v>2</v>
      </c>
      <c r="I316" s="7">
        <v>5.4654099999999994</v>
      </c>
      <c r="J316" s="7">
        <v>2.4423499999999994</v>
      </c>
    </row>
    <row r="317" spans="1:10">
      <c r="A317" t="s">
        <v>760</v>
      </c>
      <c r="B317" t="s">
        <v>796</v>
      </c>
      <c r="C317" t="s">
        <v>2209</v>
      </c>
      <c r="D317">
        <v>6</v>
      </c>
      <c r="E317" t="s">
        <v>2210</v>
      </c>
      <c r="F317" t="s">
        <v>67</v>
      </c>
      <c r="G317" t="s">
        <v>67</v>
      </c>
      <c r="H317">
        <v>2</v>
      </c>
      <c r="I317" s="7">
        <v>6.47058</v>
      </c>
      <c r="J317" s="7">
        <v>4.1176333333333339</v>
      </c>
    </row>
    <row r="318" spans="1:10">
      <c r="A318" t="s">
        <v>835</v>
      </c>
      <c r="B318" t="s">
        <v>1884</v>
      </c>
      <c r="C318" t="s">
        <v>1979</v>
      </c>
      <c r="D318">
        <v>11</v>
      </c>
      <c r="E318" t="s">
        <v>1980</v>
      </c>
      <c r="F318" t="s">
        <v>67</v>
      </c>
      <c r="G318" t="s">
        <v>67</v>
      </c>
      <c r="H318">
        <v>2</v>
      </c>
      <c r="I318" s="7">
        <v>8.7903700000000011</v>
      </c>
      <c r="J318" s="7">
        <v>7.9839500000000019</v>
      </c>
    </row>
    <row r="319" spans="1:10">
      <c r="A319" t="s">
        <v>835</v>
      </c>
      <c r="B319" t="s">
        <v>888</v>
      </c>
      <c r="C319" t="s">
        <v>1995</v>
      </c>
      <c r="D319">
        <v>10</v>
      </c>
      <c r="E319" t="s">
        <v>1996</v>
      </c>
      <c r="F319" t="s">
        <v>67</v>
      </c>
      <c r="G319" t="s">
        <v>67</v>
      </c>
      <c r="H319">
        <v>2</v>
      </c>
      <c r="I319" s="7">
        <v>10.32339</v>
      </c>
      <c r="J319" s="7">
        <v>10.538983333333334</v>
      </c>
    </row>
    <row r="320" spans="1:10">
      <c r="A320" t="s">
        <v>835</v>
      </c>
      <c r="B320" t="s">
        <v>886</v>
      </c>
      <c r="C320" t="s">
        <v>1997</v>
      </c>
      <c r="D320">
        <v>10</v>
      </c>
      <c r="E320" t="s">
        <v>1996</v>
      </c>
      <c r="F320" t="s">
        <v>67</v>
      </c>
      <c r="G320" t="s">
        <v>67</v>
      </c>
      <c r="H320">
        <v>2</v>
      </c>
      <c r="I320" s="7">
        <v>9.370569999999999</v>
      </c>
      <c r="J320" s="7">
        <v>8.9509499999999989</v>
      </c>
    </row>
    <row r="321" spans="1:10">
      <c r="A321" t="s">
        <v>835</v>
      </c>
      <c r="B321" t="s">
        <v>870</v>
      </c>
      <c r="C321" t="s">
        <v>2040</v>
      </c>
      <c r="D321">
        <v>1</v>
      </c>
      <c r="E321" t="s">
        <v>2041</v>
      </c>
      <c r="F321" t="s">
        <v>67</v>
      </c>
      <c r="G321" t="s">
        <v>67</v>
      </c>
      <c r="H321">
        <v>2</v>
      </c>
      <c r="I321" s="7">
        <v>1.80392</v>
      </c>
      <c r="J321" s="7">
        <v>-3.6601333333333339</v>
      </c>
    </row>
    <row r="322" spans="1:10">
      <c r="A322" t="s">
        <v>835</v>
      </c>
      <c r="B322" t="s">
        <v>882</v>
      </c>
      <c r="C322" t="s">
        <v>2068</v>
      </c>
      <c r="D322">
        <v>9</v>
      </c>
      <c r="E322" t="s">
        <v>2069</v>
      </c>
      <c r="F322" t="s">
        <v>67</v>
      </c>
      <c r="G322" t="s">
        <v>67</v>
      </c>
      <c r="H322">
        <v>1.85</v>
      </c>
      <c r="I322" s="7">
        <v>15.89927027027027</v>
      </c>
      <c r="J322" s="7">
        <v>19.832117117117118</v>
      </c>
    </row>
    <row r="323" spans="1:10">
      <c r="A323" t="s">
        <v>835</v>
      </c>
      <c r="B323" t="s">
        <v>872</v>
      </c>
      <c r="C323" t="s">
        <v>2128</v>
      </c>
      <c r="D323">
        <v>2</v>
      </c>
      <c r="E323" t="s">
        <v>2129</v>
      </c>
      <c r="F323" t="s">
        <v>67</v>
      </c>
      <c r="G323" t="s">
        <v>67</v>
      </c>
      <c r="H323">
        <v>2</v>
      </c>
      <c r="I323" s="7">
        <v>3.2405949999999999</v>
      </c>
      <c r="J323" s="7">
        <v>-1.2656750000000003</v>
      </c>
    </row>
    <row r="324" spans="1:10">
      <c r="A324" t="s">
        <v>835</v>
      </c>
      <c r="B324" t="s">
        <v>884</v>
      </c>
      <c r="C324" t="s">
        <v>2133</v>
      </c>
      <c r="D324">
        <v>8</v>
      </c>
      <c r="E324" t="s">
        <v>2134</v>
      </c>
      <c r="F324" t="s">
        <v>67</v>
      </c>
      <c r="G324" t="s">
        <v>67</v>
      </c>
      <c r="H324">
        <v>1.85</v>
      </c>
      <c r="I324" s="7">
        <v>11.046643243243242</v>
      </c>
      <c r="J324" s="7">
        <v>11.744405405405404</v>
      </c>
    </row>
    <row r="325" spans="1:10">
      <c r="A325" t="s">
        <v>835</v>
      </c>
      <c r="B325" t="s">
        <v>890</v>
      </c>
      <c r="C325" t="s">
        <v>2164</v>
      </c>
      <c r="D325">
        <v>7</v>
      </c>
      <c r="E325" t="s">
        <v>2165</v>
      </c>
      <c r="F325" t="s">
        <v>67</v>
      </c>
      <c r="G325" t="s">
        <v>67</v>
      </c>
      <c r="H325">
        <v>1.85</v>
      </c>
      <c r="I325" s="7">
        <v>7.7850000000000001</v>
      </c>
      <c r="J325" s="7">
        <v>6.3083333333333336</v>
      </c>
    </row>
    <row r="326" spans="1:10">
      <c r="A326" t="s">
        <v>835</v>
      </c>
      <c r="B326" t="s">
        <v>879</v>
      </c>
      <c r="C326" t="s">
        <v>2207</v>
      </c>
      <c r="D326">
        <v>6</v>
      </c>
      <c r="E326" t="s">
        <v>2208</v>
      </c>
      <c r="F326" t="s">
        <v>67</v>
      </c>
      <c r="G326" t="s">
        <v>67</v>
      </c>
      <c r="H326">
        <v>2</v>
      </c>
      <c r="I326" s="7">
        <v>11.41343</v>
      </c>
      <c r="J326" s="7">
        <v>12.355716666666668</v>
      </c>
    </row>
    <row r="327" spans="1:10">
      <c r="A327" t="s">
        <v>835</v>
      </c>
      <c r="B327" t="s">
        <v>892</v>
      </c>
      <c r="C327" t="s">
        <v>2238</v>
      </c>
      <c r="D327">
        <v>3</v>
      </c>
      <c r="E327" t="s">
        <v>2239</v>
      </c>
      <c r="F327" t="s">
        <v>67</v>
      </c>
      <c r="G327" t="s">
        <v>67</v>
      </c>
      <c r="H327">
        <v>2</v>
      </c>
      <c r="I327" s="7">
        <v>0</v>
      </c>
      <c r="J327" s="7">
        <v>0</v>
      </c>
    </row>
    <row r="328" spans="1:10">
      <c r="A328" t="s">
        <v>835</v>
      </c>
      <c r="B328" t="s">
        <v>878</v>
      </c>
      <c r="C328" t="s">
        <v>2298</v>
      </c>
      <c r="D328">
        <v>5</v>
      </c>
      <c r="E328" t="s">
        <v>2299</v>
      </c>
      <c r="F328" t="s">
        <v>67</v>
      </c>
      <c r="G328" t="s">
        <v>67</v>
      </c>
      <c r="H328">
        <v>2</v>
      </c>
      <c r="I328" s="7">
        <v>11.69525</v>
      </c>
      <c r="J328" s="7">
        <v>12.825416666666667</v>
      </c>
    </row>
    <row r="329" spans="1:10">
      <c r="A329" t="s">
        <v>835</v>
      </c>
      <c r="B329" t="s">
        <v>876</v>
      </c>
      <c r="C329" t="s">
        <v>2300</v>
      </c>
      <c r="D329">
        <v>5</v>
      </c>
      <c r="E329" t="s">
        <v>2299</v>
      </c>
      <c r="F329" t="s">
        <v>67</v>
      </c>
      <c r="G329" t="s">
        <v>67</v>
      </c>
      <c r="H329">
        <v>2</v>
      </c>
      <c r="I329" s="7">
        <v>3.7672699999999999</v>
      </c>
      <c r="J329" s="7">
        <v>-0.38788333333333352</v>
      </c>
    </row>
    <row r="330" spans="1:10">
      <c r="A330" t="s">
        <v>835</v>
      </c>
      <c r="B330" t="s">
        <v>874</v>
      </c>
      <c r="C330" t="s">
        <v>2338</v>
      </c>
      <c r="D330">
        <v>4</v>
      </c>
      <c r="E330" t="s">
        <v>2339</v>
      </c>
      <c r="F330" t="s">
        <v>67</v>
      </c>
      <c r="G330" t="s">
        <v>67</v>
      </c>
      <c r="H330">
        <v>1.85</v>
      </c>
      <c r="I330" s="7">
        <v>5.0203621621621624</v>
      </c>
      <c r="J330" s="7">
        <v>1.7006036036036041</v>
      </c>
    </row>
  </sheetData>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CEC76-2C31-A143-A445-9D5023F3C612}">
  <dimension ref="A2:T1297"/>
  <sheetViews>
    <sheetView zoomScale="124" zoomScaleNormal="120" workbookViewId="0">
      <selection activeCell="I9" sqref="I9"/>
    </sheetView>
  </sheetViews>
  <sheetFormatPr baseColWidth="10" defaultRowHeight="16"/>
  <cols>
    <col min="1" max="2" width="15.6640625" customWidth="1"/>
    <col min="3" max="3" width="23.83203125" customWidth="1"/>
    <col min="4" max="7" width="15.6640625" customWidth="1"/>
    <col min="8" max="8" width="15.6640625" style="7" customWidth="1"/>
    <col min="9" max="9" width="15.6640625" style="121" customWidth="1"/>
  </cols>
  <sheetData>
    <row r="2" spans="1:12" s="48" customFormat="1">
      <c r="A2" s="59" t="s">
        <v>1826</v>
      </c>
      <c r="B2" s="60">
        <v>75</v>
      </c>
      <c r="C2" s="60"/>
      <c r="D2" s="52"/>
      <c r="E2" s="52"/>
      <c r="G2" s="48" t="s">
        <v>1849</v>
      </c>
      <c r="I2" s="64"/>
      <c r="J2" s="50" t="s">
        <v>1839</v>
      </c>
      <c r="K2" s="51" t="s">
        <v>1844</v>
      </c>
      <c r="L2" s="51" t="s">
        <v>1845</v>
      </c>
    </row>
    <row r="3" spans="1:12" s="48" customFormat="1">
      <c r="A3" s="59" t="s">
        <v>1827</v>
      </c>
      <c r="B3" s="60">
        <v>25</v>
      </c>
      <c r="C3" s="60"/>
      <c r="D3" s="52"/>
      <c r="E3" s="52"/>
      <c r="G3" s="48" t="s">
        <v>1826</v>
      </c>
      <c r="H3" s="62" t="e">
        <f>MAX(F10:F1044)</f>
        <v>#N/A</v>
      </c>
      <c r="I3" s="64"/>
      <c r="J3" s="48" t="s">
        <v>1840</v>
      </c>
      <c r="K3" s="48">
        <f>COUNTIF(H10:H1044,"&gt;5")</f>
        <v>633</v>
      </c>
      <c r="L3" s="54">
        <f>K3/$K$6</f>
        <v>0.77955665024630538</v>
      </c>
    </row>
    <row r="4" spans="1:12" s="48" customFormat="1">
      <c r="A4" s="59" t="s">
        <v>1833</v>
      </c>
      <c r="B4" s="60">
        <f>B2-B3</f>
        <v>50</v>
      </c>
      <c r="C4" s="60"/>
      <c r="D4" s="52"/>
      <c r="E4" s="52"/>
      <c r="G4" s="48" t="s">
        <v>1827</v>
      </c>
      <c r="H4" s="62" t="e">
        <f>MIN(F10:F1044)</f>
        <v>#N/A</v>
      </c>
      <c r="I4" s="64"/>
      <c r="J4" s="48" t="s">
        <v>1841</v>
      </c>
      <c r="K4" s="48">
        <f>COUNTIF(H10:H1044,"&lt;0")</f>
        <v>144</v>
      </c>
      <c r="L4" s="54">
        <f>K4/$K$6</f>
        <v>0.17733990147783252</v>
      </c>
    </row>
    <row r="5" spans="1:12" s="48" customFormat="1">
      <c r="A5" s="59" t="s">
        <v>1832</v>
      </c>
      <c r="B5" s="60">
        <v>10</v>
      </c>
      <c r="C5" s="60"/>
      <c r="D5" s="52"/>
      <c r="E5" s="52"/>
      <c r="G5" s="48" t="s">
        <v>1837</v>
      </c>
      <c r="H5" s="62" t="e">
        <f>AVERAGE(F10:F1044)</f>
        <v>#N/A</v>
      </c>
      <c r="I5" s="64"/>
      <c r="J5" s="48" t="s">
        <v>1842</v>
      </c>
      <c r="K5" s="48">
        <f>K6-K4-K3</f>
        <v>35</v>
      </c>
      <c r="L5" s="54">
        <f>K5/$K$6</f>
        <v>4.3103448275862072E-2</v>
      </c>
    </row>
    <row r="6" spans="1:12" s="48" customFormat="1">
      <c r="A6" s="59" t="s">
        <v>1835</v>
      </c>
      <c r="B6" s="61">
        <f>B5/B4</f>
        <v>0.2</v>
      </c>
      <c r="C6" s="61"/>
      <c r="D6" s="124"/>
      <c r="E6" s="124"/>
      <c r="G6" s="48" t="s">
        <v>1838</v>
      </c>
      <c r="H6" s="62" t="e">
        <f>MEDIAN(F10:F1044)</f>
        <v>#N/A</v>
      </c>
      <c r="I6" s="64"/>
      <c r="J6" s="48" t="s">
        <v>1843</v>
      </c>
      <c r="K6" s="48">
        <f>COUNT(D10:D821)</f>
        <v>812</v>
      </c>
      <c r="L6" s="54">
        <f>K6/$K$6</f>
        <v>1</v>
      </c>
    </row>
    <row r="9" spans="1:12" ht="17">
      <c r="A9" t="str">
        <f>'RAW DATA 2023'!B2</f>
        <v>Farm</v>
      </c>
      <c r="B9" t="str">
        <f>'RAW DATA 2023'!D2</f>
        <v>Pond</v>
      </c>
      <c r="C9" s="71" t="s">
        <v>1903</v>
      </c>
      <c r="D9" s="76" t="s">
        <v>1873</v>
      </c>
      <c r="E9" s="76"/>
      <c r="F9" s="8" t="str">
        <f>'RAW DATA 2023'!AA2</f>
        <v>Avg Size</v>
      </c>
      <c r="G9" s="20" t="s">
        <v>1834</v>
      </c>
      <c r="H9" s="15" t="s">
        <v>1829</v>
      </c>
      <c r="I9" s="80" t="s">
        <v>2626</v>
      </c>
      <c r="J9" s="48" t="s">
        <v>23</v>
      </c>
      <c r="K9" s="17" t="s">
        <v>2623</v>
      </c>
    </row>
    <row r="10" spans="1:12">
      <c r="A10" t="str">
        <f>'RAW DATA 2023'!B3</f>
        <v>Lamae</v>
      </c>
      <c r="B10" t="str">
        <f>'RAW DATA 2023'!D3</f>
        <v>A1-013-0016</v>
      </c>
      <c r="C10" t="str">
        <f t="shared" ref="C10:C73" si="0">A10&amp;B10</f>
        <v>LamaeA1-013-0016</v>
      </c>
      <c r="D10">
        <f>VLOOKUP(C10,'RAW DATA 2023'!E:BP,63,0)</f>
        <v>9</v>
      </c>
      <c r="E10" t="str">
        <f t="shared" ref="E10:E73" si="1">A10&amp;D10</f>
        <v>Lamae9</v>
      </c>
      <c r="F10" s="8">
        <f>VLOOKUP(C10,'RAW DATA 2023'!E:BO,23,0)</f>
        <v>33.479411501071958</v>
      </c>
      <c r="G10" s="14">
        <f>IF(F10=0,0,$B$2-F10)</f>
        <v>41.520588498928042</v>
      </c>
      <c r="H10" s="25">
        <f>G10*$B$6</f>
        <v>8.3041176997856088</v>
      </c>
      <c r="I10" s="80" t="str">
        <f>VLOOKUP(C10,'RAW DATA 2023'!E:BO,36,0)</f>
        <v>Normal</v>
      </c>
      <c r="J10">
        <f>VLOOKUP(C10,'RAW DATA 2023'!E:BO,21,0)</f>
        <v>20.41601</v>
      </c>
      <c r="K10" s="268">
        <f>H10*J10</f>
        <v>169.53694999999999</v>
      </c>
    </row>
    <row r="11" spans="1:12">
      <c r="A11" t="str">
        <f>'RAW DATA 2023'!B4</f>
        <v>Lamae</v>
      </c>
      <c r="B11" t="str">
        <f>'RAW DATA 2023'!D4</f>
        <v>A1-012-0013</v>
      </c>
      <c r="C11" t="str">
        <f t="shared" si="0"/>
        <v>LamaeA1-012-0013</v>
      </c>
      <c r="D11">
        <f>VLOOKUP(C11,'RAW DATA 2023'!E:BP,63,0)</f>
        <v>6</v>
      </c>
      <c r="E11" t="str">
        <f t="shared" si="1"/>
        <v>Lamae6</v>
      </c>
      <c r="F11" s="8">
        <f>VLOOKUP(C11,'RAW DATA 2023'!E:BO,23,0)</f>
        <v>35.836488704632742</v>
      </c>
      <c r="G11" s="14">
        <f t="shared" ref="G11:G74" si="2">IF(F11=0,0,$B$2-F11)</f>
        <v>39.163511295367258</v>
      </c>
      <c r="H11" s="25">
        <f t="shared" ref="H11:H74" si="3">G11*$B$6</f>
        <v>7.8327022590734519</v>
      </c>
      <c r="I11" s="80" t="str">
        <f>VLOOKUP(C11,'RAW DATA 2023'!E:BO,36,0)</f>
        <v>Normal</v>
      </c>
      <c r="J11">
        <f>VLOOKUP(C11,'RAW DATA 2023'!E:BO,21,0)</f>
        <v>36.7363</v>
      </c>
      <c r="K11" s="268">
        <f t="shared" ref="K11:K74" si="4">H11*J11</f>
        <v>287.74450000000007</v>
      </c>
    </row>
    <row r="12" spans="1:12">
      <c r="A12" t="str">
        <f>'RAW DATA 2023'!B5</f>
        <v>Lamae</v>
      </c>
      <c r="B12" t="str">
        <f>'RAW DATA 2023'!D5</f>
        <v>A1-011-0023</v>
      </c>
      <c r="C12" t="str">
        <f t="shared" si="0"/>
        <v>LamaeA1-011-0023</v>
      </c>
      <c r="D12">
        <f>VLOOKUP(C12,'RAW DATA 2023'!E:BP,63,0)</f>
        <v>9</v>
      </c>
      <c r="E12" t="str">
        <f t="shared" si="1"/>
        <v>Lamae9</v>
      </c>
      <c r="F12" s="8">
        <f>VLOOKUP(C12,'RAW DATA 2023'!E:BO,23,0)</f>
        <v>35.30728880254528</v>
      </c>
      <c r="G12" s="14">
        <f t="shared" si="2"/>
        <v>39.69271119745472</v>
      </c>
      <c r="H12" s="25">
        <f t="shared" si="3"/>
        <v>7.9385422394909444</v>
      </c>
      <c r="I12" s="80" t="str">
        <f>VLOOKUP(C12,'RAW DATA 2023'!E:BO,36,0)</f>
        <v>Normal</v>
      </c>
      <c r="J12">
        <f>VLOOKUP(C12,'RAW DATA 2023'!E:BO,21,0)</f>
        <v>20.785169999999997</v>
      </c>
      <c r="K12" s="268">
        <f t="shared" si="4"/>
        <v>165.00394999999997</v>
      </c>
    </row>
    <row r="13" spans="1:12">
      <c r="A13" t="str">
        <f>'RAW DATA 2023'!B6</f>
        <v>Lamae</v>
      </c>
      <c r="B13" t="str">
        <f>'RAW DATA 2023'!D6</f>
        <v>A1-012-0014</v>
      </c>
      <c r="C13" t="str">
        <f t="shared" si="0"/>
        <v>LamaeA1-012-0014</v>
      </c>
      <c r="D13">
        <f>VLOOKUP(C13,'RAW DATA 2023'!E:BP,63,0)</f>
        <v>9</v>
      </c>
      <c r="E13" t="str">
        <f t="shared" si="1"/>
        <v>Lamae9</v>
      </c>
      <c r="F13" s="8">
        <f>VLOOKUP(C13,'RAW DATA 2023'!E:BO,23,0)</f>
        <v>37.834487325995404</v>
      </c>
      <c r="G13" s="14">
        <f t="shared" si="2"/>
        <v>37.165512674004596</v>
      </c>
      <c r="H13" s="25">
        <f t="shared" si="3"/>
        <v>7.4331025348009199</v>
      </c>
      <c r="I13" s="80" t="str">
        <f>VLOOKUP(C13,'RAW DATA 2023'!E:BO,36,0)</f>
        <v>Normal</v>
      </c>
      <c r="J13">
        <f>VLOOKUP(C13,'RAW DATA 2023'!E:BO,21,0)</f>
        <v>31.467560000000002</v>
      </c>
      <c r="K13" s="268">
        <f t="shared" si="4"/>
        <v>233.90160000000006</v>
      </c>
    </row>
    <row r="14" spans="1:12">
      <c r="A14" t="str">
        <f>'RAW DATA 2023'!B7</f>
        <v>Lamae</v>
      </c>
      <c r="B14" t="str">
        <f>'RAW DATA 2023'!D7</f>
        <v>B1-018-0013</v>
      </c>
      <c r="C14" t="str">
        <f t="shared" si="0"/>
        <v>LamaeB1-018-0013</v>
      </c>
      <c r="D14">
        <f>VLOOKUP(C14,'RAW DATA 2023'!E:BP,63,0)</f>
        <v>7</v>
      </c>
      <c r="E14" t="str">
        <f t="shared" si="1"/>
        <v>Lamae7</v>
      </c>
      <c r="F14" s="8">
        <f>VLOOKUP(C14,'RAW DATA 2023'!E:BO,23,0)</f>
        <v>42.44295191006988</v>
      </c>
      <c r="G14" s="14">
        <f t="shared" si="2"/>
        <v>32.55704808993012</v>
      </c>
      <c r="H14" s="25">
        <f t="shared" si="3"/>
        <v>6.5114096179860246</v>
      </c>
      <c r="I14" s="80" t="str">
        <f>VLOOKUP(C14,'RAW DATA 2023'!E:BO,36,0)</f>
        <v>Normal</v>
      </c>
      <c r="J14">
        <f>VLOOKUP(C14,'RAW DATA 2023'!E:BO,21,0)</f>
        <v>25.393049999999999</v>
      </c>
      <c r="K14" s="268">
        <f t="shared" si="4"/>
        <v>165.34455000000003</v>
      </c>
    </row>
    <row r="15" spans="1:12">
      <c r="A15" t="str">
        <f>'RAW DATA 2023'!B8</f>
        <v>Lamae</v>
      </c>
      <c r="B15" t="str">
        <f>'RAW DATA 2023'!D8</f>
        <v>A1-007-0045</v>
      </c>
      <c r="C15" t="str">
        <f t="shared" si="0"/>
        <v>LamaeA1-007-0045</v>
      </c>
      <c r="D15">
        <f>VLOOKUP(C15,'RAW DATA 2023'!E:BP,63,0)</f>
        <v>7</v>
      </c>
      <c r="E15" t="str">
        <f t="shared" si="1"/>
        <v>Lamae7</v>
      </c>
      <c r="F15" s="8">
        <f>VLOOKUP(C15,'RAW DATA 2023'!E:BO,23,0)</f>
        <v>25.812052606248503</v>
      </c>
      <c r="G15" s="14">
        <f t="shared" si="2"/>
        <v>49.1879473937515</v>
      </c>
      <c r="H15" s="25">
        <f t="shared" si="3"/>
        <v>9.8375894787503011</v>
      </c>
      <c r="I15" s="80" t="str">
        <f>VLOOKUP(C15,'RAW DATA 2023'!E:BO,36,0)</f>
        <v>Normal</v>
      </c>
      <c r="J15">
        <f>VLOOKUP(C15,'RAW DATA 2023'!E:BO,21,0)</f>
        <v>22.668790000000001</v>
      </c>
      <c r="K15" s="268">
        <f t="shared" si="4"/>
        <v>223.00625000000005</v>
      </c>
    </row>
    <row r="16" spans="1:12">
      <c r="A16" t="str">
        <f>'RAW DATA 2023'!B9</f>
        <v>Lamae</v>
      </c>
      <c r="B16" t="str">
        <f>'RAW DATA 2023'!D9</f>
        <v>B1-021-0012</v>
      </c>
      <c r="C16" t="str">
        <f t="shared" si="0"/>
        <v>LamaeB1-021-0012</v>
      </c>
      <c r="D16">
        <f>VLOOKUP(C16,'RAW DATA 2023'!E:BP,63,0)</f>
        <v>2</v>
      </c>
      <c r="E16" t="str">
        <f t="shared" si="1"/>
        <v>Lamae2</v>
      </c>
      <c r="F16" s="8">
        <f>VLOOKUP(C16,'RAW DATA 2023'!E:BO,23,0)</f>
        <v>26.459704766740082</v>
      </c>
      <c r="G16" s="14">
        <f t="shared" si="2"/>
        <v>48.540295233259918</v>
      </c>
      <c r="H16" s="25">
        <f t="shared" si="3"/>
        <v>9.708059046651984</v>
      </c>
      <c r="I16" s="80" t="str">
        <f>VLOOKUP(C16,'RAW DATA 2023'!E:BO,36,0)</f>
        <v>อัตรารอดต่ำ</v>
      </c>
      <c r="J16">
        <f>VLOOKUP(C16,'RAW DATA 2023'!E:BO,21,0)</f>
        <v>23.084119999999999</v>
      </c>
      <c r="K16" s="268">
        <f t="shared" si="4"/>
        <v>224.10199999999998</v>
      </c>
    </row>
    <row r="17" spans="1:20">
      <c r="A17" t="str">
        <f>'RAW DATA 2023'!B10</f>
        <v>Lamae</v>
      </c>
      <c r="B17" t="str">
        <f>'RAW DATA 2023'!D10</f>
        <v>A1-007-0046</v>
      </c>
      <c r="C17" t="str">
        <f t="shared" si="0"/>
        <v>LamaeA1-007-0046</v>
      </c>
      <c r="D17">
        <f>VLOOKUP(C17,'RAW DATA 2023'!E:BP,63,0)</f>
        <v>11</v>
      </c>
      <c r="E17" t="str">
        <f t="shared" si="1"/>
        <v>Lamae11</v>
      </c>
      <c r="F17" s="8">
        <f>VLOOKUP(C17,'RAW DATA 2023'!E:BO,23,0)</f>
        <v>43.421345682187557</v>
      </c>
      <c r="G17" s="14">
        <f t="shared" si="2"/>
        <v>31.578654317812443</v>
      </c>
      <c r="H17" s="25">
        <f t="shared" si="3"/>
        <v>6.3157308635624894</v>
      </c>
      <c r="I17" s="80" t="str">
        <f>VLOOKUP(C17,'RAW DATA 2023'!E:BO,36,0)</f>
        <v>Normal</v>
      </c>
      <c r="J17">
        <f>VLOOKUP(C17,'RAW DATA 2023'!E:BO,21,0)</f>
        <v>44.091540000000002</v>
      </c>
      <c r="K17" s="268">
        <f t="shared" si="4"/>
        <v>278.47030000000007</v>
      </c>
      <c r="O17" s="10"/>
      <c r="P17" s="11"/>
      <c r="Q17" s="10"/>
      <c r="R17" s="10"/>
      <c r="S17" s="10"/>
      <c r="T17" s="10"/>
    </row>
    <row r="18" spans="1:20">
      <c r="A18" t="str">
        <f>'RAW DATA 2023'!B11</f>
        <v>Lamae</v>
      </c>
      <c r="B18" t="str">
        <f>'RAW DATA 2023'!D11</f>
        <v>B1-022-0011</v>
      </c>
      <c r="C18" t="str">
        <f t="shared" si="0"/>
        <v>LamaeB1-022-0011</v>
      </c>
      <c r="D18">
        <f>VLOOKUP(C18,'RAW DATA 2023'!E:BP,63,0)</f>
        <v>2</v>
      </c>
      <c r="E18" t="str">
        <f t="shared" si="1"/>
        <v>Lamae2</v>
      </c>
      <c r="F18" s="8">
        <f>VLOOKUP(C18,'RAW DATA 2023'!E:BO,23,0)</f>
        <v>27.091090444842944</v>
      </c>
      <c r="G18" s="14">
        <f t="shared" si="2"/>
        <v>47.908909555157052</v>
      </c>
      <c r="H18" s="25">
        <f t="shared" si="3"/>
        <v>9.5817819110314115</v>
      </c>
      <c r="I18" s="80" t="str">
        <f>VLOOKUP(C18,'RAW DATA 2023'!E:BO,36,0)</f>
        <v>อัตรารอดต่ำ</v>
      </c>
      <c r="J18">
        <f>VLOOKUP(C18,'RAW DATA 2023'!E:BO,21,0)</f>
        <v>24.10154</v>
      </c>
      <c r="K18" s="268">
        <f t="shared" si="4"/>
        <v>230.9357</v>
      </c>
      <c r="O18" s="10"/>
      <c r="P18" s="10"/>
      <c r="Q18" s="10"/>
      <c r="R18" s="9"/>
      <c r="S18" s="10"/>
      <c r="T18" s="10"/>
    </row>
    <row r="19" spans="1:20">
      <c r="A19" t="str">
        <f>'RAW DATA 2023'!B12</f>
        <v>Lamae</v>
      </c>
      <c r="B19" t="str">
        <f>'RAW DATA 2023'!D12</f>
        <v>B1-021-0014</v>
      </c>
      <c r="C19" t="str">
        <f t="shared" si="0"/>
        <v>LamaeB1-021-0014</v>
      </c>
      <c r="D19">
        <f>VLOOKUP(C19,'RAW DATA 2023'!E:BP,63,0)</f>
        <v>12</v>
      </c>
      <c r="E19" t="str">
        <f t="shared" si="1"/>
        <v>Lamae12</v>
      </c>
      <c r="F19" s="8">
        <f>VLOOKUP(C19,'RAW DATA 2023'!E:BO,23,0)</f>
        <v>45.598690124177921</v>
      </c>
      <c r="G19" s="14">
        <f t="shared" si="2"/>
        <v>29.401309875822079</v>
      </c>
      <c r="H19" s="25">
        <f t="shared" si="3"/>
        <v>5.8802619751644158</v>
      </c>
      <c r="I19" s="80" t="str">
        <f>VLOOKUP(C19,'RAW DATA 2023'!E:BO,36,0)</f>
        <v>Normal</v>
      </c>
      <c r="J19">
        <f>VLOOKUP(C19,'RAW DATA 2023'!E:BO,21,0)</f>
        <v>36.34543</v>
      </c>
      <c r="K19" s="268">
        <f t="shared" si="4"/>
        <v>213.72065000000001</v>
      </c>
      <c r="Q19" s="10"/>
      <c r="R19" s="10"/>
      <c r="S19" s="10"/>
      <c r="T19" s="10"/>
    </row>
    <row r="20" spans="1:20">
      <c r="A20" t="str">
        <f>'RAW DATA 2023'!B13</f>
        <v>Lamae</v>
      </c>
      <c r="B20" t="str">
        <f>'RAW DATA 2023'!D13</f>
        <v>B1-021-0013</v>
      </c>
      <c r="C20" t="str">
        <f t="shared" si="0"/>
        <v>LamaeB1-021-0013</v>
      </c>
      <c r="D20">
        <f>VLOOKUP(C20,'RAW DATA 2023'!E:BP,63,0)</f>
        <v>8</v>
      </c>
      <c r="E20" t="str">
        <f t="shared" si="1"/>
        <v>Lamae8</v>
      </c>
      <c r="F20" s="8">
        <f>VLOOKUP(C20,'RAW DATA 2023'!E:BO,23,0)</f>
        <v>30.445034349444455</v>
      </c>
      <c r="G20" s="14">
        <f t="shared" si="2"/>
        <v>44.554965650555545</v>
      </c>
      <c r="H20" s="25">
        <f t="shared" si="3"/>
        <v>8.9109931301111089</v>
      </c>
      <c r="I20" s="80" t="str">
        <f>VLOOKUP(C20,'RAW DATA 2023'!E:BO,36,0)</f>
        <v>Normal</v>
      </c>
      <c r="J20">
        <f>VLOOKUP(C20,'RAW DATA 2023'!E:BO,21,0)</f>
        <v>45.87556</v>
      </c>
      <c r="K20" s="268">
        <f t="shared" si="4"/>
        <v>408.79679999999996</v>
      </c>
      <c r="Q20" s="10"/>
      <c r="R20" s="10"/>
      <c r="S20" s="10"/>
      <c r="T20" s="10"/>
    </row>
    <row r="21" spans="1:20">
      <c r="A21" t="str">
        <f>'RAW DATA 2023'!B14</f>
        <v>Lamae</v>
      </c>
      <c r="B21" t="str">
        <f>'RAW DATA 2023'!D14</f>
        <v>B1-018-0014</v>
      </c>
      <c r="C21" t="str">
        <f t="shared" si="0"/>
        <v>LamaeB1-018-0014</v>
      </c>
      <c r="D21">
        <f>VLOOKUP(C21,'RAW DATA 2023'!E:BP,63,0)</f>
        <v>12</v>
      </c>
      <c r="E21" t="str">
        <f t="shared" si="1"/>
        <v>Lamae12</v>
      </c>
      <c r="F21" s="8">
        <f>VLOOKUP(C21,'RAW DATA 2023'!E:BO,23,0)</f>
        <v>42.200955408381319</v>
      </c>
      <c r="G21" s="14">
        <f t="shared" si="2"/>
        <v>32.799044591618681</v>
      </c>
      <c r="H21" s="25">
        <f t="shared" si="3"/>
        <v>6.5598089183237365</v>
      </c>
      <c r="I21" s="80" t="str">
        <f>VLOOKUP(C21,'RAW DATA 2023'!E:BO,36,0)</f>
        <v>Normal</v>
      </c>
      <c r="J21">
        <f>VLOOKUP(C21,'RAW DATA 2023'!E:BO,21,0)</f>
        <v>29.407319999999999</v>
      </c>
      <c r="K21" s="268">
        <f t="shared" si="4"/>
        <v>192.90639999999996</v>
      </c>
      <c r="Q21" s="10"/>
      <c r="R21" s="10"/>
      <c r="S21" s="10"/>
      <c r="T21" s="10"/>
    </row>
    <row r="22" spans="1:20">
      <c r="A22" t="str">
        <f>'RAW DATA 2023'!B15</f>
        <v>Lamae</v>
      </c>
      <c r="B22" t="str">
        <f>'RAW DATA 2023'!D15</f>
        <v>B1-022-0013</v>
      </c>
      <c r="C22" t="str">
        <f t="shared" si="0"/>
        <v>LamaeB1-022-0013</v>
      </c>
      <c r="D22">
        <f>VLOOKUP(C22,'RAW DATA 2023'!E:BP,63,0)</f>
        <v>12</v>
      </c>
      <c r="E22" t="str">
        <f t="shared" si="1"/>
        <v>Lamae12</v>
      </c>
      <c r="F22" s="8">
        <f>VLOOKUP(C22,'RAW DATA 2023'!E:BO,23,0)</f>
        <v>50.130894629332261</v>
      </c>
      <c r="G22" s="14">
        <f t="shared" si="2"/>
        <v>24.869105370667739</v>
      </c>
      <c r="H22" s="25">
        <f t="shared" si="3"/>
        <v>4.9738210741335482</v>
      </c>
      <c r="I22" s="80" t="str">
        <f>VLOOKUP(C22,'RAW DATA 2023'!E:BO,36,0)</f>
        <v>Normal</v>
      </c>
      <c r="J22">
        <f>VLOOKUP(C22,'RAW DATA 2023'!E:BO,21,0)</f>
        <v>25.45177</v>
      </c>
      <c r="K22" s="268">
        <f t="shared" si="4"/>
        <v>126.59255000000002</v>
      </c>
      <c r="Q22" s="18"/>
      <c r="R22" s="13"/>
      <c r="S22" s="13"/>
      <c r="T22" s="13"/>
    </row>
    <row r="23" spans="1:20">
      <c r="A23" t="str">
        <f>'RAW DATA 2023'!B16</f>
        <v>Lamae</v>
      </c>
      <c r="B23" t="str">
        <f>'RAW DATA 2023'!D16</f>
        <v>B1-018-0012</v>
      </c>
      <c r="C23" t="str">
        <f t="shared" si="0"/>
        <v>LamaeB1-018-0012</v>
      </c>
      <c r="D23">
        <f>VLOOKUP(C23,'RAW DATA 2023'!E:BP,63,0)</f>
        <v>3</v>
      </c>
      <c r="E23" t="str">
        <f t="shared" si="1"/>
        <v>Lamae3</v>
      </c>
      <c r="F23" s="8">
        <f>VLOOKUP(C23,'RAW DATA 2023'!E:BO,23,0)</f>
        <v>32.777252048857633</v>
      </c>
      <c r="G23" s="14">
        <f t="shared" si="2"/>
        <v>42.222747951142367</v>
      </c>
      <c r="H23" s="25">
        <f t="shared" si="3"/>
        <v>8.4445495902284744</v>
      </c>
      <c r="I23" s="80" t="str">
        <f>VLOOKUP(C23,'RAW DATA 2023'!E:BO,36,0)</f>
        <v>Normal</v>
      </c>
      <c r="J23">
        <f>VLOOKUP(C23,'RAW DATA 2023'!E:BO,21,0)</f>
        <v>34.227609999999999</v>
      </c>
      <c r="K23" s="268">
        <f t="shared" si="4"/>
        <v>289.03675000000004</v>
      </c>
    </row>
    <row r="24" spans="1:20">
      <c r="A24" t="str">
        <f>'RAW DATA 2023'!B17</f>
        <v>Lamae</v>
      </c>
      <c r="B24" t="str">
        <f>'RAW DATA 2023'!D17</f>
        <v>A1-013-0015</v>
      </c>
      <c r="C24" t="str">
        <f t="shared" si="0"/>
        <v>LamaeA1-013-0015</v>
      </c>
      <c r="D24">
        <f>VLOOKUP(C24,'RAW DATA 2023'!E:BP,63,0)</f>
        <v>5</v>
      </c>
      <c r="E24" t="str">
        <f t="shared" si="1"/>
        <v>Lamae5</v>
      </c>
      <c r="F24" s="8">
        <f>VLOOKUP(C24,'RAW DATA 2023'!E:BO,23,0)</f>
        <v>39.146206038037093</v>
      </c>
      <c r="G24" s="14">
        <f t="shared" si="2"/>
        <v>35.853793961962907</v>
      </c>
      <c r="H24" s="25">
        <f t="shared" si="3"/>
        <v>7.170758792392582</v>
      </c>
      <c r="I24" s="80" t="str">
        <f>VLOOKUP(C24,'RAW DATA 2023'!E:BO,36,0)</f>
        <v>Normal</v>
      </c>
      <c r="J24">
        <f>VLOOKUP(C24,'RAW DATA 2023'!E:BO,21,0)</f>
        <v>35.65099</v>
      </c>
      <c r="K24" s="268">
        <f t="shared" si="4"/>
        <v>255.64465000000001</v>
      </c>
    </row>
    <row r="25" spans="1:20">
      <c r="A25" t="str">
        <f>'RAW DATA 2023'!B18</f>
        <v>Lamae</v>
      </c>
      <c r="B25" t="str">
        <f>'RAW DATA 2023'!D18</f>
        <v>A1-009-0021</v>
      </c>
      <c r="C25" t="str">
        <f t="shared" si="0"/>
        <v>LamaeA1-009-0021</v>
      </c>
      <c r="D25">
        <f>VLOOKUP(C25,'RAW DATA 2023'!E:BP,63,0)</f>
        <v>12</v>
      </c>
      <c r="E25" t="str">
        <f t="shared" si="1"/>
        <v>Lamae12</v>
      </c>
      <c r="F25" s="8">
        <f>VLOOKUP(C25,'RAW DATA 2023'!E:BO,23,0)</f>
        <v>42.649196161380694</v>
      </c>
      <c r="G25" s="14">
        <f t="shared" si="2"/>
        <v>32.350803838619306</v>
      </c>
      <c r="H25" s="25">
        <f t="shared" si="3"/>
        <v>6.4701607677238613</v>
      </c>
      <c r="I25" s="80" t="str">
        <f>VLOOKUP(C25,'RAW DATA 2023'!E:BO,36,0)</f>
        <v>Normal</v>
      </c>
      <c r="J25">
        <f>VLOOKUP(C25,'RAW DATA 2023'!E:BO,21,0)</f>
        <v>26.820060000000002</v>
      </c>
      <c r="K25" s="268">
        <f t="shared" si="4"/>
        <v>173.53010000000003</v>
      </c>
    </row>
    <row r="26" spans="1:20">
      <c r="A26" t="str">
        <f>'RAW DATA 2023'!B19</f>
        <v>Lamae</v>
      </c>
      <c r="B26" t="str">
        <f>'RAW DATA 2023'!D19</f>
        <v>B1-022-0012</v>
      </c>
      <c r="C26" t="str">
        <f t="shared" si="0"/>
        <v>LamaeB1-022-0012</v>
      </c>
      <c r="D26">
        <f>VLOOKUP(C26,'RAW DATA 2023'!E:BP,63,0)</f>
        <v>9</v>
      </c>
      <c r="E26" t="str">
        <f t="shared" si="1"/>
        <v>Lamae9</v>
      </c>
      <c r="F26" s="8">
        <f>VLOOKUP(C26,'RAW DATA 2023'!E:BO,23,0)</f>
        <v>36.385940360410906</v>
      </c>
      <c r="G26" s="14">
        <f t="shared" si="2"/>
        <v>38.614059639589094</v>
      </c>
      <c r="H26" s="25">
        <f t="shared" si="3"/>
        <v>7.7228119279178191</v>
      </c>
      <c r="I26" s="80" t="str">
        <f>VLOOKUP(C26,'RAW DATA 2023'!E:BO,36,0)</f>
        <v>Normal</v>
      </c>
      <c r="J26">
        <f>VLOOKUP(C26,'RAW DATA 2023'!E:BO,21,0)</f>
        <v>43.273940000000003</v>
      </c>
      <c r="K26" s="268">
        <f t="shared" si="4"/>
        <v>334.19650000000007</v>
      </c>
    </row>
    <row r="27" spans="1:20">
      <c r="A27" t="str">
        <f>'RAW DATA 2023'!B20</f>
        <v>Lamae</v>
      </c>
      <c r="B27" t="str">
        <f>'RAW DATA 2023'!D20</f>
        <v>A1-011-0022</v>
      </c>
      <c r="C27" t="str">
        <f t="shared" si="0"/>
        <v>LamaeA1-011-0022</v>
      </c>
      <c r="D27">
        <f>VLOOKUP(C27,'RAW DATA 2023'!E:BP,63,0)</f>
        <v>6</v>
      </c>
      <c r="E27" t="str">
        <f t="shared" si="1"/>
        <v>Lamae6</v>
      </c>
      <c r="F27" s="8">
        <f>VLOOKUP(C27,'RAW DATA 2023'!E:BO,23,0)</f>
        <v>31.659140188359661</v>
      </c>
      <c r="G27" s="14">
        <f t="shared" si="2"/>
        <v>43.340859811640343</v>
      </c>
      <c r="H27" s="25">
        <f t="shared" si="3"/>
        <v>8.6681719623280689</v>
      </c>
      <c r="I27" s="80" t="str">
        <f>VLOOKUP(C27,'RAW DATA 2023'!E:BO,36,0)</f>
        <v>Normal</v>
      </c>
      <c r="J27">
        <f>VLOOKUP(C27,'RAW DATA 2023'!E:BO,21,0)</f>
        <v>28.999839999999999</v>
      </c>
      <c r="K27" s="268">
        <f t="shared" si="4"/>
        <v>251.37560000000002</v>
      </c>
    </row>
    <row r="28" spans="1:20">
      <c r="A28" t="str">
        <f>'RAW DATA 2023'!B21</f>
        <v>Lamae</v>
      </c>
      <c r="B28" t="str">
        <f>'RAW DATA 2023'!D21</f>
        <v>A1-010-0023</v>
      </c>
      <c r="C28" t="str">
        <f t="shared" si="0"/>
        <v>LamaeA1-010-0023</v>
      </c>
      <c r="D28">
        <f>VLOOKUP(C28,'RAW DATA 2023'!E:BP,63,0)</f>
        <v>12</v>
      </c>
      <c r="E28" t="str">
        <f t="shared" si="1"/>
        <v>Lamae12</v>
      </c>
      <c r="F28" s="8">
        <f>VLOOKUP(C28,'RAW DATA 2023'!E:BO,23,0)</f>
        <v>45.292220692076</v>
      </c>
      <c r="G28" s="14">
        <f t="shared" si="2"/>
        <v>29.707779307924</v>
      </c>
      <c r="H28" s="25">
        <f t="shared" si="3"/>
        <v>5.9415558615848001</v>
      </c>
      <c r="I28" s="80" t="str">
        <f>VLOOKUP(C28,'RAW DATA 2023'!E:BO,36,0)</f>
        <v>Normal</v>
      </c>
      <c r="J28">
        <f>VLOOKUP(C28,'RAW DATA 2023'!E:BO,21,0)</f>
        <v>28.944220000000001</v>
      </c>
      <c r="K28" s="268">
        <f t="shared" si="4"/>
        <v>171.97370000000001</v>
      </c>
    </row>
    <row r="29" spans="1:20">
      <c r="A29" t="str">
        <f>'RAW DATA 2023'!B22</f>
        <v>Lamae</v>
      </c>
      <c r="B29" t="str">
        <f>'RAW DATA 2023'!D22</f>
        <v>A1-012-0012</v>
      </c>
      <c r="C29" t="str">
        <f t="shared" si="0"/>
        <v>LamaeA1-012-0012</v>
      </c>
      <c r="D29">
        <f>VLOOKUP(C29,'RAW DATA 2023'!E:BP,63,0)</f>
        <v>2</v>
      </c>
      <c r="E29" t="str">
        <f t="shared" si="1"/>
        <v>Lamae2</v>
      </c>
      <c r="F29" s="8">
        <f>VLOOKUP(C29,'RAW DATA 2023'!E:BO,23,0)</f>
        <v>26.000003154832889</v>
      </c>
      <c r="G29" s="14">
        <f t="shared" si="2"/>
        <v>48.999996845167111</v>
      </c>
      <c r="H29" s="25">
        <f t="shared" si="3"/>
        <v>9.7999993690334222</v>
      </c>
      <c r="I29" s="80" t="str">
        <f>VLOOKUP(C29,'RAW DATA 2023'!E:BO,36,0)</f>
        <v>Normal</v>
      </c>
      <c r="J29">
        <f>VLOOKUP(C29,'RAW DATA 2023'!E:BO,21,0)</f>
        <v>12.67896</v>
      </c>
      <c r="K29" s="268">
        <f t="shared" si="4"/>
        <v>124.2538</v>
      </c>
    </row>
    <row r="30" spans="1:20">
      <c r="A30" t="str">
        <f>'RAW DATA 2023'!B23</f>
        <v>Lamae</v>
      </c>
      <c r="B30" t="str">
        <f>'RAW DATA 2023'!D23</f>
        <v>A1-010-0022</v>
      </c>
      <c r="C30" t="str">
        <f t="shared" si="0"/>
        <v>LamaeA1-010-0022</v>
      </c>
      <c r="D30">
        <f>VLOOKUP(C30,'RAW DATA 2023'!E:BP,63,0)</f>
        <v>8</v>
      </c>
      <c r="E30" t="str">
        <f t="shared" si="1"/>
        <v>Lamae8</v>
      </c>
      <c r="F30" s="8">
        <f>VLOOKUP(C30,'RAW DATA 2023'!E:BO,23,0)</f>
        <v>35.201371510649771</v>
      </c>
      <c r="G30" s="14">
        <f t="shared" si="2"/>
        <v>39.798628489350229</v>
      </c>
      <c r="H30" s="25">
        <f t="shared" si="3"/>
        <v>7.9597256978700459</v>
      </c>
      <c r="I30" s="80" t="str">
        <f>VLOOKUP(C30,'RAW DATA 2023'!E:BO,36,0)</f>
        <v>Normal</v>
      </c>
      <c r="J30">
        <f>VLOOKUP(C30,'RAW DATA 2023'!E:BO,21,0)</f>
        <v>32.192239999999998</v>
      </c>
      <c r="K30" s="268">
        <f t="shared" si="4"/>
        <v>256.2414</v>
      </c>
    </row>
    <row r="31" spans="1:20">
      <c r="A31" t="str">
        <f>'RAW DATA 2023'!B24</f>
        <v>Lamae</v>
      </c>
      <c r="B31" t="str">
        <f>'RAW DATA 2023'!D24</f>
        <v>A1-009-0020</v>
      </c>
      <c r="C31" t="str">
        <f t="shared" si="0"/>
        <v>LamaeA1-009-0020</v>
      </c>
      <c r="D31">
        <f>VLOOKUP(C31,'RAW DATA 2023'!E:BP,63,0)</f>
        <v>8</v>
      </c>
      <c r="E31" t="str">
        <f t="shared" si="1"/>
        <v>Lamae8</v>
      </c>
      <c r="F31" s="8">
        <f>VLOOKUP(C31,'RAW DATA 2023'!E:BO,23,0)</f>
        <v>35.224332989522352</v>
      </c>
      <c r="G31" s="14">
        <f t="shared" si="2"/>
        <v>39.775667010477648</v>
      </c>
      <c r="H31" s="25">
        <f t="shared" si="3"/>
        <v>7.9551334020955302</v>
      </c>
      <c r="I31" s="80" t="str">
        <f>VLOOKUP(C31,'RAW DATA 2023'!E:BO,36,0)</f>
        <v>Normal</v>
      </c>
      <c r="J31">
        <f>VLOOKUP(C31,'RAW DATA 2023'!E:BO,21,0)</f>
        <v>33.981850000000001</v>
      </c>
      <c r="K31" s="268">
        <f t="shared" si="4"/>
        <v>270.33015</v>
      </c>
    </row>
    <row r="32" spans="1:20">
      <c r="A32" t="str">
        <f>'RAW DATA 2023'!B25</f>
        <v>Lamae</v>
      </c>
      <c r="B32" t="str">
        <f>'RAW DATA 2023'!D25</f>
        <v>A1-007-0044</v>
      </c>
      <c r="C32" t="str">
        <f t="shared" si="0"/>
        <v>LamaeA1-007-0044</v>
      </c>
      <c r="D32">
        <f>VLOOKUP(C32,'RAW DATA 2023'!E:BP,63,0)</f>
        <v>2</v>
      </c>
      <c r="E32" t="str">
        <f t="shared" si="1"/>
        <v>Lamae2</v>
      </c>
      <c r="F32" s="8">
        <f>VLOOKUP(C32,'RAW DATA 2023'!E:BO,23,0)</f>
        <v>35.000100586924709</v>
      </c>
      <c r="G32" s="14">
        <f t="shared" si="2"/>
        <v>39.999899413075291</v>
      </c>
      <c r="H32" s="25">
        <f t="shared" si="3"/>
        <v>7.9999798826150581</v>
      </c>
      <c r="I32" s="80" t="str">
        <f>VLOOKUP(C32,'RAW DATA 2023'!E:BO,36,0)</f>
        <v>อัตรารอดต่ำ</v>
      </c>
      <c r="J32">
        <f>VLOOKUP(C32,'RAW DATA 2023'!E:BO,21,0)</f>
        <v>7.9533199999999997</v>
      </c>
      <c r="K32" s="268">
        <f t="shared" si="4"/>
        <v>63.62639999999999</v>
      </c>
    </row>
    <row r="33" spans="1:11">
      <c r="A33" t="str">
        <f>'RAW DATA 2023'!B26</f>
        <v>Lamae</v>
      </c>
      <c r="B33" t="str">
        <f>'RAW DATA 2023'!D26</f>
        <v>A1-007-0047</v>
      </c>
      <c r="C33" t="str">
        <f t="shared" si="0"/>
        <v>LamaeA1-007-0047</v>
      </c>
      <c r="D33">
        <f>VLOOKUP(C33,'RAW DATA 2023'!E:BP,63,0)</f>
        <v>12</v>
      </c>
      <c r="E33" t="str">
        <f t="shared" si="1"/>
        <v>Lamae12</v>
      </c>
      <c r="F33" s="8">
        <f>VLOOKUP(C33,'RAW DATA 2023'!E:BO,23,0)</f>
        <v>0</v>
      </c>
      <c r="G33" s="14">
        <f t="shared" si="2"/>
        <v>0</v>
      </c>
      <c r="H33" s="25">
        <f t="shared" si="3"/>
        <v>0</v>
      </c>
      <c r="I33" s="80" t="str">
        <f>VLOOKUP(C33,'RAW DATA 2023'!E:BO,36,0)</f>
        <v>WSSV</v>
      </c>
      <c r="J33">
        <f>VLOOKUP(C33,'RAW DATA 2023'!E:BO,21,0)</f>
        <v>0</v>
      </c>
      <c r="K33" s="268">
        <f t="shared" si="4"/>
        <v>0</v>
      </c>
    </row>
    <row r="34" spans="1:11">
      <c r="A34" t="str">
        <f>'RAW DATA 2023'!B27</f>
        <v>Lamae</v>
      </c>
      <c r="B34" t="str">
        <f>'RAW DATA 2023'!D27</f>
        <v>A1-011-0024</v>
      </c>
      <c r="C34" t="str">
        <f t="shared" si="0"/>
        <v>LamaeA1-011-0024</v>
      </c>
      <c r="D34">
        <f>VLOOKUP(C34,'RAW DATA 2023'!E:BP,63,0)</f>
        <v>12</v>
      </c>
      <c r="E34" t="str">
        <f t="shared" si="1"/>
        <v>Lamae12</v>
      </c>
      <c r="F34" s="8">
        <f>VLOOKUP(C34,'RAW DATA 2023'!E:BO,23,0)</f>
        <v>0</v>
      </c>
      <c r="G34" s="14">
        <f t="shared" si="2"/>
        <v>0</v>
      </c>
      <c r="H34" s="25">
        <f t="shared" si="3"/>
        <v>0</v>
      </c>
      <c r="I34" s="80" t="str">
        <f>VLOOKUP(C34,'RAW DATA 2023'!E:BO,36,0)</f>
        <v>WSSV</v>
      </c>
      <c r="J34">
        <f>VLOOKUP(C34,'RAW DATA 2023'!E:BO,21,0)</f>
        <v>0</v>
      </c>
      <c r="K34" s="268">
        <f t="shared" si="4"/>
        <v>0</v>
      </c>
    </row>
    <row r="35" spans="1:11">
      <c r="A35" t="str">
        <f>'RAW DATA 2023'!B28</f>
        <v>Lamae</v>
      </c>
      <c r="B35" t="str">
        <f>'RAW DATA 2023'!D28</f>
        <v>A1-012-0015</v>
      </c>
      <c r="C35" t="str">
        <f t="shared" si="0"/>
        <v>LamaeA1-012-0015</v>
      </c>
      <c r="D35">
        <f>VLOOKUP(C35,'RAW DATA 2023'!E:BP,63,0)</f>
        <v>12</v>
      </c>
      <c r="E35" t="str">
        <f t="shared" si="1"/>
        <v>Lamae12</v>
      </c>
      <c r="F35" s="8">
        <f>VLOOKUP(C35,'RAW DATA 2023'!E:BO,23,0)</f>
        <v>0</v>
      </c>
      <c r="G35" s="14">
        <f t="shared" si="2"/>
        <v>0</v>
      </c>
      <c r="H35" s="25">
        <f t="shared" si="3"/>
        <v>0</v>
      </c>
      <c r="I35" s="80" t="str">
        <f>VLOOKUP(C35,'RAW DATA 2023'!E:BO,36,0)</f>
        <v>WSSV</v>
      </c>
      <c r="J35">
        <f>VLOOKUP(C35,'RAW DATA 2023'!E:BO,21,0)</f>
        <v>0</v>
      </c>
      <c r="K35" s="268">
        <f t="shared" si="4"/>
        <v>0</v>
      </c>
    </row>
    <row r="36" spans="1:11">
      <c r="A36" t="str">
        <f>'RAW DATA 2023'!B29</f>
        <v>Lamae</v>
      </c>
      <c r="B36" t="str">
        <f>'RAW DATA 2023'!D29</f>
        <v>A1-013-0017</v>
      </c>
      <c r="C36" t="str">
        <f t="shared" si="0"/>
        <v>LamaeA1-013-0017</v>
      </c>
      <c r="D36">
        <f>VLOOKUP(C36,'RAW DATA 2023'!E:BP,63,0)</f>
        <v>12</v>
      </c>
      <c r="E36" t="str">
        <f t="shared" si="1"/>
        <v>Lamae12</v>
      </c>
      <c r="F36" s="8">
        <f>VLOOKUP(C36,'RAW DATA 2023'!E:BO,23,0)</f>
        <v>0</v>
      </c>
      <c r="G36" s="14">
        <f t="shared" si="2"/>
        <v>0</v>
      </c>
      <c r="H36" s="25">
        <f t="shared" si="3"/>
        <v>0</v>
      </c>
      <c r="I36" s="80" t="str">
        <f>VLOOKUP(C36,'RAW DATA 2023'!E:BO,36,0)</f>
        <v>Others</v>
      </c>
      <c r="J36">
        <f>VLOOKUP(C36,'RAW DATA 2023'!E:BO,21,0)</f>
        <v>0</v>
      </c>
      <c r="K36" s="268">
        <f t="shared" si="4"/>
        <v>0</v>
      </c>
    </row>
    <row r="37" spans="1:11">
      <c r="A37" t="str">
        <f>'RAW DATA 2023'!B30</f>
        <v>Bansang</v>
      </c>
      <c r="B37" t="str">
        <f>'RAW DATA 2023'!D30</f>
        <v>A1-008-0015</v>
      </c>
      <c r="C37" t="str">
        <f t="shared" si="0"/>
        <v>BansangA1-008-0015</v>
      </c>
      <c r="D37">
        <f>VLOOKUP(C37,'RAW DATA 2023'!E:BP,63,0)</f>
        <v>9</v>
      </c>
      <c r="E37" t="str">
        <f t="shared" si="1"/>
        <v>Bansang9</v>
      </c>
      <c r="F37" s="8">
        <f>VLOOKUP(C37,'RAW DATA 2023'!E:BO,23,0)</f>
        <v>26.90563050067</v>
      </c>
      <c r="G37" s="14">
        <f t="shared" si="2"/>
        <v>48.09436949933</v>
      </c>
      <c r="H37" s="25">
        <f t="shared" si="3"/>
        <v>9.6188738998660011</v>
      </c>
      <c r="I37" s="80" t="str">
        <f>VLOOKUP(C37,'RAW DATA 2023'!E:BO,36,0)</f>
        <v>Normal</v>
      </c>
      <c r="J37">
        <f>VLOOKUP(C37,'RAW DATA 2023'!E:BO,21,0)</f>
        <v>26.082049999999999</v>
      </c>
      <c r="K37" s="268">
        <f t="shared" si="4"/>
        <v>250.87995000000001</v>
      </c>
    </row>
    <row r="38" spans="1:11">
      <c r="A38" t="str">
        <f>'RAW DATA 2023'!B31</f>
        <v>Bansang</v>
      </c>
      <c r="B38" t="str">
        <f>'RAW DATA 2023'!D31</f>
        <v>A1-006-0015</v>
      </c>
      <c r="C38" t="str">
        <f t="shared" si="0"/>
        <v>BansangA1-006-0015</v>
      </c>
      <c r="D38">
        <f>VLOOKUP(C38,'RAW DATA 2023'!E:BP,63,0)</f>
        <v>10</v>
      </c>
      <c r="E38" t="str">
        <f t="shared" si="1"/>
        <v>Bansang10</v>
      </c>
      <c r="F38" s="8">
        <f>VLOOKUP(C38,'RAW DATA 2023'!E:BO,23,0)</f>
        <v>25.588156210244122</v>
      </c>
      <c r="G38" s="14">
        <f t="shared" si="2"/>
        <v>49.411843789755878</v>
      </c>
      <c r="H38" s="25">
        <f t="shared" si="3"/>
        <v>9.882368757951177</v>
      </c>
      <c r="I38" s="80" t="str">
        <f>VLOOKUP(C38,'RAW DATA 2023'!E:BO,36,0)</f>
        <v>Normal</v>
      </c>
      <c r="J38">
        <f>VLOOKUP(C38,'RAW DATA 2023'!E:BO,21,0)</f>
        <v>24.9177</v>
      </c>
      <c r="K38" s="268">
        <f t="shared" si="4"/>
        <v>246.24590000000003</v>
      </c>
    </row>
    <row r="39" spans="1:11">
      <c r="A39" t="str">
        <f>'RAW DATA 2023'!B32</f>
        <v>Bansang</v>
      </c>
      <c r="B39" t="str">
        <f>'RAW DATA 2023'!D32</f>
        <v>A1-005-0016</v>
      </c>
      <c r="C39" t="str">
        <f t="shared" si="0"/>
        <v>BansangA1-005-0016</v>
      </c>
      <c r="D39">
        <f>VLOOKUP(C39,'RAW DATA 2023'!E:BP,63,0)</f>
        <v>9</v>
      </c>
      <c r="E39" t="str">
        <f t="shared" si="1"/>
        <v>Bansang9</v>
      </c>
      <c r="F39" s="8">
        <f>VLOOKUP(C39,'RAW DATA 2023'!E:BO,23,0)</f>
        <v>45.999941122210664</v>
      </c>
      <c r="G39" s="14">
        <f t="shared" si="2"/>
        <v>29.000058877789336</v>
      </c>
      <c r="H39" s="25">
        <f t="shared" si="3"/>
        <v>5.8000117755578673</v>
      </c>
      <c r="I39" s="80" t="str">
        <f>VLOOKUP(C39,'RAW DATA 2023'!E:BO,36,0)</f>
        <v>EHP</v>
      </c>
      <c r="J39">
        <f>VLOOKUP(C39,'RAW DATA 2023'!E:BO,21,0)</f>
        <v>10.1906</v>
      </c>
      <c r="K39" s="268">
        <f t="shared" si="4"/>
        <v>59.105600000000003</v>
      </c>
    </row>
    <row r="40" spans="1:11">
      <c r="A40" t="str">
        <f>'RAW DATA 2023'!B33</f>
        <v>Bansang</v>
      </c>
      <c r="B40" t="str">
        <f>'RAW DATA 2023'!D33</f>
        <v>A1-006-0013</v>
      </c>
      <c r="C40" t="str">
        <f t="shared" si="0"/>
        <v>BansangA1-006-0013</v>
      </c>
      <c r="D40">
        <f>VLOOKUP(C40,'RAW DATA 2023'!E:BP,63,0)</f>
        <v>1</v>
      </c>
      <c r="E40" t="str">
        <f t="shared" si="1"/>
        <v>Bansang1</v>
      </c>
      <c r="F40" s="8">
        <f>VLOOKUP(C40,'RAW DATA 2023'!E:BO,23,0)</f>
        <v>24.362250602333749</v>
      </c>
      <c r="G40" s="14">
        <f t="shared" si="2"/>
        <v>50.637749397666255</v>
      </c>
      <c r="H40" s="25">
        <f t="shared" si="3"/>
        <v>10.127549879533252</v>
      </c>
      <c r="I40" s="80" t="str">
        <f>VLOOKUP(C40,'RAW DATA 2023'!E:BO,36,0)</f>
        <v>Normal</v>
      </c>
      <c r="J40">
        <f>VLOOKUP(C40,'RAW DATA 2023'!E:BO,21,0)</f>
        <v>15.87575</v>
      </c>
      <c r="K40" s="268">
        <f t="shared" si="4"/>
        <v>160.78245000000001</v>
      </c>
    </row>
    <row r="41" spans="1:11">
      <c r="A41" t="str">
        <f>'RAW DATA 2023'!B34</f>
        <v>Bansang</v>
      </c>
      <c r="B41" t="str">
        <f>'RAW DATA 2023'!D34</f>
        <v>A1-005-0014</v>
      </c>
      <c r="C41" t="str">
        <f t="shared" si="0"/>
        <v>BansangA1-005-0014</v>
      </c>
      <c r="D41">
        <f>VLOOKUP(C41,'RAW DATA 2023'!E:BP,63,0)</f>
        <v>1</v>
      </c>
      <c r="E41" t="str">
        <f t="shared" si="1"/>
        <v>Bansang1</v>
      </c>
      <c r="F41" s="8">
        <f>VLOOKUP(C41,'RAW DATA 2023'!E:BO,23,0)</f>
        <v>27.578404521881009</v>
      </c>
      <c r="G41" s="14">
        <f t="shared" si="2"/>
        <v>47.421595478118988</v>
      </c>
      <c r="H41" s="25">
        <f t="shared" si="3"/>
        <v>9.4843190956237979</v>
      </c>
      <c r="I41" s="80" t="str">
        <f>VLOOKUP(C41,'RAW DATA 2023'!E:BO,36,0)</f>
        <v>Normal</v>
      </c>
      <c r="J41">
        <f>VLOOKUP(C41,'RAW DATA 2023'!E:BO,21,0)</f>
        <v>17.161000000000001</v>
      </c>
      <c r="K41" s="268">
        <f t="shared" si="4"/>
        <v>162.7604</v>
      </c>
    </row>
    <row r="42" spans="1:11">
      <c r="A42" t="str">
        <f>'RAW DATA 2023'!B35</f>
        <v>Bansang</v>
      </c>
      <c r="B42" t="str">
        <f>'RAW DATA 2023'!D35</f>
        <v>A1-007-0017</v>
      </c>
      <c r="C42" t="str">
        <f t="shared" si="0"/>
        <v>BansangA1-007-0017</v>
      </c>
      <c r="D42">
        <f>VLOOKUP(C42,'RAW DATA 2023'!E:BP,63,0)</f>
        <v>8</v>
      </c>
      <c r="E42" t="str">
        <f t="shared" si="1"/>
        <v>Bansang8</v>
      </c>
      <c r="F42" s="8">
        <f>VLOOKUP(C42,'RAW DATA 2023'!E:BO,23,0)</f>
        <v>28.96363405444308</v>
      </c>
      <c r="G42" s="14">
        <f t="shared" si="2"/>
        <v>46.036365945556923</v>
      </c>
      <c r="H42" s="25">
        <f t="shared" si="3"/>
        <v>9.207273189111385</v>
      </c>
      <c r="I42" s="80" t="str">
        <f>VLOOKUP(C42,'RAW DATA 2023'!E:BO,36,0)</f>
        <v>Normal</v>
      </c>
      <c r="J42">
        <f>VLOOKUP(C42,'RAW DATA 2023'!E:BO,21,0)</f>
        <v>27.400359999999999</v>
      </c>
      <c r="K42" s="268">
        <f t="shared" si="4"/>
        <v>252.28260000000003</v>
      </c>
    </row>
    <row r="43" spans="1:11">
      <c r="A43" t="str">
        <f>'RAW DATA 2023'!B36</f>
        <v>Bansang</v>
      </c>
      <c r="B43" t="str">
        <f>'RAW DATA 2023'!D36</f>
        <v>A1-005-0015</v>
      </c>
      <c r="C43" t="str">
        <f t="shared" si="0"/>
        <v>BansangA1-005-0015</v>
      </c>
      <c r="D43">
        <f>VLOOKUP(C43,'RAW DATA 2023'!E:BP,63,0)</f>
        <v>6</v>
      </c>
      <c r="E43" t="str">
        <f t="shared" si="1"/>
        <v>Bansang6</v>
      </c>
      <c r="F43" s="8">
        <f>VLOOKUP(C43,'RAW DATA 2023'!E:BO,23,0)</f>
        <v>28.631426562435372</v>
      </c>
      <c r="G43" s="14">
        <f t="shared" si="2"/>
        <v>46.368573437564628</v>
      </c>
      <c r="H43" s="25">
        <f t="shared" si="3"/>
        <v>9.2737146875129266</v>
      </c>
      <c r="I43" s="80" t="str">
        <f>VLOOKUP(C43,'RAW DATA 2023'!E:BO,36,0)</f>
        <v>Normal</v>
      </c>
      <c r="J43">
        <f>VLOOKUP(C43,'RAW DATA 2023'!E:BO,21,0)</f>
        <v>24.177</v>
      </c>
      <c r="K43" s="268">
        <f t="shared" si="4"/>
        <v>224.21060000000003</v>
      </c>
    </row>
    <row r="44" spans="1:11">
      <c r="A44" t="str">
        <f>'RAW DATA 2023'!B37</f>
        <v>Bansang</v>
      </c>
      <c r="B44" t="str">
        <f>'RAW DATA 2023'!D37</f>
        <v>A1-006-0014</v>
      </c>
      <c r="C44" t="str">
        <f t="shared" si="0"/>
        <v>BansangA1-006-0014</v>
      </c>
      <c r="D44">
        <f>VLOOKUP(C44,'RAW DATA 2023'!E:BP,63,0)</f>
        <v>6</v>
      </c>
      <c r="E44" t="str">
        <f t="shared" si="1"/>
        <v>Bansang6</v>
      </c>
      <c r="F44" s="8">
        <f>VLOOKUP(C44,'RAW DATA 2023'!E:BO,23,0)</f>
        <v>29.88900208675572</v>
      </c>
      <c r="G44" s="14">
        <f t="shared" si="2"/>
        <v>45.110997913244276</v>
      </c>
      <c r="H44" s="25">
        <f t="shared" si="3"/>
        <v>9.0221995826488559</v>
      </c>
      <c r="I44" s="80" t="str">
        <f>VLOOKUP(C44,'RAW DATA 2023'!E:BO,36,0)</f>
        <v>Normal</v>
      </c>
      <c r="J44">
        <f>VLOOKUP(C44,'RAW DATA 2023'!E:BO,21,0)</f>
        <v>23.783330000000003</v>
      </c>
      <c r="K44" s="268">
        <f t="shared" si="4"/>
        <v>214.57795000000004</v>
      </c>
    </row>
    <row r="45" spans="1:11">
      <c r="A45" t="str">
        <f>'RAW DATA 2023'!B38</f>
        <v>Bansang</v>
      </c>
      <c r="B45" t="str">
        <f>'RAW DATA 2023'!D38</f>
        <v>A1-008-0014</v>
      </c>
      <c r="C45" t="str">
        <f t="shared" si="0"/>
        <v>BansangA1-008-0014</v>
      </c>
      <c r="D45">
        <f>VLOOKUP(C45,'RAW DATA 2023'!E:BP,63,0)</f>
        <v>5</v>
      </c>
      <c r="E45" t="str">
        <f t="shared" si="1"/>
        <v>Bansang5</v>
      </c>
      <c r="F45" s="8">
        <f>VLOOKUP(C45,'RAW DATA 2023'!E:BO,23,0)</f>
        <v>32.88844523904406</v>
      </c>
      <c r="G45" s="14">
        <f t="shared" si="2"/>
        <v>42.11155476095594</v>
      </c>
      <c r="H45" s="25">
        <f t="shared" si="3"/>
        <v>8.4223109521911876</v>
      </c>
      <c r="I45" s="80" t="str">
        <f>VLOOKUP(C45,'RAW DATA 2023'!E:BO,36,0)</f>
        <v>Normal</v>
      </c>
      <c r="J45">
        <f>VLOOKUP(C45,'RAW DATA 2023'!E:BO,21,0)</f>
        <v>23.061229999999998</v>
      </c>
      <c r="K45" s="268">
        <f t="shared" si="4"/>
        <v>194.22884999999997</v>
      </c>
    </row>
    <row r="46" spans="1:11">
      <c r="A46" t="str">
        <f>'RAW DATA 2023'!B39</f>
        <v>Bansang</v>
      </c>
      <c r="B46" t="str">
        <f>'RAW DATA 2023'!D39</f>
        <v>A1-007-0016</v>
      </c>
      <c r="C46" t="str">
        <f t="shared" si="0"/>
        <v>BansangA1-007-0016</v>
      </c>
      <c r="D46">
        <f>VLOOKUP(C46,'RAW DATA 2023'!E:BP,63,0)</f>
        <v>3</v>
      </c>
      <c r="E46" t="str">
        <f t="shared" si="1"/>
        <v>Bansang3</v>
      </c>
      <c r="F46" s="8">
        <f>VLOOKUP(C46,'RAW DATA 2023'!E:BO,23,0)</f>
        <v>30.559546255040178</v>
      </c>
      <c r="G46" s="14">
        <f t="shared" si="2"/>
        <v>44.440453744959825</v>
      </c>
      <c r="H46" s="25">
        <f t="shared" si="3"/>
        <v>8.8880907489919654</v>
      </c>
      <c r="I46" s="80" t="str">
        <f>VLOOKUP(C46,'RAW DATA 2023'!E:BO,36,0)</f>
        <v>Normal</v>
      </c>
      <c r="J46">
        <f>VLOOKUP(C46,'RAW DATA 2023'!E:BO,21,0)</f>
        <v>20.58954</v>
      </c>
      <c r="K46" s="268">
        <f t="shared" si="4"/>
        <v>183.00170000000003</v>
      </c>
    </row>
    <row r="47" spans="1:11">
      <c r="A47" t="str">
        <f>'RAW DATA 2023'!B40</f>
        <v>Bansang</v>
      </c>
      <c r="B47" t="str">
        <f>'RAW DATA 2023'!D40</f>
        <v>A1-007-0018</v>
      </c>
      <c r="C47" t="str">
        <f t="shared" si="0"/>
        <v>BansangA1-007-0018</v>
      </c>
      <c r="D47">
        <f>VLOOKUP(C47,'RAW DATA 2023'!E:BP,63,0)</f>
        <v>10</v>
      </c>
      <c r="E47" t="str">
        <f t="shared" si="1"/>
        <v>Bansang10</v>
      </c>
      <c r="F47" s="8">
        <f>VLOOKUP(C47,'RAW DATA 2023'!E:BO,23,0)</f>
        <v>129.00001151883524</v>
      </c>
      <c r="G47" s="14">
        <f t="shared" si="2"/>
        <v>-54.000011518835237</v>
      </c>
      <c r="H47" s="25">
        <f t="shared" si="3"/>
        <v>-10.800002303767048</v>
      </c>
      <c r="I47" s="80" t="str">
        <f>VLOOKUP(C47,'RAW DATA 2023'!E:BO,36,0)</f>
        <v>EHP</v>
      </c>
      <c r="J47">
        <f>VLOOKUP(C47,'RAW DATA 2023'!E:BO,21,0)</f>
        <v>5.2088599999999996</v>
      </c>
      <c r="K47" s="268">
        <f t="shared" si="4"/>
        <v>-56.255700000000019</v>
      </c>
    </row>
    <row r="48" spans="1:11">
      <c r="A48" t="str">
        <f>'RAW DATA 2023'!B41</f>
        <v>Petchburi5</v>
      </c>
      <c r="B48" t="str">
        <f>'RAW DATA 2023'!D41</f>
        <v>B1-127-0009</v>
      </c>
      <c r="C48" t="str">
        <f t="shared" si="0"/>
        <v>Petchburi5B1-127-0009</v>
      </c>
      <c r="D48">
        <f>VLOOKUP(C48,'RAW DATA 2023'!E:BP,63,0)</f>
        <v>10</v>
      </c>
      <c r="E48" t="str">
        <f t="shared" si="1"/>
        <v>Petchburi510</v>
      </c>
      <c r="F48" s="8">
        <f>VLOOKUP(C48,'RAW DATA 2023'!E:BO,23,0)</f>
        <v>32.643750681155474</v>
      </c>
      <c r="G48" s="14">
        <f t="shared" si="2"/>
        <v>42.356249318844526</v>
      </c>
      <c r="H48" s="25">
        <f t="shared" si="3"/>
        <v>8.4712498637689055</v>
      </c>
      <c r="I48" s="80" t="str">
        <f>VLOOKUP(C48,'RAW DATA 2023'!E:BO,36,0)</f>
        <v>Normal</v>
      </c>
      <c r="J48">
        <f>VLOOKUP(C48,'RAW DATA 2023'!E:BO,21,0)</f>
        <v>26.976220000000001</v>
      </c>
      <c r="K48" s="268">
        <f t="shared" si="4"/>
        <v>228.52230000000003</v>
      </c>
    </row>
    <row r="49" spans="1:11">
      <c r="A49" t="str">
        <f>'RAW DATA 2023'!B42</f>
        <v>Petchburi5</v>
      </c>
      <c r="B49" t="str">
        <f>'RAW DATA 2023'!D42</f>
        <v>B1-124-0008</v>
      </c>
      <c r="C49" t="str">
        <f t="shared" si="0"/>
        <v>Petchburi5B1-124-0008</v>
      </c>
      <c r="D49">
        <f>VLOOKUP(C49,'RAW DATA 2023'!E:BP,63,0)</f>
        <v>7</v>
      </c>
      <c r="E49" t="str">
        <f t="shared" si="1"/>
        <v>Petchburi57</v>
      </c>
      <c r="F49" s="8">
        <f>VLOOKUP(C49,'RAW DATA 2023'!E:BO,23,0)</f>
        <v>32.922864283615752</v>
      </c>
      <c r="G49" s="14">
        <f t="shared" si="2"/>
        <v>42.077135716384248</v>
      </c>
      <c r="H49" s="25">
        <f t="shared" si="3"/>
        <v>8.4154271432768493</v>
      </c>
      <c r="I49" s="80" t="str">
        <f>VLOOKUP(C49,'RAW DATA 2023'!E:BO,36,0)</f>
        <v>Normal</v>
      </c>
      <c r="J49">
        <f>VLOOKUP(C49,'RAW DATA 2023'!E:BO,21,0)</f>
        <v>17.39311</v>
      </c>
      <c r="K49" s="268">
        <f t="shared" si="4"/>
        <v>146.37045000000001</v>
      </c>
    </row>
    <row r="50" spans="1:11">
      <c r="A50" t="str">
        <f>'RAW DATA 2023'!B43</f>
        <v>Petchburi5</v>
      </c>
      <c r="B50" t="str">
        <f>'RAW DATA 2023'!D43</f>
        <v>B1-124-0009</v>
      </c>
      <c r="C50" t="str">
        <f t="shared" si="0"/>
        <v>Petchburi5B1-124-0009</v>
      </c>
      <c r="D50">
        <f>VLOOKUP(C50,'RAW DATA 2023'!E:BP,63,0)</f>
        <v>11</v>
      </c>
      <c r="E50" t="str">
        <f t="shared" si="1"/>
        <v>Petchburi511</v>
      </c>
      <c r="F50" s="8">
        <f>VLOOKUP(C50,'RAW DATA 2023'!E:BO,23,0)</f>
        <v>32.555781875874096</v>
      </c>
      <c r="G50" s="14">
        <f t="shared" si="2"/>
        <v>42.444218124125904</v>
      </c>
      <c r="H50" s="25">
        <f t="shared" si="3"/>
        <v>8.4888436248251811</v>
      </c>
      <c r="I50" s="80" t="str">
        <f>VLOOKUP(C50,'RAW DATA 2023'!E:BO,36,0)</f>
        <v>Normal</v>
      </c>
      <c r="J50">
        <f>VLOOKUP(C50,'RAW DATA 2023'!E:BO,21,0)</f>
        <v>19.362919999999999</v>
      </c>
      <c r="K50" s="268">
        <f t="shared" si="4"/>
        <v>164.36879999999999</v>
      </c>
    </row>
    <row r="51" spans="1:11">
      <c r="A51" t="str">
        <f>'RAW DATA 2023'!B44</f>
        <v>Petchburi5</v>
      </c>
      <c r="B51" t="str">
        <f>'RAW DATA 2023'!D44</f>
        <v>B1-126-0009</v>
      </c>
      <c r="C51" t="str">
        <f t="shared" si="0"/>
        <v>Petchburi5B1-126-0009</v>
      </c>
      <c r="D51">
        <f>VLOOKUP(C51,'RAW DATA 2023'!E:BP,63,0)</f>
        <v>11</v>
      </c>
      <c r="E51" t="str">
        <f t="shared" si="1"/>
        <v>Petchburi511</v>
      </c>
      <c r="F51" s="8">
        <f>VLOOKUP(C51,'RAW DATA 2023'!E:BO,23,0)</f>
        <v>38.587164517002506</v>
      </c>
      <c r="G51" s="14">
        <f t="shared" si="2"/>
        <v>36.412835482997494</v>
      </c>
      <c r="H51" s="25">
        <f t="shared" si="3"/>
        <v>7.2825670965994993</v>
      </c>
      <c r="I51" s="80" t="str">
        <f>VLOOKUP(C51,'RAW DATA 2023'!E:BO,36,0)</f>
        <v>Normal</v>
      </c>
      <c r="J51">
        <f>VLOOKUP(C51,'RAW DATA 2023'!E:BO,21,0)</f>
        <v>30.91103</v>
      </c>
      <c r="K51" s="268">
        <f t="shared" si="4"/>
        <v>225.11165000000003</v>
      </c>
    </row>
    <row r="52" spans="1:11">
      <c r="A52" t="str">
        <f>'RAW DATA 2023'!B45</f>
        <v>Petchburi5</v>
      </c>
      <c r="B52" t="str">
        <f>'RAW DATA 2023'!D45</f>
        <v>B1-125-0009</v>
      </c>
      <c r="C52" t="str">
        <f t="shared" si="0"/>
        <v>Petchburi5B1-125-0009</v>
      </c>
      <c r="D52">
        <f>VLOOKUP(C52,'RAW DATA 2023'!E:BP,63,0)</f>
        <v>11</v>
      </c>
      <c r="E52" t="str">
        <f t="shared" si="1"/>
        <v>Petchburi511</v>
      </c>
      <c r="F52" s="8">
        <f>VLOOKUP(C52,'RAW DATA 2023'!E:BO,23,0)</f>
        <v>32.01532640812944</v>
      </c>
      <c r="G52" s="14">
        <f t="shared" si="2"/>
        <v>42.98467359187056</v>
      </c>
      <c r="H52" s="25">
        <f t="shared" si="3"/>
        <v>8.5969347183741132</v>
      </c>
      <c r="I52" s="80" t="str">
        <f>VLOOKUP(C52,'RAW DATA 2023'!E:BO,36,0)</f>
        <v>Normal</v>
      </c>
      <c r="J52">
        <f>VLOOKUP(C52,'RAW DATA 2023'!E:BO,21,0)</f>
        <v>23.8934</v>
      </c>
      <c r="K52" s="268">
        <f t="shared" si="4"/>
        <v>205.41000000000003</v>
      </c>
    </row>
    <row r="53" spans="1:11">
      <c r="A53" t="str">
        <f>'RAW DATA 2023'!B46</f>
        <v>Petchburi5</v>
      </c>
      <c r="B53" t="str">
        <f>'RAW DATA 2023'!D46</f>
        <v>B1-116-0007</v>
      </c>
      <c r="C53" t="str">
        <f t="shared" si="0"/>
        <v>Petchburi5B1-116-0007</v>
      </c>
      <c r="D53">
        <f>VLOOKUP(C53,'RAW DATA 2023'!E:BP,63,0)</f>
        <v>9</v>
      </c>
      <c r="E53" t="str">
        <f t="shared" si="1"/>
        <v>Petchburi59</v>
      </c>
      <c r="F53" s="8">
        <f>VLOOKUP(C53,'RAW DATA 2023'!E:BO,23,0)</f>
        <v>29.572012581551412</v>
      </c>
      <c r="G53" s="14">
        <f t="shared" si="2"/>
        <v>45.427987418448588</v>
      </c>
      <c r="H53" s="25">
        <f t="shared" si="3"/>
        <v>9.0855974836897175</v>
      </c>
      <c r="I53" s="80" t="str">
        <f>VLOOKUP(C53,'RAW DATA 2023'!E:BO,36,0)</f>
        <v>Normal</v>
      </c>
      <c r="J53">
        <f>VLOOKUP(C53,'RAW DATA 2023'!E:BO,21,0)</f>
        <v>34.285119999999999</v>
      </c>
      <c r="K53" s="268">
        <f t="shared" si="4"/>
        <v>311.50080000000003</v>
      </c>
    </row>
    <row r="54" spans="1:11">
      <c r="A54" t="str">
        <f>'RAW DATA 2023'!B47</f>
        <v>Petchburi5</v>
      </c>
      <c r="B54" t="str">
        <f>'RAW DATA 2023'!D47</f>
        <v>B1-125-0008</v>
      </c>
      <c r="C54" t="str">
        <f t="shared" si="0"/>
        <v>Petchburi5B1-125-0008</v>
      </c>
      <c r="D54">
        <f>VLOOKUP(C54,'RAW DATA 2023'!E:BP,63,0)</f>
        <v>6</v>
      </c>
      <c r="E54" t="str">
        <f t="shared" si="1"/>
        <v>Petchburi56</v>
      </c>
      <c r="F54" s="8">
        <f>VLOOKUP(C54,'RAW DATA 2023'!E:BO,23,0)</f>
        <v>31.401454297545545</v>
      </c>
      <c r="G54" s="14">
        <f t="shared" si="2"/>
        <v>43.598545702454459</v>
      </c>
      <c r="H54" s="25">
        <f t="shared" si="3"/>
        <v>8.7197091404908917</v>
      </c>
      <c r="I54" s="80" t="str">
        <f>VLOOKUP(C54,'RAW DATA 2023'!E:BO,36,0)</f>
        <v>Normal</v>
      </c>
      <c r="J54">
        <f>VLOOKUP(C54,'RAW DATA 2023'!E:BO,21,0)</f>
        <v>19.625970000000002</v>
      </c>
      <c r="K54" s="268">
        <f t="shared" si="4"/>
        <v>171.13275000000004</v>
      </c>
    </row>
    <row r="55" spans="1:11">
      <c r="A55" t="str">
        <f>'RAW DATA 2023'!B48</f>
        <v>Petchburi5</v>
      </c>
      <c r="B55" t="str">
        <f>'RAW DATA 2023'!D48</f>
        <v>B1-126-0008</v>
      </c>
      <c r="C55" t="str">
        <f t="shared" si="0"/>
        <v>Petchburi5B1-126-0008</v>
      </c>
      <c r="D55">
        <f>VLOOKUP(C55,'RAW DATA 2023'!E:BP,63,0)</f>
        <v>6</v>
      </c>
      <c r="E55" t="str">
        <f t="shared" si="1"/>
        <v>Petchburi56</v>
      </c>
      <c r="F55" s="8">
        <f>VLOOKUP(C55,'RAW DATA 2023'!E:BO,23,0)</f>
        <v>36.614942724400969</v>
      </c>
      <c r="G55" s="14">
        <f t="shared" si="2"/>
        <v>38.385057275599031</v>
      </c>
      <c r="H55" s="25">
        <f t="shared" si="3"/>
        <v>7.677011455119807</v>
      </c>
      <c r="I55" s="80" t="str">
        <f>VLOOKUP(C55,'RAW DATA 2023'!E:BO,36,0)</f>
        <v>Normal</v>
      </c>
      <c r="J55">
        <f>VLOOKUP(C55,'RAW DATA 2023'!E:BO,21,0)</f>
        <v>27.31617</v>
      </c>
      <c r="K55" s="268">
        <f t="shared" si="4"/>
        <v>209.70655000000002</v>
      </c>
    </row>
    <row r="56" spans="1:11">
      <c r="A56" t="str">
        <f>'RAW DATA 2023'!B49</f>
        <v>Petchburi5</v>
      </c>
      <c r="B56" t="str">
        <f>'RAW DATA 2023'!D49</f>
        <v>B1-115-0008</v>
      </c>
      <c r="C56" t="str">
        <f t="shared" si="0"/>
        <v>Petchburi5B1-115-0008</v>
      </c>
      <c r="D56">
        <f>VLOOKUP(C56,'RAW DATA 2023'!E:BP,63,0)</f>
        <v>9</v>
      </c>
      <c r="E56" t="str">
        <f t="shared" si="1"/>
        <v>Petchburi59</v>
      </c>
      <c r="F56" s="8">
        <f>VLOOKUP(C56,'RAW DATA 2023'!E:BO,23,0)</f>
        <v>33.218056323297944</v>
      </c>
      <c r="G56" s="14">
        <f t="shared" si="2"/>
        <v>41.781943676702056</v>
      </c>
      <c r="H56" s="25">
        <f t="shared" si="3"/>
        <v>8.3563887353404116</v>
      </c>
      <c r="I56" s="80" t="str">
        <f>VLOOKUP(C56,'RAW DATA 2023'!E:BO,36,0)</f>
        <v>Normal</v>
      </c>
      <c r="J56">
        <f>VLOOKUP(C56,'RAW DATA 2023'!E:BO,21,0)</f>
        <v>38.189169999999997</v>
      </c>
      <c r="K56" s="268">
        <f t="shared" si="4"/>
        <v>319.12354999999997</v>
      </c>
    </row>
    <row r="57" spans="1:11">
      <c r="A57" t="str">
        <f>'RAW DATA 2023'!B50</f>
        <v>Petchburi5</v>
      </c>
      <c r="B57" t="str">
        <f>'RAW DATA 2023'!D50</f>
        <v>B1-125-0007</v>
      </c>
      <c r="C57" t="str">
        <f t="shared" si="0"/>
        <v>Petchburi5B1-125-0007</v>
      </c>
      <c r="D57">
        <f>VLOOKUP(C57,'RAW DATA 2023'!E:BP,63,0)</f>
        <v>2</v>
      </c>
      <c r="E57" t="str">
        <f t="shared" si="1"/>
        <v>Petchburi52</v>
      </c>
      <c r="F57" s="8">
        <f>VLOOKUP(C57,'RAW DATA 2023'!E:BO,23,0)</f>
        <v>28.690580376914856</v>
      </c>
      <c r="G57" s="14">
        <f t="shared" si="2"/>
        <v>46.309419623085148</v>
      </c>
      <c r="H57" s="25">
        <f t="shared" si="3"/>
        <v>9.2618839246170293</v>
      </c>
      <c r="I57" s="80" t="str">
        <f>VLOOKUP(C57,'RAW DATA 2023'!E:BO,36,0)</f>
        <v>Normal</v>
      </c>
      <c r="J57">
        <f>VLOOKUP(C57,'RAW DATA 2023'!E:BO,21,0)</f>
        <v>16.008389999999999</v>
      </c>
      <c r="K57" s="268">
        <f t="shared" si="4"/>
        <v>148.26784999999998</v>
      </c>
    </row>
    <row r="58" spans="1:11">
      <c r="A58" t="str">
        <f>'RAW DATA 2023'!B51</f>
        <v>Petchburi5</v>
      </c>
      <c r="B58" t="str">
        <f>'RAW DATA 2023'!D51</f>
        <v>B1-127-0007</v>
      </c>
      <c r="C58" t="str">
        <f t="shared" si="0"/>
        <v>Petchburi5B1-127-0007</v>
      </c>
      <c r="D58">
        <f>VLOOKUP(C58,'RAW DATA 2023'!E:BP,63,0)</f>
        <v>1</v>
      </c>
      <c r="E58" t="str">
        <f t="shared" si="1"/>
        <v>Petchburi51</v>
      </c>
      <c r="F58" s="8">
        <f>VLOOKUP(C58,'RAW DATA 2023'!E:BO,23,0)</f>
        <v>28.626142192329901</v>
      </c>
      <c r="G58" s="14">
        <f t="shared" si="2"/>
        <v>46.373857807670099</v>
      </c>
      <c r="H58" s="25">
        <f t="shared" si="3"/>
        <v>9.2747715615340205</v>
      </c>
      <c r="I58" s="80" t="str">
        <f>VLOOKUP(C58,'RAW DATA 2023'!E:BO,36,0)</f>
        <v>Normal</v>
      </c>
      <c r="J58">
        <f>VLOOKUP(C58,'RAW DATA 2023'!E:BO,21,0)</f>
        <v>12.95316</v>
      </c>
      <c r="K58" s="268">
        <f t="shared" si="4"/>
        <v>120.13760000000002</v>
      </c>
    </row>
    <row r="59" spans="1:11">
      <c r="A59" t="str">
        <f>'RAW DATA 2023'!B52</f>
        <v>Petchburi5</v>
      </c>
      <c r="B59" t="str">
        <f>'RAW DATA 2023'!D52</f>
        <v>B1-127-0008</v>
      </c>
      <c r="C59" t="str">
        <f t="shared" si="0"/>
        <v>Petchburi5B1-127-0008</v>
      </c>
      <c r="D59">
        <f>VLOOKUP(C59,'RAW DATA 2023'!E:BP,63,0)</f>
        <v>5</v>
      </c>
      <c r="E59" t="str">
        <f t="shared" si="1"/>
        <v>Petchburi55</v>
      </c>
      <c r="F59" s="8">
        <f>VLOOKUP(C59,'RAW DATA 2023'!E:BO,23,0)</f>
        <v>34.155613757837855</v>
      </c>
      <c r="G59" s="14">
        <f t="shared" si="2"/>
        <v>40.844386242162145</v>
      </c>
      <c r="H59" s="25">
        <f t="shared" si="3"/>
        <v>8.1688772484324286</v>
      </c>
      <c r="I59" s="80" t="str">
        <f>VLOOKUP(C59,'RAW DATA 2023'!E:BO,36,0)</f>
        <v>Normal</v>
      </c>
      <c r="J59">
        <f>VLOOKUP(C59,'RAW DATA 2023'!E:BO,21,0)</f>
        <v>19.407409999999999</v>
      </c>
      <c r="K59" s="268">
        <f t="shared" si="4"/>
        <v>158.53674999999998</v>
      </c>
    </row>
    <row r="60" spans="1:11">
      <c r="A60" t="str">
        <f>'RAW DATA 2023'!B53</f>
        <v>Petchburi5</v>
      </c>
      <c r="B60" t="str">
        <f>'RAW DATA 2023'!D53</f>
        <v>B1-116-0006</v>
      </c>
      <c r="C60" t="str">
        <f t="shared" si="0"/>
        <v>Petchburi5B1-116-0006</v>
      </c>
      <c r="D60">
        <f>VLOOKUP(C60,'RAW DATA 2023'!E:BP,63,0)</f>
        <v>4</v>
      </c>
      <c r="E60" t="str">
        <f t="shared" si="1"/>
        <v>Petchburi54</v>
      </c>
      <c r="F60" s="8">
        <f>VLOOKUP(C60,'RAW DATA 2023'!E:BO,23,0)</f>
        <v>28.894635513019573</v>
      </c>
      <c r="G60" s="14">
        <f t="shared" si="2"/>
        <v>46.105364486980427</v>
      </c>
      <c r="H60" s="25">
        <f t="shared" si="3"/>
        <v>9.2210728973960858</v>
      </c>
      <c r="I60" s="80" t="str">
        <f>VLOOKUP(C60,'RAW DATA 2023'!E:BO,36,0)</f>
        <v>Normal</v>
      </c>
      <c r="J60">
        <f>VLOOKUP(C60,'RAW DATA 2023'!E:BO,21,0)</f>
        <v>31.616630000000001</v>
      </c>
      <c r="K60" s="268">
        <f t="shared" si="4"/>
        <v>291.53925000000004</v>
      </c>
    </row>
    <row r="61" spans="1:11">
      <c r="A61" t="str">
        <f>'RAW DATA 2023'!B54</f>
        <v>Petchburi5</v>
      </c>
      <c r="B61" t="str">
        <f>'RAW DATA 2023'!D54</f>
        <v>B1-115-0007</v>
      </c>
      <c r="C61" t="str">
        <f t="shared" si="0"/>
        <v>Petchburi5B1-115-0007</v>
      </c>
      <c r="D61">
        <f>VLOOKUP(C61,'RAW DATA 2023'!E:BP,63,0)</f>
        <v>4</v>
      </c>
      <c r="E61" t="str">
        <f t="shared" si="1"/>
        <v>Petchburi54</v>
      </c>
      <c r="F61" s="8">
        <f>VLOOKUP(C61,'RAW DATA 2023'!E:BO,23,0)</f>
        <v>28.172581775826526</v>
      </c>
      <c r="G61" s="14">
        <f t="shared" si="2"/>
        <v>46.827418224173471</v>
      </c>
      <c r="H61" s="25">
        <f t="shared" si="3"/>
        <v>9.3654836448346952</v>
      </c>
      <c r="I61" s="80" t="str">
        <f>VLOOKUP(C61,'RAW DATA 2023'!E:BO,36,0)</f>
        <v>Normal</v>
      </c>
      <c r="J61">
        <f>VLOOKUP(C61,'RAW DATA 2023'!E:BO,21,0)</f>
        <v>26.975270000000002</v>
      </c>
      <c r="K61" s="268">
        <f t="shared" si="4"/>
        <v>252.63645000000002</v>
      </c>
    </row>
    <row r="62" spans="1:11">
      <c r="A62" t="str">
        <f>'RAW DATA 2023'!B55</f>
        <v>Petchburi5</v>
      </c>
      <c r="B62" t="str">
        <f>'RAW DATA 2023'!D55</f>
        <v>B1-124-0007</v>
      </c>
      <c r="C62" t="str">
        <f t="shared" si="0"/>
        <v>Petchburi5B1-124-0007</v>
      </c>
      <c r="D62">
        <f>VLOOKUP(C62,'RAW DATA 2023'!E:BP,63,0)</f>
        <v>3</v>
      </c>
      <c r="E62" t="str">
        <f t="shared" si="1"/>
        <v>Petchburi53</v>
      </c>
      <c r="F62" s="8">
        <f>VLOOKUP(C62,'RAW DATA 2023'!E:BO,23,0)</f>
        <v>28.636037280416843</v>
      </c>
      <c r="G62" s="14">
        <f t="shared" si="2"/>
        <v>46.363962719583157</v>
      </c>
      <c r="H62" s="25">
        <f t="shared" si="3"/>
        <v>9.2727925439166317</v>
      </c>
      <c r="I62" s="80" t="str">
        <f>VLOOKUP(C62,'RAW DATA 2023'!E:BO,36,0)</f>
        <v>Normal</v>
      </c>
      <c r="J62">
        <f>VLOOKUP(C62,'RAW DATA 2023'!E:BO,21,0)</f>
        <v>14.6243</v>
      </c>
      <c r="K62" s="268">
        <f t="shared" si="4"/>
        <v>135.60810000000001</v>
      </c>
    </row>
    <row r="63" spans="1:11">
      <c r="A63" t="str">
        <f>'RAW DATA 2023'!B56</f>
        <v>Petchburi5</v>
      </c>
      <c r="B63" t="str">
        <f>'RAW DATA 2023'!D56</f>
        <v>B1-126-0007</v>
      </c>
      <c r="C63" t="str">
        <f t="shared" si="0"/>
        <v>Petchburi5B1-126-0007</v>
      </c>
      <c r="D63">
        <f>VLOOKUP(C63,'RAW DATA 2023'!E:BP,63,0)</f>
        <v>3</v>
      </c>
      <c r="E63" t="str">
        <f t="shared" si="1"/>
        <v>Petchburi53</v>
      </c>
      <c r="F63" s="8">
        <f>VLOOKUP(C63,'RAW DATA 2023'!E:BO,23,0)</f>
        <v>35.865726469166901</v>
      </c>
      <c r="G63" s="14">
        <f t="shared" si="2"/>
        <v>39.134273530833099</v>
      </c>
      <c r="H63" s="25">
        <f t="shared" si="3"/>
        <v>7.8268547061666203</v>
      </c>
      <c r="I63" s="80" t="str">
        <f>VLOOKUP(C63,'RAW DATA 2023'!E:BO,36,0)</f>
        <v>Normal</v>
      </c>
      <c r="J63">
        <f>VLOOKUP(C63,'RAW DATA 2023'!E:BO,21,0)</f>
        <v>16.926939999999998</v>
      </c>
      <c r="K63" s="268">
        <f t="shared" si="4"/>
        <v>132.4847</v>
      </c>
    </row>
    <row r="64" spans="1:11">
      <c r="A64" t="str">
        <f>'RAW DATA 2023'!B57</f>
        <v>Petchburi5</v>
      </c>
      <c r="B64" t="str">
        <f>'RAW DATA 2023'!D57</f>
        <v>B1-115-0009</v>
      </c>
      <c r="C64" t="str">
        <f t="shared" si="0"/>
        <v>Petchburi5B1-115-0009</v>
      </c>
      <c r="D64">
        <f>VLOOKUP(C64,'RAW DATA 2023'!E:BP,63,0)</f>
        <v>12</v>
      </c>
      <c r="E64" t="str">
        <f t="shared" si="1"/>
        <v>Petchburi512</v>
      </c>
      <c r="F64" s="8">
        <f>VLOOKUP(C64,'RAW DATA 2023'!E:BO,23,0)</f>
        <v>34.286067197785471</v>
      </c>
      <c r="G64" s="14">
        <f t="shared" si="2"/>
        <v>40.713932802214529</v>
      </c>
      <c r="H64" s="25">
        <f t="shared" si="3"/>
        <v>8.1427865604429055</v>
      </c>
      <c r="I64" s="80" t="str">
        <f>VLOOKUP(C64,'RAW DATA 2023'!E:BO,36,0)</f>
        <v>Normal</v>
      </c>
      <c r="J64">
        <f>VLOOKUP(C64,'RAW DATA 2023'!E:BO,21,0)</f>
        <v>24.044840000000001</v>
      </c>
      <c r="K64" s="268">
        <f t="shared" si="4"/>
        <v>195.792</v>
      </c>
    </row>
    <row r="65" spans="1:11">
      <c r="A65" t="str">
        <f>'RAW DATA 2023'!B58</f>
        <v>Petchburi5</v>
      </c>
      <c r="B65" t="str">
        <f>'RAW DATA 2023'!D58</f>
        <v>B1-116-0008</v>
      </c>
      <c r="C65" t="str">
        <f t="shared" si="0"/>
        <v>Petchburi5B1-116-0008</v>
      </c>
      <c r="D65">
        <f>VLOOKUP(C65,'RAW DATA 2023'!E:BP,63,0)</f>
        <v>12</v>
      </c>
      <c r="E65" t="str">
        <f t="shared" si="1"/>
        <v>Petchburi512</v>
      </c>
      <c r="F65" s="8">
        <f>VLOOKUP(C65,'RAW DATA 2023'!E:BO,23,0)</f>
        <v>48.642364348526883</v>
      </c>
      <c r="G65" s="14">
        <f t="shared" si="2"/>
        <v>26.357635651473117</v>
      </c>
      <c r="H65" s="25">
        <f t="shared" si="3"/>
        <v>5.2715271302946238</v>
      </c>
      <c r="I65" s="80" t="str">
        <f>VLOOKUP(C65,'RAW DATA 2023'!E:BO,36,0)</f>
        <v>EHP</v>
      </c>
      <c r="J65">
        <f>VLOOKUP(C65,'RAW DATA 2023'!E:BO,21,0)</f>
        <v>17.396419999999999</v>
      </c>
      <c r="K65" s="268">
        <f t="shared" si="4"/>
        <v>91.705699999999993</v>
      </c>
    </row>
    <row r="66" spans="1:11">
      <c r="A66" t="str">
        <f>'RAW DATA 2023'!B59</f>
        <v>Petchburi5</v>
      </c>
      <c r="B66" t="str">
        <f>'RAW DATA 2023'!D59</f>
        <v>AG-002-0013</v>
      </c>
      <c r="C66" t="str">
        <f t="shared" si="0"/>
        <v>Petchburi5AG-002-0013</v>
      </c>
      <c r="D66">
        <f>VLOOKUP(C66,'RAW DATA 2023'!E:BP,63,0)</f>
        <v>8</v>
      </c>
      <c r="E66" t="str">
        <f t="shared" si="1"/>
        <v>Petchburi58</v>
      </c>
      <c r="F66" s="8">
        <f>VLOOKUP(C66,'RAW DATA 2023'!E:BO,23,0)</f>
        <v>29.462729369768073</v>
      </c>
      <c r="G66" s="14">
        <f t="shared" si="2"/>
        <v>45.53727063023193</v>
      </c>
      <c r="H66" s="25">
        <f t="shared" si="3"/>
        <v>9.1074541260463864</v>
      </c>
      <c r="I66" s="80" t="str">
        <f>VLOOKUP(C66,'RAW DATA 2023'!E:BO,36,0)</f>
        <v>Normal</v>
      </c>
      <c r="J66">
        <f>VLOOKUP(C66,'RAW DATA 2023'!E:BO,21,0)</f>
        <v>15.328959999999999</v>
      </c>
      <c r="K66" s="268">
        <f t="shared" si="4"/>
        <v>139.6078</v>
      </c>
    </row>
    <row r="67" spans="1:11">
      <c r="A67" t="str">
        <f>'RAW DATA 2023'!B60</f>
        <v>Petchburi5</v>
      </c>
      <c r="B67" t="str">
        <f>'RAW DATA 2023'!D60</f>
        <v>AG-003-0011</v>
      </c>
      <c r="C67" t="str">
        <f t="shared" si="0"/>
        <v>Petchburi5AG-003-0011</v>
      </c>
      <c r="D67">
        <f>VLOOKUP(C67,'RAW DATA 2023'!E:BP,63,0)</f>
        <v>1</v>
      </c>
      <c r="E67" t="str">
        <f t="shared" si="1"/>
        <v>Petchburi51</v>
      </c>
      <c r="F67" s="8">
        <f>VLOOKUP(C67,'RAW DATA 2023'!E:BO,23,0)</f>
        <v>26.656106942541292</v>
      </c>
      <c r="G67" s="14">
        <f t="shared" si="2"/>
        <v>48.343893057458708</v>
      </c>
      <c r="H67" s="25">
        <f t="shared" si="3"/>
        <v>9.6687786114917422</v>
      </c>
      <c r="I67" s="80" t="str">
        <f>VLOOKUP(C67,'RAW DATA 2023'!E:BO,36,0)</f>
        <v>Normal</v>
      </c>
      <c r="J67">
        <f>VLOOKUP(C67,'RAW DATA 2023'!E:BO,21,0)</f>
        <v>18.157040000000002</v>
      </c>
      <c r="K67" s="268">
        <f t="shared" si="4"/>
        <v>175.55640000000005</v>
      </c>
    </row>
    <row r="68" spans="1:11">
      <c r="A68" t="str">
        <f>'RAW DATA 2023'!B61</f>
        <v>Petchburi5</v>
      </c>
      <c r="B68" t="str">
        <f>'RAW DATA 2023'!D61</f>
        <v>AG-006-0010</v>
      </c>
      <c r="C68" t="str">
        <f t="shared" si="0"/>
        <v>Petchburi5AG-006-0010</v>
      </c>
      <c r="D68">
        <f>VLOOKUP(C68,'RAW DATA 2023'!E:BP,63,0)</f>
        <v>1</v>
      </c>
      <c r="E68" t="str">
        <f t="shared" si="1"/>
        <v>Petchburi51</v>
      </c>
      <c r="F68" s="8">
        <f>VLOOKUP(C68,'RAW DATA 2023'!E:BO,23,0)</f>
        <v>29.323316364660169</v>
      </c>
      <c r="G68" s="14">
        <f t="shared" si="2"/>
        <v>45.676683635339828</v>
      </c>
      <c r="H68" s="25">
        <f t="shared" si="3"/>
        <v>9.1353367270679655</v>
      </c>
      <c r="I68" s="80" t="str">
        <f>VLOOKUP(C68,'RAW DATA 2023'!E:BO,36,0)</f>
        <v>Normal</v>
      </c>
      <c r="J68">
        <f>VLOOKUP(C68,'RAW DATA 2023'!E:BO,21,0)</f>
        <v>24.152349999999998</v>
      </c>
      <c r="K68" s="268">
        <f t="shared" si="4"/>
        <v>220.63984999999997</v>
      </c>
    </row>
    <row r="69" spans="1:11">
      <c r="A69" t="str">
        <f>'RAW DATA 2023'!B62</f>
        <v>Petchburi5</v>
      </c>
      <c r="B69" t="str">
        <f>'RAW DATA 2023'!D62</f>
        <v>AG-006-0012</v>
      </c>
      <c r="C69" t="str">
        <f t="shared" si="0"/>
        <v>Petchburi5AG-006-0012</v>
      </c>
      <c r="D69">
        <f>VLOOKUP(C69,'RAW DATA 2023'!E:BP,63,0)</f>
        <v>10</v>
      </c>
      <c r="E69" t="str">
        <f t="shared" si="1"/>
        <v>Petchburi510</v>
      </c>
      <c r="F69" s="8">
        <f>VLOOKUP(C69,'RAW DATA 2023'!E:BO,23,0)</f>
        <v>35.21996746659692</v>
      </c>
      <c r="G69" s="14">
        <f t="shared" si="2"/>
        <v>39.78003253340308</v>
      </c>
      <c r="H69" s="25">
        <f t="shared" si="3"/>
        <v>7.956006506680616</v>
      </c>
      <c r="I69" s="80" t="str">
        <f>VLOOKUP(C69,'RAW DATA 2023'!E:BO,36,0)</f>
        <v>Normal</v>
      </c>
      <c r="J69">
        <f>VLOOKUP(C69,'RAW DATA 2023'!E:BO,21,0)</f>
        <v>19.346270000000001</v>
      </c>
      <c r="K69" s="268">
        <f t="shared" si="4"/>
        <v>153.91905</v>
      </c>
    </row>
    <row r="70" spans="1:11">
      <c r="A70" t="str">
        <f>'RAW DATA 2023'!B63</f>
        <v>Petchburi5</v>
      </c>
      <c r="B70" t="str">
        <f>'RAW DATA 2023'!D63</f>
        <v>AG-001-0013</v>
      </c>
      <c r="C70" t="str">
        <f t="shared" si="0"/>
        <v>Petchburi5AG-001-0013</v>
      </c>
      <c r="D70">
        <f>VLOOKUP(C70,'RAW DATA 2023'!E:BP,63,0)</f>
        <v>6</v>
      </c>
      <c r="E70" t="str">
        <f t="shared" si="1"/>
        <v>Petchburi56</v>
      </c>
      <c r="F70" s="8">
        <f>VLOOKUP(C70,'RAW DATA 2023'!E:BO,23,0)</f>
        <v>44.361585809081483</v>
      </c>
      <c r="G70" s="14">
        <f t="shared" si="2"/>
        <v>30.638414190918517</v>
      </c>
      <c r="H70" s="25">
        <f t="shared" si="3"/>
        <v>6.1276828381837039</v>
      </c>
      <c r="I70" s="80" t="str">
        <f>VLOOKUP(C70,'RAW DATA 2023'!E:BO,36,0)</f>
        <v>ทยอยตาย</v>
      </c>
      <c r="J70">
        <f>VLOOKUP(C70,'RAW DATA 2023'!E:BO,21,0)</f>
        <v>9.8226200000000006</v>
      </c>
      <c r="K70" s="268">
        <f t="shared" si="4"/>
        <v>60.189900000000016</v>
      </c>
    </row>
    <row r="71" spans="1:11">
      <c r="A71" t="str">
        <f>'RAW DATA 2023'!B64</f>
        <v>Petchburi5</v>
      </c>
      <c r="B71" t="str">
        <f>'RAW DATA 2023'!D64</f>
        <v>AG-001-0014</v>
      </c>
      <c r="C71" t="str">
        <f t="shared" si="0"/>
        <v>Petchburi5AG-001-0014</v>
      </c>
      <c r="D71">
        <f>VLOOKUP(C71,'RAW DATA 2023'!E:BP,63,0)</f>
        <v>11</v>
      </c>
      <c r="E71" t="str">
        <f t="shared" si="1"/>
        <v>Petchburi511</v>
      </c>
      <c r="F71" s="8">
        <f>VLOOKUP(C71,'RAW DATA 2023'!E:BO,23,0)</f>
        <v>32.617108290700514</v>
      </c>
      <c r="G71" s="14">
        <f t="shared" si="2"/>
        <v>42.382891709299486</v>
      </c>
      <c r="H71" s="25">
        <f t="shared" si="3"/>
        <v>8.4765783418598968</v>
      </c>
      <c r="I71" s="80" t="str">
        <f>VLOOKUP(C71,'RAW DATA 2023'!E:BO,36,0)</f>
        <v>Normal</v>
      </c>
      <c r="J71">
        <f>VLOOKUP(C71,'RAW DATA 2023'!E:BO,21,0)</f>
        <v>21.37829</v>
      </c>
      <c r="K71" s="268">
        <f t="shared" si="4"/>
        <v>181.21475000000001</v>
      </c>
    </row>
    <row r="72" spans="1:11">
      <c r="A72" t="str">
        <f>'RAW DATA 2023'!B65</f>
        <v>Petchburi5</v>
      </c>
      <c r="B72" t="str">
        <f>'RAW DATA 2023'!D65</f>
        <v>AG-004-0012</v>
      </c>
      <c r="C72" t="str">
        <f t="shared" si="0"/>
        <v>Petchburi5AG-004-0012</v>
      </c>
      <c r="D72">
        <f>VLOOKUP(C72,'RAW DATA 2023'!E:BP,63,0)</f>
        <v>10</v>
      </c>
      <c r="E72" t="str">
        <f t="shared" si="1"/>
        <v>Petchburi510</v>
      </c>
      <c r="F72" s="8">
        <f>VLOOKUP(C72,'RAW DATA 2023'!E:BO,23,0)</f>
        <v>38.919953624636506</v>
      </c>
      <c r="G72" s="14">
        <f t="shared" si="2"/>
        <v>36.080046375363494</v>
      </c>
      <c r="H72" s="25">
        <f t="shared" si="3"/>
        <v>7.2160092750726994</v>
      </c>
      <c r="I72" s="80" t="str">
        <f>VLOOKUP(C72,'RAW DATA 2023'!E:BO,36,0)</f>
        <v>Normal</v>
      </c>
      <c r="J72">
        <f>VLOOKUP(C72,'RAW DATA 2023'!E:BO,21,0)</f>
        <v>18.414950000000001</v>
      </c>
      <c r="K72" s="268">
        <f t="shared" si="4"/>
        <v>132.88245000000001</v>
      </c>
    </row>
    <row r="73" spans="1:11">
      <c r="A73" t="str">
        <f>'RAW DATA 2023'!B66</f>
        <v>Petchburi5</v>
      </c>
      <c r="B73" t="str">
        <f>'RAW DATA 2023'!D66</f>
        <v>AG-001-0012</v>
      </c>
      <c r="C73" t="str">
        <f t="shared" si="0"/>
        <v>Petchburi5AG-001-0012</v>
      </c>
      <c r="D73">
        <f>VLOOKUP(C73,'RAW DATA 2023'!E:BP,63,0)</f>
        <v>3</v>
      </c>
      <c r="E73" t="str">
        <f t="shared" si="1"/>
        <v>Petchburi53</v>
      </c>
      <c r="F73" s="8">
        <f>VLOOKUP(C73,'RAW DATA 2023'!E:BO,23,0)</f>
        <v>29.675232408816544</v>
      </c>
      <c r="G73" s="14">
        <f t="shared" si="2"/>
        <v>45.324767591183459</v>
      </c>
      <c r="H73" s="25">
        <f t="shared" si="3"/>
        <v>9.0649535182366918</v>
      </c>
      <c r="I73" s="80" t="str">
        <f>VLOOKUP(C73,'RAW DATA 2023'!E:BO,36,0)</f>
        <v>Normal</v>
      </c>
      <c r="J73">
        <f>VLOOKUP(C73,'RAW DATA 2023'!E:BO,21,0)</f>
        <v>19.016060000000003</v>
      </c>
      <c r="K73" s="268">
        <f t="shared" si="4"/>
        <v>172.37970000000004</v>
      </c>
    </row>
    <row r="74" spans="1:11">
      <c r="A74" t="str">
        <f>'RAW DATA 2023'!B67</f>
        <v>Petchburi5</v>
      </c>
      <c r="B74" t="str">
        <f>'RAW DATA 2023'!D67</f>
        <v>AG-003-0012</v>
      </c>
      <c r="C74" t="str">
        <f t="shared" ref="C74:C137" si="5">A74&amp;B74</f>
        <v>Petchburi5AG-003-0012</v>
      </c>
      <c r="D74">
        <f>VLOOKUP(C74,'RAW DATA 2023'!E:BP,63,0)</f>
        <v>6</v>
      </c>
      <c r="E74" t="str">
        <f t="shared" ref="E74:E137" si="6">A74&amp;D74</f>
        <v>Petchburi56</v>
      </c>
      <c r="F74" s="8">
        <f>VLOOKUP(C74,'RAW DATA 2023'!E:BO,23,0)</f>
        <v>29.865455166061807</v>
      </c>
      <c r="G74" s="14">
        <f t="shared" si="2"/>
        <v>45.134544833938193</v>
      </c>
      <c r="H74" s="25">
        <f t="shared" si="3"/>
        <v>9.026908966787639</v>
      </c>
      <c r="I74" s="80" t="str">
        <f>VLOOKUP(C74,'RAW DATA 2023'!E:BO,36,0)</f>
        <v>Normal</v>
      </c>
      <c r="J74">
        <f>VLOOKUP(C74,'RAW DATA 2023'!E:BO,21,0)</f>
        <v>21.269490000000001</v>
      </c>
      <c r="K74" s="268">
        <f t="shared" si="4"/>
        <v>191.99775000000002</v>
      </c>
    </row>
    <row r="75" spans="1:11">
      <c r="A75" t="str">
        <f>'RAW DATA 2023'!B68</f>
        <v>Petchburi5</v>
      </c>
      <c r="B75" t="str">
        <f>'RAW DATA 2023'!D68</f>
        <v>AG-005-0012</v>
      </c>
      <c r="C75" t="str">
        <f t="shared" si="5"/>
        <v>Petchburi5AG-005-0012</v>
      </c>
      <c r="D75">
        <f>VLOOKUP(C75,'RAW DATA 2023'!E:BP,63,0)</f>
        <v>10</v>
      </c>
      <c r="E75" t="str">
        <f t="shared" si="6"/>
        <v>Petchburi510</v>
      </c>
      <c r="F75" s="8">
        <f>VLOOKUP(C75,'RAW DATA 2023'!E:BO,23,0)</f>
        <v>32.201201942100091</v>
      </c>
      <c r="G75" s="14">
        <f t="shared" ref="G75:G138" si="7">IF(F75=0,0,$B$2-F75)</f>
        <v>42.798798057899909</v>
      </c>
      <c r="H75" s="25">
        <f t="shared" ref="H75:H138" si="8">G75*$B$6</f>
        <v>8.5597596115799828</v>
      </c>
      <c r="I75" s="80" t="str">
        <f>VLOOKUP(C75,'RAW DATA 2023'!E:BO,36,0)</f>
        <v>Normal</v>
      </c>
      <c r="J75">
        <f>VLOOKUP(C75,'RAW DATA 2023'!E:BO,21,0)</f>
        <v>21.481900000000003</v>
      </c>
      <c r="K75" s="268">
        <f t="shared" ref="K75:K138" si="9">H75*J75</f>
        <v>183.87990000000005</v>
      </c>
    </row>
    <row r="76" spans="1:11">
      <c r="A76" t="str">
        <f>'RAW DATA 2023'!B69</f>
        <v>Petchburi5</v>
      </c>
      <c r="B76" t="str">
        <f>'RAW DATA 2023'!D69</f>
        <v>AG-003-0013</v>
      </c>
      <c r="C76" t="str">
        <f t="shared" si="5"/>
        <v>Petchburi5AG-003-0013</v>
      </c>
      <c r="D76">
        <f>VLOOKUP(C76,'RAW DATA 2023'!E:BP,63,0)</f>
        <v>10</v>
      </c>
      <c r="E76" t="str">
        <f t="shared" si="6"/>
        <v>Petchburi510</v>
      </c>
      <c r="F76" s="8">
        <f>VLOOKUP(C76,'RAW DATA 2023'!E:BO,23,0)</f>
        <v>34.583853198803659</v>
      </c>
      <c r="G76" s="14">
        <f t="shared" si="7"/>
        <v>40.416146801196341</v>
      </c>
      <c r="H76" s="25">
        <f t="shared" si="8"/>
        <v>8.0832293602392689</v>
      </c>
      <c r="I76" s="80" t="str">
        <f>VLOOKUP(C76,'RAW DATA 2023'!E:BO,36,0)</f>
        <v>Normal</v>
      </c>
      <c r="J76">
        <f>VLOOKUP(C76,'RAW DATA 2023'!E:BO,21,0)</f>
        <v>11.725790000000002</v>
      </c>
      <c r="K76" s="268">
        <f t="shared" si="9"/>
        <v>94.782250000000033</v>
      </c>
    </row>
    <row r="77" spans="1:11">
      <c r="A77" t="str">
        <f>'RAW DATA 2023'!B70</f>
        <v>Petchburi5</v>
      </c>
      <c r="B77" t="str">
        <f>'RAW DATA 2023'!D70</f>
        <v>AG-002-0012</v>
      </c>
      <c r="C77" t="str">
        <f t="shared" si="5"/>
        <v>Petchburi5AG-002-0012</v>
      </c>
      <c r="D77">
        <f>VLOOKUP(C77,'RAW DATA 2023'!E:BP,63,0)</f>
        <v>4</v>
      </c>
      <c r="E77" t="str">
        <f t="shared" si="6"/>
        <v>Petchburi54</v>
      </c>
      <c r="F77" s="8">
        <f>VLOOKUP(C77,'RAW DATA 2023'!E:BO,23,0)</f>
        <v>31.058631939296475</v>
      </c>
      <c r="G77" s="14">
        <f t="shared" si="7"/>
        <v>43.941368060703525</v>
      </c>
      <c r="H77" s="25">
        <f t="shared" si="8"/>
        <v>8.7882736121407046</v>
      </c>
      <c r="I77" s="80" t="str">
        <f>VLOOKUP(C77,'RAW DATA 2023'!E:BO,36,0)</f>
        <v>Normal</v>
      </c>
      <c r="J77">
        <f>VLOOKUP(C77,'RAW DATA 2023'!E:BO,21,0)</f>
        <v>18.64274</v>
      </c>
      <c r="K77" s="268">
        <f t="shared" si="9"/>
        <v>163.83750000000001</v>
      </c>
    </row>
    <row r="78" spans="1:11">
      <c r="A78" t="str">
        <f>'RAW DATA 2023'!B71</f>
        <v>Petchburi5</v>
      </c>
      <c r="B78" t="str">
        <f>'RAW DATA 2023'!D71</f>
        <v>AG-006-0011</v>
      </c>
      <c r="C78" t="str">
        <f t="shared" si="5"/>
        <v>Petchburi5AG-006-0011</v>
      </c>
      <c r="D78">
        <f>VLOOKUP(C78,'RAW DATA 2023'!E:BP,63,0)</f>
        <v>5</v>
      </c>
      <c r="E78" t="str">
        <f t="shared" si="6"/>
        <v>Petchburi55</v>
      </c>
      <c r="F78" s="8">
        <f>VLOOKUP(C78,'RAW DATA 2023'!E:BO,23,0)</f>
        <v>32.498979920648303</v>
      </c>
      <c r="G78" s="14">
        <f t="shared" si="7"/>
        <v>42.501020079351697</v>
      </c>
      <c r="H78" s="25">
        <f t="shared" si="8"/>
        <v>8.5002040158703398</v>
      </c>
      <c r="I78" s="80" t="str">
        <f>VLOOKUP(C78,'RAW DATA 2023'!E:BO,36,0)</f>
        <v>Normal</v>
      </c>
      <c r="J78">
        <f>VLOOKUP(C78,'RAW DATA 2023'!E:BO,21,0)</f>
        <v>20.047459999999997</v>
      </c>
      <c r="K78" s="268">
        <f t="shared" si="9"/>
        <v>170.40749999999997</v>
      </c>
    </row>
    <row r="79" spans="1:11">
      <c r="A79" t="str">
        <f>'RAW DATA 2023'!B72</f>
        <v>Petchburi5</v>
      </c>
      <c r="B79" t="str">
        <f>'RAW DATA 2023'!D72</f>
        <v>AG-004-0011</v>
      </c>
      <c r="C79" t="str">
        <f t="shared" si="5"/>
        <v>Petchburi5AG-004-0011</v>
      </c>
      <c r="D79">
        <f>VLOOKUP(C79,'RAW DATA 2023'!E:BP,63,0)</f>
        <v>5</v>
      </c>
      <c r="E79" t="str">
        <f t="shared" si="6"/>
        <v>Petchburi55</v>
      </c>
      <c r="F79" s="8">
        <f>VLOOKUP(C79,'RAW DATA 2023'!E:BO,23,0)</f>
        <v>32.409227119022965</v>
      </c>
      <c r="G79" s="14">
        <f t="shared" si="7"/>
        <v>42.590772880977035</v>
      </c>
      <c r="H79" s="25">
        <f t="shared" si="8"/>
        <v>8.5181545761954069</v>
      </c>
      <c r="I79" s="80" t="str">
        <f>VLOOKUP(C79,'RAW DATA 2023'!E:BO,36,0)</f>
        <v>Normal</v>
      </c>
      <c r="J79">
        <f>VLOOKUP(C79,'RAW DATA 2023'!E:BO,21,0)</f>
        <v>17.35623</v>
      </c>
      <c r="K79" s="268">
        <f t="shared" si="9"/>
        <v>147.84305000000001</v>
      </c>
    </row>
    <row r="80" spans="1:11">
      <c r="A80" t="str">
        <f>'RAW DATA 2023'!B73</f>
        <v>Petchburi5</v>
      </c>
      <c r="B80" t="str">
        <f>'RAW DATA 2023'!D73</f>
        <v>AG-005-0011</v>
      </c>
      <c r="C80" t="str">
        <f t="shared" si="5"/>
        <v>Petchburi5AG-005-0011</v>
      </c>
      <c r="D80">
        <f>VLOOKUP(C80,'RAW DATA 2023'!E:BP,63,0)</f>
        <v>5</v>
      </c>
      <c r="E80" t="str">
        <f t="shared" si="6"/>
        <v>Petchburi55</v>
      </c>
      <c r="F80" s="8">
        <f>VLOOKUP(C80,'RAW DATA 2023'!E:BO,23,0)</f>
        <v>32.673642392344547</v>
      </c>
      <c r="G80" s="14">
        <f t="shared" si="7"/>
        <v>42.326357607655453</v>
      </c>
      <c r="H80" s="25">
        <f t="shared" si="8"/>
        <v>8.4652715215310916</v>
      </c>
      <c r="I80" s="80" t="str">
        <f>VLOOKUP(C80,'RAW DATA 2023'!E:BO,36,0)</f>
        <v>Normal</v>
      </c>
      <c r="J80">
        <f>VLOOKUP(C80,'RAW DATA 2023'!E:BO,21,0)</f>
        <v>19.61373</v>
      </c>
      <c r="K80" s="268">
        <f t="shared" si="9"/>
        <v>166.03555000000003</v>
      </c>
    </row>
    <row r="81" spans="1:11">
      <c r="A81" t="str">
        <f>'RAW DATA 2023'!B74</f>
        <v>Petchburi5</v>
      </c>
      <c r="B81" t="str">
        <f>'RAW DATA 2023'!D74</f>
        <v>A1-021-0020</v>
      </c>
      <c r="C81" t="str">
        <f t="shared" si="5"/>
        <v>Petchburi5A1-021-0020</v>
      </c>
      <c r="D81">
        <f>VLOOKUP(C81,'RAW DATA 2023'!E:BP,63,0)</f>
        <v>9</v>
      </c>
      <c r="E81" t="str">
        <f t="shared" si="6"/>
        <v>Petchburi59</v>
      </c>
      <c r="F81" s="8">
        <f>VLOOKUP(C81,'RAW DATA 2023'!E:BO,23,0)</f>
        <v>28.093580467069991</v>
      </c>
      <c r="G81" s="14">
        <f t="shared" si="7"/>
        <v>46.906419532930009</v>
      </c>
      <c r="H81" s="25">
        <f t="shared" si="8"/>
        <v>9.3812839065860025</v>
      </c>
      <c r="I81" s="80" t="str">
        <f>VLOOKUP(C81,'RAW DATA 2023'!E:BO,36,0)</f>
        <v>Normal</v>
      </c>
      <c r="J81">
        <f>VLOOKUP(C81,'RAW DATA 2023'!E:BO,21,0)</f>
        <v>17.540839999999999</v>
      </c>
      <c r="K81" s="268">
        <f t="shared" si="9"/>
        <v>164.5556</v>
      </c>
    </row>
    <row r="82" spans="1:11">
      <c r="A82" t="str">
        <f>'RAW DATA 2023'!B75</f>
        <v>Petchburi5</v>
      </c>
      <c r="B82" t="str">
        <f>'RAW DATA 2023'!D75</f>
        <v>A1-034-0008</v>
      </c>
      <c r="C82" t="str">
        <f t="shared" si="5"/>
        <v>Petchburi5A1-034-0008</v>
      </c>
      <c r="D82">
        <f>VLOOKUP(C82,'RAW DATA 2023'!E:BP,63,0)</f>
        <v>5</v>
      </c>
      <c r="E82" t="str">
        <f t="shared" si="6"/>
        <v>Petchburi55</v>
      </c>
      <c r="F82" s="8">
        <f>VLOOKUP(C82,'RAW DATA 2023'!E:BO,23,0)</f>
        <v>31.221973983009754</v>
      </c>
      <c r="G82" s="14">
        <f t="shared" si="7"/>
        <v>43.778026016990246</v>
      </c>
      <c r="H82" s="25">
        <f t="shared" si="8"/>
        <v>8.7556052033980496</v>
      </c>
      <c r="I82" s="80" t="str">
        <f>VLOOKUP(C82,'RAW DATA 2023'!E:BO,36,0)</f>
        <v>Normal</v>
      </c>
      <c r="J82">
        <f>VLOOKUP(C82,'RAW DATA 2023'!E:BO,21,0)</f>
        <v>23.96434</v>
      </c>
      <c r="K82" s="268">
        <f t="shared" si="9"/>
        <v>209.82230000000001</v>
      </c>
    </row>
    <row r="83" spans="1:11">
      <c r="A83" t="str">
        <f>'RAW DATA 2023'!B76</f>
        <v>Petchburi5</v>
      </c>
      <c r="B83" t="str">
        <f>'RAW DATA 2023'!D76</f>
        <v>A1-035-0007</v>
      </c>
      <c r="C83" t="str">
        <f t="shared" si="5"/>
        <v>Petchburi5A1-035-0007</v>
      </c>
      <c r="D83">
        <f>VLOOKUP(C83,'RAW DATA 2023'!E:BP,63,0)</f>
        <v>9</v>
      </c>
      <c r="E83" t="str">
        <f t="shared" si="6"/>
        <v>Petchburi59</v>
      </c>
      <c r="F83" s="8">
        <f>VLOOKUP(C83,'RAW DATA 2023'!E:BO,23,0)</f>
        <v>34.756445176410971</v>
      </c>
      <c r="G83" s="14">
        <f t="shared" si="7"/>
        <v>40.243554823589029</v>
      </c>
      <c r="H83" s="25">
        <f t="shared" si="8"/>
        <v>8.0487109647178059</v>
      </c>
      <c r="I83" s="80" t="str">
        <f>VLOOKUP(C83,'RAW DATA 2023'!E:BO,36,0)</f>
        <v>Normal</v>
      </c>
      <c r="J83">
        <f>VLOOKUP(C83,'RAW DATA 2023'!E:BO,21,0)</f>
        <v>26.048549999999999</v>
      </c>
      <c r="K83" s="268">
        <f t="shared" si="9"/>
        <v>209.65725</v>
      </c>
    </row>
    <row r="84" spans="1:11">
      <c r="A84" t="str">
        <f>'RAW DATA 2023'!B77</f>
        <v>Petchburi5</v>
      </c>
      <c r="B84" t="str">
        <f>'RAW DATA 2023'!D77</f>
        <v>A1-032-0009</v>
      </c>
      <c r="C84" t="str">
        <f t="shared" si="5"/>
        <v>Petchburi5A1-032-0009</v>
      </c>
      <c r="D84">
        <f>VLOOKUP(C84,'RAW DATA 2023'!E:BP,63,0)</f>
        <v>12</v>
      </c>
      <c r="E84" t="str">
        <f t="shared" si="6"/>
        <v>Petchburi512</v>
      </c>
      <c r="F84" s="8">
        <f>VLOOKUP(C84,'RAW DATA 2023'!E:BO,23,0)</f>
        <v>36.055961739396821</v>
      </c>
      <c r="G84" s="14">
        <f t="shared" si="7"/>
        <v>38.944038260603179</v>
      </c>
      <c r="H84" s="25">
        <f t="shared" si="8"/>
        <v>7.788807652120636</v>
      </c>
      <c r="I84" s="80" t="str">
        <f>VLOOKUP(C84,'RAW DATA 2023'!E:BO,36,0)</f>
        <v>Normal</v>
      </c>
      <c r="J84">
        <f>VLOOKUP(C84,'RAW DATA 2023'!E:BO,21,0)</f>
        <v>29.24784</v>
      </c>
      <c r="K84" s="268">
        <f t="shared" si="9"/>
        <v>227.80580000000003</v>
      </c>
    </row>
    <row r="85" spans="1:11">
      <c r="A85" t="str">
        <f>'RAW DATA 2023'!B78</f>
        <v>Petchburi5</v>
      </c>
      <c r="B85" t="str">
        <f>'RAW DATA 2023'!D78</f>
        <v>A1-020-0016</v>
      </c>
      <c r="C85" t="str">
        <f t="shared" si="5"/>
        <v>Petchburi5A1-020-0016</v>
      </c>
      <c r="D85">
        <f>VLOOKUP(C85,'RAW DATA 2023'!E:BP,63,0)</f>
        <v>9</v>
      </c>
      <c r="E85" t="str">
        <f t="shared" si="6"/>
        <v>Petchburi59</v>
      </c>
      <c r="F85" s="8">
        <f>VLOOKUP(C85,'RAW DATA 2023'!E:BO,23,0)</f>
        <v>31.02325171556755</v>
      </c>
      <c r="G85" s="14">
        <f t="shared" si="7"/>
        <v>43.976748284432446</v>
      </c>
      <c r="H85" s="25">
        <f t="shared" si="8"/>
        <v>8.79534965688649</v>
      </c>
      <c r="I85" s="80" t="str">
        <f>VLOOKUP(C85,'RAW DATA 2023'!E:BO,36,0)</f>
        <v>Normal</v>
      </c>
      <c r="J85">
        <f>VLOOKUP(C85,'RAW DATA 2023'!E:BO,21,0)</f>
        <v>21.449169999999999</v>
      </c>
      <c r="K85" s="268">
        <f t="shared" si="9"/>
        <v>188.65294999999998</v>
      </c>
    </row>
    <row r="86" spans="1:11">
      <c r="A86" t="str">
        <f>'RAW DATA 2023'!B79</f>
        <v>Petchburi5</v>
      </c>
      <c r="B86" t="str">
        <f>'RAW DATA 2023'!D79</f>
        <v>A1-033-0009</v>
      </c>
      <c r="C86" t="str">
        <f t="shared" si="5"/>
        <v>Petchburi5A1-033-0009</v>
      </c>
      <c r="D86">
        <f>VLOOKUP(C86,'RAW DATA 2023'!E:BP,63,0)</f>
        <v>7</v>
      </c>
      <c r="E86" t="str">
        <f t="shared" si="6"/>
        <v>Petchburi57</v>
      </c>
      <c r="F86" s="8">
        <f>VLOOKUP(C86,'RAW DATA 2023'!E:BO,23,0)</f>
        <v>33.82049931989016</v>
      </c>
      <c r="G86" s="14">
        <f t="shared" si="7"/>
        <v>41.17950068010984</v>
      </c>
      <c r="H86" s="25">
        <f t="shared" si="8"/>
        <v>8.2359001360219679</v>
      </c>
      <c r="I86" s="80" t="str">
        <f>VLOOKUP(C86,'RAW DATA 2023'!E:BO,36,0)</f>
        <v>Normal</v>
      </c>
      <c r="J86">
        <f>VLOOKUP(C86,'RAW DATA 2023'!E:BO,21,0)</f>
        <v>26.07667</v>
      </c>
      <c r="K86" s="268">
        <f t="shared" si="9"/>
        <v>214.76484999999997</v>
      </c>
    </row>
    <row r="87" spans="1:11">
      <c r="A87" t="str">
        <f>'RAW DATA 2023'!B80</f>
        <v>Petchburi5</v>
      </c>
      <c r="B87" t="str">
        <f>'RAW DATA 2023'!D80</f>
        <v>A1-033-0010</v>
      </c>
      <c r="C87" t="str">
        <f t="shared" si="5"/>
        <v>Petchburi5A1-033-0010</v>
      </c>
      <c r="D87">
        <f>VLOOKUP(C87,'RAW DATA 2023'!E:BP,63,0)</f>
        <v>11</v>
      </c>
      <c r="E87" t="str">
        <f t="shared" si="6"/>
        <v>Petchburi511</v>
      </c>
      <c r="F87" s="8">
        <f>VLOOKUP(C87,'RAW DATA 2023'!E:BO,23,0)</f>
        <v>36.506234880171441</v>
      </c>
      <c r="G87" s="14">
        <f t="shared" si="7"/>
        <v>38.493765119828559</v>
      </c>
      <c r="H87" s="25">
        <f t="shared" si="8"/>
        <v>7.698753023965712</v>
      </c>
      <c r="I87" s="80" t="str">
        <f>VLOOKUP(C87,'RAW DATA 2023'!E:BO,36,0)</f>
        <v>Normal</v>
      </c>
      <c r="J87">
        <f>VLOOKUP(C87,'RAW DATA 2023'!E:BO,21,0)</f>
        <v>17.919349999999998</v>
      </c>
      <c r="K87" s="268">
        <f t="shared" si="9"/>
        <v>137.95664999999997</v>
      </c>
    </row>
    <row r="88" spans="1:11">
      <c r="A88" t="str">
        <f>'RAW DATA 2023'!B81</f>
        <v>Petchburi5</v>
      </c>
      <c r="B88" t="str">
        <f>'RAW DATA 2023'!D81</f>
        <v>A1-020-0015</v>
      </c>
      <c r="C88" t="str">
        <f t="shared" si="5"/>
        <v>Petchburi5A1-020-0015</v>
      </c>
      <c r="D88">
        <f>VLOOKUP(C88,'RAW DATA 2023'!E:BP,63,0)</f>
        <v>4</v>
      </c>
      <c r="E88" t="str">
        <f t="shared" si="6"/>
        <v>Petchburi54</v>
      </c>
      <c r="F88" s="8">
        <f>VLOOKUP(C88,'RAW DATA 2023'!E:BO,23,0)</f>
        <v>28.964989507979897</v>
      </c>
      <c r="G88" s="14">
        <f t="shared" si="7"/>
        <v>46.035010492020106</v>
      </c>
      <c r="H88" s="25">
        <f t="shared" si="8"/>
        <v>9.207002098404022</v>
      </c>
      <c r="I88" s="80" t="str">
        <f>VLOOKUP(C88,'RAW DATA 2023'!E:BO,36,0)</f>
        <v>Normal</v>
      </c>
      <c r="J88">
        <f>VLOOKUP(C88,'RAW DATA 2023'!E:BO,21,0)</f>
        <v>18.962029999999999</v>
      </c>
      <c r="K88" s="268">
        <f t="shared" si="9"/>
        <v>174.58345</v>
      </c>
    </row>
    <row r="89" spans="1:11">
      <c r="A89" t="str">
        <f>'RAW DATA 2023'!B82</f>
        <v>Petchburi5</v>
      </c>
      <c r="B89" t="str">
        <f>'RAW DATA 2023'!D82</f>
        <v>A1-032-0008</v>
      </c>
      <c r="C89" t="str">
        <f t="shared" si="5"/>
        <v>Petchburi5A1-032-0008</v>
      </c>
      <c r="D89">
        <f>VLOOKUP(C89,'RAW DATA 2023'!E:BP,63,0)</f>
        <v>7</v>
      </c>
      <c r="E89" t="str">
        <f t="shared" si="6"/>
        <v>Petchburi57</v>
      </c>
      <c r="F89" s="8">
        <f>VLOOKUP(C89,'RAW DATA 2023'!E:BO,23,0)</f>
        <v>31.496308562302829</v>
      </c>
      <c r="G89" s="14">
        <f t="shared" si="7"/>
        <v>43.503691437697171</v>
      </c>
      <c r="H89" s="25">
        <f t="shared" si="8"/>
        <v>8.7007382875394352</v>
      </c>
      <c r="I89" s="80" t="str">
        <f>VLOOKUP(C89,'RAW DATA 2023'!E:BO,36,0)</f>
        <v>Normal</v>
      </c>
      <c r="J89">
        <f>VLOOKUP(C89,'RAW DATA 2023'!E:BO,21,0)</f>
        <v>30.557200000000002</v>
      </c>
      <c r="K89" s="268">
        <f t="shared" si="9"/>
        <v>265.87020000000007</v>
      </c>
    </row>
    <row r="90" spans="1:11">
      <c r="A90" t="str">
        <f>'RAW DATA 2023'!B83</f>
        <v>Petchburi5</v>
      </c>
      <c r="B90" t="str">
        <f>'RAW DATA 2023'!D83</f>
        <v>A1-033-0008</v>
      </c>
      <c r="C90" t="str">
        <f t="shared" si="5"/>
        <v>Petchburi5A1-033-0008</v>
      </c>
      <c r="D90">
        <f>VLOOKUP(C90,'RAW DATA 2023'!E:BP,63,0)</f>
        <v>3</v>
      </c>
      <c r="E90" t="str">
        <f t="shared" si="6"/>
        <v>Petchburi53</v>
      </c>
      <c r="F90" s="8">
        <f>VLOOKUP(C90,'RAW DATA 2023'!E:BO,23,0)</f>
        <v>27.715029914022551</v>
      </c>
      <c r="G90" s="14">
        <f t="shared" si="7"/>
        <v>47.284970085977449</v>
      </c>
      <c r="H90" s="25">
        <f t="shared" si="8"/>
        <v>9.4569940171954894</v>
      </c>
      <c r="I90" s="80" t="str">
        <f>VLOOKUP(C90,'RAW DATA 2023'!E:BO,36,0)</f>
        <v>Normal</v>
      </c>
      <c r="J90">
        <f>VLOOKUP(C90,'RAW DATA 2023'!E:BO,21,0)</f>
        <v>26.363889999999998</v>
      </c>
      <c r="K90" s="268">
        <f t="shared" si="9"/>
        <v>249.32314999999997</v>
      </c>
    </row>
    <row r="91" spans="1:11">
      <c r="A91" t="str">
        <f>'RAW DATA 2023'!B84</f>
        <v>Petchburi5</v>
      </c>
      <c r="B91" t="str">
        <f>'RAW DATA 2023'!D84</f>
        <v>A1-034-0009</v>
      </c>
      <c r="C91" t="str">
        <f t="shared" si="5"/>
        <v>Petchburi5A1-034-0009</v>
      </c>
      <c r="D91">
        <f>VLOOKUP(C91,'RAW DATA 2023'!E:BP,63,0)</f>
        <v>11</v>
      </c>
      <c r="E91" t="str">
        <f t="shared" si="6"/>
        <v>Petchburi511</v>
      </c>
      <c r="F91" s="8">
        <f>VLOOKUP(C91,'RAW DATA 2023'!E:BO,23,0)</f>
        <v>33.89616158373034</v>
      </c>
      <c r="G91" s="14">
        <f t="shared" si="7"/>
        <v>41.10383841626966</v>
      </c>
      <c r="H91" s="25">
        <f t="shared" si="8"/>
        <v>8.220767683253932</v>
      </c>
      <c r="I91" s="80" t="str">
        <f>VLOOKUP(C91,'RAW DATA 2023'!E:BO,36,0)</f>
        <v>Normal</v>
      </c>
      <c r="J91">
        <f>VLOOKUP(C91,'RAW DATA 2023'!E:BO,21,0)</f>
        <v>27.532970000000002</v>
      </c>
      <c r="K91" s="268">
        <f t="shared" si="9"/>
        <v>226.34215000000003</v>
      </c>
    </row>
    <row r="92" spans="1:11">
      <c r="A92" t="str">
        <f>'RAW DATA 2023'!B85</f>
        <v>Petchburi5</v>
      </c>
      <c r="B92" t="str">
        <f>'RAW DATA 2023'!D85</f>
        <v>A1-021-0019</v>
      </c>
      <c r="C92" t="str">
        <f t="shared" si="5"/>
        <v>Petchburi5A1-021-0019</v>
      </c>
      <c r="D92">
        <f>VLOOKUP(C92,'RAW DATA 2023'!E:BP,63,0)</f>
        <v>4</v>
      </c>
      <c r="E92" t="str">
        <f t="shared" si="6"/>
        <v>Petchburi54</v>
      </c>
      <c r="F92" s="8">
        <f>VLOOKUP(C92,'RAW DATA 2023'!E:BO,23,0)</f>
        <v>27.957552102405131</v>
      </c>
      <c r="G92" s="14">
        <f t="shared" si="7"/>
        <v>47.042447897594869</v>
      </c>
      <c r="H92" s="25">
        <f t="shared" si="8"/>
        <v>9.4084895795189745</v>
      </c>
      <c r="I92" s="80" t="str">
        <f>VLOOKUP(C92,'RAW DATA 2023'!E:BO,36,0)</f>
        <v>Normal</v>
      </c>
      <c r="J92">
        <f>VLOOKUP(C92,'RAW DATA 2023'!E:BO,21,0)</f>
        <v>16.658540000000002</v>
      </c>
      <c r="K92" s="268">
        <f t="shared" si="9"/>
        <v>156.73170000000005</v>
      </c>
    </row>
    <row r="93" spans="1:11">
      <c r="A93" t="str">
        <f>'RAW DATA 2023'!B86</f>
        <v>Petchburi5</v>
      </c>
      <c r="B93" t="str">
        <f>'RAW DATA 2023'!D86</f>
        <v>A1-035-0006</v>
      </c>
      <c r="C93" t="str">
        <f t="shared" si="5"/>
        <v>Petchburi5A1-035-0006</v>
      </c>
      <c r="D93">
        <f>VLOOKUP(C93,'RAW DATA 2023'!E:BP,63,0)</f>
        <v>4</v>
      </c>
      <c r="E93" t="str">
        <f t="shared" si="6"/>
        <v>Petchburi54</v>
      </c>
      <c r="F93" s="8">
        <f>VLOOKUP(C93,'RAW DATA 2023'!E:BO,23,0)</f>
        <v>20.989242382067363</v>
      </c>
      <c r="G93" s="14">
        <f t="shared" si="7"/>
        <v>54.01075761793264</v>
      </c>
      <c r="H93" s="25">
        <f t="shared" si="8"/>
        <v>10.802151523586529</v>
      </c>
      <c r="I93" s="80" t="str">
        <f>VLOOKUP(C93,'RAW DATA 2023'!E:BO,36,0)</f>
        <v>Normal</v>
      </c>
      <c r="J93">
        <f>VLOOKUP(C93,'RAW DATA 2023'!E:BO,21,0)</f>
        <v>15.26825</v>
      </c>
      <c r="K93" s="268">
        <f t="shared" si="9"/>
        <v>164.92995000000002</v>
      </c>
    </row>
    <row r="94" spans="1:11">
      <c r="A94" t="str">
        <f>'RAW DATA 2023'!B87</f>
        <v>Petchburi5</v>
      </c>
      <c r="B94" t="str">
        <f>'RAW DATA 2023'!D87</f>
        <v>A1-032-0007</v>
      </c>
      <c r="C94" t="str">
        <f t="shared" si="5"/>
        <v>Petchburi5A1-032-0007</v>
      </c>
      <c r="D94">
        <f>VLOOKUP(C94,'RAW DATA 2023'!E:BP,63,0)</f>
        <v>3</v>
      </c>
      <c r="E94" t="str">
        <f t="shared" si="6"/>
        <v>Petchburi53</v>
      </c>
      <c r="F94" s="8">
        <f>VLOOKUP(C94,'RAW DATA 2023'!E:BO,23,0)</f>
        <v>28.000474488483679</v>
      </c>
      <c r="G94" s="14">
        <f t="shared" si="7"/>
        <v>46.999525511516325</v>
      </c>
      <c r="H94" s="25">
        <f t="shared" si="8"/>
        <v>9.3999051023032649</v>
      </c>
      <c r="I94" s="80" t="str">
        <f>VLOOKUP(C94,'RAW DATA 2023'!E:BO,36,0)</f>
        <v>Normal</v>
      </c>
      <c r="J94">
        <f>VLOOKUP(C94,'RAW DATA 2023'!E:BO,21,0)</f>
        <v>18.040479999999999</v>
      </c>
      <c r="K94" s="268">
        <f t="shared" si="9"/>
        <v>169.5788</v>
      </c>
    </row>
    <row r="95" spans="1:11">
      <c r="A95" t="str">
        <f>'RAW DATA 2023'!B88</f>
        <v>Petchburi5</v>
      </c>
      <c r="B95" t="str">
        <f>'RAW DATA 2023'!D88</f>
        <v>A1-034-0007</v>
      </c>
      <c r="C95" t="str">
        <f t="shared" si="5"/>
        <v>Petchburi5A1-034-0007</v>
      </c>
      <c r="D95">
        <f>VLOOKUP(C95,'RAW DATA 2023'!E:BP,63,0)</f>
        <v>1</v>
      </c>
      <c r="E95" t="str">
        <f t="shared" si="6"/>
        <v>Petchburi51</v>
      </c>
      <c r="F95" s="8">
        <f>VLOOKUP(C95,'RAW DATA 2023'!E:BO,23,0)</f>
        <v>0</v>
      </c>
      <c r="G95" s="14">
        <f t="shared" si="7"/>
        <v>0</v>
      </c>
      <c r="H95" s="25">
        <f t="shared" si="8"/>
        <v>0</v>
      </c>
      <c r="I95" s="80" t="str">
        <f>VLOOKUP(C95,'RAW DATA 2023'!E:BO,36,0)</f>
        <v>WSSV</v>
      </c>
      <c r="J95">
        <f>VLOOKUP(C95,'RAW DATA 2023'!E:BO,21,0)</f>
        <v>0</v>
      </c>
      <c r="K95" s="268">
        <f t="shared" si="9"/>
        <v>0</v>
      </c>
    </row>
    <row r="96" spans="1:11">
      <c r="A96" t="str">
        <f>'RAW DATA 2023'!B89</f>
        <v>Petchburi5</v>
      </c>
      <c r="B96" t="str">
        <f>'RAW DATA 2023'!D89</f>
        <v>AG-002-0014</v>
      </c>
      <c r="C96" t="str">
        <f t="shared" si="5"/>
        <v>Petchburi5AG-002-0014</v>
      </c>
      <c r="D96">
        <f>VLOOKUP(C96,'RAW DATA 2023'!E:BP,63,0)</f>
        <v>12</v>
      </c>
      <c r="E96" t="str">
        <f t="shared" si="6"/>
        <v>Petchburi512</v>
      </c>
      <c r="F96" s="8">
        <f>VLOOKUP(C96,'RAW DATA 2023'!E:BO,23,0)</f>
        <v>33.031961002407321</v>
      </c>
      <c r="G96" s="14">
        <f t="shared" si="7"/>
        <v>41.968038997592679</v>
      </c>
      <c r="H96" s="25">
        <f t="shared" si="8"/>
        <v>8.3936077995185361</v>
      </c>
      <c r="I96" s="80" t="str">
        <f>VLOOKUP(C96,'RAW DATA 2023'!E:BO,36,0)</f>
        <v>Normal</v>
      </c>
      <c r="J96">
        <f>VLOOKUP(C96,'RAW DATA 2023'!E:BO,21,0)</f>
        <v>15.31992</v>
      </c>
      <c r="K96" s="268">
        <f t="shared" si="9"/>
        <v>128.58940000000001</v>
      </c>
    </row>
    <row r="97" spans="1:11">
      <c r="A97" t="str">
        <f>'RAW DATA 2023'!B90</f>
        <v>Petchburi5</v>
      </c>
      <c r="B97" t="str">
        <f>'RAW DATA 2023'!D90</f>
        <v>G1-G01-0002</v>
      </c>
      <c r="C97" t="str">
        <f t="shared" si="5"/>
        <v>Petchburi5G1-G01-0002</v>
      </c>
      <c r="D97">
        <f>VLOOKUP(C97,'RAW DATA 2023'!E:BP,63,0)</f>
        <v>1</v>
      </c>
      <c r="E97" t="str">
        <f t="shared" si="6"/>
        <v>Petchburi51</v>
      </c>
      <c r="F97" s="8">
        <f>VLOOKUP(C97,'RAW DATA 2023'!E:BO,23,0)</f>
        <v>26.739452961539925</v>
      </c>
      <c r="G97" s="14">
        <f t="shared" si="7"/>
        <v>48.260547038460075</v>
      </c>
      <c r="H97" s="25">
        <f t="shared" si="8"/>
        <v>9.6521094076920164</v>
      </c>
      <c r="I97" s="80" t="str">
        <f>VLOOKUP(C97,'RAW DATA 2023'!E:BO,36,0)</f>
        <v>Normal</v>
      </c>
      <c r="J97">
        <f>VLOOKUP(C97,'RAW DATA 2023'!E:BO,21,0)</f>
        <v>13.1435</v>
      </c>
      <c r="K97" s="268">
        <f t="shared" si="9"/>
        <v>126.86250000000001</v>
      </c>
    </row>
    <row r="98" spans="1:11">
      <c r="A98" t="str">
        <f>'RAW DATA 2023'!B91</f>
        <v>Petchburi5</v>
      </c>
      <c r="B98" t="str">
        <f>'RAW DATA 2023'!D91</f>
        <v>G1-G02-0002</v>
      </c>
      <c r="C98" t="str">
        <f t="shared" si="5"/>
        <v>Petchburi5G1-G02-0002</v>
      </c>
      <c r="D98">
        <f>VLOOKUP(C98,'RAW DATA 2023'!E:BP,63,0)</f>
        <v>8</v>
      </c>
      <c r="E98" t="str">
        <f t="shared" si="6"/>
        <v>Petchburi58</v>
      </c>
      <c r="F98" s="8">
        <f>VLOOKUP(C98,'RAW DATA 2023'!E:BO,23,0)</f>
        <v>44.518263365127972</v>
      </c>
      <c r="G98" s="14">
        <f t="shared" si="7"/>
        <v>30.481736634872028</v>
      </c>
      <c r="H98" s="25">
        <f t="shared" si="8"/>
        <v>6.0963473269744064</v>
      </c>
      <c r="I98" s="80" t="str">
        <f>VLOOKUP(C98,'RAW DATA 2023'!E:BO,36,0)</f>
        <v>Normal</v>
      </c>
      <c r="J98">
        <f>VLOOKUP(C98,'RAW DATA 2023'!E:BO,21,0)</f>
        <v>20.16797</v>
      </c>
      <c r="K98" s="268">
        <f t="shared" si="9"/>
        <v>122.95095000000002</v>
      </c>
    </row>
    <row r="99" spans="1:11">
      <c r="A99" t="str">
        <f>'RAW DATA 2023'!B92</f>
        <v>Petchburi5</v>
      </c>
      <c r="B99" t="str">
        <f>'RAW DATA 2023'!D92</f>
        <v>G1-G02-0001</v>
      </c>
      <c r="C99" t="str">
        <f t="shared" si="5"/>
        <v>Petchburi5G1-G02-0001</v>
      </c>
      <c r="D99">
        <f>VLOOKUP(C99,'RAW DATA 2023'!E:BP,63,0)</f>
        <v>4</v>
      </c>
      <c r="E99" t="str">
        <f t="shared" si="6"/>
        <v>Petchburi54</v>
      </c>
      <c r="F99" s="8">
        <f>VLOOKUP(C99,'RAW DATA 2023'!E:BO,23,0)</f>
        <v>28.663999198843296</v>
      </c>
      <c r="G99" s="14">
        <f t="shared" si="7"/>
        <v>46.3360008011567</v>
      </c>
      <c r="H99" s="25">
        <f t="shared" si="8"/>
        <v>9.2672001602313401</v>
      </c>
      <c r="I99" s="80" t="str">
        <f>VLOOKUP(C99,'RAW DATA 2023'!E:BO,36,0)</f>
        <v>Normal</v>
      </c>
      <c r="J99">
        <f>VLOOKUP(C99,'RAW DATA 2023'!E:BO,21,0)</f>
        <v>15.27791</v>
      </c>
      <c r="K99" s="268">
        <f t="shared" si="9"/>
        <v>141.58345</v>
      </c>
    </row>
    <row r="100" spans="1:11">
      <c r="A100" t="str">
        <f>'RAW DATA 2023'!B93</f>
        <v>Petchburi5</v>
      </c>
      <c r="B100" t="str">
        <f>'RAW DATA 2023'!D93</f>
        <v>G1-G01-0004</v>
      </c>
      <c r="C100" t="str">
        <f t="shared" si="5"/>
        <v>Petchburi5G1-G01-0004</v>
      </c>
      <c r="D100">
        <f>VLOOKUP(C100,'RAW DATA 2023'!E:BP,63,0)</f>
        <v>11</v>
      </c>
      <c r="E100" t="str">
        <f t="shared" si="6"/>
        <v>Petchburi511</v>
      </c>
      <c r="F100" s="8">
        <f>VLOOKUP(C100,'RAW DATA 2023'!E:BO,23,0)</f>
        <v>33.937428485615648</v>
      </c>
      <c r="G100" s="14">
        <f t="shared" si="7"/>
        <v>41.062571514384352</v>
      </c>
      <c r="H100" s="25">
        <f t="shared" si="8"/>
        <v>8.2125143028768708</v>
      </c>
      <c r="I100" s="80" t="str">
        <f>VLOOKUP(C100,'RAW DATA 2023'!E:BO,36,0)</f>
        <v>Normal</v>
      </c>
      <c r="J100">
        <f>VLOOKUP(C100,'RAW DATA 2023'!E:BO,21,0)</f>
        <v>16.447740000000003</v>
      </c>
      <c r="K100" s="268">
        <f t="shared" si="9"/>
        <v>135.07730000000004</v>
      </c>
    </row>
    <row r="101" spans="1:11">
      <c r="A101" t="str">
        <f>'RAW DATA 2023'!B94</f>
        <v>Petchburi5</v>
      </c>
      <c r="B101" t="str">
        <f>'RAW DATA 2023'!D94</f>
        <v>G1-G01-0003</v>
      </c>
      <c r="C101" t="str">
        <f t="shared" si="5"/>
        <v>Petchburi5G1-G01-0003</v>
      </c>
      <c r="D101">
        <f>VLOOKUP(C101,'RAW DATA 2023'!E:BP,63,0)</f>
        <v>6</v>
      </c>
      <c r="E101" t="str">
        <f t="shared" si="6"/>
        <v>Petchburi56</v>
      </c>
      <c r="F101" s="8">
        <f>VLOOKUP(C101,'RAW DATA 2023'!E:BO,23,0)</f>
        <v>47.396361985148779</v>
      </c>
      <c r="G101" s="14">
        <f t="shared" si="7"/>
        <v>27.603638014851221</v>
      </c>
      <c r="H101" s="25">
        <f t="shared" si="8"/>
        <v>5.5207276029702443</v>
      </c>
      <c r="I101" s="80" t="str">
        <f>VLOOKUP(C101,'RAW DATA 2023'!E:BO,36,0)</f>
        <v>Normal</v>
      </c>
      <c r="J101">
        <f>VLOOKUP(C101,'RAW DATA 2023'!E:BO,21,0)</f>
        <v>14.975200000000001</v>
      </c>
      <c r="K101" s="268">
        <f t="shared" si="9"/>
        <v>82.674000000000007</v>
      </c>
    </row>
    <row r="102" spans="1:11">
      <c r="A102" t="str">
        <f>'RAW DATA 2023'!B95</f>
        <v>Roiphet1</v>
      </c>
      <c r="B102" t="str">
        <f>'RAW DATA 2023'!D95</f>
        <v>A5-I09-0099</v>
      </c>
      <c r="C102" t="str">
        <f t="shared" si="5"/>
        <v>Roiphet1A5-I09-0099</v>
      </c>
      <c r="D102">
        <f>VLOOKUP(C102,'RAW DATA 2023'!E:BP,63,0)</f>
        <v>10</v>
      </c>
      <c r="E102" t="str">
        <f t="shared" si="6"/>
        <v>Roiphet110</v>
      </c>
      <c r="F102" s="8">
        <f>VLOOKUP(C102,'RAW DATA 2023'!E:BO,23,0)</f>
        <v>28.915732338069159</v>
      </c>
      <c r="G102" s="14">
        <f t="shared" si="7"/>
        <v>46.084267661930838</v>
      </c>
      <c r="H102" s="25">
        <f t="shared" si="8"/>
        <v>9.2168535323861676</v>
      </c>
      <c r="I102" s="80" t="str">
        <f>VLOOKUP(C102,'RAW DATA 2023'!E:BO,36,0)</f>
        <v>อัตรารอดต่ำ</v>
      </c>
      <c r="J102">
        <f>VLOOKUP(C102,'RAW DATA 2023'!E:BO,21,0)</f>
        <v>3.2848899999999999</v>
      </c>
      <c r="K102" s="268">
        <f t="shared" si="9"/>
        <v>30.276349999999997</v>
      </c>
    </row>
    <row r="103" spans="1:11">
      <c r="A103" t="str">
        <f>'RAW DATA 2023'!B96</f>
        <v>Roiphet1</v>
      </c>
      <c r="B103" t="str">
        <f>'RAW DATA 2023'!D96</f>
        <v>A3-G05-0077</v>
      </c>
      <c r="C103" t="str">
        <f t="shared" si="5"/>
        <v>Roiphet1A3-G05-0077</v>
      </c>
      <c r="D103">
        <f>VLOOKUP(C103,'RAW DATA 2023'!E:BP,63,0)</f>
        <v>10</v>
      </c>
      <c r="E103" t="str">
        <f t="shared" si="6"/>
        <v>Roiphet110</v>
      </c>
      <c r="F103" s="8">
        <f>VLOOKUP(C103,'RAW DATA 2023'!E:BO,23,0)</f>
        <v>40.648879658358133</v>
      </c>
      <c r="G103" s="14">
        <f t="shared" si="7"/>
        <v>34.351120341641867</v>
      </c>
      <c r="H103" s="25">
        <f t="shared" si="8"/>
        <v>6.8702240683283735</v>
      </c>
      <c r="I103" s="80" t="str">
        <f>VLOOKUP(C103,'RAW DATA 2023'!E:BO,36,0)</f>
        <v>อัตรารอดต่ำ</v>
      </c>
      <c r="J103">
        <f>VLOOKUP(C103,'RAW DATA 2023'!E:BO,21,0)</f>
        <v>6.3364599999999998</v>
      </c>
      <c r="K103" s="268">
        <f t="shared" si="9"/>
        <v>43.532900000000005</v>
      </c>
    </row>
    <row r="104" spans="1:11">
      <c r="A104" t="str">
        <f>'RAW DATA 2023'!B97</f>
        <v>Roiphet1</v>
      </c>
      <c r="B104" t="str">
        <f>'RAW DATA 2023'!D97</f>
        <v>A5-G09-0084</v>
      </c>
      <c r="C104" t="str">
        <f t="shared" si="5"/>
        <v>Roiphet1A5-G09-0084</v>
      </c>
      <c r="D104">
        <f>VLOOKUP(C104,'RAW DATA 2023'!E:BP,63,0)</f>
        <v>10</v>
      </c>
      <c r="E104" t="str">
        <f t="shared" si="6"/>
        <v>Roiphet110</v>
      </c>
      <c r="F104" s="8">
        <f>VLOOKUP(C104,'RAW DATA 2023'!E:BO,23,0)</f>
        <v>35.147830416806819</v>
      </c>
      <c r="G104" s="14">
        <f t="shared" si="7"/>
        <v>39.852169583193181</v>
      </c>
      <c r="H104" s="25">
        <f t="shared" si="8"/>
        <v>7.9704339166386369</v>
      </c>
      <c r="I104" s="80" t="str">
        <f>VLOOKUP(C104,'RAW DATA 2023'!E:BO,36,0)</f>
        <v>อัตรารอดต่ำ</v>
      </c>
      <c r="J104">
        <f>VLOOKUP(C104,'RAW DATA 2023'!E:BO,21,0)</f>
        <v>7.5512199999999998</v>
      </c>
      <c r="K104" s="268">
        <f t="shared" si="9"/>
        <v>60.186500000000009</v>
      </c>
    </row>
    <row r="105" spans="1:11">
      <c r="A105" t="str">
        <f>'RAW DATA 2023'!B98</f>
        <v>Roiphet1</v>
      </c>
      <c r="B105" t="str">
        <f>'RAW DATA 2023'!D98</f>
        <v>A5-I10-0095</v>
      </c>
      <c r="C105" t="str">
        <f t="shared" si="5"/>
        <v>Roiphet1A5-I10-0095</v>
      </c>
      <c r="D105">
        <f>VLOOKUP(C105,'RAW DATA 2023'!E:BP,63,0)</f>
        <v>10</v>
      </c>
      <c r="E105" t="str">
        <f t="shared" si="6"/>
        <v>Roiphet110</v>
      </c>
      <c r="F105" s="8">
        <f>VLOOKUP(C105,'RAW DATA 2023'!E:BO,23,0)</f>
        <v>26.65895809244039</v>
      </c>
      <c r="G105" s="14">
        <f t="shared" si="7"/>
        <v>48.341041907559614</v>
      </c>
      <c r="H105" s="25">
        <f t="shared" si="8"/>
        <v>9.6682083815119242</v>
      </c>
      <c r="I105" s="80" t="str">
        <f>VLOOKUP(C105,'RAW DATA 2023'!E:BO,36,0)</f>
        <v>อัตรารอดต่ำ</v>
      </c>
      <c r="J105">
        <f>VLOOKUP(C105,'RAW DATA 2023'!E:BO,21,0)</f>
        <v>3.1999</v>
      </c>
      <c r="K105" s="268">
        <f t="shared" si="9"/>
        <v>30.937300000000008</v>
      </c>
    </row>
    <row r="106" spans="1:11">
      <c r="A106" t="str">
        <f>'RAW DATA 2023'!B99</f>
        <v>Roiphet1</v>
      </c>
      <c r="B106" t="str">
        <f>'RAW DATA 2023'!D99</f>
        <v>A3-I05-0085</v>
      </c>
      <c r="C106" t="str">
        <f t="shared" si="5"/>
        <v>Roiphet1A3-I05-0085</v>
      </c>
      <c r="D106">
        <f>VLOOKUP(C106,'RAW DATA 2023'!E:BP,63,0)</f>
        <v>10</v>
      </c>
      <c r="E106" t="str">
        <f t="shared" si="6"/>
        <v>Roiphet110</v>
      </c>
      <c r="F106" s="8">
        <f>VLOOKUP(C106,'RAW DATA 2023'!E:BO,23,0)</f>
        <v>41.811147503917546</v>
      </c>
      <c r="G106" s="14">
        <f t="shared" si="7"/>
        <v>33.188852496082454</v>
      </c>
      <c r="H106" s="25">
        <f t="shared" si="8"/>
        <v>6.637770499216491</v>
      </c>
      <c r="I106" s="80" t="str">
        <f>VLOOKUP(C106,'RAW DATA 2023'!E:BO,36,0)</f>
        <v>อัตรารอดต่ำ</v>
      </c>
      <c r="J106">
        <f>VLOOKUP(C106,'RAW DATA 2023'!E:BO,21,0)</f>
        <v>3.1843900000000001</v>
      </c>
      <c r="K106" s="268">
        <f t="shared" si="9"/>
        <v>21.137250000000002</v>
      </c>
    </row>
    <row r="107" spans="1:11">
      <c r="A107" t="str">
        <f>'RAW DATA 2023'!B100</f>
        <v>Roiphet1</v>
      </c>
      <c r="B107" t="str">
        <f>'RAW DATA 2023'!D100</f>
        <v>A6-I11-0102</v>
      </c>
      <c r="C107" t="str">
        <f t="shared" si="5"/>
        <v>Roiphet1A6-I11-0102</v>
      </c>
      <c r="D107">
        <f>VLOOKUP(C107,'RAW DATA 2023'!E:BP,63,0)</f>
        <v>10</v>
      </c>
      <c r="E107" t="str">
        <f t="shared" si="6"/>
        <v>Roiphet110</v>
      </c>
      <c r="F107" s="8">
        <f>VLOOKUP(C107,'RAW DATA 2023'!E:BO,23,0)</f>
        <v>28.43016724251224</v>
      </c>
      <c r="G107" s="14">
        <f t="shared" si="7"/>
        <v>46.56983275748776</v>
      </c>
      <c r="H107" s="25">
        <f t="shared" si="8"/>
        <v>9.3139665514975523</v>
      </c>
      <c r="I107" s="80" t="str">
        <f>VLOOKUP(C107,'RAW DATA 2023'!E:BO,36,0)</f>
        <v>อัตรารอดต่ำ</v>
      </c>
      <c r="J107">
        <f>VLOOKUP(C107,'RAW DATA 2023'!E:BO,21,0)</f>
        <v>2.8306199999999997</v>
      </c>
      <c r="K107" s="268">
        <f t="shared" si="9"/>
        <v>26.3643</v>
      </c>
    </row>
    <row r="108" spans="1:11">
      <c r="A108" t="str">
        <f>'RAW DATA 2023'!B101</f>
        <v>Roiphet1</v>
      </c>
      <c r="B108" t="str">
        <f>'RAW DATA 2023'!D101</f>
        <v>A5-G10-0069</v>
      </c>
      <c r="C108" t="str">
        <f t="shared" si="5"/>
        <v>Roiphet1A5-G10-0069</v>
      </c>
      <c r="D108">
        <f>VLOOKUP(C108,'RAW DATA 2023'!E:BP,63,0)</f>
        <v>10</v>
      </c>
      <c r="E108" t="str">
        <f t="shared" si="6"/>
        <v>Roiphet110</v>
      </c>
      <c r="F108" s="8">
        <f>VLOOKUP(C108,'RAW DATA 2023'!E:BO,23,0)</f>
        <v>35.673248744259858</v>
      </c>
      <c r="G108" s="14">
        <f t="shared" si="7"/>
        <v>39.326751255740142</v>
      </c>
      <c r="H108" s="25">
        <f t="shared" si="8"/>
        <v>7.8653502511480289</v>
      </c>
      <c r="I108" s="80" t="str">
        <f>VLOOKUP(C108,'RAW DATA 2023'!E:BO,36,0)</f>
        <v>อัตรารอดต่ำ</v>
      </c>
      <c r="J108">
        <f>VLOOKUP(C108,'RAW DATA 2023'!E:BO,21,0)</f>
        <v>6.4523700000000002</v>
      </c>
      <c r="K108" s="268">
        <f t="shared" si="9"/>
        <v>50.750150000000005</v>
      </c>
    </row>
    <row r="109" spans="1:11">
      <c r="A109" t="str">
        <f>'RAW DATA 2023'!B102</f>
        <v>Roiphet1</v>
      </c>
      <c r="B109" t="str">
        <f>'RAW DATA 2023'!D102</f>
        <v>A6-G11-0092</v>
      </c>
      <c r="C109" t="str">
        <f t="shared" si="5"/>
        <v>Roiphet1A6-G11-0092</v>
      </c>
      <c r="D109">
        <f>VLOOKUP(C109,'RAW DATA 2023'!E:BP,63,0)</f>
        <v>10</v>
      </c>
      <c r="E109" t="str">
        <f t="shared" si="6"/>
        <v>Roiphet110</v>
      </c>
      <c r="F109" s="8">
        <f>VLOOKUP(C109,'RAW DATA 2023'!E:BO,23,0)</f>
        <v>40.151807752633381</v>
      </c>
      <c r="G109" s="14">
        <f t="shared" si="7"/>
        <v>34.848192247366619</v>
      </c>
      <c r="H109" s="25">
        <f t="shared" si="8"/>
        <v>6.9696384494733241</v>
      </c>
      <c r="I109" s="80" t="str">
        <f>VLOOKUP(C109,'RAW DATA 2023'!E:BO,36,0)</f>
        <v>อัตรารอดต่ำ</v>
      </c>
      <c r="J109">
        <f>VLOOKUP(C109,'RAW DATA 2023'!E:BO,21,0)</f>
        <v>7.2236099999999999</v>
      </c>
      <c r="K109" s="268">
        <f t="shared" si="9"/>
        <v>50.345949999999995</v>
      </c>
    </row>
    <row r="110" spans="1:11">
      <c r="A110" t="str">
        <f>'RAW DATA 2023'!B103</f>
        <v>Roiphet1</v>
      </c>
      <c r="B110" t="str">
        <f>'RAW DATA 2023'!D103</f>
        <v>A4-I07-0095</v>
      </c>
      <c r="C110" t="str">
        <f t="shared" si="5"/>
        <v>Roiphet1A4-I07-0095</v>
      </c>
      <c r="D110">
        <f>VLOOKUP(C110,'RAW DATA 2023'!E:BP,63,0)</f>
        <v>10</v>
      </c>
      <c r="E110" t="str">
        <f t="shared" si="6"/>
        <v>Roiphet110</v>
      </c>
      <c r="F110" s="8">
        <f>VLOOKUP(C110,'RAW DATA 2023'!E:BO,23,0)</f>
        <v>35.920021162190899</v>
      </c>
      <c r="G110" s="14">
        <f t="shared" si="7"/>
        <v>39.079978837809101</v>
      </c>
      <c r="H110" s="25">
        <f t="shared" si="8"/>
        <v>7.8159957675618204</v>
      </c>
      <c r="I110" s="80" t="str">
        <f>VLOOKUP(C110,'RAW DATA 2023'!E:BO,36,0)</f>
        <v>อัตรารอดต่ำ</v>
      </c>
      <c r="J110">
        <f>VLOOKUP(C110,'RAW DATA 2023'!E:BO,21,0)</f>
        <v>3.93154</v>
      </c>
      <c r="K110" s="268">
        <f t="shared" si="9"/>
        <v>30.728899999999999</v>
      </c>
    </row>
    <row r="111" spans="1:11">
      <c r="A111" t="str">
        <f>'RAW DATA 2023'!B104</f>
        <v>Roiphet1</v>
      </c>
      <c r="B111" t="str">
        <f>'RAW DATA 2023'!D104</f>
        <v>A4-G07-0072</v>
      </c>
      <c r="C111" t="str">
        <f t="shared" si="5"/>
        <v>Roiphet1A4-G07-0072</v>
      </c>
      <c r="D111">
        <f>VLOOKUP(C111,'RAW DATA 2023'!E:BP,63,0)</f>
        <v>10</v>
      </c>
      <c r="E111" t="str">
        <f t="shared" si="6"/>
        <v>Roiphet110</v>
      </c>
      <c r="F111" s="8">
        <f>VLOOKUP(C111,'RAW DATA 2023'!E:BO,23,0)</f>
        <v>36.569754276656624</v>
      </c>
      <c r="G111" s="14">
        <f t="shared" si="7"/>
        <v>38.430245723343376</v>
      </c>
      <c r="H111" s="25">
        <f t="shared" si="8"/>
        <v>7.6860491446686758</v>
      </c>
      <c r="I111" s="80" t="str">
        <f>VLOOKUP(C111,'RAW DATA 2023'!E:BO,36,0)</f>
        <v>อัตรารอดต่ำ</v>
      </c>
      <c r="J111">
        <f>VLOOKUP(C111,'RAW DATA 2023'!E:BO,21,0)</f>
        <v>7.2866499999999998</v>
      </c>
      <c r="K111" s="268">
        <f t="shared" si="9"/>
        <v>56.005550000000007</v>
      </c>
    </row>
    <row r="112" spans="1:11">
      <c r="A112" t="str">
        <f>'RAW DATA 2023'!B105</f>
        <v>Roiphet1</v>
      </c>
      <c r="B112" t="str">
        <f>'RAW DATA 2023'!D105</f>
        <v>D6-I12-0085</v>
      </c>
      <c r="C112" t="str">
        <f t="shared" si="5"/>
        <v>Roiphet1D6-I12-0085</v>
      </c>
      <c r="D112">
        <f>VLOOKUP(C112,'RAW DATA 2023'!E:BP,63,0)</f>
        <v>6</v>
      </c>
      <c r="E112" t="str">
        <f t="shared" si="6"/>
        <v>Roiphet16</v>
      </c>
      <c r="F112" s="8">
        <f>VLOOKUP(C112,'RAW DATA 2023'!E:BO,23,0)</f>
        <v>29.817566536956697</v>
      </c>
      <c r="G112" s="14">
        <f t="shared" si="7"/>
        <v>45.182433463043303</v>
      </c>
      <c r="H112" s="25">
        <f t="shared" si="8"/>
        <v>9.0364866926086602</v>
      </c>
      <c r="I112" s="80" t="str">
        <f>VLOOKUP(C112,'RAW DATA 2023'!E:BO,36,0)</f>
        <v>Normal</v>
      </c>
      <c r="J112">
        <f>VLOOKUP(C112,'RAW DATA 2023'!E:BO,21,0)</f>
        <v>2.8191100000000002</v>
      </c>
      <c r="K112" s="268">
        <f t="shared" si="9"/>
        <v>25.474850000000004</v>
      </c>
    </row>
    <row r="113" spans="1:11">
      <c r="A113" t="str">
        <f>'RAW DATA 2023'!B106</f>
        <v>Roiphet1</v>
      </c>
      <c r="B113" t="str">
        <f>'RAW DATA 2023'!D106</f>
        <v>D4-G08-0059</v>
      </c>
      <c r="C113" t="str">
        <f t="shared" si="5"/>
        <v>Roiphet1D4-G08-0059</v>
      </c>
      <c r="D113">
        <f>VLOOKUP(C113,'RAW DATA 2023'!E:BP,63,0)</f>
        <v>5</v>
      </c>
      <c r="E113" t="str">
        <f t="shared" si="6"/>
        <v>Roiphet15</v>
      </c>
      <c r="F113" s="8">
        <f>VLOOKUP(C113,'RAW DATA 2023'!E:BO,23,0)</f>
        <v>34.737233358561362</v>
      </c>
      <c r="G113" s="14">
        <f t="shared" si="7"/>
        <v>40.262766641438638</v>
      </c>
      <c r="H113" s="25">
        <f t="shared" si="8"/>
        <v>8.0525533282877273</v>
      </c>
      <c r="I113" s="80" t="str">
        <f>VLOOKUP(C113,'RAW DATA 2023'!E:BO,36,0)</f>
        <v>Normal</v>
      </c>
      <c r="J113">
        <f>VLOOKUP(C113,'RAW DATA 2023'!E:BO,21,0)</f>
        <v>9.6585699999999992</v>
      </c>
      <c r="K113" s="268">
        <f t="shared" si="9"/>
        <v>77.776149999999987</v>
      </c>
    </row>
    <row r="114" spans="1:11">
      <c r="A114" t="str">
        <f>'RAW DATA 2023'!B107</f>
        <v>Roiphet1</v>
      </c>
      <c r="B114" t="str">
        <f>'RAW DATA 2023'!D107</f>
        <v>D4-I08-0071</v>
      </c>
      <c r="C114" t="str">
        <f t="shared" si="5"/>
        <v>Roiphet1D4-I08-0071</v>
      </c>
      <c r="D114">
        <f>VLOOKUP(C114,'RAW DATA 2023'!E:BP,63,0)</f>
        <v>5</v>
      </c>
      <c r="E114" t="str">
        <f t="shared" si="6"/>
        <v>Roiphet15</v>
      </c>
      <c r="F114" s="8">
        <f>VLOOKUP(C114,'RAW DATA 2023'!E:BO,23,0)</f>
        <v>33.655737136459784</v>
      </c>
      <c r="G114" s="14">
        <f t="shared" si="7"/>
        <v>41.344262863540216</v>
      </c>
      <c r="H114" s="25">
        <f t="shared" si="8"/>
        <v>8.2688525727080435</v>
      </c>
      <c r="I114" s="80" t="str">
        <f>VLOOKUP(C114,'RAW DATA 2023'!E:BO,36,0)</f>
        <v>Normal</v>
      </c>
      <c r="J114">
        <f>VLOOKUP(C114,'RAW DATA 2023'!E:BO,21,0)</f>
        <v>4.0373799999999997</v>
      </c>
      <c r="K114" s="268">
        <f t="shared" si="9"/>
        <v>33.384499999999996</v>
      </c>
    </row>
    <row r="115" spans="1:11">
      <c r="A115" t="str">
        <f>'RAW DATA 2023'!B108</f>
        <v>Roiphet1</v>
      </c>
      <c r="B115" t="str">
        <f>'RAW DATA 2023'!D108</f>
        <v>D6-G12-0079</v>
      </c>
      <c r="C115" t="str">
        <f t="shared" si="5"/>
        <v>Roiphet1D6-G12-0079</v>
      </c>
      <c r="D115">
        <f>VLOOKUP(C115,'RAW DATA 2023'!E:BP,63,0)</f>
        <v>6</v>
      </c>
      <c r="E115" t="str">
        <f t="shared" si="6"/>
        <v>Roiphet16</v>
      </c>
      <c r="F115" s="8">
        <f>VLOOKUP(C115,'RAW DATA 2023'!E:BO,23,0)</f>
        <v>30.781141415003475</v>
      </c>
      <c r="G115" s="14">
        <f t="shared" si="7"/>
        <v>44.218858584996525</v>
      </c>
      <c r="H115" s="25">
        <f t="shared" si="8"/>
        <v>8.8437717169993046</v>
      </c>
      <c r="I115" s="80" t="str">
        <f>VLOOKUP(C115,'RAW DATA 2023'!E:BO,36,0)</f>
        <v>ทยอยตาย</v>
      </c>
      <c r="J115">
        <f>VLOOKUP(C115,'RAW DATA 2023'!E:BO,21,0)</f>
        <v>6.56168</v>
      </c>
      <c r="K115" s="268">
        <f t="shared" si="9"/>
        <v>58.029999999999994</v>
      </c>
    </row>
    <row r="116" spans="1:11">
      <c r="A116" t="str">
        <f>'RAW DATA 2023'!B109</f>
        <v>Roiphet1</v>
      </c>
      <c r="B116" t="str">
        <f>'RAW DATA 2023'!D109</f>
        <v>D6-I11-0083</v>
      </c>
      <c r="C116" t="str">
        <f t="shared" si="5"/>
        <v>Roiphet1D6-I11-0083</v>
      </c>
      <c r="D116">
        <f>VLOOKUP(C116,'RAW DATA 2023'!E:BP,63,0)</f>
        <v>6</v>
      </c>
      <c r="E116" t="str">
        <f t="shared" si="6"/>
        <v>Roiphet16</v>
      </c>
      <c r="F116" s="8">
        <f>VLOOKUP(C116,'RAW DATA 2023'!E:BO,23,0)</f>
        <v>30.487110487110488</v>
      </c>
      <c r="G116" s="14">
        <f t="shared" si="7"/>
        <v>44.512889512889515</v>
      </c>
      <c r="H116" s="25">
        <f t="shared" si="8"/>
        <v>8.902577902577903</v>
      </c>
      <c r="I116" s="80" t="str">
        <f>VLOOKUP(C116,'RAW DATA 2023'!E:BO,36,0)</f>
        <v>ทยอยตาย</v>
      </c>
      <c r="J116">
        <f>VLOOKUP(C116,'RAW DATA 2023'!E:BO,21,0)</f>
        <v>2.5640999999999998</v>
      </c>
      <c r="K116" s="268">
        <f t="shared" si="9"/>
        <v>22.827099999999998</v>
      </c>
    </row>
    <row r="117" spans="1:11">
      <c r="A117" t="str">
        <f>'RAW DATA 2023'!B110</f>
        <v>Roiphet1</v>
      </c>
      <c r="B117" t="str">
        <f>'RAW DATA 2023'!D110</f>
        <v>D1-I02-0088</v>
      </c>
      <c r="C117" t="str">
        <f t="shared" si="5"/>
        <v>Roiphet1D1-I02-0088</v>
      </c>
      <c r="D117">
        <f>VLOOKUP(C117,'RAW DATA 2023'!E:BP,63,0)</f>
        <v>1</v>
      </c>
      <c r="E117" t="str">
        <f t="shared" si="6"/>
        <v>Roiphet11</v>
      </c>
      <c r="F117" s="8">
        <f>VLOOKUP(C117,'RAW DATA 2023'!E:BO,23,0)</f>
        <v>40.175175053909335</v>
      </c>
      <c r="G117" s="14">
        <f t="shared" si="7"/>
        <v>34.824824946090665</v>
      </c>
      <c r="H117" s="25">
        <f t="shared" si="8"/>
        <v>6.9649649892181333</v>
      </c>
      <c r="I117" s="80" t="str">
        <f>VLOOKUP(C117,'RAW DATA 2023'!E:BO,36,0)</f>
        <v>ไฟฟ้าดับ</v>
      </c>
      <c r="J117">
        <f>VLOOKUP(C117,'RAW DATA 2023'!E:BO,21,0)</f>
        <v>4.1273</v>
      </c>
      <c r="K117" s="268">
        <f t="shared" si="9"/>
        <v>28.746500000000001</v>
      </c>
    </row>
    <row r="118" spans="1:11">
      <c r="A118" t="str">
        <f>'RAW DATA 2023'!B111</f>
        <v>Roiphet1</v>
      </c>
      <c r="B118" t="str">
        <f>'RAW DATA 2023'!D111</f>
        <v>D4-G07-0062</v>
      </c>
      <c r="C118" t="str">
        <f t="shared" si="5"/>
        <v>Roiphet1D4-G07-0062</v>
      </c>
      <c r="D118">
        <f>VLOOKUP(C118,'RAW DATA 2023'!E:BP,63,0)</f>
        <v>5</v>
      </c>
      <c r="E118" t="str">
        <f t="shared" si="6"/>
        <v>Roiphet15</v>
      </c>
      <c r="F118" s="8">
        <f>VLOOKUP(C118,'RAW DATA 2023'!E:BO,23,0)</f>
        <v>38.393238693337281</v>
      </c>
      <c r="G118" s="14">
        <f t="shared" si="7"/>
        <v>36.606761306662719</v>
      </c>
      <c r="H118" s="25">
        <f t="shared" si="8"/>
        <v>7.3213522613325441</v>
      </c>
      <c r="I118" s="80" t="str">
        <f>VLOOKUP(C118,'RAW DATA 2023'!E:BO,36,0)</f>
        <v>Normal</v>
      </c>
      <c r="J118">
        <f>VLOOKUP(C118,'RAW DATA 2023'!E:BO,21,0)</f>
        <v>8.3072700000000008</v>
      </c>
      <c r="K118" s="268">
        <f t="shared" si="9"/>
        <v>60.820450000000008</v>
      </c>
    </row>
    <row r="119" spans="1:11">
      <c r="A119" t="str">
        <f>'RAW DATA 2023'!B112</f>
        <v>Roiphet1</v>
      </c>
      <c r="B119" t="str">
        <f>'RAW DATA 2023'!D112</f>
        <v>D4-I07-0076</v>
      </c>
      <c r="C119" t="str">
        <f t="shared" si="5"/>
        <v>Roiphet1D4-I07-0076</v>
      </c>
      <c r="D119">
        <f>VLOOKUP(C119,'RAW DATA 2023'!E:BP,63,0)</f>
        <v>5</v>
      </c>
      <c r="E119" t="str">
        <f t="shared" si="6"/>
        <v>Roiphet15</v>
      </c>
      <c r="F119" s="8">
        <f>VLOOKUP(C119,'RAW DATA 2023'!E:BO,23,0)</f>
        <v>36.809791380477314</v>
      </c>
      <c r="G119" s="14">
        <f t="shared" si="7"/>
        <v>38.190208619522686</v>
      </c>
      <c r="H119" s="25">
        <f t="shared" si="8"/>
        <v>7.6380417239045375</v>
      </c>
      <c r="I119" s="80" t="str">
        <f>VLOOKUP(C119,'RAW DATA 2023'!E:BO,36,0)</f>
        <v>Normal</v>
      </c>
      <c r="J119">
        <f>VLOOKUP(C119,'RAW DATA 2023'!E:BO,21,0)</f>
        <v>4.9937800000000001</v>
      </c>
      <c r="K119" s="268">
        <f t="shared" si="9"/>
        <v>38.142700000000005</v>
      </c>
    </row>
    <row r="120" spans="1:11">
      <c r="A120" t="str">
        <f>'RAW DATA 2023'!B113</f>
        <v>Roiphet1</v>
      </c>
      <c r="B120" t="str">
        <f>'RAW DATA 2023'!D113</f>
        <v>D2-G03-0080</v>
      </c>
      <c r="C120" t="str">
        <f t="shared" si="5"/>
        <v>Roiphet1D2-G03-0080</v>
      </c>
      <c r="D120">
        <f>VLOOKUP(C120,'RAW DATA 2023'!E:BP,63,0)</f>
        <v>4</v>
      </c>
      <c r="E120" t="str">
        <f t="shared" si="6"/>
        <v>Roiphet14</v>
      </c>
      <c r="F120" s="8">
        <f>VLOOKUP(C120,'RAW DATA 2023'!E:BO,23,0)</f>
        <v>35.242449639942791</v>
      </c>
      <c r="G120" s="14">
        <f t="shared" si="7"/>
        <v>39.757550360057209</v>
      </c>
      <c r="H120" s="25">
        <f t="shared" si="8"/>
        <v>7.951510072011442</v>
      </c>
      <c r="I120" s="80" t="str">
        <f>VLOOKUP(C120,'RAW DATA 2023'!E:BO,36,0)</f>
        <v>Normal</v>
      </c>
      <c r="J120">
        <f>VLOOKUP(C120,'RAW DATA 2023'!E:BO,21,0)</f>
        <v>9.5929199999999994</v>
      </c>
      <c r="K120" s="268">
        <f t="shared" si="9"/>
        <v>76.278199999999998</v>
      </c>
    </row>
    <row r="121" spans="1:11">
      <c r="A121" t="str">
        <f>'RAW DATA 2023'!B114</f>
        <v>Roiphet1</v>
      </c>
      <c r="B121" t="str">
        <f>'RAW DATA 2023'!D114</f>
        <v>D5-I09-0082</v>
      </c>
      <c r="C121" t="str">
        <f t="shared" si="5"/>
        <v>Roiphet1D5-I09-0082</v>
      </c>
      <c r="D121">
        <f>VLOOKUP(C121,'RAW DATA 2023'!E:BP,63,0)</f>
        <v>5</v>
      </c>
      <c r="E121" t="str">
        <f t="shared" si="6"/>
        <v>Roiphet15</v>
      </c>
      <c r="F121" s="8">
        <f>VLOOKUP(C121,'RAW DATA 2023'!E:BO,23,0)</f>
        <v>36.006946898633842</v>
      </c>
      <c r="G121" s="14">
        <f t="shared" si="7"/>
        <v>38.993053101366158</v>
      </c>
      <c r="H121" s="25">
        <f t="shared" si="8"/>
        <v>7.7986106202732319</v>
      </c>
      <c r="I121" s="80" t="str">
        <f>VLOOKUP(C121,'RAW DATA 2023'!E:BO,36,0)</f>
        <v>Normal</v>
      </c>
      <c r="J121">
        <f>VLOOKUP(C121,'RAW DATA 2023'!E:BO,21,0)</f>
        <v>4.9518500000000003</v>
      </c>
      <c r="K121" s="268">
        <f t="shared" si="9"/>
        <v>38.617550000000008</v>
      </c>
    </row>
    <row r="122" spans="1:11">
      <c r="A122" t="str">
        <f>'RAW DATA 2023'!B115</f>
        <v>Roiphet1</v>
      </c>
      <c r="B122" t="str">
        <f>'RAW DATA 2023'!D115</f>
        <v>D2-I04-0091</v>
      </c>
      <c r="C122" t="str">
        <f t="shared" si="5"/>
        <v>Roiphet1D2-I04-0091</v>
      </c>
      <c r="D122">
        <f>VLOOKUP(C122,'RAW DATA 2023'!E:BP,63,0)</f>
        <v>5</v>
      </c>
      <c r="E122" t="str">
        <f t="shared" si="6"/>
        <v>Roiphet15</v>
      </c>
      <c r="F122" s="8">
        <f>VLOOKUP(C122,'RAW DATA 2023'!E:BO,23,0)</f>
        <v>34.784294694447716</v>
      </c>
      <c r="G122" s="14">
        <f t="shared" si="7"/>
        <v>40.215705305552284</v>
      </c>
      <c r="H122" s="25">
        <f t="shared" si="8"/>
        <v>8.0431410611104575</v>
      </c>
      <c r="I122" s="80" t="str">
        <f>VLOOKUP(C122,'RAW DATA 2023'!E:BO,36,0)</f>
        <v>Normal</v>
      </c>
      <c r="J122">
        <f>VLOOKUP(C122,'RAW DATA 2023'!E:BO,21,0)</f>
        <v>4.4097200000000001</v>
      </c>
      <c r="K122" s="268">
        <f t="shared" si="9"/>
        <v>35.468000000000011</v>
      </c>
    </row>
    <row r="123" spans="1:11">
      <c r="A123" t="str">
        <f>'RAW DATA 2023'!B116</f>
        <v>Roiphet1</v>
      </c>
      <c r="B123" t="str">
        <f>'RAW DATA 2023'!D116</f>
        <v>D6-G11-0076</v>
      </c>
      <c r="C123" t="str">
        <f t="shared" si="5"/>
        <v>Roiphet1D6-G11-0076</v>
      </c>
      <c r="D123">
        <f>VLOOKUP(C123,'RAW DATA 2023'!E:BP,63,0)</f>
        <v>6</v>
      </c>
      <c r="E123" t="str">
        <f t="shared" si="6"/>
        <v>Roiphet16</v>
      </c>
      <c r="F123" s="8">
        <f>VLOOKUP(C123,'RAW DATA 2023'!E:BO,23,0)</f>
        <v>32.251409946417347</v>
      </c>
      <c r="G123" s="14">
        <f t="shared" si="7"/>
        <v>42.748590053582653</v>
      </c>
      <c r="H123" s="25">
        <f t="shared" si="8"/>
        <v>8.5497180107165303</v>
      </c>
      <c r="I123" s="80" t="str">
        <f>VLOOKUP(C123,'RAW DATA 2023'!E:BO,36,0)</f>
        <v>Normal</v>
      </c>
      <c r="J123">
        <f>VLOOKUP(C123,'RAW DATA 2023'!E:BO,21,0)</f>
        <v>6.3938600000000001</v>
      </c>
      <c r="K123" s="268">
        <f t="shared" si="9"/>
        <v>54.665699999999994</v>
      </c>
    </row>
    <row r="124" spans="1:11">
      <c r="A124" t="str">
        <f>'RAW DATA 2023'!B117</f>
        <v>Roiphet1</v>
      </c>
      <c r="B124" t="str">
        <f>'RAW DATA 2023'!D117</f>
        <v>D2-I03-0085</v>
      </c>
      <c r="C124" t="str">
        <f t="shared" si="5"/>
        <v>Roiphet1D2-I03-0085</v>
      </c>
      <c r="D124">
        <f>VLOOKUP(C124,'RAW DATA 2023'!E:BP,63,0)</f>
        <v>4</v>
      </c>
      <c r="E124" t="str">
        <f t="shared" si="6"/>
        <v>Roiphet14</v>
      </c>
      <c r="F124" s="8">
        <f>VLOOKUP(C124,'RAW DATA 2023'!E:BO,23,0)</f>
        <v>36.590071715999137</v>
      </c>
      <c r="G124" s="14">
        <f t="shared" si="7"/>
        <v>38.409928284000863</v>
      </c>
      <c r="H124" s="25">
        <f t="shared" si="8"/>
        <v>7.6819856568001725</v>
      </c>
      <c r="I124" s="80" t="str">
        <f>VLOOKUP(C124,'RAW DATA 2023'!E:BO,36,0)</f>
        <v>Normal</v>
      </c>
      <c r="J124">
        <f>VLOOKUP(C124,'RAW DATA 2023'!E:BO,21,0)</f>
        <v>4.35886</v>
      </c>
      <c r="K124" s="268">
        <f t="shared" si="9"/>
        <v>33.484699999999997</v>
      </c>
    </row>
    <row r="125" spans="1:11">
      <c r="A125" t="str">
        <f>'RAW DATA 2023'!B118</f>
        <v>Roiphet1</v>
      </c>
      <c r="B125" t="str">
        <f>'RAW DATA 2023'!D118</f>
        <v>D5-I10-0074</v>
      </c>
      <c r="C125" t="str">
        <f t="shared" si="5"/>
        <v>Roiphet1D5-I10-0074</v>
      </c>
      <c r="D125">
        <f>VLOOKUP(C125,'RAW DATA 2023'!E:BP,63,0)</f>
        <v>5</v>
      </c>
      <c r="E125" t="str">
        <f t="shared" si="6"/>
        <v>Roiphet15</v>
      </c>
      <c r="F125" s="8">
        <f>VLOOKUP(C125,'RAW DATA 2023'!E:BO,23,0)</f>
        <v>36.562644848708118</v>
      </c>
      <c r="G125" s="14">
        <f t="shared" si="7"/>
        <v>38.437355151291882</v>
      </c>
      <c r="H125" s="25">
        <f t="shared" si="8"/>
        <v>7.6874710302583766</v>
      </c>
      <c r="I125" s="80" t="str">
        <f>VLOOKUP(C125,'RAW DATA 2023'!E:BO,36,0)</f>
        <v>Normal</v>
      </c>
      <c r="J125">
        <f>VLOOKUP(C125,'RAW DATA 2023'!E:BO,21,0)</f>
        <v>6.6232899999999999</v>
      </c>
      <c r="K125" s="268">
        <f t="shared" si="9"/>
        <v>50.916350000000001</v>
      </c>
    </row>
    <row r="126" spans="1:11">
      <c r="A126" t="str">
        <f>'RAW DATA 2023'!B119</f>
        <v>Roiphet1</v>
      </c>
      <c r="B126" t="str">
        <f>'RAW DATA 2023'!D119</f>
        <v>D5-G10-0069</v>
      </c>
      <c r="C126" t="str">
        <f t="shared" si="5"/>
        <v>Roiphet1D5-G10-0069</v>
      </c>
      <c r="D126">
        <f>VLOOKUP(C126,'RAW DATA 2023'!E:BP,63,0)</f>
        <v>5</v>
      </c>
      <c r="E126" t="str">
        <f t="shared" si="6"/>
        <v>Roiphet15</v>
      </c>
      <c r="F126" s="8">
        <f>VLOOKUP(C126,'RAW DATA 2023'!E:BO,23,0)</f>
        <v>34.416656890205452</v>
      </c>
      <c r="G126" s="14">
        <f t="shared" si="7"/>
        <v>40.583343109794548</v>
      </c>
      <c r="H126" s="25">
        <f t="shared" si="8"/>
        <v>8.1166686219589099</v>
      </c>
      <c r="I126" s="80" t="str">
        <f>VLOOKUP(C126,'RAW DATA 2023'!E:BO,36,0)</f>
        <v>Normal</v>
      </c>
      <c r="J126">
        <f>VLOOKUP(C126,'RAW DATA 2023'!E:BO,21,0)</f>
        <v>10.91056</v>
      </c>
      <c r="K126" s="268">
        <f t="shared" si="9"/>
        <v>88.557400000000001</v>
      </c>
    </row>
    <row r="127" spans="1:11">
      <c r="A127" t="str">
        <f>'RAW DATA 2023'!B120</f>
        <v>Roiphet1</v>
      </c>
      <c r="B127" t="str">
        <f>'RAW DATA 2023'!D120</f>
        <v>D2-G04-0079</v>
      </c>
      <c r="C127" t="str">
        <f t="shared" si="5"/>
        <v>Roiphet1D2-G04-0079</v>
      </c>
      <c r="D127">
        <f>VLOOKUP(C127,'RAW DATA 2023'!E:BP,63,0)</f>
        <v>5</v>
      </c>
      <c r="E127" t="str">
        <f t="shared" si="6"/>
        <v>Roiphet15</v>
      </c>
      <c r="F127" s="8">
        <f>VLOOKUP(C127,'RAW DATA 2023'!E:BO,23,0)</f>
        <v>36.096985175503079</v>
      </c>
      <c r="G127" s="14">
        <f t="shared" si="7"/>
        <v>38.903014824496921</v>
      </c>
      <c r="H127" s="25">
        <f t="shared" si="8"/>
        <v>7.7806029648993844</v>
      </c>
      <c r="I127" s="80" t="str">
        <f>VLOOKUP(C127,'RAW DATA 2023'!E:BO,36,0)</f>
        <v>Normal</v>
      </c>
      <c r="J127">
        <f>VLOOKUP(C127,'RAW DATA 2023'!E:BO,21,0)</f>
        <v>7.97194</v>
      </c>
      <c r="K127" s="268">
        <f t="shared" si="9"/>
        <v>62.026499999999999</v>
      </c>
    </row>
    <row r="128" spans="1:11">
      <c r="A128" t="str">
        <f>'RAW DATA 2023'!B121</f>
        <v>Roiphet1</v>
      </c>
      <c r="B128" t="str">
        <f>'RAW DATA 2023'!D121</f>
        <v>D6-I11-0082</v>
      </c>
      <c r="C128" t="str">
        <f t="shared" si="5"/>
        <v>Roiphet1D6-I11-0082</v>
      </c>
      <c r="D128">
        <f>VLOOKUP(C128,'RAW DATA 2023'!E:BP,63,0)</f>
        <v>2</v>
      </c>
      <c r="E128" t="str">
        <f t="shared" si="6"/>
        <v>Roiphet12</v>
      </c>
      <c r="F128" s="8">
        <f>VLOOKUP(C128,'RAW DATA 2023'!E:BO,23,0)</f>
        <v>34.610675307367934</v>
      </c>
      <c r="G128" s="14">
        <f t="shared" si="7"/>
        <v>40.389324692632066</v>
      </c>
      <c r="H128" s="25">
        <f t="shared" si="8"/>
        <v>8.0778649385264139</v>
      </c>
      <c r="I128" s="80" t="str">
        <f>VLOOKUP(C128,'RAW DATA 2023'!E:BO,36,0)</f>
        <v>Normal</v>
      </c>
      <c r="J128">
        <f>VLOOKUP(C128,'RAW DATA 2023'!E:BO,21,0)</f>
        <v>4.15707</v>
      </c>
      <c r="K128" s="268">
        <f t="shared" si="9"/>
        <v>33.580249999999999</v>
      </c>
    </row>
    <row r="129" spans="1:11">
      <c r="A129" t="str">
        <f>'RAW DATA 2023'!B122</f>
        <v>Roiphet1</v>
      </c>
      <c r="B129" t="str">
        <f>'RAW DATA 2023'!D122</f>
        <v>D1-G02-0078</v>
      </c>
      <c r="C129" t="str">
        <f t="shared" si="5"/>
        <v>Roiphet1D1-G02-0078</v>
      </c>
      <c r="D129">
        <f>VLOOKUP(C129,'RAW DATA 2023'!E:BP,63,0)</f>
        <v>2</v>
      </c>
      <c r="E129" t="str">
        <f t="shared" si="6"/>
        <v>Roiphet12</v>
      </c>
      <c r="F129" s="8">
        <f>VLOOKUP(C129,'RAW DATA 2023'!E:BO,23,0)</f>
        <v>35.763533277593247</v>
      </c>
      <c r="G129" s="14">
        <f t="shared" si="7"/>
        <v>39.236466722406753</v>
      </c>
      <c r="H129" s="25">
        <f t="shared" si="8"/>
        <v>7.8472933444813506</v>
      </c>
      <c r="I129" s="80" t="str">
        <f>VLOOKUP(C129,'RAW DATA 2023'!E:BO,36,0)</f>
        <v>Normal</v>
      </c>
      <c r="J129">
        <f>VLOOKUP(C129,'RAW DATA 2023'!E:BO,21,0)</f>
        <v>11.804790000000001</v>
      </c>
      <c r="K129" s="268">
        <f t="shared" si="9"/>
        <v>92.635650000000012</v>
      </c>
    </row>
    <row r="130" spans="1:11">
      <c r="A130" t="str">
        <f>'RAW DATA 2023'!B123</f>
        <v>Roiphet1</v>
      </c>
      <c r="B130" t="str">
        <f>'RAW DATA 2023'!D123</f>
        <v>D6-G11-0075</v>
      </c>
      <c r="C130" t="str">
        <f t="shared" si="5"/>
        <v>Roiphet1D6-G11-0075</v>
      </c>
      <c r="D130">
        <f>VLOOKUP(C130,'RAW DATA 2023'!E:BP,63,0)</f>
        <v>2</v>
      </c>
      <c r="E130" t="str">
        <f t="shared" si="6"/>
        <v>Roiphet12</v>
      </c>
      <c r="F130" s="8">
        <f>VLOOKUP(C130,'RAW DATA 2023'!E:BO,23,0)</f>
        <v>36.135915109050728</v>
      </c>
      <c r="G130" s="14">
        <f t="shared" si="7"/>
        <v>38.864084890949272</v>
      </c>
      <c r="H130" s="25">
        <f t="shared" si="8"/>
        <v>7.7728169781898551</v>
      </c>
      <c r="I130" s="80" t="str">
        <f>VLOOKUP(C130,'RAW DATA 2023'!E:BO,36,0)</f>
        <v>Normal</v>
      </c>
      <c r="J130">
        <f>VLOOKUP(C130,'RAW DATA 2023'!E:BO,21,0)</f>
        <v>9.4653200000000002</v>
      </c>
      <c r="K130" s="268">
        <f t="shared" si="9"/>
        <v>73.572199999999995</v>
      </c>
    </row>
    <row r="131" spans="1:11">
      <c r="A131" t="str">
        <f>'RAW DATA 2023'!B124</f>
        <v>Roiphet1</v>
      </c>
      <c r="B131" t="str">
        <f>'RAW DATA 2023'!D124</f>
        <v>D1-I01-0091</v>
      </c>
      <c r="C131" t="str">
        <f t="shared" si="5"/>
        <v>Roiphet1D1-I01-0091</v>
      </c>
      <c r="D131">
        <f>VLOOKUP(C131,'RAW DATA 2023'!E:BP,63,0)</f>
        <v>6</v>
      </c>
      <c r="E131" t="str">
        <f t="shared" si="6"/>
        <v>Roiphet16</v>
      </c>
      <c r="F131" s="8">
        <f>VLOOKUP(C131,'RAW DATA 2023'!E:BO,23,0)</f>
        <v>38.15753859364208</v>
      </c>
      <c r="G131" s="14">
        <f t="shared" si="7"/>
        <v>36.84246140635792</v>
      </c>
      <c r="H131" s="25">
        <f t="shared" si="8"/>
        <v>7.3684922812715845</v>
      </c>
      <c r="I131" s="80" t="str">
        <f>VLOOKUP(C131,'RAW DATA 2023'!E:BO,36,0)</f>
        <v>Normal</v>
      </c>
      <c r="J131">
        <f>VLOOKUP(C131,'RAW DATA 2023'!E:BO,21,0)</f>
        <v>4.2856800000000002</v>
      </c>
      <c r="K131" s="268">
        <f t="shared" si="9"/>
        <v>31.579000000000004</v>
      </c>
    </row>
    <row r="132" spans="1:11">
      <c r="A132" t="str">
        <f>'RAW DATA 2023'!B125</f>
        <v>Roiphet1</v>
      </c>
      <c r="B132" t="str">
        <f>'RAW DATA 2023'!D125</f>
        <v>D6-G12-0078</v>
      </c>
      <c r="C132" t="str">
        <f t="shared" si="5"/>
        <v>Roiphet1D6-G12-0078</v>
      </c>
      <c r="D132">
        <f>VLOOKUP(C132,'RAW DATA 2023'!E:BP,63,0)</f>
        <v>2</v>
      </c>
      <c r="E132" t="str">
        <f t="shared" si="6"/>
        <v>Roiphet12</v>
      </c>
      <c r="F132" s="8">
        <f>VLOOKUP(C132,'RAW DATA 2023'!E:BO,23,0)</f>
        <v>38.414105637458007</v>
      </c>
      <c r="G132" s="14">
        <f t="shared" si="7"/>
        <v>36.585894362541993</v>
      </c>
      <c r="H132" s="25">
        <f t="shared" si="8"/>
        <v>7.317178872508399</v>
      </c>
      <c r="I132" s="80" t="str">
        <f>VLOOKUP(C132,'RAW DATA 2023'!E:BO,36,0)</f>
        <v>Normal</v>
      </c>
      <c r="J132">
        <f>VLOOKUP(C132,'RAW DATA 2023'!E:BO,21,0)</f>
        <v>7.8799700000000001</v>
      </c>
      <c r="K132" s="268">
        <f t="shared" si="9"/>
        <v>57.659150000000011</v>
      </c>
    </row>
    <row r="133" spans="1:11">
      <c r="A133" t="str">
        <f>'RAW DATA 2023'!B126</f>
        <v>Roiphet1</v>
      </c>
      <c r="B133" t="str">
        <f>'RAW DATA 2023'!D126</f>
        <v>D3-G05-0080</v>
      </c>
      <c r="C133" t="str">
        <f t="shared" si="5"/>
        <v>Roiphet1D3-G05-0080</v>
      </c>
      <c r="D133">
        <f>VLOOKUP(C133,'RAW DATA 2023'!E:BP,63,0)</f>
        <v>4</v>
      </c>
      <c r="E133" t="str">
        <f t="shared" si="6"/>
        <v>Roiphet14</v>
      </c>
      <c r="F133" s="8">
        <f>VLOOKUP(C133,'RAW DATA 2023'!E:BO,23,0)</f>
        <v>34.409557629311529</v>
      </c>
      <c r="G133" s="14">
        <f t="shared" si="7"/>
        <v>40.590442370688471</v>
      </c>
      <c r="H133" s="25">
        <f t="shared" si="8"/>
        <v>8.1180884741376946</v>
      </c>
      <c r="I133" s="80" t="str">
        <f>VLOOKUP(C133,'RAW DATA 2023'!E:BO,36,0)</f>
        <v>Normal</v>
      </c>
      <c r="J133">
        <f>VLOOKUP(C133,'RAW DATA 2023'!E:BO,21,0)</f>
        <v>9.0817499999999995</v>
      </c>
      <c r="K133" s="268">
        <f t="shared" si="9"/>
        <v>73.72645</v>
      </c>
    </row>
    <row r="134" spans="1:11">
      <c r="A134" t="str">
        <f>'RAW DATA 2023'!B127</f>
        <v>Roiphet1</v>
      </c>
      <c r="B134" t="str">
        <f>'RAW DATA 2023'!D127</f>
        <v>D3-I06-0080</v>
      </c>
      <c r="C134" t="str">
        <f t="shared" si="5"/>
        <v>Roiphet1D3-I06-0080</v>
      </c>
      <c r="D134">
        <f>VLOOKUP(C134,'RAW DATA 2023'!E:BP,63,0)</f>
        <v>4</v>
      </c>
      <c r="E134" t="str">
        <f t="shared" si="6"/>
        <v>Roiphet14</v>
      </c>
      <c r="F134" s="8">
        <f>VLOOKUP(C134,'RAW DATA 2023'!E:BO,23,0)</f>
        <v>37.585207797079327</v>
      </c>
      <c r="G134" s="14">
        <f t="shared" si="7"/>
        <v>37.414792202920673</v>
      </c>
      <c r="H134" s="25">
        <f t="shared" si="8"/>
        <v>7.4829584405841345</v>
      </c>
      <c r="I134" s="80" t="str">
        <f>VLOOKUP(C134,'RAW DATA 2023'!E:BO,36,0)</f>
        <v>Normal</v>
      </c>
      <c r="J134">
        <f>VLOOKUP(C134,'RAW DATA 2023'!E:BO,21,0)</f>
        <v>4.6386599999999998</v>
      </c>
      <c r="K134" s="268">
        <f t="shared" si="9"/>
        <v>34.710900000000002</v>
      </c>
    </row>
    <row r="135" spans="1:11">
      <c r="A135" t="str">
        <f>'RAW DATA 2023'!B128</f>
        <v>Roiphet1</v>
      </c>
      <c r="B135" t="str">
        <f>'RAW DATA 2023'!D128</f>
        <v>D5-G09-0068</v>
      </c>
      <c r="C135" t="str">
        <f t="shared" si="5"/>
        <v>Roiphet1D5-G09-0068</v>
      </c>
      <c r="D135">
        <f>VLOOKUP(C135,'RAW DATA 2023'!E:BP,63,0)</f>
        <v>5</v>
      </c>
      <c r="E135" t="str">
        <f t="shared" si="6"/>
        <v>Roiphet15</v>
      </c>
      <c r="F135" s="8">
        <f>VLOOKUP(C135,'RAW DATA 2023'!E:BO,23,0)</f>
        <v>35.010836159917162</v>
      </c>
      <c r="G135" s="14">
        <f t="shared" si="7"/>
        <v>39.989163840082838</v>
      </c>
      <c r="H135" s="25">
        <f t="shared" si="8"/>
        <v>7.9978327680165684</v>
      </c>
      <c r="I135" s="80" t="str">
        <f>VLOOKUP(C135,'RAW DATA 2023'!E:BO,36,0)</f>
        <v>Normal</v>
      </c>
      <c r="J135">
        <f>VLOOKUP(C135,'RAW DATA 2023'!E:BO,21,0)</f>
        <v>12.052239999999999</v>
      </c>
      <c r="K135" s="268">
        <f t="shared" si="9"/>
        <v>96.391800000000003</v>
      </c>
    </row>
    <row r="136" spans="1:11">
      <c r="A136" t="str">
        <f>'RAW DATA 2023'!B129</f>
        <v>Roiphet1</v>
      </c>
      <c r="B136" t="str">
        <f>'RAW DATA 2023'!D129</f>
        <v>D3-I05-0094</v>
      </c>
      <c r="C136" t="str">
        <f t="shared" si="5"/>
        <v>Roiphet1D3-I05-0094</v>
      </c>
      <c r="D136">
        <f>VLOOKUP(C136,'RAW DATA 2023'!E:BP,63,0)</f>
        <v>4</v>
      </c>
      <c r="E136" t="str">
        <f t="shared" si="6"/>
        <v>Roiphet14</v>
      </c>
      <c r="F136" s="8">
        <f>VLOOKUP(C136,'RAW DATA 2023'!E:BO,23,0)</f>
        <v>35.117341784774396</v>
      </c>
      <c r="G136" s="14">
        <f t="shared" si="7"/>
        <v>39.882658215225604</v>
      </c>
      <c r="H136" s="25">
        <f t="shared" si="8"/>
        <v>7.9765316430451207</v>
      </c>
      <c r="I136" s="80" t="str">
        <f>VLOOKUP(C136,'RAW DATA 2023'!E:BO,36,0)</f>
        <v>Normal</v>
      </c>
      <c r="J136">
        <f>VLOOKUP(C136,'RAW DATA 2023'!E:BO,21,0)</f>
        <v>4.6130200000000006</v>
      </c>
      <c r="K136" s="268">
        <f t="shared" si="9"/>
        <v>36.79590000000001</v>
      </c>
    </row>
    <row r="137" spans="1:11">
      <c r="A137" t="str">
        <f>'RAW DATA 2023'!B130</f>
        <v>Roiphet1</v>
      </c>
      <c r="B137" t="str">
        <f>'RAW DATA 2023'!D130</f>
        <v>D1-I01-0090</v>
      </c>
      <c r="C137" t="str">
        <f t="shared" si="5"/>
        <v>Roiphet1D1-I01-0090</v>
      </c>
      <c r="D137">
        <f>VLOOKUP(C137,'RAW DATA 2023'!E:BP,63,0)</f>
        <v>2</v>
      </c>
      <c r="E137" t="str">
        <f t="shared" si="6"/>
        <v>Roiphet12</v>
      </c>
      <c r="F137" s="8">
        <f>VLOOKUP(C137,'RAW DATA 2023'!E:BO,23,0)</f>
        <v>38.985279281429335</v>
      </c>
      <c r="G137" s="14">
        <f t="shared" si="7"/>
        <v>36.014720718570665</v>
      </c>
      <c r="H137" s="25">
        <f t="shared" si="8"/>
        <v>7.2029441437141335</v>
      </c>
      <c r="I137" s="80" t="str">
        <f>VLOOKUP(C137,'RAW DATA 2023'!E:BO,36,0)</f>
        <v>Normal</v>
      </c>
      <c r="J137">
        <f>VLOOKUP(C137,'RAW DATA 2023'!E:BO,21,0)</f>
        <v>4.6091499999999996</v>
      </c>
      <c r="K137" s="268">
        <f t="shared" si="9"/>
        <v>33.199449999999999</v>
      </c>
    </row>
    <row r="138" spans="1:11">
      <c r="A138" t="str">
        <f>'RAW DATA 2023'!B131</f>
        <v>Roiphet1</v>
      </c>
      <c r="B138" t="str">
        <f>'RAW DATA 2023'!D131</f>
        <v>D3-G06-0083</v>
      </c>
      <c r="C138" t="str">
        <f t="shared" ref="C138:C201" si="10">A138&amp;B138</f>
        <v>Roiphet1D3-G06-0083</v>
      </c>
      <c r="D138">
        <f>VLOOKUP(C138,'RAW DATA 2023'!E:BP,63,0)</f>
        <v>4</v>
      </c>
      <c r="E138" t="str">
        <f t="shared" ref="E138:E201" si="11">A138&amp;D138</f>
        <v>Roiphet14</v>
      </c>
      <c r="F138" s="8">
        <f>VLOOKUP(C138,'RAW DATA 2023'!E:BO,23,0)</f>
        <v>33.302754313476541</v>
      </c>
      <c r="G138" s="14">
        <f t="shared" si="7"/>
        <v>41.697245686523459</v>
      </c>
      <c r="H138" s="25">
        <f t="shared" si="8"/>
        <v>8.3394491373046922</v>
      </c>
      <c r="I138" s="80" t="str">
        <f>VLOOKUP(C138,'RAW DATA 2023'!E:BO,36,0)</f>
        <v>Normal</v>
      </c>
      <c r="J138">
        <f>VLOOKUP(C138,'RAW DATA 2023'!E:BO,21,0)</f>
        <v>10.90072</v>
      </c>
      <c r="K138" s="268">
        <f t="shared" si="9"/>
        <v>90.906000000000006</v>
      </c>
    </row>
    <row r="139" spans="1:11">
      <c r="A139" t="str">
        <f>'RAW DATA 2023'!B132</f>
        <v>Roiphet1</v>
      </c>
      <c r="B139" t="str">
        <f>'RAW DATA 2023'!D132</f>
        <v>D1-I02-0089</v>
      </c>
      <c r="C139" t="str">
        <f t="shared" si="10"/>
        <v>Roiphet1D1-I02-0089</v>
      </c>
      <c r="D139">
        <f>VLOOKUP(C139,'RAW DATA 2023'!E:BP,63,0)</f>
        <v>6</v>
      </c>
      <c r="E139" t="str">
        <f t="shared" si="11"/>
        <v>Roiphet16</v>
      </c>
      <c r="F139" s="8">
        <f>VLOOKUP(C139,'RAW DATA 2023'!E:BO,23,0)</f>
        <v>40.466580393886559</v>
      </c>
      <c r="G139" s="14">
        <f t="shared" ref="G139:G202" si="12">IF(F139=0,0,$B$2-F139)</f>
        <v>34.533419606113441</v>
      </c>
      <c r="H139" s="25">
        <f t="shared" ref="H139:H202" si="13">G139*$B$6</f>
        <v>6.9066839212226885</v>
      </c>
      <c r="I139" s="80" t="str">
        <f>VLOOKUP(C139,'RAW DATA 2023'!E:BO,36,0)</f>
        <v>Normal</v>
      </c>
      <c r="J139">
        <f>VLOOKUP(C139,'RAW DATA 2023'!E:BO,21,0)</f>
        <v>4.8064600000000004</v>
      </c>
      <c r="K139" s="268">
        <f t="shared" ref="K139:K202" si="14">H139*J139</f>
        <v>33.196700000000007</v>
      </c>
    </row>
    <row r="140" spans="1:11">
      <c r="A140" t="str">
        <f>'RAW DATA 2023'!B133</f>
        <v>Roiphet1</v>
      </c>
      <c r="B140" t="str">
        <f>'RAW DATA 2023'!D133</f>
        <v>D1-G01-0076</v>
      </c>
      <c r="C140" t="str">
        <f t="shared" si="10"/>
        <v>Roiphet1D1-G01-0076</v>
      </c>
      <c r="D140">
        <f>VLOOKUP(C140,'RAW DATA 2023'!E:BP,63,0)</f>
        <v>2</v>
      </c>
      <c r="E140" t="str">
        <f t="shared" si="11"/>
        <v>Roiphet12</v>
      </c>
      <c r="F140" s="8">
        <f>VLOOKUP(C140,'RAW DATA 2023'!E:BO,23,0)</f>
        <v>37.121424737005675</v>
      </c>
      <c r="G140" s="14">
        <f t="shared" si="12"/>
        <v>37.878575262994325</v>
      </c>
      <c r="H140" s="25">
        <f t="shared" si="13"/>
        <v>7.5757150525988655</v>
      </c>
      <c r="I140" s="80" t="str">
        <f>VLOOKUP(C140,'RAW DATA 2023'!E:BO,36,0)</f>
        <v>Normal</v>
      </c>
      <c r="J140">
        <f>VLOOKUP(C140,'RAW DATA 2023'!E:BO,21,0)</f>
        <v>10.6181</v>
      </c>
      <c r="K140" s="268">
        <f t="shared" si="14"/>
        <v>80.439700000000016</v>
      </c>
    </row>
    <row r="141" spans="1:11">
      <c r="A141" t="str">
        <f>'RAW DATA 2023'!B134</f>
        <v>Roiphet1</v>
      </c>
      <c r="B141" t="str">
        <f>'RAW DATA 2023'!D134</f>
        <v>D4-I08-0070</v>
      </c>
      <c r="C141" t="str">
        <f t="shared" si="10"/>
        <v>Roiphet1D4-I08-0070</v>
      </c>
      <c r="D141">
        <f>VLOOKUP(C141,'RAW DATA 2023'!E:BP,63,0)</f>
        <v>1</v>
      </c>
      <c r="E141" t="str">
        <f t="shared" si="11"/>
        <v>Roiphet11</v>
      </c>
      <c r="F141" s="8">
        <f>VLOOKUP(C141,'RAW DATA 2023'!E:BO,23,0)</f>
        <v>38.02563877425586</v>
      </c>
      <c r="G141" s="14">
        <f t="shared" si="12"/>
        <v>36.97436122574414</v>
      </c>
      <c r="H141" s="25">
        <f t="shared" si="13"/>
        <v>7.3948722451488287</v>
      </c>
      <c r="I141" s="80" t="str">
        <f>VLOOKUP(C141,'RAW DATA 2023'!E:BO,36,0)</f>
        <v>Normal</v>
      </c>
      <c r="J141">
        <f>VLOOKUP(C141,'RAW DATA 2023'!E:BO,21,0)</f>
        <v>5.6944999999999997</v>
      </c>
      <c r="K141" s="268">
        <f t="shared" si="14"/>
        <v>42.110100000000003</v>
      </c>
    </row>
    <row r="142" spans="1:11">
      <c r="A142" t="str">
        <f>'RAW DATA 2023'!B135</f>
        <v>Roiphet1</v>
      </c>
      <c r="B142" t="str">
        <f>'RAW DATA 2023'!D135</f>
        <v>D4-I07-0075</v>
      </c>
      <c r="C142" t="str">
        <f t="shared" si="10"/>
        <v>Roiphet1D4-I07-0075</v>
      </c>
      <c r="D142">
        <f>VLOOKUP(C142,'RAW DATA 2023'!E:BP,63,0)</f>
        <v>1</v>
      </c>
      <c r="E142" t="str">
        <f t="shared" si="11"/>
        <v>Roiphet11</v>
      </c>
      <c r="F142" s="8">
        <f>VLOOKUP(C142,'RAW DATA 2023'!E:BO,23,0)</f>
        <v>38.754123405246041</v>
      </c>
      <c r="G142" s="14">
        <f t="shared" si="12"/>
        <v>36.245876594753959</v>
      </c>
      <c r="H142" s="25">
        <f t="shared" si="13"/>
        <v>7.2491753189507921</v>
      </c>
      <c r="I142" s="80" t="str">
        <f>VLOOKUP(C142,'RAW DATA 2023'!E:BO,36,0)</f>
        <v>Normal</v>
      </c>
      <c r="J142">
        <f>VLOOKUP(C142,'RAW DATA 2023'!E:BO,21,0)</f>
        <v>3.8226900000000001</v>
      </c>
      <c r="K142" s="268">
        <f t="shared" si="14"/>
        <v>27.711350000000003</v>
      </c>
    </row>
    <row r="143" spans="1:11">
      <c r="A143" t="str">
        <f>'RAW DATA 2023'!B136</f>
        <v>Roiphet1</v>
      </c>
      <c r="B143" t="str">
        <f>'RAW DATA 2023'!D136</f>
        <v>D4-G08-0058</v>
      </c>
      <c r="C143" t="str">
        <f t="shared" si="10"/>
        <v>Roiphet1D4-G08-0058</v>
      </c>
      <c r="D143">
        <f>VLOOKUP(C143,'RAW DATA 2023'!E:BP,63,0)</f>
        <v>1</v>
      </c>
      <c r="E143" t="str">
        <f t="shared" si="11"/>
        <v>Roiphet11</v>
      </c>
      <c r="F143" s="8">
        <f>VLOOKUP(C143,'RAW DATA 2023'!E:BO,23,0)</f>
        <v>49.108128582546257</v>
      </c>
      <c r="G143" s="14">
        <f t="shared" si="12"/>
        <v>25.891871417453743</v>
      </c>
      <c r="H143" s="25">
        <f t="shared" si="13"/>
        <v>5.1783742834907489</v>
      </c>
      <c r="I143" s="80" t="str">
        <f>VLOOKUP(C143,'RAW DATA 2023'!E:BO,36,0)</f>
        <v>เคลียร์บ่อเพื่อลงกุ้งชุดใหม่</v>
      </c>
      <c r="J143">
        <f>VLOOKUP(C143,'RAW DATA 2023'!E:BO,21,0)</f>
        <v>7.7354200000000004</v>
      </c>
      <c r="K143" s="268">
        <f t="shared" si="14"/>
        <v>40.056900000000013</v>
      </c>
    </row>
    <row r="144" spans="1:11">
      <c r="A144" t="str">
        <f>'RAW DATA 2023'!B137</f>
        <v>Roiphet1</v>
      </c>
      <c r="B144" t="str">
        <f>'RAW DATA 2023'!D137</f>
        <v>D1-G02-0079</v>
      </c>
      <c r="C144" t="str">
        <f t="shared" si="10"/>
        <v>Roiphet1D1-G02-0079</v>
      </c>
      <c r="D144">
        <f>VLOOKUP(C144,'RAW DATA 2023'!E:BP,63,0)</f>
        <v>6</v>
      </c>
      <c r="E144" t="str">
        <f t="shared" si="11"/>
        <v>Roiphet16</v>
      </c>
      <c r="F144" s="8">
        <f>VLOOKUP(C144,'RAW DATA 2023'!E:BO,23,0)</f>
        <v>44.186037707276448</v>
      </c>
      <c r="G144" s="14">
        <f t="shared" si="12"/>
        <v>30.813962292723552</v>
      </c>
      <c r="H144" s="25">
        <f t="shared" si="13"/>
        <v>6.1627924585447111</v>
      </c>
      <c r="I144" s="80" t="str">
        <f>VLOOKUP(C144,'RAW DATA 2023'!E:BO,36,0)</f>
        <v>Normal</v>
      </c>
      <c r="J144">
        <f>VLOOKUP(C144,'RAW DATA 2023'!E:BO,21,0)</f>
        <v>7.9241999999999999</v>
      </c>
      <c r="K144" s="268">
        <f t="shared" si="14"/>
        <v>48.8352</v>
      </c>
    </row>
    <row r="145" spans="1:11">
      <c r="A145" t="str">
        <f>'RAW DATA 2023'!B138</f>
        <v>Roiphet1</v>
      </c>
      <c r="B145" t="str">
        <f>'RAW DATA 2023'!D138</f>
        <v>D1-G01-0077</v>
      </c>
      <c r="C145" t="str">
        <f t="shared" si="10"/>
        <v>Roiphet1D1-G01-0077</v>
      </c>
      <c r="D145">
        <f>VLOOKUP(C145,'RAW DATA 2023'!E:BP,63,0)</f>
        <v>6</v>
      </c>
      <c r="E145" t="str">
        <f t="shared" si="11"/>
        <v>Roiphet16</v>
      </c>
      <c r="F145" s="8">
        <f>VLOOKUP(C145,'RAW DATA 2023'!E:BO,23,0)</f>
        <v>45.707805222501975</v>
      </c>
      <c r="G145" s="14">
        <f t="shared" si="12"/>
        <v>29.292194777498025</v>
      </c>
      <c r="H145" s="25">
        <f t="shared" si="13"/>
        <v>5.8584389554996052</v>
      </c>
      <c r="I145" s="80" t="str">
        <f>VLOOKUP(C145,'RAW DATA 2023'!E:BO,36,0)</f>
        <v>Normal</v>
      </c>
      <c r="J145">
        <f>VLOOKUP(C145,'RAW DATA 2023'!E:BO,21,0)</f>
        <v>7.0100500000000006</v>
      </c>
      <c r="K145" s="268">
        <f t="shared" si="14"/>
        <v>41.06795000000001</v>
      </c>
    </row>
    <row r="146" spans="1:11">
      <c r="A146" t="str">
        <f>'RAW DATA 2023'!B139</f>
        <v>Roiphet1</v>
      </c>
      <c r="B146" t="str">
        <f>'RAW DATA 2023'!D139</f>
        <v>A2-I04-0100</v>
      </c>
      <c r="C146" t="str">
        <f t="shared" si="10"/>
        <v>Roiphet1A2-I04-0100</v>
      </c>
      <c r="D146">
        <f>VLOOKUP(C146,'RAW DATA 2023'!E:BP,63,0)</f>
        <v>9</v>
      </c>
      <c r="E146" t="str">
        <f t="shared" si="11"/>
        <v>Roiphet19</v>
      </c>
      <c r="F146" s="8">
        <f>VLOOKUP(C146,'RAW DATA 2023'!E:BO,23,0)</f>
        <v>33.048396898644995</v>
      </c>
      <c r="G146" s="14">
        <f t="shared" si="12"/>
        <v>41.951603101355005</v>
      </c>
      <c r="H146" s="25">
        <f t="shared" si="13"/>
        <v>8.3903206202710017</v>
      </c>
      <c r="I146" s="80" t="str">
        <f>VLOOKUP(C146,'RAW DATA 2023'!E:BO,36,0)</f>
        <v>Normal</v>
      </c>
      <c r="J146">
        <f>VLOOKUP(C146,'RAW DATA 2023'!E:BO,21,0)</f>
        <v>2.9948200000000003</v>
      </c>
      <c r="K146" s="268">
        <f t="shared" si="14"/>
        <v>25.127500000000005</v>
      </c>
    </row>
    <row r="147" spans="1:11">
      <c r="A147" t="str">
        <f>'RAW DATA 2023'!B140</f>
        <v>Roiphet1</v>
      </c>
      <c r="B147" t="str">
        <f>'RAW DATA 2023'!D140</f>
        <v>A2-G03-0083</v>
      </c>
      <c r="C147" t="str">
        <f t="shared" si="10"/>
        <v>Roiphet1A2-G03-0083</v>
      </c>
      <c r="D147">
        <f>VLOOKUP(C147,'RAW DATA 2023'!E:BP,63,0)</f>
        <v>9</v>
      </c>
      <c r="E147" t="str">
        <f t="shared" si="11"/>
        <v>Roiphet19</v>
      </c>
      <c r="F147" s="8">
        <f>VLOOKUP(C147,'RAW DATA 2023'!E:BO,23,0)</f>
        <v>36.794551789203119</v>
      </c>
      <c r="G147" s="14">
        <f t="shared" si="12"/>
        <v>38.205448210796881</v>
      </c>
      <c r="H147" s="25">
        <f t="shared" si="13"/>
        <v>7.6410896421593764</v>
      </c>
      <c r="I147" s="80" t="str">
        <f>VLOOKUP(C147,'RAW DATA 2023'!E:BO,36,0)</f>
        <v>อัตรารอดต่ำ</v>
      </c>
      <c r="J147">
        <f>VLOOKUP(C147,'RAW DATA 2023'!E:BO,21,0)</f>
        <v>5.3845200000000002</v>
      </c>
      <c r="K147" s="268">
        <f t="shared" si="14"/>
        <v>41.143600000000006</v>
      </c>
    </row>
    <row r="148" spans="1:11">
      <c r="A148" t="str">
        <f>'RAW DATA 2023'!B141</f>
        <v>Roiphet1</v>
      </c>
      <c r="B148" t="str">
        <f>'RAW DATA 2023'!D141</f>
        <v>A2-I03-0095</v>
      </c>
      <c r="C148" t="str">
        <f t="shared" si="10"/>
        <v>Roiphet1A2-I03-0095</v>
      </c>
      <c r="D148">
        <f>VLOOKUP(C148,'RAW DATA 2023'!E:BP,63,0)</f>
        <v>9</v>
      </c>
      <c r="E148" t="str">
        <f t="shared" si="11"/>
        <v>Roiphet19</v>
      </c>
      <c r="F148" s="8">
        <f>VLOOKUP(C148,'RAW DATA 2023'!E:BO,23,0)</f>
        <v>35.383566686991635</v>
      </c>
      <c r="G148" s="14">
        <f t="shared" si="12"/>
        <v>39.616433313008365</v>
      </c>
      <c r="H148" s="25">
        <f t="shared" si="13"/>
        <v>7.9232866626016731</v>
      </c>
      <c r="I148" s="80" t="str">
        <f>VLOOKUP(C148,'RAW DATA 2023'!E:BO,36,0)</f>
        <v>อัตรารอดต่ำ</v>
      </c>
      <c r="J148">
        <f>VLOOKUP(C148,'RAW DATA 2023'!E:BO,21,0)</f>
        <v>3.4768400000000002</v>
      </c>
      <c r="K148" s="268">
        <f t="shared" si="14"/>
        <v>27.548000000000002</v>
      </c>
    </row>
    <row r="149" spans="1:11">
      <c r="A149" t="str">
        <f>'RAW DATA 2023'!B142</f>
        <v>Roiphet1</v>
      </c>
      <c r="B149" t="str">
        <f>'RAW DATA 2023'!D142</f>
        <v>A2-G04-0082</v>
      </c>
      <c r="C149" t="str">
        <f t="shared" si="10"/>
        <v>Roiphet1A2-G04-0082</v>
      </c>
      <c r="D149">
        <f>VLOOKUP(C149,'RAW DATA 2023'!E:BP,63,0)</f>
        <v>9</v>
      </c>
      <c r="E149" t="str">
        <f t="shared" si="11"/>
        <v>Roiphet19</v>
      </c>
      <c r="F149" s="8">
        <f>VLOOKUP(C149,'RAW DATA 2023'!E:BO,23,0)</f>
        <v>34.187913320643069</v>
      </c>
      <c r="G149" s="14">
        <f t="shared" si="12"/>
        <v>40.812086679356931</v>
      </c>
      <c r="H149" s="25">
        <f t="shared" si="13"/>
        <v>8.1624173358713872</v>
      </c>
      <c r="I149" s="80" t="str">
        <f>VLOOKUP(C149,'RAW DATA 2023'!E:BO,36,0)</f>
        <v>Normal</v>
      </c>
      <c r="J149">
        <f>VLOOKUP(C149,'RAW DATA 2023'!E:BO,21,0)</f>
        <v>6.2935400000000001</v>
      </c>
      <c r="K149" s="268">
        <f t="shared" si="14"/>
        <v>51.370500000000014</v>
      </c>
    </row>
    <row r="150" spans="1:11">
      <c r="A150" t="str">
        <f>'RAW DATA 2023'!B143</f>
        <v>Roiphet1</v>
      </c>
      <c r="B150" t="str">
        <f>'RAW DATA 2023'!D143</f>
        <v>A1-I02-0095</v>
      </c>
      <c r="C150" t="str">
        <f t="shared" si="10"/>
        <v>Roiphet1A1-I02-0095</v>
      </c>
      <c r="D150">
        <f>VLOOKUP(C150,'RAW DATA 2023'!E:BP,63,0)</f>
        <v>9</v>
      </c>
      <c r="E150" t="str">
        <f t="shared" si="11"/>
        <v>Roiphet19</v>
      </c>
      <c r="F150" s="8">
        <f>VLOOKUP(C150,'RAW DATA 2023'!E:BO,23,0)</f>
        <v>35.032016076688805</v>
      </c>
      <c r="G150" s="14">
        <f t="shared" si="12"/>
        <v>39.967983923311195</v>
      </c>
      <c r="H150" s="25">
        <f t="shared" si="13"/>
        <v>7.9935967846622393</v>
      </c>
      <c r="I150" s="80" t="str">
        <f>VLOOKUP(C150,'RAW DATA 2023'!E:BO,36,0)</f>
        <v>Normal</v>
      </c>
      <c r="J150">
        <f>VLOOKUP(C150,'RAW DATA 2023'!E:BO,21,0)</f>
        <v>3.2046399999999999</v>
      </c>
      <c r="K150" s="268">
        <f t="shared" si="14"/>
        <v>25.616599999999998</v>
      </c>
    </row>
    <row r="151" spans="1:11">
      <c r="A151" t="str">
        <f>'RAW DATA 2023'!B144</f>
        <v>Roiphet1</v>
      </c>
      <c r="B151" t="str">
        <f>'RAW DATA 2023'!D144</f>
        <v>A1-G02-0075</v>
      </c>
      <c r="C151" t="str">
        <f t="shared" si="10"/>
        <v>Roiphet1A1-G02-0075</v>
      </c>
      <c r="D151">
        <f>VLOOKUP(C151,'RAW DATA 2023'!E:BP,63,0)</f>
        <v>9</v>
      </c>
      <c r="E151" t="str">
        <f t="shared" si="11"/>
        <v>Roiphet19</v>
      </c>
      <c r="F151" s="8">
        <f>VLOOKUP(C151,'RAW DATA 2023'!E:BO,23,0)</f>
        <v>44.692217995633193</v>
      </c>
      <c r="G151" s="14">
        <f t="shared" si="12"/>
        <v>30.307782004366807</v>
      </c>
      <c r="H151" s="25">
        <f t="shared" si="13"/>
        <v>6.0615564008733616</v>
      </c>
      <c r="I151" s="80" t="str">
        <f>VLOOKUP(C151,'RAW DATA 2023'!E:BO,36,0)</f>
        <v>Normal</v>
      </c>
      <c r="J151">
        <f>VLOOKUP(C151,'RAW DATA 2023'!E:BO,21,0)</f>
        <v>7.1951899999999993</v>
      </c>
      <c r="K151" s="268">
        <f t="shared" si="14"/>
        <v>43.614049999999999</v>
      </c>
    </row>
    <row r="152" spans="1:11">
      <c r="A152" t="str">
        <f>'RAW DATA 2023'!B145</f>
        <v>Roiphet1</v>
      </c>
      <c r="B152" t="str">
        <f>'RAW DATA 2023'!D145</f>
        <v>A1-I01-0089</v>
      </c>
      <c r="C152" t="str">
        <f t="shared" si="10"/>
        <v>Roiphet1A1-I01-0089</v>
      </c>
      <c r="D152">
        <f>VLOOKUP(C152,'RAW DATA 2023'!E:BP,63,0)</f>
        <v>9</v>
      </c>
      <c r="E152" t="str">
        <f t="shared" si="11"/>
        <v>Roiphet19</v>
      </c>
      <c r="F152" s="8">
        <f>VLOOKUP(C152,'RAW DATA 2023'!E:BO,23,0)</f>
        <v>39.266123399301513</v>
      </c>
      <c r="G152" s="14">
        <f t="shared" si="12"/>
        <v>35.733876600698487</v>
      </c>
      <c r="H152" s="25">
        <f t="shared" si="13"/>
        <v>7.1467753201396977</v>
      </c>
      <c r="I152" s="80" t="str">
        <f>VLOOKUP(C152,'RAW DATA 2023'!E:BO,36,0)</f>
        <v>อัตรารอดต่ำ</v>
      </c>
      <c r="J152">
        <f>VLOOKUP(C152,'RAW DATA 2023'!E:BO,21,0)</f>
        <v>3.2212499999999999</v>
      </c>
      <c r="K152" s="268">
        <f t="shared" si="14"/>
        <v>23.021550000000001</v>
      </c>
    </row>
    <row r="153" spans="1:11">
      <c r="A153" t="str">
        <f>'RAW DATA 2023'!B146</f>
        <v>Roiphet1</v>
      </c>
      <c r="B153" t="str">
        <f>'RAW DATA 2023'!D146</f>
        <v>A1-G01-0063</v>
      </c>
      <c r="C153" t="str">
        <f t="shared" si="10"/>
        <v>Roiphet1A1-G01-0063</v>
      </c>
      <c r="D153">
        <f>VLOOKUP(C153,'RAW DATA 2023'!E:BP,63,0)</f>
        <v>6</v>
      </c>
      <c r="E153" t="str">
        <f t="shared" si="11"/>
        <v>Roiphet16</v>
      </c>
      <c r="F153" s="8">
        <f>VLOOKUP(C153,'RAW DATA 2023'!E:BO,23,0)</f>
        <v>35.011908352955473</v>
      </c>
      <c r="G153" s="14">
        <f t="shared" si="12"/>
        <v>39.988091647044527</v>
      </c>
      <c r="H153" s="25">
        <f t="shared" si="13"/>
        <v>7.9976183294089056</v>
      </c>
      <c r="I153" s="80" t="str">
        <f>VLOOKUP(C153,'RAW DATA 2023'!E:BO,36,0)</f>
        <v>Normal</v>
      </c>
      <c r="J153">
        <f>VLOOKUP(C153,'RAW DATA 2023'!E:BO,21,0)</f>
        <v>6.6633900000000006</v>
      </c>
      <c r="K153" s="268">
        <f t="shared" si="14"/>
        <v>53.291250000000012</v>
      </c>
    </row>
    <row r="154" spans="1:11">
      <c r="A154" t="str">
        <f>'RAW DATA 2023'!B147</f>
        <v>Roiphet1</v>
      </c>
      <c r="B154" t="str">
        <f>'RAW DATA 2023'!D147</f>
        <v>A1-I01-0087</v>
      </c>
      <c r="C154" t="str">
        <f t="shared" si="10"/>
        <v>Roiphet1A1-I01-0087</v>
      </c>
      <c r="D154">
        <f>VLOOKUP(C154,'RAW DATA 2023'!E:BP,63,0)</f>
        <v>1</v>
      </c>
      <c r="E154" t="str">
        <f t="shared" si="11"/>
        <v>Roiphet11</v>
      </c>
      <c r="F154" s="8">
        <f>VLOOKUP(C154,'RAW DATA 2023'!E:BO,23,0)</f>
        <v>36.506057389764301</v>
      </c>
      <c r="G154" s="14">
        <f t="shared" si="12"/>
        <v>38.493942610235699</v>
      </c>
      <c r="H154" s="25">
        <f t="shared" si="13"/>
        <v>7.6987885220471401</v>
      </c>
      <c r="I154" s="80" t="str">
        <f>VLOOKUP(C154,'RAW DATA 2023'!E:BO,36,0)</f>
        <v>Normal</v>
      </c>
      <c r="J154">
        <f>VLOOKUP(C154,'RAW DATA 2023'!E:BO,21,0)</f>
        <v>3.1845400000000001</v>
      </c>
      <c r="K154" s="268">
        <f t="shared" si="14"/>
        <v>24.517099999999999</v>
      </c>
    </row>
    <row r="155" spans="1:11">
      <c r="A155" t="str">
        <f>'RAW DATA 2023'!B148</f>
        <v>Roiphet1</v>
      </c>
      <c r="B155" t="str">
        <f>'RAW DATA 2023'!D148</f>
        <v>A1-I01-0088</v>
      </c>
      <c r="C155" t="str">
        <f t="shared" si="10"/>
        <v>Roiphet1A1-I01-0088</v>
      </c>
      <c r="D155">
        <f>VLOOKUP(C155,'RAW DATA 2023'!E:BP,63,0)</f>
        <v>6</v>
      </c>
      <c r="E155" t="str">
        <f t="shared" si="11"/>
        <v>Roiphet16</v>
      </c>
      <c r="F155" s="8">
        <f>VLOOKUP(C155,'RAW DATA 2023'!E:BO,23,0)</f>
        <v>33.121789189246925</v>
      </c>
      <c r="G155" s="14">
        <f t="shared" si="12"/>
        <v>41.878210810753075</v>
      </c>
      <c r="H155" s="25">
        <f t="shared" si="13"/>
        <v>8.3756421621506156</v>
      </c>
      <c r="I155" s="80" t="str">
        <f>VLOOKUP(C155,'RAW DATA 2023'!E:BO,36,0)</f>
        <v>Normal</v>
      </c>
      <c r="J155">
        <f>VLOOKUP(C155,'RAW DATA 2023'!E:BO,21,0)</f>
        <v>4.6814499999999999</v>
      </c>
      <c r="K155" s="268">
        <f t="shared" si="14"/>
        <v>39.210149999999999</v>
      </c>
    </row>
    <row r="156" spans="1:11">
      <c r="A156" t="str">
        <f>'RAW DATA 2023'!B149</f>
        <v>Roiphet1</v>
      </c>
      <c r="B156" t="str">
        <f>'RAW DATA 2023'!D149</f>
        <v>A6-G11-0091</v>
      </c>
      <c r="C156" t="str">
        <f t="shared" si="10"/>
        <v>Roiphet1A6-G11-0091</v>
      </c>
      <c r="D156">
        <f>VLOOKUP(C156,'RAW DATA 2023'!E:BP,63,0)</f>
        <v>5</v>
      </c>
      <c r="E156" t="str">
        <f t="shared" si="11"/>
        <v>Roiphet15</v>
      </c>
      <c r="F156" s="8">
        <f>VLOOKUP(C156,'RAW DATA 2023'!E:BO,23,0)</f>
        <v>29.573087042975835</v>
      </c>
      <c r="G156" s="14">
        <f t="shared" si="12"/>
        <v>45.426912957024165</v>
      </c>
      <c r="H156" s="25">
        <f t="shared" si="13"/>
        <v>9.0853825914048336</v>
      </c>
      <c r="I156" s="80" t="str">
        <f>VLOOKUP(C156,'RAW DATA 2023'!E:BO,36,0)</f>
        <v>Normal</v>
      </c>
      <c r="J156">
        <f>VLOOKUP(C156,'RAW DATA 2023'!E:BO,21,0)</f>
        <v>5.9745200000000001</v>
      </c>
      <c r="K156" s="268">
        <f t="shared" si="14"/>
        <v>54.280800000000006</v>
      </c>
    </row>
    <row r="157" spans="1:11">
      <c r="A157" t="str">
        <f>'RAW DATA 2023'!B150</f>
        <v>Roiphet1</v>
      </c>
      <c r="B157" t="str">
        <f>'RAW DATA 2023'!D150</f>
        <v>A6-I11-0101</v>
      </c>
      <c r="C157" t="str">
        <f t="shared" si="10"/>
        <v>Roiphet1A6-I11-0101</v>
      </c>
      <c r="D157">
        <f>VLOOKUP(C157,'RAW DATA 2023'!E:BP,63,0)</f>
        <v>5</v>
      </c>
      <c r="E157" t="str">
        <f t="shared" si="11"/>
        <v>Roiphet15</v>
      </c>
      <c r="F157" s="8">
        <f>VLOOKUP(C157,'RAW DATA 2023'!E:BO,23,0)</f>
        <v>30.865496162099454</v>
      </c>
      <c r="G157" s="14">
        <f t="shared" si="12"/>
        <v>44.134503837900546</v>
      </c>
      <c r="H157" s="25">
        <f t="shared" si="13"/>
        <v>8.8269007675801099</v>
      </c>
      <c r="I157" s="80" t="str">
        <f>VLOOKUP(C157,'RAW DATA 2023'!E:BO,36,0)</f>
        <v>Normal</v>
      </c>
      <c r="J157">
        <f>VLOOKUP(C157,'RAW DATA 2023'!E:BO,21,0)</f>
        <v>3.32734</v>
      </c>
      <c r="K157" s="268">
        <f t="shared" si="14"/>
        <v>29.370100000000001</v>
      </c>
    </row>
    <row r="158" spans="1:11">
      <c r="A158" t="str">
        <f>'RAW DATA 2023'!B151</f>
        <v>Roiphet1</v>
      </c>
      <c r="B158" t="str">
        <f>'RAW DATA 2023'!D151</f>
        <v>A1-I02-0094</v>
      </c>
      <c r="C158" t="str">
        <f t="shared" si="10"/>
        <v>Roiphet1A1-I02-0094</v>
      </c>
      <c r="D158">
        <f>VLOOKUP(C158,'RAW DATA 2023'!E:BP,63,0)</f>
        <v>5</v>
      </c>
      <c r="E158" t="str">
        <f t="shared" si="11"/>
        <v>Roiphet15</v>
      </c>
      <c r="F158" s="8">
        <f>VLOOKUP(C158,'RAW DATA 2023'!E:BO,23,0)</f>
        <v>30.898500507796165</v>
      </c>
      <c r="G158" s="14">
        <f t="shared" si="12"/>
        <v>44.101499492203835</v>
      </c>
      <c r="H158" s="25">
        <f t="shared" si="13"/>
        <v>8.8202998984407674</v>
      </c>
      <c r="I158" s="80" t="str">
        <f>VLOOKUP(C158,'RAW DATA 2023'!E:BO,36,0)</f>
        <v>Normal</v>
      </c>
      <c r="J158">
        <f>VLOOKUP(C158,'RAW DATA 2023'!E:BO,21,0)</f>
        <v>5.0217000000000001</v>
      </c>
      <c r="K158" s="268">
        <f t="shared" si="14"/>
        <v>44.292900000000003</v>
      </c>
    </row>
    <row r="159" spans="1:11">
      <c r="A159" t="str">
        <f>'RAW DATA 2023'!B152</f>
        <v>Roiphet1</v>
      </c>
      <c r="B159" t="str">
        <f>'RAW DATA 2023'!D152</f>
        <v>A2-I03-0094</v>
      </c>
      <c r="C159" t="str">
        <f t="shared" si="10"/>
        <v>Roiphet1A2-I03-0094</v>
      </c>
      <c r="D159">
        <f>VLOOKUP(C159,'RAW DATA 2023'!E:BP,63,0)</f>
        <v>4</v>
      </c>
      <c r="E159" t="str">
        <f t="shared" si="11"/>
        <v>Roiphet14</v>
      </c>
      <c r="F159" s="8">
        <f>VLOOKUP(C159,'RAW DATA 2023'!E:BO,23,0)</f>
        <v>29.254050877340276</v>
      </c>
      <c r="G159" s="14">
        <f t="shared" si="12"/>
        <v>45.745949122659724</v>
      </c>
      <c r="H159" s="25">
        <f t="shared" si="13"/>
        <v>9.1491898245319447</v>
      </c>
      <c r="I159" s="80" t="str">
        <f>VLOOKUP(C159,'RAW DATA 2023'!E:BO,36,0)</f>
        <v>Normal</v>
      </c>
      <c r="J159">
        <f>VLOOKUP(C159,'RAW DATA 2023'!E:BO,21,0)</f>
        <v>4.7643999999999993</v>
      </c>
      <c r="K159" s="268">
        <f t="shared" si="14"/>
        <v>43.590399999999988</v>
      </c>
    </row>
    <row r="160" spans="1:11">
      <c r="A160" t="str">
        <f>'RAW DATA 2023'!B153</f>
        <v>Roiphet1</v>
      </c>
      <c r="B160" t="str">
        <f>'RAW DATA 2023'!D153</f>
        <v>A2-G03-0082</v>
      </c>
      <c r="C160" t="str">
        <f t="shared" si="10"/>
        <v>Roiphet1A2-G03-0082</v>
      </c>
      <c r="D160">
        <f>VLOOKUP(C160,'RAW DATA 2023'!E:BP,63,0)</f>
        <v>5</v>
      </c>
      <c r="E160" t="str">
        <f t="shared" si="11"/>
        <v>Roiphet15</v>
      </c>
      <c r="F160" s="8">
        <f>VLOOKUP(C160,'RAW DATA 2023'!E:BO,23,0)</f>
        <v>28.24158492316824</v>
      </c>
      <c r="G160" s="14">
        <f t="shared" si="12"/>
        <v>46.75841507683176</v>
      </c>
      <c r="H160" s="25">
        <f t="shared" si="13"/>
        <v>9.351683015366353</v>
      </c>
      <c r="I160" s="80" t="str">
        <f>VLOOKUP(C160,'RAW DATA 2023'!E:BO,36,0)</f>
        <v>Normal</v>
      </c>
      <c r="J160">
        <f>VLOOKUP(C160,'RAW DATA 2023'!E:BO,21,0)</f>
        <v>7.7162100000000002</v>
      </c>
      <c r="K160" s="268">
        <f t="shared" si="14"/>
        <v>72.15955000000001</v>
      </c>
    </row>
    <row r="161" spans="1:11">
      <c r="A161" t="str">
        <f>'RAW DATA 2023'!B154</f>
        <v>Roiphet1</v>
      </c>
      <c r="B161" t="str">
        <f>'RAW DATA 2023'!D154</f>
        <v>A4-G07-0071</v>
      </c>
      <c r="C161" t="str">
        <f t="shared" si="10"/>
        <v>Roiphet1A4-G07-0071</v>
      </c>
      <c r="D161">
        <f>VLOOKUP(C161,'RAW DATA 2023'!E:BP,63,0)</f>
        <v>5</v>
      </c>
      <c r="E161" t="str">
        <f t="shared" si="11"/>
        <v>Roiphet15</v>
      </c>
      <c r="F161" s="8">
        <f>VLOOKUP(C161,'RAW DATA 2023'!E:BO,23,0)</f>
        <v>31.384762097472969</v>
      </c>
      <c r="G161" s="14">
        <f t="shared" si="12"/>
        <v>43.615237902527028</v>
      </c>
      <c r="H161" s="25">
        <f t="shared" si="13"/>
        <v>8.7230475805054066</v>
      </c>
      <c r="I161" s="80" t="str">
        <f>VLOOKUP(C161,'RAW DATA 2023'!E:BO,36,0)</f>
        <v>Normal</v>
      </c>
      <c r="J161">
        <f>VLOOKUP(C161,'RAW DATA 2023'!E:BO,21,0)</f>
        <v>9.9828700000000001</v>
      </c>
      <c r="K161" s="268">
        <f t="shared" si="14"/>
        <v>87.081050000000005</v>
      </c>
    </row>
    <row r="162" spans="1:11">
      <c r="A162" t="str">
        <f>'RAW DATA 2023'!B155</f>
        <v>Roiphet1</v>
      </c>
      <c r="B162" t="str">
        <f>'RAW DATA 2023'!D155</f>
        <v>A3-G05-0076</v>
      </c>
      <c r="C162" t="str">
        <f t="shared" si="10"/>
        <v>Roiphet1A3-G05-0076</v>
      </c>
      <c r="D162">
        <f>VLOOKUP(C162,'RAW DATA 2023'!E:BP,63,0)</f>
        <v>6</v>
      </c>
      <c r="E162" t="str">
        <f t="shared" si="11"/>
        <v>Roiphet16</v>
      </c>
      <c r="F162" s="8">
        <f>VLOOKUP(C162,'RAW DATA 2023'!E:BO,23,0)</f>
        <v>32.39361437829627</v>
      </c>
      <c r="G162" s="14">
        <f t="shared" si="12"/>
        <v>42.60638562170373</v>
      </c>
      <c r="H162" s="25">
        <f t="shared" si="13"/>
        <v>8.521277124340747</v>
      </c>
      <c r="I162" s="80" t="str">
        <f>VLOOKUP(C162,'RAW DATA 2023'!E:BO,36,0)</f>
        <v>Normal</v>
      </c>
      <c r="J162">
        <f>VLOOKUP(C162,'RAW DATA 2023'!E:BO,21,0)</f>
        <v>7.0439499999999997</v>
      </c>
      <c r="K162" s="268">
        <f t="shared" si="14"/>
        <v>60.023450000000004</v>
      </c>
    </row>
    <row r="163" spans="1:11">
      <c r="A163" t="str">
        <f>'RAW DATA 2023'!B156</f>
        <v>Roiphet1</v>
      </c>
      <c r="B163" t="str">
        <f>'RAW DATA 2023'!D156</f>
        <v>A2-I04-0099</v>
      </c>
      <c r="C163" t="str">
        <f t="shared" si="10"/>
        <v>Roiphet1A2-I04-0099</v>
      </c>
      <c r="D163">
        <f>VLOOKUP(C163,'RAW DATA 2023'!E:BP,63,0)</f>
        <v>5</v>
      </c>
      <c r="E163" t="str">
        <f t="shared" si="11"/>
        <v>Roiphet15</v>
      </c>
      <c r="F163" s="8">
        <f>VLOOKUP(C163,'RAW DATA 2023'!E:BO,23,0)</f>
        <v>32.898156993195713</v>
      </c>
      <c r="G163" s="14">
        <f t="shared" si="12"/>
        <v>42.101843006804287</v>
      </c>
      <c r="H163" s="25">
        <f t="shared" si="13"/>
        <v>8.4203686013608579</v>
      </c>
      <c r="I163" s="80" t="str">
        <f>VLOOKUP(C163,'RAW DATA 2023'!E:BO,36,0)</f>
        <v>Normal</v>
      </c>
      <c r="J163">
        <f>VLOOKUP(C163,'RAW DATA 2023'!E:BO,21,0)</f>
        <v>4.4280900000000001</v>
      </c>
      <c r="K163" s="268">
        <f t="shared" si="14"/>
        <v>37.286149999999999</v>
      </c>
    </row>
    <row r="164" spans="1:11">
      <c r="A164" t="str">
        <f>'RAW DATA 2023'!B157</f>
        <v>Roiphet1</v>
      </c>
      <c r="B164" t="str">
        <f>'RAW DATA 2023'!D157</f>
        <v>A4-G08-0070</v>
      </c>
      <c r="C164" t="str">
        <f t="shared" si="10"/>
        <v>Roiphet1A4-G08-0070</v>
      </c>
      <c r="D164">
        <f>VLOOKUP(C164,'RAW DATA 2023'!E:BP,63,0)</f>
        <v>9</v>
      </c>
      <c r="E164" t="str">
        <f t="shared" si="11"/>
        <v>Roiphet19</v>
      </c>
      <c r="F164" s="8">
        <f>VLOOKUP(C164,'RAW DATA 2023'!E:BO,23,0)</f>
        <v>39.309077797427925</v>
      </c>
      <c r="G164" s="14">
        <f t="shared" si="12"/>
        <v>35.690922202572075</v>
      </c>
      <c r="H164" s="25">
        <f t="shared" si="13"/>
        <v>7.138184440514415</v>
      </c>
      <c r="I164" s="80" t="str">
        <f>VLOOKUP(C164,'RAW DATA 2023'!E:BO,36,0)</f>
        <v>อัตรารอดต่ำ</v>
      </c>
      <c r="J164">
        <f>VLOOKUP(C164,'RAW DATA 2023'!E:BO,21,0)</f>
        <v>5.8241000000000005</v>
      </c>
      <c r="K164" s="268">
        <f t="shared" si="14"/>
        <v>41.57350000000001</v>
      </c>
    </row>
    <row r="165" spans="1:11">
      <c r="A165" t="str">
        <f>'RAW DATA 2023'!B158</f>
        <v>Roiphet1</v>
      </c>
      <c r="B165" t="str">
        <f>'RAW DATA 2023'!D158</f>
        <v>A5-I10-0094</v>
      </c>
      <c r="C165" t="str">
        <f t="shared" si="10"/>
        <v>Roiphet1A5-I10-0094</v>
      </c>
      <c r="D165">
        <f>VLOOKUP(C165,'RAW DATA 2023'!E:BP,63,0)</f>
        <v>5</v>
      </c>
      <c r="E165" t="str">
        <f t="shared" si="11"/>
        <v>Roiphet15</v>
      </c>
      <c r="F165" s="8">
        <f>VLOOKUP(C165,'RAW DATA 2023'!E:BO,23,0)</f>
        <v>30.422771033905398</v>
      </c>
      <c r="G165" s="14">
        <f t="shared" si="12"/>
        <v>44.577228966094602</v>
      </c>
      <c r="H165" s="25">
        <f t="shared" si="13"/>
        <v>8.9154457932189199</v>
      </c>
      <c r="I165" s="80" t="str">
        <f>VLOOKUP(C165,'RAW DATA 2023'!E:BO,36,0)</f>
        <v>Normal</v>
      </c>
      <c r="J165">
        <f>VLOOKUP(C165,'RAW DATA 2023'!E:BO,21,0)</f>
        <v>3.4640500000000003</v>
      </c>
      <c r="K165" s="268">
        <f t="shared" si="14"/>
        <v>30.883550000000003</v>
      </c>
    </row>
    <row r="166" spans="1:11">
      <c r="A166" t="str">
        <f>'RAW DATA 2023'!B159</f>
        <v>Roiphet1</v>
      </c>
      <c r="B166" t="str">
        <f>'RAW DATA 2023'!D159</f>
        <v>A2-G04-0081</v>
      </c>
      <c r="C166" t="str">
        <f t="shared" si="10"/>
        <v>Roiphet1A2-G04-0081</v>
      </c>
      <c r="D166">
        <f>VLOOKUP(C166,'RAW DATA 2023'!E:BP,63,0)</f>
        <v>5</v>
      </c>
      <c r="E166" t="str">
        <f t="shared" si="11"/>
        <v>Roiphet15</v>
      </c>
      <c r="F166" s="8">
        <f>VLOOKUP(C166,'RAW DATA 2023'!E:BO,23,0)</f>
        <v>32.93979223205681</v>
      </c>
      <c r="G166" s="14">
        <f t="shared" si="12"/>
        <v>42.06020776794319</v>
      </c>
      <c r="H166" s="25">
        <f t="shared" si="13"/>
        <v>8.4120415535886384</v>
      </c>
      <c r="I166" s="80" t="str">
        <f>VLOOKUP(C166,'RAW DATA 2023'!E:BO,36,0)</f>
        <v>Normal</v>
      </c>
      <c r="J166">
        <f>VLOOKUP(C166,'RAW DATA 2023'!E:BO,21,0)</f>
        <v>8.45655</v>
      </c>
      <c r="K166" s="268">
        <f t="shared" si="14"/>
        <v>71.136849999999995</v>
      </c>
    </row>
    <row r="167" spans="1:11">
      <c r="A167" t="str">
        <f>'RAW DATA 2023'!B160</f>
        <v>Roiphet1</v>
      </c>
      <c r="B167" t="str">
        <f>'RAW DATA 2023'!D160</f>
        <v>A3-I05-0083</v>
      </c>
      <c r="C167" t="str">
        <f t="shared" si="10"/>
        <v>Roiphet1A3-I05-0083</v>
      </c>
      <c r="D167">
        <f>VLOOKUP(C167,'RAW DATA 2023'!E:BP,63,0)</f>
        <v>1</v>
      </c>
      <c r="E167" t="str">
        <f t="shared" si="11"/>
        <v>Roiphet11</v>
      </c>
      <c r="F167" s="8">
        <f>VLOOKUP(C167,'RAW DATA 2023'!E:BO,23,0)</f>
        <v>38.686912867783867</v>
      </c>
      <c r="G167" s="14">
        <f t="shared" si="12"/>
        <v>36.313087132216133</v>
      </c>
      <c r="H167" s="25">
        <f t="shared" si="13"/>
        <v>7.2626174264432271</v>
      </c>
      <c r="I167" s="80" t="str">
        <f>VLOOKUP(C167,'RAW DATA 2023'!E:BO,36,0)</f>
        <v>Normal</v>
      </c>
      <c r="J167">
        <f>VLOOKUP(C167,'RAW DATA 2023'!E:BO,21,0)</f>
        <v>3.0636199999999998</v>
      </c>
      <c r="K167" s="268">
        <f t="shared" si="14"/>
        <v>22.249899999999997</v>
      </c>
    </row>
    <row r="168" spans="1:11">
      <c r="A168" t="str">
        <f>'RAW DATA 2023'!B161</f>
        <v>Roiphet1</v>
      </c>
      <c r="B168" t="str">
        <f>'RAW DATA 2023'!D161</f>
        <v>A3-I06-0089</v>
      </c>
      <c r="C168" t="str">
        <f t="shared" si="10"/>
        <v>Roiphet1A3-I06-0089</v>
      </c>
      <c r="D168">
        <f>VLOOKUP(C168,'RAW DATA 2023'!E:BP,63,0)</f>
        <v>6</v>
      </c>
      <c r="E168" t="str">
        <f t="shared" si="11"/>
        <v>Roiphet16</v>
      </c>
      <c r="F168" s="8">
        <f>VLOOKUP(C168,'RAW DATA 2023'!E:BO,23,0)</f>
        <v>26.432851014117972</v>
      </c>
      <c r="G168" s="14">
        <f t="shared" si="12"/>
        <v>48.567148985882028</v>
      </c>
      <c r="H168" s="25">
        <f t="shared" si="13"/>
        <v>9.7134297971764063</v>
      </c>
      <c r="I168" s="80" t="str">
        <f>VLOOKUP(C168,'RAW DATA 2023'!E:BO,36,0)</f>
        <v>Normal</v>
      </c>
      <c r="J168">
        <f>VLOOKUP(C168,'RAW DATA 2023'!E:BO,21,0)</f>
        <v>3.52671</v>
      </c>
      <c r="K168" s="268">
        <f t="shared" si="14"/>
        <v>34.256450000000001</v>
      </c>
    </row>
    <row r="169" spans="1:11">
      <c r="A169" t="str">
        <f>'RAW DATA 2023'!B162</f>
        <v>Roiphet1</v>
      </c>
      <c r="B169" t="str">
        <f>'RAW DATA 2023'!D162</f>
        <v>A1-G02-0074</v>
      </c>
      <c r="C169" t="str">
        <f t="shared" si="10"/>
        <v>Roiphet1A1-G02-0074</v>
      </c>
      <c r="D169">
        <f>VLOOKUP(C169,'RAW DATA 2023'!E:BP,63,0)</f>
        <v>5</v>
      </c>
      <c r="E169" t="str">
        <f t="shared" si="11"/>
        <v>Roiphet15</v>
      </c>
      <c r="F169" s="8">
        <f>VLOOKUP(C169,'RAW DATA 2023'!E:BO,23,0)</f>
        <v>31.365805146771258</v>
      </c>
      <c r="G169" s="14">
        <f t="shared" si="12"/>
        <v>43.634194853228742</v>
      </c>
      <c r="H169" s="25">
        <f t="shared" si="13"/>
        <v>8.7268389706457494</v>
      </c>
      <c r="I169" s="80" t="str">
        <f>VLOOKUP(C169,'RAW DATA 2023'!E:BO,36,0)</f>
        <v>Normal</v>
      </c>
      <c r="J169">
        <f>VLOOKUP(C169,'RAW DATA 2023'!E:BO,21,0)</f>
        <v>8.9492999999999991</v>
      </c>
      <c r="K169" s="268">
        <f t="shared" si="14"/>
        <v>78.099099999999993</v>
      </c>
    </row>
    <row r="170" spans="1:11">
      <c r="A170" t="str">
        <f>'RAW DATA 2023'!B163</f>
        <v>Roiphet1</v>
      </c>
      <c r="B170" t="str">
        <f>'RAW DATA 2023'!D163</f>
        <v>A5-I09-0098</v>
      </c>
      <c r="C170" t="str">
        <f t="shared" si="10"/>
        <v>Roiphet1A5-I09-0098</v>
      </c>
      <c r="D170">
        <f>VLOOKUP(C170,'RAW DATA 2023'!E:BP,63,0)</f>
        <v>6</v>
      </c>
      <c r="E170" t="str">
        <f t="shared" si="11"/>
        <v>Roiphet16</v>
      </c>
      <c r="F170" s="8">
        <f>VLOOKUP(C170,'RAW DATA 2023'!E:BO,23,0)</f>
        <v>30.607244065696324</v>
      </c>
      <c r="G170" s="14">
        <f t="shared" si="12"/>
        <v>44.392755934303679</v>
      </c>
      <c r="H170" s="25">
        <f t="shared" si="13"/>
        <v>8.8785511868607365</v>
      </c>
      <c r="I170" s="80" t="str">
        <f>VLOOKUP(C170,'RAW DATA 2023'!E:BO,36,0)</f>
        <v>Normal</v>
      </c>
      <c r="J170">
        <f>VLOOKUP(C170,'RAW DATA 2023'!E:BO,21,0)</f>
        <v>3.9381200000000001</v>
      </c>
      <c r="K170" s="268">
        <f t="shared" si="14"/>
        <v>34.964800000000004</v>
      </c>
    </row>
    <row r="171" spans="1:11">
      <c r="A171" t="str">
        <f>'RAW DATA 2023'!B164</f>
        <v>Roiphet1</v>
      </c>
      <c r="B171" t="str">
        <f>'RAW DATA 2023'!D164</f>
        <v>A3-I05-0084</v>
      </c>
      <c r="C171" t="str">
        <f t="shared" si="10"/>
        <v>Roiphet1A3-I05-0084</v>
      </c>
      <c r="D171">
        <f>VLOOKUP(C171,'RAW DATA 2023'!E:BP,63,0)</f>
        <v>6</v>
      </c>
      <c r="E171" t="str">
        <f t="shared" si="11"/>
        <v>Roiphet16</v>
      </c>
      <c r="F171" s="8">
        <f>VLOOKUP(C171,'RAW DATA 2023'!E:BO,23,0)</f>
        <v>31.668439734449002</v>
      </c>
      <c r="G171" s="14">
        <f t="shared" si="12"/>
        <v>43.331560265550998</v>
      </c>
      <c r="H171" s="25">
        <f t="shared" si="13"/>
        <v>8.6663120531102003</v>
      </c>
      <c r="I171" s="80" t="str">
        <f>VLOOKUP(C171,'RAW DATA 2023'!E:BO,36,0)</f>
        <v>Normal</v>
      </c>
      <c r="J171">
        <f>VLOOKUP(C171,'RAW DATA 2023'!E:BO,21,0)</f>
        <v>3.9103600000000003</v>
      </c>
      <c r="K171" s="268">
        <f t="shared" si="14"/>
        <v>33.888400000000004</v>
      </c>
    </row>
    <row r="172" spans="1:11">
      <c r="A172" t="str">
        <f>'RAW DATA 2023'!B165</f>
        <v>Roiphet1</v>
      </c>
      <c r="B172" t="str">
        <f>'RAW DATA 2023'!D165</f>
        <v>A1-G01-0064</v>
      </c>
      <c r="C172" t="str">
        <f t="shared" si="10"/>
        <v>Roiphet1A1-G01-0064</v>
      </c>
      <c r="D172">
        <f>VLOOKUP(C172,'RAW DATA 2023'!E:BP,63,0)</f>
        <v>9</v>
      </c>
      <c r="E172" t="str">
        <f t="shared" si="11"/>
        <v>Roiphet19</v>
      </c>
      <c r="F172" s="8">
        <f>VLOOKUP(C172,'RAW DATA 2023'!E:BO,23,0)</f>
        <v>44.099291680369561</v>
      </c>
      <c r="G172" s="14">
        <f t="shared" si="12"/>
        <v>30.900708319630439</v>
      </c>
      <c r="H172" s="25">
        <f t="shared" si="13"/>
        <v>6.1801416639260882</v>
      </c>
      <c r="I172" s="80" t="str">
        <f>VLOOKUP(C172,'RAW DATA 2023'!E:BO,36,0)</f>
        <v>อัตรารอดต่ำ</v>
      </c>
      <c r="J172">
        <f>VLOOKUP(C172,'RAW DATA 2023'!E:BO,21,0)</f>
        <v>5.19963</v>
      </c>
      <c r="K172" s="268">
        <f t="shared" si="14"/>
        <v>32.134450000000008</v>
      </c>
    </row>
    <row r="173" spans="1:11">
      <c r="A173" t="str">
        <f>'RAW DATA 2023'!B166</f>
        <v>Roiphet1</v>
      </c>
      <c r="B173" t="str">
        <f>'RAW DATA 2023'!D166</f>
        <v>A4-I08-0100</v>
      </c>
      <c r="C173" t="str">
        <f t="shared" si="10"/>
        <v>Roiphet1A4-I08-0100</v>
      </c>
      <c r="D173">
        <f>VLOOKUP(C173,'RAW DATA 2023'!E:BP,63,0)</f>
        <v>9</v>
      </c>
      <c r="E173" t="str">
        <f t="shared" si="11"/>
        <v>Roiphet19</v>
      </c>
      <c r="F173" s="8">
        <f>VLOOKUP(C173,'RAW DATA 2023'!E:BO,23,0)</f>
        <v>42.637939230607017</v>
      </c>
      <c r="G173" s="14">
        <f t="shared" si="12"/>
        <v>32.362060769392983</v>
      </c>
      <c r="H173" s="25">
        <f t="shared" si="13"/>
        <v>6.4724121538785973</v>
      </c>
      <c r="I173" s="80" t="str">
        <f>VLOOKUP(C173,'RAW DATA 2023'!E:BO,36,0)</f>
        <v>อัตรารอดต่ำ</v>
      </c>
      <c r="J173">
        <f>VLOOKUP(C173,'RAW DATA 2023'!E:BO,21,0)</f>
        <v>2.79779</v>
      </c>
      <c r="K173" s="268">
        <f t="shared" si="14"/>
        <v>18.108450000000001</v>
      </c>
    </row>
    <row r="174" spans="1:11">
      <c r="A174" t="str">
        <f>'RAW DATA 2023'!B167</f>
        <v>Roiphet1</v>
      </c>
      <c r="B174" t="str">
        <f>'RAW DATA 2023'!D167</f>
        <v>A4-I07-0094</v>
      </c>
      <c r="C174" t="str">
        <f t="shared" si="10"/>
        <v>Roiphet1A4-I07-0094</v>
      </c>
      <c r="D174">
        <f>VLOOKUP(C174,'RAW DATA 2023'!E:BP,63,0)</f>
        <v>5</v>
      </c>
      <c r="E174" t="str">
        <f t="shared" si="11"/>
        <v>Roiphet15</v>
      </c>
      <c r="F174" s="8">
        <f>VLOOKUP(C174,'RAW DATA 2023'!E:BO,23,0)</f>
        <v>32.04429171737852</v>
      </c>
      <c r="G174" s="14">
        <f t="shared" si="12"/>
        <v>42.95570828262148</v>
      </c>
      <c r="H174" s="25">
        <f t="shared" si="13"/>
        <v>8.5911416565242966</v>
      </c>
      <c r="I174" s="80" t="str">
        <f>VLOOKUP(C174,'RAW DATA 2023'!E:BO,36,0)</f>
        <v>Normal</v>
      </c>
      <c r="J174">
        <f>VLOOKUP(C174,'RAW DATA 2023'!E:BO,21,0)</f>
        <v>5.1187899999999997</v>
      </c>
      <c r="K174" s="268">
        <f t="shared" si="14"/>
        <v>43.97625</v>
      </c>
    </row>
    <row r="175" spans="1:11">
      <c r="A175" t="str">
        <f>'RAW DATA 2023'!B168</f>
        <v>Roiphet1</v>
      </c>
      <c r="B175" t="str">
        <f>'RAW DATA 2023'!D168</f>
        <v>A1-G01-0062</v>
      </c>
      <c r="C175" t="str">
        <f t="shared" si="10"/>
        <v>Roiphet1A1-G01-0062</v>
      </c>
      <c r="D175">
        <f>VLOOKUP(C175,'RAW DATA 2023'!E:BP,63,0)</f>
        <v>1</v>
      </c>
      <c r="E175" t="str">
        <f t="shared" si="11"/>
        <v>Roiphet11</v>
      </c>
      <c r="F175" s="8">
        <f>VLOOKUP(C175,'RAW DATA 2023'!E:BO,23,0)</f>
        <v>39.791334323486808</v>
      </c>
      <c r="G175" s="14">
        <f t="shared" si="12"/>
        <v>35.208665676513192</v>
      </c>
      <c r="H175" s="25">
        <f t="shared" si="13"/>
        <v>7.0417331353026391</v>
      </c>
      <c r="I175" s="80" t="str">
        <f>VLOOKUP(C175,'RAW DATA 2023'!E:BO,36,0)</f>
        <v>Normal</v>
      </c>
      <c r="J175">
        <f>VLOOKUP(C175,'RAW DATA 2023'!E:BO,21,0)</f>
        <v>5.4536999999999995</v>
      </c>
      <c r="K175" s="268">
        <f t="shared" si="14"/>
        <v>38.403500000000001</v>
      </c>
    </row>
    <row r="176" spans="1:11">
      <c r="A176" t="str">
        <f>'RAW DATA 2023'!B169</f>
        <v>Roiphet1</v>
      </c>
      <c r="B176" t="str">
        <f>'RAW DATA 2023'!D169</f>
        <v>A5-G10-0068</v>
      </c>
      <c r="C176" t="str">
        <f t="shared" si="10"/>
        <v>Roiphet1A5-G10-0068</v>
      </c>
      <c r="D176">
        <f>VLOOKUP(C176,'RAW DATA 2023'!E:BP,63,0)</f>
        <v>5</v>
      </c>
      <c r="E176" t="str">
        <f t="shared" si="11"/>
        <v>Roiphet15</v>
      </c>
      <c r="F176" s="8">
        <f>VLOOKUP(C176,'RAW DATA 2023'!E:BO,23,0)</f>
        <v>29.724640437766105</v>
      </c>
      <c r="G176" s="14">
        <f t="shared" si="12"/>
        <v>45.275359562233895</v>
      </c>
      <c r="H176" s="25">
        <f t="shared" si="13"/>
        <v>9.0550719124467793</v>
      </c>
      <c r="I176" s="80" t="str">
        <f>VLOOKUP(C176,'RAW DATA 2023'!E:BO,36,0)</f>
        <v>Normal</v>
      </c>
      <c r="J176">
        <f>VLOOKUP(C176,'RAW DATA 2023'!E:BO,21,0)</f>
        <v>6.8346999999999998</v>
      </c>
      <c r="K176" s="268">
        <f t="shared" si="14"/>
        <v>61.8887</v>
      </c>
    </row>
    <row r="177" spans="1:11">
      <c r="A177" t="str">
        <f>'RAW DATA 2023'!B170</f>
        <v>Roiphet1</v>
      </c>
      <c r="B177" t="str">
        <f>'RAW DATA 2023'!D170</f>
        <v>A3-G05-0075</v>
      </c>
      <c r="C177" t="str">
        <f t="shared" si="10"/>
        <v>Roiphet1A3-G05-0075</v>
      </c>
      <c r="D177">
        <f>VLOOKUP(C177,'RAW DATA 2023'!E:BP,63,0)</f>
        <v>1</v>
      </c>
      <c r="E177" t="str">
        <f t="shared" si="11"/>
        <v>Roiphet11</v>
      </c>
      <c r="F177" s="8">
        <f>VLOOKUP(C177,'RAW DATA 2023'!E:BO,23,0)</f>
        <v>43.166190004639667</v>
      </c>
      <c r="G177" s="14">
        <f t="shared" si="12"/>
        <v>31.833809995360333</v>
      </c>
      <c r="H177" s="25">
        <f t="shared" si="13"/>
        <v>6.3667619990720672</v>
      </c>
      <c r="I177" s="80" t="str">
        <f>VLOOKUP(C177,'RAW DATA 2023'!E:BO,36,0)</f>
        <v>Normal</v>
      </c>
      <c r="J177">
        <f>VLOOKUP(C177,'RAW DATA 2023'!E:BO,21,0)</f>
        <v>5.7762799999999999</v>
      </c>
      <c r="K177" s="268">
        <f t="shared" si="14"/>
        <v>36.776200000000003</v>
      </c>
    </row>
    <row r="178" spans="1:11">
      <c r="A178" t="str">
        <f>'RAW DATA 2023'!B171</f>
        <v>Roiphet1</v>
      </c>
      <c r="B178" t="str">
        <f>'RAW DATA 2023'!D171</f>
        <v>A4-G08-0069</v>
      </c>
      <c r="C178" t="str">
        <f t="shared" si="10"/>
        <v>Roiphet1A4-G08-0069</v>
      </c>
      <c r="D178">
        <f>VLOOKUP(C178,'RAW DATA 2023'!E:BP,63,0)</f>
        <v>6</v>
      </c>
      <c r="E178" t="str">
        <f t="shared" si="11"/>
        <v>Roiphet16</v>
      </c>
      <c r="F178" s="8">
        <f>VLOOKUP(C178,'RAW DATA 2023'!E:BO,23,0)</f>
        <v>31.553973073737986</v>
      </c>
      <c r="G178" s="14">
        <f t="shared" si="12"/>
        <v>43.446026926262014</v>
      </c>
      <c r="H178" s="25">
        <f t="shared" si="13"/>
        <v>8.6892053852524036</v>
      </c>
      <c r="I178" s="80" t="str">
        <f>VLOOKUP(C178,'RAW DATA 2023'!E:BO,36,0)</f>
        <v>Normal</v>
      </c>
      <c r="J178">
        <f>VLOOKUP(C178,'RAW DATA 2023'!E:BO,21,0)</f>
        <v>5.7237799999999996</v>
      </c>
      <c r="K178" s="268">
        <f t="shared" si="14"/>
        <v>49.735100000000003</v>
      </c>
    </row>
    <row r="179" spans="1:11">
      <c r="A179" t="str">
        <f>'RAW DATA 2023'!B172</f>
        <v>Roiphet1</v>
      </c>
      <c r="B179" t="str">
        <f>'RAW DATA 2023'!D172</f>
        <v>A5-G09-0083</v>
      </c>
      <c r="C179" t="str">
        <f t="shared" si="10"/>
        <v>Roiphet1A5-G09-0083</v>
      </c>
      <c r="D179">
        <f>VLOOKUP(C179,'RAW DATA 2023'!E:BP,63,0)</f>
        <v>6</v>
      </c>
      <c r="E179" t="str">
        <f t="shared" si="11"/>
        <v>Roiphet16</v>
      </c>
      <c r="F179" s="8">
        <f>VLOOKUP(C179,'RAW DATA 2023'!E:BO,23,0)</f>
        <v>29.580741731093415</v>
      </c>
      <c r="G179" s="14">
        <f t="shared" si="12"/>
        <v>45.419258268906589</v>
      </c>
      <c r="H179" s="25">
        <f t="shared" si="13"/>
        <v>9.0838516537813181</v>
      </c>
      <c r="I179" s="80" t="str">
        <f>VLOOKUP(C179,'RAW DATA 2023'!E:BO,36,0)</f>
        <v>Normal</v>
      </c>
      <c r="J179">
        <f>VLOOKUP(C179,'RAW DATA 2023'!E:BO,21,0)</f>
        <v>6.8811999999999998</v>
      </c>
      <c r="K179" s="268">
        <f t="shared" si="14"/>
        <v>62.507800000000003</v>
      </c>
    </row>
    <row r="180" spans="1:11">
      <c r="A180" t="str">
        <f>'RAW DATA 2023'!B173</f>
        <v>Roiphet1</v>
      </c>
      <c r="B180" t="str">
        <f>'RAW DATA 2023'!D173</f>
        <v>A4-I08-0099</v>
      </c>
      <c r="C180" t="str">
        <f t="shared" si="10"/>
        <v>Roiphet1A4-I08-0099</v>
      </c>
      <c r="D180">
        <f>VLOOKUP(C180,'RAW DATA 2023'!E:BP,63,0)</f>
        <v>6</v>
      </c>
      <c r="E180" t="str">
        <f t="shared" si="11"/>
        <v>Roiphet16</v>
      </c>
      <c r="F180" s="8">
        <f>VLOOKUP(C180,'RAW DATA 2023'!E:BO,23,0)</f>
        <v>35.877782536117252</v>
      </c>
      <c r="G180" s="14">
        <f t="shared" si="12"/>
        <v>39.122217463882748</v>
      </c>
      <c r="H180" s="25">
        <f t="shared" si="13"/>
        <v>7.8244434927765498</v>
      </c>
      <c r="I180" s="80" t="str">
        <f>VLOOKUP(C180,'RAW DATA 2023'!E:BO,36,0)</f>
        <v>Normal</v>
      </c>
      <c r="J180">
        <f>VLOOKUP(C180,'RAW DATA 2023'!E:BO,21,0)</f>
        <v>3.4325700000000001</v>
      </c>
      <c r="K180" s="268">
        <f t="shared" si="14"/>
        <v>26.857950000000002</v>
      </c>
    </row>
    <row r="181" spans="1:11">
      <c r="A181" t="str">
        <f>'RAW DATA 2023'!B174</f>
        <v>Roiphet1</v>
      </c>
      <c r="B181" t="str">
        <f>'RAW DATA 2023'!D174</f>
        <v>A3-G06-0081</v>
      </c>
      <c r="C181" t="str">
        <f t="shared" si="10"/>
        <v>Roiphet1A3-G06-0081</v>
      </c>
      <c r="D181">
        <f>VLOOKUP(C181,'RAW DATA 2023'!E:BP,63,0)</f>
        <v>6</v>
      </c>
      <c r="E181" t="str">
        <f t="shared" si="11"/>
        <v>Roiphet16</v>
      </c>
      <c r="F181" s="8">
        <f>VLOOKUP(C181,'RAW DATA 2023'!E:BO,23,0)</f>
        <v>30.887613316459621</v>
      </c>
      <c r="G181" s="14">
        <f t="shared" si="12"/>
        <v>44.112386683540379</v>
      </c>
      <c r="H181" s="25">
        <f t="shared" si="13"/>
        <v>8.8224773367080758</v>
      </c>
      <c r="I181" s="80" t="str">
        <f>VLOOKUP(C181,'RAW DATA 2023'!E:BO,36,0)</f>
        <v>Normal</v>
      </c>
      <c r="J181">
        <f>VLOOKUP(C181,'RAW DATA 2023'!E:BO,21,0)</f>
        <v>6.1950399999999997</v>
      </c>
      <c r="K181" s="268">
        <f t="shared" si="14"/>
        <v>54.655599999999993</v>
      </c>
    </row>
    <row r="182" spans="1:11">
      <c r="A182" t="str">
        <f>'RAW DATA 2023'!B175</f>
        <v>Roiphet1</v>
      </c>
      <c r="B182" t="str">
        <f>'RAW DATA 2023'!D175</f>
        <v>D6-I12-0086</v>
      </c>
      <c r="C182" t="str">
        <f t="shared" si="10"/>
        <v>Roiphet1D6-I12-0086</v>
      </c>
      <c r="D182">
        <f>VLOOKUP(C182,'RAW DATA 2023'!E:BP,63,0)</f>
        <v>11</v>
      </c>
      <c r="E182" t="str">
        <f t="shared" si="11"/>
        <v>Roiphet111</v>
      </c>
      <c r="F182" s="8">
        <f>VLOOKUP(C182,'RAW DATA 2023'!E:BO,23,0)</f>
        <v>36.559505746887538</v>
      </c>
      <c r="G182" s="14">
        <f t="shared" si="12"/>
        <v>38.440494253112462</v>
      </c>
      <c r="H182" s="25">
        <f t="shared" si="13"/>
        <v>7.6880988506224925</v>
      </c>
      <c r="I182" s="80" t="str">
        <f>VLOOKUP(C182,'RAW DATA 2023'!E:BO,36,0)</f>
        <v>Normal</v>
      </c>
      <c r="J182">
        <f>VLOOKUP(C182,'RAW DATA 2023'!E:BO,21,0)</f>
        <v>3.84904</v>
      </c>
      <c r="K182" s="268">
        <f t="shared" si="14"/>
        <v>29.591799999999999</v>
      </c>
    </row>
    <row r="183" spans="1:11">
      <c r="A183" t="str">
        <f>'RAW DATA 2023'!B176</f>
        <v>Roiphet1</v>
      </c>
      <c r="B183" t="str">
        <f>'RAW DATA 2023'!D176</f>
        <v>D6-I11-0084</v>
      </c>
      <c r="C183" t="str">
        <f t="shared" si="10"/>
        <v>Roiphet1D6-I11-0084</v>
      </c>
      <c r="D183">
        <f>VLOOKUP(C183,'RAW DATA 2023'!E:BP,63,0)</f>
        <v>11</v>
      </c>
      <c r="E183" t="str">
        <f t="shared" si="11"/>
        <v>Roiphet111</v>
      </c>
      <c r="F183" s="8">
        <f>VLOOKUP(C183,'RAW DATA 2023'!E:BO,23,0)</f>
        <v>36.549342449506405</v>
      </c>
      <c r="G183" s="14">
        <f t="shared" si="12"/>
        <v>38.450657550493595</v>
      </c>
      <c r="H183" s="25">
        <f t="shared" si="13"/>
        <v>7.6901315100987198</v>
      </c>
      <c r="I183" s="80" t="str">
        <f>VLOOKUP(C183,'RAW DATA 2023'!E:BO,36,0)</f>
        <v>Normal</v>
      </c>
      <c r="J183">
        <f>VLOOKUP(C183,'RAW DATA 2023'!E:BO,21,0)</f>
        <v>2.8666999999999998</v>
      </c>
      <c r="K183" s="268">
        <f t="shared" si="14"/>
        <v>22.045299999999997</v>
      </c>
    </row>
    <row r="184" spans="1:11">
      <c r="A184" t="str">
        <f>'RAW DATA 2023'!B177</f>
        <v>Roiphet1</v>
      </c>
      <c r="B184" t="str">
        <f>'RAW DATA 2023'!D177</f>
        <v>D6-G11-0077</v>
      </c>
      <c r="C184" t="str">
        <f t="shared" si="10"/>
        <v>Roiphet1D6-G11-0077</v>
      </c>
      <c r="D184">
        <f>VLOOKUP(C184,'RAW DATA 2023'!E:BP,63,0)</f>
        <v>11</v>
      </c>
      <c r="E184" t="str">
        <f t="shared" si="11"/>
        <v>Roiphet111</v>
      </c>
      <c r="F184" s="8">
        <f>VLOOKUP(C184,'RAW DATA 2023'!E:BO,23,0)</f>
        <v>41.762355876439159</v>
      </c>
      <c r="G184" s="14">
        <f t="shared" si="12"/>
        <v>33.237644123560841</v>
      </c>
      <c r="H184" s="25">
        <f t="shared" si="13"/>
        <v>6.6475288247121682</v>
      </c>
      <c r="I184" s="80" t="str">
        <f>VLOOKUP(C184,'RAW DATA 2023'!E:BO,36,0)</f>
        <v>Normal</v>
      </c>
      <c r="J184">
        <f>VLOOKUP(C184,'RAW DATA 2023'!E:BO,21,0)</f>
        <v>7.2064899999999996</v>
      </c>
      <c r="K184" s="268">
        <f t="shared" si="14"/>
        <v>47.905349999999991</v>
      </c>
    </row>
    <row r="185" spans="1:11">
      <c r="A185" t="str">
        <f>'RAW DATA 2023'!B178</f>
        <v>Roiphet1</v>
      </c>
      <c r="B185" t="str">
        <f>'RAW DATA 2023'!D178</f>
        <v>D6-G12-0080</v>
      </c>
      <c r="C185" t="str">
        <f t="shared" si="10"/>
        <v>Roiphet1D6-G12-0080</v>
      </c>
      <c r="D185">
        <f>VLOOKUP(C185,'RAW DATA 2023'!E:BP,63,0)</f>
        <v>11</v>
      </c>
      <c r="E185" t="str">
        <f t="shared" si="11"/>
        <v>Roiphet111</v>
      </c>
      <c r="F185" s="8">
        <f>VLOOKUP(C185,'RAW DATA 2023'!E:BO,23,0)</f>
        <v>45.955025207404802</v>
      </c>
      <c r="G185" s="14">
        <f t="shared" si="12"/>
        <v>29.044974792595198</v>
      </c>
      <c r="H185" s="25">
        <f t="shared" si="13"/>
        <v>5.8089949585190404</v>
      </c>
      <c r="I185" s="80" t="str">
        <f>VLOOKUP(C185,'RAW DATA 2023'!E:BO,36,0)</f>
        <v>Normal</v>
      </c>
      <c r="J185">
        <f>VLOOKUP(C185,'RAW DATA 2023'!E:BO,21,0)</f>
        <v>6.0220399999999996</v>
      </c>
      <c r="K185" s="268">
        <f t="shared" si="14"/>
        <v>34.981999999999999</v>
      </c>
    </row>
    <row r="186" spans="1:11">
      <c r="A186" t="str">
        <f>'RAW DATA 2023'!B179</f>
        <v>Roiphet1</v>
      </c>
      <c r="B186" t="str">
        <f>'RAW DATA 2023'!D179</f>
        <v>D4-G08-0060</v>
      </c>
      <c r="C186" t="str">
        <f t="shared" si="10"/>
        <v>Roiphet1D4-G08-0060</v>
      </c>
      <c r="D186">
        <f>VLOOKUP(C186,'RAW DATA 2023'!E:BP,63,0)</f>
        <v>11</v>
      </c>
      <c r="E186" t="str">
        <f t="shared" si="11"/>
        <v>Roiphet111</v>
      </c>
      <c r="F186" s="8">
        <f>VLOOKUP(C186,'RAW DATA 2023'!E:BO,23,0)</f>
        <v>35.841575091575095</v>
      </c>
      <c r="G186" s="14">
        <f t="shared" si="12"/>
        <v>39.158424908424905</v>
      </c>
      <c r="H186" s="25">
        <f t="shared" si="13"/>
        <v>7.8316849816849814</v>
      </c>
      <c r="I186" s="80" t="str">
        <f>VLOOKUP(C186,'RAW DATA 2023'!E:BO,36,0)</f>
        <v>Normal</v>
      </c>
      <c r="J186">
        <f>VLOOKUP(C186,'RAW DATA 2023'!E:BO,21,0)</f>
        <v>8.7360000000000007</v>
      </c>
      <c r="K186" s="268">
        <f t="shared" si="14"/>
        <v>68.417600000000007</v>
      </c>
    </row>
    <row r="187" spans="1:11">
      <c r="A187" t="str">
        <f>'RAW DATA 2023'!B180</f>
        <v>Roiphet1</v>
      </c>
      <c r="B187" t="str">
        <f>'RAW DATA 2023'!D180</f>
        <v>D1-I02-0090</v>
      </c>
      <c r="C187" t="str">
        <f t="shared" si="10"/>
        <v>Roiphet1D1-I02-0090</v>
      </c>
      <c r="D187">
        <f>VLOOKUP(C187,'RAW DATA 2023'!E:BP,63,0)</f>
        <v>12</v>
      </c>
      <c r="E187" t="str">
        <f t="shared" si="11"/>
        <v>Roiphet112</v>
      </c>
      <c r="F187" s="8">
        <f>VLOOKUP(C187,'RAW DATA 2023'!E:BO,23,0)</f>
        <v>50.648802408203039</v>
      </c>
      <c r="G187" s="14">
        <f t="shared" si="12"/>
        <v>24.351197591796961</v>
      </c>
      <c r="H187" s="25">
        <f t="shared" si="13"/>
        <v>4.8702395183593925</v>
      </c>
      <c r="I187" s="80" t="str">
        <f>VLOOKUP(C187,'RAW DATA 2023'!E:BO,36,0)</f>
        <v>Normal</v>
      </c>
      <c r="J187">
        <f>VLOOKUP(C187,'RAW DATA 2023'!E:BO,21,0)</f>
        <v>2.5346700000000002</v>
      </c>
      <c r="K187" s="268">
        <f t="shared" si="14"/>
        <v>12.344450000000002</v>
      </c>
    </row>
    <row r="188" spans="1:11">
      <c r="A188" t="str">
        <f>'RAW DATA 2023'!B181</f>
        <v>Roiphet1</v>
      </c>
      <c r="B188" t="str">
        <f>'RAW DATA 2023'!D181</f>
        <v>D1-I01-0092</v>
      </c>
      <c r="C188" t="str">
        <f t="shared" si="10"/>
        <v>Roiphet1D1-I01-0092</v>
      </c>
      <c r="D188">
        <f>VLOOKUP(C188,'RAW DATA 2023'!E:BP,63,0)</f>
        <v>12</v>
      </c>
      <c r="E188" t="str">
        <f t="shared" si="11"/>
        <v>Roiphet112</v>
      </c>
      <c r="F188" s="8">
        <f>VLOOKUP(C188,'RAW DATA 2023'!E:BO,23,0)</f>
        <v>52.253224210453162</v>
      </c>
      <c r="G188" s="14">
        <f t="shared" si="12"/>
        <v>22.746775789546838</v>
      </c>
      <c r="H188" s="25">
        <f t="shared" si="13"/>
        <v>4.5493551579093676</v>
      </c>
      <c r="I188" s="80" t="str">
        <f>VLOOKUP(C188,'RAW DATA 2023'!E:BO,36,0)</f>
        <v>Normal</v>
      </c>
      <c r="J188">
        <f>VLOOKUP(C188,'RAW DATA 2023'!E:BO,21,0)</f>
        <v>3.0216699999999999</v>
      </c>
      <c r="K188" s="268">
        <f t="shared" si="14"/>
        <v>13.746649999999999</v>
      </c>
    </row>
    <row r="189" spans="1:11">
      <c r="A189" t="str">
        <f>'RAW DATA 2023'!B182</f>
        <v>Roiphet1</v>
      </c>
      <c r="B189" t="str">
        <f>'RAW DATA 2023'!D182</f>
        <v>D1-G02-0080</v>
      </c>
      <c r="C189" t="str">
        <f t="shared" si="10"/>
        <v>Roiphet1D1-G02-0080</v>
      </c>
      <c r="D189">
        <f>VLOOKUP(C189,'RAW DATA 2023'!E:BP,63,0)</f>
        <v>12</v>
      </c>
      <c r="E189" t="str">
        <f t="shared" si="11"/>
        <v>Roiphet112</v>
      </c>
      <c r="F189" s="8">
        <f>VLOOKUP(C189,'RAW DATA 2023'!E:BO,23,0)</f>
        <v>50.976033800044107</v>
      </c>
      <c r="G189" s="14">
        <f t="shared" si="12"/>
        <v>24.023966199955893</v>
      </c>
      <c r="H189" s="25">
        <f t="shared" si="13"/>
        <v>4.804793239991179</v>
      </c>
      <c r="I189" s="80" t="str">
        <f>VLOOKUP(C189,'RAW DATA 2023'!E:BO,36,0)</f>
        <v>Normal</v>
      </c>
      <c r="J189">
        <f>VLOOKUP(C189,'RAW DATA 2023'!E:BO,21,0)</f>
        <v>6.2579799999999999</v>
      </c>
      <c r="K189" s="268">
        <f t="shared" si="14"/>
        <v>30.068299999999997</v>
      </c>
    </row>
    <row r="190" spans="1:11">
      <c r="A190" t="str">
        <f>'RAW DATA 2023'!B183</f>
        <v>Roiphet1</v>
      </c>
      <c r="B190" t="str">
        <f>'RAW DATA 2023'!D183</f>
        <v>D1-G01-0078</v>
      </c>
      <c r="C190" t="str">
        <f t="shared" si="10"/>
        <v>Roiphet1D1-G01-0078</v>
      </c>
      <c r="D190">
        <f>VLOOKUP(C190,'RAW DATA 2023'!E:BP,63,0)</f>
        <v>12</v>
      </c>
      <c r="E190" t="str">
        <f t="shared" si="11"/>
        <v>Roiphet112</v>
      </c>
      <c r="F190" s="8">
        <f>VLOOKUP(C190,'RAW DATA 2023'!E:BO,23,0)</f>
        <v>51.779617129966908</v>
      </c>
      <c r="G190" s="14">
        <f t="shared" si="12"/>
        <v>23.220382870033092</v>
      </c>
      <c r="H190" s="25">
        <f t="shared" si="13"/>
        <v>4.6440765740066183</v>
      </c>
      <c r="I190" s="80" t="str">
        <f>VLOOKUP(C190,'RAW DATA 2023'!E:BO,36,0)</f>
        <v>Normal</v>
      </c>
      <c r="J190">
        <f>VLOOKUP(C190,'RAW DATA 2023'!E:BO,21,0)</f>
        <v>6.8357399999999995</v>
      </c>
      <c r="K190" s="268">
        <f t="shared" si="14"/>
        <v>31.745699999999999</v>
      </c>
    </row>
    <row r="191" spans="1:11">
      <c r="A191" t="str">
        <f>'RAW DATA 2023'!B184</f>
        <v>Roiphet1</v>
      </c>
      <c r="B191" t="str">
        <f>'RAW DATA 2023'!D184</f>
        <v>D4-G07-0063</v>
      </c>
      <c r="C191" t="str">
        <f t="shared" si="10"/>
        <v>Roiphet1D4-G07-0063</v>
      </c>
      <c r="D191">
        <f>VLOOKUP(C191,'RAW DATA 2023'!E:BP,63,0)</f>
        <v>11</v>
      </c>
      <c r="E191" t="str">
        <f t="shared" si="11"/>
        <v>Roiphet111</v>
      </c>
      <c r="F191" s="8">
        <f>VLOOKUP(C191,'RAW DATA 2023'!E:BO,23,0)</f>
        <v>42.720835488877391</v>
      </c>
      <c r="G191" s="14">
        <f t="shared" si="12"/>
        <v>32.279164511122609</v>
      </c>
      <c r="H191" s="25">
        <f t="shared" si="13"/>
        <v>6.4558329022245218</v>
      </c>
      <c r="I191" s="80" t="str">
        <f>VLOOKUP(C191,'RAW DATA 2023'!E:BO,36,0)</f>
        <v>Normal</v>
      </c>
      <c r="J191">
        <f>VLOOKUP(C191,'RAW DATA 2023'!E:BO,21,0)</f>
        <v>9.2783999999999995</v>
      </c>
      <c r="K191" s="268">
        <f t="shared" si="14"/>
        <v>59.899799999999999</v>
      </c>
    </row>
    <row r="192" spans="1:11">
      <c r="A192" t="str">
        <f>'RAW DATA 2023'!B185</f>
        <v>Roiphet1</v>
      </c>
      <c r="B192" t="str">
        <f>'RAW DATA 2023'!D185</f>
        <v>B4-G08-0079</v>
      </c>
      <c r="C192" t="str">
        <f t="shared" si="10"/>
        <v>Roiphet1B4-G08-0079</v>
      </c>
      <c r="D192">
        <f>VLOOKUP(C192,'RAW DATA 2023'!E:BP,63,0)</f>
        <v>2</v>
      </c>
      <c r="E192" t="str">
        <f t="shared" si="11"/>
        <v>Roiphet12</v>
      </c>
      <c r="F192" s="8">
        <f>VLOOKUP(C192,'RAW DATA 2023'!E:BO,23,0)</f>
        <v>36.540068593361575</v>
      </c>
      <c r="G192" s="14">
        <f t="shared" si="12"/>
        <v>38.459931406638425</v>
      </c>
      <c r="H192" s="25">
        <f t="shared" si="13"/>
        <v>7.6919862813276856</v>
      </c>
      <c r="I192" s="80" t="str">
        <f>VLOOKUP(C192,'RAW DATA 2023'!E:BO,36,0)</f>
        <v>Normal</v>
      </c>
      <c r="J192">
        <f>VLOOKUP(C192,'RAW DATA 2023'!E:BO,21,0)</f>
        <v>7.5867399999999998</v>
      </c>
      <c r="K192" s="268">
        <f t="shared" si="14"/>
        <v>58.357100000000003</v>
      </c>
    </row>
    <row r="193" spans="1:11">
      <c r="A193" t="str">
        <f>'RAW DATA 2023'!B186</f>
        <v>Roiphet1</v>
      </c>
      <c r="B193" t="str">
        <f>'RAW DATA 2023'!D186</f>
        <v>B2-I04-0097</v>
      </c>
      <c r="C193" t="str">
        <f t="shared" si="10"/>
        <v>Roiphet1B2-I04-0097</v>
      </c>
      <c r="D193">
        <f>VLOOKUP(C193,'RAW DATA 2023'!E:BP,63,0)</f>
        <v>2</v>
      </c>
      <c r="E193" t="str">
        <f t="shared" si="11"/>
        <v>Roiphet12</v>
      </c>
      <c r="F193" s="8">
        <f>VLOOKUP(C193,'RAW DATA 2023'!E:BO,23,0)</f>
        <v>29.380240786036076</v>
      </c>
      <c r="G193" s="14">
        <f t="shared" si="12"/>
        <v>45.619759213963924</v>
      </c>
      <c r="H193" s="25">
        <f t="shared" si="13"/>
        <v>9.1239518427927848</v>
      </c>
      <c r="I193" s="80" t="str">
        <f>VLOOKUP(C193,'RAW DATA 2023'!E:BO,36,0)</f>
        <v>Normal</v>
      </c>
      <c r="J193">
        <f>VLOOKUP(C193,'RAW DATA 2023'!E:BO,21,0)</f>
        <v>3.3606599999999998</v>
      </c>
      <c r="K193" s="268">
        <f t="shared" si="14"/>
        <v>30.662499999999998</v>
      </c>
    </row>
    <row r="194" spans="1:11">
      <c r="A194" t="str">
        <f>'RAW DATA 2023'!B187</f>
        <v>Roiphet1</v>
      </c>
      <c r="B194" t="str">
        <f>'RAW DATA 2023'!D187</f>
        <v>B6-G12-0086</v>
      </c>
      <c r="C194" t="str">
        <f t="shared" si="10"/>
        <v>Roiphet1B6-G12-0086</v>
      </c>
      <c r="D194">
        <f>VLOOKUP(C194,'RAW DATA 2023'!E:BP,63,0)</f>
        <v>1</v>
      </c>
      <c r="E194" t="str">
        <f t="shared" si="11"/>
        <v>Roiphet11</v>
      </c>
      <c r="F194" s="8">
        <f>VLOOKUP(C194,'RAW DATA 2023'!E:BO,23,0)</f>
        <v>35.767621624112707</v>
      </c>
      <c r="G194" s="14">
        <f t="shared" si="12"/>
        <v>39.232378375887293</v>
      </c>
      <c r="H194" s="25">
        <f t="shared" si="13"/>
        <v>7.8464756751774587</v>
      </c>
      <c r="I194" s="80" t="str">
        <f>VLOOKUP(C194,'RAW DATA 2023'!E:BO,36,0)</f>
        <v>Normal</v>
      </c>
      <c r="J194">
        <f>VLOOKUP(C194,'RAW DATA 2023'!E:BO,21,0)</f>
        <v>8.0286299999999997</v>
      </c>
      <c r="K194" s="268">
        <f t="shared" si="14"/>
        <v>62.996449999999996</v>
      </c>
    </row>
    <row r="195" spans="1:11">
      <c r="A195" t="str">
        <f>'RAW DATA 2023'!B188</f>
        <v>Roiphet1</v>
      </c>
      <c r="B195" t="str">
        <f>'RAW DATA 2023'!D188</f>
        <v>B2-G03-0079</v>
      </c>
      <c r="C195" t="str">
        <f t="shared" si="10"/>
        <v>Roiphet1B2-G03-0079</v>
      </c>
      <c r="D195">
        <f>VLOOKUP(C195,'RAW DATA 2023'!E:BP,63,0)</f>
        <v>2</v>
      </c>
      <c r="E195" t="str">
        <f t="shared" si="11"/>
        <v>Roiphet12</v>
      </c>
      <c r="F195" s="8">
        <f>VLOOKUP(C195,'RAW DATA 2023'!E:BO,23,0)</f>
        <v>32.706760115931118</v>
      </c>
      <c r="G195" s="14">
        <f t="shared" si="12"/>
        <v>42.293239884068882</v>
      </c>
      <c r="H195" s="25">
        <f t="shared" si="13"/>
        <v>8.4586479768137774</v>
      </c>
      <c r="I195" s="80" t="str">
        <f>VLOOKUP(C195,'RAW DATA 2023'!E:BO,36,0)</f>
        <v>Normal</v>
      </c>
      <c r="J195">
        <f>VLOOKUP(C195,'RAW DATA 2023'!E:BO,21,0)</f>
        <v>5.5274200000000002</v>
      </c>
      <c r="K195" s="268">
        <f t="shared" si="14"/>
        <v>46.754500000000014</v>
      </c>
    </row>
    <row r="196" spans="1:11">
      <c r="A196" t="str">
        <f>'RAW DATA 2023'!B189</f>
        <v>Roiphet1</v>
      </c>
      <c r="B196" t="str">
        <f>'RAW DATA 2023'!D189</f>
        <v>B2-I03-0094</v>
      </c>
      <c r="C196" t="str">
        <f t="shared" si="10"/>
        <v>Roiphet1B2-I03-0094</v>
      </c>
      <c r="D196">
        <f>VLOOKUP(C196,'RAW DATA 2023'!E:BP,63,0)</f>
        <v>2</v>
      </c>
      <c r="E196" t="str">
        <f t="shared" si="11"/>
        <v>Roiphet12</v>
      </c>
      <c r="F196" s="8">
        <f>VLOOKUP(C196,'RAW DATA 2023'!E:BO,23,0)</f>
        <v>32.796798389339223</v>
      </c>
      <c r="G196" s="14">
        <f t="shared" si="12"/>
        <v>42.203201610660777</v>
      </c>
      <c r="H196" s="25">
        <f t="shared" si="13"/>
        <v>8.4406403221321558</v>
      </c>
      <c r="I196" s="80" t="str">
        <f>VLOOKUP(C196,'RAW DATA 2023'!E:BO,36,0)</f>
        <v>Normal</v>
      </c>
      <c r="J196">
        <f>VLOOKUP(C196,'RAW DATA 2023'!E:BO,21,0)</f>
        <v>2.8410700000000002</v>
      </c>
      <c r="K196" s="268">
        <f t="shared" si="14"/>
        <v>23.980450000000005</v>
      </c>
    </row>
    <row r="197" spans="1:11">
      <c r="A197" t="str">
        <f>'RAW DATA 2023'!B190</f>
        <v>Roiphet1</v>
      </c>
      <c r="B197" t="str">
        <f>'RAW DATA 2023'!D190</f>
        <v>B2-G04-0091</v>
      </c>
      <c r="C197" t="str">
        <f t="shared" si="10"/>
        <v>Roiphet1B2-G04-0091</v>
      </c>
      <c r="D197">
        <f>VLOOKUP(C197,'RAW DATA 2023'!E:BP,63,0)</f>
        <v>2</v>
      </c>
      <c r="E197" t="str">
        <f t="shared" si="11"/>
        <v>Roiphet12</v>
      </c>
      <c r="F197" s="8">
        <f>VLOOKUP(C197,'RAW DATA 2023'!E:BO,23,0)</f>
        <v>33.908622181539933</v>
      </c>
      <c r="G197" s="14">
        <f t="shared" si="12"/>
        <v>41.091377818460067</v>
      </c>
      <c r="H197" s="25">
        <f t="shared" si="13"/>
        <v>8.2182755636920142</v>
      </c>
      <c r="I197" s="80" t="str">
        <f>VLOOKUP(C197,'RAW DATA 2023'!E:BO,36,0)</f>
        <v>Normal</v>
      </c>
      <c r="J197">
        <f>VLOOKUP(C197,'RAW DATA 2023'!E:BO,21,0)</f>
        <v>6.9918500000000003</v>
      </c>
      <c r="K197" s="268">
        <f t="shared" si="14"/>
        <v>57.460950000000011</v>
      </c>
    </row>
    <row r="198" spans="1:11">
      <c r="A198" t="str">
        <f>'RAW DATA 2023'!B191</f>
        <v>Roiphet1</v>
      </c>
      <c r="B198" t="str">
        <f>'RAW DATA 2023'!D191</f>
        <v>B1-G02-0087</v>
      </c>
      <c r="C198" t="str">
        <f t="shared" si="10"/>
        <v>Roiphet1B1-G02-0087</v>
      </c>
      <c r="D198">
        <f>VLOOKUP(C198,'RAW DATA 2023'!E:BP,63,0)</f>
        <v>2</v>
      </c>
      <c r="E198" t="str">
        <f t="shared" si="11"/>
        <v>Roiphet12</v>
      </c>
      <c r="F198" s="8">
        <f>VLOOKUP(C198,'RAW DATA 2023'!E:BO,23,0)</f>
        <v>41.3967860487152</v>
      </c>
      <c r="G198" s="14">
        <f t="shared" si="12"/>
        <v>33.6032139512848</v>
      </c>
      <c r="H198" s="25">
        <f t="shared" si="13"/>
        <v>6.7206427902569601</v>
      </c>
      <c r="I198" s="80" t="str">
        <f>VLOOKUP(C198,'RAW DATA 2023'!E:BO,36,0)</f>
        <v>Normal</v>
      </c>
      <c r="J198">
        <f>VLOOKUP(C198,'RAW DATA 2023'!E:BO,21,0)</f>
        <v>8.08413</v>
      </c>
      <c r="K198" s="268">
        <f t="shared" si="14"/>
        <v>54.330550000000002</v>
      </c>
    </row>
    <row r="199" spans="1:11">
      <c r="A199" t="str">
        <f>'RAW DATA 2023'!B192</f>
        <v>Roiphet1</v>
      </c>
      <c r="B199" t="str">
        <f>'RAW DATA 2023'!D192</f>
        <v>B1-I02-0094</v>
      </c>
      <c r="C199" t="str">
        <f t="shared" si="10"/>
        <v>Roiphet1B1-I02-0094</v>
      </c>
      <c r="D199">
        <f>VLOOKUP(C199,'RAW DATA 2023'!E:BP,63,0)</f>
        <v>2</v>
      </c>
      <c r="E199" t="str">
        <f t="shared" si="11"/>
        <v>Roiphet12</v>
      </c>
      <c r="F199" s="8">
        <f>VLOOKUP(C199,'RAW DATA 2023'!E:BO,23,0)</f>
        <v>37.206666395344108</v>
      </c>
      <c r="G199" s="14">
        <f t="shared" si="12"/>
        <v>37.793333604655892</v>
      </c>
      <c r="H199" s="25">
        <f t="shared" si="13"/>
        <v>7.5586667209311784</v>
      </c>
      <c r="I199" s="80" t="str">
        <f>VLOOKUP(C199,'RAW DATA 2023'!E:BO,36,0)</f>
        <v>Normal</v>
      </c>
      <c r="J199">
        <f>VLOOKUP(C199,'RAW DATA 2023'!E:BO,21,0)</f>
        <v>4.9142000000000001</v>
      </c>
      <c r="K199" s="268">
        <f t="shared" si="14"/>
        <v>37.144799999999996</v>
      </c>
    </row>
    <row r="200" spans="1:11">
      <c r="A200" t="str">
        <f>'RAW DATA 2023'!B193</f>
        <v>Roiphet1</v>
      </c>
      <c r="B200" t="str">
        <f>'RAW DATA 2023'!D193</f>
        <v>B1-G01-0083</v>
      </c>
      <c r="C200" t="str">
        <f t="shared" si="10"/>
        <v>Roiphet1B1-G01-0083</v>
      </c>
      <c r="D200">
        <f>VLOOKUP(C200,'RAW DATA 2023'!E:BP,63,0)</f>
        <v>2</v>
      </c>
      <c r="E200" t="str">
        <f t="shared" si="11"/>
        <v>Roiphet12</v>
      </c>
      <c r="F200" s="8">
        <f>VLOOKUP(C200,'RAW DATA 2023'!E:BO,23,0)</f>
        <v>46.58816272301658</v>
      </c>
      <c r="G200" s="14">
        <f t="shared" si="12"/>
        <v>28.41183727698342</v>
      </c>
      <c r="H200" s="25">
        <f t="shared" si="13"/>
        <v>5.6823674553966841</v>
      </c>
      <c r="I200" s="80" t="str">
        <f>VLOOKUP(C200,'RAW DATA 2023'!E:BO,36,0)</f>
        <v>Normal</v>
      </c>
      <c r="J200">
        <f>VLOOKUP(C200,'RAW DATA 2023'!E:BO,21,0)</f>
        <v>6.3224</v>
      </c>
      <c r="K200" s="268">
        <f t="shared" si="14"/>
        <v>35.926199999999994</v>
      </c>
    </row>
    <row r="201" spans="1:11">
      <c r="A201" t="str">
        <f>'RAW DATA 2023'!B194</f>
        <v>Roiphet1</v>
      </c>
      <c r="B201" t="str">
        <f>'RAW DATA 2023'!D194</f>
        <v>B1-I01-0094</v>
      </c>
      <c r="C201" t="str">
        <f t="shared" si="10"/>
        <v>Roiphet1B1-I01-0094</v>
      </c>
      <c r="D201">
        <f>VLOOKUP(C201,'RAW DATA 2023'!E:BP,63,0)</f>
        <v>2</v>
      </c>
      <c r="E201" t="str">
        <f t="shared" si="11"/>
        <v>Roiphet12</v>
      </c>
      <c r="F201" s="8">
        <f>VLOOKUP(C201,'RAW DATA 2023'!E:BO,23,0)</f>
        <v>44.982114187533448</v>
      </c>
      <c r="G201" s="14">
        <f t="shared" si="12"/>
        <v>30.017885812466552</v>
      </c>
      <c r="H201" s="25">
        <f t="shared" si="13"/>
        <v>6.0035771624933112</v>
      </c>
      <c r="I201" s="80" t="str">
        <f>VLOOKUP(C201,'RAW DATA 2023'!E:BO,36,0)</f>
        <v>Normal</v>
      </c>
      <c r="J201">
        <f>VLOOKUP(C201,'RAW DATA 2023'!E:BO,21,0)</f>
        <v>3.5503</v>
      </c>
      <c r="K201" s="268">
        <f t="shared" si="14"/>
        <v>21.314500000000002</v>
      </c>
    </row>
    <row r="202" spans="1:11">
      <c r="A202" t="str">
        <f>'RAW DATA 2023'!B195</f>
        <v>Roiphet1</v>
      </c>
      <c r="B202" t="str">
        <f>'RAW DATA 2023'!D195</f>
        <v>B6-G11-0081</v>
      </c>
      <c r="C202" t="str">
        <f t="shared" ref="C202:C265" si="15">A202&amp;B202</f>
        <v>Roiphet1B6-G11-0081</v>
      </c>
      <c r="D202">
        <f>VLOOKUP(C202,'RAW DATA 2023'!E:BP,63,0)</f>
        <v>1</v>
      </c>
      <c r="E202" t="str">
        <f t="shared" ref="E202:E265" si="16">A202&amp;D202</f>
        <v>Roiphet11</v>
      </c>
      <c r="F202" s="8">
        <f>VLOOKUP(C202,'RAW DATA 2023'!E:BO,23,0)</f>
        <v>42.345806899065927</v>
      </c>
      <c r="G202" s="14">
        <f t="shared" si="12"/>
        <v>32.654193100934073</v>
      </c>
      <c r="H202" s="25">
        <f t="shared" si="13"/>
        <v>6.5308386201868149</v>
      </c>
      <c r="I202" s="80" t="str">
        <f>VLOOKUP(C202,'RAW DATA 2023'!E:BO,36,0)</f>
        <v>Normal</v>
      </c>
      <c r="J202">
        <f>VLOOKUP(C202,'RAW DATA 2023'!E:BO,21,0)</f>
        <v>6.7478699999999998</v>
      </c>
      <c r="K202" s="268">
        <f t="shared" si="14"/>
        <v>44.069250000000004</v>
      </c>
    </row>
    <row r="203" spans="1:11">
      <c r="A203" t="str">
        <f>'RAW DATA 2023'!B196</f>
        <v>Roiphet1</v>
      </c>
      <c r="B203" t="str">
        <f>'RAW DATA 2023'!D196</f>
        <v>B6-I12-0085</v>
      </c>
      <c r="C203" t="str">
        <f t="shared" si="15"/>
        <v>Roiphet1B6-I12-0085</v>
      </c>
      <c r="D203">
        <f>VLOOKUP(C203,'RAW DATA 2023'!E:BP,63,0)</f>
        <v>1</v>
      </c>
      <c r="E203" t="str">
        <f t="shared" si="16"/>
        <v>Roiphet11</v>
      </c>
      <c r="F203" s="8">
        <f>VLOOKUP(C203,'RAW DATA 2023'!E:BO,23,0)</f>
        <v>39.697957946495727</v>
      </c>
      <c r="G203" s="14">
        <f t="shared" ref="G203:G266" si="17">IF(F203=0,0,$B$2-F203)</f>
        <v>35.302042053504273</v>
      </c>
      <c r="H203" s="25">
        <f t="shared" ref="H203:H266" si="18">G203*$B$6</f>
        <v>7.0604084107008553</v>
      </c>
      <c r="I203" s="80" t="str">
        <f>VLOOKUP(C203,'RAW DATA 2023'!E:BO,36,0)</f>
        <v>Normal</v>
      </c>
      <c r="J203">
        <f>VLOOKUP(C203,'RAW DATA 2023'!E:BO,21,0)</f>
        <v>3.5630799999999998</v>
      </c>
      <c r="K203" s="268">
        <f t="shared" ref="K203:K266" si="19">H203*J203</f>
        <v>25.1568</v>
      </c>
    </row>
    <row r="204" spans="1:11">
      <c r="A204" t="str">
        <f>'RAW DATA 2023'!B197</f>
        <v>Roiphet1</v>
      </c>
      <c r="B204" t="str">
        <f>'RAW DATA 2023'!D197</f>
        <v>B6-I11-0082</v>
      </c>
      <c r="C204" t="str">
        <f t="shared" si="15"/>
        <v>Roiphet1B6-I11-0082</v>
      </c>
      <c r="D204">
        <f>VLOOKUP(C204,'RAW DATA 2023'!E:BP,63,0)</f>
        <v>1</v>
      </c>
      <c r="E204" t="str">
        <f t="shared" si="16"/>
        <v>Roiphet11</v>
      </c>
      <c r="F204" s="8">
        <f>VLOOKUP(C204,'RAW DATA 2023'!E:BO,23,0)</f>
        <v>45.276146057797327</v>
      </c>
      <c r="G204" s="14">
        <f t="shared" si="17"/>
        <v>29.723853942202673</v>
      </c>
      <c r="H204" s="25">
        <f t="shared" si="18"/>
        <v>5.9447707884405352</v>
      </c>
      <c r="I204" s="80" t="str">
        <f>VLOOKUP(C204,'RAW DATA 2023'!E:BO,36,0)</f>
        <v>Normal</v>
      </c>
      <c r="J204">
        <f>VLOOKUP(C204,'RAW DATA 2023'!E:BO,21,0)</f>
        <v>3.3876999999999997</v>
      </c>
      <c r="K204" s="268">
        <f t="shared" si="19"/>
        <v>20.139099999999999</v>
      </c>
    </row>
    <row r="205" spans="1:11">
      <c r="A205" t="str">
        <f>'RAW DATA 2023'!B198</f>
        <v>Roiphet1</v>
      </c>
      <c r="B205" t="str">
        <f>'RAW DATA 2023'!D198</f>
        <v>C2-I03-0060</v>
      </c>
      <c r="C205" t="str">
        <f t="shared" si="15"/>
        <v>Roiphet1C2-I03-0060</v>
      </c>
      <c r="D205">
        <f>VLOOKUP(C205,'RAW DATA 2023'!E:BP,63,0)</f>
        <v>10</v>
      </c>
      <c r="E205" t="str">
        <f t="shared" si="16"/>
        <v>Roiphet110</v>
      </c>
      <c r="F205" s="8">
        <f>VLOOKUP(C205,'RAW DATA 2023'!E:BO,23,0)</f>
        <v>41.727172283166283</v>
      </c>
      <c r="G205" s="14">
        <f t="shared" si="17"/>
        <v>33.272827716833717</v>
      </c>
      <c r="H205" s="25">
        <f t="shared" si="18"/>
        <v>6.6545655433667434</v>
      </c>
      <c r="I205" s="80" t="str">
        <f>VLOOKUP(C205,'RAW DATA 2023'!E:BO,36,0)</f>
        <v>อัตรารอดต่ำ</v>
      </c>
      <c r="J205">
        <f>VLOOKUP(C205,'RAW DATA 2023'!E:BO,21,0)</f>
        <v>3.5478800000000001</v>
      </c>
      <c r="K205" s="268">
        <f t="shared" si="19"/>
        <v>23.609600000000004</v>
      </c>
    </row>
    <row r="206" spans="1:11">
      <c r="A206" t="str">
        <f>'RAW DATA 2023'!B199</f>
        <v>Roiphet1</v>
      </c>
      <c r="B206" t="str">
        <f>'RAW DATA 2023'!D199</f>
        <v>C6-I12-0062</v>
      </c>
      <c r="C206" t="str">
        <f t="shared" si="15"/>
        <v>Roiphet1C6-I12-0062</v>
      </c>
      <c r="D206">
        <f>VLOOKUP(C206,'RAW DATA 2023'!E:BP,63,0)</f>
        <v>7</v>
      </c>
      <c r="E206" t="str">
        <f t="shared" si="16"/>
        <v>Roiphet17</v>
      </c>
      <c r="F206" s="8">
        <f>VLOOKUP(C206,'RAW DATA 2023'!E:BO,23,0)</f>
        <v>27.487123814002587</v>
      </c>
      <c r="G206" s="14">
        <f t="shared" si="17"/>
        <v>47.512876185997413</v>
      </c>
      <c r="H206" s="25">
        <f t="shared" si="18"/>
        <v>9.5025752371994834</v>
      </c>
      <c r="I206" s="80" t="str">
        <f>VLOOKUP(C206,'RAW DATA 2023'!E:BO,36,0)</f>
        <v>ทยอยตาย</v>
      </c>
      <c r="J206">
        <f>VLOOKUP(C206,'RAW DATA 2023'!E:BO,21,0)</f>
        <v>3.99769</v>
      </c>
      <c r="K206" s="268">
        <f t="shared" si="19"/>
        <v>37.988350000000004</v>
      </c>
    </row>
    <row r="207" spans="1:11">
      <c r="A207" t="str">
        <f>'RAW DATA 2023'!B200</f>
        <v>Roiphet1</v>
      </c>
      <c r="B207" t="str">
        <f>'RAW DATA 2023'!D200</f>
        <v>C6-G11-0059</v>
      </c>
      <c r="C207" t="str">
        <f t="shared" si="15"/>
        <v>Roiphet1C6-G11-0059</v>
      </c>
      <c r="D207">
        <f>VLOOKUP(C207,'RAW DATA 2023'!E:BP,63,0)</f>
        <v>7</v>
      </c>
      <c r="E207" t="str">
        <f t="shared" si="16"/>
        <v>Roiphet17</v>
      </c>
      <c r="F207" s="8">
        <f>VLOOKUP(C207,'RAW DATA 2023'!E:BO,23,0)</f>
        <v>30.167253937873241</v>
      </c>
      <c r="G207" s="14">
        <f t="shared" si="17"/>
        <v>44.832746062126759</v>
      </c>
      <c r="H207" s="25">
        <f t="shared" si="18"/>
        <v>8.9665492124253525</v>
      </c>
      <c r="I207" s="80" t="str">
        <f>VLOOKUP(C207,'RAW DATA 2023'!E:BO,36,0)</f>
        <v>ทยอยตาย</v>
      </c>
      <c r="J207">
        <f>VLOOKUP(C207,'RAW DATA 2023'!E:BO,21,0)</f>
        <v>8.8715400000000013</v>
      </c>
      <c r="K207" s="268">
        <f t="shared" si="19"/>
        <v>79.547100000000029</v>
      </c>
    </row>
    <row r="208" spans="1:11">
      <c r="A208" t="str">
        <f>'RAW DATA 2023'!B201</f>
        <v>Roiphet1</v>
      </c>
      <c r="B208" t="str">
        <f>'RAW DATA 2023'!D201</f>
        <v>C6-I11-0065</v>
      </c>
      <c r="C208" t="str">
        <f t="shared" si="15"/>
        <v>Roiphet1C6-I11-0065</v>
      </c>
      <c r="D208">
        <f>VLOOKUP(C208,'RAW DATA 2023'!E:BP,63,0)</f>
        <v>7</v>
      </c>
      <c r="E208" t="str">
        <f t="shared" si="16"/>
        <v>Roiphet17</v>
      </c>
      <c r="F208" s="8">
        <f>VLOOKUP(C208,'RAW DATA 2023'!E:BO,23,0)</f>
        <v>29.616887520099063</v>
      </c>
      <c r="G208" s="14">
        <f t="shared" si="17"/>
        <v>45.383112479900937</v>
      </c>
      <c r="H208" s="25">
        <f t="shared" si="18"/>
        <v>9.0766224959801871</v>
      </c>
      <c r="I208" s="80" t="str">
        <f>VLOOKUP(C208,'RAW DATA 2023'!E:BO,36,0)</f>
        <v>ทยอยตาย</v>
      </c>
      <c r="J208">
        <f>VLOOKUP(C208,'RAW DATA 2023'!E:BO,21,0)</f>
        <v>4.4094100000000003</v>
      </c>
      <c r="K208" s="268">
        <f t="shared" si="19"/>
        <v>40.022550000000003</v>
      </c>
    </row>
    <row r="209" spans="1:11">
      <c r="A209" t="str">
        <f>'RAW DATA 2023'!B202</f>
        <v>Roiphet1</v>
      </c>
      <c r="B209" t="str">
        <f>'RAW DATA 2023'!D202</f>
        <v>C4-G08-0061</v>
      </c>
      <c r="C209" t="str">
        <f t="shared" si="15"/>
        <v>Roiphet1C4-G08-0061</v>
      </c>
      <c r="D209">
        <f>VLOOKUP(C209,'RAW DATA 2023'!E:BP,63,0)</f>
        <v>6</v>
      </c>
      <c r="E209" t="str">
        <f t="shared" si="16"/>
        <v>Roiphet16</v>
      </c>
      <c r="F209" s="8">
        <f>VLOOKUP(C209,'RAW DATA 2023'!E:BO,23,0)</f>
        <v>24.851391618396153</v>
      </c>
      <c r="G209" s="14">
        <f t="shared" si="17"/>
        <v>50.14860838160385</v>
      </c>
      <c r="H209" s="25">
        <f t="shared" si="18"/>
        <v>10.02972167632077</v>
      </c>
      <c r="I209" s="80" t="str">
        <f>VLOOKUP(C209,'RAW DATA 2023'!E:BO,36,0)</f>
        <v>Normal</v>
      </c>
      <c r="J209">
        <f>VLOOKUP(C209,'RAW DATA 2023'!E:BO,21,0)</f>
        <v>6.5844199999999997</v>
      </c>
      <c r="K209" s="268">
        <f t="shared" si="19"/>
        <v>66.039900000000003</v>
      </c>
    </row>
    <row r="210" spans="1:11">
      <c r="A210" t="str">
        <f>'RAW DATA 2023'!B203</f>
        <v>Roiphet1</v>
      </c>
      <c r="B210" t="str">
        <f>'RAW DATA 2023'!D203</f>
        <v>C4-I08-0064</v>
      </c>
      <c r="C210" t="str">
        <f t="shared" si="15"/>
        <v>Roiphet1C4-I08-0064</v>
      </c>
      <c r="D210">
        <f>VLOOKUP(C210,'RAW DATA 2023'!E:BP,63,0)</f>
        <v>6</v>
      </c>
      <c r="E210" t="str">
        <f t="shared" si="16"/>
        <v>Roiphet16</v>
      </c>
      <c r="F210" s="8">
        <f>VLOOKUP(C210,'RAW DATA 2023'!E:BO,23,0)</f>
        <v>24.122493242477702</v>
      </c>
      <c r="G210" s="14">
        <f t="shared" si="17"/>
        <v>50.877506757522298</v>
      </c>
      <c r="H210" s="25">
        <f t="shared" si="18"/>
        <v>10.17550135150446</v>
      </c>
      <c r="I210" s="80" t="str">
        <f>VLOOKUP(C210,'RAW DATA 2023'!E:BO,36,0)</f>
        <v>Normal</v>
      </c>
      <c r="J210">
        <f>VLOOKUP(C210,'RAW DATA 2023'!E:BO,21,0)</f>
        <v>3.0891500000000001</v>
      </c>
      <c r="K210" s="268">
        <f t="shared" si="19"/>
        <v>31.433650000000004</v>
      </c>
    </row>
    <row r="211" spans="1:11">
      <c r="A211" t="str">
        <f>'RAW DATA 2023'!B204</f>
        <v>Roiphet1</v>
      </c>
      <c r="B211" t="str">
        <f>'RAW DATA 2023'!D204</f>
        <v>C4-I07-0060</v>
      </c>
      <c r="C211" t="str">
        <f t="shared" si="15"/>
        <v>Roiphet1C4-I07-0060</v>
      </c>
      <c r="D211">
        <f>VLOOKUP(C211,'RAW DATA 2023'!E:BP,63,0)</f>
        <v>6</v>
      </c>
      <c r="E211" t="str">
        <f t="shared" si="16"/>
        <v>Roiphet16</v>
      </c>
      <c r="F211" s="8">
        <f>VLOOKUP(C211,'RAW DATA 2023'!E:BO,23,0)</f>
        <v>24.531186076234391</v>
      </c>
      <c r="G211" s="14">
        <f t="shared" si="17"/>
        <v>50.468813923765609</v>
      </c>
      <c r="H211" s="25">
        <f t="shared" si="18"/>
        <v>10.093762784753123</v>
      </c>
      <c r="I211" s="80" t="str">
        <f>VLOOKUP(C211,'RAW DATA 2023'!E:BO,36,0)</f>
        <v>Normal</v>
      </c>
      <c r="J211">
        <f>VLOOKUP(C211,'RAW DATA 2023'!E:BO,21,0)</f>
        <v>3.1531700000000003</v>
      </c>
      <c r="K211" s="268">
        <f t="shared" si="19"/>
        <v>31.827350000000006</v>
      </c>
    </row>
    <row r="212" spans="1:11">
      <c r="A212" t="str">
        <f>'RAW DATA 2023'!B205</f>
        <v>Roiphet1</v>
      </c>
      <c r="B212" t="str">
        <f>'RAW DATA 2023'!D205</f>
        <v>C4-G07-0057</v>
      </c>
      <c r="C212" t="str">
        <f t="shared" si="15"/>
        <v>Roiphet1C4-G07-0057</v>
      </c>
      <c r="D212">
        <f>VLOOKUP(C212,'RAW DATA 2023'!E:BP,63,0)</f>
        <v>6</v>
      </c>
      <c r="E212" t="str">
        <f t="shared" si="16"/>
        <v>Roiphet16</v>
      </c>
      <c r="F212" s="8">
        <f>VLOOKUP(C212,'RAW DATA 2023'!E:BO,23,0)</f>
        <v>25.732048642388367</v>
      </c>
      <c r="G212" s="14">
        <f t="shared" si="17"/>
        <v>49.267951357611636</v>
      </c>
      <c r="H212" s="25">
        <f t="shared" si="18"/>
        <v>9.8535902715223287</v>
      </c>
      <c r="I212" s="80" t="str">
        <f>VLOOKUP(C212,'RAW DATA 2023'!E:BO,36,0)</f>
        <v>Normal</v>
      </c>
      <c r="J212">
        <f>VLOOKUP(C212,'RAW DATA 2023'!E:BO,21,0)</f>
        <v>6.2168000000000001</v>
      </c>
      <c r="K212" s="268">
        <f t="shared" si="19"/>
        <v>61.257800000000017</v>
      </c>
    </row>
    <row r="213" spans="1:11">
      <c r="A213" t="str">
        <f>'RAW DATA 2023'!B206</f>
        <v>Roiphet1</v>
      </c>
      <c r="B213" t="str">
        <f>'RAW DATA 2023'!D206</f>
        <v>D5-G09-0069</v>
      </c>
      <c r="C213" t="str">
        <f t="shared" si="15"/>
        <v>Roiphet1D5-G09-0069</v>
      </c>
      <c r="D213">
        <f>VLOOKUP(C213,'RAW DATA 2023'!E:BP,63,0)</f>
        <v>10</v>
      </c>
      <c r="E213" t="str">
        <f t="shared" si="16"/>
        <v>Roiphet110</v>
      </c>
      <c r="F213" s="8">
        <f>VLOOKUP(C213,'RAW DATA 2023'!E:BO,23,0)</f>
        <v>33.893684788257069</v>
      </c>
      <c r="G213" s="14">
        <f t="shared" si="17"/>
        <v>41.106315211742931</v>
      </c>
      <c r="H213" s="25">
        <f t="shared" si="18"/>
        <v>8.2212630423485873</v>
      </c>
      <c r="I213" s="80" t="str">
        <f>VLOOKUP(C213,'RAW DATA 2023'!E:BO,36,0)</f>
        <v>Normal</v>
      </c>
      <c r="J213">
        <f>VLOOKUP(C213,'RAW DATA 2023'!E:BO,21,0)</f>
        <v>13.70152</v>
      </c>
      <c r="K213" s="268">
        <f t="shared" si="19"/>
        <v>112.64380000000001</v>
      </c>
    </row>
    <row r="214" spans="1:11">
      <c r="A214" t="str">
        <f>'RAW DATA 2023'!B207</f>
        <v>Roiphet1</v>
      </c>
      <c r="B214" t="str">
        <f>'RAW DATA 2023'!D207</f>
        <v>C2-G03-0067</v>
      </c>
      <c r="C214" t="str">
        <f t="shared" si="15"/>
        <v>Roiphet1C2-G03-0067</v>
      </c>
      <c r="D214">
        <f>VLOOKUP(C214,'RAW DATA 2023'!E:BP,63,0)</f>
        <v>10</v>
      </c>
      <c r="E214" t="str">
        <f t="shared" si="16"/>
        <v>Roiphet110</v>
      </c>
      <c r="F214" s="8">
        <f>VLOOKUP(C214,'RAW DATA 2023'!E:BO,23,0)</f>
        <v>52.101819998646839</v>
      </c>
      <c r="G214" s="14">
        <f t="shared" si="17"/>
        <v>22.898180001353161</v>
      </c>
      <c r="H214" s="25">
        <f t="shared" si="18"/>
        <v>4.5796360002706322</v>
      </c>
      <c r="I214" s="80" t="str">
        <f>VLOOKUP(C214,'RAW DATA 2023'!E:BO,36,0)</f>
        <v>อัตรารอดต่ำ</v>
      </c>
      <c r="J214">
        <f>VLOOKUP(C214,'RAW DATA 2023'!E:BO,21,0)</f>
        <v>5.7642899999999999</v>
      </c>
      <c r="K214" s="268">
        <f t="shared" si="19"/>
        <v>26.398350000000001</v>
      </c>
    </row>
    <row r="215" spans="1:11">
      <c r="A215" t="str">
        <f>'RAW DATA 2023'!B208</f>
        <v>Roiphet1</v>
      </c>
      <c r="B215" t="str">
        <f>'RAW DATA 2023'!D208</f>
        <v>C2-G04-0065</v>
      </c>
      <c r="C215" t="str">
        <f t="shared" si="15"/>
        <v>Roiphet1C2-G04-0065</v>
      </c>
      <c r="D215">
        <f>VLOOKUP(C215,'RAW DATA 2023'!E:BP,63,0)</f>
        <v>10</v>
      </c>
      <c r="E215" t="str">
        <f t="shared" si="16"/>
        <v>Roiphet110</v>
      </c>
      <c r="F215" s="8">
        <f>VLOOKUP(C215,'RAW DATA 2023'!E:BO,23,0)</f>
        <v>55.083112857892033</v>
      </c>
      <c r="G215" s="14">
        <f t="shared" si="17"/>
        <v>19.916887142107967</v>
      </c>
      <c r="H215" s="25">
        <f t="shared" si="18"/>
        <v>3.9833774284215937</v>
      </c>
      <c r="I215" s="80" t="str">
        <f>VLOOKUP(C215,'RAW DATA 2023'!E:BO,36,0)</f>
        <v>อัตรารอดต่ำ</v>
      </c>
      <c r="J215">
        <f>VLOOKUP(C215,'RAW DATA 2023'!E:BO,21,0)</f>
        <v>5.0912700000000006</v>
      </c>
      <c r="K215" s="268">
        <f t="shared" si="19"/>
        <v>20.280450000000009</v>
      </c>
    </row>
    <row r="216" spans="1:11">
      <c r="A216" t="str">
        <f>'RAW DATA 2023'!B209</f>
        <v>Roiphet1</v>
      </c>
      <c r="B216" t="str">
        <f>'RAW DATA 2023'!D209</f>
        <v>C2-I04-0068</v>
      </c>
      <c r="C216" t="str">
        <f t="shared" si="15"/>
        <v>Roiphet1C2-I04-0068</v>
      </c>
      <c r="D216">
        <f>VLOOKUP(C216,'RAW DATA 2023'!E:BP,63,0)</f>
        <v>10</v>
      </c>
      <c r="E216" t="str">
        <f t="shared" si="16"/>
        <v>Roiphet110</v>
      </c>
      <c r="F216" s="8">
        <f>VLOOKUP(C216,'RAW DATA 2023'!E:BO,23,0)</f>
        <v>50.41500620200047</v>
      </c>
      <c r="G216" s="14">
        <f t="shared" si="17"/>
        <v>24.58499379799953</v>
      </c>
      <c r="H216" s="25">
        <f t="shared" si="18"/>
        <v>4.9169987595999061</v>
      </c>
      <c r="I216" s="80" t="str">
        <f>VLOOKUP(C216,'RAW DATA 2023'!E:BO,36,0)</f>
        <v>อัตรารอดต่ำ</v>
      </c>
      <c r="J216">
        <f>VLOOKUP(C216,'RAW DATA 2023'!E:BO,21,0)</f>
        <v>3.0312800000000002</v>
      </c>
      <c r="K216" s="268">
        <f t="shared" si="19"/>
        <v>14.904800000000003</v>
      </c>
    </row>
    <row r="217" spans="1:11">
      <c r="A217" t="str">
        <f>'RAW DATA 2023'!B210</f>
        <v>Roiphet1</v>
      </c>
      <c r="B217" t="str">
        <f>'RAW DATA 2023'!D210</f>
        <v>D2-I03-0086</v>
      </c>
      <c r="C217" t="str">
        <f t="shared" si="15"/>
        <v>Roiphet1D2-I03-0086</v>
      </c>
      <c r="D217">
        <f>VLOOKUP(C217,'RAW DATA 2023'!E:BP,63,0)</f>
        <v>9</v>
      </c>
      <c r="E217" t="str">
        <f t="shared" si="16"/>
        <v>Roiphet19</v>
      </c>
      <c r="F217" s="8">
        <f>VLOOKUP(C217,'RAW DATA 2023'!E:BO,23,0)</f>
        <v>35.489224237075305</v>
      </c>
      <c r="G217" s="14">
        <f t="shared" si="17"/>
        <v>39.510775762924695</v>
      </c>
      <c r="H217" s="25">
        <f t="shared" si="18"/>
        <v>7.9021551525849389</v>
      </c>
      <c r="I217" s="80" t="str">
        <f>VLOOKUP(C217,'RAW DATA 2023'!E:BO,36,0)</f>
        <v>Normal</v>
      </c>
      <c r="J217">
        <f>VLOOKUP(C217,'RAW DATA 2023'!E:BO,21,0)</f>
        <v>5.8691899999999997</v>
      </c>
      <c r="K217" s="268">
        <f t="shared" si="19"/>
        <v>46.379249999999992</v>
      </c>
    </row>
    <row r="218" spans="1:11">
      <c r="A218" t="str">
        <f>'RAW DATA 2023'!B211</f>
        <v>Roiphet1</v>
      </c>
      <c r="B218" t="str">
        <f>'RAW DATA 2023'!D211</f>
        <v>D2-G03-0081</v>
      </c>
      <c r="C218" t="str">
        <f t="shared" si="15"/>
        <v>Roiphet1D2-G03-0081</v>
      </c>
      <c r="D218">
        <f>VLOOKUP(C218,'RAW DATA 2023'!E:BP,63,0)</f>
        <v>9</v>
      </c>
      <c r="E218" t="str">
        <f t="shared" si="16"/>
        <v>Roiphet19</v>
      </c>
      <c r="F218" s="8">
        <f>VLOOKUP(C218,'RAW DATA 2023'!E:BO,23,0)</f>
        <v>33.962400051795022</v>
      </c>
      <c r="G218" s="14">
        <f t="shared" si="17"/>
        <v>41.037599948204978</v>
      </c>
      <c r="H218" s="25">
        <f t="shared" si="18"/>
        <v>8.2075199896409963</v>
      </c>
      <c r="I218" s="80" t="str">
        <f>VLOOKUP(C218,'RAW DATA 2023'!E:BO,36,0)</f>
        <v>Normal</v>
      </c>
      <c r="J218">
        <f>VLOOKUP(C218,'RAW DATA 2023'!E:BO,21,0)</f>
        <v>12.356399999999999</v>
      </c>
      <c r="K218" s="268">
        <f t="shared" si="19"/>
        <v>101.41539999999999</v>
      </c>
    </row>
    <row r="219" spans="1:11">
      <c r="A219" t="str">
        <f>'RAW DATA 2023'!B212</f>
        <v>Roiphet1</v>
      </c>
      <c r="B219" t="str">
        <f>'RAW DATA 2023'!D212</f>
        <v>C5-I09-0065</v>
      </c>
      <c r="C219" t="str">
        <f t="shared" si="15"/>
        <v>Roiphet1C5-I09-0065</v>
      </c>
      <c r="D219">
        <f>VLOOKUP(C219,'RAW DATA 2023'!E:BP,63,0)</f>
        <v>10</v>
      </c>
      <c r="E219" t="str">
        <f t="shared" si="16"/>
        <v>Roiphet110</v>
      </c>
      <c r="F219" s="8">
        <f>VLOOKUP(C219,'RAW DATA 2023'!E:BO,23,0)</f>
        <v>34.180459060418777</v>
      </c>
      <c r="G219" s="14">
        <f t="shared" si="17"/>
        <v>40.819540939581223</v>
      </c>
      <c r="H219" s="25">
        <f t="shared" si="18"/>
        <v>8.1639081879162454</v>
      </c>
      <c r="I219" s="80" t="str">
        <f>VLOOKUP(C219,'RAW DATA 2023'!E:BO,36,0)</f>
        <v>Normal</v>
      </c>
      <c r="J219">
        <f>VLOOKUP(C219,'RAW DATA 2023'!E:BO,21,0)</f>
        <v>3.3363800000000001</v>
      </c>
      <c r="K219" s="268">
        <f t="shared" si="19"/>
        <v>27.237900000000003</v>
      </c>
    </row>
    <row r="220" spans="1:11">
      <c r="A220" t="str">
        <f>'RAW DATA 2023'!B213</f>
        <v>Roiphet1</v>
      </c>
      <c r="B220" t="str">
        <f>'RAW DATA 2023'!D213</f>
        <v>C6-G12-0060</v>
      </c>
      <c r="C220" t="str">
        <f t="shared" si="15"/>
        <v>Roiphet1C6-G12-0060</v>
      </c>
      <c r="D220">
        <f>VLOOKUP(C220,'RAW DATA 2023'!E:BP,63,0)</f>
        <v>6</v>
      </c>
      <c r="E220" t="str">
        <f t="shared" si="16"/>
        <v>Roiphet16</v>
      </c>
      <c r="F220" s="8">
        <f>VLOOKUP(C220,'RAW DATA 2023'!E:BO,23,0)</f>
        <v>35.086664861924831</v>
      </c>
      <c r="G220" s="14">
        <f t="shared" si="17"/>
        <v>39.913335138075169</v>
      </c>
      <c r="H220" s="25">
        <f t="shared" si="18"/>
        <v>7.982667027615034</v>
      </c>
      <c r="I220" s="80" t="str">
        <f>VLOOKUP(C220,'RAW DATA 2023'!E:BO,36,0)</f>
        <v>ทยอยตาย</v>
      </c>
      <c r="J220">
        <f>VLOOKUP(C220,'RAW DATA 2023'!E:BO,21,0)</f>
        <v>8.052859999999999</v>
      </c>
      <c r="K220" s="268">
        <f t="shared" si="19"/>
        <v>64.283299999999997</v>
      </c>
    </row>
    <row r="221" spans="1:11">
      <c r="A221" t="str">
        <f>'RAW DATA 2023'!B214</f>
        <v>Roiphet1</v>
      </c>
      <c r="B221" t="str">
        <f>'RAW DATA 2023'!D214</f>
        <v>D5-G10-0070</v>
      </c>
      <c r="C221" t="str">
        <f t="shared" si="15"/>
        <v>Roiphet1D5-G10-0070</v>
      </c>
      <c r="D221">
        <f>VLOOKUP(C221,'RAW DATA 2023'!E:BP,63,0)</f>
        <v>10</v>
      </c>
      <c r="E221" t="str">
        <f t="shared" si="16"/>
        <v>Roiphet110</v>
      </c>
      <c r="F221" s="8">
        <f>VLOOKUP(C221,'RAW DATA 2023'!E:BO,23,0)</f>
        <v>35.945751354638467</v>
      </c>
      <c r="G221" s="14">
        <f t="shared" si="17"/>
        <v>39.054248645361533</v>
      </c>
      <c r="H221" s="25">
        <f t="shared" si="18"/>
        <v>7.8108497290723067</v>
      </c>
      <c r="I221" s="80" t="str">
        <f>VLOOKUP(C221,'RAW DATA 2023'!E:BO,36,0)</f>
        <v>Normal</v>
      </c>
      <c r="J221">
        <f>VLOOKUP(C221,'RAW DATA 2023'!E:BO,21,0)</f>
        <v>10.45851</v>
      </c>
      <c r="K221" s="268">
        <f t="shared" si="19"/>
        <v>81.689850000000007</v>
      </c>
    </row>
    <row r="222" spans="1:11">
      <c r="A222" t="str">
        <f>'RAW DATA 2023'!B215</f>
        <v>Roiphet1</v>
      </c>
      <c r="B222" t="str">
        <f>'RAW DATA 2023'!D215</f>
        <v>C2-I04-0066</v>
      </c>
      <c r="C222" t="str">
        <f t="shared" si="15"/>
        <v>Roiphet1C2-I04-0066</v>
      </c>
      <c r="D222">
        <f>VLOOKUP(C222,'RAW DATA 2023'!E:BP,63,0)</f>
        <v>3</v>
      </c>
      <c r="E222" t="str">
        <f t="shared" si="16"/>
        <v>Roiphet13</v>
      </c>
      <c r="F222" s="8">
        <f>VLOOKUP(C222,'RAW DATA 2023'!E:BO,23,0)</f>
        <v>32.985090106883668</v>
      </c>
      <c r="G222" s="14">
        <f t="shared" si="17"/>
        <v>42.014909893116332</v>
      </c>
      <c r="H222" s="25">
        <f t="shared" si="18"/>
        <v>8.4029819786232665</v>
      </c>
      <c r="I222" s="80" t="str">
        <f>VLOOKUP(C222,'RAW DATA 2023'!E:BO,36,0)</f>
        <v>Normal</v>
      </c>
      <c r="J222">
        <f>VLOOKUP(C222,'RAW DATA 2023'!E:BO,21,0)</f>
        <v>7.1348599999999998</v>
      </c>
      <c r="K222" s="268">
        <f t="shared" si="19"/>
        <v>59.954099999999997</v>
      </c>
    </row>
    <row r="223" spans="1:11">
      <c r="A223" t="str">
        <f>'RAW DATA 2023'!B216</f>
        <v>Roiphet1</v>
      </c>
      <c r="B223" t="str">
        <f>'RAW DATA 2023'!D216</f>
        <v>C5-G10-0065</v>
      </c>
      <c r="C223" t="str">
        <f t="shared" si="15"/>
        <v>Roiphet1C5-G10-0065</v>
      </c>
      <c r="D223">
        <f>VLOOKUP(C223,'RAW DATA 2023'!E:BP,63,0)</f>
        <v>10</v>
      </c>
      <c r="E223" t="str">
        <f t="shared" si="16"/>
        <v>Roiphet110</v>
      </c>
      <c r="F223" s="8">
        <f>VLOOKUP(C223,'RAW DATA 2023'!E:BO,23,0)</f>
        <v>43.221613612894537</v>
      </c>
      <c r="G223" s="14">
        <f t="shared" si="17"/>
        <v>31.778386387105463</v>
      </c>
      <c r="H223" s="25">
        <f t="shared" si="18"/>
        <v>6.3556772774210932</v>
      </c>
      <c r="I223" s="80" t="str">
        <f>VLOOKUP(C223,'RAW DATA 2023'!E:BO,36,0)</f>
        <v>Normal</v>
      </c>
      <c r="J223">
        <f>VLOOKUP(C223,'RAW DATA 2023'!E:BO,21,0)</f>
        <v>7.1273599999999995</v>
      </c>
      <c r="K223" s="268">
        <f t="shared" si="19"/>
        <v>45.299199999999999</v>
      </c>
    </row>
    <row r="224" spans="1:11">
      <c r="A224" t="str">
        <f>'RAW DATA 2023'!B217</f>
        <v>Roiphet1</v>
      </c>
      <c r="B224" t="str">
        <f>'RAW DATA 2023'!D217</f>
        <v>C5-G09-0058</v>
      </c>
      <c r="C224" t="str">
        <f t="shared" si="15"/>
        <v>Roiphet1C5-G09-0058</v>
      </c>
      <c r="D224">
        <f>VLOOKUP(C224,'RAW DATA 2023'!E:BP,63,0)</f>
        <v>10</v>
      </c>
      <c r="E224" t="str">
        <f t="shared" si="16"/>
        <v>Roiphet110</v>
      </c>
      <c r="F224" s="8">
        <f>VLOOKUP(C224,'RAW DATA 2023'!E:BO,23,0)</f>
        <v>35.484464879884591</v>
      </c>
      <c r="G224" s="14">
        <f t="shared" si="17"/>
        <v>39.515535120115409</v>
      </c>
      <c r="H224" s="25">
        <f t="shared" si="18"/>
        <v>7.9031070240230825</v>
      </c>
      <c r="I224" s="80" t="str">
        <f>VLOOKUP(C224,'RAW DATA 2023'!E:BO,36,0)</f>
        <v>Normal</v>
      </c>
      <c r="J224">
        <f>VLOOKUP(C224,'RAW DATA 2023'!E:BO,21,0)</f>
        <v>8.2558100000000003</v>
      </c>
      <c r="K224" s="268">
        <f t="shared" si="19"/>
        <v>65.246550000000013</v>
      </c>
    </row>
    <row r="225" spans="1:11">
      <c r="A225" t="str">
        <f>'RAW DATA 2023'!B218</f>
        <v>Roiphet1</v>
      </c>
      <c r="B225" t="str">
        <f>'RAW DATA 2023'!D218</f>
        <v>C5-I10-0066</v>
      </c>
      <c r="C225" t="str">
        <f t="shared" si="15"/>
        <v>Roiphet1C5-I10-0066</v>
      </c>
      <c r="D225">
        <f>VLOOKUP(C225,'RAW DATA 2023'!E:BP,63,0)</f>
        <v>10</v>
      </c>
      <c r="E225" t="str">
        <f t="shared" si="16"/>
        <v>Roiphet110</v>
      </c>
      <c r="F225" s="8">
        <f>VLOOKUP(C225,'RAW DATA 2023'!E:BO,23,0)</f>
        <v>33.257979512894636</v>
      </c>
      <c r="G225" s="14">
        <f t="shared" si="17"/>
        <v>41.742020487105364</v>
      </c>
      <c r="H225" s="25">
        <f t="shared" si="18"/>
        <v>8.3484040974210725</v>
      </c>
      <c r="I225" s="80" t="str">
        <f>VLOOKUP(C225,'RAW DATA 2023'!E:BO,36,0)</f>
        <v>Normal</v>
      </c>
      <c r="J225">
        <f>VLOOKUP(C225,'RAW DATA 2023'!E:BO,21,0)</f>
        <v>4.37934</v>
      </c>
      <c r="K225" s="268">
        <f t="shared" si="19"/>
        <v>36.560499999999998</v>
      </c>
    </row>
    <row r="226" spans="1:11">
      <c r="A226" t="str">
        <f>'RAW DATA 2023'!B219</f>
        <v>Roiphet1</v>
      </c>
      <c r="B226" t="str">
        <f>'RAW DATA 2023'!D219</f>
        <v>D2-G04-0080</v>
      </c>
      <c r="C226" t="str">
        <f t="shared" si="15"/>
        <v>Roiphet1D2-G04-0080</v>
      </c>
      <c r="D226">
        <f>VLOOKUP(C226,'RAW DATA 2023'!E:BP,63,0)</f>
        <v>9</v>
      </c>
      <c r="E226" t="str">
        <f t="shared" si="16"/>
        <v>Roiphet19</v>
      </c>
      <c r="F226" s="8">
        <f>VLOOKUP(C226,'RAW DATA 2023'!E:BO,23,0)</f>
        <v>34.643002843222611</v>
      </c>
      <c r="G226" s="14">
        <f t="shared" si="17"/>
        <v>40.356997156777389</v>
      </c>
      <c r="H226" s="25">
        <f t="shared" si="18"/>
        <v>8.0713994313554789</v>
      </c>
      <c r="I226" s="80" t="str">
        <f>VLOOKUP(C226,'RAW DATA 2023'!E:BO,36,0)</f>
        <v>Normal</v>
      </c>
      <c r="J226">
        <f>VLOOKUP(C226,'RAW DATA 2023'!E:BO,21,0)</f>
        <v>12.795339999999999</v>
      </c>
      <c r="K226" s="268">
        <f t="shared" si="19"/>
        <v>103.27630000000001</v>
      </c>
    </row>
    <row r="227" spans="1:11">
      <c r="A227" t="str">
        <f>'RAW DATA 2023'!B220</f>
        <v>Roiphet1</v>
      </c>
      <c r="B227" t="str">
        <f>'RAW DATA 2023'!D220</f>
        <v>C4-G08-0060</v>
      </c>
      <c r="C227" t="str">
        <f t="shared" si="15"/>
        <v>Roiphet1C4-G08-0060</v>
      </c>
      <c r="D227">
        <f>VLOOKUP(C227,'RAW DATA 2023'!E:BP,63,0)</f>
        <v>1</v>
      </c>
      <c r="E227" t="str">
        <f t="shared" si="16"/>
        <v>Roiphet11</v>
      </c>
      <c r="F227" s="8">
        <f>VLOOKUP(C227,'RAW DATA 2023'!E:BO,23,0)</f>
        <v>37.818249236300055</v>
      </c>
      <c r="G227" s="14">
        <f t="shared" si="17"/>
        <v>37.181750763699945</v>
      </c>
      <c r="H227" s="25">
        <f t="shared" si="18"/>
        <v>7.4363501527399896</v>
      </c>
      <c r="I227" s="80" t="str">
        <f>VLOOKUP(C227,'RAW DATA 2023'!E:BO,36,0)</f>
        <v>ทยอยตาย</v>
      </c>
      <c r="J227">
        <f>VLOOKUP(C227,'RAW DATA 2023'!E:BO,21,0)</f>
        <v>8.1445600000000002</v>
      </c>
      <c r="K227" s="268">
        <f t="shared" si="19"/>
        <v>60.56580000000001</v>
      </c>
    </row>
    <row r="228" spans="1:11">
      <c r="A228" t="str">
        <f>'RAW DATA 2023'!B221</f>
        <v>Roiphet1</v>
      </c>
      <c r="B228" t="str">
        <f>'RAW DATA 2023'!D221</f>
        <v>D5-I10-0075</v>
      </c>
      <c r="C228" t="str">
        <f t="shared" si="15"/>
        <v>Roiphet1D5-I10-0075</v>
      </c>
      <c r="D228">
        <f>VLOOKUP(C228,'RAW DATA 2023'!E:BP,63,0)</f>
        <v>10</v>
      </c>
      <c r="E228" t="str">
        <f t="shared" si="16"/>
        <v>Roiphet110</v>
      </c>
      <c r="F228" s="8">
        <f>VLOOKUP(C228,'RAW DATA 2023'!E:BO,23,0)</f>
        <v>36.314652795463253</v>
      </c>
      <c r="G228" s="14">
        <f t="shared" si="17"/>
        <v>38.685347204536747</v>
      </c>
      <c r="H228" s="25">
        <f t="shared" si="18"/>
        <v>7.7370694409073497</v>
      </c>
      <c r="I228" s="80" t="str">
        <f>VLOOKUP(C228,'RAW DATA 2023'!E:BO,36,0)</f>
        <v>Normal</v>
      </c>
      <c r="J228">
        <f>VLOOKUP(C228,'RAW DATA 2023'!E:BO,21,0)</f>
        <v>4.9868300000000003</v>
      </c>
      <c r="K228" s="268">
        <f t="shared" si="19"/>
        <v>38.583449999999999</v>
      </c>
    </row>
    <row r="229" spans="1:11">
      <c r="A229" t="str">
        <f>'RAW DATA 2023'!B222</f>
        <v>Roiphet1</v>
      </c>
      <c r="B229" t="str">
        <f>'RAW DATA 2023'!D222</f>
        <v>C2-I03-0058</v>
      </c>
      <c r="C229" t="str">
        <f t="shared" si="15"/>
        <v>Roiphet1C2-I03-0058</v>
      </c>
      <c r="D229">
        <f>VLOOKUP(C229,'RAW DATA 2023'!E:BP,63,0)</f>
        <v>3</v>
      </c>
      <c r="E229" t="str">
        <f t="shared" si="16"/>
        <v>Roiphet13</v>
      </c>
      <c r="F229" s="8">
        <f>VLOOKUP(C229,'RAW DATA 2023'!E:BO,23,0)</f>
        <v>33.912431930406633</v>
      </c>
      <c r="G229" s="14">
        <f t="shared" si="17"/>
        <v>41.087568069593367</v>
      </c>
      <c r="H229" s="25">
        <f t="shared" si="18"/>
        <v>8.2175136139186744</v>
      </c>
      <c r="I229" s="80" t="str">
        <f>VLOOKUP(C229,'RAW DATA 2023'!E:BO,36,0)</f>
        <v>Normal</v>
      </c>
      <c r="J229">
        <f>VLOOKUP(C229,'RAW DATA 2023'!E:BO,21,0)</f>
        <v>6.69719</v>
      </c>
      <c r="K229" s="268">
        <f t="shared" si="19"/>
        <v>55.034250000000007</v>
      </c>
    </row>
    <row r="230" spans="1:11">
      <c r="A230" t="str">
        <f>'RAW DATA 2023'!B223</f>
        <v>Roiphet1</v>
      </c>
      <c r="B230" t="str">
        <f>'RAW DATA 2023'!D223</f>
        <v>D5-I09-0083</v>
      </c>
      <c r="C230" t="str">
        <f t="shared" si="15"/>
        <v>Roiphet1D5-I09-0083</v>
      </c>
      <c r="D230">
        <f>VLOOKUP(C230,'RAW DATA 2023'!E:BP,63,0)</f>
        <v>10</v>
      </c>
      <c r="E230" t="str">
        <f t="shared" si="16"/>
        <v>Roiphet110</v>
      </c>
      <c r="F230" s="8">
        <f>VLOOKUP(C230,'RAW DATA 2023'!E:BO,23,0)</f>
        <v>38.301220852861199</v>
      </c>
      <c r="G230" s="14">
        <f t="shared" si="17"/>
        <v>36.698779147138801</v>
      </c>
      <c r="H230" s="25">
        <f t="shared" si="18"/>
        <v>7.3397558294277605</v>
      </c>
      <c r="I230" s="80" t="str">
        <f>VLOOKUP(C230,'RAW DATA 2023'!E:BO,36,0)</f>
        <v>Normal</v>
      </c>
      <c r="J230">
        <f>VLOOKUP(C230,'RAW DATA 2023'!E:BO,21,0)</f>
        <v>5.1848999999999998</v>
      </c>
      <c r="K230" s="268">
        <f t="shared" si="19"/>
        <v>38.055899999999994</v>
      </c>
    </row>
    <row r="231" spans="1:11">
      <c r="A231" t="str">
        <f>'RAW DATA 2023'!B224</f>
        <v>Roiphet1</v>
      </c>
      <c r="B231" t="str">
        <f>'RAW DATA 2023'!D224</f>
        <v>C1-G02-0073</v>
      </c>
      <c r="C231" t="str">
        <f t="shared" si="15"/>
        <v>Roiphet1C1-G02-0073</v>
      </c>
      <c r="D231">
        <f>VLOOKUP(C231,'RAW DATA 2023'!E:BP,63,0)</f>
        <v>5</v>
      </c>
      <c r="E231" t="str">
        <f t="shared" si="16"/>
        <v>Roiphet15</v>
      </c>
      <c r="F231" s="8">
        <f>VLOOKUP(C231,'RAW DATA 2023'!E:BO,23,0)</f>
        <v>32.655750461571216</v>
      </c>
      <c r="G231" s="14">
        <f t="shared" si="17"/>
        <v>42.344249538428784</v>
      </c>
      <c r="H231" s="25">
        <f t="shared" si="18"/>
        <v>8.4688499076857564</v>
      </c>
      <c r="I231" s="80" t="str">
        <f>VLOOKUP(C231,'RAW DATA 2023'!E:BO,36,0)</f>
        <v>Normal</v>
      </c>
      <c r="J231">
        <f>VLOOKUP(C231,'RAW DATA 2023'!E:BO,21,0)</f>
        <v>8.1731700000000007</v>
      </c>
      <c r="K231" s="268">
        <f t="shared" si="19"/>
        <v>69.217349999999996</v>
      </c>
    </row>
    <row r="232" spans="1:11">
      <c r="A232" t="str">
        <f>'RAW DATA 2023'!B225</f>
        <v>Roiphet1</v>
      </c>
      <c r="B232" t="str">
        <f>'RAW DATA 2023'!D225</f>
        <v>D2-I04-0092</v>
      </c>
      <c r="C232" t="str">
        <f t="shared" si="15"/>
        <v>Roiphet1D2-I04-0092</v>
      </c>
      <c r="D232">
        <f>VLOOKUP(C232,'RAW DATA 2023'!E:BP,63,0)</f>
        <v>9</v>
      </c>
      <c r="E232" t="str">
        <f t="shared" si="16"/>
        <v>Roiphet19</v>
      </c>
      <c r="F232" s="8">
        <f>VLOOKUP(C232,'RAW DATA 2023'!E:BO,23,0)</f>
        <v>29.647929758113108</v>
      </c>
      <c r="G232" s="14">
        <f t="shared" si="17"/>
        <v>45.352070241886892</v>
      </c>
      <c r="H232" s="25">
        <f t="shared" si="18"/>
        <v>9.0704140483773781</v>
      </c>
      <c r="I232" s="80" t="str">
        <f>VLOOKUP(C232,'RAW DATA 2023'!E:BO,36,0)</f>
        <v>Normal</v>
      </c>
      <c r="J232">
        <f>VLOOKUP(C232,'RAW DATA 2023'!E:BO,21,0)</f>
        <v>4.6467999999999998</v>
      </c>
      <c r="K232" s="268">
        <f t="shared" si="19"/>
        <v>42.148400000000002</v>
      </c>
    </row>
    <row r="233" spans="1:11">
      <c r="A233" t="str">
        <f>'RAW DATA 2023'!B226</f>
        <v>Roiphet1</v>
      </c>
      <c r="B233" t="str">
        <f>'RAW DATA 2023'!D226</f>
        <v>C4-G07-0056</v>
      </c>
      <c r="C233" t="str">
        <f t="shared" si="15"/>
        <v>Roiphet1C4-G07-0056</v>
      </c>
      <c r="D233">
        <f>VLOOKUP(C233,'RAW DATA 2023'!E:BP,63,0)</f>
        <v>1</v>
      </c>
      <c r="E233" t="str">
        <f t="shared" si="16"/>
        <v>Roiphet11</v>
      </c>
      <c r="F233" s="8">
        <f>VLOOKUP(C233,'RAW DATA 2023'!E:BO,23,0)</f>
        <v>38.73301059662429</v>
      </c>
      <c r="G233" s="14">
        <f t="shared" si="17"/>
        <v>36.26698940337571</v>
      </c>
      <c r="H233" s="25">
        <f t="shared" si="18"/>
        <v>7.2533978806751422</v>
      </c>
      <c r="I233" s="80" t="str">
        <f>VLOOKUP(C233,'RAW DATA 2023'!E:BO,36,0)</f>
        <v>ทยอยตาย</v>
      </c>
      <c r="J233">
        <f>VLOOKUP(C233,'RAW DATA 2023'!E:BO,21,0)</f>
        <v>7.5995900000000001</v>
      </c>
      <c r="K233" s="268">
        <f t="shared" si="19"/>
        <v>55.122850000000007</v>
      </c>
    </row>
    <row r="234" spans="1:11">
      <c r="A234" t="str">
        <f>'RAW DATA 2023'!B227</f>
        <v>Roiphet1</v>
      </c>
      <c r="B234" t="str">
        <f>'RAW DATA 2023'!D227</f>
        <v>D3-G05-0081</v>
      </c>
      <c r="C234" t="str">
        <f t="shared" si="15"/>
        <v>Roiphet1D3-G05-0081</v>
      </c>
      <c r="D234">
        <f>VLOOKUP(C234,'RAW DATA 2023'!E:BP,63,0)</f>
        <v>10</v>
      </c>
      <c r="E234" t="str">
        <f t="shared" si="16"/>
        <v>Roiphet110</v>
      </c>
      <c r="F234" s="8">
        <f>VLOOKUP(C234,'RAW DATA 2023'!E:BO,23,0)</f>
        <v>39.373365144154761</v>
      </c>
      <c r="G234" s="14">
        <f t="shared" si="17"/>
        <v>35.626634855845239</v>
      </c>
      <c r="H234" s="25">
        <f t="shared" si="18"/>
        <v>7.1253269711690486</v>
      </c>
      <c r="I234" s="80" t="str">
        <f>VLOOKUP(C234,'RAW DATA 2023'!E:BO,36,0)</f>
        <v>Normal</v>
      </c>
      <c r="J234">
        <f>VLOOKUP(C234,'RAW DATA 2023'!E:BO,21,0)</f>
        <v>8.6972500000000004</v>
      </c>
      <c r="K234" s="268">
        <f t="shared" si="19"/>
        <v>61.97075000000001</v>
      </c>
    </row>
    <row r="235" spans="1:11">
      <c r="A235" t="str">
        <f>'RAW DATA 2023'!B228</f>
        <v>Roiphet1</v>
      </c>
      <c r="B235" t="str">
        <f>'RAW DATA 2023'!D228</f>
        <v>C2-G03-0065</v>
      </c>
      <c r="C235" t="str">
        <f t="shared" si="15"/>
        <v>Roiphet1C2-G03-0065</v>
      </c>
      <c r="D235">
        <f>VLOOKUP(C235,'RAW DATA 2023'!E:BP,63,0)</f>
        <v>4</v>
      </c>
      <c r="E235" t="str">
        <f t="shared" si="16"/>
        <v>Roiphet14</v>
      </c>
      <c r="F235" s="8">
        <f>VLOOKUP(C235,'RAW DATA 2023'!E:BO,23,0)</f>
        <v>37.045278887314637</v>
      </c>
      <c r="G235" s="14">
        <f t="shared" si="17"/>
        <v>37.954721112685363</v>
      </c>
      <c r="H235" s="25">
        <f t="shared" si="18"/>
        <v>7.5909442225370727</v>
      </c>
      <c r="I235" s="80" t="str">
        <f>VLOOKUP(C235,'RAW DATA 2023'!E:BO,36,0)</f>
        <v>Normal</v>
      </c>
      <c r="J235">
        <f>VLOOKUP(C235,'RAW DATA 2023'!E:BO,21,0)</f>
        <v>11.24343</v>
      </c>
      <c r="K235" s="268">
        <f t="shared" si="19"/>
        <v>85.348249999999993</v>
      </c>
    </row>
    <row r="236" spans="1:11">
      <c r="A236" t="str">
        <f>'RAW DATA 2023'!B229</f>
        <v>Roiphet1</v>
      </c>
      <c r="B236" t="str">
        <f>'RAW DATA 2023'!D229</f>
        <v>C1-I01-0079</v>
      </c>
      <c r="C236" t="str">
        <f t="shared" si="15"/>
        <v>Roiphet1C1-I01-0079</v>
      </c>
      <c r="D236">
        <f>VLOOKUP(C236,'RAW DATA 2023'!E:BP,63,0)</f>
        <v>5</v>
      </c>
      <c r="E236" t="str">
        <f t="shared" si="16"/>
        <v>Roiphet15</v>
      </c>
      <c r="F236" s="8">
        <f>VLOOKUP(C236,'RAW DATA 2023'!E:BO,23,0)</f>
        <v>30.888521191759192</v>
      </c>
      <c r="G236" s="14">
        <f t="shared" si="17"/>
        <v>44.111478808240804</v>
      </c>
      <c r="H236" s="25">
        <f t="shared" si="18"/>
        <v>8.8222957616481619</v>
      </c>
      <c r="I236" s="80" t="str">
        <f>VLOOKUP(C236,'RAW DATA 2023'!E:BO,36,0)</f>
        <v>Normal</v>
      </c>
      <c r="J236">
        <f>VLOOKUP(C236,'RAW DATA 2023'!E:BO,21,0)</f>
        <v>4.7563300000000002</v>
      </c>
      <c r="K236" s="268">
        <f t="shared" si="19"/>
        <v>41.961750000000002</v>
      </c>
    </row>
    <row r="237" spans="1:11">
      <c r="A237" t="str">
        <f>'RAW DATA 2023'!B230</f>
        <v>Roiphet1</v>
      </c>
      <c r="B237" t="str">
        <f>'RAW DATA 2023'!D230</f>
        <v>C1-I01-0080</v>
      </c>
      <c r="C237" t="str">
        <f t="shared" si="15"/>
        <v>Roiphet1C1-I01-0080</v>
      </c>
      <c r="D237">
        <f>VLOOKUP(C237,'RAW DATA 2023'!E:BP,63,0)</f>
        <v>9</v>
      </c>
      <c r="E237" t="str">
        <f t="shared" si="16"/>
        <v>Roiphet19</v>
      </c>
      <c r="F237" s="8">
        <f>VLOOKUP(C237,'RAW DATA 2023'!E:BO,23,0)</f>
        <v>32.487947717832775</v>
      </c>
      <c r="G237" s="14">
        <f t="shared" si="17"/>
        <v>42.512052282167225</v>
      </c>
      <c r="H237" s="25">
        <f t="shared" si="18"/>
        <v>8.5024104564334451</v>
      </c>
      <c r="I237" s="80" t="str">
        <f>VLOOKUP(C237,'RAW DATA 2023'!E:BO,36,0)</f>
        <v>อัตรารอดต่ำ</v>
      </c>
      <c r="J237">
        <f>VLOOKUP(C237,'RAW DATA 2023'!E:BO,21,0)</f>
        <v>3.4765199999999998</v>
      </c>
      <c r="K237" s="268">
        <f t="shared" si="19"/>
        <v>29.558799999999998</v>
      </c>
    </row>
    <row r="238" spans="1:11">
      <c r="A238" t="str">
        <f>'RAW DATA 2023'!B231</f>
        <v>Roiphet1</v>
      </c>
      <c r="B238" t="str">
        <f>'RAW DATA 2023'!D231</f>
        <v>C1-G01-0073</v>
      </c>
      <c r="C238" t="str">
        <f t="shared" si="15"/>
        <v>Roiphet1C1-G01-0073</v>
      </c>
      <c r="D238">
        <f>VLOOKUP(C238,'RAW DATA 2023'!E:BP,63,0)</f>
        <v>9</v>
      </c>
      <c r="E238" t="str">
        <f t="shared" si="16"/>
        <v>Roiphet19</v>
      </c>
      <c r="F238" s="8">
        <f>VLOOKUP(C238,'RAW DATA 2023'!E:BO,23,0)</f>
        <v>34.854408196279323</v>
      </c>
      <c r="G238" s="14">
        <f t="shared" si="17"/>
        <v>40.145591803720677</v>
      </c>
      <c r="H238" s="25">
        <f t="shared" si="18"/>
        <v>8.0291183607441354</v>
      </c>
      <c r="I238" s="80" t="str">
        <f>VLOOKUP(C238,'RAW DATA 2023'!E:BO,36,0)</f>
        <v>อัตรารอดต่ำ</v>
      </c>
      <c r="J238">
        <f>VLOOKUP(C238,'RAW DATA 2023'!E:BO,21,0)</f>
        <v>5.7860399999999998</v>
      </c>
      <c r="K238" s="268">
        <f t="shared" si="19"/>
        <v>46.456799999999994</v>
      </c>
    </row>
    <row r="239" spans="1:11">
      <c r="A239" t="str">
        <f>'RAW DATA 2023'!B232</f>
        <v>Roiphet1</v>
      </c>
      <c r="B239" t="str">
        <f>'RAW DATA 2023'!D232</f>
        <v>C1-G01-0072</v>
      </c>
      <c r="C239" t="str">
        <f t="shared" si="15"/>
        <v>Roiphet1C1-G01-0072</v>
      </c>
      <c r="D239">
        <f>VLOOKUP(C239,'RAW DATA 2023'!E:BP,63,0)</f>
        <v>5</v>
      </c>
      <c r="E239" t="str">
        <f t="shared" si="16"/>
        <v>Roiphet15</v>
      </c>
      <c r="F239" s="8">
        <f>VLOOKUP(C239,'RAW DATA 2023'!E:BO,23,0)</f>
        <v>29.911514965175204</v>
      </c>
      <c r="G239" s="14">
        <f t="shared" si="17"/>
        <v>45.088485034824799</v>
      </c>
      <c r="H239" s="25">
        <f t="shared" si="18"/>
        <v>9.0176970069649602</v>
      </c>
      <c r="I239" s="80" t="str">
        <f>VLOOKUP(C239,'RAW DATA 2023'!E:BO,36,0)</f>
        <v>Normal</v>
      </c>
      <c r="J239">
        <f>VLOOKUP(C239,'RAW DATA 2023'!E:BO,21,0)</f>
        <v>7.2204300000000003</v>
      </c>
      <c r="K239" s="268">
        <f t="shared" si="19"/>
        <v>65.111650000000012</v>
      </c>
    </row>
    <row r="240" spans="1:11">
      <c r="A240" t="str">
        <f>'RAW DATA 2023'!B233</f>
        <v>Roiphet1</v>
      </c>
      <c r="B240" t="str">
        <f>'RAW DATA 2023'!D233</f>
        <v>C6-G12-0059</v>
      </c>
      <c r="C240" t="str">
        <f t="shared" si="15"/>
        <v>Roiphet1C6-G12-0059</v>
      </c>
      <c r="D240">
        <f>VLOOKUP(C240,'RAW DATA 2023'!E:BP,63,0)</f>
        <v>3</v>
      </c>
      <c r="E240" t="str">
        <f t="shared" si="16"/>
        <v>Roiphet13</v>
      </c>
      <c r="F240" s="8">
        <f>VLOOKUP(C240,'RAW DATA 2023'!E:BO,23,0)</f>
        <v>31.373742796298338</v>
      </c>
      <c r="G240" s="14">
        <f t="shared" si="17"/>
        <v>43.626257203701662</v>
      </c>
      <c r="H240" s="25">
        <f t="shared" si="18"/>
        <v>8.7252514407403332</v>
      </c>
      <c r="I240" s="80" t="str">
        <f>VLOOKUP(C240,'RAW DATA 2023'!E:BO,36,0)</f>
        <v>Normal</v>
      </c>
      <c r="J240">
        <f>VLOOKUP(C240,'RAW DATA 2023'!E:BO,21,0)</f>
        <v>11.25116</v>
      </c>
      <c r="K240" s="268">
        <f t="shared" si="19"/>
        <v>98.169200000000018</v>
      </c>
    </row>
    <row r="241" spans="1:11">
      <c r="A241" t="str">
        <f>'RAW DATA 2023'!B234</f>
        <v>Roiphet1</v>
      </c>
      <c r="B241" t="str">
        <f>'RAW DATA 2023'!D234</f>
        <v>C1-I02-0071</v>
      </c>
      <c r="C241" t="str">
        <f t="shared" si="15"/>
        <v>Roiphet1C1-I02-0071</v>
      </c>
      <c r="D241">
        <f>VLOOKUP(C241,'RAW DATA 2023'!E:BP,63,0)</f>
        <v>5</v>
      </c>
      <c r="E241" t="str">
        <f t="shared" si="16"/>
        <v>Roiphet15</v>
      </c>
      <c r="F241" s="8">
        <f>VLOOKUP(C241,'RAW DATA 2023'!E:BO,23,0)</f>
        <v>31.90148273289369</v>
      </c>
      <c r="G241" s="14">
        <f t="shared" si="17"/>
        <v>43.09851726710631</v>
      </c>
      <c r="H241" s="25">
        <f t="shared" si="18"/>
        <v>8.6197034534212627</v>
      </c>
      <c r="I241" s="80" t="str">
        <f>VLOOKUP(C241,'RAW DATA 2023'!E:BO,36,0)</f>
        <v>Normal</v>
      </c>
      <c r="J241">
        <f>VLOOKUP(C241,'RAW DATA 2023'!E:BO,21,0)</f>
        <v>4.6643599999999994</v>
      </c>
      <c r="K241" s="268">
        <f t="shared" si="19"/>
        <v>40.205399999999997</v>
      </c>
    </row>
    <row r="242" spans="1:11">
      <c r="A242" t="str">
        <f>'RAW DATA 2023'!B235</f>
        <v>Roiphet1</v>
      </c>
      <c r="B242" t="str">
        <f>'RAW DATA 2023'!D235</f>
        <v>D3-G06-0084</v>
      </c>
      <c r="C242" t="str">
        <f t="shared" si="15"/>
        <v>Roiphet1D3-G06-0084</v>
      </c>
      <c r="D242">
        <f>VLOOKUP(C242,'RAW DATA 2023'!E:BP,63,0)</f>
        <v>10</v>
      </c>
      <c r="E242" t="str">
        <f t="shared" si="16"/>
        <v>Roiphet110</v>
      </c>
      <c r="F242" s="8">
        <f>VLOOKUP(C242,'RAW DATA 2023'!E:BO,23,0)</f>
        <v>38.296144788091112</v>
      </c>
      <c r="G242" s="14">
        <f t="shared" si="17"/>
        <v>36.703855211908888</v>
      </c>
      <c r="H242" s="25">
        <f t="shared" si="18"/>
        <v>7.3407710423817782</v>
      </c>
      <c r="I242" s="80" t="str">
        <f>VLOOKUP(C242,'RAW DATA 2023'!E:BO,36,0)</f>
        <v>Normal</v>
      </c>
      <c r="J242">
        <f>VLOOKUP(C242,'RAW DATA 2023'!E:BO,21,0)</f>
        <v>9.0399699999999985</v>
      </c>
      <c r="K242" s="268">
        <f t="shared" si="19"/>
        <v>66.360349999999997</v>
      </c>
    </row>
    <row r="243" spans="1:11">
      <c r="A243" t="str">
        <f>'RAW DATA 2023'!B236</f>
        <v>Roiphet1</v>
      </c>
      <c r="B243" t="str">
        <f>'RAW DATA 2023'!D236</f>
        <v>C6-G11-0058</v>
      </c>
      <c r="C243" t="str">
        <f t="shared" si="15"/>
        <v>Roiphet1C6-G11-0058</v>
      </c>
      <c r="D243">
        <f>VLOOKUP(C243,'RAW DATA 2023'!E:BP,63,0)</f>
        <v>2</v>
      </c>
      <c r="E243" t="str">
        <f t="shared" si="16"/>
        <v>Roiphet12</v>
      </c>
      <c r="F243" s="8">
        <f>VLOOKUP(C243,'RAW DATA 2023'!E:BO,23,0)</f>
        <v>34.439332083573582</v>
      </c>
      <c r="G243" s="14">
        <f t="shared" si="17"/>
        <v>40.560667916426418</v>
      </c>
      <c r="H243" s="25">
        <f t="shared" si="18"/>
        <v>8.1121335832852832</v>
      </c>
      <c r="I243" s="80" t="str">
        <f>VLOOKUP(C243,'RAW DATA 2023'!E:BO,36,0)</f>
        <v>Normal</v>
      </c>
      <c r="J243">
        <f>VLOOKUP(C243,'RAW DATA 2023'!E:BO,21,0)</f>
        <v>6.90266</v>
      </c>
      <c r="K243" s="268">
        <f t="shared" si="19"/>
        <v>55.995299999999993</v>
      </c>
    </row>
    <row r="244" spans="1:11">
      <c r="A244" t="str">
        <f>'RAW DATA 2023'!B237</f>
        <v>Roiphet1</v>
      </c>
      <c r="B244" t="str">
        <f>'RAW DATA 2023'!D237</f>
        <v>C2-G04-0063</v>
      </c>
      <c r="C244" t="str">
        <f t="shared" si="15"/>
        <v>Roiphet1C2-G04-0063</v>
      </c>
      <c r="D244">
        <f>VLOOKUP(C244,'RAW DATA 2023'!E:BP,63,0)</f>
        <v>4</v>
      </c>
      <c r="E244" t="str">
        <f t="shared" si="16"/>
        <v>Roiphet14</v>
      </c>
      <c r="F244" s="8">
        <f>VLOOKUP(C244,'RAW DATA 2023'!E:BO,23,0)</f>
        <v>38.660661000338493</v>
      </c>
      <c r="G244" s="14">
        <f t="shared" si="17"/>
        <v>36.339338999661507</v>
      </c>
      <c r="H244" s="25">
        <f t="shared" si="18"/>
        <v>7.2678677999323016</v>
      </c>
      <c r="I244" s="80" t="str">
        <f>VLOOKUP(C244,'RAW DATA 2023'!E:BO,36,0)</f>
        <v>Normal</v>
      </c>
      <c r="J244">
        <f>VLOOKUP(C244,'RAW DATA 2023'!E:BO,21,0)</f>
        <v>11.846590000000001</v>
      </c>
      <c r="K244" s="268">
        <f t="shared" si="19"/>
        <v>86.099450000000004</v>
      </c>
    </row>
    <row r="245" spans="1:11">
      <c r="A245" t="str">
        <f>'RAW DATA 2023'!B238</f>
        <v>Roiphet1</v>
      </c>
      <c r="B245" t="str">
        <f>'RAW DATA 2023'!D238</f>
        <v>C4-I07-0059</v>
      </c>
      <c r="C245" t="str">
        <f t="shared" si="15"/>
        <v>Roiphet1C4-I07-0059</v>
      </c>
      <c r="D245">
        <f>VLOOKUP(C245,'RAW DATA 2023'!E:BP,63,0)</f>
        <v>2</v>
      </c>
      <c r="E245" t="str">
        <f t="shared" si="16"/>
        <v>Roiphet12</v>
      </c>
      <c r="F245" s="8">
        <f>VLOOKUP(C245,'RAW DATA 2023'!E:BO,23,0)</f>
        <v>35.553945549928507</v>
      </c>
      <c r="G245" s="14">
        <f t="shared" si="17"/>
        <v>39.446054450071493</v>
      </c>
      <c r="H245" s="25">
        <f t="shared" si="18"/>
        <v>7.889210890014299</v>
      </c>
      <c r="I245" s="80" t="str">
        <f>VLOOKUP(C245,'RAW DATA 2023'!E:BO,36,0)</f>
        <v>Normal</v>
      </c>
      <c r="J245">
        <f>VLOOKUP(C245,'RAW DATA 2023'!E:BO,21,0)</f>
        <v>4.1821800000000007</v>
      </c>
      <c r="K245" s="268">
        <f t="shared" si="19"/>
        <v>32.994100000000003</v>
      </c>
    </row>
    <row r="246" spans="1:11">
      <c r="A246" t="str">
        <f>'RAW DATA 2023'!B239</f>
        <v>Roiphet1</v>
      </c>
      <c r="B246" t="str">
        <f>'RAW DATA 2023'!D239</f>
        <v>C3-G05-0073</v>
      </c>
      <c r="C246" t="str">
        <f t="shared" si="15"/>
        <v>Roiphet1C3-G05-0073</v>
      </c>
      <c r="D246">
        <f>VLOOKUP(C246,'RAW DATA 2023'!E:BP,63,0)</f>
        <v>3</v>
      </c>
      <c r="E246" t="str">
        <f t="shared" si="16"/>
        <v>Roiphet13</v>
      </c>
      <c r="F246" s="8">
        <f>VLOOKUP(C246,'RAW DATA 2023'!E:BO,23,0)</f>
        <v>49.231884625935649</v>
      </c>
      <c r="G246" s="14">
        <f t="shared" si="17"/>
        <v>25.768115374064351</v>
      </c>
      <c r="H246" s="25">
        <f t="shared" si="18"/>
        <v>5.1536230748128702</v>
      </c>
      <c r="I246" s="80" t="str">
        <f>VLOOKUP(C246,'RAW DATA 2023'!E:BO,36,0)</f>
        <v>ทยอยตาย</v>
      </c>
      <c r="J246">
        <f>VLOOKUP(C246,'RAW DATA 2023'!E:BO,21,0)</f>
        <v>6.6344200000000004</v>
      </c>
      <c r="K246" s="268">
        <f t="shared" si="19"/>
        <v>34.191300000000005</v>
      </c>
    </row>
    <row r="247" spans="1:11">
      <c r="A247" t="str">
        <f>'RAW DATA 2023'!B240</f>
        <v>Roiphet1</v>
      </c>
      <c r="B247" t="str">
        <f>'RAW DATA 2023'!D240</f>
        <v>C3-I06-0062</v>
      </c>
      <c r="C247" t="str">
        <f t="shared" si="15"/>
        <v>Roiphet1C3-I06-0062</v>
      </c>
      <c r="D247">
        <f>VLOOKUP(C247,'RAW DATA 2023'!E:BP,63,0)</f>
        <v>4</v>
      </c>
      <c r="E247" t="str">
        <f t="shared" si="16"/>
        <v>Roiphet14</v>
      </c>
      <c r="F247" s="8">
        <f>VLOOKUP(C247,'RAW DATA 2023'!E:BO,23,0)</f>
        <v>43.423368404854877</v>
      </c>
      <c r="G247" s="14">
        <f t="shared" si="17"/>
        <v>31.576631595145123</v>
      </c>
      <c r="H247" s="25">
        <f t="shared" si="18"/>
        <v>6.3153263190290252</v>
      </c>
      <c r="I247" s="80" t="str">
        <f>VLOOKUP(C247,'RAW DATA 2023'!E:BO,36,0)</f>
        <v>Normal</v>
      </c>
      <c r="J247">
        <f>VLOOKUP(C247,'RAW DATA 2023'!E:BO,21,0)</f>
        <v>4.1591199999999997</v>
      </c>
      <c r="K247" s="268">
        <f t="shared" si="19"/>
        <v>26.266199999999998</v>
      </c>
    </row>
    <row r="248" spans="1:11">
      <c r="A248" t="str">
        <f>'RAW DATA 2023'!B241</f>
        <v>Roiphet1</v>
      </c>
      <c r="B248" t="str">
        <f>'RAW DATA 2023'!D241</f>
        <v>C6-I12-0061</v>
      </c>
      <c r="C248" t="str">
        <f t="shared" si="15"/>
        <v>Roiphet1C6-I12-0061</v>
      </c>
      <c r="D248">
        <f>VLOOKUP(C248,'RAW DATA 2023'!E:BP,63,0)</f>
        <v>3</v>
      </c>
      <c r="E248" t="str">
        <f t="shared" si="16"/>
        <v>Roiphet13</v>
      </c>
      <c r="F248" s="8">
        <f>VLOOKUP(C248,'RAW DATA 2023'!E:BO,23,0)</f>
        <v>33.100811320355035</v>
      </c>
      <c r="G248" s="14">
        <f t="shared" si="17"/>
        <v>41.899188679644965</v>
      </c>
      <c r="H248" s="25">
        <f t="shared" si="18"/>
        <v>8.3798377359289926</v>
      </c>
      <c r="I248" s="80" t="str">
        <f>VLOOKUP(C248,'RAW DATA 2023'!E:BO,36,0)</f>
        <v>Normal</v>
      </c>
      <c r="J248">
        <f>VLOOKUP(C248,'RAW DATA 2023'!E:BO,21,0)</f>
        <v>4.7206999999999999</v>
      </c>
      <c r="K248" s="268">
        <f t="shared" si="19"/>
        <v>39.558699999999995</v>
      </c>
    </row>
    <row r="249" spans="1:11">
      <c r="A249" t="str">
        <f>'RAW DATA 2023'!B242</f>
        <v>Roiphet1</v>
      </c>
      <c r="B249" t="str">
        <f>'RAW DATA 2023'!D242</f>
        <v>C5-G09-0057</v>
      </c>
      <c r="C249" t="str">
        <f t="shared" si="15"/>
        <v>Roiphet1C5-G09-0057</v>
      </c>
      <c r="D249">
        <f>VLOOKUP(C249,'RAW DATA 2023'!E:BP,63,0)</f>
        <v>5</v>
      </c>
      <c r="E249" t="str">
        <f t="shared" si="16"/>
        <v>Roiphet15</v>
      </c>
      <c r="F249" s="8">
        <f>VLOOKUP(C249,'RAW DATA 2023'!E:BO,23,0)</f>
        <v>33.121529036916357</v>
      </c>
      <c r="G249" s="14">
        <f t="shared" si="17"/>
        <v>41.878470963083643</v>
      </c>
      <c r="H249" s="25">
        <f t="shared" si="18"/>
        <v>8.375694192616729</v>
      </c>
      <c r="I249" s="80" t="str">
        <f>VLOOKUP(C249,'RAW DATA 2023'!E:BO,36,0)</f>
        <v>Normal</v>
      </c>
      <c r="J249">
        <f>VLOOKUP(C249,'RAW DATA 2023'!E:BO,21,0)</f>
        <v>9.2931699999999999</v>
      </c>
      <c r="K249" s="268">
        <f t="shared" si="19"/>
        <v>77.836750000000009</v>
      </c>
    </row>
    <row r="250" spans="1:11">
      <c r="A250" t="str">
        <f>'RAW DATA 2023'!B243</f>
        <v>Roiphet1</v>
      </c>
      <c r="B250" t="str">
        <f>'RAW DATA 2023'!D243</f>
        <v>C5-I09-0064</v>
      </c>
      <c r="C250" t="str">
        <f t="shared" si="15"/>
        <v>Roiphet1C5-I09-0064</v>
      </c>
      <c r="D250">
        <f>VLOOKUP(C250,'RAW DATA 2023'!E:BP,63,0)</f>
        <v>5</v>
      </c>
      <c r="E250" t="str">
        <f t="shared" si="16"/>
        <v>Roiphet15</v>
      </c>
      <c r="F250" s="8">
        <f>VLOOKUP(C250,'RAW DATA 2023'!E:BO,23,0)</f>
        <v>33.765844115277758</v>
      </c>
      <c r="G250" s="14">
        <f t="shared" si="17"/>
        <v>41.234155884722242</v>
      </c>
      <c r="H250" s="25">
        <f t="shared" si="18"/>
        <v>8.2468311769444487</v>
      </c>
      <c r="I250" s="80" t="str">
        <f>VLOOKUP(C250,'RAW DATA 2023'!E:BO,36,0)</f>
        <v>Normal</v>
      </c>
      <c r="J250">
        <f>VLOOKUP(C250,'RAW DATA 2023'!E:BO,21,0)</f>
        <v>4.8661599999999998</v>
      </c>
      <c r="K250" s="268">
        <f t="shared" si="19"/>
        <v>40.130399999999995</v>
      </c>
    </row>
    <row r="251" spans="1:11">
      <c r="A251" t="str">
        <f>'RAW DATA 2023'!B244</f>
        <v>Roiphet1</v>
      </c>
      <c r="B251" t="str">
        <f>'RAW DATA 2023'!D244</f>
        <v>C1-I02-0072</v>
      </c>
      <c r="C251" t="str">
        <f t="shared" si="15"/>
        <v>Roiphet1C1-I02-0072</v>
      </c>
      <c r="D251">
        <f>VLOOKUP(C251,'RAW DATA 2023'!E:BP,63,0)</f>
        <v>9</v>
      </c>
      <c r="E251" t="str">
        <f t="shared" si="16"/>
        <v>Roiphet19</v>
      </c>
      <c r="F251" s="8">
        <f>VLOOKUP(C251,'RAW DATA 2023'!E:BO,23,0)</f>
        <v>35.772304690380437</v>
      </c>
      <c r="G251" s="14">
        <f t="shared" si="17"/>
        <v>39.227695309619563</v>
      </c>
      <c r="H251" s="25">
        <f t="shared" si="18"/>
        <v>7.8455390619239127</v>
      </c>
      <c r="I251" s="80" t="str">
        <f>VLOOKUP(C251,'RAW DATA 2023'!E:BO,36,0)</f>
        <v>อัตรารอดต่ำ</v>
      </c>
      <c r="J251">
        <f>VLOOKUP(C251,'RAW DATA 2023'!E:BO,21,0)</f>
        <v>3.5259399999999999</v>
      </c>
      <c r="K251" s="268">
        <f t="shared" si="19"/>
        <v>27.6629</v>
      </c>
    </row>
    <row r="252" spans="1:11">
      <c r="A252" t="str">
        <f>'RAW DATA 2023'!B245</f>
        <v>Roiphet1</v>
      </c>
      <c r="B252" t="str">
        <f>'RAW DATA 2023'!D245</f>
        <v>C5-G10-0064</v>
      </c>
      <c r="C252" t="str">
        <f t="shared" si="15"/>
        <v>Roiphet1C5-G10-0064</v>
      </c>
      <c r="D252">
        <f>VLOOKUP(C252,'RAW DATA 2023'!E:BP,63,0)</f>
        <v>5</v>
      </c>
      <c r="E252" t="str">
        <f t="shared" si="16"/>
        <v>Roiphet15</v>
      </c>
      <c r="F252" s="8">
        <f>VLOOKUP(C252,'RAW DATA 2023'!E:BO,23,0)</f>
        <v>33.351776139045029</v>
      </c>
      <c r="G252" s="14">
        <f t="shared" si="17"/>
        <v>41.648223860954971</v>
      </c>
      <c r="H252" s="25">
        <f t="shared" si="18"/>
        <v>8.3296447721909939</v>
      </c>
      <c r="I252" s="80" t="str">
        <f>VLOOKUP(C252,'RAW DATA 2023'!E:BO,36,0)</f>
        <v>Normal</v>
      </c>
      <c r="J252">
        <f>VLOOKUP(C252,'RAW DATA 2023'!E:BO,21,0)</f>
        <v>8.2597699999999996</v>
      </c>
      <c r="K252" s="268">
        <f t="shared" si="19"/>
        <v>68.80095</v>
      </c>
    </row>
    <row r="253" spans="1:11">
      <c r="A253" t="str">
        <f>'RAW DATA 2023'!B246</f>
        <v>Roiphet1</v>
      </c>
      <c r="B253" t="str">
        <f>'RAW DATA 2023'!D246</f>
        <v>C3-G05-0075</v>
      </c>
      <c r="C253" t="str">
        <f t="shared" si="15"/>
        <v>Roiphet1C3-G05-0075</v>
      </c>
      <c r="D253">
        <f>VLOOKUP(C253,'RAW DATA 2023'!E:BP,63,0)</f>
        <v>9</v>
      </c>
      <c r="E253" t="str">
        <f t="shared" si="16"/>
        <v>Roiphet19</v>
      </c>
      <c r="F253" s="8">
        <f>VLOOKUP(C253,'RAW DATA 2023'!E:BO,23,0)</f>
        <v>74.789462822296642</v>
      </c>
      <c r="G253" s="14">
        <f t="shared" si="17"/>
        <v>0.21053717770335822</v>
      </c>
      <c r="H253" s="25">
        <f t="shared" si="18"/>
        <v>4.2107435540671645E-2</v>
      </c>
      <c r="I253" s="80" t="str">
        <f>VLOOKUP(C253,'RAW DATA 2023'!E:BO,36,0)</f>
        <v>EHP</v>
      </c>
      <c r="J253">
        <f>VLOOKUP(C253,'RAW DATA 2023'!E:BO,21,0)</f>
        <v>4.5063300000000002</v>
      </c>
      <c r="K253" s="268">
        <f t="shared" si="19"/>
        <v>0.18974999999999487</v>
      </c>
    </row>
    <row r="254" spans="1:11">
      <c r="A254" t="str">
        <f>'RAW DATA 2023'!B247</f>
        <v>Roiphet1</v>
      </c>
      <c r="B254" t="str">
        <f>'RAW DATA 2023'!D247</f>
        <v>C6-I11-0064</v>
      </c>
      <c r="C254" t="str">
        <f t="shared" si="15"/>
        <v>Roiphet1C6-I11-0064</v>
      </c>
      <c r="D254">
        <f>VLOOKUP(C254,'RAW DATA 2023'!E:BP,63,0)</f>
        <v>2</v>
      </c>
      <c r="E254" t="str">
        <f t="shared" si="16"/>
        <v>Roiphet12</v>
      </c>
      <c r="F254" s="8">
        <f>VLOOKUP(C254,'RAW DATA 2023'!E:BO,23,0)</f>
        <v>35.511477719334046</v>
      </c>
      <c r="G254" s="14">
        <f t="shared" si="17"/>
        <v>39.488522280665954</v>
      </c>
      <c r="H254" s="25">
        <f t="shared" si="18"/>
        <v>7.8977044561331908</v>
      </c>
      <c r="I254" s="80" t="str">
        <f>VLOOKUP(C254,'RAW DATA 2023'!E:BO,36,0)</f>
        <v>Normal</v>
      </c>
      <c r="J254">
        <f>VLOOKUP(C254,'RAW DATA 2023'!E:BO,21,0)</f>
        <v>4.5570900000000005</v>
      </c>
      <c r="K254" s="268">
        <f t="shared" si="19"/>
        <v>35.990550000000006</v>
      </c>
    </row>
    <row r="255" spans="1:11">
      <c r="A255" t="str">
        <f>'RAW DATA 2023'!B248</f>
        <v>Roiphet1</v>
      </c>
      <c r="B255" t="str">
        <f>'RAW DATA 2023'!D248</f>
        <v>C3-I05-0065</v>
      </c>
      <c r="C255" t="str">
        <f t="shared" si="15"/>
        <v>Roiphet1C3-I05-0065</v>
      </c>
      <c r="D255">
        <f>VLOOKUP(C255,'RAW DATA 2023'!E:BP,63,0)</f>
        <v>4</v>
      </c>
      <c r="E255" t="str">
        <f t="shared" si="16"/>
        <v>Roiphet14</v>
      </c>
      <c r="F255" s="8">
        <f>VLOOKUP(C255,'RAW DATA 2023'!E:BO,23,0)</f>
        <v>43.471531499632512</v>
      </c>
      <c r="G255" s="14">
        <f t="shared" si="17"/>
        <v>31.528468500367488</v>
      </c>
      <c r="H255" s="25">
        <f t="shared" si="18"/>
        <v>6.3056937000734976</v>
      </c>
      <c r="I255" s="80" t="str">
        <f>VLOOKUP(C255,'RAW DATA 2023'!E:BO,36,0)</f>
        <v>Normal</v>
      </c>
      <c r="J255">
        <f>VLOOKUP(C255,'RAW DATA 2023'!E:BO,21,0)</f>
        <v>3.7279800000000001</v>
      </c>
      <c r="K255" s="268">
        <f t="shared" si="19"/>
        <v>23.507499999999997</v>
      </c>
    </row>
    <row r="256" spans="1:11">
      <c r="A256" t="str">
        <f>'RAW DATA 2023'!B249</f>
        <v>Roiphet1</v>
      </c>
      <c r="B256" t="str">
        <f>'RAW DATA 2023'!D249</f>
        <v>C3-G06-0079</v>
      </c>
      <c r="C256" t="str">
        <f t="shared" si="15"/>
        <v>Roiphet1C3-G06-0079</v>
      </c>
      <c r="D256">
        <f>VLOOKUP(C256,'RAW DATA 2023'!E:BP,63,0)</f>
        <v>9</v>
      </c>
      <c r="E256" t="str">
        <f t="shared" si="16"/>
        <v>Roiphet19</v>
      </c>
      <c r="F256" s="8">
        <f>VLOOKUP(C256,'RAW DATA 2023'!E:BO,23,0)</f>
        <v>76.988997811261527</v>
      </c>
      <c r="G256" s="14">
        <f t="shared" si="17"/>
        <v>-1.9889978112615267</v>
      </c>
      <c r="H256" s="25">
        <f t="shared" si="18"/>
        <v>-0.39779956225230539</v>
      </c>
      <c r="I256" s="80" t="str">
        <f>VLOOKUP(C256,'RAW DATA 2023'!E:BO,36,0)</f>
        <v>EHP</v>
      </c>
      <c r="J256">
        <f>VLOOKUP(C256,'RAW DATA 2023'!E:BO,21,0)</f>
        <v>4.1028199999999995</v>
      </c>
      <c r="K256" s="268">
        <f t="shared" si="19"/>
        <v>-1.6321000000000034</v>
      </c>
    </row>
    <row r="257" spans="1:11">
      <c r="A257" t="str">
        <f>'RAW DATA 2023'!B250</f>
        <v>Roiphet1</v>
      </c>
      <c r="B257" t="str">
        <f>'RAW DATA 2023'!D250</f>
        <v>C4-G08-0062</v>
      </c>
      <c r="C257" t="str">
        <f t="shared" si="15"/>
        <v>Roiphet1C4-G08-0062</v>
      </c>
      <c r="D257">
        <f>VLOOKUP(C257,'RAW DATA 2023'!E:BP,63,0)</f>
        <v>12</v>
      </c>
      <c r="E257" t="str">
        <f t="shared" si="16"/>
        <v>Roiphet112</v>
      </c>
      <c r="F257" s="8">
        <f>VLOOKUP(C257,'RAW DATA 2023'!E:BO,23,0)</f>
        <v>48.646057355244359</v>
      </c>
      <c r="G257" s="14">
        <f t="shared" si="17"/>
        <v>26.353942644755641</v>
      </c>
      <c r="H257" s="25">
        <f t="shared" si="18"/>
        <v>5.2707885289511287</v>
      </c>
      <c r="I257" s="80" t="str">
        <f>VLOOKUP(C257,'RAW DATA 2023'!E:BO,36,0)</f>
        <v>Normal</v>
      </c>
      <c r="J257">
        <f>VLOOKUP(C257,'RAW DATA 2023'!E:BO,21,0)</f>
        <v>8.2813700000000008</v>
      </c>
      <c r="K257" s="268">
        <f t="shared" si="19"/>
        <v>43.649350000000013</v>
      </c>
    </row>
    <row r="258" spans="1:11">
      <c r="A258" t="str">
        <f>'RAW DATA 2023'!B251</f>
        <v>Roiphet1</v>
      </c>
      <c r="B258" t="str">
        <f>'RAW DATA 2023'!D251</f>
        <v>C4-I07-0061</v>
      </c>
      <c r="C258" t="str">
        <f t="shared" si="15"/>
        <v>Roiphet1C4-I07-0061</v>
      </c>
      <c r="D258">
        <f>VLOOKUP(C258,'RAW DATA 2023'!E:BP,63,0)</f>
        <v>12</v>
      </c>
      <c r="E258" t="str">
        <f t="shared" si="16"/>
        <v>Roiphet112</v>
      </c>
      <c r="F258" s="8">
        <f>VLOOKUP(C258,'RAW DATA 2023'!E:BO,23,0)</f>
        <v>46.481176952954506</v>
      </c>
      <c r="G258" s="14">
        <f t="shared" si="17"/>
        <v>28.518823047045494</v>
      </c>
      <c r="H258" s="25">
        <f t="shared" si="18"/>
        <v>5.7037646094090988</v>
      </c>
      <c r="I258" s="80" t="str">
        <f>VLOOKUP(C258,'RAW DATA 2023'!E:BO,36,0)</f>
        <v>Normal</v>
      </c>
      <c r="J258">
        <f>VLOOKUP(C258,'RAW DATA 2023'!E:BO,21,0)</f>
        <v>4.5364599999999999</v>
      </c>
      <c r="K258" s="268">
        <f t="shared" si="19"/>
        <v>25.8749</v>
      </c>
    </row>
    <row r="259" spans="1:11">
      <c r="A259" t="str">
        <f>'RAW DATA 2023'!B252</f>
        <v>Roiphet1</v>
      </c>
      <c r="B259" t="str">
        <f>'RAW DATA 2023'!D252</f>
        <v>C3-G06-0077</v>
      </c>
      <c r="C259" t="str">
        <f t="shared" si="15"/>
        <v>Roiphet1C3-G06-0077</v>
      </c>
      <c r="D259">
        <f>VLOOKUP(C259,'RAW DATA 2023'!E:BP,63,0)</f>
        <v>3</v>
      </c>
      <c r="E259" t="str">
        <f t="shared" si="16"/>
        <v>Roiphet13</v>
      </c>
      <c r="F259" s="8">
        <f>VLOOKUP(C259,'RAW DATA 2023'!E:BO,23,0)</f>
        <v>48.377848139137257</v>
      </c>
      <c r="G259" s="14">
        <f t="shared" si="17"/>
        <v>26.622151860862743</v>
      </c>
      <c r="H259" s="25">
        <f t="shared" si="18"/>
        <v>5.3244303721725492</v>
      </c>
      <c r="I259" s="80" t="str">
        <f>VLOOKUP(C259,'RAW DATA 2023'!E:BO,36,0)</f>
        <v>ทยอยตาย</v>
      </c>
      <c r="J259">
        <f>VLOOKUP(C259,'RAW DATA 2023'!E:BO,21,0)</f>
        <v>7.8546899999999997</v>
      </c>
      <c r="K259" s="268">
        <f t="shared" si="19"/>
        <v>41.821750000000002</v>
      </c>
    </row>
    <row r="260" spans="1:11">
      <c r="A260" t="str">
        <f>'RAW DATA 2023'!B253</f>
        <v>Roiphet1</v>
      </c>
      <c r="B260" t="str">
        <f>'RAW DATA 2023'!D253</f>
        <v>C1-G02-0074</v>
      </c>
      <c r="C260" t="str">
        <f t="shared" si="15"/>
        <v>Roiphet1C1-G02-0074</v>
      </c>
      <c r="D260">
        <f>VLOOKUP(C260,'RAW DATA 2023'!E:BP,63,0)</f>
        <v>9</v>
      </c>
      <c r="E260" t="str">
        <f t="shared" si="16"/>
        <v>Roiphet19</v>
      </c>
      <c r="F260" s="8">
        <f>VLOOKUP(C260,'RAW DATA 2023'!E:BO,23,0)</f>
        <v>42.36522126370204</v>
      </c>
      <c r="G260" s="14">
        <f t="shared" si="17"/>
        <v>32.63477873629796</v>
      </c>
      <c r="H260" s="25">
        <f t="shared" si="18"/>
        <v>6.526955747259592</v>
      </c>
      <c r="I260" s="80" t="str">
        <f>VLOOKUP(C260,'RAW DATA 2023'!E:BO,36,0)</f>
        <v>อัตรารอดต่ำ</v>
      </c>
      <c r="J260">
        <f>VLOOKUP(C260,'RAW DATA 2023'!E:BO,21,0)</f>
        <v>6.64682</v>
      </c>
      <c r="K260" s="268">
        <f t="shared" si="19"/>
        <v>43.383499999999998</v>
      </c>
    </row>
    <row r="261" spans="1:11">
      <c r="A261" t="str">
        <f>'RAW DATA 2023'!B254</f>
        <v>Roiphet1</v>
      </c>
      <c r="B261" t="str">
        <f>'RAW DATA 2023'!D254</f>
        <v>C5-I10-0065</v>
      </c>
      <c r="C261" t="str">
        <f t="shared" si="15"/>
        <v>Roiphet1C5-I10-0065</v>
      </c>
      <c r="D261">
        <f>VLOOKUP(C261,'RAW DATA 2023'!E:BP,63,0)</f>
        <v>5</v>
      </c>
      <c r="E261" t="str">
        <f t="shared" si="16"/>
        <v>Roiphet15</v>
      </c>
      <c r="F261" s="8">
        <f>VLOOKUP(C261,'RAW DATA 2023'!E:BO,23,0)</f>
        <v>35.616798015114185</v>
      </c>
      <c r="G261" s="14">
        <f t="shared" si="17"/>
        <v>39.383201984885815</v>
      </c>
      <c r="H261" s="25">
        <f t="shared" si="18"/>
        <v>7.8766403969771632</v>
      </c>
      <c r="I261" s="80" t="str">
        <f>VLOOKUP(C261,'RAW DATA 2023'!E:BO,36,0)</f>
        <v>Normal</v>
      </c>
      <c r="J261">
        <f>VLOOKUP(C261,'RAW DATA 2023'!E:BO,21,0)</f>
        <v>4.5705400000000003</v>
      </c>
      <c r="K261" s="268">
        <f t="shared" si="19"/>
        <v>36.000500000000002</v>
      </c>
    </row>
    <row r="262" spans="1:11">
      <c r="A262" t="str">
        <f>'RAW DATA 2023'!B255</f>
        <v>Roiphet1</v>
      </c>
      <c r="B262" t="str">
        <f>'RAW DATA 2023'!D255</f>
        <v>C4-I08-0063</v>
      </c>
      <c r="C262" t="str">
        <f t="shared" si="15"/>
        <v>Roiphet1C4-I08-0063</v>
      </c>
      <c r="D262">
        <f>VLOOKUP(C262,'RAW DATA 2023'!E:BP,63,0)</f>
        <v>2</v>
      </c>
      <c r="E262" t="str">
        <f t="shared" si="16"/>
        <v>Roiphet12</v>
      </c>
      <c r="F262" s="8">
        <f>VLOOKUP(C262,'RAW DATA 2023'!E:BO,23,0)</f>
        <v>40.516672598494353</v>
      </c>
      <c r="G262" s="14">
        <f t="shared" si="17"/>
        <v>34.483327401505647</v>
      </c>
      <c r="H262" s="25">
        <f t="shared" si="18"/>
        <v>6.89666548030113</v>
      </c>
      <c r="I262" s="80" t="str">
        <f>VLOOKUP(C262,'RAW DATA 2023'!E:BO,36,0)</f>
        <v>Normal</v>
      </c>
      <c r="J262">
        <f>VLOOKUP(C262,'RAW DATA 2023'!E:BO,21,0)</f>
        <v>4.8045900000000001</v>
      </c>
      <c r="K262" s="268">
        <f t="shared" si="19"/>
        <v>33.135650000000005</v>
      </c>
    </row>
    <row r="263" spans="1:11">
      <c r="A263" t="str">
        <f>'RAW DATA 2023'!B256</f>
        <v>Roiphet1</v>
      </c>
      <c r="B263" t="str">
        <f>'RAW DATA 2023'!D256</f>
        <v>C4-G07-0058</v>
      </c>
      <c r="C263" t="str">
        <f t="shared" si="15"/>
        <v>Roiphet1C4-G07-0058</v>
      </c>
      <c r="D263">
        <f>VLOOKUP(C263,'RAW DATA 2023'!E:BP,63,0)</f>
        <v>11</v>
      </c>
      <c r="E263" t="str">
        <f t="shared" si="16"/>
        <v>Roiphet111</v>
      </c>
      <c r="F263" s="8">
        <f>VLOOKUP(C263,'RAW DATA 2023'!E:BO,23,0)</f>
        <v>55.050602673279961</v>
      </c>
      <c r="G263" s="14">
        <f t="shared" si="17"/>
        <v>19.949397326720039</v>
      </c>
      <c r="H263" s="25">
        <f t="shared" si="18"/>
        <v>3.9898794653440079</v>
      </c>
      <c r="I263" s="80" t="str">
        <f>VLOOKUP(C263,'RAW DATA 2023'!E:BO,36,0)</f>
        <v>Normal</v>
      </c>
      <c r="J263">
        <f>VLOOKUP(C263,'RAW DATA 2023'!E:BO,21,0)</f>
        <v>8.2258500000000012</v>
      </c>
      <c r="K263" s="268">
        <f t="shared" si="19"/>
        <v>32.820150000000012</v>
      </c>
    </row>
    <row r="264" spans="1:11">
      <c r="A264" t="str">
        <f>'RAW DATA 2023'!B257</f>
        <v>Roiphet1</v>
      </c>
      <c r="B264" t="str">
        <f>'RAW DATA 2023'!D257</f>
        <v>C4-I08-0065</v>
      </c>
      <c r="C264" t="str">
        <f t="shared" si="15"/>
        <v>Roiphet1C4-I08-0065</v>
      </c>
      <c r="D264">
        <f>VLOOKUP(C264,'RAW DATA 2023'!E:BP,63,0)</f>
        <v>12</v>
      </c>
      <c r="E264" t="str">
        <f t="shared" si="16"/>
        <v>Roiphet112</v>
      </c>
      <c r="F264" s="8">
        <f>VLOOKUP(C264,'RAW DATA 2023'!E:BO,23,0)</f>
        <v>45.637022523247815</v>
      </c>
      <c r="G264" s="14">
        <f t="shared" si="17"/>
        <v>29.362977476752185</v>
      </c>
      <c r="H264" s="25">
        <f t="shared" si="18"/>
        <v>5.8725954953504376</v>
      </c>
      <c r="I264" s="80" t="str">
        <f>VLOOKUP(C264,'RAW DATA 2023'!E:BO,36,0)</f>
        <v>Normal</v>
      </c>
      <c r="J264">
        <f>VLOOKUP(C264,'RAW DATA 2023'!E:BO,21,0)</f>
        <v>4.7821699999999998</v>
      </c>
      <c r="K264" s="268">
        <f t="shared" si="19"/>
        <v>28.083750000000002</v>
      </c>
    </row>
    <row r="265" spans="1:11">
      <c r="A265" t="str">
        <f>'RAW DATA 2023'!B258</f>
        <v>Roiphet1</v>
      </c>
      <c r="B265" t="str">
        <f>'RAW DATA 2023'!D258</f>
        <v>C3-I05-0066</v>
      </c>
      <c r="C265" t="str">
        <f t="shared" si="15"/>
        <v>Roiphet1C3-I05-0066</v>
      </c>
      <c r="D265">
        <f>VLOOKUP(C265,'RAW DATA 2023'!E:BP,63,0)</f>
        <v>5</v>
      </c>
      <c r="E265" t="str">
        <f t="shared" si="16"/>
        <v>Roiphet15</v>
      </c>
      <c r="F265" s="8">
        <f>VLOOKUP(C265,'RAW DATA 2023'!E:BO,23,0)</f>
        <v>123.99979031854107</v>
      </c>
      <c r="G265" s="14">
        <f t="shared" si="17"/>
        <v>-48.999790318541073</v>
      </c>
      <c r="H265" s="25">
        <f t="shared" si="18"/>
        <v>-9.7999580637082158</v>
      </c>
      <c r="I265" s="80" t="str">
        <f>VLOOKUP(C265,'RAW DATA 2023'!E:BO,36,0)</f>
        <v>EHP</v>
      </c>
      <c r="J265">
        <f>VLOOKUP(C265,'RAW DATA 2023'!E:BO,21,0)</f>
        <v>1.71689</v>
      </c>
      <c r="K265" s="268">
        <f t="shared" si="19"/>
        <v>-16.82545</v>
      </c>
    </row>
    <row r="266" spans="1:11">
      <c r="A266" t="str">
        <f>'RAW DATA 2023'!B259</f>
        <v>Roiphet1</v>
      </c>
      <c r="B266" t="str">
        <f>'RAW DATA 2023'!D259</f>
        <v>C3-I06-0063</v>
      </c>
      <c r="C266" t="str">
        <f t="shared" ref="C266:C329" si="20">A266&amp;B266</f>
        <v>Roiphet1C3-I06-0063</v>
      </c>
      <c r="D266">
        <f>VLOOKUP(C266,'RAW DATA 2023'!E:BP,63,0)</f>
        <v>5</v>
      </c>
      <c r="E266" t="str">
        <f t="shared" ref="E266:E329" si="21">A266&amp;D266</f>
        <v>Roiphet15</v>
      </c>
      <c r="F266" s="8">
        <f>VLOOKUP(C266,'RAW DATA 2023'!E:BO,23,0)</f>
        <v>131.00055250072353</v>
      </c>
      <c r="G266" s="14">
        <f t="shared" si="17"/>
        <v>-56.000552500723529</v>
      </c>
      <c r="H266" s="25">
        <f t="shared" si="18"/>
        <v>-11.200110500144707</v>
      </c>
      <c r="I266" s="80" t="str">
        <f>VLOOKUP(C266,'RAW DATA 2023'!E:BO,36,0)</f>
        <v>EHP</v>
      </c>
      <c r="J266">
        <f>VLOOKUP(C266,'RAW DATA 2023'!E:BO,21,0)</f>
        <v>1.5203599999999999</v>
      </c>
      <c r="K266" s="268">
        <f t="shared" si="19"/>
        <v>-17.028200000000005</v>
      </c>
    </row>
    <row r="267" spans="1:11">
      <c r="A267" t="str">
        <f>'RAW DATA 2023'!B260</f>
        <v>Roiphet1</v>
      </c>
      <c r="B267" t="str">
        <f>'RAW DATA 2023'!D260</f>
        <v>C2-I04-0067</v>
      </c>
      <c r="C267" t="str">
        <f t="shared" si="20"/>
        <v>Roiphet1C2-I04-0067</v>
      </c>
      <c r="D267">
        <f>VLOOKUP(C267,'RAW DATA 2023'!E:BP,63,0)</f>
        <v>6</v>
      </c>
      <c r="E267" t="str">
        <f t="shared" si="21"/>
        <v>Roiphet16</v>
      </c>
      <c r="F267" s="8">
        <f>VLOOKUP(C267,'RAW DATA 2023'!E:BO,23,0)</f>
        <v>91.999820372054387</v>
      </c>
      <c r="G267" s="14">
        <f t="shared" ref="G267:G330" si="22">IF(F267=0,0,$B$2-F267)</f>
        <v>-16.999820372054387</v>
      </c>
      <c r="H267" s="25">
        <f t="shared" ref="H267:H330" si="23">G267*$B$6</f>
        <v>-3.3999640744108777</v>
      </c>
      <c r="I267" s="80" t="str">
        <f>VLOOKUP(C267,'RAW DATA 2023'!E:BO,36,0)</f>
        <v>EHP</v>
      </c>
      <c r="J267">
        <f>VLOOKUP(C267,'RAW DATA 2023'!E:BO,21,0)</f>
        <v>2.6721900000000001</v>
      </c>
      <c r="K267" s="268">
        <f t="shared" ref="K267:K330" si="24">H267*J267</f>
        <v>-9.0853500000000036</v>
      </c>
    </row>
    <row r="268" spans="1:11">
      <c r="A268" t="str">
        <f>'RAW DATA 2023'!B261</f>
        <v>Roiphet1</v>
      </c>
      <c r="B268" t="str">
        <f>'RAW DATA 2023'!D261</f>
        <v>C3-G05-0074</v>
      </c>
      <c r="C268" t="str">
        <f t="shared" si="20"/>
        <v>Roiphet1C3-G05-0074</v>
      </c>
      <c r="D268">
        <f>VLOOKUP(C268,'RAW DATA 2023'!E:BP,63,0)</f>
        <v>5</v>
      </c>
      <c r="E268" t="str">
        <f t="shared" si="21"/>
        <v>Roiphet15</v>
      </c>
      <c r="F268" s="8">
        <f>VLOOKUP(C268,'RAW DATA 2023'!E:BO,23,0)</f>
        <v>129.00004304593</v>
      </c>
      <c r="G268" s="14">
        <f t="shared" si="22"/>
        <v>-54.000043045929999</v>
      </c>
      <c r="H268" s="25">
        <f t="shared" si="23"/>
        <v>-10.800008609186001</v>
      </c>
      <c r="I268" s="80" t="str">
        <f>VLOOKUP(C268,'RAW DATA 2023'!E:BO,36,0)</f>
        <v>EHP</v>
      </c>
      <c r="J268">
        <f>VLOOKUP(C268,'RAW DATA 2023'!E:BO,21,0)</f>
        <v>3.4846500000000002</v>
      </c>
      <c r="K268" s="268">
        <f t="shared" si="24"/>
        <v>-37.634250000000002</v>
      </c>
    </row>
    <row r="269" spans="1:11">
      <c r="A269" t="str">
        <f>'RAW DATA 2023'!B262</f>
        <v>Roiphet1</v>
      </c>
      <c r="B269" t="str">
        <f>'RAW DATA 2023'!D262</f>
        <v>C2-I03-0059</v>
      </c>
      <c r="C269" t="str">
        <f t="shared" si="20"/>
        <v>Roiphet1C2-I03-0059</v>
      </c>
      <c r="D269">
        <f>VLOOKUP(C269,'RAW DATA 2023'!E:BP,63,0)</f>
        <v>6</v>
      </c>
      <c r="E269" t="str">
        <f t="shared" si="21"/>
        <v>Roiphet16</v>
      </c>
      <c r="F269" s="8">
        <f>VLOOKUP(C269,'RAW DATA 2023'!E:BO,23,0)</f>
        <v>92.000052564950579</v>
      </c>
      <c r="G269" s="14">
        <f t="shared" si="22"/>
        <v>-17.000052564950579</v>
      </c>
      <c r="H269" s="25">
        <f t="shared" si="23"/>
        <v>-3.4000105129901161</v>
      </c>
      <c r="I269" s="80" t="str">
        <f>VLOOKUP(C269,'RAW DATA 2023'!E:BO,36,0)</f>
        <v>EHP</v>
      </c>
      <c r="J269">
        <f>VLOOKUP(C269,'RAW DATA 2023'!E:BO,21,0)</f>
        <v>2.2828900000000001</v>
      </c>
      <c r="K269" s="268">
        <f t="shared" si="24"/>
        <v>-7.7618500000000061</v>
      </c>
    </row>
    <row r="270" spans="1:11">
      <c r="A270" t="str">
        <f>'RAW DATA 2023'!B263</f>
        <v>Roiphet1</v>
      </c>
      <c r="B270" t="str">
        <f>'RAW DATA 2023'!D263</f>
        <v>C3-G06-0078</v>
      </c>
      <c r="C270" t="str">
        <f t="shared" si="20"/>
        <v>Roiphet1C3-G06-0078</v>
      </c>
      <c r="D270">
        <f>VLOOKUP(C270,'RAW DATA 2023'!E:BP,63,0)</f>
        <v>5</v>
      </c>
      <c r="E270" t="str">
        <f t="shared" si="21"/>
        <v>Roiphet15</v>
      </c>
      <c r="F270" s="8">
        <f>VLOOKUP(C270,'RAW DATA 2023'!E:BO,23,0)</f>
        <v>148.99971459873501</v>
      </c>
      <c r="G270" s="14">
        <f t="shared" si="22"/>
        <v>-73.999714598735011</v>
      </c>
      <c r="H270" s="25">
        <f t="shared" si="23"/>
        <v>-14.799942919747004</v>
      </c>
      <c r="I270" s="80" t="str">
        <f>VLOOKUP(C270,'RAW DATA 2023'!E:BO,36,0)</f>
        <v>EHP</v>
      </c>
      <c r="J270">
        <f>VLOOKUP(C270,'RAW DATA 2023'!E:BO,21,0)</f>
        <v>3.2585700000000002</v>
      </c>
      <c r="K270" s="268">
        <f t="shared" si="24"/>
        <v>-48.226649999999999</v>
      </c>
    </row>
    <row r="271" spans="1:11">
      <c r="A271" t="str">
        <f>'RAW DATA 2023'!B264</f>
        <v>Roiphet1</v>
      </c>
      <c r="B271" t="str">
        <f>'RAW DATA 2023'!D264</f>
        <v>C2-G03-0066</v>
      </c>
      <c r="C271" t="str">
        <f t="shared" si="20"/>
        <v>Roiphet1C2-G03-0066</v>
      </c>
      <c r="D271">
        <f>VLOOKUP(C271,'RAW DATA 2023'!E:BP,63,0)</f>
        <v>6</v>
      </c>
      <c r="E271" t="str">
        <f t="shared" si="21"/>
        <v>Roiphet16</v>
      </c>
      <c r="F271" s="8">
        <f>VLOOKUP(C271,'RAW DATA 2023'!E:BO,23,0)</f>
        <v>136.00022548459054</v>
      </c>
      <c r="G271" s="14">
        <f t="shared" si="22"/>
        <v>-61.000225484590544</v>
      </c>
      <c r="H271" s="25">
        <f t="shared" si="23"/>
        <v>-12.20004509691811</v>
      </c>
      <c r="I271" s="80" t="str">
        <f>VLOOKUP(C271,'RAW DATA 2023'!E:BO,36,0)</f>
        <v>EHP</v>
      </c>
      <c r="J271">
        <f>VLOOKUP(C271,'RAW DATA 2023'!E:BO,21,0)</f>
        <v>3.7253099999999999</v>
      </c>
      <c r="K271" s="268">
        <f t="shared" si="24"/>
        <v>-45.448950000000004</v>
      </c>
    </row>
    <row r="272" spans="1:11">
      <c r="A272" t="str">
        <f>'RAW DATA 2023'!B265</f>
        <v>Roiphet1</v>
      </c>
      <c r="B272" t="str">
        <f>'RAW DATA 2023'!D265</f>
        <v>C2-G04-0064</v>
      </c>
      <c r="C272" t="str">
        <f t="shared" si="20"/>
        <v>Roiphet1C2-G04-0064</v>
      </c>
      <c r="D272">
        <f>VLOOKUP(C272,'RAW DATA 2023'!E:BP,63,0)</f>
        <v>6</v>
      </c>
      <c r="E272" t="str">
        <f t="shared" si="21"/>
        <v>Roiphet16</v>
      </c>
      <c r="F272" s="8">
        <f>VLOOKUP(C272,'RAW DATA 2023'!E:BO,23,0)</f>
        <v>148.00008918841331</v>
      </c>
      <c r="G272" s="14">
        <f t="shared" si="22"/>
        <v>-73.000089188413313</v>
      </c>
      <c r="H272" s="25">
        <f t="shared" si="23"/>
        <v>-14.600017837682664</v>
      </c>
      <c r="I272" s="80" t="str">
        <f>VLOOKUP(C272,'RAW DATA 2023'!E:BO,36,0)</f>
        <v>EHP</v>
      </c>
      <c r="J272">
        <f>VLOOKUP(C272,'RAW DATA 2023'!E:BO,21,0)</f>
        <v>3.5879099999999999</v>
      </c>
      <c r="K272" s="268">
        <f t="shared" si="24"/>
        <v>-52.383550000000007</v>
      </c>
    </row>
    <row r="273" spans="1:11">
      <c r="A273" t="str">
        <f>'RAW DATA 2023'!B266</f>
        <v>Roiphet1</v>
      </c>
      <c r="B273" t="str">
        <f>'RAW DATA 2023'!D266</f>
        <v>B3-I06-0095</v>
      </c>
      <c r="C273" t="str">
        <f t="shared" si="20"/>
        <v>Roiphet1B3-I06-0095</v>
      </c>
      <c r="D273">
        <f>VLOOKUP(C273,'RAW DATA 2023'!E:BP,63,0)</f>
        <v>8</v>
      </c>
      <c r="E273" t="str">
        <f t="shared" si="21"/>
        <v>Roiphet18</v>
      </c>
      <c r="F273" s="8">
        <f>VLOOKUP(C273,'RAW DATA 2023'!E:BO,23,0)</f>
        <v>45.000250563768482</v>
      </c>
      <c r="G273" s="14">
        <f t="shared" si="22"/>
        <v>29.999749436231518</v>
      </c>
      <c r="H273" s="25">
        <f t="shared" si="23"/>
        <v>5.999949887246304</v>
      </c>
      <c r="I273" s="80" t="str">
        <f>VLOOKUP(C273,'RAW DATA 2023'!E:BO,36,0)</f>
        <v>EHP</v>
      </c>
      <c r="J273">
        <f>VLOOKUP(C273,'RAW DATA 2023'!E:BO,21,0)</f>
        <v>1.9955000000000001</v>
      </c>
      <c r="K273" s="268">
        <f t="shared" si="24"/>
        <v>11.972899999999999</v>
      </c>
    </row>
    <row r="274" spans="1:11">
      <c r="A274" t="str">
        <f>'RAW DATA 2023'!B267</f>
        <v>Roiphet1</v>
      </c>
      <c r="B274" t="str">
        <f>'RAW DATA 2023'!D267</f>
        <v>B6-G12-0087</v>
      </c>
      <c r="C274" t="str">
        <f t="shared" si="20"/>
        <v>Roiphet1B6-G12-0087</v>
      </c>
      <c r="D274">
        <f>VLOOKUP(C274,'RAW DATA 2023'!E:BP,63,0)</f>
        <v>6</v>
      </c>
      <c r="E274" t="str">
        <f t="shared" si="21"/>
        <v>Roiphet16</v>
      </c>
      <c r="F274" s="8">
        <f>VLOOKUP(C274,'RAW DATA 2023'!E:BO,23,0)</f>
        <v>32.082846922366471</v>
      </c>
      <c r="G274" s="14">
        <f t="shared" si="22"/>
        <v>42.917153077633529</v>
      </c>
      <c r="H274" s="25">
        <f t="shared" si="23"/>
        <v>8.5834306155267068</v>
      </c>
      <c r="I274" s="80" t="str">
        <f>VLOOKUP(C274,'RAW DATA 2023'!E:BO,36,0)</f>
        <v>Normal</v>
      </c>
      <c r="J274">
        <f>VLOOKUP(C274,'RAW DATA 2023'!E:BO,21,0)</f>
        <v>8.5318799999999992</v>
      </c>
      <c r="K274" s="268">
        <f t="shared" si="24"/>
        <v>73.232799999999997</v>
      </c>
    </row>
    <row r="275" spans="1:11">
      <c r="A275" t="str">
        <f>'RAW DATA 2023'!B268</f>
        <v>Roiphet1</v>
      </c>
      <c r="B275" t="str">
        <f>'RAW DATA 2023'!D268</f>
        <v>B6-G11-0082</v>
      </c>
      <c r="C275" t="str">
        <f t="shared" si="20"/>
        <v>Roiphet1B6-G11-0082</v>
      </c>
      <c r="D275">
        <f>VLOOKUP(C275,'RAW DATA 2023'!E:BP,63,0)</f>
        <v>6</v>
      </c>
      <c r="E275" t="str">
        <f t="shared" si="21"/>
        <v>Roiphet16</v>
      </c>
      <c r="F275" s="8">
        <f>VLOOKUP(C275,'RAW DATA 2023'!E:BO,23,0)</f>
        <v>30.644062199414492</v>
      </c>
      <c r="G275" s="14">
        <f t="shared" si="22"/>
        <v>44.355937800585508</v>
      </c>
      <c r="H275" s="25">
        <f t="shared" si="23"/>
        <v>8.871187560117102</v>
      </c>
      <c r="I275" s="80" t="str">
        <f>VLOOKUP(C275,'RAW DATA 2023'!E:BO,36,0)</f>
        <v>Normal</v>
      </c>
      <c r="J275">
        <f>VLOOKUP(C275,'RAW DATA 2023'!E:BO,21,0)</f>
        <v>7.6309399999999998</v>
      </c>
      <c r="K275" s="268">
        <f t="shared" si="24"/>
        <v>67.695499999999996</v>
      </c>
    </row>
    <row r="276" spans="1:11">
      <c r="A276" t="str">
        <f>'RAW DATA 2023'!B269</f>
        <v>Roiphet1</v>
      </c>
      <c r="B276" t="str">
        <f>'RAW DATA 2023'!D269</f>
        <v>B1-I02-0096</v>
      </c>
      <c r="C276" t="str">
        <f t="shared" si="20"/>
        <v>Roiphet1B1-I02-0096</v>
      </c>
      <c r="D276">
        <f>VLOOKUP(C276,'RAW DATA 2023'!E:BP,63,0)</f>
        <v>12</v>
      </c>
      <c r="E276" t="str">
        <f t="shared" si="21"/>
        <v>Roiphet112</v>
      </c>
      <c r="F276" s="8">
        <f>VLOOKUP(C276,'RAW DATA 2023'!E:BO,23,0)</f>
        <v>40.820948336871901</v>
      </c>
      <c r="G276" s="14">
        <f t="shared" si="22"/>
        <v>34.179051663128099</v>
      </c>
      <c r="H276" s="25">
        <f t="shared" si="23"/>
        <v>6.8358103326256199</v>
      </c>
      <c r="I276" s="80" t="str">
        <f>VLOOKUP(C276,'RAW DATA 2023'!E:BO,36,0)</f>
        <v>Normal</v>
      </c>
      <c r="J276">
        <f>VLOOKUP(C276,'RAW DATA 2023'!E:BO,21,0)</f>
        <v>4.5922499999999999</v>
      </c>
      <c r="K276" s="268">
        <f t="shared" si="24"/>
        <v>31.391750000000002</v>
      </c>
    </row>
    <row r="277" spans="1:11">
      <c r="A277" t="str">
        <f>'RAW DATA 2023'!B270</f>
        <v>Roiphet1</v>
      </c>
      <c r="B277" t="str">
        <f>'RAW DATA 2023'!D270</f>
        <v>B5-I10-0091</v>
      </c>
      <c r="C277" t="str">
        <f t="shared" si="20"/>
        <v>Roiphet1B5-I10-0091</v>
      </c>
      <c r="D277">
        <f>VLOOKUP(C277,'RAW DATA 2023'!E:BP,63,0)</f>
        <v>7</v>
      </c>
      <c r="E277" t="str">
        <f t="shared" si="21"/>
        <v>Roiphet17</v>
      </c>
      <c r="F277" s="8">
        <f>VLOOKUP(C277,'RAW DATA 2023'!E:BO,23,0)</f>
        <v>48.070293912101199</v>
      </c>
      <c r="G277" s="14">
        <f t="shared" si="22"/>
        <v>26.929706087898801</v>
      </c>
      <c r="H277" s="25">
        <f t="shared" si="23"/>
        <v>5.3859412175797603</v>
      </c>
      <c r="I277" s="80" t="str">
        <f>VLOOKUP(C277,'RAW DATA 2023'!E:BO,36,0)</f>
        <v>ทยอยตาย</v>
      </c>
      <c r="J277">
        <f>VLOOKUP(C277,'RAW DATA 2023'!E:BO,21,0)</f>
        <v>2.5470199999999998</v>
      </c>
      <c r="K277" s="268">
        <f t="shared" si="24"/>
        <v>13.7181</v>
      </c>
    </row>
    <row r="278" spans="1:11">
      <c r="A278" t="str">
        <f>'RAW DATA 2023'!B271</f>
        <v>Roiphet1</v>
      </c>
      <c r="B278" t="str">
        <f>'RAW DATA 2023'!D271</f>
        <v>B5-G10-0083</v>
      </c>
      <c r="C278" t="str">
        <f t="shared" si="20"/>
        <v>Roiphet1B5-G10-0083</v>
      </c>
      <c r="D278">
        <f>VLOOKUP(C278,'RAW DATA 2023'!E:BP,63,0)</f>
        <v>5</v>
      </c>
      <c r="E278" t="str">
        <f t="shared" si="21"/>
        <v>Roiphet15</v>
      </c>
      <c r="F278" s="8">
        <f>VLOOKUP(C278,'RAW DATA 2023'!E:BO,23,0)</f>
        <v>32.475466415324476</v>
      </c>
      <c r="G278" s="14">
        <f t="shared" si="22"/>
        <v>42.524533584675524</v>
      </c>
      <c r="H278" s="25">
        <f t="shared" si="23"/>
        <v>8.5049067169351051</v>
      </c>
      <c r="I278" s="80" t="str">
        <f>VLOOKUP(C278,'RAW DATA 2023'!E:BO,36,0)</f>
        <v>Normal</v>
      </c>
      <c r="J278">
        <f>VLOOKUP(C278,'RAW DATA 2023'!E:BO,21,0)</f>
        <v>8.6575199999999999</v>
      </c>
      <c r="K278" s="268">
        <f t="shared" si="24"/>
        <v>73.631400000000014</v>
      </c>
    </row>
    <row r="279" spans="1:11">
      <c r="A279" t="str">
        <f>'RAW DATA 2023'!B272</f>
        <v>Roiphet1</v>
      </c>
      <c r="B279" t="str">
        <f>'RAW DATA 2023'!D272</f>
        <v>B1-I01-0095</v>
      </c>
      <c r="C279" t="str">
        <f t="shared" si="20"/>
        <v>Roiphet1B1-I01-0095</v>
      </c>
      <c r="D279">
        <f>VLOOKUP(C279,'RAW DATA 2023'!E:BP,63,0)</f>
        <v>6</v>
      </c>
      <c r="E279" t="str">
        <f t="shared" si="21"/>
        <v>Roiphet16</v>
      </c>
      <c r="F279" s="8">
        <f>VLOOKUP(C279,'RAW DATA 2023'!E:BO,23,0)</f>
        <v>34.196872838199383</v>
      </c>
      <c r="G279" s="14">
        <f t="shared" si="22"/>
        <v>40.803127161800617</v>
      </c>
      <c r="H279" s="25">
        <f t="shared" si="23"/>
        <v>8.1606254323601242</v>
      </c>
      <c r="I279" s="80" t="str">
        <f>VLOOKUP(C279,'RAW DATA 2023'!E:BO,36,0)</f>
        <v>ทยอยตาย</v>
      </c>
      <c r="J279">
        <f>VLOOKUP(C279,'RAW DATA 2023'!E:BO,21,0)</f>
        <v>4.7992400000000002</v>
      </c>
      <c r="K279" s="268">
        <f t="shared" si="24"/>
        <v>39.164800000000007</v>
      </c>
    </row>
    <row r="280" spans="1:11">
      <c r="A280" t="str">
        <f>'RAW DATA 2023'!B273</f>
        <v>Roiphet1</v>
      </c>
      <c r="B280" t="str">
        <f>'RAW DATA 2023'!D273</f>
        <v>B6-I12-0086</v>
      </c>
      <c r="C280" t="str">
        <f t="shared" si="20"/>
        <v>Roiphet1B6-I12-0086</v>
      </c>
      <c r="D280">
        <f>VLOOKUP(C280,'RAW DATA 2023'!E:BP,63,0)</f>
        <v>6</v>
      </c>
      <c r="E280" t="str">
        <f t="shared" si="21"/>
        <v>Roiphet16</v>
      </c>
      <c r="F280" s="8">
        <f>VLOOKUP(C280,'RAW DATA 2023'!E:BO,23,0)</f>
        <v>37.031148612037114</v>
      </c>
      <c r="G280" s="14">
        <f t="shared" si="22"/>
        <v>37.968851387962886</v>
      </c>
      <c r="H280" s="25">
        <f t="shared" si="23"/>
        <v>7.5937702775925775</v>
      </c>
      <c r="I280" s="80" t="str">
        <f>VLOOKUP(C280,'RAW DATA 2023'!E:BO,36,0)</f>
        <v>Normal</v>
      </c>
      <c r="J280">
        <f>VLOOKUP(C280,'RAW DATA 2023'!E:BO,21,0)</f>
        <v>4.4846300000000001</v>
      </c>
      <c r="K280" s="268">
        <f t="shared" si="24"/>
        <v>34.055250000000001</v>
      </c>
    </row>
    <row r="281" spans="1:11">
      <c r="A281" t="str">
        <f>'RAW DATA 2023'!B274</f>
        <v>Roiphet1</v>
      </c>
      <c r="B281" t="str">
        <f>'RAW DATA 2023'!D274</f>
        <v>B2-G04-0092</v>
      </c>
      <c r="C281" t="str">
        <f t="shared" si="20"/>
        <v>Roiphet1B2-G04-0092</v>
      </c>
      <c r="D281">
        <f>VLOOKUP(C281,'RAW DATA 2023'!E:BP,63,0)</f>
        <v>6</v>
      </c>
      <c r="E281" t="str">
        <f t="shared" si="21"/>
        <v>Roiphet16</v>
      </c>
      <c r="F281" s="8">
        <f>VLOOKUP(C281,'RAW DATA 2023'!E:BO,23,0)</f>
        <v>39.692790211284553</v>
      </c>
      <c r="G281" s="14">
        <f t="shared" si="22"/>
        <v>35.307209788715447</v>
      </c>
      <c r="H281" s="25">
        <f t="shared" si="23"/>
        <v>7.0614419577430896</v>
      </c>
      <c r="I281" s="80" t="str">
        <f>VLOOKUP(C281,'RAW DATA 2023'!E:BO,36,0)</f>
        <v>ทยอยตาย</v>
      </c>
      <c r="J281">
        <f>VLOOKUP(C281,'RAW DATA 2023'!E:BO,21,0)</f>
        <v>5.9431700000000003</v>
      </c>
      <c r="K281" s="268">
        <f t="shared" si="24"/>
        <v>41.967350000000003</v>
      </c>
    </row>
    <row r="282" spans="1:11">
      <c r="A282" t="str">
        <f>'RAW DATA 2023'!B275</f>
        <v>Roiphet1</v>
      </c>
      <c r="B282" t="str">
        <f>'RAW DATA 2023'!D275</f>
        <v>B5-I10-0090</v>
      </c>
      <c r="C282" t="str">
        <f t="shared" si="20"/>
        <v>Roiphet1B5-I10-0090</v>
      </c>
      <c r="D282">
        <f>VLOOKUP(C282,'RAW DATA 2023'!E:BP,63,0)</f>
        <v>5</v>
      </c>
      <c r="E282" t="str">
        <f t="shared" si="21"/>
        <v>Roiphet15</v>
      </c>
      <c r="F282" s="8">
        <f>VLOOKUP(C282,'RAW DATA 2023'!E:BO,23,0)</f>
        <v>29.751572487854769</v>
      </c>
      <c r="G282" s="14">
        <f t="shared" si="22"/>
        <v>45.248427512145227</v>
      </c>
      <c r="H282" s="25">
        <f t="shared" si="23"/>
        <v>9.0496855024290461</v>
      </c>
      <c r="I282" s="80" t="str">
        <f>VLOOKUP(C282,'RAW DATA 2023'!E:BO,36,0)</f>
        <v>Normal</v>
      </c>
      <c r="J282">
        <f>VLOOKUP(C282,'RAW DATA 2023'!E:BO,21,0)</f>
        <v>4.8887499999999999</v>
      </c>
      <c r="K282" s="268">
        <f t="shared" si="24"/>
        <v>44.24165</v>
      </c>
    </row>
    <row r="283" spans="1:11">
      <c r="A283" t="str">
        <f>'RAW DATA 2023'!B276</f>
        <v>Roiphet1</v>
      </c>
      <c r="B283" t="str">
        <f>'RAW DATA 2023'!D276</f>
        <v>B5-I09-0093</v>
      </c>
      <c r="C283" t="str">
        <f t="shared" si="20"/>
        <v>Roiphet1B5-I09-0093</v>
      </c>
      <c r="D283">
        <f>VLOOKUP(C283,'RAW DATA 2023'!E:BP,63,0)</f>
        <v>5</v>
      </c>
      <c r="E283" t="str">
        <f t="shared" si="21"/>
        <v>Roiphet15</v>
      </c>
      <c r="F283" s="8">
        <f>VLOOKUP(C283,'RAW DATA 2023'!E:BO,23,0)</f>
        <v>31.974206943363075</v>
      </c>
      <c r="G283" s="14">
        <f t="shared" si="22"/>
        <v>43.025793056636928</v>
      </c>
      <c r="H283" s="25">
        <f t="shared" si="23"/>
        <v>8.6051586113273864</v>
      </c>
      <c r="I283" s="80" t="str">
        <f>VLOOKUP(C283,'RAW DATA 2023'!E:BO,36,0)</f>
        <v>Normal</v>
      </c>
      <c r="J283">
        <f>VLOOKUP(C283,'RAW DATA 2023'!E:BO,21,0)</f>
        <v>5.0091000000000001</v>
      </c>
      <c r="K283" s="268">
        <f t="shared" si="24"/>
        <v>43.10410000000001</v>
      </c>
    </row>
    <row r="284" spans="1:11">
      <c r="A284" t="str">
        <f>'RAW DATA 2023'!B277</f>
        <v>Roiphet1</v>
      </c>
      <c r="B284" t="str">
        <f>'RAW DATA 2023'!D277</f>
        <v>B4-G07-0076</v>
      </c>
      <c r="C284" t="str">
        <f t="shared" si="20"/>
        <v>Roiphet1B4-G07-0076</v>
      </c>
      <c r="D284">
        <f>VLOOKUP(C284,'RAW DATA 2023'!E:BP,63,0)</f>
        <v>3</v>
      </c>
      <c r="E284" t="str">
        <f t="shared" si="21"/>
        <v>Roiphet13</v>
      </c>
      <c r="F284" s="8">
        <f>VLOOKUP(C284,'RAW DATA 2023'!E:BO,23,0)</f>
        <v>38.632170702312379</v>
      </c>
      <c r="G284" s="14">
        <f t="shared" si="22"/>
        <v>36.367829297687621</v>
      </c>
      <c r="H284" s="25">
        <f t="shared" si="23"/>
        <v>7.2735658595375243</v>
      </c>
      <c r="I284" s="80" t="str">
        <f>VLOOKUP(C284,'RAW DATA 2023'!E:BO,36,0)</f>
        <v>Normal</v>
      </c>
      <c r="J284">
        <f>VLOOKUP(C284,'RAW DATA 2023'!E:BO,21,0)</f>
        <v>7.8161800000000001</v>
      </c>
      <c r="K284" s="268">
        <f t="shared" si="24"/>
        <v>56.851500000000009</v>
      </c>
    </row>
    <row r="285" spans="1:11">
      <c r="A285" t="str">
        <f>'RAW DATA 2023'!B278</f>
        <v>Roiphet1</v>
      </c>
      <c r="B285" t="str">
        <f>'RAW DATA 2023'!D278</f>
        <v>B1-G02-0089</v>
      </c>
      <c r="C285" t="str">
        <f t="shared" si="20"/>
        <v>Roiphet1B1-G02-0089</v>
      </c>
      <c r="D285">
        <f>VLOOKUP(C285,'RAW DATA 2023'!E:BP,63,0)</f>
        <v>12</v>
      </c>
      <c r="E285" t="str">
        <f t="shared" si="21"/>
        <v>Roiphet112</v>
      </c>
      <c r="F285" s="8">
        <f>VLOOKUP(C285,'RAW DATA 2023'!E:BO,23,0)</f>
        <v>37.599456049588042</v>
      </c>
      <c r="G285" s="14">
        <f t="shared" si="22"/>
        <v>37.400543950411958</v>
      </c>
      <c r="H285" s="25">
        <f t="shared" si="23"/>
        <v>7.4801087900823919</v>
      </c>
      <c r="I285" s="80" t="str">
        <f>VLOOKUP(C285,'RAW DATA 2023'!E:BO,36,0)</f>
        <v>Normal</v>
      </c>
      <c r="J285">
        <f>VLOOKUP(C285,'RAW DATA 2023'!E:BO,21,0)</f>
        <v>10.75098</v>
      </c>
      <c r="K285" s="268">
        <f t="shared" si="24"/>
        <v>80.418499999999995</v>
      </c>
    </row>
    <row r="286" spans="1:11">
      <c r="A286" t="str">
        <f>'RAW DATA 2023'!B279</f>
        <v>Roiphet1</v>
      </c>
      <c r="B286" t="str">
        <f>'RAW DATA 2023'!D279</f>
        <v>B4-I08-0089</v>
      </c>
      <c r="C286" t="str">
        <f t="shared" si="20"/>
        <v>Roiphet1B4-I08-0089</v>
      </c>
      <c r="D286">
        <f>VLOOKUP(C286,'RAW DATA 2023'!E:BP,63,0)</f>
        <v>7</v>
      </c>
      <c r="E286" t="str">
        <f t="shared" si="21"/>
        <v>Roiphet17</v>
      </c>
      <c r="F286" s="8">
        <f>VLOOKUP(C286,'RAW DATA 2023'!E:BO,23,0)</f>
        <v>37.159554683428219</v>
      </c>
      <c r="G286" s="14">
        <f t="shared" si="22"/>
        <v>37.840445316571781</v>
      </c>
      <c r="H286" s="25">
        <f t="shared" si="23"/>
        <v>7.5680890633143569</v>
      </c>
      <c r="I286" s="80" t="str">
        <f>VLOOKUP(C286,'RAW DATA 2023'!E:BO,36,0)</f>
        <v>ทยอยตาย</v>
      </c>
      <c r="J286">
        <f>VLOOKUP(C286,'RAW DATA 2023'!E:BO,21,0)</f>
        <v>3.5112100000000002</v>
      </c>
      <c r="K286" s="268">
        <f t="shared" si="24"/>
        <v>26.573150000000005</v>
      </c>
    </row>
    <row r="287" spans="1:11">
      <c r="A287" t="str">
        <f>'RAW DATA 2023'!B280</f>
        <v>Roiphet1</v>
      </c>
      <c r="B287" t="str">
        <f>'RAW DATA 2023'!D280</f>
        <v>B2-I04-0098</v>
      </c>
      <c r="C287" t="str">
        <f t="shared" si="20"/>
        <v>Roiphet1B2-I04-0098</v>
      </c>
      <c r="D287">
        <f>VLOOKUP(C287,'RAW DATA 2023'!E:BP,63,0)</f>
        <v>6</v>
      </c>
      <c r="E287" t="str">
        <f t="shared" si="21"/>
        <v>Roiphet16</v>
      </c>
      <c r="F287" s="8">
        <f>VLOOKUP(C287,'RAW DATA 2023'!E:BO,23,0)</f>
        <v>41.471341429585095</v>
      </c>
      <c r="G287" s="14">
        <f t="shared" si="22"/>
        <v>33.528658570414905</v>
      </c>
      <c r="H287" s="25">
        <f t="shared" si="23"/>
        <v>6.7057317140829813</v>
      </c>
      <c r="I287" s="80" t="str">
        <f>VLOOKUP(C287,'RAW DATA 2023'!E:BO,36,0)</f>
        <v>ทยอยตาย</v>
      </c>
      <c r="J287">
        <f>VLOOKUP(C287,'RAW DATA 2023'!E:BO,21,0)</f>
        <v>3.4246300000000001</v>
      </c>
      <c r="K287" s="268">
        <f t="shared" si="24"/>
        <v>22.964649999999999</v>
      </c>
    </row>
    <row r="288" spans="1:11">
      <c r="A288" t="str">
        <f>'RAW DATA 2023'!B281</f>
        <v>Roiphet1</v>
      </c>
      <c r="B288" t="str">
        <f>'RAW DATA 2023'!D281</f>
        <v>B4-I08-0088</v>
      </c>
      <c r="C288" t="str">
        <f t="shared" si="20"/>
        <v>Roiphet1B4-I08-0088</v>
      </c>
      <c r="D288">
        <f>VLOOKUP(C288,'RAW DATA 2023'!E:BP,63,0)</f>
        <v>3</v>
      </c>
      <c r="E288" t="str">
        <f t="shared" si="21"/>
        <v>Roiphet13</v>
      </c>
      <c r="F288" s="8">
        <f>VLOOKUP(C288,'RAW DATA 2023'!E:BO,23,0)</f>
        <v>36.605916923617812</v>
      </c>
      <c r="G288" s="14">
        <f t="shared" si="22"/>
        <v>38.394083076382188</v>
      </c>
      <c r="H288" s="25">
        <f t="shared" si="23"/>
        <v>7.6788166152764381</v>
      </c>
      <c r="I288" s="80" t="str">
        <f>VLOOKUP(C288,'RAW DATA 2023'!E:BO,36,0)</f>
        <v>Normal</v>
      </c>
      <c r="J288">
        <f>VLOOKUP(C288,'RAW DATA 2023'!E:BO,21,0)</f>
        <v>4.2096200000000001</v>
      </c>
      <c r="K288" s="268">
        <f t="shared" si="24"/>
        <v>32.3249</v>
      </c>
    </row>
    <row r="289" spans="1:11">
      <c r="A289" t="str">
        <f>'RAW DATA 2023'!B282</f>
        <v>Roiphet1</v>
      </c>
      <c r="B289" t="str">
        <f>'RAW DATA 2023'!D282</f>
        <v>B1-I01-0096</v>
      </c>
      <c r="C289" t="str">
        <f t="shared" si="20"/>
        <v>Roiphet1B1-I01-0096</v>
      </c>
      <c r="D289">
        <f>VLOOKUP(C289,'RAW DATA 2023'!E:BP,63,0)</f>
        <v>12</v>
      </c>
      <c r="E289" t="str">
        <f t="shared" si="21"/>
        <v>Roiphet112</v>
      </c>
      <c r="F289" s="8">
        <f>VLOOKUP(C289,'RAW DATA 2023'!E:BO,23,0)</f>
        <v>39.834697398167769</v>
      </c>
      <c r="G289" s="14">
        <f t="shared" si="22"/>
        <v>35.165302601832231</v>
      </c>
      <c r="H289" s="25">
        <f t="shared" si="23"/>
        <v>7.0330605203664467</v>
      </c>
      <c r="I289" s="80" t="str">
        <f>VLOOKUP(C289,'RAW DATA 2023'!E:BO,36,0)</f>
        <v>Normal</v>
      </c>
      <c r="J289">
        <f>VLOOKUP(C289,'RAW DATA 2023'!E:BO,21,0)</f>
        <v>5.07796</v>
      </c>
      <c r="K289" s="268">
        <f t="shared" si="24"/>
        <v>35.7136</v>
      </c>
    </row>
    <row r="290" spans="1:11">
      <c r="A290" t="str">
        <f>'RAW DATA 2023'!B283</f>
        <v>Roiphet1</v>
      </c>
      <c r="B290" t="str">
        <f>'RAW DATA 2023'!D283</f>
        <v>B4-I07-0088</v>
      </c>
      <c r="C290" t="str">
        <f t="shared" si="20"/>
        <v>Roiphet1B4-I07-0088</v>
      </c>
      <c r="D290">
        <f>VLOOKUP(C290,'RAW DATA 2023'!E:BP,63,0)</f>
        <v>3</v>
      </c>
      <c r="E290" t="str">
        <f t="shared" si="21"/>
        <v>Roiphet13</v>
      </c>
      <c r="F290" s="8">
        <f>VLOOKUP(C290,'RAW DATA 2023'!E:BO,23,0)</f>
        <v>36.274127531007032</v>
      </c>
      <c r="G290" s="14">
        <f t="shared" si="22"/>
        <v>38.725872468992968</v>
      </c>
      <c r="H290" s="25">
        <f t="shared" si="23"/>
        <v>7.7451744937985936</v>
      </c>
      <c r="I290" s="80" t="str">
        <f>VLOOKUP(C290,'RAW DATA 2023'!E:BO,36,0)</f>
        <v>Normal</v>
      </c>
      <c r="J290">
        <f>VLOOKUP(C290,'RAW DATA 2023'!E:BO,21,0)</f>
        <v>4.6932900000000002</v>
      </c>
      <c r="K290" s="268">
        <f t="shared" si="24"/>
        <v>36.350350000000006</v>
      </c>
    </row>
    <row r="291" spans="1:11">
      <c r="A291" t="str">
        <f>'RAW DATA 2023'!B284</f>
        <v>Roiphet1</v>
      </c>
      <c r="B291" t="str">
        <f>'RAW DATA 2023'!D284</f>
        <v>B5-G09-0084</v>
      </c>
      <c r="C291" t="str">
        <f t="shared" si="20"/>
        <v>Roiphet1B5-G09-0084</v>
      </c>
      <c r="D291">
        <f>VLOOKUP(C291,'RAW DATA 2023'!E:BP,63,0)</f>
        <v>5</v>
      </c>
      <c r="E291" t="str">
        <f t="shared" si="21"/>
        <v>Roiphet15</v>
      </c>
      <c r="F291" s="8">
        <f>VLOOKUP(C291,'RAW DATA 2023'!E:BO,23,0)</f>
        <v>35.175029713266973</v>
      </c>
      <c r="G291" s="14">
        <f t="shared" si="22"/>
        <v>39.824970286733027</v>
      </c>
      <c r="H291" s="25">
        <f t="shared" si="23"/>
        <v>7.9649940573466056</v>
      </c>
      <c r="I291" s="80" t="str">
        <f>VLOOKUP(C291,'RAW DATA 2023'!E:BO,36,0)</f>
        <v>Normal</v>
      </c>
      <c r="J291">
        <f>VLOOKUP(C291,'RAW DATA 2023'!E:BO,21,0)</f>
        <v>10.769600000000001</v>
      </c>
      <c r="K291" s="268">
        <f t="shared" si="24"/>
        <v>85.779800000000009</v>
      </c>
    </row>
    <row r="292" spans="1:11">
      <c r="A292" t="str">
        <f>'RAW DATA 2023'!B285</f>
        <v>Roiphet1</v>
      </c>
      <c r="B292" t="str">
        <f>'RAW DATA 2023'!D285</f>
        <v>B1-G01-0085</v>
      </c>
      <c r="C292" t="str">
        <f t="shared" si="20"/>
        <v>Roiphet1B1-G01-0085</v>
      </c>
      <c r="D292">
        <f>VLOOKUP(C292,'RAW DATA 2023'!E:BP,63,0)</f>
        <v>12</v>
      </c>
      <c r="E292" t="str">
        <f t="shared" si="21"/>
        <v>Roiphet112</v>
      </c>
      <c r="F292" s="8">
        <f>VLOOKUP(C292,'RAW DATA 2023'!E:BO,23,0)</f>
        <v>38.290522961517077</v>
      </c>
      <c r="G292" s="14">
        <f t="shared" si="22"/>
        <v>36.709477038482923</v>
      </c>
      <c r="H292" s="25">
        <f t="shared" si="23"/>
        <v>7.341895407696585</v>
      </c>
      <c r="I292" s="80" t="str">
        <f>VLOOKUP(C292,'RAW DATA 2023'!E:BO,36,0)</f>
        <v>Normal</v>
      </c>
      <c r="J292">
        <f>VLOOKUP(C292,'RAW DATA 2023'!E:BO,21,0)</f>
        <v>11.09661</v>
      </c>
      <c r="K292" s="268">
        <f t="shared" si="24"/>
        <v>81.470150000000004</v>
      </c>
    </row>
    <row r="293" spans="1:11">
      <c r="A293" t="str">
        <f>'RAW DATA 2023'!B286</f>
        <v>Roiphet1</v>
      </c>
      <c r="B293" t="str">
        <f>'RAW DATA 2023'!D286</f>
        <v>B6-I11-0083</v>
      </c>
      <c r="C293" t="str">
        <f t="shared" si="20"/>
        <v>Roiphet1B6-I11-0083</v>
      </c>
      <c r="D293">
        <f>VLOOKUP(C293,'RAW DATA 2023'!E:BP,63,0)</f>
        <v>6</v>
      </c>
      <c r="E293" t="str">
        <f t="shared" si="21"/>
        <v>Roiphet16</v>
      </c>
      <c r="F293" s="8">
        <f>VLOOKUP(C293,'RAW DATA 2023'!E:BO,23,0)</f>
        <v>38.101334662708751</v>
      </c>
      <c r="G293" s="14">
        <f t="shared" si="22"/>
        <v>36.898665337291249</v>
      </c>
      <c r="H293" s="25">
        <f t="shared" si="23"/>
        <v>7.3797330674582504</v>
      </c>
      <c r="I293" s="80" t="str">
        <f>VLOOKUP(C293,'RAW DATA 2023'!E:BO,36,0)</f>
        <v>Normal</v>
      </c>
      <c r="J293">
        <f>VLOOKUP(C293,'RAW DATA 2023'!E:BO,21,0)</f>
        <v>4.4131</v>
      </c>
      <c r="K293" s="268">
        <f t="shared" si="24"/>
        <v>32.567500000000003</v>
      </c>
    </row>
    <row r="294" spans="1:11">
      <c r="A294" t="str">
        <f>'RAW DATA 2023'!B287</f>
        <v>Roiphet1</v>
      </c>
      <c r="B294" t="str">
        <f>'RAW DATA 2023'!D287</f>
        <v>B5-I09-0094</v>
      </c>
      <c r="C294" t="str">
        <f t="shared" si="20"/>
        <v>Roiphet1B5-I09-0094</v>
      </c>
      <c r="D294">
        <f>VLOOKUP(C294,'RAW DATA 2023'!E:BP,63,0)</f>
        <v>7</v>
      </c>
      <c r="E294" t="str">
        <f t="shared" si="21"/>
        <v>Roiphet17</v>
      </c>
      <c r="F294" s="8">
        <f>VLOOKUP(C294,'RAW DATA 2023'!E:BO,23,0)</f>
        <v>57.289810435886309</v>
      </c>
      <c r="G294" s="14">
        <f t="shared" si="22"/>
        <v>17.710189564113691</v>
      </c>
      <c r="H294" s="25">
        <f t="shared" si="23"/>
        <v>3.5420379128227384</v>
      </c>
      <c r="I294" s="80" t="str">
        <f>VLOOKUP(C294,'RAW DATA 2023'!E:BO,36,0)</f>
        <v>ทยอยตาย</v>
      </c>
      <c r="J294">
        <f>VLOOKUP(C294,'RAW DATA 2023'!E:BO,21,0)</f>
        <v>2.7890300000000003</v>
      </c>
      <c r="K294" s="268">
        <f t="shared" si="24"/>
        <v>9.8788500000000035</v>
      </c>
    </row>
    <row r="295" spans="1:11">
      <c r="A295" t="str">
        <f>'RAW DATA 2023'!B288</f>
        <v>Roiphet1</v>
      </c>
      <c r="B295" t="str">
        <f>'RAW DATA 2023'!D288</f>
        <v>B5-G09-0085</v>
      </c>
      <c r="C295" t="str">
        <f t="shared" si="20"/>
        <v>Roiphet1B5-G09-0085</v>
      </c>
      <c r="D295">
        <f>VLOOKUP(C295,'RAW DATA 2023'!E:BP,63,0)</f>
        <v>7</v>
      </c>
      <c r="E295" t="str">
        <f t="shared" si="21"/>
        <v>Roiphet17</v>
      </c>
      <c r="F295" s="8">
        <f>VLOOKUP(C295,'RAW DATA 2023'!E:BO,23,0)</f>
        <v>55.421984005444955</v>
      </c>
      <c r="G295" s="14">
        <f t="shared" si="22"/>
        <v>19.578015994555045</v>
      </c>
      <c r="H295" s="25">
        <f t="shared" si="23"/>
        <v>3.9156031989110094</v>
      </c>
      <c r="I295" s="80" t="str">
        <f>VLOOKUP(C295,'RAW DATA 2023'!E:BO,36,0)</f>
        <v>ทยอยตาย</v>
      </c>
      <c r="J295">
        <f>VLOOKUP(C295,'RAW DATA 2023'!E:BO,21,0)</f>
        <v>5.8769999999999998</v>
      </c>
      <c r="K295" s="268">
        <f t="shared" si="24"/>
        <v>23.012</v>
      </c>
    </row>
    <row r="296" spans="1:11">
      <c r="A296" t="str">
        <f>'RAW DATA 2023'!B289</f>
        <v>Roiphet1</v>
      </c>
      <c r="B296" t="str">
        <f>'RAW DATA 2023'!D289</f>
        <v>B2-I03-0095</v>
      </c>
      <c r="C296" t="str">
        <f t="shared" si="20"/>
        <v>Roiphet1B2-I03-0095</v>
      </c>
      <c r="D296">
        <f>VLOOKUP(C296,'RAW DATA 2023'!E:BP,63,0)</f>
        <v>6</v>
      </c>
      <c r="E296" t="str">
        <f t="shared" si="21"/>
        <v>Roiphet16</v>
      </c>
      <c r="F296" s="8">
        <f>VLOOKUP(C296,'RAW DATA 2023'!E:BO,23,0)</f>
        <v>41.780471462508373</v>
      </c>
      <c r="G296" s="14">
        <f t="shared" si="22"/>
        <v>33.219528537491627</v>
      </c>
      <c r="H296" s="25">
        <f t="shared" si="23"/>
        <v>6.6439057074983259</v>
      </c>
      <c r="I296" s="80" t="str">
        <f>VLOOKUP(C296,'RAW DATA 2023'!E:BO,36,0)</f>
        <v>ทยอยตาย</v>
      </c>
      <c r="J296">
        <f>VLOOKUP(C296,'RAW DATA 2023'!E:BO,21,0)</f>
        <v>3.2833999999999999</v>
      </c>
      <c r="K296" s="268">
        <f t="shared" si="24"/>
        <v>21.814600000000002</v>
      </c>
    </row>
    <row r="297" spans="1:11">
      <c r="A297" t="str">
        <f>'RAW DATA 2023'!B290</f>
        <v>Roiphet1</v>
      </c>
      <c r="B297" t="str">
        <f>'RAW DATA 2023'!D290</f>
        <v>B3-G05-0092</v>
      </c>
      <c r="C297" t="str">
        <f t="shared" si="20"/>
        <v>Roiphet1B3-G05-0092</v>
      </c>
      <c r="D297">
        <f>VLOOKUP(C297,'RAW DATA 2023'!E:BP,63,0)</f>
        <v>5</v>
      </c>
      <c r="E297" t="str">
        <f t="shared" si="21"/>
        <v>Roiphet15</v>
      </c>
      <c r="F297" s="8">
        <f>VLOOKUP(C297,'RAW DATA 2023'!E:BO,23,0)</f>
        <v>32.013610108673483</v>
      </c>
      <c r="G297" s="14">
        <f t="shared" si="22"/>
        <v>42.986389891326517</v>
      </c>
      <c r="H297" s="25">
        <f t="shared" si="23"/>
        <v>8.5972779782653035</v>
      </c>
      <c r="I297" s="80" t="str">
        <f>VLOOKUP(C297,'RAW DATA 2023'!E:BO,36,0)</f>
        <v>Normal</v>
      </c>
      <c r="J297">
        <f>VLOOKUP(C297,'RAW DATA 2023'!E:BO,21,0)</f>
        <v>8.7758299999999991</v>
      </c>
      <c r="K297" s="268">
        <f t="shared" si="24"/>
        <v>75.448249999999987</v>
      </c>
    </row>
    <row r="298" spans="1:11">
      <c r="A298" t="str">
        <f>'RAW DATA 2023'!B291</f>
        <v>Roiphet1</v>
      </c>
      <c r="B298" t="str">
        <f>'RAW DATA 2023'!D291</f>
        <v>B3-G06-0081</v>
      </c>
      <c r="C298" t="str">
        <f t="shared" si="20"/>
        <v>Roiphet1B3-G06-0081</v>
      </c>
      <c r="D298">
        <f>VLOOKUP(C298,'RAW DATA 2023'!E:BP,63,0)</f>
        <v>6</v>
      </c>
      <c r="E298" t="str">
        <f t="shared" si="21"/>
        <v>Roiphet16</v>
      </c>
      <c r="F298" s="8">
        <f>VLOOKUP(C298,'RAW DATA 2023'!E:BO,23,0)</f>
        <v>36.776492420432078</v>
      </c>
      <c r="G298" s="14">
        <f t="shared" si="22"/>
        <v>38.223507579567922</v>
      </c>
      <c r="H298" s="25">
        <f t="shared" si="23"/>
        <v>7.6447015159135852</v>
      </c>
      <c r="I298" s="80" t="str">
        <f>VLOOKUP(C298,'RAW DATA 2023'!E:BO,36,0)</f>
        <v>Normal</v>
      </c>
      <c r="J298">
        <f>VLOOKUP(C298,'RAW DATA 2023'!E:BO,21,0)</f>
        <v>10.119969999999999</v>
      </c>
      <c r="K298" s="268">
        <f t="shared" si="24"/>
        <v>77.364149999999995</v>
      </c>
    </row>
    <row r="299" spans="1:11">
      <c r="A299" t="str">
        <f>'RAW DATA 2023'!B292</f>
        <v>Roiphet1</v>
      </c>
      <c r="B299" t="str">
        <f>'RAW DATA 2023'!D292</f>
        <v>B4-G08-0080</v>
      </c>
      <c r="C299" t="str">
        <f t="shared" si="20"/>
        <v>Roiphet1B4-G08-0080</v>
      </c>
      <c r="D299">
        <f>VLOOKUP(C299,'RAW DATA 2023'!E:BP,63,0)</f>
        <v>7</v>
      </c>
      <c r="E299" t="str">
        <f t="shared" si="21"/>
        <v>Roiphet17</v>
      </c>
      <c r="F299" s="8">
        <f>VLOOKUP(C299,'RAW DATA 2023'!E:BO,23,0)</f>
        <v>40.382339132562308</v>
      </c>
      <c r="G299" s="14">
        <f t="shared" si="22"/>
        <v>34.617660867437692</v>
      </c>
      <c r="H299" s="25">
        <f t="shared" si="23"/>
        <v>6.9235321734875388</v>
      </c>
      <c r="I299" s="80" t="str">
        <f>VLOOKUP(C299,'RAW DATA 2023'!E:BO,36,0)</f>
        <v>ทยอยตาย</v>
      </c>
      <c r="J299">
        <f>VLOOKUP(C299,'RAW DATA 2023'!E:BO,21,0)</f>
        <v>7.56135</v>
      </c>
      <c r="K299" s="268">
        <f t="shared" si="24"/>
        <v>52.35125</v>
      </c>
    </row>
    <row r="300" spans="1:11">
      <c r="A300" t="str">
        <f>'RAW DATA 2023'!B293</f>
        <v>Roiphet1</v>
      </c>
      <c r="B300" t="str">
        <f>'RAW DATA 2023'!D293</f>
        <v>B4-I07-0089</v>
      </c>
      <c r="C300" t="str">
        <f t="shared" si="20"/>
        <v>Roiphet1B4-I07-0089</v>
      </c>
      <c r="D300">
        <f>VLOOKUP(C300,'RAW DATA 2023'!E:BP,63,0)</f>
        <v>7</v>
      </c>
      <c r="E300" t="str">
        <f t="shared" si="21"/>
        <v>Roiphet17</v>
      </c>
      <c r="F300" s="8">
        <f>VLOOKUP(C300,'RAW DATA 2023'!E:BO,23,0)</f>
        <v>37.575926183521119</v>
      </c>
      <c r="G300" s="14">
        <f t="shared" si="22"/>
        <v>37.424073816478881</v>
      </c>
      <c r="H300" s="25">
        <f t="shared" si="23"/>
        <v>7.4848147632957769</v>
      </c>
      <c r="I300" s="80" t="str">
        <f>VLOOKUP(C300,'RAW DATA 2023'!E:BO,36,0)</f>
        <v>ทยอยตาย</v>
      </c>
      <c r="J300">
        <f>VLOOKUP(C300,'RAW DATA 2023'!E:BO,21,0)</f>
        <v>3.6663899999999998</v>
      </c>
      <c r="K300" s="268">
        <f t="shared" si="24"/>
        <v>27.442250000000001</v>
      </c>
    </row>
    <row r="301" spans="1:11">
      <c r="A301" t="str">
        <f>'RAW DATA 2023'!B294</f>
        <v>Roiphet1</v>
      </c>
      <c r="B301" t="str">
        <f>'RAW DATA 2023'!D294</f>
        <v>B3-I05-0092</v>
      </c>
      <c r="C301" t="str">
        <f t="shared" si="20"/>
        <v>Roiphet1B3-I05-0092</v>
      </c>
      <c r="D301">
        <f>VLOOKUP(C301,'RAW DATA 2023'!E:BP,63,0)</f>
        <v>5</v>
      </c>
      <c r="E301" t="str">
        <f t="shared" si="21"/>
        <v>Roiphet15</v>
      </c>
      <c r="F301" s="8">
        <f>VLOOKUP(C301,'RAW DATA 2023'!E:BO,23,0)</f>
        <v>32.16400289779893</v>
      </c>
      <c r="G301" s="14">
        <f t="shared" si="22"/>
        <v>42.83599710220107</v>
      </c>
      <c r="H301" s="25">
        <f t="shared" si="23"/>
        <v>8.5671994204402147</v>
      </c>
      <c r="I301" s="80" t="str">
        <f>VLOOKUP(C301,'RAW DATA 2023'!E:BO,36,0)</f>
        <v>Normal</v>
      </c>
      <c r="J301">
        <f>VLOOKUP(C301,'RAW DATA 2023'!E:BO,21,0)</f>
        <v>4.4723600000000001</v>
      </c>
      <c r="K301" s="268">
        <f t="shared" si="24"/>
        <v>38.315599999999996</v>
      </c>
    </row>
    <row r="302" spans="1:11">
      <c r="A302" t="str">
        <f>'RAW DATA 2023'!B295</f>
        <v>Roiphet1</v>
      </c>
      <c r="B302" t="str">
        <f>'RAW DATA 2023'!D295</f>
        <v>B4-G07-0077</v>
      </c>
      <c r="C302" t="str">
        <f t="shared" si="20"/>
        <v>Roiphet1B4-G07-0077</v>
      </c>
      <c r="D302">
        <f>VLOOKUP(C302,'RAW DATA 2023'!E:BP,63,0)</f>
        <v>7</v>
      </c>
      <c r="E302" t="str">
        <f t="shared" si="21"/>
        <v>Roiphet17</v>
      </c>
      <c r="F302" s="8">
        <f>VLOOKUP(C302,'RAW DATA 2023'!E:BO,23,0)</f>
        <v>46.221216157071659</v>
      </c>
      <c r="G302" s="14">
        <f t="shared" si="22"/>
        <v>28.778783842928341</v>
      </c>
      <c r="H302" s="25">
        <f t="shared" si="23"/>
        <v>5.7557567685856688</v>
      </c>
      <c r="I302" s="80" t="str">
        <f>VLOOKUP(C302,'RAW DATA 2023'!E:BO,36,0)</f>
        <v>Normal</v>
      </c>
      <c r="J302">
        <f>VLOOKUP(C302,'RAW DATA 2023'!E:BO,21,0)</f>
        <v>6.3746700000000001</v>
      </c>
      <c r="K302" s="268">
        <f t="shared" si="24"/>
        <v>36.691050000000004</v>
      </c>
    </row>
    <row r="303" spans="1:11">
      <c r="A303" t="str">
        <f>'RAW DATA 2023'!B296</f>
        <v>Roiphet1</v>
      </c>
      <c r="B303" t="str">
        <f>'RAW DATA 2023'!D296</f>
        <v>B6-I12-0087</v>
      </c>
      <c r="C303" t="str">
        <f t="shared" si="20"/>
        <v>Roiphet1B6-I12-0087</v>
      </c>
      <c r="D303">
        <f>VLOOKUP(C303,'RAW DATA 2023'!E:BP,63,0)</f>
        <v>8</v>
      </c>
      <c r="E303" t="str">
        <f t="shared" si="21"/>
        <v>Roiphet18</v>
      </c>
      <c r="F303" s="8">
        <f>VLOOKUP(C303,'RAW DATA 2023'!E:BO,23,0)</f>
        <v>74.999790242060669</v>
      </c>
      <c r="G303" s="14">
        <f t="shared" si="22"/>
        <v>2.0975793933075693E-4</v>
      </c>
      <c r="H303" s="25">
        <f t="shared" si="23"/>
        <v>4.1951587866151387E-5</v>
      </c>
      <c r="I303" s="80" t="str">
        <f>VLOOKUP(C303,'RAW DATA 2023'!E:BO,36,0)</f>
        <v>EHP</v>
      </c>
      <c r="J303">
        <f>VLOOKUP(C303,'RAW DATA 2023'!E:BO,21,0)</f>
        <v>2.3836999999999997</v>
      </c>
      <c r="K303" s="268">
        <f t="shared" si="24"/>
        <v>9.9999999996545045E-5</v>
      </c>
    </row>
    <row r="304" spans="1:11">
      <c r="A304" t="str">
        <f>'RAW DATA 2023'!B297</f>
        <v>Roiphet1</v>
      </c>
      <c r="B304" t="str">
        <f>'RAW DATA 2023'!D297</f>
        <v>B1-I02-0095</v>
      </c>
      <c r="C304" t="str">
        <f t="shared" si="20"/>
        <v>Roiphet1B1-I02-0095</v>
      </c>
      <c r="D304">
        <f>VLOOKUP(C304,'RAW DATA 2023'!E:BP,63,0)</f>
        <v>6</v>
      </c>
      <c r="E304" t="str">
        <f t="shared" si="21"/>
        <v>Roiphet16</v>
      </c>
      <c r="F304" s="8">
        <f>VLOOKUP(C304,'RAW DATA 2023'!E:BO,23,0)</f>
        <v>39.288387988538595</v>
      </c>
      <c r="G304" s="14">
        <f t="shared" si="22"/>
        <v>35.711612011461405</v>
      </c>
      <c r="H304" s="25">
        <f t="shared" si="23"/>
        <v>7.1423224022922813</v>
      </c>
      <c r="I304" s="80" t="str">
        <f>VLOOKUP(C304,'RAW DATA 2023'!E:BO,36,0)</f>
        <v>ทยอยตาย</v>
      </c>
      <c r="J304">
        <f>VLOOKUP(C304,'RAW DATA 2023'!E:BO,21,0)</f>
        <v>5.6502700000000008</v>
      </c>
      <c r="K304" s="268">
        <f t="shared" si="24"/>
        <v>40.356050000000018</v>
      </c>
    </row>
    <row r="305" spans="1:11">
      <c r="A305" t="str">
        <f>'RAW DATA 2023'!B298</f>
        <v>Roiphet1</v>
      </c>
      <c r="B305" t="str">
        <f>'RAW DATA 2023'!D298</f>
        <v>B1-G01-0084</v>
      </c>
      <c r="C305" t="str">
        <f t="shared" si="20"/>
        <v>Roiphet1B1-G01-0084</v>
      </c>
      <c r="D305">
        <f>VLOOKUP(C305,'RAW DATA 2023'!E:BP,63,0)</f>
        <v>6</v>
      </c>
      <c r="E305" t="str">
        <f t="shared" si="21"/>
        <v>Roiphet16</v>
      </c>
      <c r="F305" s="8">
        <f>VLOOKUP(C305,'RAW DATA 2023'!E:BO,23,0)</f>
        <v>43.589478462624839</v>
      </c>
      <c r="G305" s="14">
        <f t="shared" si="22"/>
        <v>31.410521537375161</v>
      </c>
      <c r="H305" s="25">
        <f t="shared" si="23"/>
        <v>6.2821043074750325</v>
      </c>
      <c r="I305" s="80" t="str">
        <f>VLOOKUP(C305,'RAW DATA 2023'!E:BO,36,0)</f>
        <v>ทยอยตาย</v>
      </c>
      <c r="J305">
        <f>VLOOKUP(C305,'RAW DATA 2023'!E:BO,21,0)</f>
        <v>7.9303999999999997</v>
      </c>
      <c r="K305" s="268">
        <f t="shared" si="24"/>
        <v>49.819599999999994</v>
      </c>
    </row>
    <row r="306" spans="1:11">
      <c r="A306" t="str">
        <f>'RAW DATA 2023'!B299</f>
        <v>Roiphet1</v>
      </c>
      <c r="B306" t="str">
        <f>'RAW DATA 2023'!D299</f>
        <v>B3-I05-0093</v>
      </c>
      <c r="C306" t="str">
        <f t="shared" si="20"/>
        <v>Roiphet1B3-I05-0093</v>
      </c>
      <c r="D306">
        <f>VLOOKUP(C306,'RAW DATA 2023'!E:BP,63,0)</f>
        <v>8</v>
      </c>
      <c r="E306" t="str">
        <f t="shared" si="21"/>
        <v>Roiphet18</v>
      </c>
      <c r="F306" s="8">
        <f>VLOOKUP(C306,'RAW DATA 2023'!E:BO,23,0)</f>
        <v>71.305590624330051</v>
      </c>
      <c r="G306" s="14">
        <f t="shared" si="22"/>
        <v>3.6944093756699488</v>
      </c>
      <c r="H306" s="25">
        <f t="shared" si="23"/>
        <v>0.73888187513398984</v>
      </c>
      <c r="I306" s="80" t="str">
        <f>VLOOKUP(C306,'RAW DATA 2023'!E:BO,36,0)</f>
        <v>EHP</v>
      </c>
      <c r="J306">
        <f>VLOOKUP(C306,'RAW DATA 2023'!E:BO,21,0)</f>
        <v>2.0990500000000001</v>
      </c>
      <c r="K306" s="268">
        <f t="shared" si="24"/>
        <v>1.5509500000000014</v>
      </c>
    </row>
    <row r="307" spans="1:11">
      <c r="A307" t="str">
        <f>'RAW DATA 2023'!B300</f>
        <v>Roiphet1</v>
      </c>
      <c r="B307" t="str">
        <f>'RAW DATA 2023'!D300</f>
        <v>B5-G10-0084</v>
      </c>
      <c r="C307" t="str">
        <f t="shared" si="20"/>
        <v>Roiphet1B5-G10-0084</v>
      </c>
      <c r="D307">
        <f>VLOOKUP(C307,'RAW DATA 2023'!E:BP,63,0)</f>
        <v>7</v>
      </c>
      <c r="E307" t="str">
        <f t="shared" si="21"/>
        <v>Roiphet17</v>
      </c>
      <c r="F307" s="8">
        <f>VLOOKUP(C307,'RAW DATA 2023'!E:BO,23,0)</f>
        <v>61.280308091327072</v>
      </c>
      <c r="G307" s="14">
        <f t="shared" si="22"/>
        <v>13.719691908672928</v>
      </c>
      <c r="H307" s="25">
        <f t="shared" si="23"/>
        <v>2.7439383817345857</v>
      </c>
      <c r="I307" s="80" t="str">
        <f>VLOOKUP(C307,'RAW DATA 2023'!E:BO,36,0)</f>
        <v>ทยอยตาย</v>
      </c>
      <c r="J307">
        <f>VLOOKUP(C307,'RAW DATA 2023'!E:BO,21,0)</f>
        <v>2.7991700000000002</v>
      </c>
      <c r="K307" s="268">
        <f t="shared" si="24"/>
        <v>7.6807500000000006</v>
      </c>
    </row>
    <row r="308" spans="1:11">
      <c r="A308" t="str">
        <f>'RAW DATA 2023'!B301</f>
        <v>Roiphet1</v>
      </c>
      <c r="B308" t="str">
        <f>'RAW DATA 2023'!D301</f>
        <v>B6-I11-0084</v>
      </c>
      <c r="C308" t="str">
        <f t="shared" si="20"/>
        <v>Roiphet1B6-I11-0084</v>
      </c>
      <c r="D308">
        <f>VLOOKUP(C308,'RAW DATA 2023'!E:BP,63,0)</f>
        <v>8</v>
      </c>
      <c r="E308" t="str">
        <f t="shared" si="21"/>
        <v>Roiphet18</v>
      </c>
      <c r="F308" s="8">
        <f>VLOOKUP(C308,'RAW DATA 2023'!E:BO,23,0)</f>
        <v>77.999833804221367</v>
      </c>
      <c r="G308" s="14">
        <f t="shared" si="22"/>
        <v>-2.9998338042213675</v>
      </c>
      <c r="H308" s="25">
        <f t="shared" si="23"/>
        <v>-0.59996676084427347</v>
      </c>
      <c r="I308" s="80" t="str">
        <f>VLOOKUP(C308,'RAW DATA 2023'!E:BO,36,0)</f>
        <v>EHP</v>
      </c>
      <c r="J308">
        <f>VLOOKUP(C308,'RAW DATA 2023'!E:BO,21,0)</f>
        <v>1.92544</v>
      </c>
      <c r="K308" s="268">
        <f t="shared" si="24"/>
        <v>-1.155199999999998</v>
      </c>
    </row>
    <row r="309" spans="1:11">
      <c r="A309" t="str">
        <f>'RAW DATA 2023'!B302</f>
        <v>Roiphet1</v>
      </c>
      <c r="B309" t="str">
        <f>'RAW DATA 2023'!D302</f>
        <v>B3-G06-0082</v>
      </c>
      <c r="C309" t="str">
        <f t="shared" si="20"/>
        <v>Roiphet1B3-G06-0082</v>
      </c>
      <c r="D309">
        <f>VLOOKUP(C309,'RAW DATA 2023'!E:BP,63,0)</f>
        <v>8</v>
      </c>
      <c r="E309" t="str">
        <f t="shared" si="21"/>
        <v>Roiphet18</v>
      </c>
      <c r="F309" s="8">
        <f>VLOOKUP(C309,'RAW DATA 2023'!E:BO,23,0)</f>
        <v>72.369880959906538</v>
      </c>
      <c r="G309" s="14">
        <f t="shared" si="22"/>
        <v>2.6301190400934615</v>
      </c>
      <c r="H309" s="25">
        <f t="shared" si="23"/>
        <v>0.52602380801869231</v>
      </c>
      <c r="I309" s="80" t="str">
        <f>VLOOKUP(C309,'RAW DATA 2023'!E:BO,36,0)</f>
        <v>EHP</v>
      </c>
      <c r="J309">
        <f>VLOOKUP(C309,'RAW DATA 2023'!E:BO,21,0)</f>
        <v>4.5875300000000001</v>
      </c>
      <c r="K309" s="268">
        <f t="shared" si="24"/>
        <v>2.4131499999999915</v>
      </c>
    </row>
    <row r="310" spans="1:11">
      <c r="A310" t="str">
        <f>'RAW DATA 2023'!B303</f>
        <v>Roiphet1</v>
      </c>
      <c r="B310" t="str">
        <f>'RAW DATA 2023'!D303</f>
        <v>B2-G03-0080</v>
      </c>
      <c r="C310" t="str">
        <f t="shared" si="20"/>
        <v>Roiphet1B2-G03-0080</v>
      </c>
      <c r="D310">
        <f>VLOOKUP(C310,'RAW DATA 2023'!E:BP,63,0)</f>
        <v>6</v>
      </c>
      <c r="E310" t="str">
        <f t="shared" si="21"/>
        <v>Roiphet16</v>
      </c>
      <c r="F310" s="8">
        <f>VLOOKUP(C310,'RAW DATA 2023'!E:BO,23,0)</f>
        <v>50.440132039611882</v>
      </c>
      <c r="G310" s="14">
        <f t="shared" si="22"/>
        <v>24.559867960388118</v>
      </c>
      <c r="H310" s="25">
        <f t="shared" si="23"/>
        <v>4.911973592077624</v>
      </c>
      <c r="I310" s="80" t="str">
        <f>VLOOKUP(C310,'RAW DATA 2023'!E:BO,36,0)</f>
        <v>ทยอยตาย</v>
      </c>
      <c r="J310">
        <f>VLOOKUP(C310,'RAW DATA 2023'!E:BO,21,0)</f>
        <v>5.79826</v>
      </c>
      <c r="K310" s="268">
        <f t="shared" si="24"/>
        <v>28.480900000000005</v>
      </c>
    </row>
    <row r="311" spans="1:11">
      <c r="A311" t="str">
        <f>'RAW DATA 2023'!B304</f>
        <v>Roiphet1</v>
      </c>
      <c r="B311" t="str">
        <f>'RAW DATA 2023'!D304</f>
        <v>B3-I06-0094</v>
      </c>
      <c r="C311" t="str">
        <f t="shared" si="20"/>
        <v>Roiphet1B3-I06-0094</v>
      </c>
      <c r="D311">
        <f>VLOOKUP(C311,'RAW DATA 2023'!E:BP,63,0)</f>
        <v>6</v>
      </c>
      <c r="E311" t="str">
        <f t="shared" si="21"/>
        <v>Roiphet16</v>
      </c>
      <c r="F311" s="8">
        <f>VLOOKUP(C311,'RAW DATA 2023'!E:BO,23,0)</f>
        <v>36.285233028527671</v>
      </c>
      <c r="G311" s="14">
        <f t="shared" si="22"/>
        <v>38.714766971472329</v>
      </c>
      <c r="H311" s="25">
        <f t="shared" si="23"/>
        <v>7.7429533942944664</v>
      </c>
      <c r="I311" s="80" t="str">
        <f>VLOOKUP(C311,'RAW DATA 2023'!E:BO,36,0)</f>
        <v>Normal</v>
      </c>
      <c r="J311">
        <f>VLOOKUP(C311,'RAW DATA 2023'!E:BO,21,0)</f>
        <v>5.0403700000000002</v>
      </c>
      <c r="K311" s="268">
        <f t="shared" si="24"/>
        <v>39.027349999999998</v>
      </c>
    </row>
    <row r="312" spans="1:11">
      <c r="A312" t="str">
        <f>'RAW DATA 2023'!B305</f>
        <v>Roiphet1</v>
      </c>
      <c r="B312" t="str">
        <f>'RAW DATA 2023'!D305</f>
        <v>B5-I09-0095</v>
      </c>
      <c r="C312" t="str">
        <f t="shared" si="20"/>
        <v>Roiphet1B5-I09-0095</v>
      </c>
      <c r="D312">
        <f>VLOOKUP(C312,'RAW DATA 2023'!E:BP,63,0)</f>
        <v>11</v>
      </c>
      <c r="E312" t="str">
        <f t="shared" si="21"/>
        <v>Roiphet111</v>
      </c>
      <c r="F312" s="8">
        <f>VLOOKUP(C312,'RAW DATA 2023'!E:BO,23,0)</f>
        <v>70.751188472281314</v>
      </c>
      <c r="G312" s="14">
        <f t="shared" si="22"/>
        <v>4.2488115277186864</v>
      </c>
      <c r="H312" s="25">
        <f t="shared" si="23"/>
        <v>0.84976230554373733</v>
      </c>
      <c r="I312" s="80" t="str">
        <f>VLOOKUP(C312,'RAW DATA 2023'!E:BO,36,0)</f>
        <v>EHP</v>
      </c>
      <c r="J312">
        <f>VLOOKUP(C312,'RAW DATA 2023'!E:BO,21,0)</f>
        <v>2.7030500000000002</v>
      </c>
      <c r="K312" s="268">
        <f t="shared" si="24"/>
        <v>2.2969499999999994</v>
      </c>
    </row>
    <row r="313" spans="1:11">
      <c r="A313" t="str">
        <f>'RAW DATA 2023'!B306</f>
        <v>Roiphet1</v>
      </c>
      <c r="B313" t="str">
        <f>'RAW DATA 2023'!D306</f>
        <v>B1-G02-0088</v>
      </c>
      <c r="C313" t="str">
        <f t="shared" si="20"/>
        <v>Roiphet1B1-G02-0088</v>
      </c>
      <c r="D313">
        <f>VLOOKUP(C313,'RAW DATA 2023'!E:BP,63,0)</f>
        <v>6</v>
      </c>
      <c r="E313" t="str">
        <f t="shared" si="21"/>
        <v>Roiphet16</v>
      </c>
      <c r="F313" s="8">
        <f>VLOOKUP(C313,'RAW DATA 2023'!E:BO,23,0)</f>
        <v>47.462650097346817</v>
      </c>
      <c r="G313" s="14">
        <f t="shared" si="22"/>
        <v>27.537349902653183</v>
      </c>
      <c r="H313" s="25">
        <f t="shared" si="23"/>
        <v>5.5074699805306366</v>
      </c>
      <c r="I313" s="80" t="str">
        <f>VLOOKUP(C313,'RAW DATA 2023'!E:BO,36,0)</f>
        <v>ทยอยตาย</v>
      </c>
      <c r="J313">
        <f>VLOOKUP(C313,'RAW DATA 2023'!E:BO,21,0)</f>
        <v>8.9217099999999991</v>
      </c>
      <c r="K313" s="268">
        <f t="shared" si="24"/>
        <v>49.136049999999983</v>
      </c>
    </row>
    <row r="314" spans="1:11">
      <c r="A314" t="str">
        <f>'RAW DATA 2023'!B307</f>
        <v>Roiphet1</v>
      </c>
      <c r="B314" t="str">
        <f>'RAW DATA 2023'!D307</f>
        <v>B6-G12-0088</v>
      </c>
      <c r="C314" t="str">
        <f t="shared" si="20"/>
        <v>Roiphet1B6-G12-0088</v>
      </c>
      <c r="D314">
        <f>VLOOKUP(C314,'RAW DATA 2023'!E:BP,63,0)</f>
        <v>8</v>
      </c>
      <c r="E314" t="str">
        <f t="shared" si="21"/>
        <v>Roiphet18</v>
      </c>
      <c r="F314" s="8">
        <f>VLOOKUP(C314,'RAW DATA 2023'!E:BO,23,0)</f>
        <v>101.99992942463433</v>
      </c>
      <c r="G314" s="14">
        <f t="shared" si="22"/>
        <v>-26.999929424634331</v>
      </c>
      <c r="H314" s="25">
        <f t="shared" si="23"/>
        <v>-5.3999858849268669</v>
      </c>
      <c r="I314" s="80" t="str">
        <f>VLOOKUP(C314,'RAW DATA 2023'!E:BO,36,0)</f>
        <v>EHP</v>
      </c>
      <c r="J314">
        <f>VLOOKUP(C314,'RAW DATA 2023'!E:BO,21,0)</f>
        <v>3.40062</v>
      </c>
      <c r="K314" s="268">
        <f t="shared" si="24"/>
        <v>-18.363300000000002</v>
      </c>
    </row>
    <row r="315" spans="1:11">
      <c r="A315" t="str">
        <f>'RAW DATA 2023'!B308</f>
        <v>Roiphet1</v>
      </c>
      <c r="B315" t="str">
        <f>'RAW DATA 2023'!D308</f>
        <v>B6-G11-0083</v>
      </c>
      <c r="C315" t="str">
        <f t="shared" si="20"/>
        <v>Roiphet1B6-G11-0083</v>
      </c>
      <c r="D315">
        <f>VLOOKUP(C315,'RAW DATA 2023'!E:BP,63,0)</f>
        <v>8</v>
      </c>
      <c r="E315" t="str">
        <f t="shared" si="21"/>
        <v>Roiphet18</v>
      </c>
      <c r="F315" s="8">
        <f>VLOOKUP(C315,'RAW DATA 2023'!E:BO,23,0)</f>
        <v>91.999948679787536</v>
      </c>
      <c r="G315" s="14">
        <f t="shared" si="22"/>
        <v>-16.999948679787536</v>
      </c>
      <c r="H315" s="25">
        <f t="shared" si="23"/>
        <v>-3.3999897359575075</v>
      </c>
      <c r="I315" s="80" t="str">
        <f>VLOOKUP(C315,'RAW DATA 2023'!E:BO,36,0)</f>
        <v>EHP</v>
      </c>
      <c r="J315">
        <f>VLOOKUP(C315,'RAW DATA 2023'!E:BO,21,0)</f>
        <v>3.8971</v>
      </c>
      <c r="K315" s="268">
        <f t="shared" si="24"/>
        <v>-13.250100000000003</v>
      </c>
    </row>
    <row r="316" spans="1:11">
      <c r="A316" t="str">
        <f>'RAW DATA 2023'!B309</f>
        <v>Roiphet1</v>
      </c>
      <c r="B316" t="str">
        <f>'RAW DATA 2023'!D309</f>
        <v>B5-G09-0086</v>
      </c>
      <c r="C316" t="str">
        <f t="shared" si="20"/>
        <v>Roiphet1B5-G09-0086</v>
      </c>
      <c r="D316">
        <f>VLOOKUP(C316,'RAW DATA 2023'!E:BP,63,0)</f>
        <v>11</v>
      </c>
      <c r="E316" t="str">
        <f t="shared" si="21"/>
        <v>Roiphet111</v>
      </c>
      <c r="F316" s="8">
        <f>VLOOKUP(C316,'RAW DATA 2023'!E:BO,23,0)</f>
        <v>78.768825824968332</v>
      </c>
      <c r="G316" s="14">
        <f t="shared" si="22"/>
        <v>-3.7688258249683315</v>
      </c>
      <c r="H316" s="25">
        <f t="shared" si="23"/>
        <v>-0.7537651649936663</v>
      </c>
      <c r="I316" s="80" t="str">
        <f>VLOOKUP(C316,'RAW DATA 2023'!E:BO,36,0)</f>
        <v>EHP</v>
      </c>
      <c r="J316">
        <f>VLOOKUP(C316,'RAW DATA 2023'!E:BO,21,0)</f>
        <v>5.4632399999999999</v>
      </c>
      <c r="K316" s="268">
        <f t="shared" si="24"/>
        <v>-4.1179999999999977</v>
      </c>
    </row>
    <row r="317" spans="1:11">
      <c r="A317" t="str">
        <f>'RAW DATA 2023'!B310</f>
        <v>Roiphet1</v>
      </c>
      <c r="B317" t="str">
        <f>'RAW DATA 2023'!D310</f>
        <v>B5-G10-0085</v>
      </c>
      <c r="C317" t="str">
        <f t="shared" si="20"/>
        <v>Roiphet1B5-G10-0085</v>
      </c>
      <c r="D317">
        <f>VLOOKUP(C317,'RAW DATA 2023'!E:BP,63,0)</f>
        <v>11</v>
      </c>
      <c r="E317" t="str">
        <f t="shared" si="21"/>
        <v>Roiphet111</v>
      </c>
      <c r="F317" s="8">
        <f>VLOOKUP(C317,'RAW DATA 2023'!E:BO,23,0)</f>
        <v>85.758815507500486</v>
      </c>
      <c r="G317" s="14">
        <f t="shared" si="22"/>
        <v>-10.758815507500486</v>
      </c>
      <c r="H317" s="25">
        <f t="shared" si="23"/>
        <v>-2.1517631015000975</v>
      </c>
      <c r="I317" s="80" t="str">
        <f>VLOOKUP(C317,'RAW DATA 2023'!E:BO,36,0)</f>
        <v>EHP</v>
      </c>
      <c r="J317">
        <f>VLOOKUP(C317,'RAW DATA 2023'!E:BO,21,0)</f>
        <v>5.0816699999999999</v>
      </c>
      <c r="K317" s="268">
        <f t="shared" si="24"/>
        <v>-10.93455</v>
      </c>
    </row>
    <row r="318" spans="1:11">
      <c r="A318" t="str">
        <f>'RAW DATA 2023'!B311</f>
        <v>Roiphet1</v>
      </c>
      <c r="B318" t="str">
        <f>'RAW DATA 2023'!D311</f>
        <v>B3-G05-0093</v>
      </c>
      <c r="C318" t="str">
        <f t="shared" si="20"/>
        <v>Roiphet1B3-G05-0093</v>
      </c>
      <c r="D318">
        <f>VLOOKUP(C318,'RAW DATA 2023'!E:BP,63,0)</f>
        <v>8</v>
      </c>
      <c r="E318" t="str">
        <f t="shared" si="21"/>
        <v>Roiphet18</v>
      </c>
      <c r="F318" s="8">
        <f>VLOOKUP(C318,'RAW DATA 2023'!E:BO,23,0)</f>
        <v>115.99982383017228</v>
      </c>
      <c r="G318" s="14">
        <f t="shared" si="22"/>
        <v>-40.999823830172275</v>
      </c>
      <c r="H318" s="25">
        <f t="shared" si="23"/>
        <v>-8.199964766034455</v>
      </c>
      <c r="I318" s="80" t="str">
        <f>VLOOKUP(C318,'RAW DATA 2023'!E:BO,36,0)</f>
        <v>EHP</v>
      </c>
      <c r="J318">
        <f>VLOOKUP(C318,'RAW DATA 2023'!E:BO,21,0)</f>
        <v>2.4975900000000002</v>
      </c>
      <c r="K318" s="268">
        <f t="shared" si="24"/>
        <v>-20.480149999999995</v>
      </c>
    </row>
    <row r="319" spans="1:11">
      <c r="A319" t="str">
        <f>'RAW DATA 2023'!B312</f>
        <v>Roiphet1</v>
      </c>
      <c r="B319" t="str">
        <f>'RAW DATA 2023'!D312</f>
        <v>B5-I10-0092</v>
      </c>
      <c r="C319" t="str">
        <f t="shared" si="20"/>
        <v>Roiphet1B5-I10-0092</v>
      </c>
      <c r="D319">
        <f>VLOOKUP(C319,'RAW DATA 2023'!E:BP,63,0)</f>
        <v>11</v>
      </c>
      <c r="E319" t="str">
        <f t="shared" si="21"/>
        <v>Roiphet111</v>
      </c>
      <c r="F319" s="8">
        <f>VLOOKUP(C319,'RAW DATA 2023'!E:BO,23,0)</f>
        <v>136.00025866319626</v>
      </c>
      <c r="G319" s="14">
        <f t="shared" si="22"/>
        <v>-61.000258663196263</v>
      </c>
      <c r="H319" s="25">
        <f t="shared" si="23"/>
        <v>-12.200051732639253</v>
      </c>
      <c r="I319" s="80" t="str">
        <f>VLOOKUP(C319,'RAW DATA 2023'!E:BO,36,0)</f>
        <v>EHP</v>
      </c>
      <c r="J319">
        <f>VLOOKUP(C319,'RAW DATA 2023'!E:BO,21,0)</f>
        <v>1.2371300000000001</v>
      </c>
      <c r="K319" s="268">
        <f t="shared" si="24"/>
        <v>-15.09305</v>
      </c>
    </row>
    <row r="320" spans="1:11">
      <c r="A320" t="str">
        <f>'RAW DATA 2023'!B313</f>
        <v>Choknavy</v>
      </c>
      <c r="B320" t="str">
        <f>'RAW DATA 2023'!D313</f>
        <v>A1-003-0037</v>
      </c>
      <c r="C320" t="str">
        <f t="shared" si="20"/>
        <v>ChoknavyA1-003-0037</v>
      </c>
      <c r="D320">
        <f>VLOOKUP(C320,'RAW DATA 2023'!E:BP,63,0)</f>
        <v>11</v>
      </c>
      <c r="E320" t="str">
        <f t="shared" si="21"/>
        <v>Choknavy11</v>
      </c>
      <c r="F320" s="8">
        <f>VLOOKUP(C320,'RAW DATA 2023'!E:BO,23,0)</f>
        <v>29.479535738117249</v>
      </c>
      <c r="G320" s="14">
        <f t="shared" si="22"/>
        <v>45.520464261882751</v>
      </c>
      <c r="H320" s="25">
        <f t="shared" si="23"/>
        <v>9.1040928523765512</v>
      </c>
      <c r="I320" s="80" t="str">
        <f>VLOOKUP(C320,'RAW DATA 2023'!E:BO,36,0)</f>
        <v>Normal</v>
      </c>
      <c r="J320">
        <f>VLOOKUP(C320,'RAW DATA 2023'!E:BO,21,0)</f>
        <v>36.386360000000003</v>
      </c>
      <c r="K320" s="268">
        <f t="shared" si="24"/>
        <v>331.26480000000009</v>
      </c>
    </row>
    <row r="321" spans="1:11">
      <c r="A321" t="str">
        <f>'RAW DATA 2023'!B314</f>
        <v>Choknavy</v>
      </c>
      <c r="B321" t="str">
        <f>'RAW DATA 2023'!D314</f>
        <v>A1-006-0032</v>
      </c>
      <c r="C321" t="str">
        <f t="shared" si="20"/>
        <v>ChoknavyA1-006-0032</v>
      </c>
      <c r="D321">
        <f>VLOOKUP(C321,'RAW DATA 2023'!E:BP,63,0)</f>
        <v>7</v>
      </c>
      <c r="E321" t="str">
        <f t="shared" si="21"/>
        <v>Choknavy7</v>
      </c>
      <c r="F321" s="8">
        <f>VLOOKUP(C321,'RAW DATA 2023'!E:BO,23,0)</f>
        <v>32.753125920694984</v>
      </c>
      <c r="G321" s="14">
        <f t="shared" si="22"/>
        <v>42.246874079305016</v>
      </c>
      <c r="H321" s="25">
        <f t="shared" si="23"/>
        <v>8.4493748158610043</v>
      </c>
      <c r="I321" s="80" t="str">
        <f>VLOOKUP(C321,'RAW DATA 2023'!E:BO,36,0)</f>
        <v>ทยอยตาย</v>
      </c>
      <c r="J321">
        <f>VLOOKUP(C321,'RAW DATA 2023'!E:BO,21,0)</f>
        <v>34.892120000000006</v>
      </c>
      <c r="K321" s="268">
        <f t="shared" si="24"/>
        <v>294.81660000000011</v>
      </c>
    </row>
    <row r="322" spans="1:11">
      <c r="A322" t="str">
        <f>'RAW DATA 2023'!B315</f>
        <v>Choknavy</v>
      </c>
      <c r="B322" t="str">
        <f>'RAW DATA 2023'!D315</f>
        <v>A1-003-0036</v>
      </c>
      <c r="C322" t="str">
        <f t="shared" si="20"/>
        <v>ChoknavyA1-003-0036</v>
      </c>
      <c r="D322">
        <f>VLOOKUP(C322,'RAW DATA 2023'!E:BP,63,0)</f>
        <v>7</v>
      </c>
      <c r="E322" t="str">
        <f t="shared" si="21"/>
        <v>Choknavy7</v>
      </c>
      <c r="F322" s="8">
        <f>VLOOKUP(C322,'RAW DATA 2023'!E:BO,23,0)</f>
        <v>28.453060841263927</v>
      </c>
      <c r="G322" s="14">
        <f t="shared" si="22"/>
        <v>46.546939158736073</v>
      </c>
      <c r="H322" s="25">
        <f t="shared" si="23"/>
        <v>9.3093878317472143</v>
      </c>
      <c r="I322" s="80" t="str">
        <f>VLOOKUP(C322,'RAW DATA 2023'!E:BO,36,0)</f>
        <v>Normal</v>
      </c>
      <c r="J322">
        <f>VLOOKUP(C322,'RAW DATA 2023'!E:BO,21,0)</f>
        <v>30.78059</v>
      </c>
      <c r="K322" s="268">
        <f t="shared" si="24"/>
        <v>286.54845</v>
      </c>
    </row>
    <row r="323" spans="1:11">
      <c r="A323" t="str">
        <f>'RAW DATA 2023'!B316</f>
        <v>Choknavy</v>
      </c>
      <c r="B323" t="str">
        <f>'RAW DATA 2023'!D316</f>
        <v>A1-005-0006</v>
      </c>
      <c r="C323" t="str">
        <f t="shared" si="20"/>
        <v>ChoknavyA1-005-0006</v>
      </c>
      <c r="D323">
        <f>VLOOKUP(C323,'RAW DATA 2023'!E:BP,63,0)</f>
        <v>8</v>
      </c>
      <c r="E323" t="str">
        <f t="shared" si="21"/>
        <v>Choknavy8</v>
      </c>
      <c r="F323" s="8">
        <f>VLOOKUP(C323,'RAW DATA 2023'!E:BO,23,0)</f>
        <v>30.169014388916807</v>
      </c>
      <c r="G323" s="14">
        <f t="shared" si="22"/>
        <v>44.830985611083193</v>
      </c>
      <c r="H323" s="25">
        <f t="shared" si="23"/>
        <v>8.9661971222166397</v>
      </c>
      <c r="I323" s="80" t="str">
        <f>VLOOKUP(C323,'RAW DATA 2023'!E:BO,36,0)</f>
        <v>Normal</v>
      </c>
      <c r="J323">
        <f>VLOOKUP(C323,'RAW DATA 2023'!E:BO,21,0)</f>
        <v>37.014600000000002</v>
      </c>
      <c r="K323" s="268">
        <f t="shared" si="24"/>
        <v>331.88020000000006</v>
      </c>
    </row>
    <row r="324" spans="1:11">
      <c r="A324" t="str">
        <f>'RAW DATA 2023'!B317</f>
        <v>Choknavy</v>
      </c>
      <c r="B324" t="str">
        <f>'RAW DATA 2023'!D317</f>
        <v>A1-001-0041</v>
      </c>
      <c r="C324" t="str">
        <f t="shared" si="20"/>
        <v>ChoknavyA1-001-0041</v>
      </c>
      <c r="D324">
        <f>VLOOKUP(C324,'RAW DATA 2023'!E:BP,63,0)</f>
        <v>9</v>
      </c>
      <c r="E324" t="str">
        <f t="shared" si="21"/>
        <v>Choknavy9</v>
      </c>
      <c r="F324" s="8">
        <f>VLOOKUP(C324,'RAW DATA 2023'!E:BO,23,0)</f>
        <v>29.754223468464438</v>
      </c>
      <c r="G324" s="14">
        <f t="shared" si="22"/>
        <v>45.245776531535562</v>
      </c>
      <c r="H324" s="25">
        <f t="shared" si="23"/>
        <v>9.049155306307112</v>
      </c>
      <c r="I324" s="80" t="str">
        <f>VLOOKUP(C324,'RAW DATA 2023'!E:BO,36,0)</f>
        <v>Normal</v>
      </c>
      <c r="J324">
        <f>VLOOKUP(C324,'RAW DATA 2023'!E:BO,21,0)</f>
        <v>40.227599999999995</v>
      </c>
      <c r="K324" s="268">
        <f t="shared" si="24"/>
        <v>364.02579999999995</v>
      </c>
    </row>
    <row r="325" spans="1:11">
      <c r="A325" t="str">
        <f>'RAW DATA 2023'!B318</f>
        <v>Choknavy</v>
      </c>
      <c r="B325" t="str">
        <f>'RAW DATA 2023'!D318</f>
        <v>A1-002-0037</v>
      </c>
      <c r="C325" t="str">
        <f t="shared" si="20"/>
        <v>ChoknavyA1-002-0037</v>
      </c>
      <c r="D325">
        <f>VLOOKUP(C325,'RAW DATA 2023'!E:BP,63,0)</f>
        <v>10</v>
      </c>
      <c r="E325" t="str">
        <f t="shared" si="21"/>
        <v>Choknavy10</v>
      </c>
      <c r="F325" s="8">
        <f>VLOOKUP(C325,'RAW DATA 2023'!E:BO,23,0)</f>
        <v>29.715758020379372</v>
      </c>
      <c r="G325" s="14">
        <f t="shared" si="22"/>
        <v>45.284241979620631</v>
      </c>
      <c r="H325" s="25">
        <f t="shared" si="23"/>
        <v>9.0568483959241259</v>
      </c>
      <c r="I325" s="80" t="str">
        <f>VLOOKUP(C325,'RAW DATA 2023'!E:BO,36,0)</f>
        <v>Normal</v>
      </c>
      <c r="J325">
        <f>VLOOKUP(C325,'RAW DATA 2023'!E:BO,21,0)</f>
        <v>40.70194</v>
      </c>
      <c r="K325" s="268">
        <f t="shared" si="24"/>
        <v>368.63130000000001</v>
      </c>
    </row>
    <row r="326" spans="1:11">
      <c r="A326" t="str">
        <f>'RAW DATA 2023'!B319</f>
        <v>Choknavy</v>
      </c>
      <c r="B326" t="str">
        <f>'RAW DATA 2023'!D319</f>
        <v>G1-G01-0001</v>
      </c>
      <c r="C326" t="str">
        <f t="shared" si="20"/>
        <v>ChoknavyG1-G01-0001</v>
      </c>
      <c r="D326">
        <f>VLOOKUP(C326,'RAW DATA 2023'!E:BP,63,0)</f>
        <v>5</v>
      </c>
      <c r="E326" t="str">
        <f t="shared" si="21"/>
        <v>Choknavy5</v>
      </c>
      <c r="F326" s="8">
        <f>VLOOKUP(C326,'RAW DATA 2023'!E:BO,23,0)</f>
        <v>34.562304588139234</v>
      </c>
      <c r="G326" s="14">
        <f t="shared" si="22"/>
        <v>40.437695411860766</v>
      </c>
      <c r="H326" s="25">
        <f t="shared" si="23"/>
        <v>8.0875390823721531</v>
      </c>
      <c r="I326" s="80" t="str">
        <f>VLOOKUP(C326,'RAW DATA 2023'!E:BO,36,0)</f>
        <v>ทยอยตาย</v>
      </c>
      <c r="J326">
        <f>VLOOKUP(C326,'RAW DATA 2023'!E:BO,21,0)</f>
        <v>5.5235900000000004</v>
      </c>
      <c r="K326" s="268">
        <f t="shared" si="24"/>
        <v>44.672250000000005</v>
      </c>
    </row>
    <row r="327" spans="1:11">
      <c r="A327" t="str">
        <f>'RAW DATA 2023'!B320</f>
        <v>Choknavy</v>
      </c>
      <c r="B327" t="str">
        <f>'RAW DATA 2023'!D320</f>
        <v>A1-002-0036</v>
      </c>
      <c r="C327" t="str">
        <f t="shared" si="20"/>
        <v>ChoknavyA1-002-0036</v>
      </c>
      <c r="D327">
        <f>VLOOKUP(C327,'RAW DATA 2023'!E:BP,63,0)</f>
        <v>4</v>
      </c>
      <c r="E327" t="str">
        <f t="shared" si="21"/>
        <v>Choknavy4</v>
      </c>
      <c r="F327" s="8">
        <f>VLOOKUP(C327,'RAW DATA 2023'!E:BO,23,0)</f>
        <v>25.488810697789017</v>
      </c>
      <c r="G327" s="14">
        <f t="shared" si="22"/>
        <v>49.51118930221098</v>
      </c>
      <c r="H327" s="25">
        <f t="shared" si="23"/>
        <v>9.902237860442197</v>
      </c>
      <c r="I327" s="80" t="str">
        <f>VLOOKUP(C327,'RAW DATA 2023'!E:BO,36,0)</f>
        <v>อัตรารอดต่ำ</v>
      </c>
      <c r="J327">
        <f>VLOOKUP(C327,'RAW DATA 2023'!E:BO,21,0)</f>
        <v>20.536580000000001</v>
      </c>
      <c r="K327" s="268">
        <f t="shared" si="24"/>
        <v>203.35810000000001</v>
      </c>
    </row>
    <row r="328" spans="1:11">
      <c r="A328" t="str">
        <f>'RAW DATA 2023'!B321</f>
        <v>Choknavy</v>
      </c>
      <c r="B328" t="str">
        <f>'RAW DATA 2023'!D321</f>
        <v>A1-001-0040</v>
      </c>
      <c r="C328" t="str">
        <f t="shared" si="20"/>
        <v>ChoknavyA1-001-0040</v>
      </c>
      <c r="D328">
        <f>VLOOKUP(C328,'RAW DATA 2023'!E:BP,63,0)</f>
        <v>4</v>
      </c>
      <c r="E328" t="str">
        <f t="shared" si="21"/>
        <v>Choknavy4</v>
      </c>
      <c r="F328" s="8">
        <f>VLOOKUP(C328,'RAW DATA 2023'!E:BO,23,0)</f>
        <v>27.486888295268599</v>
      </c>
      <c r="G328" s="14">
        <f t="shared" si="22"/>
        <v>47.513111704731401</v>
      </c>
      <c r="H328" s="25">
        <f t="shared" si="23"/>
        <v>9.5026223409462798</v>
      </c>
      <c r="I328" s="80" t="str">
        <f>VLOOKUP(C328,'RAW DATA 2023'!E:BO,36,0)</f>
        <v>อัตรารอดต่ำ</v>
      </c>
      <c r="J328">
        <f>VLOOKUP(C328,'RAW DATA 2023'!E:BO,21,0)</f>
        <v>21.450299999999999</v>
      </c>
      <c r="K328" s="268">
        <f t="shared" si="24"/>
        <v>203.83409999999998</v>
      </c>
    </row>
    <row r="329" spans="1:11">
      <c r="A329" t="str">
        <f>'RAW DATA 2023'!B322</f>
        <v>Choknavy</v>
      </c>
      <c r="B329" t="str">
        <f>'RAW DATA 2023'!D322</f>
        <v>A1-006-0031</v>
      </c>
      <c r="C329" t="str">
        <f t="shared" si="20"/>
        <v>ChoknavyA1-006-0031</v>
      </c>
      <c r="D329">
        <f>VLOOKUP(C329,'RAW DATA 2023'!E:BP,63,0)</f>
        <v>3</v>
      </c>
      <c r="E329" t="str">
        <f t="shared" si="21"/>
        <v>Choknavy3</v>
      </c>
      <c r="F329" s="8">
        <f>VLOOKUP(C329,'RAW DATA 2023'!E:BO,23,0)</f>
        <v>26.50496139724326</v>
      </c>
      <c r="G329" s="14">
        <f t="shared" si="22"/>
        <v>48.495038602756736</v>
      </c>
      <c r="H329" s="25">
        <f t="shared" si="23"/>
        <v>9.6990077205513483</v>
      </c>
      <c r="I329" s="80" t="str">
        <f>VLOOKUP(C329,'RAW DATA 2023'!E:BO,36,0)</f>
        <v>Normal</v>
      </c>
      <c r="J329">
        <f>VLOOKUP(C329,'RAW DATA 2023'!E:BO,21,0)</f>
        <v>31.495159999999998</v>
      </c>
      <c r="K329" s="268">
        <f t="shared" si="24"/>
        <v>305.47179999999997</v>
      </c>
    </row>
    <row r="330" spans="1:11">
      <c r="A330" t="str">
        <f>'RAW DATA 2023'!B323</f>
        <v>Choknavy</v>
      </c>
      <c r="B330" t="str">
        <f>'RAW DATA 2023'!D323</f>
        <v>A1-003-0035</v>
      </c>
      <c r="C330" t="str">
        <f t="shared" ref="C330:C393" si="25">A330&amp;B330</f>
        <v>ChoknavyA1-003-0035</v>
      </c>
      <c r="D330">
        <f>VLOOKUP(C330,'RAW DATA 2023'!E:BP,63,0)</f>
        <v>1</v>
      </c>
      <c r="E330" t="str">
        <f t="shared" ref="E330:E393" si="26">A330&amp;D330</f>
        <v>Choknavy1</v>
      </c>
      <c r="F330" s="8">
        <f>VLOOKUP(C330,'RAW DATA 2023'!E:BO,23,0)</f>
        <v>0</v>
      </c>
      <c r="G330" s="14">
        <f t="shared" si="22"/>
        <v>0</v>
      </c>
      <c r="H330" s="25">
        <f t="shared" si="23"/>
        <v>0</v>
      </c>
      <c r="I330" s="80" t="str">
        <f>VLOOKUP(C330,'RAW DATA 2023'!E:BO,36,0)</f>
        <v>อัตรารอดต่ำ</v>
      </c>
      <c r="J330">
        <f>VLOOKUP(C330,'RAW DATA 2023'!E:BO,21,0)</f>
        <v>0</v>
      </c>
      <c r="K330" s="268">
        <f t="shared" si="24"/>
        <v>0</v>
      </c>
    </row>
    <row r="331" spans="1:11">
      <c r="A331" t="str">
        <f>'RAW DATA 2023'!B324</f>
        <v>Maeklong1</v>
      </c>
      <c r="B331" t="str">
        <f>'RAW DATA 2023'!D324</f>
        <v>A1-017-0031</v>
      </c>
      <c r="C331" t="str">
        <f t="shared" si="25"/>
        <v>Maeklong1A1-017-0031</v>
      </c>
      <c r="D331">
        <f>VLOOKUP(C331,'RAW DATA 2023'!E:BP,63,0)</f>
        <v>8</v>
      </c>
      <c r="E331" t="str">
        <f t="shared" si="26"/>
        <v>Maeklong18</v>
      </c>
      <c r="F331" s="8">
        <f>VLOOKUP(C331,'RAW DATA 2023'!E:BO,23,0)</f>
        <v>34.78410827523949</v>
      </c>
      <c r="G331" s="14">
        <f t="shared" ref="G331:G394" si="27">IF(F331=0,0,$B$2-F331)</f>
        <v>40.21589172476051</v>
      </c>
      <c r="H331" s="25">
        <f t="shared" ref="H331:H394" si="28">G331*$B$6</f>
        <v>8.0431783449521017</v>
      </c>
      <c r="I331" s="80" t="str">
        <f>VLOOKUP(C331,'RAW DATA 2023'!E:BO,36,0)</f>
        <v>Normal</v>
      </c>
      <c r="J331">
        <f>VLOOKUP(C331,'RAW DATA 2023'!E:BO,21,0)</f>
        <v>36.068080000000002</v>
      </c>
      <c r="K331" s="268">
        <f t="shared" ref="K331:K394" si="29">H331*J331</f>
        <v>290.10200000000003</v>
      </c>
    </row>
    <row r="332" spans="1:11">
      <c r="A332" t="str">
        <f>'RAW DATA 2023'!B325</f>
        <v>Maeklong1</v>
      </c>
      <c r="B332" t="str">
        <f>'RAW DATA 2023'!D325</f>
        <v>A1-015-0036</v>
      </c>
      <c r="C332" t="str">
        <f t="shared" si="25"/>
        <v>Maeklong1A1-015-0036</v>
      </c>
      <c r="D332">
        <f>VLOOKUP(C332,'RAW DATA 2023'!E:BP,63,0)</f>
        <v>6</v>
      </c>
      <c r="E332" t="str">
        <f t="shared" si="26"/>
        <v>Maeklong16</v>
      </c>
      <c r="F332" s="8">
        <f>VLOOKUP(C332,'RAW DATA 2023'!E:BO,23,0)</f>
        <v>34.123221196145373</v>
      </c>
      <c r="G332" s="14">
        <f t="shared" si="27"/>
        <v>40.876778803854627</v>
      </c>
      <c r="H332" s="25">
        <f t="shared" si="28"/>
        <v>8.1753557607709251</v>
      </c>
      <c r="I332" s="80" t="str">
        <f>VLOOKUP(C332,'RAW DATA 2023'!E:BO,36,0)</f>
        <v>Normal</v>
      </c>
      <c r="J332">
        <f>VLOOKUP(C332,'RAW DATA 2023'!E:BO,21,0)</f>
        <v>27.471409999999999</v>
      </c>
      <c r="K332" s="268">
        <f t="shared" si="29"/>
        <v>224.58855</v>
      </c>
    </row>
    <row r="333" spans="1:11">
      <c r="A333" t="str">
        <f>'RAW DATA 2023'!B326</f>
        <v>Maeklong1</v>
      </c>
      <c r="B333" t="str">
        <f>'RAW DATA 2023'!D326</f>
        <v>A1-021-0025</v>
      </c>
      <c r="C333" t="str">
        <f t="shared" si="25"/>
        <v>Maeklong1A1-021-0025</v>
      </c>
      <c r="D333">
        <f>VLOOKUP(C333,'RAW DATA 2023'!E:BP,63,0)</f>
        <v>8</v>
      </c>
      <c r="E333" t="str">
        <f t="shared" si="26"/>
        <v>Maeklong18</v>
      </c>
      <c r="F333" s="8">
        <f>VLOOKUP(C333,'RAW DATA 2023'!E:BO,23,0)</f>
        <v>31.019764905113661</v>
      </c>
      <c r="G333" s="14">
        <f t="shared" si="27"/>
        <v>43.980235094886339</v>
      </c>
      <c r="H333" s="25">
        <f t="shared" si="28"/>
        <v>8.7960470189772675</v>
      </c>
      <c r="I333" s="80" t="str">
        <f>VLOOKUP(C333,'RAW DATA 2023'!E:BO,36,0)</f>
        <v>Normal</v>
      </c>
      <c r="J333">
        <f>VLOOKUP(C333,'RAW DATA 2023'!E:BO,21,0)</f>
        <v>42.30377</v>
      </c>
      <c r="K333" s="268">
        <f t="shared" si="29"/>
        <v>372.10594999999995</v>
      </c>
    </row>
    <row r="334" spans="1:11">
      <c r="A334" t="str">
        <f>'RAW DATA 2023'!B327</f>
        <v>Maeklong1</v>
      </c>
      <c r="B334" t="str">
        <f>'RAW DATA 2023'!D327</f>
        <v>A1-024-0012</v>
      </c>
      <c r="C334" t="str">
        <f t="shared" si="25"/>
        <v>Maeklong1A1-024-0012</v>
      </c>
      <c r="D334">
        <f>VLOOKUP(C334,'RAW DATA 2023'!E:BP,63,0)</f>
        <v>10</v>
      </c>
      <c r="E334" t="str">
        <f t="shared" si="26"/>
        <v>Maeklong110</v>
      </c>
      <c r="F334" s="8">
        <f>VLOOKUP(C334,'RAW DATA 2023'!E:BO,23,0)</f>
        <v>32.593843060728595</v>
      </c>
      <c r="G334" s="14">
        <f t="shared" si="27"/>
        <v>42.406156939271405</v>
      </c>
      <c r="H334" s="25">
        <f t="shared" si="28"/>
        <v>8.4812313878542813</v>
      </c>
      <c r="I334" s="80" t="str">
        <f>VLOOKUP(C334,'RAW DATA 2023'!E:BO,36,0)</f>
        <v>Normal</v>
      </c>
      <c r="J334">
        <f>VLOOKUP(C334,'RAW DATA 2023'!E:BO,21,0)</f>
        <v>42.80471</v>
      </c>
      <c r="K334" s="268">
        <f t="shared" si="29"/>
        <v>363.03665000000001</v>
      </c>
    </row>
    <row r="335" spans="1:11">
      <c r="A335" t="str">
        <f>'RAW DATA 2023'!B328</f>
        <v>Maeklong1</v>
      </c>
      <c r="B335" t="str">
        <f>'RAW DATA 2023'!D328</f>
        <v>A1-019-0024</v>
      </c>
      <c r="C335" t="str">
        <f t="shared" si="25"/>
        <v>Maeklong1A1-019-0024</v>
      </c>
      <c r="D335">
        <f>VLOOKUP(C335,'RAW DATA 2023'!E:BP,63,0)</f>
        <v>10</v>
      </c>
      <c r="E335" t="str">
        <f t="shared" si="26"/>
        <v>Maeklong110</v>
      </c>
      <c r="F335" s="8">
        <f>VLOOKUP(C335,'RAW DATA 2023'!E:BO,23,0)</f>
        <v>31.961461362376152</v>
      </c>
      <c r="G335" s="14">
        <f t="shared" si="27"/>
        <v>43.038538637623844</v>
      </c>
      <c r="H335" s="25">
        <f t="shared" si="28"/>
        <v>8.6077077275247689</v>
      </c>
      <c r="I335" s="80" t="str">
        <f>VLOOKUP(C335,'RAW DATA 2023'!E:BO,36,0)</f>
        <v>Normal</v>
      </c>
      <c r="J335">
        <f>VLOOKUP(C335,'RAW DATA 2023'!E:BO,21,0)</f>
        <v>58.341449999999995</v>
      </c>
      <c r="K335" s="268">
        <f t="shared" si="29"/>
        <v>502.18614999999988</v>
      </c>
    </row>
    <row r="336" spans="1:11">
      <c r="A336" t="str">
        <f>'RAW DATA 2023'!B329</f>
        <v>Maeklong1</v>
      </c>
      <c r="B336" t="str">
        <f>'RAW DATA 2023'!D329</f>
        <v>A1-015-0037</v>
      </c>
      <c r="C336" t="str">
        <f t="shared" si="25"/>
        <v>Maeklong1A1-015-0037</v>
      </c>
      <c r="D336">
        <f>VLOOKUP(C336,'RAW DATA 2023'!E:BP,63,0)</f>
        <v>10</v>
      </c>
      <c r="E336" t="str">
        <f t="shared" si="26"/>
        <v>Maeklong110</v>
      </c>
      <c r="F336" s="8">
        <f>VLOOKUP(C336,'RAW DATA 2023'!E:BO,23,0)</f>
        <v>41.372288940135803</v>
      </c>
      <c r="G336" s="14">
        <f t="shared" si="27"/>
        <v>33.627711059864197</v>
      </c>
      <c r="H336" s="25">
        <f t="shared" si="28"/>
        <v>6.7255422119728401</v>
      </c>
      <c r="I336" s="80" t="str">
        <f>VLOOKUP(C336,'RAW DATA 2023'!E:BO,36,0)</f>
        <v>Normal</v>
      </c>
      <c r="J336">
        <f>VLOOKUP(C336,'RAW DATA 2023'!E:BO,21,0)</f>
        <v>26.824380000000001</v>
      </c>
      <c r="K336" s="268">
        <f t="shared" si="29"/>
        <v>180.40850000000003</v>
      </c>
    </row>
    <row r="337" spans="1:11">
      <c r="A337" t="str">
        <f>'RAW DATA 2023'!B330</f>
        <v>Maeklong1</v>
      </c>
      <c r="B337" t="str">
        <f>'RAW DATA 2023'!D330</f>
        <v>A1-023-0016</v>
      </c>
      <c r="C337" t="str">
        <f t="shared" si="25"/>
        <v>Maeklong1A1-023-0016</v>
      </c>
      <c r="D337">
        <f>VLOOKUP(C337,'RAW DATA 2023'!E:BP,63,0)</f>
        <v>3</v>
      </c>
      <c r="E337" t="str">
        <f t="shared" si="26"/>
        <v>Maeklong13</v>
      </c>
      <c r="F337" s="8">
        <f>VLOOKUP(C337,'RAW DATA 2023'!E:BO,23,0)</f>
        <v>27.00253184537031</v>
      </c>
      <c r="G337" s="14">
        <f t="shared" si="27"/>
        <v>47.997468154629686</v>
      </c>
      <c r="H337" s="25">
        <f t="shared" si="28"/>
        <v>9.599493630925938</v>
      </c>
      <c r="I337" s="80" t="str">
        <f>VLOOKUP(C337,'RAW DATA 2023'!E:BO,36,0)</f>
        <v>Normal</v>
      </c>
      <c r="J337">
        <f>VLOOKUP(C337,'RAW DATA 2023'!E:BO,21,0)</f>
        <v>23.567790000000002</v>
      </c>
      <c r="K337" s="268">
        <f t="shared" si="29"/>
        <v>226.23885000000004</v>
      </c>
    </row>
    <row r="338" spans="1:11">
      <c r="A338" t="str">
        <f>'RAW DATA 2023'!B331</f>
        <v>Maeklong1</v>
      </c>
      <c r="B338" t="str">
        <f>'RAW DATA 2023'!D331</f>
        <v>A1-021-0026</v>
      </c>
      <c r="C338" t="str">
        <f t="shared" si="25"/>
        <v>Maeklong1A1-021-0026</v>
      </c>
      <c r="D338">
        <f>VLOOKUP(C338,'RAW DATA 2023'!E:BP,63,0)</f>
        <v>12</v>
      </c>
      <c r="E338" t="str">
        <f t="shared" si="26"/>
        <v>Maeklong112</v>
      </c>
      <c r="F338" s="8">
        <f>VLOOKUP(C338,'RAW DATA 2023'!E:BO,23,0)</f>
        <v>33.229768494613197</v>
      </c>
      <c r="G338" s="14">
        <f t="shared" si="27"/>
        <v>41.770231505386803</v>
      </c>
      <c r="H338" s="25">
        <f t="shared" si="28"/>
        <v>8.3540463010773607</v>
      </c>
      <c r="I338" s="80" t="str">
        <f>VLOOKUP(C338,'RAW DATA 2023'!E:BO,36,0)</f>
        <v>Normal</v>
      </c>
      <c r="J338">
        <f>VLOOKUP(C338,'RAW DATA 2023'!E:BO,21,0)</f>
        <v>29.49521</v>
      </c>
      <c r="K338" s="268">
        <f t="shared" si="29"/>
        <v>246.40434999999999</v>
      </c>
    </row>
    <row r="339" spans="1:11">
      <c r="A339" t="str">
        <f>'RAW DATA 2023'!B332</f>
        <v>Maeklong1</v>
      </c>
      <c r="B339" t="str">
        <f>'RAW DATA 2023'!D332</f>
        <v>A1-023-0017</v>
      </c>
      <c r="C339" t="str">
        <f t="shared" si="25"/>
        <v>Maeklong1A1-023-0017</v>
      </c>
      <c r="D339">
        <f>VLOOKUP(C339,'RAW DATA 2023'!E:BP,63,0)</f>
        <v>8</v>
      </c>
      <c r="E339" t="str">
        <f t="shared" si="26"/>
        <v>Maeklong18</v>
      </c>
      <c r="F339" s="8">
        <f>VLOOKUP(C339,'RAW DATA 2023'!E:BO,23,0)</f>
        <v>31.896321116912208</v>
      </c>
      <c r="G339" s="14">
        <f t="shared" si="27"/>
        <v>43.103678883087795</v>
      </c>
      <c r="H339" s="25">
        <f t="shared" si="28"/>
        <v>8.6207357766175594</v>
      </c>
      <c r="I339" s="80" t="str">
        <f>VLOOKUP(C339,'RAW DATA 2023'!E:BO,36,0)</f>
        <v>Normal</v>
      </c>
      <c r="J339">
        <f>VLOOKUP(C339,'RAW DATA 2023'!E:BO,21,0)</f>
        <v>34.391959999999997</v>
      </c>
      <c r="K339" s="268">
        <f t="shared" si="29"/>
        <v>296.48400000000004</v>
      </c>
    </row>
    <row r="340" spans="1:11">
      <c r="A340" t="str">
        <f>'RAW DATA 2023'!B333</f>
        <v>Maeklong1</v>
      </c>
      <c r="B340" t="str">
        <f>'RAW DATA 2023'!D333</f>
        <v>A1-024-0011</v>
      </c>
      <c r="C340" t="str">
        <f t="shared" si="25"/>
        <v>Maeklong1A1-024-0011</v>
      </c>
      <c r="D340">
        <f>VLOOKUP(C340,'RAW DATA 2023'!E:BP,63,0)</f>
        <v>5</v>
      </c>
      <c r="E340" t="str">
        <f t="shared" si="26"/>
        <v>Maeklong15</v>
      </c>
      <c r="F340" s="8">
        <f>VLOOKUP(C340,'RAW DATA 2023'!E:BO,23,0)</f>
        <v>30.513956876388203</v>
      </c>
      <c r="G340" s="14">
        <f t="shared" si="27"/>
        <v>44.486043123611793</v>
      </c>
      <c r="H340" s="25">
        <f t="shared" si="28"/>
        <v>8.8972086247223583</v>
      </c>
      <c r="I340" s="80" t="str">
        <f>VLOOKUP(C340,'RAW DATA 2023'!E:BO,36,0)</f>
        <v>Normal</v>
      </c>
      <c r="J340">
        <f>VLOOKUP(C340,'RAW DATA 2023'!E:BO,21,0)</f>
        <v>29.701130000000003</v>
      </c>
      <c r="K340" s="268">
        <f t="shared" si="29"/>
        <v>264.25715000000002</v>
      </c>
    </row>
    <row r="341" spans="1:11">
      <c r="A341" t="str">
        <f>'RAW DATA 2023'!B334</f>
        <v>Maeklong1</v>
      </c>
      <c r="B341" t="str">
        <f>'RAW DATA 2023'!D334</f>
        <v>A1-021-0024</v>
      </c>
      <c r="C341" t="str">
        <f t="shared" si="25"/>
        <v>Maeklong1A1-021-0024</v>
      </c>
      <c r="D341">
        <f>VLOOKUP(C341,'RAW DATA 2023'!E:BP,63,0)</f>
        <v>3</v>
      </c>
      <c r="E341" t="str">
        <f t="shared" si="26"/>
        <v>Maeklong13</v>
      </c>
      <c r="F341" s="8">
        <f>VLOOKUP(C341,'RAW DATA 2023'!E:BO,23,0)</f>
        <v>34.954452880106217</v>
      </c>
      <c r="G341" s="14">
        <f t="shared" si="27"/>
        <v>40.045547119893783</v>
      </c>
      <c r="H341" s="25">
        <f t="shared" si="28"/>
        <v>8.0091094239787566</v>
      </c>
      <c r="I341" s="80" t="str">
        <f>VLOOKUP(C341,'RAW DATA 2023'!E:BO,36,0)</f>
        <v>Normal</v>
      </c>
      <c r="J341">
        <f>VLOOKUP(C341,'RAW DATA 2023'!E:BO,21,0)</f>
        <v>33.005379999999995</v>
      </c>
      <c r="K341" s="268">
        <f t="shared" si="29"/>
        <v>264.34369999999996</v>
      </c>
    </row>
    <row r="342" spans="1:11">
      <c r="A342" t="str">
        <f>'RAW DATA 2023'!B335</f>
        <v>Maeklong1</v>
      </c>
      <c r="B342" t="str">
        <f>'RAW DATA 2023'!D335</f>
        <v>A1-023-0018</v>
      </c>
      <c r="C342" t="str">
        <f t="shared" si="25"/>
        <v>Maeklong1A1-023-0018</v>
      </c>
      <c r="D342">
        <f>VLOOKUP(C342,'RAW DATA 2023'!E:BP,63,0)</f>
        <v>10</v>
      </c>
      <c r="E342" t="str">
        <f t="shared" si="26"/>
        <v>Maeklong110</v>
      </c>
      <c r="F342" s="8">
        <f>VLOOKUP(C342,'RAW DATA 2023'!E:BO,23,0)</f>
        <v>71.000088125670672</v>
      </c>
      <c r="G342" s="14">
        <f t="shared" si="27"/>
        <v>3.999911874329328</v>
      </c>
      <c r="H342" s="25">
        <f t="shared" si="28"/>
        <v>0.79998237486586565</v>
      </c>
      <c r="I342" s="80" t="str">
        <f>VLOOKUP(C342,'RAW DATA 2023'!E:BO,36,0)</f>
        <v>WSSV</v>
      </c>
      <c r="J342">
        <f>VLOOKUP(C342,'RAW DATA 2023'!E:BO,21,0)</f>
        <v>11.57438</v>
      </c>
      <c r="K342" s="268">
        <f t="shared" si="29"/>
        <v>9.2592999999999783</v>
      </c>
    </row>
    <row r="343" spans="1:11">
      <c r="A343" t="str">
        <f>'RAW DATA 2023'!B336</f>
        <v>Maeklong1</v>
      </c>
      <c r="B343" t="str">
        <f>'RAW DATA 2023'!D336</f>
        <v>A1-019-0023</v>
      </c>
      <c r="C343" t="str">
        <f t="shared" si="25"/>
        <v>Maeklong1A1-019-0023</v>
      </c>
      <c r="D343">
        <f>VLOOKUP(C343,'RAW DATA 2023'!E:BP,63,0)</f>
        <v>5</v>
      </c>
      <c r="E343" t="str">
        <f t="shared" si="26"/>
        <v>Maeklong15</v>
      </c>
      <c r="F343" s="8">
        <f>VLOOKUP(C343,'RAW DATA 2023'!E:BO,23,0)</f>
        <v>33.68937848971315</v>
      </c>
      <c r="G343" s="14">
        <f t="shared" si="27"/>
        <v>41.31062151028685</v>
      </c>
      <c r="H343" s="25">
        <f t="shared" si="28"/>
        <v>8.2621243020573711</v>
      </c>
      <c r="I343" s="80" t="str">
        <f>VLOOKUP(C343,'RAW DATA 2023'!E:BO,36,0)</f>
        <v>Normal</v>
      </c>
      <c r="J343">
        <f>VLOOKUP(C343,'RAW DATA 2023'!E:BO,21,0)</f>
        <v>51.633900000000004</v>
      </c>
      <c r="K343" s="268">
        <f t="shared" si="29"/>
        <v>426.60570000000013</v>
      </c>
    </row>
    <row r="344" spans="1:11">
      <c r="A344" t="str">
        <f>'RAW DATA 2023'!B337</f>
        <v>Maeklong1</v>
      </c>
      <c r="B344" t="str">
        <f>'RAW DATA 2023'!D337</f>
        <v>A1-015-0035</v>
      </c>
      <c r="C344" t="str">
        <f t="shared" si="25"/>
        <v>Maeklong1A1-015-0035</v>
      </c>
      <c r="D344">
        <f>VLOOKUP(C344,'RAW DATA 2023'!E:BP,63,0)</f>
        <v>3</v>
      </c>
      <c r="E344" t="str">
        <f t="shared" si="26"/>
        <v>Maeklong13</v>
      </c>
      <c r="F344" s="8">
        <f>VLOOKUP(C344,'RAW DATA 2023'!E:BO,23,0)</f>
        <v>37.709541712672433</v>
      </c>
      <c r="G344" s="14">
        <f t="shared" si="27"/>
        <v>37.290458287327567</v>
      </c>
      <c r="H344" s="25">
        <f t="shared" si="28"/>
        <v>7.4580916574655136</v>
      </c>
      <c r="I344" s="80" t="str">
        <f>VLOOKUP(C344,'RAW DATA 2023'!E:BO,36,0)</f>
        <v>Normal</v>
      </c>
      <c r="J344">
        <f>VLOOKUP(C344,'RAW DATA 2023'!E:BO,21,0)</f>
        <v>28.619599999999998</v>
      </c>
      <c r="K344" s="268">
        <f t="shared" si="29"/>
        <v>213.44759999999999</v>
      </c>
    </row>
    <row r="345" spans="1:11">
      <c r="A345" t="str">
        <f>'RAW DATA 2023'!B338</f>
        <v>Maeklong1</v>
      </c>
      <c r="B345" t="str">
        <f>'RAW DATA 2023'!D338</f>
        <v>A1-017-0029</v>
      </c>
      <c r="C345" t="str">
        <f t="shared" si="25"/>
        <v>Maeklong1A1-017-0029</v>
      </c>
      <c r="D345">
        <f>VLOOKUP(C345,'RAW DATA 2023'!E:BP,63,0)</f>
        <v>2</v>
      </c>
      <c r="E345" t="str">
        <f t="shared" si="26"/>
        <v>Maeklong12</v>
      </c>
      <c r="F345" s="8">
        <f>VLOOKUP(C345,'RAW DATA 2023'!E:BO,23,0)</f>
        <v>51.433759106736147</v>
      </c>
      <c r="G345" s="14">
        <f t="shared" si="27"/>
        <v>23.566240893263853</v>
      </c>
      <c r="H345" s="25">
        <f t="shared" si="28"/>
        <v>4.7132481786527709</v>
      </c>
      <c r="I345" s="80" t="str">
        <f>VLOOKUP(C345,'RAW DATA 2023'!E:BO,36,0)</f>
        <v>WSSV</v>
      </c>
      <c r="J345">
        <f>VLOOKUP(C345,'RAW DATA 2023'!E:BO,21,0)</f>
        <v>17.668240000000001</v>
      </c>
      <c r="K345" s="268">
        <f t="shared" si="29"/>
        <v>83.274800000000042</v>
      </c>
    </row>
    <row r="346" spans="1:11">
      <c r="A346" t="str">
        <f>'RAW DATA 2023'!B339</f>
        <v>Maeklong1</v>
      </c>
      <c r="B346" t="str">
        <f>'RAW DATA 2023'!D339</f>
        <v>A1-017-0030</v>
      </c>
      <c r="C346" t="str">
        <f t="shared" si="25"/>
        <v>Maeklong1A1-017-0030</v>
      </c>
      <c r="D346">
        <f>VLOOKUP(C346,'RAW DATA 2023'!E:BP,63,0)</f>
        <v>3</v>
      </c>
      <c r="E346" t="str">
        <f t="shared" si="26"/>
        <v>Maeklong13</v>
      </c>
      <c r="F346" s="8">
        <f>VLOOKUP(C346,'RAW DATA 2023'!E:BO,23,0)</f>
        <v>0</v>
      </c>
      <c r="G346" s="14">
        <f t="shared" si="27"/>
        <v>0</v>
      </c>
      <c r="H346" s="25">
        <f t="shared" si="28"/>
        <v>0</v>
      </c>
      <c r="I346" s="80" t="str">
        <f>VLOOKUP(C346,'RAW DATA 2023'!E:BO,36,0)</f>
        <v>WSSV</v>
      </c>
      <c r="J346">
        <f>VLOOKUP(C346,'RAW DATA 2023'!E:BO,21,0)</f>
        <v>0</v>
      </c>
      <c r="K346" s="268">
        <f t="shared" si="29"/>
        <v>0</v>
      </c>
    </row>
    <row r="347" spans="1:11">
      <c r="A347" t="str">
        <f>'RAW DATA 2023'!B340</f>
        <v>Maeklong1</v>
      </c>
      <c r="B347" t="str">
        <f>'RAW DATA 2023'!D340</f>
        <v>A1-017-0032</v>
      </c>
      <c r="C347" t="str">
        <f t="shared" si="25"/>
        <v>Maeklong1A1-017-0032</v>
      </c>
      <c r="D347">
        <f>VLOOKUP(C347,'RAW DATA 2023'!E:BP,63,0)</f>
        <v>10</v>
      </c>
      <c r="E347" t="str">
        <f t="shared" si="26"/>
        <v>Maeklong110</v>
      </c>
      <c r="F347" s="8">
        <f>VLOOKUP(C347,'RAW DATA 2023'!E:BO,23,0)</f>
        <v>0</v>
      </c>
      <c r="G347" s="14">
        <f t="shared" si="27"/>
        <v>0</v>
      </c>
      <c r="H347" s="25">
        <f t="shared" si="28"/>
        <v>0</v>
      </c>
      <c r="I347" s="80" t="str">
        <f>VLOOKUP(C347,'RAW DATA 2023'!E:BO,36,0)</f>
        <v>WSSV</v>
      </c>
      <c r="J347">
        <f>VLOOKUP(C347,'RAW DATA 2023'!E:BO,21,0)</f>
        <v>0</v>
      </c>
      <c r="K347" s="268">
        <f t="shared" si="29"/>
        <v>0</v>
      </c>
    </row>
    <row r="348" spans="1:11">
      <c r="A348" t="str">
        <f>'RAW DATA 2023'!B341</f>
        <v>Maeklong1</v>
      </c>
      <c r="B348" t="str">
        <f>'RAW DATA 2023'!D341</f>
        <v>A1-029-0014</v>
      </c>
      <c r="C348" t="str">
        <f t="shared" si="25"/>
        <v>Maeklong1A1-029-0014</v>
      </c>
      <c r="D348">
        <f>VLOOKUP(C348,'RAW DATA 2023'!E:BP,63,0)</f>
        <v>9</v>
      </c>
      <c r="E348" t="str">
        <f t="shared" si="26"/>
        <v>Maeklong19</v>
      </c>
      <c r="F348" s="8">
        <f>VLOOKUP(C348,'RAW DATA 2023'!E:BO,23,0)</f>
        <v>34.725350269834323</v>
      </c>
      <c r="G348" s="14">
        <f t="shared" si="27"/>
        <v>40.274649730165677</v>
      </c>
      <c r="H348" s="25">
        <f t="shared" si="28"/>
        <v>8.0549299460331358</v>
      </c>
      <c r="I348" s="80" t="str">
        <f>VLOOKUP(C348,'RAW DATA 2023'!E:BO,36,0)</f>
        <v>Normal</v>
      </c>
      <c r="J348">
        <f>VLOOKUP(C348,'RAW DATA 2023'!E:BO,21,0)</f>
        <v>18.648479999999999</v>
      </c>
      <c r="K348" s="268">
        <f t="shared" si="29"/>
        <v>150.2122</v>
      </c>
    </row>
    <row r="349" spans="1:11">
      <c r="A349" t="str">
        <f>'RAW DATA 2023'!B342</f>
        <v>Maeklong1</v>
      </c>
      <c r="B349" t="str">
        <f>'RAW DATA 2023'!D342</f>
        <v>A1-002-0034</v>
      </c>
      <c r="C349" t="str">
        <f t="shared" si="25"/>
        <v>Maeklong1A1-002-0034</v>
      </c>
      <c r="D349">
        <f>VLOOKUP(C349,'RAW DATA 2023'!E:BP,63,0)</f>
        <v>7</v>
      </c>
      <c r="E349" t="str">
        <f t="shared" si="26"/>
        <v>Maeklong17</v>
      </c>
      <c r="F349" s="8">
        <f>VLOOKUP(C349,'RAW DATA 2023'!E:BO,23,0)</f>
        <v>26.856420832396232</v>
      </c>
      <c r="G349" s="14">
        <f t="shared" si="27"/>
        <v>48.143579167603768</v>
      </c>
      <c r="H349" s="25">
        <f t="shared" si="28"/>
        <v>9.6287158335207543</v>
      </c>
      <c r="I349" s="80" t="str">
        <f>VLOOKUP(C349,'RAW DATA 2023'!E:BO,36,0)</f>
        <v>Normal</v>
      </c>
      <c r="J349">
        <f>VLOOKUP(C349,'RAW DATA 2023'!E:BO,21,0)</f>
        <v>38.771920000000001</v>
      </c>
      <c r="K349" s="268">
        <f t="shared" si="29"/>
        <v>373.32380000000001</v>
      </c>
    </row>
    <row r="350" spans="1:11">
      <c r="A350" t="str">
        <f>'RAW DATA 2023'!B343</f>
        <v>Maeklong1</v>
      </c>
      <c r="B350" t="str">
        <f>'RAW DATA 2023'!D343</f>
        <v>A1-005-0044</v>
      </c>
      <c r="C350" t="str">
        <f t="shared" si="25"/>
        <v>Maeklong1A1-005-0044</v>
      </c>
      <c r="D350">
        <f>VLOOKUP(C350,'RAW DATA 2023'!E:BP,63,0)</f>
        <v>9</v>
      </c>
      <c r="E350" t="str">
        <f t="shared" si="26"/>
        <v>Maeklong19</v>
      </c>
      <c r="F350" s="8">
        <f>VLOOKUP(C350,'RAW DATA 2023'!E:BO,23,0)</f>
        <v>25.674007235607831</v>
      </c>
      <c r="G350" s="14">
        <f t="shared" si="27"/>
        <v>49.325992764392169</v>
      </c>
      <c r="H350" s="25">
        <f t="shared" si="28"/>
        <v>9.8651985528784341</v>
      </c>
      <c r="I350" s="80" t="str">
        <f>VLOOKUP(C350,'RAW DATA 2023'!E:BO,36,0)</f>
        <v>Normal</v>
      </c>
      <c r="J350">
        <f>VLOOKUP(C350,'RAW DATA 2023'!E:BO,21,0)</f>
        <v>46.207589999999996</v>
      </c>
      <c r="K350" s="268">
        <f t="shared" si="29"/>
        <v>455.84704999999997</v>
      </c>
    </row>
    <row r="351" spans="1:11">
      <c r="A351" t="str">
        <f>'RAW DATA 2023'!B344</f>
        <v>Maeklong1</v>
      </c>
      <c r="B351" t="str">
        <f>'RAW DATA 2023'!D344</f>
        <v>A1-006-0042</v>
      </c>
      <c r="C351" t="str">
        <f t="shared" si="25"/>
        <v>Maeklong1A1-006-0042</v>
      </c>
      <c r="D351">
        <f>VLOOKUP(C351,'RAW DATA 2023'!E:BP,63,0)</f>
        <v>9</v>
      </c>
      <c r="E351" t="str">
        <f t="shared" si="26"/>
        <v>Maeklong19</v>
      </c>
      <c r="F351" s="8">
        <f>VLOOKUP(C351,'RAW DATA 2023'!E:BO,23,0)</f>
        <v>27.085189767424865</v>
      </c>
      <c r="G351" s="14">
        <f t="shared" si="27"/>
        <v>47.914810232575135</v>
      </c>
      <c r="H351" s="25">
        <f t="shared" si="28"/>
        <v>9.5829620465150267</v>
      </c>
      <c r="I351" s="80" t="str">
        <f>VLOOKUP(C351,'RAW DATA 2023'!E:BO,36,0)</f>
        <v>Normal</v>
      </c>
      <c r="J351">
        <f>VLOOKUP(C351,'RAW DATA 2023'!E:BO,21,0)</f>
        <v>37.212919999999997</v>
      </c>
      <c r="K351" s="268">
        <f t="shared" si="29"/>
        <v>356.60999999999996</v>
      </c>
    </row>
    <row r="352" spans="1:11">
      <c r="A352" t="str">
        <f>'RAW DATA 2023'!B345</f>
        <v>Maeklong1</v>
      </c>
      <c r="B352" t="str">
        <f>'RAW DATA 2023'!D345</f>
        <v>A1-030-0007</v>
      </c>
      <c r="C352" t="str">
        <f t="shared" si="25"/>
        <v>Maeklong1A1-030-0007</v>
      </c>
      <c r="D352">
        <f>VLOOKUP(C352,'RAW DATA 2023'!E:BP,63,0)</f>
        <v>8</v>
      </c>
      <c r="E352" t="str">
        <f t="shared" si="26"/>
        <v>Maeklong18</v>
      </c>
      <c r="F352" s="8">
        <f>VLOOKUP(C352,'RAW DATA 2023'!E:BO,23,0)</f>
        <v>32.381812931669309</v>
      </c>
      <c r="G352" s="14">
        <f t="shared" si="27"/>
        <v>42.618187068330691</v>
      </c>
      <c r="H352" s="25">
        <f t="shared" si="28"/>
        <v>8.5236374136661386</v>
      </c>
      <c r="I352" s="80" t="str">
        <f>VLOOKUP(C352,'RAW DATA 2023'!E:BO,36,0)</f>
        <v>Normal</v>
      </c>
      <c r="J352">
        <f>VLOOKUP(C352,'RAW DATA 2023'!E:BO,21,0)</f>
        <v>14.47578</v>
      </c>
      <c r="K352" s="268">
        <f t="shared" si="29"/>
        <v>123.38630000000002</v>
      </c>
    </row>
    <row r="353" spans="1:11">
      <c r="A353" t="str">
        <f>'RAW DATA 2023'!B346</f>
        <v>Maeklong1</v>
      </c>
      <c r="B353" t="str">
        <f>'RAW DATA 2023'!D346</f>
        <v>A1-009-0043</v>
      </c>
      <c r="C353" t="str">
        <f t="shared" si="25"/>
        <v>Maeklong1A1-009-0043</v>
      </c>
      <c r="D353">
        <f>VLOOKUP(C353,'RAW DATA 2023'!E:BP,63,0)</f>
        <v>10</v>
      </c>
      <c r="E353" t="str">
        <f t="shared" si="26"/>
        <v>Maeklong110</v>
      </c>
      <c r="F353" s="8">
        <f>VLOOKUP(C353,'RAW DATA 2023'!E:BO,23,0)</f>
        <v>32.095579066707941</v>
      </c>
      <c r="G353" s="14">
        <f t="shared" si="27"/>
        <v>42.904420933292059</v>
      </c>
      <c r="H353" s="25">
        <f t="shared" si="28"/>
        <v>8.5808841866584125</v>
      </c>
      <c r="I353" s="80" t="str">
        <f>VLOOKUP(C353,'RAW DATA 2023'!E:BO,36,0)</f>
        <v>Normal</v>
      </c>
      <c r="J353">
        <f>VLOOKUP(C353,'RAW DATA 2023'!E:BO,21,0)</f>
        <v>35.246629999999996</v>
      </c>
      <c r="K353" s="268">
        <f t="shared" si="29"/>
        <v>302.44724999999994</v>
      </c>
    </row>
    <row r="354" spans="1:11">
      <c r="A354" t="str">
        <f>'RAW DATA 2023'!B347</f>
        <v>Maeklong1</v>
      </c>
      <c r="B354" t="str">
        <f>'RAW DATA 2023'!D347</f>
        <v>A1-029-0013</v>
      </c>
      <c r="C354" t="str">
        <f t="shared" si="25"/>
        <v>Maeklong1A1-029-0013</v>
      </c>
      <c r="D354">
        <f>VLOOKUP(C354,'RAW DATA 2023'!E:BP,63,0)</f>
        <v>5</v>
      </c>
      <c r="E354" t="str">
        <f t="shared" si="26"/>
        <v>Maeklong15</v>
      </c>
      <c r="F354" s="8">
        <f>VLOOKUP(C354,'RAW DATA 2023'!E:BO,23,0)</f>
        <v>35.67925819238971</v>
      </c>
      <c r="G354" s="14">
        <f t="shared" si="27"/>
        <v>39.32074180761029</v>
      </c>
      <c r="H354" s="25">
        <f t="shared" si="28"/>
        <v>7.8641483615220587</v>
      </c>
      <c r="I354" s="80" t="str">
        <f>VLOOKUP(C354,'RAW DATA 2023'!E:BO,36,0)</f>
        <v>Normal</v>
      </c>
      <c r="J354">
        <f>VLOOKUP(C354,'RAW DATA 2023'!E:BO,21,0)</f>
        <v>15.02492</v>
      </c>
      <c r="K354" s="268">
        <f t="shared" si="29"/>
        <v>118.15820000000001</v>
      </c>
    </row>
    <row r="355" spans="1:11">
      <c r="A355" t="str">
        <f>'RAW DATA 2023'!B348</f>
        <v>Maeklong1</v>
      </c>
      <c r="B355" t="str">
        <f>'RAW DATA 2023'!D348</f>
        <v>A1-030-0008</v>
      </c>
      <c r="C355" t="str">
        <f t="shared" si="25"/>
        <v>Maeklong1A1-030-0008</v>
      </c>
      <c r="D355">
        <f>VLOOKUP(C355,'RAW DATA 2023'!E:BP,63,0)</f>
        <v>12</v>
      </c>
      <c r="E355" t="str">
        <f t="shared" si="26"/>
        <v>Maeklong112</v>
      </c>
      <c r="F355" s="8">
        <f>VLOOKUP(C355,'RAW DATA 2023'!E:BO,23,0)</f>
        <v>40.941098532821542</v>
      </c>
      <c r="G355" s="14">
        <f t="shared" si="27"/>
        <v>34.058901467178458</v>
      </c>
      <c r="H355" s="25">
        <f t="shared" si="28"/>
        <v>6.8117802934356924</v>
      </c>
      <c r="I355" s="80" t="str">
        <f>VLOOKUP(C355,'RAW DATA 2023'!E:BO,36,0)</f>
        <v>Normal</v>
      </c>
      <c r="J355">
        <f>VLOOKUP(C355,'RAW DATA 2023'!E:BO,21,0)</f>
        <v>15.3969</v>
      </c>
      <c r="K355" s="268">
        <f t="shared" si="29"/>
        <v>104.88030000000002</v>
      </c>
    </row>
    <row r="356" spans="1:11">
      <c r="A356" t="str">
        <f>'RAW DATA 2023'!B349</f>
        <v>Maeklong1</v>
      </c>
      <c r="B356" t="str">
        <f>'RAW DATA 2023'!D349</f>
        <v>A1-002-0035</v>
      </c>
      <c r="C356" t="str">
        <f t="shared" si="25"/>
        <v>Maeklong1A1-002-0035</v>
      </c>
      <c r="D356">
        <f>VLOOKUP(C356,'RAW DATA 2023'!E:BP,63,0)</f>
        <v>10</v>
      </c>
      <c r="E356" t="str">
        <f t="shared" si="26"/>
        <v>Maeklong110</v>
      </c>
      <c r="F356" s="8">
        <f>VLOOKUP(C356,'RAW DATA 2023'!E:BO,23,0)</f>
        <v>45.206097248374796</v>
      </c>
      <c r="G356" s="14">
        <f t="shared" si="27"/>
        <v>29.793902751625204</v>
      </c>
      <c r="H356" s="25">
        <f t="shared" si="28"/>
        <v>5.9587805503250415</v>
      </c>
      <c r="I356" s="80" t="str">
        <f>VLOOKUP(C356,'RAW DATA 2023'!E:BO,36,0)</f>
        <v>WSSV</v>
      </c>
      <c r="J356">
        <f>VLOOKUP(C356,'RAW DATA 2023'!E:BO,21,0)</f>
        <v>5.1885699999999995</v>
      </c>
      <c r="K356" s="268">
        <f t="shared" si="29"/>
        <v>30.917549999999999</v>
      </c>
    </row>
    <row r="357" spans="1:11">
      <c r="A357" t="str">
        <f>'RAW DATA 2023'!B350</f>
        <v>Maeklong1</v>
      </c>
      <c r="B357" t="str">
        <f>'RAW DATA 2023'!D350</f>
        <v>A1-029-0012</v>
      </c>
      <c r="C357" t="str">
        <f t="shared" si="25"/>
        <v>Maeklong1A1-029-0012</v>
      </c>
      <c r="D357">
        <f>VLOOKUP(C357,'RAW DATA 2023'!E:BP,63,0)</f>
        <v>1</v>
      </c>
      <c r="E357" t="str">
        <f t="shared" si="26"/>
        <v>Maeklong11</v>
      </c>
      <c r="F357" s="8">
        <f>VLOOKUP(C357,'RAW DATA 2023'!E:BO,23,0)</f>
        <v>43.937171742133309</v>
      </c>
      <c r="G357" s="14">
        <f t="shared" si="27"/>
        <v>31.062828257866691</v>
      </c>
      <c r="H357" s="25">
        <f t="shared" si="28"/>
        <v>6.212565651573339</v>
      </c>
      <c r="I357" s="80" t="str">
        <f>VLOOKUP(C357,'RAW DATA 2023'!E:BO,36,0)</f>
        <v>Normal</v>
      </c>
      <c r="J357">
        <f>VLOOKUP(C357,'RAW DATA 2023'!E:BO,21,0)</f>
        <v>18.047930000000001</v>
      </c>
      <c r="K357" s="268">
        <f t="shared" si="29"/>
        <v>112.12395000000002</v>
      </c>
    </row>
    <row r="358" spans="1:11">
      <c r="A358" t="str">
        <f>'RAW DATA 2023'!B351</f>
        <v>Maeklong1</v>
      </c>
      <c r="B358" t="str">
        <f>'RAW DATA 2023'!D351</f>
        <v>A1-029-0015</v>
      </c>
      <c r="C358" t="str">
        <f t="shared" si="25"/>
        <v>Maeklong1A1-029-0015</v>
      </c>
      <c r="D358">
        <f>VLOOKUP(C358,'RAW DATA 2023'!E:BP,63,0)</f>
        <v>12</v>
      </c>
      <c r="E358" t="str">
        <f t="shared" si="26"/>
        <v>Maeklong112</v>
      </c>
      <c r="F358" s="8">
        <f>VLOOKUP(C358,'RAW DATA 2023'!E:BO,23,0)</f>
        <v>64.302865228675742</v>
      </c>
      <c r="G358" s="14">
        <f t="shared" si="27"/>
        <v>10.697134771324258</v>
      </c>
      <c r="H358" s="25">
        <f t="shared" si="28"/>
        <v>2.1394269542648519</v>
      </c>
      <c r="I358" s="80" t="str">
        <f>VLOOKUP(C358,'RAW DATA 2023'!E:BO,36,0)</f>
        <v>WSSV</v>
      </c>
      <c r="J358">
        <f>VLOOKUP(C358,'RAW DATA 2023'!E:BO,21,0)</f>
        <v>10.911520000000001</v>
      </c>
      <c r="K358" s="268">
        <f t="shared" si="29"/>
        <v>23.344400000000018</v>
      </c>
    </row>
    <row r="359" spans="1:11">
      <c r="A359" t="str">
        <f>'RAW DATA 2023'!B352</f>
        <v>Maeklong1</v>
      </c>
      <c r="B359" t="str">
        <f>'RAW DATA 2023'!D352</f>
        <v>A1-006-0043</v>
      </c>
      <c r="C359" t="str">
        <f t="shared" si="25"/>
        <v>Maeklong1A1-006-0043</v>
      </c>
      <c r="D359">
        <f>VLOOKUP(C359,'RAW DATA 2023'!E:BP,63,0)</f>
        <v>12</v>
      </c>
      <c r="E359" t="str">
        <f t="shared" si="26"/>
        <v>Maeklong112</v>
      </c>
      <c r="F359" s="8">
        <f>VLOOKUP(C359,'RAW DATA 2023'!E:BO,23,0)</f>
        <v>51.859663869499691</v>
      </c>
      <c r="G359" s="14">
        <f t="shared" si="27"/>
        <v>23.140336130500309</v>
      </c>
      <c r="H359" s="25">
        <f t="shared" si="28"/>
        <v>4.6280672261000619</v>
      </c>
      <c r="I359" s="80" t="str">
        <f>VLOOKUP(C359,'RAW DATA 2023'!E:BO,36,0)</f>
        <v>Normal</v>
      </c>
      <c r="J359">
        <f>VLOOKUP(C359,'RAW DATA 2023'!E:BO,21,0)</f>
        <v>19.13007</v>
      </c>
      <c r="K359" s="268">
        <f t="shared" si="29"/>
        <v>88.535250000000005</v>
      </c>
    </row>
    <row r="360" spans="1:11">
      <c r="A360" t="str">
        <f>'RAW DATA 2023'!B353</f>
        <v>Maeklong1</v>
      </c>
      <c r="B360" t="str">
        <f>'RAW DATA 2023'!D353</f>
        <v>A1-009-0044</v>
      </c>
      <c r="C360" t="str">
        <f t="shared" si="25"/>
        <v>Maeklong1A1-009-0044</v>
      </c>
      <c r="D360">
        <f>VLOOKUP(C360,'RAW DATA 2023'!E:BP,63,0)</f>
        <v>12</v>
      </c>
      <c r="E360" t="str">
        <f t="shared" si="26"/>
        <v>Maeklong112</v>
      </c>
      <c r="F360" s="8">
        <f>VLOOKUP(C360,'RAW DATA 2023'!E:BO,23,0)</f>
        <v>83.999833836439677</v>
      </c>
      <c r="G360" s="14">
        <f t="shared" si="27"/>
        <v>-8.9998338364396773</v>
      </c>
      <c r="H360" s="25">
        <f t="shared" si="28"/>
        <v>-1.7999667672879356</v>
      </c>
      <c r="I360" s="80" t="str">
        <f>VLOOKUP(C360,'RAW DATA 2023'!E:BO,36,0)</f>
        <v>WSSV</v>
      </c>
      <c r="J360">
        <f>VLOOKUP(C360,'RAW DATA 2023'!E:BO,21,0)</f>
        <v>2.1665399999999999</v>
      </c>
      <c r="K360" s="268">
        <f t="shared" si="29"/>
        <v>-3.8997000000000037</v>
      </c>
    </row>
    <row r="361" spans="1:11">
      <c r="A361" t="str">
        <f>'RAW DATA 2023'!B354</f>
        <v>Maeklong1</v>
      </c>
      <c r="B361" t="str">
        <f>'RAW DATA 2023'!D354</f>
        <v>A1-006-0041</v>
      </c>
      <c r="C361" t="str">
        <f t="shared" si="25"/>
        <v>Maeklong1A1-006-0041</v>
      </c>
      <c r="D361">
        <f>VLOOKUP(C361,'RAW DATA 2023'!E:BP,63,0)</f>
        <v>3</v>
      </c>
      <c r="E361" t="str">
        <f t="shared" si="26"/>
        <v>Maeklong13</v>
      </c>
      <c r="F361" s="8">
        <f>VLOOKUP(C361,'RAW DATA 2023'!E:BO,23,0)</f>
        <v>41.64684123413533</v>
      </c>
      <c r="G361" s="14">
        <f t="shared" si="27"/>
        <v>33.35315876586467</v>
      </c>
      <c r="H361" s="25">
        <f t="shared" si="28"/>
        <v>6.670631753172934</v>
      </c>
      <c r="I361" s="80" t="str">
        <f>VLOOKUP(C361,'RAW DATA 2023'!E:BO,36,0)</f>
        <v>Normal</v>
      </c>
      <c r="J361">
        <f>VLOOKUP(C361,'RAW DATA 2023'!E:BO,21,0)</f>
        <v>23.152080000000002</v>
      </c>
      <c r="K361" s="268">
        <f t="shared" si="29"/>
        <v>154.43900000000002</v>
      </c>
    </row>
    <row r="362" spans="1:11">
      <c r="A362" t="str">
        <f>'RAW DATA 2023'!B355</f>
        <v>Maeklong1</v>
      </c>
      <c r="B362" t="str">
        <f>'RAW DATA 2023'!D355</f>
        <v>A1-030-0006</v>
      </c>
      <c r="C362" t="str">
        <f t="shared" si="25"/>
        <v>Maeklong1A1-030-0006</v>
      </c>
      <c r="D362">
        <f>VLOOKUP(C362,'RAW DATA 2023'!E:BP,63,0)</f>
        <v>3</v>
      </c>
      <c r="E362" t="str">
        <f t="shared" si="26"/>
        <v>Maeklong13</v>
      </c>
      <c r="F362" s="8">
        <f>VLOOKUP(C362,'RAW DATA 2023'!E:BO,23,0)</f>
        <v>39.914313887723992</v>
      </c>
      <c r="G362" s="14">
        <f t="shared" si="27"/>
        <v>35.085686112276008</v>
      </c>
      <c r="H362" s="25">
        <f t="shared" si="28"/>
        <v>7.0171372224552018</v>
      </c>
      <c r="I362" s="80" t="str">
        <f>VLOOKUP(C362,'RAW DATA 2023'!E:BO,36,0)</f>
        <v>Normal</v>
      </c>
      <c r="J362">
        <f>VLOOKUP(C362,'RAW DATA 2023'!E:BO,21,0)</f>
        <v>14.99893</v>
      </c>
      <c r="K362" s="268">
        <f t="shared" si="29"/>
        <v>105.24955</v>
      </c>
    </row>
    <row r="363" spans="1:11">
      <c r="A363" t="str">
        <f>'RAW DATA 2023'!B356</f>
        <v>Maeklong1</v>
      </c>
      <c r="B363" t="str">
        <f>'RAW DATA 2023'!D356</f>
        <v>A1-005-0042</v>
      </c>
      <c r="C363" t="str">
        <f t="shared" si="25"/>
        <v>Maeklong1A1-005-0042</v>
      </c>
      <c r="D363">
        <f>VLOOKUP(C363,'RAW DATA 2023'!E:BP,63,0)</f>
        <v>1</v>
      </c>
      <c r="E363" t="str">
        <f t="shared" si="26"/>
        <v>Maeklong11</v>
      </c>
      <c r="F363" s="8">
        <f>VLOOKUP(C363,'RAW DATA 2023'!E:BO,23,0)</f>
        <v>78.000005348079782</v>
      </c>
      <c r="G363" s="14">
        <f t="shared" si="27"/>
        <v>-3.0000053480797817</v>
      </c>
      <c r="H363" s="25">
        <f t="shared" si="28"/>
        <v>-0.60000106961595634</v>
      </c>
      <c r="I363" s="80" t="str">
        <f>VLOOKUP(C363,'RAW DATA 2023'!E:BO,36,0)</f>
        <v>WSSV</v>
      </c>
      <c r="J363">
        <f>VLOOKUP(C363,'RAW DATA 2023'!E:BO,21,0)</f>
        <v>14.958639999999999</v>
      </c>
      <c r="K363" s="268">
        <f t="shared" si="29"/>
        <v>-8.9752000000000294</v>
      </c>
    </row>
    <row r="364" spans="1:11">
      <c r="A364" t="str">
        <f>'RAW DATA 2023'!B357</f>
        <v>Maeklong1</v>
      </c>
      <c r="B364" t="str">
        <f>'RAW DATA 2023'!D357</f>
        <v>A1-009-0042</v>
      </c>
      <c r="C364" t="str">
        <f t="shared" si="25"/>
        <v>Maeklong1A1-009-0042</v>
      </c>
      <c r="D364">
        <f>VLOOKUP(C364,'RAW DATA 2023'!E:BP,63,0)</f>
        <v>4</v>
      </c>
      <c r="E364" t="str">
        <f t="shared" si="26"/>
        <v>Maeklong14</v>
      </c>
      <c r="F364" s="8">
        <f>VLOOKUP(C364,'RAW DATA 2023'!E:BO,23,0)</f>
        <v>67.000028424074557</v>
      </c>
      <c r="G364" s="14">
        <f t="shared" si="27"/>
        <v>7.9999715759254428</v>
      </c>
      <c r="H364" s="25">
        <f t="shared" si="28"/>
        <v>1.5999943151850886</v>
      </c>
      <c r="I364" s="80" t="str">
        <f>VLOOKUP(C364,'RAW DATA 2023'!E:BO,36,0)</f>
        <v>WSSV</v>
      </c>
      <c r="J364">
        <f>VLOOKUP(C364,'RAW DATA 2023'!E:BO,21,0)</f>
        <v>15.83165</v>
      </c>
      <c r="K364" s="268">
        <f t="shared" si="29"/>
        <v>25.330550000000009</v>
      </c>
    </row>
    <row r="365" spans="1:11">
      <c r="A365" t="str">
        <f>'RAW DATA 2023'!B358</f>
        <v>Maeklong1</v>
      </c>
      <c r="B365" t="str">
        <f>'RAW DATA 2023'!D358</f>
        <v>A1-002-0033</v>
      </c>
      <c r="C365" t="str">
        <f t="shared" si="25"/>
        <v>Maeklong1A1-002-0033</v>
      </c>
      <c r="D365">
        <f>VLOOKUP(C365,'RAW DATA 2023'!E:BP,63,0)</f>
        <v>2</v>
      </c>
      <c r="E365" t="str">
        <f t="shared" si="26"/>
        <v>Maeklong12</v>
      </c>
      <c r="F365" s="8">
        <f>VLOOKUP(C365,'RAW DATA 2023'!E:BO,23,0)</f>
        <v>73.997489036586856</v>
      </c>
      <c r="G365" s="14">
        <f t="shared" si="27"/>
        <v>1.0025109634131439</v>
      </c>
      <c r="H365" s="25">
        <f t="shared" si="28"/>
        <v>0.20050219268262881</v>
      </c>
      <c r="I365" s="80" t="str">
        <f>VLOOKUP(C365,'RAW DATA 2023'!E:BO,36,0)</f>
        <v>EHP</v>
      </c>
      <c r="J365">
        <f>VLOOKUP(C365,'RAW DATA 2023'!E:BO,21,0)</f>
        <v>13.604340000000001</v>
      </c>
      <c r="K365" s="268">
        <f t="shared" si="29"/>
        <v>2.7276999999999947</v>
      </c>
    </row>
    <row r="366" spans="1:11">
      <c r="A366" t="str">
        <f>'RAW DATA 2023'!B359</f>
        <v>Maeklong1</v>
      </c>
      <c r="B366" t="str">
        <f>'RAW DATA 2023'!D359</f>
        <v>A1-005-0043</v>
      </c>
      <c r="C366" t="str">
        <f t="shared" si="25"/>
        <v>Maeklong1A1-005-0043</v>
      </c>
      <c r="D366">
        <f>VLOOKUP(C366,'RAW DATA 2023'!E:BP,63,0)</f>
        <v>3</v>
      </c>
      <c r="E366" t="str">
        <f t="shared" si="26"/>
        <v>Maeklong13</v>
      </c>
      <c r="F366" s="8">
        <f>VLOOKUP(C366,'RAW DATA 2023'!E:BO,23,0)</f>
        <v>0</v>
      </c>
      <c r="G366" s="14">
        <f t="shared" si="27"/>
        <v>0</v>
      </c>
      <c r="H366" s="25">
        <f t="shared" si="28"/>
        <v>0</v>
      </c>
      <c r="I366" s="80" t="str">
        <f>VLOOKUP(C366,'RAW DATA 2023'!E:BO,36,0)</f>
        <v>WSSV</v>
      </c>
      <c r="J366">
        <f>VLOOKUP(C366,'RAW DATA 2023'!E:BO,21,0)</f>
        <v>0</v>
      </c>
      <c r="K366" s="268">
        <f t="shared" si="29"/>
        <v>0</v>
      </c>
    </row>
    <row r="367" spans="1:11">
      <c r="A367" t="str">
        <f>'RAW DATA 2023'!B360</f>
        <v>PB5</v>
      </c>
      <c r="B367" t="str">
        <f>'RAW DATA 2023'!D360</f>
        <v>A1-009-0048</v>
      </c>
      <c r="C367" t="str">
        <f t="shared" si="25"/>
        <v>PB5A1-009-0048</v>
      </c>
      <c r="D367">
        <f>VLOOKUP(C367,'RAW DATA 2023'!E:BP,63,0)</f>
        <v>8</v>
      </c>
      <c r="E367" t="str">
        <f t="shared" si="26"/>
        <v>PB58</v>
      </c>
      <c r="F367" s="8">
        <f>VLOOKUP(C367,'RAW DATA 2023'!E:BO,23,0)</f>
        <v>29.179396877172692</v>
      </c>
      <c r="G367" s="14">
        <f t="shared" si="27"/>
        <v>45.820603122827308</v>
      </c>
      <c r="H367" s="25">
        <f t="shared" si="28"/>
        <v>9.1641206245654612</v>
      </c>
      <c r="I367" s="80" t="str">
        <f>VLOOKUP(C367,'RAW DATA 2023'!E:BO,36,0)</f>
        <v>Normal</v>
      </c>
      <c r="J367">
        <f>VLOOKUP(C367,'RAW DATA 2023'!E:BO,21,0)</f>
        <v>30.779799999999998</v>
      </c>
      <c r="K367" s="268">
        <f t="shared" si="29"/>
        <v>282.06979999999999</v>
      </c>
    </row>
    <row r="368" spans="1:11">
      <c r="A368" t="str">
        <f>'RAW DATA 2023'!B361</f>
        <v>PB5</v>
      </c>
      <c r="B368" t="str">
        <f>'RAW DATA 2023'!D361</f>
        <v>A1-011-0047</v>
      </c>
      <c r="C368" t="str">
        <f t="shared" si="25"/>
        <v>PB5A1-011-0047</v>
      </c>
      <c r="D368">
        <f>VLOOKUP(C368,'RAW DATA 2023'!E:BP,63,0)</f>
        <v>8</v>
      </c>
      <c r="E368" t="str">
        <f t="shared" si="26"/>
        <v>PB58</v>
      </c>
      <c r="F368" s="8">
        <f>VLOOKUP(C368,'RAW DATA 2023'!E:BO,23,0)</f>
        <v>31.625597772949973</v>
      </c>
      <c r="G368" s="14">
        <f t="shared" si="27"/>
        <v>43.374402227050027</v>
      </c>
      <c r="H368" s="25">
        <f t="shared" si="28"/>
        <v>8.6748804454100057</v>
      </c>
      <c r="I368" s="80" t="str">
        <f>VLOOKUP(C368,'RAW DATA 2023'!E:BO,36,0)</f>
        <v>Normal</v>
      </c>
      <c r="J368">
        <f>VLOOKUP(C368,'RAW DATA 2023'!E:BO,21,0)</f>
        <v>16.53847</v>
      </c>
      <c r="K368" s="268">
        <f t="shared" si="29"/>
        <v>143.46925000000002</v>
      </c>
    </row>
    <row r="369" spans="1:11">
      <c r="A369" t="str">
        <f>'RAW DATA 2023'!B362</f>
        <v>PB5</v>
      </c>
      <c r="B369" t="str">
        <f>'RAW DATA 2023'!D362</f>
        <v>B1-021-0048</v>
      </c>
      <c r="C369" t="str">
        <f t="shared" si="25"/>
        <v>PB5B1-021-0048</v>
      </c>
      <c r="D369">
        <f>VLOOKUP(C369,'RAW DATA 2023'!E:BP,63,0)</f>
        <v>11</v>
      </c>
      <c r="E369" t="str">
        <f t="shared" si="26"/>
        <v>PB511</v>
      </c>
      <c r="F369" s="8">
        <f>VLOOKUP(C369,'RAW DATA 2023'!E:BO,23,0)</f>
        <v>35.933538280211906</v>
      </c>
      <c r="G369" s="14">
        <f t="shared" si="27"/>
        <v>39.066461719788094</v>
      </c>
      <c r="H369" s="25">
        <f t="shared" si="28"/>
        <v>7.8132923439576194</v>
      </c>
      <c r="I369" s="80" t="str">
        <f>VLOOKUP(C369,'RAW DATA 2023'!E:BO,36,0)</f>
        <v>Normal</v>
      </c>
      <c r="J369">
        <f>VLOOKUP(C369,'RAW DATA 2023'!E:BO,21,0)</f>
        <v>17.783470000000001</v>
      </c>
      <c r="K369" s="268">
        <f t="shared" si="29"/>
        <v>138.94745</v>
      </c>
    </row>
    <row r="370" spans="1:11">
      <c r="A370" t="str">
        <f>'RAW DATA 2023'!B363</f>
        <v>PB5</v>
      </c>
      <c r="B370" t="str">
        <f>'RAW DATA 2023'!D363</f>
        <v>B1-023-0050</v>
      </c>
      <c r="C370" t="str">
        <f t="shared" si="25"/>
        <v>PB5B1-023-0050</v>
      </c>
      <c r="D370">
        <f>VLOOKUP(C370,'RAW DATA 2023'!E:BP,63,0)</f>
        <v>11</v>
      </c>
      <c r="E370" t="str">
        <f t="shared" si="26"/>
        <v>PB511</v>
      </c>
      <c r="F370" s="8">
        <f>VLOOKUP(C370,'RAW DATA 2023'!E:BO,23,0)</f>
        <v>36.333930909969361</v>
      </c>
      <c r="G370" s="14">
        <f t="shared" si="27"/>
        <v>38.666069090030639</v>
      </c>
      <c r="H370" s="25">
        <f t="shared" si="28"/>
        <v>7.7332138180061278</v>
      </c>
      <c r="I370" s="80" t="str">
        <f>VLOOKUP(C370,'RAW DATA 2023'!E:BO,36,0)</f>
        <v>Normal</v>
      </c>
      <c r="J370">
        <f>VLOOKUP(C370,'RAW DATA 2023'!E:BO,21,0)</f>
        <v>23.595299999999998</v>
      </c>
      <c r="K370" s="268">
        <f t="shared" si="29"/>
        <v>182.46749999999997</v>
      </c>
    </row>
    <row r="371" spans="1:11">
      <c r="A371" t="str">
        <f>'RAW DATA 2023'!B364</f>
        <v>PB5</v>
      </c>
      <c r="B371" t="str">
        <f>'RAW DATA 2023'!D364</f>
        <v>B1-021-0047</v>
      </c>
      <c r="C371" t="str">
        <f t="shared" si="25"/>
        <v>PB5B1-021-0047</v>
      </c>
      <c r="D371">
        <f>VLOOKUP(C371,'RAW DATA 2023'!E:BP,63,0)</f>
        <v>7</v>
      </c>
      <c r="E371" t="str">
        <f t="shared" si="26"/>
        <v>PB57</v>
      </c>
      <c r="F371" s="8">
        <f>VLOOKUP(C371,'RAW DATA 2023'!E:BO,23,0)</f>
        <v>28.591036915086107</v>
      </c>
      <c r="G371" s="14">
        <f t="shared" si="27"/>
        <v>46.408963084913893</v>
      </c>
      <c r="H371" s="25">
        <f t="shared" si="28"/>
        <v>9.2817926169827789</v>
      </c>
      <c r="I371" s="80" t="str">
        <f>VLOOKUP(C371,'RAW DATA 2023'!E:BO,36,0)</f>
        <v>Normal</v>
      </c>
      <c r="J371">
        <f>VLOOKUP(C371,'RAW DATA 2023'!E:BO,21,0)</f>
        <v>28.821549999999998</v>
      </c>
      <c r="K371" s="268">
        <f t="shared" si="29"/>
        <v>267.51564999999999</v>
      </c>
    </row>
    <row r="372" spans="1:11">
      <c r="A372" t="str">
        <f>'RAW DATA 2023'!B365</f>
        <v>PB5</v>
      </c>
      <c r="B372" t="str">
        <f>'RAW DATA 2023'!D365</f>
        <v>B1-022-0051</v>
      </c>
      <c r="C372" t="str">
        <f t="shared" si="25"/>
        <v>PB5B1-022-0051</v>
      </c>
      <c r="D372">
        <f>VLOOKUP(C372,'RAW DATA 2023'!E:BP,63,0)</f>
        <v>11</v>
      </c>
      <c r="E372" t="str">
        <f t="shared" si="26"/>
        <v>PB511</v>
      </c>
      <c r="F372" s="8">
        <f>VLOOKUP(C372,'RAW DATA 2023'!E:BO,23,0)</f>
        <v>35.176520476662787</v>
      </c>
      <c r="G372" s="14">
        <f t="shared" si="27"/>
        <v>39.823479523337213</v>
      </c>
      <c r="H372" s="25">
        <f t="shared" si="28"/>
        <v>7.964695904667443</v>
      </c>
      <c r="I372" s="80" t="str">
        <f>VLOOKUP(C372,'RAW DATA 2023'!E:BO,36,0)</f>
        <v>Normal</v>
      </c>
      <c r="J372">
        <f>VLOOKUP(C372,'RAW DATA 2023'!E:BO,21,0)</f>
        <v>22.26144</v>
      </c>
      <c r="K372" s="268">
        <f t="shared" si="29"/>
        <v>177.3056</v>
      </c>
    </row>
    <row r="373" spans="1:11">
      <c r="A373" t="str">
        <f>'RAW DATA 2023'!B366</f>
        <v>PB5</v>
      </c>
      <c r="B373" t="str">
        <f>'RAW DATA 2023'!D366</f>
        <v>B1-022-0050</v>
      </c>
      <c r="C373" t="str">
        <f t="shared" si="25"/>
        <v>PB5B1-022-0050</v>
      </c>
      <c r="D373">
        <f>VLOOKUP(C373,'RAW DATA 2023'!E:BP,63,0)</f>
        <v>6</v>
      </c>
      <c r="E373" t="str">
        <f t="shared" si="26"/>
        <v>PB56</v>
      </c>
      <c r="F373" s="8">
        <f>VLOOKUP(C373,'RAW DATA 2023'!E:BO,23,0)</f>
        <v>42.856871771111216</v>
      </c>
      <c r="G373" s="14">
        <f t="shared" si="27"/>
        <v>32.143128228888784</v>
      </c>
      <c r="H373" s="25">
        <f t="shared" si="28"/>
        <v>6.4286256457777569</v>
      </c>
      <c r="I373" s="80" t="str">
        <f>VLOOKUP(C373,'RAW DATA 2023'!E:BO,36,0)</f>
        <v>Normal</v>
      </c>
      <c r="J373">
        <f>VLOOKUP(C373,'RAW DATA 2023'!E:BO,21,0)</f>
        <v>25.295080000000002</v>
      </c>
      <c r="K373" s="268">
        <f t="shared" si="29"/>
        <v>162.61260000000004</v>
      </c>
    </row>
    <row r="374" spans="1:11">
      <c r="A374" t="str">
        <f>'RAW DATA 2023'!B367</f>
        <v>PB5</v>
      </c>
      <c r="B374" t="str">
        <f>'RAW DATA 2023'!D367</f>
        <v>B1-021-0046</v>
      </c>
      <c r="C374" t="str">
        <f t="shared" si="25"/>
        <v>PB5B1-021-0046</v>
      </c>
      <c r="D374">
        <f>VLOOKUP(C374,'RAW DATA 2023'!E:BP,63,0)</f>
        <v>2</v>
      </c>
      <c r="E374" t="str">
        <f t="shared" si="26"/>
        <v>PB52</v>
      </c>
      <c r="F374" s="8">
        <f>VLOOKUP(C374,'RAW DATA 2023'!E:BO,23,0)</f>
        <v>31.341370906139915</v>
      </c>
      <c r="G374" s="14">
        <f t="shared" si="27"/>
        <v>43.658629093860085</v>
      </c>
      <c r="H374" s="25">
        <f t="shared" si="28"/>
        <v>8.7317258187720181</v>
      </c>
      <c r="I374" s="80" t="str">
        <f>VLOOKUP(C374,'RAW DATA 2023'!E:BO,36,0)</f>
        <v>Normal</v>
      </c>
      <c r="J374">
        <f>VLOOKUP(C374,'RAW DATA 2023'!E:BO,21,0)</f>
        <v>15.107379999999999</v>
      </c>
      <c r="K374" s="268">
        <f t="shared" si="29"/>
        <v>131.9135</v>
      </c>
    </row>
    <row r="375" spans="1:11">
      <c r="A375" t="str">
        <f>'RAW DATA 2023'!B368</f>
        <v>PB5</v>
      </c>
      <c r="B375" t="str">
        <f>'RAW DATA 2023'!D368</f>
        <v>A1-009-0049</v>
      </c>
      <c r="C375" t="str">
        <f t="shared" si="25"/>
        <v>PB5A1-009-0049</v>
      </c>
      <c r="D375">
        <f>VLOOKUP(C375,'RAW DATA 2023'!E:BP,63,0)</f>
        <v>11</v>
      </c>
      <c r="E375" t="str">
        <f t="shared" si="26"/>
        <v>PB511</v>
      </c>
      <c r="F375" s="8">
        <f>VLOOKUP(C375,'RAW DATA 2023'!E:BO,23,0)</f>
        <v>59.99789384573544</v>
      </c>
      <c r="G375" s="14">
        <f t="shared" si="27"/>
        <v>15.00210615426456</v>
      </c>
      <c r="H375" s="25">
        <f t="shared" si="28"/>
        <v>3.0004212308529121</v>
      </c>
      <c r="I375" s="80" t="str">
        <f>VLOOKUP(C375,'RAW DATA 2023'!E:BO,36,0)</f>
        <v>ปิดฟาร์ม</v>
      </c>
      <c r="J375">
        <f>VLOOKUP(C375,'RAW DATA 2023'!E:BO,21,0)</f>
        <v>9.7808600000000006</v>
      </c>
      <c r="K375" s="268">
        <f t="shared" si="29"/>
        <v>29.346700000000016</v>
      </c>
    </row>
    <row r="376" spans="1:11">
      <c r="A376" t="str">
        <f>'RAW DATA 2023'!B369</f>
        <v>PB5</v>
      </c>
      <c r="B376" t="str">
        <f>'RAW DATA 2023'!D369</f>
        <v>A1-011-0046</v>
      </c>
      <c r="C376" t="str">
        <f t="shared" si="25"/>
        <v>PB5A1-011-0046</v>
      </c>
      <c r="D376">
        <f>VLOOKUP(C376,'RAW DATA 2023'!E:BP,63,0)</f>
        <v>4</v>
      </c>
      <c r="E376" t="str">
        <f t="shared" si="26"/>
        <v>PB54</v>
      </c>
      <c r="F376" s="8">
        <f>VLOOKUP(C376,'RAW DATA 2023'!E:BO,23,0)</f>
        <v>33.944447857318757</v>
      </c>
      <c r="G376" s="14">
        <f t="shared" si="27"/>
        <v>41.055552142681243</v>
      </c>
      <c r="H376" s="25">
        <f t="shared" si="28"/>
        <v>8.2111104285362497</v>
      </c>
      <c r="I376" s="80" t="str">
        <f>VLOOKUP(C376,'RAW DATA 2023'!E:BO,36,0)</f>
        <v>Normal</v>
      </c>
      <c r="J376">
        <f>VLOOKUP(C376,'RAW DATA 2023'!E:BO,21,0)</f>
        <v>19.045529999999999</v>
      </c>
      <c r="K376" s="268">
        <f t="shared" si="29"/>
        <v>156.38495</v>
      </c>
    </row>
    <row r="377" spans="1:11">
      <c r="A377" t="str">
        <f>'RAW DATA 2023'!B370</f>
        <v>PB5</v>
      </c>
      <c r="B377" t="str">
        <f>'RAW DATA 2023'!D370</f>
        <v>A1-005-0053</v>
      </c>
      <c r="C377" t="str">
        <f t="shared" si="25"/>
        <v>PB5A1-005-0053</v>
      </c>
      <c r="D377">
        <f>VLOOKUP(C377,'RAW DATA 2023'!E:BP,63,0)</f>
        <v>11</v>
      </c>
      <c r="E377" t="str">
        <f t="shared" si="26"/>
        <v>PB511</v>
      </c>
      <c r="F377" s="8">
        <f>VLOOKUP(C377,'RAW DATA 2023'!E:BO,23,0)</f>
        <v>40.68600708798558</v>
      </c>
      <c r="G377" s="14">
        <f t="shared" si="27"/>
        <v>34.31399291201442</v>
      </c>
      <c r="H377" s="25">
        <f t="shared" si="28"/>
        <v>6.8627985824028848</v>
      </c>
      <c r="I377" s="80" t="str">
        <f>VLOOKUP(C377,'RAW DATA 2023'!E:BO,36,0)</f>
        <v>Normal</v>
      </c>
      <c r="J377">
        <f>VLOOKUP(C377,'RAW DATA 2023'!E:BO,21,0)</f>
        <v>17.32227</v>
      </c>
      <c r="K377" s="268">
        <f t="shared" si="29"/>
        <v>118.87925000000001</v>
      </c>
    </row>
    <row r="378" spans="1:11">
      <c r="A378" t="str">
        <f>'RAW DATA 2023'!B371</f>
        <v>PB5</v>
      </c>
      <c r="B378" t="str">
        <f>'RAW DATA 2023'!D371</f>
        <v>A1-007-0050</v>
      </c>
      <c r="C378" t="str">
        <f t="shared" si="25"/>
        <v>PB5A1-007-0050</v>
      </c>
      <c r="D378">
        <f>VLOOKUP(C378,'RAW DATA 2023'!E:BP,63,0)</f>
        <v>3</v>
      </c>
      <c r="E378" t="str">
        <f t="shared" si="26"/>
        <v>PB53</v>
      </c>
      <c r="F378" s="8">
        <f>VLOOKUP(C378,'RAW DATA 2023'!E:BO,23,0)</f>
        <v>26.003524219248817</v>
      </c>
      <c r="G378" s="14">
        <f t="shared" si="27"/>
        <v>48.996475780751183</v>
      </c>
      <c r="H378" s="25">
        <f t="shared" si="28"/>
        <v>9.7992951561502366</v>
      </c>
      <c r="I378" s="80" t="str">
        <f>VLOOKUP(C378,'RAW DATA 2023'!E:BO,36,0)</f>
        <v>อัตรารอดต่ำ</v>
      </c>
      <c r="J378">
        <f>VLOOKUP(C378,'RAW DATA 2023'!E:BO,21,0)</f>
        <v>7.1732200000000006</v>
      </c>
      <c r="K378" s="268">
        <f t="shared" si="29"/>
        <v>70.292500000000004</v>
      </c>
    </row>
    <row r="379" spans="1:11">
      <c r="A379" t="str">
        <f>'RAW DATA 2023'!B372</f>
        <v>PB5</v>
      </c>
      <c r="B379" t="str">
        <f>'RAW DATA 2023'!D372</f>
        <v>A1-005-0052</v>
      </c>
      <c r="C379" t="str">
        <f t="shared" si="25"/>
        <v>PB5A1-005-0052</v>
      </c>
      <c r="D379">
        <f>VLOOKUP(C379,'RAW DATA 2023'!E:BP,63,0)</f>
        <v>7</v>
      </c>
      <c r="E379" t="str">
        <f t="shared" si="26"/>
        <v>PB57</v>
      </c>
      <c r="F379" s="8">
        <f>VLOOKUP(C379,'RAW DATA 2023'!E:BO,23,0)</f>
        <v>35.000892694528901</v>
      </c>
      <c r="G379" s="14">
        <f t="shared" si="27"/>
        <v>39.999107305471099</v>
      </c>
      <c r="H379" s="25">
        <f t="shared" si="28"/>
        <v>7.9998214610942204</v>
      </c>
      <c r="I379" s="80" t="str">
        <f>VLOOKUP(C379,'RAW DATA 2023'!E:BO,36,0)</f>
        <v>EHP</v>
      </c>
      <c r="J379">
        <f>VLOOKUP(C379,'RAW DATA 2023'!E:BO,21,0)</f>
        <v>11.146030000000001</v>
      </c>
      <c r="K379" s="268">
        <f t="shared" si="29"/>
        <v>89.166250000000019</v>
      </c>
    </row>
    <row r="380" spans="1:11">
      <c r="A380" t="str">
        <f>'RAW DATA 2023'!B373</f>
        <v>PB5</v>
      </c>
      <c r="B380" t="str">
        <f>'RAW DATA 2023'!D373</f>
        <v>B1-023-0048</v>
      </c>
      <c r="C380" t="str">
        <f t="shared" si="25"/>
        <v>PB5B1-023-0048</v>
      </c>
      <c r="D380">
        <f>VLOOKUP(C380,'RAW DATA 2023'!E:BP,63,0)</f>
        <v>4</v>
      </c>
      <c r="E380" t="str">
        <f t="shared" si="26"/>
        <v>PB54</v>
      </c>
      <c r="F380" s="8">
        <f>VLOOKUP(C380,'RAW DATA 2023'!E:BO,23,0)</f>
        <v>29.000017497135506</v>
      </c>
      <c r="G380" s="14">
        <f t="shared" si="27"/>
        <v>45.999982502864498</v>
      </c>
      <c r="H380" s="25">
        <f t="shared" si="28"/>
        <v>9.1999965005728992</v>
      </c>
      <c r="I380" s="80" t="str">
        <f>VLOOKUP(C380,'RAW DATA 2023'!E:BO,36,0)</f>
        <v>Normal</v>
      </c>
      <c r="J380">
        <f>VLOOKUP(C380,'RAW DATA 2023'!E:BO,21,0)</f>
        <v>18.860229999999998</v>
      </c>
      <c r="K380" s="268">
        <f t="shared" si="29"/>
        <v>173.51405</v>
      </c>
    </row>
    <row r="381" spans="1:11">
      <c r="A381" t="str">
        <f>'RAW DATA 2023'!B374</f>
        <v>PB5</v>
      </c>
      <c r="B381" t="str">
        <f>'RAW DATA 2023'!D374</f>
        <v>A1-009-0047</v>
      </c>
      <c r="C381" t="str">
        <f t="shared" si="25"/>
        <v>PB5A1-009-0047</v>
      </c>
      <c r="D381">
        <f>VLOOKUP(C381,'RAW DATA 2023'!E:BP,63,0)</f>
        <v>3</v>
      </c>
      <c r="E381" t="str">
        <f t="shared" si="26"/>
        <v>PB53</v>
      </c>
      <c r="F381" s="8">
        <f>VLOOKUP(C381,'RAW DATA 2023'!E:BO,23,0)</f>
        <v>28.000191831407598</v>
      </c>
      <c r="G381" s="14">
        <f t="shared" si="27"/>
        <v>46.999808168592402</v>
      </c>
      <c r="H381" s="25">
        <f t="shared" si="28"/>
        <v>9.3999616337184815</v>
      </c>
      <c r="I381" s="80" t="str">
        <f>VLOOKUP(C381,'RAW DATA 2023'!E:BO,36,0)</f>
        <v>Normal</v>
      </c>
      <c r="J381">
        <f>VLOOKUP(C381,'RAW DATA 2023'!E:BO,21,0)</f>
        <v>14.59615</v>
      </c>
      <c r="K381" s="268">
        <f t="shared" si="29"/>
        <v>137.20325</v>
      </c>
    </row>
    <row r="382" spans="1:11">
      <c r="A382" t="str">
        <f>'RAW DATA 2023'!B375</f>
        <v>PB5</v>
      </c>
      <c r="B382" t="str">
        <f>'RAW DATA 2023'!D375</f>
        <v>A1-005-0051</v>
      </c>
      <c r="C382" t="str">
        <f t="shared" si="25"/>
        <v>PB5A1-005-0051</v>
      </c>
      <c r="D382">
        <f>VLOOKUP(C382,'RAW DATA 2023'!E:BP,63,0)</f>
        <v>2</v>
      </c>
      <c r="E382" t="str">
        <f t="shared" si="26"/>
        <v>PB52</v>
      </c>
      <c r="F382" s="8">
        <f>VLOOKUP(C382,'RAW DATA 2023'!E:BO,23,0)</f>
        <v>26.999959344705857</v>
      </c>
      <c r="G382" s="14">
        <f t="shared" si="27"/>
        <v>48.000040655294143</v>
      </c>
      <c r="H382" s="25">
        <f t="shared" si="28"/>
        <v>9.6000081310588286</v>
      </c>
      <c r="I382" s="80" t="str">
        <f>VLOOKUP(C382,'RAW DATA 2023'!E:BO,36,0)</f>
        <v>Normal</v>
      </c>
      <c r="J382">
        <f>VLOOKUP(C382,'RAW DATA 2023'!E:BO,21,0)</f>
        <v>11.56061</v>
      </c>
      <c r="K382" s="268">
        <f t="shared" si="29"/>
        <v>110.98195000000001</v>
      </c>
    </row>
    <row r="383" spans="1:11">
      <c r="A383" t="str">
        <f>'RAW DATA 2023'!B376</f>
        <v>PB5</v>
      </c>
      <c r="B383" t="str">
        <f>'RAW DATA 2023'!D376</f>
        <v>A1-007-0051</v>
      </c>
      <c r="C383" t="str">
        <f t="shared" si="25"/>
        <v>PB5A1-007-0051</v>
      </c>
      <c r="D383">
        <f>VLOOKUP(C383,'RAW DATA 2023'!E:BP,63,0)</f>
        <v>6</v>
      </c>
      <c r="E383" t="str">
        <f t="shared" si="26"/>
        <v>PB56</v>
      </c>
      <c r="F383" s="8">
        <f>VLOOKUP(C383,'RAW DATA 2023'!E:BO,23,0)</f>
        <v>60.000035558684722</v>
      </c>
      <c r="G383" s="14">
        <f t="shared" si="27"/>
        <v>14.999964441315278</v>
      </c>
      <c r="H383" s="25">
        <f t="shared" si="28"/>
        <v>2.9999928882630558</v>
      </c>
      <c r="I383" s="80" t="str">
        <f>VLOOKUP(C383,'RAW DATA 2023'!E:BO,36,0)</f>
        <v>YHV</v>
      </c>
      <c r="J383">
        <f>VLOOKUP(C383,'RAW DATA 2023'!E:BO,21,0)</f>
        <v>11.24901</v>
      </c>
      <c r="K383" s="268">
        <f t="shared" si="29"/>
        <v>33.746949999999998</v>
      </c>
    </row>
    <row r="384" spans="1:11">
      <c r="A384" t="str">
        <f>'RAW DATA 2023'!B377</f>
        <v>PB5</v>
      </c>
      <c r="B384" t="str">
        <f>'RAW DATA 2023'!D377</f>
        <v>B1-022-0049</v>
      </c>
      <c r="C384" t="str">
        <f t="shared" si="25"/>
        <v>PB5B1-022-0049</v>
      </c>
      <c r="D384">
        <f>VLOOKUP(C384,'RAW DATA 2023'!E:BP,63,0)</f>
        <v>3</v>
      </c>
      <c r="E384" t="str">
        <f t="shared" si="26"/>
        <v>PB53</v>
      </c>
      <c r="F384" s="8">
        <f>VLOOKUP(C384,'RAW DATA 2023'!E:BO,23,0)</f>
        <v>28.001421776374499</v>
      </c>
      <c r="G384" s="14">
        <f t="shared" si="27"/>
        <v>46.998578223625501</v>
      </c>
      <c r="H384" s="25">
        <f t="shared" si="28"/>
        <v>9.3997156447251005</v>
      </c>
      <c r="I384" s="80" t="str">
        <f>VLOOKUP(C384,'RAW DATA 2023'!E:BO,36,0)</f>
        <v>Normal</v>
      </c>
      <c r="J384">
        <f>VLOOKUP(C384,'RAW DATA 2023'!E:BO,21,0)</f>
        <v>14.657719999999999</v>
      </c>
      <c r="K384" s="268">
        <f t="shared" si="29"/>
        <v>137.7784</v>
      </c>
    </row>
    <row r="385" spans="1:11">
      <c r="A385" t="str">
        <f>'RAW DATA 2023'!B378</f>
        <v>PB5</v>
      </c>
      <c r="B385" t="str">
        <f>'RAW DATA 2023'!D378</f>
        <v>B1-023-0049</v>
      </c>
      <c r="C385" t="str">
        <f t="shared" si="25"/>
        <v>PB5B1-023-0049</v>
      </c>
      <c r="D385">
        <f>VLOOKUP(C385,'RAW DATA 2023'!E:BP,63,0)</f>
        <v>6</v>
      </c>
      <c r="E385" t="str">
        <f t="shared" si="26"/>
        <v>PB56</v>
      </c>
      <c r="F385" s="8">
        <f>VLOOKUP(C385,'RAW DATA 2023'!E:BO,23,0)</f>
        <v>170.9999873033608</v>
      </c>
      <c r="G385" s="14">
        <f t="shared" si="27"/>
        <v>-95.999987303360797</v>
      </c>
      <c r="H385" s="25">
        <f t="shared" si="28"/>
        <v>-19.199997460672162</v>
      </c>
      <c r="I385" s="80" t="str">
        <f>VLOOKUP(C385,'RAW DATA 2023'!E:BO,36,0)</f>
        <v>EHP</v>
      </c>
      <c r="J385">
        <f>VLOOKUP(C385,'RAW DATA 2023'!E:BO,21,0)</f>
        <v>7.8761000000000001</v>
      </c>
      <c r="K385" s="268">
        <f t="shared" si="29"/>
        <v>-151.22110000000001</v>
      </c>
    </row>
    <row r="386" spans="1:11">
      <c r="A386" t="str">
        <f>'RAW DATA 2023'!B379</f>
        <v>PB5</v>
      </c>
      <c r="B386" t="str">
        <f>'RAW DATA 2023'!D379</f>
        <v>A1-011-0048</v>
      </c>
      <c r="C386" t="str">
        <f t="shared" si="25"/>
        <v>PB5A1-011-0048</v>
      </c>
      <c r="D386">
        <f>VLOOKUP(C386,'RAW DATA 2023'!E:BP,63,0)</f>
        <v>10</v>
      </c>
      <c r="E386" t="str">
        <f t="shared" si="26"/>
        <v>PB510</v>
      </c>
      <c r="F386" s="8">
        <f>VLOOKUP(C386,'RAW DATA 2023'!E:BO,23,0)</f>
        <v>0</v>
      </c>
      <c r="G386" s="14">
        <f t="shared" si="27"/>
        <v>0</v>
      </c>
      <c r="H386" s="25">
        <f t="shared" si="28"/>
        <v>0</v>
      </c>
      <c r="I386" s="80" t="str">
        <f>VLOOKUP(C386,'RAW DATA 2023'!E:BO,36,0)</f>
        <v>YHV</v>
      </c>
      <c r="J386">
        <f>VLOOKUP(C386,'RAW DATA 2023'!E:BO,21,0)</f>
        <v>0</v>
      </c>
      <c r="K386" s="268">
        <f t="shared" si="29"/>
        <v>0</v>
      </c>
    </row>
    <row r="387" spans="1:11">
      <c r="A387" t="str">
        <f>'RAW DATA 2023'!B380</f>
        <v>Roiphet2</v>
      </c>
      <c r="B387" t="str">
        <f>'RAW DATA 2023'!D380</f>
        <v>A1-007-0050</v>
      </c>
      <c r="C387" t="str">
        <f t="shared" si="25"/>
        <v>Roiphet2A1-007-0050</v>
      </c>
      <c r="D387">
        <f>VLOOKUP(C387,'RAW DATA 2023'!E:BP,63,0)</f>
        <v>4</v>
      </c>
      <c r="E387" t="str">
        <f t="shared" si="26"/>
        <v>Roiphet24</v>
      </c>
      <c r="F387" s="8">
        <f>VLOOKUP(C387,'RAW DATA 2023'!E:BO,23,0)</f>
        <v>39.163226230812043</v>
      </c>
      <c r="G387" s="14">
        <f t="shared" si="27"/>
        <v>35.836773769187957</v>
      </c>
      <c r="H387" s="25">
        <f t="shared" si="28"/>
        <v>7.1673547538375919</v>
      </c>
      <c r="I387" s="80" t="str">
        <f>VLOOKUP(C387,'RAW DATA 2023'!E:BO,36,0)</f>
        <v>Normal</v>
      </c>
      <c r="J387">
        <f>VLOOKUP(C387,'RAW DATA 2023'!E:BO,21,0)</f>
        <v>22.53106</v>
      </c>
      <c r="K387" s="268">
        <f t="shared" si="29"/>
        <v>161.4881</v>
      </c>
    </row>
    <row r="388" spans="1:11">
      <c r="A388" t="str">
        <f>'RAW DATA 2023'!B381</f>
        <v>Roiphet2</v>
      </c>
      <c r="B388" t="str">
        <f>'RAW DATA 2023'!D381</f>
        <v>A1-006-0045</v>
      </c>
      <c r="C388" t="str">
        <f t="shared" si="25"/>
        <v>Roiphet2A1-006-0045</v>
      </c>
      <c r="D388">
        <f>VLOOKUP(C388,'RAW DATA 2023'!E:BP,63,0)</f>
        <v>5</v>
      </c>
      <c r="E388" t="str">
        <f t="shared" si="26"/>
        <v>Roiphet25</v>
      </c>
      <c r="F388" s="8">
        <f>VLOOKUP(C388,'RAW DATA 2023'!E:BO,23,0)</f>
        <v>32.459640731662446</v>
      </c>
      <c r="G388" s="14">
        <f t="shared" si="27"/>
        <v>42.540359268337554</v>
      </c>
      <c r="H388" s="25">
        <f t="shared" si="28"/>
        <v>8.5080718536675111</v>
      </c>
      <c r="I388" s="80" t="str">
        <f>VLOOKUP(C388,'RAW DATA 2023'!E:BO,36,0)</f>
        <v>Normal</v>
      </c>
      <c r="J388">
        <f>VLOOKUP(C388,'RAW DATA 2023'!E:BO,21,0)</f>
        <v>30.169650000000001</v>
      </c>
      <c r="K388" s="268">
        <f t="shared" si="29"/>
        <v>256.68555000000003</v>
      </c>
    </row>
    <row r="389" spans="1:11">
      <c r="A389" t="str">
        <f>'RAW DATA 2023'!B382</f>
        <v>Roiphet2</v>
      </c>
      <c r="B389" t="str">
        <f>'RAW DATA 2023'!D382</f>
        <v>A1-002-0048</v>
      </c>
      <c r="C389" t="str">
        <f t="shared" si="25"/>
        <v>Roiphet2A1-002-0048</v>
      </c>
      <c r="D389">
        <f>VLOOKUP(C389,'RAW DATA 2023'!E:BP,63,0)</f>
        <v>5</v>
      </c>
      <c r="E389" t="str">
        <f t="shared" si="26"/>
        <v>Roiphet25</v>
      </c>
      <c r="F389" s="8">
        <f>VLOOKUP(C389,'RAW DATA 2023'!E:BO,23,0)</f>
        <v>34.215884448066028</v>
      </c>
      <c r="G389" s="14">
        <f t="shared" si="27"/>
        <v>40.784115551933972</v>
      </c>
      <c r="H389" s="25">
        <f t="shared" si="28"/>
        <v>8.1568231103867941</v>
      </c>
      <c r="I389" s="80" t="str">
        <f>VLOOKUP(C389,'RAW DATA 2023'!E:BO,36,0)</f>
        <v>Normal</v>
      </c>
      <c r="J389">
        <f>VLOOKUP(C389,'RAW DATA 2023'!E:BO,21,0)</f>
        <v>19.021750000000001</v>
      </c>
      <c r="K389" s="268">
        <f t="shared" si="29"/>
        <v>155.15705</v>
      </c>
    </row>
    <row r="390" spans="1:11">
      <c r="A390" t="str">
        <f>'RAW DATA 2023'!B383</f>
        <v>Roiphet2</v>
      </c>
      <c r="B390" t="str">
        <f>'RAW DATA 2023'!D383</f>
        <v>B1-013-0036</v>
      </c>
      <c r="C390" t="str">
        <f t="shared" si="25"/>
        <v>Roiphet2B1-013-0036</v>
      </c>
      <c r="D390">
        <f>VLOOKUP(C390,'RAW DATA 2023'!E:BP,63,0)</f>
        <v>5</v>
      </c>
      <c r="E390" t="str">
        <f t="shared" si="26"/>
        <v>Roiphet25</v>
      </c>
      <c r="F390" s="8">
        <f>VLOOKUP(C390,'RAW DATA 2023'!E:BO,23,0)</f>
        <v>86.000867584592584</v>
      </c>
      <c r="G390" s="14">
        <f t="shared" si="27"/>
        <v>-11.000867584592584</v>
      </c>
      <c r="H390" s="25">
        <f t="shared" si="28"/>
        <v>-2.2001735169185168</v>
      </c>
      <c r="I390" s="80" t="str">
        <f>VLOOKUP(C390,'RAW DATA 2023'!E:BO,36,0)</f>
        <v>EHP</v>
      </c>
      <c r="J390">
        <f>VLOOKUP(C390,'RAW DATA 2023'!E:BO,21,0)</f>
        <v>24.274290000000001</v>
      </c>
      <c r="K390" s="268">
        <f t="shared" si="29"/>
        <v>-53.407649999999983</v>
      </c>
    </row>
    <row r="391" spans="1:11">
      <c r="A391" t="str">
        <f>'RAW DATA 2023'!B384</f>
        <v>Roiphet2</v>
      </c>
      <c r="B391" t="str">
        <f>'RAW DATA 2023'!D384</f>
        <v>A1-001-0031</v>
      </c>
      <c r="C391" t="str">
        <f t="shared" si="25"/>
        <v>Roiphet2A1-001-0031</v>
      </c>
      <c r="D391">
        <f>VLOOKUP(C391,'RAW DATA 2023'!E:BP,63,0)</f>
        <v>5</v>
      </c>
      <c r="E391" t="str">
        <f t="shared" si="26"/>
        <v>Roiphet25</v>
      </c>
      <c r="F391" s="8">
        <f>VLOOKUP(C391,'RAW DATA 2023'!E:BO,23,0)</f>
        <v>27.911881617912769</v>
      </c>
      <c r="G391" s="14">
        <f t="shared" si="27"/>
        <v>47.088118382087231</v>
      </c>
      <c r="H391" s="25">
        <f t="shared" si="28"/>
        <v>9.4176236764174472</v>
      </c>
      <c r="I391" s="80" t="str">
        <f>VLOOKUP(C391,'RAW DATA 2023'!E:BO,36,0)</f>
        <v>อัตรารอดต่ำ</v>
      </c>
      <c r="J391">
        <f>VLOOKUP(C391,'RAW DATA 2023'!E:BO,21,0)</f>
        <v>13.199969999999999</v>
      </c>
      <c r="K391" s="268">
        <f t="shared" si="29"/>
        <v>124.31235</v>
      </c>
    </row>
    <row r="392" spans="1:11">
      <c r="A392" t="str">
        <f>'RAW DATA 2023'!B385</f>
        <v>Roiphet2</v>
      </c>
      <c r="B392" t="str">
        <f>'RAW DATA 2023'!D385</f>
        <v>B1-009-0042</v>
      </c>
      <c r="C392" t="str">
        <f t="shared" si="25"/>
        <v>Roiphet2B1-009-0042</v>
      </c>
      <c r="D392">
        <f>VLOOKUP(C392,'RAW DATA 2023'!E:BP,63,0)</f>
        <v>3</v>
      </c>
      <c r="E392" t="str">
        <f t="shared" si="26"/>
        <v>Roiphet23</v>
      </c>
      <c r="F392" s="8">
        <f>VLOOKUP(C392,'RAW DATA 2023'!E:BO,23,0)</f>
        <v>30.642097938052942</v>
      </c>
      <c r="G392" s="14">
        <f t="shared" si="27"/>
        <v>44.357902061947058</v>
      </c>
      <c r="H392" s="25">
        <f t="shared" si="28"/>
        <v>8.8715804123894113</v>
      </c>
      <c r="I392" s="80" t="str">
        <f>VLOOKUP(C392,'RAW DATA 2023'!E:BO,36,0)</f>
        <v>อัตรารอดต่ำ</v>
      </c>
      <c r="J392">
        <f>VLOOKUP(C392,'RAW DATA 2023'!E:BO,21,0)</f>
        <v>18.048959999999997</v>
      </c>
      <c r="K392" s="268">
        <f t="shared" si="29"/>
        <v>160.12279999999996</v>
      </c>
    </row>
    <row r="393" spans="1:11">
      <c r="A393" t="str">
        <f>'RAW DATA 2023'!B386</f>
        <v>Roiphet2</v>
      </c>
      <c r="B393" t="str">
        <f>'RAW DATA 2023'!D386</f>
        <v>B1-014-0044</v>
      </c>
      <c r="C393" t="str">
        <f t="shared" si="25"/>
        <v>Roiphet2B1-014-0044</v>
      </c>
      <c r="D393">
        <f>VLOOKUP(C393,'RAW DATA 2023'!E:BP,63,0)</f>
        <v>5</v>
      </c>
      <c r="E393" t="str">
        <f t="shared" si="26"/>
        <v>Roiphet25</v>
      </c>
      <c r="F393" s="8">
        <f>VLOOKUP(C393,'RAW DATA 2023'!E:BO,23,0)</f>
        <v>39.019522805971363</v>
      </c>
      <c r="G393" s="14">
        <f t="shared" si="27"/>
        <v>35.980477194028637</v>
      </c>
      <c r="H393" s="25">
        <f t="shared" si="28"/>
        <v>7.1960954388057274</v>
      </c>
      <c r="I393" s="80" t="str">
        <f>VLOOKUP(C393,'RAW DATA 2023'!E:BO,36,0)</f>
        <v>Normal</v>
      </c>
      <c r="J393">
        <f>VLOOKUP(C393,'RAW DATA 2023'!E:BO,21,0)</f>
        <v>14.757100000000001</v>
      </c>
      <c r="K393" s="268">
        <f t="shared" si="29"/>
        <v>106.19350000000001</v>
      </c>
    </row>
    <row r="394" spans="1:11">
      <c r="A394" t="str">
        <f>'RAW DATA 2023'!B387</f>
        <v>Roiphet2</v>
      </c>
      <c r="B394" t="str">
        <f>'RAW DATA 2023'!D387</f>
        <v>A1-008-0034</v>
      </c>
      <c r="C394" t="str">
        <f t="shared" ref="C394:C457" si="30">A394&amp;B394</f>
        <v>Roiphet2A1-008-0034</v>
      </c>
      <c r="D394">
        <f>VLOOKUP(C394,'RAW DATA 2023'!E:BP,63,0)</f>
        <v>5</v>
      </c>
      <c r="E394" t="str">
        <f t="shared" ref="E394:E457" si="31">A394&amp;D394</f>
        <v>Roiphet25</v>
      </c>
      <c r="F394" s="8">
        <f>VLOOKUP(C394,'RAW DATA 2023'!E:BO,23,0)</f>
        <v>39.360308225805049</v>
      </c>
      <c r="G394" s="14">
        <f t="shared" si="27"/>
        <v>35.639691774194951</v>
      </c>
      <c r="H394" s="25">
        <f t="shared" si="28"/>
        <v>7.1279383548389905</v>
      </c>
      <c r="I394" s="80" t="str">
        <f>VLOOKUP(C394,'RAW DATA 2023'!E:BO,36,0)</f>
        <v>Normal</v>
      </c>
      <c r="J394">
        <f>VLOOKUP(C394,'RAW DATA 2023'!E:BO,21,0)</f>
        <v>20.774380000000001</v>
      </c>
      <c r="K394" s="268">
        <f t="shared" si="29"/>
        <v>148.07850000000002</v>
      </c>
    </row>
    <row r="395" spans="1:11">
      <c r="A395" t="str">
        <f>'RAW DATA 2023'!B388</f>
        <v>Roiphet2</v>
      </c>
      <c r="B395" t="str">
        <f>'RAW DATA 2023'!D388</f>
        <v>B1-013-0035</v>
      </c>
      <c r="C395" t="str">
        <f t="shared" si="30"/>
        <v>Roiphet2B1-013-0035</v>
      </c>
      <c r="D395">
        <f>VLOOKUP(C395,'RAW DATA 2023'!E:BP,63,0)</f>
        <v>3</v>
      </c>
      <c r="E395" t="str">
        <f t="shared" si="31"/>
        <v>Roiphet23</v>
      </c>
      <c r="F395" s="8">
        <f>VLOOKUP(C395,'RAW DATA 2023'!E:BO,23,0)</f>
        <v>50.000116010088234</v>
      </c>
      <c r="G395" s="14">
        <f t="shared" ref="G395:G458" si="32">IF(F395=0,0,$B$2-F395)</f>
        <v>24.999883989911766</v>
      </c>
      <c r="H395" s="25">
        <f t="shared" ref="H395:H458" si="33">G395*$B$6</f>
        <v>4.9999767979823533</v>
      </c>
      <c r="I395" s="80" t="str">
        <f>VLOOKUP(C395,'RAW DATA 2023'!E:BO,36,0)</f>
        <v>อัตรารอดต่ำ</v>
      </c>
      <c r="J395">
        <f>VLOOKUP(C395,'RAW DATA 2023'!E:BO,21,0)</f>
        <v>12.92991</v>
      </c>
      <c r="K395" s="268">
        <f t="shared" ref="K395:K458" si="34">H395*J395</f>
        <v>64.649250000000009</v>
      </c>
    </row>
    <row r="396" spans="1:11">
      <c r="A396" t="str">
        <f>'RAW DATA 2023'!B389</f>
        <v>Roiphet2</v>
      </c>
      <c r="B396" t="str">
        <f>'RAW DATA 2023'!D389</f>
        <v>B1-009-0044</v>
      </c>
      <c r="C396" t="str">
        <f t="shared" si="30"/>
        <v>Roiphet2B1-009-0044</v>
      </c>
      <c r="D396">
        <f>VLOOKUP(C396,'RAW DATA 2023'!E:BP,63,0)</f>
        <v>9</v>
      </c>
      <c r="E396" t="str">
        <f t="shared" si="31"/>
        <v>Roiphet29</v>
      </c>
      <c r="F396" s="8">
        <f>VLOOKUP(C396,'RAW DATA 2023'!E:BO,23,0)</f>
        <v>61.315775343977847</v>
      </c>
      <c r="G396" s="14">
        <f t="shared" si="32"/>
        <v>13.684224656022153</v>
      </c>
      <c r="H396" s="25">
        <f t="shared" si="33"/>
        <v>2.7368449312044305</v>
      </c>
      <c r="I396" s="80" t="str">
        <f>VLOOKUP(C396,'RAW DATA 2023'!E:BO,36,0)</f>
        <v>EHP</v>
      </c>
      <c r="J396">
        <f>VLOOKUP(C396,'RAW DATA 2023'!E:BO,21,0)</f>
        <v>24.02553</v>
      </c>
      <c r="K396" s="268">
        <f t="shared" si="34"/>
        <v>65.754149999999981</v>
      </c>
    </row>
    <row r="397" spans="1:11">
      <c r="A397" t="str">
        <f>'RAW DATA 2023'!B390</f>
        <v>Roiphet2</v>
      </c>
      <c r="B397" t="str">
        <f>'RAW DATA 2023'!D390</f>
        <v>B1-014-0046</v>
      </c>
      <c r="C397" t="str">
        <f t="shared" si="30"/>
        <v>Roiphet2B1-014-0046</v>
      </c>
      <c r="D397">
        <f>VLOOKUP(C397,'RAW DATA 2023'!E:BP,63,0)</f>
        <v>10</v>
      </c>
      <c r="E397" t="str">
        <f t="shared" si="31"/>
        <v>Roiphet210</v>
      </c>
      <c r="F397" s="8">
        <f>VLOOKUP(C397,'RAW DATA 2023'!E:BO,23,0)</f>
        <v>64.312672905604742</v>
      </c>
      <c r="G397" s="14">
        <f t="shared" si="32"/>
        <v>10.687327094395258</v>
      </c>
      <c r="H397" s="25">
        <f t="shared" si="33"/>
        <v>2.1374654188790516</v>
      </c>
      <c r="I397" s="80" t="str">
        <f>VLOOKUP(C397,'RAW DATA 2023'!E:BO,36,0)</f>
        <v>EHP</v>
      </c>
      <c r="J397">
        <f>VLOOKUP(C397,'RAW DATA 2023'!E:BO,21,0)</f>
        <v>17.961389999999998</v>
      </c>
      <c r="K397" s="268">
        <f t="shared" si="34"/>
        <v>38.391850000000005</v>
      </c>
    </row>
    <row r="398" spans="1:11">
      <c r="A398" t="str">
        <f>'RAW DATA 2023'!B391</f>
        <v>Lamlaung</v>
      </c>
      <c r="B398" t="str">
        <f>'RAW DATA 2023'!D391</f>
        <v>A1-003-0044</v>
      </c>
      <c r="C398" t="str">
        <f t="shared" si="30"/>
        <v>LamlaungA1-003-0044</v>
      </c>
      <c r="D398">
        <f>VLOOKUP(C398,'RAW DATA 2023'!E:BP,63,0)</f>
        <v>8</v>
      </c>
      <c r="E398" t="str">
        <f t="shared" si="31"/>
        <v>Lamlaung8</v>
      </c>
      <c r="F398" s="8">
        <f>VLOOKUP(C398,'RAW DATA 2023'!E:BO,23,0)</f>
        <v>32.366995137885347</v>
      </c>
      <c r="G398" s="14">
        <f t="shared" si="32"/>
        <v>42.633004862114653</v>
      </c>
      <c r="H398" s="25">
        <f t="shared" si="33"/>
        <v>8.5266009724229317</v>
      </c>
      <c r="I398" s="80" t="str">
        <f>VLOOKUP(C398,'RAW DATA 2023'!E:BO,36,0)</f>
        <v>Normal</v>
      </c>
      <c r="J398">
        <f>VLOOKUP(C398,'RAW DATA 2023'!E:BO,21,0)</f>
        <v>44.647239999999996</v>
      </c>
      <c r="K398" s="268">
        <f t="shared" si="34"/>
        <v>380.68919999999997</v>
      </c>
    </row>
    <row r="399" spans="1:11">
      <c r="A399" t="str">
        <f>'RAW DATA 2023'!B392</f>
        <v>Lamlaung</v>
      </c>
      <c r="B399" t="str">
        <f>'RAW DATA 2023'!D392</f>
        <v>A1-004-0046</v>
      </c>
      <c r="C399" t="str">
        <f t="shared" si="30"/>
        <v>LamlaungA1-004-0046</v>
      </c>
      <c r="D399">
        <f>VLOOKUP(C399,'RAW DATA 2023'!E:BP,63,0)</f>
        <v>9</v>
      </c>
      <c r="E399" t="str">
        <f t="shared" si="31"/>
        <v>Lamlaung9</v>
      </c>
      <c r="F399" s="8">
        <f>VLOOKUP(C399,'RAW DATA 2023'!E:BO,23,0)</f>
        <v>24.799723769570797</v>
      </c>
      <c r="G399" s="14">
        <f t="shared" si="32"/>
        <v>50.200276230429203</v>
      </c>
      <c r="H399" s="25">
        <f t="shared" si="33"/>
        <v>10.040055246085842</v>
      </c>
      <c r="I399" s="80" t="str">
        <f>VLOOKUP(C399,'RAW DATA 2023'!E:BO,36,0)</f>
        <v>Normal</v>
      </c>
      <c r="J399">
        <f>VLOOKUP(C399,'RAW DATA 2023'!E:BO,21,0)</f>
        <v>38.171030000000002</v>
      </c>
      <c r="K399" s="268">
        <f t="shared" si="34"/>
        <v>383.23925000000008</v>
      </c>
    </row>
    <row r="400" spans="1:11">
      <c r="A400" t="str">
        <f>'RAW DATA 2023'!B393</f>
        <v>Lamlaung</v>
      </c>
      <c r="B400" t="str">
        <f>'RAW DATA 2023'!D393</f>
        <v>B1-111-0008</v>
      </c>
      <c r="C400" t="str">
        <f t="shared" si="30"/>
        <v>LamlaungB1-111-0008</v>
      </c>
      <c r="D400">
        <f>VLOOKUP(C400,'RAW DATA 2023'!E:BP,63,0)</f>
        <v>9</v>
      </c>
      <c r="E400" t="str">
        <f t="shared" si="31"/>
        <v>Lamlaung9</v>
      </c>
      <c r="F400" s="8">
        <f>VLOOKUP(C400,'RAW DATA 2023'!E:BO,23,0)</f>
        <v>26.250139373020449</v>
      </c>
      <c r="G400" s="14">
        <f t="shared" si="32"/>
        <v>48.749860626979554</v>
      </c>
      <c r="H400" s="25">
        <f t="shared" si="33"/>
        <v>9.749972125395912</v>
      </c>
      <c r="I400" s="80" t="str">
        <f>VLOOKUP(C400,'RAW DATA 2023'!E:BO,36,0)</f>
        <v>Normal</v>
      </c>
      <c r="J400">
        <f>VLOOKUP(C400,'RAW DATA 2023'!E:BO,21,0)</f>
        <v>58.027730000000005</v>
      </c>
      <c r="K400" s="268">
        <f t="shared" si="34"/>
        <v>565.76875000000018</v>
      </c>
    </row>
    <row r="401" spans="1:11">
      <c r="A401" t="str">
        <f>'RAW DATA 2023'!B394</f>
        <v>Lamlaung</v>
      </c>
      <c r="B401" t="str">
        <f>'RAW DATA 2023'!D394</f>
        <v>A1-002-0046</v>
      </c>
      <c r="C401" t="str">
        <f t="shared" si="30"/>
        <v>LamlaungA1-002-0046</v>
      </c>
      <c r="D401">
        <f>VLOOKUP(C401,'RAW DATA 2023'!E:BP,63,0)</f>
        <v>10</v>
      </c>
      <c r="E401" t="str">
        <f t="shared" si="31"/>
        <v>Lamlaung10</v>
      </c>
      <c r="F401" s="8">
        <f>VLOOKUP(C401,'RAW DATA 2023'!E:BO,23,0)</f>
        <v>29.272697878617947</v>
      </c>
      <c r="G401" s="14">
        <f t="shared" si="32"/>
        <v>45.727302121382053</v>
      </c>
      <c r="H401" s="25">
        <f t="shared" si="33"/>
        <v>9.1454604242764113</v>
      </c>
      <c r="I401" s="80" t="str">
        <f>VLOOKUP(C401,'RAW DATA 2023'!E:BO,36,0)</f>
        <v>Normal</v>
      </c>
      <c r="J401">
        <f>VLOOKUP(C401,'RAW DATA 2023'!E:BO,21,0)</f>
        <v>47.50488</v>
      </c>
      <c r="K401" s="268">
        <f t="shared" si="34"/>
        <v>434.45400000000001</v>
      </c>
    </row>
    <row r="402" spans="1:11">
      <c r="A402" t="str">
        <f>'RAW DATA 2023'!B395</f>
        <v>Lamlaung</v>
      </c>
      <c r="B402" t="str">
        <f>'RAW DATA 2023'!D395</f>
        <v>B1-112-0006</v>
      </c>
      <c r="C402" t="str">
        <f t="shared" si="30"/>
        <v>LamlaungB1-112-0006</v>
      </c>
      <c r="D402">
        <f>VLOOKUP(C402,'RAW DATA 2023'!E:BP,63,0)</f>
        <v>7</v>
      </c>
      <c r="E402" t="str">
        <f t="shared" si="31"/>
        <v>Lamlaung7</v>
      </c>
      <c r="F402" s="8">
        <f>VLOOKUP(C402,'RAW DATA 2023'!E:BO,23,0)</f>
        <v>32.435723220696467</v>
      </c>
      <c r="G402" s="14">
        <f t="shared" si="32"/>
        <v>42.564276779303533</v>
      </c>
      <c r="H402" s="25">
        <f t="shared" si="33"/>
        <v>8.5128553558607063</v>
      </c>
      <c r="I402" s="80" t="str">
        <f>VLOOKUP(C402,'RAW DATA 2023'!E:BO,36,0)</f>
        <v>Normal</v>
      </c>
      <c r="J402">
        <f>VLOOKUP(C402,'RAW DATA 2023'!E:BO,21,0)</f>
        <v>57.047040000000003</v>
      </c>
      <c r="K402" s="268">
        <f t="shared" si="34"/>
        <v>485.63319999999999</v>
      </c>
    </row>
    <row r="403" spans="1:11">
      <c r="A403" t="str">
        <f>'RAW DATA 2023'!B396</f>
        <v>Lamlaung</v>
      </c>
      <c r="B403" t="str">
        <f>'RAW DATA 2023'!D396</f>
        <v>A1-005-0008</v>
      </c>
      <c r="C403" t="str">
        <f t="shared" si="30"/>
        <v>LamlaungA1-005-0008</v>
      </c>
      <c r="D403">
        <f>VLOOKUP(C403,'RAW DATA 2023'!E:BP,63,0)</f>
        <v>9</v>
      </c>
      <c r="E403" t="str">
        <f t="shared" si="31"/>
        <v>Lamlaung9</v>
      </c>
      <c r="F403" s="8">
        <f>VLOOKUP(C403,'RAW DATA 2023'!E:BO,23,0)</f>
        <v>30.83781388478582</v>
      </c>
      <c r="G403" s="14">
        <f t="shared" si="32"/>
        <v>44.162186115214183</v>
      </c>
      <c r="H403" s="25">
        <f t="shared" si="33"/>
        <v>8.8324372230428363</v>
      </c>
      <c r="I403" s="80" t="str">
        <f>VLOOKUP(C403,'RAW DATA 2023'!E:BO,36,0)</f>
        <v>Normal</v>
      </c>
      <c r="J403">
        <f>VLOOKUP(C403,'RAW DATA 2023'!E:BO,21,0)</f>
        <v>62.622500000000002</v>
      </c>
      <c r="K403" s="268">
        <f t="shared" si="34"/>
        <v>553.10930000000008</v>
      </c>
    </row>
    <row r="404" spans="1:11">
      <c r="A404" t="str">
        <f>'RAW DATA 2023'!B397</f>
        <v>Lamlaung</v>
      </c>
      <c r="B404" t="str">
        <f>'RAW DATA 2023'!D397</f>
        <v>B1-111-0007</v>
      </c>
      <c r="C404" t="str">
        <f t="shared" si="30"/>
        <v>LamlaungB1-111-0007</v>
      </c>
      <c r="D404">
        <f>VLOOKUP(C404,'RAW DATA 2023'!E:BP,63,0)</f>
        <v>4</v>
      </c>
      <c r="E404" t="str">
        <f t="shared" si="31"/>
        <v>Lamlaung4</v>
      </c>
      <c r="F404" s="8">
        <f>VLOOKUP(C404,'RAW DATA 2023'!E:BO,23,0)</f>
        <v>34.775963869812443</v>
      </c>
      <c r="G404" s="14">
        <f t="shared" si="32"/>
        <v>40.224036130187557</v>
      </c>
      <c r="H404" s="25">
        <f t="shared" si="33"/>
        <v>8.044807226037511</v>
      </c>
      <c r="I404" s="80" t="str">
        <f>VLOOKUP(C404,'RAW DATA 2023'!E:BO,36,0)</f>
        <v>Normal</v>
      </c>
      <c r="J404">
        <f>VLOOKUP(C404,'RAW DATA 2023'!E:BO,21,0)</f>
        <v>31.89798</v>
      </c>
      <c r="K404" s="268">
        <f t="shared" si="34"/>
        <v>256.61310000000003</v>
      </c>
    </row>
    <row r="405" spans="1:11">
      <c r="A405" t="str">
        <f>'RAW DATA 2023'!B398</f>
        <v>Lamlaung</v>
      </c>
      <c r="B405" t="str">
        <f>'RAW DATA 2023'!D398</f>
        <v>A1-003-0045</v>
      </c>
      <c r="C405" t="str">
        <f t="shared" si="30"/>
        <v>LamlaungA1-003-0045</v>
      </c>
      <c r="D405">
        <f>VLOOKUP(C405,'RAW DATA 2023'!E:BP,63,0)</f>
        <v>10</v>
      </c>
      <c r="E405" t="str">
        <f t="shared" si="31"/>
        <v>Lamlaung10</v>
      </c>
      <c r="F405" s="8">
        <f>VLOOKUP(C405,'RAW DATA 2023'!E:BO,23,0)</f>
        <v>68.288810566132838</v>
      </c>
      <c r="G405" s="14">
        <f t="shared" si="32"/>
        <v>6.7111894338671618</v>
      </c>
      <c r="H405" s="25">
        <f t="shared" si="33"/>
        <v>1.3422378867734324</v>
      </c>
      <c r="I405" s="80" t="str">
        <f>VLOOKUP(C405,'RAW DATA 2023'!E:BO,36,0)</f>
        <v>EHP</v>
      </c>
      <c r="J405">
        <f>VLOOKUP(C405,'RAW DATA 2023'!E:BO,21,0)</f>
        <v>26.346820000000001</v>
      </c>
      <c r="K405" s="268">
        <f t="shared" si="34"/>
        <v>35.363700000000001</v>
      </c>
    </row>
    <row r="406" spans="1:11">
      <c r="A406" t="str">
        <f>'RAW DATA 2023'!B399</f>
        <v>Lamlaung</v>
      </c>
      <c r="B406" t="str">
        <f>'RAW DATA 2023'!D399</f>
        <v>B1-112-0007</v>
      </c>
      <c r="C406" t="str">
        <f t="shared" si="30"/>
        <v>LamlaungB1-112-0007</v>
      </c>
      <c r="D406">
        <f>VLOOKUP(C406,'RAW DATA 2023'!E:BP,63,0)</f>
        <v>9</v>
      </c>
      <c r="E406" t="str">
        <f t="shared" si="31"/>
        <v>Lamlaung9</v>
      </c>
      <c r="F406" s="8">
        <f>VLOOKUP(C406,'RAW DATA 2023'!E:BO,23,0)</f>
        <v>78.999995955167066</v>
      </c>
      <c r="G406" s="14">
        <f t="shared" si="32"/>
        <v>-3.9999959551670656</v>
      </c>
      <c r="H406" s="25">
        <f t="shared" si="33"/>
        <v>-0.79999919103341322</v>
      </c>
      <c r="I406" s="80" t="str">
        <f>VLOOKUP(C406,'RAW DATA 2023'!E:BO,36,0)</f>
        <v>EHP</v>
      </c>
      <c r="J406">
        <f>VLOOKUP(C406,'RAW DATA 2023'!E:BO,21,0)</f>
        <v>24.722900000000003</v>
      </c>
      <c r="K406" s="268">
        <f t="shared" si="34"/>
        <v>-19.778299999999973</v>
      </c>
    </row>
    <row r="407" spans="1:11">
      <c r="A407" t="str">
        <f>'RAW DATA 2023'!B400</f>
        <v>Lamlaung</v>
      </c>
      <c r="B407" t="str">
        <f>'RAW DATA 2023'!D400</f>
        <v>A1-002-0045</v>
      </c>
      <c r="C407" t="str">
        <f t="shared" si="30"/>
        <v>LamlaungA1-002-0045</v>
      </c>
      <c r="D407">
        <f>VLOOKUP(C407,'RAW DATA 2023'!E:BP,63,0)</f>
        <v>4</v>
      </c>
      <c r="E407" t="str">
        <f t="shared" si="31"/>
        <v>Lamlaung4</v>
      </c>
      <c r="F407" s="8">
        <f>VLOOKUP(C407,'RAW DATA 2023'!E:BO,23,0)</f>
        <v>58.471413092373737</v>
      </c>
      <c r="G407" s="14">
        <f t="shared" si="32"/>
        <v>16.528586907626263</v>
      </c>
      <c r="H407" s="25">
        <f t="shared" si="33"/>
        <v>3.3057173815252527</v>
      </c>
      <c r="I407" s="80" t="str">
        <f>VLOOKUP(C407,'RAW DATA 2023'!E:BO,36,0)</f>
        <v>กุ้งไม่โต</v>
      </c>
      <c r="J407">
        <f>VLOOKUP(C407,'RAW DATA 2023'!E:BO,21,0)</f>
        <v>35.19041</v>
      </c>
      <c r="K407" s="268">
        <f t="shared" si="34"/>
        <v>116.32955000000007</v>
      </c>
    </row>
    <row r="408" spans="1:11">
      <c r="A408" t="str">
        <f>'RAW DATA 2023'!B401</f>
        <v>Lamlaung</v>
      </c>
      <c r="B408" t="str">
        <f>'RAW DATA 2023'!D401</f>
        <v>B1-110-0005</v>
      </c>
      <c r="C408" t="str">
        <f t="shared" si="30"/>
        <v>LamlaungB1-110-0005</v>
      </c>
      <c r="D408">
        <f>VLOOKUP(C408,'RAW DATA 2023'!E:BP,63,0)</f>
        <v>1</v>
      </c>
      <c r="E408" t="str">
        <f t="shared" si="31"/>
        <v>Lamlaung1</v>
      </c>
      <c r="F408" s="8">
        <f>VLOOKUP(C408,'RAW DATA 2023'!E:BO,23,0)</f>
        <v>86.011553854752705</v>
      </c>
      <c r="G408" s="14">
        <f t="shared" si="32"/>
        <v>-11.011553854752705</v>
      </c>
      <c r="H408" s="25">
        <f t="shared" si="33"/>
        <v>-2.202310770950541</v>
      </c>
      <c r="I408" s="80" t="str">
        <f>VLOOKUP(C408,'RAW DATA 2023'!E:BO,36,0)</f>
        <v>EHP</v>
      </c>
      <c r="J408">
        <f>VLOOKUP(C408,'RAW DATA 2023'!E:BO,21,0)</f>
        <v>9.8045200000000001</v>
      </c>
      <c r="K408" s="268">
        <f t="shared" si="34"/>
        <v>-21.592599999999997</v>
      </c>
    </row>
    <row r="409" spans="1:11">
      <c r="A409" t="str">
        <f>'RAW DATA 2023'!B402</f>
        <v>Lamlaung</v>
      </c>
      <c r="B409" t="str">
        <f>'RAW DATA 2023'!D402</f>
        <v>A1-004-0045</v>
      </c>
      <c r="C409" t="str">
        <f t="shared" si="30"/>
        <v>LamlaungA1-004-0045</v>
      </c>
      <c r="D409">
        <f>VLOOKUP(C409,'RAW DATA 2023'!E:BP,63,0)</f>
        <v>4</v>
      </c>
      <c r="E409" t="str">
        <f t="shared" si="31"/>
        <v>Lamlaung4</v>
      </c>
      <c r="F409" s="8">
        <f>VLOOKUP(C409,'RAW DATA 2023'!E:BO,23,0)</f>
        <v>56.618218607563158</v>
      </c>
      <c r="G409" s="14">
        <f t="shared" si="32"/>
        <v>18.381781392436842</v>
      </c>
      <c r="H409" s="25">
        <f t="shared" si="33"/>
        <v>3.6763562784873685</v>
      </c>
      <c r="I409" s="80" t="str">
        <f>VLOOKUP(C409,'RAW DATA 2023'!E:BO,36,0)</f>
        <v>Others</v>
      </c>
      <c r="J409">
        <f>VLOOKUP(C409,'RAW DATA 2023'!E:BO,21,0)</f>
        <v>26.450320000000001</v>
      </c>
      <c r="K409" s="268">
        <f t="shared" si="34"/>
        <v>97.240800000000021</v>
      </c>
    </row>
    <row r="410" spans="1:11">
      <c r="A410" t="str">
        <f>'RAW DATA 2023'!B403</f>
        <v>Lamlaung</v>
      </c>
      <c r="B410" t="str">
        <f>'RAW DATA 2023'!D403</f>
        <v>A1-001-0019</v>
      </c>
      <c r="C410" t="str">
        <f t="shared" si="30"/>
        <v>LamlaungA1-001-0019</v>
      </c>
      <c r="D410">
        <f>VLOOKUP(C410,'RAW DATA 2023'!E:BP,63,0)</f>
        <v>3</v>
      </c>
      <c r="E410" t="str">
        <f t="shared" si="31"/>
        <v>Lamlaung3</v>
      </c>
      <c r="F410" s="8">
        <f>VLOOKUP(C410,'RAW DATA 2023'!E:BO,23,0)</f>
        <v>147.99997938957819</v>
      </c>
      <c r="G410" s="14">
        <f t="shared" si="32"/>
        <v>-72.999979389578186</v>
      </c>
      <c r="H410" s="25">
        <f t="shared" si="33"/>
        <v>-14.599995877915639</v>
      </c>
      <c r="I410" s="80" t="str">
        <f>VLOOKUP(C410,'RAW DATA 2023'!E:BO,36,0)</f>
        <v>EHP</v>
      </c>
      <c r="J410">
        <f>VLOOKUP(C410,'RAW DATA 2023'!E:BO,21,0)</f>
        <v>13.585360000000001</v>
      </c>
      <c r="K410" s="268">
        <f t="shared" si="34"/>
        <v>-198.34620000000001</v>
      </c>
    </row>
    <row r="411" spans="1:11">
      <c r="A411" t="str">
        <f>'RAW DATA 2023'!B404</f>
        <v>CS4</v>
      </c>
      <c r="B411" t="str">
        <f>'RAW DATA 2023'!D404</f>
        <v>A1-011-0046</v>
      </c>
      <c r="C411" t="str">
        <f t="shared" si="30"/>
        <v>CS4A1-011-0046</v>
      </c>
      <c r="D411">
        <f>VLOOKUP(C411,'RAW DATA 2023'!E:BP,63,0)</f>
        <v>9</v>
      </c>
      <c r="E411" t="str">
        <f t="shared" si="31"/>
        <v>CS49</v>
      </c>
      <c r="F411" s="8">
        <f>VLOOKUP(C411,'RAW DATA 2023'!E:BO,23,0)</f>
        <v>46.409628710857831</v>
      </c>
      <c r="G411" s="14">
        <f t="shared" si="32"/>
        <v>28.590371289142169</v>
      </c>
      <c r="H411" s="25">
        <f t="shared" si="33"/>
        <v>5.7180742578284338</v>
      </c>
      <c r="I411" s="80" t="str">
        <f>VLOOKUP(C411,'RAW DATA 2023'!E:BO,36,0)</f>
        <v>WFD+EHP</v>
      </c>
      <c r="J411">
        <f>VLOOKUP(C411,'RAW DATA 2023'!E:BO,21,0)</f>
        <v>16.842130000000001</v>
      </c>
      <c r="K411" s="268">
        <f t="shared" si="34"/>
        <v>96.304550000000006</v>
      </c>
    </row>
    <row r="412" spans="1:11">
      <c r="A412" t="str">
        <f>'RAW DATA 2023'!B405</f>
        <v>CS4</v>
      </c>
      <c r="B412" t="str">
        <f>'RAW DATA 2023'!D405</f>
        <v>A1-011-0045</v>
      </c>
      <c r="C412" t="str">
        <f t="shared" si="30"/>
        <v>CS4A1-011-0045</v>
      </c>
      <c r="D412">
        <f>VLOOKUP(C412,'RAW DATA 2023'!E:BP,63,0)</f>
        <v>5</v>
      </c>
      <c r="E412" t="str">
        <f t="shared" si="31"/>
        <v>CS45</v>
      </c>
      <c r="F412" s="8">
        <f>VLOOKUP(C412,'RAW DATA 2023'!E:BO,23,0)</f>
        <v>40.487783430136695</v>
      </c>
      <c r="G412" s="14">
        <f t="shared" si="32"/>
        <v>34.512216569863305</v>
      </c>
      <c r="H412" s="25">
        <f t="shared" si="33"/>
        <v>6.9024433139726611</v>
      </c>
      <c r="I412" s="80" t="str">
        <f>VLOOKUP(C412,'RAW DATA 2023'!E:BO,36,0)</f>
        <v>EHP</v>
      </c>
      <c r="J412">
        <f>VLOOKUP(C412,'RAW DATA 2023'!E:BO,21,0)</f>
        <v>11.37185</v>
      </c>
      <c r="K412" s="268">
        <f t="shared" si="34"/>
        <v>78.493550000000013</v>
      </c>
    </row>
    <row r="413" spans="1:11">
      <c r="A413" t="str">
        <f>'RAW DATA 2023'!B406</f>
        <v>CS4</v>
      </c>
      <c r="B413" t="str">
        <f>'RAW DATA 2023'!D406</f>
        <v>A1-025-0017</v>
      </c>
      <c r="C413" t="str">
        <f t="shared" si="30"/>
        <v>CS4A1-025-0017</v>
      </c>
      <c r="D413">
        <f>VLOOKUP(C413,'RAW DATA 2023'!E:BP,63,0)</f>
        <v>5</v>
      </c>
      <c r="E413" t="str">
        <f t="shared" si="31"/>
        <v>CS45</v>
      </c>
      <c r="F413" s="8">
        <f>VLOOKUP(C413,'RAW DATA 2023'!E:BO,23,0)</f>
        <v>30.475434640157065</v>
      </c>
      <c r="G413" s="14">
        <f t="shared" si="32"/>
        <v>44.524565359842939</v>
      </c>
      <c r="H413" s="25">
        <f t="shared" si="33"/>
        <v>8.9049130719685881</v>
      </c>
      <c r="I413" s="80" t="str">
        <f>VLOOKUP(C413,'RAW DATA 2023'!E:BO,36,0)</f>
        <v>Normal</v>
      </c>
      <c r="J413">
        <f>VLOOKUP(C413,'RAW DATA 2023'!E:BO,21,0)</f>
        <v>15.90166</v>
      </c>
      <c r="K413" s="268">
        <f t="shared" si="34"/>
        <v>141.60290000000001</v>
      </c>
    </row>
    <row r="414" spans="1:11">
      <c r="A414" t="str">
        <f>'RAW DATA 2023'!B407</f>
        <v>CS4</v>
      </c>
      <c r="B414" t="str">
        <f>'RAW DATA 2023'!D407</f>
        <v>A1-026-0015</v>
      </c>
      <c r="C414" t="str">
        <f t="shared" si="30"/>
        <v>CS4A1-026-0015</v>
      </c>
      <c r="D414">
        <f>VLOOKUP(C414,'RAW DATA 2023'!E:BP,63,0)</f>
        <v>6</v>
      </c>
      <c r="E414" t="str">
        <f t="shared" si="31"/>
        <v>CS46</v>
      </c>
      <c r="F414" s="8">
        <f>VLOOKUP(C414,'RAW DATA 2023'!E:BO,23,0)</f>
        <v>126.00008417523821</v>
      </c>
      <c r="G414" s="14">
        <f t="shared" si="32"/>
        <v>-51.000084175238214</v>
      </c>
      <c r="H414" s="25">
        <f t="shared" si="33"/>
        <v>-10.200016835047643</v>
      </c>
      <c r="I414" s="80" t="str">
        <f>VLOOKUP(C414,'RAW DATA 2023'!E:BO,36,0)</f>
        <v>EHP</v>
      </c>
      <c r="J414">
        <f>VLOOKUP(C414,'RAW DATA 2023'!E:BO,21,0)</f>
        <v>5.4647899999999998</v>
      </c>
      <c r="K414" s="268">
        <f t="shared" si="34"/>
        <v>-55.740950000000005</v>
      </c>
    </row>
    <row r="415" spans="1:11">
      <c r="A415" t="str">
        <f>'RAW DATA 2023'!B408</f>
        <v>CS4</v>
      </c>
      <c r="B415" t="str">
        <f>'RAW DATA 2023'!D408</f>
        <v>A1-023-0009</v>
      </c>
      <c r="C415" t="str">
        <f t="shared" si="30"/>
        <v>CS4A1-023-0009</v>
      </c>
      <c r="D415">
        <f>VLOOKUP(C415,'RAW DATA 2023'!E:BP,63,0)</f>
        <v>5</v>
      </c>
      <c r="E415" t="str">
        <f t="shared" si="31"/>
        <v>CS45</v>
      </c>
      <c r="F415" s="8">
        <f>VLOOKUP(C415,'RAW DATA 2023'!E:BO,23,0)</f>
        <v>110.00016108506904</v>
      </c>
      <c r="G415" s="14">
        <f t="shared" si="32"/>
        <v>-35.000161085069038</v>
      </c>
      <c r="H415" s="25">
        <f t="shared" si="33"/>
        <v>-7.0000322170138078</v>
      </c>
      <c r="I415" s="80" t="str">
        <f>VLOOKUP(C415,'RAW DATA 2023'!E:BO,36,0)</f>
        <v>WFD+EHP</v>
      </c>
      <c r="J415">
        <f>VLOOKUP(C415,'RAW DATA 2023'!E:BO,21,0)</f>
        <v>6.2078999999999995</v>
      </c>
      <c r="K415" s="268">
        <f t="shared" si="34"/>
        <v>-43.455500000000015</v>
      </c>
    </row>
    <row r="416" spans="1:11">
      <c r="A416" t="str">
        <f>'RAW DATA 2023'!B409</f>
        <v>CS4</v>
      </c>
      <c r="B416" t="str">
        <f>'RAW DATA 2023'!D409</f>
        <v>A1-003-0037</v>
      </c>
      <c r="C416" t="str">
        <f t="shared" si="30"/>
        <v>CS4A1-003-0037</v>
      </c>
      <c r="D416">
        <f>VLOOKUP(C416,'RAW DATA 2023'!E:BP,63,0)</f>
        <v>4</v>
      </c>
      <c r="E416" t="str">
        <f t="shared" si="31"/>
        <v>CS44</v>
      </c>
      <c r="F416" s="8">
        <f>VLOOKUP(C416,'RAW DATA 2023'!E:BO,23,0)</f>
        <v>34.436921908712399</v>
      </c>
      <c r="G416" s="14">
        <f t="shared" si="32"/>
        <v>40.563078091287601</v>
      </c>
      <c r="H416" s="25">
        <f t="shared" si="33"/>
        <v>8.1126156182575198</v>
      </c>
      <c r="I416" s="80" t="str">
        <f>VLOOKUP(C416,'RAW DATA 2023'!E:BO,36,0)</f>
        <v>พบขี้ขาวลอย</v>
      </c>
      <c r="J416">
        <f>VLOOKUP(C416,'RAW DATA 2023'!E:BO,21,0)</f>
        <v>14.11758</v>
      </c>
      <c r="K416" s="268">
        <f t="shared" si="34"/>
        <v>114.5305</v>
      </c>
    </row>
    <row r="417" spans="1:11">
      <c r="A417" t="str">
        <f>'RAW DATA 2023'!B410</f>
        <v>CS4</v>
      </c>
      <c r="B417" t="str">
        <f>'RAW DATA 2023'!D410</f>
        <v>A1-002-0047</v>
      </c>
      <c r="C417" t="str">
        <f t="shared" si="30"/>
        <v>CS4A1-002-0047</v>
      </c>
      <c r="D417">
        <f>VLOOKUP(C417,'RAW DATA 2023'!E:BP,63,0)</f>
        <v>5</v>
      </c>
      <c r="E417" t="str">
        <f t="shared" si="31"/>
        <v>CS45</v>
      </c>
      <c r="F417" s="8">
        <f>VLOOKUP(C417,'RAW DATA 2023'!E:BO,23,0)</f>
        <v>183.00019215284385</v>
      </c>
      <c r="G417" s="14">
        <f t="shared" si="32"/>
        <v>-108.00019215284385</v>
      </c>
      <c r="H417" s="25">
        <f t="shared" si="33"/>
        <v>-21.600038430568773</v>
      </c>
      <c r="I417" s="80" t="str">
        <f>VLOOKUP(C417,'RAW DATA 2023'!E:BO,36,0)</f>
        <v>EHP</v>
      </c>
      <c r="J417">
        <f>VLOOKUP(C417,'RAW DATA 2023'!E:BO,21,0)</f>
        <v>4.3715200000000003</v>
      </c>
      <c r="K417" s="268">
        <f t="shared" si="34"/>
        <v>-94.425000000000011</v>
      </c>
    </row>
    <row r="418" spans="1:11">
      <c r="A418" t="str">
        <f>'RAW DATA 2023'!B411</f>
        <v>CS4</v>
      </c>
      <c r="B418" t="str">
        <f>'RAW DATA 2023'!D411</f>
        <v>A1-002-0048</v>
      </c>
      <c r="C418" t="str">
        <f t="shared" si="30"/>
        <v>CS4A1-002-0048</v>
      </c>
      <c r="D418">
        <f>VLOOKUP(C418,'RAW DATA 2023'!E:BP,63,0)</f>
        <v>9</v>
      </c>
      <c r="E418" t="str">
        <f t="shared" si="31"/>
        <v>CS49</v>
      </c>
      <c r="F418" s="8">
        <f>VLOOKUP(C418,'RAW DATA 2023'!E:BO,23,0)</f>
        <v>0</v>
      </c>
      <c r="G418" s="14">
        <f t="shared" si="32"/>
        <v>0</v>
      </c>
      <c r="H418" s="25">
        <f t="shared" si="33"/>
        <v>0</v>
      </c>
      <c r="I418" s="80" t="str">
        <f>VLOOKUP(C418,'RAW DATA 2023'!E:BO,36,0)</f>
        <v>EHP</v>
      </c>
      <c r="J418">
        <f>VLOOKUP(C418,'RAW DATA 2023'!E:BO,21,0)</f>
        <v>0</v>
      </c>
      <c r="K418" s="268">
        <f t="shared" si="34"/>
        <v>0</v>
      </c>
    </row>
    <row r="419" spans="1:11">
      <c r="A419" t="str">
        <f>'RAW DATA 2023'!B412</f>
        <v>CS4</v>
      </c>
      <c r="B419" t="str">
        <f>'RAW DATA 2023'!D412</f>
        <v>A1-002-0046</v>
      </c>
      <c r="C419" t="str">
        <f t="shared" si="30"/>
        <v>CS4A1-002-0046</v>
      </c>
      <c r="D419">
        <f>VLOOKUP(C419,'RAW DATA 2023'!E:BP,63,0)</f>
        <v>2</v>
      </c>
      <c r="E419" t="str">
        <f t="shared" si="31"/>
        <v>CS42</v>
      </c>
      <c r="F419" s="8">
        <f>VLOOKUP(C419,'RAW DATA 2023'!E:BO,23,0)</f>
        <v>53.000069302034014</v>
      </c>
      <c r="G419" s="14">
        <f t="shared" si="32"/>
        <v>21.999930697965986</v>
      </c>
      <c r="H419" s="25">
        <f t="shared" si="33"/>
        <v>4.3999861395931976</v>
      </c>
      <c r="I419" s="80" t="str">
        <f>VLOOKUP(C419,'RAW DATA 2023'!E:BO,36,0)</f>
        <v>WSSV</v>
      </c>
      <c r="J419">
        <f>VLOOKUP(C419,'RAW DATA 2023'!E:BO,21,0)</f>
        <v>12.698040000000001</v>
      </c>
      <c r="K419" s="268">
        <f t="shared" si="34"/>
        <v>55.871200000000009</v>
      </c>
    </row>
    <row r="420" spans="1:11">
      <c r="A420" t="str">
        <f>'RAW DATA 2023'!B413</f>
        <v>CS4</v>
      </c>
      <c r="B420" t="str">
        <f>'RAW DATA 2023'!D413</f>
        <v>A1-023-0008</v>
      </c>
      <c r="C420" t="str">
        <f t="shared" si="30"/>
        <v>CS4A1-023-0008</v>
      </c>
      <c r="D420">
        <f>VLOOKUP(C420,'RAW DATA 2023'!E:BP,63,0)</f>
        <v>3</v>
      </c>
      <c r="E420" t="str">
        <f t="shared" si="31"/>
        <v>CS43</v>
      </c>
      <c r="F420" s="8">
        <f>VLOOKUP(C420,'RAW DATA 2023'!E:BO,23,0)</f>
        <v>87.000132561530648</v>
      </c>
      <c r="G420" s="14">
        <f t="shared" si="32"/>
        <v>-12.000132561530648</v>
      </c>
      <c r="H420" s="25">
        <f t="shared" si="33"/>
        <v>-2.40002651230613</v>
      </c>
      <c r="I420" s="80" t="str">
        <f>VLOOKUP(C420,'RAW DATA 2023'!E:BO,36,0)</f>
        <v>YHV</v>
      </c>
      <c r="J420">
        <f>VLOOKUP(C420,'RAW DATA 2023'!E:BO,21,0)</f>
        <v>3.3946499999999999</v>
      </c>
      <c r="K420" s="268">
        <f t="shared" si="34"/>
        <v>-8.1472500000000032</v>
      </c>
    </row>
    <row r="421" spans="1:11">
      <c r="A421" t="str">
        <f>'RAW DATA 2023'!B414</f>
        <v>CS4</v>
      </c>
      <c r="B421" t="str">
        <f>'RAW DATA 2023'!D414</f>
        <v>A1-026-0014</v>
      </c>
      <c r="C421" t="str">
        <f t="shared" si="30"/>
        <v>CS4A1-026-0014</v>
      </c>
      <c r="D421">
        <f>VLOOKUP(C421,'RAW DATA 2023'!E:BP,63,0)</f>
        <v>4</v>
      </c>
      <c r="E421" t="str">
        <f t="shared" si="31"/>
        <v>CS44</v>
      </c>
      <c r="F421" s="8">
        <f>VLOOKUP(C421,'RAW DATA 2023'!E:BO,23,0)</f>
        <v>99.000106393853358</v>
      </c>
      <c r="G421" s="14">
        <f t="shared" si="32"/>
        <v>-24.000106393853358</v>
      </c>
      <c r="H421" s="25">
        <f t="shared" si="33"/>
        <v>-4.8000212787706715</v>
      </c>
      <c r="I421" s="80" t="str">
        <f>VLOOKUP(C421,'RAW DATA 2023'!E:BO,36,0)</f>
        <v>WFD</v>
      </c>
      <c r="J421">
        <f>VLOOKUP(C421,'RAW DATA 2023'!E:BO,21,0)</f>
        <v>4.7935100000000004</v>
      </c>
      <c r="K421" s="268">
        <f t="shared" si="34"/>
        <v>-23.008950000000002</v>
      </c>
    </row>
    <row r="422" spans="1:11">
      <c r="A422" t="str">
        <f>'RAW DATA 2023'!B415</f>
        <v>CS1</v>
      </c>
      <c r="B422" t="str">
        <f>'RAW DATA 2023'!D415</f>
        <v>A1-007-0050</v>
      </c>
      <c r="C422" t="str">
        <f t="shared" si="30"/>
        <v>CS1A1-007-0050</v>
      </c>
      <c r="D422">
        <f>VLOOKUP(C422,'RAW DATA 2023'!E:BP,63,0)</f>
        <v>10</v>
      </c>
      <c r="E422" t="str">
        <f t="shared" si="31"/>
        <v>CS110</v>
      </c>
      <c r="F422" s="8">
        <f>VLOOKUP(C422,'RAW DATA 2023'!E:BO,23,0)</f>
        <v>26.206602713903916</v>
      </c>
      <c r="G422" s="14">
        <f t="shared" si="32"/>
        <v>48.793397286096081</v>
      </c>
      <c r="H422" s="25">
        <f t="shared" si="33"/>
        <v>9.7586794572192161</v>
      </c>
      <c r="I422" s="80" t="str">
        <f>VLOOKUP(C422,'RAW DATA 2023'!E:BO,36,0)</f>
        <v>Normal</v>
      </c>
      <c r="J422">
        <f>VLOOKUP(C422,'RAW DATA 2023'!E:BO,21,0)</f>
        <v>23.235900000000001</v>
      </c>
      <c r="K422" s="268">
        <f t="shared" si="34"/>
        <v>226.7517</v>
      </c>
    </row>
    <row r="423" spans="1:11">
      <c r="A423" t="str">
        <f>'RAW DATA 2023'!B416</f>
        <v>CS1</v>
      </c>
      <c r="B423" t="str">
        <f>'RAW DATA 2023'!D416</f>
        <v>A1-010-0051</v>
      </c>
      <c r="C423" t="str">
        <f t="shared" si="30"/>
        <v>CS1A1-010-0051</v>
      </c>
      <c r="D423">
        <f>VLOOKUP(C423,'RAW DATA 2023'!E:BP,63,0)</f>
        <v>10</v>
      </c>
      <c r="E423" t="str">
        <f t="shared" si="31"/>
        <v>CS110</v>
      </c>
      <c r="F423" s="8">
        <f>VLOOKUP(C423,'RAW DATA 2023'!E:BO,23,0)</f>
        <v>32.074840854672509</v>
      </c>
      <c r="G423" s="14">
        <f t="shared" si="32"/>
        <v>42.925159145327491</v>
      </c>
      <c r="H423" s="25">
        <f t="shared" si="33"/>
        <v>8.5850318290654979</v>
      </c>
      <c r="I423" s="80" t="str">
        <f>VLOOKUP(C423,'RAW DATA 2023'!E:BO,36,0)</f>
        <v>Normal</v>
      </c>
      <c r="J423">
        <f>VLOOKUP(C423,'RAW DATA 2023'!E:BO,21,0)</f>
        <v>36.309580000000004</v>
      </c>
      <c r="K423" s="268">
        <f t="shared" si="34"/>
        <v>311.71890000000008</v>
      </c>
    </row>
    <row r="424" spans="1:11">
      <c r="A424" t="str">
        <f>'RAW DATA 2023'!B417</f>
        <v>CS1</v>
      </c>
      <c r="B424" t="str">
        <f>'RAW DATA 2023'!D417</f>
        <v>A1-004-0040</v>
      </c>
      <c r="C424" t="str">
        <f t="shared" si="30"/>
        <v>CS1A1-004-0040</v>
      </c>
      <c r="D424">
        <f>VLOOKUP(C424,'RAW DATA 2023'!E:BP,63,0)</f>
        <v>2</v>
      </c>
      <c r="E424" t="str">
        <f t="shared" si="31"/>
        <v>CS12</v>
      </c>
      <c r="F424" s="8">
        <f>VLOOKUP(C424,'RAW DATA 2023'!E:BO,23,0)</f>
        <v>23.999945837804535</v>
      </c>
      <c r="G424" s="14">
        <f t="shared" si="32"/>
        <v>51.000054162195468</v>
      </c>
      <c r="H424" s="25">
        <f t="shared" si="33"/>
        <v>10.200010832439094</v>
      </c>
      <c r="I424" s="80" t="str">
        <f>VLOOKUP(C424,'RAW DATA 2023'!E:BO,36,0)</f>
        <v>Normal</v>
      </c>
      <c r="J424">
        <f>VLOOKUP(C424,'RAW DATA 2023'!E:BO,21,0)</f>
        <v>11.816360000000001</v>
      </c>
      <c r="K424" s="268">
        <f t="shared" si="34"/>
        <v>120.52700000000003</v>
      </c>
    </row>
    <row r="425" spans="1:11">
      <c r="A425" t="str">
        <f>'RAW DATA 2023'!B418</f>
        <v>CS1</v>
      </c>
      <c r="B425" t="str">
        <f>'RAW DATA 2023'!D418</f>
        <v>A1-096-0028</v>
      </c>
      <c r="C425" t="str">
        <f t="shared" si="30"/>
        <v>CS1A1-096-0028</v>
      </c>
      <c r="D425">
        <f>VLOOKUP(C425,'RAW DATA 2023'!E:BP,63,0)</f>
        <v>5</v>
      </c>
      <c r="E425" t="str">
        <f t="shared" si="31"/>
        <v>CS15</v>
      </c>
      <c r="F425" s="8">
        <f>VLOOKUP(C425,'RAW DATA 2023'!E:BO,23,0)</f>
        <v>45.066879181511204</v>
      </c>
      <c r="G425" s="14">
        <f t="shared" si="32"/>
        <v>29.933120818488796</v>
      </c>
      <c r="H425" s="25">
        <f t="shared" si="33"/>
        <v>5.9866241636977593</v>
      </c>
      <c r="I425" s="80" t="str">
        <f>VLOOKUP(C425,'RAW DATA 2023'!E:BO,36,0)</f>
        <v>EHP</v>
      </c>
      <c r="J425">
        <f>VLOOKUP(C425,'RAW DATA 2023'!E:BO,21,0)</f>
        <v>10.000870000000001</v>
      </c>
      <c r="K425" s="268">
        <f t="shared" si="34"/>
        <v>59.871450000000017</v>
      </c>
    </row>
    <row r="426" spans="1:11">
      <c r="A426" t="str">
        <f>'RAW DATA 2023'!B419</f>
        <v>CS1</v>
      </c>
      <c r="B426" t="str">
        <f>'RAW DATA 2023'!D419</f>
        <v>A1-014-0045</v>
      </c>
      <c r="C426" t="str">
        <f t="shared" si="30"/>
        <v>CS1A1-014-0045</v>
      </c>
      <c r="D426">
        <f>VLOOKUP(C426,'RAW DATA 2023'!E:BP,63,0)</f>
        <v>3</v>
      </c>
      <c r="E426" t="str">
        <f t="shared" si="31"/>
        <v>CS13</v>
      </c>
      <c r="F426" s="8">
        <f>VLOOKUP(C426,'RAW DATA 2023'!E:BO,23,0)</f>
        <v>42.00005297135548</v>
      </c>
      <c r="G426" s="14">
        <f t="shared" si="32"/>
        <v>32.99994702864452</v>
      </c>
      <c r="H426" s="25">
        <f t="shared" si="33"/>
        <v>6.5999894057289046</v>
      </c>
      <c r="I426" s="80" t="str">
        <f>VLOOKUP(C426,'RAW DATA 2023'!E:BO,36,0)</f>
        <v>Normal</v>
      </c>
      <c r="J426">
        <f>VLOOKUP(C426,'RAW DATA 2023'!E:BO,21,0)</f>
        <v>19.255689999999998</v>
      </c>
      <c r="K426" s="268">
        <f t="shared" si="34"/>
        <v>127.08735</v>
      </c>
    </row>
    <row r="427" spans="1:11">
      <c r="A427" t="str">
        <f>'RAW DATA 2023'!B420</f>
        <v>CS1</v>
      </c>
      <c r="B427" t="str">
        <f>'RAW DATA 2023'!D420</f>
        <v>A1-096-0027</v>
      </c>
      <c r="C427" t="str">
        <f t="shared" si="30"/>
        <v>CS1A1-096-0027</v>
      </c>
      <c r="D427">
        <f>VLOOKUP(C427,'RAW DATA 2023'!E:BP,63,0)</f>
        <v>2</v>
      </c>
      <c r="E427" t="str">
        <f t="shared" si="31"/>
        <v>CS12</v>
      </c>
      <c r="F427" s="8">
        <f>VLOOKUP(C427,'RAW DATA 2023'!E:BO,23,0)</f>
        <v>26.128572367224759</v>
      </c>
      <c r="G427" s="14">
        <f t="shared" si="32"/>
        <v>48.871427632775237</v>
      </c>
      <c r="H427" s="25">
        <f t="shared" si="33"/>
        <v>9.7742855265550475</v>
      </c>
      <c r="I427" s="80" t="str">
        <f>VLOOKUP(C427,'RAW DATA 2023'!E:BO,36,0)</f>
        <v>Normal</v>
      </c>
      <c r="J427">
        <f>VLOOKUP(C427,'RAW DATA 2023'!E:BO,21,0)</f>
        <v>13.088659999999999</v>
      </c>
      <c r="K427" s="268">
        <f t="shared" si="34"/>
        <v>127.93229999999998</v>
      </c>
    </row>
    <row r="428" spans="1:11">
      <c r="A428" t="str">
        <f>'RAW DATA 2023'!B421</f>
        <v>CS1</v>
      </c>
      <c r="B428" t="str">
        <f>'RAW DATA 2023'!D421</f>
        <v>A1-010-0049</v>
      </c>
      <c r="C428" t="str">
        <f t="shared" si="30"/>
        <v>CS1A1-010-0049</v>
      </c>
      <c r="D428">
        <f>VLOOKUP(C428,'RAW DATA 2023'!E:BP,63,0)</f>
        <v>2</v>
      </c>
      <c r="E428" t="str">
        <f t="shared" si="31"/>
        <v>CS12</v>
      </c>
      <c r="F428" s="8">
        <f>VLOOKUP(C428,'RAW DATA 2023'!E:BO,23,0)</f>
        <v>25.526900824615556</v>
      </c>
      <c r="G428" s="14">
        <f t="shared" si="32"/>
        <v>49.473099175384448</v>
      </c>
      <c r="H428" s="25">
        <f t="shared" si="33"/>
        <v>9.8946198350768899</v>
      </c>
      <c r="I428" s="80" t="str">
        <f>VLOOKUP(C428,'RAW DATA 2023'!E:BO,36,0)</f>
        <v>Normal</v>
      </c>
      <c r="J428">
        <f>VLOOKUP(C428,'RAW DATA 2023'!E:BO,21,0)</f>
        <v>17.605779999999999</v>
      </c>
      <c r="K428" s="268">
        <f t="shared" si="34"/>
        <v>174.20249999999999</v>
      </c>
    </row>
    <row r="429" spans="1:11">
      <c r="A429" t="str">
        <f>'RAW DATA 2023'!B422</f>
        <v>CS1</v>
      </c>
      <c r="B429" t="str">
        <f>'RAW DATA 2023'!D422</f>
        <v>A1-007-0048</v>
      </c>
      <c r="C429" t="str">
        <f t="shared" si="30"/>
        <v>CS1A1-007-0048</v>
      </c>
      <c r="D429">
        <f>VLOOKUP(C429,'RAW DATA 2023'!E:BP,63,0)</f>
        <v>2</v>
      </c>
      <c r="E429" t="str">
        <f t="shared" si="31"/>
        <v>CS12</v>
      </c>
      <c r="F429" s="8">
        <f>VLOOKUP(C429,'RAW DATA 2023'!E:BO,23,0)</f>
        <v>28.769876610278171</v>
      </c>
      <c r="G429" s="14">
        <f t="shared" si="32"/>
        <v>46.230123389721825</v>
      </c>
      <c r="H429" s="25">
        <f t="shared" si="33"/>
        <v>9.2460246779443658</v>
      </c>
      <c r="I429" s="80" t="str">
        <f>VLOOKUP(C429,'RAW DATA 2023'!E:BO,36,0)</f>
        <v>Normal</v>
      </c>
      <c r="J429">
        <f>VLOOKUP(C429,'RAW DATA 2023'!E:BO,21,0)</f>
        <v>17.96584</v>
      </c>
      <c r="K429" s="268">
        <f t="shared" si="34"/>
        <v>166.11260000000001</v>
      </c>
    </row>
    <row r="430" spans="1:11">
      <c r="A430" t="str">
        <f>'RAW DATA 2023'!B423</f>
        <v>CS1</v>
      </c>
      <c r="B430" t="str">
        <f>'RAW DATA 2023'!D423</f>
        <v>A1-008-0030</v>
      </c>
      <c r="C430" t="str">
        <f t="shared" si="30"/>
        <v>CS1A1-008-0030</v>
      </c>
      <c r="D430">
        <f>VLOOKUP(C430,'RAW DATA 2023'!E:BP,63,0)</f>
        <v>3</v>
      </c>
      <c r="E430" t="str">
        <f t="shared" si="31"/>
        <v>CS13</v>
      </c>
      <c r="F430" s="8">
        <f>VLOOKUP(C430,'RAW DATA 2023'!E:BO,23,0)</f>
        <v>29.357581027751142</v>
      </c>
      <c r="G430" s="14">
        <f t="shared" si="32"/>
        <v>45.642418972248862</v>
      </c>
      <c r="H430" s="25">
        <f t="shared" si="33"/>
        <v>9.1284837944497728</v>
      </c>
      <c r="I430" s="80" t="str">
        <f>VLOOKUP(C430,'RAW DATA 2023'!E:BO,36,0)</f>
        <v>Normal</v>
      </c>
      <c r="J430">
        <f>VLOOKUP(C430,'RAW DATA 2023'!E:BO,21,0)</f>
        <v>17.111729999999998</v>
      </c>
      <c r="K430" s="268">
        <f t="shared" si="34"/>
        <v>156.20415</v>
      </c>
    </row>
    <row r="431" spans="1:11">
      <c r="A431" t="str">
        <f>'RAW DATA 2023'!B424</f>
        <v>CS1</v>
      </c>
      <c r="B431" t="str">
        <f>'RAW DATA 2023'!D424</f>
        <v>A1-007-0049</v>
      </c>
      <c r="C431" t="str">
        <f t="shared" si="30"/>
        <v>CS1A1-007-0049</v>
      </c>
      <c r="D431">
        <f>VLOOKUP(C431,'RAW DATA 2023'!E:BP,63,0)</f>
        <v>4</v>
      </c>
      <c r="E431" t="str">
        <f t="shared" si="31"/>
        <v>CS14</v>
      </c>
      <c r="F431" s="8">
        <f>VLOOKUP(C431,'RAW DATA 2023'!E:BO,23,0)</f>
        <v>104.99997777688885</v>
      </c>
      <c r="G431" s="14">
        <f t="shared" si="32"/>
        <v>-29.999977776888855</v>
      </c>
      <c r="H431" s="25">
        <f t="shared" si="33"/>
        <v>-5.9999955553777715</v>
      </c>
      <c r="I431" s="80" t="str">
        <f>VLOOKUP(C431,'RAW DATA 2023'!E:BO,36,0)</f>
        <v>EHP</v>
      </c>
      <c r="J431">
        <f>VLOOKUP(C431,'RAW DATA 2023'!E:BO,21,0)</f>
        <v>8.9996399999999994</v>
      </c>
      <c r="K431" s="268">
        <f t="shared" si="34"/>
        <v>-53.997800000000005</v>
      </c>
    </row>
    <row r="432" spans="1:11">
      <c r="A432" t="str">
        <f>'RAW DATA 2023'!B425</f>
        <v>CS1</v>
      </c>
      <c r="B432" t="str">
        <f>'RAW DATA 2023'!D425</f>
        <v>A1-008-0031</v>
      </c>
      <c r="C432" t="str">
        <f t="shared" si="30"/>
        <v>CS1A1-008-0031</v>
      </c>
      <c r="D432">
        <f>VLOOKUP(C432,'RAW DATA 2023'!E:BP,63,0)</f>
        <v>5</v>
      </c>
      <c r="E432" t="str">
        <f t="shared" si="31"/>
        <v>CS15</v>
      </c>
      <c r="F432" s="8">
        <f>VLOOKUP(C432,'RAW DATA 2023'!E:BO,23,0)</f>
        <v>79.999905463724062</v>
      </c>
      <c r="G432" s="14">
        <f t="shared" si="32"/>
        <v>-4.9999054637240619</v>
      </c>
      <c r="H432" s="25">
        <f t="shared" si="33"/>
        <v>-0.99998109274481239</v>
      </c>
      <c r="I432" s="80" t="str">
        <f>VLOOKUP(C432,'RAW DATA 2023'!E:BO,36,0)</f>
        <v>EHP</v>
      </c>
      <c r="J432">
        <f>VLOOKUP(C432,'RAW DATA 2023'!E:BO,21,0)</f>
        <v>4.2311800000000002</v>
      </c>
      <c r="K432" s="268">
        <f t="shared" si="34"/>
        <v>-4.2310999999999952</v>
      </c>
    </row>
    <row r="433" spans="1:11">
      <c r="A433" t="str">
        <f>'RAW DATA 2023'!B426</f>
        <v>CS1</v>
      </c>
      <c r="B433" t="str">
        <f>'RAW DATA 2023'!D426</f>
        <v>A1-010-0050</v>
      </c>
      <c r="C433" t="str">
        <f t="shared" si="30"/>
        <v>CS1A1-010-0050</v>
      </c>
      <c r="D433">
        <f>VLOOKUP(C433,'RAW DATA 2023'!E:BP,63,0)</f>
        <v>4</v>
      </c>
      <c r="E433" t="str">
        <f t="shared" si="31"/>
        <v>CS14</v>
      </c>
      <c r="F433" s="8">
        <f>VLOOKUP(C433,'RAW DATA 2023'!E:BO,23,0)</f>
        <v>141.00000756015996</v>
      </c>
      <c r="G433" s="14">
        <f t="shared" si="32"/>
        <v>-66.000007560159958</v>
      </c>
      <c r="H433" s="25">
        <f t="shared" si="33"/>
        <v>-13.200001512031992</v>
      </c>
      <c r="I433" s="80" t="str">
        <f>VLOOKUP(C433,'RAW DATA 2023'!E:BO,36,0)</f>
        <v>EHP</v>
      </c>
      <c r="J433">
        <f>VLOOKUP(C433,'RAW DATA 2023'!E:BO,21,0)</f>
        <v>7.9363400000000004</v>
      </c>
      <c r="K433" s="268">
        <f t="shared" si="34"/>
        <v>-104.75969999999998</v>
      </c>
    </row>
    <row r="434" spans="1:11">
      <c r="A434" t="str">
        <f>'RAW DATA 2023'!B427</f>
        <v>CS1</v>
      </c>
      <c r="B434" t="str">
        <f>'RAW DATA 2023'!D427</f>
        <v>C1-080-0017</v>
      </c>
      <c r="C434" t="str">
        <f t="shared" si="30"/>
        <v>CS1C1-080-0017</v>
      </c>
      <c r="D434">
        <f>VLOOKUP(C434,'RAW DATA 2023'!E:BP,63,0)</f>
        <v>2</v>
      </c>
      <c r="E434" t="str">
        <f t="shared" si="31"/>
        <v>CS12</v>
      </c>
      <c r="F434" s="8">
        <f>VLOOKUP(C434,'RAW DATA 2023'!E:BO,23,0)</f>
        <v>23.151854242880709</v>
      </c>
      <c r="G434" s="14">
        <f t="shared" si="32"/>
        <v>51.848145757119291</v>
      </c>
      <c r="H434" s="25">
        <f t="shared" si="33"/>
        <v>10.369629151423858</v>
      </c>
      <c r="I434" s="80" t="str">
        <f>VLOOKUP(C434,'RAW DATA 2023'!E:BO,36,0)</f>
        <v>Normal</v>
      </c>
      <c r="J434">
        <f>VLOOKUP(C434,'RAW DATA 2023'!E:BO,21,0)</f>
        <v>15.335100000000001</v>
      </c>
      <c r="K434" s="268">
        <f t="shared" si="34"/>
        <v>159.01930000000002</v>
      </c>
    </row>
    <row r="435" spans="1:11">
      <c r="A435" t="str">
        <f>'RAW DATA 2023'!B428</f>
        <v>CS1</v>
      </c>
      <c r="B435" t="str">
        <f>'RAW DATA 2023'!D428</f>
        <v>C1-084-0018</v>
      </c>
      <c r="C435" t="str">
        <f t="shared" si="30"/>
        <v>CS1C1-084-0018</v>
      </c>
      <c r="D435">
        <f>VLOOKUP(C435,'RAW DATA 2023'!E:BP,63,0)</f>
        <v>2</v>
      </c>
      <c r="E435" t="str">
        <f t="shared" si="31"/>
        <v>CS12</v>
      </c>
      <c r="F435" s="8">
        <f>VLOOKUP(C435,'RAW DATA 2023'!E:BO,23,0)</f>
        <v>24.162765479813164</v>
      </c>
      <c r="G435" s="14">
        <f t="shared" si="32"/>
        <v>50.83723452018684</v>
      </c>
      <c r="H435" s="25">
        <f t="shared" si="33"/>
        <v>10.167446904037369</v>
      </c>
      <c r="I435" s="80" t="str">
        <f>VLOOKUP(C435,'RAW DATA 2023'!E:BO,36,0)</f>
        <v>Normal</v>
      </c>
      <c r="J435">
        <f>VLOOKUP(C435,'RAW DATA 2023'!E:BO,21,0)</f>
        <v>11.42601</v>
      </c>
      <c r="K435" s="268">
        <f t="shared" si="34"/>
        <v>116.17335000000003</v>
      </c>
    </row>
    <row r="436" spans="1:11">
      <c r="A436" t="str">
        <f>'RAW DATA 2023'!B429</f>
        <v>CS1</v>
      </c>
      <c r="B436" t="str">
        <f>'RAW DATA 2023'!D429</f>
        <v>C1-085-0019</v>
      </c>
      <c r="C436" t="str">
        <f t="shared" si="30"/>
        <v>CS1C1-085-0019</v>
      </c>
      <c r="D436">
        <f>VLOOKUP(C436,'RAW DATA 2023'!E:BP,63,0)</f>
        <v>3</v>
      </c>
      <c r="E436" t="str">
        <f t="shared" si="31"/>
        <v>CS13</v>
      </c>
      <c r="F436" s="8">
        <f>VLOOKUP(C436,'RAW DATA 2023'!E:BO,23,0)</f>
        <v>26.999952503145145</v>
      </c>
      <c r="G436" s="14">
        <f t="shared" si="32"/>
        <v>48.000047496854855</v>
      </c>
      <c r="H436" s="25">
        <f t="shared" si="33"/>
        <v>9.6000094993709713</v>
      </c>
      <c r="I436" s="80" t="str">
        <f>VLOOKUP(C436,'RAW DATA 2023'!E:BO,36,0)</f>
        <v>Normal</v>
      </c>
      <c r="J436">
        <f>VLOOKUP(C436,'RAW DATA 2023'!E:BO,21,0)</f>
        <v>16.422139999999999</v>
      </c>
      <c r="K436" s="268">
        <f t="shared" si="34"/>
        <v>157.65269999999998</v>
      </c>
    </row>
    <row r="437" spans="1:11">
      <c r="A437" t="str">
        <f>'RAW DATA 2023'!B430</f>
        <v>CS1</v>
      </c>
      <c r="B437" t="str">
        <f>'RAW DATA 2023'!D430</f>
        <v>C1-083-0019</v>
      </c>
      <c r="C437" t="str">
        <f t="shared" si="30"/>
        <v>CS1C1-083-0019</v>
      </c>
      <c r="D437">
        <f>VLOOKUP(C437,'RAW DATA 2023'!E:BP,63,0)</f>
        <v>2</v>
      </c>
      <c r="E437" t="str">
        <f t="shared" si="31"/>
        <v>CS12</v>
      </c>
      <c r="F437" s="8">
        <f>VLOOKUP(C437,'RAW DATA 2023'!E:BO,23,0)</f>
        <v>24.000036694606315</v>
      </c>
      <c r="G437" s="14">
        <f t="shared" si="32"/>
        <v>50.999963305393685</v>
      </c>
      <c r="H437" s="25">
        <f t="shared" si="33"/>
        <v>10.199992661078738</v>
      </c>
      <c r="I437" s="80" t="str">
        <f>VLOOKUP(C437,'RAW DATA 2023'!E:BO,36,0)</f>
        <v>Normal</v>
      </c>
      <c r="J437">
        <f>VLOOKUP(C437,'RAW DATA 2023'!E:BO,21,0)</f>
        <v>14.17102</v>
      </c>
      <c r="K437" s="268">
        <f t="shared" si="34"/>
        <v>144.54430000000002</v>
      </c>
    </row>
    <row r="438" spans="1:11">
      <c r="A438" t="str">
        <f>'RAW DATA 2023'!B431</f>
        <v>CS1</v>
      </c>
      <c r="B438" t="str">
        <f>'RAW DATA 2023'!D431</f>
        <v>C1-080-0018</v>
      </c>
      <c r="C438" t="str">
        <f t="shared" si="30"/>
        <v>CS1C1-080-0018</v>
      </c>
      <c r="D438">
        <f>VLOOKUP(C438,'RAW DATA 2023'!E:BP,63,0)</f>
        <v>5</v>
      </c>
      <c r="E438" t="str">
        <f t="shared" si="31"/>
        <v>CS15</v>
      </c>
      <c r="F438" s="8">
        <f>VLOOKUP(C438,'RAW DATA 2023'!E:BO,23,0)</f>
        <v>61.336933110875172</v>
      </c>
      <c r="G438" s="14">
        <f t="shared" si="32"/>
        <v>13.663066889124828</v>
      </c>
      <c r="H438" s="25">
        <f t="shared" si="33"/>
        <v>2.7326133778249657</v>
      </c>
      <c r="I438" s="80" t="str">
        <f>VLOOKUP(C438,'RAW DATA 2023'!E:BO,36,0)</f>
        <v>EHP</v>
      </c>
      <c r="J438">
        <f>VLOOKUP(C438,'RAW DATA 2023'!E:BO,21,0)</f>
        <v>8.2412500000000009</v>
      </c>
      <c r="K438" s="268">
        <f t="shared" si="34"/>
        <v>22.520150000000001</v>
      </c>
    </row>
    <row r="439" spans="1:11">
      <c r="A439" t="str">
        <f>'RAW DATA 2023'!B432</f>
        <v>CS1</v>
      </c>
      <c r="B439" t="str">
        <f>'RAW DATA 2023'!D432</f>
        <v>C1-062-0020</v>
      </c>
      <c r="C439" t="str">
        <f t="shared" si="30"/>
        <v>CS1C1-062-0020</v>
      </c>
      <c r="D439">
        <f>VLOOKUP(C439,'RAW DATA 2023'!E:BP,63,0)</f>
        <v>5</v>
      </c>
      <c r="E439" t="str">
        <f t="shared" si="31"/>
        <v>CS15</v>
      </c>
      <c r="F439" s="8">
        <f>VLOOKUP(C439,'RAW DATA 2023'!E:BO,23,0)</f>
        <v>70.000051516207861</v>
      </c>
      <c r="G439" s="14">
        <f t="shared" si="32"/>
        <v>4.9999484837921386</v>
      </c>
      <c r="H439" s="25">
        <f t="shared" si="33"/>
        <v>0.99998969675842775</v>
      </c>
      <c r="I439" s="80" t="str">
        <f>VLOOKUP(C439,'RAW DATA 2023'!E:BO,36,0)</f>
        <v>EHP</v>
      </c>
      <c r="J439">
        <f>VLOOKUP(C439,'RAW DATA 2023'!E:BO,21,0)</f>
        <v>11.64682</v>
      </c>
      <c r="K439" s="268">
        <f t="shared" si="34"/>
        <v>11.646699999999992</v>
      </c>
    </row>
    <row r="440" spans="1:11">
      <c r="A440" t="str">
        <f>'RAW DATA 2023'!B433</f>
        <v>CS1</v>
      </c>
      <c r="B440" t="str">
        <f>'RAW DATA 2023'!D433</f>
        <v>C1-084-0019</v>
      </c>
      <c r="C440" t="str">
        <f t="shared" si="30"/>
        <v>CS1C1-084-0019</v>
      </c>
      <c r="D440">
        <f>VLOOKUP(C440,'RAW DATA 2023'!E:BP,63,0)</f>
        <v>5</v>
      </c>
      <c r="E440" t="str">
        <f t="shared" si="31"/>
        <v>CS15</v>
      </c>
      <c r="F440" s="8">
        <f>VLOOKUP(C440,'RAW DATA 2023'!E:BO,23,0)</f>
        <v>66.999974372275389</v>
      </c>
      <c r="G440" s="14">
        <f t="shared" si="32"/>
        <v>8.0000256277246109</v>
      </c>
      <c r="H440" s="25">
        <f t="shared" si="33"/>
        <v>1.6000051255449224</v>
      </c>
      <c r="I440" s="80" t="str">
        <f>VLOOKUP(C440,'RAW DATA 2023'!E:BO,36,0)</f>
        <v>EHP</v>
      </c>
      <c r="J440">
        <f>VLOOKUP(C440,'RAW DATA 2023'!E:BO,21,0)</f>
        <v>11.31587</v>
      </c>
      <c r="K440" s="268">
        <f t="shared" si="34"/>
        <v>18.105450000000022</v>
      </c>
    </row>
    <row r="441" spans="1:11">
      <c r="A441" t="str">
        <f>'RAW DATA 2023'!B434</f>
        <v>CS1</v>
      </c>
      <c r="B441" t="str">
        <f>'RAW DATA 2023'!D434</f>
        <v>C1-062-0019</v>
      </c>
      <c r="C441" t="str">
        <f t="shared" si="30"/>
        <v>CS1C1-062-0019</v>
      </c>
      <c r="D441">
        <f>VLOOKUP(C441,'RAW DATA 2023'!E:BP,63,0)</f>
        <v>2</v>
      </c>
      <c r="E441" t="str">
        <f t="shared" si="31"/>
        <v>CS12</v>
      </c>
      <c r="F441" s="8">
        <f>VLOOKUP(C441,'RAW DATA 2023'!E:BO,23,0)</f>
        <v>54.999978911051038</v>
      </c>
      <c r="G441" s="14">
        <f t="shared" si="32"/>
        <v>20.000021088948962</v>
      </c>
      <c r="H441" s="25">
        <f t="shared" si="33"/>
        <v>4.000004217789793</v>
      </c>
      <c r="I441" s="80" t="str">
        <f>VLOOKUP(C441,'RAW DATA 2023'!E:BO,36,0)</f>
        <v>Slow Growth</v>
      </c>
      <c r="J441">
        <f>VLOOKUP(C441,'RAW DATA 2023'!E:BO,21,0)</f>
        <v>9.4836399999999994</v>
      </c>
      <c r="K441" s="268">
        <f t="shared" si="34"/>
        <v>37.934599999999989</v>
      </c>
    </row>
    <row r="442" spans="1:11">
      <c r="A442" t="str">
        <f>'RAW DATA 2023'!B435</f>
        <v>CS1</v>
      </c>
      <c r="B442" t="str">
        <f>'RAW DATA 2023'!D435</f>
        <v>C1-0B4-0017</v>
      </c>
      <c r="C442" t="str">
        <f t="shared" si="30"/>
        <v>CS1C1-0B4-0017</v>
      </c>
      <c r="D442">
        <f>VLOOKUP(C442,'RAW DATA 2023'!E:BP,63,0)</f>
        <v>3</v>
      </c>
      <c r="E442" t="str">
        <f t="shared" si="31"/>
        <v>CS13</v>
      </c>
      <c r="F442" s="8">
        <f>VLOOKUP(C442,'RAW DATA 2023'!E:BO,23,0)</f>
        <v>112.00000779600961</v>
      </c>
      <c r="G442" s="14">
        <f t="shared" si="32"/>
        <v>-37.000007796009612</v>
      </c>
      <c r="H442" s="25">
        <f t="shared" si="33"/>
        <v>-7.4000015592019226</v>
      </c>
      <c r="I442" s="80" t="str">
        <f>VLOOKUP(C442,'RAW DATA 2023'!E:BO,36,0)</f>
        <v>EHP</v>
      </c>
      <c r="J442">
        <f>VLOOKUP(C442,'RAW DATA 2023'!E:BO,21,0)</f>
        <v>5.1308299999999996</v>
      </c>
      <c r="K442" s="268">
        <f t="shared" si="34"/>
        <v>-37.968149999999994</v>
      </c>
    </row>
    <row r="443" spans="1:11">
      <c r="A443" t="str">
        <f>'RAW DATA 2023'!B436</f>
        <v>CS1</v>
      </c>
      <c r="B443" t="str">
        <f>'RAW DATA 2023'!D436</f>
        <v>C1-083-0020</v>
      </c>
      <c r="C443" t="str">
        <f t="shared" si="30"/>
        <v>CS1C1-083-0020</v>
      </c>
      <c r="D443">
        <f>VLOOKUP(C443,'RAW DATA 2023'!E:BP,63,0)</f>
        <v>5</v>
      </c>
      <c r="E443" t="str">
        <f t="shared" si="31"/>
        <v>CS15</v>
      </c>
      <c r="F443" s="8">
        <f>VLOOKUP(C443,'RAW DATA 2023'!E:BO,23,0)</f>
        <v>146.00001895501029</v>
      </c>
      <c r="G443" s="14">
        <f t="shared" si="32"/>
        <v>-71.00001895501029</v>
      </c>
      <c r="H443" s="25">
        <f t="shared" si="33"/>
        <v>-14.200003791002059</v>
      </c>
      <c r="I443" s="80" t="str">
        <f>VLOOKUP(C443,'RAW DATA 2023'!E:BO,36,0)</f>
        <v>EHP</v>
      </c>
      <c r="J443">
        <f>VLOOKUP(C443,'RAW DATA 2023'!E:BO,21,0)</f>
        <v>5.2756499999999997</v>
      </c>
      <c r="K443" s="268">
        <f t="shared" si="34"/>
        <v>-74.91425000000001</v>
      </c>
    </row>
    <row r="444" spans="1:11">
      <c r="A444" t="str">
        <f>'RAW DATA 2023'!B437</f>
        <v>CS1</v>
      </c>
      <c r="B444" t="str">
        <f>'RAW DATA 2023'!D437</f>
        <v>C1-063-0019</v>
      </c>
      <c r="C444" t="str">
        <f t="shared" si="30"/>
        <v>CS1C1-063-0019</v>
      </c>
      <c r="D444">
        <f>VLOOKUP(C444,'RAW DATA 2023'!E:BP,63,0)</f>
        <v>2</v>
      </c>
      <c r="E444" t="str">
        <f t="shared" si="31"/>
        <v>CS12</v>
      </c>
      <c r="F444" s="8">
        <f>VLOOKUP(C444,'RAW DATA 2023'!E:BO,23,0)</f>
        <v>79.000048302787064</v>
      </c>
      <c r="G444" s="14">
        <f t="shared" si="32"/>
        <v>-4.0000483027870644</v>
      </c>
      <c r="H444" s="25">
        <f t="shared" si="33"/>
        <v>-0.80000966055741296</v>
      </c>
      <c r="I444" s="80" t="str">
        <f>VLOOKUP(C444,'RAW DATA 2023'!E:BO,36,0)</f>
        <v>Slow Growth</v>
      </c>
      <c r="J444">
        <f>VLOOKUP(C444,'RAW DATA 2023'!E:BO,21,0)</f>
        <v>9.5232600000000005</v>
      </c>
      <c r="K444" s="268">
        <f t="shared" si="34"/>
        <v>-7.6186999999999889</v>
      </c>
    </row>
    <row r="445" spans="1:11">
      <c r="A445" t="str">
        <f>'RAW DATA 2023'!B438</f>
        <v>CS1</v>
      </c>
      <c r="B445" t="str">
        <f>'RAW DATA 2023'!D438</f>
        <v>C1-056-0019</v>
      </c>
      <c r="C445" t="str">
        <f t="shared" si="30"/>
        <v>CS1C1-056-0019</v>
      </c>
      <c r="D445">
        <f>VLOOKUP(C445,'RAW DATA 2023'!E:BP,63,0)</f>
        <v>5</v>
      </c>
      <c r="E445" t="str">
        <f t="shared" si="31"/>
        <v>CS15</v>
      </c>
      <c r="F445" s="8">
        <f>VLOOKUP(C445,'RAW DATA 2023'!E:BO,23,0)</f>
        <v>166.99993690801978</v>
      </c>
      <c r="G445" s="14">
        <f t="shared" si="32"/>
        <v>-91.999936908019777</v>
      </c>
      <c r="H445" s="25">
        <f t="shared" si="33"/>
        <v>-18.399987381603957</v>
      </c>
      <c r="I445" s="80" t="str">
        <f>VLOOKUP(C445,'RAW DATA 2023'!E:BO,36,0)</f>
        <v>EHP</v>
      </c>
      <c r="J445">
        <f>VLOOKUP(C445,'RAW DATA 2023'!E:BO,21,0)</f>
        <v>5.0719599999999998</v>
      </c>
      <c r="K445" s="268">
        <f t="shared" si="34"/>
        <v>-93.323999999999998</v>
      </c>
    </row>
    <row r="446" spans="1:11">
      <c r="A446" t="str">
        <f>'RAW DATA 2023'!B439</f>
        <v>CS1</v>
      </c>
      <c r="B446" t="str">
        <f>'RAW DATA 2023'!D439</f>
        <v>C1-063-0020</v>
      </c>
      <c r="C446" t="str">
        <f t="shared" si="30"/>
        <v>CS1C1-063-0020</v>
      </c>
      <c r="D446">
        <f>VLOOKUP(C446,'RAW DATA 2023'!E:BP,63,0)</f>
        <v>5</v>
      </c>
      <c r="E446" t="str">
        <f t="shared" si="31"/>
        <v>CS15</v>
      </c>
      <c r="F446" s="8">
        <f>VLOOKUP(C446,'RAW DATA 2023'!E:BO,23,0)</f>
        <v>207.99993974814726</v>
      </c>
      <c r="G446" s="14">
        <f t="shared" si="32"/>
        <v>-132.99993974814726</v>
      </c>
      <c r="H446" s="25">
        <f t="shared" si="33"/>
        <v>-26.599987949629451</v>
      </c>
      <c r="I446" s="80" t="str">
        <f>VLOOKUP(C446,'RAW DATA 2023'!E:BO,36,0)</f>
        <v>EHP</v>
      </c>
      <c r="J446">
        <f>VLOOKUP(C446,'RAW DATA 2023'!E:BO,21,0)</f>
        <v>2.6555200000000001</v>
      </c>
      <c r="K446" s="268">
        <f t="shared" si="34"/>
        <v>-70.636800000000008</v>
      </c>
    </row>
    <row r="447" spans="1:11">
      <c r="A447" t="str">
        <f>'RAW DATA 2023'!B440</f>
        <v>CS1</v>
      </c>
      <c r="B447" t="str">
        <f>'RAW DATA 2023'!D440</f>
        <v>C1-085-0020</v>
      </c>
      <c r="C447" t="str">
        <f t="shared" si="30"/>
        <v>CS1C1-085-0020</v>
      </c>
      <c r="D447">
        <f>VLOOKUP(C447,'RAW DATA 2023'!E:BP,63,0)</f>
        <v>9</v>
      </c>
      <c r="E447" t="str">
        <f t="shared" si="31"/>
        <v>CS19</v>
      </c>
      <c r="F447" s="8">
        <f>VLOOKUP(C447,'RAW DATA 2023'!E:BO,23,0)</f>
        <v>73.000014962348317</v>
      </c>
      <c r="G447" s="14">
        <f t="shared" si="32"/>
        <v>1.9999850376516832</v>
      </c>
      <c r="H447" s="25">
        <f t="shared" si="33"/>
        <v>0.39999700753033668</v>
      </c>
      <c r="I447" s="80" t="str">
        <f>VLOOKUP(C447,'RAW DATA 2023'!E:BO,36,0)</f>
        <v>EHP</v>
      </c>
      <c r="J447">
        <f>VLOOKUP(C447,'RAW DATA 2023'!E:BO,21,0)</f>
        <v>9.356819999999999</v>
      </c>
      <c r="K447" s="268">
        <f t="shared" si="34"/>
        <v>3.7427000000000046</v>
      </c>
    </row>
    <row r="448" spans="1:11">
      <c r="A448" t="str">
        <f>'RAW DATA 2023'!B441</f>
        <v>CS1</v>
      </c>
      <c r="B448" t="str">
        <f>'RAW DATA 2023'!D441</f>
        <v>C1-084-0020</v>
      </c>
      <c r="C448" t="str">
        <f t="shared" si="30"/>
        <v>CS1C1-084-0020</v>
      </c>
      <c r="D448">
        <f>VLOOKUP(C448,'RAW DATA 2023'!E:BP,63,0)</f>
        <v>8</v>
      </c>
      <c r="E448" t="str">
        <f t="shared" si="31"/>
        <v>CS18</v>
      </c>
      <c r="F448" s="8">
        <f>VLOOKUP(C448,'RAW DATA 2023'!E:BO,23,0)</f>
        <v>167.9999591571395</v>
      </c>
      <c r="G448" s="14">
        <f t="shared" si="32"/>
        <v>-92.9999591571395</v>
      </c>
      <c r="H448" s="25">
        <f t="shared" si="33"/>
        <v>-18.5999918314279</v>
      </c>
      <c r="I448" s="80" t="str">
        <f>VLOOKUP(C448,'RAW DATA 2023'!E:BO,36,0)</f>
        <v>EHP</v>
      </c>
      <c r="J448">
        <f>VLOOKUP(C448,'RAW DATA 2023'!E:BO,21,0)</f>
        <v>5.8761800000000006</v>
      </c>
      <c r="K448" s="268">
        <f t="shared" si="34"/>
        <v>-109.29690000000001</v>
      </c>
    </row>
    <row r="449" spans="1:11">
      <c r="A449" t="str">
        <f>'RAW DATA 2023'!B442</f>
        <v>Roiphet3</v>
      </c>
      <c r="B449" t="str">
        <f>'RAW DATA 2023'!D442</f>
        <v>A1-008-0023</v>
      </c>
      <c r="C449" t="str">
        <f t="shared" si="30"/>
        <v>Roiphet3A1-008-0023</v>
      </c>
      <c r="D449">
        <f>VLOOKUP(C449,'RAW DATA 2023'!E:BP,63,0)</f>
        <v>9</v>
      </c>
      <c r="E449" t="str">
        <f t="shared" si="31"/>
        <v>Roiphet39</v>
      </c>
      <c r="F449" s="8">
        <f>VLOOKUP(C449,'RAW DATA 2023'!E:BO,23,0)</f>
        <v>34.000262850224715</v>
      </c>
      <c r="G449" s="14">
        <f t="shared" si="32"/>
        <v>40.999737149775285</v>
      </c>
      <c r="H449" s="25">
        <f t="shared" si="33"/>
        <v>8.1999474299550581</v>
      </c>
      <c r="I449" s="80" t="str">
        <f>VLOOKUP(C449,'RAW DATA 2023'!E:BO,36,0)</f>
        <v>EHP</v>
      </c>
      <c r="J449">
        <f>VLOOKUP(C449,'RAW DATA 2023'!E:BO,21,0)</f>
        <v>20.467929999999999</v>
      </c>
      <c r="K449" s="268">
        <f t="shared" si="34"/>
        <v>167.83595000000003</v>
      </c>
    </row>
    <row r="450" spans="1:11">
      <c r="A450" t="str">
        <f>'RAW DATA 2023'!B443</f>
        <v>Roiphet3</v>
      </c>
      <c r="B450" t="str">
        <f>'RAW DATA 2023'!D443</f>
        <v>A1-016-0031</v>
      </c>
      <c r="C450" t="str">
        <f t="shared" si="30"/>
        <v>Roiphet3A1-016-0031</v>
      </c>
      <c r="D450">
        <f>VLOOKUP(C450,'RAW DATA 2023'!E:BP,63,0)</f>
        <v>10</v>
      </c>
      <c r="E450" t="str">
        <f t="shared" si="31"/>
        <v>Roiphet310</v>
      </c>
      <c r="F450" s="8">
        <f>VLOOKUP(C450,'RAW DATA 2023'!E:BO,23,0)</f>
        <v>96.000155413832942</v>
      </c>
      <c r="G450" s="14">
        <f t="shared" si="32"/>
        <v>-21.000155413832942</v>
      </c>
      <c r="H450" s="25">
        <f t="shared" si="33"/>
        <v>-4.2000310827665883</v>
      </c>
      <c r="I450" s="80" t="str">
        <f>VLOOKUP(C450,'RAW DATA 2023'!E:BO,36,0)</f>
        <v>EHP</v>
      </c>
      <c r="J450">
        <f>VLOOKUP(C450,'RAW DATA 2023'!E:BO,21,0)</f>
        <v>12.61149</v>
      </c>
      <c r="K450" s="268">
        <f t="shared" si="34"/>
        <v>-52.968650000000004</v>
      </c>
    </row>
    <row r="451" spans="1:11">
      <c r="A451" t="str">
        <f>'RAW DATA 2023'!B444</f>
        <v>Roiphet3</v>
      </c>
      <c r="B451" t="str">
        <f>'RAW DATA 2023'!D444</f>
        <v>A1-016-0029</v>
      </c>
      <c r="C451" t="str">
        <f t="shared" si="30"/>
        <v>Roiphet3A1-016-0029</v>
      </c>
      <c r="D451">
        <f>VLOOKUP(C451,'RAW DATA 2023'!E:BP,63,0)</f>
        <v>3</v>
      </c>
      <c r="E451" t="str">
        <f t="shared" si="31"/>
        <v>Roiphet33</v>
      </c>
      <c r="F451" s="8">
        <f>VLOOKUP(C451,'RAW DATA 2023'!E:BO,23,0)</f>
        <v>29.162093916285254</v>
      </c>
      <c r="G451" s="14">
        <f t="shared" si="32"/>
        <v>45.837906083714742</v>
      </c>
      <c r="H451" s="25">
        <f t="shared" si="33"/>
        <v>9.1675812167429491</v>
      </c>
      <c r="I451" s="80" t="str">
        <f>VLOOKUP(C451,'RAW DATA 2023'!E:BO,36,0)</f>
        <v>Normal</v>
      </c>
      <c r="J451">
        <f>VLOOKUP(C451,'RAW DATA 2023'!E:BO,21,0)</f>
        <v>27.682099999999998</v>
      </c>
      <c r="K451" s="268">
        <f t="shared" si="34"/>
        <v>253.77789999999999</v>
      </c>
    </row>
    <row r="452" spans="1:11">
      <c r="A452" t="str">
        <f>'RAW DATA 2023'!B445</f>
        <v>Roiphet3</v>
      </c>
      <c r="B452" t="str">
        <f>'RAW DATA 2023'!D445</f>
        <v>A1-008-0022</v>
      </c>
      <c r="C452" t="str">
        <f t="shared" si="30"/>
        <v>Roiphet3A1-008-0022</v>
      </c>
      <c r="D452">
        <f>VLOOKUP(C452,'RAW DATA 2023'!E:BP,63,0)</f>
        <v>3</v>
      </c>
      <c r="E452" t="str">
        <f t="shared" si="31"/>
        <v>Roiphet33</v>
      </c>
      <c r="F452" s="8">
        <f>VLOOKUP(C452,'RAW DATA 2023'!E:BO,23,0)</f>
        <v>28.256708018928251</v>
      </c>
      <c r="G452" s="14">
        <f t="shared" si="32"/>
        <v>46.743291981071749</v>
      </c>
      <c r="H452" s="25">
        <f t="shared" si="33"/>
        <v>9.3486583962143506</v>
      </c>
      <c r="I452" s="80" t="str">
        <f>VLOOKUP(C452,'RAW DATA 2023'!E:BO,36,0)</f>
        <v>Normal</v>
      </c>
      <c r="J452">
        <f>VLOOKUP(C452,'RAW DATA 2023'!E:BO,21,0)</f>
        <v>29.321249999999999</v>
      </c>
      <c r="K452" s="268">
        <f t="shared" si="34"/>
        <v>274.11435</v>
      </c>
    </row>
    <row r="453" spans="1:11">
      <c r="A453" t="str">
        <f>'RAW DATA 2023'!B446</f>
        <v>Roiphet3</v>
      </c>
      <c r="B453" t="str">
        <f>'RAW DATA 2023'!D446</f>
        <v>A1-006-0011</v>
      </c>
      <c r="C453" t="str">
        <f t="shared" si="30"/>
        <v>Roiphet3A1-006-0011</v>
      </c>
      <c r="D453">
        <f>VLOOKUP(C453,'RAW DATA 2023'!E:BP,63,0)</f>
        <v>3</v>
      </c>
      <c r="E453" t="str">
        <f t="shared" si="31"/>
        <v>Roiphet33</v>
      </c>
      <c r="F453" s="8">
        <f>VLOOKUP(C453,'RAW DATA 2023'!E:BO,23,0)</f>
        <v>39.035662095368352</v>
      </c>
      <c r="G453" s="14">
        <f t="shared" si="32"/>
        <v>35.964337904631648</v>
      </c>
      <c r="H453" s="25">
        <f t="shared" si="33"/>
        <v>7.1928675809263298</v>
      </c>
      <c r="I453" s="80" t="str">
        <f>VLOOKUP(C453,'RAW DATA 2023'!E:BO,36,0)</f>
        <v>EHP</v>
      </c>
      <c r="J453">
        <f>VLOOKUP(C453,'RAW DATA 2023'!E:BO,21,0)</f>
        <v>31.498709999999999</v>
      </c>
      <c r="K453" s="268">
        <f t="shared" si="34"/>
        <v>226.56604999999999</v>
      </c>
    </row>
    <row r="454" spans="1:11">
      <c r="A454" t="str">
        <f>'RAW DATA 2023'!B447</f>
        <v>Roiphet3</v>
      </c>
      <c r="B454" t="str">
        <f>'RAW DATA 2023'!D447</f>
        <v>A1-027-0027</v>
      </c>
      <c r="C454" t="str">
        <f t="shared" si="30"/>
        <v>Roiphet3A1-027-0027</v>
      </c>
      <c r="D454">
        <f>VLOOKUP(C454,'RAW DATA 2023'!E:BP,63,0)</f>
        <v>5</v>
      </c>
      <c r="E454" t="str">
        <f t="shared" si="31"/>
        <v>Roiphet35</v>
      </c>
      <c r="F454" s="8">
        <f>VLOOKUP(C454,'RAW DATA 2023'!E:BO,23,0)</f>
        <v>64.999959631136235</v>
      </c>
      <c r="G454" s="14">
        <f t="shared" si="32"/>
        <v>10.000040368863765</v>
      </c>
      <c r="H454" s="25">
        <f t="shared" si="33"/>
        <v>2.000008073772753</v>
      </c>
      <c r="I454" s="80" t="str">
        <f>VLOOKUP(C454,'RAW DATA 2023'!E:BO,36,0)</f>
        <v>EHP</v>
      </c>
      <c r="J454">
        <f>VLOOKUP(C454,'RAW DATA 2023'!E:BO,21,0)</f>
        <v>29.72588</v>
      </c>
      <c r="K454" s="268">
        <f t="shared" si="34"/>
        <v>59.452000000000005</v>
      </c>
    </row>
    <row r="455" spans="1:11">
      <c r="A455" t="str">
        <f>'RAW DATA 2023'!B448</f>
        <v>Roiphet3</v>
      </c>
      <c r="B455" t="str">
        <f>'RAW DATA 2023'!D448</f>
        <v>A1-006-0012</v>
      </c>
      <c r="C455" t="str">
        <f t="shared" si="30"/>
        <v>Roiphet3A1-006-0012</v>
      </c>
      <c r="D455">
        <f>VLOOKUP(C455,'RAW DATA 2023'!E:BP,63,0)</f>
        <v>8</v>
      </c>
      <c r="E455" t="str">
        <f t="shared" si="31"/>
        <v>Roiphet38</v>
      </c>
      <c r="F455" s="8">
        <f>VLOOKUP(C455,'RAW DATA 2023'!E:BO,23,0)</f>
        <v>93.00147383879991</v>
      </c>
      <c r="G455" s="14">
        <f t="shared" si="32"/>
        <v>-18.00147383879991</v>
      </c>
      <c r="H455" s="25">
        <f t="shared" si="33"/>
        <v>-3.6002947677599821</v>
      </c>
      <c r="I455" s="80" t="str">
        <f>VLOOKUP(C455,'RAW DATA 2023'!E:BO,36,0)</f>
        <v>EHP</v>
      </c>
      <c r="J455">
        <f>VLOOKUP(C455,'RAW DATA 2023'!E:BO,21,0)</f>
        <v>13.359669999999999</v>
      </c>
      <c r="K455" s="268">
        <f t="shared" si="34"/>
        <v>-48.098749999999995</v>
      </c>
    </row>
    <row r="456" spans="1:11">
      <c r="A456" t="str">
        <f>'RAW DATA 2023'!B449</f>
        <v>Roiphet3</v>
      </c>
      <c r="B456" t="str">
        <f>'RAW DATA 2023'!D449</f>
        <v>A1-026-0022</v>
      </c>
      <c r="C456" t="str">
        <f t="shared" si="30"/>
        <v>Roiphet3A1-026-0022</v>
      </c>
      <c r="D456">
        <f>VLOOKUP(C456,'RAW DATA 2023'!E:BP,63,0)</f>
        <v>5</v>
      </c>
      <c r="E456" t="str">
        <f t="shared" si="31"/>
        <v>Roiphet35</v>
      </c>
      <c r="F456" s="8">
        <f>VLOOKUP(C456,'RAW DATA 2023'!E:BO,23,0)</f>
        <v>100</v>
      </c>
      <c r="G456" s="14">
        <f t="shared" si="32"/>
        <v>-25</v>
      </c>
      <c r="H456" s="25">
        <f t="shared" si="33"/>
        <v>-5</v>
      </c>
      <c r="I456" s="80" t="str">
        <f>VLOOKUP(C456,'RAW DATA 2023'!E:BO,36,0)</f>
        <v>EHP</v>
      </c>
      <c r="J456">
        <f>VLOOKUP(C456,'RAW DATA 2023'!E:BO,21,0)</f>
        <v>27.213570000000001</v>
      </c>
      <c r="K456" s="268">
        <f t="shared" si="34"/>
        <v>-136.06784999999999</v>
      </c>
    </row>
    <row r="457" spans="1:11">
      <c r="A457" t="str">
        <f>'RAW DATA 2023'!B450</f>
        <v>Roiphet3</v>
      </c>
      <c r="B457" t="str">
        <f>'RAW DATA 2023'!D450</f>
        <v>A1-024-0032</v>
      </c>
      <c r="C457" t="str">
        <f t="shared" si="30"/>
        <v>Roiphet3A1-024-0032</v>
      </c>
      <c r="D457">
        <f>VLOOKUP(C457,'RAW DATA 2023'!E:BP,63,0)</f>
        <v>5</v>
      </c>
      <c r="E457" t="str">
        <f t="shared" si="31"/>
        <v>Roiphet35</v>
      </c>
      <c r="F457" s="8">
        <f>VLOOKUP(C457,'RAW DATA 2023'!E:BO,23,0)</f>
        <v>86.000015600922723</v>
      </c>
      <c r="G457" s="14">
        <f t="shared" si="32"/>
        <v>-11.000015600922723</v>
      </c>
      <c r="H457" s="25">
        <f t="shared" si="33"/>
        <v>-2.2000031201845447</v>
      </c>
      <c r="I457" s="80" t="str">
        <f>VLOOKUP(C457,'RAW DATA 2023'!E:BO,36,0)</f>
        <v>EHP</v>
      </c>
      <c r="J457">
        <f>VLOOKUP(C457,'RAW DATA 2023'!E:BO,21,0)</f>
        <v>14.10173</v>
      </c>
      <c r="K457" s="268">
        <f t="shared" si="34"/>
        <v>-31.023849999999999</v>
      </c>
    </row>
    <row r="458" spans="1:11">
      <c r="A458" t="str">
        <f>'RAW DATA 2023'!B451</f>
        <v>Roiphet3</v>
      </c>
      <c r="B458" t="str">
        <f>'RAW DATA 2023'!D451</f>
        <v>A1-007-0012</v>
      </c>
      <c r="C458" t="str">
        <f t="shared" ref="C458:C521" si="35">A458&amp;B458</f>
        <v>Roiphet3A1-007-0012</v>
      </c>
      <c r="D458">
        <f>VLOOKUP(C458,'RAW DATA 2023'!E:BP,63,0)</f>
        <v>2</v>
      </c>
      <c r="E458" t="str">
        <f t="shared" ref="E458:E521" si="36">A458&amp;D458</f>
        <v>Roiphet32</v>
      </c>
      <c r="F458" s="8">
        <f>VLOOKUP(C458,'RAW DATA 2023'!E:BO,23,0)</f>
        <v>75.000051697326626</v>
      </c>
      <c r="G458" s="14">
        <f t="shared" si="32"/>
        <v>-5.1697326625799178E-5</v>
      </c>
      <c r="H458" s="25">
        <f t="shared" si="33"/>
        <v>-1.0339465325159837E-5</v>
      </c>
      <c r="I458" s="80" t="str">
        <f>VLOOKUP(C458,'RAW DATA 2023'!E:BO,36,0)</f>
        <v>EHP</v>
      </c>
      <c r="J458">
        <f>VLOOKUP(C458,'RAW DATA 2023'!E:BO,21,0)</f>
        <v>19.343360000000001</v>
      </c>
      <c r="K458" s="268">
        <f t="shared" si="34"/>
        <v>-1.9999999999208379E-4</v>
      </c>
    </row>
    <row r="459" spans="1:11">
      <c r="A459" t="str">
        <f>'RAW DATA 2023'!B452</f>
        <v>Roiphet3</v>
      </c>
      <c r="B459" t="str">
        <f>'RAW DATA 2023'!D452</f>
        <v>A1-023-0016</v>
      </c>
      <c r="C459" t="str">
        <f t="shared" si="35"/>
        <v>Roiphet3A1-023-0016</v>
      </c>
      <c r="D459">
        <f>VLOOKUP(C459,'RAW DATA 2023'!E:BP,63,0)</f>
        <v>4</v>
      </c>
      <c r="E459" t="str">
        <f t="shared" si="36"/>
        <v>Roiphet34</v>
      </c>
      <c r="F459" s="8">
        <f>VLOOKUP(C459,'RAW DATA 2023'!E:BO,23,0)</f>
        <v>89.999982435052132</v>
      </c>
      <c r="G459" s="14">
        <f t="shared" ref="G459:G522" si="37">IF(F459=0,0,$B$2-F459)</f>
        <v>-14.999982435052132</v>
      </c>
      <c r="H459" s="25">
        <f t="shared" ref="H459:H522" si="38">G459*$B$6</f>
        <v>-2.9999964870104265</v>
      </c>
      <c r="I459" s="80" t="str">
        <f>VLOOKUP(C459,'RAW DATA 2023'!E:BO,36,0)</f>
        <v>EHP</v>
      </c>
      <c r="J459">
        <f>VLOOKUP(C459,'RAW DATA 2023'!E:BO,21,0)</f>
        <v>17.079470000000001</v>
      </c>
      <c r="K459" s="268">
        <f t="shared" ref="K459:K522" si="39">H459*J459</f>
        <v>-51.238349999999969</v>
      </c>
    </row>
    <row r="460" spans="1:11">
      <c r="A460" t="str">
        <f>'RAW DATA 2023'!B453</f>
        <v>Roiphet3</v>
      </c>
      <c r="B460" t="str">
        <f>'RAW DATA 2023'!D453</f>
        <v>C1-046-0004</v>
      </c>
      <c r="C460" t="str">
        <f t="shared" si="35"/>
        <v>Roiphet3C1-046-0004</v>
      </c>
      <c r="D460">
        <f>VLOOKUP(C460,'RAW DATA 2023'!E:BP,63,0)</f>
        <v>4</v>
      </c>
      <c r="E460" t="str">
        <f t="shared" si="36"/>
        <v>Roiphet34</v>
      </c>
      <c r="F460" s="8">
        <f>VLOOKUP(C460,'RAW DATA 2023'!E:BO,23,0)</f>
        <v>31.740340316212084</v>
      </c>
      <c r="G460" s="14">
        <f t="shared" si="37"/>
        <v>43.259659683787916</v>
      </c>
      <c r="H460" s="25">
        <f t="shared" si="38"/>
        <v>8.6519319367575829</v>
      </c>
      <c r="I460" s="80" t="str">
        <f>VLOOKUP(C460,'RAW DATA 2023'!E:BO,36,0)</f>
        <v>Normal</v>
      </c>
      <c r="J460">
        <f>VLOOKUP(C460,'RAW DATA 2023'!E:BO,21,0)</f>
        <v>22.319830000000003</v>
      </c>
      <c r="K460" s="268">
        <f t="shared" si="39"/>
        <v>193.10965000000002</v>
      </c>
    </row>
    <row r="461" spans="1:11">
      <c r="A461" t="str">
        <f>'RAW DATA 2023'!B454</f>
        <v>Roiphet3</v>
      </c>
      <c r="B461" t="str">
        <f>'RAW DATA 2023'!D454</f>
        <v>C1-054-0007</v>
      </c>
      <c r="C461" t="str">
        <f t="shared" si="35"/>
        <v>Roiphet3C1-054-0007</v>
      </c>
      <c r="D461">
        <f>VLOOKUP(C461,'RAW DATA 2023'!E:BP,63,0)</f>
        <v>4</v>
      </c>
      <c r="E461" t="str">
        <f t="shared" si="36"/>
        <v>Roiphet34</v>
      </c>
      <c r="F461" s="8">
        <f>VLOOKUP(C461,'RAW DATA 2023'!E:BO,23,0)</f>
        <v>38.145178911222203</v>
      </c>
      <c r="G461" s="14">
        <f t="shared" si="37"/>
        <v>36.854821088777797</v>
      </c>
      <c r="H461" s="25">
        <f t="shared" si="38"/>
        <v>7.3709642177555601</v>
      </c>
      <c r="I461" s="80" t="str">
        <f>VLOOKUP(C461,'RAW DATA 2023'!E:BO,36,0)</f>
        <v>Normal</v>
      </c>
      <c r="J461">
        <f>VLOOKUP(C461,'RAW DATA 2023'!E:BO,21,0)</f>
        <v>25.766689999999997</v>
      </c>
      <c r="K461" s="268">
        <f t="shared" si="39"/>
        <v>189.92534999999998</v>
      </c>
    </row>
    <row r="462" spans="1:11">
      <c r="A462" t="str">
        <f>'RAW DATA 2023'!B455</f>
        <v>Roiphet3</v>
      </c>
      <c r="B462" t="str">
        <f>'RAW DATA 2023'!D455</f>
        <v>C1-047-0011</v>
      </c>
      <c r="C462" t="str">
        <f t="shared" si="35"/>
        <v>Roiphet3C1-047-0011</v>
      </c>
      <c r="D462">
        <f>VLOOKUP(C462,'RAW DATA 2023'!E:BP,63,0)</f>
        <v>4</v>
      </c>
      <c r="E462" t="str">
        <f t="shared" si="36"/>
        <v>Roiphet34</v>
      </c>
      <c r="F462" s="8">
        <f>VLOOKUP(C462,'RAW DATA 2023'!E:BO,23,0)</f>
        <v>35.295954818549596</v>
      </c>
      <c r="G462" s="14">
        <f t="shared" si="37"/>
        <v>39.704045181450404</v>
      </c>
      <c r="H462" s="25">
        <f t="shared" si="38"/>
        <v>7.9408090362900809</v>
      </c>
      <c r="I462" s="80" t="str">
        <f>VLOOKUP(C462,'RAW DATA 2023'!E:BO,36,0)</f>
        <v>Normal</v>
      </c>
      <c r="J462">
        <f>VLOOKUP(C462,'RAW DATA 2023'!E:BO,21,0)</f>
        <v>18.506709999999998</v>
      </c>
      <c r="K462" s="268">
        <f t="shared" si="39"/>
        <v>146.95824999999999</v>
      </c>
    </row>
    <row r="463" spans="1:11">
      <c r="A463" t="str">
        <f>'RAW DATA 2023'!B456</f>
        <v>Roiphet3</v>
      </c>
      <c r="B463" t="str">
        <f>'RAW DATA 2023'!D456</f>
        <v>C1-048-0021</v>
      </c>
      <c r="C463" t="str">
        <f t="shared" si="35"/>
        <v>Roiphet3C1-048-0021</v>
      </c>
      <c r="D463">
        <f>VLOOKUP(C463,'RAW DATA 2023'!E:BP,63,0)</f>
        <v>4</v>
      </c>
      <c r="E463" t="str">
        <f t="shared" si="36"/>
        <v>Roiphet34</v>
      </c>
      <c r="F463" s="8">
        <f>VLOOKUP(C463,'RAW DATA 2023'!E:BO,23,0)</f>
        <v>45.205047069685229</v>
      </c>
      <c r="G463" s="14">
        <f t="shared" si="37"/>
        <v>29.794952930314771</v>
      </c>
      <c r="H463" s="25">
        <f t="shared" si="38"/>
        <v>5.9589905860629546</v>
      </c>
      <c r="I463" s="80" t="str">
        <f>VLOOKUP(C463,'RAW DATA 2023'!E:BO,36,0)</f>
        <v>Normal</v>
      </c>
      <c r="J463">
        <f>VLOOKUP(C463,'RAW DATA 2023'!E:BO,21,0)</f>
        <v>27.879939999999998</v>
      </c>
      <c r="K463" s="268">
        <f t="shared" si="39"/>
        <v>166.13630000000001</v>
      </c>
    </row>
    <row r="464" spans="1:11">
      <c r="A464" t="str">
        <f>'RAW DATA 2023'!B457</f>
        <v>Roiphet3</v>
      </c>
      <c r="B464" t="str">
        <f>'RAW DATA 2023'!D457</f>
        <v>C1-057-0017</v>
      </c>
      <c r="C464" t="str">
        <f t="shared" si="35"/>
        <v>Roiphet3C1-057-0017</v>
      </c>
      <c r="D464">
        <f>VLOOKUP(C464,'RAW DATA 2023'!E:BP,63,0)</f>
        <v>4</v>
      </c>
      <c r="E464" t="str">
        <f t="shared" si="36"/>
        <v>Roiphet34</v>
      </c>
      <c r="F464" s="8">
        <f>VLOOKUP(C464,'RAW DATA 2023'!E:BO,23,0)</f>
        <v>41.10678721008825</v>
      </c>
      <c r="G464" s="14">
        <f t="shared" si="37"/>
        <v>33.89321278991175</v>
      </c>
      <c r="H464" s="25">
        <f t="shared" si="38"/>
        <v>6.7786425579823506</v>
      </c>
      <c r="I464" s="80" t="str">
        <f>VLOOKUP(C464,'RAW DATA 2023'!E:BO,36,0)</f>
        <v>Normal</v>
      </c>
      <c r="J464">
        <f>VLOOKUP(C464,'RAW DATA 2023'!E:BO,21,0)</f>
        <v>20.624380000000002</v>
      </c>
      <c r="K464" s="268">
        <f t="shared" si="39"/>
        <v>139.80530000000005</v>
      </c>
    </row>
    <row r="465" spans="1:11">
      <c r="A465" t="str">
        <f>'RAW DATA 2023'!B458</f>
        <v>Roiphet3</v>
      </c>
      <c r="B465" t="str">
        <f>'RAW DATA 2023'!D458</f>
        <v>C1-045-0025</v>
      </c>
      <c r="C465" t="str">
        <f t="shared" si="35"/>
        <v>Roiphet3C1-045-0025</v>
      </c>
      <c r="D465">
        <f>VLOOKUP(C465,'RAW DATA 2023'!E:BP,63,0)</f>
        <v>4</v>
      </c>
      <c r="E465" t="str">
        <f t="shared" si="36"/>
        <v>Roiphet34</v>
      </c>
      <c r="F465" s="8">
        <f>VLOOKUP(C465,'RAW DATA 2023'!E:BO,23,0)</f>
        <v>34.721636299852122</v>
      </c>
      <c r="G465" s="14">
        <f t="shared" si="37"/>
        <v>40.278363700147878</v>
      </c>
      <c r="H465" s="25">
        <f t="shared" si="38"/>
        <v>8.0556727400295767</v>
      </c>
      <c r="I465" s="80" t="str">
        <f>VLOOKUP(C465,'RAW DATA 2023'!E:BO,36,0)</f>
        <v>Normal</v>
      </c>
      <c r="J465">
        <f>VLOOKUP(C465,'RAW DATA 2023'!E:BO,21,0)</f>
        <v>15.76337</v>
      </c>
      <c r="K465" s="268">
        <f t="shared" si="39"/>
        <v>126.98455000000003</v>
      </c>
    </row>
    <row r="466" spans="1:11">
      <c r="A466" t="str">
        <f>'RAW DATA 2023'!B459</f>
        <v>Roiphet3</v>
      </c>
      <c r="B466" t="str">
        <f>'RAW DATA 2023'!D459</f>
        <v>C1-051-0025</v>
      </c>
      <c r="C466" t="str">
        <f t="shared" si="35"/>
        <v>Roiphet3C1-051-0025</v>
      </c>
      <c r="D466">
        <f>VLOOKUP(C466,'RAW DATA 2023'!E:BP,63,0)</f>
        <v>4</v>
      </c>
      <c r="E466" t="str">
        <f t="shared" si="36"/>
        <v>Roiphet34</v>
      </c>
      <c r="F466" s="8">
        <f>VLOOKUP(C466,'RAW DATA 2023'!E:BO,23,0)</f>
        <v>40.168101514207351</v>
      </c>
      <c r="G466" s="14">
        <f t="shared" si="37"/>
        <v>34.831898485792649</v>
      </c>
      <c r="H466" s="25">
        <f t="shared" si="38"/>
        <v>6.9663796971585299</v>
      </c>
      <c r="I466" s="80" t="str">
        <f>VLOOKUP(C466,'RAW DATA 2023'!E:BO,36,0)</f>
        <v>Normal</v>
      </c>
      <c r="J466">
        <f>VLOOKUP(C466,'RAW DATA 2023'!E:BO,21,0)</f>
        <v>34.16507</v>
      </c>
      <c r="K466" s="268">
        <f t="shared" si="39"/>
        <v>238.00684999999999</v>
      </c>
    </row>
    <row r="467" spans="1:11">
      <c r="A467" t="str">
        <f>'RAW DATA 2023'!B460</f>
        <v>Roiphet3</v>
      </c>
      <c r="B467" t="str">
        <f>'RAW DATA 2023'!D460</f>
        <v>C1-043-0025</v>
      </c>
      <c r="C467" t="str">
        <f t="shared" si="35"/>
        <v>Roiphet3C1-043-0025</v>
      </c>
      <c r="D467">
        <f>VLOOKUP(C467,'RAW DATA 2023'!E:BP,63,0)</f>
        <v>4</v>
      </c>
      <c r="E467" t="str">
        <f t="shared" si="36"/>
        <v>Roiphet34</v>
      </c>
      <c r="F467" s="8">
        <f>VLOOKUP(C467,'RAW DATA 2023'!E:BO,23,0)</f>
        <v>33.882761829498108</v>
      </c>
      <c r="G467" s="14">
        <f t="shared" si="37"/>
        <v>41.117238170501892</v>
      </c>
      <c r="H467" s="25">
        <f t="shared" si="38"/>
        <v>8.2234476341003795</v>
      </c>
      <c r="I467" s="80" t="str">
        <f>VLOOKUP(C467,'RAW DATA 2023'!E:BO,36,0)</f>
        <v>Normal</v>
      </c>
      <c r="J467">
        <f>VLOOKUP(C467,'RAW DATA 2023'!E:BO,21,0)</f>
        <v>17.108080000000001</v>
      </c>
      <c r="K467" s="268">
        <f t="shared" si="39"/>
        <v>140.68740000000003</v>
      </c>
    </row>
    <row r="468" spans="1:11">
      <c r="A468" t="str">
        <f>'RAW DATA 2023'!B461</f>
        <v>Roiphet3</v>
      </c>
      <c r="B468" t="str">
        <f>'RAW DATA 2023'!D461</f>
        <v>C1-044-0017</v>
      </c>
      <c r="C468" t="str">
        <f t="shared" si="35"/>
        <v>Roiphet3C1-044-0017</v>
      </c>
      <c r="D468">
        <f>VLOOKUP(C468,'RAW DATA 2023'!E:BP,63,0)</f>
        <v>3</v>
      </c>
      <c r="E468" t="str">
        <f t="shared" si="36"/>
        <v>Roiphet33</v>
      </c>
      <c r="F468" s="8">
        <f>VLOOKUP(C468,'RAW DATA 2023'!E:BO,23,0)</f>
        <v>33.469423287278914</v>
      </c>
      <c r="G468" s="14">
        <f t="shared" si="37"/>
        <v>41.530576712721086</v>
      </c>
      <c r="H468" s="25">
        <f t="shared" si="38"/>
        <v>8.3061153425442171</v>
      </c>
      <c r="I468" s="80" t="str">
        <f>VLOOKUP(C468,'RAW DATA 2023'!E:BO,36,0)</f>
        <v>Normal</v>
      </c>
      <c r="J468">
        <f>VLOOKUP(C468,'RAW DATA 2023'!E:BO,21,0)</f>
        <v>15.852259999999999</v>
      </c>
      <c r="K468" s="268">
        <f t="shared" si="39"/>
        <v>131.67069999999998</v>
      </c>
    </row>
    <row r="469" spans="1:11">
      <c r="A469" t="str">
        <f>'RAW DATA 2023'!B462</f>
        <v>Roiphet3</v>
      </c>
      <c r="B469" t="str">
        <f>'RAW DATA 2023'!D462</f>
        <v>C1-042-0015</v>
      </c>
      <c r="C469" t="str">
        <f t="shared" si="35"/>
        <v>Roiphet3C1-042-0015</v>
      </c>
      <c r="D469">
        <f>VLOOKUP(C469,'RAW DATA 2023'!E:BP,63,0)</f>
        <v>4</v>
      </c>
      <c r="E469" t="str">
        <f t="shared" si="36"/>
        <v>Roiphet34</v>
      </c>
      <c r="F469" s="8">
        <f>VLOOKUP(C469,'RAW DATA 2023'!E:BO,23,0)</f>
        <v>34.694329680437647</v>
      </c>
      <c r="G469" s="14">
        <f t="shared" si="37"/>
        <v>40.305670319562353</v>
      </c>
      <c r="H469" s="25">
        <f t="shared" si="38"/>
        <v>8.0611340639124709</v>
      </c>
      <c r="I469" s="80" t="str">
        <f>VLOOKUP(C469,'RAW DATA 2023'!E:BO,36,0)</f>
        <v>Normal</v>
      </c>
      <c r="J469">
        <f>VLOOKUP(C469,'RAW DATA 2023'!E:BO,21,0)</f>
        <v>14.26357</v>
      </c>
      <c r="K469" s="268">
        <f t="shared" si="39"/>
        <v>114.98054999999999</v>
      </c>
    </row>
    <row r="470" spans="1:11">
      <c r="A470" t="str">
        <f>'RAW DATA 2023'!B463</f>
        <v>Roiphet3</v>
      </c>
      <c r="B470" t="str">
        <f>'RAW DATA 2023'!D463</f>
        <v>C1-041-0005</v>
      </c>
      <c r="C470" t="str">
        <f t="shared" si="35"/>
        <v>Roiphet3C1-041-0005</v>
      </c>
      <c r="D470">
        <f>VLOOKUP(C470,'RAW DATA 2023'!E:BP,63,0)</f>
        <v>3</v>
      </c>
      <c r="E470" t="str">
        <f t="shared" si="36"/>
        <v>Roiphet33</v>
      </c>
      <c r="F470" s="8">
        <f>VLOOKUP(C470,'RAW DATA 2023'!E:BO,23,0)</f>
        <v>35.030697325562599</v>
      </c>
      <c r="G470" s="14">
        <f t="shared" si="37"/>
        <v>39.969302674437401</v>
      </c>
      <c r="H470" s="25">
        <f t="shared" si="38"/>
        <v>7.9938605348874807</v>
      </c>
      <c r="I470" s="80" t="str">
        <f>VLOOKUP(C470,'RAW DATA 2023'!E:BO,36,0)</f>
        <v>Normal</v>
      </c>
      <c r="J470">
        <f>VLOOKUP(C470,'RAW DATA 2023'!E:BO,21,0)</f>
        <v>30.185040000000001</v>
      </c>
      <c r="K470" s="268">
        <f t="shared" si="39"/>
        <v>241.29500000000002</v>
      </c>
    </row>
    <row r="471" spans="1:11">
      <c r="A471" t="str">
        <f>'RAW DATA 2023'!B464</f>
        <v>Roiphet3</v>
      </c>
      <c r="B471" t="str">
        <f>'RAW DATA 2023'!D464</f>
        <v>C1-044-0018</v>
      </c>
      <c r="C471" t="str">
        <f t="shared" si="35"/>
        <v>Roiphet3C1-044-0018</v>
      </c>
      <c r="D471">
        <f>VLOOKUP(C471,'RAW DATA 2023'!E:BP,63,0)</f>
        <v>7</v>
      </c>
      <c r="E471" t="str">
        <f t="shared" si="36"/>
        <v>Roiphet37</v>
      </c>
      <c r="F471" s="8">
        <f>VLOOKUP(C471,'RAW DATA 2023'!E:BO,23,0)</f>
        <v>105.00002856778278</v>
      </c>
      <c r="G471" s="14">
        <f t="shared" si="37"/>
        <v>-30.000028567782778</v>
      </c>
      <c r="H471" s="25">
        <f t="shared" si="38"/>
        <v>-6.0000057135565559</v>
      </c>
      <c r="I471" s="80" t="str">
        <f>VLOOKUP(C471,'RAW DATA 2023'!E:BO,36,0)</f>
        <v>EHP</v>
      </c>
      <c r="J471">
        <f>VLOOKUP(C471,'RAW DATA 2023'!E:BO,21,0)</f>
        <v>10.501340000000001</v>
      </c>
      <c r="K471" s="268">
        <f t="shared" si="39"/>
        <v>-63.008100000000006</v>
      </c>
    </row>
    <row r="472" spans="1:11">
      <c r="A472" t="str">
        <f>'RAW DATA 2023'!B465</f>
        <v>Roiphet3</v>
      </c>
      <c r="B472" t="str">
        <f>'RAW DATA 2023'!D465</f>
        <v>C1-043-0028</v>
      </c>
      <c r="C472" t="str">
        <f t="shared" si="35"/>
        <v>Roiphet3C1-043-0028</v>
      </c>
      <c r="D472">
        <f>VLOOKUP(C472,'RAW DATA 2023'!E:BP,63,0)</f>
        <v>12</v>
      </c>
      <c r="E472" t="str">
        <f t="shared" si="36"/>
        <v>Roiphet312</v>
      </c>
      <c r="F472" s="8">
        <f>VLOOKUP(C472,'RAW DATA 2023'!E:BO,23,0)</f>
        <v>93.00001457520564</v>
      </c>
      <c r="G472" s="14">
        <f t="shared" si="37"/>
        <v>-18.00001457520564</v>
      </c>
      <c r="H472" s="25">
        <f t="shared" si="38"/>
        <v>-3.6000029150411281</v>
      </c>
      <c r="I472" s="80" t="str">
        <f>VLOOKUP(C472,'RAW DATA 2023'!E:BO,36,0)</f>
        <v>EHP</v>
      </c>
      <c r="J472">
        <f>VLOOKUP(C472,'RAW DATA 2023'!E:BO,21,0)</f>
        <v>12.349740000000001</v>
      </c>
      <c r="K472" s="268">
        <f t="shared" si="39"/>
        <v>-44.459100000000021</v>
      </c>
    </row>
    <row r="473" spans="1:11">
      <c r="A473" t="str">
        <f>'RAW DATA 2023'!B466</f>
        <v>Roiphet3</v>
      </c>
      <c r="B473" t="str">
        <f>'RAW DATA 2023'!D466</f>
        <v>C1-043-0026</v>
      </c>
      <c r="C473" t="str">
        <f t="shared" si="35"/>
        <v>Roiphet3C1-043-0026</v>
      </c>
      <c r="D473">
        <f>VLOOKUP(C473,'RAW DATA 2023'!E:BP,63,0)</f>
        <v>7</v>
      </c>
      <c r="E473" t="str">
        <f t="shared" si="36"/>
        <v>Roiphet37</v>
      </c>
      <c r="F473" s="8">
        <f>VLOOKUP(C473,'RAW DATA 2023'!E:BO,23,0)</f>
        <v>91.997598363166873</v>
      </c>
      <c r="G473" s="14">
        <f t="shared" si="37"/>
        <v>-16.997598363166873</v>
      </c>
      <c r="H473" s="25">
        <f t="shared" si="38"/>
        <v>-3.3995196726333745</v>
      </c>
      <c r="I473" s="80" t="str">
        <f>VLOOKUP(C473,'RAW DATA 2023'!E:BO,36,0)</f>
        <v>Slow Growth</v>
      </c>
      <c r="J473">
        <f>VLOOKUP(C473,'RAW DATA 2023'!E:BO,21,0)</f>
        <v>7.31168</v>
      </c>
      <c r="K473" s="268">
        <f t="shared" si="39"/>
        <v>-24.856199999999991</v>
      </c>
    </row>
    <row r="474" spans="1:11">
      <c r="A474" t="str">
        <f>'RAW DATA 2023'!B467</f>
        <v>Roiphet3</v>
      </c>
      <c r="B474" t="str">
        <f>'RAW DATA 2023'!D467</f>
        <v>C1-051-0026</v>
      </c>
      <c r="C474" t="str">
        <f t="shared" si="35"/>
        <v>Roiphet3C1-051-0026</v>
      </c>
      <c r="D474">
        <f>VLOOKUP(C474,'RAW DATA 2023'!E:BP,63,0)</f>
        <v>7</v>
      </c>
      <c r="E474" t="str">
        <f t="shared" si="36"/>
        <v>Roiphet37</v>
      </c>
      <c r="F474" s="8">
        <f>VLOOKUP(C474,'RAW DATA 2023'!E:BO,23,0)</f>
        <v>87.516157015226781</v>
      </c>
      <c r="G474" s="14">
        <f t="shared" si="37"/>
        <v>-12.516157015226781</v>
      </c>
      <c r="H474" s="25">
        <f t="shared" si="38"/>
        <v>-2.5032314030453566</v>
      </c>
      <c r="I474" s="80" t="str">
        <f>VLOOKUP(C474,'RAW DATA 2023'!E:BO,36,0)</f>
        <v>Slow Growth</v>
      </c>
      <c r="J474">
        <f>VLOOKUP(C474,'RAW DATA 2023'!E:BO,21,0)</f>
        <v>17.925650000000001</v>
      </c>
      <c r="K474" s="268">
        <f t="shared" si="39"/>
        <v>-44.872050000000002</v>
      </c>
    </row>
    <row r="475" spans="1:11">
      <c r="A475" t="str">
        <f>'RAW DATA 2023'!B468</f>
        <v>Roiphet3</v>
      </c>
      <c r="B475" t="str">
        <f>'RAW DATA 2023'!D468</f>
        <v>C1-046-0005</v>
      </c>
      <c r="C475" t="str">
        <f t="shared" si="35"/>
        <v>Roiphet3C1-046-0005</v>
      </c>
      <c r="D475">
        <f>VLOOKUP(C475,'RAW DATA 2023'!E:BP,63,0)</f>
        <v>7</v>
      </c>
      <c r="E475" t="str">
        <f t="shared" si="36"/>
        <v>Roiphet37</v>
      </c>
      <c r="F475" s="8">
        <f>VLOOKUP(C475,'RAW DATA 2023'!E:BO,23,0)</f>
        <v>87.028800456733734</v>
      </c>
      <c r="G475" s="14">
        <f t="shared" si="37"/>
        <v>-12.028800456733734</v>
      </c>
      <c r="H475" s="25">
        <f t="shared" si="38"/>
        <v>-2.405760091346747</v>
      </c>
      <c r="I475" s="80" t="str">
        <f>VLOOKUP(C475,'RAW DATA 2023'!E:BO,36,0)</f>
        <v>Slow Growth</v>
      </c>
      <c r="J475">
        <f>VLOOKUP(C475,'RAW DATA 2023'!E:BO,21,0)</f>
        <v>10.36928</v>
      </c>
      <c r="K475" s="268">
        <f t="shared" si="39"/>
        <v>-24.945999999999994</v>
      </c>
    </row>
    <row r="476" spans="1:11">
      <c r="A476" t="str">
        <f>'RAW DATA 2023'!B469</f>
        <v>Roiphet3</v>
      </c>
      <c r="B476" t="str">
        <f>'RAW DATA 2023'!D469</f>
        <v>C1-057-0018</v>
      </c>
      <c r="C476" t="str">
        <f t="shared" si="35"/>
        <v>Roiphet3C1-057-0018</v>
      </c>
      <c r="D476">
        <f>VLOOKUP(C476,'RAW DATA 2023'!E:BP,63,0)</f>
        <v>7</v>
      </c>
      <c r="E476" t="str">
        <f t="shared" si="36"/>
        <v>Roiphet37</v>
      </c>
      <c r="F476" s="8">
        <f>VLOOKUP(C476,'RAW DATA 2023'!E:BO,23,0)</f>
        <v>84.078838719363432</v>
      </c>
      <c r="G476" s="14">
        <f t="shared" si="37"/>
        <v>-9.0788387193634321</v>
      </c>
      <c r="H476" s="25">
        <f t="shared" si="38"/>
        <v>-1.8157677438726865</v>
      </c>
      <c r="I476" s="80" t="str">
        <f>VLOOKUP(C476,'RAW DATA 2023'!E:BO,36,0)</f>
        <v>Slow Growth</v>
      </c>
      <c r="J476">
        <f>VLOOKUP(C476,'RAW DATA 2023'!E:BO,21,0)</f>
        <v>10.657200000000001</v>
      </c>
      <c r="K476" s="268">
        <f t="shared" si="39"/>
        <v>-19.350999999999996</v>
      </c>
    </row>
    <row r="477" spans="1:11">
      <c r="A477" t="str">
        <f>'RAW DATA 2023'!B470</f>
        <v>Roiphet3</v>
      </c>
      <c r="B477" t="str">
        <f>'RAW DATA 2023'!D470</f>
        <v>C1-054-0008</v>
      </c>
      <c r="C477" t="str">
        <f t="shared" si="35"/>
        <v>Roiphet3C1-054-0008</v>
      </c>
      <c r="D477">
        <f>VLOOKUP(C477,'RAW DATA 2023'!E:BP,63,0)</f>
        <v>7</v>
      </c>
      <c r="E477" t="str">
        <f t="shared" si="36"/>
        <v>Roiphet37</v>
      </c>
      <c r="F477" s="8">
        <f>VLOOKUP(C477,'RAW DATA 2023'!E:BO,23,0)</f>
        <v>97.006351498537569</v>
      </c>
      <c r="G477" s="14">
        <f t="shared" si="37"/>
        <v>-22.006351498537569</v>
      </c>
      <c r="H477" s="25">
        <f t="shared" si="38"/>
        <v>-4.4012702997075142</v>
      </c>
      <c r="I477" s="80" t="str">
        <f>VLOOKUP(C477,'RAW DATA 2023'!E:BO,36,0)</f>
        <v>Slow Growth</v>
      </c>
      <c r="J477">
        <f>VLOOKUP(C477,'RAW DATA 2023'!E:BO,21,0)</f>
        <v>8.1713000000000005</v>
      </c>
      <c r="K477" s="268">
        <f t="shared" si="39"/>
        <v>-35.964100000000009</v>
      </c>
    </row>
    <row r="478" spans="1:11">
      <c r="A478" t="str">
        <f>'RAW DATA 2023'!B471</f>
        <v>Roiphet3</v>
      </c>
      <c r="B478" t="str">
        <f>'RAW DATA 2023'!D471</f>
        <v>C1-042-0016</v>
      </c>
      <c r="C478" t="str">
        <f t="shared" si="35"/>
        <v>Roiphet3C1-042-0016</v>
      </c>
      <c r="D478">
        <f>VLOOKUP(C478,'RAW DATA 2023'!E:BP,63,0)</f>
        <v>7</v>
      </c>
      <c r="E478" t="str">
        <f t="shared" si="36"/>
        <v>Roiphet37</v>
      </c>
      <c r="F478" s="8">
        <f>VLOOKUP(C478,'RAW DATA 2023'!E:BO,23,0)</f>
        <v>100</v>
      </c>
      <c r="G478" s="14">
        <f t="shared" si="37"/>
        <v>-25</v>
      </c>
      <c r="H478" s="25">
        <f t="shared" si="38"/>
        <v>-5</v>
      </c>
      <c r="I478" s="80" t="str">
        <f>VLOOKUP(C478,'RAW DATA 2023'!E:BO,36,0)</f>
        <v>Slow Growth</v>
      </c>
      <c r="J478">
        <f>VLOOKUP(C478,'RAW DATA 2023'!E:BO,21,0)</f>
        <v>5.2323199999999996</v>
      </c>
      <c r="K478" s="268">
        <f t="shared" si="39"/>
        <v>-26.1616</v>
      </c>
    </row>
    <row r="479" spans="1:11">
      <c r="A479" t="str">
        <f>'RAW DATA 2023'!B472</f>
        <v>Roiphet3</v>
      </c>
      <c r="B479" t="str">
        <f>'RAW DATA 2023'!D472</f>
        <v>C1-045-0026</v>
      </c>
      <c r="C479" t="str">
        <f t="shared" si="35"/>
        <v>Roiphet3C1-045-0026</v>
      </c>
      <c r="D479">
        <f>VLOOKUP(C479,'RAW DATA 2023'!E:BP,63,0)</f>
        <v>7</v>
      </c>
      <c r="E479" t="str">
        <f t="shared" si="36"/>
        <v>Roiphet37</v>
      </c>
      <c r="F479" s="8">
        <f>VLOOKUP(C479,'RAW DATA 2023'!E:BO,23,0)</f>
        <v>113.99994363100858</v>
      </c>
      <c r="G479" s="14">
        <f t="shared" si="37"/>
        <v>-38.999943631008577</v>
      </c>
      <c r="H479" s="25">
        <f t="shared" si="38"/>
        <v>-7.7999887262017156</v>
      </c>
      <c r="I479" s="80" t="str">
        <f>VLOOKUP(C479,'RAW DATA 2023'!E:BO,36,0)</f>
        <v>EHP</v>
      </c>
      <c r="J479">
        <f>VLOOKUP(C479,'RAW DATA 2023'!E:BO,21,0)</f>
        <v>7.0961000000000007</v>
      </c>
      <c r="K479" s="268">
        <f t="shared" si="39"/>
        <v>-55.349499999999999</v>
      </c>
    </row>
    <row r="480" spans="1:11">
      <c r="A480" t="str">
        <f>'RAW DATA 2023'!B473</f>
        <v>Roiphet3</v>
      </c>
      <c r="B480" t="str">
        <f>'RAW DATA 2023'!D473</f>
        <v>C1-041-0006</v>
      </c>
      <c r="C480" t="str">
        <f t="shared" si="35"/>
        <v>Roiphet3C1-041-0006</v>
      </c>
      <c r="D480">
        <f>VLOOKUP(C480,'RAW DATA 2023'!E:BP,63,0)</f>
        <v>6</v>
      </c>
      <c r="E480" t="str">
        <f t="shared" si="36"/>
        <v>Roiphet36</v>
      </c>
      <c r="F480" s="8">
        <f>VLOOKUP(C480,'RAW DATA 2023'!E:BO,23,0)</f>
        <v>146</v>
      </c>
      <c r="G480" s="14">
        <f t="shared" si="37"/>
        <v>-71</v>
      </c>
      <c r="H480" s="25">
        <f t="shared" si="38"/>
        <v>-14.200000000000001</v>
      </c>
      <c r="I480" s="80" t="str">
        <f>VLOOKUP(C480,'RAW DATA 2023'!E:BO,36,0)</f>
        <v>EHP</v>
      </c>
      <c r="J480">
        <f>VLOOKUP(C480,'RAW DATA 2023'!E:BO,21,0)</f>
        <v>11.821999999999999</v>
      </c>
      <c r="K480" s="268">
        <f t="shared" si="39"/>
        <v>-167.8724</v>
      </c>
    </row>
    <row r="481" spans="1:11">
      <c r="A481" t="str">
        <f>'RAW DATA 2023'!B474</f>
        <v>Roiphet3</v>
      </c>
      <c r="B481" t="str">
        <f>'RAW DATA 2023'!D474</f>
        <v>C1-044-0020</v>
      </c>
      <c r="C481" t="str">
        <f t="shared" si="35"/>
        <v>Roiphet3C1-044-0020</v>
      </c>
      <c r="D481">
        <f>VLOOKUP(C481,'RAW DATA 2023'!E:BP,63,0)</f>
        <v>12</v>
      </c>
      <c r="E481" t="str">
        <f t="shared" si="36"/>
        <v>Roiphet312</v>
      </c>
      <c r="F481" s="8">
        <f>VLOOKUP(C481,'RAW DATA 2023'!E:BO,23,0)</f>
        <v>215.00006662402728</v>
      </c>
      <c r="G481" s="14">
        <f t="shared" si="37"/>
        <v>-140.00006662402728</v>
      </c>
      <c r="H481" s="25">
        <f t="shared" si="38"/>
        <v>-28.000013324805458</v>
      </c>
      <c r="I481" s="80" t="str">
        <f>VLOOKUP(C481,'RAW DATA 2023'!E:BO,36,0)</f>
        <v>EHP</v>
      </c>
      <c r="J481">
        <f>VLOOKUP(C481,'RAW DATA 2023'!E:BO,21,0)</f>
        <v>6.0038400000000003</v>
      </c>
      <c r="K481" s="268">
        <f t="shared" si="39"/>
        <v>-168.10760000000002</v>
      </c>
    </row>
    <row r="482" spans="1:11">
      <c r="A482" t="str">
        <f>'RAW DATA 2023'!B475</f>
        <v>Bangkachai1</v>
      </c>
      <c r="B482" t="str">
        <f>'RAW DATA 2023'!D475</f>
        <v>BG-045-0013</v>
      </c>
      <c r="C482" t="str">
        <f t="shared" si="35"/>
        <v>Bangkachai1BG-045-0013</v>
      </c>
      <c r="D482">
        <f>VLOOKUP(C482,'RAW DATA 2023'!E:BP,63,0)</f>
        <v>10</v>
      </c>
      <c r="E482" t="str">
        <f t="shared" si="36"/>
        <v>Bangkachai110</v>
      </c>
      <c r="F482" s="8">
        <f>VLOOKUP(C482,'RAW DATA 2023'!E:BO,23,0)</f>
        <v>35.023834667350947</v>
      </c>
      <c r="G482" s="14">
        <f t="shared" si="37"/>
        <v>39.976165332649053</v>
      </c>
      <c r="H482" s="25">
        <f t="shared" si="38"/>
        <v>7.9952330665298108</v>
      </c>
      <c r="I482" s="80" t="str">
        <f>VLOOKUP(C482,'RAW DATA 2023'!E:BO,36,0)</f>
        <v>Normal</v>
      </c>
      <c r="J482">
        <f>VLOOKUP(C482,'RAW DATA 2023'!E:BO,21,0)</f>
        <v>15.198450000000001</v>
      </c>
      <c r="K482" s="268">
        <f t="shared" si="39"/>
        <v>121.51515000000001</v>
      </c>
    </row>
    <row r="483" spans="1:11">
      <c r="A483" t="str">
        <f>'RAW DATA 2023'!B476</f>
        <v>Bangkachai1</v>
      </c>
      <c r="B483" t="str">
        <f>'RAW DATA 2023'!D476</f>
        <v>BG-044-0010</v>
      </c>
      <c r="C483" t="str">
        <f t="shared" si="35"/>
        <v>Bangkachai1BG-044-0010</v>
      </c>
      <c r="D483">
        <f>VLOOKUP(C483,'RAW DATA 2023'!E:BP,63,0)</f>
        <v>8</v>
      </c>
      <c r="E483" t="str">
        <f t="shared" si="36"/>
        <v>Bangkachai18</v>
      </c>
      <c r="F483" s="8">
        <f>VLOOKUP(C483,'RAW DATA 2023'!E:BO,23,0)</f>
        <v>38.699880564609565</v>
      </c>
      <c r="G483" s="14">
        <f t="shared" si="37"/>
        <v>36.300119435390435</v>
      </c>
      <c r="H483" s="25">
        <f t="shared" si="38"/>
        <v>7.2600238870780878</v>
      </c>
      <c r="I483" s="80" t="str">
        <f>VLOOKUP(C483,'RAW DATA 2023'!E:BO,36,0)</f>
        <v>Normal</v>
      </c>
      <c r="J483">
        <f>VLOOKUP(C483,'RAW DATA 2023'!E:BO,21,0)</f>
        <v>18.47861</v>
      </c>
      <c r="K483" s="268">
        <f t="shared" si="39"/>
        <v>134.15515000000002</v>
      </c>
    </row>
    <row r="484" spans="1:11">
      <c r="A484" t="str">
        <f>'RAW DATA 2023'!B477</f>
        <v>Bangkachai1</v>
      </c>
      <c r="B484" t="str">
        <f>'RAW DATA 2023'!D477</f>
        <v>BG-045-0012</v>
      </c>
      <c r="C484" t="str">
        <f t="shared" si="35"/>
        <v>Bangkachai1BG-045-0012</v>
      </c>
      <c r="D484">
        <f>VLOOKUP(C484,'RAW DATA 2023'!E:BP,63,0)</f>
        <v>5</v>
      </c>
      <c r="E484" t="str">
        <f t="shared" si="36"/>
        <v>Bangkachai15</v>
      </c>
      <c r="F484" s="8">
        <f>VLOOKUP(C484,'RAW DATA 2023'!E:BO,23,0)</f>
        <v>31.688598799381211</v>
      </c>
      <c r="G484" s="14">
        <f t="shared" si="37"/>
        <v>43.311401200618789</v>
      </c>
      <c r="H484" s="25">
        <f t="shared" si="38"/>
        <v>8.6622802401237582</v>
      </c>
      <c r="I484" s="80" t="str">
        <f>VLOOKUP(C484,'RAW DATA 2023'!E:BO,36,0)</f>
        <v>Normal</v>
      </c>
      <c r="J484">
        <f>VLOOKUP(C484,'RAW DATA 2023'!E:BO,21,0)</f>
        <v>21.377310000000001</v>
      </c>
      <c r="K484" s="268">
        <f t="shared" si="39"/>
        <v>185.17625000000004</v>
      </c>
    </row>
    <row r="485" spans="1:11">
      <c r="A485" t="str">
        <f>'RAW DATA 2023'!B478</f>
        <v>Bangkachai1</v>
      </c>
      <c r="B485" t="str">
        <f>'RAW DATA 2023'!D478</f>
        <v>A1-047-0010</v>
      </c>
      <c r="C485" t="str">
        <f t="shared" si="35"/>
        <v>Bangkachai1A1-047-0010</v>
      </c>
      <c r="D485">
        <f>VLOOKUP(C485,'RAW DATA 2023'!E:BP,63,0)</f>
        <v>8</v>
      </c>
      <c r="E485" t="str">
        <f t="shared" si="36"/>
        <v>Bangkachai18</v>
      </c>
      <c r="F485" s="8">
        <f>VLOOKUP(C485,'RAW DATA 2023'!E:BO,23,0)</f>
        <v>38.909671778694531</v>
      </c>
      <c r="G485" s="14">
        <f t="shared" si="37"/>
        <v>36.090328221305469</v>
      </c>
      <c r="H485" s="25">
        <f t="shared" si="38"/>
        <v>7.2180656442610944</v>
      </c>
      <c r="I485" s="80" t="str">
        <f>VLOOKUP(C485,'RAW DATA 2023'!E:BO,36,0)</f>
        <v>Normal</v>
      </c>
      <c r="J485">
        <f>VLOOKUP(C485,'RAW DATA 2023'!E:BO,21,0)</f>
        <v>24.865539999999999</v>
      </c>
      <c r="K485" s="268">
        <f t="shared" si="39"/>
        <v>179.4811</v>
      </c>
    </row>
    <row r="486" spans="1:11">
      <c r="A486" t="str">
        <f>'RAW DATA 2023'!B479</f>
        <v>Bangkachai1</v>
      </c>
      <c r="B486" t="str">
        <f>'RAW DATA 2023'!D479</f>
        <v>A1-061-0007</v>
      </c>
      <c r="C486" t="str">
        <f t="shared" si="35"/>
        <v>Bangkachai1A1-061-0007</v>
      </c>
      <c r="D486">
        <f>VLOOKUP(C486,'RAW DATA 2023'!E:BP,63,0)</f>
        <v>10</v>
      </c>
      <c r="E486" t="str">
        <f t="shared" si="36"/>
        <v>Bangkachai110</v>
      </c>
      <c r="F486" s="8">
        <f>VLOOKUP(C486,'RAW DATA 2023'!E:BO,23,0)</f>
        <v>28.372169123902182</v>
      </c>
      <c r="G486" s="14">
        <f t="shared" si="37"/>
        <v>46.627830876097818</v>
      </c>
      <c r="H486" s="25">
        <f t="shared" si="38"/>
        <v>9.3255661752195635</v>
      </c>
      <c r="I486" s="80" t="str">
        <f>VLOOKUP(C486,'RAW DATA 2023'!E:BO,36,0)</f>
        <v>Normal</v>
      </c>
      <c r="J486">
        <f>VLOOKUP(C486,'RAW DATA 2023'!E:BO,21,0)</f>
        <v>18.39669</v>
      </c>
      <c r="K486" s="268">
        <f t="shared" si="39"/>
        <v>171.55955</v>
      </c>
    </row>
    <row r="487" spans="1:11">
      <c r="A487" t="str">
        <f>'RAW DATA 2023'!B480</f>
        <v>Bangkachai1</v>
      </c>
      <c r="B487" t="str">
        <f>'RAW DATA 2023'!D480</f>
        <v>A1-060-0006</v>
      </c>
      <c r="C487" t="str">
        <f t="shared" si="35"/>
        <v>Bangkachai1A1-060-0006</v>
      </c>
      <c r="D487">
        <f>VLOOKUP(C487,'RAW DATA 2023'!E:BP,63,0)</f>
        <v>10</v>
      </c>
      <c r="E487" t="str">
        <f t="shared" si="36"/>
        <v>Bangkachai110</v>
      </c>
      <c r="F487" s="8">
        <f>VLOOKUP(C487,'RAW DATA 2023'!E:BO,23,0)</f>
        <v>29.438215013248222</v>
      </c>
      <c r="G487" s="14">
        <f t="shared" si="37"/>
        <v>45.561784986751775</v>
      </c>
      <c r="H487" s="25">
        <f t="shared" si="38"/>
        <v>9.1123569973503553</v>
      </c>
      <c r="I487" s="80" t="str">
        <f>VLOOKUP(C487,'RAW DATA 2023'!E:BO,36,0)</f>
        <v>Normal</v>
      </c>
      <c r="J487">
        <f>VLOOKUP(C487,'RAW DATA 2023'!E:BO,21,0)</f>
        <v>16.19463</v>
      </c>
      <c r="K487" s="268">
        <f t="shared" si="39"/>
        <v>147.57124999999999</v>
      </c>
    </row>
    <row r="488" spans="1:11">
      <c r="A488" t="str">
        <f>'RAW DATA 2023'!B481</f>
        <v>Bangkachai1</v>
      </c>
      <c r="B488" t="str">
        <f>'RAW DATA 2023'!D481</f>
        <v>BG-044-0009</v>
      </c>
      <c r="C488" t="str">
        <f t="shared" si="35"/>
        <v>Bangkachai1BG-044-0009</v>
      </c>
      <c r="D488">
        <f>VLOOKUP(C488,'RAW DATA 2023'!E:BP,63,0)</f>
        <v>3</v>
      </c>
      <c r="E488" t="str">
        <f t="shared" si="36"/>
        <v>Bangkachai13</v>
      </c>
      <c r="F488" s="8">
        <f>VLOOKUP(C488,'RAW DATA 2023'!E:BO,23,0)</f>
        <v>34.506599217160698</v>
      </c>
      <c r="G488" s="14">
        <f t="shared" si="37"/>
        <v>40.493400782839302</v>
      </c>
      <c r="H488" s="25">
        <f t="shared" si="38"/>
        <v>8.0986801565678608</v>
      </c>
      <c r="I488" s="80" t="str">
        <f>VLOOKUP(C488,'RAW DATA 2023'!E:BO,36,0)</f>
        <v>Normal</v>
      </c>
      <c r="J488">
        <f>VLOOKUP(C488,'RAW DATA 2023'!E:BO,21,0)</f>
        <v>20.139509999999998</v>
      </c>
      <c r="K488" s="268">
        <f t="shared" si="39"/>
        <v>163.10344999999998</v>
      </c>
    </row>
    <row r="489" spans="1:11">
      <c r="A489" t="str">
        <f>'RAW DATA 2023'!B482</f>
        <v>Bangkachai1</v>
      </c>
      <c r="B489" t="str">
        <f>'RAW DATA 2023'!D482</f>
        <v>A1-061-0006</v>
      </c>
      <c r="C489" t="str">
        <f t="shared" si="35"/>
        <v>Bangkachai1A1-061-0006</v>
      </c>
      <c r="D489">
        <f>VLOOKUP(C489,'RAW DATA 2023'!E:BP,63,0)</f>
        <v>5</v>
      </c>
      <c r="E489" t="str">
        <f t="shared" si="36"/>
        <v>Bangkachai15</v>
      </c>
      <c r="F489" s="8">
        <f>VLOOKUP(C489,'RAW DATA 2023'!E:BO,23,0)</f>
        <v>36.62674800794089</v>
      </c>
      <c r="G489" s="14">
        <f t="shared" si="37"/>
        <v>38.37325199205911</v>
      </c>
      <c r="H489" s="25">
        <f t="shared" si="38"/>
        <v>7.6746503984118224</v>
      </c>
      <c r="I489" s="80" t="str">
        <f>VLOOKUP(C489,'RAW DATA 2023'!E:BO,36,0)</f>
        <v>Normal</v>
      </c>
      <c r="J489">
        <f>VLOOKUP(C489,'RAW DATA 2023'!E:BO,21,0)</f>
        <v>14.628080000000001</v>
      </c>
      <c r="K489" s="268">
        <f t="shared" si="39"/>
        <v>112.26540000000001</v>
      </c>
    </row>
    <row r="490" spans="1:11">
      <c r="A490" t="str">
        <f>'RAW DATA 2023'!B483</f>
        <v>Bangkachai1</v>
      </c>
      <c r="B490" t="str">
        <f>'RAW DATA 2023'!D483</f>
        <v>A1-060-0005</v>
      </c>
      <c r="C490" t="str">
        <f t="shared" si="35"/>
        <v>Bangkachai1A1-060-0005</v>
      </c>
      <c r="D490">
        <f>VLOOKUP(C490,'RAW DATA 2023'!E:BP,63,0)</f>
        <v>5</v>
      </c>
      <c r="E490" t="str">
        <f t="shared" si="36"/>
        <v>Bangkachai15</v>
      </c>
      <c r="F490" s="8">
        <f>VLOOKUP(C490,'RAW DATA 2023'!E:BO,23,0)</f>
        <v>42.107069102462269</v>
      </c>
      <c r="G490" s="14">
        <f t="shared" si="37"/>
        <v>32.892930897537731</v>
      </c>
      <c r="H490" s="25">
        <f t="shared" si="38"/>
        <v>6.5785861795075462</v>
      </c>
      <c r="I490" s="80" t="str">
        <f>VLOOKUP(C490,'RAW DATA 2023'!E:BO,36,0)</f>
        <v>Normal</v>
      </c>
      <c r="J490">
        <f>VLOOKUP(C490,'RAW DATA 2023'!E:BO,21,0)</f>
        <v>18.885000000000002</v>
      </c>
      <c r="K490" s="268">
        <f t="shared" si="39"/>
        <v>124.23660000000002</v>
      </c>
    </row>
    <row r="491" spans="1:11">
      <c r="A491" t="str">
        <f>'RAW DATA 2023'!B484</f>
        <v>Bangkachai1</v>
      </c>
      <c r="B491" t="str">
        <f>'RAW DATA 2023'!D484</f>
        <v>A1-047-0009</v>
      </c>
      <c r="C491" t="str">
        <f t="shared" si="35"/>
        <v>Bangkachai1A1-047-0009</v>
      </c>
      <c r="D491">
        <f>VLOOKUP(C491,'RAW DATA 2023'!E:BP,63,0)</f>
        <v>3</v>
      </c>
      <c r="E491" t="str">
        <f t="shared" si="36"/>
        <v>Bangkachai13</v>
      </c>
      <c r="F491" s="8">
        <f>VLOOKUP(C491,'RAW DATA 2023'!E:BO,23,0)</f>
        <v>33.899350187354742</v>
      </c>
      <c r="G491" s="14">
        <f t="shared" si="37"/>
        <v>41.100649812645258</v>
      </c>
      <c r="H491" s="25">
        <f t="shared" si="38"/>
        <v>8.220129962529052</v>
      </c>
      <c r="I491" s="80" t="str">
        <f>VLOOKUP(C491,'RAW DATA 2023'!E:BO,36,0)</f>
        <v>Normal</v>
      </c>
      <c r="J491">
        <f>VLOOKUP(C491,'RAW DATA 2023'!E:BO,21,0)</f>
        <v>20.661339999999999</v>
      </c>
      <c r="K491" s="268">
        <f t="shared" si="39"/>
        <v>169.8389</v>
      </c>
    </row>
    <row r="492" spans="1:11">
      <c r="A492" t="str">
        <f>'RAW DATA 2023'!B485</f>
        <v>Bo Thong</v>
      </c>
      <c r="B492" t="str">
        <f>'RAW DATA 2023'!D485</f>
        <v>BG-002-0014</v>
      </c>
      <c r="C492" t="str">
        <f t="shared" si="35"/>
        <v>Bo ThongBG-002-0014</v>
      </c>
      <c r="D492">
        <f>VLOOKUP(C492,'RAW DATA 2023'!E:BP,63,0)</f>
        <v>6</v>
      </c>
      <c r="E492" t="str">
        <f t="shared" si="36"/>
        <v>Bo Thong6</v>
      </c>
      <c r="F492" s="8">
        <f>VLOOKUP(C492,'RAW DATA 2023'!E:BO,23,0)</f>
        <v>45.04028905390723</v>
      </c>
      <c r="G492" s="14">
        <f t="shared" si="37"/>
        <v>29.95971094609277</v>
      </c>
      <c r="H492" s="25">
        <f t="shared" si="38"/>
        <v>5.9919421892185545</v>
      </c>
      <c r="I492" s="80" t="str">
        <f>VLOOKUP(C492,'RAW DATA 2023'!E:BO,36,0)</f>
        <v>อัตรารอดต่ำ</v>
      </c>
      <c r="J492">
        <f>VLOOKUP(C492,'RAW DATA 2023'!E:BO,21,0)</f>
        <v>16.392790000000002</v>
      </c>
      <c r="K492" s="268">
        <f t="shared" si="39"/>
        <v>98.22465000000004</v>
      </c>
    </row>
    <row r="493" spans="1:11">
      <c r="A493" t="str">
        <f>'RAW DATA 2023'!B486</f>
        <v>Bo Thong</v>
      </c>
      <c r="B493" t="str">
        <f>'RAW DATA 2023'!D486</f>
        <v>BG-002-0013</v>
      </c>
      <c r="C493" t="str">
        <f t="shared" si="35"/>
        <v>Bo ThongBG-002-0013</v>
      </c>
      <c r="D493">
        <f>VLOOKUP(C493,'RAW DATA 2023'!E:BP,63,0)</f>
        <v>2</v>
      </c>
      <c r="E493" t="str">
        <f t="shared" si="36"/>
        <v>Bo Thong2</v>
      </c>
      <c r="F493" s="8">
        <f>VLOOKUP(C493,'RAW DATA 2023'!E:BO,23,0)</f>
        <v>33.68871327307194</v>
      </c>
      <c r="G493" s="14">
        <f t="shared" si="37"/>
        <v>41.31128672692806</v>
      </c>
      <c r="H493" s="25">
        <f t="shared" si="38"/>
        <v>8.2622573453856116</v>
      </c>
      <c r="I493" s="80" t="str">
        <f>VLOOKUP(C493,'RAW DATA 2023'!E:BO,36,0)</f>
        <v>อัตรารอดต่ำ</v>
      </c>
      <c r="J493">
        <f>VLOOKUP(C493,'RAW DATA 2023'!E:BO,21,0)</f>
        <v>17.62433</v>
      </c>
      <c r="K493" s="268">
        <f t="shared" si="39"/>
        <v>145.61675</v>
      </c>
    </row>
    <row r="494" spans="1:11">
      <c r="A494" t="str">
        <f>'RAW DATA 2023'!B487</f>
        <v>Bo Thong</v>
      </c>
      <c r="B494" t="str">
        <f>'RAW DATA 2023'!D487</f>
        <v>BG-002-0015</v>
      </c>
      <c r="C494" t="str">
        <f t="shared" si="35"/>
        <v>Bo ThongBG-002-0015</v>
      </c>
      <c r="D494">
        <f>VLOOKUP(C494,'RAW DATA 2023'!E:BP,63,0)</f>
        <v>7</v>
      </c>
      <c r="E494" t="str">
        <f t="shared" si="36"/>
        <v>Bo Thong7</v>
      </c>
      <c r="F494" s="8">
        <f>VLOOKUP(C494,'RAW DATA 2023'!E:BO,23,0)</f>
        <v>0</v>
      </c>
      <c r="G494" s="14">
        <f t="shared" si="37"/>
        <v>0</v>
      </c>
      <c r="H494" s="25">
        <f t="shared" si="38"/>
        <v>0</v>
      </c>
      <c r="I494" s="80" t="str">
        <f>VLOOKUP(C494,'RAW DATA 2023'!E:BO,36,0)</f>
        <v>EHP</v>
      </c>
      <c r="J494">
        <f>VLOOKUP(C494,'RAW DATA 2023'!E:BO,21,0)</f>
        <v>0</v>
      </c>
      <c r="K494" s="268">
        <f t="shared" si="39"/>
        <v>0</v>
      </c>
    </row>
    <row r="495" spans="1:11">
      <c r="A495" t="str">
        <f>'RAW DATA 2023'!B488</f>
        <v>Bo Thong</v>
      </c>
      <c r="B495" t="str">
        <f>'RAW DATA 2023'!D488</f>
        <v>BG-002-0016</v>
      </c>
      <c r="C495" t="str">
        <f t="shared" si="35"/>
        <v>Bo ThongBG-002-0016</v>
      </c>
      <c r="D495">
        <f>VLOOKUP(C495,'RAW DATA 2023'!E:BP,63,0)</f>
        <v>12</v>
      </c>
      <c r="E495" t="str">
        <f t="shared" si="36"/>
        <v>Bo Thong12</v>
      </c>
      <c r="F495" s="8">
        <f>VLOOKUP(C495,'RAW DATA 2023'!E:BO,23,0)</f>
        <v>39.299578164235555</v>
      </c>
      <c r="G495" s="14">
        <f t="shared" si="37"/>
        <v>35.700421835764445</v>
      </c>
      <c r="H495" s="25">
        <f t="shared" si="38"/>
        <v>7.1400843671528893</v>
      </c>
      <c r="I495" s="80" t="str">
        <f>VLOOKUP(C495,'RAW DATA 2023'!E:BO,36,0)</f>
        <v>Normal</v>
      </c>
      <c r="J495">
        <f>VLOOKUP(C495,'RAW DATA 2023'!E:BO,21,0)</f>
        <v>16.0489</v>
      </c>
      <c r="K495" s="268">
        <f t="shared" si="39"/>
        <v>114.59050000000001</v>
      </c>
    </row>
    <row r="496" spans="1:11">
      <c r="A496" t="str">
        <f>'RAW DATA 2023'!B489</f>
        <v>Bo Thong</v>
      </c>
      <c r="B496" t="str">
        <f>'RAW DATA 2023'!D489</f>
        <v>B1-014-0013</v>
      </c>
      <c r="C496" t="str">
        <f t="shared" si="35"/>
        <v>Bo ThongB1-014-0013</v>
      </c>
      <c r="D496">
        <f>VLOOKUP(C496,'RAW DATA 2023'!E:BP,63,0)</f>
        <v>11</v>
      </c>
      <c r="E496" t="str">
        <f t="shared" si="36"/>
        <v>Bo Thong11</v>
      </c>
      <c r="F496" s="8">
        <f>VLOOKUP(C496,'RAW DATA 2023'!E:BO,23,0)</f>
        <v>36.188328884852822</v>
      </c>
      <c r="G496" s="14">
        <f t="shared" si="37"/>
        <v>38.811671115147178</v>
      </c>
      <c r="H496" s="25">
        <f t="shared" si="38"/>
        <v>7.7623342230294359</v>
      </c>
      <c r="I496" s="80" t="str">
        <f>VLOOKUP(C496,'RAW DATA 2023'!E:BO,36,0)</f>
        <v>Normal</v>
      </c>
      <c r="J496">
        <f>VLOOKUP(C496,'RAW DATA 2023'!E:BO,21,0)</f>
        <v>24.974820000000001</v>
      </c>
      <c r="K496" s="268">
        <f t="shared" si="39"/>
        <v>193.86290000000002</v>
      </c>
    </row>
    <row r="497" spans="1:11">
      <c r="A497" t="str">
        <f>'RAW DATA 2023'!B490</f>
        <v>Bo Thong</v>
      </c>
      <c r="B497" t="str">
        <f>'RAW DATA 2023'!D490</f>
        <v>B1-015-0014</v>
      </c>
      <c r="C497" t="str">
        <f t="shared" si="35"/>
        <v>Bo ThongB1-015-0014</v>
      </c>
      <c r="D497">
        <f>VLOOKUP(C497,'RAW DATA 2023'!E:BP,63,0)</f>
        <v>11</v>
      </c>
      <c r="E497" t="str">
        <f t="shared" si="36"/>
        <v>Bo Thong11</v>
      </c>
      <c r="F497" s="8">
        <f>VLOOKUP(C497,'RAW DATA 2023'!E:BO,23,0)</f>
        <v>72.000769257666363</v>
      </c>
      <c r="G497" s="14">
        <f t="shared" si="37"/>
        <v>2.9992307423336371</v>
      </c>
      <c r="H497" s="25">
        <f t="shared" si="38"/>
        <v>0.59984614846672746</v>
      </c>
      <c r="I497" s="80" t="str">
        <f>VLOOKUP(C497,'RAW DATA 2023'!E:BO,36,0)</f>
        <v>EHP</v>
      </c>
      <c r="J497">
        <f>VLOOKUP(C497,'RAW DATA 2023'!E:BO,21,0)</f>
        <v>10.295639999999999</v>
      </c>
      <c r="K497" s="268">
        <f t="shared" si="39"/>
        <v>6.1757999999999775</v>
      </c>
    </row>
    <row r="498" spans="1:11">
      <c r="A498" t="str">
        <f>'RAW DATA 2023'!B491</f>
        <v>Bo Thong</v>
      </c>
      <c r="B498" t="str">
        <f>'RAW DATA 2023'!D491</f>
        <v>B1-015-0013</v>
      </c>
      <c r="C498" t="str">
        <f t="shared" si="35"/>
        <v>Bo ThongB1-015-0013</v>
      </c>
      <c r="D498">
        <f>VLOOKUP(C498,'RAW DATA 2023'!E:BP,63,0)</f>
        <v>7</v>
      </c>
      <c r="E498" t="str">
        <f t="shared" si="36"/>
        <v>Bo Thong7</v>
      </c>
      <c r="F498" s="8">
        <f>VLOOKUP(C498,'RAW DATA 2023'!E:BO,23,0)</f>
        <v>39.874958548091108</v>
      </c>
      <c r="G498" s="14">
        <f t="shared" si="37"/>
        <v>35.125041451908892</v>
      </c>
      <c r="H498" s="25">
        <f t="shared" si="38"/>
        <v>7.0250082903817788</v>
      </c>
      <c r="I498" s="80" t="str">
        <f>VLOOKUP(C498,'RAW DATA 2023'!E:BO,36,0)</f>
        <v>อัตรารอดต่ำ</v>
      </c>
      <c r="J498">
        <f>VLOOKUP(C498,'RAW DATA 2023'!E:BO,21,0)</f>
        <v>27.562060000000002</v>
      </c>
      <c r="K498" s="268">
        <f t="shared" si="39"/>
        <v>193.62370000000001</v>
      </c>
    </row>
    <row r="499" spans="1:11">
      <c r="A499" t="str">
        <f>'RAW DATA 2023'!B492</f>
        <v>Bo Thong</v>
      </c>
      <c r="B499" t="str">
        <f>'RAW DATA 2023'!D492</f>
        <v>B1-014-0012</v>
      </c>
      <c r="C499" t="str">
        <f t="shared" si="35"/>
        <v>Bo ThongB1-014-0012</v>
      </c>
      <c r="D499">
        <f>VLOOKUP(C499,'RAW DATA 2023'!E:BP,63,0)</f>
        <v>6</v>
      </c>
      <c r="E499" t="str">
        <f t="shared" si="36"/>
        <v>Bo Thong6</v>
      </c>
      <c r="F499" s="8">
        <f>VLOOKUP(C499,'RAW DATA 2023'!E:BO,23,0)</f>
        <v>39.462510852717308</v>
      </c>
      <c r="G499" s="14">
        <f t="shared" si="37"/>
        <v>35.537489147282692</v>
      </c>
      <c r="H499" s="25">
        <f t="shared" si="38"/>
        <v>7.1074978294565385</v>
      </c>
      <c r="I499" s="80" t="str">
        <f>VLOOKUP(C499,'RAW DATA 2023'!E:BO,36,0)</f>
        <v>Normal</v>
      </c>
      <c r="J499">
        <f>VLOOKUP(C499,'RAW DATA 2023'!E:BO,21,0)</f>
        <v>30.03856</v>
      </c>
      <c r="K499" s="268">
        <f t="shared" si="39"/>
        <v>213.499</v>
      </c>
    </row>
    <row r="500" spans="1:11">
      <c r="A500" t="str">
        <f>'RAW DATA 2023'!B493</f>
        <v>Bo Thong</v>
      </c>
      <c r="B500" t="str">
        <f>'RAW DATA 2023'!D493</f>
        <v>B1-013-0013</v>
      </c>
      <c r="C500" t="str">
        <f t="shared" si="35"/>
        <v>Bo ThongB1-013-0013</v>
      </c>
      <c r="D500">
        <f>VLOOKUP(C500,'RAW DATA 2023'!E:BP,63,0)</f>
        <v>6</v>
      </c>
      <c r="E500" t="str">
        <f t="shared" si="36"/>
        <v>Bo Thong6</v>
      </c>
      <c r="F500" s="8">
        <f>VLOOKUP(C500,'RAW DATA 2023'!E:BO,23,0)</f>
        <v>45.335722040454868</v>
      </c>
      <c r="G500" s="14">
        <f t="shared" si="37"/>
        <v>29.664277959545132</v>
      </c>
      <c r="H500" s="25">
        <f t="shared" si="38"/>
        <v>5.9328555919090267</v>
      </c>
      <c r="I500" s="80" t="str">
        <f>VLOOKUP(C500,'RAW DATA 2023'!E:BO,36,0)</f>
        <v>Melanization</v>
      </c>
      <c r="J500">
        <f>VLOOKUP(C500,'RAW DATA 2023'!E:BO,21,0)</f>
        <v>21.590479999999999</v>
      </c>
      <c r="K500" s="268">
        <f t="shared" si="39"/>
        <v>128.0932</v>
      </c>
    </row>
    <row r="501" spans="1:11">
      <c r="A501" t="str">
        <f>'RAW DATA 2023'!B494</f>
        <v>Bo Thong</v>
      </c>
      <c r="B501" t="str">
        <f>'RAW DATA 2023'!D494</f>
        <v>B1-014-0011</v>
      </c>
      <c r="C501" t="str">
        <f t="shared" si="35"/>
        <v>Bo ThongB1-014-0011</v>
      </c>
      <c r="D501">
        <f>VLOOKUP(C501,'RAW DATA 2023'!E:BP,63,0)</f>
        <v>3</v>
      </c>
      <c r="E501" t="str">
        <f t="shared" si="36"/>
        <v>Bo Thong3</v>
      </c>
      <c r="F501" s="8">
        <f>VLOOKUP(C501,'RAW DATA 2023'!E:BO,23,0)</f>
        <v>23.559830180222086</v>
      </c>
      <c r="G501" s="14">
        <f t="shared" si="37"/>
        <v>51.440169819777914</v>
      </c>
      <c r="H501" s="25">
        <f t="shared" si="38"/>
        <v>10.288033963955584</v>
      </c>
      <c r="I501" s="80" t="str">
        <f>VLOOKUP(C501,'RAW DATA 2023'!E:BO,36,0)</f>
        <v>Normal</v>
      </c>
      <c r="J501">
        <f>VLOOKUP(C501,'RAW DATA 2023'!E:BO,21,0)</f>
        <v>23.648599999999998</v>
      </c>
      <c r="K501" s="268">
        <f t="shared" si="39"/>
        <v>243.29760000000002</v>
      </c>
    </row>
    <row r="502" spans="1:11">
      <c r="A502" t="str">
        <f>'RAW DATA 2023'!B495</f>
        <v>Bo Thong</v>
      </c>
      <c r="B502" t="str">
        <f>'RAW DATA 2023'!D495</f>
        <v>B1-010-0010</v>
      </c>
      <c r="C502" t="str">
        <f t="shared" si="35"/>
        <v>Bo ThongB1-010-0010</v>
      </c>
      <c r="D502">
        <f>VLOOKUP(C502,'RAW DATA 2023'!E:BP,63,0)</f>
        <v>4</v>
      </c>
      <c r="E502" t="str">
        <f t="shared" si="36"/>
        <v>Bo Thong4</v>
      </c>
      <c r="F502" s="8">
        <f>VLOOKUP(C502,'RAW DATA 2023'!E:BO,23,0)</f>
        <v>33.138851480561499</v>
      </c>
      <c r="G502" s="14">
        <f t="shared" si="37"/>
        <v>41.861148519438501</v>
      </c>
      <c r="H502" s="25">
        <f t="shared" si="38"/>
        <v>8.3722297038877009</v>
      </c>
      <c r="I502" s="80" t="str">
        <f>VLOOKUP(C502,'RAW DATA 2023'!E:BO,36,0)</f>
        <v>Normal</v>
      </c>
      <c r="J502">
        <f>VLOOKUP(C502,'RAW DATA 2023'!E:BO,21,0)</f>
        <v>56.293169999999996</v>
      </c>
      <c r="K502" s="268">
        <f t="shared" si="39"/>
        <v>471.29935</v>
      </c>
    </row>
    <row r="503" spans="1:11">
      <c r="A503" t="str">
        <f>'RAW DATA 2023'!B496</f>
        <v>Bo Thong</v>
      </c>
      <c r="B503" t="str">
        <f>'RAW DATA 2023'!D496</f>
        <v>B1-015-0012</v>
      </c>
      <c r="C503" t="str">
        <f t="shared" si="35"/>
        <v>Bo ThongB1-015-0012</v>
      </c>
      <c r="D503">
        <f>VLOOKUP(C503,'RAW DATA 2023'!E:BP,63,0)</f>
        <v>3</v>
      </c>
      <c r="E503" t="str">
        <f t="shared" si="36"/>
        <v>Bo Thong3</v>
      </c>
      <c r="F503" s="8">
        <f>VLOOKUP(C503,'RAW DATA 2023'!E:BO,23,0)</f>
        <v>25.154717375161425</v>
      </c>
      <c r="G503" s="14">
        <f t="shared" si="37"/>
        <v>49.845282624838575</v>
      </c>
      <c r="H503" s="25">
        <f t="shared" si="38"/>
        <v>9.9690565249677157</v>
      </c>
      <c r="I503" s="80" t="str">
        <f>VLOOKUP(C503,'RAW DATA 2023'!E:BO,36,0)</f>
        <v>Normal</v>
      </c>
      <c r="J503">
        <f>VLOOKUP(C503,'RAW DATA 2023'!E:BO,21,0)</f>
        <v>23.176130000000001</v>
      </c>
      <c r="K503" s="268">
        <f t="shared" si="39"/>
        <v>231.04415000000003</v>
      </c>
    </row>
    <row r="504" spans="1:11">
      <c r="A504" t="str">
        <f>'RAW DATA 2023'!B497</f>
        <v>Bo Thong</v>
      </c>
      <c r="B504" t="str">
        <f>'RAW DATA 2023'!D497</f>
        <v>B1-011-0012</v>
      </c>
      <c r="C504" t="str">
        <f t="shared" si="35"/>
        <v>Bo ThongB1-011-0012</v>
      </c>
      <c r="D504">
        <f>VLOOKUP(C504,'RAW DATA 2023'!E:BP,63,0)</f>
        <v>3</v>
      </c>
      <c r="E504" t="str">
        <f t="shared" si="36"/>
        <v>Bo Thong3</v>
      </c>
      <c r="F504" s="8">
        <f>VLOOKUP(C504,'RAW DATA 2023'!E:BO,23,0)</f>
        <v>32.187641173782168</v>
      </c>
      <c r="G504" s="14">
        <f t="shared" si="37"/>
        <v>42.812358826217832</v>
      </c>
      <c r="H504" s="25">
        <f t="shared" si="38"/>
        <v>8.5624717652435667</v>
      </c>
      <c r="I504" s="80" t="str">
        <f>VLOOKUP(C504,'RAW DATA 2023'!E:BO,36,0)</f>
        <v>Normal</v>
      </c>
      <c r="J504">
        <f>VLOOKUP(C504,'RAW DATA 2023'!E:BO,21,0)</f>
        <v>26.540869999999998</v>
      </c>
      <c r="K504" s="268">
        <f t="shared" si="39"/>
        <v>227.25545</v>
      </c>
    </row>
    <row r="505" spans="1:11">
      <c r="A505" t="str">
        <f>'RAW DATA 2023'!B498</f>
        <v>Bo Thong</v>
      </c>
      <c r="B505" t="str">
        <f>'RAW DATA 2023'!D498</f>
        <v>B1-010-0011</v>
      </c>
      <c r="C505" t="str">
        <f t="shared" si="35"/>
        <v>Bo ThongB1-010-0011</v>
      </c>
      <c r="D505">
        <f>VLOOKUP(C505,'RAW DATA 2023'!E:BP,63,0)</f>
        <v>7</v>
      </c>
      <c r="E505" t="str">
        <f t="shared" si="36"/>
        <v>Bo Thong7</v>
      </c>
      <c r="F505" s="8">
        <f>VLOOKUP(C505,'RAW DATA 2023'!E:BO,23,0)</f>
        <v>56.873226198250762</v>
      </c>
      <c r="G505" s="14">
        <f t="shared" si="37"/>
        <v>18.126773801749238</v>
      </c>
      <c r="H505" s="25">
        <f t="shared" si="38"/>
        <v>3.6253547603498477</v>
      </c>
      <c r="I505" s="80" t="str">
        <f>VLOOKUP(C505,'RAW DATA 2023'!E:BO,36,0)</f>
        <v>ทยอยตาย</v>
      </c>
      <c r="J505">
        <f>VLOOKUP(C505,'RAW DATA 2023'!E:BO,21,0)</f>
        <v>40.960749999999997</v>
      </c>
      <c r="K505" s="268">
        <f t="shared" si="39"/>
        <v>148.49725000000001</v>
      </c>
    </row>
    <row r="506" spans="1:11">
      <c r="A506" t="str">
        <f>'RAW DATA 2023'!B499</f>
        <v>Bo Thong</v>
      </c>
      <c r="B506" t="str">
        <f>'RAW DATA 2023'!D499</f>
        <v>B1-013-0012</v>
      </c>
      <c r="C506" t="str">
        <f t="shared" si="35"/>
        <v>Bo ThongB1-013-0012</v>
      </c>
      <c r="D506">
        <f>VLOOKUP(C506,'RAW DATA 2023'!E:BP,63,0)</f>
        <v>3</v>
      </c>
      <c r="E506" t="str">
        <f t="shared" si="36"/>
        <v>Bo Thong3</v>
      </c>
      <c r="F506" s="8">
        <f>VLOOKUP(C506,'RAW DATA 2023'!E:BO,23,0)</f>
        <v>38.407367830734877</v>
      </c>
      <c r="G506" s="14">
        <f t="shared" si="37"/>
        <v>36.592632169265123</v>
      </c>
      <c r="H506" s="25">
        <f t="shared" si="38"/>
        <v>7.3185264338530249</v>
      </c>
      <c r="I506" s="80" t="str">
        <f>VLOOKUP(C506,'RAW DATA 2023'!E:BO,36,0)</f>
        <v>Normal</v>
      </c>
      <c r="J506">
        <f>VLOOKUP(C506,'RAW DATA 2023'!E:BO,21,0)</f>
        <v>26.586929999999999</v>
      </c>
      <c r="K506" s="268">
        <f t="shared" si="39"/>
        <v>194.57714999999999</v>
      </c>
    </row>
    <row r="507" spans="1:11">
      <c r="A507" t="str">
        <f>'RAW DATA 2023'!B500</f>
        <v>Bo Thong</v>
      </c>
      <c r="B507" t="str">
        <f>'RAW DATA 2023'!D500</f>
        <v>B1-011-0013</v>
      </c>
      <c r="C507" t="str">
        <f t="shared" si="35"/>
        <v>Bo ThongB1-011-0013</v>
      </c>
      <c r="D507">
        <f>VLOOKUP(C507,'RAW DATA 2023'!E:BP,63,0)</f>
        <v>7</v>
      </c>
      <c r="E507" t="str">
        <f t="shared" si="36"/>
        <v>Bo Thong7</v>
      </c>
      <c r="F507" s="8">
        <f>VLOOKUP(C507,'RAW DATA 2023'!E:BO,23,0)</f>
        <v>52.129851512512282</v>
      </c>
      <c r="G507" s="14">
        <f t="shared" si="37"/>
        <v>22.870148487487718</v>
      </c>
      <c r="H507" s="25">
        <f t="shared" si="38"/>
        <v>4.5740296974975436</v>
      </c>
      <c r="I507" s="80" t="str">
        <f>VLOOKUP(C507,'RAW DATA 2023'!E:BO,36,0)</f>
        <v>ทยอยตาย</v>
      </c>
      <c r="J507">
        <f>VLOOKUP(C507,'RAW DATA 2023'!E:BO,21,0)</f>
        <v>30.48405</v>
      </c>
      <c r="K507" s="268">
        <f t="shared" si="39"/>
        <v>139.43494999999999</v>
      </c>
    </row>
    <row r="508" spans="1:11">
      <c r="A508" t="str">
        <f>'RAW DATA 2023'!B501</f>
        <v>Bo Thong</v>
      </c>
      <c r="B508" t="str">
        <f>'RAW DATA 2023'!D501</f>
        <v>BG-001-0012</v>
      </c>
      <c r="C508" t="str">
        <f t="shared" si="35"/>
        <v>Bo ThongBG-001-0012</v>
      </c>
      <c r="D508">
        <f>VLOOKUP(C508,'RAW DATA 2023'!E:BP,63,0)</f>
        <v>7</v>
      </c>
      <c r="E508" t="str">
        <f t="shared" si="36"/>
        <v>Bo Thong7</v>
      </c>
      <c r="F508" s="8">
        <f>VLOOKUP(C508,'RAW DATA 2023'!E:BO,23,0)</f>
        <v>70.882922813274931</v>
      </c>
      <c r="G508" s="14">
        <f t="shared" si="37"/>
        <v>4.1170771867250693</v>
      </c>
      <c r="H508" s="25">
        <f t="shared" si="38"/>
        <v>0.82341543734501388</v>
      </c>
      <c r="I508" s="80" t="str">
        <f>VLOOKUP(C508,'RAW DATA 2023'!E:BO,36,0)</f>
        <v>EHP</v>
      </c>
      <c r="J508">
        <f>VLOOKUP(C508,'RAW DATA 2023'!E:BO,21,0)</f>
        <v>8.0410199999999996</v>
      </c>
      <c r="K508" s="268">
        <f t="shared" si="39"/>
        <v>6.6211000000000029</v>
      </c>
    </row>
    <row r="509" spans="1:11">
      <c r="A509" t="str">
        <f>'RAW DATA 2023'!B502</f>
        <v>Bangsakao</v>
      </c>
      <c r="B509" t="str">
        <f>'RAW DATA 2023'!D502</f>
        <v>DG-005-0025</v>
      </c>
      <c r="C509" t="str">
        <f t="shared" si="35"/>
        <v>BangsakaoDG-005-0025</v>
      </c>
      <c r="D509">
        <f>VLOOKUP(C509,'RAW DATA 2023'!E:BP,63,0)</f>
        <v>5</v>
      </c>
      <c r="E509" t="str">
        <f t="shared" si="36"/>
        <v>Bangsakao5</v>
      </c>
      <c r="F509" s="8">
        <f>VLOOKUP(C509,'RAW DATA 2023'!E:BO,23,0)</f>
        <v>27.485731286151633</v>
      </c>
      <c r="G509" s="14">
        <f t="shared" si="37"/>
        <v>47.514268713848367</v>
      </c>
      <c r="H509" s="25">
        <f t="shared" si="38"/>
        <v>9.5028537427696733</v>
      </c>
      <c r="I509" s="80" t="str">
        <f>VLOOKUP(C509,'RAW DATA 2023'!E:BO,36,0)</f>
        <v>Normal</v>
      </c>
      <c r="J509">
        <f>VLOOKUP(C509,'RAW DATA 2023'!E:BO,21,0)</f>
        <v>21.881790000000002</v>
      </c>
      <c r="K509" s="268">
        <f t="shared" si="39"/>
        <v>207.93945000000002</v>
      </c>
    </row>
    <row r="510" spans="1:11">
      <c r="A510" t="str">
        <f>'RAW DATA 2023'!B503</f>
        <v>Bangsakao</v>
      </c>
      <c r="B510" t="str">
        <f>'RAW DATA 2023'!D503</f>
        <v>DG-002-0025</v>
      </c>
      <c r="C510" t="str">
        <f t="shared" si="35"/>
        <v>BangsakaoDG-002-0025</v>
      </c>
      <c r="D510">
        <f>VLOOKUP(C510,'RAW DATA 2023'!E:BP,63,0)</f>
        <v>8</v>
      </c>
      <c r="E510" t="str">
        <f t="shared" si="36"/>
        <v>Bangsakao8</v>
      </c>
      <c r="F510" s="8">
        <f>VLOOKUP(C510,'RAW DATA 2023'!E:BO,23,0)</f>
        <v>30.04330147547671</v>
      </c>
      <c r="G510" s="14">
        <f t="shared" si="37"/>
        <v>44.95669852452329</v>
      </c>
      <c r="H510" s="25">
        <f t="shared" si="38"/>
        <v>8.9913397049046591</v>
      </c>
      <c r="I510" s="80" t="str">
        <f>VLOOKUP(C510,'RAW DATA 2023'!E:BO,36,0)</f>
        <v>Normal</v>
      </c>
      <c r="J510">
        <f>VLOOKUP(C510,'RAW DATA 2023'!E:BO,21,0)</f>
        <v>19.463540000000002</v>
      </c>
      <c r="K510" s="268">
        <f t="shared" si="39"/>
        <v>175.00330000000005</v>
      </c>
    </row>
    <row r="511" spans="1:11">
      <c r="A511" t="str">
        <f>'RAW DATA 2023'!B504</f>
        <v>Bangsakao</v>
      </c>
      <c r="B511" t="str">
        <f>'RAW DATA 2023'!D504</f>
        <v>DG-004-0023</v>
      </c>
      <c r="C511" t="str">
        <f t="shared" si="35"/>
        <v>BangsakaoDG-004-0023</v>
      </c>
      <c r="D511">
        <f>VLOOKUP(C511,'RAW DATA 2023'!E:BP,63,0)</f>
        <v>6</v>
      </c>
      <c r="E511" t="str">
        <f t="shared" si="36"/>
        <v>Bangsakao6</v>
      </c>
      <c r="F511" s="8">
        <f>VLOOKUP(C511,'RAW DATA 2023'!E:BO,23,0)</f>
        <v>30.684078572515642</v>
      </c>
      <c r="G511" s="14">
        <f t="shared" si="37"/>
        <v>44.315921427484355</v>
      </c>
      <c r="H511" s="25">
        <f t="shared" si="38"/>
        <v>8.863184285496871</v>
      </c>
      <c r="I511" s="80" t="str">
        <f>VLOOKUP(C511,'RAW DATA 2023'!E:BO,36,0)</f>
        <v>Normal</v>
      </c>
      <c r="J511">
        <f>VLOOKUP(C511,'RAW DATA 2023'!E:BO,21,0)</f>
        <v>22.471979999999999</v>
      </c>
      <c r="K511" s="268">
        <f t="shared" si="39"/>
        <v>199.17329999999995</v>
      </c>
    </row>
    <row r="512" spans="1:11">
      <c r="A512" t="str">
        <f>'RAW DATA 2023'!B505</f>
        <v>Bangsakao</v>
      </c>
      <c r="B512" t="str">
        <f>'RAW DATA 2023'!D505</f>
        <v>DG-003-0025</v>
      </c>
      <c r="C512" t="str">
        <f t="shared" si="35"/>
        <v>BangsakaoDG-003-0025</v>
      </c>
      <c r="D512">
        <f>VLOOKUP(C512,'RAW DATA 2023'!E:BP,63,0)</f>
        <v>7</v>
      </c>
      <c r="E512" t="str">
        <f t="shared" si="36"/>
        <v>Bangsakao7</v>
      </c>
      <c r="F512" s="8">
        <f>VLOOKUP(C512,'RAW DATA 2023'!E:BO,23,0)</f>
        <v>31.736890286410368</v>
      </c>
      <c r="G512" s="14">
        <f t="shared" si="37"/>
        <v>43.263109713589628</v>
      </c>
      <c r="H512" s="25">
        <f t="shared" si="38"/>
        <v>8.6526219427179267</v>
      </c>
      <c r="I512" s="80" t="str">
        <f>VLOOKUP(C512,'RAW DATA 2023'!E:BO,36,0)</f>
        <v>Normal</v>
      </c>
      <c r="J512">
        <f>VLOOKUP(C512,'RAW DATA 2023'!E:BO,21,0)</f>
        <v>21.80368</v>
      </c>
      <c r="K512" s="268">
        <f t="shared" si="39"/>
        <v>188.65899999999999</v>
      </c>
    </row>
    <row r="513" spans="1:11">
      <c r="A513" t="str">
        <f>'RAW DATA 2023'!B506</f>
        <v>Bangsakao</v>
      </c>
      <c r="B513" t="str">
        <f>'RAW DATA 2023'!D506</f>
        <v>DG-005-0024</v>
      </c>
      <c r="C513" t="str">
        <f t="shared" si="35"/>
        <v>BangsakaoDG-005-0024</v>
      </c>
      <c r="D513">
        <f>VLOOKUP(C513,'RAW DATA 2023'!E:BP,63,0)</f>
        <v>1</v>
      </c>
      <c r="E513" t="str">
        <f t="shared" si="36"/>
        <v>Bangsakao1</v>
      </c>
      <c r="F513" s="8">
        <f>VLOOKUP(C513,'RAW DATA 2023'!E:BO,23,0)</f>
        <v>32.013498559204109</v>
      </c>
      <c r="G513" s="14">
        <f t="shared" si="37"/>
        <v>42.986501440795891</v>
      </c>
      <c r="H513" s="25">
        <f t="shared" si="38"/>
        <v>8.5973002881591789</v>
      </c>
      <c r="I513" s="80" t="str">
        <f>VLOOKUP(C513,'RAW DATA 2023'!E:BO,36,0)</f>
        <v>Normal</v>
      </c>
      <c r="J513">
        <f>VLOOKUP(C513,'RAW DATA 2023'!E:BO,21,0)</f>
        <v>18.253799999999998</v>
      </c>
      <c r="K513" s="268">
        <f t="shared" si="39"/>
        <v>156.93340000000001</v>
      </c>
    </row>
    <row r="514" spans="1:11">
      <c r="A514" t="str">
        <f>'RAW DATA 2023'!B507</f>
        <v>Bangsakao</v>
      </c>
      <c r="B514" t="str">
        <f>'RAW DATA 2023'!D507</f>
        <v>DG-006-0026</v>
      </c>
      <c r="C514" t="str">
        <f t="shared" si="35"/>
        <v>BangsakaoDG-006-0026</v>
      </c>
      <c r="D514">
        <f>VLOOKUP(C514,'RAW DATA 2023'!E:BP,63,0)</f>
        <v>6</v>
      </c>
      <c r="E514" t="str">
        <f t="shared" si="36"/>
        <v>Bangsakao6</v>
      </c>
      <c r="F514" s="8">
        <f>VLOOKUP(C514,'RAW DATA 2023'!E:BO,23,0)</f>
        <v>41.870969754278136</v>
      </c>
      <c r="G514" s="14">
        <f t="shared" si="37"/>
        <v>33.129030245721864</v>
      </c>
      <c r="H514" s="25">
        <f t="shared" si="38"/>
        <v>6.6258060491443729</v>
      </c>
      <c r="I514" s="80" t="str">
        <f>VLOOKUP(C514,'RAW DATA 2023'!E:BO,36,0)</f>
        <v>EHP</v>
      </c>
      <c r="J514">
        <f>VLOOKUP(C514,'RAW DATA 2023'!E:BO,21,0)</f>
        <v>12.182879999999999</v>
      </c>
      <c r="K514" s="268">
        <f t="shared" si="39"/>
        <v>80.721399999999988</v>
      </c>
    </row>
    <row r="515" spans="1:11">
      <c r="A515" t="str">
        <f>'RAW DATA 2023'!B508</f>
        <v>Bangsakao</v>
      </c>
      <c r="B515" t="str">
        <f>'RAW DATA 2023'!D508</f>
        <v>DG-004-0022</v>
      </c>
      <c r="C515" t="str">
        <f t="shared" si="35"/>
        <v>BangsakaoDG-004-0022</v>
      </c>
      <c r="D515">
        <f>VLOOKUP(C515,'RAW DATA 2023'!E:BP,63,0)</f>
        <v>2</v>
      </c>
      <c r="E515" t="str">
        <f t="shared" si="36"/>
        <v>Bangsakao2</v>
      </c>
      <c r="F515" s="8">
        <f>VLOOKUP(C515,'RAW DATA 2023'!E:BO,23,0)</f>
        <v>32.083297465630302</v>
      </c>
      <c r="G515" s="14">
        <f t="shared" si="37"/>
        <v>42.916702534369698</v>
      </c>
      <c r="H515" s="25">
        <f t="shared" si="38"/>
        <v>8.5833405068739399</v>
      </c>
      <c r="I515" s="80" t="str">
        <f>VLOOKUP(C515,'RAW DATA 2023'!E:BO,36,0)</f>
        <v>Normal</v>
      </c>
      <c r="J515">
        <f>VLOOKUP(C515,'RAW DATA 2023'!E:BO,21,0)</f>
        <v>19.7485</v>
      </c>
      <c r="K515" s="268">
        <f t="shared" si="39"/>
        <v>169.50810000000001</v>
      </c>
    </row>
    <row r="516" spans="1:11">
      <c r="A516" t="str">
        <f>'RAW DATA 2023'!B509</f>
        <v>Bangsakao</v>
      </c>
      <c r="B516" t="str">
        <f>'RAW DATA 2023'!D509</f>
        <v>DG-006-0025</v>
      </c>
      <c r="C516" t="str">
        <f t="shared" si="35"/>
        <v>BangsakaoDG-006-0025</v>
      </c>
      <c r="D516">
        <f>VLOOKUP(C516,'RAW DATA 2023'!E:BP,63,0)</f>
        <v>3</v>
      </c>
      <c r="E516" t="str">
        <f t="shared" si="36"/>
        <v>Bangsakao3</v>
      </c>
      <c r="F516" s="8">
        <f>VLOOKUP(C516,'RAW DATA 2023'!E:BO,23,0)</f>
        <v>31.932920707074679</v>
      </c>
      <c r="G516" s="14">
        <f t="shared" si="37"/>
        <v>43.067079292925321</v>
      </c>
      <c r="H516" s="25">
        <f t="shared" si="38"/>
        <v>8.6134158585850642</v>
      </c>
      <c r="I516" s="80" t="str">
        <f>VLOOKUP(C516,'RAW DATA 2023'!E:BO,36,0)</f>
        <v>Normal</v>
      </c>
      <c r="J516">
        <f>VLOOKUP(C516,'RAW DATA 2023'!E:BO,21,0)</f>
        <v>22.887540000000001</v>
      </c>
      <c r="K516" s="268">
        <f t="shared" si="39"/>
        <v>197.13990000000001</v>
      </c>
    </row>
    <row r="517" spans="1:11">
      <c r="A517" t="str">
        <f>'RAW DATA 2023'!B510</f>
        <v>Bangsakao</v>
      </c>
      <c r="B517" t="str">
        <f>'RAW DATA 2023'!D510</f>
        <v>DG-001-0026</v>
      </c>
      <c r="C517" t="str">
        <f t="shared" si="35"/>
        <v>BangsakaoDG-001-0026</v>
      </c>
      <c r="D517">
        <f>VLOOKUP(C517,'RAW DATA 2023'!E:BP,63,0)</f>
        <v>1</v>
      </c>
      <c r="E517" t="str">
        <f t="shared" si="36"/>
        <v>Bangsakao1</v>
      </c>
      <c r="F517" s="8">
        <f>VLOOKUP(C517,'RAW DATA 2023'!E:BO,23,0)</f>
        <v>33.579635158423415</v>
      </c>
      <c r="G517" s="14">
        <f t="shared" si="37"/>
        <v>41.420364841576585</v>
      </c>
      <c r="H517" s="25">
        <f t="shared" si="38"/>
        <v>8.2840729683153178</v>
      </c>
      <c r="I517" s="80" t="str">
        <f>VLOOKUP(C517,'RAW DATA 2023'!E:BO,36,0)</f>
        <v>Normal</v>
      </c>
      <c r="J517">
        <f>VLOOKUP(C517,'RAW DATA 2023'!E:BO,21,0)</f>
        <v>19.64798</v>
      </c>
      <c r="K517" s="268">
        <f t="shared" si="39"/>
        <v>162.7653</v>
      </c>
    </row>
    <row r="518" spans="1:11">
      <c r="A518" t="str">
        <f>'RAW DATA 2023'!B511</f>
        <v>Bangsakao</v>
      </c>
      <c r="B518" t="str">
        <f>'RAW DATA 2023'!D511</f>
        <v>DG-003-0024</v>
      </c>
      <c r="C518" t="str">
        <f t="shared" si="35"/>
        <v>BangsakaoDG-003-0024</v>
      </c>
      <c r="D518">
        <f>VLOOKUP(C518,'RAW DATA 2023'!E:BP,63,0)</f>
        <v>2</v>
      </c>
      <c r="E518" t="str">
        <f t="shared" si="36"/>
        <v>Bangsakao2</v>
      </c>
      <c r="F518" s="8">
        <f>VLOOKUP(C518,'RAW DATA 2023'!E:BO,23,0)</f>
        <v>32.183350599813664</v>
      </c>
      <c r="G518" s="14">
        <f t="shared" si="37"/>
        <v>42.816649400186336</v>
      </c>
      <c r="H518" s="25">
        <f t="shared" si="38"/>
        <v>8.5633298800372675</v>
      </c>
      <c r="I518" s="80" t="str">
        <f>VLOOKUP(C518,'RAW DATA 2023'!E:BO,36,0)</f>
        <v>Normal</v>
      </c>
      <c r="J518">
        <f>VLOOKUP(C518,'RAW DATA 2023'!E:BO,21,0)</f>
        <v>18.021429999999999</v>
      </c>
      <c r="K518" s="268">
        <f t="shared" si="39"/>
        <v>154.32345000000001</v>
      </c>
    </row>
    <row r="519" spans="1:11">
      <c r="A519" t="str">
        <f>'RAW DATA 2023'!B512</f>
        <v>Bangsakao</v>
      </c>
      <c r="B519" t="str">
        <f>'RAW DATA 2023'!D512</f>
        <v>DG-002-0024</v>
      </c>
      <c r="C519" t="str">
        <f t="shared" si="35"/>
        <v>BangsakaoDG-002-0024</v>
      </c>
      <c r="D519">
        <f>VLOOKUP(C519,'RAW DATA 2023'!E:BP,63,0)</f>
        <v>3</v>
      </c>
      <c r="E519" t="str">
        <f t="shared" si="36"/>
        <v>Bangsakao3</v>
      </c>
      <c r="F519" s="8">
        <f>VLOOKUP(C519,'RAW DATA 2023'!E:BO,23,0)</f>
        <v>31.494782777833549</v>
      </c>
      <c r="G519" s="14">
        <f t="shared" si="37"/>
        <v>43.505217222166451</v>
      </c>
      <c r="H519" s="25">
        <f t="shared" si="38"/>
        <v>8.7010434444332905</v>
      </c>
      <c r="I519" s="80" t="str">
        <f>VLOOKUP(C519,'RAW DATA 2023'!E:BO,36,0)</f>
        <v>Normal</v>
      </c>
      <c r="J519">
        <f>VLOOKUP(C519,'RAW DATA 2023'!E:BO,21,0)</f>
        <v>25.500160000000001</v>
      </c>
      <c r="K519" s="268">
        <f t="shared" si="39"/>
        <v>221.87800000000001</v>
      </c>
    </row>
    <row r="520" spans="1:11">
      <c r="A520" t="str">
        <f>'RAW DATA 2023'!B513</f>
        <v>Bangsakao</v>
      </c>
      <c r="B520" t="str">
        <f>'RAW DATA 2023'!D513</f>
        <v>DG-001-0027</v>
      </c>
      <c r="C520" t="str">
        <f t="shared" si="35"/>
        <v>BangsakaoDG-001-0027</v>
      </c>
      <c r="D520">
        <f>VLOOKUP(C520,'RAW DATA 2023'!E:BP,63,0)</f>
        <v>6</v>
      </c>
      <c r="E520" t="str">
        <f t="shared" si="36"/>
        <v>Bangsakao6</v>
      </c>
      <c r="F520" s="8">
        <f>VLOOKUP(C520,'RAW DATA 2023'!E:BO,23,0)</f>
        <v>27.613147866838581</v>
      </c>
      <c r="G520" s="14">
        <f t="shared" si="37"/>
        <v>47.386852133161419</v>
      </c>
      <c r="H520" s="25">
        <f t="shared" si="38"/>
        <v>9.4773704266322838</v>
      </c>
      <c r="I520" s="80" t="str">
        <f>VLOOKUP(C520,'RAW DATA 2023'!E:BO,36,0)</f>
        <v>Normal</v>
      </c>
      <c r="J520">
        <f>VLOOKUP(C520,'RAW DATA 2023'!E:BO,21,0)</f>
        <v>27.859119999999997</v>
      </c>
      <c r="K520" s="268">
        <f t="shared" si="39"/>
        <v>264.03119999999996</v>
      </c>
    </row>
    <row r="521" spans="1:11">
      <c r="A521" t="str">
        <f>'RAW DATA 2023'!B514</f>
        <v>Bangsakao</v>
      </c>
      <c r="B521" t="str">
        <f>'RAW DATA 2023'!D514</f>
        <v>CG-009-0024</v>
      </c>
      <c r="C521" t="str">
        <f t="shared" si="35"/>
        <v>BangsakaoCG-009-0024</v>
      </c>
      <c r="D521">
        <f>VLOOKUP(C521,'RAW DATA 2023'!E:BP,63,0)</f>
        <v>1</v>
      </c>
      <c r="E521" t="str">
        <f t="shared" si="36"/>
        <v>Bangsakao1</v>
      </c>
      <c r="F521" s="8">
        <f>VLOOKUP(C521,'RAW DATA 2023'!E:BO,23,0)</f>
        <v>34.55179380091009</v>
      </c>
      <c r="G521" s="14">
        <f t="shared" si="37"/>
        <v>40.44820619908991</v>
      </c>
      <c r="H521" s="25">
        <f t="shared" si="38"/>
        <v>8.0896412398179827</v>
      </c>
      <c r="I521" s="80" t="str">
        <f>VLOOKUP(C521,'RAW DATA 2023'!E:BO,36,0)</f>
        <v>Normal</v>
      </c>
      <c r="J521">
        <f>VLOOKUP(C521,'RAW DATA 2023'!E:BO,21,0)</f>
        <v>27.353369999999998</v>
      </c>
      <c r="K521" s="268">
        <f t="shared" si="39"/>
        <v>221.27895000000001</v>
      </c>
    </row>
    <row r="522" spans="1:11">
      <c r="A522" t="str">
        <f>'RAW DATA 2023'!B515</f>
        <v>Bangsakao</v>
      </c>
      <c r="B522" t="str">
        <f>'RAW DATA 2023'!D515</f>
        <v>CG-008-0029</v>
      </c>
      <c r="C522" t="str">
        <f t="shared" ref="C522:C585" si="40">A522&amp;B522</f>
        <v>BangsakaoCG-008-0029</v>
      </c>
      <c r="D522">
        <f>VLOOKUP(C522,'RAW DATA 2023'!E:BP,63,0)</f>
        <v>6</v>
      </c>
      <c r="E522" t="str">
        <f t="shared" ref="E522:E585" si="41">A522&amp;D522</f>
        <v>Bangsakao6</v>
      </c>
      <c r="F522" s="8">
        <f>VLOOKUP(C522,'RAW DATA 2023'!E:BO,23,0)</f>
        <v>48.619189296094383</v>
      </c>
      <c r="G522" s="14">
        <f t="shared" si="37"/>
        <v>26.380810703905617</v>
      </c>
      <c r="H522" s="25">
        <f t="shared" si="38"/>
        <v>5.2761621407811239</v>
      </c>
      <c r="I522" s="80" t="str">
        <f>VLOOKUP(C522,'RAW DATA 2023'!E:BO,36,0)</f>
        <v>EHP</v>
      </c>
      <c r="J522">
        <f>VLOOKUP(C522,'RAW DATA 2023'!E:BO,21,0)</f>
        <v>17.444099999999999</v>
      </c>
      <c r="K522" s="268">
        <f t="shared" si="39"/>
        <v>92.037899999999993</v>
      </c>
    </row>
    <row r="523" spans="1:11">
      <c r="A523" t="str">
        <f>'RAW DATA 2023'!B516</f>
        <v>Bangsakao</v>
      </c>
      <c r="B523" t="str">
        <f>'RAW DATA 2023'!D516</f>
        <v>CG-004-0025</v>
      </c>
      <c r="C523" t="str">
        <f t="shared" si="40"/>
        <v>BangsakaoCG-004-0025</v>
      </c>
      <c r="D523">
        <f>VLOOKUP(C523,'RAW DATA 2023'!E:BP,63,0)</f>
        <v>4</v>
      </c>
      <c r="E523" t="str">
        <f t="shared" si="41"/>
        <v>Bangsakao4</v>
      </c>
      <c r="F523" s="8">
        <f>VLOOKUP(C523,'RAW DATA 2023'!E:BO,23,0)</f>
        <v>42.874628014447936</v>
      </c>
      <c r="G523" s="14">
        <f t="shared" ref="G523:G586" si="42">IF(F523=0,0,$B$2-F523)</f>
        <v>32.125371985552064</v>
      </c>
      <c r="H523" s="25">
        <f t="shared" ref="H523:H586" si="43">G523*$B$6</f>
        <v>6.4250743971104134</v>
      </c>
      <c r="I523" s="80" t="str">
        <f>VLOOKUP(C523,'RAW DATA 2023'!E:BO,36,0)</f>
        <v>WFD</v>
      </c>
      <c r="J523">
        <f>VLOOKUP(C523,'RAW DATA 2023'!E:BO,21,0)</f>
        <v>37.729959999999998</v>
      </c>
      <c r="K523" s="268">
        <f t="shared" ref="K523:K586" si="44">H523*J523</f>
        <v>242.4178</v>
      </c>
    </row>
    <row r="524" spans="1:11">
      <c r="A524" t="str">
        <f>'RAW DATA 2023'!B517</f>
        <v>Bangsakao</v>
      </c>
      <c r="B524" t="str">
        <f>'RAW DATA 2023'!D517</f>
        <v>CG-009-0025</v>
      </c>
      <c r="C524" t="str">
        <f t="shared" si="40"/>
        <v>BangsakaoCG-009-0025</v>
      </c>
      <c r="D524">
        <f>VLOOKUP(C524,'RAW DATA 2023'!E:BP,63,0)</f>
        <v>6</v>
      </c>
      <c r="E524" t="str">
        <f t="shared" si="41"/>
        <v>Bangsakao6</v>
      </c>
      <c r="F524" s="8">
        <f>VLOOKUP(C524,'RAW DATA 2023'!E:BO,23,0)</f>
        <v>33.758433207205002</v>
      </c>
      <c r="G524" s="14">
        <f t="shared" si="42"/>
        <v>41.241566792794998</v>
      </c>
      <c r="H524" s="25">
        <f t="shared" si="43"/>
        <v>8.2483133585590007</v>
      </c>
      <c r="I524" s="80" t="str">
        <f>VLOOKUP(C524,'RAW DATA 2023'!E:BO,36,0)</f>
        <v>Normal</v>
      </c>
      <c r="J524">
        <f>VLOOKUP(C524,'RAW DATA 2023'!E:BO,21,0)</f>
        <v>36.790570000000002</v>
      </c>
      <c r="K524" s="268">
        <f t="shared" si="44"/>
        <v>303.46015000000006</v>
      </c>
    </row>
    <row r="525" spans="1:11">
      <c r="A525" t="str">
        <f>'RAW DATA 2023'!B518</f>
        <v>Bangsakao</v>
      </c>
      <c r="B525" t="str">
        <f>'RAW DATA 2023'!D518</f>
        <v>CG-008-0030</v>
      </c>
      <c r="C525" t="str">
        <f t="shared" si="40"/>
        <v>BangsakaoCG-008-0030</v>
      </c>
      <c r="D525">
        <f>VLOOKUP(C525,'RAW DATA 2023'!E:BP,63,0)</f>
        <v>12</v>
      </c>
      <c r="E525" t="str">
        <f t="shared" si="41"/>
        <v>Bangsakao12</v>
      </c>
      <c r="F525" s="8">
        <f>VLOOKUP(C525,'RAW DATA 2023'!E:BO,23,0)</f>
        <v>36.005094754577378</v>
      </c>
      <c r="G525" s="14">
        <f t="shared" si="42"/>
        <v>38.994905245422622</v>
      </c>
      <c r="H525" s="25">
        <f t="shared" si="43"/>
        <v>7.7989810490845244</v>
      </c>
      <c r="I525" s="80" t="str">
        <f>VLOOKUP(C525,'RAW DATA 2023'!E:BO,36,0)</f>
        <v>Normal</v>
      </c>
      <c r="J525">
        <f>VLOOKUP(C525,'RAW DATA 2023'!E:BO,21,0)</f>
        <v>32.833769999999994</v>
      </c>
      <c r="K525" s="268">
        <f t="shared" si="44"/>
        <v>256.06994999999995</v>
      </c>
    </row>
    <row r="526" spans="1:11">
      <c r="A526" t="str">
        <f>'RAW DATA 2023'!B519</f>
        <v>Bangsakao</v>
      </c>
      <c r="B526" t="str">
        <f>'RAW DATA 2023'!D519</f>
        <v>CG-002-0028</v>
      </c>
      <c r="C526" t="str">
        <f t="shared" si="40"/>
        <v>BangsakaoCG-002-0028</v>
      </c>
      <c r="D526">
        <f>VLOOKUP(C526,'RAW DATA 2023'!E:BP,63,0)</f>
        <v>6</v>
      </c>
      <c r="E526" t="str">
        <f t="shared" si="41"/>
        <v>Bangsakao6</v>
      </c>
      <c r="F526" s="8">
        <f>VLOOKUP(C526,'RAW DATA 2023'!E:BO,23,0)</f>
        <v>40.716125780341898</v>
      </c>
      <c r="G526" s="14">
        <f t="shared" si="42"/>
        <v>34.283874219658102</v>
      </c>
      <c r="H526" s="25">
        <f t="shared" si="43"/>
        <v>6.8567748439316212</v>
      </c>
      <c r="I526" s="80" t="str">
        <f>VLOOKUP(C526,'RAW DATA 2023'!E:BO,36,0)</f>
        <v>Normal</v>
      </c>
      <c r="J526">
        <f>VLOOKUP(C526,'RAW DATA 2023'!E:BO,21,0)</f>
        <v>30.076560000000001</v>
      </c>
      <c r="K526" s="268">
        <f t="shared" si="44"/>
        <v>206.22820000000004</v>
      </c>
    </row>
    <row r="527" spans="1:11">
      <c r="A527" t="str">
        <f>'RAW DATA 2023'!B520</f>
        <v>Bangsakao</v>
      </c>
      <c r="B527" t="str">
        <f>'RAW DATA 2023'!D520</f>
        <v>CG-003-0025</v>
      </c>
      <c r="C527" t="str">
        <f t="shared" si="40"/>
        <v>BangsakaoCG-003-0025</v>
      </c>
      <c r="D527">
        <f>VLOOKUP(C527,'RAW DATA 2023'!E:BP,63,0)</f>
        <v>1</v>
      </c>
      <c r="E527" t="str">
        <f t="shared" si="41"/>
        <v>Bangsakao1</v>
      </c>
      <c r="F527" s="8">
        <f>VLOOKUP(C527,'RAW DATA 2023'!E:BO,23,0)</f>
        <v>39.52090217164546</v>
      </c>
      <c r="G527" s="14">
        <f t="shared" si="42"/>
        <v>35.47909782835454</v>
      </c>
      <c r="H527" s="25">
        <f t="shared" si="43"/>
        <v>7.095819565670908</v>
      </c>
      <c r="I527" s="80" t="str">
        <f>VLOOKUP(C527,'RAW DATA 2023'!E:BO,36,0)</f>
        <v>Normal</v>
      </c>
      <c r="J527">
        <f>VLOOKUP(C527,'RAW DATA 2023'!E:BO,21,0)</f>
        <v>35.66328</v>
      </c>
      <c r="K527" s="268">
        <f t="shared" si="44"/>
        <v>253.06019999999998</v>
      </c>
    </row>
    <row r="528" spans="1:11">
      <c r="A528" t="str">
        <f>'RAW DATA 2023'!B521</f>
        <v>Bangsakao</v>
      </c>
      <c r="B528" t="str">
        <f>'RAW DATA 2023'!D521</f>
        <v>CG-006-0028</v>
      </c>
      <c r="C528" t="str">
        <f t="shared" si="40"/>
        <v>BangsakaoCG-006-0028</v>
      </c>
      <c r="D528">
        <f>VLOOKUP(C528,'RAW DATA 2023'!E:BP,63,0)</f>
        <v>2</v>
      </c>
      <c r="E528" t="str">
        <f t="shared" si="41"/>
        <v>Bangsakao2</v>
      </c>
      <c r="F528" s="8">
        <f>VLOOKUP(C528,'RAW DATA 2023'!E:BO,23,0)</f>
        <v>38.750882944094485</v>
      </c>
      <c r="G528" s="14">
        <f t="shared" si="42"/>
        <v>36.249117055905515</v>
      </c>
      <c r="H528" s="25">
        <f t="shared" si="43"/>
        <v>7.2498234111811035</v>
      </c>
      <c r="I528" s="80" t="str">
        <f>VLOOKUP(C528,'RAW DATA 2023'!E:BO,36,0)</f>
        <v>Normal</v>
      </c>
      <c r="J528">
        <f>VLOOKUP(C528,'RAW DATA 2023'!E:BO,21,0)</f>
        <v>42.14593</v>
      </c>
      <c r="K528" s="268">
        <f t="shared" si="44"/>
        <v>305.55054999999999</v>
      </c>
    </row>
    <row r="529" spans="1:11">
      <c r="A529" t="str">
        <f>'RAW DATA 2023'!B522</f>
        <v>Bangsakao</v>
      </c>
      <c r="B529" t="str">
        <f>'RAW DATA 2023'!D522</f>
        <v>CG-003-0026</v>
      </c>
      <c r="C529" t="str">
        <f t="shared" si="40"/>
        <v>BangsakaoCG-003-0026</v>
      </c>
      <c r="D529">
        <f>VLOOKUP(C529,'RAW DATA 2023'!E:BP,63,0)</f>
        <v>4</v>
      </c>
      <c r="E529" t="str">
        <f t="shared" si="41"/>
        <v>Bangsakao4</v>
      </c>
      <c r="F529" s="8">
        <f>VLOOKUP(C529,'RAW DATA 2023'!E:BO,23,0)</f>
        <v>55.178015649358997</v>
      </c>
      <c r="G529" s="14">
        <f t="shared" si="42"/>
        <v>19.821984350641003</v>
      </c>
      <c r="H529" s="25">
        <f t="shared" si="43"/>
        <v>3.9643968701282009</v>
      </c>
      <c r="I529" s="80" t="str">
        <f>VLOOKUP(C529,'RAW DATA 2023'!E:BO,36,0)</f>
        <v>WFD</v>
      </c>
      <c r="J529">
        <f>VLOOKUP(C529,'RAW DATA 2023'!E:BO,21,0)</f>
        <v>26.844549999999998</v>
      </c>
      <c r="K529" s="268">
        <f t="shared" si="44"/>
        <v>106.42244999999998</v>
      </c>
    </row>
    <row r="530" spans="1:11">
      <c r="A530" t="str">
        <f>'RAW DATA 2023'!B523</f>
        <v>Bangsakao</v>
      </c>
      <c r="B530" t="str">
        <f>'RAW DATA 2023'!D523</f>
        <v>DG-001-0028</v>
      </c>
      <c r="C530" t="str">
        <f t="shared" si="40"/>
        <v>BangsakaoDG-001-0028</v>
      </c>
      <c r="D530">
        <f>VLOOKUP(C530,'RAW DATA 2023'!E:BP,63,0)</f>
        <v>11</v>
      </c>
      <c r="E530" t="str">
        <f t="shared" si="41"/>
        <v>Bangsakao11</v>
      </c>
      <c r="F530" s="8">
        <f>VLOOKUP(C530,'RAW DATA 2023'!E:BO,23,0)</f>
        <v>36.361927238544766</v>
      </c>
      <c r="G530" s="14">
        <f t="shared" si="42"/>
        <v>38.638072761455234</v>
      </c>
      <c r="H530" s="25">
        <f t="shared" si="43"/>
        <v>7.7276145522910475</v>
      </c>
      <c r="I530" s="80" t="str">
        <f>VLOOKUP(C530,'RAW DATA 2023'!E:BO,36,0)</f>
        <v>Normal</v>
      </c>
      <c r="J530">
        <f>VLOOKUP(C530,'RAW DATA 2023'!E:BO,21,0)</f>
        <v>14.999700000000001</v>
      </c>
      <c r="K530" s="268">
        <f t="shared" si="44"/>
        <v>115.91190000000003</v>
      </c>
    </row>
    <row r="531" spans="1:11">
      <c r="A531" t="str">
        <f>'RAW DATA 2023'!B524</f>
        <v>Bangsakao</v>
      </c>
      <c r="B531" t="str">
        <f>'RAW DATA 2023'!D524</f>
        <v>DG-005-0026</v>
      </c>
      <c r="C531" t="str">
        <f t="shared" si="40"/>
        <v>BangsakaoDG-005-0026</v>
      </c>
      <c r="D531">
        <f>VLOOKUP(C531,'RAW DATA 2023'!E:BP,63,0)</f>
        <v>11</v>
      </c>
      <c r="E531" t="str">
        <f t="shared" si="41"/>
        <v>Bangsakao11</v>
      </c>
      <c r="F531" s="8">
        <f>VLOOKUP(C531,'RAW DATA 2023'!E:BO,23,0)</f>
        <v>36.02385120605593</v>
      </c>
      <c r="G531" s="14">
        <f t="shared" si="42"/>
        <v>38.97614879394407</v>
      </c>
      <c r="H531" s="25">
        <f t="shared" si="43"/>
        <v>7.795229758788814</v>
      </c>
      <c r="I531" s="80" t="str">
        <f>VLOOKUP(C531,'RAW DATA 2023'!E:BO,36,0)</f>
        <v>Normal</v>
      </c>
      <c r="J531">
        <f>VLOOKUP(C531,'RAW DATA 2023'!E:BO,21,0)</f>
        <v>14.560270000000001</v>
      </c>
      <c r="K531" s="268">
        <f t="shared" si="44"/>
        <v>113.50065000000001</v>
      </c>
    </row>
    <row r="532" spans="1:11">
      <c r="A532" t="str">
        <f>'RAW DATA 2023'!B525</f>
        <v>Bangsakao</v>
      </c>
      <c r="B532" t="str">
        <f>'RAW DATA 2023'!D525</f>
        <v>DG-002-0026</v>
      </c>
      <c r="C532" t="str">
        <f t="shared" si="40"/>
        <v>BangsakaoDG-002-0026</v>
      </c>
      <c r="D532">
        <f>VLOOKUP(C532,'RAW DATA 2023'!E:BP,63,0)</f>
        <v>12</v>
      </c>
      <c r="E532" t="str">
        <f t="shared" si="41"/>
        <v>Bangsakao12</v>
      </c>
      <c r="F532" s="8">
        <f>VLOOKUP(C532,'RAW DATA 2023'!E:BO,23,0)</f>
        <v>38.112620488207263</v>
      </c>
      <c r="G532" s="14">
        <f t="shared" si="42"/>
        <v>36.887379511792737</v>
      </c>
      <c r="H532" s="25">
        <f t="shared" si="43"/>
        <v>7.3774759023585474</v>
      </c>
      <c r="I532" s="80" t="str">
        <f>VLOOKUP(C532,'RAW DATA 2023'!E:BO,36,0)</f>
        <v>Normal</v>
      </c>
      <c r="J532">
        <f>VLOOKUP(C532,'RAW DATA 2023'!E:BO,21,0)</f>
        <v>13.286569999999999</v>
      </c>
      <c r="K532" s="268">
        <f t="shared" si="44"/>
        <v>98.021349999999998</v>
      </c>
    </row>
    <row r="533" spans="1:11">
      <c r="A533" t="str">
        <f>'RAW DATA 2023'!B526</f>
        <v>Bangsakao</v>
      </c>
      <c r="B533" t="str">
        <f>'RAW DATA 2023'!D526</f>
        <v>DG-006-0027</v>
      </c>
      <c r="C533" t="str">
        <f t="shared" si="40"/>
        <v>BangsakaoDG-006-0027</v>
      </c>
      <c r="D533">
        <f>VLOOKUP(C533,'RAW DATA 2023'!E:BP,63,0)</f>
        <v>11</v>
      </c>
      <c r="E533" t="str">
        <f t="shared" si="41"/>
        <v>Bangsakao11</v>
      </c>
      <c r="F533" s="8">
        <f>VLOOKUP(C533,'RAW DATA 2023'!E:BO,23,0)</f>
        <v>35.399082612131309</v>
      </c>
      <c r="G533" s="14">
        <f t="shared" si="42"/>
        <v>39.600917387868691</v>
      </c>
      <c r="H533" s="25">
        <f t="shared" si="43"/>
        <v>7.9201834775737385</v>
      </c>
      <c r="I533" s="80" t="str">
        <f>VLOOKUP(C533,'RAW DATA 2023'!E:BO,36,0)</f>
        <v>Normal</v>
      </c>
      <c r="J533">
        <f>VLOOKUP(C533,'RAW DATA 2023'!E:BO,21,0)</f>
        <v>15.88205</v>
      </c>
      <c r="K533" s="268">
        <f t="shared" si="44"/>
        <v>125.78874999999999</v>
      </c>
    </row>
    <row r="534" spans="1:11">
      <c r="A534" t="str">
        <f>'RAW DATA 2023'!B527</f>
        <v>Bangsakao</v>
      </c>
      <c r="B534" t="str">
        <f>'RAW DATA 2023'!D527</f>
        <v>CG-006-0031</v>
      </c>
      <c r="C534" t="str">
        <f t="shared" si="40"/>
        <v>BangsakaoCG-006-0031</v>
      </c>
      <c r="D534">
        <f>VLOOKUP(C534,'RAW DATA 2023'!E:BP,63,0)</f>
        <v>12</v>
      </c>
      <c r="E534" t="str">
        <f t="shared" si="41"/>
        <v>Bangsakao12</v>
      </c>
      <c r="F534" s="8">
        <f>VLOOKUP(C534,'RAW DATA 2023'!E:BO,23,0)</f>
        <v>44.371484643741844</v>
      </c>
      <c r="G534" s="14">
        <f t="shared" si="42"/>
        <v>30.628515356258156</v>
      </c>
      <c r="H534" s="25">
        <f t="shared" si="43"/>
        <v>6.1257030712516318</v>
      </c>
      <c r="I534" s="80" t="str">
        <f>VLOOKUP(C534,'RAW DATA 2023'!E:BO,36,0)</f>
        <v>Normal</v>
      </c>
      <c r="J534">
        <f>VLOOKUP(C534,'RAW DATA 2023'!E:BO,21,0)</f>
        <v>31.556189999999997</v>
      </c>
      <c r="K534" s="268">
        <f t="shared" si="44"/>
        <v>193.30385000000001</v>
      </c>
    </row>
    <row r="535" spans="1:11">
      <c r="A535" t="str">
        <f>'RAW DATA 2023'!B528</f>
        <v>Bangsakao</v>
      </c>
      <c r="B535" t="str">
        <f>'RAW DATA 2023'!D528</f>
        <v>CG-008-0028</v>
      </c>
      <c r="C535" t="str">
        <f t="shared" si="40"/>
        <v>BangsakaoCG-008-0028</v>
      </c>
      <c r="D535">
        <f>VLOOKUP(C535,'RAW DATA 2023'!E:BP,63,0)</f>
        <v>4</v>
      </c>
      <c r="E535" t="str">
        <f t="shared" si="41"/>
        <v>Bangsakao4</v>
      </c>
      <c r="F535" s="8">
        <f>VLOOKUP(C535,'RAW DATA 2023'!E:BO,23,0)</f>
        <v>33.350722060110847</v>
      </c>
      <c r="G535" s="14">
        <f t="shared" si="42"/>
        <v>41.649277939889153</v>
      </c>
      <c r="H535" s="25">
        <f t="shared" si="43"/>
        <v>8.3298555879778302</v>
      </c>
      <c r="I535" s="80" t="str">
        <f>VLOOKUP(C535,'RAW DATA 2023'!E:BO,36,0)</f>
        <v>Normal</v>
      </c>
      <c r="J535">
        <f>VLOOKUP(C535,'RAW DATA 2023'!E:BO,21,0)</f>
        <v>38.166489999999996</v>
      </c>
      <c r="K535" s="268">
        <f t="shared" si="44"/>
        <v>317.92134999999996</v>
      </c>
    </row>
    <row r="536" spans="1:11">
      <c r="A536" t="str">
        <f>'RAW DATA 2023'!B529</f>
        <v>Bangsakao</v>
      </c>
      <c r="B536" t="str">
        <f>'RAW DATA 2023'!D529</f>
        <v>CG-002-0027</v>
      </c>
      <c r="C536" t="str">
        <f t="shared" si="40"/>
        <v>BangsakaoCG-002-0027</v>
      </c>
      <c r="D536">
        <f>VLOOKUP(C536,'RAW DATA 2023'!E:BP,63,0)</f>
        <v>3</v>
      </c>
      <c r="E536" t="str">
        <f t="shared" si="41"/>
        <v>Bangsakao3</v>
      </c>
      <c r="F536" s="8">
        <f>VLOOKUP(C536,'RAW DATA 2023'!E:BO,23,0)</f>
        <v>35.993496294722071</v>
      </c>
      <c r="G536" s="14">
        <f t="shared" si="42"/>
        <v>39.006503705277929</v>
      </c>
      <c r="H536" s="25">
        <f t="shared" si="43"/>
        <v>7.8013007410555861</v>
      </c>
      <c r="I536" s="80" t="str">
        <f>VLOOKUP(C536,'RAW DATA 2023'!E:BO,36,0)</f>
        <v>Normal</v>
      </c>
      <c r="J536">
        <f>VLOOKUP(C536,'RAW DATA 2023'!E:BO,21,0)</f>
        <v>34.349650000000004</v>
      </c>
      <c r="K536" s="268">
        <f t="shared" si="44"/>
        <v>267.97195000000005</v>
      </c>
    </row>
    <row r="537" spans="1:11">
      <c r="A537" t="str">
        <f>'RAW DATA 2023'!B530</f>
        <v>Bangsakao</v>
      </c>
      <c r="B537" t="str">
        <f>'RAW DATA 2023'!D530</f>
        <v>CG-007-0024</v>
      </c>
      <c r="C537" t="str">
        <f t="shared" si="40"/>
        <v>BangsakaoCG-007-0024</v>
      </c>
      <c r="D537">
        <f>VLOOKUP(C537,'RAW DATA 2023'!E:BP,63,0)</f>
        <v>3</v>
      </c>
      <c r="E537" t="str">
        <f t="shared" si="41"/>
        <v>Bangsakao3</v>
      </c>
      <c r="F537" s="8">
        <f>VLOOKUP(C537,'RAW DATA 2023'!E:BO,23,0)</f>
        <v>36.029682702772824</v>
      </c>
      <c r="G537" s="14">
        <f t="shared" si="42"/>
        <v>38.970317297227176</v>
      </c>
      <c r="H537" s="25">
        <f t="shared" si="43"/>
        <v>7.7940634594454359</v>
      </c>
      <c r="I537" s="80" t="str">
        <f>VLOOKUP(C537,'RAW DATA 2023'!E:BO,36,0)</f>
        <v>Normal</v>
      </c>
      <c r="J537">
        <f>VLOOKUP(C537,'RAW DATA 2023'!E:BO,21,0)</f>
        <v>32.837980000000002</v>
      </c>
      <c r="K537" s="268">
        <f t="shared" si="44"/>
        <v>255.94130000000004</v>
      </c>
    </row>
    <row r="538" spans="1:11">
      <c r="A538" t="str">
        <f>'RAW DATA 2023'!B531</f>
        <v>Bangsakao</v>
      </c>
      <c r="B538" t="str">
        <f>'RAW DATA 2023'!D531</f>
        <v>CG-007-0025</v>
      </c>
      <c r="C538" t="str">
        <f t="shared" si="40"/>
        <v>BangsakaoCG-007-0025</v>
      </c>
      <c r="D538">
        <f>VLOOKUP(C538,'RAW DATA 2023'!E:BP,63,0)</f>
        <v>6</v>
      </c>
      <c r="E538" t="str">
        <f t="shared" si="41"/>
        <v>Bangsakao6</v>
      </c>
      <c r="F538" s="8">
        <f>VLOOKUP(C538,'RAW DATA 2023'!E:BO,23,0)</f>
        <v>73.001579202724599</v>
      </c>
      <c r="G538" s="14">
        <f t="shared" si="42"/>
        <v>1.9984207972754007</v>
      </c>
      <c r="H538" s="25">
        <f t="shared" si="43"/>
        <v>0.39968415945508018</v>
      </c>
      <c r="I538" s="80" t="str">
        <f>VLOOKUP(C538,'RAW DATA 2023'!E:BO,36,0)</f>
        <v>EHP</v>
      </c>
      <c r="J538">
        <f>VLOOKUP(C538,'RAW DATA 2023'!E:BO,21,0)</f>
        <v>12.613959999999999</v>
      </c>
      <c r="K538" s="268">
        <f t="shared" si="44"/>
        <v>5.0416000000000025</v>
      </c>
    </row>
    <row r="539" spans="1:11">
      <c r="A539" t="str">
        <f>'RAW DATA 2023'!B532</f>
        <v>Bangsakao</v>
      </c>
      <c r="B539" t="str">
        <f>'RAW DATA 2023'!D532</f>
        <v>DG-004-0024</v>
      </c>
      <c r="C539" t="str">
        <f t="shared" si="40"/>
        <v>BangsakaoDG-004-0024</v>
      </c>
      <c r="D539">
        <f>VLOOKUP(C539,'RAW DATA 2023'!E:BP,63,0)</f>
        <v>12</v>
      </c>
      <c r="E539" t="str">
        <f t="shared" si="41"/>
        <v>Bangsakao12</v>
      </c>
      <c r="F539" s="8">
        <f>VLOOKUP(C539,'RAW DATA 2023'!E:BO,23,0)</f>
        <v>39.646963080615407</v>
      </c>
      <c r="G539" s="14">
        <f t="shared" si="42"/>
        <v>35.353036919384593</v>
      </c>
      <c r="H539" s="25">
        <f t="shared" si="43"/>
        <v>7.0706073838769186</v>
      </c>
      <c r="I539" s="80" t="str">
        <f>VLOOKUP(C539,'RAW DATA 2023'!E:BO,36,0)</f>
        <v>Normal</v>
      </c>
      <c r="J539">
        <f>VLOOKUP(C539,'RAW DATA 2023'!E:BO,21,0)</f>
        <v>14.241569999999999</v>
      </c>
      <c r="K539" s="268">
        <f t="shared" si="44"/>
        <v>100.69655</v>
      </c>
    </row>
    <row r="540" spans="1:11">
      <c r="A540" t="str">
        <f>'RAW DATA 2023'!B533</f>
        <v>Bangsakao</v>
      </c>
      <c r="B540" t="str">
        <f>'RAW DATA 2023'!D533</f>
        <v>DG-003-0026</v>
      </c>
      <c r="C540" t="str">
        <f t="shared" si="40"/>
        <v>BangsakaoDG-003-0026</v>
      </c>
      <c r="D540">
        <f>VLOOKUP(C540,'RAW DATA 2023'!E:BP,63,0)</f>
        <v>12</v>
      </c>
      <c r="E540" t="str">
        <f t="shared" si="41"/>
        <v>Bangsakao12</v>
      </c>
      <c r="F540" s="8">
        <f>VLOOKUP(C540,'RAW DATA 2023'!E:BO,23,0)</f>
        <v>41.733003564820152</v>
      </c>
      <c r="G540" s="14">
        <f t="shared" si="42"/>
        <v>33.266996435179848</v>
      </c>
      <c r="H540" s="25">
        <f t="shared" si="43"/>
        <v>6.6533992870359704</v>
      </c>
      <c r="I540" s="80" t="str">
        <f>VLOOKUP(C540,'RAW DATA 2023'!E:BO,36,0)</f>
        <v>Normal</v>
      </c>
      <c r="J540">
        <f>VLOOKUP(C540,'RAW DATA 2023'!E:BO,21,0)</f>
        <v>13.61359</v>
      </c>
      <c r="K540" s="268">
        <f t="shared" si="44"/>
        <v>90.576650000000015</v>
      </c>
    </row>
    <row r="541" spans="1:11">
      <c r="A541" t="str">
        <f>'RAW DATA 2023'!B534</f>
        <v>Bangsakao</v>
      </c>
      <c r="B541" t="str">
        <f>'RAW DATA 2023'!D534</f>
        <v>CG-006-0029</v>
      </c>
      <c r="C541" t="str">
        <f t="shared" si="40"/>
        <v>BangsakaoCG-006-0029</v>
      </c>
      <c r="D541">
        <f>VLOOKUP(C541,'RAW DATA 2023'!E:BP,63,0)</f>
        <v>5</v>
      </c>
      <c r="E541" t="str">
        <f t="shared" si="41"/>
        <v>Bangsakao5</v>
      </c>
      <c r="F541" s="8">
        <f>VLOOKUP(C541,'RAW DATA 2023'!E:BO,23,0)</f>
        <v>61.335194089423617</v>
      </c>
      <c r="G541" s="14">
        <f t="shared" si="42"/>
        <v>13.664805910576383</v>
      </c>
      <c r="H541" s="25">
        <f t="shared" si="43"/>
        <v>2.7329611821152771</v>
      </c>
      <c r="I541" s="80" t="str">
        <f>VLOOKUP(C541,'RAW DATA 2023'!E:BO,36,0)</f>
        <v>WFD</v>
      </c>
      <c r="J541">
        <f>VLOOKUP(C541,'RAW DATA 2023'!E:BO,21,0)</f>
        <v>23.295189999999998</v>
      </c>
      <c r="K541" s="268">
        <f t="shared" si="44"/>
        <v>63.664849999999973</v>
      </c>
    </row>
    <row r="542" spans="1:11">
      <c r="A542" t="str">
        <f>'RAW DATA 2023'!B535</f>
        <v>Bangsakao</v>
      </c>
      <c r="B542" t="str">
        <f>'RAW DATA 2023'!D535</f>
        <v>CG-009-0026</v>
      </c>
      <c r="C542" t="str">
        <f t="shared" si="40"/>
        <v>BangsakaoCG-009-0026</v>
      </c>
      <c r="D542">
        <f>VLOOKUP(C542,'RAW DATA 2023'!E:BP,63,0)</f>
        <v>12</v>
      </c>
      <c r="E542" t="str">
        <f t="shared" si="41"/>
        <v>Bangsakao12</v>
      </c>
      <c r="F542" s="8">
        <f>VLOOKUP(C542,'RAW DATA 2023'!E:BO,23,0)</f>
        <v>47.11608777899324</v>
      </c>
      <c r="G542" s="14">
        <f t="shared" si="42"/>
        <v>27.88391222100676</v>
      </c>
      <c r="H542" s="25">
        <f t="shared" si="43"/>
        <v>5.5767824442013527</v>
      </c>
      <c r="I542" s="80" t="str">
        <f>VLOOKUP(C542,'RAW DATA 2023'!E:BO,36,0)</f>
        <v>Normal</v>
      </c>
      <c r="J542">
        <f>VLOOKUP(C542,'RAW DATA 2023'!E:BO,21,0)</f>
        <v>19.855319999999999</v>
      </c>
      <c r="K542" s="268">
        <f t="shared" si="44"/>
        <v>110.72879999999999</v>
      </c>
    </row>
    <row r="543" spans="1:11">
      <c r="A543" t="str">
        <f>'RAW DATA 2023'!B536</f>
        <v>Bangsakao</v>
      </c>
      <c r="B543" t="str">
        <f>'RAW DATA 2023'!D536</f>
        <v>CG-004-0026</v>
      </c>
      <c r="C543" t="str">
        <f t="shared" si="40"/>
        <v>BangsakaoCG-004-0026</v>
      </c>
      <c r="D543">
        <f>VLOOKUP(C543,'RAW DATA 2023'!E:BP,63,0)</f>
        <v>7</v>
      </c>
      <c r="E543" t="str">
        <f t="shared" si="41"/>
        <v>Bangsakao7</v>
      </c>
      <c r="F543" s="8">
        <f>VLOOKUP(C543,'RAW DATA 2023'!E:BO,23,0)</f>
        <v>139</v>
      </c>
      <c r="G543" s="14">
        <f t="shared" si="42"/>
        <v>-64</v>
      </c>
      <c r="H543" s="25">
        <f t="shared" si="43"/>
        <v>-12.8</v>
      </c>
      <c r="I543" s="80" t="str">
        <f>VLOOKUP(C543,'RAW DATA 2023'!E:BO,36,0)</f>
        <v>EHP</v>
      </c>
      <c r="J543">
        <f>VLOOKUP(C543,'RAW DATA 2023'!E:BO,21,0)</f>
        <v>11.429</v>
      </c>
      <c r="K543" s="268">
        <f t="shared" si="44"/>
        <v>-146.2912</v>
      </c>
    </row>
    <row r="544" spans="1:11">
      <c r="A544" t="str">
        <f>'RAW DATA 2023'!B537</f>
        <v>Bangsakao</v>
      </c>
      <c r="B544" t="str">
        <f>'RAW DATA 2023'!D537</f>
        <v>CG-003-0027</v>
      </c>
      <c r="C544" t="str">
        <f t="shared" si="40"/>
        <v>BangsakaoCG-003-0027</v>
      </c>
      <c r="D544">
        <f>VLOOKUP(C544,'RAW DATA 2023'!E:BP,63,0)</f>
        <v>7</v>
      </c>
      <c r="E544" t="str">
        <f t="shared" si="41"/>
        <v>Bangsakao7</v>
      </c>
      <c r="F544" s="8">
        <f>VLOOKUP(C544,'RAW DATA 2023'!E:BO,23,0)</f>
        <v>139.00003119784111</v>
      </c>
      <c r="G544" s="14">
        <f t="shared" si="42"/>
        <v>-64.00003119784111</v>
      </c>
      <c r="H544" s="25">
        <f t="shared" si="43"/>
        <v>-12.800006239568223</v>
      </c>
      <c r="I544" s="80" t="str">
        <f>VLOOKUP(C544,'RAW DATA 2023'!E:BO,36,0)</f>
        <v>WFD</v>
      </c>
      <c r="J544">
        <f>VLOOKUP(C544,'RAW DATA 2023'!E:BO,21,0)</f>
        <v>12.821399999999999</v>
      </c>
      <c r="K544" s="268">
        <f t="shared" si="44"/>
        <v>-164.114</v>
      </c>
    </row>
    <row r="545" spans="1:11">
      <c r="A545" t="str">
        <f>'RAW DATA 2023'!B538</f>
        <v>Bangsakao</v>
      </c>
      <c r="B545" t="str">
        <f>'RAW DATA 2023'!D538</f>
        <v>B1-006-0013</v>
      </c>
      <c r="C545" t="str">
        <f t="shared" si="40"/>
        <v>BangsakaoB1-006-0013</v>
      </c>
      <c r="D545">
        <f>VLOOKUP(C545,'RAW DATA 2023'!E:BP,63,0)</f>
        <v>6</v>
      </c>
      <c r="E545" t="str">
        <f t="shared" si="41"/>
        <v>Bangsakao6</v>
      </c>
      <c r="F545" s="8">
        <f>VLOOKUP(C545,'RAW DATA 2023'!E:BO,23,0)</f>
        <v>55.248698646783275</v>
      </c>
      <c r="G545" s="14">
        <f t="shared" si="42"/>
        <v>19.751301353216725</v>
      </c>
      <c r="H545" s="25">
        <f t="shared" si="43"/>
        <v>3.9502602706433452</v>
      </c>
      <c r="I545" s="80" t="str">
        <f>VLOOKUP(C545,'RAW DATA 2023'!E:BO,36,0)</f>
        <v>EHP</v>
      </c>
      <c r="J545">
        <f>VLOOKUP(C545,'RAW DATA 2023'!E:BO,21,0)</f>
        <v>31.476849999999999</v>
      </c>
      <c r="K545" s="268">
        <f t="shared" si="44"/>
        <v>124.34174999999998</v>
      </c>
    </row>
    <row r="546" spans="1:11">
      <c r="A546" t="str">
        <f>'RAW DATA 2023'!B539</f>
        <v>Bangsakao</v>
      </c>
      <c r="B546" t="str">
        <f>'RAW DATA 2023'!D539</f>
        <v>B1-003-0010</v>
      </c>
      <c r="C546" t="str">
        <f t="shared" si="40"/>
        <v>BangsakaoB1-003-0010</v>
      </c>
      <c r="D546">
        <f>VLOOKUP(C546,'RAW DATA 2023'!E:BP,63,0)</f>
        <v>3</v>
      </c>
      <c r="E546" t="str">
        <f t="shared" si="41"/>
        <v>Bangsakao3</v>
      </c>
      <c r="F546" s="8">
        <f>VLOOKUP(C546,'RAW DATA 2023'!E:BO,23,0)</f>
        <v>93.000082142591708</v>
      </c>
      <c r="G546" s="14">
        <f t="shared" si="42"/>
        <v>-18.000082142591708</v>
      </c>
      <c r="H546" s="25">
        <f t="shared" si="43"/>
        <v>-3.6000164285183418</v>
      </c>
      <c r="I546" s="80" t="str">
        <f>VLOOKUP(C546,'RAW DATA 2023'!E:BO,36,0)</f>
        <v>WSSV</v>
      </c>
      <c r="J546">
        <f>VLOOKUP(C546,'RAW DATA 2023'!E:BO,21,0)</f>
        <v>5.1130600000000008</v>
      </c>
      <c r="K546" s="268">
        <f t="shared" si="44"/>
        <v>-18.407099999999996</v>
      </c>
    </row>
    <row r="547" spans="1:11">
      <c r="A547" t="str">
        <f>'RAW DATA 2023'!B540</f>
        <v>Bangsakao</v>
      </c>
      <c r="B547" t="str">
        <f>'RAW DATA 2023'!D540</f>
        <v>B1-003-0009</v>
      </c>
      <c r="C547" t="str">
        <f t="shared" si="40"/>
        <v>BangsakaoB1-003-0009</v>
      </c>
      <c r="D547">
        <f>VLOOKUP(C547,'RAW DATA 2023'!E:BP,63,0)</f>
        <v>1</v>
      </c>
      <c r="E547" t="str">
        <f t="shared" si="41"/>
        <v>Bangsakao1</v>
      </c>
      <c r="F547" s="8">
        <f>VLOOKUP(C547,'RAW DATA 2023'!E:BO,23,0)</f>
        <v>89.000028255771241</v>
      </c>
      <c r="G547" s="14">
        <f t="shared" si="42"/>
        <v>-14.000028255771241</v>
      </c>
      <c r="H547" s="25">
        <f t="shared" si="43"/>
        <v>-2.8000056511542484</v>
      </c>
      <c r="I547" s="80" t="str">
        <f>VLOOKUP(C547,'RAW DATA 2023'!E:BO,36,0)</f>
        <v>WSSV</v>
      </c>
      <c r="J547">
        <f>VLOOKUP(C547,'RAW DATA 2023'!E:BO,21,0)</f>
        <v>10.263389999999999</v>
      </c>
      <c r="K547" s="268">
        <f t="shared" si="44"/>
        <v>-28.737549999999999</v>
      </c>
    </row>
    <row r="548" spans="1:11">
      <c r="A548" t="str">
        <f>'RAW DATA 2023'!B541</f>
        <v>Bangsakao</v>
      </c>
      <c r="B548" t="str">
        <f>'RAW DATA 2023'!D541</f>
        <v>B1-006-0015</v>
      </c>
      <c r="C548" t="str">
        <f t="shared" si="40"/>
        <v>BangsakaoB1-006-0015</v>
      </c>
      <c r="D548">
        <f>VLOOKUP(C548,'RAW DATA 2023'!E:BP,63,0)</f>
        <v>9</v>
      </c>
      <c r="E548" t="str">
        <f t="shared" si="41"/>
        <v>Bangsakao9</v>
      </c>
      <c r="F548" s="8">
        <f>VLOOKUP(C548,'RAW DATA 2023'!E:BO,23,0)</f>
        <v>0</v>
      </c>
      <c r="G548" s="14">
        <f t="shared" si="42"/>
        <v>0</v>
      </c>
      <c r="H548" s="25">
        <f t="shared" si="43"/>
        <v>0</v>
      </c>
      <c r="I548" s="80" t="str">
        <f>VLOOKUP(C548,'RAW DATA 2023'!E:BO,36,0)</f>
        <v>WSSV</v>
      </c>
      <c r="J548">
        <f>VLOOKUP(C548,'RAW DATA 2023'!E:BO,21,0)</f>
        <v>0</v>
      </c>
      <c r="K548" s="268">
        <f t="shared" si="44"/>
        <v>0</v>
      </c>
    </row>
    <row r="549" spans="1:11">
      <c r="A549" t="str">
        <f>'RAW DATA 2023'!B542</f>
        <v>Rayong3</v>
      </c>
      <c r="B549" t="str">
        <f>'RAW DATA 2023'!D542</f>
        <v>D1-030-0017</v>
      </c>
      <c r="C549" t="str">
        <f t="shared" si="40"/>
        <v>Rayong3D1-030-0017</v>
      </c>
      <c r="D549">
        <f>VLOOKUP(C549,'RAW DATA 2023'!E:BP,63,0)</f>
        <v>8</v>
      </c>
      <c r="E549" t="str">
        <f t="shared" si="41"/>
        <v>Rayong38</v>
      </c>
      <c r="F549" s="8">
        <f>VLOOKUP(C549,'RAW DATA 2023'!E:BO,23,0)</f>
        <v>29.466307642846594</v>
      </c>
      <c r="G549" s="14">
        <f t="shared" si="42"/>
        <v>45.533692357153406</v>
      </c>
      <c r="H549" s="25">
        <f t="shared" si="43"/>
        <v>9.1067384714306812</v>
      </c>
      <c r="I549" s="80" t="str">
        <f>VLOOKUP(C549,'RAW DATA 2023'!E:BO,36,0)</f>
        <v>Normal</v>
      </c>
      <c r="J549">
        <f>VLOOKUP(C549,'RAW DATA 2023'!E:BO,21,0)</f>
        <v>98.010210000000001</v>
      </c>
      <c r="K549" s="268">
        <f t="shared" si="44"/>
        <v>892.55335000000002</v>
      </c>
    </row>
    <row r="550" spans="1:11">
      <c r="A550" t="str">
        <f>'RAW DATA 2023'!B543</f>
        <v>Rayong3</v>
      </c>
      <c r="B550" t="str">
        <f>'RAW DATA 2023'!D543</f>
        <v>D1-031-0041</v>
      </c>
      <c r="C550" t="str">
        <f t="shared" si="40"/>
        <v>Rayong3D1-031-0041</v>
      </c>
      <c r="D550">
        <f>VLOOKUP(C550,'RAW DATA 2023'!E:BP,63,0)</f>
        <v>4</v>
      </c>
      <c r="E550" t="str">
        <f t="shared" si="41"/>
        <v>Rayong34</v>
      </c>
      <c r="F550" s="8">
        <f>VLOOKUP(C550,'RAW DATA 2023'!E:BO,23,0)</f>
        <v>26.22436020963579</v>
      </c>
      <c r="G550" s="14">
        <f t="shared" si="42"/>
        <v>48.77563979036421</v>
      </c>
      <c r="H550" s="25">
        <f t="shared" si="43"/>
        <v>9.7551279580728423</v>
      </c>
      <c r="I550" s="80" t="str">
        <f>VLOOKUP(C550,'RAW DATA 2023'!E:BO,36,0)</f>
        <v>Normal</v>
      </c>
      <c r="J550">
        <f>VLOOKUP(C550,'RAW DATA 2023'!E:BO,21,0)</f>
        <v>63.309800000000003</v>
      </c>
      <c r="K550" s="268">
        <f t="shared" si="44"/>
        <v>617.59520000000009</v>
      </c>
    </row>
    <row r="551" spans="1:11">
      <c r="A551" t="str">
        <f>'RAW DATA 2023'!B544</f>
        <v>Rayong3</v>
      </c>
      <c r="B551" t="str">
        <f>'RAW DATA 2023'!D544</f>
        <v>D1-047-0011</v>
      </c>
      <c r="C551" t="str">
        <f t="shared" si="40"/>
        <v>Rayong3D1-047-0011</v>
      </c>
      <c r="D551">
        <f>VLOOKUP(C551,'RAW DATA 2023'!E:BP,63,0)</f>
        <v>2</v>
      </c>
      <c r="E551" t="str">
        <f t="shared" si="41"/>
        <v>Rayong32</v>
      </c>
      <c r="F551" s="8">
        <f>VLOOKUP(C551,'RAW DATA 2023'!E:BO,23,0)</f>
        <v>31.179788535147257</v>
      </c>
      <c r="G551" s="14">
        <f t="shared" si="42"/>
        <v>43.820211464852747</v>
      </c>
      <c r="H551" s="25">
        <f t="shared" si="43"/>
        <v>8.764042292970549</v>
      </c>
      <c r="I551" s="80" t="str">
        <f>VLOOKUP(C551,'RAW DATA 2023'!E:BO,36,0)</f>
        <v>Normal</v>
      </c>
      <c r="J551">
        <f>VLOOKUP(C551,'RAW DATA 2023'!E:BO,21,0)</f>
        <v>21.19312</v>
      </c>
      <c r="K551" s="268">
        <f t="shared" si="44"/>
        <v>185.73740000000001</v>
      </c>
    </row>
    <row r="552" spans="1:11">
      <c r="A552" t="str">
        <f>'RAW DATA 2023'!B545</f>
        <v>Rayong3</v>
      </c>
      <c r="B552" t="str">
        <f>'RAW DATA 2023'!D545</f>
        <v>D1-046-0011</v>
      </c>
      <c r="C552" t="str">
        <f t="shared" si="40"/>
        <v>Rayong3D1-046-0011</v>
      </c>
      <c r="D552">
        <f>VLOOKUP(C552,'RAW DATA 2023'!E:BP,63,0)</f>
        <v>3</v>
      </c>
      <c r="E552" t="str">
        <f t="shared" si="41"/>
        <v>Rayong33</v>
      </c>
      <c r="F552" s="8">
        <f>VLOOKUP(C552,'RAW DATA 2023'!E:BO,23,0)</f>
        <v>29.232089060910159</v>
      </c>
      <c r="G552" s="14">
        <f t="shared" si="42"/>
        <v>45.767910939089845</v>
      </c>
      <c r="H552" s="25">
        <f t="shared" si="43"/>
        <v>9.1535821878179693</v>
      </c>
      <c r="I552" s="80" t="str">
        <f>VLOOKUP(C552,'RAW DATA 2023'!E:BO,36,0)</f>
        <v>Normal</v>
      </c>
      <c r="J552">
        <f>VLOOKUP(C552,'RAW DATA 2023'!E:BO,21,0)</f>
        <v>20.550429999999999</v>
      </c>
      <c r="K552" s="268">
        <f t="shared" si="44"/>
        <v>188.11005000000003</v>
      </c>
    </row>
    <row r="553" spans="1:11">
      <c r="A553" t="str">
        <f>'RAW DATA 2023'!B546</f>
        <v>Rayong3</v>
      </c>
      <c r="B553" t="str">
        <f>'RAW DATA 2023'!D546</f>
        <v>D1-030-0016</v>
      </c>
      <c r="C553" t="str">
        <f t="shared" si="40"/>
        <v>Rayong3D1-030-0016</v>
      </c>
      <c r="D553">
        <f>VLOOKUP(C553,'RAW DATA 2023'!E:BP,63,0)</f>
        <v>3</v>
      </c>
      <c r="E553" t="str">
        <f t="shared" si="41"/>
        <v>Rayong33</v>
      </c>
      <c r="F553" s="8">
        <f>VLOOKUP(C553,'RAW DATA 2023'!E:BO,23,0)</f>
        <v>26.563111027307258</v>
      </c>
      <c r="G553" s="14">
        <f t="shared" si="42"/>
        <v>48.436888972692742</v>
      </c>
      <c r="H553" s="25">
        <f t="shared" si="43"/>
        <v>9.6873777945385484</v>
      </c>
      <c r="I553" s="80" t="str">
        <f>VLOOKUP(C553,'RAW DATA 2023'!E:BO,36,0)</f>
        <v>Normal</v>
      </c>
      <c r="J553">
        <f>VLOOKUP(C553,'RAW DATA 2023'!E:BO,21,0)</f>
        <v>54.518839999999997</v>
      </c>
      <c r="K553" s="268">
        <f t="shared" si="44"/>
        <v>528.14459999999997</v>
      </c>
    </row>
    <row r="554" spans="1:11">
      <c r="A554" t="str">
        <f>'RAW DATA 2023'!B547</f>
        <v>Rayong3</v>
      </c>
      <c r="B554" t="str">
        <f>'RAW DATA 2023'!D547</f>
        <v>D1-031-0042</v>
      </c>
      <c r="C554" t="str">
        <f t="shared" si="40"/>
        <v>Rayong3D1-031-0042</v>
      </c>
      <c r="D554">
        <f>VLOOKUP(C554,'RAW DATA 2023'!E:BP,63,0)</f>
        <v>8</v>
      </c>
      <c r="E554" t="str">
        <f t="shared" si="41"/>
        <v>Rayong38</v>
      </c>
      <c r="F554" s="8">
        <f>VLOOKUP(C554,'RAW DATA 2023'!E:BO,23,0)</f>
        <v>124.00335859713981</v>
      </c>
      <c r="G554" s="14">
        <f t="shared" si="42"/>
        <v>-49.003358597139808</v>
      </c>
      <c r="H554" s="25">
        <f t="shared" si="43"/>
        <v>-9.800671719427962</v>
      </c>
      <c r="I554" s="80" t="str">
        <f>VLOOKUP(C554,'RAW DATA 2023'!E:BO,36,0)</f>
        <v>EHP</v>
      </c>
      <c r="J554">
        <f>VLOOKUP(C554,'RAW DATA 2023'!E:BO,21,0)</f>
        <v>26.010860000000001</v>
      </c>
      <c r="K554" s="268">
        <f t="shared" si="44"/>
        <v>-254.9239</v>
      </c>
    </row>
    <row r="555" spans="1:11">
      <c r="A555" t="str">
        <f>'RAW DATA 2023'!B548</f>
        <v>Rayong3</v>
      </c>
      <c r="B555" t="str">
        <f>'RAW DATA 2023'!D548</f>
        <v>C1-016-0037</v>
      </c>
      <c r="C555" t="str">
        <f t="shared" si="40"/>
        <v>Rayong3C1-016-0037</v>
      </c>
      <c r="D555">
        <f>VLOOKUP(C555,'RAW DATA 2023'!E:BP,63,0)</f>
        <v>5</v>
      </c>
      <c r="E555" t="str">
        <f t="shared" si="41"/>
        <v>Rayong35</v>
      </c>
      <c r="F555" s="8">
        <f>VLOOKUP(C555,'RAW DATA 2023'!E:BO,23,0)</f>
        <v>32.950229654258486</v>
      </c>
      <c r="G555" s="14">
        <f t="shared" si="42"/>
        <v>42.049770345741514</v>
      </c>
      <c r="H555" s="25">
        <f t="shared" si="43"/>
        <v>8.4099540691483039</v>
      </c>
      <c r="I555" s="80" t="str">
        <f>VLOOKUP(C555,'RAW DATA 2023'!E:BO,36,0)</f>
        <v>Normal</v>
      </c>
      <c r="J555">
        <f>VLOOKUP(C555,'RAW DATA 2023'!E:BO,21,0)</f>
        <v>100.50542999999999</v>
      </c>
      <c r="K555" s="268">
        <f t="shared" si="44"/>
        <v>845.24604999999997</v>
      </c>
    </row>
    <row r="556" spans="1:11">
      <c r="A556" t="str">
        <f>'RAW DATA 2023'!B549</f>
        <v>Rayong3</v>
      </c>
      <c r="B556" t="str">
        <f>'RAW DATA 2023'!D549</f>
        <v>C1-005-0001</v>
      </c>
      <c r="C556" t="str">
        <f t="shared" si="40"/>
        <v>Rayong3C1-005-0001</v>
      </c>
      <c r="D556">
        <f>VLOOKUP(C556,'RAW DATA 2023'!E:BP,63,0)</f>
        <v>12</v>
      </c>
      <c r="E556" t="str">
        <f t="shared" si="41"/>
        <v>Rayong312</v>
      </c>
      <c r="F556" s="8">
        <f>VLOOKUP(C556,'RAW DATA 2023'!E:BO,23,0)</f>
        <v>90.000896089353276</v>
      </c>
      <c r="G556" s="14">
        <f t="shared" si="42"/>
        <v>-15.000896089353276</v>
      </c>
      <c r="H556" s="25">
        <f t="shared" si="43"/>
        <v>-3.0001792178706554</v>
      </c>
      <c r="I556" s="80" t="str">
        <f>VLOOKUP(C556,'RAW DATA 2023'!E:BO,36,0)</f>
        <v>EHP</v>
      </c>
      <c r="J556">
        <f>VLOOKUP(C556,'RAW DATA 2023'!E:BO,21,0)</f>
        <v>31.916460000000001</v>
      </c>
      <c r="K556" s="268">
        <f t="shared" si="44"/>
        <v>-95.755100000000056</v>
      </c>
    </row>
    <row r="557" spans="1:11">
      <c r="A557" t="str">
        <f>'RAW DATA 2023'!B550</f>
        <v>Rayong3</v>
      </c>
      <c r="B557" t="str">
        <f>'RAW DATA 2023'!D550</f>
        <v>C1-016-0038</v>
      </c>
      <c r="C557" t="str">
        <f t="shared" si="40"/>
        <v>Rayong3C1-016-0038</v>
      </c>
      <c r="D557">
        <f>VLOOKUP(C557,'RAW DATA 2023'!E:BP,63,0)</f>
        <v>8</v>
      </c>
      <c r="E557" t="str">
        <f t="shared" si="41"/>
        <v>Rayong38</v>
      </c>
      <c r="F557" s="8">
        <f>VLOOKUP(C557,'RAW DATA 2023'!E:BO,23,0)</f>
        <v>96.999615695958269</v>
      </c>
      <c r="G557" s="14">
        <f t="shared" si="42"/>
        <v>-21.999615695958269</v>
      </c>
      <c r="H557" s="25">
        <f t="shared" si="43"/>
        <v>-4.399923139191654</v>
      </c>
      <c r="I557" s="80" t="str">
        <f>VLOOKUP(C557,'RAW DATA 2023'!E:BO,36,0)</f>
        <v>EHP</v>
      </c>
      <c r="J557">
        <f>VLOOKUP(C557,'RAW DATA 2023'!E:BO,21,0)</f>
        <v>30.574750000000002</v>
      </c>
      <c r="K557" s="268">
        <f t="shared" si="44"/>
        <v>-134.52655000000004</v>
      </c>
    </row>
    <row r="558" spans="1:11">
      <c r="A558" t="str">
        <f>'RAW DATA 2023'!B551</f>
        <v>Rayong3</v>
      </c>
      <c r="B558" t="str">
        <f>'RAW DATA 2023'!D551</f>
        <v>A1-042-0009</v>
      </c>
      <c r="C558" t="str">
        <f t="shared" si="40"/>
        <v>Rayong3A1-042-0009</v>
      </c>
      <c r="D558">
        <f>VLOOKUP(C558,'RAW DATA 2023'!E:BP,63,0)</f>
        <v>8</v>
      </c>
      <c r="E558" t="str">
        <f t="shared" si="41"/>
        <v>Rayong38</v>
      </c>
      <c r="F558" s="8">
        <f>VLOOKUP(C558,'RAW DATA 2023'!E:BO,23,0)</f>
        <v>32.883013576615944</v>
      </c>
      <c r="G558" s="14">
        <f t="shared" si="42"/>
        <v>42.116986423384056</v>
      </c>
      <c r="H558" s="25">
        <f t="shared" si="43"/>
        <v>8.4233972846768115</v>
      </c>
      <c r="I558" s="80" t="str">
        <f>VLOOKUP(C558,'RAW DATA 2023'!E:BO,36,0)</f>
        <v>Normal</v>
      </c>
      <c r="J558">
        <f>VLOOKUP(C558,'RAW DATA 2023'!E:BO,21,0)</f>
        <v>22.678699999999999</v>
      </c>
      <c r="K558" s="268">
        <f t="shared" si="44"/>
        <v>191.0317</v>
      </c>
    </row>
    <row r="559" spans="1:11">
      <c r="A559" t="str">
        <f>'RAW DATA 2023'!B552</f>
        <v>Rayong3</v>
      </c>
      <c r="B559" t="str">
        <f>'RAW DATA 2023'!D552</f>
        <v>A1-005-0028</v>
      </c>
      <c r="C559" t="str">
        <f t="shared" si="40"/>
        <v>Rayong3A1-005-0028</v>
      </c>
      <c r="D559">
        <f>VLOOKUP(C559,'RAW DATA 2023'!E:BP,63,0)</f>
        <v>8</v>
      </c>
      <c r="E559" t="str">
        <f t="shared" si="41"/>
        <v>Rayong38</v>
      </c>
      <c r="F559" s="8">
        <f>VLOOKUP(C559,'RAW DATA 2023'!E:BO,23,0)</f>
        <v>89.755143175430973</v>
      </c>
      <c r="G559" s="14">
        <f t="shared" si="42"/>
        <v>-14.755143175430973</v>
      </c>
      <c r="H559" s="25">
        <f t="shared" si="43"/>
        <v>-2.9510286350861947</v>
      </c>
      <c r="I559" s="80" t="str">
        <f>VLOOKUP(C559,'RAW DATA 2023'!E:BO,36,0)</f>
        <v>EHP</v>
      </c>
      <c r="J559">
        <f>VLOOKUP(C559,'RAW DATA 2023'!E:BO,21,0)</f>
        <v>33.330089999999998</v>
      </c>
      <c r="K559" s="268">
        <f t="shared" si="44"/>
        <v>-98.35805000000002</v>
      </c>
    </row>
    <row r="560" spans="1:11">
      <c r="A560" t="str">
        <f>'RAW DATA 2023'!B553</f>
        <v>Rayong3</v>
      </c>
      <c r="B560" t="str">
        <f>'RAW DATA 2023'!D553</f>
        <v>A1-023-0031</v>
      </c>
      <c r="C560" t="str">
        <f t="shared" si="40"/>
        <v>Rayong3A1-023-0031</v>
      </c>
      <c r="D560">
        <f>VLOOKUP(C560,'RAW DATA 2023'!E:BP,63,0)</f>
        <v>4</v>
      </c>
      <c r="E560" t="str">
        <f t="shared" si="41"/>
        <v>Rayong34</v>
      </c>
      <c r="F560" s="8">
        <f>VLOOKUP(C560,'RAW DATA 2023'!E:BO,23,0)</f>
        <v>24.266162521676694</v>
      </c>
      <c r="G560" s="14">
        <f t="shared" si="42"/>
        <v>50.733837478323309</v>
      </c>
      <c r="H560" s="25">
        <f t="shared" si="43"/>
        <v>10.146767495664662</v>
      </c>
      <c r="I560" s="80" t="str">
        <f>VLOOKUP(C560,'RAW DATA 2023'!E:BO,36,0)</f>
        <v>Normal</v>
      </c>
      <c r="J560">
        <f>VLOOKUP(C560,'RAW DATA 2023'!E:BO,21,0)</f>
        <v>47.631800000000005</v>
      </c>
      <c r="K560" s="268">
        <f t="shared" si="44"/>
        <v>483.30880000000008</v>
      </c>
    </row>
    <row r="561" spans="1:11">
      <c r="A561" t="str">
        <f>'RAW DATA 2023'!B554</f>
        <v>Rayong3</v>
      </c>
      <c r="B561" t="str">
        <f>'RAW DATA 2023'!D554</f>
        <v>A1-044-0012</v>
      </c>
      <c r="C561" t="str">
        <f t="shared" si="40"/>
        <v>Rayong3A1-044-0012</v>
      </c>
      <c r="D561">
        <f>VLOOKUP(C561,'RAW DATA 2023'!E:BP,63,0)</f>
        <v>3</v>
      </c>
      <c r="E561" t="str">
        <f t="shared" si="41"/>
        <v>Rayong33</v>
      </c>
      <c r="F561" s="8">
        <f>VLOOKUP(C561,'RAW DATA 2023'!E:BO,23,0)</f>
        <v>25.12376933519333</v>
      </c>
      <c r="G561" s="14">
        <f t="shared" si="42"/>
        <v>49.87623066480667</v>
      </c>
      <c r="H561" s="25">
        <f t="shared" si="43"/>
        <v>9.9752461329613347</v>
      </c>
      <c r="I561" s="80" t="str">
        <f>VLOOKUP(C561,'RAW DATA 2023'!E:BO,36,0)</f>
        <v>Normal</v>
      </c>
      <c r="J561">
        <f>VLOOKUP(C561,'RAW DATA 2023'!E:BO,21,0)</f>
        <v>14.939080000000001</v>
      </c>
      <c r="K561" s="268">
        <f t="shared" si="44"/>
        <v>149.02100000000002</v>
      </c>
    </row>
    <row r="562" spans="1:11">
      <c r="A562" t="str">
        <f>'RAW DATA 2023'!B555</f>
        <v>Rayong3</v>
      </c>
      <c r="B562" t="str">
        <f>'RAW DATA 2023'!D555</f>
        <v>A1-045-0009</v>
      </c>
      <c r="C562" t="str">
        <f t="shared" si="40"/>
        <v>Rayong3A1-045-0009</v>
      </c>
      <c r="D562">
        <f>VLOOKUP(C562,'RAW DATA 2023'!E:BP,63,0)</f>
        <v>4</v>
      </c>
      <c r="E562" t="str">
        <f t="shared" si="41"/>
        <v>Rayong34</v>
      </c>
      <c r="F562" s="8">
        <f>VLOOKUP(C562,'RAW DATA 2023'!E:BO,23,0)</f>
        <v>25.133360819914536</v>
      </c>
      <c r="G562" s="14">
        <f t="shared" si="42"/>
        <v>49.866639180085464</v>
      </c>
      <c r="H562" s="25">
        <f t="shared" si="43"/>
        <v>9.9733278360170932</v>
      </c>
      <c r="I562" s="80" t="str">
        <f>VLOOKUP(C562,'RAW DATA 2023'!E:BO,36,0)</f>
        <v>Normal</v>
      </c>
      <c r="J562">
        <f>VLOOKUP(C562,'RAW DATA 2023'!E:BO,21,0)</f>
        <v>15.716760000000001</v>
      </c>
      <c r="K562" s="268">
        <f t="shared" si="44"/>
        <v>156.7484</v>
      </c>
    </row>
    <row r="563" spans="1:11">
      <c r="A563" t="str">
        <f>'RAW DATA 2023'!B556</f>
        <v>Rayong3</v>
      </c>
      <c r="B563" t="str">
        <f>'RAW DATA 2023'!D556</f>
        <v>A1-043-0009</v>
      </c>
      <c r="C563" t="str">
        <f t="shared" si="40"/>
        <v>Rayong3A1-043-0009</v>
      </c>
      <c r="D563">
        <f>VLOOKUP(C563,'RAW DATA 2023'!E:BP,63,0)</f>
        <v>3</v>
      </c>
      <c r="E563" t="str">
        <f t="shared" si="41"/>
        <v>Rayong33</v>
      </c>
      <c r="F563" s="8">
        <f>VLOOKUP(C563,'RAW DATA 2023'!E:BO,23,0)</f>
        <v>25.335433463512636</v>
      </c>
      <c r="G563" s="14">
        <f t="shared" si="42"/>
        <v>49.664566536487364</v>
      </c>
      <c r="H563" s="25">
        <f t="shared" si="43"/>
        <v>9.9329133072974738</v>
      </c>
      <c r="I563" s="80" t="str">
        <f>VLOOKUP(C563,'RAW DATA 2023'!E:BO,36,0)</f>
        <v>Normal</v>
      </c>
      <c r="J563">
        <f>VLOOKUP(C563,'RAW DATA 2023'!E:BO,21,0)</f>
        <v>20.85585</v>
      </c>
      <c r="K563" s="268">
        <f t="shared" si="44"/>
        <v>207.15935000000002</v>
      </c>
    </row>
    <row r="564" spans="1:11">
      <c r="A564" t="str">
        <f>'RAW DATA 2023'!B557</f>
        <v>Lucky2</v>
      </c>
      <c r="B564" t="str">
        <f>'RAW DATA 2023'!D557</f>
        <v>AC-001-0010</v>
      </c>
      <c r="C564" t="str">
        <f t="shared" si="40"/>
        <v>Lucky2AC-001-0010</v>
      </c>
      <c r="D564">
        <f>VLOOKUP(C564,'RAW DATA 2023'!E:BP,63,0)</f>
        <v>7</v>
      </c>
      <c r="E564" t="str">
        <f t="shared" si="41"/>
        <v>Lucky27</v>
      </c>
      <c r="F564" s="8">
        <f>VLOOKUP(C564,'RAW DATA 2023'!E:BO,23,0)</f>
        <v>44.999859734867727</v>
      </c>
      <c r="G564" s="14">
        <f t="shared" si="42"/>
        <v>30.000140265132273</v>
      </c>
      <c r="H564" s="25">
        <f t="shared" si="43"/>
        <v>6.0000280530264547</v>
      </c>
      <c r="I564" s="80" t="str">
        <f>VLOOKUP(C564,'RAW DATA 2023'!E:BO,36,0)</f>
        <v>Normal</v>
      </c>
      <c r="J564">
        <f>VLOOKUP(C564,'RAW DATA 2023'!E:BO,21,0)</f>
        <v>3.2082100000000002</v>
      </c>
      <c r="K564" s="268">
        <f t="shared" si="44"/>
        <v>19.249350000000003</v>
      </c>
    </row>
    <row r="565" spans="1:11">
      <c r="A565" t="str">
        <f>'RAW DATA 2023'!B558</f>
        <v>Lucky2</v>
      </c>
      <c r="B565" t="str">
        <f>'RAW DATA 2023'!D558</f>
        <v>AC-001-0009</v>
      </c>
      <c r="C565" t="str">
        <f t="shared" si="40"/>
        <v>Lucky2AC-001-0009</v>
      </c>
      <c r="D565">
        <f>VLOOKUP(C565,'RAW DATA 2023'!E:BP,63,0)</f>
        <v>5</v>
      </c>
      <c r="E565" t="str">
        <f t="shared" si="41"/>
        <v>Lucky25</v>
      </c>
      <c r="F565" s="8">
        <f>VLOOKUP(C565,'RAW DATA 2023'!E:BO,23,0)</f>
        <v>55.999741413677064</v>
      </c>
      <c r="G565" s="14">
        <f t="shared" si="42"/>
        <v>19.000258586322936</v>
      </c>
      <c r="H565" s="25">
        <f t="shared" si="43"/>
        <v>3.8000517172645871</v>
      </c>
      <c r="I565" s="80" t="str">
        <f>VLOOKUP(C565,'RAW DATA 2023'!E:BO,36,0)</f>
        <v>อัตรารอดต่ำ</v>
      </c>
      <c r="J565">
        <f>VLOOKUP(C565,'RAW DATA 2023'!E:BO,21,0)</f>
        <v>2.78437</v>
      </c>
      <c r="K565" s="268">
        <f t="shared" si="44"/>
        <v>10.580749999999998</v>
      </c>
    </row>
    <row r="566" spans="1:11">
      <c r="A566" t="str">
        <f>'RAW DATA 2023'!B559</f>
        <v>Lucky2</v>
      </c>
      <c r="B566" t="str">
        <f>'RAW DATA 2023'!D559</f>
        <v>AC-002-0010</v>
      </c>
      <c r="C566" t="str">
        <f t="shared" si="40"/>
        <v>Lucky2AC-002-0010</v>
      </c>
      <c r="D566">
        <f>VLOOKUP(C566,'RAW DATA 2023'!E:BP,63,0)</f>
        <v>7</v>
      </c>
      <c r="E566" t="str">
        <f t="shared" si="41"/>
        <v>Lucky27</v>
      </c>
      <c r="F566" s="8">
        <f>VLOOKUP(C566,'RAW DATA 2023'!E:BO,23,0)</f>
        <v>53.011097826572275</v>
      </c>
      <c r="G566" s="14">
        <f t="shared" si="42"/>
        <v>21.988902173427725</v>
      </c>
      <c r="H566" s="25">
        <f t="shared" si="43"/>
        <v>4.3977804346855454</v>
      </c>
      <c r="I566" s="80" t="str">
        <f>VLOOKUP(C566,'RAW DATA 2023'!E:BO,36,0)</f>
        <v>Normal</v>
      </c>
      <c r="J566">
        <f>VLOOKUP(C566,'RAW DATA 2023'!E:BO,21,0)</f>
        <v>4.0314199999999998</v>
      </c>
      <c r="K566" s="268">
        <f t="shared" si="44"/>
        <v>17.729300000000002</v>
      </c>
    </row>
    <row r="567" spans="1:11">
      <c r="A567" t="str">
        <f>'RAW DATA 2023'!B560</f>
        <v>Lucky2</v>
      </c>
      <c r="B567" t="str">
        <f>'RAW DATA 2023'!D560</f>
        <v>AC-004-0009</v>
      </c>
      <c r="C567" t="str">
        <f t="shared" si="40"/>
        <v>Lucky2AC-004-0009</v>
      </c>
      <c r="D567">
        <f>VLOOKUP(C567,'RAW DATA 2023'!E:BP,63,0)</f>
        <v>5</v>
      </c>
      <c r="E567" t="str">
        <f t="shared" si="41"/>
        <v>Lucky25</v>
      </c>
      <c r="F567" s="8">
        <f>VLOOKUP(C567,'RAW DATA 2023'!E:BO,23,0)</f>
        <v>54.999662445629639</v>
      </c>
      <c r="G567" s="14">
        <f t="shared" si="42"/>
        <v>20.000337554370361</v>
      </c>
      <c r="H567" s="25">
        <f t="shared" si="43"/>
        <v>4.0000675108740724</v>
      </c>
      <c r="I567" s="80" t="str">
        <f>VLOOKUP(C567,'RAW DATA 2023'!E:BO,36,0)</f>
        <v>อัตรารอดต่ำ</v>
      </c>
      <c r="J567">
        <f>VLOOKUP(C567,'RAW DATA 2023'!E:BO,21,0)</f>
        <v>2.0737399999999999</v>
      </c>
      <c r="K567" s="268">
        <f t="shared" si="44"/>
        <v>8.2950999999999979</v>
      </c>
    </row>
    <row r="568" spans="1:11">
      <c r="A568" t="str">
        <f>'RAW DATA 2023'!B561</f>
        <v>Lucky2</v>
      </c>
      <c r="B568" t="str">
        <f>'RAW DATA 2023'!D561</f>
        <v>AC-004-0008</v>
      </c>
      <c r="C568" t="str">
        <f t="shared" si="40"/>
        <v>Lucky2AC-004-0008</v>
      </c>
      <c r="D568">
        <f>VLOOKUP(C568,'RAW DATA 2023'!E:BP,63,0)</f>
        <v>2</v>
      </c>
      <c r="E568" t="str">
        <f t="shared" si="41"/>
        <v>Lucky22</v>
      </c>
      <c r="F568" s="8">
        <f>VLOOKUP(C568,'RAW DATA 2023'!E:BO,23,0)</f>
        <v>22.999815122943243</v>
      </c>
      <c r="G568" s="14">
        <f t="shared" si="42"/>
        <v>52.000184877056753</v>
      </c>
      <c r="H568" s="25">
        <f t="shared" si="43"/>
        <v>10.400036975411352</v>
      </c>
      <c r="I568" s="80" t="str">
        <f>VLOOKUP(C568,'RAW DATA 2023'!E:BO,36,0)</f>
        <v>Normal</v>
      </c>
      <c r="J568">
        <f>VLOOKUP(C568,'RAW DATA 2023'!E:BO,21,0)</f>
        <v>2.7044999999999999</v>
      </c>
      <c r="K568" s="268">
        <f t="shared" si="44"/>
        <v>28.126899999999999</v>
      </c>
    </row>
    <row r="569" spans="1:11">
      <c r="A569" t="str">
        <f>'RAW DATA 2023'!B562</f>
        <v>Lucky2</v>
      </c>
      <c r="B569" t="str">
        <f>'RAW DATA 2023'!D562</f>
        <v>AC-005-0008</v>
      </c>
      <c r="C569" t="str">
        <f t="shared" si="40"/>
        <v>Lucky2AC-005-0008</v>
      </c>
      <c r="D569">
        <f>VLOOKUP(C569,'RAW DATA 2023'!E:BP,63,0)</f>
        <v>2</v>
      </c>
      <c r="E569" t="str">
        <f t="shared" si="41"/>
        <v>Lucky22</v>
      </c>
      <c r="F569" s="8">
        <f>VLOOKUP(C569,'RAW DATA 2023'!E:BO,23,0)</f>
        <v>40.287917487316186</v>
      </c>
      <c r="G569" s="14">
        <f t="shared" si="42"/>
        <v>34.712082512683814</v>
      </c>
      <c r="H569" s="25">
        <f t="shared" si="43"/>
        <v>6.942416502536763</v>
      </c>
      <c r="I569" s="80" t="str">
        <f>VLOOKUP(C569,'RAW DATA 2023'!E:BO,36,0)</f>
        <v>Normal</v>
      </c>
      <c r="J569">
        <f>VLOOKUP(C569,'RAW DATA 2023'!E:BO,21,0)</f>
        <v>2.8737399999999997</v>
      </c>
      <c r="K569" s="268">
        <f t="shared" si="44"/>
        <v>19.950699999999994</v>
      </c>
    </row>
    <row r="570" spans="1:11">
      <c r="A570" t="str">
        <f>'RAW DATA 2023'!B563</f>
        <v>Lucky2</v>
      </c>
      <c r="B570" t="str">
        <f>'RAW DATA 2023'!D563</f>
        <v>AC-005-0009</v>
      </c>
      <c r="C570" t="str">
        <f t="shared" si="40"/>
        <v>Lucky2AC-005-0009</v>
      </c>
      <c r="D570">
        <f>VLOOKUP(C570,'RAW DATA 2023'!E:BP,63,0)</f>
        <v>5</v>
      </c>
      <c r="E570" t="str">
        <f t="shared" si="41"/>
        <v>Lucky25</v>
      </c>
      <c r="F570" s="8">
        <f>VLOOKUP(C570,'RAW DATA 2023'!E:BO,23,0)</f>
        <v>55.023225051125515</v>
      </c>
      <c r="G570" s="14">
        <f t="shared" si="42"/>
        <v>19.976774948874485</v>
      </c>
      <c r="H570" s="25">
        <f t="shared" si="43"/>
        <v>3.9953549897748974</v>
      </c>
      <c r="I570" s="80" t="str">
        <f>VLOOKUP(C570,'RAW DATA 2023'!E:BO,36,0)</f>
        <v>อัตรารอดต่ำ</v>
      </c>
      <c r="J570">
        <f>VLOOKUP(C570,'RAW DATA 2023'!E:BO,21,0)</f>
        <v>2.6307800000000001</v>
      </c>
      <c r="K570" s="268">
        <f t="shared" si="44"/>
        <v>10.510900000000005</v>
      </c>
    </row>
    <row r="571" spans="1:11">
      <c r="A571" t="str">
        <f>'RAW DATA 2023'!B564</f>
        <v>Lucky2</v>
      </c>
      <c r="B571" t="str">
        <f>'RAW DATA 2023'!D564</f>
        <v>AC-001-0008</v>
      </c>
      <c r="C571" t="str">
        <f t="shared" si="40"/>
        <v>Lucky2AC-001-0008</v>
      </c>
      <c r="D571">
        <f>VLOOKUP(C571,'RAW DATA 2023'!E:BP,63,0)</f>
        <v>2</v>
      </c>
      <c r="E571" t="str">
        <f t="shared" si="41"/>
        <v>Lucky22</v>
      </c>
      <c r="F571" s="8">
        <f>VLOOKUP(C571,'RAW DATA 2023'!E:BO,23,0)</f>
        <v>42.299327387478144</v>
      </c>
      <c r="G571" s="14">
        <f t="shared" si="42"/>
        <v>32.700672612521856</v>
      </c>
      <c r="H571" s="25">
        <f t="shared" si="43"/>
        <v>6.5401345225043714</v>
      </c>
      <c r="I571" s="80" t="str">
        <f>VLOOKUP(C571,'RAW DATA 2023'!E:BO,36,0)</f>
        <v>Normal</v>
      </c>
      <c r="J571">
        <f>VLOOKUP(C571,'RAW DATA 2023'!E:BO,21,0)</f>
        <v>3.3749000000000002</v>
      </c>
      <c r="K571" s="268">
        <f t="shared" si="44"/>
        <v>22.072300000000006</v>
      </c>
    </row>
    <row r="572" spans="1:11">
      <c r="A572" t="str">
        <f>'RAW DATA 2023'!B565</f>
        <v>Lucky2</v>
      </c>
      <c r="B572" t="str">
        <f>'RAW DATA 2023'!D565</f>
        <v>AC-002-0009</v>
      </c>
      <c r="C572" t="str">
        <f t="shared" si="40"/>
        <v>Lucky2AC-002-0009</v>
      </c>
      <c r="D572">
        <f>VLOOKUP(C572,'RAW DATA 2023'!E:BP,63,0)</f>
        <v>5</v>
      </c>
      <c r="E572" t="str">
        <f t="shared" si="41"/>
        <v>Lucky25</v>
      </c>
      <c r="F572" s="8">
        <f>VLOOKUP(C572,'RAW DATA 2023'!E:BO,23,0)</f>
        <v>63.000228829871723</v>
      </c>
      <c r="G572" s="14">
        <f t="shared" si="42"/>
        <v>11.999771170128277</v>
      </c>
      <c r="H572" s="25">
        <f t="shared" si="43"/>
        <v>2.3999542340256554</v>
      </c>
      <c r="I572" s="80" t="str">
        <f>VLOOKUP(C572,'RAW DATA 2023'!E:BO,36,0)</f>
        <v>อัตรารอดต่ำ</v>
      </c>
      <c r="J572">
        <f>VLOOKUP(C572,'RAW DATA 2023'!E:BO,21,0)</f>
        <v>2.9716399999999998</v>
      </c>
      <c r="K572" s="268">
        <f t="shared" si="44"/>
        <v>7.1317999999999984</v>
      </c>
    </row>
    <row r="573" spans="1:11">
      <c r="A573" t="str">
        <f>'RAW DATA 2023'!B566</f>
        <v>Lucky2</v>
      </c>
      <c r="B573" t="str">
        <f>'RAW DATA 2023'!D566</f>
        <v>A1-045-0003</v>
      </c>
      <c r="C573" t="str">
        <f t="shared" si="40"/>
        <v>Lucky2A1-045-0003</v>
      </c>
      <c r="D573">
        <f>VLOOKUP(C573,'RAW DATA 2023'!E:BP,63,0)</f>
        <v>3</v>
      </c>
      <c r="E573" t="str">
        <f t="shared" si="41"/>
        <v>Lucky23</v>
      </c>
      <c r="F573" s="8">
        <f>VLOOKUP(C573,'RAW DATA 2023'!E:BO,23,0)</f>
        <v>26.684606453239631</v>
      </c>
      <c r="G573" s="14">
        <f t="shared" si="42"/>
        <v>48.315393546760369</v>
      </c>
      <c r="H573" s="25">
        <f t="shared" si="43"/>
        <v>9.6630787093520745</v>
      </c>
      <c r="I573" s="80" t="str">
        <f>VLOOKUP(C573,'RAW DATA 2023'!E:BO,36,0)</f>
        <v>Normal</v>
      </c>
      <c r="J573">
        <f>VLOOKUP(C573,'RAW DATA 2023'!E:BO,21,0)</f>
        <v>39.34272</v>
      </c>
      <c r="K573" s="268">
        <f t="shared" si="44"/>
        <v>380.17180000000002</v>
      </c>
    </row>
    <row r="574" spans="1:11">
      <c r="A574" t="str">
        <f>'RAW DATA 2023'!B567</f>
        <v>Lucky2</v>
      </c>
      <c r="B574" t="str">
        <f>'RAW DATA 2023'!D567</f>
        <v>AC-002-0008</v>
      </c>
      <c r="C574" t="str">
        <f t="shared" si="40"/>
        <v>Lucky2AC-002-0008</v>
      </c>
      <c r="D574">
        <f>VLOOKUP(C574,'RAW DATA 2023'!E:BP,63,0)</f>
        <v>2</v>
      </c>
      <c r="E574" t="str">
        <f t="shared" si="41"/>
        <v>Lucky22</v>
      </c>
      <c r="F574" s="8">
        <f>VLOOKUP(C574,'RAW DATA 2023'!E:BO,23,0)</f>
        <v>46.356137075768338</v>
      </c>
      <c r="G574" s="14">
        <f t="shared" si="42"/>
        <v>28.643862924231662</v>
      </c>
      <c r="H574" s="25">
        <f t="shared" si="43"/>
        <v>5.7287725848463324</v>
      </c>
      <c r="I574" s="80" t="str">
        <f>VLOOKUP(C574,'RAW DATA 2023'!E:BO,36,0)</f>
        <v>Normal</v>
      </c>
      <c r="J574">
        <f>VLOOKUP(C574,'RAW DATA 2023'!E:BO,21,0)</f>
        <v>3.6318600000000001</v>
      </c>
      <c r="K574" s="268">
        <f t="shared" si="44"/>
        <v>20.806100000000001</v>
      </c>
    </row>
    <row r="575" spans="1:11">
      <c r="A575" t="str">
        <f>'RAW DATA 2023'!B568</f>
        <v>Lucky2</v>
      </c>
      <c r="B575" t="str">
        <f>'RAW DATA 2023'!D568</f>
        <v>A1-045-0004</v>
      </c>
      <c r="C575" t="str">
        <f t="shared" si="40"/>
        <v>Lucky2A1-045-0004</v>
      </c>
      <c r="D575">
        <f>VLOOKUP(C575,'RAW DATA 2023'!E:BP,63,0)</f>
        <v>6</v>
      </c>
      <c r="E575" t="str">
        <f t="shared" si="41"/>
        <v>Lucky26</v>
      </c>
      <c r="F575" s="8">
        <f>VLOOKUP(C575,'RAW DATA 2023'!E:BO,23,0)</f>
        <v>59.260635303118953</v>
      </c>
      <c r="G575" s="14">
        <f t="shared" si="42"/>
        <v>15.739364696881047</v>
      </c>
      <c r="H575" s="25">
        <f t="shared" si="43"/>
        <v>3.1478729393762097</v>
      </c>
      <c r="I575" s="80" t="str">
        <f>VLOOKUP(C575,'RAW DATA 2023'!E:BO,36,0)</f>
        <v>Normal</v>
      </c>
      <c r="J575">
        <f>VLOOKUP(C575,'RAW DATA 2023'!E:BO,21,0)</f>
        <v>24.493189999999998</v>
      </c>
      <c r="K575" s="268">
        <f t="shared" si="44"/>
        <v>77.101449999999986</v>
      </c>
    </row>
    <row r="576" spans="1:11">
      <c r="A576" t="str">
        <f>'RAW DATA 2023'!B569</f>
        <v>Lucky2</v>
      </c>
      <c r="B576" t="str">
        <f>'RAW DATA 2023'!D569</f>
        <v>AC-003-0008</v>
      </c>
      <c r="C576" t="str">
        <f t="shared" si="40"/>
        <v>Lucky2AC-003-0008</v>
      </c>
      <c r="D576">
        <f>VLOOKUP(C576,'RAW DATA 2023'!E:BP,63,0)</f>
        <v>3</v>
      </c>
      <c r="E576" t="str">
        <f t="shared" si="41"/>
        <v>Lucky23</v>
      </c>
      <c r="F576" s="8">
        <f>VLOOKUP(C576,'RAW DATA 2023'!E:BO,23,0)</f>
        <v>50.672491486360983</v>
      </c>
      <c r="G576" s="14">
        <f t="shared" si="42"/>
        <v>24.327508513639017</v>
      </c>
      <c r="H576" s="25">
        <f t="shared" si="43"/>
        <v>4.865501702727804</v>
      </c>
      <c r="I576" s="80" t="str">
        <f>VLOOKUP(C576,'RAW DATA 2023'!E:BO,36,0)</f>
        <v>Normal</v>
      </c>
      <c r="J576">
        <f>VLOOKUP(C576,'RAW DATA 2023'!E:BO,21,0)</f>
        <v>3.19781</v>
      </c>
      <c r="K576" s="268">
        <f t="shared" si="44"/>
        <v>15.558949999999999</v>
      </c>
    </row>
    <row r="577" spans="1:11">
      <c r="A577" t="str">
        <f>'RAW DATA 2023'!B570</f>
        <v>Lucky2</v>
      </c>
      <c r="B577" t="str">
        <f>'RAW DATA 2023'!D570</f>
        <v>A1-045-0005</v>
      </c>
      <c r="C577" t="str">
        <f t="shared" si="40"/>
        <v>Lucky2A1-045-0005</v>
      </c>
      <c r="D577">
        <f>VLOOKUP(C577,'RAW DATA 2023'!E:BP,63,0)</f>
        <v>9</v>
      </c>
      <c r="E577" t="str">
        <f t="shared" si="41"/>
        <v>Lucky29</v>
      </c>
      <c r="F577" s="8">
        <f>VLOOKUP(C577,'RAW DATA 2023'!E:BO,23,0)</f>
        <v>88.001252438129825</v>
      </c>
      <c r="G577" s="14">
        <f t="shared" si="42"/>
        <v>-13.001252438129825</v>
      </c>
      <c r="H577" s="25">
        <f t="shared" si="43"/>
        <v>-2.6002504876259653</v>
      </c>
      <c r="I577" s="80" t="str">
        <f>VLOOKUP(C577,'RAW DATA 2023'!E:BO,36,0)</f>
        <v>EHP</v>
      </c>
      <c r="J577">
        <f>VLOOKUP(C577,'RAW DATA 2023'!E:BO,21,0)</f>
        <v>22.548020000000001</v>
      </c>
      <c r="K577" s="268">
        <f t="shared" si="44"/>
        <v>-58.630500000000019</v>
      </c>
    </row>
    <row r="578" spans="1:11">
      <c r="A578" t="str">
        <f>'RAW DATA 2023'!B571</f>
        <v>Lucky2</v>
      </c>
      <c r="B578" t="str">
        <f>'RAW DATA 2023'!D571</f>
        <v>AC-004-0010</v>
      </c>
      <c r="C578" t="str">
        <f t="shared" si="40"/>
        <v>Lucky2AC-004-0010</v>
      </c>
      <c r="D578">
        <f>VLOOKUP(C578,'RAW DATA 2023'!E:BP,63,0)</f>
        <v>7</v>
      </c>
      <c r="E578" t="str">
        <f t="shared" si="41"/>
        <v>Lucky27</v>
      </c>
      <c r="F578" s="8">
        <f>VLOOKUP(C578,'RAW DATA 2023'!E:BO,23,0)</f>
        <v>73.218615547290895</v>
      </c>
      <c r="G578" s="14">
        <f t="shared" si="42"/>
        <v>1.7813844527091049</v>
      </c>
      <c r="H578" s="25">
        <f t="shared" si="43"/>
        <v>0.35627689054182099</v>
      </c>
      <c r="I578" s="80" t="str">
        <f>VLOOKUP(C578,'RAW DATA 2023'!E:BO,36,0)</f>
        <v>Normal</v>
      </c>
      <c r="J578">
        <f>VLOOKUP(C578,'RAW DATA 2023'!E:BO,21,0)</f>
        <v>4.3881600000000001</v>
      </c>
      <c r="K578" s="268">
        <f t="shared" si="44"/>
        <v>1.5633999999999972</v>
      </c>
    </row>
    <row r="579" spans="1:11">
      <c r="A579" t="str">
        <f>'RAW DATA 2023'!B572</f>
        <v>Lucky2</v>
      </c>
      <c r="B579" t="str">
        <f>'RAW DATA 2023'!D572</f>
        <v>AC-005-0010</v>
      </c>
      <c r="C579" t="str">
        <f t="shared" si="40"/>
        <v>Lucky2AC-005-0010</v>
      </c>
      <c r="D579">
        <f>VLOOKUP(C579,'RAW DATA 2023'!E:BP,63,0)</f>
        <v>7</v>
      </c>
      <c r="E579" t="str">
        <f t="shared" si="41"/>
        <v>Lucky27</v>
      </c>
      <c r="F579" s="8">
        <f>VLOOKUP(C579,'RAW DATA 2023'!E:BO,23,0)</f>
        <v>72.015875083808112</v>
      </c>
      <c r="G579" s="14">
        <f t="shared" si="42"/>
        <v>2.9841249161918881</v>
      </c>
      <c r="H579" s="25">
        <f t="shared" si="43"/>
        <v>0.59682498323837763</v>
      </c>
      <c r="I579" s="80" t="str">
        <f>VLOOKUP(C579,'RAW DATA 2023'!E:BO,36,0)</f>
        <v>Normal</v>
      </c>
      <c r="J579">
        <f>VLOOKUP(C579,'RAW DATA 2023'!E:BO,21,0)</f>
        <v>3.1470700000000003</v>
      </c>
      <c r="K579" s="268">
        <f t="shared" si="44"/>
        <v>1.8782500000000013</v>
      </c>
    </row>
    <row r="580" spans="1:11">
      <c r="A580" t="str">
        <f>'RAW DATA 2023'!B573</f>
        <v>Lucky2</v>
      </c>
      <c r="B580" t="str">
        <f>'RAW DATA 2023'!D573</f>
        <v>AC-003-0009</v>
      </c>
      <c r="C580" t="str">
        <f t="shared" si="40"/>
        <v>Lucky2AC-003-0009</v>
      </c>
      <c r="D580">
        <f>VLOOKUP(C580,'RAW DATA 2023'!E:BP,63,0)</f>
        <v>7</v>
      </c>
      <c r="E580" t="str">
        <f t="shared" si="41"/>
        <v>Lucky27</v>
      </c>
      <c r="F580" s="8">
        <f>VLOOKUP(C580,'RAW DATA 2023'!E:BO,23,0)</f>
        <v>72.060850185850185</v>
      </c>
      <c r="G580" s="14">
        <f t="shared" si="42"/>
        <v>2.9391498141498147</v>
      </c>
      <c r="H580" s="25">
        <f t="shared" si="43"/>
        <v>0.58782996282996292</v>
      </c>
      <c r="I580" s="80" t="str">
        <f>VLOOKUP(C580,'RAW DATA 2023'!E:BO,36,0)</f>
        <v>Normal</v>
      </c>
      <c r="J580">
        <f>VLOOKUP(C580,'RAW DATA 2023'!E:BO,21,0)</f>
        <v>5.0793599999999994</v>
      </c>
      <c r="K580" s="268">
        <f t="shared" si="44"/>
        <v>2.9858000000000002</v>
      </c>
    </row>
    <row r="581" spans="1:11">
      <c r="A581" t="str">
        <f>'RAW DATA 2023'!B574</f>
        <v>Laemsing</v>
      </c>
      <c r="B581" t="str">
        <f>'RAW DATA 2023'!D574</f>
        <v>A1-002-0038</v>
      </c>
      <c r="C581" t="str">
        <f t="shared" si="40"/>
        <v>LaemsingA1-002-0038</v>
      </c>
      <c r="D581">
        <f>VLOOKUP(C581,'RAW DATA 2023'!E:BP,63,0)</f>
        <v>8</v>
      </c>
      <c r="E581" t="str">
        <f t="shared" si="41"/>
        <v>Laemsing8</v>
      </c>
      <c r="F581" s="8">
        <f>VLOOKUP(C581,'RAW DATA 2023'!E:BO,23,0)</f>
        <v>23.263051791503866</v>
      </c>
      <c r="G581" s="14">
        <f t="shared" si="42"/>
        <v>51.736948208496131</v>
      </c>
      <c r="H581" s="25">
        <f t="shared" si="43"/>
        <v>10.347389641699227</v>
      </c>
      <c r="I581" s="80" t="str">
        <f>VLOOKUP(C581,'RAW DATA 2023'!E:BO,36,0)</f>
        <v>Normal</v>
      </c>
      <c r="J581">
        <f>VLOOKUP(C581,'RAW DATA 2023'!E:BO,21,0)</f>
        <v>15.397120000000001</v>
      </c>
      <c r="K581" s="268">
        <f t="shared" si="44"/>
        <v>159.32000000000002</v>
      </c>
    </row>
    <row r="582" spans="1:11">
      <c r="A582" t="str">
        <f>'RAW DATA 2023'!B575</f>
        <v>Laemsing</v>
      </c>
      <c r="B582" t="str">
        <f>'RAW DATA 2023'!D575</f>
        <v>A1-026-0016</v>
      </c>
      <c r="C582" t="str">
        <f t="shared" si="40"/>
        <v>LaemsingA1-026-0016</v>
      </c>
      <c r="D582">
        <f>VLOOKUP(C582,'RAW DATA 2023'!E:BP,63,0)</f>
        <v>8</v>
      </c>
      <c r="E582" t="str">
        <f t="shared" si="41"/>
        <v>Laemsing8</v>
      </c>
      <c r="F582" s="8">
        <f>VLOOKUP(C582,'RAW DATA 2023'!E:BO,23,0)</f>
        <v>36.203119996126688</v>
      </c>
      <c r="G582" s="14">
        <f t="shared" si="42"/>
        <v>38.796880003873312</v>
      </c>
      <c r="H582" s="25">
        <f t="shared" si="43"/>
        <v>7.7593760007746626</v>
      </c>
      <c r="I582" s="80" t="str">
        <f>VLOOKUP(C582,'RAW DATA 2023'!E:BO,36,0)</f>
        <v>AHPND</v>
      </c>
      <c r="J582">
        <f>VLOOKUP(C582,'RAW DATA 2023'!E:BO,21,0)</f>
        <v>17.142970000000002</v>
      </c>
      <c r="K582" s="268">
        <f t="shared" si="44"/>
        <v>133.01875000000004</v>
      </c>
    </row>
    <row r="583" spans="1:11">
      <c r="A583" t="str">
        <f>'RAW DATA 2023'!B576</f>
        <v>Laemsing</v>
      </c>
      <c r="B583" t="str">
        <f>'RAW DATA 2023'!D576</f>
        <v>A1-002-0037</v>
      </c>
      <c r="C583" t="str">
        <f t="shared" si="40"/>
        <v>LaemsingA1-002-0037</v>
      </c>
      <c r="D583">
        <f>VLOOKUP(C583,'RAW DATA 2023'!E:BP,63,0)</f>
        <v>3</v>
      </c>
      <c r="E583" t="str">
        <f t="shared" si="41"/>
        <v>Laemsing3</v>
      </c>
      <c r="F583" s="8">
        <f>VLOOKUP(C583,'RAW DATA 2023'!E:BO,23,0)</f>
        <v>30.426895297680126</v>
      </c>
      <c r="G583" s="14">
        <f t="shared" si="42"/>
        <v>44.573104702319874</v>
      </c>
      <c r="H583" s="25">
        <f t="shared" si="43"/>
        <v>8.9146209404639745</v>
      </c>
      <c r="I583" s="80" t="str">
        <f>VLOOKUP(C583,'RAW DATA 2023'!E:BO,36,0)</f>
        <v>Normal</v>
      </c>
      <c r="J583">
        <f>VLOOKUP(C583,'RAW DATA 2023'!E:BO,21,0)</f>
        <v>18.681630000000002</v>
      </c>
      <c r="K583" s="268">
        <f t="shared" si="44"/>
        <v>166.53965000000002</v>
      </c>
    </row>
    <row r="584" spans="1:11">
      <c r="A584" t="str">
        <f>'RAW DATA 2023'!B577</f>
        <v>Laemsing</v>
      </c>
      <c r="B584" t="str">
        <f>'RAW DATA 2023'!D577</f>
        <v>A1-025-0014</v>
      </c>
      <c r="C584" t="str">
        <f t="shared" si="40"/>
        <v>LaemsingA1-025-0014</v>
      </c>
      <c r="D584">
        <f>VLOOKUP(C584,'RAW DATA 2023'!E:BP,63,0)</f>
        <v>7</v>
      </c>
      <c r="E584" t="str">
        <f t="shared" si="41"/>
        <v>Laemsing7</v>
      </c>
      <c r="F584" s="8">
        <f>VLOOKUP(C584,'RAW DATA 2023'!E:BO,23,0)</f>
        <v>48.478240855150631</v>
      </c>
      <c r="G584" s="14">
        <f t="shared" si="42"/>
        <v>26.521759144849369</v>
      </c>
      <c r="H584" s="25">
        <f t="shared" si="43"/>
        <v>5.3043518289698746</v>
      </c>
      <c r="I584" s="80" t="str">
        <f>VLOOKUP(C584,'RAW DATA 2023'!E:BO,36,0)</f>
        <v>AHPND</v>
      </c>
      <c r="J584">
        <f>VLOOKUP(C584,'RAW DATA 2023'!E:BO,21,0)</f>
        <v>12.382379999999999</v>
      </c>
      <c r="K584" s="268">
        <f t="shared" si="44"/>
        <v>65.680499999999995</v>
      </c>
    </row>
    <row r="585" spans="1:11">
      <c r="A585" t="str">
        <f>'RAW DATA 2023'!B578</f>
        <v>Laemsing</v>
      </c>
      <c r="B585" t="str">
        <f>'RAW DATA 2023'!D578</f>
        <v>A1-019-0029</v>
      </c>
      <c r="C585" t="str">
        <f t="shared" si="40"/>
        <v>LaemsingA1-019-0029</v>
      </c>
      <c r="D585">
        <f>VLOOKUP(C585,'RAW DATA 2023'!E:BP,63,0)</f>
        <v>7</v>
      </c>
      <c r="E585" t="str">
        <f t="shared" si="41"/>
        <v>Laemsing7</v>
      </c>
      <c r="F585" s="8">
        <f>VLOOKUP(C585,'RAW DATA 2023'!E:BO,23,0)</f>
        <v>52.890938984289363</v>
      </c>
      <c r="G585" s="14">
        <f t="shared" si="42"/>
        <v>22.109061015710637</v>
      </c>
      <c r="H585" s="25">
        <f t="shared" si="43"/>
        <v>4.4218122031421272</v>
      </c>
      <c r="I585" s="80" t="str">
        <f>VLOOKUP(C585,'RAW DATA 2023'!E:BO,36,0)</f>
        <v>WFD</v>
      </c>
      <c r="J585">
        <f>VLOOKUP(C585,'RAW DATA 2023'!E:BO,21,0)</f>
        <v>10.291120000000001</v>
      </c>
      <c r="K585" s="268">
        <f t="shared" si="44"/>
        <v>45.505400000000016</v>
      </c>
    </row>
    <row r="586" spans="1:11">
      <c r="A586" t="str">
        <f>'RAW DATA 2023'!B579</f>
        <v>Laemsing</v>
      </c>
      <c r="B586" t="str">
        <f>'RAW DATA 2023'!D579</f>
        <v>A1-019-0028</v>
      </c>
      <c r="C586" t="str">
        <f t="shared" ref="C586:C649" si="45">A586&amp;B586</f>
        <v>LaemsingA1-019-0028</v>
      </c>
      <c r="D586">
        <f>VLOOKUP(C586,'RAW DATA 2023'!E:BP,63,0)</f>
        <v>4</v>
      </c>
      <c r="E586" t="str">
        <f t="shared" ref="E586:E649" si="46">A586&amp;D586</f>
        <v>Laemsing4</v>
      </c>
      <c r="F586" s="8">
        <f>VLOOKUP(C586,'RAW DATA 2023'!E:BO,23,0)</f>
        <v>30.708868966149534</v>
      </c>
      <c r="G586" s="14">
        <f t="shared" si="42"/>
        <v>44.291131033850462</v>
      </c>
      <c r="H586" s="25">
        <f t="shared" si="43"/>
        <v>8.8582262067700928</v>
      </c>
      <c r="I586" s="80" t="str">
        <f>VLOOKUP(C586,'RAW DATA 2023'!E:BO,36,0)</f>
        <v>Normal</v>
      </c>
      <c r="J586">
        <f>VLOOKUP(C586,'RAW DATA 2023'!E:BO,21,0)</f>
        <v>18.324120000000001</v>
      </c>
      <c r="K586" s="268">
        <f t="shared" si="44"/>
        <v>162.3192</v>
      </c>
    </row>
    <row r="587" spans="1:11">
      <c r="A587" t="str">
        <f>'RAW DATA 2023'!B580</f>
        <v>Laemsing</v>
      </c>
      <c r="B587" t="str">
        <f>'RAW DATA 2023'!D580</f>
        <v>A1-025-0013</v>
      </c>
      <c r="C587" t="str">
        <f t="shared" si="45"/>
        <v>LaemsingA1-025-0013</v>
      </c>
      <c r="D587">
        <f>VLOOKUP(C587,'RAW DATA 2023'!E:BP,63,0)</f>
        <v>4</v>
      </c>
      <c r="E587" t="str">
        <f t="shared" si="46"/>
        <v>Laemsing4</v>
      </c>
      <c r="F587" s="8">
        <f>VLOOKUP(C587,'RAW DATA 2023'!E:BO,23,0)</f>
        <v>30.086385217625679</v>
      </c>
      <c r="G587" s="14">
        <f t="shared" ref="G587:G650" si="47">IF(F587=0,0,$B$2-F587)</f>
        <v>44.913614782374324</v>
      </c>
      <c r="H587" s="25">
        <f t="shared" ref="H587:H650" si="48">G587*$B$6</f>
        <v>8.9827229564748645</v>
      </c>
      <c r="I587" s="80" t="str">
        <f>VLOOKUP(C587,'RAW DATA 2023'!E:BO,36,0)</f>
        <v>Normal</v>
      </c>
      <c r="J587">
        <f>VLOOKUP(C587,'RAW DATA 2023'!E:BO,21,0)</f>
        <v>25.080680000000001</v>
      </c>
      <c r="K587" s="268">
        <f t="shared" ref="K587:K650" si="49">H587*J587</f>
        <v>225.2928</v>
      </c>
    </row>
    <row r="588" spans="1:11">
      <c r="A588" t="str">
        <f>'RAW DATA 2023'!B581</f>
        <v>Laemsing</v>
      </c>
      <c r="B588" t="str">
        <f>'RAW DATA 2023'!D581</f>
        <v>A1-018-0026</v>
      </c>
      <c r="C588" t="str">
        <f t="shared" si="45"/>
        <v>LaemsingA1-018-0026</v>
      </c>
      <c r="D588">
        <f>VLOOKUP(C588,'RAW DATA 2023'!E:BP,63,0)</f>
        <v>6</v>
      </c>
      <c r="E588" t="str">
        <f t="shared" si="46"/>
        <v>Laemsing6</v>
      </c>
      <c r="F588" s="8">
        <f>VLOOKUP(C588,'RAW DATA 2023'!E:BO,23,0)</f>
        <v>33.186013196188625</v>
      </c>
      <c r="G588" s="14">
        <f t="shared" si="47"/>
        <v>41.813986803811375</v>
      </c>
      <c r="H588" s="25">
        <f t="shared" si="48"/>
        <v>8.3627973607622756</v>
      </c>
      <c r="I588" s="80" t="str">
        <f>VLOOKUP(C588,'RAW DATA 2023'!E:BO,36,0)</f>
        <v>Normal</v>
      </c>
      <c r="J588">
        <f>VLOOKUP(C588,'RAW DATA 2023'!E:BO,21,0)</f>
        <v>26.98658</v>
      </c>
      <c r="K588" s="268">
        <f t="shared" si="49"/>
        <v>225.6833</v>
      </c>
    </row>
    <row r="589" spans="1:11">
      <c r="A589" t="str">
        <f>'RAW DATA 2023'!B582</f>
        <v>Laemsing</v>
      </c>
      <c r="B589" t="str">
        <f>'RAW DATA 2023'!D582</f>
        <v>A1-026-0015</v>
      </c>
      <c r="C589" t="str">
        <f t="shared" si="45"/>
        <v>LaemsingA1-026-0015</v>
      </c>
      <c r="D589">
        <f>VLOOKUP(C589,'RAW DATA 2023'!E:BP,63,0)</f>
        <v>4</v>
      </c>
      <c r="E589" t="str">
        <f t="shared" si="46"/>
        <v>Laemsing4</v>
      </c>
      <c r="F589" s="8">
        <f>VLOOKUP(C589,'RAW DATA 2023'!E:BO,23,0)</f>
        <v>31.379278466751803</v>
      </c>
      <c r="G589" s="14">
        <f t="shared" si="47"/>
        <v>43.620721533248201</v>
      </c>
      <c r="H589" s="25">
        <f t="shared" si="48"/>
        <v>8.7241443066496398</v>
      </c>
      <c r="I589" s="80" t="str">
        <f>VLOOKUP(C589,'RAW DATA 2023'!E:BO,36,0)</f>
        <v>Normal</v>
      </c>
      <c r="J589">
        <f>VLOOKUP(C589,'RAW DATA 2023'!E:BO,21,0)</f>
        <v>22.607689999999998</v>
      </c>
      <c r="K589" s="268">
        <f t="shared" si="49"/>
        <v>197.23274999999998</v>
      </c>
    </row>
    <row r="590" spans="1:11">
      <c r="A590" t="str">
        <f>'RAW DATA 2023'!B583</f>
        <v>Laemsing</v>
      </c>
      <c r="B590" t="str">
        <f>'RAW DATA 2023'!D583</f>
        <v>A1-018-0025</v>
      </c>
      <c r="C590" t="str">
        <f t="shared" si="45"/>
        <v>LaemsingA1-018-0025</v>
      </c>
      <c r="D590">
        <f>VLOOKUP(C590,'RAW DATA 2023'!E:BP,63,0)</f>
        <v>1</v>
      </c>
      <c r="E590" t="str">
        <f t="shared" si="46"/>
        <v>Laemsing1</v>
      </c>
      <c r="F590" s="8">
        <f>VLOOKUP(C590,'RAW DATA 2023'!E:BO,23,0)</f>
        <v>0</v>
      </c>
      <c r="G590" s="14">
        <f t="shared" si="47"/>
        <v>0</v>
      </c>
      <c r="H590" s="25">
        <f t="shared" si="48"/>
        <v>0</v>
      </c>
      <c r="I590" s="80" t="str">
        <f>VLOOKUP(C590,'RAW DATA 2023'!E:BO,36,0)</f>
        <v>AHPND</v>
      </c>
      <c r="J590">
        <f>VLOOKUP(C590,'RAW DATA 2023'!E:BO,21,0)</f>
        <v>0</v>
      </c>
      <c r="K590" s="268">
        <f t="shared" si="49"/>
        <v>0</v>
      </c>
    </row>
    <row r="591" spans="1:11">
      <c r="A591" t="str">
        <f>'RAW DATA 2023'!B584</f>
        <v>Laemsing</v>
      </c>
      <c r="B591" t="str">
        <f>'RAW DATA 2023'!D584</f>
        <v>B1-028-0014</v>
      </c>
      <c r="C591" t="str">
        <f t="shared" si="45"/>
        <v>LaemsingB1-028-0014</v>
      </c>
      <c r="D591">
        <f>VLOOKUP(C591,'RAW DATA 2023'!E:BP,63,0)</f>
        <v>6</v>
      </c>
      <c r="E591" t="str">
        <f t="shared" si="46"/>
        <v>Laemsing6</v>
      </c>
      <c r="F591" s="8">
        <f>VLOOKUP(C591,'RAW DATA 2023'!E:BO,23,0)</f>
        <v>26.080897330180591</v>
      </c>
      <c r="G591" s="14">
        <f t="shared" si="47"/>
        <v>48.919102669819409</v>
      </c>
      <c r="H591" s="25">
        <f t="shared" si="48"/>
        <v>9.7838205339638833</v>
      </c>
      <c r="I591" s="80" t="str">
        <f>VLOOKUP(C591,'RAW DATA 2023'!E:BO,36,0)</f>
        <v>Normal</v>
      </c>
      <c r="J591">
        <f>VLOOKUP(C591,'RAW DATA 2023'!E:BO,21,0)</f>
        <v>27.468150000000001</v>
      </c>
      <c r="K591" s="268">
        <f t="shared" si="49"/>
        <v>268.74345000000005</v>
      </c>
    </row>
    <row r="592" spans="1:11">
      <c r="A592" t="str">
        <f>'RAW DATA 2023'!B585</f>
        <v>Laemsing</v>
      </c>
      <c r="B592" t="str">
        <f>'RAW DATA 2023'!D585</f>
        <v>B1-013-0033</v>
      </c>
      <c r="C592" t="str">
        <f t="shared" si="45"/>
        <v>LaemsingB1-013-0033</v>
      </c>
      <c r="D592">
        <f>VLOOKUP(C592,'RAW DATA 2023'!E:BP,63,0)</f>
        <v>7</v>
      </c>
      <c r="E592" t="str">
        <f t="shared" si="46"/>
        <v>Laemsing7</v>
      </c>
      <c r="F592" s="8">
        <f>VLOOKUP(C592,'RAW DATA 2023'!E:BO,23,0)</f>
        <v>40.990556862514822</v>
      </c>
      <c r="G592" s="14">
        <f t="shared" si="47"/>
        <v>34.009443137485178</v>
      </c>
      <c r="H592" s="25">
        <f t="shared" si="48"/>
        <v>6.8018886274970356</v>
      </c>
      <c r="I592" s="80" t="str">
        <f>VLOOKUP(C592,'RAW DATA 2023'!E:BO,36,0)</f>
        <v>AHPND</v>
      </c>
      <c r="J592">
        <f>VLOOKUP(C592,'RAW DATA 2023'!E:BO,21,0)</f>
        <v>13.62365</v>
      </c>
      <c r="K592" s="268">
        <f t="shared" si="49"/>
        <v>92.666549999999987</v>
      </c>
    </row>
    <row r="593" spans="1:11">
      <c r="A593" t="str">
        <f>'RAW DATA 2023'!B586</f>
        <v>Laemsing</v>
      </c>
      <c r="B593" t="str">
        <f>'RAW DATA 2023'!D586</f>
        <v>B1-027-0015</v>
      </c>
      <c r="C593" t="str">
        <f t="shared" si="45"/>
        <v>LaemsingB1-027-0015</v>
      </c>
      <c r="D593">
        <f>VLOOKUP(C593,'RAW DATA 2023'!E:BP,63,0)</f>
        <v>7</v>
      </c>
      <c r="E593" t="str">
        <f t="shared" si="46"/>
        <v>Laemsing7</v>
      </c>
      <c r="F593" s="8">
        <f>VLOOKUP(C593,'RAW DATA 2023'!E:BO,23,0)</f>
        <v>41.024284525421244</v>
      </c>
      <c r="G593" s="14">
        <f t="shared" si="47"/>
        <v>33.975715474578756</v>
      </c>
      <c r="H593" s="25">
        <f t="shared" si="48"/>
        <v>6.7951430949157512</v>
      </c>
      <c r="I593" s="80" t="str">
        <f>VLOOKUP(C593,'RAW DATA 2023'!E:BO,36,0)</f>
        <v>WFD</v>
      </c>
      <c r="J593">
        <f>VLOOKUP(C593,'RAW DATA 2023'!E:BO,21,0)</f>
        <v>14.876139999999999</v>
      </c>
      <c r="K593" s="268">
        <f t="shared" si="49"/>
        <v>101.0855</v>
      </c>
    </row>
    <row r="594" spans="1:11">
      <c r="A594" t="str">
        <f>'RAW DATA 2023'!B587</f>
        <v>Laemsing</v>
      </c>
      <c r="B594" t="str">
        <f>'RAW DATA 2023'!D587</f>
        <v>B1-006-0040</v>
      </c>
      <c r="C594" t="str">
        <f t="shared" si="45"/>
        <v>LaemsingB1-006-0040</v>
      </c>
      <c r="D594">
        <f>VLOOKUP(C594,'RAW DATA 2023'!E:BP,63,0)</f>
        <v>3</v>
      </c>
      <c r="E594" t="str">
        <f t="shared" si="46"/>
        <v>Laemsing3</v>
      </c>
      <c r="F594" s="8">
        <f>VLOOKUP(C594,'RAW DATA 2023'!E:BO,23,0)</f>
        <v>31.675649500012106</v>
      </c>
      <c r="G594" s="14">
        <f t="shared" si="47"/>
        <v>43.324350499987894</v>
      </c>
      <c r="H594" s="25">
        <f t="shared" si="48"/>
        <v>8.6648700999975787</v>
      </c>
      <c r="I594" s="80" t="str">
        <f>VLOOKUP(C594,'RAW DATA 2023'!E:BO,36,0)</f>
        <v>ทยอยตาย</v>
      </c>
      <c r="J594">
        <f>VLOOKUP(C594,'RAW DATA 2023'!E:BO,21,0)</f>
        <v>20.650500000000001</v>
      </c>
      <c r="K594" s="268">
        <f t="shared" si="49"/>
        <v>178.93389999999999</v>
      </c>
    </row>
    <row r="595" spans="1:11">
      <c r="A595" t="str">
        <f>'RAW DATA 2023'!B588</f>
        <v>Laemsing</v>
      </c>
      <c r="B595" t="str">
        <f>'RAW DATA 2023'!D588</f>
        <v>B1-027-0014</v>
      </c>
      <c r="C595" t="str">
        <f t="shared" si="45"/>
        <v>LaemsingB1-027-0014</v>
      </c>
      <c r="D595">
        <f>VLOOKUP(C595,'RAW DATA 2023'!E:BP,63,0)</f>
        <v>4</v>
      </c>
      <c r="E595" t="str">
        <f t="shared" si="46"/>
        <v>Laemsing4</v>
      </c>
      <c r="F595" s="8">
        <f>VLOOKUP(C595,'RAW DATA 2023'!E:BO,23,0)</f>
        <v>28.721341398293156</v>
      </c>
      <c r="G595" s="14">
        <f t="shared" si="47"/>
        <v>46.278658601706844</v>
      </c>
      <c r="H595" s="25">
        <f t="shared" si="48"/>
        <v>9.2557317203413696</v>
      </c>
      <c r="I595" s="80" t="str">
        <f>VLOOKUP(C595,'RAW DATA 2023'!E:BO,36,0)</f>
        <v>Normal</v>
      </c>
      <c r="J595">
        <f>VLOOKUP(C595,'RAW DATA 2023'!E:BO,21,0)</f>
        <v>25.74925</v>
      </c>
      <c r="K595" s="268">
        <f t="shared" si="49"/>
        <v>238.32815000000002</v>
      </c>
    </row>
    <row r="596" spans="1:11">
      <c r="A596" t="str">
        <f>'RAW DATA 2023'!B589</f>
        <v>Laemsing</v>
      </c>
      <c r="B596" t="str">
        <f>'RAW DATA 2023'!D589</f>
        <v>B1-012-0030</v>
      </c>
      <c r="C596" t="str">
        <f t="shared" si="45"/>
        <v>LaemsingB1-012-0030</v>
      </c>
      <c r="D596">
        <f>VLOOKUP(C596,'RAW DATA 2023'!E:BP,63,0)</f>
        <v>6</v>
      </c>
      <c r="E596" t="str">
        <f t="shared" si="46"/>
        <v>Laemsing6</v>
      </c>
      <c r="F596" s="8">
        <f>VLOOKUP(C596,'RAW DATA 2023'!E:BO,23,0)</f>
        <v>37.746292201386581</v>
      </c>
      <c r="G596" s="14">
        <f t="shared" si="47"/>
        <v>37.253707798613419</v>
      </c>
      <c r="H596" s="25">
        <f t="shared" si="48"/>
        <v>7.450741559722684</v>
      </c>
      <c r="I596" s="80" t="str">
        <f>VLOOKUP(C596,'RAW DATA 2023'!E:BO,36,0)</f>
        <v>Normal</v>
      </c>
      <c r="J596">
        <f>VLOOKUP(C596,'RAW DATA 2023'!E:BO,21,0)</f>
        <v>30.421689999999998</v>
      </c>
      <c r="K596" s="268">
        <f t="shared" si="49"/>
        <v>226.66414999999998</v>
      </c>
    </row>
    <row r="597" spans="1:11">
      <c r="A597" t="str">
        <f>'RAW DATA 2023'!B590</f>
        <v>Laemsing</v>
      </c>
      <c r="B597" t="str">
        <f>'RAW DATA 2023'!D590</f>
        <v>B1-013-0032</v>
      </c>
      <c r="C597" t="str">
        <f t="shared" si="45"/>
        <v>LaemsingB1-013-0032</v>
      </c>
      <c r="D597">
        <f>VLOOKUP(C597,'RAW DATA 2023'!E:BP,63,0)</f>
        <v>4</v>
      </c>
      <c r="E597" t="str">
        <f t="shared" si="46"/>
        <v>Laemsing4</v>
      </c>
      <c r="F597" s="8">
        <f>VLOOKUP(C597,'RAW DATA 2023'!E:BO,23,0)</f>
        <v>28.235600157300468</v>
      </c>
      <c r="G597" s="14">
        <f t="shared" si="47"/>
        <v>46.764399842699532</v>
      </c>
      <c r="H597" s="25">
        <f t="shared" si="48"/>
        <v>9.3528799685399076</v>
      </c>
      <c r="I597" s="80" t="str">
        <f>VLOOKUP(C597,'RAW DATA 2023'!E:BO,36,0)</f>
        <v>Normal</v>
      </c>
      <c r="J597">
        <f>VLOOKUP(C597,'RAW DATA 2023'!E:BO,21,0)</f>
        <v>18.02919</v>
      </c>
      <c r="K597" s="268">
        <f t="shared" si="49"/>
        <v>168.62485000000001</v>
      </c>
    </row>
    <row r="598" spans="1:11">
      <c r="A598" t="str">
        <f>'RAW DATA 2023'!B591</f>
        <v>Laemsing</v>
      </c>
      <c r="B598" t="str">
        <f>'RAW DATA 2023'!D591</f>
        <v>B1-028-0013</v>
      </c>
      <c r="C598" t="str">
        <f t="shared" si="45"/>
        <v>LaemsingB1-028-0013</v>
      </c>
      <c r="D598">
        <f>VLOOKUP(C598,'RAW DATA 2023'!E:BP,63,0)</f>
        <v>1</v>
      </c>
      <c r="E598" t="str">
        <f t="shared" si="46"/>
        <v>Laemsing1</v>
      </c>
      <c r="F598" s="8">
        <f>VLOOKUP(C598,'RAW DATA 2023'!E:BO,23,0)</f>
        <v>72.00002145140185</v>
      </c>
      <c r="G598" s="14">
        <f t="shared" si="47"/>
        <v>2.9999785485981505</v>
      </c>
      <c r="H598" s="25">
        <f t="shared" si="48"/>
        <v>0.59999570971963012</v>
      </c>
      <c r="I598" s="80" t="str">
        <f>VLOOKUP(C598,'RAW DATA 2023'!E:BO,36,0)</f>
        <v>WSSV</v>
      </c>
      <c r="J598">
        <f>VLOOKUP(C598,'RAW DATA 2023'!E:BO,21,0)</f>
        <v>11.188079999999999</v>
      </c>
      <c r="K598" s="268">
        <f t="shared" si="49"/>
        <v>6.7127999999999988</v>
      </c>
    </row>
    <row r="599" spans="1:11">
      <c r="A599" t="str">
        <f>'RAW DATA 2023'!B592</f>
        <v>Laemsing</v>
      </c>
      <c r="B599" t="str">
        <f>'RAW DATA 2023'!D592</f>
        <v>B1-012-0031</v>
      </c>
      <c r="C599" t="str">
        <f t="shared" si="45"/>
        <v>LaemsingB1-012-0031</v>
      </c>
      <c r="D599">
        <f>VLOOKUP(C599,'RAW DATA 2023'!E:BP,63,0)</f>
        <v>7</v>
      </c>
      <c r="E599" t="str">
        <f t="shared" si="46"/>
        <v>Laemsing7</v>
      </c>
      <c r="F599" s="8">
        <f>VLOOKUP(C599,'RAW DATA 2023'!E:BO,23,0)</f>
        <v>155.99991425631646</v>
      </c>
      <c r="G599" s="14">
        <f t="shared" si="47"/>
        <v>-80.999914256316458</v>
      </c>
      <c r="H599" s="25">
        <f t="shared" si="48"/>
        <v>-16.199982851263293</v>
      </c>
      <c r="I599" s="80" t="str">
        <f>VLOOKUP(C599,'RAW DATA 2023'!E:BO,36,0)</f>
        <v>WFD</v>
      </c>
      <c r="J599">
        <f>VLOOKUP(C599,'RAW DATA 2023'!E:BO,21,0)</f>
        <v>5.5980799999999995</v>
      </c>
      <c r="K599" s="268">
        <f t="shared" si="49"/>
        <v>-90.688800000000001</v>
      </c>
    </row>
    <row r="600" spans="1:11">
      <c r="A600" t="str">
        <f>'RAW DATA 2023'!B593</f>
        <v>Laemsing</v>
      </c>
      <c r="B600" t="str">
        <f>'RAW DATA 2023'!D593</f>
        <v>B1-006-0041</v>
      </c>
      <c r="C600" t="str">
        <f t="shared" si="45"/>
        <v>LaemsingB1-006-0041</v>
      </c>
      <c r="D600">
        <f>VLOOKUP(C600,'RAW DATA 2023'!E:BP,63,0)</f>
        <v>8</v>
      </c>
      <c r="E600" t="str">
        <f t="shared" si="46"/>
        <v>Laemsing8</v>
      </c>
      <c r="F600" s="8">
        <f>VLOOKUP(C600,'RAW DATA 2023'!E:BO,23,0)</f>
        <v>28.155044043082707</v>
      </c>
      <c r="G600" s="14">
        <f t="shared" si="47"/>
        <v>46.844955956917289</v>
      </c>
      <c r="H600" s="25">
        <f t="shared" si="48"/>
        <v>9.3689911913834578</v>
      </c>
      <c r="I600" s="80" t="str">
        <f>VLOOKUP(C600,'RAW DATA 2023'!E:BO,36,0)</f>
        <v>Normal</v>
      </c>
      <c r="J600">
        <f>VLOOKUP(C600,'RAW DATA 2023'!E:BO,21,0)</f>
        <v>17.43066</v>
      </c>
      <c r="K600" s="268">
        <f t="shared" si="49"/>
        <v>163.30769999999998</v>
      </c>
    </row>
    <row r="601" spans="1:11">
      <c r="A601" t="str">
        <f>'RAW DATA 2023'!B594</f>
        <v>Laemsing</v>
      </c>
      <c r="B601" t="str">
        <f>'RAW DATA 2023'!D594</f>
        <v>B1-028-0016</v>
      </c>
      <c r="C601" t="str">
        <f t="shared" si="45"/>
        <v>LaemsingB1-028-0016</v>
      </c>
      <c r="D601">
        <f>VLOOKUP(C601,'RAW DATA 2023'!E:BP,63,0)</f>
        <v>11</v>
      </c>
      <c r="E601" t="str">
        <f t="shared" si="46"/>
        <v>Laemsing11</v>
      </c>
      <c r="F601" s="8">
        <f>VLOOKUP(C601,'RAW DATA 2023'!E:BO,23,0)</f>
        <v>64.000079801172319</v>
      </c>
      <c r="G601" s="14">
        <f t="shared" si="47"/>
        <v>10.999920198827681</v>
      </c>
      <c r="H601" s="25">
        <f t="shared" si="48"/>
        <v>2.1999840397655364</v>
      </c>
      <c r="I601" s="80" t="str">
        <f>VLOOKUP(C601,'RAW DATA 2023'!E:BO,36,0)</f>
        <v>EHP</v>
      </c>
      <c r="J601">
        <f>VLOOKUP(C601,'RAW DATA 2023'!E:BO,21,0)</f>
        <v>13.032389999999999</v>
      </c>
      <c r="K601" s="268">
        <f t="shared" si="49"/>
        <v>28.671049999999976</v>
      </c>
    </row>
    <row r="602" spans="1:11">
      <c r="A602" t="str">
        <f>'RAW DATA 2023'!B595</f>
        <v>Laemsing</v>
      </c>
      <c r="B602" t="str">
        <f>'RAW DATA 2023'!D595</f>
        <v>B1-013-0034</v>
      </c>
      <c r="C602" t="str">
        <f t="shared" si="45"/>
        <v>LaemsingB1-013-0034</v>
      </c>
      <c r="D602">
        <f>VLOOKUP(C602,'RAW DATA 2023'!E:BP,63,0)</f>
        <v>12</v>
      </c>
      <c r="E602" t="str">
        <f t="shared" si="46"/>
        <v>Laemsing12</v>
      </c>
      <c r="F602" s="8">
        <f>VLOOKUP(C602,'RAW DATA 2023'!E:BO,23,0)</f>
        <v>74.999977370138538</v>
      </c>
      <c r="G602" s="14">
        <f t="shared" si="47"/>
        <v>2.2629861462064582E-5</v>
      </c>
      <c r="H602" s="25">
        <f t="shared" si="48"/>
        <v>4.5259722924129169E-6</v>
      </c>
      <c r="I602" s="80" t="str">
        <f>VLOOKUP(C602,'RAW DATA 2023'!E:BO,36,0)</f>
        <v>EHP</v>
      </c>
      <c r="J602">
        <f>VLOOKUP(C602,'RAW DATA 2023'!E:BO,21,0)</f>
        <v>11.04735</v>
      </c>
      <c r="K602" s="268">
        <f t="shared" si="49"/>
        <v>5.0000000004587838E-5</v>
      </c>
    </row>
    <row r="603" spans="1:11">
      <c r="A603" t="str">
        <f>'RAW DATA 2023'!B596</f>
        <v>Lucky1</v>
      </c>
      <c r="B603" t="str">
        <f>'RAW DATA 2023'!D596</f>
        <v>BG-026-0012</v>
      </c>
      <c r="C603" t="str">
        <f t="shared" si="45"/>
        <v>Lucky1BG-026-0012</v>
      </c>
      <c r="D603">
        <f>VLOOKUP(C603,'RAW DATA 2023'!E:BP,63,0)</f>
        <v>5</v>
      </c>
      <c r="E603" t="str">
        <f t="shared" si="46"/>
        <v>Lucky15</v>
      </c>
      <c r="F603" s="8">
        <f>VLOOKUP(C603,'RAW DATA 2023'!E:BO,23,0)</f>
        <v>47.003314198778199</v>
      </c>
      <c r="G603" s="14">
        <f t="shared" si="47"/>
        <v>27.996685801221801</v>
      </c>
      <c r="H603" s="25">
        <f t="shared" si="48"/>
        <v>5.5993371602443602</v>
      </c>
      <c r="I603" s="80" t="str">
        <f>VLOOKUP(C603,'RAW DATA 2023'!E:BO,36,0)</f>
        <v>กุ้งร่วง</v>
      </c>
      <c r="J603">
        <f>VLOOKUP(C603,'RAW DATA 2023'!E:BO,21,0)</f>
        <v>5.9682599999999999</v>
      </c>
      <c r="K603" s="268">
        <f t="shared" si="49"/>
        <v>33.418300000000002</v>
      </c>
    </row>
    <row r="604" spans="1:11">
      <c r="A604" t="str">
        <f>'RAW DATA 2023'!B597</f>
        <v>Lucky1</v>
      </c>
      <c r="B604" t="str">
        <f>'RAW DATA 2023'!D597</f>
        <v>BG-028-0012</v>
      </c>
      <c r="C604" t="str">
        <f t="shared" si="45"/>
        <v>Lucky1BG-028-0012</v>
      </c>
      <c r="D604">
        <f>VLOOKUP(C604,'RAW DATA 2023'!E:BP,63,0)</f>
        <v>6</v>
      </c>
      <c r="E604" t="str">
        <f t="shared" si="46"/>
        <v>Lucky16</v>
      </c>
      <c r="F604" s="8">
        <f>VLOOKUP(C604,'RAW DATA 2023'!E:BO,23,0)</f>
        <v>30.428699777719856</v>
      </c>
      <c r="G604" s="14">
        <f t="shared" si="47"/>
        <v>44.571300222280144</v>
      </c>
      <c r="H604" s="25">
        <f t="shared" si="48"/>
        <v>8.9142600444560287</v>
      </c>
      <c r="I604" s="80" t="str">
        <f>VLOOKUP(C604,'RAW DATA 2023'!E:BO,36,0)</f>
        <v>ทยอยตาย</v>
      </c>
      <c r="J604">
        <f>VLOOKUP(C604,'RAW DATA 2023'!E:BO,21,0)</f>
        <v>18.877080000000003</v>
      </c>
      <c r="K604" s="268">
        <f t="shared" si="49"/>
        <v>168.27520000000004</v>
      </c>
    </row>
    <row r="605" spans="1:11">
      <c r="A605" t="str">
        <f>'RAW DATA 2023'!B598</f>
        <v>Lucky1</v>
      </c>
      <c r="B605" t="str">
        <f>'RAW DATA 2023'!D598</f>
        <v>BG-027-0012</v>
      </c>
      <c r="C605" t="str">
        <f t="shared" si="45"/>
        <v>Lucky1BG-027-0012</v>
      </c>
      <c r="D605">
        <f>VLOOKUP(C605,'RAW DATA 2023'!E:BP,63,0)</f>
        <v>10</v>
      </c>
      <c r="E605" t="str">
        <f t="shared" si="46"/>
        <v>Lucky110</v>
      </c>
      <c r="F605" s="8">
        <f>VLOOKUP(C605,'RAW DATA 2023'!E:BO,23,0)</f>
        <v>35.34530408553244</v>
      </c>
      <c r="G605" s="14">
        <f t="shared" si="47"/>
        <v>39.65469591446756</v>
      </c>
      <c r="H605" s="25">
        <f t="shared" si="48"/>
        <v>7.9309391828935123</v>
      </c>
      <c r="I605" s="80" t="str">
        <f>VLOOKUP(C605,'RAW DATA 2023'!E:BO,36,0)</f>
        <v>EHP</v>
      </c>
      <c r="J605">
        <f>VLOOKUP(C605,'RAW DATA 2023'!E:BO,21,0)</f>
        <v>22.795560000000002</v>
      </c>
      <c r="K605" s="268">
        <f t="shared" si="49"/>
        <v>180.79020000000006</v>
      </c>
    </row>
    <row r="606" spans="1:11">
      <c r="A606" t="str">
        <f>'RAW DATA 2023'!B599</f>
        <v>Lucky1</v>
      </c>
      <c r="B606" t="str">
        <f>'RAW DATA 2023'!D599</f>
        <v>BG-025-0010</v>
      </c>
      <c r="C606" t="str">
        <f t="shared" si="45"/>
        <v>Lucky1BG-025-0010</v>
      </c>
      <c r="D606">
        <f>VLOOKUP(C606,'RAW DATA 2023'!E:BP,63,0)</f>
        <v>8</v>
      </c>
      <c r="E606" t="str">
        <f t="shared" si="46"/>
        <v>Lucky18</v>
      </c>
      <c r="F606" s="8">
        <f>VLOOKUP(C606,'RAW DATA 2023'!E:BO,23,0)</f>
        <v>24.921788149613537</v>
      </c>
      <c r="G606" s="14">
        <f t="shared" si="47"/>
        <v>50.078211850386467</v>
      </c>
      <c r="H606" s="25">
        <f t="shared" si="48"/>
        <v>10.015642370077295</v>
      </c>
      <c r="I606" s="80" t="str">
        <f>VLOOKUP(C606,'RAW DATA 2023'!E:BO,36,0)</f>
        <v>Normal</v>
      </c>
      <c r="J606">
        <f>VLOOKUP(C606,'RAW DATA 2023'!E:BO,21,0)</f>
        <v>22.848200000000002</v>
      </c>
      <c r="K606" s="268">
        <f t="shared" si="49"/>
        <v>228.83940000000007</v>
      </c>
    </row>
    <row r="607" spans="1:11">
      <c r="A607" t="str">
        <f>'RAW DATA 2023'!B600</f>
        <v>Lucky1</v>
      </c>
      <c r="B607" t="str">
        <f>'RAW DATA 2023'!D600</f>
        <v>BG-026-0011</v>
      </c>
      <c r="C607" t="str">
        <f t="shared" si="45"/>
        <v>Lucky1BG-026-0011</v>
      </c>
      <c r="D607">
        <f>VLOOKUP(C607,'RAW DATA 2023'!E:BP,63,0)</f>
        <v>2</v>
      </c>
      <c r="E607" t="str">
        <f t="shared" si="46"/>
        <v>Lucky12</v>
      </c>
      <c r="F607" s="8">
        <f>VLOOKUP(C607,'RAW DATA 2023'!E:BO,23,0)</f>
        <v>26.294540762223555</v>
      </c>
      <c r="G607" s="14">
        <f t="shared" si="47"/>
        <v>48.705459237776445</v>
      </c>
      <c r="H607" s="25">
        <f t="shared" si="48"/>
        <v>9.741091847555289</v>
      </c>
      <c r="I607" s="80" t="str">
        <f>VLOOKUP(C607,'RAW DATA 2023'!E:BO,36,0)</f>
        <v>Normal</v>
      </c>
      <c r="J607">
        <f>VLOOKUP(C607,'RAW DATA 2023'!E:BO,21,0)</f>
        <v>7.0443899999999999</v>
      </c>
      <c r="K607" s="268">
        <f t="shared" si="49"/>
        <v>68.620050000000006</v>
      </c>
    </row>
    <row r="608" spans="1:11">
      <c r="A608" t="str">
        <f>'RAW DATA 2023'!B601</f>
        <v>Lucky1</v>
      </c>
      <c r="B608" t="str">
        <f>'RAW DATA 2023'!D601</f>
        <v>BG-026-0013</v>
      </c>
      <c r="C608" t="str">
        <f t="shared" si="45"/>
        <v>Lucky1BG-026-0013</v>
      </c>
      <c r="D608">
        <f>VLOOKUP(C608,'RAW DATA 2023'!E:BP,63,0)</f>
        <v>8</v>
      </c>
      <c r="E608" t="str">
        <f t="shared" si="46"/>
        <v>Lucky18</v>
      </c>
      <c r="F608" s="8">
        <f>VLOOKUP(C608,'RAW DATA 2023'!E:BO,23,0)</f>
        <v>58.719679926032512</v>
      </c>
      <c r="G608" s="14">
        <f t="shared" si="47"/>
        <v>16.280320073967488</v>
      </c>
      <c r="H608" s="25">
        <f t="shared" si="48"/>
        <v>3.2560640147934978</v>
      </c>
      <c r="I608" s="80" t="str">
        <f>VLOOKUP(C608,'RAW DATA 2023'!E:BO,36,0)</f>
        <v>ทยอยตาย</v>
      </c>
      <c r="J608">
        <f>VLOOKUP(C608,'RAW DATA 2023'!E:BO,21,0)</f>
        <v>8.26309</v>
      </c>
      <c r="K608" s="268">
        <f t="shared" si="49"/>
        <v>26.905150000000003</v>
      </c>
    </row>
    <row r="609" spans="1:11">
      <c r="A609" t="str">
        <f>'RAW DATA 2023'!B602</f>
        <v>Lucky1</v>
      </c>
      <c r="B609" t="str">
        <f>'RAW DATA 2023'!D602</f>
        <v>BG-025-0009</v>
      </c>
      <c r="C609" t="str">
        <f t="shared" si="45"/>
        <v>Lucky1BG-025-0009</v>
      </c>
      <c r="D609">
        <f>VLOOKUP(C609,'RAW DATA 2023'!E:BP,63,0)</f>
        <v>2</v>
      </c>
      <c r="E609" t="str">
        <f t="shared" si="46"/>
        <v>Lucky12</v>
      </c>
      <c r="F609" s="8">
        <f>VLOOKUP(C609,'RAW DATA 2023'!E:BO,23,0)</f>
        <v>27.740099012723853</v>
      </c>
      <c r="G609" s="14">
        <f t="shared" si="47"/>
        <v>47.259900987276147</v>
      </c>
      <c r="H609" s="25">
        <f t="shared" si="48"/>
        <v>9.4519801974552298</v>
      </c>
      <c r="I609" s="80" t="str">
        <f>VLOOKUP(C609,'RAW DATA 2023'!E:BO,36,0)</f>
        <v>Normal</v>
      </c>
      <c r="J609">
        <f>VLOOKUP(C609,'RAW DATA 2023'!E:BO,21,0)</f>
        <v>8.7685700000000004</v>
      </c>
      <c r="K609" s="268">
        <f t="shared" si="49"/>
        <v>82.880350000000007</v>
      </c>
    </row>
    <row r="610" spans="1:11">
      <c r="A610" t="str">
        <f>'RAW DATA 2023'!B603</f>
        <v>Lucky1</v>
      </c>
      <c r="B610" t="str">
        <f>'RAW DATA 2023'!D603</f>
        <v>BG-027-0011</v>
      </c>
      <c r="C610" t="str">
        <f t="shared" si="45"/>
        <v>Lucky1BG-027-0011</v>
      </c>
      <c r="D610">
        <f>VLOOKUP(C610,'RAW DATA 2023'!E:BP,63,0)</f>
        <v>6</v>
      </c>
      <c r="E610" t="str">
        <f t="shared" si="46"/>
        <v>Lucky16</v>
      </c>
      <c r="F610" s="8">
        <f>VLOOKUP(C610,'RAW DATA 2023'!E:BO,23,0)</f>
        <v>52.27044316224454</v>
      </c>
      <c r="G610" s="14">
        <f t="shared" si="47"/>
        <v>22.72955683775546</v>
      </c>
      <c r="H610" s="25">
        <f t="shared" si="48"/>
        <v>4.545911367551092</v>
      </c>
      <c r="I610" s="80" t="str">
        <f>VLOOKUP(C610,'RAW DATA 2023'!E:BO,36,0)</f>
        <v>ทยอยตาย</v>
      </c>
      <c r="J610">
        <f>VLOOKUP(C610,'RAW DATA 2023'!E:BO,21,0)</f>
        <v>7.30342</v>
      </c>
      <c r="K610" s="268">
        <f t="shared" si="49"/>
        <v>33.200699999999998</v>
      </c>
    </row>
    <row r="611" spans="1:11">
      <c r="A611" t="str">
        <f>'RAW DATA 2023'!B604</f>
        <v>Lucky1</v>
      </c>
      <c r="B611" t="str">
        <f>'RAW DATA 2023'!D604</f>
        <v>BG-028-0011</v>
      </c>
      <c r="C611" t="str">
        <f t="shared" si="45"/>
        <v>Lucky1BG-028-0011</v>
      </c>
      <c r="D611">
        <f>VLOOKUP(C611,'RAW DATA 2023'!E:BP,63,0)</f>
        <v>2</v>
      </c>
      <c r="E611" t="str">
        <f t="shared" si="46"/>
        <v>Lucky12</v>
      </c>
      <c r="F611" s="8">
        <f>VLOOKUP(C611,'RAW DATA 2023'!E:BO,23,0)</f>
        <v>28.688831085323425</v>
      </c>
      <c r="G611" s="14">
        <f t="shared" si="47"/>
        <v>46.311168914676571</v>
      </c>
      <c r="H611" s="25">
        <f t="shared" si="48"/>
        <v>9.262233782935315</v>
      </c>
      <c r="I611" s="80" t="str">
        <f>VLOOKUP(C611,'RAW DATA 2023'!E:BO,36,0)</f>
        <v>Normal</v>
      </c>
      <c r="J611">
        <f>VLOOKUP(C611,'RAW DATA 2023'!E:BO,21,0)</f>
        <v>8.5846299999999989</v>
      </c>
      <c r="K611" s="268">
        <f t="shared" si="49"/>
        <v>79.512849999999986</v>
      </c>
    </row>
    <row r="612" spans="1:11">
      <c r="A612" t="str">
        <f>'RAW DATA 2023'!B605</f>
        <v>Lucky1</v>
      </c>
      <c r="B612" t="str">
        <f>'RAW DATA 2023'!D605</f>
        <v>BG-027-0010</v>
      </c>
      <c r="C612" t="str">
        <f t="shared" si="45"/>
        <v>Lucky1BG-027-0010</v>
      </c>
      <c r="D612">
        <f>VLOOKUP(C612,'RAW DATA 2023'!E:BP,63,0)</f>
        <v>2</v>
      </c>
      <c r="E612" t="str">
        <f t="shared" si="46"/>
        <v>Lucky12</v>
      </c>
      <c r="F612" s="8">
        <f>VLOOKUP(C612,'RAW DATA 2023'!E:BO,23,0)</f>
        <v>26.859010502041102</v>
      </c>
      <c r="G612" s="14">
        <f t="shared" si="47"/>
        <v>48.140989497958898</v>
      </c>
      <c r="H612" s="25">
        <f t="shared" si="48"/>
        <v>9.6281978995917807</v>
      </c>
      <c r="I612" s="80" t="str">
        <f>VLOOKUP(C612,'RAW DATA 2023'!E:BO,36,0)</f>
        <v>Normal</v>
      </c>
      <c r="J612">
        <f>VLOOKUP(C612,'RAW DATA 2023'!E:BO,21,0)</f>
        <v>13.00033</v>
      </c>
      <c r="K612" s="268">
        <f t="shared" si="49"/>
        <v>125.16975000000001</v>
      </c>
    </row>
    <row r="613" spans="1:11">
      <c r="A613" t="str">
        <f>'RAW DATA 2023'!B606</f>
        <v>Lucky1</v>
      </c>
      <c r="B613" t="str">
        <f>'RAW DATA 2023'!D606</f>
        <v>BG-028-0013</v>
      </c>
      <c r="C613" t="str">
        <f t="shared" si="45"/>
        <v>Lucky1BG-028-0013</v>
      </c>
      <c r="D613">
        <f>VLOOKUP(C613,'RAW DATA 2023'!E:BP,63,0)</f>
        <v>9</v>
      </c>
      <c r="E613" t="str">
        <f t="shared" si="46"/>
        <v>Lucky19</v>
      </c>
      <c r="F613" s="8">
        <f>VLOOKUP(C613,'RAW DATA 2023'!E:BO,23,0)</f>
        <v>67.999576247910667</v>
      </c>
      <c r="G613" s="14">
        <f t="shared" si="47"/>
        <v>7.0004237520893327</v>
      </c>
      <c r="H613" s="25">
        <f t="shared" si="48"/>
        <v>1.4000847504178666</v>
      </c>
      <c r="I613" s="80" t="str">
        <f>VLOOKUP(C613,'RAW DATA 2023'!E:BO,36,0)</f>
        <v>EHP</v>
      </c>
      <c r="J613">
        <f>VLOOKUP(C613,'RAW DATA 2023'!E:BO,21,0)</f>
        <v>12.7433</v>
      </c>
      <c r="K613" s="268">
        <f t="shared" si="49"/>
        <v>17.841699999999999</v>
      </c>
    </row>
    <row r="614" spans="1:11">
      <c r="A614" t="str">
        <f>'RAW DATA 2023'!B607</f>
        <v>Lucky1</v>
      </c>
      <c r="B614" t="str">
        <f>'RAW DATA 2023'!D607</f>
        <v>B1-015-0007</v>
      </c>
      <c r="C614" t="str">
        <f t="shared" si="45"/>
        <v>Lucky1B1-015-0007</v>
      </c>
      <c r="D614">
        <f>VLOOKUP(C614,'RAW DATA 2023'!E:BP,63,0)</f>
        <v>5</v>
      </c>
      <c r="E614" t="str">
        <f t="shared" si="46"/>
        <v>Lucky15</v>
      </c>
      <c r="F614" s="8">
        <f>VLOOKUP(C614,'RAW DATA 2023'!E:BO,23,0)</f>
        <v>39.370608237481605</v>
      </c>
      <c r="G614" s="14">
        <f t="shared" si="47"/>
        <v>35.629391762518395</v>
      </c>
      <c r="H614" s="25">
        <f t="shared" si="48"/>
        <v>7.1258783525036797</v>
      </c>
      <c r="I614" s="80" t="str">
        <f>VLOOKUP(C614,'RAW DATA 2023'!E:BO,36,0)</f>
        <v>ทยอยตาย</v>
      </c>
      <c r="J614">
        <f>VLOOKUP(C614,'RAW DATA 2023'!E:BO,21,0)</f>
        <v>17.339279999999999</v>
      </c>
      <c r="K614" s="268">
        <f t="shared" si="49"/>
        <v>123.55759999999999</v>
      </c>
    </row>
    <row r="615" spans="1:11">
      <c r="A615" t="str">
        <f>'RAW DATA 2023'!B608</f>
        <v>Lucky1</v>
      </c>
      <c r="B615" t="str">
        <f>'RAW DATA 2023'!D608</f>
        <v>B1-017-0013</v>
      </c>
      <c r="C615" t="str">
        <f t="shared" si="45"/>
        <v>Lucky1B1-017-0013</v>
      </c>
      <c r="D615">
        <f>VLOOKUP(C615,'RAW DATA 2023'!E:BP,63,0)</f>
        <v>5</v>
      </c>
      <c r="E615" t="str">
        <f t="shared" si="46"/>
        <v>Lucky15</v>
      </c>
      <c r="F615" s="8">
        <f>VLOOKUP(C615,'RAW DATA 2023'!E:BO,23,0)</f>
        <v>38.662173415994822</v>
      </c>
      <c r="G615" s="14">
        <f t="shared" si="47"/>
        <v>36.337826584005178</v>
      </c>
      <c r="H615" s="25">
        <f t="shared" si="48"/>
        <v>7.2675653168010363</v>
      </c>
      <c r="I615" s="80" t="str">
        <f>VLOOKUP(C615,'RAW DATA 2023'!E:BO,36,0)</f>
        <v>ทยอยตาย</v>
      </c>
      <c r="J615">
        <f>VLOOKUP(C615,'RAW DATA 2023'!E:BO,21,0)</f>
        <v>16.751049999999999</v>
      </c>
      <c r="K615" s="268">
        <f t="shared" si="49"/>
        <v>121.73935</v>
      </c>
    </row>
    <row r="616" spans="1:11">
      <c r="A616" t="str">
        <f>'RAW DATA 2023'!B609</f>
        <v>Lucky1</v>
      </c>
      <c r="B616" t="str">
        <f>'RAW DATA 2023'!D609</f>
        <v>B1-020-0010</v>
      </c>
      <c r="C616" t="str">
        <f t="shared" si="45"/>
        <v>Lucky1B1-020-0010</v>
      </c>
      <c r="D616">
        <f>VLOOKUP(C616,'RAW DATA 2023'!E:BP,63,0)</f>
        <v>2</v>
      </c>
      <c r="E616" t="str">
        <f t="shared" si="46"/>
        <v>Lucky12</v>
      </c>
      <c r="F616" s="8">
        <f>VLOOKUP(C616,'RAW DATA 2023'!E:BO,23,0)</f>
        <v>31.108094687873997</v>
      </c>
      <c r="G616" s="14">
        <f t="shared" si="47"/>
        <v>43.891905312125999</v>
      </c>
      <c r="H616" s="25">
        <f t="shared" si="48"/>
        <v>8.7783810624252006</v>
      </c>
      <c r="I616" s="80" t="str">
        <f>VLOOKUP(C616,'RAW DATA 2023'!E:BO,36,0)</f>
        <v>Normal</v>
      </c>
      <c r="J616">
        <f>VLOOKUP(C616,'RAW DATA 2023'!E:BO,21,0)</f>
        <v>16.936910000000001</v>
      </c>
      <c r="K616" s="268">
        <f t="shared" si="49"/>
        <v>148.67865</v>
      </c>
    </row>
    <row r="617" spans="1:11">
      <c r="A617" t="str">
        <f>'RAW DATA 2023'!B610</f>
        <v>Lucky1</v>
      </c>
      <c r="B617" t="str">
        <f>'RAW DATA 2023'!D610</f>
        <v>B1-019-0012</v>
      </c>
      <c r="C617" t="str">
        <f t="shared" si="45"/>
        <v>Lucky1B1-019-0012</v>
      </c>
      <c r="D617">
        <f>VLOOKUP(C617,'RAW DATA 2023'!E:BP,63,0)</f>
        <v>2</v>
      </c>
      <c r="E617" t="str">
        <f t="shared" si="46"/>
        <v>Lucky12</v>
      </c>
      <c r="F617" s="8">
        <f>VLOOKUP(C617,'RAW DATA 2023'!E:BO,23,0)</f>
        <v>33.002024769532085</v>
      </c>
      <c r="G617" s="14">
        <f t="shared" si="47"/>
        <v>41.997975230467915</v>
      </c>
      <c r="H617" s="25">
        <f t="shared" si="48"/>
        <v>8.3995950460935838</v>
      </c>
      <c r="I617" s="80" t="str">
        <f>VLOOKUP(C617,'RAW DATA 2023'!E:BO,36,0)</f>
        <v>EHP</v>
      </c>
      <c r="J617">
        <f>VLOOKUP(C617,'RAW DATA 2023'!E:BO,21,0)</f>
        <v>15.710430000000001</v>
      </c>
      <c r="K617" s="268">
        <f t="shared" si="49"/>
        <v>131.96125000000004</v>
      </c>
    </row>
    <row r="618" spans="1:11">
      <c r="A618" t="str">
        <f>'RAW DATA 2023'!B611</f>
        <v>Lucky1</v>
      </c>
      <c r="B618" t="str">
        <f>'RAW DATA 2023'!D611</f>
        <v>B1-021-0013</v>
      </c>
      <c r="C618" t="str">
        <f t="shared" si="45"/>
        <v>Lucky1B1-021-0013</v>
      </c>
      <c r="D618">
        <f>VLOOKUP(C618,'RAW DATA 2023'!E:BP,63,0)</f>
        <v>2</v>
      </c>
      <c r="E618" t="str">
        <f t="shared" si="46"/>
        <v>Lucky12</v>
      </c>
      <c r="F618" s="8">
        <f>VLOOKUP(C618,'RAW DATA 2023'!E:BO,23,0)</f>
        <v>27.801219903549228</v>
      </c>
      <c r="G618" s="14">
        <f t="shared" si="47"/>
        <v>47.198780096450776</v>
      </c>
      <c r="H618" s="25">
        <f t="shared" si="48"/>
        <v>9.4397560192901562</v>
      </c>
      <c r="I618" s="80" t="str">
        <f>VLOOKUP(C618,'RAW DATA 2023'!E:BO,36,0)</f>
        <v>Normal</v>
      </c>
      <c r="J618">
        <f>VLOOKUP(C618,'RAW DATA 2023'!E:BO,21,0)</f>
        <v>18.01126</v>
      </c>
      <c r="K618" s="268">
        <f t="shared" si="49"/>
        <v>170.02190000000002</v>
      </c>
    </row>
    <row r="619" spans="1:11">
      <c r="A619" t="str">
        <f>'RAW DATA 2023'!B612</f>
        <v>Lucky1</v>
      </c>
      <c r="B619" t="str">
        <f>'RAW DATA 2023'!D612</f>
        <v>B1-018-0011</v>
      </c>
      <c r="C619" t="str">
        <f t="shared" si="45"/>
        <v>Lucky1B1-018-0011</v>
      </c>
      <c r="D619">
        <f>VLOOKUP(C619,'RAW DATA 2023'!E:BP,63,0)</f>
        <v>2</v>
      </c>
      <c r="E619" t="str">
        <f t="shared" si="46"/>
        <v>Lucky12</v>
      </c>
      <c r="F619" s="8">
        <f>VLOOKUP(C619,'RAW DATA 2023'!E:BO,23,0)</f>
        <v>31.638270730744907</v>
      </c>
      <c r="G619" s="14">
        <f t="shared" si="47"/>
        <v>43.361729269255093</v>
      </c>
      <c r="H619" s="25">
        <f t="shared" si="48"/>
        <v>8.6723458538510183</v>
      </c>
      <c r="I619" s="80" t="str">
        <f>VLOOKUP(C619,'RAW DATA 2023'!E:BO,36,0)</f>
        <v>Normal</v>
      </c>
      <c r="J619">
        <f>VLOOKUP(C619,'RAW DATA 2023'!E:BO,21,0)</f>
        <v>14.800240000000001</v>
      </c>
      <c r="K619" s="268">
        <f t="shared" si="49"/>
        <v>128.3528</v>
      </c>
    </row>
    <row r="620" spans="1:11">
      <c r="A620" t="str">
        <f>'RAW DATA 2023'!B613</f>
        <v>Lucky1</v>
      </c>
      <c r="B620" t="str">
        <f>'RAW DATA 2023'!D613</f>
        <v>B1-016-0004</v>
      </c>
      <c r="C620" t="str">
        <f t="shared" si="45"/>
        <v>Lucky1B1-016-0004</v>
      </c>
      <c r="D620">
        <f>VLOOKUP(C620,'RAW DATA 2023'!E:BP,63,0)</f>
        <v>5</v>
      </c>
      <c r="E620" t="str">
        <f t="shared" si="46"/>
        <v>Lucky15</v>
      </c>
      <c r="F620" s="8">
        <f>VLOOKUP(C620,'RAW DATA 2023'!E:BO,23,0)</f>
        <v>56.827827924602296</v>
      </c>
      <c r="G620" s="14">
        <f t="shared" si="47"/>
        <v>18.172172075397704</v>
      </c>
      <c r="H620" s="25">
        <f t="shared" si="48"/>
        <v>3.6344344150795411</v>
      </c>
      <c r="I620" s="80" t="str">
        <f>VLOOKUP(C620,'RAW DATA 2023'!E:BO,36,0)</f>
        <v>EHP</v>
      </c>
      <c r="J620">
        <f>VLOOKUP(C620,'RAW DATA 2023'!E:BO,21,0)</f>
        <v>14.68798</v>
      </c>
      <c r="K620" s="268">
        <f t="shared" si="49"/>
        <v>53.3825</v>
      </c>
    </row>
    <row r="621" spans="1:11">
      <c r="A621" t="str">
        <f>'RAW DATA 2023'!B614</f>
        <v>Lucky1</v>
      </c>
      <c r="B621" t="str">
        <f>'RAW DATA 2023'!D614</f>
        <v>B1-022-0010</v>
      </c>
      <c r="C621" t="str">
        <f t="shared" si="45"/>
        <v>Lucky1B1-022-0010</v>
      </c>
      <c r="D621">
        <f>VLOOKUP(C621,'RAW DATA 2023'!E:BP,63,0)</f>
        <v>2</v>
      </c>
      <c r="E621" t="str">
        <f t="shared" si="46"/>
        <v>Lucky12</v>
      </c>
      <c r="F621" s="8">
        <f>VLOOKUP(C621,'RAW DATA 2023'!E:BO,23,0)</f>
        <v>39.57508542862886</v>
      </c>
      <c r="G621" s="14">
        <f t="shared" si="47"/>
        <v>35.42491457137114</v>
      </c>
      <c r="H621" s="25">
        <f t="shared" si="48"/>
        <v>7.084982914274228</v>
      </c>
      <c r="I621" s="80" t="str">
        <f>VLOOKUP(C621,'RAW DATA 2023'!E:BO,36,0)</f>
        <v>EHP</v>
      </c>
      <c r="J621">
        <f>VLOOKUP(C621,'RAW DATA 2023'!E:BO,21,0)</f>
        <v>12.58653</v>
      </c>
      <c r="K621" s="268">
        <f t="shared" si="49"/>
        <v>89.175349999999995</v>
      </c>
    </row>
    <row r="622" spans="1:11">
      <c r="A622" t="str">
        <f>'RAW DATA 2023'!B615</f>
        <v>Lucky1</v>
      </c>
      <c r="B622" t="str">
        <f>'RAW DATA 2023'!D615</f>
        <v>B1-017-0012</v>
      </c>
      <c r="C622" t="str">
        <f t="shared" si="45"/>
        <v>Lucky1B1-017-0012</v>
      </c>
      <c r="D622">
        <f>VLOOKUP(C622,'RAW DATA 2023'!E:BP,63,0)</f>
        <v>1</v>
      </c>
      <c r="E622" t="str">
        <f t="shared" si="46"/>
        <v>Lucky11</v>
      </c>
      <c r="F622" s="8">
        <f>VLOOKUP(C622,'RAW DATA 2023'!E:BO,23,0)</f>
        <v>43.999817865843013</v>
      </c>
      <c r="G622" s="14">
        <f t="shared" si="47"/>
        <v>31.000182134156987</v>
      </c>
      <c r="H622" s="25">
        <f t="shared" si="48"/>
        <v>6.2000364268313977</v>
      </c>
      <c r="I622" s="80" t="str">
        <f>VLOOKUP(C622,'RAW DATA 2023'!E:BO,36,0)</f>
        <v>EHP</v>
      </c>
      <c r="J622">
        <f>VLOOKUP(C622,'RAW DATA 2023'!E:BO,21,0)</f>
        <v>10.541679999999999</v>
      </c>
      <c r="K622" s="268">
        <f t="shared" si="49"/>
        <v>65.358800000000002</v>
      </c>
    </row>
    <row r="623" spans="1:11">
      <c r="A623" t="str">
        <f>'RAW DATA 2023'!B616</f>
        <v>Lucky1</v>
      </c>
      <c r="B623" t="str">
        <f>'RAW DATA 2023'!D616</f>
        <v>B1-024-0011</v>
      </c>
      <c r="C623" t="str">
        <f t="shared" si="45"/>
        <v>Lucky1B1-024-0011</v>
      </c>
      <c r="D623">
        <f>VLOOKUP(C623,'RAW DATA 2023'!E:BP,63,0)</f>
        <v>1</v>
      </c>
      <c r="E623" t="str">
        <f t="shared" si="46"/>
        <v>Lucky11</v>
      </c>
      <c r="F623" s="8">
        <f>VLOOKUP(C623,'RAW DATA 2023'!E:BO,23,0)</f>
        <v>48.000040596135804</v>
      </c>
      <c r="G623" s="14">
        <f t="shared" si="47"/>
        <v>26.999959403864196</v>
      </c>
      <c r="H623" s="25">
        <f t="shared" si="48"/>
        <v>5.3999918807728395</v>
      </c>
      <c r="I623" s="80" t="str">
        <f>VLOOKUP(C623,'RAW DATA 2023'!E:BO,36,0)</f>
        <v>Normal</v>
      </c>
      <c r="J623">
        <f>VLOOKUP(C623,'RAW DATA 2023'!E:BO,21,0)</f>
        <v>10.838469999999999</v>
      </c>
      <c r="K623" s="268">
        <f t="shared" si="49"/>
        <v>58.527649999999994</v>
      </c>
    </row>
    <row r="624" spans="1:11">
      <c r="A624" t="str">
        <f>'RAW DATA 2023'!B617</f>
        <v>Lucky1</v>
      </c>
      <c r="B624" t="str">
        <f>'RAW DATA 2023'!D617</f>
        <v>B1-021-0015</v>
      </c>
      <c r="C624" t="str">
        <f t="shared" si="45"/>
        <v>Lucky1B1-021-0015</v>
      </c>
      <c r="D624">
        <f>VLOOKUP(C624,'RAW DATA 2023'!E:BP,63,0)</f>
        <v>8</v>
      </c>
      <c r="E624" t="str">
        <f t="shared" si="46"/>
        <v>Lucky18</v>
      </c>
      <c r="F624" s="8">
        <f>VLOOKUP(C624,'RAW DATA 2023'!E:BO,23,0)</f>
        <v>103.00010577547133</v>
      </c>
      <c r="G624" s="14">
        <f t="shared" si="47"/>
        <v>-28.000105775471326</v>
      </c>
      <c r="H624" s="25">
        <f t="shared" si="48"/>
        <v>-5.6000211550942653</v>
      </c>
      <c r="I624" s="80" t="str">
        <f>VLOOKUP(C624,'RAW DATA 2023'!E:BO,36,0)</f>
        <v>EHP</v>
      </c>
      <c r="J624">
        <f>VLOOKUP(C624,'RAW DATA 2023'!E:BO,21,0)</f>
        <v>7.6577299999999999</v>
      </c>
      <c r="K624" s="268">
        <f t="shared" si="49"/>
        <v>-42.883450000000011</v>
      </c>
    </row>
    <row r="625" spans="1:11">
      <c r="A625" t="str">
        <f>'RAW DATA 2023'!B618</f>
        <v>Lucky1</v>
      </c>
      <c r="B625" t="str">
        <f>'RAW DATA 2023'!D618</f>
        <v>B1-017-0014</v>
      </c>
      <c r="C625" t="str">
        <f t="shared" si="45"/>
        <v>Lucky1B1-017-0014</v>
      </c>
      <c r="D625">
        <f>VLOOKUP(C625,'RAW DATA 2023'!E:BP,63,0)</f>
        <v>9</v>
      </c>
      <c r="E625" t="str">
        <f t="shared" si="46"/>
        <v>Lucky19</v>
      </c>
      <c r="F625" s="8">
        <f>VLOOKUP(C625,'RAW DATA 2023'!E:BO,23,0)</f>
        <v>90.002234469130286</v>
      </c>
      <c r="G625" s="14">
        <f t="shared" si="47"/>
        <v>-15.002234469130286</v>
      </c>
      <c r="H625" s="25">
        <f t="shared" si="48"/>
        <v>-3.0004468938260573</v>
      </c>
      <c r="I625" s="80" t="str">
        <f>VLOOKUP(C625,'RAW DATA 2023'!E:BO,36,0)</f>
        <v>EHP</v>
      </c>
      <c r="J625">
        <f>VLOOKUP(C625,'RAW DATA 2023'!E:BO,21,0)</f>
        <v>11.456860000000001</v>
      </c>
      <c r="K625" s="268">
        <f t="shared" si="49"/>
        <v>-34.375700000000002</v>
      </c>
    </row>
    <row r="626" spans="1:11">
      <c r="A626" t="str">
        <f>'RAW DATA 2023'!B619</f>
        <v>Lucky1</v>
      </c>
      <c r="B626" t="str">
        <f>'RAW DATA 2023'!D619</f>
        <v>B1-023-0013</v>
      </c>
      <c r="C626" t="str">
        <f t="shared" si="45"/>
        <v>Lucky1B1-023-0013</v>
      </c>
      <c r="D626">
        <f>VLOOKUP(C626,'RAW DATA 2023'!E:BP,63,0)</f>
        <v>1</v>
      </c>
      <c r="E626" t="str">
        <f t="shared" si="46"/>
        <v>Lucky11</v>
      </c>
      <c r="F626" s="8">
        <f>VLOOKUP(C626,'RAW DATA 2023'!E:BO,23,0)</f>
        <v>75.999905888134975</v>
      </c>
      <c r="G626" s="14">
        <f t="shared" si="47"/>
        <v>-0.99990588813497538</v>
      </c>
      <c r="H626" s="25">
        <f t="shared" si="48"/>
        <v>-0.19998117762699508</v>
      </c>
      <c r="I626" s="80" t="str">
        <f>VLOOKUP(C626,'RAW DATA 2023'!E:BO,36,0)</f>
        <v>WSSV</v>
      </c>
      <c r="J626">
        <f>VLOOKUP(C626,'RAW DATA 2023'!E:BO,21,0)</f>
        <v>7.6504700000000003</v>
      </c>
      <c r="K626" s="268">
        <f t="shared" si="49"/>
        <v>-1.529949999999997</v>
      </c>
    </row>
    <row r="627" spans="1:11">
      <c r="A627" t="str">
        <f>'RAW DATA 2023'!B620</f>
        <v>Lucky1</v>
      </c>
      <c r="B627" t="str">
        <f>'RAW DATA 2023'!D620</f>
        <v>B1-019-0013</v>
      </c>
      <c r="C627" t="str">
        <f t="shared" si="45"/>
        <v>Lucky1B1-019-0013</v>
      </c>
      <c r="D627">
        <f>VLOOKUP(C627,'RAW DATA 2023'!E:BP,63,0)</f>
        <v>6</v>
      </c>
      <c r="E627" t="str">
        <f t="shared" si="46"/>
        <v>Lucky16</v>
      </c>
      <c r="F627" s="8">
        <f>VLOOKUP(C627,'RAW DATA 2023'!E:BO,23,0)</f>
        <v>140.00005711478931</v>
      </c>
      <c r="G627" s="14">
        <f t="shared" si="47"/>
        <v>-65.000057114789314</v>
      </c>
      <c r="H627" s="25">
        <f t="shared" si="48"/>
        <v>-13.000011422957863</v>
      </c>
      <c r="I627" s="80" t="str">
        <f>VLOOKUP(C627,'RAW DATA 2023'!E:BO,36,0)</f>
        <v>EHP</v>
      </c>
      <c r="J627">
        <f>VLOOKUP(C627,'RAW DATA 2023'!E:BO,21,0)</f>
        <v>3.5017199999999997</v>
      </c>
      <c r="K627" s="268">
        <f t="shared" si="49"/>
        <v>-45.522400000000005</v>
      </c>
    </row>
    <row r="628" spans="1:11">
      <c r="A628" t="str">
        <f>'RAW DATA 2023'!B621</f>
        <v>Lucky1</v>
      </c>
      <c r="B628" t="str">
        <f>'RAW DATA 2023'!D621</f>
        <v>B1-021-0014</v>
      </c>
      <c r="C628" t="str">
        <f t="shared" si="45"/>
        <v>Lucky1B1-021-0014</v>
      </c>
      <c r="D628">
        <f>VLOOKUP(C628,'RAW DATA 2023'!E:BP,63,0)</f>
        <v>4</v>
      </c>
      <c r="E628" t="str">
        <f t="shared" si="46"/>
        <v>Lucky14</v>
      </c>
      <c r="F628" s="8">
        <f>VLOOKUP(C628,'RAW DATA 2023'!E:BO,23,0)</f>
        <v>137.00004100825635</v>
      </c>
      <c r="G628" s="14">
        <f t="shared" si="47"/>
        <v>-62.000041008256346</v>
      </c>
      <c r="H628" s="25">
        <f t="shared" si="48"/>
        <v>-12.40000820165127</v>
      </c>
      <c r="I628" s="80" t="str">
        <f>VLOOKUP(C628,'RAW DATA 2023'!E:BO,36,0)</f>
        <v>EHP</v>
      </c>
      <c r="J628">
        <f>VLOOKUP(C628,'RAW DATA 2023'!E:BO,21,0)</f>
        <v>5.8524799999999999</v>
      </c>
      <c r="K628" s="268">
        <f t="shared" si="49"/>
        <v>-72.57080000000002</v>
      </c>
    </row>
    <row r="629" spans="1:11">
      <c r="A629" t="str">
        <f>'RAW DATA 2023'!B622</f>
        <v>Lucky1</v>
      </c>
      <c r="B629" t="str">
        <f>'RAW DATA 2023'!D622</f>
        <v>B1-020-0011</v>
      </c>
      <c r="C629" t="str">
        <f t="shared" si="45"/>
        <v>Lucky1B1-020-0011</v>
      </c>
      <c r="D629">
        <f>VLOOKUP(C629,'RAW DATA 2023'!E:BP,63,0)</f>
        <v>6</v>
      </c>
      <c r="E629" t="str">
        <f t="shared" si="46"/>
        <v>Lucky16</v>
      </c>
      <c r="F629" s="8">
        <f>VLOOKUP(C629,'RAW DATA 2023'!E:BO,23,0)</f>
        <v>142.00000886712175</v>
      </c>
      <c r="G629" s="14">
        <f t="shared" si="47"/>
        <v>-67.00000886712175</v>
      </c>
      <c r="H629" s="25">
        <f t="shared" si="48"/>
        <v>-13.40000177342435</v>
      </c>
      <c r="I629" s="80" t="str">
        <f>VLOOKUP(C629,'RAW DATA 2023'!E:BO,36,0)</f>
        <v>EHP</v>
      </c>
      <c r="J629">
        <f>VLOOKUP(C629,'RAW DATA 2023'!E:BO,21,0)</f>
        <v>6.7665699999999998</v>
      </c>
      <c r="K629" s="268">
        <f t="shared" si="49"/>
        <v>-90.672049999999999</v>
      </c>
    </row>
    <row r="630" spans="1:11">
      <c r="A630" t="str">
        <f>'RAW DATA 2023'!B623</f>
        <v>Lucky1</v>
      </c>
      <c r="B630" t="str">
        <f>'RAW DATA 2023'!D623</f>
        <v>B1-018-0012</v>
      </c>
      <c r="C630" t="str">
        <f t="shared" si="45"/>
        <v>Lucky1B1-018-0012</v>
      </c>
      <c r="D630">
        <f>VLOOKUP(C630,'RAW DATA 2023'!E:BP,63,0)</f>
        <v>5</v>
      </c>
      <c r="E630" t="str">
        <f t="shared" si="46"/>
        <v>Lucky15</v>
      </c>
      <c r="F630" s="8">
        <f>VLOOKUP(C630,'RAW DATA 2023'!E:BO,23,0)</f>
        <v>0</v>
      </c>
      <c r="G630" s="14">
        <f t="shared" si="47"/>
        <v>0</v>
      </c>
      <c r="H630" s="25">
        <f t="shared" si="48"/>
        <v>0</v>
      </c>
      <c r="I630" s="80" t="str">
        <f>VLOOKUP(C630,'RAW DATA 2023'!E:BO,36,0)</f>
        <v>EHP</v>
      </c>
      <c r="J630">
        <f>VLOOKUP(C630,'RAW DATA 2023'!E:BO,21,0)</f>
        <v>0</v>
      </c>
      <c r="K630" s="268">
        <f t="shared" si="49"/>
        <v>0</v>
      </c>
    </row>
    <row r="631" spans="1:11">
      <c r="A631" t="str">
        <f>'RAW DATA 2023'!B624</f>
        <v>Kamong</v>
      </c>
      <c r="B631" t="str">
        <f>'RAW DATA 2023'!D624</f>
        <v>AG-031-0013</v>
      </c>
      <c r="C631" t="str">
        <f t="shared" si="45"/>
        <v>KamongAG-031-0013</v>
      </c>
      <c r="D631">
        <f>VLOOKUP(C631,'RAW DATA 2023'!E:BP,63,0)</f>
        <v>9</v>
      </c>
      <c r="E631" t="str">
        <f t="shared" si="46"/>
        <v>Kamong9</v>
      </c>
      <c r="F631" s="8">
        <f>VLOOKUP(C631,'RAW DATA 2023'!E:BO,23,0)</f>
        <v>37.586847516074968</v>
      </c>
      <c r="G631" s="14">
        <f t="shared" si="47"/>
        <v>37.413152483925032</v>
      </c>
      <c r="H631" s="25">
        <f t="shared" si="48"/>
        <v>7.4826304967850064</v>
      </c>
      <c r="I631" s="80" t="str">
        <f>VLOOKUP(C631,'RAW DATA 2023'!E:BO,36,0)</f>
        <v>Normal</v>
      </c>
      <c r="J631">
        <f>VLOOKUP(C631,'RAW DATA 2023'!E:BO,21,0)</f>
        <v>14.52258</v>
      </c>
      <c r="K631" s="268">
        <f t="shared" si="49"/>
        <v>108.66709999999999</v>
      </c>
    </row>
    <row r="632" spans="1:11">
      <c r="A632" t="str">
        <f>'RAW DATA 2023'!B625</f>
        <v>Kamong</v>
      </c>
      <c r="B632" t="str">
        <f>'RAW DATA 2023'!D625</f>
        <v>AG-011-0009</v>
      </c>
      <c r="C632" t="str">
        <f t="shared" si="45"/>
        <v>KamongAG-011-0009</v>
      </c>
      <c r="D632">
        <f>VLOOKUP(C632,'RAW DATA 2023'!E:BP,63,0)</f>
        <v>9</v>
      </c>
      <c r="E632" t="str">
        <f t="shared" si="46"/>
        <v>Kamong9</v>
      </c>
      <c r="F632" s="8">
        <f>VLOOKUP(C632,'RAW DATA 2023'!E:BO,23,0)</f>
        <v>40.359245624705203</v>
      </c>
      <c r="G632" s="14">
        <f t="shared" si="47"/>
        <v>34.640754375294797</v>
      </c>
      <c r="H632" s="25">
        <f t="shared" si="48"/>
        <v>6.92815087505896</v>
      </c>
      <c r="I632" s="80" t="str">
        <f>VLOOKUP(C632,'RAW DATA 2023'!E:BO,36,0)</f>
        <v>Normal</v>
      </c>
      <c r="J632">
        <f>VLOOKUP(C632,'RAW DATA 2023'!E:BO,21,0)</f>
        <v>22.706469999999999</v>
      </c>
      <c r="K632" s="268">
        <f t="shared" si="49"/>
        <v>157.31385000000003</v>
      </c>
    </row>
    <row r="633" spans="1:11">
      <c r="A633" t="str">
        <f>'RAW DATA 2023'!B626</f>
        <v>Kamong</v>
      </c>
      <c r="B633" t="str">
        <f>'RAW DATA 2023'!D626</f>
        <v>AG-031-0012</v>
      </c>
      <c r="C633" t="str">
        <f t="shared" si="45"/>
        <v>KamongAG-031-0012</v>
      </c>
      <c r="D633">
        <f>VLOOKUP(C633,'RAW DATA 2023'!E:BP,63,0)</f>
        <v>6</v>
      </c>
      <c r="E633" t="str">
        <f t="shared" si="46"/>
        <v>Kamong6</v>
      </c>
      <c r="F633" s="8">
        <f>VLOOKUP(C633,'RAW DATA 2023'!E:BO,23,0)</f>
        <v>37.407386808158783</v>
      </c>
      <c r="G633" s="14">
        <f t="shared" si="47"/>
        <v>37.592613191841217</v>
      </c>
      <c r="H633" s="25">
        <f t="shared" si="48"/>
        <v>7.5185226383682435</v>
      </c>
      <c r="I633" s="80" t="str">
        <f>VLOOKUP(C633,'RAW DATA 2023'!E:BO,36,0)</f>
        <v>Normal</v>
      </c>
      <c r="J633">
        <f>VLOOKUP(C633,'RAW DATA 2023'!E:BO,21,0)</f>
        <v>26.9697</v>
      </c>
      <c r="K633" s="268">
        <f t="shared" si="49"/>
        <v>202.7723</v>
      </c>
    </row>
    <row r="634" spans="1:11">
      <c r="A634" t="str">
        <f>'RAW DATA 2023'!B627</f>
        <v>Kamong</v>
      </c>
      <c r="B634" t="str">
        <f>'RAW DATA 2023'!D627</f>
        <v>C1-006-0031</v>
      </c>
      <c r="C634" t="str">
        <f t="shared" si="45"/>
        <v>KamongC1-006-0031</v>
      </c>
      <c r="D634">
        <f>VLOOKUP(C634,'RAW DATA 2023'!E:BP,63,0)</f>
        <v>8</v>
      </c>
      <c r="E634" t="str">
        <f t="shared" si="46"/>
        <v>Kamong8</v>
      </c>
      <c r="F634" s="8">
        <f>VLOOKUP(C634,'RAW DATA 2023'!E:BO,23,0)</f>
        <v>31.912659727591205</v>
      </c>
      <c r="G634" s="14">
        <f t="shared" si="47"/>
        <v>43.087340272408795</v>
      </c>
      <c r="H634" s="25">
        <f t="shared" si="48"/>
        <v>8.6174680544817601</v>
      </c>
      <c r="I634" s="80" t="str">
        <f>VLOOKUP(C634,'RAW DATA 2023'!E:BO,36,0)</f>
        <v>EHP</v>
      </c>
      <c r="J634">
        <f>VLOOKUP(C634,'RAW DATA 2023'!E:BO,21,0)</f>
        <v>75.109909999999999</v>
      </c>
      <c r="K634" s="268">
        <f t="shared" si="49"/>
        <v>647.25725000000011</v>
      </c>
    </row>
    <row r="635" spans="1:11">
      <c r="A635" t="str">
        <f>'RAW DATA 2023'!B628</f>
        <v>Kamong</v>
      </c>
      <c r="B635" t="str">
        <f>'RAW DATA 2023'!D628</f>
        <v>C1-026-0043</v>
      </c>
      <c r="C635" t="str">
        <f t="shared" si="45"/>
        <v>KamongC1-026-0043</v>
      </c>
      <c r="D635">
        <f>VLOOKUP(C635,'RAW DATA 2023'!E:BP,63,0)</f>
        <v>12</v>
      </c>
      <c r="E635" t="str">
        <f t="shared" si="46"/>
        <v>Kamong12</v>
      </c>
      <c r="F635" s="8">
        <f>VLOOKUP(C635,'RAW DATA 2023'!E:BO,23,0)</f>
        <v>34.163867953084136</v>
      </c>
      <c r="G635" s="14">
        <f t="shared" si="47"/>
        <v>40.836132046915864</v>
      </c>
      <c r="H635" s="25">
        <f t="shared" si="48"/>
        <v>8.1672264093831739</v>
      </c>
      <c r="I635" s="80" t="str">
        <f>VLOOKUP(C635,'RAW DATA 2023'!E:BO,36,0)</f>
        <v>Normal</v>
      </c>
      <c r="J635">
        <f>VLOOKUP(C635,'RAW DATA 2023'!E:BO,21,0)</f>
        <v>51.306309999999996</v>
      </c>
      <c r="K635" s="268">
        <f t="shared" si="49"/>
        <v>419.03025000000002</v>
      </c>
    </row>
    <row r="636" spans="1:11">
      <c r="A636" t="str">
        <f>'RAW DATA 2023'!B629</f>
        <v>Kamong</v>
      </c>
      <c r="B636" t="str">
        <f>'RAW DATA 2023'!D629</f>
        <v>C1-018-0018</v>
      </c>
      <c r="C636" t="str">
        <f t="shared" si="45"/>
        <v>KamongC1-018-0018</v>
      </c>
      <c r="D636">
        <f>VLOOKUP(C636,'RAW DATA 2023'!E:BP,63,0)</f>
        <v>5</v>
      </c>
      <c r="E636" t="str">
        <f t="shared" si="46"/>
        <v>Kamong5</v>
      </c>
      <c r="F636" s="8">
        <f>VLOOKUP(C636,'RAW DATA 2023'!E:BO,23,0)</f>
        <v>43.465503887337285</v>
      </c>
      <c r="G636" s="14">
        <f t="shared" si="47"/>
        <v>31.534496112662715</v>
      </c>
      <c r="H636" s="25">
        <f t="shared" si="48"/>
        <v>6.3068992225325431</v>
      </c>
      <c r="I636" s="80" t="str">
        <f>VLOOKUP(C636,'RAW DATA 2023'!E:BO,36,0)</f>
        <v>ทยอยตาย</v>
      </c>
      <c r="J636">
        <f>VLOOKUP(C636,'RAW DATA 2023'!E:BO,21,0)</f>
        <v>36.822120000000005</v>
      </c>
      <c r="K636" s="268">
        <f t="shared" si="49"/>
        <v>232.23340000000005</v>
      </c>
    </row>
    <row r="637" spans="1:11">
      <c r="A637" t="str">
        <f>'RAW DATA 2023'!B630</f>
        <v>Kamong</v>
      </c>
      <c r="B637" t="str">
        <f>'RAW DATA 2023'!D630</f>
        <v>C1-006-0030</v>
      </c>
      <c r="C637" t="str">
        <f t="shared" si="45"/>
        <v>KamongC1-006-0030</v>
      </c>
      <c r="D637">
        <f>VLOOKUP(C637,'RAW DATA 2023'!E:BP,63,0)</f>
        <v>4</v>
      </c>
      <c r="E637" t="str">
        <f t="shared" si="46"/>
        <v>Kamong4</v>
      </c>
      <c r="F637" s="8">
        <f>VLOOKUP(C637,'RAW DATA 2023'!E:BO,23,0)</f>
        <v>37.986417973756467</v>
      </c>
      <c r="G637" s="14">
        <f t="shared" si="47"/>
        <v>37.013582026243533</v>
      </c>
      <c r="H637" s="25">
        <f t="shared" si="48"/>
        <v>7.4027164052487073</v>
      </c>
      <c r="I637" s="80" t="str">
        <f>VLOOKUP(C637,'RAW DATA 2023'!E:BO,36,0)</f>
        <v>Normal</v>
      </c>
      <c r="J637">
        <f>VLOOKUP(C637,'RAW DATA 2023'!E:BO,21,0)</f>
        <v>78.695179999999993</v>
      </c>
      <c r="K637" s="268">
        <f t="shared" si="49"/>
        <v>582.55809999999997</v>
      </c>
    </row>
    <row r="638" spans="1:11">
      <c r="A638" t="str">
        <f>'RAW DATA 2023'!B631</f>
        <v>Kamong</v>
      </c>
      <c r="B638" t="str">
        <f>'RAW DATA 2023'!D631</f>
        <v>C1-024-0042</v>
      </c>
      <c r="C638" t="str">
        <f t="shared" si="45"/>
        <v>KamongC1-024-0042</v>
      </c>
      <c r="D638">
        <f>VLOOKUP(C638,'RAW DATA 2023'!E:BP,63,0)</f>
        <v>5</v>
      </c>
      <c r="E638" t="str">
        <f t="shared" si="46"/>
        <v>Kamong5</v>
      </c>
      <c r="F638" s="8">
        <f>VLOOKUP(C638,'RAW DATA 2023'!E:BO,23,0)</f>
        <v>69.992201019152105</v>
      </c>
      <c r="G638" s="14">
        <f t="shared" si="47"/>
        <v>5.0077989808478947</v>
      </c>
      <c r="H638" s="25">
        <f t="shared" si="48"/>
        <v>1.001559796169579</v>
      </c>
      <c r="I638" s="80" t="str">
        <f>VLOOKUP(C638,'RAW DATA 2023'!E:BO,36,0)</f>
        <v>ทยอยตาย</v>
      </c>
      <c r="J638">
        <f>VLOOKUP(C638,'RAW DATA 2023'!E:BO,21,0)</f>
        <v>29.709009999999999</v>
      </c>
      <c r="K638" s="268">
        <f t="shared" si="49"/>
        <v>29.755349999999986</v>
      </c>
    </row>
    <row r="639" spans="1:11">
      <c r="A639" t="str">
        <f>'RAW DATA 2023'!B632</f>
        <v>Kamong</v>
      </c>
      <c r="B639" t="str">
        <f>'RAW DATA 2023'!D632</f>
        <v>AG-011-0008</v>
      </c>
      <c r="C639" t="str">
        <f t="shared" si="45"/>
        <v>KamongAG-011-0008</v>
      </c>
      <c r="D639">
        <f>VLOOKUP(C639,'RAW DATA 2023'!E:BP,63,0)</f>
        <v>4</v>
      </c>
      <c r="E639" t="str">
        <f t="shared" si="46"/>
        <v>Kamong4</v>
      </c>
      <c r="F639" s="8">
        <f>VLOOKUP(C639,'RAW DATA 2023'!E:BO,23,0)</f>
        <v>43.272863910375527</v>
      </c>
      <c r="G639" s="14">
        <f t="shared" si="47"/>
        <v>31.727136089624473</v>
      </c>
      <c r="H639" s="25">
        <f t="shared" si="48"/>
        <v>6.3454272179248949</v>
      </c>
      <c r="I639" s="80" t="str">
        <f>VLOOKUP(C639,'RAW DATA 2023'!E:BO,36,0)</f>
        <v>Normal</v>
      </c>
      <c r="J639">
        <f>VLOOKUP(C639,'RAW DATA 2023'!E:BO,21,0)</f>
        <v>29.620480000000001</v>
      </c>
      <c r="K639" s="268">
        <f t="shared" si="49"/>
        <v>187.9546</v>
      </c>
    </row>
    <row r="640" spans="1:11">
      <c r="A640" t="str">
        <f>'RAW DATA 2023'!B633</f>
        <v>Kamong</v>
      </c>
      <c r="B640" t="str">
        <f>'RAW DATA 2023'!D633</f>
        <v>D1-032-0010</v>
      </c>
      <c r="C640" t="str">
        <f t="shared" si="45"/>
        <v>KamongD1-032-0010</v>
      </c>
      <c r="D640">
        <f>VLOOKUP(C640,'RAW DATA 2023'!E:BP,63,0)</f>
        <v>8</v>
      </c>
      <c r="E640" t="str">
        <f t="shared" si="46"/>
        <v>Kamong8</v>
      </c>
      <c r="F640" s="8">
        <f>VLOOKUP(C640,'RAW DATA 2023'!E:BO,23,0)</f>
        <v>110.00205234857088</v>
      </c>
      <c r="G640" s="14">
        <f t="shared" si="47"/>
        <v>-35.002052348570885</v>
      </c>
      <c r="H640" s="25">
        <f t="shared" si="48"/>
        <v>-7.0004104697141774</v>
      </c>
      <c r="I640" s="80" t="str">
        <f>VLOOKUP(C640,'RAW DATA 2023'!E:BO,36,0)</f>
        <v>EHP</v>
      </c>
      <c r="J640">
        <f>VLOOKUP(C640,'RAW DATA 2023'!E:BO,21,0)</f>
        <v>7.3087</v>
      </c>
      <c r="K640" s="268">
        <f t="shared" si="49"/>
        <v>-51.163900000000005</v>
      </c>
    </row>
    <row r="641" spans="1:11">
      <c r="A641" t="str">
        <f>'RAW DATA 2023'!B634</f>
        <v>Kamong</v>
      </c>
      <c r="B641" t="str">
        <f>'RAW DATA 2023'!D634</f>
        <v>D1-022-0038</v>
      </c>
      <c r="C641" t="str">
        <f t="shared" si="45"/>
        <v>KamongD1-022-0038</v>
      </c>
      <c r="D641">
        <f>VLOOKUP(C641,'RAW DATA 2023'!E:BP,63,0)</f>
        <v>2</v>
      </c>
      <c r="E641" t="str">
        <f t="shared" si="46"/>
        <v>Kamong2</v>
      </c>
      <c r="F641" s="8">
        <f>VLOOKUP(C641,'RAW DATA 2023'!E:BO,23,0)</f>
        <v>35.906157135194633</v>
      </c>
      <c r="G641" s="14">
        <f t="shared" si="47"/>
        <v>39.093842864805367</v>
      </c>
      <c r="H641" s="25">
        <f t="shared" si="48"/>
        <v>7.8187685729610736</v>
      </c>
      <c r="I641" s="80" t="str">
        <f>VLOOKUP(C641,'RAW DATA 2023'!E:BO,36,0)</f>
        <v>ทยอยตาย</v>
      </c>
      <c r="J641">
        <f>VLOOKUP(C641,'RAW DATA 2023'!E:BO,21,0)</f>
        <v>15.735239999999999</v>
      </c>
      <c r="K641" s="268">
        <f t="shared" si="49"/>
        <v>123.03019999999999</v>
      </c>
    </row>
    <row r="642" spans="1:11">
      <c r="A642" t="str">
        <f>'RAW DATA 2023'!B635</f>
        <v>Kamong</v>
      </c>
      <c r="B642" t="str">
        <f>'RAW DATA 2023'!D635</f>
        <v>D1-032-0008</v>
      </c>
      <c r="C642" t="str">
        <f t="shared" si="45"/>
        <v>KamongD1-032-0008</v>
      </c>
      <c r="D642">
        <f>VLOOKUP(C642,'RAW DATA 2023'!E:BP,63,0)</f>
        <v>3</v>
      </c>
      <c r="E642" t="str">
        <f t="shared" si="46"/>
        <v>Kamong3</v>
      </c>
      <c r="F642" s="8">
        <f>VLOOKUP(C642,'RAW DATA 2023'!E:BO,23,0)</f>
        <v>34.469084459544845</v>
      </c>
      <c r="G642" s="14">
        <f t="shared" si="47"/>
        <v>40.530915540455155</v>
      </c>
      <c r="H642" s="25">
        <f t="shared" si="48"/>
        <v>8.1061831080910309</v>
      </c>
      <c r="I642" s="80" t="str">
        <f>VLOOKUP(C642,'RAW DATA 2023'!E:BO,36,0)</f>
        <v>Normal</v>
      </c>
      <c r="J642">
        <f>VLOOKUP(C642,'RAW DATA 2023'!E:BO,21,0)</f>
        <v>20.179009999999998</v>
      </c>
      <c r="K642" s="268">
        <f t="shared" si="49"/>
        <v>163.57474999999997</v>
      </c>
    </row>
    <row r="643" spans="1:11">
      <c r="A643" t="str">
        <f>'RAW DATA 2023'!B636</f>
        <v>Kamong</v>
      </c>
      <c r="B643" t="str">
        <f>'RAW DATA 2023'!D636</f>
        <v>D1-022-0040</v>
      </c>
      <c r="C643" t="str">
        <f t="shared" si="45"/>
        <v>KamongD1-022-0040</v>
      </c>
      <c r="D643">
        <f>VLOOKUP(C643,'RAW DATA 2023'!E:BP,63,0)</f>
        <v>7</v>
      </c>
      <c r="E643" t="str">
        <f t="shared" si="46"/>
        <v>Kamong7</v>
      </c>
      <c r="F643" s="8">
        <f>VLOOKUP(C643,'RAW DATA 2023'!E:BO,23,0)</f>
        <v>111.0012203662869</v>
      </c>
      <c r="G643" s="14">
        <f t="shared" si="47"/>
        <v>-36.001220366286901</v>
      </c>
      <c r="H643" s="25">
        <f t="shared" si="48"/>
        <v>-7.2002440732573803</v>
      </c>
      <c r="I643" s="80" t="str">
        <f>VLOOKUP(C643,'RAW DATA 2023'!E:BO,36,0)</f>
        <v>EHP</v>
      </c>
      <c r="J643">
        <f>VLOOKUP(C643,'RAW DATA 2023'!E:BO,21,0)</f>
        <v>9.0382700000000007</v>
      </c>
      <c r="K643" s="268">
        <f t="shared" si="49"/>
        <v>-65.07774999999998</v>
      </c>
    </row>
    <row r="644" spans="1:11">
      <c r="A644" t="str">
        <f>'RAW DATA 2023'!B637</f>
        <v>Kamong</v>
      </c>
      <c r="B644" t="str">
        <f>'RAW DATA 2023'!D637</f>
        <v>D1-027-0001</v>
      </c>
      <c r="C644" t="str">
        <f t="shared" si="45"/>
        <v>KamongD1-027-0001</v>
      </c>
      <c r="D644">
        <f>VLOOKUP(C644,'RAW DATA 2023'!E:BP,63,0)</f>
        <v>4</v>
      </c>
      <c r="E644" t="str">
        <f t="shared" si="46"/>
        <v>Kamong4</v>
      </c>
      <c r="F644" s="8">
        <f>VLOOKUP(C644,'RAW DATA 2023'!E:BO,23,0)</f>
        <v>52.208028690248689</v>
      </c>
      <c r="G644" s="14">
        <f t="shared" si="47"/>
        <v>22.791971309751311</v>
      </c>
      <c r="H644" s="25">
        <f t="shared" si="48"/>
        <v>4.5583942619502622</v>
      </c>
      <c r="I644" s="80" t="str">
        <f>VLOOKUP(C644,'RAW DATA 2023'!E:BO,36,0)</f>
        <v>ทยอยตาย</v>
      </c>
      <c r="J644">
        <f>VLOOKUP(C644,'RAW DATA 2023'!E:BO,21,0)</f>
        <v>14.761809999999999</v>
      </c>
      <c r="K644" s="268">
        <f t="shared" si="49"/>
        <v>67.290149999999997</v>
      </c>
    </row>
    <row r="645" spans="1:11">
      <c r="A645" t="str">
        <f>'RAW DATA 2023'!B638</f>
        <v>Kamong</v>
      </c>
      <c r="B645" t="str">
        <f>'RAW DATA 2023'!D638</f>
        <v>D1-027-0002</v>
      </c>
      <c r="C645" t="str">
        <f t="shared" si="45"/>
        <v>KamongD1-027-0002</v>
      </c>
      <c r="D645">
        <f>VLOOKUP(C645,'RAW DATA 2023'!E:BP,63,0)</f>
        <v>7</v>
      </c>
      <c r="E645" t="str">
        <f t="shared" si="46"/>
        <v>Kamong7</v>
      </c>
      <c r="F645" s="8">
        <f>VLOOKUP(C645,'RAW DATA 2023'!E:BO,23,0)</f>
        <v>104.99997623811312</v>
      </c>
      <c r="G645" s="14">
        <f t="shared" si="47"/>
        <v>-29.999976238113121</v>
      </c>
      <c r="H645" s="25">
        <f t="shared" si="48"/>
        <v>-5.9999952476226248</v>
      </c>
      <c r="I645" s="80" t="str">
        <f>VLOOKUP(C645,'RAW DATA 2023'!E:BO,36,0)</f>
        <v>EHP</v>
      </c>
      <c r="J645">
        <f>VLOOKUP(C645,'RAW DATA 2023'!E:BO,21,0)</f>
        <v>8.4168400000000005</v>
      </c>
      <c r="K645" s="268">
        <f t="shared" si="49"/>
        <v>-50.501000000000019</v>
      </c>
    </row>
    <row r="646" spans="1:11">
      <c r="A646" t="str">
        <f>'RAW DATA 2023'!B639</f>
        <v>Kamong</v>
      </c>
      <c r="B646" t="str">
        <f>'RAW DATA 2023'!D639</f>
        <v>D1-022-0039</v>
      </c>
      <c r="C646" t="str">
        <f t="shared" si="45"/>
        <v>KamongD1-022-0039</v>
      </c>
      <c r="D646">
        <f>VLOOKUP(C646,'RAW DATA 2023'!E:BP,63,0)</f>
        <v>4</v>
      </c>
      <c r="E646" t="str">
        <f t="shared" si="46"/>
        <v>Kamong4</v>
      </c>
      <c r="F646" s="8">
        <f>VLOOKUP(C646,'RAW DATA 2023'!E:BO,23,0)</f>
        <v>175.00003157534445</v>
      </c>
      <c r="G646" s="14">
        <f t="shared" si="47"/>
        <v>-100.00003157534445</v>
      </c>
      <c r="H646" s="25">
        <f t="shared" si="48"/>
        <v>-20.000006315068891</v>
      </c>
      <c r="I646" s="80" t="str">
        <f>VLOOKUP(C646,'RAW DATA 2023'!E:BO,36,0)</f>
        <v>EHP</v>
      </c>
      <c r="J646">
        <f>VLOOKUP(C646,'RAW DATA 2023'!E:BO,21,0)</f>
        <v>7.9175699999999996</v>
      </c>
      <c r="K646" s="268">
        <f t="shared" si="49"/>
        <v>-158.35145</v>
      </c>
    </row>
    <row r="647" spans="1:11">
      <c r="A647" t="str">
        <f>'RAW DATA 2023'!B640</f>
        <v>Kamong</v>
      </c>
      <c r="B647" t="str">
        <f>'RAW DATA 2023'!D640</f>
        <v>D1-032-0009</v>
      </c>
      <c r="C647" t="str">
        <f t="shared" si="45"/>
        <v>KamongD1-032-0009</v>
      </c>
      <c r="D647">
        <f>VLOOKUP(C647,'RAW DATA 2023'!E:BP,63,0)</f>
        <v>5</v>
      </c>
      <c r="E647" t="str">
        <f t="shared" si="46"/>
        <v>Kamong5</v>
      </c>
      <c r="F647" s="8">
        <f>VLOOKUP(C647,'RAW DATA 2023'!E:BO,23,0)</f>
        <v>0</v>
      </c>
      <c r="G647" s="14">
        <f t="shared" si="47"/>
        <v>0</v>
      </c>
      <c r="H647" s="25">
        <f t="shared" si="48"/>
        <v>0</v>
      </c>
      <c r="I647" s="80" t="str">
        <f>VLOOKUP(C647,'RAW DATA 2023'!E:BO,36,0)</f>
        <v>EHP</v>
      </c>
      <c r="J647">
        <f>VLOOKUP(C647,'RAW DATA 2023'!E:BO,21,0)</f>
        <v>0</v>
      </c>
      <c r="K647" s="268">
        <f t="shared" si="49"/>
        <v>0</v>
      </c>
    </row>
    <row r="648" spans="1:11">
      <c r="A648" t="str">
        <f>'RAW DATA 2023'!B641</f>
        <v>Talaytong</v>
      </c>
      <c r="B648" t="str">
        <f>'RAW DATA 2023'!D641</f>
        <v>A1-039-0007</v>
      </c>
      <c r="C648" t="str">
        <f t="shared" si="45"/>
        <v>TalaytongA1-039-0007</v>
      </c>
      <c r="D648">
        <f>VLOOKUP(C648,'RAW DATA 2023'!E:BP,63,0)</f>
        <v>8</v>
      </c>
      <c r="E648" t="str">
        <f t="shared" si="46"/>
        <v>Talaytong8</v>
      </c>
      <c r="F648" s="8">
        <f>VLOOKUP(C648,'RAW DATA 2023'!E:BO,23,0)</f>
        <v>44.755515932626132</v>
      </c>
      <c r="G648" s="14">
        <f t="shared" si="47"/>
        <v>30.244484067373868</v>
      </c>
      <c r="H648" s="25">
        <f t="shared" si="48"/>
        <v>6.0488968134747738</v>
      </c>
      <c r="I648" s="80" t="str">
        <f>VLOOKUP(C648,'RAW DATA 2023'!E:BO,36,0)</f>
        <v>EHP</v>
      </c>
      <c r="J648">
        <f>VLOOKUP(C648,'RAW DATA 2023'!E:BO,21,0)</f>
        <v>38.810300000000005</v>
      </c>
      <c r="K648" s="268">
        <f t="shared" si="49"/>
        <v>234.75950000000003</v>
      </c>
    </row>
    <row r="649" spans="1:11">
      <c r="A649" t="str">
        <f>'RAW DATA 2023'!B642</f>
        <v>Talaytong</v>
      </c>
      <c r="B649" t="str">
        <f>'RAW DATA 2023'!D642</f>
        <v>A1-038-0010</v>
      </c>
      <c r="C649" t="str">
        <f t="shared" si="45"/>
        <v>TalaytongA1-038-0010</v>
      </c>
      <c r="D649">
        <f>VLOOKUP(C649,'RAW DATA 2023'!E:BP,63,0)</f>
        <v>10</v>
      </c>
      <c r="E649" t="str">
        <f t="shared" si="46"/>
        <v>Talaytong10</v>
      </c>
      <c r="F649" s="8">
        <f>VLOOKUP(C649,'RAW DATA 2023'!E:BO,23,0)</f>
        <v>66.627973817969064</v>
      </c>
      <c r="G649" s="14">
        <f t="shared" si="47"/>
        <v>8.3720261820309361</v>
      </c>
      <c r="H649" s="25">
        <f t="shared" si="48"/>
        <v>1.6744052364061872</v>
      </c>
      <c r="I649" s="80" t="str">
        <f>VLOOKUP(C649,'RAW DATA 2023'!E:BO,36,0)</f>
        <v>EHP</v>
      </c>
      <c r="J649">
        <f>VLOOKUP(C649,'RAW DATA 2023'!E:BO,21,0)</f>
        <v>34.183750000000003</v>
      </c>
      <c r="K649" s="268">
        <f t="shared" si="49"/>
        <v>57.23745000000001</v>
      </c>
    </row>
    <row r="650" spans="1:11">
      <c r="A650" t="str">
        <f>'RAW DATA 2023'!B643</f>
        <v>Talaytong</v>
      </c>
      <c r="B650" t="str">
        <f>'RAW DATA 2023'!D643</f>
        <v>A1-038-0008</v>
      </c>
      <c r="C650" t="str">
        <f t="shared" ref="C650:C713" si="50">A650&amp;B650</f>
        <v>TalaytongA1-038-0008</v>
      </c>
      <c r="D650">
        <f>VLOOKUP(C650,'RAW DATA 2023'!E:BP,63,0)</f>
        <v>5</v>
      </c>
      <c r="E650" t="str">
        <f t="shared" ref="E650:E713" si="51">A650&amp;D650</f>
        <v>Talaytong5</v>
      </c>
      <c r="F650" s="8">
        <f>VLOOKUP(C650,'RAW DATA 2023'!E:BO,23,0)</f>
        <v>47.787879752778515</v>
      </c>
      <c r="G650" s="14">
        <f t="shared" si="47"/>
        <v>27.212120247221485</v>
      </c>
      <c r="H650" s="25">
        <f t="shared" si="48"/>
        <v>5.4424240494442975</v>
      </c>
      <c r="I650" s="80" t="str">
        <f>VLOOKUP(C650,'RAW DATA 2023'!E:BO,36,0)</f>
        <v>Normal</v>
      </c>
      <c r="J650">
        <f>VLOOKUP(C650,'RAW DATA 2023'!E:BO,21,0)</f>
        <v>30.777259999999998</v>
      </c>
      <c r="K650" s="268">
        <f t="shared" si="49"/>
        <v>167.50289999999998</v>
      </c>
    </row>
    <row r="651" spans="1:11">
      <c r="A651" t="str">
        <f>'RAW DATA 2023'!B644</f>
        <v>Talaytong</v>
      </c>
      <c r="B651" t="str">
        <f>'RAW DATA 2023'!D644</f>
        <v>A1-039-0006</v>
      </c>
      <c r="C651" t="str">
        <f t="shared" si="50"/>
        <v>TalaytongA1-039-0006</v>
      </c>
      <c r="D651">
        <f>VLOOKUP(C651,'RAW DATA 2023'!E:BP,63,0)</f>
        <v>4</v>
      </c>
      <c r="E651" t="str">
        <f t="shared" si="51"/>
        <v>Talaytong4</v>
      </c>
      <c r="F651" s="8">
        <f>VLOOKUP(C651,'RAW DATA 2023'!E:BO,23,0)</f>
        <v>76.996299106401011</v>
      </c>
      <c r="G651" s="14">
        <f t="shared" ref="G651:G714" si="52">IF(F651=0,0,$B$2-F651)</f>
        <v>-1.9962991064010112</v>
      </c>
      <c r="H651" s="25">
        <f t="shared" ref="H651:H714" si="53">G651*$B$6</f>
        <v>-0.39925982128020227</v>
      </c>
      <c r="I651" s="80" t="str">
        <f>VLOOKUP(C651,'RAW DATA 2023'!E:BO,36,0)</f>
        <v>WFD</v>
      </c>
      <c r="J651">
        <f>VLOOKUP(C651,'RAW DATA 2023'!E:BO,21,0)</f>
        <v>15.525979999999999</v>
      </c>
      <c r="K651" s="268">
        <f t="shared" ref="K651:K714" si="54">H651*J651</f>
        <v>-6.1988999999999939</v>
      </c>
    </row>
    <row r="652" spans="1:11">
      <c r="A652" t="str">
        <f>'RAW DATA 2023'!B645</f>
        <v>Talaytong</v>
      </c>
      <c r="B652" t="str">
        <f>'RAW DATA 2023'!D645</f>
        <v>B1-032-0008</v>
      </c>
      <c r="C652" t="str">
        <f t="shared" si="50"/>
        <v>TalaytongB1-032-0008</v>
      </c>
      <c r="D652">
        <f>VLOOKUP(C652,'RAW DATA 2023'!E:BP,63,0)</f>
        <v>1</v>
      </c>
      <c r="E652" t="str">
        <f t="shared" si="51"/>
        <v>Talaytong1</v>
      </c>
      <c r="F652" s="8">
        <f>VLOOKUP(C652,'RAW DATA 2023'!E:BO,23,0)</f>
        <v>146.99994295452763</v>
      </c>
      <c r="G652" s="14">
        <f t="shared" si="52"/>
        <v>-71.999942954527626</v>
      </c>
      <c r="H652" s="25">
        <f t="shared" si="53"/>
        <v>-14.399988590905526</v>
      </c>
      <c r="I652" s="80" t="str">
        <f>VLOOKUP(C652,'RAW DATA 2023'!E:BO,36,0)</f>
        <v>EHP</v>
      </c>
      <c r="J652">
        <f>VLOOKUP(C652,'RAW DATA 2023'!E:BO,21,0)</f>
        <v>5.6095600000000001</v>
      </c>
      <c r="K652" s="268">
        <f t="shared" si="54"/>
        <v>-80.777600000000007</v>
      </c>
    </row>
    <row r="653" spans="1:11">
      <c r="A653" t="str">
        <f>'RAW DATA 2023'!B646</f>
        <v>Talaytong</v>
      </c>
      <c r="B653" t="str">
        <f>'RAW DATA 2023'!D646</f>
        <v>A1-034-0008</v>
      </c>
      <c r="C653" t="str">
        <f t="shared" si="50"/>
        <v>TalaytongA1-034-0008</v>
      </c>
      <c r="D653">
        <f>VLOOKUP(C653,'RAW DATA 2023'!E:BP,63,0)</f>
        <v>5</v>
      </c>
      <c r="E653" t="str">
        <f t="shared" si="51"/>
        <v>Talaytong5</v>
      </c>
      <c r="F653" s="8">
        <f>VLOOKUP(C653,'RAW DATA 2023'!E:BO,23,0)</f>
        <v>104.00043454644215</v>
      </c>
      <c r="G653" s="14">
        <f t="shared" si="52"/>
        <v>-29.00043454644215</v>
      </c>
      <c r="H653" s="25">
        <f t="shared" si="53"/>
        <v>-5.8000869092884306</v>
      </c>
      <c r="I653" s="80" t="str">
        <f>VLOOKUP(C653,'RAW DATA 2023'!E:BO,36,0)</f>
        <v>EHP</v>
      </c>
      <c r="J653">
        <f>VLOOKUP(C653,'RAW DATA 2023'!E:BO,21,0)</f>
        <v>13.807499999999999</v>
      </c>
      <c r="K653" s="268">
        <f t="shared" si="54"/>
        <v>-80.084699999999998</v>
      </c>
    </row>
    <row r="654" spans="1:11">
      <c r="A654" t="str">
        <f>'RAW DATA 2023'!B647</f>
        <v>CHBR1</v>
      </c>
      <c r="B654" t="str">
        <f>'RAW DATA 2023'!D647</f>
        <v>A1-015-0019</v>
      </c>
      <c r="C654" t="str">
        <f t="shared" si="50"/>
        <v>CHBR1A1-015-0019</v>
      </c>
      <c r="D654">
        <f>VLOOKUP(C654,'RAW DATA 2023'!E:BP,63,0)</f>
        <v>12</v>
      </c>
      <c r="E654" t="str">
        <f t="shared" si="51"/>
        <v>CHBR112</v>
      </c>
      <c r="F654" s="8">
        <f>VLOOKUP(C654,'RAW DATA 2023'!E:BO,23,0)</f>
        <v>39.197380684854949</v>
      </c>
      <c r="G654" s="14">
        <f t="shared" si="52"/>
        <v>35.802619315145051</v>
      </c>
      <c r="H654" s="25">
        <f t="shared" si="53"/>
        <v>7.1605238630290104</v>
      </c>
      <c r="I654" s="80" t="str">
        <f>VLOOKUP(C654,'RAW DATA 2023'!E:BO,36,0)</f>
        <v>Normal</v>
      </c>
      <c r="J654">
        <f>VLOOKUP(C654,'RAW DATA 2023'!E:BO,21,0)</f>
        <v>22.134029999999999</v>
      </c>
      <c r="K654" s="268">
        <f t="shared" si="54"/>
        <v>158.49125000000001</v>
      </c>
    </row>
    <row r="655" spans="1:11">
      <c r="A655" t="str">
        <f>'RAW DATA 2023'!B648</f>
        <v>CHBR1</v>
      </c>
      <c r="B655" t="str">
        <f>'RAW DATA 2023'!D648</f>
        <v>A1-019-0005</v>
      </c>
      <c r="C655" t="str">
        <f t="shared" si="50"/>
        <v>CHBR1A1-019-0005</v>
      </c>
      <c r="D655">
        <f>VLOOKUP(C655,'RAW DATA 2023'!E:BP,63,0)</f>
        <v>7</v>
      </c>
      <c r="E655" t="str">
        <f t="shared" si="51"/>
        <v>CHBR17</v>
      </c>
      <c r="F655" s="8">
        <f>VLOOKUP(C655,'RAW DATA 2023'!E:BO,23,0)</f>
        <v>36.45020082990704</v>
      </c>
      <c r="G655" s="14">
        <f t="shared" si="52"/>
        <v>38.54979917009296</v>
      </c>
      <c r="H655" s="25">
        <f t="shared" si="53"/>
        <v>7.7099598340185924</v>
      </c>
      <c r="I655" s="80" t="str">
        <f>VLOOKUP(C655,'RAW DATA 2023'!E:BO,36,0)</f>
        <v>Normal</v>
      </c>
      <c r="J655">
        <f>VLOOKUP(C655,'RAW DATA 2023'!E:BO,21,0)</f>
        <v>10.5313</v>
      </c>
      <c r="K655" s="268">
        <f t="shared" si="54"/>
        <v>81.195899999999995</v>
      </c>
    </row>
    <row r="656" spans="1:11">
      <c r="A656" t="str">
        <f>'RAW DATA 2023'!B649</f>
        <v>CHBR1</v>
      </c>
      <c r="B656" t="str">
        <f>'RAW DATA 2023'!D649</f>
        <v>A1-016-0013</v>
      </c>
      <c r="C656" t="str">
        <f t="shared" si="50"/>
        <v>CHBR1A1-016-0013</v>
      </c>
      <c r="D656">
        <f>VLOOKUP(C656,'RAW DATA 2023'!E:BP,63,0)</f>
        <v>6</v>
      </c>
      <c r="E656" t="str">
        <f t="shared" si="51"/>
        <v>CHBR16</v>
      </c>
      <c r="F656" s="8">
        <f>VLOOKUP(C656,'RAW DATA 2023'!E:BO,23,0)</f>
        <v>47.402439795766767</v>
      </c>
      <c r="G656" s="14">
        <f t="shared" si="52"/>
        <v>27.597560204233233</v>
      </c>
      <c r="H656" s="25">
        <f t="shared" si="53"/>
        <v>5.5195120408466467</v>
      </c>
      <c r="I656" s="80" t="str">
        <f>VLOOKUP(C656,'RAW DATA 2023'!E:BO,36,0)</f>
        <v>กุ้งร่วง</v>
      </c>
      <c r="J656">
        <f>VLOOKUP(C656,'RAW DATA 2023'!E:BO,21,0)</f>
        <v>13.596219999999999</v>
      </c>
      <c r="K656" s="268">
        <f t="shared" si="54"/>
        <v>75.044499999999985</v>
      </c>
    </row>
    <row r="657" spans="1:11">
      <c r="A657" t="str">
        <f>'RAW DATA 2023'!B650</f>
        <v>CHBR1</v>
      </c>
      <c r="B657" t="str">
        <f>'RAW DATA 2023'!D650</f>
        <v>A1-011-0014</v>
      </c>
      <c r="C657" t="str">
        <f t="shared" si="50"/>
        <v>CHBR1A1-011-0014</v>
      </c>
      <c r="D657">
        <f>VLOOKUP(C657,'RAW DATA 2023'!E:BP,63,0)</f>
        <v>7</v>
      </c>
      <c r="E657" t="str">
        <f t="shared" si="51"/>
        <v>CHBR17</v>
      </c>
      <c r="F657" s="8">
        <f>VLOOKUP(C657,'RAW DATA 2023'!E:BO,23,0)</f>
        <v>39.621542736553288</v>
      </c>
      <c r="G657" s="14">
        <f t="shared" si="52"/>
        <v>35.378457263446712</v>
      </c>
      <c r="H657" s="25">
        <f t="shared" si="53"/>
        <v>7.0756914526893429</v>
      </c>
      <c r="I657" s="80" t="str">
        <f>VLOOKUP(C657,'RAW DATA 2023'!E:BO,36,0)</f>
        <v>อัตรารอดต่ำ</v>
      </c>
      <c r="J657">
        <f>VLOOKUP(C657,'RAW DATA 2023'!E:BO,21,0)</f>
        <v>14.286950000000001</v>
      </c>
      <c r="K657" s="268">
        <f t="shared" si="54"/>
        <v>101.09005000000002</v>
      </c>
    </row>
    <row r="658" spans="1:11">
      <c r="A658" t="str">
        <f>'RAW DATA 2023'!B651</f>
        <v>CHBR1</v>
      </c>
      <c r="B658" t="str">
        <f>'RAW DATA 2023'!D651</f>
        <v>A1-018-0013</v>
      </c>
      <c r="C658" t="str">
        <f t="shared" si="50"/>
        <v>CHBR1A1-018-0013</v>
      </c>
      <c r="D658">
        <f>VLOOKUP(C658,'RAW DATA 2023'!E:BP,63,0)</f>
        <v>7</v>
      </c>
      <c r="E658" t="str">
        <f t="shared" si="51"/>
        <v>CHBR17</v>
      </c>
      <c r="F658" s="8">
        <f>VLOOKUP(C658,'RAW DATA 2023'!E:BO,23,0)</f>
        <v>40.150514030658911</v>
      </c>
      <c r="G658" s="14">
        <f t="shared" si="52"/>
        <v>34.849485969341089</v>
      </c>
      <c r="H658" s="25">
        <f t="shared" si="53"/>
        <v>6.9698971938682179</v>
      </c>
      <c r="I658" s="80" t="str">
        <f>VLOOKUP(C658,'RAW DATA 2023'!E:BO,36,0)</f>
        <v>ทยอยตาย</v>
      </c>
      <c r="J658">
        <f>VLOOKUP(C658,'RAW DATA 2023'!E:BO,21,0)</f>
        <v>13.666499999999999</v>
      </c>
      <c r="K658" s="268">
        <f t="shared" si="54"/>
        <v>95.254099999999994</v>
      </c>
    </row>
    <row r="659" spans="1:11">
      <c r="A659" t="str">
        <f>'RAW DATA 2023'!B652</f>
        <v>CHBR1</v>
      </c>
      <c r="B659" t="str">
        <f>'RAW DATA 2023'!D652</f>
        <v>A1-009-0033</v>
      </c>
      <c r="C659" t="str">
        <f t="shared" si="50"/>
        <v>CHBR1A1-009-0033</v>
      </c>
      <c r="D659">
        <f>VLOOKUP(C659,'RAW DATA 2023'!E:BP,63,0)</f>
        <v>5</v>
      </c>
      <c r="E659" t="str">
        <f t="shared" si="51"/>
        <v>CHBR15</v>
      </c>
      <c r="F659" s="8">
        <f>VLOOKUP(C659,'RAW DATA 2023'!E:BO,23,0)</f>
        <v>42.022207288834153</v>
      </c>
      <c r="G659" s="14">
        <f t="shared" si="52"/>
        <v>32.977792711165847</v>
      </c>
      <c r="H659" s="25">
        <f t="shared" si="53"/>
        <v>6.59555854223317</v>
      </c>
      <c r="I659" s="80" t="str">
        <f>VLOOKUP(C659,'RAW DATA 2023'!E:BO,36,0)</f>
        <v>Normal</v>
      </c>
      <c r="J659">
        <f>VLOOKUP(C659,'RAW DATA 2023'!E:BO,21,0)</f>
        <v>9.6130599999999991</v>
      </c>
      <c r="K659" s="268">
        <f t="shared" si="54"/>
        <v>63.403499999999994</v>
      </c>
    </row>
    <row r="660" spans="1:11">
      <c r="A660" t="str">
        <f>'RAW DATA 2023'!B653</f>
        <v>CHBR1</v>
      </c>
      <c r="B660" t="str">
        <f>'RAW DATA 2023'!D653</f>
        <v>A1-012-0039</v>
      </c>
      <c r="C660" t="str">
        <f t="shared" si="50"/>
        <v>CHBR1A1-012-0039</v>
      </c>
      <c r="D660">
        <f>VLOOKUP(C660,'RAW DATA 2023'!E:BP,63,0)</f>
        <v>5</v>
      </c>
      <c r="E660" t="str">
        <f t="shared" si="51"/>
        <v>CHBR15</v>
      </c>
      <c r="F660" s="8">
        <f>VLOOKUP(C660,'RAW DATA 2023'!E:BO,23,0)</f>
        <v>45.276780225090228</v>
      </c>
      <c r="G660" s="14">
        <f t="shared" si="52"/>
        <v>29.723219774909772</v>
      </c>
      <c r="H660" s="25">
        <f t="shared" si="53"/>
        <v>5.944643954981955</v>
      </c>
      <c r="I660" s="80" t="str">
        <f>VLOOKUP(C660,'RAW DATA 2023'!E:BO,36,0)</f>
        <v>อัตรารอดต่ำ</v>
      </c>
      <c r="J660">
        <f>VLOOKUP(C660,'RAW DATA 2023'!E:BO,21,0)</f>
        <v>8.81602</v>
      </c>
      <c r="K660" s="268">
        <f t="shared" si="54"/>
        <v>52.408100000000012</v>
      </c>
    </row>
    <row r="661" spans="1:11">
      <c r="A661" t="str">
        <f>'RAW DATA 2023'!B654</f>
        <v>CHBR1</v>
      </c>
      <c r="B661" t="str">
        <f>'RAW DATA 2023'!D654</f>
        <v>A1-017-0014</v>
      </c>
      <c r="C661" t="str">
        <f t="shared" si="50"/>
        <v>CHBR1A1-017-0014</v>
      </c>
      <c r="D661">
        <f>VLOOKUP(C661,'RAW DATA 2023'!E:BP,63,0)</f>
        <v>7</v>
      </c>
      <c r="E661" t="str">
        <f t="shared" si="51"/>
        <v>CHBR17</v>
      </c>
      <c r="F661" s="8">
        <f>VLOOKUP(C661,'RAW DATA 2023'!E:BO,23,0)</f>
        <v>36.443612435167822</v>
      </c>
      <c r="G661" s="14">
        <f t="shared" si="52"/>
        <v>38.556387564832178</v>
      </c>
      <c r="H661" s="25">
        <f t="shared" si="53"/>
        <v>7.7112775129664364</v>
      </c>
      <c r="I661" s="80" t="str">
        <f>VLOOKUP(C661,'RAW DATA 2023'!E:BO,36,0)</f>
        <v>Normal</v>
      </c>
      <c r="J661">
        <f>VLOOKUP(C661,'RAW DATA 2023'!E:BO,21,0)</f>
        <v>16.81071</v>
      </c>
      <c r="K661" s="268">
        <f t="shared" si="54"/>
        <v>129.63204999999999</v>
      </c>
    </row>
    <row r="662" spans="1:11">
      <c r="A662" t="str">
        <f>'RAW DATA 2023'!B655</f>
        <v>CHBR1</v>
      </c>
      <c r="B662" t="str">
        <f>'RAW DATA 2023'!D655</f>
        <v>A1-012-0040</v>
      </c>
      <c r="C662" t="str">
        <f t="shared" si="50"/>
        <v>CHBR1A1-012-0040</v>
      </c>
      <c r="D662">
        <f>VLOOKUP(C662,'RAW DATA 2023'!E:BP,63,0)</f>
        <v>7</v>
      </c>
      <c r="E662" t="str">
        <f t="shared" si="51"/>
        <v>CHBR17</v>
      </c>
      <c r="F662" s="8">
        <f>VLOOKUP(C662,'RAW DATA 2023'!E:BO,23,0)</f>
        <v>73.000052883005168</v>
      </c>
      <c r="G662" s="14">
        <f t="shared" si="52"/>
        <v>1.9999471169948322</v>
      </c>
      <c r="H662" s="25">
        <f t="shared" si="53"/>
        <v>0.39998942339896648</v>
      </c>
      <c r="I662" s="80" t="str">
        <f>VLOOKUP(C662,'RAW DATA 2023'!E:BO,36,0)</f>
        <v>EHP</v>
      </c>
      <c r="J662">
        <f>VLOOKUP(C662,'RAW DATA 2023'!E:BO,21,0)</f>
        <v>5.6728999999999994</v>
      </c>
      <c r="K662" s="268">
        <f t="shared" si="54"/>
        <v>2.2690999999999968</v>
      </c>
    </row>
    <row r="663" spans="1:11">
      <c r="A663" t="str">
        <f>'RAW DATA 2023'!B656</f>
        <v>CHBR1</v>
      </c>
      <c r="B663" t="str">
        <f>'RAW DATA 2023'!D656</f>
        <v>A1-016-0012</v>
      </c>
      <c r="C663" t="str">
        <f t="shared" si="50"/>
        <v>CHBR1A1-016-0012</v>
      </c>
      <c r="D663">
        <f>VLOOKUP(C663,'RAW DATA 2023'!E:BP,63,0)</f>
        <v>2</v>
      </c>
      <c r="E663" t="str">
        <f t="shared" si="51"/>
        <v>CHBR12</v>
      </c>
      <c r="F663" s="8">
        <f>VLOOKUP(C663,'RAW DATA 2023'!E:BO,23,0)</f>
        <v>39.000083005391097</v>
      </c>
      <c r="G663" s="14">
        <f t="shared" si="52"/>
        <v>35.999916994608903</v>
      </c>
      <c r="H663" s="25">
        <f t="shared" si="53"/>
        <v>7.1999833989217805</v>
      </c>
      <c r="I663" s="80" t="str">
        <f>VLOOKUP(C663,'RAW DATA 2023'!E:BO,36,0)</f>
        <v>อัตรารอดต่ำ</v>
      </c>
      <c r="J663">
        <f>VLOOKUP(C663,'RAW DATA 2023'!E:BO,21,0)</f>
        <v>9.3969799999999992</v>
      </c>
      <c r="K663" s="268">
        <f t="shared" si="54"/>
        <v>67.65809999999999</v>
      </c>
    </row>
    <row r="664" spans="1:11">
      <c r="A664" t="str">
        <f>'RAW DATA 2023'!B657</f>
        <v>CHBR1</v>
      </c>
      <c r="B664" t="str">
        <f>'RAW DATA 2023'!D657</f>
        <v>A1-011-0013</v>
      </c>
      <c r="C664" t="str">
        <f t="shared" si="50"/>
        <v>CHBR1A1-011-0013</v>
      </c>
      <c r="D664">
        <f>VLOOKUP(C664,'RAW DATA 2023'!E:BP,63,0)</f>
        <v>2</v>
      </c>
      <c r="E664" t="str">
        <f t="shared" si="51"/>
        <v>CHBR12</v>
      </c>
      <c r="F664" s="8">
        <f>VLOOKUP(C664,'RAW DATA 2023'!E:BO,23,0)</f>
        <v>42.024040808816601</v>
      </c>
      <c r="G664" s="14">
        <f t="shared" si="52"/>
        <v>32.975959191183399</v>
      </c>
      <c r="H664" s="25">
        <f t="shared" si="53"/>
        <v>6.5951918382366799</v>
      </c>
      <c r="I664" s="80" t="str">
        <f>VLOOKUP(C664,'RAW DATA 2023'!E:BO,36,0)</f>
        <v>ทยอยตาย</v>
      </c>
      <c r="J664">
        <f>VLOOKUP(C664,'RAW DATA 2023'!E:BO,21,0)</f>
        <v>6.9024300000000007</v>
      </c>
      <c r="K664" s="268">
        <f t="shared" si="54"/>
        <v>45.522850000000012</v>
      </c>
    </row>
    <row r="665" spans="1:11">
      <c r="A665" t="str">
        <f>'RAW DATA 2023'!B658</f>
        <v>CHBR1</v>
      </c>
      <c r="B665" t="str">
        <f>'RAW DATA 2023'!D658</f>
        <v>A1-015-0018</v>
      </c>
      <c r="C665" t="str">
        <f t="shared" si="50"/>
        <v>CHBR1A1-015-0018</v>
      </c>
      <c r="D665">
        <f>VLOOKUP(C665,'RAW DATA 2023'!E:BP,63,0)</f>
        <v>7</v>
      </c>
      <c r="E665" t="str">
        <f t="shared" si="51"/>
        <v>CHBR17</v>
      </c>
      <c r="F665" s="8">
        <f>VLOOKUP(C665,'RAW DATA 2023'!E:BO,23,0)</f>
        <v>39.370996567737663</v>
      </c>
      <c r="G665" s="14">
        <f t="shared" si="52"/>
        <v>35.629003432262337</v>
      </c>
      <c r="H665" s="25">
        <f t="shared" si="53"/>
        <v>7.1258006864524681</v>
      </c>
      <c r="I665" s="80" t="str">
        <f>VLOOKUP(C665,'RAW DATA 2023'!E:BO,36,0)</f>
        <v>Normal</v>
      </c>
      <c r="J665">
        <f>VLOOKUP(C665,'RAW DATA 2023'!E:BO,21,0)</f>
        <v>17.166520000000002</v>
      </c>
      <c r="K665" s="268">
        <f t="shared" si="54"/>
        <v>122.32520000000004</v>
      </c>
    </row>
    <row r="666" spans="1:11">
      <c r="A666" t="str">
        <f>'RAW DATA 2023'!B659</f>
        <v>CHBR1</v>
      </c>
      <c r="B666" t="str">
        <f>'RAW DATA 2023'!D659</f>
        <v>A1-018-0012</v>
      </c>
      <c r="C666" t="str">
        <f t="shared" si="50"/>
        <v>CHBR1A1-018-0012</v>
      </c>
      <c r="D666">
        <f>VLOOKUP(C666,'RAW DATA 2023'!E:BP,63,0)</f>
        <v>3</v>
      </c>
      <c r="E666" t="str">
        <f t="shared" si="51"/>
        <v>CHBR13</v>
      </c>
      <c r="F666" s="8">
        <f>VLOOKUP(C666,'RAW DATA 2023'!E:BO,23,0)</f>
        <v>38.651242326745589</v>
      </c>
      <c r="G666" s="14">
        <f t="shared" si="52"/>
        <v>36.348757673254411</v>
      </c>
      <c r="H666" s="25">
        <f t="shared" si="53"/>
        <v>7.269751534650883</v>
      </c>
      <c r="I666" s="80" t="str">
        <f>VLOOKUP(C666,'RAW DATA 2023'!E:BO,36,0)</f>
        <v>Slow Growth</v>
      </c>
      <c r="J666">
        <f>VLOOKUP(C666,'RAW DATA 2023'!E:BO,21,0)</f>
        <v>14.75417</v>
      </c>
      <c r="K666" s="268">
        <f t="shared" si="54"/>
        <v>107.25915000000002</v>
      </c>
    </row>
    <row r="667" spans="1:11">
      <c r="A667" t="str">
        <f>'RAW DATA 2023'!B660</f>
        <v>CHBR1</v>
      </c>
      <c r="B667" t="str">
        <f>'RAW DATA 2023'!D660</f>
        <v>A1-009-0034</v>
      </c>
      <c r="C667" t="str">
        <f t="shared" si="50"/>
        <v>CHBR1A1-009-0034</v>
      </c>
      <c r="D667">
        <f>VLOOKUP(C667,'RAW DATA 2023'!E:BP,63,0)</f>
        <v>7</v>
      </c>
      <c r="E667" t="str">
        <f t="shared" si="51"/>
        <v>CHBR17</v>
      </c>
      <c r="F667" s="8">
        <f>VLOOKUP(C667,'RAW DATA 2023'!E:BO,23,0)</f>
        <v>112.00545633921919</v>
      </c>
      <c r="G667" s="14">
        <f t="shared" si="52"/>
        <v>-37.005456339219194</v>
      </c>
      <c r="H667" s="25">
        <f t="shared" si="53"/>
        <v>-7.4010912678438388</v>
      </c>
      <c r="I667" s="80" t="str">
        <f>VLOOKUP(C667,'RAW DATA 2023'!E:BO,36,0)</f>
        <v>EHP</v>
      </c>
      <c r="J667">
        <f>VLOOKUP(C667,'RAW DATA 2023'!E:BO,21,0)</f>
        <v>5.9600400000000002</v>
      </c>
      <c r="K667" s="268">
        <f t="shared" si="54"/>
        <v>-44.110799999999998</v>
      </c>
    </row>
    <row r="668" spans="1:11">
      <c r="A668" t="str">
        <f>'RAW DATA 2023'!B661</f>
        <v>CHBR1</v>
      </c>
      <c r="B668" t="str">
        <f>'RAW DATA 2023'!D661</f>
        <v>A1-019-0004</v>
      </c>
      <c r="C668" t="str">
        <f t="shared" si="50"/>
        <v>CHBR1A1-019-0004</v>
      </c>
      <c r="D668">
        <f>VLOOKUP(C668,'RAW DATA 2023'!E:BP,63,0)</f>
        <v>3</v>
      </c>
      <c r="E668" t="str">
        <f t="shared" si="51"/>
        <v>CHBR13</v>
      </c>
      <c r="F668" s="8">
        <f>VLOOKUP(C668,'RAW DATA 2023'!E:BO,23,0)</f>
        <v>45.263288088797388</v>
      </c>
      <c r="G668" s="14">
        <f t="shared" si="52"/>
        <v>29.736711911202612</v>
      </c>
      <c r="H668" s="25">
        <f t="shared" si="53"/>
        <v>5.9473423822405227</v>
      </c>
      <c r="I668" s="80" t="str">
        <f>VLOOKUP(C668,'RAW DATA 2023'!E:BO,36,0)</f>
        <v>Slow Growth</v>
      </c>
      <c r="J668">
        <f>VLOOKUP(C668,'RAW DATA 2023'!E:BO,21,0)</f>
        <v>12.5319</v>
      </c>
      <c r="K668" s="268">
        <f t="shared" si="54"/>
        <v>74.531500000000008</v>
      </c>
    </row>
    <row r="669" spans="1:11">
      <c r="A669" t="str">
        <f>'RAW DATA 2023'!B662</f>
        <v>CHBR1</v>
      </c>
      <c r="B669" t="str">
        <f>'RAW DATA 2023'!D662</f>
        <v>A1-017-0013</v>
      </c>
      <c r="C669" t="str">
        <f t="shared" si="50"/>
        <v>CHBR1A1-017-0013</v>
      </c>
      <c r="D669">
        <f>VLOOKUP(C669,'RAW DATA 2023'!E:BP,63,0)</f>
        <v>2</v>
      </c>
      <c r="E669" t="str">
        <f t="shared" si="51"/>
        <v>CHBR12</v>
      </c>
      <c r="F669" s="8">
        <f>VLOOKUP(C669,'RAW DATA 2023'!E:BO,23,0)</f>
        <v>46.999979508056747</v>
      </c>
      <c r="G669" s="14">
        <f t="shared" si="52"/>
        <v>28.000020491943253</v>
      </c>
      <c r="H669" s="25">
        <f t="shared" si="53"/>
        <v>5.6000040983886512</v>
      </c>
      <c r="I669" s="80" t="str">
        <f>VLOOKUP(C669,'RAW DATA 2023'!E:BO,36,0)</f>
        <v>Slow Growth</v>
      </c>
      <c r="J669">
        <f>VLOOKUP(C669,'RAW DATA 2023'!E:BO,21,0)</f>
        <v>11.711919999999999</v>
      </c>
      <c r="K669" s="268">
        <f t="shared" si="54"/>
        <v>65.586800000000011</v>
      </c>
    </row>
    <row r="670" spans="1:11">
      <c r="A670" t="str">
        <f>'RAW DATA 2023'!B663</f>
        <v>CHBR1</v>
      </c>
      <c r="B670" t="str">
        <f>'RAW DATA 2023'!D663</f>
        <v>A1-015-0017</v>
      </c>
      <c r="C670" t="str">
        <f t="shared" si="50"/>
        <v>CHBR1A1-015-0017</v>
      </c>
      <c r="D670">
        <f>VLOOKUP(C670,'RAW DATA 2023'!E:BP,63,0)</f>
        <v>2</v>
      </c>
      <c r="E670" t="str">
        <f t="shared" si="51"/>
        <v>CHBR12</v>
      </c>
      <c r="F670" s="8">
        <f>VLOOKUP(C670,'RAW DATA 2023'!E:BO,23,0)</f>
        <v>52.003206811323267</v>
      </c>
      <c r="G670" s="14">
        <f t="shared" si="52"/>
        <v>22.996793188676733</v>
      </c>
      <c r="H670" s="25">
        <f t="shared" si="53"/>
        <v>4.5993586377353468</v>
      </c>
      <c r="I670" s="80" t="str">
        <f>VLOOKUP(C670,'RAW DATA 2023'!E:BO,36,0)</f>
        <v>Slow Growth</v>
      </c>
      <c r="J670">
        <f>VLOOKUP(C670,'RAW DATA 2023'!E:BO,21,0)</f>
        <v>8.5692599999999999</v>
      </c>
      <c r="K670" s="268">
        <f t="shared" si="54"/>
        <v>39.4131</v>
      </c>
    </row>
    <row r="671" spans="1:11">
      <c r="A671" t="str">
        <f>'RAW DATA 2023'!B664</f>
        <v>Tamai2</v>
      </c>
      <c r="B671" t="str">
        <f>'RAW DATA 2023'!D664</f>
        <v>D1-068-0004</v>
      </c>
      <c r="C671" t="str">
        <f t="shared" si="50"/>
        <v>Tamai2D1-068-0004</v>
      </c>
      <c r="D671">
        <f>VLOOKUP(C671,'RAW DATA 2023'!E:BP,63,0)</f>
        <v>7</v>
      </c>
      <c r="E671" t="str">
        <f t="shared" si="51"/>
        <v>Tamai27</v>
      </c>
      <c r="F671" s="8">
        <f>VLOOKUP(C671,'RAW DATA 2023'!E:BO,23,0)</f>
        <v>39.041641132799548</v>
      </c>
      <c r="G671" s="14">
        <f t="shared" si="52"/>
        <v>35.958358867200452</v>
      </c>
      <c r="H671" s="25">
        <f t="shared" si="53"/>
        <v>7.191671773440091</v>
      </c>
      <c r="I671" s="80" t="str">
        <f>VLOOKUP(C671,'RAW DATA 2023'!E:BO,36,0)</f>
        <v>Normal</v>
      </c>
      <c r="J671">
        <f>VLOOKUP(C671,'RAW DATA 2023'!E:BO,21,0)</f>
        <v>24.885249999999999</v>
      </c>
      <c r="K671" s="268">
        <f t="shared" si="54"/>
        <v>178.96655000000001</v>
      </c>
    </row>
    <row r="672" spans="1:11">
      <c r="A672" t="str">
        <f>'RAW DATA 2023'!B665</f>
        <v>Tamai2</v>
      </c>
      <c r="B672" t="str">
        <f>'RAW DATA 2023'!D665</f>
        <v>D1-073-0009</v>
      </c>
      <c r="C672" t="str">
        <f t="shared" si="50"/>
        <v>Tamai2D1-073-0009</v>
      </c>
      <c r="D672">
        <f>VLOOKUP(C672,'RAW DATA 2023'!E:BP,63,0)</f>
        <v>5</v>
      </c>
      <c r="E672" t="str">
        <f t="shared" si="51"/>
        <v>Tamai25</v>
      </c>
      <c r="F672" s="8">
        <f>VLOOKUP(C672,'RAW DATA 2023'!E:BO,23,0)</f>
        <v>37.512552715405796</v>
      </c>
      <c r="G672" s="14">
        <f t="shared" si="52"/>
        <v>37.487447284594204</v>
      </c>
      <c r="H672" s="25">
        <f t="shared" si="53"/>
        <v>7.4974894569188413</v>
      </c>
      <c r="I672" s="80" t="str">
        <f>VLOOKUP(C672,'RAW DATA 2023'!E:BO,36,0)</f>
        <v>Normal</v>
      </c>
      <c r="J672">
        <f>VLOOKUP(C672,'RAW DATA 2023'!E:BO,21,0)</f>
        <v>33.339400000000005</v>
      </c>
      <c r="K672" s="268">
        <f t="shared" si="54"/>
        <v>249.96180000000004</v>
      </c>
    </row>
    <row r="673" spans="1:11">
      <c r="A673" t="str">
        <f>'RAW DATA 2023'!B666</f>
        <v>Tamai2</v>
      </c>
      <c r="B673" t="str">
        <f>'RAW DATA 2023'!D666</f>
        <v>D1-068-0005</v>
      </c>
      <c r="C673" t="str">
        <f t="shared" si="50"/>
        <v>Tamai2D1-068-0005</v>
      </c>
      <c r="D673">
        <f>VLOOKUP(C673,'RAW DATA 2023'!E:BP,63,0)</f>
        <v>12</v>
      </c>
      <c r="E673" t="str">
        <f t="shared" si="51"/>
        <v>Tamai212</v>
      </c>
      <c r="F673" s="8">
        <f>VLOOKUP(C673,'RAW DATA 2023'!E:BO,23,0)</f>
        <v>57.915257312743975</v>
      </c>
      <c r="G673" s="14">
        <f t="shared" si="52"/>
        <v>17.084742687256025</v>
      </c>
      <c r="H673" s="25">
        <f t="shared" si="53"/>
        <v>3.416948537451205</v>
      </c>
      <c r="I673" s="80" t="str">
        <f>VLOOKUP(C673,'RAW DATA 2023'!E:BO,36,0)</f>
        <v>ปิดฟาร์ม</v>
      </c>
      <c r="J673">
        <f>VLOOKUP(C673,'RAW DATA 2023'!E:BO,21,0)</f>
        <v>15.045309999999999</v>
      </c>
      <c r="K673" s="268">
        <f t="shared" si="54"/>
        <v>51.409049999999986</v>
      </c>
    </row>
    <row r="674" spans="1:11">
      <c r="A674" t="str">
        <f>'RAW DATA 2023'!B667</f>
        <v>Tamai2</v>
      </c>
      <c r="B674" t="str">
        <f>'RAW DATA 2023'!D667</f>
        <v>D1-039-0028</v>
      </c>
      <c r="C674" t="str">
        <f t="shared" si="50"/>
        <v>Tamai2D1-039-0028</v>
      </c>
      <c r="D674">
        <f>VLOOKUP(C674,'RAW DATA 2023'!E:BP,63,0)</f>
        <v>6</v>
      </c>
      <c r="E674" t="str">
        <f t="shared" si="51"/>
        <v>Tamai26</v>
      </c>
      <c r="F674" s="8">
        <f>VLOOKUP(C674,'RAW DATA 2023'!E:BO,23,0)</f>
        <v>58.007268264252559</v>
      </c>
      <c r="G674" s="14">
        <f t="shared" si="52"/>
        <v>16.992731735747441</v>
      </c>
      <c r="H674" s="25">
        <f t="shared" si="53"/>
        <v>3.3985463471494883</v>
      </c>
      <c r="I674" s="80" t="str">
        <f>VLOOKUP(C674,'RAW DATA 2023'!E:BO,36,0)</f>
        <v>EHP</v>
      </c>
      <c r="J674">
        <f>VLOOKUP(C674,'RAW DATA 2023'!E:BO,21,0)</f>
        <v>18.805040000000002</v>
      </c>
      <c r="K674" s="268">
        <f t="shared" si="54"/>
        <v>63.909800000000018</v>
      </c>
    </row>
    <row r="675" spans="1:11">
      <c r="A675" t="str">
        <f>'RAW DATA 2023'!B668</f>
        <v>Tamai2</v>
      </c>
      <c r="B675" t="str">
        <f>'RAW DATA 2023'!D668</f>
        <v>C1-058-0011</v>
      </c>
      <c r="C675" t="str">
        <f t="shared" si="50"/>
        <v>Tamai2C1-058-0011</v>
      </c>
      <c r="D675">
        <f>VLOOKUP(C675,'RAW DATA 2023'!E:BP,63,0)</f>
        <v>8</v>
      </c>
      <c r="E675" t="str">
        <f t="shared" si="51"/>
        <v>Tamai28</v>
      </c>
      <c r="F675" s="8">
        <f>VLOOKUP(C675,'RAW DATA 2023'!E:BO,23,0)</f>
        <v>124.00004348582362</v>
      </c>
      <c r="G675" s="14">
        <f t="shared" si="52"/>
        <v>-49.000043485823625</v>
      </c>
      <c r="H675" s="25">
        <f t="shared" si="53"/>
        <v>-9.800008697164726</v>
      </c>
      <c r="I675" s="80" t="str">
        <f>VLOOKUP(C675,'RAW DATA 2023'!E:BO,36,0)</f>
        <v>EHP</v>
      </c>
      <c r="J675">
        <f>VLOOKUP(C675,'RAW DATA 2023'!E:BO,21,0)</f>
        <v>4.5991999999999997</v>
      </c>
      <c r="K675" s="268">
        <f t="shared" si="54"/>
        <v>-45.072200000000002</v>
      </c>
    </row>
    <row r="676" spans="1:11">
      <c r="A676" t="str">
        <f>'RAW DATA 2023'!B669</f>
        <v>Tamai2</v>
      </c>
      <c r="B676" t="str">
        <f>'RAW DATA 2023'!D669</f>
        <v>D1-040-0028</v>
      </c>
      <c r="C676" t="str">
        <f t="shared" si="50"/>
        <v>Tamai2D1-040-0028</v>
      </c>
      <c r="D676">
        <f>VLOOKUP(C676,'RAW DATA 2023'!E:BP,63,0)</f>
        <v>6</v>
      </c>
      <c r="E676" t="str">
        <f t="shared" si="51"/>
        <v>Tamai26</v>
      </c>
      <c r="F676" s="8">
        <f>VLOOKUP(C676,'RAW DATA 2023'!E:BO,23,0)</f>
        <v>66.758908267731499</v>
      </c>
      <c r="G676" s="14">
        <f t="shared" si="52"/>
        <v>8.2410917322685009</v>
      </c>
      <c r="H676" s="25">
        <f t="shared" si="53"/>
        <v>1.6482183464537004</v>
      </c>
      <c r="I676" s="80" t="str">
        <f>VLOOKUP(C676,'RAW DATA 2023'!E:BO,36,0)</f>
        <v>EHP</v>
      </c>
      <c r="J676">
        <f>VLOOKUP(C676,'RAW DATA 2023'!E:BO,21,0)</f>
        <v>19.463380000000001</v>
      </c>
      <c r="K676" s="268">
        <f t="shared" si="54"/>
        <v>32.079900000000023</v>
      </c>
    </row>
    <row r="677" spans="1:11">
      <c r="A677" t="str">
        <f>'RAW DATA 2023'!B670</f>
        <v>Tamai2</v>
      </c>
      <c r="B677" t="str">
        <f>'RAW DATA 2023'!D670</f>
        <v>D1-073-0010</v>
      </c>
      <c r="C677" t="str">
        <f t="shared" si="50"/>
        <v>Tamai2D1-073-0010</v>
      </c>
      <c r="D677">
        <f>VLOOKUP(C677,'RAW DATA 2023'!E:BP,63,0)</f>
        <v>8</v>
      </c>
      <c r="E677" t="str">
        <f t="shared" si="51"/>
        <v>Tamai28</v>
      </c>
      <c r="F677" s="8">
        <f>VLOOKUP(C677,'RAW DATA 2023'!E:BO,23,0)</f>
        <v>119.00002218910926</v>
      </c>
      <c r="G677" s="14">
        <f t="shared" si="52"/>
        <v>-44.000022189109259</v>
      </c>
      <c r="H677" s="25">
        <f t="shared" si="53"/>
        <v>-8.8000044378218529</v>
      </c>
      <c r="I677" s="80" t="str">
        <f>VLOOKUP(C677,'RAW DATA 2023'!E:BO,36,0)</f>
        <v>EHP</v>
      </c>
      <c r="J677">
        <f>VLOOKUP(C677,'RAW DATA 2023'!E:BO,21,0)</f>
        <v>5.8587299999999995</v>
      </c>
      <c r="K677" s="268">
        <f t="shared" si="54"/>
        <v>-51.556850000000018</v>
      </c>
    </row>
    <row r="678" spans="1:11">
      <c r="A678" t="str">
        <f>'RAW DATA 2023'!B671</f>
        <v>Tamai2</v>
      </c>
      <c r="B678" t="str">
        <f>'RAW DATA 2023'!D671</f>
        <v>D1-068-0003</v>
      </c>
      <c r="C678" t="str">
        <f t="shared" si="50"/>
        <v>Tamai2D1-068-0003</v>
      </c>
      <c r="D678">
        <f>VLOOKUP(C678,'RAW DATA 2023'!E:BP,63,0)</f>
        <v>3</v>
      </c>
      <c r="E678" t="str">
        <f t="shared" si="51"/>
        <v>Tamai23</v>
      </c>
      <c r="F678" s="8">
        <f>VLOOKUP(C678,'RAW DATA 2023'!E:BO,23,0)</f>
        <v>0</v>
      </c>
      <c r="G678" s="14">
        <f t="shared" si="52"/>
        <v>0</v>
      </c>
      <c r="H678" s="25">
        <f t="shared" si="53"/>
        <v>0</v>
      </c>
      <c r="I678" s="80" t="str">
        <f>VLOOKUP(C678,'RAW DATA 2023'!E:BO,36,0)</f>
        <v>WSSV</v>
      </c>
      <c r="J678">
        <f>VLOOKUP(C678,'RAW DATA 2023'!E:BO,21,0)</f>
        <v>0</v>
      </c>
      <c r="K678" s="268">
        <f t="shared" si="54"/>
        <v>0</v>
      </c>
    </row>
    <row r="679" spans="1:11">
      <c r="A679" t="str">
        <f>'RAW DATA 2023'!B672</f>
        <v>Tamai2</v>
      </c>
      <c r="B679" t="str">
        <f>'RAW DATA 2023'!D672</f>
        <v>A1-006-0026</v>
      </c>
      <c r="C679" t="str">
        <f t="shared" si="50"/>
        <v>Tamai2A1-006-0026</v>
      </c>
      <c r="D679">
        <f>VLOOKUP(C679,'RAW DATA 2023'!E:BP,63,0)</f>
        <v>6</v>
      </c>
      <c r="E679" t="str">
        <f t="shared" si="51"/>
        <v>Tamai26</v>
      </c>
      <c r="F679" s="8">
        <f>VLOOKUP(C679,'RAW DATA 2023'!E:BO,23,0)</f>
        <v>30.227194476812322</v>
      </c>
      <c r="G679" s="14">
        <f t="shared" si="52"/>
        <v>44.772805523187678</v>
      </c>
      <c r="H679" s="25">
        <f t="shared" si="53"/>
        <v>8.954561104637536</v>
      </c>
      <c r="I679" s="80" t="str">
        <f>VLOOKUP(C679,'RAW DATA 2023'!E:BO,36,0)</f>
        <v>Normal</v>
      </c>
      <c r="J679">
        <f>VLOOKUP(C679,'RAW DATA 2023'!E:BO,21,0)</f>
        <v>35.666359999999997</v>
      </c>
      <c r="K679" s="268">
        <f t="shared" si="54"/>
        <v>319.3766</v>
      </c>
    </row>
    <row r="680" spans="1:11">
      <c r="A680" t="str">
        <f>'RAW DATA 2023'!B673</f>
        <v>Tamai2</v>
      </c>
      <c r="B680" t="str">
        <f>'RAW DATA 2023'!D673</f>
        <v>E1-027-0035</v>
      </c>
      <c r="C680" t="str">
        <f t="shared" si="50"/>
        <v>Tamai2E1-027-0035</v>
      </c>
      <c r="D680">
        <f>VLOOKUP(C680,'RAW DATA 2023'!E:BP,63,0)</f>
        <v>5</v>
      </c>
      <c r="E680" t="str">
        <f t="shared" si="51"/>
        <v>Tamai25</v>
      </c>
      <c r="F680" s="8">
        <f>VLOOKUP(C680,'RAW DATA 2023'!E:BO,23,0)</f>
        <v>27.56250643774214</v>
      </c>
      <c r="G680" s="14">
        <f t="shared" si="52"/>
        <v>47.437493562257856</v>
      </c>
      <c r="H680" s="25">
        <f t="shared" si="53"/>
        <v>9.4874987124515719</v>
      </c>
      <c r="I680" s="80" t="str">
        <f>VLOOKUP(C680,'RAW DATA 2023'!E:BO,36,0)</f>
        <v>Normal</v>
      </c>
      <c r="J680">
        <f>VLOOKUP(C680,'RAW DATA 2023'!E:BO,21,0)</f>
        <v>26.30969</v>
      </c>
      <c r="K680" s="268">
        <f t="shared" si="54"/>
        <v>249.61314999999999</v>
      </c>
    </row>
    <row r="681" spans="1:11">
      <c r="A681" t="str">
        <f>'RAW DATA 2023'!B674</f>
        <v>Tamai2</v>
      </c>
      <c r="B681" t="str">
        <f>'RAW DATA 2023'!D674</f>
        <v>C1-057-0009</v>
      </c>
      <c r="C681" t="str">
        <f t="shared" si="50"/>
        <v>Tamai2C1-057-0009</v>
      </c>
      <c r="D681">
        <f>VLOOKUP(C681,'RAW DATA 2023'!E:BP,63,0)</f>
        <v>4</v>
      </c>
      <c r="E681" t="str">
        <f t="shared" si="51"/>
        <v>Tamai24</v>
      </c>
      <c r="F681" s="8">
        <f>VLOOKUP(C681,'RAW DATA 2023'!E:BO,23,0)</f>
        <v>29.528062167454181</v>
      </c>
      <c r="G681" s="14">
        <f t="shared" si="52"/>
        <v>45.471937832545819</v>
      </c>
      <c r="H681" s="25">
        <f t="shared" si="53"/>
        <v>9.0943875665091642</v>
      </c>
      <c r="I681" s="80" t="str">
        <f>VLOOKUP(C681,'RAW DATA 2023'!E:BO,36,0)</f>
        <v>Normal</v>
      </c>
      <c r="J681">
        <f>VLOOKUP(C681,'RAW DATA 2023'!E:BO,21,0)</f>
        <v>23.67155</v>
      </c>
      <c r="K681" s="268">
        <f t="shared" si="54"/>
        <v>215.27825000000001</v>
      </c>
    </row>
    <row r="682" spans="1:11">
      <c r="A682" t="str">
        <f>'RAW DATA 2023'!B675</f>
        <v>Tamai2</v>
      </c>
      <c r="B682" t="str">
        <f>'RAW DATA 2023'!D675</f>
        <v>E1-032-0036</v>
      </c>
      <c r="C682" t="str">
        <f t="shared" si="50"/>
        <v>Tamai2E1-032-0036</v>
      </c>
      <c r="D682">
        <f>VLOOKUP(C682,'RAW DATA 2023'!E:BP,63,0)</f>
        <v>3</v>
      </c>
      <c r="E682" t="str">
        <f t="shared" si="51"/>
        <v>Tamai23</v>
      </c>
      <c r="F682" s="8">
        <f>VLOOKUP(C682,'RAW DATA 2023'!E:BO,23,0)</f>
        <v>31.275051598035041</v>
      </c>
      <c r="G682" s="14">
        <f t="shared" si="52"/>
        <v>43.724948401964959</v>
      </c>
      <c r="H682" s="25">
        <f t="shared" si="53"/>
        <v>8.7449896803929921</v>
      </c>
      <c r="I682" s="80" t="str">
        <f>VLOOKUP(C682,'RAW DATA 2023'!E:BO,36,0)</f>
        <v>Normal</v>
      </c>
      <c r="J682">
        <f>VLOOKUP(C682,'RAW DATA 2023'!E:BO,21,0)</f>
        <v>40.72345</v>
      </c>
      <c r="K682" s="268">
        <f t="shared" si="54"/>
        <v>356.12615</v>
      </c>
    </row>
    <row r="683" spans="1:11">
      <c r="A683" t="str">
        <f>'RAW DATA 2023'!B676</f>
        <v>Tamai2</v>
      </c>
      <c r="B683" t="str">
        <f>'RAW DATA 2023'!D676</f>
        <v>C1-057-0011</v>
      </c>
      <c r="C683" t="str">
        <f t="shared" si="50"/>
        <v>Tamai2C1-057-0011</v>
      </c>
      <c r="D683">
        <f>VLOOKUP(C683,'RAW DATA 2023'!E:BP,63,0)</f>
        <v>8</v>
      </c>
      <c r="E683" t="str">
        <f t="shared" si="51"/>
        <v>Tamai28</v>
      </c>
      <c r="F683" s="8">
        <f>VLOOKUP(C683,'RAW DATA 2023'!E:BO,23,0)</f>
        <v>101.99981845223547</v>
      </c>
      <c r="G683" s="14">
        <f t="shared" si="52"/>
        <v>-26.999818452235473</v>
      </c>
      <c r="H683" s="25">
        <f t="shared" si="53"/>
        <v>-5.3999636904470947</v>
      </c>
      <c r="I683" s="80" t="str">
        <f>VLOOKUP(C683,'RAW DATA 2023'!E:BO,36,0)</f>
        <v>EHP</v>
      </c>
      <c r="J683">
        <f>VLOOKUP(C683,'RAW DATA 2023'!E:BO,21,0)</f>
        <v>4.2963900000000006</v>
      </c>
      <c r="K683" s="268">
        <f t="shared" si="54"/>
        <v>-23.200349999999997</v>
      </c>
    </row>
    <row r="684" spans="1:11">
      <c r="A684" t="str">
        <f>'RAW DATA 2023'!B677</f>
        <v>Tamai2</v>
      </c>
      <c r="B684" t="str">
        <f>'RAW DATA 2023'!D677</f>
        <v>A1-082-0008</v>
      </c>
      <c r="C684" t="str">
        <f t="shared" si="50"/>
        <v>Tamai2A1-082-0008</v>
      </c>
      <c r="D684">
        <f>VLOOKUP(C684,'RAW DATA 2023'!E:BP,63,0)</f>
        <v>5</v>
      </c>
      <c r="E684" t="str">
        <f t="shared" si="51"/>
        <v>Tamai25</v>
      </c>
      <c r="F684" s="8">
        <f>VLOOKUP(C684,'RAW DATA 2023'!E:BO,23,0)</f>
        <v>46.14896009558425</v>
      </c>
      <c r="G684" s="14">
        <f t="shared" si="52"/>
        <v>28.85103990441575</v>
      </c>
      <c r="H684" s="25">
        <f t="shared" si="53"/>
        <v>5.7702079808831499</v>
      </c>
      <c r="I684" s="80" t="str">
        <f>VLOOKUP(C684,'RAW DATA 2023'!E:BO,36,0)</f>
        <v>WFD</v>
      </c>
      <c r="J684">
        <f>VLOOKUP(C684,'RAW DATA 2023'!E:BO,21,0)</f>
        <v>20.907209999999999</v>
      </c>
      <c r="K684" s="268">
        <f t="shared" si="54"/>
        <v>120.63894999999999</v>
      </c>
    </row>
    <row r="685" spans="1:11">
      <c r="A685" t="str">
        <f>'RAW DATA 2023'!B678</f>
        <v>Tamai2</v>
      </c>
      <c r="B685" t="str">
        <f>'RAW DATA 2023'!D678</f>
        <v>E1-032-0037</v>
      </c>
      <c r="C685" t="str">
        <f t="shared" si="50"/>
        <v>Tamai2E1-032-0037</v>
      </c>
      <c r="D685">
        <f>VLOOKUP(C685,'RAW DATA 2023'!E:BP,63,0)</f>
        <v>7</v>
      </c>
      <c r="E685" t="str">
        <f t="shared" si="51"/>
        <v>Tamai27</v>
      </c>
      <c r="F685" s="8">
        <f>VLOOKUP(C685,'RAW DATA 2023'!E:BO,23,0)</f>
        <v>96.998527421330806</v>
      </c>
      <c r="G685" s="14">
        <f t="shared" si="52"/>
        <v>-21.998527421330806</v>
      </c>
      <c r="H685" s="25">
        <f t="shared" si="53"/>
        <v>-4.3997054842661614</v>
      </c>
      <c r="I685" s="80" t="str">
        <f>VLOOKUP(C685,'RAW DATA 2023'!E:BO,36,0)</f>
        <v>EHP</v>
      </c>
      <c r="J685">
        <f>VLOOKUP(C685,'RAW DATA 2023'!E:BO,21,0)</f>
        <v>30.062909999999999</v>
      </c>
      <c r="K685" s="268">
        <f t="shared" si="54"/>
        <v>-132.26795000000001</v>
      </c>
    </row>
    <row r="686" spans="1:11">
      <c r="A686" t="str">
        <f>'RAW DATA 2023'!B679</f>
        <v>Tamai2</v>
      </c>
      <c r="B686" t="str">
        <f>'RAW DATA 2023'!D679</f>
        <v>C1-058-0010</v>
      </c>
      <c r="C686" t="str">
        <f t="shared" si="50"/>
        <v>Tamai2C1-058-0010</v>
      </c>
      <c r="D686">
        <f>VLOOKUP(C686,'RAW DATA 2023'!E:BP,63,0)</f>
        <v>4</v>
      </c>
      <c r="E686" t="str">
        <f t="shared" si="51"/>
        <v>Tamai24</v>
      </c>
      <c r="F686" s="8">
        <f>VLOOKUP(C686,'RAW DATA 2023'!E:BO,23,0)</f>
        <v>118.00007837451261</v>
      </c>
      <c r="G686" s="14">
        <f t="shared" si="52"/>
        <v>-43.000078374512611</v>
      </c>
      <c r="H686" s="25">
        <f t="shared" si="53"/>
        <v>-8.6000156749025223</v>
      </c>
      <c r="I686" s="80" t="str">
        <f>VLOOKUP(C686,'RAW DATA 2023'!E:BO,36,0)</f>
        <v>EHP</v>
      </c>
      <c r="J686">
        <f>VLOOKUP(C686,'RAW DATA 2023'!E:BO,21,0)</f>
        <v>5.1036999999999999</v>
      </c>
      <c r="K686" s="268">
        <f t="shared" si="54"/>
        <v>-43.8919</v>
      </c>
    </row>
    <row r="687" spans="1:11">
      <c r="A687" t="str">
        <f>'RAW DATA 2023'!B680</f>
        <v>Tamai2</v>
      </c>
      <c r="B687" t="str">
        <f>'RAW DATA 2023'!D680</f>
        <v>C1-093-0008</v>
      </c>
      <c r="C687" t="str">
        <f t="shared" si="50"/>
        <v>Tamai2C1-093-0008</v>
      </c>
      <c r="D687">
        <f>VLOOKUP(C687,'RAW DATA 2023'!E:BP,63,0)</f>
        <v>6</v>
      </c>
      <c r="E687" t="str">
        <f t="shared" si="51"/>
        <v>Tamai26</v>
      </c>
      <c r="F687" s="8">
        <f>VLOOKUP(C687,'RAW DATA 2023'!E:BO,23,0)</f>
        <v>107.00877450904532</v>
      </c>
      <c r="G687" s="14">
        <f t="shared" si="52"/>
        <v>-32.008774509045324</v>
      </c>
      <c r="H687" s="25">
        <f t="shared" si="53"/>
        <v>-6.4017549018090651</v>
      </c>
      <c r="I687" s="80" t="str">
        <f>VLOOKUP(C687,'RAW DATA 2023'!E:BO,36,0)</f>
        <v>EHP</v>
      </c>
      <c r="J687">
        <f>VLOOKUP(C687,'RAW DATA 2023'!E:BO,21,0)</f>
        <v>5.1695200000000003</v>
      </c>
      <c r="K687" s="268">
        <f t="shared" si="54"/>
        <v>-33.094000000000001</v>
      </c>
    </row>
    <row r="688" spans="1:11">
      <c r="A688" t="str">
        <f>'RAW DATA 2023'!B681</f>
        <v>Tamai2</v>
      </c>
      <c r="B688" t="str">
        <f>'RAW DATA 2023'!D681</f>
        <v>C1-057-0010</v>
      </c>
      <c r="C688" t="str">
        <f t="shared" si="50"/>
        <v>Tamai2C1-057-0010</v>
      </c>
      <c r="D688">
        <f>VLOOKUP(C688,'RAW DATA 2023'!E:BP,63,0)</f>
        <v>6</v>
      </c>
      <c r="E688" t="str">
        <f t="shared" si="51"/>
        <v>Tamai26</v>
      </c>
      <c r="F688" s="8">
        <f>VLOOKUP(C688,'RAW DATA 2023'!E:BO,23,0)</f>
        <v>154.99982289757281</v>
      </c>
      <c r="G688" s="14">
        <f t="shared" si="52"/>
        <v>-79.999822897572813</v>
      </c>
      <c r="H688" s="25">
        <f t="shared" si="53"/>
        <v>-15.999964579514563</v>
      </c>
      <c r="I688" s="80" t="str">
        <f>VLOOKUP(C688,'RAW DATA 2023'!E:BO,36,0)</f>
        <v>EHP</v>
      </c>
      <c r="J688">
        <f>VLOOKUP(C688,'RAW DATA 2023'!E:BO,21,0)</f>
        <v>4.5171599999999996</v>
      </c>
      <c r="K688" s="268">
        <f t="shared" si="54"/>
        <v>-72.2744</v>
      </c>
    </row>
    <row r="689" spans="1:11">
      <c r="A689" t="str">
        <f>'RAW DATA 2023'!B682</f>
        <v>Tamai2</v>
      </c>
      <c r="B689" t="str">
        <f>'RAW DATA 2023'!D682</f>
        <v>A1-006-0027</v>
      </c>
      <c r="C689" t="str">
        <f t="shared" si="50"/>
        <v>Tamai2A1-006-0027</v>
      </c>
      <c r="D689">
        <f>VLOOKUP(C689,'RAW DATA 2023'!E:BP,63,0)</f>
        <v>7</v>
      </c>
      <c r="E689" t="str">
        <f t="shared" si="51"/>
        <v>Tamai27</v>
      </c>
      <c r="F689" s="8">
        <f>VLOOKUP(C689,'RAW DATA 2023'!E:BO,23,0)</f>
        <v>0</v>
      </c>
      <c r="G689" s="14">
        <f t="shared" si="52"/>
        <v>0</v>
      </c>
      <c r="H689" s="25">
        <f t="shared" si="53"/>
        <v>0</v>
      </c>
      <c r="I689" s="80" t="str">
        <f>VLOOKUP(C689,'RAW DATA 2023'!E:BO,36,0)</f>
        <v>EHP</v>
      </c>
      <c r="J689">
        <f>VLOOKUP(C689,'RAW DATA 2023'!E:BO,21,0)</f>
        <v>0</v>
      </c>
      <c r="K689" s="268">
        <f t="shared" si="54"/>
        <v>0</v>
      </c>
    </row>
    <row r="690" spans="1:11">
      <c r="A690" t="str">
        <f>'RAW DATA 2023'!B683</f>
        <v>Tamai2</v>
      </c>
      <c r="B690" t="str">
        <f>'RAW DATA 2023'!D683</f>
        <v>A1-032-0033</v>
      </c>
      <c r="C690" t="str">
        <f t="shared" si="50"/>
        <v>Tamai2A1-032-0033</v>
      </c>
      <c r="D690">
        <f>VLOOKUP(C690,'RAW DATA 2023'!E:BP,63,0)</f>
        <v>10</v>
      </c>
      <c r="E690" t="str">
        <f t="shared" si="51"/>
        <v>Tamai210</v>
      </c>
      <c r="F690" s="8">
        <f>VLOOKUP(C690,'RAW DATA 2023'!E:BO,23,0)</f>
        <v>0</v>
      </c>
      <c r="G690" s="14">
        <f t="shared" si="52"/>
        <v>0</v>
      </c>
      <c r="H690" s="25">
        <f t="shared" si="53"/>
        <v>0</v>
      </c>
      <c r="I690" s="80" t="str">
        <f>VLOOKUP(C690,'RAW DATA 2023'!E:BO,36,0)</f>
        <v>WSSV</v>
      </c>
      <c r="J690">
        <f>VLOOKUP(C690,'RAW DATA 2023'!E:BO,21,0)</f>
        <v>0</v>
      </c>
      <c r="K690" s="268">
        <f t="shared" si="54"/>
        <v>0</v>
      </c>
    </row>
    <row r="691" spans="1:11">
      <c r="A691" t="str">
        <f>'RAW DATA 2023'!B684</f>
        <v>Chantaburi3</v>
      </c>
      <c r="B691" t="str">
        <f>'RAW DATA 2023'!D684</f>
        <v>B1-023-0029</v>
      </c>
      <c r="C691" t="str">
        <f t="shared" si="50"/>
        <v>Chantaburi3B1-023-0029</v>
      </c>
      <c r="D691">
        <f>VLOOKUP(C691,'RAW DATA 2023'!E:BP,63,0)</f>
        <v>8</v>
      </c>
      <c r="E691" t="str">
        <f t="shared" si="51"/>
        <v>Chantaburi38</v>
      </c>
      <c r="F691" s="8">
        <f>VLOOKUP(C691,'RAW DATA 2023'!E:BO,23,0)</f>
        <v>46.193616533822087</v>
      </c>
      <c r="G691" s="14">
        <f t="shared" si="52"/>
        <v>28.806383466177913</v>
      </c>
      <c r="H691" s="25">
        <f t="shared" si="53"/>
        <v>5.7612766932355832</v>
      </c>
      <c r="I691" s="80" t="str">
        <f>VLOOKUP(C691,'RAW DATA 2023'!E:BO,36,0)</f>
        <v>WFD</v>
      </c>
      <c r="J691">
        <f>VLOOKUP(C691,'RAW DATA 2023'!E:BO,21,0)</f>
        <v>15.015040000000001</v>
      </c>
      <c r="K691" s="268">
        <f t="shared" si="54"/>
        <v>86.505800000000022</v>
      </c>
    </row>
    <row r="692" spans="1:11">
      <c r="A692" t="str">
        <f>'RAW DATA 2023'!B685</f>
        <v>Chantaburi3</v>
      </c>
      <c r="B692" t="str">
        <f>'RAW DATA 2023'!D685</f>
        <v>A1-008-0045</v>
      </c>
      <c r="C692" t="str">
        <f t="shared" si="50"/>
        <v>Chantaburi3A1-008-0045</v>
      </c>
      <c r="D692">
        <f>VLOOKUP(C692,'RAW DATA 2023'!E:BP,63,0)</f>
        <v>11</v>
      </c>
      <c r="E692" t="str">
        <f t="shared" si="51"/>
        <v>Chantaburi311</v>
      </c>
      <c r="F692" s="8">
        <f>VLOOKUP(C692,'RAW DATA 2023'!E:BO,23,0)</f>
        <v>63.572232794533043</v>
      </c>
      <c r="G692" s="14">
        <f t="shared" si="52"/>
        <v>11.427767205466957</v>
      </c>
      <c r="H692" s="25">
        <f t="shared" si="53"/>
        <v>2.2855534410933913</v>
      </c>
      <c r="I692" s="80" t="str">
        <f>VLOOKUP(C692,'RAW DATA 2023'!E:BO,36,0)</f>
        <v>EHP</v>
      </c>
      <c r="J692">
        <f>VLOOKUP(C692,'RAW DATA 2023'!E:BO,21,0)</f>
        <v>23.65193</v>
      </c>
      <c r="K692" s="268">
        <f t="shared" si="54"/>
        <v>54.057750000000013</v>
      </c>
    </row>
    <row r="693" spans="1:11">
      <c r="A693" t="str">
        <f>'RAW DATA 2023'!B686</f>
        <v>Chantaburi3</v>
      </c>
      <c r="B693" t="str">
        <f>'RAW DATA 2023'!D686</f>
        <v>B1-024-0042</v>
      </c>
      <c r="C693" t="str">
        <f t="shared" si="50"/>
        <v>Chantaburi3B1-024-0042</v>
      </c>
      <c r="D693">
        <f>VLOOKUP(C693,'RAW DATA 2023'!E:BP,63,0)</f>
        <v>7</v>
      </c>
      <c r="E693" t="str">
        <f t="shared" si="51"/>
        <v>Chantaburi37</v>
      </c>
      <c r="F693" s="8">
        <f>VLOOKUP(C693,'RAW DATA 2023'!E:BO,23,0)</f>
        <v>35.90397284216187</v>
      </c>
      <c r="G693" s="14">
        <f t="shared" si="52"/>
        <v>39.09602715783813</v>
      </c>
      <c r="H693" s="25">
        <f t="shared" si="53"/>
        <v>7.8192054315676263</v>
      </c>
      <c r="I693" s="80" t="str">
        <f>VLOOKUP(C693,'RAW DATA 2023'!E:BO,36,0)</f>
        <v>Normal</v>
      </c>
      <c r="J693">
        <f>VLOOKUP(C693,'RAW DATA 2023'!E:BO,21,0)</f>
        <v>29.751999999999999</v>
      </c>
      <c r="K693" s="268">
        <f t="shared" si="54"/>
        <v>232.637</v>
      </c>
    </row>
    <row r="694" spans="1:11">
      <c r="A694" t="str">
        <f>'RAW DATA 2023'!B687</f>
        <v>Chantaburi3</v>
      </c>
      <c r="B694" t="str">
        <f>'RAW DATA 2023'!D687</f>
        <v>A1-011-0043</v>
      </c>
      <c r="C694" t="str">
        <f t="shared" si="50"/>
        <v>Chantaburi3A1-011-0043</v>
      </c>
      <c r="D694">
        <f>VLOOKUP(C694,'RAW DATA 2023'!E:BP,63,0)</f>
        <v>4</v>
      </c>
      <c r="E694" t="str">
        <f t="shared" si="51"/>
        <v>Chantaburi34</v>
      </c>
      <c r="F694" s="8">
        <f>VLOOKUP(C694,'RAW DATA 2023'!E:BO,23,0)</f>
        <v>51.492010281407786</v>
      </c>
      <c r="G694" s="14">
        <f t="shared" si="52"/>
        <v>23.507989718592214</v>
      </c>
      <c r="H694" s="25">
        <f t="shared" si="53"/>
        <v>4.7015979437184425</v>
      </c>
      <c r="I694" s="80" t="str">
        <f>VLOOKUP(C694,'RAW DATA 2023'!E:BO,36,0)</f>
        <v>Normal</v>
      </c>
      <c r="J694">
        <f>VLOOKUP(C694,'RAW DATA 2023'!E:BO,21,0)</f>
        <v>24.043400000000002</v>
      </c>
      <c r="K694" s="268">
        <f t="shared" si="54"/>
        <v>113.04240000000001</v>
      </c>
    </row>
    <row r="695" spans="1:11">
      <c r="A695" t="str">
        <f>'RAW DATA 2023'!B688</f>
        <v>Chantaburi3</v>
      </c>
      <c r="B695" t="str">
        <f>'RAW DATA 2023'!D688</f>
        <v>B1-023-0027</v>
      </c>
      <c r="C695" t="str">
        <f t="shared" si="50"/>
        <v>Chantaburi3B1-023-0027</v>
      </c>
      <c r="D695">
        <f>VLOOKUP(C695,'RAW DATA 2023'!E:BP,63,0)</f>
        <v>3</v>
      </c>
      <c r="E695" t="str">
        <f t="shared" si="51"/>
        <v>Chantaburi33</v>
      </c>
      <c r="F695" s="8">
        <f>VLOOKUP(C695,'RAW DATA 2023'!E:BO,23,0)</f>
        <v>52.14737939405132</v>
      </c>
      <c r="G695" s="14">
        <f t="shared" si="52"/>
        <v>22.85262060594868</v>
      </c>
      <c r="H695" s="25">
        <f t="shared" si="53"/>
        <v>4.5705241211897363</v>
      </c>
      <c r="I695" s="80" t="str">
        <f>VLOOKUP(C695,'RAW DATA 2023'!E:BO,36,0)</f>
        <v>EHP</v>
      </c>
      <c r="J695">
        <f>VLOOKUP(C695,'RAW DATA 2023'!E:BO,21,0)</f>
        <v>24.69219</v>
      </c>
      <c r="K695" s="268">
        <f t="shared" si="54"/>
        <v>112.85624999999999</v>
      </c>
    </row>
    <row r="696" spans="1:11">
      <c r="A696" t="str">
        <f>'RAW DATA 2023'!B689</f>
        <v>Chantaburi3</v>
      </c>
      <c r="B696" t="str">
        <f>'RAW DATA 2023'!D689</f>
        <v>A1-009-0042</v>
      </c>
      <c r="C696" t="str">
        <f t="shared" si="50"/>
        <v>Chantaburi3A1-009-0042</v>
      </c>
      <c r="D696">
        <f>VLOOKUP(C696,'RAW DATA 2023'!E:BP,63,0)</f>
        <v>5</v>
      </c>
      <c r="E696" t="str">
        <f t="shared" si="51"/>
        <v>Chantaburi35</v>
      </c>
      <c r="F696" s="8">
        <f>VLOOKUP(C696,'RAW DATA 2023'!E:BO,23,0)</f>
        <v>54.308101846810828</v>
      </c>
      <c r="G696" s="14">
        <f t="shared" si="52"/>
        <v>20.691898153189172</v>
      </c>
      <c r="H696" s="25">
        <f t="shared" si="53"/>
        <v>4.1383796306378349</v>
      </c>
      <c r="I696" s="80" t="str">
        <f>VLOOKUP(C696,'RAW DATA 2023'!E:BO,36,0)</f>
        <v>EHP</v>
      </c>
      <c r="J696">
        <f>VLOOKUP(C696,'RAW DATA 2023'!E:BO,21,0)</f>
        <v>28.92933</v>
      </c>
      <c r="K696" s="268">
        <f t="shared" si="54"/>
        <v>119.72055000000003</v>
      </c>
    </row>
    <row r="697" spans="1:11">
      <c r="A697" t="str">
        <f>'RAW DATA 2023'!B690</f>
        <v>Chantaburi3</v>
      </c>
      <c r="B697" t="str">
        <f>'RAW DATA 2023'!D690</f>
        <v>A1-010-0047</v>
      </c>
      <c r="C697" t="str">
        <f t="shared" si="50"/>
        <v>Chantaburi3A1-010-0047</v>
      </c>
      <c r="D697">
        <f>VLOOKUP(C697,'RAW DATA 2023'!E:BP,63,0)</f>
        <v>7</v>
      </c>
      <c r="E697" t="str">
        <f t="shared" si="51"/>
        <v>Chantaburi37</v>
      </c>
      <c r="F697" s="8">
        <f>VLOOKUP(C697,'RAW DATA 2023'!E:BO,23,0)</f>
        <v>74.999965123303085</v>
      </c>
      <c r="G697" s="14">
        <f t="shared" si="52"/>
        <v>3.487669691537576E-5</v>
      </c>
      <c r="H697" s="25">
        <f t="shared" si="53"/>
        <v>6.9753393830751523E-6</v>
      </c>
      <c r="I697" s="80" t="str">
        <f>VLOOKUP(C697,'RAW DATA 2023'!E:BO,36,0)</f>
        <v>WFD</v>
      </c>
      <c r="J697">
        <f>VLOOKUP(C697,'RAW DATA 2023'!E:BO,21,0)</f>
        <v>14.336219999999999</v>
      </c>
      <c r="K697" s="268">
        <f t="shared" si="54"/>
        <v>9.9999999970429651E-5</v>
      </c>
    </row>
    <row r="698" spans="1:11">
      <c r="A698" t="str">
        <f>'RAW DATA 2023'!B691</f>
        <v>Chantaburi3</v>
      </c>
      <c r="B698" t="str">
        <f>'RAW DATA 2023'!D691</f>
        <v>A1-011-0044</v>
      </c>
      <c r="C698" t="str">
        <f t="shared" si="50"/>
        <v>Chantaburi3A1-011-0044</v>
      </c>
      <c r="D698">
        <f>VLOOKUP(C698,'RAW DATA 2023'!E:BP,63,0)</f>
        <v>7</v>
      </c>
      <c r="E698" t="str">
        <f t="shared" si="51"/>
        <v>Chantaburi37</v>
      </c>
      <c r="F698" s="8">
        <f>VLOOKUP(C698,'RAW DATA 2023'!E:BO,23,0)</f>
        <v>89.999992306917079</v>
      </c>
      <c r="G698" s="14">
        <f t="shared" si="52"/>
        <v>-14.999992306917079</v>
      </c>
      <c r="H698" s="25">
        <f t="shared" si="53"/>
        <v>-2.9999984613834161</v>
      </c>
      <c r="I698" s="80" t="str">
        <f>VLOOKUP(C698,'RAW DATA 2023'!E:BO,36,0)</f>
        <v>EHP</v>
      </c>
      <c r="J698">
        <f>VLOOKUP(C698,'RAW DATA 2023'!E:BO,21,0)</f>
        <v>12.99869</v>
      </c>
      <c r="K698" s="268">
        <f t="shared" si="54"/>
        <v>-38.996049999999997</v>
      </c>
    </row>
    <row r="699" spans="1:11">
      <c r="A699" t="str">
        <f>'RAW DATA 2023'!B692</f>
        <v>Chantaburi3</v>
      </c>
      <c r="B699" t="str">
        <f>'RAW DATA 2023'!D692</f>
        <v>B1-024-0041</v>
      </c>
      <c r="C699" t="str">
        <f t="shared" si="50"/>
        <v>Chantaburi3B1-024-0041</v>
      </c>
      <c r="D699">
        <f>VLOOKUP(C699,'RAW DATA 2023'!E:BP,63,0)</f>
        <v>2</v>
      </c>
      <c r="E699" t="str">
        <f t="shared" si="51"/>
        <v>Chantaburi32</v>
      </c>
      <c r="F699" s="8">
        <f>VLOOKUP(C699,'RAW DATA 2023'!E:BO,23,0)</f>
        <v>98.000021909164602</v>
      </c>
      <c r="G699" s="14">
        <f t="shared" si="52"/>
        <v>-23.000021909164602</v>
      </c>
      <c r="H699" s="25">
        <f t="shared" si="53"/>
        <v>-4.6000043818329202</v>
      </c>
      <c r="I699" s="80" t="str">
        <f>VLOOKUP(C699,'RAW DATA 2023'!E:BO,36,0)</f>
        <v>EHP</v>
      </c>
      <c r="J699">
        <f>VLOOKUP(C699,'RAW DATA 2023'!E:BO,21,0)</f>
        <v>9.1286000000000005</v>
      </c>
      <c r="K699" s="268">
        <f t="shared" si="54"/>
        <v>-41.991599999999998</v>
      </c>
    </row>
    <row r="700" spans="1:11">
      <c r="A700" t="str">
        <f>'RAW DATA 2023'!B693</f>
        <v>Chantaburi3</v>
      </c>
      <c r="B700" t="str">
        <f>'RAW DATA 2023'!D693</f>
        <v>A1-009-0043</v>
      </c>
      <c r="C700" t="str">
        <f t="shared" si="50"/>
        <v>Chantaburi3A1-009-0043</v>
      </c>
      <c r="D700">
        <f>VLOOKUP(C700,'RAW DATA 2023'!E:BP,63,0)</f>
        <v>7</v>
      </c>
      <c r="E700" t="str">
        <f t="shared" si="51"/>
        <v>Chantaburi37</v>
      </c>
      <c r="F700" s="8">
        <f>VLOOKUP(C700,'RAW DATA 2023'!E:BO,23,0)</f>
        <v>120.00002037616437</v>
      </c>
      <c r="G700" s="14">
        <f t="shared" si="52"/>
        <v>-45.000020376164372</v>
      </c>
      <c r="H700" s="25">
        <f t="shared" si="53"/>
        <v>-9.0000040752328747</v>
      </c>
      <c r="I700" s="80" t="str">
        <f>VLOOKUP(C700,'RAW DATA 2023'!E:BO,36,0)</f>
        <v>EHP</v>
      </c>
      <c r="J700">
        <f>VLOOKUP(C700,'RAW DATA 2023'!E:BO,21,0)</f>
        <v>9.8153899999999989</v>
      </c>
      <c r="K700" s="268">
        <f t="shared" si="54"/>
        <v>-88.338549999999998</v>
      </c>
    </row>
    <row r="701" spans="1:11">
      <c r="A701" t="str">
        <f>'RAW DATA 2023'!B694</f>
        <v>Chantaburi3</v>
      </c>
      <c r="B701" t="str">
        <f>'RAW DATA 2023'!D694</f>
        <v>A1-010-0046</v>
      </c>
      <c r="C701" t="str">
        <f t="shared" si="50"/>
        <v>Chantaburi3A1-010-0046</v>
      </c>
      <c r="D701">
        <f>VLOOKUP(C701,'RAW DATA 2023'!E:BP,63,0)</f>
        <v>4</v>
      </c>
      <c r="E701" t="str">
        <f t="shared" si="51"/>
        <v>Chantaburi34</v>
      </c>
      <c r="F701" s="8">
        <f>VLOOKUP(C701,'RAW DATA 2023'!E:BO,23,0)</f>
        <v>71.349674287199974</v>
      </c>
      <c r="G701" s="14">
        <f t="shared" si="52"/>
        <v>3.6503257128000257</v>
      </c>
      <c r="H701" s="25">
        <f t="shared" si="53"/>
        <v>0.73006514256000521</v>
      </c>
      <c r="I701" s="80" t="str">
        <f>VLOOKUP(C701,'RAW DATA 2023'!E:BO,36,0)</f>
        <v>ทยอยตาย</v>
      </c>
      <c r="J701">
        <f>VLOOKUP(C701,'RAW DATA 2023'!E:BO,21,0)</f>
        <v>16.692619999999998</v>
      </c>
      <c r="K701" s="268">
        <f t="shared" si="54"/>
        <v>12.186699999999993</v>
      </c>
    </row>
    <row r="702" spans="1:11">
      <c r="A702" t="str">
        <f>'RAW DATA 2023'!B695</f>
        <v>Chantaburi3</v>
      </c>
      <c r="B702" t="str">
        <f>'RAW DATA 2023'!D695</f>
        <v>B1-023-0028</v>
      </c>
      <c r="C702" t="str">
        <f t="shared" si="50"/>
        <v>Chantaburi3B1-023-0028</v>
      </c>
      <c r="D702">
        <f>VLOOKUP(C702,'RAW DATA 2023'!E:BP,63,0)</f>
        <v>5</v>
      </c>
      <c r="E702" t="str">
        <f t="shared" si="51"/>
        <v>Chantaburi35</v>
      </c>
      <c r="F702" s="8">
        <f>VLOOKUP(C702,'RAW DATA 2023'!E:BO,23,0)</f>
        <v>0</v>
      </c>
      <c r="G702" s="14">
        <f t="shared" si="52"/>
        <v>0</v>
      </c>
      <c r="H702" s="25">
        <f t="shared" si="53"/>
        <v>0</v>
      </c>
      <c r="I702" s="80" t="str">
        <f>VLOOKUP(C702,'RAW DATA 2023'!E:BO,36,0)</f>
        <v>EHP</v>
      </c>
      <c r="J702">
        <f>VLOOKUP(C702,'RAW DATA 2023'!E:BO,21,0)</f>
        <v>0</v>
      </c>
      <c r="K702" s="268">
        <f t="shared" si="54"/>
        <v>0</v>
      </c>
    </row>
    <row r="703" spans="1:11">
      <c r="A703" t="str">
        <f>'RAW DATA 2023'!B696</f>
        <v>Lucky3</v>
      </c>
      <c r="B703" t="str">
        <f>'RAW DATA 2023'!D696</f>
        <v>B1-025-0010</v>
      </c>
      <c r="C703" t="str">
        <f t="shared" si="50"/>
        <v>Lucky3B1-025-0010</v>
      </c>
      <c r="D703">
        <f>VLOOKUP(C703,'RAW DATA 2023'!E:BP,63,0)</f>
        <v>5</v>
      </c>
      <c r="E703" t="str">
        <f t="shared" si="51"/>
        <v>Lucky35</v>
      </c>
      <c r="F703" s="8">
        <f>VLOOKUP(C703,'RAW DATA 2023'!E:BO,23,0)</f>
        <v>31.173068378326448</v>
      </c>
      <c r="G703" s="14">
        <f t="shared" si="52"/>
        <v>43.826931621673552</v>
      </c>
      <c r="H703" s="25">
        <f t="shared" si="53"/>
        <v>8.7653863243347114</v>
      </c>
      <c r="I703" s="80" t="str">
        <f>VLOOKUP(C703,'RAW DATA 2023'!E:BO,36,0)</f>
        <v>Normal</v>
      </c>
      <c r="J703">
        <f>VLOOKUP(C703,'RAW DATA 2023'!E:BO,21,0)</f>
        <v>13.32352</v>
      </c>
      <c r="K703" s="268">
        <f t="shared" si="54"/>
        <v>116.78580000000002</v>
      </c>
    </row>
    <row r="704" spans="1:11">
      <c r="A704" t="str">
        <f>'RAW DATA 2023'!B697</f>
        <v>Lucky3</v>
      </c>
      <c r="B704" t="str">
        <f>'RAW DATA 2023'!D697</f>
        <v>B1-024-0009</v>
      </c>
      <c r="C704" t="str">
        <f t="shared" si="50"/>
        <v>Lucky3B1-024-0009</v>
      </c>
      <c r="D704">
        <f>VLOOKUP(C704,'RAW DATA 2023'!E:BP,63,0)</f>
        <v>5</v>
      </c>
      <c r="E704" t="str">
        <f t="shared" si="51"/>
        <v>Lucky35</v>
      </c>
      <c r="F704" s="8">
        <f>VLOOKUP(C704,'RAW DATA 2023'!E:BO,23,0)</f>
        <v>32.590634383028181</v>
      </c>
      <c r="G704" s="14">
        <f t="shared" si="52"/>
        <v>42.409365616971819</v>
      </c>
      <c r="H704" s="25">
        <f t="shared" si="53"/>
        <v>8.4818731233943634</v>
      </c>
      <c r="I704" s="80" t="str">
        <f>VLOOKUP(C704,'RAW DATA 2023'!E:BO,36,0)</f>
        <v>Normal</v>
      </c>
      <c r="J704">
        <f>VLOOKUP(C704,'RAW DATA 2023'!E:BO,21,0)</f>
        <v>13.00886</v>
      </c>
      <c r="K704" s="268">
        <f t="shared" si="54"/>
        <v>110.3395</v>
      </c>
    </row>
    <row r="705" spans="1:11">
      <c r="A705" t="str">
        <f>'RAW DATA 2023'!B698</f>
        <v>Lucky3</v>
      </c>
      <c r="B705" t="str">
        <f>'RAW DATA 2023'!D698</f>
        <v>B1-011-0028</v>
      </c>
      <c r="C705" t="str">
        <f t="shared" si="50"/>
        <v>Lucky3B1-011-0028</v>
      </c>
      <c r="D705">
        <f>VLOOKUP(C705,'RAW DATA 2023'!E:BP,63,0)</f>
        <v>6</v>
      </c>
      <c r="E705" t="str">
        <f t="shared" si="51"/>
        <v>Lucky36</v>
      </c>
      <c r="F705" s="8">
        <f>VLOOKUP(C705,'RAW DATA 2023'!E:BO,23,0)</f>
        <v>48.912914729130698</v>
      </c>
      <c r="G705" s="14">
        <f t="shared" si="52"/>
        <v>26.087085270869302</v>
      </c>
      <c r="H705" s="25">
        <f t="shared" si="53"/>
        <v>5.2174170541738611</v>
      </c>
      <c r="I705" s="80" t="str">
        <f>VLOOKUP(C705,'RAW DATA 2023'!E:BO,36,0)</f>
        <v>EHP</v>
      </c>
      <c r="J705">
        <f>VLOOKUP(C705,'RAW DATA 2023'!E:BO,21,0)</f>
        <v>18.32009</v>
      </c>
      <c r="K705" s="268">
        <f t="shared" si="54"/>
        <v>95.583550000000017</v>
      </c>
    </row>
    <row r="706" spans="1:11">
      <c r="A706" t="str">
        <f>'RAW DATA 2023'!B699</f>
        <v>Lucky3</v>
      </c>
      <c r="B706" t="str">
        <f>'RAW DATA 2023'!D699</f>
        <v>B1-023-0012</v>
      </c>
      <c r="C706" t="str">
        <f t="shared" si="50"/>
        <v>Lucky3B1-023-0012</v>
      </c>
      <c r="D706">
        <f>VLOOKUP(C706,'RAW DATA 2023'!E:BP,63,0)</f>
        <v>5</v>
      </c>
      <c r="E706" t="str">
        <f t="shared" si="51"/>
        <v>Lucky35</v>
      </c>
      <c r="F706" s="8">
        <f>VLOOKUP(C706,'RAW DATA 2023'!E:BO,23,0)</f>
        <v>82.011269408777167</v>
      </c>
      <c r="G706" s="14">
        <f t="shared" si="52"/>
        <v>-7.0112694087771672</v>
      </c>
      <c r="H706" s="25">
        <f t="shared" si="53"/>
        <v>-1.4022538817554335</v>
      </c>
      <c r="I706" s="80" t="str">
        <f>VLOOKUP(C706,'RAW DATA 2023'!E:BO,36,0)</f>
        <v>Nitrite</v>
      </c>
      <c r="J706">
        <f>VLOOKUP(C706,'RAW DATA 2023'!E:BO,21,0)</f>
        <v>4.7491400000000006</v>
      </c>
      <c r="K706" s="268">
        <f t="shared" si="54"/>
        <v>-6.6595000000000004</v>
      </c>
    </row>
    <row r="707" spans="1:11">
      <c r="A707" t="str">
        <f>'RAW DATA 2023'!B700</f>
        <v>Lucky3</v>
      </c>
      <c r="B707" t="str">
        <f>'RAW DATA 2023'!D700</f>
        <v>B1-011-0027</v>
      </c>
      <c r="C707" t="str">
        <f t="shared" si="50"/>
        <v>Lucky3B1-011-0027</v>
      </c>
      <c r="D707">
        <f>VLOOKUP(C707,'RAW DATA 2023'!E:BP,63,0)</f>
        <v>3</v>
      </c>
      <c r="E707" t="str">
        <f t="shared" si="51"/>
        <v>Lucky33</v>
      </c>
      <c r="F707" s="8">
        <f>VLOOKUP(C707,'RAW DATA 2023'!E:BO,23,0)</f>
        <v>29.396766636907781</v>
      </c>
      <c r="G707" s="14">
        <f t="shared" si="52"/>
        <v>45.603233363092215</v>
      </c>
      <c r="H707" s="25">
        <f t="shared" si="53"/>
        <v>9.1206466726184434</v>
      </c>
      <c r="I707" s="80" t="str">
        <f>VLOOKUP(C707,'RAW DATA 2023'!E:BO,36,0)</f>
        <v>Normal</v>
      </c>
      <c r="J707">
        <f>VLOOKUP(C707,'RAW DATA 2023'!E:BO,21,0)</f>
        <v>27.521189999999997</v>
      </c>
      <c r="K707" s="268">
        <f t="shared" si="54"/>
        <v>251.01104999999995</v>
      </c>
    </row>
    <row r="708" spans="1:11">
      <c r="A708" t="str">
        <f>'RAW DATA 2023'!B701</f>
        <v>Lucky3</v>
      </c>
      <c r="B708" t="str">
        <f>'RAW DATA 2023'!D701</f>
        <v>BG-027-0011</v>
      </c>
      <c r="C708" t="str">
        <f t="shared" si="50"/>
        <v>Lucky3BG-027-0011</v>
      </c>
      <c r="D708">
        <f>VLOOKUP(C708,'RAW DATA 2023'!E:BP,63,0)</f>
        <v>5</v>
      </c>
      <c r="E708" t="str">
        <f t="shared" si="51"/>
        <v>Lucky35</v>
      </c>
      <c r="F708" s="8">
        <f>VLOOKUP(C708,'RAW DATA 2023'!E:BO,23,0)</f>
        <v>86.999907960161721</v>
      </c>
      <c r="G708" s="14">
        <f t="shared" si="52"/>
        <v>-11.999907960161721</v>
      </c>
      <c r="H708" s="25">
        <f t="shared" si="53"/>
        <v>-2.3999815920323444</v>
      </c>
      <c r="I708" s="80" t="str">
        <f>VLOOKUP(C708,'RAW DATA 2023'!E:BO,36,0)</f>
        <v>ลอกคราบตาย</v>
      </c>
      <c r="J708">
        <f>VLOOKUP(C708,'RAW DATA 2023'!E:BO,21,0)</f>
        <v>4.6718900000000003</v>
      </c>
      <c r="K708" s="268">
        <f t="shared" si="54"/>
        <v>-11.21244999999999</v>
      </c>
    </row>
    <row r="709" spans="1:11">
      <c r="A709" t="str">
        <f>'RAW DATA 2023'!B702</f>
        <v>Lucky3</v>
      </c>
      <c r="B709" t="str">
        <f>'RAW DATA 2023'!D702</f>
        <v>B1-022-0011</v>
      </c>
      <c r="C709" t="str">
        <f t="shared" si="50"/>
        <v>Lucky3B1-022-0011</v>
      </c>
      <c r="D709">
        <f>VLOOKUP(C709,'RAW DATA 2023'!E:BP,63,0)</f>
        <v>3</v>
      </c>
      <c r="E709" t="str">
        <f t="shared" si="51"/>
        <v>Lucky33</v>
      </c>
      <c r="F709" s="8">
        <f>VLOOKUP(C709,'RAW DATA 2023'!E:BO,23,0)</f>
        <v>35.830006194261401</v>
      </c>
      <c r="G709" s="14">
        <f t="shared" si="52"/>
        <v>39.169993805738599</v>
      </c>
      <c r="H709" s="25">
        <f t="shared" si="53"/>
        <v>7.8339987611477202</v>
      </c>
      <c r="I709" s="80" t="str">
        <f>VLOOKUP(C709,'RAW DATA 2023'!E:BO,36,0)</f>
        <v>Normal</v>
      </c>
      <c r="J709">
        <f>VLOOKUP(C709,'RAW DATA 2023'!E:BO,21,0)</f>
        <v>14.09369</v>
      </c>
      <c r="K709" s="268">
        <f t="shared" si="54"/>
        <v>110.40995000000002</v>
      </c>
    </row>
    <row r="710" spans="1:11">
      <c r="A710" t="str">
        <f>'RAW DATA 2023'!B703</f>
        <v>Lucky3</v>
      </c>
      <c r="B710" t="str">
        <f>'RAW DATA 2023'!D703</f>
        <v>B1-022-0012</v>
      </c>
      <c r="C710" t="str">
        <f t="shared" si="50"/>
        <v>Lucky3B1-022-0012</v>
      </c>
      <c r="D710">
        <f>VLOOKUP(C710,'RAW DATA 2023'!E:BP,63,0)</f>
        <v>5</v>
      </c>
      <c r="E710" t="str">
        <f t="shared" si="51"/>
        <v>Lucky35</v>
      </c>
      <c r="F710" s="8">
        <f>VLOOKUP(C710,'RAW DATA 2023'!E:BO,23,0)</f>
        <v>91.017683299447711</v>
      </c>
      <c r="G710" s="14">
        <f t="shared" si="52"/>
        <v>-16.017683299447711</v>
      </c>
      <c r="H710" s="25">
        <f t="shared" si="53"/>
        <v>-3.2035366598895423</v>
      </c>
      <c r="I710" s="80" t="str">
        <f>VLOOKUP(C710,'RAW DATA 2023'!E:BO,36,0)</f>
        <v>Nitrite</v>
      </c>
      <c r="J710">
        <f>VLOOKUP(C710,'RAW DATA 2023'!E:BO,21,0)</f>
        <v>2.60189</v>
      </c>
      <c r="K710" s="268">
        <f t="shared" si="54"/>
        <v>-8.335250000000002</v>
      </c>
    </row>
    <row r="711" spans="1:11">
      <c r="A711" t="str">
        <f>'RAW DATA 2023'!B704</f>
        <v>Lucky3</v>
      </c>
      <c r="B711" t="str">
        <f>'RAW DATA 2023'!D704</f>
        <v>BG-026-0010</v>
      </c>
      <c r="C711" t="str">
        <f t="shared" si="50"/>
        <v>Lucky3BG-026-0010</v>
      </c>
      <c r="D711">
        <f>VLOOKUP(C711,'RAW DATA 2023'!E:BP,63,0)</f>
        <v>3</v>
      </c>
      <c r="E711" t="str">
        <f t="shared" si="51"/>
        <v>Lucky33</v>
      </c>
      <c r="F711" s="8">
        <f>VLOOKUP(C711,'RAW DATA 2023'!E:BO,23,0)</f>
        <v>30.655521795924528</v>
      </c>
      <c r="G711" s="14">
        <f t="shared" si="52"/>
        <v>44.344478204075472</v>
      </c>
      <c r="H711" s="25">
        <f t="shared" si="53"/>
        <v>8.8688956408150954</v>
      </c>
      <c r="I711" s="80" t="str">
        <f>VLOOKUP(C711,'RAW DATA 2023'!E:BO,36,0)</f>
        <v>Normal</v>
      </c>
      <c r="J711">
        <f>VLOOKUP(C711,'RAW DATA 2023'!E:BO,21,0)</f>
        <v>11.130979999999999</v>
      </c>
      <c r="K711" s="268">
        <f t="shared" si="54"/>
        <v>98.719500000000011</v>
      </c>
    </row>
    <row r="712" spans="1:11">
      <c r="A712" t="str">
        <f>'RAW DATA 2023'!B705</f>
        <v>Lucky3</v>
      </c>
      <c r="B712" t="str">
        <f>'RAW DATA 2023'!D705</f>
        <v>BG-027-0010</v>
      </c>
      <c r="C712" t="str">
        <f t="shared" si="50"/>
        <v>Lucky3BG-027-0010</v>
      </c>
      <c r="D712">
        <f>VLOOKUP(C712,'RAW DATA 2023'!E:BP,63,0)</f>
        <v>3</v>
      </c>
      <c r="E712" t="str">
        <f t="shared" si="51"/>
        <v>Lucky33</v>
      </c>
      <c r="F712" s="8">
        <f>VLOOKUP(C712,'RAW DATA 2023'!E:BO,23,0)</f>
        <v>35.953042322747976</v>
      </c>
      <c r="G712" s="14">
        <f t="shared" si="52"/>
        <v>39.046957677252024</v>
      </c>
      <c r="H712" s="25">
        <f t="shared" si="53"/>
        <v>7.8093915354504055</v>
      </c>
      <c r="I712" s="80" t="str">
        <f>VLOOKUP(C712,'RAW DATA 2023'!E:BO,36,0)</f>
        <v>Normal</v>
      </c>
      <c r="J712">
        <f>VLOOKUP(C712,'RAW DATA 2023'!E:BO,21,0)</f>
        <v>12.492100000000001</v>
      </c>
      <c r="K712" s="268">
        <f t="shared" si="54"/>
        <v>97.555700000000016</v>
      </c>
    </row>
    <row r="713" spans="1:11">
      <c r="A713" t="str">
        <f>'RAW DATA 2023'!B706</f>
        <v>Lucky3</v>
      </c>
      <c r="B713" t="str">
        <f>'RAW DATA 2023'!D706</f>
        <v>BG-026-0011</v>
      </c>
      <c r="C713" t="str">
        <f t="shared" si="50"/>
        <v>Lucky3BG-026-0011</v>
      </c>
      <c r="D713">
        <f>VLOOKUP(C713,'RAW DATA 2023'!E:BP,63,0)</f>
        <v>5</v>
      </c>
      <c r="E713" t="str">
        <f t="shared" si="51"/>
        <v>Lucky35</v>
      </c>
      <c r="F713" s="8">
        <f>VLOOKUP(C713,'RAW DATA 2023'!E:BO,23,0)</f>
        <v>97.00016376277226</v>
      </c>
      <c r="G713" s="14">
        <f t="shared" si="52"/>
        <v>-22.00016376277226</v>
      </c>
      <c r="H713" s="25">
        <f t="shared" si="53"/>
        <v>-4.400032752554452</v>
      </c>
      <c r="I713" s="80" t="str">
        <f>VLOOKUP(C713,'RAW DATA 2023'!E:BO,36,0)</f>
        <v>ลอกคราบตาย</v>
      </c>
      <c r="J713">
        <f>VLOOKUP(C713,'RAW DATA 2023'!E:BO,21,0)</f>
        <v>4.0302199999999999</v>
      </c>
      <c r="K713" s="268">
        <f t="shared" si="54"/>
        <v>-17.733100000000004</v>
      </c>
    </row>
    <row r="714" spans="1:11">
      <c r="A714" t="str">
        <f>'RAW DATA 2023'!B707</f>
        <v>Lucky3</v>
      </c>
      <c r="B714" t="str">
        <f>'RAW DATA 2023'!D707</f>
        <v>B1-024-0010</v>
      </c>
      <c r="C714" t="str">
        <f t="shared" ref="C714:C777" si="55">A714&amp;B714</f>
        <v>Lucky3B1-024-0010</v>
      </c>
      <c r="D714">
        <f>VLOOKUP(C714,'RAW DATA 2023'!E:BP,63,0)</f>
        <v>8</v>
      </c>
      <c r="E714" t="str">
        <f t="shared" ref="E714:E777" si="56">A714&amp;D714</f>
        <v>Lucky38</v>
      </c>
      <c r="F714" s="8">
        <f>VLOOKUP(C714,'RAW DATA 2023'!E:BO,23,0)</f>
        <v>161.00010571942065</v>
      </c>
      <c r="G714" s="14">
        <f t="shared" si="52"/>
        <v>-86.000105719420645</v>
      </c>
      <c r="H714" s="25">
        <f t="shared" si="53"/>
        <v>-17.200021143884129</v>
      </c>
      <c r="I714" s="80" t="str">
        <f>VLOOKUP(C714,'RAW DATA 2023'!E:BO,36,0)</f>
        <v>EHP</v>
      </c>
      <c r="J714">
        <f>VLOOKUP(C714,'RAW DATA 2023'!E:BO,21,0)</f>
        <v>4.7294999999999998</v>
      </c>
      <c r="K714" s="268">
        <f t="shared" si="54"/>
        <v>-81.347499999999982</v>
      </c>
    </row>
    <row r="715" spans="1:11">
      <c r="A715" t="str">
        <f>'RAW DATA 2023'!B708</f>
        <v>Lucky3</v>
      </c>
      <c r="B715" t="str">
        <f>'RAW DATA 2023'!D708</f>
        <v>B1-023-0011</v>
      </c>
      <c r="C715" t="str">
        <f t="shared" si="55"/>
        <v>Lucky3B1-023-0011</v>
      </c>
      <c r="D715">
        <f>VLOOKUP(C715,'RAW DATA 2023'!E:BP,63,0)</f>
        <v>3</v>
      </c>
      <c r="E715" t="str">
        <f t="shared" si="56"/>
        <v>Lucky33</v>
      </c>
      <c r="F715" s="8">
        <f>VLOOKUP(C715,'RAW DATA 2023'!E:BO,23,0)</f>
        <v>42.314380137566559</v>
      </c>
      <c r="G715" s="14">
        <f t="shared" ref="G715:G778" si="57">IF(F715=0,0,$B$2-F715)</f>
        <v>32.685619862433441</v>
      </c>
      <c r="H715" s="25">
        <f t="shared" ref="H715:H778" si="58">G715*$B$6</f>
        <v>6.5371239724866887</v>
      </c>
      <c r="I715" s="80" t="str">
        <f>VLOOKUP(C715,'RAW DATA 2023'!E:BO,36,0)</f>
        <v>Normal</v>
      </c>
      <c r="J715">
        <f>VLOOKUP(C715,'RAW DATA 2023'!E:BO,21,0)</f>
        <v>11.685979999999999</v>
      </c>
      <c r="K715" s="268">
        <f t="shared" ref="K715:K778" si="59">H715*J715</f>
        <v>76.392699999999991</v>
      </c>
    </row>
    <row r="716" spans="1:11">
      <c r="A716" t="str">
        <f>'RAW DATA 2023'!B709</f>
        <v>Lucky3</v>
      </c>
      <c r="B716" t="str">
        <f>'RAW DATA 2023'!D709</f>
        <v>BG-027-0012</v>
      </c>
      <c r="C716" t="str">
        <f t="shared" si="55"/>
        <v>Lucky3BG-027-0012</v>
      </c>
      <c r="D716">
        <f>VLOOKUP(C716,'RAW DATA 2023'!E:BP,63,0)</f>
        <v>7</v>
      </c>
      <c r="E716" t="str">
        <f t="shared" si="56"/>
        <v>Lucky37</v>
      </c>
      <c r="F716" s="8">
        <f>VLOOKUP(C716,'RAW DATA 2023'!E:BO,23,0)</f>
        <v>172.00001790366042</v>
      </c>
      <c r="G716" s="14">
        <f t="shared" si="57"/>
        <v>-97.000017903660421</v>
      </c>
      <c r="H716" s="25">
        <f t="shared" si="58"/>
        <v>-19.400003580732086</v>
      </c>
      <c r="I716" s="80" t="str">
        <f>VLOOKUP(C716,'RAW DATA 2023'!E:BO,36,0)</f>
        <v>EHP</v>
      </c>
      <c r="J716">
        <f>VLOOKUP(C716,'RAW DATA 2023'!E:BO,21,0)</f>
        <v>4.4683599999999997</v>
      </c>
      <c r="K716" s="268">
        <f t="shared" si="59"/>
        <v>-86.686200000000014</v>
      </c>
    </row>
    <row r="717" spans="1:11">
      <c r="A717" t="str">
        <f>'RAW DATA 2023'!B710</f>
        <v>Lucky3</v>
      </c>
      <c r="B717" t="str">
        <f>'RAW DATA 2023'!D710</f>
        <v>B1-025-0011</v>
      </c>
      <c r="C717" t="str">
        <f t="shared" si="55"/>
        <v>Lucky3B1-025-0011</v>
      </c>
      <c r="D717">
        <f>VLOOKUP(C717,'RAW DATA 2023'!E:BP,63,0)</f>
        <v>8</v>
      </c>
      <c r="E717" t="str">
        <f t="shared" si="56"/>
        <v>Lucky38</v>
      </c>
      <c r="F717" s="8">
        <f>VLOOKUP(C717,'RAW DATA 2023'!E:BO,23,0)</f>
        <v>0</v>
      </c>
      <c r="G717" s="14">
        <f t="shared" si="57"/>
        <v>0</v>
      </c>
      <c r="H717" s="25">
        <f t="shared" si="58"/>
        <v>0</v>
      </c>
      <c r="I717" s="80" t="str">
        <f>VLOOKUP(C717,'RAW DATA 2023'!E:BO,36,0)</f>
        <v>EHP</v>
      </c>
      <c r="J717">
        <f>VLOOKUP(C717,'RAW DATA 2023'!E:BO,21,0)</f>
        <v>0</v>
      </c>
      <c r="K717" s="268">
        <f t="shared" si="59"/>
        <v>0</v>
      </c>
    </row>
    <row r="718" spans="1:11">
      <c r="A718" t="str">
        <f>'RAW DATA 2023'!B711</f>
        <v>Tachalab</v>
      </c>
      <c r="B718" t="str">
        <f>'RAW DATA 2023'!D711</f>
        <v>A1-012-0017</v>
      </c>
      <c r="C718" t="str">
        <f t="shared" si="55"/>
        <v>TachalabA1-012-0017</v>
      </c>
      <c r="D718">
        <f>VLOOKUP(C718,'RAW DATA 2023'!E:BP,63,0)</f>
        <v>8</v>
      </c>
      <c r="E718" t="str">
        <f t="shared" si="56"/>
        <v>Tachalab8</v>
      </c>
      <c r="F718" s="8">
        <f>VLOOKUP(C718,'RAW DATA 2023'!E:BO,23,0)</f>
        <v>30.37192762708532</v>
      </c>
      <c r="G718" s="14">
        <f t="shared" si="57"/>
        <v>44.62807237291468</v>
      </c>
      <c r="H718" s="25">
        <f t="shared" si="58"/>
        <v>8.925614474582936</v>
      </c>
      <c r="I718" s="80" t="str">
        <f>VLOOKUP(C718,'RAW DATA 2023'!E:BO,36,0)</f>
        <v>Normal</v>
      </c>
      <c r="J718">
        <f>VLOOKUP(C718,'RAW DATA 2023'!E:BO,21,0)</f>
        <v>19.73556</v>
      </c>
      <c r="K718" s="268">
        <f t="shared" si="59"/>
        <v>176.15200000000002</v>
      </c>
    </row>
    <row r="719" spans="1:11">
      <c r="A719" t="str">
        <f>'RAW DATA 2023'!B712</f>
        <v>Tachalab</v>
      </c>
      <c r="B719" t="str">
        <f>'RAW DATA 2023'!D712</f>
        <v>A1-013-0012</v>
      </c>
      <c r="C719" t="str">
        <f t="shared" si="55"/>
        <v>TachalabA1-013-0012</v>
      </c>
      <c r="D719">
        <f>VLOOKUP(C719,'RAW DATA 2023'!E:BP,63,0)</f>
        <v>7</v>
      </c>
      <c r="E719" t="str">
        <f t="shared" si="56"/>
        <v>Tachalab7</v>
      </c>
      <c r="F719" s="8">
        <f>VLOOKUP(C719,'RAW DATA 2023'!E:BO,23,0)</f>
        <v>32.956320961077743</v>
      </c>
      <c r="G719" s="14">
        <f t="shared" si="57"/>
        <v>42.043679038922257</v>
      </c>
      <c r="H719" s="25">
        <f t="shared" si="58"/>
        <v>8.408735807784451</v>
      </c>
      <c r="I719" s="80" t="str">
        <f>VLOOKUP(C719,'RAW DATA 2023'!E:BO,36,0)</f>
        <v>Normal</v>
      </c>
      <c r="J719">
        <f>VLOOKUP(C719,'RAW DATA 2023'!E:BO,21,0)</f>
        <v>18.432639999999999</v>
      </c>
      <c r="K719" s="268">
        <f t="shared" si="59"/>
        <v>154.99519999999998</v>
      </c>
    </row>
    <row r="720" spans="1:11">
      <c r="A720" t="str">
        <f>'RAW DATA 2023'!B713</f>
        <v>Tachalab</v>
      </c>
      <c r="B720" t="str">
        <f>'RAW DATA 2023'!D713</f>
        <v>A1-011-0018</v>
      </c>
      <c r="C720" t="str">
        <f t="shared" si="55"/>
        <v>TachalabA1-011-0018</v>
      </c>
      <c r="D720">
        <f>VLOOKUP(C720,'RAW DATA 2023'!E:BP,63,0)</f>
        <v>8</v>
      </c>
      <c r="E720" t="str">
        <f t="shared" si="56"/>
        <v>Tachalab8</v>
      </c>
      <c r="F720" s="8">
        <f>VLOOKUP(C720,'RAW DATA 2023'!E:BO,23,0)</f>
        <v>31.55908073317476</v>
      </c>
      <c r="G720" s="14">
        <f t="shared" si="57"/>
        <v>43.44091926682524</v>
      </c>
      <c r="H720" s="25">
        <f t="shared" si="58"/>
        <v>8.6881838533650484</v>
      </c>
      <c r="I720" s="80" t="str">
        <f>VLOOKUP(C720,'RAW DATA 2023'!E:BO,36,0)</f>
        <v>Normal</v>
      </c>
      <c r="J720">
        <f>VLOOKUP(C720,'RAW DATA 2023'!E:BO,21,0)</f>
        <v>28.588000000000001</v>
      </c>
      <c r="K720" s="268">
        <f t="shared" si="59"/>
        <v>248.37780000000001</v>
      </c>
    </row>
    <row r="721" spans="1:11">
      <c r="A721" t="str">
        <f>'RAW DATA 2023'!B714</f>
        <v>Tachalab</v>
      </c>
      <c r="B721" t="str">
        <f>'RAW DATA 2023'!D714</f>
        <v>A1-005-0024</v>
      </c>
      <c r="C721" t="str">
        <f t="shared" si="55"/>
        <v>TachalabA1-005-0024</v>
      </c>
      <c r="D721">
        <f>VLOOKUP(C721,'RAW DATA 2023'!E:BP,63,0)</f>
        <v>7</v>
      </c>
      <c r="E721" t="str">
        <f t="shared" si="56"/>
        <v>Tachalab7</v>
      </c>
      <c r="F721" s="8">
        <f>VLOOKUP(C721,'RAW DATA 2023'!E:BO,23,0)</f>
        <v>36.095768024077614</v>
      </c>
      <c r="G721" s="14">
        <f t="shared" si="57"/>
        <v>38.904231975922386</v>
      </c>
      <c r="H721" s="25">
        <f t="shared" si="58"/>
        <v>7.7808463951844775</v>
      </c>
      <c r="I721" s="80" t="str">
        <f>VLOOKUP(C721,'RAW DATA 2023'!E:BO,36,0)</f>
        <v>Normal</v>
      </c>
      <c r="J721">
        <f>VLOOKUP(C721,'RAW DATA 2023'!E:BO,21,0)</f>
        <v>32.890309999999999</v>
      </c>
      <c r="K721" s="268">
        <f t="shared" si="59"/>
        <v>255.91444999999996</v>
      </c>
    </row>
    <row r="722" spans="1:11">
      <c r="A722" t="str">
        <f>'RAW DATA 2023'!B715</f>
        <v>Tachalab</v>
      </c>
      <c r="B722" t="str">
        <f>'RAW DATA 2023'!D715</f>
        <v>B1-025-0015</v>
      </c>
      <c r="C722" t="str">
        <f t="shared" si="55"/>
        <v>TachalabB1-025-0015</v>
      </c>
      <c r="D722">
        <f>VLOOKUP(C722,'RAW DATA 2023'!E:BP,63,0)</f>
        <v>6</v>
      </c>
      <c r="E722" t="str">
        <f t="shared" si="56"/>
        <v>Tachalab6</v>
      </c>
      <c r="F722" s="8">
        <f>VLOOKUP(C722,'RAW DATA 2023'!E:BO,23,0)</f>
        <v>45.548453663265938</v>
      </c>
      <c r="G722" s="14">
        <f t="shared" si="57"/>
        <v>29.451546336734062</v>
      </c>
      <c r="H722" s="25">
        <f t="shared" si="58"/>
        <v>5.8903092673468125</v>
      </c>
      <c r="I722" s="80" t="str">
        <f>VLOOKUP(C722,'RAW DATA 2023'!E:BO,36,0)</f>
        <v>EHP</v>
      </c>
      <c r="J722">
        <f>VLOOKUP(C722,'RAW DATA 2023'!E:BO,21,0)</f>
        <v>28.106750000000002</v>
      </c>
      <c r="K722" s="268">
        <f t="shared" si="59"/>
        <v>165.55745000000005</v>
      </c>
    </row>
    <row r="723" spans="1:11">
      <c r="A723" t="str">
        <f>'RAW DATA 2023'!B716</f>
        <v>Tachalab</v>
      </c>
      <c r="B723" t="str">
        <f>'RAW DATA 2023'!D716</f>
        <v>A1-006-0017</v>
      </c>
      <c r="C723" t="str">
        <f t="shared" si="55"/>
        <v>TachalabA1-006-0017</v>
      </c>
      <c r="D723">
        <f>VLOOKUP(C723,'RAW DATA 2023'!E:BP,63,0)</f>
        <v>12</v>
      </c>
      <c r="E723" t="str">
        <f t="shared" si="56"/>
        <v>Tachalab12</v>
      </c>
      <c r="F723" s="8">
        <f>VLOOKUP(C723,'RAW DATA 2023'!E:BO,23,0)</f>
        <v>55.601818751855831</v>
      </c>
      <c r="G723" s="14">
        <f t="shared" si="57"/>
        <v>19.398181248144169</v>
      </c>
      <c r="H723" s="25">
        <f t="shared" si="58"/>
        <v>3.8796362496288341</v>
      </c>
      <c r="I723" s="80" t="str">
        <f>VLOOKUP(C723,'RAW DATA 2023'!E:BO,36,0)</f>
        <v>ปิดฟาร์ม</v>
      </c>
      <c r="J723">
        <f>VLOOKUP(C723,'RAW DATA 2023'!E:BO,21,0)</f>
        <v>30.141549999999999</v>
      </c>
      <c r="K723" s="268">
        <f t="shared" si="59"/>
        <v>116.93824999999998</v>
      </c>
    </row>
    <row r="724" spans="1:11">
      <c r="A724" t="str">
        <f>'RAW DATA 2023'!B717</f>
        <v>Tachalab</v>
      </c>
      <c r="B724" t="str">
        <f>'RAW DATA 2023'!D717</f>
        <v>B1-023-0012</v>
      </c>
      <c r="C724" t="str">
        <f t="shared" si="55"/>
        <v>TachalabB1-023-0012</v>
      </c>
      <c r="D724">
        <f>VLOOKUP(C724,'RAW DATA 2023'!E:BP,63,0)</f>
        <v>2</v>
      </c>
      <c r="E724" t="str">
        <f t="shared" si="56"/>
        <v>Tachalab2</v>
      </c>
      <c r="F724" s="8">
        <f>VLOOKUP(C724,'RAW DATA 2023'!E:BO,23,0)</f>
        <v>35.109778240022564</v>
      </c>
      <c r="G724" s="14">
        <f t="shared" si="57"/>
        <v>39.890221759977436</v>
      </c>
      <c r="H724" s="25">
        <f t="shared" si="58"/>
        <v>7.9780443519954876</v>
      </c>
      <c r="I724" s="80" t="str">
        <f>VLOOKUP(C724,'RAW DATA 2023'!E:BO,36,0)</f>
        <v>Normal</v>
      </c>
      <c r="J724">
        <f>VLOOKUP(C724,'RAW DATA 2023'!E:BO,21,0)</f>
        <v>22.691200000000002</v>
      </c>
      <c r="K724" s="268">
        <f t="shared" si="59"/>
        <v>181.03140000000002</v>
      </c>
    </row>
    <row r="725" spans="1:11">
      <c r="A725" t="str">
        <f>'RAW DATA 2023'!B718</f>
        <v>Tachalab</v>
      </c>
      <c r="B725" t="str">
        <f>'RAW DATA 2023'!D718</f>
        <v>A1-003-0023</v>
      </c>
      <c r="C725" t="str">
        <f t="shared" si="55"/>
        <v>TachalabA1-003-0023</v>
      </c>
      <c r="D725">
        <f>VLOOKUP(C725,'RAW DATA 2023'!E:BP,63,0)</f>
        <v>3</v>
      </c>
      <c r="E725" t="str">
        <f t="shared" si="56"/>
        <v>Tachalab3</v>
      </c>
      <c r="F725" s="8">
        <f>VLOOKUP(C725,'RAW DATA 2023'!E:BO,23,0)</f>
        <v>37.861523499027442</v>
      </c>
      <c r="G725" s="14">
        <f t="shared" si="57"/>
        <v>37.138476500972558</v>
      </c>
      <c r="H725" s="25">
        <f t="shared" si="58"/>
        <v>7.4276953001945119</v>
      </c>
      <c r="I725" s="80" t="str">
        <f>VLOOKUP(C725,'RAW DATA 2023'!E:BO,36,0)</f>
        <v>กุ้งไม่โต</v>
      </c>
      <c r="J725">
        <f>VLOOKUP(C725,'RAW DATA 2023'!E:BO,21,0)</f>
        <v>15.998959999999999</v>
      </c>
      <c r="K725" s="268">
        <f t="shared" si="59"/>
        <v>118.83539999999998</v>
      </c>
    </row>
    <row r="726" spans="1:11">
      <c r="A726" t="str">
        <f>'RAW DATA 2023'!B719</f>
        <v>Tachalab</v>
      </c>
      <c r="B726" t="str">
        <f>'RAW DATA 2023'!D719</f>
        <v>A1-013-0011</v>
      </c>
      <c r="C726" t="str">
        <f t="shared" si="55"/>
        <v>TachalabA1-013-0011</v>
      </c>
      <c r="D726">
        <f>VLOOKUP(C726,'RAW DATA 2023'!E:BP,63,0)</f>
        <v>3</v>
      </c>
      <c r="E726" t="str">
        <f t="shared" si="56"/>
        <v>Tachalab3</v>
      </c>
      <c r="F726" s="8">
        <f>VLOOKUP(C726,'RAW DATA 2023'!E:BO,23,0)</f>
        <v>41.434999581144311</v>
      </c>
      <c r="G726" s="14">
        <f t="shared" si="57"/>
        <v>33.565000418855689</v>
      </c>
      <c r="H726" s="25">
        <f t="shared" si="58"/>
        <v>6.7130000837711385</v>
      </c>
      <c r="I726" s="80" t="str">
        <f>VLOOKUP(C726,'RAW DATA 2023'!E:BO,36,0)</f>
        <v>Normal</v>
      </c>
      <c r="J726">
        <f>VLOOKUP(C726,'RAW DATA 2023'!E:BO,21,0)</f>
        <v>13.369759999999999</v>
      </c>
      <c r="K726" s="268">
        <f t="shared" si="59"/>
        <v>89.751200000000011</v>
      </c>
    </row>
    <row r="727" spans="1:11">
      <c r="A727" t="str">
        <f>'RAW DATA 2023'!B720</f>
        <v>Tachalab</v>
      </c>
      <c r="B727" t="str">
        <f>'RAW DATA 2023'!D720</f>
        <v>A1-006-0016</v>
      </c>
      <c r="C727" t="str">
        <f t="shared" si="55"/>
        <v>TachalabA1-006-0016</v>
      </c>
      <c r="D727">
        <f>VLOOKUP(C727,'RAW DATA 2023'!E:BP,63,0)</f>
        <v>3</v>
      </c>
      <c r="E727" t="str">
        <f t="shared" si="56"/>
        <v>Tachalab3</v>
      </c>
      <c r="F727" s="8">
        <f>VLOOKUP(C727,'RAW DATA 2023'!E:BO,23,0)</f>
        <v>42.325403660684501</v>
      </c>
      <c r="G727" s="14">
        <f t="shared" si="57"/>
        <v>32.674596339315499</v>
      </c>
      <c r="H727" s="25">
        <f t="shared" si="58"/>
        <v>6.5349192678631001</v>
      </c>
      <c r="I727" s="80" t="str">
        <f>VLOOKUP(C727,'RAW DATA 2023'!E:BO,36,0)</f>
        <v>กุ้งไม่โต</v>
      </c>
      <c r="J727">
        <f>VLOOKUP(C727,'RAW DATA 2023'!E:BO,21,0)</f>
        <v>15.465959999999999</v>
      </c>
      <c r="K727" s="268">
        <f t="shared" si="59"/>
        <v>101.06879999999998</v>
      </c>
    </row>
    <row r="728" spans="1:11">
      <c r="A728" t="str">
        <f>'RAW DATA 2023'!B721</f>
        <v>Tachalab</v>
      </c>
      <c r="B728" t="str">
        <f>'RAW DATA 2023'!D721</f>
        <v>A1-011-0017</v>
      </c>
      <c r="C728" t="str">
        <f t="shared" si="55"/>
        <v>TachalabA1-011-0017</v>
      </c>
      <c r="D728">
        <f>VLOOKUP(C728,'RAW DATA 2023'!E:BP,63,0)</f>
        <v>3</v>
      </c>
      <c r="E728" t="str">
        <f t="shared" si="56"/>
        <v>Tachalab3</v>
      </c>
      <c r="F728" s="8">
        <f>VLOOKUP(C728,'RAW DATA 2023'!E:BO,23,0)</f>
        <v>47.000760923450216</v>
      </c>
      <c r="G728" s="14">
        <f t="shared" si="57"/>
        <v>27.999239076549784</v>
      </c>
      <c r="H728" s="25">
        <f t="shared" si="58"/>
        <v>5.5998478153099569</v>
      </c>
      <c r="I728" s="80" t="str">
        <f>VLOOKUP(C728,'RAW DATA 2023'!E:BO,36,0)</f>
        <v>กุ้งไม่โต</v>
      </c>
      <c r="J728">
        <f>VLOOKUP(C728,'RAW DATA 2023'!E:BO,21,0)</f>
        <v>13.575610000000001</v>
      </c>
      <c r="K728" s="268">
        <f t="shared" si="59"/>
        <v>76.021350000000012</v>
      </c>
    </row>
    <row r="729" spans="1:11">
      <c r="A729" t="str">
        <f>'RAW DATA 2023'!B722</f>
        <v>Tachalab</v>
      </c>
      <c r="B729" t="str">
        <f>'RAW DATA 2023'!D722</f>
        <v>B1-025-0014</v>
      </c>
      <c r="C729" t="str">
        <f t="shared" si="55"/>
        <v>TachalabB1-025-0014</v>
      </c>
      <c r="D729">
        <f>VLOOKUP(C729,'RAW DATA 2023'!E:BP,63,0)</f>
        <v>2</v>
      </c>
      <c r="E729" t="str">
        <f t="shared" si="56"/>
        <v>Tachalab2</v>
      </c>
      <c r="F729" s="8">
        <f>VLOOKUP(C729,'RAW DATA 2023'!E:BO,23,0)</f>
        <v>43.999899039189621</v>
      </c>
      <c r="G729" s="14">
        <f t="shared" si="57"/>
        <v>31.000100960810379</v>
      </c>
      <c r="H729" s="25">
        <f t="shared" si="58"/>
        <v>6.2000201921620759</v>
      </c>
      <c r="I729" s="80" t="str">
        <f>VLOOKUP(C729,'RAW DATA 2023'!E:BO,36,0)</f>
        <v>Slow Growth</v>
      </c>
      <c r="J729">
        <f>VLOOKUP(C729,'RAW DATA 2023'!E:BO,21,0)</f>
        <v>11.8858</v>
      </c>
      <c r="K729" s="268">
        <f t="shared" si="59"/>
        <v>73.6922</v>
      </c>
    </row>
    <row r="730" spans="1:11">
      <c r="A730" t="str">
        <f>'RAW DATA 2023'!B723</f>
        <v>Tachalab</v>
      </c>
      <c r="B730" t="str">
        <f>'RAW DATA 2023'!D723</f>
        <v>A1-012-0016</v>
      </c>
      <c r="C730" t="str">
        <f t="shared" si="55"/>
        <v>TachalabA1-012-0016</v>
      </c>
      <c r="D730">
        <f>VLOOKUP(C730,'RAW DATA 2023'!E:BP,63,0)</f>
        <v>3</v>
      </c>
      <c r="E730" t="str">
        <f t="shared" si="56"/>
        <v>Tachalab3</v>
      </c>
      <c r="F730" s="8">
        <f>VLOOKUP(C730,'RAW DATA 2023'!E:BO,23,0)</f>
        <v>77.054781242878235</v>
      </c>
      <c r="G730" s="14">
        <f t="shared" si="57"/>
        <v>-2.054781242878235</v>
      </c>
      <c r="H730" s="25">
        <f t="shared" si="58"/>
        <v>-0.41095624857564705</v>
      </c>
      <c r="I730" s="80" t="str">
        <f>VLOOKUP(C730,'RAW DATA 2023'!E:BO,36,0)</f>
        <v>กุ้งไม่โต</v>
      </c>
      <c r="J730">
        <f>VLOOKUP(C730,'RAW DATA 2023'!E:BO,21,0)</f>
        <v>10.574969999999999</v>
      </c>
      <c r="K730" s="268">
        <f t="shared" si="59"/>
        <v>-4.3458500000000102</v>
      </c>
    </row>
    <row r="731" spans="1:11">
      <c r="A731" t="str">
        <f>'RAW DATA 2023'!B724</f>
        <v>Andaman</v>
      </c>
      <c r="B731" t="str">
        <f>'RAW DATA 2023'!D724</f>
        <v>A1-014-0018</v>
      </c>
      <c r="C731" t="str">
        <f t="shared" si="55"/>
        <v>AndamanA1-014-0018</v>
      </c>
      <c r="D731">
        <f>VLOOKUP(C731,'RAW DATA 2023'!E:BP,63,0)</f>
        <v>5</v>
      </c>
      <c r="E731" t="str">
        <f t="shared" si="56"/>
        <v>Andaman5</v>
      </c>
      <c r="F731" s="8">
        <f>VLOOKUP(C731,'RAW DATA 2023'!E:BO,23,0)</f>
        <v>31.267578322066392</v>
      </c>
      <c r="G731" s="14">
        <f t="shared" si="57"/>
        <v>43.732421677933608</v>
      </c>
      <c r="H731" s="25">
        <f t="shared" si="58"/>
        <v>8.7464843355867217</v>
      </c>
      <c r="I731" s="80" t="str">
        <f>VLOOKUP(C731,'RAW DATA 2023'!E:BO,36,0)</f>
        <v>Normal</v>
      </c>
      <c r="J731">
        <f>VLOOKUP(C731,'RAW DATA 2023'!E:BO,21,0)</f>
        <v>12.68608</v>
      </c>
      <c r="K731" s="268">
        <f t="shared" si="59"/>
        <v>110.9586</v>
      </c>
    </row>
    <row r="732" spans="1:11">
      <c r="A732" t="str">
        <f>'RAW DATA 2023'!B725</f>
        <v>Andaman</v>
      </c>
      <c r="B732" t="str">
        <f>'RAW DATA 2023'!D725</f>
        <v>A1-013-0018</v>
      </c>
      <c r="C732" t="str">
        <f t="shared" si="55"/>
        <v>AndamanA1-013-0018</v>
      </c>
      <c r="D732">
        <f>VLOOKUP(C732,'RAW DATA 2023'!E:BP,63,0)</f>
        <v>6</v>
      </c>
      <c r="E732" t="str">
        <f t="shared" si="56"/>
        <v>Andaman6</v>
      </c>
      <c r="F732" s="8">
        <f>VLOOKUP(C732,'RAW DATA 2023'!E:BO,23,0)</f>
        <v>27.59583632949127</v>
      </c>
      <c r="G732" s="14">
        <f t="shared" si="57"/>
        <v>47.40416367050873</v>
      </c>
      <c r="H732" s="25">
        <f t="shared" si="58"/>
        <v>9.480832734101746</v>
      </c>
      <c r="I732" s="80" t="str">
        <f>VLOOKUP(C732,'RAW DATA 2023'!E:BO,36,0)</f>
        <v>อัตรารอดต่ำ</v>
      </c>
      <c r="J732">
        <f>VLOOKUP(C732,'RAW DATA 2023'!E:BO,21,0)</f>
        <v>12.89151</v>
      </c>
      <c r="K732" s="268">
        <f t="shared" si="59"/>
        <v>122.22225</v>
      </c>
    </row>
    <row r="733" spans="1:11">
      <c r="A733" t="str">
        <f>'RAW DATA 2023'!B726</f>
        <v>Andaman</v>
      </c>
      <c r="B733" t="str">
        <f>'RAW DATA 2023'!D726</f>
        <v>A1-009-0046</v>
      </c>
      <c r="C733" t="str">
        <f t="shared" si="55"/>
        <v>AndamanA1-009-0046</v>
      </c>
      <c r="D733">
        <f>VLOOKUP(C733,'RAW DATA 2023'!E:BP,63,0)</f>
        <v>3</v>
      </c>
      <c r="E733" t="str">
        <f t="shared" si="56"/>
        <v>Andaman3</v>
      </c>
      <c r="F733" s="8">
        <f>VLOOKUP(C733,'RAW DATA 2023'!E:BO,23,0)</f>
        <v>25.720583861909493</v>
      </c>
      <c r="G733" s="14">
        <f t="shared" si="57"/>
        <v>49.279416138090511</v>
      </c>
      <c r="H733" s="25">
        <f t="shared" si="58"/>
        <v>9.8558832276181025</v>
      </c>
      <c r="I733" s="80" t="str">
        <f>VLOOKUP(C733,'RAW DATA 2023'!E:BO,36,0)</f>
        <v>Normal</v>
      </c>
      <c r="J733">
        <f>VLOOKUP(C733,'RAW DATA 2023'!E:BO,21,0)</f>
        <v>21.285169999999997</v>
      </c>
      <c r="K733" s="268">
        <f t="shared" si="59"/>
        <v>209.78414999999998</v>
      </c>
    </row>
    <row r="734" spans="1:11">
      <c r="A734" t="str">
        <f>'RAW DATA 2023'!B727</f>
        <v>Andaman</v>
      </c>
      <c r="B734" t="str">
        <f>'RAW DATA 2023'!D727</f>
        <v>A1-016-0015</v>
      </c>
      <c r="C734" t="str">
        <f t="shared" si="55"/>
        <v>AndamanA1-016-0015</v>
      </c>
      <c r="D734">
        <f>VLOOKUP(C734,'RAW DATA 2023'!E:BP,63,0)</f>
        <v>9</v>
      </c>
      <c r="E734" t="str">
        <f t="shared" si="56"/>
        <v>Andaman9</v>
      </c>
      <c r="F734" s="8">
        <f>VLOOKUP(C734,'RAW DATA 2023'!E:BO,23,0)</f>
        <v>30.553764871262629</v>
      </c>
      <c r="G734" s="14">
        <f t="shared" si="57"/>
        <v>44.446235128737371</v>
      </c>
      <c r="H734" s="25">
        <f t="shared" si="58"/>
        <v>8.8892470257474745</v>
      </c>
      <c r="I734" s="80" t="str">
        <f>VLOOKUP(C734,'RAW DATA 2023'!E:BO,36,0)</f>
        <v>WFD+EHP</v>
      </c>
      <c r="J734">
        <f>VLOOKUP(C734,'RAW DATA 2023'!E:BO,21,0)</f>
        <v>15.372770000000001</v>
      </c>
      <c r="K734" s="268">
        <f t="shared" si="59"/>
        <v>136.65235000000001</v>
      </c>
    </row>
    <row r="735" spans="1:11">
      <c r="A735" t="str">
        <f>'RAW DATA 2023'!B728</f>
        <v>Andaman</v>
      </c>
      <c r="B735" t="str">
        <f>'RAW DATA 2023'!D728</f>
        <v>A1-009-0047</v>
      </c>
      <c r="C735" t="str">
        <f t="shared" si="55"/>
        <v>AndamanA1-009-0047</v>
      </c>
      <c r="D735">
        <f>VLOOKUP(C735,'RAW DATA 2023'!E:BP,63,0)</f>
        <v>8</v>
      </c>
      <c r="E735" t="str">
        <f t="shared" si="56"/>
        <v>Andaman8</v>
      </c>
      <c r="F735" s="8">
        <f>VLOOKUP(C735,'RAW DATA 2023'!E:BO,23,0)</f>
        <v>30.741151691976455</v>
      </c>
      <c r="G735" s="14">
        <f t="shared" si="57"/>
        <v>44.258848308023545</v>
      </c>
      <c r="H735" s="25">
        <f t="shared" si="58"/>
        <v>8.8517696616047097</v>
      </c>
      <c r="I735" s="80" t="str">
        <f>VLOOKUP(C735,'RAW DATA 2023'!E:BO,36,0)</f>
        <v>กุ้งร่วง</v>
      </c>
      <c r="J735">
        <f>VLOOKUP(C735,'RAW DATA 2023'!E:BO,21,0)</f>
        <v>26.02814</v>
      </c>
      <c r="K735" s="268">
        <f t="shared" si="59"/>
        <v>230.39510000000001</v>
      </c>
    </row>
    <row r="736" spans="1:11">
      <c r="A736" t="str">
        <f>'RAW DATA 2023'!B729</f>
        <v>Andaman</v>
      </c>
      <c r="B736" t="str">
        <f>'RAW DATA 2023'!D729</f>
        <v>A1-014-0019</v>
      </c>
      <c r="C736" t="str">
        <f t="shared" si="55"/>
        <v>AndamanA1-014-0019</v>
      </c>
      <c r="D736">
        <f>VLOOKUP(C736,'RAW DATA 2023'!E:BP,63,0)</f>
        <v>9</v>
      </c>
      <c r="E736" t="str">
        <f t="shared" si="56"/>
        <v>Andaman9</v>
      </c>
      <c r="F736" s="8">
        <f>VLOOKUP(C736,'RAW DATA 2023'!E:BO,23,0)</f>
        <v>45.918858701593464</v>
      </c>
      <c r="G736" s="14">
        <f t="shared" si="57"/>
        <v>29.081141298406536</v>
      </c>
      <c r="H736" s="25">
        <f t="shared" si="58"/>
        <v>5.8162282596813073</v>
      </c>
      <c r="I736" s="80" t="str">
        <f>VLOOKUP(C736,'RAW DATA 2023'!E:BO,36,0)</f>
        <v>EHP</v>
      </c>
      <c r="J736">
        <f>VLOOKUP(C736,'RAW DATA 2023'!E:BO,21,0)</f>
        <v>7.6838800000000003</v>
      </c>
      <c r="K736" s="268">
        <f t="shared" si="59"/>
        <v>44.691200000000002</v>
      </c>
    </row>
    <row r="737" spans="1:11">
      <c r="A737" t="str">
        <f>'RAW DATA 2023'!B730</f>
        <v>Andaman</v>
      </c>
      <c r="B737" t="str">
        <f>'RAW DATA 2023'!D730</f>
        <v>A1-012-0022</v>
      </c>
      <c r="C737" t="str">
        <f t="shared" si="55"/>
        <v>AndamanA1-012-0022</v>
      </c>
      <c r="D737">
        <f>VLOOKUP(C737,'RAW DATA 2023'!E:BP,63,0)</f>
        <v>3</v>
      </c>
      <c r="E737" t="str">
        <f t="shared" si="56"/>
        <v>Andaman3</v>
      </c>
      <c r="F737" s="8">
        <f>VLOOKUP(C737,'RAW DATA 2023'!E:BO,23,0)</f>
        <v>29.445991833873979</v>
      </c>
      <c r="G737" s="14">
        <f t="shared" si="57"/>
        <v>45.554008166126025</v>
      </c>
      <c r="H737" s="25">
        <f t="shared" si="58"/>
        <v>9.110801633225206</v>
      </c>
      <c r="I737" s="80" t="str">
        <f>VLOOKUP(C737,'RAW DATA 2023'!E:BO,36,0)</f>
        <v>Normal</v>
      </c>
      <c r="J737">
        <f>VLOOKUP(C737,'RAW DATA 2023'!E:BO,21,0)</f>
        <v>19.23311</v>
      </c>
      <c r="K737" s="268">
        <f t="shared" si="59"/>
        <v>175.22905000000003</v>
      </c>
    </row>
    <row r="738" spans="1:11">
      <c r="A738" t="str">
        <f>'RAW DATA 2023'!B731</f>
        <v>Andaman</v>
      </c>
      <c r="B738" t="str">
        <f>'RAW DATA 2023'!D731</f>
        <v>A1-012-0023</v>
      </c>
      <c r="C738" t="str">
        <f t="shared" si="55"/>
        <v>AndamanA1-012-0023</v>
      </c>
      <c r="D738">
        <f>VLOOKUP(C738,'RAW DATA 2023'!E:BP,63,0)</f>
        <v>7</v>
      </c>
      <c r="E738" t="str">
        <f t="shared" si="56"/>
        <v>Andaman7</v>
      </c>
      <c r="F738" s="8">
        <f>VLOOKUP(C738,'RAW DATA 2023'!E:BO,23,0)</f>
        <v>37.984197050270531</v>
      </c>
      <c r="G738" s="14">
        <f t="shared" si="57"/>
        <v>37.015802949729469</v>
      </c>
      <c r="H738" s="25">
        <f t="shared" si="58"/>
        <v>7.4031605899458945</v>
      </c>
      <c r="I738" s="80" t="str">
        <f>VLOOKUP(C738,'RAW DATA 2023'!E:BO,36,0)</f>
        <v>Normal</v>
      </c>
      <c r="J738">
        <f>VLOOKUP(C738,'RAW DATA 2023'!E:BO,21,0)</f>
        <v>17.262599999999999</v>
      </c>
      <c r="K738" s="268">
        <f t="shared" si="59"/>
        <v>127.7978</v>
      </c>
    </row>
    <row r="739" spans="1:11">
      <c r="A739" t="str">
        <f>'RAW DATA 2023'!B732</f>
        <v>Andaman</v>
      </c>
      <c r="B739" t="str">
        <f>'RAW DATA 2023'!D732</f>
        <v>A1-004-0047</v>
      </c>
      <c r="C739" t="str">
        <f t="shared" si="55"/>
        <v>AndamanA1-004-0047</v>
      </c>
      <c r="D739">
        <f>VLOOKUP(C739,'RAW DATA 2023'!E:BP,63,0)</f>
        <v>4</v>
      </c>
      <c r="E739" t="str">
        <f t="shared" si="56"/>
        <v>Andaman4</v>
      </c>
      <c r="F739" s="8">
        <f>VLOOKUP(C739,'RAW DATA 2023'!E:BO,23,0)</f>
        <v>35.046945879101763</v>
      </c>
      <c r="G739" s="14">
        <f t="shared" si="57"/>
        <v>39.953054120898237</v>
      </c>
      <c r="H739" s="25">
        <f t="shared" si="58"/>
        <v>7.9906108241796474</v>
      </c>
      <c r="I739" s="80" t="str">
        <f>VLOOKUP(C739,'RAW DATA 2023'!E:BO,36,0)</f>
        <v>Normal</v>
      </c>
      <c r="J739">
        <f>VLOOKUP(C739,'RAW DATA 2023'!E:BO,21,0)</f>
        <v>16.674520000000001</v>
      </c>
      <c r="K739" s="268">
        <f t="shared" si="59"/>
        <v>133.23960000000002</v>
      </c>
    </row>
    <row r="740" spans="1:11">
      <c r="A740" t="str">
        <f>'RAW DATA 2023'!B733</f>
        <v>Andaman</v>
      </c>
      <c r="B740" t="str">
        <f>'RAW DATA 2023'!D733</f>
        <v>A1-008-0045</v>
      </c>
      <c r="C740" t="str">
        <f t="shared" si="55"/>
        <v>AndamanA1-008-0045</v>
      </c>
      <c r="D740">
        <f>VLOOKUP(C740,'RAW DATA 2023'!E:BP,63,0)</f>
        <v>3</v>
      </c>
      <c r="E740" t="str">
        <f t="shared" si="56"/>
        <v>Andaman3</v>
      </c>
      <c r="F740" s="8">
        <f>VLOOKUP(C740,'RAW DATA 2023'!E:BO,23,0)</f>
        <v>34.224693337894351</v>
      </c>
      <c r="G740" s="14">
        <f t="shared" si="57"/>
        <v>40.775306662105649</v>
      </c>
      <c r="H740" s="25">
        <f t="shared" si="58"/>
        <v>8.1550613324211305</v>
      </c>
      <c r="I740" s="80" t="str">
        <f>VLOOKUP(C740,'RAW DATA 2023'!E:BO,36,0)</f>
        <v>Normal</v>
      </c>
      <c r="J740">
        <f>VLOOKUP(C740,'RAW DATA 2023'!E:BO,21,0)</f>
        <v>23.620459999999998</v>
      </c>
      <c r="K740" s="268">
        <f t="shared" si="59"/>
        <v>192.62629999999999</v>
      </c>
    </row>
    <row r="741" spans="1:11">
      <c r="A741" t="str">
        <f>'RAW DATA 2023'!B734</f>
        <v>Andaman</v>
      </c>
      <c r="B741" t="str">
        <f>'RAW DATA 2023'!D734</f>
        <v>A1-016-0014</v>
      </c>
      <c r="C741" t="str">
        <f t="shared" si="55"/>
        <v>AndamanA1-016-0014</v>
      </c>
      <c r="D741">
        <f>VLOOKUP(C741,'RAW DATA 2023'!E:BP,63,0)</f>
        <v>4</v>
      </c>
      <c r="E741" t="str">
        <f t="shared" si="56"/>
        <v>Andaman4</v>
      </c>
      <c r="F741" s="8">
        <f>VLOOKUP(C741,'RAW DATA 2023'!E:BO,23,0)</f>
        <v>38.910100715048841</v>
      </c>
      <c r="G741" s="14">
        <f t="shared" si="57"/>
        <v>36.089899284951159</v>
      </c>
      <c r="H741" s="25">
        <f t="shared" si="58"/>
        <v>7.2179798569902323</v>
      </c>
      <c r="I741" s="80" t="str">
        <f>VLOOKUP(C741,'RAW DATA 2023'!E:BO,36,0)</f>
        <v>กุ้งร่วง</v>
      </c>
      <c r="J741">
        <f>VLOOKUP(C741,'RAW DATA 2023'!E:BO,21,0)</f>
        <v>12.495649999999999</v>
      </c>
      <c r="K741" s="268">
        <f t="shared" si="59"/>
        <v>90.193349999999995</v>
      </c>
    </row>
    <row r="742" spans="1:11">
      <c r="A742" t="str">
        <f>'RAW DATA 2023'!B735</f>
        <v>Andaman</v>
      </c>
      <c r="B742" t="str">
        <f>'RAW DATA 2023'!D735</f>
        <v>A1-008-0046</v>
      </c>
      <c r="C742" t="str">
        <f t="shared" si="55"/>
        <v>AndamanA1-008-0046</v>
      </c>
      <c r="D742">
        <f>VLOOKUP(C742,'RAW DATA 2023'!E:BP,63,0)</f>
        <v>8</v>
      </c>
      <c r="E742" t="str">
        <f t="shared" si="56"/>
        <v>Andaman8</v>
      </c>
      <c r="F742" s="8">
        <f>VLOOKUP(C742,'RAW DATA 2023'!E:BO,23,0)</f>
        <v>38.443572592809694</v>
      </c>
      <c r="G742" s="14">
        <f t="shared" si="57"/>
        <v>36.556427407190306</v>
      </c>
      <c r="H742" s="25">
        <f t="shared" si="58"/>
        <v>7.3112854814380617</v>
      </c>
      <c r="I742" s="80" t="str">
        <f>VLOOKUP(C742,'RAW DATA 2023'!E:BO,36,0)</f>
        <v>กุ้งร่วง</v>
      </c>
      <c r="J742">
        <f>VLOOKUP(C742,'RAW DATA 2023'!E:BO,21,0)</f>
        <v>24.19117</v>
      </c>
      <c r="K742" s="268">
        <f t="shared" si="59"/>
        <v>176.86855</v>
      </c>
    </row>
    <row r="743" spans="1:11">
      <c r="A743" t="str">
        <f>'RAW DATA 2023'!B736</f>
        <v>Andaman</v>
      </c>
      <c r="B743" t="str">
        <f>'RAW DATA 2023'!D736</f>
        <v>A1-004-0048</v>
      </c>
      <c r="C743" t="str">
        <f t="shared" si="55"/>
        <v>AndamanA1-004-0048</v>
      </c>
      <c r="D743">
        <f>VLOOKUP(C743,'RAW DATA 2023'!E:BP,63,0)</f>
        <v>8</v>
      </c>
      <c r="E743" t="str">
        <f t="shared" si="56"/>
        <v>Andaman8</v>
      </c>
      <c r="F743" s="8">
        <f>VLOOKUP(C743,'RAW DATA 2023'!E:BO,23,0)</f>
        <v>47.234185101415015</v>
      </c>
      <c r="G743" s="14">
        <f t="shared" si="57"/>
        <v>27.765814898584985</v>
      </c>
      <c r="H743" s="25">
        <f t="shared" si="58"/>
        <v>5.5531629797169977</v>
      </c>
      <c r="I743" s="80" t="str">
        <f>VLOOKUP(C743,'RAW DATA 2023'!E:BO,36,0)</f>
        <v>อัตรารอดต่ำ</v>
      </c>
      <c r="J743">
        <f>VLOOKUP(C743,'RAW DATA 2023'!E:BO,21,0)</f>
        <v>12.03027</v>
      </c>
      <c r="K743" s="268">
        <f t="shared" si="59"/>
        <v>66.806049999999999</v>
      </c>
    </row>
    <row r="744" spans="1:11">
      <c r="A744" t="str">
        <f>'RAW DATA 2023'!B737</f>
        <v>Andaman</v>
      </c>
      <c r="B744" t="str">
        <f>'RAW DATA 2023'!D737</f>
        <v>A1-013-0019</v>
      </c>
      <c r="C744" t="str">
        <f t="shared" si="55"/>
        <v>AndamanA1-013-0019</v>
      </c>
      <c r="D744">
        <f>VLOOKUP(C744,'RAW DATA 2023'!E:BP,63,0)</f>
        <v>8</v>
      </c>
      <c r="E744" t="str">
        <f t="shared" si="56"/>
        <v>Andaman8</v>
      </c>
      <c r="F744" s="8">
        <f>VLOOKUP(C744,'RAW DATA 2023'!E:BO,23,0)</f>
        <v>86.001772732512151</v>
      </c>
      <c r="G744" s="14">
        <f t="shared" si="57"/>
        <v>-11.001772732512151</v>
      </c>
      <c r="H744" s="25">
        <f t="shared" si="58"/>
        <v>-2.2003545465024303</v>
      </c>
      <c r="I744" s="80" t="str">
        <f>VLOOKUP(C744,'RAW DATA 2023'!E:BO,36,0)</f>
        <v>EHP</v>
      </c>
      <c r="J744">
        <f>VLOOKUP(C744,'RAW DATA 2023'!E:BO,21,0)</f>
        <v>5.0317799999999995</v>
      </c>
      <c r="K744" s="268">
        <f t="shared" si="59"/>
        <v>-11.071699999999998</v>
      </c>
    </row>
    <row r="745" spans="1:11">
      <c r="A745" t="str">
        <f>'RAW DATA 2023'!B738</f>
        <v>SR4</v>
      </c>
      <c r="B745" t="str">
        <f>'RAW DATA 2023'!D738</f>
        <v>H1-048-0014</v>
      </c>
      <c r="C745" t="str">
        <f t="shared" si="55"/>
        <v>SR4H1-048-0014</v>
      </c>
      <c r="D745">
        <f>VLOOKUP(C745,'RAW DATA 2023'!E:BP,63,0)</f>
        <v>9</v>
      </c>
      <c r="E745" t="str">
        <f t="shared" si="56"/>
        <v>SR49</v>
      </c>
      <c r="F745" s="8">
        <f>VLOOKUP(C745,'RAW DATA 2023'!E:BO,23,0)</f>
        <v>25.047703249072292</v>
      </c>
      <c r="G745" s="14">
        <f t="shared" si="57"/>
        <v>49.952296750927708</v>
      </c>
      <c r="H745" s="25">
        <f t="shared" si="58"/>
        <v>9.9904593501855423</v>
      </c>
      <c r="I745" s="80" t="str">
        <f>VLOOKUP(C745,'RAW DATA 2023'!E:BO,36,0)</f>
        <v>อัตรารอดต่ำ</v>
      </c>
      <c r="J745">
        <f>VLOOKUP(C745,'RAW DATA 2023'!E:BO,21,0)</f>
        <v>24.374650000000003</v>
      </c>
      <c r="K745" s="268">
        <f t="shared" si="59"/>
        <v>243.51395000000005</v>
      </c>
    </row>
    <row r="746" spans="1:11">
      <c r="A746" t="str">
        <f>'RAW DATA 2023'!B739</f>
        <v>SR4</v>
      </c>
      <c r="B746" t="str">
        <f>'RAW DATA 2023'!D739</f>
        <v>H1-047-0012</v>
      </c>
      <c r="C746" t="str">
        <f t="shared" si="55"/>
        <v>SR4H1-047-0012</v>
      </c>
      <c r="D746">
        <f>VLOOKUP(C746,'RAW DATA 2023'!E:BP,63,0)</f>
        <v>10</v>
      </c>
      <c r="E746" t="str">
        <f t="shared" si="56"/>
        <v>SR410</v>
      </c>
      <c r="F746" s="8">
        <f>VLOOKUP(C746,'RAW DATA 2023'!E:BO,23,0)</f>
        <v>42.858972833993647</v>
      </c>
      <c r="G746" s="14">
        <f t="shared" si="57"/>
        <v>32.141027166006353</v>
      </c>
      <c r="H746" s="25">
        <f t="shared" si="58"/>
        <v>6.4282054332012706</v>
      </c>
      <c r="I746" s="80" t="str">
        <f>VLOOKUP(C746,'RAW DATA 2023'!E:BO,36,0)</f>
        <v>EHP</v>
      </c>
      <c r="J746">
        <f>VLOOKUP(C746,'RAW DATA 2023'!E:BO,21,0)</f>
        <v>20.76529</v>
      </c>
      <c r="K746" s="268">
        <f t="shared" si="59"/>
        <v>133.48355000000001</v>
      </c>
    </row>
    <row r="747" spans="1:11">
      <c r="A747" t="str">
        <f>'RAW DATA 2023'!B740</f>
        <v>SR4</v>
      </c>
      <c r="B747" t="str">
        <f>'RAW DATA 2023'!D740</f>
        <v>G2-058-0007</v>
      </c>
      <c r="C747" t="str">
        <f t="shared" si="55"/>
        <v>SR4G2-058-0007</v>
      </c>
      <c r="D747">
        <f>VLOOKUP(C747,'RAW DATA 2023'!E:BP,63,0)</f>
        <v>7</v>
      </c>
      <c r="E747" t="str">
        <f t="shared" si="56"/>
        <v>SR47</v>
      </c>
      <c r="F747" s="8">
        <f>VLOOKUP(C747,'RAW DATA 2023'!E:BO,23,0)</f>
        <v>19.472582408998594</v>
      </c>
      <c r="G747" s="14">
        <f t="shared" si="57"/>
        <v>55.527417591001409</v>
      </c>
      <c r="H747" s="25">
        <f t="shared" si="58"/>
        <v>11.105483518200282</v>
      </c>
      <c r="I747" s="80" t="str">
        <f>VLOOKUP(C747,'RAW DATA 2023'!E:BO,36,0)</f>
        <v>อัตรารอดต่ำ</v>
      </c>
      <c r="J747">
        <f>VLOOKUP(C747,'RAW DATA 2023'!E:BO,21,0)</f>
        <v>14.40225</v>
      </c>
      <c r="K747" s="268">
        <f t="shared" si="59"/>
        <v>159.94395000000003</v>
      </c>
    </row>
    <row r="748" spans="1:11">
      <c r="A748" t="str">
        <f>'RAW DATA 2023'!B741</f>
        <v>SR4</v>
      </c>
      <c r="B748" t="str">
        <f>'RAW DATA 2023'!D741</f>
        <v>G2-059-0011</v>
      </c>
      <c r="C748" t="str">
        <f t="shared" si="55"/>
        <v>SR4G2-059-0011</v>
      </c>
      <c r="D748">
        <f>VLOOKUP(C748,'RAW DATA 2023'!E:BP,63,0)</f>
        <v>8</v>
      </c>
      <c r="E748" t="str">
        <f t="shared" si="56"/>
        <v>SR48</v>
      </c>
      <c r="F748" s="8">
        <f>VLOOKUP(C748,'RAW DATA 2023'!E:BO,23,0)</f>
        <v>24.337343030461987</v>
      </c>
      <c r="G748" s="14">
        <f t="shared" si="57"/>
        <v>50.662656969538013</v>
      </c>
      <c r="H748" s="25">
        <f t="shared" si="58"/>
        <v>10.132531393907604</v>
      </c>
      <c r="I748" s="80" t="str">
        <f>VLOOKUP(C748,'RAW DATA 2023'!E:BO,36,0)</f>
        <v>Normal</v>
      </c>
      <c r="J748">
        <f>VLOOKUP(C748,'RAW DATA 2023'!E:BO,21,0)</f>
        <v>20.43629</v>
      </c>
      <c r="K748" s="268">
        <f t="shared" si="59"/>
        <v>207.07135000000002</v>
      </c>
    </row>
    <row r="749" spans="1:11">
      <c r="A749" t="str">
        <f>'RAW DATA 2023'!B742</f>
        <v>SR4</v>
      </c>
      <c r="B749" t="str">
        <f>'RAW DATA 2023'!D742</f>
        <v>G1-052-0012</v>
      </c>
      <c r="C749" t="str">
        <f t="shared" si="55"/>
        <v>SR4G1-052-0012</v>
      </c>
      <c r="D749">
        <f>VLOOKUP(C749,'RAW DATA 2023'!E:BP,63,0)</f>
        <v>11</v>
      </c>
      <c r="E749" t="str">
        <f t="shared" si="56"/>
        <v>SR411</v>
      </c>
      <c r="F749" s="8">
        <f>VLOOKUP(C749,'RAW DATA 2023'!E:BO,23,0)</f>
        <v>23.320349427839783</v>
      </c>
      <c r="G749" s="14">
        <f t="shared" si="57"/>
        <v>51.679650572160213</v>
      </c>
      <c r="H749" s="25">
        <f t="shared" si="58"/>
        <v>10.335930114432044</v>
      </c>
      <c r="I749" s="80" t="str">
        <f>VLOOKUP(C749,'RAW DATA 2023'!E:BO,36,0)</f>
        <v>Normal</v>
      </c>
      <c r="J749">
        <f>VLOOKUP(C749,'RAW DATA 2023'!E:BO,21,0)</f>
        <v>17.580740000000002</v>
      </c>
      <c r="K749" s="268">
        <f t="shared" si="59"/>
        <v>181.71330000000003</v>
      </c>
    </row>
    <row r="750" spans="1:11">
      <c r="A750" t="str">
        <f>'RAW DATA 2023'!B743</f>
        <v>SR4</v>
      </c>
      <c r="B750" t="str">
        <f>'RAW DATA 2023'!D743</f>
        <v>G1-053-0009</v>
      </c>
      <c r="C750" t="str">
        <f t="shared" si="55"/>
        <v>SR4G1-053-0009</v>
      </c>
      <c r="D750">
        <f>VLOOKUP(C750,'RAW DATA 2023'!E:BP,63,0)</f>
        <v>10</v>
      </c>
      <c r="E750" t="str">
        <f t="shared" si="56"/>
        <v>SR410</v>
      </c>
      <c r="F750" s="8">
        <f>VLOOKUP(C750,'RAW DATA 2023'!E:BO,23,0)</f>
        <v>22.185008994138556</v>
      </c>
      <c r="G750" s="14">
        <f t="shared" si="57"/>
        <v>52.814991005861444</v>
      </c>
      <c r="H750" s="25">
        <f t="shared" si="58"/>
        <v>10.56299820117229</v>
      </c>
      <c r="I750" s="80" t="str">
        <f>VLOOKUP(C750,'RAW DATA 2023'!E:BO,36,0)</f>
        <v>Normal</v>
      </c>
      <c r="J750">
        <f>VLOOKUP(C750,'RAW DATA 2023'!E:BO,21,0)</f>
        <v>20.64678</v>
      </c>
      <c r="K750" s="268">
        <f t="shared" si="59"/>
        <v>218.09190000000001</v>
      </c>
    </row>
    <row r="751" spans="1:11">
      <c r="A751" t="str">
        <f>'RAW DATA 2023'!B744</f>
        <v>SR4</v>
      </c>
      <c r="B751" t="str">
        <f>'RAW DATA 2023'!D744</f>
        <v>G1-051-0010</v>
      </c>
      <c r="C751" t="str">
        <f t="shared" si="55"/>
        <v>SR4G1-051-0010</v>
      </c>
      <c r="D751">
        <f>VLOOKUP(C751,'RAW DATA 2023'!E:BP,63,0)</f>
        <v>10</v>
      </c>
      <c r="E751" t="str">
        <f t="shared" si="56"/>
        <v>SR410</v>
      </c>
      <c r="F751" s="8">
        <f>VLOOKUP(C751,'RAW DATA 2023'!E:BO,23,0)</f>
        <v>23.644399433545665</v>
      </c>
      <c r="G751" s="14">
        <f t="shared" si="57"/>
        <v>51.355600566454335</v>
      </c>
      <c r="H751" s="25">
        <f t="shared" si="58"/>
        <v>10.271120113290868</v>
      </c>
      <c r="I751" s="80" t="str">
        <f>VLOOKUP(C751,'RAW DATA 2023'!E:BO,36,0)</f>
        <v>Normal</v>
      </c>
      <c r="J751">
        <f>VLOOKUP(C751,'RAW DATA 2023'!E:BO,21,0)</f>
        <v>18.741139999999998</v>
      </c>
      <c r="K751" s="268">
        <f t="shared" si="59"/>
        <v>192.49250000000001</v>
      </c>
    </row>
    <row r="752" spans="1:11">
      <c r="A752" t="str">
        <f>'RAW DATA 2023'!B745</f>
        <v>SR4</v>
      </c>
      <c r="B752" t="str">
        <f>'RAW DATA 2023'!D745</f>
        <v>G2-058-0008</v>
      </c>
      <c r="C752" t="str">
        <f t="shared" si="55"/>
        <v>SR4G2-058-0008</v>
      </c>
      <c r="D752">
        <f>VLOOKUP(C752,'RAW DATA 2023'!E:BP,63,0)</f>
        <v>12</v>
      </c>
      <c r="E752" t="str">
        <f t="shared" si="56"/>
        <v>SR412</v>
      </c>
      <c r="F752" s="8">
        <f>VLOOKUP(C752,'RAW DATA 2023'!E:BO,23,0)</f>
        <v>34.013696604498989</v>
      </c>
      <c r="G752" s="14">
        <f t="shared" si="57"/>
        <v>40.986303395501011</v>
      </c>
      <c r="H752" s="25">
        <f t="shared" si="58"/>
        <v>8.1972606791002018</v>
      </c>
      <c r="I752" s="80" t="str">
        <f>VLOOKUP(C752,'RAW DATA 2023'!E:BO,36,0)</f>
        <v>อัตรารอดต่ำ</v>
      </c>
      <c r="J752">
        <f>VLOOKUP(C752,'RAW DATA 2023'!E:BO,21,0)</f>
        <v>10.820200000000002</v>
      </c>
      <c r="K752" s="268">
        <f t="shared" si="59"/>
        <v>88.696000000000012</v>
      </c>
    </row>
    <row r="753" spans="1:11">
      <c r="A753" t="str">
        <f>'RAW DATA 2023'!B746</f>
        <v>SR4</v>
      </c>
      <c r="B753" t="str">
        <f>'RAW DATA 2023'!D746</f>
        <v>G1-052-0011</v>
      </c>
      <c r="C753" t="str">
        <f t="shared" si="55"/>
        <v>SR4G1-052-0011</v>
      </c>
      <c r="D753">
        <f>VLOOKUP(C753,'RAW DATA 2023'!E:BP,63,0)</f>
        <v>6</v>
      </c>
      <c r="E753" t="str">
        <f t="shared" si="56"/>
        <v>SR46</v>
      </c>
      <c r="F753" s="8">
        <f>VLOOKUP(C753,'RAW DATA 2023'!E:BO,23,0)</f>
        <v>28.240809292211019</v>
      </c>
      <c r="G753" s="14">
        <f t="shared" si="57"/>
        <v>46.759190707788981</v>
      </c>
      <c r="H753" s="25">
        <f t="shared" si="58"/>
        <v>9.3518381415577974</v>
      </c>
      <c r="I753" s="80" t="str">
        <f>VLOOKUP(C753,'RAW DATA 2023'!E:BO,36,0)</f>
        <v>ปิดบ่อตามแผนจับปกติ</v>
      </c>
      <c r="J753">
        <f>VLOOKUP(C753,'RAW DATA 2023'!E:BO,21,0)</f>
        <v>22.82686</v>
      </c>
      <c r="K753" s="268">
        <f t="shared" si="59"/>
        <v>213.47310000000002</v>
      </c>
    </row>
    <row r="754" spans="1:11">
      <c r="A754" t="str">
        <f>'RAW DATA 2023'!B747</f>
        <v>SR4</v>
      </c>
      <c r="B754" t="str">
        <f>'RAW DATA 2023'!D747</f>
        <v>G2-057-0010</v>
      </c>
      <c r="C754" t="str">
        <f t="shared" si="55"/>
        <v>SR4G2-057-0010</v>
      </c>
      <c r="D754">
        <f>VLOOKUP(C754,'RAW DATA 2023'!E:BP,63,0)</f>
        <v>9</v>
      </c>
      <c r="E754" t="str">
        <f t="shared" si="56"/>
        <v>SR49</v>
      </c>
      <c r="F754" s="8">
        <f>VLOOKUP(C754,'RAW DATA 2023'!E:BO,23,0)</f>
        <v>25.953358389727217</v>
      </c>
      <c r="G754" s="14">
        <f t="shared" si="57"/>
        <v>49.046641610272786</v>
      </c>
      <c r="H754" s="25">
        <f t="shared" si="58"/>
        <v>9.809328322054558</v>
      </c>
      <c r="I754" s="80" t="str">
        <f>VLOOKUP(C754,'RAW DATA 2023'!E:BO,36,0)</f>
        <v>Normal</v>
      </c>
      <c r="J754">
        <f>VLOOKUP(C754,'RAW DATA 2023'!E:BO,21,0)</f>
        <v>29.413650000000001</v>
      </c>
      <c r="K754" s="268">
        <f t="shared" si="59"/>
        <v>288.52815000000004</v>
      </c>
    </row>
    <row r="755" spans="1:11">
      <c r="A755" t="str">
        <f>'RAW DATA 2023'!B748</f>
        <v>SR4</v>
      </c>
      <c r="B755" t="str">
        <f>'RAW DATA 2023'!D748</f>
        <v>G1-053-0008</v>
      </c>
      <c r="C755" t="str">
        <f t="shared" si="55"/>
        <v>SR4G1-053-0008</v>
      </c>
      <c r="D755">
        <f>VLOOKUP(C755,'RAW DATA 2023'!E:BP,63,0)</f>
        <v>5</v>
      </c>
      <c r="E755" t="str">
        <f t="shared" si="56"/>
        <v>SR45</v>
      </c>
      <c r="F755" s="8">
        <f>VLOOKUP(C755,'RAW DATA 2023'!E:BO,23,0)</f>
        <v>33.85090529747005</v>
      </c>
      <c r="G755" s="14">
        <f t="shared" si="57"/>
        <v>41.14909470252995</v>
      </c>
      <c r="H755" s="25">
        <f t="shared" si="58"/>
        <v>8.2298189405059912</v>
      </c>
      <c r="I755" s="80" t="str">
        <f>VLOOKUP(C755,'RAW DATA 2023'!E:BO,36,0)</f>
        <v>Normal</v>
      </c>
      <c r="J755">
        <f>VLOOKUP(C755,'RAW DATA 2023'!E:BO,21,0)</f>
        <v>7.5345399999999998</v>
      </c>
      <c r="K755" s="268">
        <f t="shared" si="59"/>
        <v>62.007900000000006</v>
      </c>
    </row>
    <row r="756" spans="1:11">
      <c r="A756" t="str">
        <f>'RAW DATA 2023'!B749</f>
        <v>SR4</v>
      </c>
      <c r="B756" t="str">
        <f>'RAW DATA 2023'!D749</f>
        <v>G1-051-0009</v>
      </c>
      <c r="C756" t="str">
        <f t="shared" si="55"/>
        <v>SR4G1-051-0009</v>
      </c>
      <c r="D756">
        <f>VLOOKUP(C756,'RAW DATA 2023'!E:BP,63,0)</f>
        <v>5</v>
      </c>
      <c r="E756" t="str">
        <f t="shared" si="56"/>
        <v>SR45</v>
      </c>
      <c r="F756" s="8">
        <f>VLOOKUP(C756,'RAW DATA 2023'!E:BO,23,0)</f>
        <v>28.305807913469142</v>
      </c>
      <c r="G756" s="14">
        <f t="shared" si="57"/>
        <v>46.694192086530862</v>
      </c>
      <c r="H756" s="25">
        <f t="shared" si="58"/>
        <v>9.3388384173061727</v>
      </c>
      <c r="I756" s="80" t="str">
        <f>VLOOKUP(C756,'RAW DATA 2023'!E:BO,36,0)</f>
        <v>Normal</v>
      </c>
      <c r="J756">
        <f>VLOOKUP(C756,'RAW DATA 2023'!E:BO,21,0)</f>
        <v>23.390499999999999</v>
      </c>
      <c r="K756" s="268">
        <f t="shared" si="59"/>
        <v>218.44010000000003</v>
      </c>
    </row>
    <row r="757" spans="1:11">
      <c r="A757" t="str">
        <f>'RAW DATA 2023'!B750</f>
        <v>SR4</v>
      </c>
      <c r="B757" t="str">
        <f>'RAW DATA 2023'!D750</f>
        <v>G2-059-0012</v>
      </c>
      <c r="C757" t="str">
        <f t="shared" si="55"/>
        <v>SR4G2-059-0012</v>
      </c>
      <c r="D757">
        <f>VLOOKUP(C757,'RAW DATA 2023'!E:BP,63,0)</f>
        <v>12</v>
      </c>
      <c r="E757" t="str">
        <f t="shared" si="56"/>
        <v>SR412</v>
      </c>
      <c r="F757" s="8">
        <f>VLOOKUP(C757,'RAW DATA 2023'!E:BO,23,0)</f>
        <v>39.599469998107139</v>
      </c>
      <c r="G757" s="14">
        <f t="shared" si="57"/>
        <v>35.400530001892861</v>
      </c>
      <c r="H757" s="25">
        <f t="shared" si="58"/>
        <v>7.0801060003785725</v>
      </c>
      <c r="I757" s="80" t="str">
        <f>VLOOKUP(C757,'RAW DATA 2023'!E:BO,36,0)</f>
        <v>EHP</v>
      </c>
      <c r="J757">
        <f>VLOOKUP(C757,'RAW DATA 2023'!E:BO,21,0)</f>
        <v>10.566000000000001</v>
      </c>
      <c r="K757" s="268">
        <f t="shared" si="59"/>
        <v>74.808400000000006</v>
      </c>
    </row>
    <row r="758" spans="1:11">
      <c r="A758" t="str">
        <f>'RAW DATA 2023'!B751</f>
        <v>SR4</v>
      </c>
      <c r="B758" t="str">
        <f>'RAW DATA 2023'!D751</f>
        <v>G2-059-0010</v>
      </c>
      <c r="C758" t="str">
        <f t="shared" si="55"/>
        <v>SR4G2-059-0010</v>
      </c>
      <c r="D758">
        <f>VLOOKUP(C758,'RAW DATA 2023'!E:BP,63,0)</f>
        <v>4</v>
      </c>
      <c r="E758" t="str">
        <f t="shared" si="56"/>
        <v>SR44</v>
      </c>
      <c r="F758" s="8">
        <f>VLOOKUP(C758,'RAW DATA 2023'!E:BO,23,0)</f>
        <v>39.889229483821019</v>
      </c>
      <c r="G758" s="14">
        <f t="shared" si="57"/>
        <v>35.110770516178981</v>
      </c>
      <c r="H758" s="25">
        <f t="shared" si="58"/>
        <v>7.0221541032357964</v>
      </c>
      <c r="I758" s="80" t="str">
        <f>VLOOKUP(C758,'RAW DATA 2023'!E:BO,36,0)</f>
        <v>อัตรารอดต่ำ</v>
      </c>
      <c r="J758">
        <f>VLOOKUP(C758,'RAW DATA 2023'!E:BO,21,0)</f>
        <v>9.2876700000000003</v>
      </c>
      <c r="K758" s="268">
        <f t="shared" si="59"/>
        <v>65.219450000000009</v>
      </c>
    </row>
    <row r="759" spans="1:11">
      <c r="A759" t="str">
        <f>'RAW DATA 2023'!B752</f>
        <v>SR4</v>
      </c>
      <c r="B759" t="str">
        <f>'RAW DATA 2023'!D752</f>
        <v>G2-058-0006</v>
      </c>
      <c r="C759" t="str">
        <f t="shared" si="55"/>
        <v>SR4G2-058-0006</v>
      </c>
      <c r="D759">
        <f>VLOOKUP(C759,'RAW DATA 2023'!E:BP,63,0)</f>
        <v>2</v>
      </c>
      <c r="E759" t="str">
        <f t="shared" si="56"/>
        <v>SR42</v>
      </c>
      <c r="F759" s="8">
        <f>VLOOKUP(C759,'RAW DATA 2023'!E:BO,23,0)</f>
        <v>123.9999135961143</v>
      </c>
      <c r="G759" s="14">
        <f t="shared" si="57"/>
        <v>-48.999913596114297</v>
      </c>
      <c r="H759" s="25">
        <f t="shared" si="58"/>
        <v>-9.7999827192228608</v>
      </c>
      <c r="I759" s="80" t="str">
        <f>VLOOKUP(C759,'RAW DATA 2023'!E:BO,36,0)</f>
        <v>EHP</v>
      </c>
      <c r="J759">
        <f>VLOOKUP(C759,'RAW DATA 2023'!E:BO,21,0)</f>
        <v>6.4811899999999998</v>
      </c>
      <c r="K759" s="268">
        <f t="shared" si="59"/>
        <v>-63.515550000000012</v>
      </c>
    </row>
    <row r="760" spans="1:11">
      <c r="A760" t="str">
        <f>'RAW DATA 2023'!B753</f>
        <v>SR4</v>
      </c>
      <c r="B760" t="str">
        <f>'RAW DATA 2023'!D753</f>
        <v>G2-057-0008</v>
      </c>
      <c r="C760" t="str">
        <f t="shared" si="55"/>
        <v>SR4G2-057-0008</v>
      </c>
      <c r="D760">
        <f>VLOOKUP(C760,'RAW DATA 2023'!E:BP,63,0)</f>
        <v>1</v>
      </c>
      <c r="E760" t="str">
        <f t="shared" si="56"/>
        <v>SR41</v>
      </c>
      <c r="F760" s="8">
        <f>VLOOKUP(C760,'RAW DATA 2023'!E:BO,23,0)</f>
        <v>183.00007760876312</v>
      </c>
      <c r="G760" s="14">
        <f t="shared" si="57"/>
        <v>-108.00007760876312</v>
      </c>
      <c r="H760" s="25">
        <f t="shared" si="58"/>
        <v>-21.600015521752624</v>
      </c>
      <c r="I760" s="80" t="str">
        <f>VLOOKUP(C760,'RAW DATA 2023'!E:BO,36,0)</f>
        <v>EHP</v>
      </c>
      <c r="J760">
        <f>VLOOKUP(C760,'RAW DATA 2023'!E:BO,21,0)</f>
        <v>3.6078399999999999</v>
      </c>
      <c r="K760" s="268">
        <f t="shared" si="59"/>
        <v>-77.929399999999987</v>
      </c>
    </row>
    <row r="761" spans="1:11">
      <c r="A761" t="str">
        <f>'RAW DATA 2023'!B754</f>
        <v>SR4</v>
      </c>
      <c r="B761" t="str">
        <f>'RAW DATA 2023'!D754</f>
        <v>G2-057-0009</v>
      </c>
      <c r="C761" t="str">
        <f t="shared" si="55"/>
        <v>SR4G2-057-0009</v>
      </c>
      <c r="D761">
        <f>VLOOKUP(C761,'RAW DATA 2023'!E:BP,63,0)</f>
        <v>3</v>
      </c>
      <c r="E761" t="str">
        <f t="shared" si="56"/>
        <v>SR43</v>
      </c>
      <c r="F761" s="8">
        <f>VLOOKUP(C761,'RAW DATA 2023'!E:BO,23,0)</f>
        <v>0</v>
      </c>
      <c r="G761" s="14">
        <f t="shared" si="57"/>
        <v>0</v>
      </c>
      <c r="H761" s="25">
        <f t="shared" si="58"/>
        <v>0</v>
      </c>
      <c r="I761" s="80" t="str">
        <f>VLOOKUP(C761,'RAW DATA 2023'!E:BO,36,0)</f>
        <v>EHP</v>
      </c>
      <c r="J761">
        <f>VLOOKUP(C761,'RAW DATA 2023'!E:BO,21,0)</f>
        <v>0</v>
      </c>
      <c r="K761" s="268">
        <f t="shared" si="59"/>
        <v>0</v>
      </c>
    </row>
    <row r="762" spans="1:11">
      <c r="A762" t="str">
        <f>'RAW DATA 2023'!B755</f>
        <v>SR4</v>
      </c>
      <c r="B762" t="str">
        <f>'RAW DATA 2023'!D755</f>
        <v>F1-022-0003</v>
      </c>
      <c r="C762" t="str">
        <f t="shared" si="55"/>
        <v>SR4F1-022-0003</v>
      </c>
      <c r="D762">
        <f>VLOOKUP(C762,'RAW DATA 2023'!E:BP,63,0)</f>
        <v>7</v>
      </c>
      <c r="E762" t="str">
        <f t="shared" si="56"/>
        <v>SR47</v>
      </c>
      <c r="F762" s="8">
        <f>VLOOKUP(C762,'RAW DATA 2023'!E:BO,23,0)</f>
        <v>38.074046334280901</v>
      </c>
      <c r="G762" s="14">
        <f t="shared" si="57"/>
        <v>36.925953665719099</v>
      </c>
      <c r="H762" s="25">
        <f t="shared" si="58"/>
        <v>7.38519073314382</v>
      </c>
      <c r="I762" s="80" t="str">
        <f>VLOOKUP(C762,'RAW DATA 2023'!E:BO,36,0)</f>
        <v>Normal</v>
      </c>
      <c r="J762">
        <f>VLOOKUP(C762,'RAW DATA 2023'!E:BO,21,0)</f>
        <v>58.747</v>
      </c>
      <c r="K762" s="268">
        <f t="shared" si="59"/>
        <v>433.8578</v>
      </c>
    </row>
    <row r="763" spans="1:11">
      <c r="A763" t="str">
        <f>'RAW DATA 2023'!B756</f>
        <v>SR4</v>
      </c>
      <c r="B763" t="str">
        <f>'RAW DATA 2023'!D756</f>
        <v>B1-066-0008</v>
      </c>
      <c r="C763" t="str">
        <f t="shared" si="55"/>
        <v>SR4B1-066-0008</v>
      </c>
      <c r="D763">
        <f>VLOOKUP(C763,'RAW DATA 2023'!E:BP,63,0)</f>
        <v>7</v>
      </c>
      <c r="E763" t="str">
        <f t="shared" si="56"/>
        <v>SR47</v>
      </c>
      <c r="F763" s="8">
        <f>VLOOKUP(C763,'RAW DATA 2023'!E:BO,23,0)</f>
        <v>23.232734441363611</v>
      </c>
      <c r="G763" s="14">
        <f t="shared" si="57"/>
        <v>51.767265558636389</v>
      </c>
      <c r="H763" s="25">
        <f t="shared" si="58"/>
        <v>10.353453111727278</v>
      </c>
      <c r="I763" s="80" t="str">
        <f>VLOOKUP(C763,'RAW DATA 2023'!E:BO,36,0)</f>
        <v>Normal</v>
      </c>
      <c r="J763">
        <f>VLOOKUP(C763,'RAW DATA 2023'!E:BO,21,0)</f>
        <v>9.3589500000000001</v>
      </c>
      <c r="K763" s="268">
        <f t="shared" si="59"/>
        <v>96.897450000000006</v>
      </c>
    </row>
    <row r="764" spans="1:11">
      <c r="A764" t="str">
        <f>'RAW DATA 2023'!B757</f>
        <v>SR4</v>
      </c>
      <c r="B764" t="str">
        <f>'RAW DATA 2023'!D757</f>
        <v>B1-063-0009</v>
      </c>
      <c r="C764" t="str">
        <f t="shared" si="55"/>
        <v>SR4B1-063-0009</v>
      </c>
      <c r="D764">
        <f>VLOOKUP(C764,'RAW DATA 2023'!E:BP,63,0)</f>
        <v>10</v>
      </c>
      <c r="E764" t="str">
        <f t="shared" si="56"/>
        <v>SR410</v>
      </c>
      <c r="F764" s="8">
        <f>VLOOKUP(C764,'RAW DATA 2023'!E:BO,23,0)</f>
        <v>26.915975717849054</v>
      </c>
      <c r="G764" s="14">
        <f t="shared" si="57"/>
        <v>48.084024282150949</v>
      </c>
      <c r="H764" s="25">
        <f t="shared" si="58"/>
        <v>9.6168048564301909</v>
      </c>
      <c r="I764" s="80" t="str">
        <f>VLOOKUP(C764,'RAW DATA 2023'!E:BO,36,0)</f>
        <v>Normal</v>
      </c>
      <c r="J764">
        <f>VLOOKUP(C764,'RAW DATA 2023'!E:BO,21,0)</f>
        <v>18.209259999999997</v>
      </c>
      <c r="K764" s="268">
        <f t="shared" si="59"/>
        <v>175.11489999999998</v>
      </c>
    </row>
    <row r="765" spans="1:11">
      <c r="A765" t="str">
        <f>'RAW DATA 2023'!B758</f>
        <v>SR4</v>
      </c>
      <c r="B765" t="str">
        <f>'RAW DATA 2023'!D758</f>
        <v>B1-068-0003</v>
      </c>
      <c r="C765" t="str">
        <f t="shared" si="55"/>
        <v>SR4B1-068-0003</v>
      </c>
      <c r="D765">
        <f>VLOOKUP(C765,'RAW DATA 2023'!E:BP,63,0)</f>
        <v>6</v>
      </c>
      <c r="E765" t="str">
        <f t="shared" si="56"/>
        <v>SR46</v>
      </c>
      <c r="F765" s="8">
        <f>VLOOKUP(C765,'RAW DATA 2023'!E:BO,23,0)</f>
        <v>26.772211720226842</v>
      </c>
      <c r="G765" s="14">
        <f t="shared" si="57"/>
        <v>48.227788279773158</v>
      </c>
      <c r="H765" s="25">
        <f t="shared" si="58"/>
        <v>9.645557655954633</v>
      </c>
      <c r="I765" s="80" t="str">
        <f>VLOOKUP(C765,'RAW DATA 2023'!E:BO,36,0)</f>
        <v>Normal</v>
      </c>
      <c r="J765">
        <f>VLOOKUP(C765,'RAW DATA 2023'!E:BO,21,0)</f>
        <v>11.59568</v>
      </c>
      <c r="K765" s="268">
        <f t="shared" si="59"/>
        <v>111.84680000000002</v>
      </c>
    </row>
    <row r="766" spans="1:11">
      <c r="A766" t="str">
        <f>'RAW DATA 2023'!B759</f>
        <v>SR4</v>
      </c>
      <c r="B766" t="str">
        <f>'RAW DATA 2023'!D759</f>
        <v>B1-065-0002</v>
      </c>
      <c r="C766" t="str">
        <f t="shared" si="55"/>
        <v>SR4B1-065-0002</v>
      </c>
      <c r="D766">
        <f>VLOOKUP(C766,'RAW DATA 2023'!E:BP,63,0)</f>
        <v>6</v>
      </c>
      <c r="E766" t="str">
        <f t="shared" si="56"/>
        <v>SR46</v>
      </c>
      <c r="F766" s="8">
        <f>VLOOKUP(C766,'RAW DATA 2023'!E:BO,23,0)</f>
        <v>25.364789970359713</v>
      </c>
      <c r="G766" s="14">
        <f t="shared" si="57"/>
        <v>49.635210029640291</v>
      </c>
      <c r="H766" s="25">
        <f t="shared" si="58"/>
        <v>9.9270420059280582</v>
      </c>
      <c r="I766" s="80" t="str">
        <f>VLOOKUP(C766,'RAW DATA 2023'!E:BO,36,0)</f>
        <v>Normal</v>
      </c>
      <c r="J766">
        <f>VLOOKUP(C766,'RAW DATA 2023'!E:BO,21,0)</f>
        <v>12.776530000000001</v>
      </c>
      <c r="K766" s="268">
        <f t="shared" si="59"/>
        <v>126.83315000000002</v>
      </c>
    </row>
    <row r="767" spans="1:11">
      <c r="A767" t="str">
        <f>'RAW DATA 2023'!B760</f>
        <v>SR4</v>
      </c>
      <c r="B767" t="str">
        <f>'RAW DATA 2023'!D760</f>
        <v>B1-064-0008</v>
      </c>
      <c r="C767" t="str">
        <f t="shared" si="55"/>
        <v>SR4B1-064-0008</v>
      </c>
      <c r="D767">
        <f>VLOOKUP(C767,'RAW DATA 2023'!E:BP,63,0)</f>
        <v>10</v>
      </c>
      <c r="E767" t="str">
        <f t="shared" si="56"/>
        <v>SR410</v>
      </c>
      <c r="F767" s="8">
        <f>VLOOKUP(C767,'RAW DATA 2023'!E:BO,23,0)</f>
        <v>28.551958455826618</v>
      </c>
      <c r="G767" s="14">
        <f t="shared" si="57"/>
        <v>46.448041544173378</v>
      </c>
      <c r="H767" s="25">
        <f t="shared" si="58"/>
        <v>9.2896083088346764</v>
      </c>
      <c r="I767" s="80" t="str">
        <f>VLOOKUP(C767,'RAW DATA 2023'!E:BO,36,0)</f>
        <v>Normal</v>
      </c>
      <c r="J767">
        <f>VLOOKUP(C767,'RAW DATA 2023'!E:BO,21,0)</f>
        <v>20.18478</v>
      </c>
      <c r="K767" s="268">
        <f t="shared" si="59"/>
        <v>187.5087</v>
      </c>
    </row>
    <row r="768" spans="1:11">
      <c r="A768" t="str">
        <f>'RAW DATA 2023'!B761</f>
        <v>SR4</v>
      </c>
      <c r="B768" t="str">
        <f>'RAW DATA 2023'!D761</f>
        <v>B1-067-0010</v>
      </c>
      <c r="C768" t="str">
        <f t="shared" si="55"/>
        <v>SR4B1-067-0010</v>
      </c>
      <c r="D768">
        <f>VLOOKUP(C768,'RAW DATA 2023'!E:BP,63,0)</f>
        <v>6</v>
      </c>
      <c r="E768" t="str">
        <f t="shared" si="56"/>
        <v>SR46</v>
      </c>
      <c r="F768" s="8">
        <f>VLOOKUP(C768,'RAW DATA 2023'!E:BO,23,0)</f>
        <v>29.283434354132865</v>
      </c>
      <c r="G768" s="14">
        <f t="shared" si="57"/>
        <v>45.716565645867135</v>
      </c>
      <c r="H768" s="25">
        <f t="shared" si="58"/>
        <v>9.1433131291734266</v>
      </c>
      <c r="I768" s="80" t="str">
        <f>VLOOKUP(C768,'RAW DATA 2023'!E:BO,36,0)</f>
        <v>Normal</v>
      </c>
      <c r="J768">
        <f>VLOOKUP(C768,'RAW DATA 2023'!E:BO,21,0)</f>
        <v>12.46278</v>
      </c>
      <c r="K768" s="268">
        <f t="shared" si="59"/>
        <v>113.9511</v>
      </c>
    </row>
    <row r="769" spans="1:11">
      <c r="A769" t="str">
        <f>'RAW DATA 2023'!B762</f>
        <v>SR4</v>
      </c>
      <c r="B769" t="str">
        <f>'RAW DATA 2023'!D762</f>
        <v>B1-067-0011</v>
      </c>
      <c r="C769" t="str">
        <f t="shared" si="55"/>
        <v>SR4B1-067-0011</v>
      </c>
      <c r="D769">
        <f>VLOOKUP(C769,'RAW DATA 2023'!E:BP,63,0)</f>
        <v>10</v>
      </c>
      <c r="E769" t="str">
        <f t="shared" si="56"/>
        <v>SR410</v>
      </c>
      <c r="F769" s="8">
        <f>VLOOKUP(C769,'RAW DATA 2023'!E:BO,23,0)</f>
        <v>47.589547915092787</v>
      </c>
      <c r="G769" s="14">
        <f t="shared" si="57"/>
        <v>27.410452084907213</v>
      </c>
      <c r="H769" s="25">
        <f t="shared" si="58"/>
        <v>5.4820904169814426</v>
      </c>
      <c r="I769" s="80" t="str">
        <f>VLOOKUP(C769,'RAW DATA 2023'!E:BO,36,0)</f>
        <v>EHP</v>
      </c>
      <c r="J769">
        <f>VLOOKUP(C769,'RAW DATA 2023'!E:BO,21,0)</f>
        <v>14.08408</v>
      </c>
      <c r="K769" s="268">
        <f t="shared" si="59"/>
        <v>77.2102</v>
      </c>
    </row>
    <row r="770" spans="1:11">
      <c r="A770" t="str">
        <f>'RAW DATA 2023'!B763</f>
        <v>SR4</v>
      </c>
      <c r="B770" t="str">
        <f>'RAW DATA 2023'!D763</f>
        <v>B1-066-0009</v>
      </c>
      <c r="C770" t="str">
        <f t="shared" si="55"/>
        <v>SR4B1-066-0009</v>
      </c>
      <c r="D770">
        <f>VLOOKUP(C770,'RAW DATA 2023'!E:BP,63,0)</f>
        <v>10</v>
      </c>
      <c r="E770" t="str">
        <f t="shared" si="56"/>
        <v>SR410</v>
      </c>
      <c r="F770" s="8">
        <f>VLOOKUP(C770,'RAW DATA 2023'!E:BO,23,0)</f>
        <v>52.986140157517177</v>
      </c>
      <c r="G770" s="14">
        <f t="shared" si="57"/>
        <v>22.013859842482823</v>
      </c>
      <c r="H770" s="25">
        <f t="shared" si="58"/>
        <v>4.4027719684965652</v>
      </c>
      <c r="I770" s="80" t="str">
        <f>VLOOKUP(C770,'RAW DATA 2023'!E:BO,36,0)</f>
        <v>EHP</v>
      </c>
      <c r="J770">
        <f>VLOOKUP(C770,'RAW DATA 2023'!E:BO,21,0)</f>
        <v>9.8262299999999989</v>
      </c>
      <c r="K770" s="268">
        <f t="shared" si="59"/>
        <v>43.262650000000001</v>
      </c>
    </row>
    <row r="771" spans="1:11">
      <c r="A771" t="str">
        <f>'RAW DATA 2023'!B764</f>
        <v>SR4</v>
      </c>
      <c r="B771" t="str">
        <f>'RAW DATA 2023'!D764</f>
        <v>A1-085-0008</v>
      </c>
      <c r="C771" t="str">
        <f t="shared" si="55"/>
        <v>SR4A1-085-0008</v>
      </c>
      <c r="D771">
        <f>VLOOKUP(C771,'RAW DATA 2023'!E:BP,63,0)</f>
        <v>1</v>
      </c>
      <c r="E771" t="str">
        <f t="shared" si="56"/>
        <v>SR41</v>
      </c>
      <c r="F771" s="8">
        <f>VLOOKUP(C771,'RAW DATA 2023'!E:BO,23,0)</f>
        <v>67.999781885598992</v>
      </c>
      <c r="G771" s="14">
        <f t="shared" si="57"/>
        <v>7.0002181144010081</v>
      </c>
      <c r="H771" s="25">
        <f t="shared" si="58"/>
        <v>1.4000436228802018</v>
      </c>
      <c r="I771" s="80" t="str">
        <f>VLOOKUP(C771,'RAW DATA 2023'!E:BO,36,0)</f>
        <v>WFD</v>
      </c>
      <c r="J771">
        <f>VLOOKUP(C771,'RAW DATA 2023'!E:BO,21,0)</f>
        <v>4.5847499999999997</v>
      </c>
      <c r="K771" s="268">
        <f t="shared" si="59"/>
        <v>6.4188500000000044</v>
      </c>
    </row>
    <row r="772" spans="1:11">
      <c r="A772" t="str">
        <f>'RAW DATA 2023'!B765</f>
        <v>SR4</v>
      </c>
      <c r="B772" t="str">
        <f>'RAW DATA 2023'!D765</f>
        <v>B1-067-0009</v>
      </c>
      <c r="C772" t="str">
        <f t="shared" si="55"/>
        <v>SR4B1-067-0009</v>
      </c>
      <c r="D772">
        <f>VLOOKUP(C772,'RAW DATA 2023'!E:BP,63,0)</f>
        <v>1</v>
      </c>
      <c r="E772" t="str">
        <f t="shared" si="56"/>
        <v>SR41</v>
      </c>
      <c r="F772" s="8">
        <f>VLOOKUP(C772,'RAW DATA 2023'!E:BO,23,0)</f>
        <v>114.00005633683796</v>
      </c>
      <c r="G772" s="14">
        <f t="shared" si="57"/>
        <v>-39.000056336837957</v>
      </c>
      <c r="H772" s="25">
        <f t="shared" si="58"/>
        <v>-7.8000112673675916</v>
      </c>
      <c r="I772" s="80" t="str">
        <f>VLOOKUP(C772,'RAW DATA 2023'!E:BO,36,0)</f>
        <v>EHP</v>
      </c>
      <c r="J772">
        <f>VLOOKUP(C772,'RAW DATA 2023'!E:BO,21,0)</f>
        <v>2.8400599999999998</v>
      </c>
      <c r="K772" s="268">
        <f t="shared" si="59"/>
        <v>-22.1525</v>
      </c>
    </row>
    <row r="773" spans="1:11">
      <c r="A773" t="str">
        <f>'RAW DATA 2023'!B766</f>
        <v>SR4</v>
      </c>
      <c r="B773" t="str">
        <f>'RAW DATA 2023'!D766</f>
        <v>A1-082-0008</v>
      </c>
      <c r="C773" t="str">
        <f t="shared" si="55"/>
        <v>SR4A1-082-0008</v>
      </c>
      <c r="D773">
        <f>VLOOKUP(C773,'RAW DATA 2023'!E:BP,63,0)</f>
        <v>1</v>
      </c>
      <c r="E773" t="str">
        <f t="shared" si="56"/>
        <v>SR41</v>
      </c>
      <c r="F773" s="8">
        <f>VLOOKUP(C773,'RAW DATA 2023'!E:BO,23,0)</f>
        <v>138.9998058279358</v>
      </c>
      <c r="G773" s="14">
        <f t="shared" si="57"/>
        <v>-63.999805827935802</v>
      </c>
      <c r="H773" s="25">
        <f t="shared" si="58"/>
        <v>-12.799961165587161</v>
      </c>
      <c r="I773" s="80" t="str">
        <f>VLOOKUP(C773,'RAW DATA 2023'!E:BO,36,0)</f>
        <v>EHP</v>
      </c>
      <c r="J773">
        <f>VLOOKUP(C773,'RAW DATA 2023'!E:BO,21,0)</f>
        <v>2.8840400000000002</v>
      </c>
      <c r="K773" s="268">
        <f t="shared" si="59"/>
        <v>-36.915599999999998</v>
      </c>
    </row>
    <row r="774" spans="1:11">
      <c r="A774" t="str">
        <f>'RAW DATA 2023'!B767</f>
        <v>Kanchanadit</v>
      </c>
      <c r="B774" t="str">
        <f>'RAW DATA 2023'!D767</f>
        <v>D1-051-0006</v>
      </c>
      <c r="C774" t="str">
        <f t="shared" si="55"/>
        <v>KanchanaditD1-051-0006</v>
      </c>
      <c r="D774">
        <f>VLOOKUP(C774,'RAW DATA 2023'!E:BP,63,0)</f>
        <v>8</v>
      </c>
      <c r="E774" t="str">
        <f t="shared" si="56"/>
        <v>Kanchanadit8</v>
      </c>
      <c r="F774" s="8">
        <f>VLOOKUP(C774,'RAW DATA 2023'!E:BO,23,0)</f>
        <v>23.971523525312946</v>
      </c>
      <c r="G774" s="14">
        <f t="shared" si="57"/>
        <v>51.028476474687054</v>
      </c>
      <c r="H774" s="25">
        <f t="shared" si="58"/>
        <v>10.205695294937412</v>
      </c>
      <c r="I774" s="80" t="str">
        <f>VLOOKUP(C774,'RAW DATA 2023'!E:BO,36,0)</f>
        <v>Normal</v>
      </c>
      <c r="J774">
        <f>VLOOKUP(C774,'RAW DATA 2023'!E:BO,21,0)</f>
        <v>20.048830000000002</v>
      </c>
      <c r="K774" s="268">
        <f t="shared" si="59"/>
        <v>204.61225000000005</v>
      </c>
    </row>
    <row r="775" spans="1:11">
      <c r="A775" t="str">
        <f>'RAW DATA 2023'!B768</f>
        <v>Kanchanadit</v>
      </c>
      <c r="B775" t="str">
        <f>'RAW DATA 2023'!D768</f>
        <v>D1-052-0013</v>
      </c>
      <c r="C775" t="str">
        <f t="shared" si="55"/>
        <v>KanchanaditD1-052-0013</v>
      </c>
      <c r="D775">
        <f>VLOOKUP(C775,'RAW DATA 2023'!E:BP,63,0)</f>
        <v>8</v>
      </c>
      <c r="E775" t="str">
        <f t="shared" si="56"/>
        <v>Kanchanadit8</v>
      </c>
      <c r="F775" s="8">
        <f>VLOOKUP(C775,'RAW DATA 2023'!E:BO,23,0)</f>
        <v>29.918591408644733</v>
      </c>
      <c r="G775" s="14">
        <f t="shared" si="57"/>
        <v>45.08140859135527</v>
      </c>
      <c r="H775" s="25">
        <f t="shared" si="58"/>
        <v>9.0162817182710544</v>
      </c>
      <c r="I775" s="80" t="str">
        <f>VLOOKUP(C775,'RAW DATA 2023'!E:BO,36,0)</f>
        <v>Normal</v>
      </c>
      <c r="J775">
        <f>VLOOKUP(C775,'RAW DATA 2023'!E:BO,21,0)</f>
        <v>20.60839</v>
      </c>
      <c r="K775" s="268">
        <f t="shared" si="59"/>
        <v>185.81105000000002</v>
      </c>
    </row>
    <row r="776" spans="1:11">
      <c r="A776" t="str">
        <f>'RAW DATA 2023'!B769</f>
        <v>Kanchanadit</v>
      </c>
      <c r="B776" t="str">
        <f>'RAW DATA 2023'!D769</f>
        <v>C1-043-0014</v>
      </c>
      <c r="C776" t="str">
        <f t="shared" si="55"/>
        <v>KanchanaditC1-043-0014</v>
      </c>
      <c r="D776">
        <f>VLOOKUP(C776,'RAW DATA 2023'!E:BP,63,0)</f>
        <v>7</v>
      </c>
      <c r="E776" t="str">
        <f t="shared" si="56"/>
        <v>Kanchanadit7</v>
      </c>
      <c r="F776" s="8">
        <f>VLOOKUP(C776,'RAW DATA 2023'!E:BO,23,0)</f>
        <v>27.8741144690586</v>
      </c>
      <c r="G776" s="14">
        <f t="shared" si="57"/>
        <v>47.125885530941403</v>
      </c>
      <c r="H776" s="25">
        <f t="shared" si="58"/>
        <v>9.425177106188281</v>
      </c>
      <c r="I776" s="80" t="str">
        <f>VLOOKUP(C776,'RAW DATA 2023'!E:BO,36,0)</f>
        <v>Normal</v>
      </c>
      <c r="J776">
        <f>VLOOKUP(C776,'RAW DATA 2023'!E:BO,21,0)</f>
        <v>7.6888900000000007</v>
      </c>
      <c r="K776" s="268">
        <f t="shared" si="59"/>
        <v>72.469150000000013</v>
      </c>
    </row>
    <row r="777" spans="1:11">
      <c r="A777" t="str">
        <f>'RAW DATA 2023'!B770</f>
        <v>Kanchanadit</v>
      </c>
      <c r="B777" t="str">
        <f>'RAW DATA 2023'!D770</f>
        <v>D1-053-0006</v>
      </c>
      <c r="C777" t="str">
        <f t="shared" si="55"/>
        <v>KanchanaditD1-053-0006</v>
      </c>
      <c r="D777">
        <f>VLOOKUP(C777,'RAW DATA 2023'!E:BP,63,0)</f>
        <v>8</v>
      </c>
      <c r="E777" t="str">
        <f t="shared" si="56"/>
        <v>Kanchanadit8</v>
      </c>
      <c r="F777" s="8">
        <f>VLOOKUP(C777,'RAW DATA 2023'!E:BO,23,0)</f>
        <v>23.223302188056493</v>
      </c>
      <c r="G777" s="14">
        <f t="shared" si="57"/>
        <v>51.776697811943507</v>
      </c>
      <c r="H777" s="25">
        <f t="shared" si="58"/>
        <v>10.355339562388702</v>
      </c>
      <c r="I777" s="80" t="str">
        <f>VLOOKUP(C777,'RAW DATA 2023'!E:BO,36,0)</f>
        <v>Normal</v>
      </c>
      <c r="J777">
        <f>VLOOKUP(C777,'RAW DATA 2023'!E:BO,21,0)</f>
        <v>22.652979999999999</v>
      </c>
      <c r="K777" s="268">
        <f t="shared" si="59"/>
        <v>234.57930000000002</v>
      </c>
    </row>
    <row r="778" spans="1:11">
      <c r="A778" t="str">
        <f>'RAW DATA 2023'!B771</f>
        <v>Kanchanadit</v>
      </c>
      <c r="B778" t="str">
        <f>'RAW DATA 2023'!D771</f>
        <v>C1-044-0016</v>
      </c>
      <c r="C778" t="str">
        <f t="shared" ref="C778:C841" si="60">A778&amp;B778</f>
        <v>KanchanaditC1-044-0016</v>
      </c>
      <c r="D778">
        <f>VLOOKUP(C778,'RAW DATA 2023'!E:BP,63,0)</f>
        <v>12</v>
      </c>
      <c r="E778" t="str">
        <f t="shared" ref="E778:E841" si="61">A778&amp;D778</f>
        <v>Kanchanadit12</v>
      </c>
      <c r="F778" s="8">
        <f>VLOOKUP(C778,'RAW DATA 2023'!E:BO,23,0)</f>
        <v>32.583292459830297</v>
      </c>
      <c r="G778" s="14">
        <f t="shared" si="57"/>
        <v>42.416707540169703</v>
      </c>
      <c r="H778" s="25">
        <f t="shared" si="58"/>
        <v>8.4833415080339414</v>
      </c>
      <c r="I778" s="80" t="str">
        <f>VLOOKUP(C778,'RAW DATA 2023'!E:BO,36,0)</f>
        <v>Normal</v>
      </c>
      <c r="J778">
        <f>VLOOKUP(C778,'RAW DATA 2023'!E:BO,21,0)</f>
        <v>10.33677</v>
      </c>
      <c r="K778" s="268">
        <f t="shared" si="59"/>
        <v>87.690349999999995</v>
      </c>
    </row>
    <row r="779" spans="1:11">
      <c r="A779" t="str">
        <f>'RAW DATA 2023'!B772</f>
        <v>Kanchanadit</v>
      </c>
      <c r="B779" t="str">
        <f>'RAW DATA 2023'!D772</f>
        <v>C1-041-0015</v>
      </c>
      <c r="C779" t="str">
        <f t="shared" si="60"/>
        <v>KanchanaditC1-041-0015</v>
      </c>
      <c r="D779">
        <f>VLOOKUP(C779,'RAW DATA 2023'!E:BP,63,0)</f>
        <v>8</v>
      </c>
      <c r="E779" t="str">
        <f t="shared" si="61"/>
        <v>Kanchanadit8</v>
      </c>
      <c r="F779" s="8">
        <f>VLOOKUP(C779,'RAW DATA 2023'!E:BO,23,0)</f>
        <v>26.728555540434641</v>
      </c>
      <c r="G779" s="14">
        <f t="shared" ref="G779:G842" si="62">IF(F779=0,0,$B$2-F779)</f>
        <v>48.271444459565359</v>
      </c>
      <c r="H779" s="25">
        <f t="shared" ref="H779:H842" si="63">G779*$B$6</f>
        <v>9.6542888919130725</v>
      </c>
      <c r="I779" s="80" t="str">
        <f>VLOOKUP(C779,'RAW DATA 2023'!E:BO,36,0)</f>
        <v>Normal</v>
      </c>
      <c r="J779">
        <f>VLOOKUP(C779,'RAW DATA 2023'!E:BO,21,0)</f>
        <v>8.5238799999999983</v>
      </c>
      <c r="K779" s="268">
        <f t="shared" ref="K779:K842" si="64">H779*J779</f>
        <v>82.291999999999987</v>
      </c>
    </row>
    <row r="780" spans="1:11">
      <c r="A780" t="str">
        <f>'RAW DATA 2023'!B773</f>
        <v>Kanchanadit</v>
      </c>
      <c r="B780" t="str">
        <f>'RAW DATA 2023'!D773</f>
        <v>C1-047-0008</v>
      </c>
      <c r="C780" t="str">
        <f t="shared" si="60"/>
        <v>KanchanaditC1-047-0008</v>
      </c>
      <c r="D780">
        <f>VLOOKUP(C780,'RAW DATA 2023'!E:BP,63,0)</f>
        <v>11</v>
      </c>
      <c r="E780" t="str">
        <f t="shared" si="61"/>
        <v>Kanchanadit11</v>
      </c>
      <c r="F780" s="8">
        <f>VLOOKUP(C780,'RAW DATA 2023'!E:BO,23,0)</f>
        <v>29.036000875439424</v>
      </c>
      <c r="G780" s="14">
        <f t="shared" si="62"/>
        <v>45.963999124560573</v>
      </c>
      <c r="H780" s="25">
        <f t="shared" si="63"/>
        <v>9.1927998249121146</v>
      </c>
      <c r="I780" s="80" t="str">
        <f>VLOOKUP(C780,'RAW DATA 2023'!E:BO,36,0)</f>
        <v>Normal</v>
      </c>
      <c r="J780">
        <f>VLOOKUP(C780,'RAW DATA 2023'!E:BO,21,0)</f>
        <v>9.5494900000000005</v>
      </c>
      <c r="K780" s="268">
        <f t="shared" si="64"/>
        <v>87.786549999999991</v>
      </c>
    </row>
    <row r="781" spans="1:11">
      <c r="A781" t="str">
        <f>'RAW DATA 2023'!B774</f>
        <v>Kanchanadit</v>
      </c>
      <c r="B781" t="str">
        <f>'RAW DATA 2023'!D774</f>
        <v>D1-050-0013</v>
      </c>
      <c r="C781" t="str">
        <f t="shared" si="60"/>
        <v>KanchanaditD1-050-0013</v>
      </c>
      <c r="D781">
        <f>VLOOKUP(C781,'RAW DATA 2023'!E:BP,63,0)</f>
        <v>8</v>
      </c>
      <c r="E781" t="str">
        <f t="shared" si="61"/>
        <v>Kanchanadit8</v>
      </c>
      <c r="F781" s="8">
        <f>VLOOKUP(C781,'RAW DATA 2023'!E:BO,23,0)</f>
        <v>24.539550291616226</v>
      </c>
      <c r="G781" s="14">
        <f t="shared" si="62"/>
        <v>50.460449708383777</v>
      </c>
      <c r="H781" s="25">
        <f t="shared" si="63"/>
        <v>10.092089941676756</v>
      </c>
      <c r="I781" s="80" t="str">
        <f>VLOOKUP(C781,'RAW DATA 2023'!E:BO,36,0)</f>
        <v>Normal</v>
      </c>
      <c r="J781">
        <f>VLOOKUP(C781,'RAW DATA 2023'!E:BO,21,0)</f>
        <v>21.650029999999997</v>
      </c>
      <c r="K781" s="268">
        <f t="shared" si="64"/>
        <v>218.49404999999999</v>
      </c>
    </row>
    <row r="782" spans="1:11">
      <c r="A782" t="str">
        <f>'RAW DATA 2023'!B775</f>
        <v>Kanchanadit</v>
      </c>
      <c r="B782" t="str">
        <f>'RAW DATA 2023'!D775</f>
        <v>D1-049-0012</v>
      </c>
      <c r="C782" t="str">
        <f t="shared" si="60"/>
        <v>KanchanaditD1-049-0012</v>
      </c>
      <c r="D782">
        <f>VLOOKUP(C782,'RAW DATA 2023'!E:BP,63,0)</f>
        <v>12</v>
      </c>
      <c r="E782" t="str">
        <f t="shared" si="61"/>
        <v>Kanchanadit12</v>
      </c>
      <c r="F782" s="8">
        <f>VLOOKUP(C782,'RAW DATA 2023'!E:BO,23,0)</f>
        <v>33.962276153085938</v>
      </c>
      <c r="G782" s="14">
        <f t="shared" si="62"/>
        <v>41.037723846914062</v>
      </c>
      <c r="H782" s="25">
        <f t="shared" si="63"/>
        <v>8.2075447693828121</v>
      </c>
      <c r="I782" s="80" t="str">
        <f>VLOOKUP(C782,'RAW DATA 2023'!E:BO,36,0)</f>
        <v>Normal</v>
      </c>
      <c r="J782">
        <f>VLOOKUP(C782,'RAW DATA 2023'!E:BO,21,0)</f>
        <v>17.29251</v>
      </c>
      <c r="K782" s="268">
        <f t="shared" si="64"/>
        <v>141.92904999999996</v>
      </c>
    </row>
    <row r="783" spans="1:11">
      <c r="A783" t="str">
        <f>'RAW DATA 2023'!B776</f>
        <v>Kanchanadit</v>
      </c>
      <c r="B783" t="str">
        <f>'RAW DATA 2023'!D776</f>
        <v>C1-042-0005</v>
      </c>
      <c r="C783" t="str">
        <f t="shared" si="60"/>
        <v>KanchanaditC1-042-0005</v>
      </c>
      <c r="D783">
        <f>VLOOKUP(C783,'RAW DATA 2023'!E:BP,63,0)</f>
        <v>8</v>
      </c>
      <c r="E783" t="str">
        <f t="shared" si="61"/>
        <v>Kanchanadit8</v>
      </c>
      <c r="F783" s="8">
        <f>VLOOKUP(C783,'RAW DATA 2023'!E:BO,23,0)</f>
        <v>30.076141236880712</v>
      </c>
      <c r="G783" s="14">
        <f t="shared" si="62"/>
        <v>44.923858763119284</v>
      </c>
      <c r="H783" s="25">
        <f t="shared" si="63"/>
        <v>8.9847717526238569</v>
      </c>
      <c r="I783" s="80" t="str">
        <f>VLOOKUP(C783,'RAW DATA 2023'!E:BO,36,0)</f>
        <v>Normal</v>
      </c>
      <c r="J783">
        <f>VLOOKUP(C783,'RAW DATA 2023'!E:BO,21,0)</f>
        <v>11.342079999999999</v>
      </c>
      <c r="K783" s="268">
        <f t="shared" si="64"/>
        <v>101.90599999999999</v>
      </c>
    </row>
    <row r="784" spans="1:11">
      <c r="A784" t="str">
        <f>'RAW DATA 2023'!B777</f>
        <v>Kanchanadit</v>
      </c>
      <c r="B784" t="str">
        <f>'RAW DATA 2023'!D777</f>
        <v>C1-046-0013</v>
      </c>
      <c r="C784" t="str">
        <f t="shared" si="60"/>
        <v>KanchanaditC1-046-0013</v>
      </c>
      <c r="D784">
        <f>VLOOKUP(C784,'RAW DATA 2023'!E:BP,63,0)</f>
        <v>11</v>
      </c>
      <c r="E784" t="str">
        <f t="shared" si="61"/>
        <v>Kanchanadit11</v>
      </c>
      <c r="F784" s="8">
        <f>VLOOKUP(C784,'RAW DATA 2023'!E:BO,23,0)</f>
        <v>30.880568362707599</v>
      </c>
      <c r="G784" s="14">
        <f t="shared" si="62"/>
        <v>44.119431637292401</v>
      </c>
      <c r="H784" s="25">
        <f t="shared" si="63"/>
        <v>8.8238863274584798</v>
      </c>
      <c r="I784" s="80" t="str">
        <f>VLOOKUP(C784,'RAW DATA 2023'!E:BO,36,0)</f>
        <v>Normal</v>
      </c>
      <c r="J784">
        <f>VLOOKUP(C784,'RAW DATA 2023'!E:BO,21,0)</f>
        <v>10.308909999999999</v>
      </c>
      <c r="K784" s="268">
        <f t="shared" si="64"/>
        <v>90.964649999999992</v>
      </c>
    </row>
    <row r="785" spans="1:11">
      <c r="A785" t="str">
        <f>'RAW DATA 2023'!B778</f>
        <v>Kanchanadit</v>
      </c>
      <c r="B785" t="str">
        <f>'RAW DATA 2023'!D778</f>
        <v>C1-045-0012</v>
      </c>
      <c r="C785" t="str">
        <f t="shared" si="60"/>
        <v>KanchanaditC1-045-0012</v>
      </c>
      <c r="D785">
        <f>VLOOKUP(C785,'RAW DATA 2023'!E:BP,63,0)</f>
        <v>12</v>
      </c>
      <c r="E785" t="str">
        <f t="shared" si="61"/>
        <v>Kanchanadit12</v>
      </c>
      <c r="F785" s="8">
        <f>VLOOKUP(C785,'RAW DATA 2023'!E:BO,23,0)</f>
        <v>29.855615338252967</v>
      </c>
      <c r="G785" s="14">
        <f t="shared" si="62"/>
        <v>45.144384661747033</v>
      </c>
      <c r="H785" s="25">
        <f t="shared" si="63"/>
        <v>9.0288769323494069</v>
      </c>
      <c r="I785" s="80" t="str">
        <f>VLOOKUP(C785,'RAW DATA 2023'!E:BO,36,0)</f>
        <v>Normal</v>
      </c>
      <c r="J785">
        <f>VLOOKUP(C785,'RAW DATA 2023'!E:BO,21,0)</f>
        <v>8.6442700000000006</v>
      </c>
      <c r="K785" s="268">
        <f t="shared" si="64"/>
        <v>78.048050000000018</v>
      </c>
    </row>
    <row r="786" spans="1:11">
      <c r="A786" t="str">
        <f>'RAW DATA 2023'!B779</f>
        <v>Kanchanadit</v>
      </c>
      <c r="B786" t="str">
        <f>'RAW DATA 2023'!D779</f>
        <v>C1-045-0011</v>
      </c>
      <c r="C786" t="str">
        <f t="shared" si="60"/>
        <v>KanchanaditC1-045-0011</v>
      </c>
      <c r="D786">
        <f>VLOOKUP(C786,'RAW DATA 2023'!E:BP,63,0)</f>
        <v>6</v>
      </c>
      <c r="E786" t="str">
        <f t="shared" si="61"/>
        <v>Kanchanadit6</v>
      </c>
      <c r="F786" s="8">
        <f>VLOOKUP(C786,'RAW DATA 2023'!E:BO,23,0)</f>
        <v>26.319767762358179</v>
      </c>
      <c r="G786" s="14">
        <f t="shared" si="62"/>
        <v>48.680232237641818</v>
      </c>
      <c r="H786" s="25">
        <f t="shared" si="63"/>
        <v>9.7360464475283646</v>
      </c>
      <c r="I786" s="80" t="str">
        <f>VLOOKUP(C786,'RAW DATA 2023'!E:BO,36,0)</f>
        <v>Normal</v>
      </c>
      <c r="J786">
        <f>VLOOKUP(C786,'RAW DATA 2023'!E:BO,21,0)</f>
        <v>10.702830000000001</v>
      </c>
      <c r="K786" s="268">
        <f t="shared" si="64"/>
        <v>104.20325000000001</v>
      </c>
    </row>
    <row r="787" spans="1:11">
      <c r="A787" t="str">
        <f>'RAW DATA 2023'!B780</f>
        <v>Kanchanadit</v>
      </c>
      <c r="B787" t="str">
        <f>'RAW DATA 2023'!D780</f>
        <v>D1-048-0013</v>
      </c>
      <c r="C787" t="str">
        <f t="shared" si="60"/>
        <v>KanchanaditD1-048-0013</v>
      </c>
      <c r="D787">
        <f>VLOOKUP(C787,'RAW DATA 2023'!E:BP,63,0)</f>
        <v>12</v>
      </c>
      <c r="E787" t="str">
        <f t="shared" si="61"/>
        <v>Kanchanadit12</v>
      </c>
      <c r="F787" s="8">
        <f>VLOOKUP(C787,'RAW DATA 2023'!E:BO,23,0)</f>
        <v>34.48131534065547</v>
      </c>
      <c r="G787" s="14">
        <f t="shared" si="62"/>
        <v>40.51868465934453</v>
      </c>
      <c r="H787" s="25">
        <f t="shared" si="63"/>
        <v>8.103736931868907</v>
      </c>
      <c r="I787" s="80" t="str">
        <f>VLOOKUP(C787,'RAW DATA 2023'!E:BO,36,0)</f>
        <v>Normal</v>
      </c>
      <c r="J787">
        <f>VLOOKUP(C787,'RAW DATA 2023'!E:BO,21,0)</f>
        <v>17.249980000000001</v>
      </c>
      <c r="K787" s="268">
        <f t="shared" si="64"/>
        <v>139.78930000000003</v>
      </c>
    </row>
    <row r="788" spans="1:11">
      <c r="A788" t="str">
        <f>'RAW DATA 2023'!B781</f>
        <v>Kanchanadit</v>
      </c>
      <c r="B788" t="str">
        <f>'RAW DATA 2023'!D781</f>
        <v>C1-040-0015</v>
      </c>
      <c r="C788" t="str">
        <f t="shared" si="60"/>
        <v>KanchanaditC1-040-0015</v>
      </c>
      <c r="D788">
        <f>VLOOKUP(C788,'RAW DATA 2023'!E:BP,63,0)</f>
        <v>7</v>
      </c>
      <c r="E788" t="str">
        <f t="shared" si="61"/>
        <v>Kanchanadit7</v>
      </c>
      <c r="F788" s="8">
        <f>VLOOKUP(C788,'RAW DATA 2023'!E:BO,23,0)</f>
        <v>26.507603446055132</v>
      </c>
      <c r="G788" s="14">
        <f t="shared" si="62"/>
        <v>48.492396553944872</v>
      </c>
      <c r="H788" s="25">
        <f t="shared" si="63"/>
        <v>9.6984793107889757</v>
      </c>
      <c r="I788" s="80" t="str">
        <f>VLOOKUP(C788,'RAW DATA 2023'!E:BO,36,0)</f>
        <v>Normal</v>
      </c>
      <c r="J788">
        <f>VLOOKUP(C788,'RAW DATA 2023'!E:BO,21,0)</f>
        <v>10.947010000000001</v>
      </c>
      <c r="K788" s="268">
        <f t="shared" si="64"/>
        <v>106.16935000000004</v>
      </c>
    </row>
    <row r="789" spans="1:11">
      <c r="A789" t="str">
        <f>'RAW DATA 2023'!B782</f>
        <v>Kanchanadit</v>
      </c>
      <c r="B789" t="str">
        <f>'RAW DATA 2023'!D782</f>
        <v>C1-047-0006</v>
      </c>
      <c r="C789" t="str">
        <f t="shared" si="60"/>
        <v>KanchanaditC1-047-0006</v>
      </c>
      <c r="D789">
        <f>VLOOKUP(C789,'RAW DATA 2023'!E:BP,63,0)</f>
        <v>6</v>
      </c>
      <c r="E789" t="str">
        <f t="shared" si="61"/>
        <v>Kanchanadit6</v>
      </c>
      <c r="F789" s="8">
        <f>VLOOKUP(C789,'RAW DATA 2023'!E:BO,23,0)</f>
        <v>25.92719217236354</v>
      </c>
      <c r="G789" s="14">
        <f t="shared" si="62"/>
        <v>49.07280782763646</v>
      </c>
      <c r="H789" s="25">
        <f t="shared" si="63"/>
        <v>9.814561565527292</v>
      </c>
      <c r="I789" s="80" t="str">
        <f>VLOOKUP(C789,'RAW DATA 2023'!E:BO,36,0)</f>
        <v>Normal</v>
      </c>
      <c r="J789">
        <f>VLOOKUP(C789,'RAW DATA 2023'!E:BO,21,0)</f>
        <v>12.138530000000001</v>
      </c>
      <c r="K789" s="268">
        <f t="shared" si="64"/>
        <v>119.13435000000001</v>
      </c>
    </row>
    <row r="790" spans="1:11">
      <c r="A790" t="str">
        <f>'RAW DATA 2023'!B783</f>
        <v>Kanchanadit</v>
      </c>
      <c r="B790" t="str">
        <f>'RAW DATA 2023'!D783</f>
        <v>C1-044-0014</v>
      </c>
      <c r="C790" t="str">
        <f t="shared" si="60"/>
        <v>KanchanaditC1-044-0014</v>
      </c>
      <c r="D790">
        <f>VLOOKUP(C790,'RAW DATA 2023'!E:BP,63,0)</f>
        <v>6</v>
      </c>
      <c r="E790" t="str">
        <f t="shared" si="61"/>
        <v>Kanchanadit6</v>
      </c>
      <c r="F790" s="8">
        <f>VLOOKUP(C790,'RAW DATA 2023'!E:BO,23,0)</f>
        <v>27.317829787590114</v>
      </c>
      <c r="G790" s="14">
        <f t="shared" si="62"/>
        <v>47.682170212409886</v>
      </c>
      <c r="H790" s="25">
        <f t="shared" si="63"/>
        <v>9.5364340424819769</v>
      </c>
      <c r="I790" s="80" t="str">
        <f>VLOOKUP(C790,'RAW DATA 2023'!E:BO,36,0)</f>
        <v>Normal</v>
      </c>
      <c r="J790">
        <f>VLOOKUP(C790,'RAW DATA 2023'!E:BO,21,0)</f>
        <v>13.145809999999999</v>
      </c>
      <c r="K790" s="268">
        <f t="shared" si="64"/>
        <v>125.36415</v>
      </c>
    </row>
    <row r="791" spans="1:11">
      <c r="A791" t="str">
        <f>'RAW DATA 2023'!B784</f>
        <v>Kanchanadit</v>
      </c>
      <c r="B791" t="str">
        <f>'RAW DATA 2023'!D784</f>
        <v>C1-046-0012</v>
      </c>
      <c r="C791" t="str">
        <f t="shared" si="60"/>
        <v>KanchanaditC1-046-0012</v>
      </c>
      <c r="D791">
        <f>VLOOKUP(C791,'RAW DATA 2023'!E:BP,63,0)</f>
        <v>4</v>
      </c>
      <c r="E791" t="str">
        <f t="shared" si="61"/>
        <v>Kanchanadit4</v>
      </c>
      <c r="F791" s="8">
        <f>VLOOKUP(C791,'RAW DATA 2023'!E:BO,23,0)</f>
        <v>25.001362409242585</v>
      </c>
      <c r="G791" s="14">
        <f t="shared" si="62"/>
        <v>49.998637590757411</v>
      </c>
      <c r="H791" s="25">
        <f t="shared" si="63"/>
        <v>9.9997275181514826</v>
      </c>
      <c r="I791" s="80" t="str">
        <f>VLOOKUP(C791,'RAW DATA 2023'!E:BO,36,0)</f>
        <v>Normal</v>
      </c>
      <c r="J791">
        <f>VLOOKUP(C791,'RAW DATA 2023'!E:BO,21,0)</f>
        <v>9.5419199999999993</v>
      </c>
      <c r="K791" s="268">
        <f t="shared" si="64"/>
        <v>95.416599999999988</v>
      </c>
    </row>
    <row r="792" spans="1:11">
      <c r="A792" t="str">
        <f>'RAW DATA 2023'!B785</f>
        <v>Kanchanadit</v>
      </c>
      <c r="B792" t="str">
        <f>'RAW DATA 2023'!D785</f>
        <v>C1-043-0013</v>
      </c>
      <c r="C792" t="str">
        <f t="shared" si="60"/>
        <v>KanchanaditC1-043-0013</v>
      </c>
      <c r="D792">
        <f>VLOOKUP(C792,'RAW DATA 2023'!E:BP,63,0)</f>
        <v>1</v>
      </c>
      <c r="E792" t="str">
        <f t="shared" si="61"/>
        <v>Kanchanadit1</v>
      </c>
      <c r="F792" s="8">
        <f>VLOOKUP(C792,'RAW DATA 2023'!E:BO,23,0)</f>
        <v>80.999973414684405</v>
      </c>
      <c r="G792" s="14">
        <f t="shared" si="62"/>
        <v>-5.9999734146844048</v>
      </c>
      <c r="H792" s="25">
        <f t="shared" si="63"/>
        <v>-1.1999946829368811</v>
      </c>
      <c r="I792" s="80" t="str">
        <f>VLOOKUP(C792,'RAW DATA 2023'!E:BO,36,0)</f>
        <v>EHP</v>
      </c>
      <c r="J792">
        <f>VLOOKUP(C792,'RAW DATA 2023'!E:BO,21,0)</f>
        <v>6.0183599999999995</v>
      </c>
      <c r="K792" s="268">
        <f t="shared" si="64"/>
        <v>-7.2220000000000066</v>
      </c>
    </row>
    <row r="793" spans="1:11">
      <c r="A793" t="str">
        <f>'RAW DATA 2023'!B786</f>
        <v>Kanchanadit</v>
      </c>
      <c r="B793" t="str">
        <f>'RAW DATA 2023'!D786</f>
        <v>C1-040-0016</v>
      </c>
      <c r="C793" t="str">
        <f t="shared" si="60"/>
        <v>KanchanaditC1-040-0016</v>
      </c>
      <c r="D793">
        <f>VLOOKUP(C793,'RAW DATA 2023'!E:BP,63,0)</f>
        <v>12</v>
      </c>
      <c r="E793" t="str">
        <f t="shared" si="61"/>
        <v>Kanchanadit12</v>
      </c>
      <c r="F793" s="8">
        <f>VLOOKUP(C793,'RAW DATA 2023'!E:BO,23,0)</f>
        <v>125</v>
      </c>
      <c r="G793" s="14">
        <f t="shared" si="62"/>
        <v>-50</v>
      </c>
      <c r="H793" s="25">
        <f t="shared" si="63"/>
        <v>-10</v>
      </c>
      <c r="I793" s="80" t="str">
        <f>VLOOKUP(C793,'RAW DATA 2023'!E:BO,36,0)</f>
        <v>WSSV</v>
      </c>
      <c r="J793">
        <f>VLOOKUP(C793,'RAW DATA 2023'!E:BO,21,0)</f>
        <v>4.0044000000000004</v>
      </c>
      <c r="K793" s="268">
        <f t="shared" si="64"/>
        <v>-40.044000000000004</v>
      </c>
    </row>
    <row r="794" spans="1:11">
      <c r="A794" t="str">
        <f>'RAW DATA 2023'!B787</f>
        <v>Kanchanadit</v>
      </c>
      <c r="B794" t="str">
        <f>'RAW DATA 2023'!D787</f>
        <v>D1-049-0011</v>
      </c>
      <c r="C794" t="str">
        <f t="shared" si="60"/>
        <v>KanchanaditD1-049-0011</v>
      </c>
      <c r="D794">
        <f>VLOOKUP(C794,'RAW DATA 2023'!E:BP,63,0)</f>
        <v>7</v>
      </c>
      <c r="E794" t="str">
        <f t="shared" si="61"/>
        <v>Kanchanadit7</v>
      </c>
      <c r="F794" s="8">
        <f>VLOOKUP(C794,'RAW DATA 2023'!E:BO,23,0)</f>
        <v>28.438295755236823</v>
      </c>
      <c r="G794" s="14">
        <f t="shared" si="62"/>
        <v>46.561704244763177</v>
      </c>
      <c r="H794" s="25">
        <f t="shared" si="63"/>
        <v>9.3123408489526351</v>
      </c>
      <c r="I794" s="80" t="str">
        <f>VLOOKUP(C794,'RAW DATA 2023'!E:BO,36,0)</f>
        <v>Normal</v>
      </c>
      <c r="J794">
        <f>VLOOKUP(C794,'RAW DATA 2023'!E:BO,21,0)</f>
        <v>24.481459999999998</v>
      </c>
      <c r="K794" s="268">
        <f t="shared" si="64"/>
        <v>227.97969999999995</v>
      </c>
    </row>
    <row r="795" spans="1:11">
      <c r="A795" t="str">
        <f>'RAW DATA 2023'!B788</f>
        <v>Kanchanadit</v>
      </c>
      <c r="B795" t="str">
        <f>'RAW DATA 2023'!D788</f>
        <v>D1-048-0012</v>
      </c>
      <c r="C795" t="str">
        <f t="shared" si="60"/>
        <v>KanchanaditD1-048-0012</v>
      </c>
      <c r="D795">
        <f>VLOOKUP(C795,'RAW DATA 2023'!E:BP,63,0)</f>
        <v>7</v>
      </c>
      <c r="E795" t="str">
        <f t="shared" si="61"/>
        <v>Kanchanadit7</v>
      </c>
      <c r="F795" s="8">
        <f>VLOOKUP(C795,'RAW DATA 2023'!E:BO,23,0)</f>
        <v>29.872913663992048</v>
      </c>
      <c r="G795" s="14">
        <f t="shared" si="62"/>
        <v>45.127086336007949</v>
      </c>
      <c r="H795" s="25">
        <f t="shared" si="63"/>
        <v>9.0254172672015898</v>
      </c>
      <c r="I795" s="80" t="str">
        <f>VLOOKUP(C795,'RAW DATA 2023'!E:BO,36,0)</f>
        <v>Normal</v>
      </c>
      <c r="J795">
        <f>VLOOKUP(C795,'RAW DATA 2023'!E:BO,21,0)</f>
        <v>20.918849999999999</v>
      </c>
      <c r="K795" s="268">
        <f t="shared" si="64"/>
        <v>188.80134999999996</v>
      </c>
    </row>
    <row r="796" spans="1:11">
      <c r="A796" t="str">
        <f>'RAW DATA 2023'!B789</f>
        <v>Kanchanadit</v>
      </c>
      <c r="B796" t="str">
        <f>'RAW DATA 2023'!D789</f>
        <v>D1-050-0012</v>
      </c>
      <c r="C796" t="str">
        <f t="shared" si="60"/>
        <v>KanchanaditD1-050-0012</v>
      </c>
      <c r="D796">
        <f>VLOOKUP(C796,'RAW DATA 2023'!E:BP,63,0)</f>
        <v>1</v>
      </c>
      <c r="E796" t="str">
        <f t="shared" si="61"/>
        <v>Kanchanadit1</v>
      </c>
      <c r="F796" s="8">
        <f>VLOOKUP(C796,'RAW DATA 2023'!E:BO,23,0)</f>
        <v>34.870692458271805</v>
      </c>
      <c r="G796" s="14">
        <f t="shared" si="62"/>
        <v>40.129307541728195</v>
      </c>
      <c r="H796" s="25">
        <f t="shared" si="63"/>
        <v>8.0258615083456402</v>
      </c>
      <c r="I796" s="80" t="str">
        <f>VLOOKUP(C796,'RAW DATA 2023'!E:BO,36,0)</f>
        <v>AHPND</v>
      </c>
      <c r="J796">
        <f>VLOOKUP(C796,'RAW DATA 2023'!E:BO,21,0)</f>
        <v>13.685589999999999</v>
      </c>
      <c r="K796" s="268">
        <f t="shared" si="64"/>
        <v>109.83865</v>
      </c>
    </row>
    <row r="797" spans="1:11">
      <c r="A797" t="str">
        <f>'RAW DATA 2023'!B790</f>
        <v>Kanchanadit</v>
      </c>
      <c r="B797" t="str">
        <f>'RAW DATA 2023'!D790</f>
        <v>D1-053-0005</v>
      </c>
      <c r="C797" t="str">
        <f t="shared" si="60"/>
        <v>KanchanaditD1-053-0005</v>
      </c>
      <c r="D797">
        <f>VLOOKUP(C797,'RAW DATA 2023'!E:BP,63,0)</f>
        <v>1</v>
      </c>
      <c r="E797" t="str">
        <f t="shared" si="61"/>
        <v>Kanchanadit1</v>
      </c>
      <c r="F797" s="8">
        <f>VLOOKUP(C797,'RAW DATA 2023'!E:BO,23,0)</f>
        <v>45.999064803200454</v>
      </c>
      <c r="G797" s="14">
        <f t="shared" si="62"/>
        <v>29.000935196799546</v>
      </c>
      <c r="H797" s="25">
        <f t="shared" si="63"/>
        <v>5.8001870393599093</v>
      </c>
      <c r="I797" s="80" t="str">
        <f>VLOOKUP(C797,'RAW DATA 2023'!E:BO,36,0)</f>
        <v>WFD</v>
      </c>
      <c r="J797">
        <f>VLOOKUP(C797,'RAW DATA 2023'!E:BO,21,0)</f>
        <v>16.167719999999999</v>
      </c>
      <c r="K797" s="268">
        <f t="shared" si="64"/>
        <v>93.77579999999999</v>
      </c>
    </row>
    <row r="798" spans="1:11">
      <c r="A798" t="str">
        <f>'RAW DATA 2023'!B791</f>
        <v>Kanchanadit</v>
      </c>
      <c r="B798" t="str">
        <f>'RAW DATA 2023'!D791</f>
        <v>D1-048-0011</v>
      </c>
      <c r="C798" t="str">
        <f t="shared" si="60"/>
        <v>KanchanaditD1-048-0011</v>
      </c>
      <c r="D798">
        <f>VLOOKUP(C798,'RAW DATA 2023'!E:BP,63,0)</f>
        <v>1</v>
      </c>
      <c r="E798" t="str">
        <f t="shared" si="61"/>
        <v>Kanchanadit1</v>
      </c>
      <c r="F798" s="8">
        <f>VLOOKUP(C798,'RAW DATA 2023'!E:BO,23,0)</f>
        <v>57.996758317861669</v>
      </c>
      <c r="G798" s="14">
        <f t="shared" si="62"/>
        <v>17.003241682138331</v>
      </c>
      <c r="H798" s="25">
        <f t="shared" si="63"/>
        <v>3.4006483364276665</v>
      </c>
      <c r="I798" s="80" t="str">
        <f>VLOOKUP(C798,'RAW DATA 2023'!E:BO,36,0)</f>
        <v>WFD</v>
      </c>
      <c r="J798">
        <f>VLOOKUP(C798,'RAW DATA 2023'!E:BO,21,0)</f>
        <v>8.48325</v>
      </c>
      <c r="K798" s="268">
        <f t="shared" si="64"/>
        <v>28.848550000000003</v>
      </c>
    </row>
    <row r="799" spans="1:11">
      <c r="A799" t="str">
        <f>'RAW DATA 2023'!B792</f>
        <v>Kanchanadit</v>
      </c>
      <c r="B799" t="str">
        <f>'RAW DATA 2023'!D792</f>
        <v>D1-052-0011</v>
      </c>
      <c r="C799" t="str">
        <f t="shared" si="60"/>
        <v>KanchanaditD1-052-0011</v>
      </c>
      <c r="D799">
        <f>VLOOKUP(C799,'RAW DATA 2023'!E:BP,63,0)</f>
        <v>1</v>
      </c>
      <c r="E799" t="str">
        <f t="shared" si="61"/>
        <v>Kanchanadit1</v>
      </c>
      <c r="F799" s="8">
        <f>VLOOKUP(C799,'RAW DATA 2023'!E:BO,23,0)</f>
        <v>58.999927649959375</v>
      </c>
      <c r="G799" s="14">
        <f t="shared" si="62"/>
        <v>16.000072350040625</v>
      </c>
      <c r="H799" s="25">
        <f t="shared" si="63"/>
        <v>3.2000144700081252</v>
      </c>
      <c r="I799" s="80" t="str">
        <f>VLOOKUP(C799,'RAW DATA 2023'!E:BO,36,0)</f>
        <v>AHPND</v>
      </c>
      <c r="J799">
        <f>VLOOKUP(C799,'RAW DATA 2023'!E:BO,21,0)</f>
        <v>14.374559999999999</v>
      </c>
      <c r="K799" s="268">
        <f t="shared" si="64"/>
        <v>45.998799999999996</v>
      </c>
    </row>
    <row r="800" spans="1:11">
      <c r="A800" t="str">
        <f>'RAW DATA 2023'!B793</f>
        <v>Kanchanadit</v>
      </c>
      <c r="B800" t="str">
        <f>'RAW DATA 2023'!D793</f>
        <v>D1-051-0005</v>
      </c>
      <c r="C800" t="str">
        <f t="shared" si="60"/>
        <v>KanchanaditD1-051-0005</v>
      </c>
      <c r="D800">
        <f>VLOOKUP(C800,'RAW DATA 2023'!E:BP,63,0)</f>
        <v>1</v>
      </c>
      <c r="E800" t="str">
        <f t="shared" si="61"/>
        <v>Kanchanadit1</v>
      </c>
      <c r="F800" s="8">
        <f>VLOOKUP(C800,'RAW DATA 2023'!E:BO,23,0)</f>
        <v>101.99997465579401</v>
      </c>
      <c r="G800" s="14">
        <f t="shared" si="62"/>
        <v>-26.999974655794006</v>
      </c>
      <c r="H800" s="25">
        <f t="shared" si="63"/>
        <v>-5.3999949311588011</v>
      </c>
      <c r="I800" s="80" t="str">
        <f>VLOOKUP(C800,'RAW DATA 2023'!E:BO,36,0)</f>
        <v>EHP</v>
      </c>
      <c r="J800">
        <f>VLOOKUP(C800,'RAW DATA 2023'!E:BO,21,0)</f>
        <v>6.3130800000000002</v>
      </c>
      <c r="K800" s="268">
        <f t="shared" si="64"/>
        <v>-34.090600000000009</v>
      </c>
    </row>
    <row r="801" spans="1:11">
      <c r="A801" t="str">
        <f>'RAW DATA 2023'!B794</f>
        <v>Kanchanadit</v>
      </c>
      <c r="B801" t="str">
        <f>'RAW DATA 2023'!D794</f>
        <v>D1-052-0012</v>
      </c>
      <c r="C801" t="str">
        <f t="shared" si="60"/>
        <v>KanchanaditD1-052-0012</v>
      </c>
      <c r="D801">
        <f>VLOOKUP(C801,'RAW DATA 2023'!E:BP,63,0)</f>
        <v>3</v>
      </c>
      <c r="E801" t="str">
        <f t="shared" si="61"/>
        <v>Kanchanadit3</v>
      </c>
      <c r="F801" s="8">
        <f>VLOOKUP(C801,'RAW DATA 2023'!E:BO,23,0)</f>
        <v>0</v>
      </c>
      <c r="G801" s="14">
        <f t="shared" si="62"/>
        <v>0</v>
      </c>
      <c r="H801" s="25">
        <f t="shared" si="63"/>
        <v>0</v>
      </c>
      <c r="I801" s="80" t="str">
        <f>VLOOKUP(C801,'RAW DATA 2023'!E:BO,36,0)</f>
        <v>EHP</v>
      </c>
      <c r="J801">
        <f>VLOOKUP(C801,'RAW DATA 2023'!E:BO,21,0)</f>
        <v>0</v>
      </c>
      <c r="K801" s="268">
        <f t="shared" si="64"/>
        <v>0</v>
      </c>
    </row>
    <row r="802" spans="1:11">
      <c r="A802" t="str">
        <f>'RAW DATA 2023'!B795</f>
        <v>Pakpanang1</v>
      </c>
      <c r="B802" t="str">
        <f>'RAW DATA 2023'!D795</f>
        <v>C1-139-0010</v>
      </c>
      <c r="C802" t="str">
        <f t="shared" si="60"/>
        <v>Pakpanang1C1-139-0010</v>
      </c>
      <c r="D802">
        <f>VLOOKUP(C802,'RAW DATA 2023'!E:BP,63,0)</f>
        <v>11</v>
      </c>
      <c r="E802" t="str">
        <f t="shared" si="61"/>
        <v>Pakpanang111</v>
      </c>
      <c r="F802" s="8">
        <f>VLOOKUP(C802,'RAW DATA 2023'!E:BO,23,0)</f>
        <v>21.800137642628886</v>
      </c>
      <c r="G802" s="14">
        <f t="shared" si="62"/>
        <v>53.199862357371117</v>
      </c>
      <c r="H802" s="25">
        <f t="shared" si="63"/>
        <v>10.639972471474223</v>
      </c>
      <c r="I802" s="80" t="str">
        <f>VLOOKUP(C802,'RAW DATA 2023'!E:BO,36,0)</f>
        <v>Normal</v>
      </c>
      <c r="J802">
        <f>VLOOKUP(C802,'RAW DATA 2023'!E:BO,21,0)</f>
        <v>15.96889</v>
      </c>
      <c r="K802" s="268">
        <f t="shared" si="64"/>
        <v>169.90855000000002</v>
      </c>
    </row>
    <row r="803" spans="1:11">
      <c r="A803" t="str">
        <f>'RAW DATA 2023'!B796</f>
        <v>Pakpanang1</v>
      </c>
      <c r="B803" t="str">
        <f>'RAW DATA 2023'!D796</f>
        <v>C1-138-0011</v>
      </c>
      <c r="C803" t="str">
        <f t="shared" si="60"/>
        <v>Pakpanang1C1-138-0011</v>
      </c>
      <c r="D803">
        <f>VLOOKUP(C803,'RAW DATA 2023'!E:BP,63,0)</f>
        <v>11</v>
      </c>
      <c r="E803" t="str">
        <f t="shared" si="61"/>
        <v>Pakpanang111</v>
      </c>
      <c r="F803" s="8">
        <f>VLOOKUP(C803,'RAW DATA 2023'!E:BO,23,0)</f>
        <v>32.803453505298265</v>
      </c>
      <c r="G803" s="14">
        <f t="shared" si="62"/>
        <v>42.196546494701735</v>
      </c>
      <c r="H803" s="25">
        <f t="shared" si="63"/>
        <v>8.4393092989403478</v>
      </c>
      <c r="I803" s="80" t="str">
        <f>VLOOKUP(C803,'RAW DATA 2023'!E:BO,36,0)</f>
        <v>Normal</v>
      </c>
      <c r="J803">
        <f>VLOOKUP(C803,'RAW DATA 2023'!E:BO,21,0)</f>
        <v>24.964779999999998</v>
      </c>
      <c r="K803" s="268">
        <f t="shared" si="64"/>
        <v>210.68549999999999</v>
      </c>
    </row>
    <row r="804" spans="1:11">
      <c r="A804" t="str">
        <f>'RAW DATA 2023'!B797</f>
        <v>Pakpanang1</v>
      </c>
      <c r="B804" t="str">
        <f>'RAW DATA 2023'!D797</f>
        <v>D1-174-0009</v>
      </c>
      <c r="C804" t="str">
        <f t="shared" si="60"/>
        <v>Pakpanang1D1-174-0009</v>
      </c>
      <c r="D804">
        <f>VLOOKUP(C804,'RAW DATA 2023'!E:BP,63,0)</f>
        <v>11</v>
      </c>
      <c r="E804" t="str">
        <f t="shared" si="61"/>
        <v>Pakpanang111</v>
      </c>
      <c r="F804" s="8">
        <f>VLOOKUP(C804,'RAW DATA 2023'!E:BO,23,0)</f>
        <v>25.834481686996277</v>
      </c>
      <c r="G804" s="14">
        <f t="shared" si="62"/>
        <v>49.165518313003723</v>
      </c>
      <c r="H804" s="25">
        <f t="shared" si="63"/>
        <v>9.8331036626007453</v>
      </c>
      <c r="I804" s="80" t="str">
        <f>VLOOKUP(C804,'RAW DATA 2023'!E:BO,36,0)</f>
        <v>Normal</v>
      </c>
      <c r="J804">
        <f>VLOOKUP(C804,'RAW DATA 2023'!E:BO,21,0)</f>
        <v>24.455299999999998</v>
      </c>
      <c r="K804" s="268">
        <f t="shared" si="64"/>
        <v>240.47149999999999</v>
      </c>
    </row>
    <row r="805" spans="1:11">
      <c r="A805" t="str">
        <f>'RAW DATA 2023'!B798</f>
        <v>Pakpanang1</v>
      </c>
      <c r="B805" t="str">
        <f>'RAW DATA 2023'!D798</f>
        <v>C1-140-0010</v>
      </c>
      <c r="C805" t="str">
        <f t="shared" si="60"/>
        <v>Pakpanang1C1-140-0010</v>
      </c>
      <c r="D805">
        <f>VLOOKUP(C805,'RAW DATA 2023'!E:BP,63,0)</f>
        <v>11</v>
      </c>
      <c r="E805" t="str">
        <f t="shared" si="61"/>
        <v>Pakpanang111</v>
      </c>
      <c r="F805" s="8">
        <f>VLOOKUP(C805,'RAW DATA 2023'!E:BO,23,0)</f>
        <v>33.989827427181226</v>
      </c>
      <c r="G805" s="14">
        <f t="shared" si="62"/>
        <v>41.010172572818774</v>
      </c>
      <c r="H805" s="25">
        <f t="shared" si="63"/>
        <v>8.2020345145637545</v>
      </c>
      <c r="I805" s="80" t="str">
        <f>VLOOKUP(C805,'RAW DATA 2023'!E:BO,36,0)</f>
        <v>Normal</v>
      </c>
      <c r="J805">
        <f>VLOOKUP(C805,'RAW DATA 2023'!E:BO,21,0)</f>
        <v>14.961799999999998</v>
      </c>
      <c r="K805" s="268">
        <f t="shared" si="64"/>
        <v>122.71719999999996</v>
      </c>
    </row>
    <row r="806" spans="1:11">
      <c r="A806" t="str">
        <f>'RAW DATA 2023'!B799</f>
        <v>Pakpanang1</v>
      </c>
      <c r="B806" t="str">
        <f>'RAW DATA 2023'!D799</f>
        <v>D1-173-0009</v>
      </c>
      <c r="C806" t="str">
        <f t="shared" si="60"/>
        <v>Pakpanang1D1-173-0009</v>
      </c>
      <c r="D806">
        <f>VLOOKUP(C806,'RAW DATA 2023'!E:BP,63,0)</f>
        <v>10</v>
      </c>
      <c r="E806" t="str">
        <f t="shared" si="61"/>
        <v>Pakpanang110</v>
      </c>
      <c r="F806" s="8">
        <f>VLOOKUP(C806,'RAW DATA 2023'!E:BO,23,0)</f>
        <v>28.731040246742729</v>
      </c>
      <c r="G806" s="14">
        <f t="shared" si="62"/>
        <v>46.268959753257271</v>
      </c>
      <c r="H806" s="25">
        <f t="shared" si="63"/>
        <v>9.2537919506514541</v>
      </c>
      <c r="I806" s="80" t="str">
        <f>VLOOKUP(C806,'RAW DATA 2023'!E:BO,36,0)</f>
        <v>Normal</v>
      </c>
      <c r="J806">
        <f>VLOOKUP(C806,'RAW DATA 2023'!E:BO,21,0)</f>
        <v>24.95879</v>
      </c>
      <c r="K806" s="268">
        <f t="shared" si="64"/>
        <v>230.96345000000002</v>
      </c>
    </row>
    <row r="807" spans="1:11">
      <c r="A807" t="str">
        <f>'RAW DATA 2023'!B800</f>
        <v>Pakpanang1</v>
      </c>
      <c r="B807" t="str">
        <f>'RAW DATA 2023'!D800</f>
        <v>A1-183-0011</v>
      </c>
      <c r="C807" t="str">
        <f t="shared" si="60"/>
        <v>Pakpanang1A1-183-0011</v>
      </c>
      <c r="D807">
        <f>VLOOKUP(C807,'RAW DATA 2023'!E:BP,63,0)</f>
        <v>11</v>
      </c>
      <c r="E807" t="str">
        <f t="shared" si="61"/>
        <v>Pakpanang111</v>
      </c>
      <c r="F807" s="8">
        <f>VLOOKUP(C807,'RAW DATA 2023'!E:BO,23,0)</f>
        <v>27.711597741563221</v>
      </c>
      <c r="G807" s="14">
        <f t="shared" si="62"/>
        <v>47.288402258436776</v>
      </c>
      <c r="H807" s="25">
        <f t="shared" si="63"/>
        <v>9.4576804516873558</v>
      </c>
      <c r="I807" s="80" t="str">
        <f>VLOOKUP(C807,'RAW DATA 2023'!E:BO,36,0)</f>
        <v>Normal</v>
      </c>
      <c r="J807">
        <f>VLOOKUP(C807,'RAW DATA 2023'!E:BO,21,0)</f>
        <v>23.717290000000002</v>
      </c>
      <c r="K807" s="268">
        <f t="shared" si="64"/>
        <v>224.31055000000003</v>
      </c>
    </row>
    <row r="808" spans="1:11">
      <c r="A808" t="str">
        <f>'RAW DATA 2023'!B801</f>
        <v>Pakpanang1</v>
      </c>
      <c r="B808" t="str">
        <f>'RAW DATA 2023'!D801</f>
        <v>C1-137-0010</v>
      </c>
      <c r="C808" t="str">
        <f t="shared" si="60"/>
        <v>Pakpanang1C1-137-0010</v>
      </c>
      <c r="D808">
        <f>VLOOKUP(C808,'RAW DATA 2023'!E:BP,63,0)</f>
        <v>5</v>
      </c>
      <c r="E808" t="str">
        <f t="shared" si="61"/>
        <v>Pakpanang15</v>
      </c>
      <c r="F808" s="8">
        <f>VLOOKUP(C808,'RAW DATA 2023'!E:BO,23,0)</f>
        <v>28.02341299124614</v>
      </c>
      <c r="G808" s="14">
        <f t="shared" si="62"/>
        <v>46.97658700875386</v>
      </c>
      <c r="H808" s="25">
        <f t="shared" si="63"/>
        <v>9.3953174017507717</v>
      </c>
      <c r="I808" s="80" t="str">
        <f>VLOOKUP(C808,'RAW DATA 2023'!E:BO,36,0)</f>
        <v>WFD</v>
      </c>
      <c r="J808">
        <f>VLOOKUP(C808,'RAW DATA 2023'!E:BO,21,0)</f>
        <v>22.874479999999998</v>
      </c>
      <c r="K808" s="268">
        <f t="shared" si="64"/>
        <v>214.91299999999998</v>
      </c>
    </row>
    <row r="809" spans="1:11">
      <c r="A809" t="str">
        <f>'RAW DATA 2023'!B802</f>
        <v>Pakpanang1</v>
      </c>
      <c r="B809" t="str">
        <f>'RAW DATA 2023'!D802</f>
        <v>C1-136-0009</v>
      </c>
      <c r="C809" t="str">
        <f t="shared" si="60"/>
        <v>Pakpanang1C1-136-0009</v>
      </c>
      <c r="D809">
        <f>VLOOKUP(C809,'RAW DATA 2023'!E:BP,63,0)</f>
        <v>5</v>
      </c>
      <c r="E809" t="str">
        <f t="shared" si="61"/>
        <v>Pakpanang15</v>
      </c>
      <c r="F809" s="8">
        <f>VLOOKUP(C809,'RAW DATA 2023'!E:BO,23,0)</f>
        <v>28.579083956609278</v>
      </c>
      <c r="G809" s="14">
        <f t="shared" si="62"/>
        <v>46.420916043390719</v>
      </c>
      <c r="H809" s="25">
        <f t="shared" si="63"/>
        <v>9.2841832086781437</v>
      </c>
      <c r="I809" s="80" t="str">
        <f>VLOOKUP(C809,'RAW DATA 2023'!E:BO,36,0)</f>
        <v>WFD</v>
      </c>
      <c r="J809">
        <f>VLOOKUP(C809,'RAW DATA 2023'!E:BO,21,0)</f>
        <v>19.594049999999999</v>
      </c>
      <c r="K809" s="268">
        <f t="shared" si="64"/>
        <v>181.91474999999997</v>
      </c>
    </row>
    <row r="810" spans="1:11">
      <c r="A810" t="str">
        <f>'RAW DATA 2023'!B803</f>
        <v>Pakpanang1</v>
      </c>
      <c r="B810" t="str">
        <f>'RAW DATA 2023'!D803</f>
        <v>D1-171-0009</v>
      </c>
      <c r="C810" t="str">
        <f t="shared" si="60"/>
        <v>Pakpanang1D1-171-0009</v>
      </c>
      <c r="D810">
        <f>VLOOKUP(C810,'RAW DATA 2023'!E:BP,63,0)</f>
        <v>5</v>
      </c>
      <c r="E810" t="str">
        <f t="shared" si="61"/>
        <v>Pakpanang15</v>
      </c>
      <c r="F810" s="8">
        <f>VLOOKUP(C810,'RAW DATA 2023'!E:BO,23,0)</f>
        <v>30.40407165130841</v>
      </c>
      <c r="G810" s="14">
        <f t="shared" si="62"/>
        <v>44.595928348691587</v>
      </c>
      <c r="H810" s="25">
        <f t="shared" si="63"/>
        <v>8.9191856697383169</v>
      </c>
      <c r="I810" s="80" t="str">
        <f>VLOOKUP(C810,'RAW DATA 2023'!E:BO,36,0)</f>
        <v>WFD</v>
      </c>
      <c r="J810">
        <f>VLOOKUP(C810,'RAW DATA 2023'!E:BO,21,0)</f>
        <v>22.143349999999998</v>
      </c>
      <c r="K810" s="268">
        <f t="shared" si="64"/>
        <v>197.50064999999995</v>
      </c>
    </row>
    <row r="811" spans="1:11">
      <c r="A811" t="str">
        <f>'RAW DATA 2023'!B804</f>
        <v>Pakpanang1</v>
      </c>
      <c r="B811" t="str">
        <f>'RAW DATA 2023'!D804</f>
        <v>A1-184-0010</v>
      </c>
      <c r="C811" t="str">
        <f t="shared" si="60"/>
        <v>Pakpanang1A1-184-0010</v>
      </c>
      <c r="D811">
        <f>VLOOKUP(C811,'RAW DATA 2023'!E:BP,63,0)</f>
        <v>5</v>
      </c>
      <c r="E811" t="str">
        <f t="shared" si="61"/>
        <v>Pakpanang15</v>
      </c>
      <c r="F811" s="8">
        <f>VLOOKUP(C811,'RAW DATA 2023'!E:BO,23,0)</f>
        <v>34.108776495932702</v>
      </c>
      <c r="G811" s="14">
        <f t="shared" si="62"/>
        <v>40.891223504067298</v>
      </c>
      <c r="H811" s="25">
        <f t="shared" si="63"/>
        <v>8.17824470081346</v>
      </c>
      <c r="I811" s="80" t="str">
        <f>VLOOKUP(C811,'RAW DATA 2023'!E:BO,36,0)</f>
        <v>EHP</v>
      </c>
      <c r="J811">
        <f>VLOOKUP(C811,'RAW DATA 2023'!E:BO,21,0)</f>
        <v>16.41384</v>
      </c>
      <c r="K811" s="268">
        <f t="shared" si="64"/>
        <v>134.2364</v>
      </c>
    </row>
    <row r="812" spans="1:11">
      <c r="A812" t="str">
        <f>'RAW DATA 2023'!B805</f>
        <v>Pakpanang1</v>
      </c>
      <c r="B812" t="str">
        <f>'RAW DATA 2023'!D805</f>
        <v>D1-172-0008</v>
      </c>
      <c r="C812" t="str">
        <f t="shared" si="60"/>
        <v>Pakpanang1D1-172-0008</v>
      </c>
      <c r="D812">
        <f>VLOOKUP(C812,'RAW DATA 2023'!E:BP,63,0)</f>
        <v>5</v>
      </c>
      <c r="E812" t="str">
        <f t="shared" si="61"/>
        <v>Pakpanang15</v>
      </c>
      <c r="F812" s="8">
        <f>VLOOKUP(C812,'RAW DATA 2023'!E:BO,23,0)</f>
        <v>45.147621250700958</v>
      </c>
      <c r="G812" s="14">
        <f t="shared" si="62"/>
        <v>29.852378749299042</v>
      </c>
      <c r="H812" s="25">
        <f t="shared" si="63"/>
        <v>5.9704757498598084</v>
      </c>
      <c r="I812" s="80" t="str">
        <f>VLOOKUP(C812,'RAW DATA 2023'!E:BO,36,0)</f>
        <v>WFD</v>
      </c>
      <c r="J812">
        <f>VLOOKUP(C812,'RAW DATA 2023'!E:BO,21,0)</f>
        <v>14.676410000000001</v>
      </c>
      <c r="K812" s="268">
        <f t="shared" si="64"/>
        <v>87.625149999999991</v>
      </c>
    </row>
    <row r="813" spans="1:11">
      <c r="A813" t="str">
        <f>'RAW DATA 2023'!B806</f>
        <v>Pakpanang1</v>
      </c>
      <c r="B813" t="str">
        <f>'RAW DATA 2023'!D806</f>
        <v>C1-138-0010</v>
      </c>
      <c r="C813" t="str">
        <f t="shared" si="60"/>
        <v>Pakpanang1C1-138-0010</v>
      </c>
      <c r="D813">
        <f>VLOOKUP(C813,'RAW DATA 2023'!E:BP,63,0)</f>
        <v>5</v>
      </c>
      <c r="E813" t="str">
        <f t="shared" si="61"/>
        <v>Pakpanang15</v>
      </c>
      <c r="F813" s="8">
        <f>VLOOKUP(C813,'RAW DATA 2023'!E:BO,23,0)</f>
        <v>35.684149261468825</v>
      </c>
      <c r="G813" s="14">
        <f t="shared" si="62"/>
        <v>39.315850738531175</v>
      </c>
      <c r="H813" s="25">
        <f t="shared" si="63"/>
        <v>7.863170147706235</v>
      </c>
      <c r="I813" s="80" t="str">
        <f>VLOOKUP(C813,'RAW DATA 2023'!E:BO,36,0)</f>
        <v>EHP</v>
      </c>
      <c r="J813">
        <f>VLOOKUP(C813,'RAW DATA 2023'!E:BO,21,0)</f>
        <v>14.621589999999999</v>
      </c>
      <c r="K813" s="268">
        <f t="shared" si="64"/>
        <v>114.97205000000001</v>
      </c>
    </row>
    <row r="814" spans="1:11">
      <c r="A814" t="str">
        <f>'RAW DATA 2023'!B807</f>
        <v>Pakpanang1</v>
      </c>
      <c r="B814" t="str">
        <f>'RAW DATA 2023'!D807</f>
        <v>A1-183-0010</v>
      </c>
      <c r="C814" t="str">
        <f t="shared" si="60"/>
        <v>Pakpanang1A1-183-0010</v>
      </c>
      <c r="D814">
        <f>VLOOKUP(C814,'RAW DATA 2023'!E:BP,63,0)</f>
        <v>5</v>
      </c>
      <c r="E814" t="str">
        <f t="shared" si="61"/>
        <v>Pakpanang15</v>
      </c>
      <c r="F814" s="8">
        <f>VLOOKUP(C814,'RAW DATA 2023'!E:BO,23,0)</f>
        <v>42.001575824732654</v>
      </c>
      <c r="G814" s="14">
        <f t="shared" si="62"/>
        <v>32.998424175267346</v>
      </c>
      <c r="H814" s="25">
        <f t="shared" si="63"/>
        <v>6.5996848350534698</v>
      </c>
      <c r="I814" s="80" t="str">
        <f>VLOOKUP(C814,'RAW DATA 2023'!E:BO,36,0)</f>
        <v>EHP</v>
      </c>
      <c r="J814">
        <f>VLOOKUP(C814,'RAW DATA 2023'!E:BO,21,0)</f>
        <v>14.36708</v>
      </c>
      <c r="K814" s="268">
        <f t="shared" si="64"/>
        <v>94.818200000000004</v>
      </c>
    </row>
    <row r="815" spans="1:11">
      <c r="A815" t="str">
        <f>'RAW DATA 2023'!B808</f>
        <v>Pakpanang1</v>
      </c>
      <c r="B815" t="str">
        <f>'RAW DATA 2023'!D808</f>
        <v>A1-181-0008</v>
      </c>
      <c r="C815" t="str">
        <f t="shared" si="60"/>
        <v>Pakpanang1A1-181-0008</v>
      </c>
      <c r="D815">
        <f>VLOOKUP(C815,'RAW DATA 2023'!E:BP,63,0)</f>
        <v>4</v>
      </c>
      <c r="E815" t="str">
        <f t="shared" si="61"/>
        <v>Pakpanang14</v>
      </c>
      <c r="F815" s="8">
        <f>VLOOKUP(C815,'RAW DATA 2023'!E:BO,23,0)</f>
        <v>74.99997593624839</v>
      </c>
      <c r="G815" s="14">
        <f t="shared" si="62"/>
        <v>2.4063751610015061E-5</v>
      </c>
      <c r="H815" s="25">
        <f t="shared" si="63"/>
        <v>4.8127503220030128E-6</v>
      </c>
      <c r="I815" s="80" t="str">
        <f>VLOOKUP(C815,'RAW DATA 2023'!E:BO,36,0)</f>
        <v>EHP</v>
      </c>
      <c r="J815">
        <f>VLOOKUP(C815,'RAW DATA 2023'!E:BO,21,0)</f>
        <v>10.38907</v>
      </c>
      <c r="K815" s="268">
        <f t="shared" si="64"/>
        <v>4.9999999987811842E-5</v>
      </c>
    </row>
    <row r="816" spans="1:11">
      <c r="A816" t="str">
        <f>'RAW DATA 2023'!B809</f>
        <v>Pakpanang1</v>
      </c>
      <c r="B816" t="str">
        <f>'RAW DATA 2023'!D809</f>
        <v>A1-192-0009</v>
      </c>
      <c r="C816" t="str">
        <f t="shared" si="60"/>
        <v>Pakpanang1A1-192-0009</v>
      </c>
      <c r="D816">
        <f>VLOOKUP(C816,'RAW DATA 2023'!E:BP,63,0)</f>
        <v>5</v>
      </c>
      <c r="E816" t="str">
        <f t="shared" si="61"/>
        <v>Pakpanang15</v>
      </c>
      <c r="F816" s="8">
        <f>VLOOKUP(C816,'RAW DATA 2023'!E:BO,23,0)</f>
        <v>53.999967267437555</v>
      </c>
      <c r="G816" s="14">
        <f t="shared" si="62"/>
        <v>21.000032732562445</v>
      </c>
      <c r="H816" s="25">
        <f t="shared" si="63"/>
        <v>4.2000065465124896</v>
      </c>
      <c r="I816" s="80" t="str">
        <f>VLOOKUP(C816,'RAW DATA 2023'!E:BO,36,0)</f>
        <v>EHP</v>
      </c>
      <c r="J816">
        <f>VLOOKUP(C816,'RAW DATA 2023'!E:BO,21,0)</f>
        <v>10.38721</v>
      </c>
      <c r="K816" s="268">
        <f t="shared" si="64"/>
        <v>43.626349999999995</v>
      </c>
    </row>
    <row r="817" spans="1:11">
      <c r="A817" t="str">
        <f>'RAW DATA 2023'!B810</f>
        <v>Pakpanang1</v>
      </c>
      <c r="B817" t="str">
        <f>'RAW DATA 2023'!D810</f>
        <v>D1-173-0008</v>
      </c>
      <c r="C817" t="str">
        <f t="shared" si="60"/>
        <v>Pakpanang1D1-173-0008</v>
      </c>
      <c r="D817">
        <f>VLOOKUP(C817,'RAW DATA 2023'!E:BP,63,0)</f>
        <v>5</v>
      </c>
      <c r="E817" t="str">
        <f t="shared" si="61"/>
        <v>Pakpanang15</v>
      </c>
      <c r="F817" s="8">
        <f>VLOOKUP(C817,'RAW DATA 2023'!E:BO,23,0)</f>
        <v>56.00008471704507</v>
      </c>
      <c r="G817" s="14">
        <f t="shared" si="62"/>
        <v>18.99991528295493</v>
      </c>
      <c r="H817" s="25">
        <f t="shared" si="63"/>
        <v>3.7999830565909862</v>
      </c>
      <c r="I817" s="80" t="str">
        <f>VLOOKUP(C817,'RAW DATA 2023'!E:BO,36,0)</f>
        <v>EHP</v>
      </c>
      <c r="J817">
        <f>VLOOKUP(C817,'RAW DATA 2023'!E:BO,21,0)</f>
        <v>8.026720000000001</v>
      </c>
      <c r="K817" s="268">
        <f t="shared" si="64"/>
        <v>30.501400000000004</v>
      </c>
    </row>
    <row r="818" spans="1:11">
      <c r="A818" t="str">
        <f>'RAW DATA 2023'!B811</f>
        <v>Pakpanang1</v>
      </c>
      <c r="B818" t="str">
        <f>'RAW DATA 2023'!D811</f>
        <v>C1-139-0009</v>
      </c>
      <c r="C818" t="str">
        <f t="shared" si="60"/>
        <v>Pakpanang1C1-139-0009</v>
      </c>
      <c r="D818">
        <f>VLOOKUP(C818,'RAW DATA 2023'!E:BP,63,0)</f>
        <v>5</v>
      </c>
      <c r="E818" t="str">
        <f t="shared" si="61"/>
        <v>Pakpanang15</v>
      </c>
      <c r="F818" s="8">
        <f>VLOOKUP(C818,'RAW DATA 2023'!E:BO,23,0)</f>
        <v>53.999994575726916</v>
      </c>
      <c r="G818" s="14">
        <f t="shared" si="62"/>
        <v>21.000005424273084</v>
      </c>
      <c r="H818" s="25">
        <f t="shared" si="63"/>
        <v>4.200001084854617</v>
      </c>
      <c r="I818" s="80" t="str">
        <f>VLOOKUP(C818,'RAW DATA 2023'!E:BO,36,0)</f>
        <v>EHP</v>
      </c>
      <c r="J818">
        <f>VLOOKUP(C818,'RAW DATA 2023'!E:BO,21,0)</f>
        <v>7.3742600000000005</v>
      </c>
      <c r="K818" s="268">
        <f t="shared" si="64"/>
        <v>30.971900000000009</v>
      </c>
    </row>
    <row r="819" spans="1:11">
      <c r="A819" t="str">
        <f>'RAW DATA 2023'!B812</f>
        <v>Pakpanang1</v>
      </c>
      <c r="B819" t="str">
        <f>'RAW DATA 2023'!D812</f>
        <v>C1-140-0009</v>
      </c>
      <c r="C819" t="str">
        <f t="shared" si="60"/>
        <v>Pakpanang1C1-140-0009</v>
      </c>
      <c r="D819">
        <f>VLOOKUP(C819,'RAW DATA 2023'!E:BP,63,0)</f>
        <v>4</v>
      </c>
      <c r="E819" t="str">
        <f t="shared" si="61"/>
        <v>Pakpanang14</v>
      </c>
      <c r="F819" s="8">
        <f>VLOOKUP(C819,'RAW DATA 2023'!E:BO,23,0)</f>
        <v>86.999949327136761</v>
      </c>
      <c r="G819" s="14">
        <f t="shared" si="62"/>
        <v>-11.999949327136761</v>
      </c>
      <c r="H819" s="25">
        <f t="shared" si="63"/>
        <v>-2.3999898654273522</v>
      </c>
      <c r="I819" s="80" t="str">
        <f>VLOOKUP(C819,'RAW DATA 2023'!E:BO,36,0)</f>
        <v>EHP</v>
      </c>
      <c r="J819">
        <f>VLOOKUP(C819,'RAW DATA 2023'!E:BO,21,0)</f>
        <v>6.9070499999999999</v>
      </c>
      <c r="K819" s="268">
        <f t="shared" si="64"/>
        <v>-16.576849999999993</v>
      </c>
    </row>
    <row r="820" spans="1:11">
      <c r="A820" t="str">
        <f>'RAW DATA 2023'!B813</f>
        <v>Pakpanang1</v>
      </c>
      <c r="B820" t="str">
        <f>'RAW DATA 2023'!D813</f>
        <v>C1-141-0009</v>
      </c>
      <c r="C820" t="str">
        <f t="shared" si="60"/>
        <v>Pakpanang1C1-141-0009</v>
      </c>
      <c r="D820">
        <f>VLOOKUP(C820,'RAW DATA 2023'!E:BP,63,0)</f>
        <v>5</v>
      </c>
      <c r="E820" t="str">
        <f t="shared" si="61"/>
        <v>Pakpanang15</v>
      </c>
      <c r="F820" s="8">
        <f>VLOOKUP(C820,'RAW DATA 2023'!E:BO,23,0)</f>
        <v>80.000127125579411</v>
      </c>
      <c r="G820" s="14">
        <f t="shared" si="62"/>
        <v>-5.0001271255794109</v>
      </c>
      <c r="H820" s="25">
        <f t="shared" si="63"/>
        <v>-1.0000254251158822</v>
      </c>
      <c r="I820" s="80" t="str">
        <f>VLOOKUP(C820,'RAW DATA 2023'!E:BO,36,0)</f>
        <v>EHP</v>
      </c>
      <c r="J820">
        <f>VLOOKUP(C820,'RAW DATA 2023'!E:BO,21,0)</f>
        <v>6.2929899999999996</v>
      </c>
      <c r="K820" s="268">
        <f t="shared" si="64"/>
        <v>-6.2931499999999954</v>
      </c>
    </row>
    <row r="821" spans="1:11">
      <c r="A821" t="str">
        <f>'RAW DATA 2023'!B814</f>
        <v>Pakpanang1</v>
      </c>
      <c r="B821" t="str">
        <f>'RAW DATA 2023'!D814</f>
        <v>A1-004-0020</v>
      </c>
      <c r="C821" t="str">
        <f t="shared" si="60"/>
        <v>Pakpanang1A1-004-0020</v>
      </c>
      <c r="D821">
        <f>VLOOKUP(C821,'RAW DATA 2023'!E:BP,63,0)</f>
        <v>11</v>
      </c>
      <c r="E821" t="str">
        <f t="shared" si="61"/>
        <v>Pakpanang111</v>
      </c>
      <c r="F821" s="8">
        <f>VLOOKUP(C821,'RAW DATA 2023'!E:BO,23,0)</f>
        <v>73.999985007973876</v>
      </c>
      <c r="G821" s="14">
        <f t="shared" si="62"/>
        <v>1.0000149920261237</v>
      </c>
      <c r="H821" s="25">
        <f t="shared" si="63"/>
        <v>0.20000299840522473</v>
      </c>
      <c r="I821" s="80" t="str">
        <f>VLOOKUP(C821,'RAW DATA 2023'!E:BO,36,0)</f>
        <v>EHP</v>
      </c>
      <c r="J821">
        <f>VLOOKUP(C821,'RAW DATA 2023'!E:BO,21,0)</f>
        <v>21.34468</v>
      </c>
      <c r="K821" s="268">
        <f t="shared" si="64"/>
        <v>4.2690000000000321</v>
      </c>
    </row>
    <row r="822" spans="1:11">
      <c r="A822" t="str">
        <f>'RAW DATA 2023'!B815</f>
        <v>Pakpanang1</v>
      </c>
      <c r="B822" t="str">
        <f>'RAW DATA 2023'!D815</f>
        <v>D1-171-0011</v>
      </c>
      <c r="C822" t="str">
        <f t="shared" si="60"/>
        <v>Pakpanang1D1-171-0011</v>
      </c>
      <c r="D822">
        <f>VLOOKUP(C822,'RAW DATA 2023'!E:BP,63,0)</f>
        <v>11</v>
      </c>
      <c r="E822" t="str">
        <f t="shared" si="61"/>
        <v>Pakpanang111</v>
      </c>
      <c r="F822" s="8">
        <f>VLOOKUP(C822,'RAW DATA 2023'!E:BO,23,0)</f>
        <v>104.99981579949161</v>
      </c>
      <c r="G822" s="14">
        <f t="shared" si="62"/>
        <v>-29.999815799491614</v>
      </c>
      <c r="H822" s="25">
        <f t="shared" si="63"/>
        <v>-5.9999631598983232</v>
      </c>
      <c r="I822" s="80" t="str">
        <f>VLOOKUP(C822,'RAW DATA 2023'!E:BO,36,0)</f>
        <v>EHP</v>
      </c>
      <c r="J822">
        <f>VLOOKUP(C822,'RAW DATA 2023'!E:BO,21,0)</f>
        <v>4.88598</v>
      </c>
      <c r="K822" s="268">
        <f t="shared" si="64"/>
        <v>-29.31570000000001</v>
      </c>
    </row>
    <row r="823" spans="1:11">
      <c r="A823" t="str">
        <f>'RAW DATA 2023'!B816</f>
        <v>Pakpanang1</v>
      </c>
      <c r="B823" t="str">
        <f>'RAW DATA 2023'!D816</f>
        <v>D1-174-0008</v>
      </c>
      <c r="C823" t="str">
        <f t="shared" si="60"/>
        <v>Pakpanang1D1-174-0008</v>
      </c>
      <c r="D823">
        <f>VLOOKUP(C823,'RAW DATA 2023'!E:BP,63,0)</f>
        <v>4</v>
      </c>
      <c r="E823" t="str">
        <f t="shared" si="61"/>
        <v>Pakpanang14</v>
      </c>
      <c r="F823" s="8">
        <f>VLOOKUP(C823,'RAW DATA 2023'!E:BO,23,0)</f>
        <v>81.999929194558604</v>
      </c>
      <c r="G823" s="14">
        <f t="shared" si="62"/>
        <v>-6.9999291945586037</v>
      </c>
      <c r="H823" s="25">
        <f t="shared" si="63"/>
        <v>-1.3999858389117208</v>
      </c>
      <c r="I823" s="80" t="str">
        <f>VLOOKUP(C823,'RAW DATA 2023'!E:BO,36,0)</f>
        <v>EHP</v>
      </c>
      <c r="J823">
        <f>VLOOKUP(C823,'RAW DATA 2023'!E:BO,21,0)</f>
        <v>6.7791399999999999</v>
      </c>
      <c r="K823" s="268">
        <f t="shared" si="64"/>
        <v>-9.4907000000000021</v>
      </c>
    </row>
    <row r="824" spans="1:11">
      <c r="A824" t="str">
        <f>'RAW DATA 2023'!B817</f>
        <v>Pakpanang1</v>
      </c>
      <c r="B824" t="str">
        <f>'RAW DATA 2023'!D817</f>
        <v>D1-177-0009</v>
      </c>
      <c r="C824" t="str">
        <f t="shared" si="60"/>
        <v>Pakpanang1D1-177-0009</v>
      </c>
      <c r="D824">
        <f>VLOOKUP(C824,'RAW DATA 2023'!E:BP,63,0)</f>
        <v>4</v>
      </c>
      <c r="E824" t="str">
        <f t="shared" si="61"/>
        <v>Pakpanang14</v>
      </c>
      <c r="F824" s="8">
        <f>VLOOKUP(C824,'RAW DATA 2023'!E:BO,23,0)</f>
        <v>81.000004295305089</v>
      </c>
      <c r="G824" s="14">
        <f t="shared" si="62"/>
        <v>-6.0000042953050894</v>
      </c>
      <c r="H824" s="25">
        <f t="shared" si="63"/>
        <v>-1.2000008590610181</v>
      </c>
      <c r="I824" s="80" t="str">
        <f>VLOOKUP(C824,'RAW DATA 2023'!E:BO,36,0)</f>
        <v>EHP</v>
      </c>
      <c r="J824">
        <f>VLOOKUP(C824,'RAW DATA 2023'!E:BO,21,0)</f>
        <v>6.9843700000000002</v>
      </c>
      <c r="K824" s="268">
        <f t="shared" si="64"/>
        <v>-8.3812500000000032</v>
      </c>
    </row>
    <row r="825" spans="1:11">
      <c r="A825" t="str">
        <f>'RAW DATA 2023'!B818</f>
        <v>Pakpanang1</v>
      </c>
      <c r="B825" t="str">
        <f>'RAW DATA 2023'!D818</f>
        <v>D1-172-0010</v>
      </c>
      <c r="C825" t="str">
        <f t="shared" si="60"/>
        <v>Pakpanang1D1-172-0010</v>
      </c>
      <c r="D825">
        <f>VLOOKUP(C825,'RAW DATA 2023'!E:BP,63,0)</f>
        <v>11</v>
      </c>
      <c r="E825" t="str">
        <f t="shared" si="61"/>
        <v>Pakpanang111</v>
      </c>
      <c r="F825" s="8">
        <f>VLOOKUP(C825,'RAW DATA 2023'!E:BO,23,0)</f>
        <v>172.99986668246726</v>
      </c>
      <c r="G825" s="14">
        <f t="shared" si="62"/>
        <v>-97.999866682467257</v>
      </c>
      <c r="H825" s="25">
        <f t="shared" si="63"/>
        <v>-19.599973336493452</v>
      </c>
      <c r="I825" s="80" t="str">
        <f>VLOOKUP(C825,'RAW DATA 2023'!E:BO,36,0)</f>
        <v>EHP</v>
      </c>
      <c r="J825">
        <f>VLOOKUP(C825,'RAW DATA 2023'!E:BO,21,0)</f>
        <v>2.7003200000000001</v>
      </c>
      <c r="K825" s="268">
        <f t="shared" si="64"/>
        <v>-52.926200000000001</v>
      </c>
    </row>
    <row r="826" spans="1:11">
      <c r="A826" t="str">
        <f>'RAW DATA 2023'!B819</f>
        <v>Pakpanang1</v>
      </c>
      <c r="B826" t="str">
        <f>'RAW DATA 2023'!D819</f>
        <v>A1-180-0009</v>
      </c>
      <c r="C826" t="str">
        <f t="shared" si="60"/>
        <v>Pakpanang1A1-180-0009</v>
      </c>
      <c r="D826">
        <f>VLOOKUP(C826,'RAW DATA 2023'!E:BP,63,0)</f>
        <v>5</v>
      </c>
      <c r="E826" t="str">
        <f t="shared" si="61"/>
        <v>Pakpanang15</v>
      </c>
      <c r="F826" s="8">
        <f>VLOOKUP(C826,'RAW DATA 2023'!E:BO,23,0)</f>
        <v>115.99984822823713</v>
      </c>
      <c r="G826" s="14">
        <f t="shared" si="62"/>
        <v>-40.999848228237127</v>
      </c>
      <c r="H826" s="25">
        <f t="shared" si="63"/>
        <v>-8.1999696456474265</v>
      </c>
      <c r="I826" s="80" t="str">
        <f>VLOOKUP(C826,'RAW DATA 2023'!E:BO,36,0)</f>
        <v>EHP</v>
      </c>
      <c r="J826">
        <f>VLOOKUP(C826,'RAW DATA 2023'!E:BO,21,0)</f>
        <v>5.7981800000000003</v>
      </c>
      <c r="K826" s="268">
        <f t="shared" si="64"/>
        <v>-47.544899999999998</v>
      </c>
    </row>
    <row r="827" spans="1:11">
      <c r="A827" t="str">
        <f>'RAW DATA 2023'!B820</f>
        <v>SR1</v>
      </c>
      <c r="B827" t="str">
        <f>'RAW DATA 2023'!D820</f>
        <v>A1-028-0037</v>
      </c>
      <c r="C827" t="str">
        <f t="shared" si="60"/>
        <v>SR1A1-028-0037</v>
      </c>
      <c r="D827">
        <f>VLOOKUP(C827,'RAW DATA 2023'!E:BP,63,0)</f>
        <v>10</v>
      </c>
      <c r="E827" t="str">
        <f t="shared" si="61"/>
        <v>SR110</v>
      </c>
      <c r="F827" s="8">
        <f>VLOOKUP(C827,'RAW DATA 2023'!E:BO,23,0)</f>
        <v>34.999974155621068</v>
      </c>
      <c r="G827" s="14">
        <f t="shared" si="62"/>
        <v>40.000025844378932</v>
      </c>
      <c r="H827" s="25">
        <f t="shared" si="63"/>
        <v>8.0000051688757861</v>
      </c>
      <c r="I827" s="80" t="str">
        <f>VLOOKUP(C827,'RAW DATA 2023'!E:BO,36,0)</f>
        <v>Normal</v>
      </c>
      <c r="J827">
        <f>VLOOKUP(C827,'RAW DATA 2023'!E:BO,21,0)</f>
        <v>29.019849999999998</v>
      </c>
      <c r="K827" s="268">
        <f t="shared" si="64"/>
        <v>232.15894999999998</v>
      </c>
    </row>
    <row r="828" spans="1:11">
      <c r="A828" t="str">
        <f>'RAW DATA 2023'!B821</f>
        <v>SR1</v>
      </c>
      <c r="B828" t="str">
        <f>'RAW DATA 2023'!D821</f>
        <v>A1-027-0032</v>
      </c>
      <c r="C828" t="str">
        <f t="shared" si="60"/>
        <v>SR1A1-027-0032</v>
      </c>
      <c r="D828">
        <f>VLOOKUP(C828,'RAW DATA 2023'!E:BP,63,0)</f>
        <v>9</v>
      </c>
      <c r="E828" t="str">
        <f t="shared" si="61"/>
        <v>SR19</v>
      </c>
      <c r="F828" s="8">
        <f>VLOOKUP(C828,'RAW DATA 2023'!E:BO,23,0)</f>
        <v>24.597032452190557</v>
      </c>
      <c r="G828" s="14">
        <f t="shared" si="62"/>
        <v>50.402967547809439</v>
      </c>
      <c r="H828" s="25">
        <f t="shared" si="63"/>
        <v>10.080593509561888</v>
      </c>
      <c r="I828" s="80" t="str">
        <f>VLOOKUP(C828,'RAW DATA 2023'!E:BO,36,0)</f>
        <v>WSSV</v>
      </c>
      <c r="J828">
        <f>VLOOKUP(C828,'RAW DATA 2023'!E:BO,21,0)</f>
        <v>41.250219999999999</v>
      </c>
      <c r="K828" s="268">
        <f t="shared" si="64"/>
        <v>415.82669999999996</v>
      </c>
    </row>
    <row r="829" spans="1:11">
      <c r="A829" t="str">
        <f>'RAW DATA 2023'!B822</f>
        <v>SR1</v>
      </c>
      <c r="B829" t="str">
        <f>'RAW DATA 2023'!D822</f>
        <v>A1-026-0028</v>
      </c>
      <c r="C829" t="str">
        <f t="shared" si="60"/>
        <v>SR1A1-026-0028</v>
      </c>
      <c r="D829">
        <f>VLOOKUP(C829,'RAW DATA 2023'!E:BP,63,0)</f>
        <v>9</v>
      </c>
      <c r="E829" t="str">
        <f t="shared" si="61"/>
        <v>SR19</v>
      </c>
      <c r="F829" s="8">
        <f>VLOOKUP(C829,'RAW DATA 2023'!E:BO,23,0)</f>
        <v>23.716810624889753</v>
      </c>
      <c r="G829" s="14">
        <f t="shared" si="62"/>
        <v>51.283189375110247</v>
      </c>
      <c r="H829" s="25">
        <f t="shared" si="63"/>
        <v>10.256637875022051</v>
      </c>
      <c r="I829" s="80" t="str">
        <f>VLOOKUP(C829,'RAW DATA 2023'!E:BO,36,0)</f>
        <v>Normal</v>
      </c>
      <c r="J829">
        <f>VLOOKUP(C829,'RAW DATA 2023'!E:BO,21,0)</f>
        <v>27.041409999999999</v>
      </c>
      <c r="K829" s="268">
        <f t="shared" si="64"/>
        <v>277.35395</v>
      </c>
    </row>
    <row r="830" spans="1:11">
      <c r="A830" t="str">
        <f>'RAW DATA 2023'!B823</f>
        <v>SR1</v>
      </c>
      <c r="B830" t="str">
        <f>'RAW DATA 2023'!D823</f>
        <v>A1-026-0029</v>
      </c>
      <c r="C830" t="str">
        <f t="shared" si="60"/>
        <v>SR1A1-026-0029</v>
      </c>
      <c r="D830">
        <f>VLOOKUP(C830,'RAW DATA 2023'!E:BP,63,0)</f>
        <v>12</v>
      </c>
      <c r="E830" t="str">
        <f t="shared" si="61"/>
        <v>SR112</v>
      </c>
      <c r="F830" s="8">
        <f>VLOOKUP(C830,'RAW DATA 2023'!E:BO,23,0)</f>
        <v>88.999964551911475</v>
      </c>
      <c r="G830" s="14">
        <f t="shared" si="62"/>
        <v>-13.999964551911475</v>
      </c>
      <c r="H830" s="25">
        <f t="shared" si="63"/>
        <v>-2.7999929103822954</v>
      </c>
      <c r="I830" s="80" t="str">
        <f>VLOOKUP(C830,'RAW DATA 2023'!E:BO,36,0)</f>
        <v>WSSV</v>
      </c>
      <c r="J830">
        <f>VLOOKUP(C830,'RAW DATA 2023'!E:BO,21,0)</f>
        <v>22.286110000000001</v>
      </c>
      <c r="K830" s="268">
        <f t="shared" si="64"/>
        <v>-62.40094999999998</v>
      </c>
    </row>
    <row r="831" spans="1:11">
      <c r="A831" t="str">
        <f>'RAW DATA 2023'!B824</f>
        <v>SR1</v>
      </c>
      <c r="B831" t="str">
        <f>'RAW DATA 2023'!D824</f>
        <v>C1-050-0015</v>
      </c>
      <c r="C831" t="str">
        <f t="shared" si="60"/>
        <v>SR1C1-050-0015</v>
      </c>
      <c r="D831">
        <f>VLOOKUP(C831,'RAW DATA 2023'!E:BP,63,0)</f>
        <v>6</v>
      </c>
      <c r="E831" t="str">
        <f t="shared" si="61"/>
        <v>SR16</v>
      </c>
      <c r="F831" s="8">
        <f>VLOOKUP(C831,'RAW DATA 2023'!E:BO,23,0)</f>
        <v>28.999266709756917</v>
      </c>
      <c r="G831" s="14">
        <f t="shared" si="62"/>
        <v>46.000733290243083</v>
      </c>
      <c r="H831" s="25">
        <f t="shared" si="63"/>
        <v>9.2001466580486166</v>
      </c>
      <c r="I831" s="80" t="str">
        <f>VLOOKUP(C831,'RAW DATA 2023'!E:BO,36,0)</f>
        <v>Normal</v>
      </c>
      <c r="J831">
        <f>VLOOKUP(C831,'RAW DATA 2023'!E:BO,21,0)</f>
        <v>10.58244</v>
      </c>
      <c r="K831" s="268">
        <f t="shared" si="64"/>
        <v>97.36</v>
      </c>
    </row>
    <row r="832" spans="1:11">
      <c r="A832" t="str">
        <f>'RAW DATA 2023'!B825</f>
        <v>SR1</v>
      </c>
      <c r="B832" t="str">
        <f>'RAW DATA 2023'!D825</f>
        <v>C1-050-0016</v>
      </c>
      <c r="C832" t="str">
        <f t="shared" si="60"/>
        <v>SR1C1-050-0016</v>
      </c>
      <c r="D832">
        <f>VLOOKUP(C832,'RAW DATA 2023'!E:BP,63,0)</f>
        <v>9</v>
      </c>
      <c r="E832" t="str">
        <f t="shared" si="61"/>
        <v>SR19</v>
      </c>
      <c r="F832" s="8">
        <f>VLOOKUP(C832,'RAW DATA 2023'!E:BO,23,0)</f>
        <v>22.254414624743436</v>
      </c>
      <c r="G832" s="14">
        <f t="shared" si="62"/>
        <v>52.745585375256567</v>
      </c>
      <c r="H832" s="25">
        <f t="shared" si="63"/>
        <v>10.549117075051313</v>
      </c>
      <c r="I832" s="80" t="str">
        <f>VLOOKUP(C832,'RAW DATA 2023'!E:BO,36,0)</f>
        <v>Normal</v>
      </c>
      <c r="J832">
        <f>VLOOKUP(C832,'RAW DATA 2023'!E:BO,21,0)</f>
        <v>18.57236</v>
      </c>
      <c r="K832" s="268">
        <f t="shared" si="64"/>
        <v>195.922</v>
      </c>
    </row>
    <row r="833" spans="1:11">
      <c r="A833" t="str">
        <f>'RAW DATA 2023'!B826</f>
        <v>SR1</v>
      </c>
      <c r="B833" t="str">
        <f>'RAW DATA 2023'!D826</f>
        <v>C1-061-0039</v>
      </c>
      <c r="C833" t="str">
        <f t="shared" si="60"/>
        <v>SR1C1-061-0039</v>
      </c>
      <c r="D833">
        <f>VLOOKUP(C833,'RAW DATA 2023'!E:BP,63,0)</f>
        <v>9</v>
      </c>
      <c r="E833" t="str">
        <f t="shared" si="61"/>
        <v>SR19</v>
      </c>
      <c r="F833" s="8">
        <f>VLOOKUP(C833,'RAW DATA 2023'!E:BO,23,0)</f>
        <v>25.198481510228092</v>
      </c>
      <c r="G833" s="14">
        <f t="shared" si="62"/>
        <v>49.801518489771908</v>
      </c>
      <c r="H833" s="25">
        <f t="shared" si="63"/>
        <v>9.960303697954382</v>
      </c>
      <c r="I833" s="80" t="str">
        <f>VLOOKUP(C833,'RAW DATA 2023'!E:BO,36,0)</f>
        <v>Normal</v>
      </c>
      <c r="J833">
        <f>VLOOKUP(C833,'RAW DATA 2023'!E:BO,21,0)</f>
        <v>24.595490000000002</v>
      </c>
      <c r="K833" s="268">
        <f t="shared" si="64"/>
        <v>244.97855000000004</v>
      </c>
    </row>
    <row r="834" spans="1:11">
      <c r="A834" t="str">
        <f>'RAW DATA 2023'!B827</f>
        <v>SR1</v>
      </c>
      <c r="B834" t="str">
        <f>'RAW DATA 2023'!D827</f>
        <v>C1-059-0036</v>
      </c>
      <c r="C834" t="str">
        <f t="shared" si="60"/>
        <v>SR1C1-059-0036</v>
      </c>
      <c r="D834">
        <f>VLOOKUP(C834,'RAW DATA 2023'!E:BP,63,0)</f>
        <v>7</v>
      </c>
      <c r="E834" t="str">
        <f t="shared" si="61"/>
        <v>SR17</v>
      </c>
      <c r="F834" s="8">
        <f>VLOOKUP(C834,'RAW DATA 2023'!E:BO,23,0)</f>
        <v>29.198302561570582</v>
      </c>
      <c r="G834" s="14">
        <f t="shared" si="62"/>
        <v>45.801697438429414</v>
      </c>
      <c r="H834" s="25">
        <f t="shared" si="63"/>
        <v>9.1603394876858832</v>
      </c>
      <c r="I834" s="80" t="str">
        <f>VLOOKUP(C834,'RAW DATA 2023'!E:BO,36,0)</f>
        <v>Normal</v>
      </c>
      <c r="J834">
        <f>VLOOKUP(C834,'RAW DATA 2023'!E:BO,21,0)</f>
        <v>26.795669999999998</v>
      </c>
      <c r="K834" s="268">
        <f t="shared" si="64"/>
        <v>245.45743399999998</v>
      </c>
    </row>
    <row r="835" spans="1:11">
      <c r="A835" t="str">
        <f>'RAW DATA 2023'!B828</f>
        <v>SR1</v>
      </c>
      <c r="B835" t="str">
        <f>'RAW DATA 2023'!D828</f>
        <v>D1-068-0006</v>
      </c>
      <c r="C835" t="str">
        <f t="shared" si="60"/>
        <v>SR1D1-068-0006</v>
      </c>
      <c r="D835">
        <f>VLOOKUP(C835,'RAW DATA 2023'!E:BP,63,0)</f>
        <v>9</v>
      </c>
      <c r="E835" t="str">
        <f t="shared" si="61"/>
        <v>SR19</v>
      </c>
      <c r="F835" s="8">
        <f>VLOOKUP(C835,'RAW DATA 2023'!E:BO,23,0)</f>
        <v>26.048226755679647</v>
      </c>
      <c r="G835" s="14">
        <f t="shared" si="62"/>
        <v>48.95177324432035</v>
      </c>
      <c r="H835" s="25">
        <f t="shared" si="63"/>
        <v>9.7903546488640707</v>
      </c>
      <c r="I835" s="80" t="str">
        <f>VLOOKUP(C835,'RAW DATA 2023'!E:BO,36,0)</f>
        <v>Normal</v>
      </c>
      <c r="J835">
        <f>VLOOKUP(C835,'RAW DATA 2023'!E:BO,21,0)</f>
        <v>25.064509999999999</v>
      </c>
      <c r="K835" s="268">
        <f t="shared" si="64"/>
        <v>245.39044199999998</v>
      </c>
    </row>
    <row r="836" spans="1:11">
      <c r="A836" t="str">
        <f>'RAW DATA 2023'!B829</f>
        <v>SR1</v>
      </c>
      <c r="B836" t="str">
        <f>'RAW DATA 2023'!D829</f>
        <v>D1-067-0005</v>
      </c>
      <c r="C836" t="str">
        <f t="shared" si="60"/>
        <v>SR1D1-067-0005</v>
      </c>
      <c r="D836">
        <f>VLOOKUP(C836,'RAW DATA 2023'!E:BP,63,0)</f>
        <v>9</v>
      </c>
      <c r="E836" t="str">
        <f t="shared" si="61"/>
        <v>SR19</v>
      </c>
      <c r="F836" s="8">
        <f>VLOOKUP(C836,'RAW DATA 2023'!E:BO,23,0)</f>
        <v>30.641764391106772</v>
      </c>
      <c r="G836" s="14">
        <f t="shared" si="62"/>
        <v>44.358235608893224</v>
      </c>
      <c r="H836" s="25">
        <f t="shared" si="63"/>
        <v>8.8716471217786452</v>
      </c>
      <c r="I836" s="80" t="str">
        <f>VLOOKUP(C836,'RAW DATA 2023'!E:BO,36,0)</f>
        <v>Normal</v>
      </c>
      <c r="J836">
        <f>VLOOKUP(C836,'RAW DATA 2023'!E:BO,21,0)</f>
        <v>17.734389999999998</v>
      </c>
      <c r="K836" s="268">
        <f t="shared" si="64"/>
        <v>157.33324999999996</v>
      </c>
    </row>
    <row r="837" spans="1:11">
      <c r="A837" t="str">
        <f>'RAW DATA 2023'!B830</f>
        <v>SR1</v>
      </c>
      <c r="B837" t="str">
        <f>'RAW DATA 2023'!D830</f>
        <v>C1-051-0032</v>
      </c>
      <c r="C837" t="str">
        <f t="shared" si="60"/>
        <v>SR1C1-051-0032</v>
      </c>
      <c r="D837">
        <f>VLOOKUP(C837,'RAW DATA 2023'!E:BP,63,0)</f>
        <v>8</v>
      </c>
      <c r="E837" t="str">
        <f t="shared" si="61"/>
        <v>SR18</v>
      </c>
      <c r="F837" s="8">
        <f>VLOOKUP(C837,'RAW DATA 2023'!E:BO,23,0)</f>
        <v>31.521806682752064</v>
      </c>
      <c r="G837" s="14">
        <f t="shared" si="62"/>
        <v>43.478193317247936</v>
      </c>
      <c r="H837" s="25">
        <f t="shared" si="63"/>
        <v>8.6956386634495875</v>
      </c>
      <c r="I837" s="80" t="str">
        <f>VLOOKUP(C837,'RAW DATA 2023'!E:BO,36,0)</f>
        <v>Normal</v>
      </c>
      <c r="J837">
        <f>VLOOKUP(C837,'RAW DATA 2023'!E:BO,21,0)</f>
        <v>32.824800000000003</v>
      </c>
      <c r="K837" s="268">
        <f t="shared" si="64"/>
        <v>285.43260000000004</v>
      </c>
    </row>
    <row r="838" spans="1:11">
      <c r="A838" t="str">
        <f>'RAW DATA 2023'!B831</f>
        <v>SR1</v>
      </c>
      <c r="B838" t="str">
        <f>'RAW DATA 2023'!D831</f>
        <v>C1-060-0035</v>
      </c>
      <c r="C838" t="str">
        <f t="shared" si="60"/>
        <v>SR1C1-060-0035</v>
      </c>
      <c r="D838">
        <f>VLOOKUP(C838,'RAW DATA 2023'!E:BP,63,0)</f>
        <v>2</v>
      </c>
      <c r="E838" t="str">
        <f t="shared" si="61"/>
        <v>SR12</v>
      </c>
      <c r="F838" s="8">
        <f>VLOOKUP(C838,'RAW DATA 2023'!E:BO,23,0)</f>
        <v>25.752020590843372</v>
      </c>
      <c r="G838" s="14">
        <f t="shared" si="62"/>
        <v>49.247979409156628</v>
      </c>
      <c r="H838" s="25">
        <f t="shared" si="63"/>
        <v>9.8495958818313269</v>
      </c>
      <c r="I838" s="80" t="str">
        <f>VLOOKUP(C838,'RAW DATA 2023'!E:BO,36,0)</f>
        <v>WFD</v>
      </c>
      <c r="J838">
        <f>VLOOKUP(C838,'RAW DATA 2023'!E:BO,21,0)</f>
        <v>19.678650000000001</v>
      </c>
      <c r="K838" s="268">
        <f t="shared" si="64"/>
        <v>193.82675000000006</v>
      </c>
    </row>
    <row r="839" spans="1:11">
      <c r="A839" t="str">
        <f>'RAW DATA 2023'!B832</f>
        <v>SR1</v>
      </c>
      <c r="B839" t="str">
        <f>'RAW DATA 2023'!D832</f>
        <v>C1-060-0036</v>
      </c>
      <c r="C839" t="str">
        <f t="shared" si="60"/>
        <v>SR1C1-060-0036</v>
      </c>
      <c r="D839">
        <f>VLOOKUP(C839,'RAW DATA 2023'!E:BP,63,0)</f>
        <v>12</v>
      </c>
      <c r="E839" t="str">
        <f t="shared" si="61"/>
        <v>SR112</v>
      </c>
      <c r="F839" s="8">
        <f>VLOOKUP(C839,'RAW DATA 2023'!E:BO,23,0)</f>
        <v>34.017539382942068</v>
      </c>
      <c r="G839" s="14">
        <f t="shared" si="62"/>
        <v>40.982460617057932</v>
      </c>
      <c r="H839" s="25">
        <f t="shared" si="63"/>
        <v>8.196492123411586</v>
      </c>
      <c r="I839" s="80" t="str">
        <f>VLOOKUP(C839,'RAW DATA 2023'!E:BO,36,0)</f>
        <v>Normal</v>
      </c>
      <c r="J839">
        <f>VLOOKUP(C839,'RAW DATA 2023'!E:BO,21,0)</f>
        <v>29.627040000000001</v>
      </c>
      <c r="K839" s="268">
        <f t="shared" si="64"/>
        <v>242.83779999999999</v>
      </c>
    </row>
    <row r="840" spans="1:11">
      <c r="A840" t="str">
        <f>'RAW DATA 2023'!B833</f>
        <v>SR1</v>
      </c>
      <c r="B840" t="str">
        <f>'RAW DATA 2023'!D833</f>
        <v>D1-067-0004</v>
      </c>
      <c r="C840" t="str">
        <f t="shared" si="60"/>
        <v>SR1D1-067-0004</v>
      </c>
      <c r="D840">
        <f>VLOOKUP(C840,'RAW DATA 2023'!E:BP,63,0)</f>
        <v>3</v>
      </c>
      <c r="E840" t="str">
        <f t="shared" si="61"/>
        <v>SR13</v>
      </c>
      <c r="F840" s="8">
        <f>VLOOKUP(C840,'RAW DATA 2023'!E:BO,23,0)</f>
        <v>29.793334373637336</v>
      </c>
      <c r="G840" s="14">
        <f t="shared" si="62"/>
        <v>45.206665626362664</v>
      </c>
      <c r="H840" s="25">
        <f t="shared" si="63"/>
        <v>9.0413331252725335</v>
      </c>
      <c r="I840" s="80" t="str">
        <f>VLOOKUP(C840,'RAW DATA 2023'!E:BO,36,0)</f>
        <v>Normal</v>
      </c>
      <c r="J840">
        <f>VLOOKUP(C840,'RAW DATA 2023'!E:BO,21,0)</f>
        <v>20.570910000000001</v>
      </c>
      <c r="K840" s="268">
        <f t="shared" si="64"/>
        <v>185.98845000000003</v>
      </c>
    </row>
    <row r="841" spans="1:11">
      <c r="A841" t="str">
        <f>'RAW DATA 2023'!B834</f>
        <v>SR1</v>
      </c>
      <c r="B841" t="str">
        <f>'RAW DATA 2023'!D834</f>
        <v>D1-062-0038</v>
      </c>
      <c r="C841" t="str">
        <f t="shared" si="60"/>
        <v>SR1D1-062-0038</v>
      </c>
      <c r="D841">
        <f>VLOOKUP(C841,'RAW DATA 2023'!E:BP,63,0)</f>
        <v>12</v>
      </c>
      <c r="E841" t="str">
        <f t="shared" si="61"/>
        <v>SR112</v>
      </c>
      <c r="F841" s="8">
        <f>VLOOKUP(C841,'RAW DATA 2023'!E:BO,23,0)</f>
        <v>42.178401998389084</v>
      </c>
      <c r="G841" s="14">
        <f t="shared" si="62"/>
        <v>32.821598001610916</v>
      </c>
      <c r="H841" s="25">
        <f t="shared" si="63"/>
        <v>6.5643196003221833</v>
      </c>
      <c r="I841" s="80" t="str">
        <f>VLOOKUP(C841,'RAW DATA 2023'!E:BO,36,0)</f>
        <v>EHP</v>
      </c>
      <c r="J841">
        <f>VLOOKUP(C841,'RAW DATA 2023'!E:BO,21,0)</f>
        <v>22.54616</v>
      </c>
      <c r="K841" s="268">
        <f t="shared" si="64"/>
        <v>148.00020000000001</v>
      </c>
    </row>
    <row r="842" spans="1:11">
      <c r="A842" t="str">
        <f>'RAW DATA 2023'!B835</f>
        <v>SR1</v>
      </c>
      <c r="B842" t="str">
        <f>'RAW DATA 2023'!D835</f>
        <v>C1-061-0038</v>
      </c>
      <c r="C842" t="str">
        <f t="shared" ref="C842:C905" si="65">A842&amp;B842</f>
        <v>SR1C1-061-0038</v>
      </c>
      <c r="D842">
        <f>VLOOKUP(C842,'RAW DATA 2023'!E:BP,63,0)</f>
        <v>1</v>
      </c>
      <c r="E842" t="str">
        <f t="shared" ref="E842:E905" si="66">A842&amp;D842</f>
        <v>SR11</v>
      </c>
      <c r="F842" s="8">
        <f>VLOOKUP(C842,'RAW DATA 2023'!E:BO,23,0)</f>
        <v>47.999949878048874</v>
      </c>
      <c r="G842" s="14">
        <f t="shared" si="62"/>
        <v>27.000050121951126</v>
      </c>
      <c r="H842" s="25">
        <f t="shared" si="63"/>
        <v>5.4000100243902258</v>
      </c>
      <c r="I842" s="80" t="str">
        <f>VLOOKUP(C842,'RAW DATA 2023'!E:BO,36,0)</f>
        <v>WFD</v>
      </c>
      <c r="J842">
        <f>VLOOKUP(C842,'RAW DATA 2023'!E:BO,21,0)</f>
        <v>13.56691</v>
      </c>
      <c r="K842" s="268">
        <f t="shared" si="64"/>
        <v>73.261449999999996</v>
      </c>
    </row>
    <row r="843" spans="1:11">
      <c r="A843" t="str">
        <f>'RAW DATA 2023'!B836</f>
        <v>SR1</v>
      </c>
      <c r="B843" t="str">
        <f>'RAW DATA 2023'!D836</f>
        <v>C1-062-0037</v>
      </c>
      <c r="C843" t="str">
        <f t="shared" si="65"/>
        <v>SR1C1-062-0037</v>
      </c>
      <c r="D843">
        <f>VLOOKUP(C843,'RAW DATA 2023'!E:BP,63,0)</f>
        <v>2</v>
      </c>
      <c r="E843" t="str">
        <f t="shared" si="66"/>
        <v>SR12</v>
      </c>
      <c r="F843" s="8">
        <f>VLOOKUP(C843,'RAW DATA 2023'!E:BO,23,0)</f>
        <v>43.111761448219447</v>
      </c>
      <c r="G843" s="14">
        <f t="shared" ref="G843:G906" si="67">IF(F843=0,0,$B$2-F843)</f>
        <v>31.888238551780553</v>
      </c>
      <c r="H843" s="25">
        <f t="shared" ref="H843:H906" si="68">G843*$B$6</f>
        <v>6.3776477103561113</v>
      </c>
      <c r="I843" s="80" t="str">
        <f>VLOOKUP(C843,'RAW DATA 2023'!E:BO,36,0)</f>
        <v>WFD</v>
      </c>
      <c r="J843">
        <f>VLOOKUP(C843,'RAW DATA 2023'!E:BO,21,0)</f>
        <v>17.713889999999999</v>
      </c>
      <c r="K843" s="268">
        <f t="shared" ref="K843:K906" si="69">H843*J843</f>
        <v>112.97295000000001</v>
      </c>
    </row>
    <row r="844" spans="1:11">
      <c r="A844" t="str">
        <f>'RAW DATA 2023'!B837</f>
        <v>SR1</v>
      </c>
      <c r="B844" t="str">
        <f>'RAW DATA 2023'!D837</f>
        <v>D1-066-0037</v>
      </c>
      <c r="C844" t="str">
        <f t="shared" si="65"/>
        <v>SR1D1-066-0037</v>
      </c>
      <c r="D844">
        <f>VLOOKUP(C844,'RAW DATA 2023'!E:BP,63,0)</f>
        <v>3</v>
      </c>
      <c r="E844" t="str">
        <f t="shared" si="66"/>
        <v>SR13</v>
      </c>
      <c r="F844" s="8">
        <f>VLOOKUP(C844,'RAW DATA 2023'!E:BO,23,0)</f>
        <v>53.999949298781594</v>
      </c>
      <c r="G844" s="14">
        <f t="shared" si="67"/>
        <v>21.000050701218406</v>
      </c>
      <c r="H844" s="25">
        <f t="shared" si="68"/>
        <v>4.2000101402436814</v>
      </c>
      <c r="I844" s="80" t="str">
        <f>VLOOKUP(C844,'RAW DATA 2023'!E:BO,36,0)</f>
        <v>WFD</v>
      </c>
      <c r="J844">
        <f>VLOOKUP(C844,'RAW DATA 2023'!E:BO,21,0)</f>
        <v>14.59531</v>
      </c>
      <c r="K844" s="268">
        <f t="shared" si="69"/>
        <v>61.300450000000005</v>
      </c>
    </row>
    <row r="845" spans="1:11">
      <c r="A845" t="str">
        <f>'RAW DATA 2023'!B838</f>
        <v>SR1</v>
      </c>
      <c r="B845" t="str">
        <f>'RAW DATA 2023'!D838</f>
        <v>A1-027-0031</v>
      </c>
      <c r="C845" t="str">
        <f t="shared" si="65"/>
        <v>SR1A1-027-0031</v>
      </c>
      <c r="D845">
        <f>VLOOKUP(C845,'RAW DATA 2023'!E:BP,63,0)</f>
        <v>1</v>
      </c>
      <c r="E845" t="str">
        <f t="shared" si="66"/>
        <v>SR11</v>
      </c>
      <c r="F845" s="8">
        <f>VLOOKUP(C845,'RAW DATA 2023'!E:BO,23,0)</f>
        <v>135.9999089328152</v>
      </c>
      <c r="G845" s="14">
        <f t="shared" si="67"/>
        <v>-60.999908932815202</v>
      </c>
      <c r="H845" s="25">
        <f t="shared" si="68"/>
        <v>-12.199981786563042</v>
      </c>
      <c r="I845" s="80" t="str">
        <f>VLOOKUP(C845,'RAW DATA 2023'!E:BO,36,0)</f>
        <v>WSSV</v>
      </c>
      <c r="J845">
        <f>VLOOKUP(C845,'RAW DATA 2023'!E:BO,21,0)</f>
        <v>5.71007</v>
      </c>
      <c r="K845" s="268">
        <f t="shared" si="69"/>
        <v>-69.662750000000031</v>
      </c>
    </row>
    <row r="846" spans="1:11">
      <c r="A846" t="str">
        <f>'RAW DATA 2023'!B839</f>
        <v>SR1</v>
      </c>
      <c r="B846" t="str">
        <f>'RAW DATA 2023'!D839</f>
        <v>C1-063-0004</v>
      </c>
      <c r="C846" t="str">
        <f t="shared" si="65"/>
        <v>SR1C1-063-0004</v>
      </c>
      <c r="D846">
        <f>VLOOKUP(C846,'RAW DATA 2023'!E:BP,63,0)</f>
        <v>3</v>
      </c>
      <c r="E846" t="str">
        <f t="shared" si="66"/>
        <v>SR13</v>
      </c>
      <c r="F846" s="8">
        <f>VLOOKUP(C846,'RAW DATA 2023'!E:BO,23,0)</f>
        <v>162.9999156112209</v>
      </c>
      <c r="G846" s="14">
        <f t="shared" si="67"/>
        <v>-87.999915611220899</v>
      </c>
      <c r="H846" s="25">
        <f t="shared" si="68"/>
        <v>-17.599983122244179</v>
      </c>
      <c r="I846" s="80" t="str">
        <f>VLOOKUP(C846,'RAW DATA 2023'!E:BO,36,0)</f>
        <v>EHP</v>
      </c>
      <c r="J846">
        <f>VLOOKUP(C846,'RAW DATA 2023'!E:BO,21,0)</f>
        <v>5.6879600000000003</v>
      </c>
      <c r="K846" s="268">
        <f t="shared" si="69"/>
        <v>-100.108</v>
      </c>
    </row>
    <row r="847" spans="1:11">
      <c r="A847" t="str">
        <f>'RAW DATA 2023'!B840</f>
        <v>SR1</v>
      </c>
      <c r="B847" t="str">
        <f>'RAW DATA 2023'!D840</f>
        <v>C1-050-0014</v>
      </c>
      <c r="C847" t="str">
        <f t="shared" si="65"/>
        <v>SR1C1-050-0014</v>
      </c>
      <c r="D847">
        <f>VLOOKUP(C847,'RAW DATA 2023'!E:BP,63,0)</f>
        <v>2</v>
      </c>
      <c r="E847" t="str">
        <f t="shared" si="66"/>
        <v>SR12</v>
      </c>
      <c r="F847" s="8">
        <f>VLOOKUP(C847,'RAW DATA 2023'!E:BO,23,0)</f>
        <v>180.99996038976471</v>
      </c>
      <c r="G847" s="14">
        <f t="shared" si="67"/>
        <v>-105.99996038976471</v>
      </c>
      <c r="H847" s="25">
        <f t="shared" si="68"/>
        <v>-21.199992077952942</v>
      </c>
      <c r="I847" s="80" t="str">
        <f>VLOOKUP(C847,'RAW DATA 2023'!E:BO,36,0)</f>
        <v>EHP</v>
      </c>
      <c r="J847">
        <f>VLOOKUP(C847,'RAW DATA 2023'!E:BO,21,0)</f>
        <v>4.0393600000000003</v>
      </c>
      <c r="K847" s="268">
        <f t="shared" si="69"/>
        <v>-85.634399999999999</v>
      </c>
    </row>
    <row r="848" spans="1:11">
      <c r="A848" t="str">
        <f>'RAW DATA 2023'!B841</f>
        <v>SR1</v>
      </c>
      <c r="B848" t="str">
        <f>'RAW DATA 2023'!D841</f>
        <v>G1-130-0009</v>
      </c>
      <c r="C848" t="str">
        <f t="shared" si="65"/>
        <v>SR1G1-130-0009</v>
      </c>
      <c r="D848">
        <f>VLOOKUP(C848,'RAW DATA 2023'!E:BP,63,0)</f>
        <v>7</v>
      </c>
      <c r="E848" t="str">
        <f t="shared" si="66"/>
        <v>SR17</v>
      </c>
      <c r="F848" s="8">
        <f>VLOOKUP(C848,'RAW DATA 2023'!E:BO,23,0)</f>
        <v>29.255897804910131</v>
      </c>
      <c r="G848" s="14">
        <f t="shared" si="67"/>
        <v>45.744102195089866</v>
      </c>
      <c r="H848" s="25">
        <f t="shared" si="68"/>
        <v>9.1488204390179728</v>
      </c>
      <c r="I848" s="80" t="str">
        <f>VLOOKUP(C848,'RAW DATA 2023'!E:BO,36,0)</f>
        <v>WFD</v>
      </c>
      <c r="J848">
        <f>VLOOKUP(C848,'RAW DATA 2023'!E:BO,21,0)</f>
        <v>12.924299999999999</v>
      </c>
      <c r="K848" s="268">
        <f t="shared" si="69"/>
        <v>118.24209999999998</v>
      </c>
    </row>
    <row r="849" spans="1:11">
      <c r="A849" t="str">
        <f>'RAW DATA 2023'!B842</f>
        <v>SR1</v>
      </c>
      <c r="B849" t="str">
        <f>'RAW DATA 2023'!D842</f>
        <v>G1-128-0006</v>
      </c>
      <c r="C849" t="str">
        <f t="shared" si="65"/>
        <v>SR1G1-128-0006</v>
      </c>
      <c r="D849">
        <f>VLOOKUP(C849,'RAW DATA 2023'!E:BP,63,0)</f>
        <v>11</v>
      </c>
      <c r="E849" t="str">
        <f t="shared" si="66"/>
        <v>SR111</v>
      </c>
      <c r="F849" s="8">
        <f>VLOOKUP(C849,'RAW DATA 2023'!E:BO,23,0)</f>
        <v>23.92141515101946</v>
      </c>
      <c r="G849" s="14">
        <f t="shared" si="67"/>
        <v>51.07858484898054</v>
      </c>
      <c r="H849" s="25">
        <f t="shared" si="68"/>
        <v>10.215716969796109</v>
      </c>
      <c r="I849" s="80" t="str">
        <f>VLOOKUP(C849,'RAW DATA 2023'!E:BO,36,0)</f>
        <v>อัตรารอดต่ำ</v>
      </c>
      <c r="J849">
        <f>VLOOKUP(C849,'RAW DATA 2023'!E:BO,21,0)</f>
        <v>13.082420000000001</v>
      </c>
      <c r="K849" s="268">
        <f t="shared" si="69"/>
        <v>133.64630000000002</v>
      </c>
    </row>
    <row r="850" spans="1:11">
      <c r="A850" t="str">
        <f>'RAW DATA 2023'!B843</f>
        <v>SR1</v>
      </c>
      <c r="B850" t="str">
        <f>'RAW DATA 2023'!D843</f>
        <v>G1-129-0009</v>
      </c>
      <c r="C850" t="str">
        <f t="shared" si="65"/>
        <v>SR1G1-129-0009</v>
      </c>
      <c r="D850">
        <f>VLOOKUP(C850,'RAW DATA 2023'!E:BP,63,0)</f>
        <v>7</v>
      </c>
      <c r="E850" t="str">
        <f t="shared" si="66"/>
        <v>SR17</v>
      </c>
      <c r="F850" s="8">
        <f>VLOOKUP(C850,'RAW DATA 2023'!E:BO,23,0)</f>
        <v>33.000085995378207</v>
      </c>
      <c r="G850" s="14">
        <f t="shared" si="67"/>
        <v>41.999914004621793</v>
      </c>
      <c r="H850" s="25">
        <f t="shared" si="68"/>
        <v>8.3999828009243593</v>
      </c>
      <c r="I850" s="80" t="str">
        <f>VLOOKUP(C850,'RAW DATA 2023'!E:BO,36,0)</f>
        <v>ปรับแผนให้ตรงตามควทมต้องการของโรงงาน</v>
      </c>
      <c r="J850">
        <f>VLOOKUP(C850,'RAW DATA 2023'!E:BO,21,0)</f>
        <v>10.930819999999999</v>
      </c>
      <c r="K850" s="268">
        <f t="shared" si="69"/>
        <v>91.818699999999993</v>
      </c>
    </row>
    <row r="851" spans="1:11">
      <c r="A851" t="str">
        <f>'RAW DATA 2023'!B844</f>
        <v>SR1</v>
      </c>
      <c r="B851" t="str">
        <f>'RAW DATA 2023'!D844</f>
        <v>G1-128-0005</v>
      </c>
      <c r="C851" t="str">
        <f t="shared" si="65"/>
        <v>SR1G1-128-0005</v>
      </c>
      <c r="D851">
        <f>VLOOKUP(C851,'RAW DATA 2023'!E:BP,63,0)</f>
        <v>6</v>
      </c>
      <c r="E851" t="str">
        <f t="shared" si="66"/>
        <v>SR16</v>
      </c>
      <c r="F851" s="8">
        <f>VLOOKUP(C851,'RAW DATA 2023'!E:BO,23,0)</f>
        <v>21.947877933662824</v>
      </c>
      <c r="G851" s="14">
        <f t="shared" si="67"/>
        <v>53.052122066337176</v>
      </c>
      <c r="H851" s="25">
        <f t="shared" si="68"/>
        <v>10.610424413267436</v>
      </c>
      <c r="I851" s="80" t="str">
        <f>VLOOKUP(C851,'RAW DATA 2023'!E:BO,36,0)</f>
        <v>อัตรารอดต่ำ</v>
      </c>
      <c r="J851">
        <f>VLOOKUP(C851,'RAW DATA 2023'!E:BO,21,0)</f>
        <v>12.94116</v>
      </c>
      <c r="K851" s="268">
        <f t="shared" si="69"/>
        <v>137.31120000000001</v>
      </c>
    </row>
    <row r="852" spans="1:11">
      <c r="A852" t="str">
        <f>'RAW DATA 2023'!B845</f>
        <v>SR1</v>
      </c>
      <c r="B852" t="str">
        <f>'RAW DATA 2023'!D845</f>
        <v>A1-028-0036</v>
      </c>
      <c r="C852" t="str">
        <f t="shared" si="65"/>
        <v>SR1A1-028-0036</v>
      </c>
      <c r="D852">
        <f>VLOOKUP(C852,'RAW DATA 2023'!E:BP,63,0)</f>
        <v>5</v>
      </c>
      <c r="E852" t="str">
        <f t="shared" si="66"/>
        <v>SR15</v>
      </c>
      <c r="F852" s="8">
        <f>VLOOKUP(C852,'RAW DATA 2023'!E:BO,23,0)</f>
        <v>22.680336521544415</v>
      </c>
      <c r="G852" s="14">
        <f t="shared" si="67"/>
        <v>52.319663478455581</v>
      </c>
      <c r="H852" s="25">
        <f t="shared" si="68"/>
        <v>10.463932695691117</v>
      </c>
      <c r="I852" s="80" t="str">
        <f>VLOOKUP(C852,'RAW DATA 2023'!E:BO,36,0)</f>
        <v>Normal</v>
      </c>
      <c r="J852">
        <f>VLOOKUP(C852,'RAW DATA 2023'!E:BO,21,0)</f>
        <v>28.134900000000002</v>
      </c>
      <c r="K852" s="268">
        <f t="shared" si="69"/>
        <v>294.40170000000001</v>
      </c>
    </row>
    <row r="853" spans="1:11">
      <c r="A853" t="str">
        <f>'RAW DATA 2023'!B846</f>
        <v>SR1</v>
      </c>
      <c r="B853" t="str">
        <f>'RAW DATA 2023'!D846</f>
        <v>G1-129-0010</v>
      </c>
      <c r="C853" t="str">
        <f t="shared" si="65"/>
        <v>SR1G1-129-0010</v>
      </c>
      <c r="D853">
        <f>VLOOKUP(C853,'RAW DATA 2023'!E:BP,63,0)</f>
        <v>10</v>
      </c>
      <c r="E853" t="str">
        <f t="shared" si="66"/>
        <v>SR110</v>
      </c>
      <c r="F853" s="8">
        <f>VLOOKUP(C853,'RAW DATA 2023'!E:BO,23,0)</f>
        <v>60.9998882518288</v>
      </c>
      <c r="G853" s="14">
        <f t="shared" si="67"/>
        <v>14.0001117481712</v>
      </c>
      <c r="H853" s="25">
        <f t="shared" si="68"/>
        <v>2.80002234963424</v>
      </c>
      <c r="I853" s="80" t="str">
        <f>VLOOKUP(C853,'RAW DATA 2023'!E:BO,36,0)</f>
        <v>EHP</v>
      </c>
      <c r="J853">
        <f>VLOOKUP(C853,'RAW DATA 2023'!E:BO,21,0)</f>
        <v>8.1433099999999996</v>
      </c>
      <c r="K853" s="268">
        <f t="shared" si="69"/>
        <v>22.801450000000003</v>
      </c>
    </row>
    <row r="854" spans="1:11">
      <c r="A854" t="str">
        <f>'RAW DATA 2023'!B847</f>
        <v>SR1</v>
      </c>
      <c r="B854" t="str">
        <f>'RAW DATA 2023'!D847</f>
        <v>G1-129-0008</v>
      </c>
      <c r="C854" t="str">
        <f t="shared" si="65"/>
        <v>SR1G1-129-0008</v>
      </c>
      <c r="D854">
        <f>VLOOKUP(C854,'RAW DATA 2023'!E:BP,63,0)</f>
        <v>2</v>
      </c>
      <c r="E854" t="str">
        <f t="shared" si="66"/>
        <v>SR12</v>
      </c>
      <c r="F854" s="8">
        <f>VLOOKUP(C854,'RAW DATA 2023'!E:BO,23,0)</f>
        <v>73.999982335744505</v>
      </c>
      <c r="G854" s="14">
        <f t="shared" si="67"/>
        <v>1.0000176642554948</v>
      </c>
      <c r="H854" s="25">
        <f t="shared" si="68"/>
        <v>0.20000353285109895</v>
      </c>
      <c r="I854" s="80" t="str">
        <f>VLOOKUP(C854,'RAW DATA 2023'!E:BO,36,0)</f>
        <v>EHP</v>
      </c>
      <c r="J854">
        <f>VLOOKUP(C854,'RAW DATA 2023'!E:BO,21,0)</f>
        <v>7.9256099999999998</v>
      </c>
      <c r="K854" s="268">
        <f t="shared" si="69"/>
        <v>1.5851499999999983</v>
      </c>
    </row>
    <row r="855" spans="1:11">
      <c r="A855" t="str">
        <f>'RAW DATA 2023'!B848</f>
        <v>SR1</v>
      </c>
      <c r="B855" t="str">
        <f>'RAW DATA 2023'!D848</f>
        <v>G1-130-0010</v>
      </c>
      <c r="C855" t="str">
        <f t="shared" si="65"/>
        <v>SR1G1-130-0010</v>
      </c>
      <c r="D855">
        <f>VLOOKUP(C855,'RAW DATA 2023'!E:BP,63,0)</f>
        <v>10</v>
      </c>
      <c r="E855" t="str">
        <f t="shared" si="66"/>
        <v>SR110</v>
      </c>
      <c r="F855" s="8">
        <f>VLOOKUP(C855,'RAW DATA 2023'!E:BO,23,0)</f>
        <v>117.0000164371198</v>
      </c>
      <c r="G855" s="14">
        <f t="shared" si="67"/>
        <v>-42.000016437119797</v>
      </c>
      <c r="H855" s="25">
        <f t="shared" si="68"/>
        <v>-8.4000032874239601</v>
      </c>
      <c r="I855" s="80" t="str">
        <f>VLOOKUP(C855,'RAW DATA 2023'!E:BO,36,0)</f>
        <v>EHP</v>
      </c>
      <c r="J855">
        <f>VLOOKUP(C855,'RAW DATA 2023'!E:BO,21,0)</f>
        <v>6.69217</v>
      </c>
      <c r="K855" s="268">
        <f t="shared" si="69"/>
        <v>-56.21425</v>
      </c>
    </row>
    <row r="856" spans="1:11">
      <c r="A856" t="str">
        <f>'RAW DATA 2023'!B849</f>
        <v>SR1</v>
      </c>
      <c r="B856" t="str">
        <f>'RAW DATA 2023'!D849</f>
        <v>H1-095-0037</v>
      </c>
      <c r="C856" t="str">
        <f t="shared" si="65"/>
        <v>SR1H1-095-0037</v>
      </c>
      <c r="D856">
        <f>VLOOKUP(C856,'RAW DATA 2023'!E:BP,63,0)</f>
        <v>1</v>
      </c>
      <c r="E856" t="str">
        <f t="shared" si="66"/>
        <v>SR11</v>
      </c>
      <c r="F856" s="8">
        <f>VLOOKUP(C856,'RAW DATA 2023'!E:BO,23,0)</f>
        <v>89.000018291976531</v>
      </c>
      <c r="G856" s="14">
        <f t="shared" si="67"/>
        <v>-14.000018291976531</v>
      </c>
      <c r="H856" s="25">
        <f t="shared" si="68"/>
        <v>-2.8000036583953065</v>
      </c>
      <c r="I856" s="80" t="str">
        <f>VLOOKUP(C856,'RAW DATA 2023'!E:BO,36,0)</f>
        <v>EHP</v>
      </c>
      <c r="J856">
        <f>VLOOKUP(C856,'RAW DATA 2023'!E:BO,21,0)</f>
        <v>4.9201899999999998</v>
      </c>
      <c r="K856" s="268">
        <f t="shared" si="69"/>
        <v>-13.776550000000002</v>
      </c>
    </row>
    <row r="857" spans="1:11">
      <c r="A857" t="str">
        <f>'RAW DATA 2023'!B850</f>
        <v>SR1</v>
      </c>
      <c r="B857" t="str">
        <f>'RAW DATA 2023'!D850</f>
        <v>H1-092-0039</v>
      </c>
      <c r="C857" t="str">
        <f t="shared" si="65"/>
        <v>SR1H1-092-0039</v>
      </c>
      <c r="D857">
        <f>VLOOKUP(C857,'RAW DATA 2023'!E:BP,63,0)</f>
        <v>1</v>
      </c>
      <c r="E857" t="str">
        <f t="shared" si="66"/>
        <v>SR11</v>
      </c>
      <c r="F857" s="8">
        <f>VLOOKUP(C857,'RAW DATA 2023'!E:BO,23,0)</f>
        <v>81.99986490441988</v>
      </c>
      <c r="G857" s="14">
        <f t="shared" si="67"/>
        <v>-6.99986490441988</v>
      </c>
      <c r="H857" s="25">
        <f t="shared" si="68"/>
        <v>-1.399972980883976</v>
      </c>
      <c r="I857" s="80" t="str">
        <f>VLOOKUP(C857,'RAW DATA 2023'!E:BO,36,0)</f>
        <v>EHP</v>
      </c>
      <c r="J857">
        <f>VLOOKUP(C857,'RAW DATA 2023'!E:BO,21,0)</f>
        <v>4.4413</v>
      </c>
      <c r="K857" s="268">
        <f t="shared" si="69"/>
        <v>-6.2177000000000024</v>
      </c>
    </row>
    <row r="858" spans="1:11">
      <c r="A858" t="str">
        <f>'RAW DATA 2023'!B851</f>
        <v>SR1</v>
      </c>
      <c r="B858" t="str">
        <f>'RAW DATA 2023'!D851</f>
        <v>H1-126-0008</v>
      </c>
      <c r="C858" t="str">
        <f t="shared" si="65"/>
        <v>SR1H1-126-0008</v>
      </c>
      <c r="D858">
        <f>VLOOKUP(C858,'RAW DATA 2023'!E:BP,63,0)</f>
        <v>2</v>
      </c>
      <c r="E858" t="str">
        <f t="shared" si="66"/>
        <v>SR12</v>
      </c>
      <c r="F858" s="8">
        <f>VLOOKUP(C858,'RAW DATA 2023'!E:BO,23,0)</f>
        <v>108.00024263641799</v>
      </c>
      <c r="G858" s="14">
        <f t="shared" si="67"/>
        <v>-33.000242636417994</v>
      </c>
      <c r="H858" s="25">
        <f t="shared" si="68"/>
        <v>-6.6000485272835991</v>
      </c>
      <c r="I858" s="80" t="str">
        <f>VLOOKUP(C858,'RAW DATA 2023'!E:BO,36,0)</f>
        <v>EHP</v>
      </c>
      <c r="J858">
        <f>VLOOKUP(C858,'RAW DATA 2023'!E:BO,21,0)</f>
        <v>5.7699499999999997</v>
      </c>
      <c r="K858" s="268">
        <f t="shared" si="69"/>
        <v>-38.081949999999999</v>
      </c>
    </row>
    <row r="859" spans="1:11">
      <c r="A859" t="str">
        <f>'RAW DATA 2023'!B852</f>
        <v>SR1</v>
      </c>
      <c r="B859" t="str">
        <f>'RAW DATA 2023'!D852</f>
        <v>G1-130-0008</v>
      </c>
      <c r="C859" t="str">
        <f t="shared" si="65"/>
        <v>SR1G1-130-0008</v>
      </c>
      <c r="D859">
        <f>VLOOKUP(C859,'RAW DATA 2023'!E:BP,63,0)</f>
        <v>2</v>
      </c>
      <c r="E859" t="str">
        <f t="shared" si="66"/>
        <v>SR12</v>
      </c>
      <c r="F859" s="8">
        <f>VLOOKUP(C859,'RAW DATA 2023'!E:BO,23,0)</f>
        <v>91.000006929574738</v>
      </c>
      <c r="G859" s="14">
        <f t="shared" si="67"/>
        <v>-16.000006929574738</v>
      </c>
      <c r="H859" s="25">
        <f t="shared" si="68"/>
        <v>-3.2000013859149479</v>
      </c>
      <c r="I859" s="80" t="str">
        <f>VLOOKUP(C859,'RAW DATA 2023'!E:BO,36,0)</f>
        <v>EHP</v>
      </c>
      <c r="J859">
        <f>VLOOKUP(C859,'RAW DATA 2023'!E:BO,21,0)</f>
        <v>7.2154499999999997</v>
      </c>
      <c r="K859" s="268">
        <f t="shared" si="69"/>
        <v>-23.08945000000001</v>
      </c>
    </row>
    <row r="860" spans="1:11">
      <c r="A860" t="str">
        <f>'RAW DATA 2023'!B853</f>
        <v>SR1</v>
      </c>
      <c r="B860" t="str">
        <f>'RAW DATA 2023'!D853</f>
        <v>H1-125-0010</v>
      </c>
      <c r="C860" t="str">
        <f t="shared" si="65"/>
        <v>SR1H1-125-0010</v>
      </c>
      <c r="D860">
        <f>VLOOKUP(C860,'RAW DATA 2023'!E:BP,63,0)</f>
        <v>3</v>
      </c>
      <c r="E860" t="str">
        <f t="shared" si="66"/>
        <v>SR13</v>
      </c>
      <c r="F860" s="8">
        <f>VLOOKUP(C860,'RAW DATA 2023'!E:BO,23,0)</f>
        <v>132.99996406798337</v>
      </c>
      <c r="G860" s="14">
        <f t="shared" si="67"/>
        <v>-57.99996406798337</v>
      </c>
      <c r="H860" s="25">
        <f t="shared" si="68"/>
        <v>-11.599992813596675</v>
      </c>
      <c r="I860" s="80" t="str">
        <f>VLOOKUP(C860,'RAW DATA 2023'!E:BO,36,0)</f>
        <v>WFD</v>
      </c>
      <c r="J860">
        <f>VLOOKUP(C860,'RAW DATA 2023'!E:BO,21,0)</f>
        <v>4.17455</v>
      </c>
      <c r="K860" s="268">
        <f t="shared" si="69"/>
        <v>-48.424749999999996</v>
      </c>
    </row>
    <row r="861" spans="1:11">
      <c r="A861" t="str">
        <f>'RAW DATA 2023'!B854</f>
        <v>SR1</v>
      </c>
      <c r="B861" t="str">
        <f>'RAW DATA 2023'!D854</f>
        <v>H1-126-0009</v>
      </c>
      <c r="C861" t="str">
        <f t="shared" si="65"/>
        <v>SR1H1-126-0009</v>
      </c>
      <c r="D861">
        <f>VLOOKUP(C861,'RAW DATA 2023'!E:BP,63,0)</f>
        <v>6</v>
      </c>
      <c r="E861" t="str">
        <f t="shared" si="66"/>
        <v>SR16</v>
      </c>
      <c r="F861" s="8">
        <f>VLOOKUP(C861,'RAW DATA 2023'!E:BO,23,0)</f>
        <v>56.999796166834699</v>
      </c>
      <c r="G861" s="14">
        <f t="shared" si="67"/>
        <v>18.000203833165301</v>
      </c>
      <c r="H861" s="25">
        <f t="shared" si="68"/>
        <v>3.6000407666330605</v>
      </c>
      <c r="I861" s="80" t="str">
        <f>VLOOKUP(C861,'RAW DATA 2023'!E:BO,36,0)</f>
        <v>จับกุ้งฉุกเฉินเนื่องจากไฟดับ</v>
      </c>
      <c r="J861">
        <f>VLOOKUP(C861,'RAW DATA 2023'!E:BO,21,0)</f>
        <v>9.0760499999999986</v>
      </c>
      <c r="K861" s="268">
        <f t="shared" si="69"/>
        <v>32.674149999999983</v>
      </c>
    </row>
    <row r="862" spans="1:11">
      <c r="A862" t="str">
        <f>'RAW DATA 2023'!B855</f>
        <v>SR1</v>
      </c>
      <c r="B862" t="str">
        <f>'RAW DATA 2023'!D855</f>
        <v>H1-125-0011</v>
      </c>
      <c r="C862" t="str">
        <f t="shared" si="65"/>
        <v>SR1H1-125-0011</v>
      </c>
      <c r="D862">
        <f>VLOOKUP(C862,'RAW DATA 2023'!E:BP,63,0)</f>
        <v>7</v>
      </c>
      <c r="E862" t="str">
        <f t="shared" si="66"/>
        <v>SR17</v>
      </c>
      <c r="F862" s="8">
        <f>VLOOKUP(C862,'RAW DATA 2023'!E:BO,23,0)</f>
        <v>60.000082383180654</v>
      </c>
      <c r="G862" s="14">
        <f t="shared" si="67"/>
        <v>14.999917616819346</v>
      </c>
      <c r="H862" s="25">
        <f t="shared" si="68"/>
        <v>2.9999835233638694</v>
      </c>
      <c r="I862" s="80" t="str">
        <f>VLOOKUP(C862,'RAW DATA 2023'!E:BO,36,0)</f>
        <v>WFD</v>
      </c>
      <c r="J862">
        <f>VLOOKUP(C862,'RAW DATA 2023'!E:BO,21,0)</f>
        <v>4.8553599999999992</v>
      </c>
      <c r="K862" s="268">
        <f t="shared" si="69"/>
        <v>14.565999999999995</v>
      </c>
    </row>
    <row r="863" spans="1:11">
      <c r="A863" t="str">
        <f>'RAW DATA 2023'!B856</f>
        <v>SR1</v>
      </c>
      <c r="B863" t="str">
        <f>'RAW DATA 2023'!D856</f>
        <v>H1-095-0038</v>
      </c>
      <c r="C863" t="str">
        <f t="shared" si="65"/>
        <v>SR1H1-095-0038</v>
      </c>
      <c r="D863">
        <f>VLOOKUP(C863,'RAW DATA 2023'!E:BP,63,0)</f>
        <v>6</v>
      </c>
      <c r="E863" t="str">
        <f t="shared" si="66"/>
        <v>SR16</v>
      </c>
      <c r="F863" s="8">
        <f>VLOOKUP(C863,'RAW DATA 2023'!E:BO,23,0)</f>
        <v>82.000003149412862</v>
      </c>
      <c r="G863" s="14">
        <f t="shared" si="67"/>
        <v>-7.0000031494128621</v>
      </c>
      <c r="H863" s="25">
        <f t="shared" si="68"/>
        <v>-1.4000006298825725</v>
      </c>
      <c r="I863" s="80" t="str">
        <f>VLOOKUP(C863,'RAW DATA 2023'!E:BO,36,0)</f>
        <v>WFD</v>
      </c>
      <c r="J863">
        <f>VLOOKUP(C863,'RAW DATA 2023'!E:BO,21,0)</f>
        <v>6.35039</v>
      </c>
      <c r="K863" s="268">
        <f t="shared" si="69"/>
        <v>-8.8905499999999886</v>
      </c>
    </row>
    <row r="864" spans="1:11">
      <c r="A864" t="str">
        <f>'RAW DATA 2023'!B857</f>
        <v>SR1</v>
      </c>
      <c r="B864" t="str">
        <f>'RAW DATA 2023'!D857</f>
        <v>H1-094-0029</v>
      </c>
      <c r="C864" t="str">
        <f t="shared" si="65"/>
        <v>SR1H1-094-0029</v>
      </c>
      <c r="D864">
        <f>VLOOKUP(C864,'RAW DATA 2023'!E:BP,63,0)</f>
        <v>7</v>
      </c>
      <c r="E864" t="str">
        <f t="shared" si="66"/>
        <v>SR17</v>
      </c>
      <c r="F864" s="8">
        <f>VLOOKUP(C864,'RAW DATA 2023'!E:BO,23,0)</f>
        <v>78.000051586348079</v>
      </c>
      <c r="G864" s="14">
        <f t="shared" si="67"/>
        <v>-3.0000515863480786</v>
      </c>
      <c r="H864" s="25">
        <f t="shared" si="68"/>
        <v>-0.60001031726961573</v>
      </c>
      <c r="I864" s="80" t="str">
        <f>VLOOKUP(C864,'RAW DATA 2023'!E:BO,36,0)</f>
        <v>WFD</v>
      </c>
      <c r="J864">
        <f>VLOOKUP(C864,'RAW DATA 2023'!E:BO,21,0)</f>
        <v>7.3662900000000002</v>
      </c>
      <c r="K864" s="268">
        <f t="shared" si="69"/>
        <v>-4.4198499999999976</v>
      </c>
    </row>
    <row r="865" spans="1:11">
      <c r="A865" t="str">
        <f>'RAW DATA 2023'!B858</f>
        <v>Nakornfarm</v>
      </c>
      <c r="B865" t="str">
        <f>'RAW DATA 2023'!D858</f>
        <v>BG-113-0010</v>
      </c>
      <c r="C865" t="str">
        <f t="shared" si="65"/>
        <v>NakornfarmBG-113-0010</v>
      </c>
      <c r="D865">
        <f>VLOOKUP(C865,'RAW DATA 2023'!E:BP,63,0)</f>
        <v>10</v>
      </c>
      <c r="E865" t="str">
        <f t="shared" si="66"/>
        <v>Nakornfarm10</v>
      </c>
      <c r="F865" s="8">
        <f>VLOOKUP(C865,'RAW DATA 2023'!E:BO,23,0)</f>
        <v>26.196288887882261</v>
      </c>
      <c r="G865" s="14">
        <f t="shared" si="67"/>
        <v>48.803711112117739</v>
      </c>
      <c r="H865" s="25">
        <f t="shared" si="68"/>
        <v>9.7607422224235485</v>
      </c>
      <c r="I865" s="80" t="str">
        <f>VLOOKUP(C865,'RAW DATA 2023'!E:BO,36,0)</f>
        <v>Normal</v>
      </c>
      <c r="J865">
        <f>VLOOKUP(C865,'RAW DATA 2023'!E:BO,21,0)</f>
        <v>16.777720000000002</v>
      </c>
      <c r="K865" s="268">
        <f t="shared" si="69"/>
        <v>163.76300000000003</v>
      </c>
    </row>
    <row r="866" spans="1:11">
      <c r="A866" t="str">
        <f>'RAW DATA 2023'!B859</f>
        <v>Nakornfarm</v>
      </c>
      <c r="B866" t="str">
        <f>'RAW DATA 2023'!D859</f>
        <v>BG-101-0010</v>
      </c>
      <c r="C866" t="str">
        <f t="shared" si="65"/>
        <v>NakornfarmBG-101-0010</v>
      </c>
      <c r="D866">
        <f>VLOOKUP(C866,'RAW DATA 2023'!E:BP,63,0)</f>
        <v>7</v>
      </c>
      <c r="E866" t="str">
        <f t="shared" si="66"/>
        <v>Nakornfarm7</v>
      </c>
      <c r="F866" s="8">
        <f>VLOOKUP(C866,'RAW DATA 2023'!E:BO,23,0)</f>
        <v>22.770579464239805</v>
      </c>
      <c r="G866" s="14">
        <f t="shared" si="67"/>
        <v>52.229420535760198</v>
      </c>
      <c r="H866" s="25">
        <f t="shared" si="68"/>
        <v>10.44588410715204</v>
      </c>
      <c r="I866" s="80" t="str">
        <f>VLOOKUP(C866,'RAW DATA 2023'!E:BO,36,0)</f>
        <v>Normal</v>
      </c>
      <c r="J866">
        <f>VLOOKUP(C866,'RAW DATA 2023'!E:BO,21,0)</f>
        <v>15.559200000000001</v>
      </c>
      <c r="K866" s="268">
        <f t="shared" si="69"/>
        <v>162.52960000000002</v>
      </c>
    </row>
    <row r="867" spans="1:11">
      <c r="A867" t="str">
        <f>'RAW DATA 2023'!B860</f>
        <v>Nakornfarm</v>
      </c>
      <c r="B867" t="str">
        <f>'RAW DATA 2023'!D860</f>
        <v>BG-119-0010</v>
      </c>
      <c r="C867" t="str">
        <f t="shared" si="65"/>
        <v>NakornfarmBG-119-0010</v>
      </c>
      <c r="D867">
        <f>VLOOKUP(C867,'RAW DATA 2023'!E:BP,63,0)</f>
        <v>5</v>
      </c>
      <c r="E867" t="str">
        <f t="shared" si="66"/>
        <v>Nakornfarm5</v>
      </c>
      <c r="F867" s="8">
        <f>VLOOKUP(C867,'RAW DATA 2023'!E:BO,23,0)</f>
        <v>27.94104411761829</v>
      </c>
      <c r="G867" s="14">
        <f t="shared" si="67"/>
        <v>47.05895588238171</v>
      </c>
      <c r="H867" s="25">
        <f t="shared" si="68"/>
        <v>9.411791176476342</v>
      </c>
      <c r="I867" s="80" t="str">
        <f>VLOOKUP(C867,'RAW DATA 2023'!E:BO,36,0)</f>
        <v>Normal</v>
      </c>
      <c r="J867">
        <f>VLOOKUP(C867,'RAW DATA 2023'!E:BO,21,0)</f>
        <v>20.44444</v>
      </c>
      <c r="K867" s="268">
        <f t="shared" si="69"/>
        <v>192.41879999999998</v>
      </c>
    </row>
    <row r="868" spans="1:11">
      <c r="A868" t="str">
        <f>'RAW DATA 2023'!B861</f>
        <v>Nakornfarm</v>
      </c>
      <c r="B868" t="str">
        <f>'RAW DATA 2023'!D861</f>
        <v>BG-116-0011</v>
      </c>
      <c r="C868" t="str">
        <f t="shared" si="65"/>
        <v>NakornfarmBG-116-0011</v>
      </c>
      <c r="D868">
        <f>VLOOKUP(C868,'RAW DATA 2023'!E:BP,63,0)</f>
        <v>10</v>
      </c>
      <c r="E868" t="str">
        <f t="shared" si="66"/>
        <v>Nakornfarm10</v>
      </c>
      <c r="F868" s="8">
        <f>VLOOKUP(C868,'RAW DATA 2023'!E:BO,23,0)</f>
        <v>28.654698376821553</v>
      </c>
      <c r="G868" s="14">
        <f t="shared" si="67"/>
        <v>46.345301623178443</v>
      </c>
      <c r="H868" s="25">
        <f t="shared" si="68"/>
        <v>9.2690603246356886</v>
      </c>
      <c r="I868" s="80" t="str">
        <f>VLOOKUP(C868,'RAW DATA 2023'!E:BO,36,0)</f>
        <v>Normal</v>
      </c>
      <c r="J868">
        <f>VLOOKUP(C868,'RAW DATA 2023'!E:BO,21,0)</f>
        <v>23.165659999999999</v>
      </c>
      <c r="K868" s="268">
        <f t="shared" si="69"/>
        <v>214.72389999999999</v>
      </c>
    </row>
    <row r="869" spans="1:11">
      <c r="A869" t="str">
        <f>'RAW DATA 2023'!B862</f>
        <v>Nakornfarm</v>
      </c>
      <c r="B869" t="str">
        <f>'RAW DATA 2023'!D862</f>
        <v>BG-119-0011</v>
      </c>
      <c r="C869" t="str">
        <f t="shared" si="65"/>
        <v>NakornfarmBG-119-0011</v>
      </c>
      <c r="D869">
        <f>VLOOKUP(C869,'RAW DATA 2023'!E:BP,63,0)</f>
        <v>10</v>
      </c>
      <c r="E869" t="str">
        <f t="shared" si="66"/>
        <v>Nakornfarm10</v>
      </c>
      <c r="F869" s="8">
        <f>VLOOKUP(C869,'RAW DATA 2023'!E:BO,23,0)</f>
        <v>30.858883198810037</v>
      </c>
      <c r="G869" s="14">
        <f t="shared" si="67"/>
        <v>44.141116801189966</v>
      </c>
      <c r="H869" s="25">
        <f t="shared" si="68"/>
        <v>8.8282233602379936</v>
      </c>
      <c r="I869" s="80" t="str">
        <f>VLOOKUP(C869,'RAW DATA 2023'!E:BO,36,0)</f>
        <v>Normal</v>
      </c>
      <c r="J869">
        <f>VLOOKUP(C869,'RAW DATA 2023'!E:BO,21,0)</f>
        <v>19.523259999999997</v>
      </c>
      <c r="K869" s="268">
        <f t="shared" si="69"/>
        <v>172.35569999999998</v>
      </c>
    </row>
    <row r="870" spans="1:11">
      <c r="A870" t="str">
        <f>'RAW DATA 2023'!B863</f>
        <v>Nakornfarm</v>
      </c>
      <c r="B870" t="str">
        <f>'RAW DATA 2023'!D863</f>
        <v>BG-110-0011</v>
      </c>
      <c r="C870" t="str">
        <f t="shared" si="65"/>
        <v>NakornfarmBG-110-0011</v>
      </c>
      <c r="D870">
        <f>VLOOKUP(C870,'RAW DATA 2023'!E:BP,63,0)</f>
        <v>6</v>
      </c>
      <c r="E870" t="str">
        <f t="shared" si="66"/>
        <v>Nakornfarm6</v>
      </c>
      <c r="F870" s="8">
        <f>VLOOKUP(C870,'RAW DATA 2023'!E:BO,23,0)</f>
        <v>26.614801838323764</v>
      </c>
      <c r="G870" s="14">
        <f t="shared" si="67"/>
        <v>48.385198161676236</v>
      </c>
      <c r="H870" s="25">
        <f t="shared" si="68"/>
        <v>9.6770396323352479</v>
      </c>
      <c r="I870" s="80" t="str">
        <f>VLOOKUP(C870,'RAW DATA 2023'!E:BO,36,0)</f>
        <v>Normal</v>
      </c>
      <c r="J870">
        <f>VLOOKUP(C870,'RAW DATA 2023'!E:BO,21,0)</f>
        <v>17.827110000000001</v>
      </c>
      <c r="K870" s="268">
        <f t="shared" si="69"/>
        <v>172.51365000000004</v>
      </c>
    </row>
    <row r="871" spans="1:11">
      <c r="A871" t="str">
        <f>'RAW DATA 2023'!B864</f>
        <v>Nakornfarm</v>
      </c>
      <c r="B871" t="str">
        <f>'RAW DATA 2023'!D864</f>
        <v>BG-102-0011</v>
      </c>
      <c r="C871" t="str">
        <f t="shared" si="65"/>
        <v>NakornfarmBG-102-0011</v>
      </c>
      <c r="D871">
        <f>VLOOKUP(C871,'RAW DATA 2023'!E:BP,63,0)</f>
        <v>9</v>
      </c>
      <c r="E871" t="str">
        <f t="shared" si="66"/>
        <v>Nakornfarm9</v>
      </c>
      <c r="F871" s="8">
        <f>VLOOKUP(C871,'RAW DATA 2023'!E:BO,23,0)</f>
        <v>39.691833409525152</v>
      </c>
      <c r="G871" s="14">
        <f t="shared" si="67"/>
        <v>35.308166590474848</v>
      </c>
      <c r="H871" s="25">
        <f t="shared" si="68"/>
        <v>7.0616333180949695</v>
      </c>
      <c r="I871" s="80" t="str">
        <f>VLOOKUP(C871,'RAW DATA 2023'!E:BO,36,0)</f>
        <v>Normal</v>
      </c>
      <c r="J871">
        <f>VLOOKUP(C871,'RAW DATA 2023'!E:BO,21,0)</f>
        <v>15.355979999999999</v>
      </c>
      <c r="K871" s="268">
        <f t="shared" si="69"/>
        <v>108.43829999999998</v>
      </c>
    </row>
    <row r="872" spans="1:11">
      <c r="A872" t="str">
        <f>'RAW DATA 2023'!B865</f>
        <v>Nakornfarm</v>
      </c>
      <c r="B872" t="str">
        <f>'RAW DATA 2023'!D865</f>
        <v>BG-111-0010</v>
      </c>
      <c r="C872" t="str">
        <f t="shared" si="65"/>
        <v>NakornfarmBG-111-0010</v>
      </c>
      <c r="D872">
        <f>VLOOKUP(C872,'RAW DATA 2023'!E:BP,63,0)</f>
        <v>6</v>
      </c>
      <c r="E872" t="str">
        <f t="shared" si="66"/>
        <v>Nakornfarm6</v>
      </c>
      <c r="F872" s="8">
        <f>VLOOKUP(C872,'RAW DATA 2023'!E:BO,23,0)</f>
        <v>29.356624288558585</v>
      </c>
      <c r="G872" s="14">
        <f t="shared" si="67"/>
        <v>45.643375711441415</v>
      </c>
      <c r="H872" s="25">
        <f t="shared" si="68"/>
        <v>9.1286751422882837</v>
      </c>
      <c r="I872" s="80" t="str">
        <f>VLOOKUP(C872,'RAW DATA 2023'!E:BO,36,0)</f>
        <v>Normal</v>
      </c>
      <c r="J872">
        <f>VLOOKUP(C872,'RAW DATA 2023'!E:BO,21,0)</f>
        <v>29.698509999999999</v>
      </c>
      <c r="K872" s="268">
        <f t="shared" si="69"/>
        <v>271.10804999999999</v>
      </c>
    </row>
    <row r="873" spans="1:11">
      <c r="A873" t="str">
        <f>'RAW DATA 2023'!B866</f>
        <v>Nakornfarm</v>
      </c>
      <c r="B873" t="str">
        <f>'RAW DATA 2023'!D866</f>
        <v>BG-116-0009</v>
      </c>
      <c r="C873" t="str">
        <f t="shared" si="65"/>
        <v>NakornfarmBG-116-0009</v>
      </c>
      <c r="D873">
        <f>VLOOKUP(C873,'RAW DATA 2023'!E:BP,63,0)</f>
        <v>3</v>
      </c>
      <c r="E873" t="str">
        <f t="shared" si="66"/>
        <v>Nakornfarm3</v>
      </c>
      <c r="F873" s="8">
        <f>VLOOKUP(C873,'RAW DATA 2023'!E:BO,23,0)</f>
        <v>117.00005475614782</v>
      </c>
      <c r="G873" s="14">
        <f t="shared" si="67"/>
        <v>-42.000054756147819</v>
      </c>
      <c r="H873" s="25">
        <f t="shared" si="68"/>
        <v>-8.4000109512295644</v>
      </c>
      <c r="I873" s="80" t="str">
        <f>VLOOKUP(C873,'RAW DATA 2023'!E:BO,36,0)</f>
        <v>EHP</v>
      </c>
      <c r="J873">
        <f>VLOOKUP(C873,'RAW DATA 2023'!E:BO,21,0)</f>
        <v>3.4699299999999997</v>
      </c>
      <c r="K873" s="268">
        <f t="shared" si="69"/>
        <v>-29.147449999999999</v>
      </c>
    </row>
    <row r="874" spans="1:11">
      <c r="A874" t="str">
        <f>'RAW DATA 2023'!B867</f>
        <v>Nakornfarm</v>
      </c>
      <c r="B874" t="str">
        <f>'RAW DATA 2023'!D867</f>
        <v>BG-102-0010</v>
      </c>
      <c r="C874" t="str">
        <f t="shared" si="65"/>
        <v>NakornfarmBG-102-0010</v>
      </c>
      <c r="D874">
        <f>VLOOKUP(C874,'RAW DATA 2023'!E:BP,63,0)</f>
        <v>2</v>
      </c>
      <c r="E874" t="str">
        <f t="shared" si="66"/>
        <v>Nakornfarm2</v>
      </c>
      <c r="F874" s="8">
        <f>VLOOKUP(C874,'RAW DATA 2023'!E:BO,23,0)</f>
        <v>121.00008023911256</v>
      </c>
      <c r="G874" s="14">
        <f t="shared" si="67"/>
        <v>-46.000080239112563</v>
      </c>
      <c r="H874" s="25">
        <f t="shared" si="68"/>
        <v>-9.2000160478225137</v>
      </c>
      <c r="I874" s="80" t="str">
        <f>VLOOKUP(C874,'RAW DATA 2023'!E:BO,36,0)</f>
        <v>EHP</v>
      </c>
      <c r="J874">
        <f>VLOOKUP(C874,'RAW DATA 2023'!E:BO,21,0)</f>
        <v>3.9880800000000001</v>
      </c>
      <c r="K874" s="268">
        <f t="shared" si="69"/>
        <v>-36.690400000000011</v>
      </c>
    </row>
    <row r="875" spans="1:11">
      <c r="A875" t="str">
        <f>'RAW DATA 2023'!B868</f>
        <v>Nakornfarm</v>
      </c>
      <c r="B875" t="str">
        <f>'RAW DATA 2023'!D868</f>
        <v>BG-110-0012</v>
      </c>
      <c r="C875" t="str">
        <f t="shared" si="65"/>
        <v>NakornfarmBG-110-0012</v>
      </c>
      <c r="D875">
        <f>VLOOKUP(C875,'RAW DATA 2023'!E:BP,63,0)</f>
        <v>8</v>
      </c>
      <c r="E875" t="str">
        <f t="shared" si="66"/>
        <v>Nakornfarm8</v>
      </c>
      <c r="F875" s="8">
        <f>VLOOKUP(C875,'RAW DATA 2023'!E:BO,23,0)</f>
        <v>0</v>
      </c>
      <c r="G875" s="14">
        <f t="shared" si="67"/>
        <v>0</v>
      </c>
      <c r="H875" s="25">
        <f t="shared" si="68"/>
        <v>0</v>
      </c>
      <c r="I875" s="80" t="str">
        <f>VLOOKUP(C875,'RAW DATA 2023'!E:BO,36,0)</f>
        <v>EHP</v>
      </c>
      <c r="J875">
        <f>VLOOKUP(C875,'RAW DATA 2023'!E:BO,21,0)</f>
        <v>0</v>
      </c>
      <c r="K875" s="268">
        <f t="shared" si="69"/>
        <v>0</v>
      </c>
    </row>
    <row r="876" spans="1:11">
      <c r="A876" t="str">
        <f>'RAW DATA 2023'!B869</f>
        <v>Nakornfarm</v>
      </c>
      <c r="B876" t="str">
        <f>'RAW DATA 2023'!D869</f>
        <v>BG-113-0009</v>
      </c>
      <c r="C876" t="str">
        <f t="shared" si="65"/>
        <v>NakornfarmBG-113-0009</v>
      </c>
      <c r="D876">
        <f>VLOOKUP(C876,'RAW DATA 2023'!E:BP,63,0)</f>
        <v>1</v>
      </c>
      <c r="E876" t="str">
        <f t="shared" si="66"/>
        <v>Nakornfarm1</v>
      </c>
      <c r="F876" s="8">
        <f>VLOOKUP(C876,'RAW DATA 2023'!E:BO,23,0)</f>
        <v>0</v>
      </c>
      <c r="G876" s="14">
        <f t="shared" si="67"/>
        <v>0</v>
      </c>
      <c r="H876" s="25">
        <f t="shared" si="68"/>
        <v>0</v>
      </c>
      <c r="I876" s="80" t="str">
        <f>VLOOKUP(C876,'RAW DATA 2023'!E:BO,36,0)</f>
        <v>EHP</v>
      </c>
      <c r="J876">
        <f>VLOOKUP(C876,'RAW DATA 2023'!E:BO,21,0)</f>
        <v>0</v>
      </c>
      <c r="K876" s="268">
        <f t="shared" si="69"/>
        <v>0</v>
      </c>
    </row>
    <row r="877" spans="1:11">
      <c r="A877" t="str">
        <f>'RAW DATA 2023'!B870</f>
        <v>Nakornfarm</v>
      </c>
      <c r="B877" t="str">
        <f>'RAW DATA 2023'!D870</f>
        <v>E1-075-0011</v>
      </c>
      <c r="C877" t="str">
        <f t="shared" si="65"/>
        <v>NakornfarmE1-075-0011</v>
      </c>
      <c r="D877">
        <f>VLOOKUP(C877,'RAW DATA 2023'!E:BP,63,0)</f>
        <v>4</v>
      </c>
      <c r="E877" t="str">
        <f t="shared" si="66"/>
        <v>Nakornfarm4</v>
      </c>
      <c r="F877" s="8">
        <f>VLOOKUP(C877,'RAW DATA 2023'!E:BO,23,0)</f>
        <v>56.000007481306085</v>
      </c>
      <c r="G877" s="14">
        <f t="shared" si="67"/>
        <v>18.999992518693915</v>
      </c>
      <c r="H877" s="25">
        <f t="shared" si="68"/>
        <v>3.7999985037387831</v>
      </c>
      <c r="I877" s="80" t="str">
        <f>VLOOKUP(C877,'RAW DATA 2023'!E:BO,36,0)</f>
        <v>EHP</v>
      </c>
      <c r="J877">
        <f>VLOOKUP(C877,'RAW DATA 2023'!E:BO,21,0)</f>
        <v>10.69332</v>
      </c>
      <c r="K877" s="268">
        <f t="shared" si="69"/>
        <v>40.634600000000006</v>
      </c>
    </row>
    <row r="878" spans="1:11">
      <c r="A878" t="str">
        <f>'RAW DATA 2023'!B871</f>
        <v>Nakornfarm</v>
      </c>
      <c r="B878" t="str">
        <f>'RAW DATA 2023'!D871</f>
        <v>BG-102-0012</v>
      </c>
      <c r="C878" t="str">
        <f t="shared" si="65"/>
        <v>NakornfarmBG-102-0012</v>
      </c>
      <c r="D878">
        <f>VLOOKUP(C878,'RAW DATA 2023'!E:BP,63,0)</f>
        <v>12</v>
      </c>
      <c r="E878" t="str">
        <f t="shared" si="66"/>
        <v>Nakornfarm12</v>
      </c>
      <c r="F878" s="8">
        <f>VLOOKUP(C878,'RAW DATA 2023'!E:BO,23,0)</f>
        <v>55.500472762241927</v>
      </c>
      <c r="G878" s="14">
        <f t="shared" si="67"/>
        <v>19.499527237758073</v>
      </c>
      <c r="H878" s="25">
        <f t="shared" si="68"/>
        <v>3.8999054475516148</v>
      </c>
      <c r="I878" s="80" t="str">
        <f>VLOOKUP(C878,'RAW DATA 2023'!E:BO,36,0)</f>
        <v>EHP</v>
      </c>
      <c r="J878">
        <f>VLOOKUP(C878,'RAW DATA 2023'!E:BO,21,0)</f>
        <v>14.88063</v>
      </c>
      <c r="K878" s="268">
        <f t="shared" si="69"/>
        <v>58.033049999999989</v>
      </c>
    </row>
    <row r="879" spans="1:11">
      <c r="A879" t="str">
        <f>'RAW DATA 2023'!B872</f>
        <v>Nakornfarm</v>
      </c>
      <c r="B879" t="str">
        <f>'RAW DATA 2023'!D872</f>
        <v>BG-101-0011</v>
      </c>
      <c r="C879" t="str">
        <f t="shared" si="65"/>
        <v>NakornfarmBG-101-0011</v>
      </c>
      <c r="D879">
        <f>VLOOKUP(C879,'RAW DATA 2023'!E:BP,63,0)</f>
        <v>12</v>
      </c>
      <c r="E879" t="str">
        <f t="shared" si="66"/>
        <v>Nakornfarm12</v>
      </c>
      <c r="F879" s="8">
        <f>VLOOKUP(C879,'RAW DATA 2023'!E:BO,23,0)</f>
        <v>48.780210916600019</v>
      </c>
      <c r="G879" s="14">
        <f t="shared" si="67"/>
        <v>26.219789083399981</v>
      </c>
      <c r="H879" s="25">
        <f t="shared" si="68"/>
        <v>5.2439578166799965</v>
      </c>
      <c r="I879" s="80" t="str">
        <f>VLOOKUP(C879,'RAW DATA 2023'!E:BO,36,0)</f>
        <v>EHP</v>
      </c>
      <c r="J879">
        <f>VLOOKUP(C879,'RAW DATA 2023'!E:BO,21,0)</f>
        <v>17.61739</v>
      </c>
      <c r="K879" s="268">
        <f t="shared" si="69"/>
        <v>92.38485</v>
      </c>
    </row>
    <row r="880" spans="1:11">
      <c r="A880" t="str">
        <f>'RAW DATA 2023'!B873</f>
        <v>Nakornfarm</v>
      </c>
      <c r="B880" t="str">
        <f>'RAW DATA 2023'!D873</f>
        <v>E1-077-0016</v>
      </c>
      <c r="C880" t="str">
        <f t="shared" si="65"/>
        <v>NakornfarmE1-077-0016</v>
      </c>
      <c r="D880">
        <f>VLOOKUP(C880,'RAW DATA 2023'!E:BP,63,0)</f>
        <v>7</v>
      </c>
      <c r="E880" t="str">
        <f t="shared" si="66"/>
        <v>Nakornfarm7</v>
      </c>
      <c r="F880" s="8">
        <f>VLOOKUP(C880,'RAW DATA 2023'!E:BO,23,0)</f>
        <v>92.000018529198542</v>
      </c>
      <c r="G880" s="14">
        <f t="shared" si="67"/>
        <v>-17.000018529198542</v>
      </c>
      <c r="H880" s="25">
        <f t="shared" si="68"/>
        <v>-3.4000037058397083</v>
      </c>
      <c r="I880" s="80" t="str">
        <f>VLOOKUP(C880,'RAW DATA 2023'!E:BO,36,0)</f>
        <v>EHP</v>
      </c>
      <c r="J880">
        <f>VLOOKUP(C880,'RAW DATA 2023'!E:BO,21,0)</f>
        <v>4.3175100000000004</v>
      </c>
      <c r="K880" s="268">
        <f t="shared" si="69"/>
        <v>-14.679550000000001</v>
      </c>
    </row>
    <row r="881" spans="1:11">
      <c r="A881" t="str">
        <f>'RAW DATA 2023'!B874</f>
        <v>Nakornfarm</v>
      </c>
      <c r="B881" t="str">
        <f>'RAW DATA 2023'!D874</f>
        <v>E1-074-0012</v>
      </c>
      <c r="C881" t="str">
        <f t="shared" si="65"/>
        <v>NakornfarmE1-074-0012</v>
      </c>
      <c r="D881">
        <f>VLOOKUP(C881,'RAW DATA 2023'!E:BP,63,0)</f>
        <v>4</v>
      </c>
      <c r="E881" t="str">
        <f t="shared" si="66"/>
        <v>Nakornfarm4</v>
      </c>
      <c r="F881" s="8">
        <f>VLOOKUP(C881,'RAW DATA 2023'!E:BO,23,0)</f>
        <v>58.002071714115601</v>
      </c>
      <c r="G881" s="14">
        <f t="shared" si="67"/>
        <v>16.997928285884399</v>
      </c>
      <c r="H881" s="25">
        <f t="shared" si="68"/>
        <v>3.3995856571768801</v>
      </c>
      <c r="I881" s="80" t="str">
        <f>VLOOKUP(C881,'RAW DATA 2023'!E:BO,36,0)</f>
        <v>EHP</v>
      </c>
      <c r="J881">
        <f>VLOOKUP(C881,'RAW DATA 2023'!E:BO,21,0)</f>
        <v>6.58392</v>
      </c>
      <c r="K881" s="268">
        <f t="shared" si="69"/>
        <v>22.382600000000004</v>
      </c>
    </row>
    <row r="882" spans="1:11">
      <c r="A882" t="str">
        <f>'RAW DATA 2023'!B875</f>
        <v>Nakornfarm</v>
      </c>
      <c r="B882" t="str">
        <f>'RAW DATA 2023'!D875</f>
        <v>D1-081-0013</v>
      </c>
      <c r="C882" t="str">
        <f t="shared" si="65"/>
        <v>NakornfarmD1-081-0013</v>
      </c>
      <c r="D882">
        <f>VLOOKUP(C882,'RAW DATA 2023'!E:BP,63,0)</f>
        <v>4</v>
      </c>
      <c r="E882" t="str">
        <f t="shared" si="66"/>
        <v>Nakornfarm4</v>
      </c>
      <c r="F882" s="8">
        <f>VLOOKUP(C882,'RAW DATA 2023'!E:BO,23,0)</f>
        <v>83.999948705453889</v>
      </c>
      <c r="G882" s="14">
        <f t="shared" si="67"/>
        <v>-8.9999487054538889</v>
      </c>
      <c r="H882" s="25">
        <f t="shared" si="68"/>
        <v>-1.7999897410907779</v>
      </c>
      <c r="I882" s="80" t="str">
        <f>VLOOKUP(C882,'RAW DATA 2023'!E:BO,36,0)</f>
        <v>EHP</v>
      </c>
      <c r="J882">
        <f>VLOOKUP(C882,'RAW DATA 2023'!E:BO,21,0)</f>
        <v>5.4586699999999997</v>
      </c>
      <c r="K882" s="268">
        <f t="shared" si="69"/>
        <v>-9.8255499999999962</v>
      </c>
    </row>
    <row r="883" spans="1:11">
      <c r="A883" t="str">
        <f>'RAW DATA 2023'!B876</f>
        <v>Nakornfarm</v>
      </c>
      <c r="B883" t="str">
        <f>'RAW DATA 2023'!D876</f>
        <v>E1-077-0015</v>
      </c>
      <c r="C883" t="str">
        <f t="shared" si="65"/>
        <v>NakornfarmE1-077-0015</v>
      </c>
      <c r="D883">
        <f>VLOOKUP(C883,'RAW DATA 2023'!E:BP,63,0)</f>
        <v>4</v>
      </c>
      <c r="E883" t="str">
        <f t="shared" si="66"/>
        <v>Nakornfarm4</v>
      </c>
      <c r="F883" s="8">
        <f>VLOOKUP(C883,'RAW DATA 2023'!E:BO,23,0)</f>
        <v>101.99996121757425</v>
      </c>
      <c r="G883" s="14">
        <f t="shared" si="67"/>
        <v>-26.999961217574253</v>
      </c>
      <c r="H883" s="25">
        <f t="shared" si="68"/>
        <v>-5.3999922435148511</v>
      </c>
      <c r="I883" s="80" t="str">
        <f>VLOOKUP(C883,'RAW DATA 2023'!E:BO,36,0)</f>
        <v>EHP</v>
      </c>
      <c r="J883">
        <f>VLOOKUP(C883,'RAW DATA 2023'!E:BO,21,0)</f>
        <v>4.1255800000000002</v>
      </c>
      <c r="K883" s="268">
        <f t="shared" si="69"/>
        <v>-22.278100000000002</v>
      </c>
    </row>
    <row r="884" spans="1:11">
      <c r="A884" t="str">
        <f>'RAW DATA 2023'!B877</f>
        <v>Nakornfarm</v>
      </c>
      <c r="B884" t="str">
        <f>'RAW DATA 2023'!D877</f>
        <v>D1-080-0015</v>
      </c>
      <c r="C884" t="str">
        <f t="shared" si="65"/>
        <v>NakornfarmD1-080-0015</v>
      </c>
      <c r="D884">
        <f>VLOOKUP(C884,'RAW DATA 2023'!E:BP,63,0)</f>
        <v>4</v>
      </c>
      <c r="E884" t="str">
        <f t="shared" si="66"/>
        <v>Nakornfarm4</v>
      </c>
      <c r="F884" s="8">
        <f>VLOOKUP(C884,'RAW DATA 2023'!E:BO,23,0)</f>
        <v>108.99996634268382</v>
      </c>
      <c r="G884" s="14">
        <f t="shared" si="67"/>
        <v>-33.99996634268382</v>
      </c>
      <c r="H884" s="25">
        <f t="shared" si="68"/>
        <v>-6.7999932685367641</v>
      </c>
      <c r="I884" s="80" t="str">
        <f>VLOOKUP(C884,'RAW DATA 2023'!E:BO,36,0)</f>
        <v>EHP</v>
      </c>
      <c r="J884">
        <f>VLOOKUP(C884,'RAW DATA 2023'!E:BO,21,0)</f>
        <v>5.34802</v>
      </c>
      <c r="K884" s="268">
        <f t="shared" si="69"/>
        <v>-36.366499999999988</v>
      </c>
    </row>
    <row r="885" spans="1:11">
      <c r="A885" t="str">
        <f>'RAW DATA 2023'!B878</f>
        <v>Nakornfarm</v>
      </c>
      <c r="B885" t="str">
        <f>'RAW DATA 2023'!D878</f>
        <v>D1-083-0013</v>
      </c>
      <c r="C885" t="str">
        <f t="shared" si="65"/>
        <v>NakornfarmD1-083-0013</v>
      </c>
      <c r="D885">
        <f>VLOOKUP(C885,'RAW DATA 2023'!E:BP,63,0)</f>
        <v>4</v>
      </c>
      <c r="E885" t="str">
        <f t="shared" si="66"/>
        <v>Nakornfarm4</v>
      </c>
      <c r="F885" s="8">
        <f>VLOOKUP(C885,'RAW DATA 2023'!E:BO,23,0)</f>
        <v>146.99991280083711</v>
      </c>
      <c r="G885" s="14">
        <f t="shared" si="67"/>
        <v>-71.999912800837109</v>
      </c>
      <c r="H885" s="25">
        <f t="shared" si="68"/>
        <v>-14.399982560167423</v>
      </c>
      <c r="I885" s="80" t="str">
        <f>VLOOKUP(C885,'RAW DATA 2023'!E:BO,36,0)</f>
        <v>EHP</v>
      </c>
      <c r="J885">
        <f>VLOOKUP(C885,'RAW DATA 2023'!E:BO,21,0)</f>
        <v>2.2936000000000001</v>
      </c>
      <c r="K885" s="268">
        <f t="shared" si="69"/>
        <v>-33.027800000000006</v>
      </c>
    </row>
    <row r="886" spans="1:11">
      <c r="A886" t="str">
        <f>'RAW DATA 2023'!B879</f>
        <v>Nakornfarm</v>
      </c>
      <c r="B886" t="str">
        <f>'RAW DATA 2023'!D879</f>
        <v>FG-125-0009</v>
      </c>
      <c r="C886" t="str">
        <f t="shared" si="65"/>
        <v>NakornfarmFG-125-0009</v>
      </c>
      <c r="D886">
        <f>VLOOKUP(C886,'RAW DATA 2023'!E:BP,63,0)</f>
        <v>4</v>
      </c>
      <c r="E886" t="str">
        <f t="shared" si="66"/>
        <v>Nakornfarm4</v>
      </c>
      <c r="F886" s="8">
        <f>VLOOKUP(C886,'RAW DATA 2023'!E:BO,23,0)</f>
        <v>21.769225084317597</v>
      </c>
      <c r="G886" s="14">
        <f t="shared" si="67"/>
        <v>53.230774915682403</v>
      </c>
      <c r="H886" s="25">
        <f t="shared" si="68"/>
        <v>10.646154983136482</v>
      </c>
      <c r="I886" s="80" t="str">
        <f>VLOOKUP(C886,'RAW DATA 2023'!E:BO,36,0)</f>
        <v>Normal</v>
      </c>
      <c r="J886">
        <f>VLOOKUP(C886,'RAW DATA 2023'!E:BO,21,0)</f>
        <v>17.861039999999999</v>
      </c>
      <c r="K886" s="268">
        <f t="shared" si="69"/>
        <v>190.15140000000002</v>
      </c>
    </row>
    <row r="887" spans="1:11">
      <c r="A887" t="str">
        <f>'RAW DATA 2023'!B880</f>
        <v>Nakornfarm</v>
      </c>
      <c r="B887" t="str">
        <f>'RAW DATA 2023'!D880</f>
        <v>F1-089-0012</v>
      </c>
      <c r="C887" t="str">
        <f t="shared" si="65"/>
        <v>NakornfarmF1-089-0012</v>
      </c>
      <c r="D887">
        <f>VLOOKUP(C887,'RAW DATA 2023'!E:BP,63,0)</f>
        <v>4</v>
      </c>
      <c r="E887" t="str">
        <f t="shared" si="66"/>
        <v>Nakornfarm4</v>
      </c>
      <c r="F887" s="8">
        <f>VLOOKUP(C887,'RAW DATA 2023'!E:BO,23,0)</f>
        <v>37.998887195804841</v>
      </c>
      <c r="G887" s="14">
        <f t="shared" si="67"/>
        <v>37.001112804195159</v>
      </c>
      <c r="H887" s="25">
        <f t="shared" si="68"/>
        <v>7.4002225608390324</v>
      </c>
      <c r="I887" s="80" t="str">
        <f>VLOOKUP(C887,'RAW DATA 2023'!E:BO,36,0)</f>
        <v>EHP</v>
      </c>
      <c r="J887">
        <f>VLOOKUP(C887,'RAW DATA 2023'!E:BO,21,0)</f>
        <v>15.40253</v>
      </c>
      <c r="K887" s="268">
        <f t="shared" si="69"/>
        <v>113.98215000000002</v>
      </c>
    </row>
    <row r="888" spans="1:11">
      <c r="A888" t="str">
        <f>'RAW DATA 2023'!B881</f>
        <v>Nakornfarm</v>
      </c>
      <c r="B888" t="str">
        <f>'RAW DATA 2023'!D881</f>
        <v>F1-090-0012</v>
      </c>
      <c r="C888" t="str">
        <f t="shared" si="65"/>
        <v>NakornfarmF1-090-0012</v>
      </c>
      <c r="D888">
        <f>VLOOKUP(C888,'RAW DATA 2023'!E:BP,63,0)</f>
        <v>3</v>
      </c>
      <c r="E888" t="str">
        <f t="shared" si="66"/>
        <v>Nakornfarm3</v>
      </c>
      <c r="F888" s="8">
        <f>VLOOKUP(C888,'RAW DATA 2023'!E:BO,23,0)</f>
        <v>59.000033674568968</v>
      </c>
      <c r="G888" s="14">
        <f t="shared" si="67"/>
        <v>15.999966325431032</v>
      </c>
      <c r="H888" s="25">
        <f t="shared" si="68"/>
        <v>3.1999932650862064</v>
      </c>
      <c r="I888" s="80" t="str">
        <f>VLOOKUP(C888,'RAW DATA 2023'!E:BO,36,0)</f>
        <v>EHP</v>
      </c>
      <c r="J888">
        <f>VLOOKUP(C888,'RAW DATA 2023'!E:BO,21,0)</f>
        <v>11.878399999999999</v>
      </c>
      <c r="K888" s="268">
        <f t="shared" si="69"/>
        <v>38.010799999999989</v>
      </c>
    </row>
    <row r="889" spans="1:11">
      <c r="A889" t="str">
        <f>'RAW DATA 2023'!B882</f>
        <v>Nakornfarm</v>
      </c>
      <c r="B889" t="str">
        <f>'RAW DATA 2023'!D882</f>
        <v>F1-089-0013</v>
      </c>
      <c r="C889" t="str">
        <f t="shared" si="65"/>
        <v>NakornfarmF1-089-0013</v>
      </c>
      <c r="D889">
        <f>VLOOKUP(C889,'RAW DATA 2023'!E:BP,63,0)</f>
        <v>7</v>
      </c>
      <c r="E889" t="str">
        <f t="shared" si="66"/>
        <v>Nakornfarm7</v>
      </c>
      <c r="F889" s="8">
        <f>VLOOKUP(C889,'RAW DATA 2023'!E:BO,23,0)</f>
        <v>81.999956288431733</v>
      </c>
      <c r="G889" s="14">
        <f t="shared" si="67"/>
        <v>-6.9999562884317328</v>
      </c>
      <c r="H889" s="25">
        <f t="shared" si="68"/>
        <v>-1.3999912576863467</v>
      </c>
      <c r="I889" s="80" t="str">
        <f>VLOOKUP(C889,'RAW DATA 2023'!E:BO,36,0)</f>
        <v>EHP</v>
      </c>
      <c r="J889">
        <f>VLOOKUP(C889,'RAW DATA 2023'!E:BO,21,0)</f>
        <v>10.523530000000001</v>
      </c>
      <c r="K889" s="268">
        <f t="shared" si="69"/>
        <v>-14.732850000000001</v>
      </c>
    </row>
    <row r="890" spans="1:11">
      <c r="A890" t="str">
        <f>'RAW DATA 2023'!B883</f>
        <v>Nakornfarm</v>
      </c>
      <c r="B890" t="str">
        <f>'RAW DATA 2023'!D883</f>
        <v>D1-081-0015</v>
      </c>
      <c r="C890" t="str">
        <f t="shared" si="65"/>
        <v>NakornfarmD1-081-0015</v>
      </c>
      <c r="D890">
        <f>VLOOKUP(C890,'RAW DATA 2023'!E:BP,63,0)</f>
        <v>11</v>
      </c>
      <c r="E890" t="str">
        <f t="shared" si="66"/>
        <v>Nakornfarm11</v>
      </c>
      <c r="F890" s="8">
        <f>VLOOKUP(C890,'RAW DATA 2023'!E:BO,23,0)</f>
        <v>52.761384025176561</v>
      </c>
      <c r="G890" s="14">
        <f t="shared" si="67"/>
        <v>22.238615974823439</v>
      </c>
      <c r="H890" s="25">
        <f t="shared" si="68"/>
        <v>4.4477231949646878</v>
      </c>
      <c r="I890" s="80" t="str">
        <f>VLOOKUP(C890,'RAW DATA 2023'!E:BO,36,0)</f>
        <v>EHP</v>
      </c>
      <c r="J890">
        <f>VLOOKUP(C890,'RAW DATA 2023'!E:BO,21,0)</f>
        <v>16.335830000000001</v>
      </c>
      <c r="K890" s="268">
        <f t="shared" si="69"/>
        <v>72.657250000000005</v>
      </c>
    </row>
    <row r="891" spans="1:11">
      <c r="A891" t="str">
        <f>'RAW DATA 2023'!B884</f>
        <v>Nakornfarm</v>
      </c>
      <c r="B891" t="str">
        <f>'RAW DATA 2023'!D884</f>
        <v>FG-125-0010</v>
      </c>
      <c r="C891" t="str">
        <f t="shared" si="65"/>
        <v>NakornfarmFG-125-0010</v>
      </c>
      <c r="D891">
        <f>VLOOKUP(C891,'RAW DATA 2023'!E:BP,63,0)</f>
        <v>8</v>
      </c>
      <c r="E891" t="str">
        <f t="shared" si="66"/>
        <v>Nakornfarm8</v>
      </c>
      <c r="F891" s="8">
        <f>VLOOKUP(C891,'RAW DATA 2023'!E:BO,23,0)</f>
        <v>41.742089550625117</v>
      </c>
      <c r="G891" s="14">
        <f t="shared" si="67"/>
        <v>33.257910449374883</v>
      </c>
      <c r="H891" s="25">
        <f t="shared" si="68"/>
        <v>6.6515820898749771</v>
      </c>
      <c r="I891" s="80" t="str">
        <f>VLOOKUP(C891,'RAW DATA 2023'!E:BO,36,0)</f>
        <v>Normal</v>
      </c>
      <c r="J891">
        <f>VLOOKUP(C891,'RAW DATA 2023'!E:BO,21,0)</f>
        <v>14.798780000000001</v>
      </c>
      <c r="K891" s="268">
        <f t="shared" si="69"/>
        <v>98.435300000000012</v>
      </c>
    </row>
    <row r="892" spans="1:11">
      <c r="A892" t="str">
        <f>'RAW DATA 2023'!B885</f>
        <v>Nakornfarm</v>
      </c>
      <c r="B892" t="str">
        <f>'RAW DATA 2023'!D885</f>
        <v>F1-124-0008</v>
      </c>
      <c r="C892" t="str">
        <f t="shared" si="65"/>
        <v>NakornfarmF1-124-0008</v>
      </c>
      <c r="D892">
        <f>VLOOKUP(C892,'RAW DATA 2023'!E:BP,63,0)</f>
        <v>4</v>
      </c>
      <c r="E892" t="str">
        <f t="shared" si="66"/>
        <v>Nakornfarm4</v>
      </c>
      <c r="F892" s="8">
        <f>VLOOKUP(C892,'RAW DATA 2023'!E:BO,23,0)</f>
        <v>98.999880525893843</v>
      </c>
      <c r="G892" s="14">
        <f t="shared" si="67"/>
        <v>-23.999880525893843</v>
      </c>
      <c r="H892" s="25">
        <f t="shared" si="68"/>
        <v>-4.7999761051787688</v>
      </c>
      <c r="I892" s="80" t="str">
        <f>VLOOKUP(C892,'RAW DATA 2023'!E:BO,36,0)</f>
        <v>EHP</v>
      </c>
      <c r="J892">
        <f>VLOOKUP(C892,'RAW DATA 2023'!E:BO,21,0)</f>
        <v>5.7753100000000002</v>
      </c>
      <c r="K892" s="268">
        <f t="shared" si="69"/>
        <v>-27.721349999999997</v>
      </c>
    </row>
    <row r="893" spans="1:11">
      <c r="A893" t="str">
        <f>'RAW DATA 2023'!B886</f>
        <v>Nakornfarm</v>
      </c>
      <c r="B893" t="str">
        <f>'RAW DATA 2023'!D886</f>
        <v>D1-083-0015</v>
      </c>
      <c r="C893" t="str">
        <f t="shared" si="65"/>
        <v>NakornfarmD1-083-0015</v>
      </c>
      <c r="D893">
        <f>VLOOKUP(C893,'RAW DATA 2023'!E:BP,63,0)</f>
        <v>11</v>
      </c>
      <c r="E893" t="str">
        <f t="shared" si="66"/>
        <v>Nakornfarm11</v>
      </c>
      <c r="F893" s="8">
        <f>VLOOKUP(C893,'RAW DATA 2023'!E:BO,23,0)</f>
        <v>89.169073672351601</v>
      </c>
      <c r="G893" s="14">
        <f t="shared" si="67"/>
        <v>-14.169073672351601</v>
      </c>
      <c r="H893" s="25">
        <f t="shared" si="68"/>
        <v>-2.8338147344703204</v>
      </c>
      <c r="I893" s="80" t="str">
        <f>VLOOKUP(C893,'RAW DATA 2023'!E:BO,36,0)</f>
        <v>EHP</v>
      </c>
      <c r="J893">
        <f>VLOOKUP(C893,'RAW DATA 2023'!E:BO,21,0)</f>
        <v>7.5093300000000003</v>
      </c>
      <c r="K893" s="268">
        <f t="shared" si="69"/>
        <v>-21.280050000000013</v>
      </c>
    </row>
    <row r="894" spans="1:11">
      <c r="A894" t="str">
        <f>'RAW DATA 2023'!B887</f>
        <v>Nakornfarm</v>
      </c>
      <c r="B894" t="str">
        <f>'RAW DATA 2023'!D887</f>
        <v>F1-090-0013</v>
      </c>
      <c r="C894" t="str">
        <f t="shared" si="65"/>
        <v>NakornfarmF1-090-0013</v>
      </c>
      <c r="D894">
        <f>VLOOKUP(C894,'RAW DATA 2023'!E:BP,63,0)</f>
        <v>10</v>
      </c>
      <c r="E894" t="str">
        <f t="shared" si="66"/>
        <v>Nakornfarm10</v>
      </c>
      <c r="F894" s="8">
        <f>VLOOKUP(C894,'RAW DATA 2023'!E:BO,23,0)</f>
        <v>173.00013850141468</v>
      </c>
      <c r="G894" s="14">
        <f t="shared" si="67"/>
        <v>-98.000138501414682</v>
      </c>
      <c r="H894" s="25">
        <f t="shared" si="68"/>
        <v>-19.600027700282936</v>
      </c>
      <c r="I894" s="80" t="str">
        <f>VLOOKUP(C894,'RAW DATA 2023'!E:BO,36,0)</f>
        <v>EHP</v>
      </c>
      <c r="J894">
        <f>VLOOKUP(C894,'RAW DATA 2023'!E:BO,21,0)</f>
        <v>3.0324599999999999</v>
      </c>
      <c r="K894" s="268">
        <f t="shared" si="69"/>
        <v>-59.436299999999989</v>
      </c>
    </row>
    <row r="895" spans="1:11">
      <c r="A895" t="str">
        <f>'RAW DATA 2023'!B888</f>
        <v>Nakornfarm</v>
      </c>
      <c r="B895" t="str">
        <f>'RAW DATA 2023'!D888</f>
        <v>FG-125-0011</v>
      </c>
      <c r="C895" t="str">
        <f t="shared" si="65"/>
        <v>NakornfarmFG-125-0011</v>
      </c>
      <c r="D895">
        <f>VLOOKUP(C895,'RAW DATA 2023'!E:BP,63,0)</f>
        <v>11</v>
      </c>
      <c r="E895" t="str">
        <f t="shared" si="66"/>
        <v>Nakornfarm11</v>
      </c>
      <c r="F895" s="8">
        <f>VLOOKUP(C895,'RAW DATA 2023'!E:BO,23,0)</f>
        <v>154.00014433591357</v>
      </c>
      <c r="G895" s="14">
        <f t="shared" si="67"/>
        <v>-79.000144335913575</v>
      </c>
      <c r="H895" s="25">
        <f t="shared" si="68"/>
        <v>-15.800028867182716</v>
      </c>
      <c r="I895" s="80" t="str">
        <f>VLOOKUP(C895,'RAW DATA 2023'!E:BO,36,0)</f>
        <v>EHP</v>
      </c>
      <c r="J895">
        <f>VLOOKUP(C895,'RAW DATA 2023'!E:BO,21,0)</f>
        <v>3.1870100000000003</v>
      </c>
      <c r="K895" s="268">
        <f t="shared" si="69"/>
        <v>-50.354849999999992</v>
      </c>
    </row>
    <row r="896" spans="1:11">
      <c r="A896" t="str">
        <f>'RAW DATA 2023'!B889</f>
        <v>Nakornfarm</v>
      </c>
      <c r="B896" t="str">
        <f>'RAW DATA 2023'!D889</f>
        <v>F1-070-0019</v>
      </c>
      <c r="C896" t="str">
        <f t="shared" si="65"/>
        <v>NakornfarmF1-070-0019</v>
      </c>
      <c r="D896">
        <f>VLOOKUP(C896,'RAW DATA 2023'!E:BP,63,0)</f>
        <v>7</v>
      </c>
      <c r="E896" t="str">
        <f t="shared" si="66"/>
        <v>Nakornfarm7</v>
      </c>
      <c r="F896" s="8">
        <f>VLOOKUP(C896,'RAW DATA 2023'!E:BO,23,0)</f>
        <v>167.00014708438633</v>
      </c>
      <c r="G896" s="14">
        <f t="shared" si="67"/>
        <v>-92.000147084386327</v>
      </c>
      <c r="H896" s="25">
        <f t="shared" si="68"/>
        <v>-18.400029416877267</v>
      </c>
      <c r="I896" s="80" t="str">
        <f>VLOOKUP(C896,'RAW DATA 2023'!E:BO,36,0)</f>
        <v>EHP</v>
      </c>
      <c r="J896">
        <f>VLOOKUP(C896,'RAW DATA 2023'!E:BO,21,0)</f>
        <v>3.73935</v>
      </c>
      <c r="K896" s="268">
        <f t="shared" si="69"/>
        <v>-68.804150000000007</v>
      </c>
    </row>
    <row r="897" spans="1:11">
      <c r="A897" t="str">
        <f>'RAW DATA 2023'!B890</f>
        <v>Nakornfarm</v>
      </c>
      <c r="B897" t="str">
        <f>'RAW DATA 2023'!D890</f>
        <v>E1-075-0013</v>
      </c>
      <c r="C897" t="str">
        <f t="shared" si="65"/>
        <v>NakornfarmE1-075-0013</v>
      </c>
      <c r="D897">
        <f>VLOOKUP(C897,'RAW DATA 2023'!E:BP,63,0)</f>
        <v>11</v>
      </c>
      <c r="E897" t="str">
        <f t="shared" si="66"/>
        <v>Nakornfarm11</v>
      </c>
      <c r="F897" s="8">
        <f>VLOOKUP(C897,'RAW DATA 2023'!E:BO,23,0)</f>
        <v>161.00016385068383</v>
      </c>
      <c r="G897" s="14">
        <f t="shared" si="67"/>
        <v>-86.000163850683833</v>
      </c>
      <c r="H897" s="25">
        <f t="shared" si="68"/>
        <v>-17.200032770136769</v>
      </c>
      <c r="I897" s="80" t="str">
        <f>VLOOKUP(C897,'RAW DATA 2023'!E:BO,36,0)</f>
        <v>EHP</v>
      </c>
      <c r="J897">
        <f>VLOOKUP(C897,'RAW DATA 2023'!E:BO,21,0)</f>
        <v>2.0750600000000001</v>
      </c>
      <c r="K897" s="268">
        <f t="shared" si="69"/>
        <v>-35.691100000000006</v>
      </c>
    </row>
    <row r="898" spans="1:11">
      <c r="A898" t="str">
        <f>'RAW DATA 2023'!B891</f>
        <v>Nakornfarm</v>
      </c>
      <c r="B898" t="str">
        <f>'RAW DATA 2023'!D891</f>
        <v>A1-099-0008</v>
      </c>
      <c r="C898" t="str">
        <f t="shared" si="65"/>
        <v>NakornfarmA1-099-0008</v>
      </c>
      <c r="D898">
        <f>VLOOKUP(C898,'RAW DATA 2023'!E:BP,63,0)</f>
        <v>6</v>
      </c>
      <c r="E898" t="str">
        <f t="shared" si="66"/>
        <v>Nakornfarm6</v>
      </c>
      <c r="F898" s="8">
        <f>VLOOKUP(C898,'RAW DATA 2023'!E:BO,23,0)</f>
        <v>66.000153727694311</v>
      </c>
      <c r="G898" s="14">
        <f t="shared" si="67"/>
        <v>8.9998462723056889</v>
      </c>
      <c r="H898" s="25">
        <f t="shared" si="68"/>
        <v>1.7999692544611379</v>
      </c>
      <c r="I898" s="80" t="str">
        <f>VLOOKUP(C898,'RAW DATA 2023'!E:BO,36,0)</f>
        <v>EHP</v>
      </c>
      <c r="J898">
        <f>VLOOKUP(C898,'RAW DATA 2023'!E:BO,21,0)</f>
        <v>7.4157099999999998</v>
      </c>
      <c r="K898" s="268">
        <f t="shared" si="69"/>
        <v>13.348050000000004</v>
      </c>
    </row>
    <row r="899" spans="1:11">
      <c r="A899" t="str">
        <f>'RAW DATA 2023'!B892</f>
        <v>Nakornfarm</v>
      </c>
      <c r="B899" t="str">
        <f>'RAW DATA 2023'!D892</f>
        <v>A1-098-0006</v>
      </c>
      <c r="C899" t="str">
        <f t="shared" si="65"/>
        <v>NakornfarmA1-098-0006</v>
      </c>
      <c r="D899">
        <f>VLOOKUP(C899,'RAW DATA 2023'!E:BP,63,0)</f>
        <v>7</v>
      </c>
      <c r="E899" t="str">
        <f t="shared" si="66"/>
        <v>Nakornfarm7</v>
      </c>
      <c r="F899" s="8">
        <f>VLOOKUP(C899,'RAW DATA 2023'!E:BO,23,0)</f>
        <v>39.994909425565353</v>
      </c>
      <c r="G899" s="14">
        <f t="shared" si="67"/>
        <v>35.005090574434647</v>
      </c>
      <c r="H899" s="25">
        <f t="shared" si="68"/>
        <v>7.0010181148869295</v>
      </c>
      <c r="I899" s="80" t="str">
        <f>VLOOKUP(C899,'RAW DATA 2023'!E:BO,36,0)</f>
        <v>Normal</v>
      </c>
      <c r="J899">
        <f>VLOOKUP(C899,'RAW DATA 2023'!E:BO,21,0)</f>
        <v>17.994040000000002</v>
      </c>
      <c r="K899" s="268">
        <f t="shared" si="69"/>
        <v>125.97660000000002</v>
      </c>
    </row>
    <row r="900" spans="1:11">
      <c r="A900" t="str">
        <f>'RAW DATA 2023'!B893</f>
        <v>Nakornfarm</v>
      </c>
      <c r="B900" t="str">
        <f>'RAW DATA 2023'!D893</f>
        <v>A1-098-0005</v>
      </c>
      <c r="C900" t="str">
        <f t="shared" si="65"/>
        <v>NakornfarmA1-098-0005</v>
      </c>
      <c r="D900">
        <f>VLOOKUP(C900,'RAW DATA 2023'!E:BP,63,0)</f>
        <v>1</v>
      </c>
      <c r="E900" t="str">
        <f t="shared" si="66"/>
        <v>Nakornfarm1</v>
      </c>
      <c r="F900" s="8">
        <f>VLOOKUP(C900,'RAW DATA 2023'!E:BO,23,0)</f>
        <v>68.000137307868002</v>
      </c>
      <c r="G900" s="14">
        <f t="shared" si="67"/>
        <v>6.9998626921319982</v>
      </c>
      <c r="H900" s="25">
        <f t="shared" si="68"/>
        <v>1.3999725384263997</v>
      </c>
      <c r="I900" s="80" t="str">
        <f>VLOOKUP(C900,'RAW DATA 2023'!E:BO,36,0)</f>
        <v>EHP</v>
      </c>
      <c r="J900">
        <f>VLOOKUP(C900,'RAW DATA 2023'!E:BO,21,0)</f>
        <v>7.5742200000000004</v>
      </c>
      <c r="K900" s="268">
        <f t="shared" si="69"/>
        <v>10.603700000000005</v>
      </c>
    </row>
    <row r="901" spans="1:11">
      <c r="A901" t="str">
        <f>'RAW DATA 2023'!B894</f>
        <v>Nakornfarm</v>
      </c>
      <c r="B901" t="str">
        <f>'RAW DATA 2023'!D894</f>
        <v>A1-099-0007</v>
      </c>
      <c r="C901" t="str">
        <f t="shared" si="65"/>
        <v>NakornfarmA1-099-0007</v>
      </c>
      <c r="D901">
        <f>VLOOKUP(C901,'RAW DATA 2023'!E:BP,63,0)</f>
        <v>1</v>
      </c>
      <c r="E901" t="str">
        <f t="shared" si="66"/>
        <v>Nakornfarm1</v>
      </c>
      <c r="F901" s="8">
        <f>VLOOKUP(C901,'RAW DATA 2023'!E:BO,23,0)</f>
        <v>67.999990892075658</v>
      </c>
      <c r="G901" s="14">
        <f t="shared" si="67"/>
        <v>7.0000091079243418</v>
      </c>
      <c r="H901" s="25">
        <f t="shared" si="68"/>
        <v>1.4000018215848684</v>
      </c>
      <c r="I901" s="80" t="str">
        <f>VLOOKUP(C901,'RAW DATA 2023'!E:BO,36,0)</f>
        <v>EHP</v>
      </c>
      <c r="J901">
        <f>VLOOKUP(C901,'RAW DATA 2023'!E:BO,21,0)</f>
        <v>8.7835599999999996</v>
      </c>
      <c r="K901" s="268">
        <f t="shared" si="69"/>
        <v>12.296999999999986</v>
      </c>
    </row>
    <row r="902" spans="1:11">
      <c r="A902" t="str">
        <f>'RAW DATA 2023'!B895</f>
        <v>Nakornfarm</v>
      </c>
      <c r="B902" t="str">
        <f>'RAW DATA 2023'!D895</f>
        <v>B1-108-0006</v>
      </c>
      <c r="C902" t="str">
        <f t="shared" si="65"/>
        <v>NakornfarmB1-108-0006</v>
      </c>
      <c r="D902">
        <f>VLOOKUP(C902,'RAW DATA 2023'!E:BP,63,0)</f>
        <v>8</v>
      </c>
      <c r="E902" t="str">
        <f t="shared" si="66"/>
        <v>Nakornfarm8</v>
      </c>
      <c r="F902" s="8">
        <f>VLOOKUP(C902,'RAW DATA 2023'!E:BO,23,0)</f>
        <v>102.00000290846057</v>
      </c>
      <c r="G902" s="14">
        <f t="shared" si="67"/>
        <v>-27.000002908460573</v>
      </c>
      <c r="H902" s="25">
        <f t="shared" si="68"/>
        <v>-5.4000005816921153</v>
      </c>
      <c r="I902" s="80" t="str">
        <f>VLOOKUP(C902,'RAW DATA 2023'!E:BO,36,0)</f>
        <v>EHP</v>
      </c>
      <c r="J902">
        <f>VLOOKUP(C902,'RAW DATA 2023'!E:BO,21,0)</f>
        <v>6.8764899999999995</v>
      </c>
      <c r="K902" s="268">
        <f t="shared" si="69"/>
        <v>-37.133050000000011</v>
      </c>
    </row>
    <row r="903" spans="1:11">
      <c r="A903" t="str">
        <f>'RAW DATA 2023'!B896</f>
        <v>Nakornfarm</v>
      </c>
      <c r="B903" t="str">
        <f>'RAW DATA 2023'!D896</f>
        <v>B1-107-0005</v>
      </c>
      <c r="C903" t="str">
        <f t="shared" si="65"/>
        <v>NakornfarmB1-107-0005</v>
      </c>
      <c r="D903">
        <f>VLOOKUP(C903,'RAW DATA 2023'!E:BP,63,0)</f>
        <v>2</v>
      </c>
      <c r="E903" t="str">
        <f t="shared" si="66"/>
        <v>Nakornfarm2</v>
      </c>
      <c r="F903" s="8">
        <f>VLOOKUP(C903,'RAW DATA 2023'!E:BO,23,0)</f>
        <v>122.00016911824055</v>
      </c>
      <c r="G903" s="14">
        <f t="shared" si="67"/>
        <v>-47.000169118240549</v>
      </c>
      <c r="H903" s="25">
        <f t="shared" si="68"/>
        <v>-9.4000338236481102</v>
      </c>
      <c r="I903" s="80" t="str">
        <f>VLOOKUP(C903,'RAW DATA 2023'!E:BO,36,0)</f>
        <v>EHP</v>
      </c>
      <c r="J903">
        <f>VLOOKUP(C903,'RAW DATA 2023'!E:BO,21,0)</f>
        <v>5.2034599999999998</v>
      </c>
      <c r="K903" s="268">
        <f t="shared" si="69"/>
        <v>-48.912699999999994</v>
      </c>
    </row>
    <row r="904" spans="1:11">
      <c r="A904" t="str">
        <f>'RAW DATA 2023'!B897</f>
        <v>Nakornfarm</v>
      </c>
      <c r="B904" t="str">
        <f>'RAW DATA 2023'!D897</f>
        <v>B1-108-0005</v>
      </c>
      <c r="C904" t="str">
        <f t="shared" si="65"/>
        <v>NakornfarmB1-108-0005</v>
      </c>
      <c r="D904">
        <f>VLOOKUP(C904,'RAW DATA 2023'!E:BP,63,0)</f>
        <v>2</v>
      </c>
      <c r="E904" t="str">
        <f t="shared" si="66"/>
        <v>Nakornfarm2</v>
      </c>
      <c r="F904" s="8">
        <f>VLOOKUP(C904,'RAW DATA 2023'!E:BO,23,0)</f>
        <v>134</v>
      </c>
      <c r="G904" s="14">
        <f t="shared" si="67"/>
        <v>-59</v>
      </c>
      <c r="H904" s="25">
        <f t="shared" si="68"/>
        <v>-11.8</v>
      </c>
      <c r="I904" s="80" t="str">
        <f>VLOOKUP(C904,'RAW DATA 2023'!E:BO,36,0)</f>
        <v>EHP</v>
      </c>
      <c r="J904">
        <f>VLOOKUP(C904,'RAW DATA 2023'!E:BO,21,0)</f>
        <v>4.9915000000000003</v>
      </c>
      <c r="K904" s="268">
        <f t="shared" si="69"/>
        <v>-58.89970000000001</v>
      </c>
    </row>
    <row r="905" spans="1:11">
      <c r="A905" t="str">
        <f>'RAW DATA 2023'!B898</f>
        <v>Nakornfarm</v>
      </c>
      <c r="B905" t="str">
        <f>'RAW DATA 2023'!D898</f>
        <v>B1-107-0006</v>
      </c>
      <c r="C905" t="str">
        <f t="shared" si="65"/>
        <v>NakornfarmB1-107-0006</v>
      </c>
      <c r="D905">
        <f>VLOOKUP(C905,'RAW DATA 2023'!E:BP,63,0)</f>
        <v>8</v>
      </c>
      <c r="E905" t="str">
        <f t="shared" si="66"/>
        <v>Nakornfarm8</v>
      </c>
      <c r="F905" s="8">
        <f>VLOOKUP(C905,'RAW DATA 2023'!E:BO,23,0)</f>
        <v>0</v>
      </c>
      <c r="G905" s="14">
        <f t="shared" si="67"/>
        <v>0</v>
      </c>
      <c r="H905" s="25">
        <f t="shared" si="68"/>
        <v>0</v>
      </c>
      <c r="I905" s="80" t="str">
        <f>VLOOKUP(C905,'RAW DATA 2023'!E:BO,36,0)</f>
        <v>EHP</v>
      </c>
      <c r="J905">
        <f>VLOOKUP(C905,'RAW DATA 2023'!E:BO,21,0)</f>
        <v>0</v>
      </c>
      <c r="K905" s="268">
        <f t="shared" si="69"/>
        <v>0</v>
      </c>
    </row>
    <row r="906" spans="1:11">
      <c r="A906" t="str">
        <f>'RAW DATA 2023'!B899</f>
        <v>Ranode</v>
      </c>
      <c r="B906" t="str">
        <f>'RAW DATA 2023'!D899</f>
        <v>AG-091-0013</v>
      </c>
      <c r="C906" t="str">
        <f t="shared" ref="C906:C969" si="70">A906&amp;B906</f>
        <v>RanodeAG-091-0013</v>
      </c>
      <c r="D906">
        <f>VLOOKUP(C906,'RAW DATA 2023'!E:BP,63,0)</f>
        <v>11</v>
      </c>
      <c r="E906" t="str">
        <f t="shared" ref="E906:E969" si="71">A906&amp;D906</f>
        <v>Ranode11</v>
      </c>
      <c r="F906" s="8">
        <f>VLOOKUP(C906,'RAW DATA 2023'!E:BO,23,0)</f>
        <v>27.986662944340672</v>
      </c>
      <c r="G906" s="14">
        <f t="shared" si="67"/>
        <v>47.013337055659328</v>
      </c>
      <c r="H906" s="25">
        <f t="shared" si="68"/>
        <v>9.4026674111318655</v>
      </c>
      <c r="I906" s="80" t="str">
        <f>VLOOKUP(C906,'RAW DATA 2023'!E:BO,36,0)</f>
        <v>Normal</v>
      </c>
      <c r="J906">
        <f>VLOOKUP(C906,'RAW DATA 2023'!E:BO,21,0)</f>
        <v>27.796240000000001</v>
      </c>
      <c r="K906" s="268">
        <f t="shared" si="69"/>
        <v>261.35880000000003</v>
      </c>
    </row>
    <row r="907" spans="1:11">
      <c r="A907" t="str">
        <f>'RAW DATA 2023'!B900</f>
        <v>Ranode</v>
      </c>
      <c r="B907" t="str">
        <f>'RAW DATA 2023'!D900</f>
        <v>AG-090-0011</v>
      </c>
      <c r="C907" t="str">
        <f t="shared" si="70"/>
        <v>RanodeAG-090-0011</v>
      </c>
      <c r="D907">
        <f>VLOOKUP(C907,'RAW DATA 2023'!E:BP,63,0)</f>
        <v>12</v>
      </c>
      <c r="E907" t="str">
        <f t="shared" si="71"/>
        <v>Ranode12</v>
      </c>
      <c r="F907" s="8">
        <f>VLOOKUP(C907,'RAW DATA 2023'!E:BO,23,0)</f>
        <v>26.889509793592875</v>
      </c>
      <c r="G907" s="14">
        <f t="shared" ref="G907:G970" si="72">IF(F907=0,0,$B$2-F907)</f>
        <v>48.110490206407121</v>
      </c>
      <c r="H907" s="25">
        <f t="shared" ref="H907:H970" si="73">G907*$B$6</f>
        <v>9.6220980412814257</v>
      </c>
      <c r="I907" s="80" t="str">
        <f>VLOOKUP(C907,'RAW DATA 2023'!E:BO,36,0)</f>
        <v>Normal</v>
      </c>
      <c r="J907">
        <f>VLOOKUP(C907,'RAW DATA 2023'!E:BO,21,0)</f>
        <v>20.21781</v>
      </c>
      <c r="K907" s="268">
        <f t="shared" ref="K907:K970" si="74">H907*J907</f>
        <v>194.53775000000002</v>
      </c>
    </row>
    <row r="908" spans="1:11">
      <c r="A908" t="str">
        <f>'RAW DATA 2023'!B901</f>
        <v>Ranode</v>
      </c>
      <c r="B908" t="str">
        <f>'RAW DATA 2023'!D901</f>
        <v>AG-091-0012</v>
      </c>
      <c r="C908" t="str">
        <f t="shared" si="70"/>
        <v>RanodeAG-091-0012</v>
      </c>
      <c r="D908">
        <f>VLOOKUP(C908,'RAW DATA 2023'!E:BP,63,0)</f>
        <v>6</v>
      </c>
      <c r="E908" t="str">
        <f t="shared" si="71"/>
        <v>Ranode6</v>
      </c>
      <c r="F908" s="8">
        <f>VLOOKUP(C908,'RAW DATA 2023'!E:BO,23,0)</f>
        <v>26.038964267177864</v>
      </c>
      <c r="G908" s="14">
        <f t="shared" si="72"/>
        <v>48.96103573282214</v>
      </c>
      <c r="H908" s="25">
        <f t="shared" si="73"/>
        <v>9.7922071465644294</v>
      </c>
      <c r="I908" s="80" t="str">
        <f>VLOOKUP(C908,'RAW DATA 2023'!E:BO,36,0)</f>
        <v>Normal</v>
      </c>
      <c r="J908">
        <f>VLOOKUP(C908,'RAW DATA 2023'!E:BO,21,0)</f>
        <v>25.143549999999998</v>
      </c>
      <c r="K908" s="268">
        <f t="shared" si="74"/>
        <v>246.21085000000002</v>
      </c>
    </row>
    <row r="909" spans="1:11">
      <c r="A909" t="str">
        <f>'RAW DATA 2023'!B902</f>
        <v>Ranode</v>
      </c>
      <c r="B909" t="str">
        <f>'RAW DATA 2023'!D902</f>
        <v>AG-090-0010</v>
      </c>
      <c r="C909" t="str">
        <f t="shared" si="70"/>
        <v>RanodeAG-090-0010</v>
      </c>
      <c r="D909">
        <f>VLOOKUP(C909,'RAW DATA 2023'!E:BP,63,0)</f>
        <v>6</v>
      </c>
      <c r="E909" t="str">
        <f t="shared" si="71"/>
        <v>Ranode6</v>
      </c>
      <c r="F909" s="8">
        <f>VLOOKUP(C909,'RAW DATA 2023'!E:BO,23,0)</f>
        <v>24.726820482031052</v>
      </c>
      <c r="G909" s="14">
        <f t="shared" si="72"/>
        <v>50.273179517968948</v>
      </c>
      <c r="H909" s="25">
        <f t="shared" si="73"/>
        <v>10.054635903593791</v>
      </c>
      <c r="I909" s="80" t="str">
        <f>VLOOKUP(C909,'RAW DATA 2023'!E:BO,36,0)</f>
        <v>Normal</v>
      </c>
      <c r="J909">
        <f>VLOOKUP(C909,'RAW DATA 2023'!E:BO,21,0)</f>
        <v>19.8203</v>
      </c>
      <c r="K909" s="268">
        <f t="shared" si="74"/>
        <v>199.28590000000003</v>
      </c>
    </row>
    <row r="910" spans="1:11">
      <c r="A910" t="str">
        <f>'RAW DATA 2023'!B903</f>
        <v>Ranode</v>
      </c>
      <c r="B910" t="str">
        <f>'RAW DATA 2023'!D903</f>
        <v>A1-016-0028</v>
      </c>
      <c r="C910" t="str">
        <f t="shared" si="70"/>
        <v>RanodeA1-016-0028</v>
      </c>
      <c r="D910">
        <f>VLOOKUP(C910,'RAW DATA 2023'!E:BP,63,0)</f>
        <v>11</v>
      </c>
      <c r="E910" t="str">
        <f t="shared" si="71"/>
        <v>Ranode11</v>
      </c>
      <c r="F910" s="8">
        <f>VLOOKUP(C910,'RAW DATA 2023'!E:BO,23,0)</f>
        <v>44.71684705039241</v>
      </c>
      <c r="G910" s="14">
        <f t="shared" si="72"/>
        <v>30.28315294960759</v>
      </c>
      <c r="H910" s="25">
        <f t="shared" si="73"/>
        <v>6.056630589921518</v>
      </c>
      <c r="I910" s="80" t="str">
        <f>VLOOKUP(C910,'RAW DATA 2023'!E:BO,36,0)</f>
        <v>Normal</v>
      </c>
      <c r="J910">
        <f>VLOOKUP(C910,'RAW DATA 2023'!E:BO,21,0)</f>
        <v>49.899180000000001</v>
      </c>
      <c r="K910" s="268">
        <f t="shared" si="74"/>
        <v>302.22090000000003</v>
      </c>
    </row>
    <row r="911" spans="1:11">
      <c r="A911" t="str">
        <f>'RAW DATA 2023'!B904</f>
        <v>Ranode</v>
      </c>
      <c r="B911" t="str">
        <f>'RAW DATA 2023'!D904</f>
        <v>AG-093-0013</v>
      </c>
      <c r="C911" t="str">
        <f t="shared" si="70"/>
        <v>RanodeAG-093-0013</v>
      </c>
      <c r="D911">
        <f>VLOOKUP(C911,'RAW DATA 2023'!E:BP,63,0)</f>
        <v>6</v>
      </c>
      <c r="E911" t="str">
        <f t="shared" si="71"/>
        <v>Ranode6</v>
      </c>
      <c r="F911" s="8">
        <f>VLOOKUP(C911,'RAW DATA 2023'!E:BO,23,0)</f>
        <v>74.999909583759802</v>
      </c>
      <c r="G911" s="14">
        <f t="shared" si="72"/>
        <v>9.04162401980102E-5</v>
      </c>
      <c r="H911" s="25">
        <f t="shared" si="73"/>
        <v>1.8083248039602041E-5</v>
      </c>
      <c r="I911" s="80" t="str">
        <f>VLOOKUP(C911,'RAW DATA 2023'!E:BO,36,0)</f>
        <v>EHP</v>
      </c>
      <c r="J911">
        <f>VLOOKUP(C911,'RAW DATA 2023'!E:BO,21,0)</f>
        <v>11.059959999999998</v>
      </c>
      <c r="K911" s="268">
        <f t="shared" si="74"/>
        <v>1.9999999998807696E-4</v>
      </c>
    </row>
    <row r="912" spans="1:11">
      <c r="A912" t="str">
        <f>'RAW DATA 2023'!B905</f>
        <v>Ranode</v>
      </c>
      <c r="B912" t="str">
        <f>'RAW DATA 2023'!D905</f>
        <v>AG-093-0012</v>
      </c>
      <c r="C912" t="str">
        <f t="shared" si="70"/>
        <v>RanodeAG-093-0012</v>
      </c>
      <c r="D912">
        <f>VLOOKUP(C912,'RAW DATA 2023'!E:BP,63,0)</f>
        <v>4</v>
      </c>
      <c r="E912" t="str">
        <f t="shared" si="71"/>
        <v>Ranode4</v>
      </c>
      <c r="F912" s="8">
        <f>VLOOKUP(C912,'RAW DATA 2023'!E:BO,23,0)</f>
        <v>58.999966879571573</v>
      </c>
      <c r="G912" s="14">
        <f t="shared" si="72"/>
        <v>16.000033120428427</v>
      </c>
      <c r="H912" s="25">
        <f t="shared" si="73"/>
        <v>3.2000066240856855</v>
      </c>
      <c r="I912" s="80" t="str">
        <f>VLOOKUP(C912,'RAW DATA 2023'!E:BO,36,0)</f>
        <v>EHP</v>
      </c>
      <c r="J912">
        <f>VLOOKUP(C912,'RAW DATA 2023'!E:BO,21,0)</f>
        <v>7.8501400000000006</v>
      </c>
      <c r="K912" s="268">
        <f t="shared" si="74"/>
        <v>25.120500000000003</v>
      </c>
    </row>
    <row r="913" spans="1:11">
      <c r="A913" t="str">
        <f>'RAW DATA 2023'!B906</f>
        <v>Ranode</v>
      </c>
      <c r="B913" t="str">
        <f>'RAW DATA 2023'!D906</f>
        <v>AG-093-0014</v>
      </c>
      <c r="C913" t="str">
        <f t="shared" si="70"/>
        <v>RanodeAG-093-0014</v>
      </c>
      <c r="D913">
        <f>VLOOKUP(C913,'RAW DATA 2023'!E:BP,63,0)</f>
        <v>12</v>
      </c>
      <c r="E913" t="str">
        <f t="shared" si="71"/>
        <v>Ranode12</v>
      </c>
      <c r="F913" s="8">
        <f>VLOOKUP(C913,'RAW DATA 2023'!E:BO,23,0)</f>
        <v>132.00613167512515</v>
      </c>
      <c r="G913" s="14">
        <f t="shared" si="72"/>
        <v>-57.006131675125147</v>
      </c>
      <c r="H913" s="25">
        <f t="shared" si="73"/>
        <v>-11.401226335025029</v>
      </c>
      <c r="I913" s="80" t="str">
        <f>VLOOKUP(C913,'RAW DATA 2023'!E:BO,36,0)</f>
        <v>EHP</v>
      </c>
      <c r="J913">
        <f>VLOOKUP(C913,'RAW DATA 2023'!E:BO,21,0)</f>
        <v>5.7732999999999999</v>
      </c>
      <c r="K913" s="268">
        <f t="shared" si="74"/>
        <v>-65.822699999999998</v>
      </c>
    </row>
    <row r="914" spans="1:11">
      <c r="A914" t="str">
        <f>'RAW DATA 2023'!B907</f>
        <v>Ranode</v>
      </c>
      <c r="B914" t="str">
        <f>'RAW DATA 2023'!D907</f>
        <v>A1-082-0016</v>
      </c>
      <c r="C914" t="str">
        <f t="shared" si="70"/>
        <v>RanodeA1-082-0016</v>
      </c>
      <c r="D914">
        <f>VLOOKUP(C914,'RAW DATA 2023'!E:BP,63,0)</f>
        <v>3</v>
      </c>
      <c r="E914" t="str">
        <f t="shared" si="71"/>
        <v>Ranode3</v>
      </c>
      <c r="F914" s="8">
        <f>VLOOKUP(C914,'RAW DATA 2023'!E:BO,23,0)</f>
        <v>144.00003312725423</v>
      </c>
      <c r="G914" s="14">
        <f t="shared" si="72"/>
        <v>-69.000033127254227</v>
      </c>
      <c r="H914" s="25">
        <f t="shared" si="73"/>
        <v>-13.800006625450846</v>
      </c>
      <c r="I914" s="80" t="str">
        <f>VLOOKUP(C914,'RAW DATA 2023'!E:BO,36,0)</f>
        <v>EHP</v>
      </c>
      <c r="J914">
        <f>VLOOKUP(C914,'RAW DATA 2023'!E:BO,21,0)</f>
        <v>4.82986</v>
      </c>
      <c r="K914" s="268">
        <f t="shared" si="74"/>
        <v>-66.652100000000033</v>
      </c>
    </row>
    <row r="915" spans="1:11">
      <c r="A915" t="str">
        <f>'RAW DATA 2023'!B908</f>
        <v>Ranode</v>
      </c>
      <c r="B915" t="str">
        <f>'RAW DATA 2023'!D908</f>
        <v>A1-083-0016</v>
      </c>
      <c r="C915" t="str">
        <f t="shared" si="70"/>
        <v>RanodeA1-083-0016</v>
      </c>
      <c r="D915">
        <f>VLOOKUP(C915,'RAW DATA 2023'!E:BP,63,0)</f>
        <v>3</v>
      </c>
      <c r="E915" t="str">
        <f t="shared" si="71"/>
        <v>Ranode3</v>
      </c>
      <c r="F915" s="8">
        <f>VLOOKUP(C915,'RAW DATA 2023'!E:BO,23,0)</f>
        <v>183.00012697606502</v>
      </c>
      <c r="G915" s="14">
        <f t="shared" si="72"/>
        <v>-108.00012697606502</v>
      </c>
      <c r="H915" s="25">
        <f t="shared" si="73"/>
        <v>-21.600025395213006</v>
      </c>
      <c r="I915" s="80" t="str">
        <f>VLOOKUP(C915,'RAW DATA 2023'!E:BO,36,0)</f>
        <v>EHP</v>
      </c>
      <c r="J915">
        <f>VLOOKUP(C915,'RAW DATA 2023'!E:BO,21,0)</f>
        <v>3.1501999999999999</v>
      </c>
      <c r="K915" s="268">
        <f t="shared" si="74"/>
        <v>-68.04440000000001</v>
      </c>
    </row>
    <row r="916" spans="1:11">
      <c r="A916" t="str">
        <f>'RAW DATA 2023'!B909</f>
        <v>Ranode</v>
      </c>
      <c r="B916" t="str">
        <f>'RAW DATA 2023'!D909</f>
        <v>A1-015-0033</v>
      </c>
      <c r="C916" t="str">
        <f t="shared" si="70"/>
        <v>RanodeA1-015-0033</v>
      </c>
      <c r="D916">
        <f>VLOOKUP(C916,'RAW DATA 2023'!E:BP,63,0)</f>
        <v>7</v>
      </c>
      <c r="E916" t="str">
        <f t="shared" si="71"/>
        <v>Ranode7</v>
      </c>
      <c r="F916" s="8">
        <f>VLOOKUP(C916,'RAW DATA 2023'!E:BO,23,0)</f>
        <v>207.00007918446883</v>
      </c>
      <c r="G916" s="14">
        <f t="shared" si="72"/>
        <v>-132.00007918446883</v>
      </c>
      <c r="H916" s="25">
        <f t="shared" si="73"/>
        <v>-26.400015836893768</v>
      </c>
      <c r="I916" s="80" t="str">
        <f>VLOOKUP(C916,'RAW DATA 2023'!E:BO,36,0)</f>
        <v>EHP</v>
      </c>
      <c r="J916">
        <f>VLOOKUP(C916,'RAW DATA 2023'!E:BO,21,0)</f>
        <v>11.61844</v>
      </c>
      <c r="K916" s="268">
        <f t="shared" si="74"/>
        <v>-306.72700000000003</v>
      </c>
    </row>
    <row r="917" spans="1:11">
      <c r="A917">
        <f>'RAW DATA 2023'!B910</f>
        <v>0</v>
      </c>
      <c r="B917">
        <f>'RAW DATA 2023'!D910</f>
        <v>0</v>
      </c>
      <c r="C917" t="str">
        <f t="shared" si="70"/>
        <v>00</v>
      </c>
      <c r="D917" t="e">
        <f>VLOOKUP(C917,'RAW DATA 2023'!E:BP,63,0)</f>
        <v>#N/A</v>
      </c>
      <c r="E917" t="e">
        <f t="shared" si="71"/>
        <v>#N/A</v>
      </c>
      <c r="F917" s="8" t="e">
        <f>VLOOKUP(C917,'RAW DATA 2023'!E:BO,23,0)</f>
        <v>#N/A</v>
      </c>
      <c r="G917" s="14" t="e">
        <f t="shared" si="72"/>
        <v>#N/A</v>
      </c>
      <c r="H917" s="25" t="e">
        <f t="shared" si="73"/>
        <v>#N/A</v>
      </c>
      <c r="I917" s="80" t="e">
        <f>VLOOKUP(C917,'RAW DATA 2023'!E:BO,36,0)</f>
        <v>#N/A</v>
      </c>
      <c r="J917" t="e">
        <f>VLOOKUP(C917,'RAW DATA 2023'!E:BO,21,0)</f>
        <v>#N/A</v>
      </c>
      <c r="K917" s="268" t="e">
        <f t="shared" si="74"/>
        <v>#N/A</v>
      </c>
    </row>
    <row r="918" spans="1:11">
      <c r="A918">
        <f>'RAW DATA 2023'!B911</f>
        <v>0</v>
      </c>
      <c r="B918">
        <f>'RAW DATA 2023'!D911</f>
        <v>0</v>
      </c>
      <c r="C918" t="str">
        <f t="shared" si="70"/>
        <v>00</v>
      </c>
      <c r="D918" t="e">
        <f>VLOOKUP(C918,'RAW DATA 2023'!E:BP,63,0)</f>
        <v>#N/A</v>
      </c>
      <c r="E918" t="e">
        <f t="shared" si="71"/>
        <v>#N/A</v>
      </c>
      <c r="F918" s="8" t="e">
        <f>VLOOKUP(C918,'RAW DATA 2023'!E:BO,23,0)</f>
        <v>#N/A</v>
      </c>
      <c r="G918" s="14" t="e">
        <f t="shared" si="72"/>
        <v>#N/A</v>
      </c>
      <c r="H918" s="25" t="e">
        <f t="shared" si="73"/>
        <v>#N/A</v>
      </c>
      <c r="I918" s="80" t="e">
        <f>VLOOKUP(C918,'RAW DATA 2023'!E:BO,36,0)</f>
        <v>#N/A</v>
      </c>
      <c r="J918" t="e">
        <f>VLOOKUP(C918,'RAW DATA 2023'!E:BO,21,0)</f>
        <v>#N/A</v>
      </c>
      <c r="K918" s="268" t="e">
        <f t="shared" si="74"/>
        <v>#N/A</v>
      </c>
    </row>
    <row r="919" spans="1:11">
      <c r="A919">
        <f>'RAW DATA 2023'!B912</f>
        <v>0</v>
      </c>
      <c r="B919">
        <f>'RAW DATA 2023'!D912</f>
        <v>0</v>
      </c>
      <c r="C919" t="str">
        <f t="shared" si="70"/>
        <v>00</v>
      </c>
      <c r="D919" t="e">
        <f>VLOOKUP(C919,'RAW DATA 2023'!E:BP,63,0)</f>
        <v>#N/A</v>
      </c>
      <c r="E919" t="e">
        <f t="shared" si="71"/>
        <v>#N/A</v>
      </c>
      <c r="F919" s="8" t="e">
        <f>VLOOKUP(C919,'RAW DATA 2023'!E:BO,23,0)</f>
        <v>#N/A</v>
      </c>
      <c r="G919" s="14" t="e">
        <f t="shared" si="72"/>
        <v>#N/A</v>
      </c>
      <c r="H919" s="25" t="e">
        <f t="shared" si="73"/>
        <v>#N/A</v>
      </c>
      <c r="I919" s="80" t="e">
        <f>VLOOKUP(C919,'RAW DATA 2023'!E:BO,36,0)</f>
        <v>#N/A</v>
      </c>
      <c r="J919" t="e">
        <f>VLOOKUP(C919,'RAW DATA 2023'!E:BO,21,0)</f>
        <v>#N/A</v>
      </c>
      <c r="K919" s="268" t="e">
        <f t="shared" si="74"/>
        <v>#N/A</v>
      </c>
    </row>
    <row r="920" spans="1:11">
      <c r="A920">
        <f>'RAW DATA 2023'!B913</f>
        <v>0</v>
      </c>
      <c r="B920">
        <f>'RAW DATA 2023'!D913</f>
        <v>0</v>
      </c>
      <c r="C920" t="str">
        <f t="shared" si="70"/>
        <v>00</v>
      </c>
      <c r="D920" t="e">
        <f>VLOOKUP(C920,'RAW DATA 2023'!E:BP,63,0)</f>
        <v>#N/A</v>
      </c>
      <c r="E920" t="e">
        <f t="shared" si="71"/>
        <v>#N/A</v>
      </c>
      <c r="F920" s="8" t="e">
        <f>VLOOKUP(C920,'RAW DATA 2023'!E:BO,23,0)</f>
        <v>#N/A</v>
      </c>
      <c r="G920" s="14" t="e">
        <f t="shared" si="72"/>
        <v>#N/A</v>
      </c>
      <c r="H920" s="25" t="e">
        <f t="shared" si="73"/>
        <v>#N/A</v>
      </c>
      <c r="I920" s="80" t="e">
        <f>VLOOKUP(C920,'RAW DATA 2023'!E:BO,36,0)</f>
        <v>#N/A</v>
      </c>
      <c r="J920" t="e">
        <f>VLOOKUP(C920,'RAW DATA 2023'!E:BO,21,0)</f>
        <v>#N/A</v>
      </c>
      <c r="K920" s="268" t="e">
        <f t="shared" si="74"/>
        <v>#N/A</v>
      </c>
    </row>
    <row r="921" spans="1:11">
      <c r="A921">
        <f>'RAW DATA 2023'!B914</f>
        <v>0</v>
      </c>
      <c r="B921">
        <f>'RAW DATA 2023'!D914</f>
        <v>0</v>
      </c>
      <c r="C921" t="str">
        <f t="shared" si="70"/>
        <v>00</v>
      </c>
      <c r="D921" t="e">
        <f>VLOOKUP(C921,'RAW DATA 2023'!E:BP,63,0)</f>
        <v>#N/A</v>
      </c>
      <c r="E921" t="e">
        <f t="shared" si="71"/>
        <v>#N/A</v>
      </c>
      <c r="F921" s="8" t="e">
        <f>VLOOKUP(C921,'RAW DATA 2023'!E:BO,23,0)</f>
        <v>#N/A</v>
      </c>
      <c r="G921" s="14" t="e">
        <f t="shared" si="72"/>
        <v>#N/A</v>
      </c>
      <c r="H921" s="25" t="e">
        <f t="shared" si="73"/>
        <v>#N/A</v>
      </c>
      <c r="I921" s="80" t="e">
        <f>VLOOKUP(C921,'RAW DATA 2023'!E:BO,36,0)</f>
        <v>#N/A</v>
      </c>
      <c r="J921" t="e">
        <f>VLOOKUP(C921,'RAW DATA 2023'!E:BO,21,0)</f>
        <v>#N/A</v>
      </c>
      <c r="K921" s="268" t="e">
        <f t="shared" si="74"/>
        <v>#N/A</v>
      </c>
    </row>
    <row r="922" spans="1:11">
      <c r="A922">
        <f>'RAW DATA 2023'!B915</f>
        <v>0</v>
      </c>
      <c r="B922">
        <f>'RAW DATA 2023'!D915</f>
        <v>0</v>
      </c>
      <c r="C922" t="str">
        <f t="shared" si="70"/>
        <v>00</v>
      </c>
      <c r="D922" t="e">
        <f>VLOOKUP(C922,'RAW DATA 2023'!E:BP,63,0)</f>
        <v>#N/A</v>
      </c>
      <c r="E922" t="e">
        <f t="shared" si="71"/>
        <v>#N/A</v>
      </c>
      <c r="F922" s="8" t="e">
        <f>VLOOKUP(C922,'RAW DATA 2023'!E:BO,23,0)</f>
        <v>#N/A</v>
      </c>
      <c r="G922" s="14" t="e">
        <f t="shared" si="72"/>
        <v>#N/A</v>
      </c>
      <c r="H922" s="25" t="e">
        <f t="shared" si="73"/>
        <v>#N/A</v>
      </c>
      <c r="I922" s="80" t="e">
        <f>VLOOKUP(C922,'RAW DATA 2023'!E:BO,36,0)</f>
        <v>#N/A</v>
      </c>
      <c r="J922" t="e">
        <f>VLOOKUP(C922,'RAW DATA 2023'!E:BO,21,0)</f>
        <v>#N/A</v>
      </c>
      <c r="K922" s="268" t="e">
        <f t="shared" si="74"/>
        <v>#N/A</v>
      </c>
    </row>
    <row r="923" spans="1:11">
      <c r="A923">
        <f>'RAW DATA 2023'!B916</f>
        <v>0</v>
      </c>
      <c r="B923">
        <f>'RAW DATA 2023'!D916</f>
        <v>0</v>
      </c>
      <c r="C923" t="str">
        <f t="shared" si="70"/>
        <v>00</v>
      </c>
      <c r="D923" t="e">
        <f>VLOOKUP(C923,'RAW DATA 2023'!E:BP,63,0)</f>
        <v>#N/A</v>
      </c>
      <c r="E923" t="e">
        <f t="shared" si="71"/>
        <v>#N/A</v>
      </c>
      <c r="F923" s="8" t="e">
        <f>VLOOKUP(C923,'RAW DATA 2023'!E:BO,23,0)</f>
        <v>#N/A</v>
      </c>
      <c r="G923" s="14" t="e">
        <f t="shared" si="72"/>
        <v>#N/A</v>
      </c>
      <c r="H923" s="25" t="e">
        <f t="shared" si="73"/>
        <v>#N/A</v>
      </c>
      <c r="I923" s="80" t="e">
        <f>VLOOKUP(C923,'RAW DATA 2023'!E:BO,36,0)</f>
        <v>#N/A</v>
      </c>
      <c r="J923" t="e">
        <f>VLOOKUP(C923,'RAW DATA 2023'!E:BO,21,0)</f>
        <v>#N/A</v>
      </c>
      <c r="K923" s="268" t="e">
        <f t="shared" si="74"/>
        <v>#N/A</v>
      </c>
    </row>
    <row r="924" spans="1:11">
      <c r="A924">
        <f>'RAW DATA 2023'!B917</f>
        <v>0</v>
      </c>
      <c r="B924">
        <f>'RAW DATA 2023'!D917</f>
        <v>0</v>
      </c>
      <c r="C924" t="str">
        <f t="shared" si="70"/>
        <v>00</v>
      </c>
      <c r="D924" t="e">
        <f>VLOOKUP(C924,'RAW DATA 2023'!E:BP,63,0)</f>
        <v>#N/A</v>
      </c>
      <c r="E924" t="e">
        <f t="shared" si="71"/>
        <v>#N/A</v>
      </c>
      <c r="F924" s="8" t="e">
        <f>VLOOKUP(C924,'RAW DATA 2023'!E:BO,23,0)</f>
        <v>#N/A</v>
      </c>
      <c r="G924" s="14" t="e">
        <f t="shared" si="72"/>
        <v>#N/A</v>
      </c>
      <c r="H924" s="25" t="e">
        <f t="shared" si="73"/>
        <v>#N/A</v>
      </c>
      <c r="I924" s="80" t="e">
        <f>VLOOKUP(C924,'RAW DATA 2023'!E:BO,36,0)</f>
        <v>#N/A</v>
      </c>
      <c r="J924" t="e">
        <f>VLOOKUP(C924,'RAW DATA 2023'!E:BO,21,0)</f>
        <v>#N/A</v>
      </c>
      <c r="K924" s="268" t="e">
        <f t="shared" si="74"/>
        <v>#N/A</v>
      </c>
    </row>
    <row r="925" spans="1:11">
      <c r="A925">
        <f>'RAW DATA 2023'!B918</f>
        <v>0</v>
      </c>
      <c r="B925">
        <f>'RAW DATA 2023'!D918</f>
        <v>0</v>
      </c>
      <c r="C925" t="str">
        <f t="shared" si="70"/>
        <v>00</v>
      </c>
      <c r="D925" t="e">
        <f>VLOOKUP(C925,'RAW DATA 2023'!E:BP,63,0)</f>
        <v>#N/A</v>
      </c>
      <c r="E925" t="e">
        <f t="shared" si="71"/>
        <v>#N/A</v>
      </c>
      <c r="F925" s="8" t="e">
        <f>VLOOKUP(C925,'RAW DATA 2023'!E:BO,23,0)</f>
        <v>#N/A</v>
      </c>
      <c r="G925" s="14" t="e">
        <f t="shared" si="72"/>
        <v>#N/A</v>
      </c>
      <c r="H925" s="25" t="e">
        <f t="shared" si="73"/>
        <v>#N/A</v>
      </c>
      <c r="I925" s="80" t="e">
        <f>VLOOKUP(C925,'RAW DATA 2023'!E:BO,36,0)</f>
        <v>#N/A</v>
      </c>
      <c r="J925" t="e">
        <f>VLOOKUP(C925,'RAW DATA 2023'!E:BO,21,0)</f>
        <v>#N/A</v>
      </c>
      <c r="K925" s="268" t="e">
        <f t="shared" si="74"/>
        <v>#N/A</v>
      </c>
    </row>
    <row r="926" spans="1:11">
      <c r="A926">
        <f>'RAW DATA 2023'!B919</f>
        <v>0</v>
      </c>
      <c r="B926">
        <f>'RAW DATA 2023'!D919</f>
        <v>0</v>
      </c>
      <c r="C926" t="str">
        <f t="shared" si="70"/>
        <v>00</v>
      </c>
      <c r="D926" t="e">
        <f>VLOOKUP(C926,'RAW DATA 2023'!E:BP,63,0)</f>
        <v>#N/A</v>
      </c>
      <c r="E926" t="e">
        <f t="shared" si="71"/>
        <v>#N/A</v>
      </c>
      <c r="F926" s="8" t="e">
        <f>VLOOKUP(C926,'RAW DATA 2023'!E:BO,23,0)</f>
        <v>#N/A</v>
      </c>
      <c r="G926" s="14" t="e">
        <f t="shared" si="72"/>
        <v>#N/A</v>
      </c>
      <c r="H926" s="25" t="e">
        <f t="shared" si="73"/>
        <v>#N/A</v>
      </c>
      <c r="I926" s="80" t="e">
        <f>VLOOKUP(C926,'RAW DATA 2023'!E:BO,36,0)</f>
        <v>#N/A</v>
      </c>
      <c r="J926" t="e">
        <f>VLOOKUP(C926,'RAW DATA 2023'!E:BO,21,0)</f>
        <v>#N/A</v>
      </c>
      <c r="K926" s="268" t="e">
        <f t="shared" si="74"/>
        <v>#N/A</v>
      </c>
    </row>
    <row r="927" spans="1:11">
      <c r="A927">
        <f>'RAW DATA 2023'!B920</f>
        <v>0</v>
      </c>
      <c r="B927">
        <f>'RAW DATA 2023'!D920</f>
        <v>0</v>
      </c>
      <c r="C927" t="str">
        <f t="shared" si="70"/>
        <v>00</v>
      </c>
      <c r="D927" t="e">
        <f>VLOOKUP(C927,'RAW DATA 2023'!E:BP,63,0)</f>
        <v>#N/A</v>
      </c>
      <c r="E927" t="e">
        <f t="shared" si="71"/>
        <v>#N/A</v>
      </c>
      <c r="F927" s="8" t="e">
        <f>VLOOKUP(C927,'RAW DATA 2023'!E:BO,23,0)</f>
        <v>#N/A</v>
      </c>
      <c r="G927" s="14" t="e">
        <f t="shared" si="72"/>
        <v>#N/A</v>
      </c>
      <c r="H927" s="25" t="e">
        <f t="shared" si="73"/>
        <v>#N/A</v>
      </c>
      <c r="I927" s="80" t="e">
        <f>VLOOKUP(C927,'RAW DATA 2023'!E:BO,36,0)</f>
        <v>#N/A</v>
      </c>
      <c r="J927" t="e">
        <f>VLOOKUP(C927,'RAW DATA 2023'!E:BO,21,0)</f>
        <v>#N/A</v>
      </c>
      <c r="K927" s="268" t="e">
        <f t="shared" si="74"/>
        <v>#N/A</v>
      </c>
    </row>
    <row r="928" spans="1:11">
      <c r="A928">
        <f>'RAW DATA 2023'!B921</f>
        <v>0</v>
      </c>
      <c r="B928">
        <f>'RAW DATA 2023'!D921</f>
        <v>0</v>
      </c>
      <c r="C928" t="str">
        <f t="shared" si="70"/>
        <v>00</v>
      </c>
      <c r="D928" t="e">
        <f>VLOOKUP(C928,'RAW DATA 2023'!E:BP,63,0)</f>
        <v>#N/A</v>
      </c>
      <c r="E928" t="e">
        <f t="shared" si="71"/>
        <v>#N/A</v>
      </c>
      <c r="F928" s="8" t="e">
        <f>VLOOKUP(C928,'RAW DATA 2023'!E:BO,23,0)</f>
        <v>#N/A</v>
      </c>
      <c r="G928" s="14" t="e">
        <f t="shared" si="72"/>
        <v>#N/A</v>
      </c>
      <c r="H928" s="25" t="e">
        <f t="shared" si="73"/>
        <v>#N/A</v>
      </c>
      <c r="I928" s="80" t="e">
        <f>VLOOKUP(C928,'RAW DATA 2023'!E:BO,36,0)</f>
        <v>#N/A</v>
      </c>
      <c r="J928" t="e">
        <f>VLOOKUP(C928,'RAW DATA 2023'!E:BO,21,0)</f>
        <v>#N/A</v>
      </c>
      <c r="K928" s="268" t="e">
        <f t="shared" si="74"/>
        <v>#N/A</v>
      </c>
    </row>
    <row r="929" spans="1:11">
      <c r="A929">
        <f>'RAW DATA 2023'!B922</f>
        <v>0</v>
      </c>
      <c r="B929">
        <f>'RAW DATA 2023'!D922</f>
        <v>0</v>
      </c>
      <c r="C929" t="str">
        <f t="shared" si="70"/>
        <v>00</v>
      </c>
      <c r="D929" t="e">
        <f>VLOOKUP(C929,'RAW DATA 2023'!E:BP,63,0)</f>
        <v>#N/A</v>
      </c>
      <c r="E929" t="e">
        <f t="shared" si="71"/>
        <v>#N/A</v>
      </c>
      <c r="F929" s="8" t="e">
        <f>VLOOKUP(C929,'RAW DATA 2023'!E:BO,23,0)</f>
        <v>#N/A</v>
      </c>
      <c r="G929" s="14" t="e">
        <f t="shared" si="72"/>
        <v>#N/A</v>
      </c>
      <c r="H929" s="25" t="e">
        <f t="shared" si="73"/>
        <v>#N/A</v>
      </c>
      <c r="I929" s="80" t="e">
        <f>VLOOKUP(C929,'RAW DATA 2023'!E:BO,36,0)</f>
        <v>#N/A</v>
      </c>
      <c r="J929" t="e">
        <f>VLOOKUP(C929,'RAW DATA 2023'!E:BO,21,0)</f>
        <v>#N/A</v>
      </c>
      <c r="K929" s="268" t="e">
        <f t="shared" si="74"/>
        <v>#N/A</v>
      </c>
    </row>
    <row r="930" spans="1:11">
      <c r="A930">
        <f>'RAW DATA 2023'!B923</f>
        <v>0</v>
      </c>
      <c r="B930">
        <f>'RAW DATA 2023'!D923</f>
        <v>0</v>
      </c>
      <c r="C930" t="str">
        <f t="shared" si="70"/>
        <v>00</v>
      </c>
      <c r="D930" t="e">
        <f>VLOOKUP(C930,'RAW DATA 2023'!E:BP,63,0)</f>
        <v>#N/A</v>
      </c>
      <c r="E930" t="e">
        <f t="shared" si="71"/>
        <v>#N/A</v>
      </c>
      <c r="F930" s="8" t="e">
        <f>VLOOKUP(C930,'RAW DATA 2023'!E:BO,23,0)</f>
        <v>#N/A</v>
      </c>
      <c r="G930" s="14" t="e">
        <f t="shared" si="72"/>
        <v>#N/A</v>
      </c>
      <c r="H930" s="25" t="e">
        <f t="shared" si="73"/>
        <v>#N/A</v>
      </c>
      <c r="I930" s="80" t="e">
        <f>VLOOKUP(C930,'RAW DATA 2023'!E:BO,36,0)</f>
        <v>#N/A</v>
      </c>
      <c r="J930" t="e">
        <f>VLOOKUP(C930,'RAW DATA 2023'!E:BO,21,0)</f>
        <v>#N/A</v>
      </c>
      <c r="K930" s="268" t="e">
        <f t="shared" si="74"/>
        <v>#N/A</v>
      </c>
    </row>
    <row r="931" spans="1:11">
      <c r="A931">
        <f>'RAW DATA 2023'!B924</f>
        <v>0</v>
      </c>
      <c r="B931">
        <f>'RAW DATA 2023'!D924</f>
        <v>0</v>
      </c>
      <c r="C931" t="str">
        <f t="shared" si="70"/>
        <v>00</v>
      </c>
      <c r="D931" t="e">
        <f>VLOOKUP(C931,'RAW DATA 2023'!E:BP,63,0)</f>
        <v>#N/A</v>
      </c>
      <c r="E931" t="e">
        <f t="shared" si="71"/>
        <v>#N/A</v>
      </c>
      <c r="F931" s="8" t="e">
        <f>VLOOKUP(C931,'RAW DATA 2023'!E:BO,23,0)</f>
        <v>#N/A</v>
      </c>
      <c r="G931" s="14" t="e">
        <f t="shared" si="72"/>
        <v>#N/A</v>
      </c>
      <c r="H931" s="25" t="e">
        <f t="shared" si="73"/>
        <v>#N/A</v>
      </c>
      <c r="I931" s="80" t="e">
        <f>VLOOKUP(C931,'RAW DATA 2023'!E:BO,36,0)</f>
        <v>#N/A</v>
      </c>
      <c r="J931" t="e">
        <f>VLOOKUP(C931,'RAW DATA 2023'!E:BO,21,0)</f>
        <v>#N/A</v>
      </c>
      <c r="K931" s="268" t="e">
        <f t="shared" si="74"/>
        <v>#N/A</v>
      </c>
    </row>
    <row r="932" spans="1:11">
      <c r="A932">
        <f>'RAW DATA 2023'!B925</f>
        <v>0</v>
      </c>
      <c r="B932">
        <f>'RAW DATA 2023'!D925</f>
        <v>0</v>
      </c>
      <c r="C932" t="str">
        <f t="shared" si="70"/>
        <v>00</v>
      </c>
      <c r="D932" t="e">
        <f>VLOOKUP(C932,'RAW DATA 2023'!E:BP,63,0)</f>
        <v>#N/A</v>
      </c>
      <c r="E932" t="e">
        <f t="shared" si="71"/>
        <v>#N/A</v>
      </c>
      <c r="F932" s="8" t="e">
        <f>VLOOKUP(C932,'RAW DATA 2023'!E:BO,23,0)</f>
        <v>#N/A</v>
      </c>
      <c r="G932" s="14" t="e">
        <f t="shared" si="72"/>
        <v>#N/A</v>
      </c>
      <c r="H932" s="25" t="e">
        <f t="shared" si="73"/>
        <v>#N/A</v>
      </c>
      <c r="I932" s="80" t="e">
        <f>VLOOKUP(C932,'RAW DATA 2023'!E:BO,36,0)</f>
        <v>#N/A</v>
      </c>
      <c r="J932" t="e">
        <f>VLOOKUP(C932,'RAW DATA 2023'!E:BO,21,0)</f>
        <v>#N/A</v>
      </c>
      <c r="K932" s="268" t="e">
        <f t="shared" si="74"/>
        <v>#N/A</v>
      </c>
    </row>
    <row r="933" spans="1:11">
      <c r="A933">
        <f>'RAW DATA 2023'!B926</f>
        <v>0</v>
      </c>
      <c r="B933">
        <f>'RAW DATA 2023'!D926</f>
        <v>0</v>
      </c>
      <c r="C933" t="str">
        <f t="shared" si="70"/>
        <v>00</v>
      </c>
      <c r="D933" t="e">
        <f>VLOOKUP(C933,'RAW DATA 2023'!E:BP,63,0)</f>
        <v>#N/A</v>
      </c>
      <c r="E933" t="e">
        <f t="shared" si="71"/>
        <v>#N/A</v>
      </c>
      <c r="F933" s="8" t="e">
        <f>VLOOKUP(C933,'RAW DATA 2023'!E:BO,23,0)</f>
        <v>#N/A</v>
      </c>
      <c r="G933" s="14" t="e">
        <f t="shared" si="72"/>
        <v>#N/A</v>
      </c>
      <c r="H933" s="25" t="e">
        <f t="shared" si="73"/>
        <v>#N/A</v>
      </c>
      <c r="I933" s="80" t="e">
        <f>VLOOKUP(C933,'RAW DATA 2023'!E:BO,36,0)</f>
        <v>#N/A</v>
      </c>
      <c r="J933" t="e">
        <f>VLOOKUP(C933,'RAW DATA 2023'!E:BO,21,0)</f>
        <v>#N/A</v>
      </c>
      <c r="K933" s="268" t="e">
        <f t="shared" si="74"/>
        <v>#N/A</v>
      </c>
    </row>
    <row r="934" spans="1:11">
      <c r="A934">
        <f>'RAW DATA 2023'!B927</f>
        <v>0</v>
      </c>
      <c r="B934">
        <f>'RAW DATA 2023'!D927</f>
        <v>0</v>
      </c>
      <c r="C934" t="str">
        <f t="shared" si="70"/>
        <v>00</v>
      </c>
      <c r="D934" t="e">
        <f>VLOOKUP(C934,'RAW DATA 2023'!E:BP,63,0)</f>
        <v>#N/A</v>
      </c>
      <c r="E934" t="e">
        <f t="shared" si="71"/>
        <v>#N/A</v>
      </c>
      <c r="F934" s="8" t="e">
        <f>VLOOKUP(C934,'RAW DATA 2023'!E:BO,23,0)</f>
        <v>#N/A</v>
      </c>
      <c r="G934" s="14" t="e">
        <f t="shared" si="72"/>
        <v>#N/A</v>
      </c>
      <c r="H934" s="25" t="e">
        <f t="shared" si="73"/>
        <v>#N/A</v>
      </c>
      <c r="I934" s="80" t="e">
        <f>VLOOKUP(C934,'RAW DATA 2023'!E:BO,36,0)</f>
        <v>#N/A</v>
      </c>
      <c r="J934" t="e">
        <f>VLOOKUP(C934,'RAW DATA 2023'!E:BO,21,0)</f>
        <v>#N/A</v>
      </c>
      <c r="K934" s="268" t="e">
        <f t="shared" si="74"/>
        <v>#N/A</v>
      </c>
    </row>
    <row r="935" spans="1:11">
      <c r="A935">
        <f>'RAW DATA 2023'!B928</f>
        <v>0</v>
      </c>
      <c r="B935">
        <f>'RAW DATA 2023'!D928</f>
        <v>0</v>
      </c>
      <c r="C935" t="str">
        <f t="shared" si="70"/>
        <v>00</v>
      </c>
      <c r="D935" t="e">
        <f>VLOOKUP(C935,'RAW DATA 2023'!E:BP,63,0)</f>
        <v>#N/A</v>
      </c>
      <c r="E935" t="e">
        <f t="shared" si="71"/>
        <v>#N/A</v>
      </c>
      <c r="F935" s="8" t="e">
        <f>VLOOKUP(C935,'RAW DATA 2023'!E:BO,23,0)</f>
        <v>#N/A</v>
      </c>
      <c r="G935" s="14" t="e">
        <f t="shared" si="72"/>
        <v>#N/A</v>
      </c>
      <c r="H935" s="25" t="e">
        <f t="shared" si="73"/>
        <v>#N/A</v>
      </c>
      <c r="I935" s="80" t="e">
        <f>VLOOKUP(C935,'RAW DATA 2023'!E:BO,36,0)</f>
        <v>#N/A</v>
      </c>
      <c r="J935" t="e">
        <f>VLOOKUP(C935,'RAW DATA 2023'!E:BO,21,0)</f>
        <v>#N/A</v>
      </c>
      <c r="K935" s="268" t="e">
        <f t="shared" si="74"/>
        <v>#N/A</v>
      </c>
    </row>
    <row r="936" spans="1:11">
      <c r="A936">
        <f>'RAW DATA 2023'!B929</f>
        <v>0</v>
      </c>
      <c r="B936">
        <f>'RAW DATA 2023'!D929</f>
        <v>0</v>
      </c>
      <c r="C936" t="str">
        <f t="shared" si="70"/>
        <v>00</v>
      </c>
      <c r="D936" t="e">
        <f>VLOOKUP(C936,'RAW DATA 2023'!E:BP,63,0)</f>
        <v>#N/A</v>
      </c>
      <c r="E936" t="e">
        <f t="shared" si="71"/>
        <v>#N/A</v>
      </c>
      <c r="F936" s="8" t="e">
        <f>VLOOKUP(C936,'RAW DATA 2023'!E:BO,23,0)</f>
        <v>#N/A</v>
      </c>
      <c r="G936" s="14" t="e">
        <f t="shared" si="72"/>
        <v>#N/A</v>
      </c>
      <c r="H936" s="25" t="e">
        <f t="shared" si="73"/>
        <v>#N/A</v>
      </c>
      <c r="I936" s="80" t="e">
        <f>VLOOKUP(C936,'RAW DATA 2023'!E:BO,36,0)</f>
        <v>#N/A</v>
      </c>
      <c r="J936" t="e">
        <f>VLOOKUP(C936,'RAW DATA 2023'!E:BO,21,0)</f>
        <v>#N/A</v>
      </c>
      <c r="K936" s="268" t="e">
        <f t="shared" si="74"/>
        <v>#N/A</v>
      </c>
    </row>
    <row r="937" spans="1:11">
      <c r="A937">
        <f>'RAW DATA 2023'!B930</f>
        <v>0</v>
      </c>
      <c r="B937">
        <f>'RAW DATA 2023'!D930</f>
        <v>0</v>
      </c>
      <c r="C937" t="str">
        <f t="shared" si="70"/>
        <v>00</v>
      </c>
      <c r="D937" t="e">
        <f>VLOOKUP(C937,'RAW DATA 2023'!E:BP,63,0)</f>
        <v>#N/A</v>
      </c>
      <c r="E937" t="e">
        <f t="shared" si="71"/>
        <v>#N/A</v>
      </c>
      <c r="F937" s="8" t="e">
        <f>VLOOKUP(C937,'RAW DATA 2023'!E:BO,23,0)</f>
        <v>#N/A</v>
      </c>
      <c r="G937" s="14" t="e">
        <f t="shared" si="72"/>
        <v>#N/A</v>
      </c>
      <c r="H937" s="25" t="e">
        <f t="shared" si="73"/>
        <v>#N/A</v>
      </c>
      <c r="I937" s="80" t="e">
        <f>VLOOKUP(C937,'RAW DATA 2023'!E:BO,36,0)</f>
        <v>#N/A</v>
      </c>
      <c r="J937" t="e">
        <f>VLOOKUP(C937,'RAW DATA 2023'!E:BO,21,0)</f>
        <v>#N/A</v>
      </c>
      <c r="K937" s="268" t="e">
        <f t="shared" si="74"/>
        <v>#N/A</v>
      </c>
    </row>
    <row r="938" spans="1:11">
      <c r="A938">
        <f>'RAW DATA 2023'!B931</f>
        <v>0</v>
      </c>
      <c r="B938">
        <f>'RAW DATA 2023'!D931</f>
        <v>0</v>
      </c>
      <c r="C938" t="str">
        <f t="shared" si="70"/>
        <v>00</v>
      </c>
      <c r="D938" t="e">
        <f>VLOOKUP(C938,'RAW DATA 2023'!E:BP,63,0)</f>
        <v>#N/A</v>
      </c>
      <c r="E938" t="e">
        <f t="shared" si="71"/>
        <v>#N/A</v>
      </c>
      <c r="F938" s="8" t="e">
        <f>VLOOKUP(C938,'RAW DATA 2023'!E:BO,23,0)</f>
        <v>#N/A</v>
      </c>
      <c r="G938" s="14" t="e">
        <f t="shared" si="72"/>
        <v>#N/A</v>
      </c>
      <c r="H938" s="25" t="e">
        <f t="shared" si="73"/>
        <v>#N/A</v>
      </c>
      <c r="I938" s="80" t="e">
        <f>VLOOKUP(C938,'RAW DATA 2023'!E:BO,36,0)</f>
        <v>#N/A</v>
      </c>
      <c r="J938" t="e">
        <f>VLOOKUP(C938,'RAW DATA 2023'!E:BO,21,0)</f>
        <v>#N/A</v>
      </c>
      <c r="K938" s="268" t="e">
        <f t="shared" si="74"/>
        <v>#N/A</v>
      </c>
    </row>
    <row r="939" spans="1:11">
      <c r="A939">
        <f>'RAW DATA 2023'!B932</f>
        <v>0</v>
      </c>
      <c r="B939">
        <f>'RAW DATA 2023'!D932</f>
        <v>0</v>
      </c>
      <c r="C939" t="str">
        <f t="shared" si="70"/>
        <v>00</v>
      </c>
      <c r="D939" t="e">
        <f>VLOOKUP(C939,'RAW DATA 2023'!E:BP,63,0)</f>
        <v>#N/A</v>
      </c>
      <c r="E939" t="e">
        <f t="shared" si="71"/>
        <v>#N/A</v>
      </c>
      <c r="F939" s="8" t="e">
        <f>VLOOKUP(C939,'RAW DATA 2023'!E:BO,23,0)</f>
        <v>#N/A</v>
      </c>
      <c r="G939" s="14" t="e">
        <f t="shared" si="72"/>
        <v>#N/A</v>
      </c>
      <c r="H939" s="25" t="e">
        <f t="shared" si="73"/>
        <v>#N/A</v>
      </c>
      <c r="I939" s="80" t="e">
        <f>VLOOKUP(C939,'RAW DATA 2023'!E:BO,36,0)</f>
        <v>#N/A</v>
      </c>
      <c r="J939" t="e">
        <f>VLOOKUP(C939,'RAW DATA 2023'!E:BO,21,0)</f>
        <v>#N/A</v>
      </c>
      <c r="K939" s="268" t="e">
        <f t="shared" si="74"/>
        <v>#N/A</v>
      </c>
    </row>
    <row r="940" spans="1:11">
      <c r="A940">
        <f>'RAW DATA 2023'!B933</f>
        <v>0</v>
      </c>
      <c r="B940">
        <f>'RAW DATA 2023'!D933</f>
        <v>0</v>
      </c>
      <c r="C940" t="str">
        <f t="shared" si="70"/>
        <v>00</v>
      </c>
      <c r="D940" t="e">
        <f>VLOOKUP(C940,'RAW DATA 2023'!E:BP,63,0)</f>
        <v>#N/A</v>
      </c>
      <c r="E940" t="e">
        <f t="shared" si="71"/>
        <v>#N/A</v>
      </c>
      <c r="F940" s="8" t="e">
        <f>VLOOKUP(C940,'RAW DATA 2023'!E:BO,23,0)</f>
        <v>#N/A</v>
      </c>
      <c r="G940" s="14" t="e">
        <f t="shared" si="72"/>
        <v>#N/A</v>
      </c>
      <c r="H940" s="25" t="e">
        <f t="shared" si="73"/>
        <v>#N/A</v>
      </c>
      <c r="I940" s="80" t="e">
        <f>VLOOKUP(C940,'RAW DATA 2023'!E:BO,36,0)</f>
        <v>#N/A</v>
      </c>
      <c r="J940" t="e">
        <f>VLOOKUP(C940,'RAW DATA 2023'!E:BO,21,0)</f>
        <v>#N/A</v>
      </c>
      <c r="K940" s="268" t="e">
        <f t="shared" si="74"/>
        <v>#N/A</v>
      </c>
    </row>
    <row r="941" spans="1:11">
      <c r="A941">
        <f>'RAW DATA 2023'!B934</f>
        <v>0</v>
      </c>
      <c r="B941">
        <f>'RAW DATA 2023'!D934</f>
        <v>0</v>
      </c>
      <c r="C941" t="str">
        <f t="shared" si="70"/>
        <v>00</v>
      </c>
      <c r="D941" t="e">
        <f>VLOOKUP(C941,'RAW DATA 2023'!E:BP,63,0)</f>
        <v>#N/A</v>
      </c>
      <c r="E941" t="e">
        <f t="shared" si="71"/>
        <v>#N/A</v>
      </c>
      <c r="F941" s="8" t="e">
        <f>VLOOKUP(C941,'RAW DATA 2023'!E:BO,23,0)</f>
        <v>#N/A</v>
      </c>
      <c r="G941" s="14" t="e">
        <f t="shared" si="72"/>
        <v>#N/A</v>
      </c>
      <c r="H941" s="25" t="e">
        <f t="shared" si="73"/>
        <v>#N/A</v>
      </c>
      <c r="I941" s="80" t="e">
        <f>VLOOKUP(C941,'RAW DATA 2023'!E:BO,36,0)</f>
        <v>#N/A</v>
      </c>
      <c r="J941" t="e">
        <f>VLOOKUP(C941,'RAW DATA 2023'!E:BO,21,0)</f>
        <v>#N/A</v>
      </c>
      <c r="K941" s="268" t="e">
        <f t="shared" si="74"/>
        <v>#N/A</v>
      </c>
    </row>
    <row r="942" spans="1:11">
      <c r="A942">
        <f>'RAW DATA 2023'!B935</f>
        <v>0</v>
      </c>
      <c r="B942">
        <f>'RAW DATA 2023'!D935</f>
        <v>0</v>
      </c>
      <c r="C942" t="str">
        <f t="shared" si="70"/>
        <v>00</v>
      </c>
      <c r="D942" t="e">
        <f>VLOOKUP(C942,'RAW DATA 2023'!E:BP,63,0)</f>
        <v>#N/A</v>
      </c>
      <c r="E942" t="e">
        <f t="shared" si="71"/>
        <v>#N/A</v>
      </c>
      <c r="F942" s="8" t="e">
        <f>VLOOKUP(C942,'RAW DATA 2023'!E:BO,23,0)</f>
        <v>#N/A</v>
      </c>
      <c r="G942" s="14" t="e">
        <f t="shared" si="72"/>
        <v>#N/A</v>
      </c>
      <c r="H942" s="25" t="e">
        <f t="shared" si="73"/>
        <v>#N/A</v>
      </c>
      <c r="I942" s="80" t="e">
        <f>VLOOKUP(C942,'RAW DATA 2023'!E:BO,36,0)</f>
        <v>#N/A</v>
      </c>
      <c r="J942" t="e">
        <f>VLOOKUP(C942,'RAW DATA 2023'!E:BO,21,0)</f>
        <v>#N/A</v>
      </c>
      <c r="K942" s="268" t="e">
        <f t="shared" si="74"/>
        <v>#N/A</v>
      </c>
    </row>
    <row r="943" spans="1:11">
      <c r="A943">
        <f>'RAW DATA 2023'!B936</f>
        <v>0</v>
      </c>
      <c r="B943">
        <f>'RAW DATA 2023'!D936</f>
        <v>0</v>
      </c>
      <c r="C943" t="str">
        <f t="shared" si="70"/>
        <v>00</v>
      </c>
      <c r="D943" t="e">
        <f>VLOOKUP(C943,'RAW DATA 2023'!E:BP,63,0)</f>
        <v>#N/A</v>
      </c>
      <c r="E943" t="e">
        <f t="shared" si="71"/>
        <v>#N/A</v>
      </c>
      <c r="F943" s="8" t="e">
        <f>VLOOKUP(C943,'RAW DATA 2023'!E:BO,23,0)</f>
        <v>#N/A</v>
      </c>
      <c r="G943" s="14" t="e">
        <f t="shared" si="72"/>
        <v>#N/A</v>
      </c>
      <c r="H943" s="25" t="e">
        <f t="shared" si="73"/>
        <v>#N/A</v>
      </c>
      <c r="I943" s="80" t="e">
        <f>VLOOKUP(C943,'RAW DATA 2023'!E:BO,36,0)</f>
        <v>#N/A</v>
      </c>
      <c r="J943" t="e">
        <f>VLOOKUP(C943,'RAW DATA 2023'!E:BO,21,0)</f>
        <v>#N/A</v>
      </c>
      <c r="K943" s="268" t="e">
        <f t="shared" si="74"/>
        <v>#N/A</v>
      </c>
    </row>
    <row r="944" spans="1:11">
      <c r="A944">
        <f>'RAW DATA 2023'!B937</f>
        <v>0</v>
      </c>
      <c r="B944">
        <f>'RAW DATA 2023'!D937</f>
        <v>0</v>
      </c>
      <c r="C944" t="str">
        <f t="shared" si="70"/>
        <v>00</v>
      </c>
      <c r="D944" t="e">
        <f>VLOOKUP(C944,'RAW DATA 2023'!E:BP,63,0)</f>
        <v>#N/A</v>
      </c>
      <c r="E944" t="e">
        <f t="shared" si="71"/>
        <v>#N/A</v>
      </c>
      <c r="F944" s="8" t="e">
        <f>VLOOKUP(C944,'RAW DATA 2023'!E:BO,23,0)</f>
        <v>#N/A</v>
      </c>
      <c r="G944" s="14" t="e">
        <f t="shared" si="72"/>
        <v>#N/A</v>
      </c>
      <c r="H944" s="25" t="e">
        <f t="shared" si="73"/>
        <v>#N/A</v>
      </c>
      <c r="I944" s="80" t="e">
        <f>VLOOKUP(C944,'RAW DATA 2023'!E:BO,36,0)</f>
        <v>#N/A</v>
      </c>
      <c r="J944" t="e">
        <f>VLOOKUP(C944,'RAW DATA 2023'!E:BO,21,0)</f>
        <v>#N/A</v>
      </c>
      <c r="K944" s="268" t="e">
        <f t="shared" si="74"/>
        <v>#N/A</v>
      </c>
    </row>
    <row r="945" spans="1:11">
      <c r="A945">
        <f>'RAW DATA 2023'!B938</f>
        <v>0</v>
      </c>
      <c r="B945">
        <f>'RAW DATA 2023'!D938</f>
        <v>0</v>
      </c>
      <c r="C945" t="str">
        <f t="shared" si="70"/>
        <v>00</v>
      </c>
      <c r="D945" t="e">
        <f>VLOOKUP(C945,'RAW DATA 2023'!E:BP,63,0)</f>
        <v>#N/A</v>
      </c>
      <c r="E945" t="e">
        <f t="shared" si="71"/>
        <v>#N/A</v>
      </c>
      <c r="F945" s="8" t="e">
        <f>VLOOKUP(C945,'RAW DATA 2023'!E:BO,23,0)</f>
        <v>#N/A</v>
      </c>
      <c r="G945" s="14" t="e">
        <f t="shared" si="72"/>
        <v>#N/A</v>
      </c>
      <c r="H945" s="25" t="e">
        <f t="shared" si="73"/>
        <v>#N/A</v>
      </c>
      <c r="I945" s="80" t="e">
        <f>VLOOKUP(C945,'RAW DATA 2023'!E:BO,36,0)</f>
        <v>#N/A</v>
      </c>
      <c r="J945" t="e">
        <f>VLOOKUP(C945,'RAW DATA 2023'!E:BO,21,0)</f>
        <v>#N/A</v>
      </c>
      <c r="K945" s="268" t="e">
        <f t="shared" si="74"/>
        <v>#N/A</v>
      </c>
    </row>
    <row r="946" spans="1:11">
      <c r="A946">
        <f>'RAW DATA 2023'!B939</f>
        <v>0</v>
      </c>
      <c r="B946">
        <f>'RAW DATA 2023'!D939</f>
        <v>0</v>
      </c>
      <c r="C946" t="str">
        <f t="shared" si="70"/>
        <v>00</v>
      </c>
      <c r="D946" t="e">
        <f>VLOOKUP(C946,'RAW DATA 2023'!E:BP,63,0)</f>
        <v>#N/A</v>
      </c>
      <c r="E946" t="e">
        <f t="shared" si="71"/>
        <v>#N/A</v>
      </c>
      <c r="F946" s="8" t="e">
        <f>VLOOKUP(C946,'RAW DATA 2023'!E:BO,23,0)</f>
        <v>#N/A</v>
      </c>
      <c r="G946" s="14" t="e">
        <f t="shared" si="72"/>
        <v>#N/A</v>
      </c>
      <c r="H946" s="25" t="e">
        <f t="shared" si="73"/>
        <v>#N/A</v>
      </c>
      <c r="I946" s="80" t="e">
        <f>VLOOKUP(C946,'RAW DATA 2023'!E:BO,36,0)</f>
        <v>#N/A</v>
      </c>
      <c r="J946" t="e">
        <f>VLOOKUP(C946,'RAW DATA 2023'!E:BO,21,0)</f>
        <v>#N/A</v>
      </c>
      <c r="K946" s="268" t="e">
        <f t="shared" si="74"/>
        <v>#N/A</v>
      </c>
    </row>
    <row r="947" spans="1:11">
      <c r="A947">
        <f>'RAW DATA 2023'!B940</f>
        <v>0</v>
      </c>
      <c r="B947">
        <f>'RAW DATA 2023'!D940</f>
        <v>0</v>
      </c>
      <c r="C947" t="str">
        <f t="shared" si="70"/>
        <v>00</v>
      </c>
      <c r="D947" t="e">
        <f>VLOOKUP(C947,'RAW DATA 2023'!E:BP,63,0)</f>
        <v>#N/A</v>
      </c>
      <c r="E947" t="e">
        <f t="shared" si="71"/>
        <v>#N/A</v>
      </c>
      <c r="F947" s="8" t="e">
        <f>VLOOKUP(C947,'RAW DATA 2023'!E:BO,23,0)</f>
        <v>#N/A</v>
      </c>
      <c r="G947" s="14" t="e">
        <f t="shared" si="72"/>
        <v>#N/A</v>
      </c>
      <c r="H947" s="25" t="e">
        <f t="shared" si="73"/>
        <v>#N/A</v>
      </c>
      <c r="I947" s="80" t="e">
        <f>VLOOKUP(C947,'RAW DATA 2023'!E:BO,36,0)</f>
        <v>#N/A</v>
      </c>
      <c r="J947" t="e">
        <f>VLOOKUP(C947,'RAW DATA 2023'!E:BO,21,0)</f>
        <v>#N/A</v>
      </c>
      <c r="K947" s="268" t="e">
        <f t="shared" si="74"/>
        <v>#N/A</v>
      </c>
    </row>
    <row r="948" spans="1:11">
      <c r="A948">
        <f>'RAW DATA 2023'!B941</f>
        <v>0</v>
      </c>
      <c r="B948">
        <f>'RAW DATA 2023'!D941</f>
        <v>0</v>
      </c>
      <c r="C948" t="str">
        <f t="shared" si="70"/>
        <v>00</v>
      </c>
      <c r="D948" t="e">
        <f>VLOOKUP(C948,'RAW DATA 2023'!E:BP,63,0)</f>
        <v>#N/A</v>
      </c>
      <c r="E948" t="e">
        <f t="shared" si="71"/>
        <v>#N/A</v>
      </c>
      <c r="F948" s="8" t="e">
        <f>VLOOKUP(C948,'RAW DATA 2023'!E:BO,23,0)</f>
        <v>#N/A</v>
      </c>
      <c r="G948" s="14" t="e">
        <f t="shared" si="72"/>
        <v>#N/A</v>
      </c>
      <c r="H948" s="25" t="e">
        <f t="shared" si="73"/>
        <v>#N/A</v>
      </c>
      <c r="I948" s="80" t="e">
        <f>VLOOKUP(C948,'RAW DATA 2023'!E:BO,36,0)</f>
        <v>#N/A</v>
      </c>
      <c r="J948" t="e">
        <f>VLOOKUP(C948,'RAW DATA 2023'!E:BO,21,0)</f>
        <v>#N/A</v>
      </c>
      <c r="K948" s="268" t="e">
        <f t="shared" si="74"/>
        <v>#N/A</v>
      </c>
    </row>
    <row r="949" spans="1:11">
      <c r="A949">
        <f>'RAW DATA 2023'!B942</f>
        <v>0</v>
      </c>
      <c r="B949">
        <f>'RAW DATA 2023'!D942</f>
        <v>0</v>
      </c>
      <c r="C949" t="str">
        <f t="shared" si="70"/>
        <v>00</v>
      </c>
      <c r="D949" t="e">
        <f>VLOOKUP(C949,'RAW DATA 2023'!E:BP,63,0)</f>
        <v>#N/A</v>
      </c>
      <c r="E949" t="e">
        <f t="shared" si="71"/>
        <v>#N/A</v>
      </c>
      <c r="F949" s="8" t="e">
        <f>VLOOKUP(C949,'RAW DATA 2023'!E:BO,23,0)</f>
        <v>#N/A</v>
      </c>
      <c r="G949" s="14" t="e">
        <f t="shared" si="72"/>
        <v>#N/A</v>
      </c>
      <c r="H949" s="25" t="e">
        <f t="shared" si="73"/>
        <v>#N/A</v>
      </c>
      <c r="I949" s="80" t="e">
        <f>VLOOKUP(C949,'RAW DATA 2023'!E:BO,36,0)</f>
        <v>#N/A</v>
      </c>
      <c r="J949" t="e">
        <f>VLOOKUP(C949,'RAW DATA 2023'!E:BO,21,0)</f>
        <v>#N/A</v>
      </c>
      <c r="K949" s="268" t="e">
        <f t="shared" si="74"/>
        <v>#N/A</v>
      </c>
    </row>
    <row r="950" spans="1:11">
      <c r="A950">
        <f>'RAW DATA 2023'!B943</f>
        <v>0</v>
      </c>
      <c r="B950">
        <f>'RAW DATA 2023'!D943</f>
        <v>0</v>
      </c>
      <c r="C950" t="str">
        <f t="shared" si="70"/>
        <v>00</v>
      </c>
      <c r="D950" t="e">
        <f>VLOOKUP(C950,'RAW DATA 2023'!E:BP,63,0)</f>
        <v>#N/A</v>
      </c>
      <c r="E950" t="e">
        <f t="shared" si="71"/>
        <v>#N/A</v>
      </c>
      <c r="F950" s="8" t="e">
        <f>VLOOKUP(C950,'RAW DATA 2023'!E:BO,23,0)</f>
        <v>#N/A</v>
      </c>
      <c r="G950" s="14" t="e">
        <f t="shared" si="72"/>
        <v>#N/A</v>
      </c>
      <c r="H950" s="25" t="e">
        <f t="shared" si="73"/>
        <v>#N/A</v>
      </c>
      <c r="I950" s="80" t="e">
        <f>VLOOKUP(C950,'RAW DATA 2023'!E:BO,36,0)</f>
        <v>#N/A</v>
      </c>
      <c r="J950" t="e">
        <f>VLOOKUP(C950,'RAW DATA 2023'!E:BO,21,0)</f>
        <v>#N/A</v>
      </c>
      <c r="K950" s="268" t="e">
        <f t="shared" si="74"/>
        <v>#N/A</v>
      </c>
    </row>
    <row r="951" spans="1:11">
      <c r="A951">
        <f>'RAW DATA 2023'!B944</f>
        <v>0</v>
      </c>
      <c r="B951">
        <f>'RAW DATA 2023'!D944</f>
        <v>0</v>
      </c>
      <c r="C951" t="str">
        <f t="shared" si="70"/>
        <v>00</v>
      </c>
      <c r="D951" t="e">
        <f>VLOOKUP(C951,'RAW DATA 2023'!E:BP,63,0)</f>
        <v>#N/A</v>
      </c>
      <c r="E951" t="e">
        <f t="shared" si="71"/>
        <v>#N/A</v>
      </c>
      <c r="F951" s="8" t="e">
        <f>VLOOKUP(C951,'RAW DATA 2023'!E:BO,23,0)</f>
        <v>#N/A</v>
      </c>
      <c r="G951" s="14" t="e">
        <f t="shared" si="72"/>
        <v>#N/A</v>
      </c>
      <c r="H951" s="25" t="e">
        <f t="shared" si="73"/>
        <v>#N/A</v>
      </c>
      <c r="I951" s="80" t="e">
        <f>VLOOKUP(C951,'RAW DATA 2023'!E:BO,36,0)</f>
        <v>#N/A</v>
      </c>
      <c r="J951" t="e">
        <f>VLOOKUP(C951,'RAW DATA 2023'!E:BO,21,0)</f>
        <v>#N/A</v>
      </c>
      <c r="K951" s="268" t="e">
        <f t="shared" si="74"/>
        <v>#N/A</v>
      </c>
    </row>
    <row r="952" spans="1:11">
      <c r="A952">
        <f>'RAW DATA 2023'!B945</f>
        <v>0</v>
      </c>
      <c r="B952">
        <f>'RAW DATA 2023'!D945</f>
        <v>0</v>
      </c>
      <c r="C952" t="str">
        <f t="shared" si="70"/>
        <v>00</v>
      </c>
      <c r="D952" t="e">
        <f>VLOOKUP(C952,'RAW DATA 2023'!E:BP,63,0)</f>
        <v>#N/A</v>
      </c>
      <c r="E952" t="e">
        <f t="shared" si="71"/>
        <v>#N/A</v>
      </c>
      <c r="F952" s="8" t="e">
        <f>VLOOKUP(C952,'RAW DATA 2023'!E:BO,23,0)</f>
        <v>#N/A</v>
      </c>
      <c r="G952" s="14" t="e">
        <f t="shared" si="72"/>
        <v>#N/A</v>
      </c>
      <c r="H952" s="25" t="e">
        <f t="shared" si="73"/>
        <v>#N/A</v>
      </c>
      <c r="I952" s="80" t="e">
        <f>VLOOKUP(C952,'RAW DATA 2023'!E:BO,36,0)</f>
        <v>#N/A</v>
      </c>
      <c r="J952" t="e">
        <f>VLOOKUP(C952,'RAW DATA 2023'!E:BO,21,0)</f>
        <v>#N/A</v>
      </c>
      <c r="K952" s="268" t="e">
        <f t="shared" si="74"/>
        <v>#N/A</v>
      </c>
    </row>
    <row r="953" spans="1:11">
      <c r="A953">
        <f>'RAW DATA 2023'!B946</f>
        <v>0</v>
      </c>
      <c r="B953">
        <f>'RAW DATA 2023'!D946</f>
        <v>0</v>
      </c>
      <c r="C953" t="str">
        <f t="shared" si="70"/>
        <v>00</v>
      </c>
      <c r="D953" t="e">
        <f>VLOOKUP(C953,'RAW DATA 2023'!E:BP,63,0)</f>
        <v>#N/A</v>
      </c>
      <c r="E953" t="e">
        <f t="shared" si="71"/>
        <v>#N/A</v>
      </c>
      <c r="F953" s="8" t="e">
        <f>VLOOKUP(C953,'RAW DATA 2023'!E:BO,23,0)</f>
        <v>#N/A</v>
      </c>
      <c r="G953" s="14" t="e">
        <f t="shared" si="72"/>
        <v>#N/A</v>
      </c>
      <c r="H953" s="25" t="e">
        <f t="shared" si="73"/>
        <v>#N/A</v>
      </c>
      <c r="I953" s="80" t="e">
        <f>VLOOKUP(C953,'RAW DATA 2023'!E:BO,36,0)</f>
        <v>#N/A</v>
      </c>
      <c r="J953" t="e">
        <f>VLOOKUP(C953,'RAW DATA 2023'!E:BO,21,0)</f>
        <v>#N/A</v>
      </c>
      <c r="K953" s="268" t="e">
        <f t="shared" si="74"/>
        <v>#N/A</v>
      </c>
    </row>
    <row r="954" spans="1:11">
      <c r="A954">
        <f>'RAW DATA 2023'!B947</f>
        <v>0</v>
      </c>
      <c r="B954">
        <f>'RAW DATA 2023'!D947</f>
        <v>0</v>
      </c>
      <c r="C954" t="str">
        <f t="shared" si="70"/>
        <v>00</v>
      </c>
      <c r="D954" t="e">
        <f>VLOOKUP(C954,'RAW DATA 2023'!E:BP,63,0)</f>
        <v>#N/A</v>
      </c>
      <c r="E954" t="e">
        <f t="shared" si="71"/>
        <v>#N/A</v>
      </c>
      <c r="F954" s="8" t="e">
        <f>VLOOKUP(C954,'RAW DATA 2023'!E:BO,23,0)</f>
        <v>#N/A</v>
      </c>
      <c r="G954" s="14" t="e">
        <f t="shared" si="72"/>
        <v>#N/A</v>
      </c>
      <c r="H954" s="25" t="e">
        <f t="shared" si="73"/>
        <v>#N/A</v>
      </c>
      <c r="I954" s="80" t="e">
        <f>VLOOKUP(C954,'RAW DATA 2023'!E:BO,36,0)</f>
        <v>#N/A</v>
      </c>
      <c r="J954" t="e">
        <f>VLOOKUP(C954,'RAW DATA 2023'!E:BO,21,0)</f>
        <v>#N/A</v>
      </c>
      <c r="K954" s="268" t="e">
        <f t="shared" si="74"/>
        <v>#N/A</v>
      </c>
    </row>
    <row r="955" spans="1:11">
      <c r="A955">
        <f>'RAW DATA 2023'!B948</f>
        <v>0</v>
      </c>
      <c r="B955">
        <f>'RAW DATA 2023'!D948</f>
        <v>0</v>
      </c>
      <c r="C955" t="str">
        <f t="shared" si="70"/>
        <v>00</v>
      </c>
      <c r="D955" t="e">
        <f>VLOOKUP(C955,'RAW DATA 2023'!E:BP,63,0)</f>
        <v>#N/A</v>
      </c>
      <c r="E955" t="e">
        <f t="shared" si="71"/>
        <v>#N/A</v>
      </c>
      <c r="F955" s="8" t="e">
        <f>VLOOKUP(C955,'RAW DATA 2023'!E:BO,23,0)</f>
        <v>#N/A</v>
      </c>
      <c r="G955" s="14" t="e">
        <f t="shared" si="72"/>
        <v>#N/A</v>
      </c>
      <c r="H955" s="25" t="e">
        <f t="shared" si="73"/>
        <v>#N/A</v>
      </c>
      <c r="I955" s="80" t="e">
        <f>VLOOKUP(C955,'RAW DATA 2023'!E:BO,36,0)</f>
        <v>#N/A</v>
      </c>
      <c r="J955" t="e">
        <f>VLOOKUP(C955,'RAW DATA 2023'!E:BO,21,0)</f>
        <v>#N/A</v>
      </c>
      <c r="K955" s="268" t="e">
        <f t="shared" si="74"/>
        <v>#N/A</v>
      </c>
    </row>
    <row r="956" spans="1:11">
      <c r="A956">
        <f>'RAW DATA 2023'!B949</f>
        <v>0</v>
      </c>
      <c r="B956">
        <f>'RAW DATA 2023'!D949</f>
        <v>0</v>
      </c>
      <c r="C956" t="str">
        <f t="shared" si="70"/>
        <v>00</v>
      </c>
      <c r="D956" t="e">
        <f>VLOOKUP(C956,'RAW DATA 2023'!E:BP,63,0)</f>
        <v>#N/A</v>
      </c>
      <c r="E956" t="e">
        <f t="shared" si="71"/>
        <v>#N/A</v>
      </c>
      <c r="F956" s="8" t="e">
        <f>VLOOKUP(C956,'RAW DATA 2023'!E:BO,23,0)</f>
        <v>#N/A</v>
      </c>
      <c r="G956" s="14" t="e">
        <f t="shared" si="72"/>
        <v>#N/A</v>
      </c>
      <c r="H956" s="25" t="e">
        <f t="shared" si="73"/>
        <v>#N/A</v>
      </c>
      <c r="I956" s="80" t="e">
        <f>VLOOKUP(C956,'RAW DATA 2023'!E:BO,36,0)</f>
        <v>#N/A</v>
      </c>
      <c r="J956" t="e">
        <f>VLOOKUP(C956,'RAW DATA 2023'!E:BO,21,0)</f>
        <v>#N/A</v>
      </c>
      <c r="K956" s="268" t="e">
        <f t="shared" si="74"/>
        <v>#N/A</v>
      </c>
    </row>
    <row r="957" spans="1:11">
      <c r="A957">
        <f>'RAW DATA 2023'!B950</f>
        <v>0</v>
      </c>
      <c r="B957">
        <f>'RAW DATA 2023'!D950</f>
        <v>0</v>
      </c>
      <c r="C957" t="str">
        <f t="shared" si="70"/>
        <v>00</v>
      </c>
      <c r="D957" t="e">
        <f>VLOOKUP(C957,'RAW DATA 2023'!E:BP,63,0)</f>
        <v>#N/A</v>
      </c>
      <c r="E957" t="e">
        <f t="shared" si="71"/>
        <v>#N/A</v>
      </c>
      <c r="F957" s="8" t="e">
        <f>VLOOKUP(C957,'RAW DATA 2023'!E:BO,23,0)</f>
        <v>#N/A</v>
      </c>
      <c r="G957" s="14" t="e">
        <f t="shared" si="72"/>
        <v>#N/A</v>
      </c>
      <c r="H957" s="25" t="e">
        <f t="shared" si="73"/>
        <v>#N/A</v>
      </c>
      <c r="I957" s="80" t="e">
        <f>VLOOKUP(C957,'RAW DATA 2023'!E:BO,36,0)</f>
        <v>#N/A</v>
      </c>
      <c r="J957" t="e">
        <f>VLOOKUP(C957,'RAW DATA 2023'!E:BO,21,0)</f>
        <v>#N/A</v>
      </c>
      <c r="K957" s="268" t="e">
        <f t="shared" si="74"/>
        <v>#N/A</v>
      </c>
    </row>
    <row r="958" spans="1:11">
      <c r="A958">
        <f>'RAW DATA 2023'!B951</f>
        <v>0</v>
      </c>
      <c r="B958">
        <f>'RAW DATA 2023'!D951</f>
        <v>0</v>
      </c>
      <c r="C958" t="str">
        <f t="shared" si="70"/>
        <v>00</v>
      </c>
      <c r="D958" t="e">
        <f>VLOOKUP(C958,'RAW DATA 2023'!E:BP,63,0)</f>
        <v>#N/A</v>
      </c>
      <c r="E958" t="e">
        <f t="shared" si="71"/>
        <v>#N/A</v>
      </c>
      <c r="F958" s="8" t="e">
        <f>VLOOKUP(C958,'RAW DATA 2023'!E:BO,23,0)</f>
        <v>#N/A</v>
      </c>
      <c r="G958" s="14" t="e">
        <f t="shared" si="72"/>
        <v>#N/A</v>
      </c>
      <c r="H958" s="25" t="e">
        <f t="shared" si="73"/>
        <v>#N/A</v>
      </c>
      <c r="I958" s="80" t="e">
        <f>VLOOKUP(C958,'RAW DATA 2023'!E:BO,36,0)</f>
        <v>#N/A</v>
      </c>
      <c r="J958" t="e">
        <f>VLOOKUP(C958,'RAW DATA 2023'!E:BO,21,0)</f>
        <v>#N/A</v>
      </c>
      <c r="K958" s="268" t="e">
        <f t="shared" si="74"/>
        <v>#N/A</v>
      </c>
    </row>
    <row r="959" spans="1:11">
      <c r="A959">
        <f>'RAW DATA 2023'!B952</f>
        <v>0</v>
      </c>
      <c r="B959">
        <f>'RAW DATA 2023'!D952</f>
        <v>0</v>
      </c>
      <c r="C959" t="str">
        <f t="shared" si="70"/>
        <v>00</v>
      </c>
      <c r="D959" t="e">
        <f>VLOOKUP(C959,'RAW DATA 2023'!E:BP,63,0)</f>
        <v>#N/A</v>
      </c>
      <c r="E959" t="e">
        <f t="shared" si="71"/>
        <v>#N/A</v>
      </c>
      <c r="F959" s="8" t="e">
        <f>VLOOKUP(C959,'RAW DATA 2023'!E:BO,23,0)</f>
        <v>#N/A</v>
      </c>
      <c r="G959" s="14" t="e">
        <f t="shared" si="72"/>
        <v>#N/A</v>
      </c>
      <c r="H959" s="25" t="e">
        <f t="shared" si="73"/>
        <v>#N/A</v>
      </c>
      <c r="I959" s="80" t="e">
        <f>VLOOKUP(C959,'RAW DATA 2023'!E:BO,36,0)</f>
        <v>#N/A</v>
      </c>
      <c r="J959" t="e">
        <f>VLOOKUP(C959,'RAW DATA 2023'!E:BO,21,0)</f>
        <v>#N/A</v>
      </c>
      <c r="K959" s="268" t="e">
        <f t="shared" si="74"/>
        <v>#N/A</v>
      </c>
    </row>
    <row r="960" spans="1:11">
      <c r="A960">
        <f>'RAW DATA 2023'!B953</f>
        <v>0</v>
      </c>
      <c r="B960">
        <f>'RAW DATA 2023'!D953</f>
        <v>0</v>
      </c>
      <c r="C960" t="str">
        <f t="shared" si="70"/>
        <v>00</v>
      </c>
      <c r="D960" t="e">
        <f>VLOOKUP(C960,'RAW DATA 2023'!E:BP,63,0)</f>
        <v>#N/A</v>
      </c>
      <c r="E960" t="e">
        <f t="shared" si="71"/>
        <v>#N/A</v>
      </c>
      <c r="F960" s="8" t="e">
        <f>VLOOKUP(C960,'RAW DATA 2023'!E:BO,23,0)</f>
        <v>#N/A</v>
      </c>
      <c r="G960" s="14" t="e">
        <f t="shared" si="72"/>
        <v>#N/A</v>
      </c>
      <c r="H960" s="25" t="e">
        <f t="shared" si="73"/>
        <v>#N/A</v>
      </c>
      <c r="I960" s="80" t="e">
        <f>VLOOKUP(C960,'RAW DATA 2023'!E:BO,36,0)</f>
        <v>#N/A</v>
      </c>
      <c r="J960" t="e">
        <f>VLOOKUP(C960,'RAW DATA 2023'!E:BO,21,0)</f>
        <v>#N/A</v>
      </c>
      <c r="K960" s="268" t="e">
        <f t="shared" si="74"/>
        <v>#N/A</v>
      </c>
    </row>
    <row r="961" spans="1:11">
      <c r="A961">
        <f>'RAW DATA 2023'!B954</f>
        <v>0</v>
      </c>
      <c r="B961">
        <f>'RAW DATA 2023'!D954</f>
        <v>0</v>
      </c>
      <c r="C961" t="str">
        <f t="shared" si="70"/>
        <v>00</v>
      </c>
      <c r="D961" t="e">
        <f>VLOOKUP(C961,'RAW DATA 2023'!E:BP,63,0)</f>
        <v>#N/A</v>
      </c>
      <c r="E961" t="e">
        <f t="shared" si="71"/>
        <v>#N/A</v>
      </c>
      <c r="F961" s="8" t="e">
        <f>VLOOKUP(C961,'RAW DATA 2023'!E:BO,23,0)</f>
        <v>#N/A</v>
      </c>
      <c r="G961" s="14" t="e">
        <f t="shared" si="72"/>
        <v>#N/A</v>
      </c>
      <c r="H961" s="25" t="e">
        <f t="shared" si="73"/>
        <v>#N/A</v>
      </c>
      <c r="I961" s="80" t="e">
        <f>VLOOKUP(C961,'RAW DATA 2023'!E:BO,36,0)</f>
        <v>#N/A</v>
      </c>
      <c r="J961" t="e">
        <f>VLOOKUP(C961,'RAW DATA 2023'!E:BO,21,0)</f>
        <v>#N/A</v>
      </c>
      <c r="K961" s="268" t="e">
        <f t="shared" si="74"/>
        <v>#N/A</v>
      </c>
    </row>
    <row r="962" spans="1:11">
      <c r="A962">
        <f>'RAW DATA 2023'!B955</f>
        <v>0</v>
      </c>
      <c r="B962">
        <f>'RAW DATA 2023'!D955</f>
        <v>0</v>
      </c>
      <c r="C962" t="str">
        <f t="shared" si="70"/>
        <v>00</v>
      </c>
      <c r="D962" t="e">
        <f>VLOOKUP(C962,'RAW DATA 2023'!E:BP,63,0)</f>
        <v>#N/A</v>
      </c>
      <c r="E962" t="e">
        <f t="shared" si="71"/>
        <v>#N/A</v>
      </c>
      <c r="F962" s="8" t="e">
        <f>VLOOKUP(C962,'RAW DATA 2023'!E:BO,23,0)</f>
        <v>#N/A</v>
      </c>
      <c r="G962" s="14" t="e">
        <f t="shared" si="72"/>
        <v>#N/A</v>
      </c>
      <c r="H962" s="25" t="e">
        <f t="shared" si="73"/>
        <v>#N/A</v>
      </c>
      <c r="I962" s="80" t="e">
        <f>VLOOKUP(C962,'RAW DATA 2023'!E:BO,36,0)</f>
        <v>#N/A</v>
      </c>
      <c r="J962" t="e">
        <f>VLOOKUP(C962,'RAW DATA 2023'!E:BO,21,0)</f>
        <v>#N/A</v>
      </c>
      <c r="K962" s="268" t="e">
        <f t="shared" si="74"/>
        <v>#N/A</v>
      </c>
    </row>
    <row r="963" spans="1:11">
      <c r="A963">
        <f>'RAW DATA 2023'!B956</f>
        <v>0</v>
      </c>
      <c r="B963">
        <f>'RAW DATA 2023'!D956</f>
        <v>0</v>
      </c>
      <c r="C963" t="str">
        <f t="shared" si="70"/>
        <v>00</v>
      </c>
      <c r="D963" t="e">
        <f>VLOOKUP(C963,'RAW DATA 2023'!E:BP,63,0)</f>
        <v>#N/A</v>
      </c>
      <c r="E963" t="e">
        <f t="shared" si="71"/>
        <v>#N/A</v>
      </c>
      <c r="F963" s="8" t="e">
        <f>VLOOKUP(C963,'RAW DATA 2023'!E:BO,23,0)</f>
        <v>#N/A</v>
      </c>
      <c r="G963" s="14" t="e">
        <f t="shared" si="72"/>
        <v>#N/A</v>
      </c>
      <c r="H963" s="25" t="e">
        <f t="shared" si="73"/>
        <v>#N/A</v>
      </c>
      <c r="I963" s="80" t="e">
        <f>VLOOKUP(C963,'RAW DATA 2023'!E:BO,36,0)</f>
        <v>#N/A</v>
      </c>
      <c r="J963" t="e">
        <f>VLOOKUP(C963,'RAW DATA 2023'!E:BO,21,0)</f>
        <v>#N/A</v>
      </c>
      <c r="K963" s="268" t="e">
        <f t="shared" si="74"/>
        <v>#N/A</v>
      </c>
    </row>
    <row r="964" spans="1:11">
      <c r="A964">
        <f>'RAW DATA 2023'!B957</f>
        <v>0</v>
      </c>
      <c r="B964">
        <f>'RAW DATA 2023'!D957</f>
        <v>0</v>
      </c>
      <c r="C964" t="str">
        <f t="shared" si="70"/>
        <v>00</v>
      </c>
      <c r="D964" t="e">
        <f>VLOOKUP(C964,'RAW DATA 2023'!E:BP,63,0)</f>
        <v>#N/A</v>
      </c>
      <c r="E964" t="e">
        <f t="shared" si="71"/>
        <v>#N/A</v>
      </c>
      <c r="F964" s="8" t="e">
        <f>VLOOKUP(C964,'RAW DATA 2023'!E:BO,23,0)</f>
        <v>#N/A</v>
      </c>
      <c r="G964" s="14" t="e">
        <f t="shared" si="72"/>
        <v>#N/A</v>
      </c>
      <c r="H964" s="25" t="e">
        <f t="shared" si="73"/>
        <v>#N/A</v>
      </c>
      <c r="I964" s="80" t="e">
        <f>VLOOKUP(C964,'RAW DATA 2023'!E:BO,36,0)</f>
        <v>#N/A</v>
      </c>
      <c r="J964" t="e">
        <f>VLOOKUP(C964,'RAW DATA 2023'!E:BO,21,0)</f>
        <v>#N/A</v>
      </c>
      <c r="K964" s="268" t="e">
        <f t="shared" si="74"/>
        <v>#N/A</v>
      </c>
    </row>
    <row r="965" spans="1:11">
      <c r="A965">
        <f>'RAW DATA 2023'!B958</f>
        <v>0</v>
      </c>
      <c r="B965">
        <f>'RAW DATA 2023'!D958</f>
        <v>0</v>
      </c>
      <c r="C965" t="str">
        <f t="shared" si="70"/>
        <v>00</v>
      </c>
      <c r="D965" t="e">
        <f>VLOOKUP(C965,'RAW DATA 2023'!E:BP,63,0)</f>
        <v>#N/A</v>
      </c>
      <c r="E965" t="e">
        <f t="shared" si="71"/>
        <v>#N/A</v>
      </c>
      <c r="F965" s="8" t="e">
        <f>VLOOKUP(C965,'RAW DATA 2023'!E:BO,23,0)</f>
        <v>#N/A</v>
      </c>
      <c r="G965" s="14" t="e">
        <f t="shared" si="72"/>
        <v>#N/A</v>
      </c>
      <c r="H965" s="25" t="e">
        <f t="shared" si="73"/>
        <v>#N/A</v>
      </c>
      <c r="I965" s="80" t="e">
        <f>VLOOKUP(C965,'RAW DATA 2023'!E:BO,36,0)</f>
        <v>#N/A</v>
      </c>
      <c r="J965" t="e">
        <f>VLOOKUP(C965,'RAW DATA 2023'!E:BO,21,0)</f>
        <v>#N/A</v>
      </c>
      <c r="K965" s="268" t="e">
        <f t="shared" si="74"/>
        <v>#N/A</v>
      </c>
    </row>
    <row r="966" spans="1:11">
      <c r="A966">
        <f>'RAW DATA 2023'!B959</f>
        <v>0</v>
      </c>
      <c r="B966">
        <f>'RAW DATA 2023'!D959</f>
        <v>0</v>
      </c>
      <c r="C966" t="str">
        <f t="shared" si="70"/>
        <v>00</v>
      </c>
      <c r="D966" t="e">
        <f>VLOOKUP(C966,'RAW DATA 2023'!E:BP,63,0)</f>
        <v>#N/A</v>
      </c>
      <c r="E966" t="e">
        <f t="shared" si="71"/>
        <v>#N/A</v>
      </c>
      <c r="F966" s="8" t="e">
        <f>VLOOKUP(C966,'RAW DATA 2023'!E:BO,23,0)</f>
        <v>#N/A</v>
      </c>
      <c r="G966" s="14" t="e">
        <f t="shared" si="72"/>
        <v>#N/A</v>
      </c>
      <c r="H966" s="25" t="e">
        <f t="shared" si="73"/>
        <v>#N/A</v>
      </c>
      <c r="I966" s="80" t="e">
        <f>VLOOKUP(C966,'RAW DATA 2023'!E:BO,36,0)</f>
        <v>#N/A</v>
      </c>
      <c r="J966" t="e">
        <f>VLOOKUP(C966,'RAW DATA 2023'!E:BO,21,0)</f>
        <v>#N/A</v>
      </c>
      <c r="K966" s="268" t="e">
        <f t="shared" si="74"/>
        <v>#N/A</v>
      </c>
    </row>
    <row r="967" spans="1:11">
      <c r="A967">
        <f>'RAW DATA 2023'!B960</f>
        <v>0</v>
      </c>
      <c r="B967">
        <f>'RAW DATA 2023'!D960</f>
        <v>0</v>
      </c>
      <c r="C967" t="str">
        <f t="shared" si="70"/>
        <v>00</v>
      </c>
      <c r="D967" t="e">
        <f>VLOOKUP(C967,'RAW DATA 2023'!E:BP,63,0)</f>
        <v>#N/A</v>
      </c>
      <c r="E967" t="e">
        <f t="shared" si="71"/>
        <v>#N/A</v>
      </c>
      <c r="F967" s="8" t="e">
        <f>VLOOKUP(C967,'RAW DATA 2023'!E:BO,23,0)</f>
        <v>#N/A</v>
      </c>
      <c r="G967" s="14" t="e">
        <f t="shared" si="72"/>
        <v>#N/A</v>
      </c>
      <c r="H967" s="25" t="e">
        <f t="shared" si="73"/>
        <v>#N/A</v>
      </c>
      <c r="I967" s="80" t="e">
        <f>VLOOKUP(C967,'RAW DATA 2023'!E:BO,36,0)</f>
        <v>#N/A</v>
      </c>
      <c r="J967" t="e">
        <f>VLOOKUP(C967,'RAW DATA 2023'!E:BO,21,0)</f>
        <v>#N/A</v>
      </c>
      <c r="K967" s="268" t="e">
        <f t="shared" si="74"/>
        <v>#N/A</v>
      </c>
    </row>
    <row r="968" spans="1:11">
      <c r="A968">
        <f>'RAW DATA 2023'!B961</f>
        <v>0</v>
      </c>
      <c r="B968">
        <f>'RAW DATA 2023'!D961</f>
        <v>0</v>
      </c>
      <c r="C968" t="str">
        <f t="shared" si="70"/>
        <v>00</v>
      </c>
      <c r="D968" t="e">
        <f>VLOOKUP(C968,'RAW DATA 2023'!E:BP,63,0)</f>
        <v>#N/A</v>
      </c>
      <c r="E968" t="e">
        <f t="shared" si="71"/>
        <v>#N/A</v>
      </c>
      <c r="F968" s="8" t="e">
        <f>VLOOKUP(C968,'RAW DATA 2023'!E:BO,23,0)</f>
        <v>#N/A</v>
      </c>
      <c r="G968" s="14" t="e">
        <f t="shared" si="72"/>
        <v>#N/A</v>
      </c>
      <c r="H968" s="25" t="e">
        <f t="shared" si="73"/>
        <v>#N/A</v>
      </c>
      <c r="I968" s="80" t="e">
        <f>VLOOKUP(C968,'RAW DATA 2023'!E:BO,36,0)</f>
        <v>#N/A</v>
      </c>
      <c r="J968" t="e">
        <f>VLOOKUP(C968,'RAW DATA 2023'!E:BO,21,0)</f>
        <v>#N/A</v>
      </c>
      <c r="K968" s="268" t="e">
        <f t="shared" si="74"/>
        <v>#N/A</v>
      </c>
    </row>
    <row r="969" spans="1:11">
      <c r="A969">
        <f>'RAW DATA 2023'!B962</f>
        <v>0</v>
      </c>
      <c r="B969">
        <f>'RAW DATA 2023'!D962</f>
        <v>0</v>
      </c>
      <c r="C969" t="str">
        <f t="shared" si="70"/>
        <v>00</v>
      </c>
      <c r="D969" t="e">
        <f>VLOOKUP(C969,'RAW DATA 2023'!E:BP,63,0)</f>
        <v>#N/A</v>
      </c>
      <c r="E969" t="e">
        <f t="shared" si="71"/>
        <v>#N/A</v>
      </c>
      <c r="F969" s="8" t="e">
        <f>VLOOKUP(C969,'RAW DATA 2023'!E:BO,23,0)</f>
        <v>#N/A</v>
      </c>
      <c r="G969" s="14" t="e">
        <f t="shared" si="72"/>
        <v>#N/A</v>
      </c>
      <c r="H969" s="25" t="e">
        <f t="shared" si="73"/>
        <v>#N/A</v>
      </c>
      <c r="I969" s="80" t="e">
        <f>VLOOKUP(C969,'RAW DATA 2023'!E:BO,36,0)</f>
        <v>#N/A</v>
      </c>
      <c r="J969" t="e">
        <f>VLOOKUP(C969,'RAW DATA 2023'!E:BO,21,0)</f>
        <v>#N/A</v>
      </c>
      <c r="K969" s="268" t="e">
        <f t="shared" si="74"/>
        <v>#N/A</v>
      </c>
    </row>
    <row r="970" spans="1:11">
      <c r="A970">
        <f>'RAW DATA 2023'!B963</f>
        <v>0</v>
      </c>
      <c r="B970">
        <f>'RAW DATA 2023'!D963</f>
        <v>0</v>
      </c>
      <c r="C970" t="str">
        <f t="shared" ref="C970:C1033" si="75">A970&amp;B970</f>
        <v>00</v>
      </c>
      <c r="D970" t="e">
        <f>VLOOKUP(C970,'RAW DATA 2023'!E:BP,63,0)</f>
        <v>#N/A</v>
      </c>
      <c r="E970" t="e">
        <f t="shared" ref="E970:E1033" si="76">A970&amp;D970</f>
        <v>#N/A</v>
      </c>
      <c r="F970" s="8" t="e">
        <f>VLOOKUP(C970,'RAW DATA 2023'!E:BO,23,0)</f>
        <v>#N/A</v>
      </c>
      <c r="G970" s="14" t="e">
        <f t="shared" si="72"/>
        <v>#N/A</v>
      </c>
      <c r="H970" s="25" t="e">
        <f t="shared" si="73"/>
        <v>#N/A</v>
      </c>
      <c r="I970" s="80" t="e">
        <f>VLOOKUP(C970,'RAW DATA 2023'!E:BO,36,0)</f>
        <v>#N/A</v>
      </c>
      <c r="J970" t="e">
        <f>VLOOKUP(C970,'RAW DATA 2023'!E:BO,21,0)</f>
        <v>#N/A</v>
      </c>
      <c r="K970" s="268" t="e">
        <f t="shared" si="74"/>
        <v>#N/A</v>
      </c>
    </row>
    <row r="971" spans="1:11">
      <c r="A971">
        <f>'RAW DATA 2023'!B964</f>
        <v>0</v>
      </c>
      <c r="B971">
        <f>'RAW DATA 2023'!D964</f>
        <v>0</v>
      </c>
      <c r="C971" t="str">
        <f t="shared" si="75"/>
        <v>00</v>
      </c>
      <c r="D971" t="e">
        <f>VLOOKUP(C971,'RAW DATA 2023'!E:BP,63,0)</f>
        <v>#N/A</v>
      </c>
      <c r="E971" t="e">
        <f t="shared" si="76"/>
        <v>#N/A</v>
      </c>
      <c r="F971" s="8" t="e">
        <f>VLOOKUP(C971,'RAW DATA 2023'!E:BO,23,0)</f>
        <v>#N/A</v>
      </c>
      <c r="G971" s="14" t="e">
        <f t="shared" ref="G971:G1034" si="77">IF(F971=0,0,$B$2-F971)</f>
        <v>#N/A</v>
      </c>
      <c r="H971" s="25" t="e">
        <f t="shared" ref="H971:H1034" si="78">G971*$B$6</f>
        <v>#N/A</v>
      </c>
      <c r="I971" s="80" t="e">
        <f>VLOOKUP(C971,'RAW DATA 2023'!E:BO,36,0)</f>
        <v>#N/A</v>
      </c>
      <c r="J971" t="e">
        <f>VLOOKUP(C971,'RAW DATA 2023'!E:BO,21,0)</f>
        <v>#N/A</v>
      </c>
      <c r="K971" s="268" t="e">
        <f t="shared" ref="K971:K1034" si="79">H971*J971</f>
        <v>#N/A</v>
      </c>
    </row>
    <row r="972" spans="1:11">
      <c r="A972">
        <f>'RAW DATA 2023'!B965</f>
        <v>0</v>
      </c>
      <c r="B972">
        <f>'RAW DATA 2023'!D965</f>
        <v>0</v>
      </c>
      <c r="C972" t="str">
        <f t="shared" si="75"/>
        <v>00</v>
      </c>
      <c r="D972" t="e">
        <f>VLOOKUP(C972,'RAW DATA 2023'!E:BP,63,0)</f>
        <v>#N/A</v>
      </c>
      <c r="E972" t="e">
        <f t="shared" si="76"/>
        <v>#N/A</v>
      </c>
      <c r="F972" s="8" t="e">
        <f>VLOOKUP(C972,'RAW DATA 2023'!E:BO,23,0)</f>
        <v>#N/A</v>
      </c>
      <c r="G972" s="14" t="e">
        <f t="shared" si="77"/>
        <v>#N/A</v>
      </c>
      <c r="H972" s="25" t="e">
        <f t="shared" si="78"/>
        <v>#N/A</v>
      </c>
      <c r="I972" s="80" t="e">
        <f>VLOOKUP(C972,'RAW DATA 2023'!E:BO,36,0)</f>
        <v>#N/A</v>
      </c>
      <c r="J972" t="e">
        <f>VLOOKUP(C972,'RAW DATA 2023'!E:BO,21,0)</f>
        <v>#N/A</v>
      </c>
      <c r="K972" s="268" t="e">
        <f t="shared" si="79"/>
        <v>#N/A</v>
      </c>
    </row>
    <row r="973" spans="1:11">
      <c r="A973">
        <f>'RAW DATA 2023'!B966</f>
        <v>0</v>
      </c>
      <c r="B973">
        <f>'RAW DATA 2023'!D966</f>
        <v>0</v>
      </c>
      <c r="C973" t="str">
        <f t="shared" si="75"/>
        <v>00</v>
      </c>
      <c r="D973" t="e">
        <f>VLOOKUP(C973,'RAW DATA 2023'!E:BP,63,0)</f>
        <v>#N/A</v>
      </c>
      <c r="E973" t="e">
        <f t="shared" si="76"/>
        <v>#N/A</v>
      </c>
      <c r="F973" s="8" t="e">
        <f>VLOOKUP(C973,'RAW DATA 2023'!E:BO,23,0)</f>
        <v>#N/A</v>
      </c>
      <c r="G973" s="14" t="e">
        <f t="shared" si="77"/>
        <v>#N/A</v>
      </c>
      <c r="H973" s="25" t="e">
        <f t="shared" si="78"/>
        <v>#N/A</v>
      </c>
      <c r="I973" s="80" t="e">
        <f>VLOOKUP(C973,'RAW DATA 2023'!E:BO,36,0)</f>
        <v>#N/A</v>
      </c>
      <c r="J973" t="e">
        <f>VLOOKUP(C973,'RAW DATA 2023'!E:BO,21,0)</f>
        <v>#N/A</v>
      </c>
      <c r="K973" s="268" t="e">
        <f t="shared" si="79"/>
        <v>#N/A</v>
      </c>
    </row>
    <row r="974" spans="1:11">
      <c r="A974">
        <f>'RAW DATA 2023'!B967</f>
        <v>0</v>
      </c>
      <c r="B974">
        <f>'RAW DATA 2023'!D967</f>
        <v>0</v>
      </c>
      <c r="C974" t="str">
        <f t="shared" si="75"/>
        <v>00</v>
      </c>
      <c r="D974" t="e">
        <f>VLOOKUP(C974,'RAW DATA 2023'!E:BP,63,0)</f>
        <v>#N/A</v>
      </c>
      <c r="E974" t="e">
        <f t="shared" si="76"/>
        <v>#N/A</v>
      </c>
      <c r="F974" s="8" t="e">
        <f>VLOOKUP(C974,'RAW DATA 2023'!E:BO,23,0)</f>
        <v>#N/A</v>
      </c>
      <c r="G974" s="14" t="e">
        <f t="shared" si="77"/>
        <v>#N/A</v>
      </c>
      <c r="H974" s="25" t="e">
        <f t="shared" si="78"/>
        <v>#N/A</v>
      </c>
      <c r="I974" s="80" t="e">
        <f>VLOOKUP(C974,'RAW DATA 2023'!E:BO,36,0)</f>
        <v>#N/A</v>
      </c>
      <c r="J974" t="e">
        <f>VLOOKUP(C974,'RAW DATA 2023'!E:BO,21,0)</f>
        <v>#N/A</v>
      </c>
      <c r="K974" s="268" t="e">
        <f t="shared" si="79"/>
        <v>#N/A</v>
      </c>
    </row>
    <row r="975" spans="1:11">
      <c r="A975">
        <f>'RAW DATA 2023'!B968</f>
        <v>0</v>
      </c>
      <c r="B975">
        <f>'RAW DATA 2023'!D968</f>
        <v>0</v>
      </c>
      <c r="C975" t="str">
        <f t="shared" si="75"/>
        <v>00</v>
      </c>
      <c r="D975" t="e">
        <f>VLOOKUP(C975,'RAW DATA 2023'!E:BP,63,0)</f>
        <v>#N/A</v>
      </c>
      <c r="E975" t="e">
        <f t="shared" si="76"/>
        <v>#N/A</v>
      </c>
      <c r="F975" s="8" t="e">
        <f>VLOOKUP(C975,'RAW DATA 2023'!E:BO,23,0)</f>
        <v>#N/A</v>
      </c>
      <c r="G975" s="14" t="e">
        <f t="shared" si="77"/>
        <v>#N/A</v>
      </c>
      <c r="H975" s="25" t="e">
        <f t="shared" si="78"/>
        <v>#N/A</v>
      </c>
      <c r="I975" s="80" t="e">
        <f>VLOOKUP(C975,'RAW DATA 2023'!E:BO,36,0)</f>
        <v>#N/A</v>
      </c>
      <c r="J975" t="e">
        <f>VLOOKUP(C975,'RAW DATA 2023'!E:BO,21,0)</f>
        <v>#N/A</v>
      </c>
      <c r="K975" s="268" t="e">
        <f t="shared" si="79"/>
        <v>#N/A</v>
      </c>
    </row>
    <row r="976" spans="1:11">
      <c r="A976">
        <f>'RAW DATA 2023'!B969</f>
        <v>0</v>
      </c>
      <c r="B976">
        <f>'RAW DATA 2023'!D969</f>
        <v>0</v>
      </c>
      <c r="C976" t="str">
        <f t="shared" si="75"/>
        <v>00</v>
      </c>
      <c r="D976" t="e">
        <f>VLOOKUP(C976,'RAW DATA 2023'!E:BP,63,0)</f>
        <v>#N/A</v>
      </c>
      <c r="E976" t="e">
        <f t="shared" si="76"/>
        <v>#N/A</v>
      </c>
      <c r="F976" s="8" t="e">
        <f>VLOOKUP(C976,'RAW DATA 2023'!E:BO,23,0)</f>
        <v>#N/A</v>
      </c>
      <c r="G976" s="14" t="e">
        <f t="shared" si="77"/>
        <v>#N/A</v>
      </c>
      <c r="H976" s="25" t="e">
        <f t="shared" si="78"/>
        <v>#N/A</v>
      </c>
      <c r="I976" s="80" t="e">
        <f>VLOOKUP(C976,'RAW DATA 2023'!E:BO,36,0)</f>
        <v>#N/A</v>
      </c>
      <c r="J976" t="e">
        <f>VLOOKUP(C976,'RAW DATA 2023'!E:BO,21,0)</f>
        <v>#N/A</v>
      </c>
      <c r="K976" s="268" t="e">
        <f t="shared" si="79"/>
        <v>#N/A</v>
      </c>
    </row>
    <row r="977" spans="1:11">
      <c r="A977">
        <f>'RAW DATA 2023'!B970</f>
        <v>0</v>
      </c>
      <c r="B977">
        <f>'RAW DATA 2023'!D970</f>
        <v>0</v>
      </c>
      <c r="C977" t="str">
        <f t="shared" si="75"/>
        <v>00</v>
      </c>
      <c r="D977" t="e">
        <f>VLOOKUP(C977,'RAW DATA 2023'!E:BP,63,0)</f>
        <v>#N/A</v>
      </c>
      <c r="E977" t="e">
        <f t="shared" si="76"/>
        <v>#N/A</v>
      </c>
      <c r="F977" s="8" t="e">
        <f>VLOOKUP(C977,'RAW DATA 2023'!E:BO,23,0)</f>
        <v>#N/A</v>
      </c>
      <c r="G977" s="14" t="e">
        <f t="shared" si="77"/>
        <v>#N/A</v>
      </c>
      <c r="H977" s="25" t="e">
        <f t="shared" si="78"/>
        <v>#N/A</v>
      </c>
      <c r="I977" s="80" t="e">
        <f>VLOOKUP(C977,'RAW DATA 2023'!E:BO,36,0)</f>
        <v>#N/A</v>
      </c>
      <c r="J977" t="e">
        <f>VLOOKUP(C977,'RAW DATA 2023'!E:BO,21,0)</f>
        <v>#N/A</v>
      </c>
      <c r="K977" s="268" t="e">
        <f t="shared" si="79"/>
        <v>#N/A</v>
      </c>
    </row>
    <row r="978" spans="1:11">
      <c r="A978">
        <f>'RAW DATA 2023'!B971</f>
        <v>0</v>
      </c>
      <c r="B978">
        <f>'RAW DATA 2023'!D971</f>
        <v>0</v>
      </c>
      <c r="C978" t="str">
        <f t="shared" si="75"/>
        <v>00</v>
      </c>
      <c r="D978" t="e">
        <f>VLOOKUP(C978,'RAW DATA 2023'!E:BP,63,0)</f>
        <v>#N/A</v>
      </c>
      <c r="E978" t="e">
        <f t="shared" si="76"/>
        <v>#N/A</v>
      </c>
      <c r="F978" s="8" t="e">
        <f>VLOOKUP(C978,'RAW DATA 2023'!E:BO,23,0)</f>
        <v>#N/A</v>
      </c>
      <c r="G978" s="14" t="e">
        <f t="shared" si="77"/>
        <v>#N/A</v>
      </c>
      <c r="H978" s="25" t="e">
        <f t="shared" si="78"/>
        <v>#N/A</v>
      </c>
      <c r="I978" s="80" t="e">
        <f>VLOOKUP(C978,'RAW DATA 2023'!E:BO,36,0)</f>
        <v>#N/A</v>
      </c>
      <c r="J978" t="e">
        <f>VLOOKUP(C978,'RAW DATA 2023'!E:BO,21,0)</f>
        <v>#N/A</v>
      </c>
      <c r="K978" s="268" t="e">
        <f t="shared" si="79"/>
        <v>#N/A</v>
      </c>
    </row>
    <row r="979" spans="1:11">
      <c r="A979">
        <f>'RAW DATA 2023'!B972</f>
        <v>0</v>
      </c>
      <c r="B979">
        <f>'RAW DATA 2023'!D972</f>
        <v>0</v>
      </c>
      <c r="C979" t="str">
        <f t="shared" si="75"/>
        <v>00</v>
      </c>
      <c r="D979" t="e">
        <f>VLOOKUP(C979,'RAW DATA 2023'!E:BP,63,0)</f>
        <v>#N/A</v>
      </c>
      <c r="E979" t="e">
        <f t="shared" si="76"/>
        <v>#N/A</v>
      </c>
      <c r="F979" s="8" t="e">
        <f>VLOOKUP(C979,'RAW DATA 2023'!E:BO,23,0)</f>
        <v>#N/A</v>
      </c>
      <c r="G979" s="14" t="e">
        <f t="shared" si="77"/>
        <v>#N/A</v>
      </c>
      <c r="H979" s="25" t="e">
        <f t="shared" si="78"/>
        <v>#N/A</v>
      </c>
      <c r="I979" s="80" t="e">
        <f>VLOOKUP(C979,'RAW DATA 2023'!E:BO,36,0)</f>
        <v>#N/A</v>
      </c>
      <c r="J979" t="e">
        <f>VLOOKUP(C979,'RAW DATA 2023'!E:BO,21,0)</f>
        <v>#N/A</v>
      </c>
      <c r="K979" s="268" t="e">
        <f t="shared" si="79"/>
        <v>#N/A</v>
      </c>
    </row>
    <row r="980" spans="1:11">
      <c r="A980">
        <f>'RAW DATA 2023'!B973</f>
        <v>0</v>
      </c>
      <c r="B980">
        <f>'RAW DATA 2023'!D973</f>
        <v>0</v>
      </c>
      <c r="C980" t="str">
        <f t="shared" si="75"/>
        <v>00</v>
      </c>
      <c r="D980" t="e">
        <f>VLOOKUP(C980,'RAW DATA 2023'!E:BP,63,0)</f>
        <v>#N/A</v>
      </c>
      <c r="E980" t="e">
        <f t="shared" si="76"/>
        <v>#N/A</v>
      </c>
      <c r="F980" s="8" t="e">
        <f>VLOOKUP(C980,'RAW DATA 2023'!E:BO,23,0)</f>
        <v>#N/A</v>
      </c>
      <c r="G980" s="14" t="e">
        <f t="shared" si="77"/>
        <v>#N/A</v>
      </c>
      <c r="H980" s="25" t="e">
        <f t="shared" si="78"/>
        <v>#N/A</v>
      </c>
      <c r="I980" s="80" t="e">
        <f>VLOOKUP(C980,'RAW DATA 2023'!E:BO,36,0)</f>
        <v>#N/A</v>
      </c>
      <c r="J980" t="e">
        <f>VLOOKUP(C980,'RAW DATA 2023'!E:BO,21,0)</f>
        <v>#N/A</v>
      </c>
      <c r="K980" s="268" t="e">
        <f t="shared" si="79"/>
        <v>#N/A</v>
      </c>
    </row>
    <row r="981" spans="1:11">
      <c r="A981">
        <f>'RAW DATA 2023'!B974</f>
        <v>0</v>
      </c>
      <c r="B981">
        <f>'RAW DATA 2023'!D974</f>
        <v>0</v>
      </c>
      <c r="C981" t="str">
        <f t="shared" si="75"/>
        <v>00</v>
      </c>
      <c r="D981" t="e">
        <f>VLOOKUP(C981,'RAW DATA 2023'!E:BP,63,0)</f>
        <v>#N/A</v>
      </c>
      <c r="E981" t="e">
        <f t="shared" si="76"/>
        <v>#N/A</v>
      </c>
      <c r="F981" s="8" t="e">
        <f>VLOOKUP(C981,'RAW DATA 2023'!E:BO,23,0)</f>
        <v>#N/A</v>
      </c>
      <c r="G981" s="14" t="e">
        <f t="shared" si="77"/>
        <v>#N/A</v>
      </c>
      <c r="H981" s="25" t="e">
        <f t="shared" si="78"/>
        <v>#N/A</v>
      </c>
      <c r="I981" s="80" t="e">
        <f>VLOOKUP(C981,'RAW DATA 2023'!E:BO,36,0)</f>
        <v>#N/A</v>
      </c>
      <c r="J981" t="e">
        <f>VLOOKUP(C981,'RAW DATA 2023'!E:BO,21,0)</f>
        <v>#N/A</v>
      </c>
      <c r="K981" s="268" t="e">
        <f t="shared" si="79"/>
        <v>#N/A</v>
      </c>
    </row>
    <row r="982" spans="1:11">
      <c r="A982">
        <f>'RAW DATA 2023'!B975</f>
        <v>0</v>
      </c>
      <c r="B982">
        <f>'RAW DATA 2023'!D975</f>
        <v>0</v>
      </c>
      <c r="C982" t="str">
        <f t="shared" si="75"/>
        <v>00</v>
      </c>
      <c r="D982" t="e">
        <f>VLOOKUP(C982,'RAW DATA 2023'!E:BP,63,0)</f>
        <v>#N/A</v>
      </c>
      <c r="E982" t="e">
        <f t="shared" si="76"/>
        <v>#N/A</v>
      </c>
      <c r="F982" s="8" t="e">
        <f>VLOOKUP(C982,'RAW DATA 2023'!E:BO,23,0)</f>
        <v>#N/A</v>
      </c>
      <c r="G982" s="14" t="e">
        <f t="shared" si="77"/>
        <v>#N/A</v>
      </c>
      <c r="H982" s="25" t="e">
        <f t="shared" si="78"/>
        <v>#N/A</v>
      </c>
      <c r="I982" s="80" t="e">
        <f>VLOOKUP(C982,'RAW DATA 2023'!E:BO,36,0)</f>
        <v>#N/A</v>
      </c>
      <c r="J982" t="e">
        <f>VLOOKUP(C982,'RAW DATA 2023'!E:BO,21,0)</f>
        <v>#N/A</v>
      </c>
      <c r="K982" s="268" t="e">
        <f t="shared" si="79"/>
        <v>#N/A</v>
      </c>
    </row>
    <row r="983" spans="1:11">
      <c r="A983">
        <f>'RAW DATA 2023'!B976</f>
        <v>0</v>
      </c>
      <c r="B983">
        <f>'RAW DATA 2023'!D976</f>
        <v>0</v>
      </c>
      <c r="C983" t="str">
        <f t="shared" si="75"/>
        <v>00</v>
      </c>
      <c r="D983" t="e">
        <f>VLOOKUP(C983,'RAW DATA 2023'!E:BP,63,0)</f>
        <v>#N/A</v>
      </c>
      <c r="E983" t="e">
        <f t="shared" si="76"/>
        <v>#N/A</v>
      </c>
      <c r="F983" s="8" t="e">
        <f>VLOOKUP(C983,'RAW DATA 2023'!E:BO,23,0)</f>
        <v>#N/A</v>
      </c>
      <c r="G983" s="14" t="e">
        <f t="shared" si="77"/>
        <v>#N/A</v>
      </c>
      <c r="H983" s="25" t="e">
        <f t="shared" si="78"/>
        <v>#N/A</v>
      </c>
      <c r="I983" s="80" t="e">
        <f>VLOOKUP(C983,'RAW DATA 2023'!E:BO,36,0)</f>
        <v>#N/A</v>
      </c>
      <c r="J983" t="e">
        <f>VLOOKUP(C983,'RAW DATA 2023'!E:BO,21,0)</f>
        <v>#N/A</v>
      </c>
      <c r="K983" s="268" t="e">
        <f t="shared" si="79"/>
        <v>#N/A</v>
      </c>
    </row>
    <row r="984" spans="1:11">
      <c r="A984">
        <f>'RAW DATA 2023'!B977</f>
        <v>0</v>
      </c>
      <c r="B984">
        <f>'RAW DATA 2023'!D977</f>
        <v>0</v>
      </c>
      <c r="C984" t="str">
        <f t="shared" si="75"/>
        <v>00</v>
      </c>
      <c r="D984" t="e">
        <f>VLOOKUP(C984,'RAW DATA 2023'!E:BP,63,0)</f>
        <v>#N/A</v>
      </c>
      <c r="E984" t="e">
        <f t="shared" si="76"/>
        <v>#N/A</v>
      </c>
      <c r="F984" s="8" t="e">
        <f>VLOOKUP(C984,'RAW DATA 2023'!E:BO,23,0)</f>
        <v>#N/A</v>
      </c>
      <c r="G984" s="14" t="e">
        <f t="shared" si="77"/>
        <v>#N/A</v>
      </c>
      <c r="H984" s="25" t="e">
        <f t="shared" si="78"/>
        <v>#N/A</v>
      </c>
      <c r="I984" s="80" t="e">
        <f>VLOOKUP(C984,'RAW DATA 2023'!E:BO,36,0)</f>
        <v>#N/A</v>
      </c>
      <c r="J984" t="e">
        <f>VLOOKUP(C984,'RAW DATA 2023'!E:BO,21,0)</f>
        <v>#N/A</v>
      </c>
      <c r="K984" s="268" t="e">
        <f t="shared" si="79"/>
        <v>#N/A</v>
      </c>
    </row>
    <row r="985" spans="1:11">
      <c r="A985">
        <f>'RAW DATA 2023'!B978</f>
        <v>0</v>
      </c>
      <c r="B985">
        <f>'RAW DATA 2023'!D978</f>
        <v>0</v>
      </c>
      <c r="C985" t="str">
        <f t="shared" si="75"/>
        <v>00</v>
      </c>
      <c r="D985" t="e">
        <f>VLOOKUP(C985,'RAW DATA 2023'!E:BP,63,0)</f>
        <v>#N/A</v>
      </c>
      <c r="E985" t="e">
        <f t="shared" si="76"/>
        <v>#N/A</v>
      </c>
      <c r="F985" s="8" t="e">
        <f>VLOOKUP(C985,'RAW DATA 2023'!E:BO,23,0)</f>
        <v>#N/A</v>
      </c>
      <c r="G985" s="14" t="e">
        <f t="shared" si="77"/>
        <v>#N/A</v>
      </c>
      <c r="H985" s="25" t="e">
        <f t="shared" si="78"/>
        <v>#N/A</v>
      </c>
      <c r="I985" s="80" t="e">
        <f>VLOOKUP(C985,'RAW DATA 2023'!E:BO,36,0)</f>
        <v>#N/A</v>
      </c>
      <c r="J985" t="e">
        <f>VLOOKUP(C985,'RAW DATA 2023'!E:BO,21,0)</f>
        <v>#N/A</v>
      </c>
      <c r="K985" s="268" t="e">
        <f t="shared" si="79"/>
        <v>#N/A</v>
      </c>
    </row>
    <row r="986" spans="1:11">
      <c r="A986">
        <f>'RAW DATA 2023'!B979</f>
        <v>0</v>
      </c>
      <c r="B986">
        <f>'RAW DATA 2023'!D979</f>
        <v>0</v>
      </c>
      <c r="C986" t="str">
        <f t="shared" si="75"/>
        <v>00</v>
      </c>
      <c r="D986" t="e">
        <f>VLOOKUP(C986,'RAW DATA 2023'!E:BP,63,0)</f>
        <v>#N/A</v>
      </c>
      <c r="E986" t="e">
        <f t="shared" si="76"/>
        <v>#N/A</v>
      </c>
      <c r="F986" s="8" t="e">
        <f>VLOOKUP(C986,'RAW DATA 2023'!E:BO,23,0)</f>
        <v>#N/A</v>
      </c>
      <c r="G986" s="14" t="e">
        <f t="shared" si="77"/>
        <v>#N/A</v>
      </c>
      <c r="H986" s="25" t="e">
        <f t="shared" si="78"/>
        <v>#N/A</v>
      </c>
      <c r="I986" s="80" t="e">
        <f>VLOOKUP(C986,'RAW DATA 2023'!E:BO,36,0)</f>
        <v>#N/A</v>
      </c>
      <c r="J986" t="e">
        <f>VLOOKUP(C986,'RAW DATA 2023'!E:BO,21,0)</f>
        <v>#N/A</v>
      </c>
      <c r="K986" s="268" t="e">
        <f t="shared" si="79"/>
        <v>#N/A</v>
      </c>
    </row>
    <row r="987" spans="1:11">
      <c r="A987">
        <f>'RAW DATA 2023'!B980</f>
        <v>0</v>
      </c>
      <c r="B987">
        <f>'RAW DATA 2023'!D980</f>
        <v>0</v>
      </c>
      <c r="C987" t="str">
        <f t="shared" si="75"/>
        <v>00</v>
      </c>
      <c r="D987" t="e">
        <f>VLOOKUP(C987,'RAW DATA 2023'!E:BP,63,0)</f>
        <v>#N/A</v>
      </c>
      <c r="E987" t="e">
        <f t="shared" si="76"/>
        <v>#N/A</v>
      </c>
      <c r="F987" s="8" t="e">
        <f>VLOOKUP(C987,'RAW DATA 2023'!E:BO,23,0)</f>
        <v>#N/A</v>
      </c>
      <c r="G987" s="14" t="e">
        <f t="shared" si="77"/>
        <v>#N/A</v>
      </c>
      <c r="H987" s="25" t="e">
        <f t="shared" si="78"/>
        <v>#N/A</v>
      </c>
      <c r="I987" s="80" t="e">
        <f>VLOOKUP(C987,'RAW DATA 2023'!E:BO,36,0)</f>
        <v>#N/A</v>
      </c>
      <c r="J987" t="e">
        <f>VLOOKUP(C987,'RAW DATA 2023'!E:BO,21,0)</f>
        <v>#N/A</v>
      </c>
      <c r="K987" s="268" t="e">
        <f t="shared" si="79"/>
        <v>#N/A</v>
      </c>
    </row>
    <row r="988" spans="1:11">
      <c r="A988">
        <f>'RAW DATA 2023'!B981</f>
        <v>0</v>
      </c>
      <c r="B988">
        <f>'RAW DATA 2023'!D981</f>
        <v>0</v>
      </c>
      <c r="C988" t="str">
        <f t="shared" si="75"/>
        <v>00</v>
      </c>
      <c r="D988" t="e">
        <f>VLOOKUP(C988,'RAW DATA 2023'!E:BP,63,0)</f>
        <v>#N/A</v>
      </c>
      <c r="E988" t="e">
        <f t="shared" si="76"/>
        <v>#N/A</v>
      </c>
      <c r="F988" s="8" t="e">
        <f>VLOOKUP(C988,'RAW DATA 2023'!E:BO,23,0)</f>
        <v>#N/A</v>
      </c>
      <c r="G988" s="14" t="e">
        <f t="shared" si="77"/>
        <v>#N/A</v>
      </c>
      <c r="H988" s="25" t="e">
        <f t="shared" si="78"/>
        <v>#N/A</v>
      </c>
      <c r="I988" s="80" t="e">
        <f>VLOOKUP(C988,'RAW DATA 2023'!E:BO,36,0)</f>
        <v>#N/A</v>
      </c>
      <c r="J988" t="e">
        <f>VLOOKUP(C988,'RAW DATA 2023'!E:BO,21,0)</f>
        <v>#N/A</v>
      </c>
      <c r="K988" s="268" t="e">
        <f t="shared" si="79"/>
        <v>#N/A</v>
      </c>
    </row>
    <row r="989" spans="1:11">
      <c r="A989">
        <f>'RAW DATA 2023'!B982</f>
        <v>0</v>
      </c>
      <c r="B989">
        <f>'RAW DATA 2023'!D982</f>
        <v>0</v>
      </c>
      <c r="C989" t="str">
        <f t="shared" si="75"/>
        <v>00</v>
      </c>
      <c r="D989" t="e">
        <f>VLOOKUP(C989,'RAW DATA 2023'!E:BP,63,0)</f>
        <v>#N/A</v>
      </c>
      <c r="E989" t="e">
        <f t="shared" si="76"/>
        <v>#N/A</v>
      </c>
      <c r="F989" s="8" t="e">
        <f>VLOOKUP(C989,'RAW DATA 2023'!E:BO,23,0)</f>
        <v>#N/A</v>
      </c>
      <c r="G989" s="14" t="e">
        <f t="shared" si="77"/>
        <v>#N/A</v>
      </c>
      <c r="H989" s="25" t="e">
        <f t="shared" si="78"/>
        <v>#N/A</v>
      </c>
      <c r="I989" s="80" t="e">
        <f>VLOOKUP(C989,'RAW DATA 2023'!E:BO,36,0)</f>
        <v>#N/A</v>
      </c>
      <c r="J989" t="e">
        <f>VLOOKUP(C989,'RAW DATA 2023'!E:BO,21,0)</f>
        <v>#N/A</v>
      </c>
      <c r="K989" s="268" t="e">
        <f t="shared" si="79"/>
        <v>#N/A</v>
      </c>
    </row>
    <row r="990" spans="1:11">
      <c r="A990">
        <f>'RAW DATA 2023'!B983</f>
        <v>0</v>
      </c>
      <c r="B990">
        <f>'RAW DATA 2023'!D983</f>
        <v>0</v>
      </c>
      <c r="C990" t="str">
        <f t="shared" si="75"/>
        <v>00</v>
      </c>
      <c r="D990" t="e">
        <f>VLOOKUP(C990,'RAW DATA 2023'!E:BP,63,0)</f>
        <v>#N/A</v>
      </c>
      <c r="E990" t="e">
        <f t="shared" si="76"/>
        <v>#N/A</v>
      </c>
      <c r="F990" s="8" t="e">
        <f>VLOOKUP(C990,'RAW DATA 2023'!E:BO,23,0)</f>
        <v>#N/A</v>
      </c>
      <c r="G990" s="14" t="e">
        <f t="shared" si="77"/>
        <v>#N/A</v>
      </c>
      <c r="H990" s="25" t="e">
        <f t="shared" si="78"/>
        <v>#N/A</v>
      </c>
      <c r="I990" s="80" t="e">
        <f>VLOOKUP(C990,'RAW DATA 2023'!E:BO,36,0)</f>
        <v>#N/A</v>
      </c>
      <c r="J990" t="e">
        <f>VLOOKUP(C990,'RAW DATA 2023'!E:BO,21,0)</f>
        <v>#N/A</v>
      </c>
      <c r="K990" s="268" t="e">
        <f t="shared" si="79"/>
        <v>#N/A</v>
      </c>
    </row>
    <row r="991" spans="1:11">
      <c r="A991">
        <f>'RAW DATA 2023'!B984</f>
        <v>0</v>
      </c>
      <c r="B991">
        <f>'RAW DATA 2023'!D984</f>
        <v>0</v>
      </c>
      <c r="C991" t="str">
        <f t="shared" si="75"/>
        <v>00</v>
      </c>
      <c r="D991" t="e">
        <f>VLOOKUP(C991,'RAW DATA 2023'!E:BP,63,0)</f>
        <v>#N/A</v>
      </c>
      <c r="E991" t="e">
        <f t="shared" si="76"/>
        <v>#N/A</v>
      </c>
      <c r="F991" s="8" t="e">
        <f>VLOOKUP(C991,'RAW DATA 2023'!E:BO,23,0)</f>
        <v>#N/A</v>
      </c>
      <c r="G991" s="14" t="e">
        <f t="shared" si="77"/>
        <v>#N/A</v>
      </c>
      <c r="H991" s="25" t="e">
        <f t="shared" si="78"/>
        <v>#N/A</v>
      </c>
      <c r="I991" s="80" t="e">
        <f>VLOOKUP(C991,'RAW DATA 2023'!E:BO,36,0)</f>
        <v>#N/A</v>
      </c>
      <c r="J991" t="e">
        <f>VLOOKUP(C991,'RAW DATA 2023'!E:BO,21,0)</f>
        <v>#N/A</v>
      </c>
      <c r="K991" s="268" t="e">
        <f t="shared" si="79"/>
        <v>#N/A</v>
      </c>
    </row>
    <row r="992" spans="1:11">
      <c r="A992">
        <f>'RAW DATA 2023'!B985</f>
        <v>0</v>
      </c>
      <c r="B992">
        <f>'RAW DATA 2023'!D985</f>
        <v>0</v>
      </c>
      <c r="C992" t="str">
        <f t="shared" si="75"/>
        <v>00</v>
      </c>
      <c r="D992" t="e">
        <f>VLOOKUP(C992,'RAW DATA 2023'!E:BP,63,0)</f>
        <v>#N/A</v>
      </c>
      <c r="E992" t="e">
        <f t="shared" si="76"/>
        <v>#N/A</v>
      </c>
      <c r="F992" s="8" t="e">
        <f>VLOOKUP(C992,'RAW DATA 2023'!E:BO,23,0)</f>
        <v>#N/A</v>
      </c>
      <c r="G992" s="14" t="e">
        <f t="shared" si="77"/>
        <v>#N/A</v>
      </c>
      <c r="H992" s="25" t="e">
        <f t="shared" si="78"/>
        <v>#N/A</v>
      </c>
      <c r="I992" s="80" t="e">
        <f>VLOOKUP(C992,'RAW DATA 2023'!E:BO,36,0)</f>
        <v>#N/A</v>
      </c>
      <c r="J992" t="e">
        <f>VLOOKUP(C992,'RAW DATA 2023'!E:BO,21,0)</f>
        <v>#N/A</v>
      </c>
      <c r="K992" s="268" t="e">
        <f t="shared" si="79"/>
        <v>#N/A</v>
      </c>
    </row>
    <row r="993" spans="1:11">
      <c r="A993">
        <f>'RAW DATA 2023'!B986</f>
        <v>0</v>
      </c>
      <c r="B993">
        <f>'RAW DATA 2023'!D986</f>
        <v>0</v>
      </c>
      <c r="C993" t="str">
        <f t="shared" si="75"/>
        <v>00</v>
      </c>
      <c r="D993" t="e">
        <f>VLOOKUP(C993,'RAW DATA 2023'!E:BP,63,0)</f>
        <v>#N/A</v>
      </c>
      <c r="E993" t="e">
        <f t="shared" si="76"/>
        <v>#N/A</v>
      </c>
      <c r="F993" s="8" t="e">
        <f>VLOOKUP(C993,'RAW DATA 2023'!E:BO,23,0)</f>
        <v>#N/A</v>
      </c>
      <c r="G993" s="14" t="e">
        <f t="shared" si="77"/>
        <v>#N/A</v>
      </c>
      <c r="H993" s="25" t="e">
        <f t="shared" si="78"/>
        <v>#N/A</v>
      </c>
      <c r="I993" s="80" t="e">
        <f>VLOOKUP(C993,'RAW DATA 2023'!E:BO,36,0)</f>
        <v>#N/A</v>
      </c>
      <c r="J993" t="e">
        <f>VLOOKUP(C993,'RAW DATA 2023'!E:BO,21,0)</f>
        <v>#N/A</v>
      </c>
      <c r="K993" s="268" t="e">
        <f t="shared" si="79"/>
        <v>#N/A</v>
      </c>
    </row>
    <row r="994" spans="1:11">
      <c r="A994">
        <f>'RAW DATA 2023'!B987</f>
        <v>0</v>
      </c>
      <c r="B994">
        <f>'RAW DATA 2023'!D987</f>
        <v>0</v>
      </c>
      <c r="C994" t="str">
        <f t="shared" si="75"/>
        <v>00</v>
      </c>
      <c r="D994" t="e">
        <f>VLOOKUP(C994,'RAW DATA 2023'!E:BP,63,0)</f>
        <v>#N/A</v>
      </c>
      <c r="E994" t="e">
        <f t="shared" si="76"/>
        <v>#N/A</v>
      </c>
      <c r="F994" s="8" t="e">
        <f>VLOOKUP(C994,'RAW DATA 2023'!E:BO,23,0)</f>
        <v>#N/A</v>
      </c>
      <c r="G994" s="14" t="e">
        <f t="shared" si="77"/>
        <v>#N/A</v>
      </c>
      <c r="H994" s="25" t="e">
        <f t="shared" si="78"/>
        <v>#N/A</v>
      </c>
      <c r="I994" s="80" t="e">
        <f>VLOOKUP(C994,'RAW DATA 2023'!E:BO,36,0)</f>
        <v>#N/A</v>
      </c>
      <c r="J994" t="e">
        <f>VLOOKUP(C994,'RAW DATA 2023'!E:BO,21,0)</f>
        <v>#N/A</v>
      </c>
      <c r="K994" s="268" t="e">
        <f t="shared" si="79"/>
        <v>#N/A</v>
      </c>
    </row>
    <row r="995" spans="1:11">
      <c r="A995">
        <f>'RAW DATA 2023'!B988</f>
        <v>0</v>
      </c>
      <c r="B995">
        <f>'RAW DATA 2023'!D988</f>
        <v>0</v>
      </c>
      <c r="C995" t="str">
        <f t="shared" si="75"/>
        <v>00</v>
      </c>
      <c r="D995" t="e">
        <f>VLOOKUP(C995,'RAW DATA 2023'!E:BP,63,0)</f>
        <v>#N/A</v>
      </c>
      <c r="E995" t="e">
        <f t="shared" si="76"/>
        <v>#N/A</v>
      </c>
      <c r="F995" s="8" t="e">
        <f>VLOOKUP(C995,'RAW DATA 2023'!E:BO,23,0)</f>
        <v>#N/A</v>
      </c>
      <c r="G995" s="14" t="e">
        <f t="shared" si="77"/>
        <v>#N/A</v>
      </c>
      <c r="H995" s="25" t="e">
        <f t="shared" si="78"/>
        <v>#N/A</v>
      </c>
      <c r="I995" s="80" t="e">
        <f>VLOOKUP(C995,'RAW DATA 2023'!E:BO,36,0)</f>
        <v>#N/A</v>
      </c>
      <c r="J995" t="e">
        <f>VLOOKUP(C995,'RAW DATA 2023'!E:BO,21,0)</f>
        <v>#N/A</v>
      </c>
      <c r="K995" s="268" t="e">
        <f t="shared" si="79"/>
        <v>#N/A</v>
      </c>
    </row>
    <row r="996" spans="1:11">
      <c r="A996">
        <f>'RAW DATA 2023'!B989</f>
        <v>0</v>
      </c>
      <c r="B996">
        <f>'RAW DATA 2023'!D989</f>
        <v>0</v>
      </c>
      <c r="C996" t="str">
        <f t="shared" si="75"/>
        <v>00</v>
      </c>
      <c r="D996" t="e">
        <f>VLOOKUP(C996,'RAW DATA 2023'!E:BP,63,0)</f>
        <v>#N/A</v>
      </c>
      <c r="E996" t="e">
        <f t="shared" si="76"/>
        <v>#N/A</v>
      </c>
      <c r="F996" s="8" t="e">
        <f>VLOOKUP(C996,'RAW DATA 2023'!E:BO,23,0)</f>
        <v>#N/A</v>
      </c>
      <c r="G996" s="14" t="e">
        <f t="shared" si="77"/>
        <v>#N/A</v>
      </c>
      <c r="H996" s="25" t="e">
        <f t="shared" si="78"/>
        <v>#N/A</v>
      </c>
      <c r="I996" s="80" t="e">
        <f>VLOOKUP(C996,'RAW DATA 2023'!E:BO,36,0)</f>
        <v>#N/A</v>
      </c>
      <c r="J996" t="e">
        <f>VLOOKUP(C996,'RAW DATA 2023'!E:BO,21,0)</f>
        <v>#N/A</v>
      </c>
      <c r="K996" s="268" t="e">
        <f t="shared" si="79"/>
        <v>#N/A</v>
      </c>
    </row>
    <row r="997" spans="1:11">
      <c r="A997">
        <f>'RAW DATA 2023'!B990</f>
        <v>0</v>
      </c>
      <c r="B997">
        <f>'RAW DATA 2023'!D990</f>
        <v>0</v>
      </c>
      <c r="C997" t="str">
        <f t="shared" si="75"/>
        <v>00</v>
      </c>
      <c r="D997" t="e">
        <f>VLOOKUP(C997,'RAW DATA 2023'!E:BP,63,0)</f>
        <v>#N/A</v>
      </c>
      <c r="E997" t="e">
        <f t="shared" si="76"/>
        <v>#N/A</v>
      </c>
      <c r="F997" s="8" t="e">
        <f>VLOOKUP(C997,'RAW DATA 2023'!E:BO,23,0)</f>
        <v>#N/A</v>
      </c>
      <c r="G997" s="14" t="e">
        <f t="shared" si="77"/>
        <v>#N/A</v>
      </c>
      <c r="H997" s="25" t="e">
        <f t="shared" si="78"/>
        <v>#N/A</v>
      </c>
      <c r="I997" s="80" t="e">
        <f>VLOOKUP(C997,'RAW DATA 2023'!E:BO,36,0)</f>
        <v>#N/A</v>
      </c>
      <c r="J997" t="e">
        <f>VLOOKUP(C997,'RAW DATA 2023'!E:BO,21,0)</f>
        <v>#N/A</v>
      </c>
      <c r="K997" s="268" t="e">
        <f t="shared" si="79"/>
        <v>#N/A</v>
      </c>
    </row>
    <row r="998" spans="1:11">
      <c r="A998">
        <f>'RAW DATA 2023'!B991</f>
        <v>0</v>
      </c>
      <c r="B998">
        <f>'RAW DATA 2023'!D991</f>
        <v>0</v>
      </c>
      <c r="C998" t="str">
        <f t="shared" si="75"/>
        <v>00</v>
      </c>
      <c r="D998" t="e">
        <f>VLOOKUP(C998,'RAW DATA 2023'!E:BP,63,0)</f>
        <v>#N/A</v>
      </c>
      <c r="E998" t="e">
        <f t="shared" si="76"/>
        <v>#N/A</v>
      </c>
      <c r="F998" s="8" t="e">
        <f>VLOOKUP(C998,'RAW DATA 2023'!E:BO,23,0)</f>
        <v>#N/A</v>
      </c>
      <c r="G998" s="14" t="e">
        <f t="shared" si="77"/>
        <v>#N/A</v>
      </c>
      <c r="H998" s="25" t="e">
        <f t="shared" si="78"/>
        <v>#N/A</v>
      </c>
      <c r="I998" s="80" t="e">
        <f>VLOOKUP(C998,'RAW DATA 2023'!E:BO,36,0)</f>
        <v>#N/A</v>
      </c>
      <c r="J998" t="e">
        <f>VLOOKUP(C998,'RAW DATA 2023'!E:BO,21,0)</f>
        <v>#N/A</v>
      </c>
      <c r="K998" s="268" t="e">
        <f t="shared" si="79"/>
        <v>#N/A</v>
      </c>
    </row>
    <row r="999" spans="1:11">
      <c r="A999">
        <f>'RAW DATA 2023'!B992</f>
        <v>0</v>
      </c>
      <c r="B999">
        <f>'RAW DATA 2023'!D992</f>
        <v>0</v>
      </c>
      <c r="C999" t="str">
        <f t="shared" si="75"/>
        <v>00</v>
      </c>
      <c r="D999" t="e">
        <f>VLOOKUP(C999,'RAW DATA 2023'!E:BP,63,0)</f>
        <v>#N/A</v>
      </c>
      <c r="E999" t="e">
        <f t="shared" si="76"/>
        <v>#N/A</v>
      </c>
      <c r="F999" s="8" t="e">
        <f>VLOOKUP(C999,'RAW DATA 2023'!E:BO,23,0)</f>
        <v>#N/A</v>
      </c>
      <c r="G999" s="14" t="e">
        <f t="shared" si="77"/>
        <v>#N/A</v>
      </c>
      <c r="H999" s="25" t="e">
        <f t="shared" si="78"/>
        <v>#N/A</v>
      </c>
      <c r="I999" s="80" t="e">
        <f>VLOOKUP(C999,'RAW DATA 2023'!E:BO,36,0)</f>
        <v>#N/A</v>
      </c>
      <c r="J999" t="e">
        <f>VLOOKUP(C999,'RAW DATA 2023'!E:BO,21,0)</f>
        <v>#N/A</v>
      </c>
      <c r="K999" s="268" t="e">
        <f t="shared" si="79"/>
        <v>#N/A</v>
      </c>
    </row>
    <row r="1000" spans="1:11">
      <c r="A1000">
        <f>'RAW DATA 2023'!B993</f>
        <v>0</v>
      </c>
      <c r="B1000">
        <f>'RAW DATA 2023'!D993</f>
        <v>0</v>
      </c>
      <c r="C1000" t="str">
        <f t="shared" si="75"/>
        <v>00</v>
      </c>
      <c r="D1000" t="e">
        <f>VLOOKUP(C1000,'RAW DATA 2023'!E:BP,63,0)</f>
        <v>#N/A</v>
      </c>
      <c r="E1000" t="e">
        <f t="shared" si="76"/>
        <v>#N/A</v>
      </c>
      <c r="F1000" s="8" t="e">
        <f>VLOOKUP(C1000,'RAW DATA 2023'!E:BO,23,0)</f>
        <v>#N/A</v>
      </c>
      <c r="G1000" s="14" t="e">
        <f t="shared" si="77"/>
        <v>#N/A</v>
      </c>
      <c r="H1000" s="25" t="e">
        <f t="shared" si="78"/>
        <v>#N/A</v>
      </c>
      <c r="I1000" s="80" t="e">
        <f>VLOOKUP(C1000,'RAW DATA 2023'!E:BO,36,0)</f>
        <v>#N/A</v>
      </c>
      <c r="J1000" t="e">
        <f>VLOOKUP(C1000,'RAW DATA 2023'!E:BO,21,0)</f>
        <v>#N/A</v>
      </c>
      <c r="K1000" s="268" t="e">
        <f t="shared" si="79"/>
        <v>#N/A</v>
      </c>
    </row>
    <row r="1001" spans="1:11">
      <c r="A1001">
        <f>'RAW DATA 2023'!B994</f>
        <v>0</v>
      </c>
      <c r="B1001">
        <f>'RAW DATA 2023'!D994</f>
        <v>0</v>
      </c>
      <c r="C1001" t="str">
        <f t="shared" si="75"/>
        <v>00</v>
      </c>
      <c r="D1001" t="e">
        <f>VLOOKUP(C1001,'RAW DATA 2023'!E:BP,63,0)</f>
        <v>#N/A</v>
      </c>
      <c r="E1001" t="e">
        <f t="shared" si="76"/>
        <v>#N/A</v>
      </c>
      <c r="F1001" s="8" t="e">
        <f>VLOOKUP(C1001,'RAW DATA 2023'!E:BO,23,0)</f>
        <v>#N/A</v>
      </c>
      <c r="G1001" s="14" t="e">
        <f t="shared" si="77"/>
        <v>#N/A</v>
      </c>
      <c r="H1001" s="25" t="e">
        <f t="shared" si="78"/>
        <v>#N/A</v>
      </c>
      <c r="I1001" s="80" t="e">
        <f>VLOOKUP(C1001,'RAW DATA 2023'!E:BO,36,0)</f>
        <v>#N/A</v>
      </c>
      <c r="J1001" t="e">
        <f>VLOOKUP(C1001,'RAW DATA 2023'!E:BO,21,0)</f>
        <v>#N/A</v>
      </c>
      <c r="K1001" s="268" t="e">
        <f t="shared" si="79"/>
        <v>#N/A</v>
      </c>
    </row>
    <row r="1002" spans="1:11">
      <c r="A1002">
        <f>'RAW DATA 2023'!B995</f>
        <v>0</v>
      </c>
      <c r="B1002">
        <f>'RAW DATA 2023'!D995</f>
        <v>0</v>
      </c>
      <c r="C1002" t="str">
        <f t="shared" si="75"/>
        <v>00</v>
      </c>
      <c r="D1002" t="e">
        <f>VLOOKUP(C1002,'RAW DATA 2023'!E:BP,63,0)</f>
        <v>#N/A</v>
      </c>
      <c r="E1002" t="e">
        <f t="shared" si="76"/>
        <v>#N/A</v>
      </c>
      <c r="F1002" s="8" t="e">
        <f>VLOOKUP(C1002,'RAW DATA 2023'!E:BO,23,0)</f>
        <v>#N/A</v>
      </c>
      <c r="G1002" s="14" t="e">
        <f t="shared" si="77"/>
        <v>#N/A</v>
      </c>
      <c r="H1002" s="25" t="e">
        <f t="shared" si="78"/>
        <v>#N/A</v>
      </c>
      <c r="I1002" s="80" t="e">
        <f>VLOOKUP(C1002,'RAW DATA 2023'!E:BO,36,0)</f>
        <v>#N/A</v>
      </c>
      <c r="J1002" t="e">
        <f>VLOOKUP(C1002,'RAW DATA 2023'!E:BO,21,0)</f>
        <v>#N/A</v>
      </c>
      <c r="K1002" s="268" t="e">
        <f t="shared" si="79"/>
        <v>#N/A</v>
      </c>
    </row>
    <row r="1003" spans="1:11">
      <c r="A1003">
        <f>'RAW DATA 2023'!B996</f>
        <v>0</v>
      </c>
      <c r="B1003">
        <f>'RAW DATA 2023'!D996</f>
        <v>0</v>
      </c>
      <c r="C1003" t="str">
        <f t="shared" si="75"/>
        <v>00</v>
      </c>
      <c r="D1003" t="e">
        <f>VLOOKUP(C1003,'RAW DATA 2023'!E:BP,63,0)</f>
        <v>#N/A</v>
      </c>
      <c r="E1003" t="e">
        <f t="shared" si="76"/>
        <v>#N/A</v>
      </c>
      <c r="F1003" s="8" t="e">
        <f>VLOOKUP(C1003,'RAW DATA 2023'!E:BO,23,0)</f>
        <v>#N/A</v>
      </c>
      <c r="G1003" s="14" t="e">
        <f t="shared" si="77"/>
        <v>#N/A</v>
      </c>
      <c r="H1003" s="25" t="e">
        <f t="shared" si="78"/>
        <v>#N/A</v>
      </c>
      <c r="I1003" s="80" t="e">
        <f>VLOOKUP(C1003,'RAW DATA 2023'!E:BO,36,0)</f>
        <v>#N/A</v>
      </c>
      <c r="J1003" t="e">
        <f>VLOOKUP(C1003,'RAW DATA 2023'!E:BO,21,0)</f>
        <v>#N/A</v>
      </c>
      <c r="K1003" s="268" t="e">
        <f t="shared" si="79"/>
        <v>#N/A</v>
      </c>
    </row>
    <row r="1004" spans="1:11">
      <c r="A1004">
        <f>'RAW DATA 2023'!B997</f>
        <v>0</v>
      </c>
      <c r="B1004">
        <f>'RAW DATA 2023'!D997</f>
        <v>0</v>
      </c>
      <c r="C1004" t="str">
        <f t="shared" si="75"/>
        <v>00</v>
      </c>
      <c r="D1004" t="e">
        <f>VLOOKUP(C1004,'RAW DATA 2023'!E:BP,63,0)</f>
        <v>#N/A</v>
      </c>
      <c r="E1004" t="e">
        <f t="shared" si="76"/>
        <v>#N/A</v>
      </c>
      <c r="F1004" s="8" t="e">
        <f>VLOOKUP(C1004,'RAW DATA 2023'!E:BO,23,0)</f>
        <v>#N/A</v>
      </c>
      <c r="G1004" s="14" t="e">
        <f t="shared" si="77"/>
        <v>#N/A</v>
      </c>
      <c r="H1004" s="25" t="e">
        <f t="shared" si="78"/>
        <v>#N/A</v>
      </c>
      <c r="I1004" s="80" t="e">
        <f>VLOOKUP(C1004,'RAW DATA 2023'!E:BO,36,0)</f>
        <v>#N/A</v>
      </c>
      <c r="J1004" t="e">
        <f>VLOOKUP(C1004,'RAW DATA 2023'!E:BO,21,0)</f>
        <v>#N/A</v>
      </c>
      <c r="K1004" s="268" t="e">
        <f t="shared" si="79"/>
        <v>#N/A</v>
      </c>
    </row>
    <row r="1005" spans="1:11">
      <c r="A1005">
        <f>'RAW DATA 2023'!B998</f>
        <v>0</v>
      </c>
      <c r="B1005">
        <f>'RAW DATA 2023'!D998</f>
        <v>0</v>
      </c>
      <c r="C1005" t="str">
        <f t="shared" si="75"/>
        <v>00</v>
      </c>
      <c r="D1005" t="e">
        <f>VLOOKUP(C1005,'RAW DATA 2023'!E:BP,63,0)</f>
        <v>#N/A</v>
      </c>
      <c r="E1005" t="e">
        <f t="shared" si="76"/>
        <v>#N/A</v>
      </c>
      <c r="F1005" s="8" t="e">
        <f>VLOOKUP(C1005,'RAW DATA 2023'!E:BO,23,0)</f>
        <v>#N/A</v>
      </c>
      <c r="G1005" s="14" t="e">
        <f t="shared" si="77"/>
        <v>#N/A</v>
      </c>
      <c r="H1005" s="25" t="e">
        <f t="shared" si="78"/>
        <v>#N/A</v>
      </c>
      <c r="I1005" s="80" t="e">
        <f>VLOOKUP(C1005,'RAW DATA 2023'!E:BO,36,0)</f>
        <v>#N/A</v>
      </c>
      <c r="J1005" t="e">
        <f>VLOOKUP(C1005,'RAW DATA 2023'!E:BO,21,0)</f>
        <v>#N/A</v>
      </c>
      <c r="K1005" s="268" t="e">
        <f t="shared" si="79"/>
        <v>#N/A</v>
      </c>
    </row>
    <row r="1006" spans="1:11">
      <c r="A1006">
        <f>'RAW DATA 2023'!B999</f>
        <v>0</v>
      </c>
      <c r="B1006">
        <f>'RAW DATA 2023'!D999</f>
        <v>0</v>
      </c>
      <c r="C1006" t="str">
        <f t="shared" si="75"/>
        <v>00</v>
      </c>
      <c r="D1006" t="e">
        <f>VLOOKUP(C1006,'RAW DATA 2023'!E:BP,63,0)</f>
        <v>#N/A</v>
      </c>
      <c r="E1006" t="e">
        <f t="shared" si="76"/>
        <v>#N/A</v>
      </c>
      <c r="F1006" s="8" t="e">
        <f>VLOOKUP(C1006,'RAW DATA 2023'!E:BO,23,0)</f>
        <v>#N/A</v>
      </c>
      <c r="G1006" s="14" t="e">
        <f t="shared" si="77"/>
        <v>#N/A</v>
      </c>
      <c r="H1006" s="25" t="e">
        <f t="shared" si="78"/>
        <v>#N/A</v>
      </c>
      <c r="I1006" s="80" t="e">
        <f>VLOOKUP(C1006,'RAW DATA 2023'!E:BO,36,0)</f>
        <v>#N/A</v>
      </c>
      <c r="J1006" t="e">
        <f>VLOOKUP(C1006,'RAW DATA 2023'!E:BO,21,0)</f>
        <v>#N/A</v>
      </c>
      <c r="K1006" s="268" t="e">
        <f t="shared" si="79"/>
        <v>#N/A</v>
      </c>
    </row>
    <row r="1007" spans="1:11">
      <c r="A1007">
        <f>'RAW DATA 2023'!B1000</f>
        <v>0</v>
      </c>
      <c r="B1007">
        <f>'RAW DATA 2023'!D1000</f>
        <v>0</v>
      </c>
      <c r="C1007" t="str">
        <f t="shared" si="75"/>
        <v>00</v>
      </c>
      <c r="D1007" t="e">
        <f>VLOOKUP(C1007,'RAW DATA 2023'!E:BP,63,0)</f>
        <v>#N/A</v>
      </c>
      <c r="E1007" t="e">
        <f t="shared" si="76"/>
        <v>#N/A</v>
      </c>
      <c r="F1007" s="8" t="e">
        <f>VLOOKUP(C1007,'RAW DATA 2023'!E:BO,23,0)</f>
        <v>#N/A</v>
      </c>
      <c r="G1007" s="14" t="e">
        <f t="shared" si="77"/>
        <v>#N/A</v>
      </c>
      <c r="H1007" s="25" t="e">
        <f t="shared" si="78"/>
        <v>#N/A</v>
      </c>
      <c r="I1007" s="80" t="e">
        <f>VLOOKUP(C1007,'RAW DATA 2023'!E:BO,36,0)</f>
        <v>#N/A</v>
      </c>
      <c r="J1007" t="e">
        <f>VLOOKUP(C1007,'RAW DATA 2023'!E:BO,21,0)</f>
        <v>#N/A</v>
      </c>
      <c r="K1007" s="268" t="e">
        <f t="shared" si="79"/>
        <v>#N/A</v>
      </c>
    </row>
    <row r="1008" spans="1:11">
      <c r="A1008">
        <f>'RAW DATA 2023'!B1001</f>
        <v>0</v>
      </c>
      <c r="B1008">
        <f>'RAW DATA 2023'!D1001</f>
        <v>0</v>
      </c>
      <c r="C1008" t="str">
        <f t="shared" si="75"/>
        <v>00</v>
      </c>
      <c r="D1008" t="e">
        <f>VLOOKUP(C1008,'RAW DATA 2023'!E:BP,63,0)</f>
        <v>#N/A</v>
      </c>
      <c r="E1008" t="e">
        <f t="shared" si="76"/>
        <v>#N/A</v>
      </c>
      <c r="F1008" s="8" t="e">
        <f>VLOOKUP(C1008,'RAW DATA 2023'!E:BO,23,0)</f>
        <v>#N/A</v>
      </c>
      <c r="G1008" s="14" t="e">
        <f t="shared" si="77"/>
        <v>#N/A</v>
      </c>
      <c r="H1008" s="25" t="e">
        <f t="shared" si="78"/>
        <v>#N/A</v>
      </c>
      <c r="I1008" s="80" t="e">
        <f>VLOOKUP(C1008,'RAW DATA 2023'!E:BO,36,0)</f>
        <v>#N/A</v>
      </c>
      <c r="J1008" t="e">
        <f>VLOOKUP(C1008,'RAW DATA 2023'!E:BO,21,0)</f>
        <v>#N/A</v>
      </c>
      <c r="K1008" s="268" t="e">
        <f t="shared" si="79"/>
        <v>#N/A</v>
      </c>
    </row>
    <row r="1009" spans="1:11">
      <c r="A1009">
        <f>'RAW DATA 2023'!B1002</f>
        <v>0</v>
      </c>
      <c r="B1009">
        <f>'RAW DATA 2023'!D1002</f>
        <v>0</v>
      </c>
      <c r="C1009" t="str">
        <f t="shared" si="75"/>
        <v>00</v>
      </c>
      <c r="D1009" t="e">
        <f>VLOOKUP(C1009,'RAW DATA 2023'!E:BP,63,0)</f>
        <v>#N/A</v>
      </c>
      <c r="E1009" t="e">
        <f t="shared" si="76"/>
        <v>#N/A</v>
      </c>
      <c r="F1009" s="8" t="e">
        <f>VLOOKUP(C1009,'RAW DATA 2023'!E:BO,23,0)</f>
        <v>#N/A</v>
      </c>
      <c r="G1009" s="14" t="e">
        <f t="shared" si="77"/>
        <v>#N/A</v>
      </c>
      <c r="H1009" s="25" t="e">
        <f t="shared" si="78"/>
        <v>#N/A</v>
      </c>
      <c r="I1009" s="80" t="e">
        <f>VLOOKUP(C1009,'RAW DATA 2023'!E:BO,36,0)</f>
        <v>#N/A</v>
      </c>
      <c r="J1009" t="e">
        <f>VLOOKUP(C1009,'RAW DATA 2023'!E:BO,21,0)</f>
        <v>#N/A</v>
      </c>
      <c r="K1009" s="268" t="e">
        <f t="shared" si="79"/>
        <v>#N/A</v>
      </c>
    </row>
    <row r="1010" spans="1:11">
      <c r="A1010">
        <f>'RAW DATA 2023'!B1003</f>
        <v>0</v>
      </c>
      <c r="B1010">
        <f>'RAW DATA 2023'!D1003</f>
        <v>0</v>
      </c>
      <c r="C1010" t="str">
        <f t="shared" si="75"/>
        <v>00</v>
      </c>
      <c r="D1010" t="e">
        <f>VLOOKUP(C1010,'RAW DATA 2023'!E:BP,63,0)</f>
        <v>#N/A</v>
      </c>
      <c r="E1010" t="e">
        <f t="shared" si="76"/>
        <v>#N/A</v>
      </c>
      <c r="F1010" s="8" t="e">
        <f>VLOOKUP(C1010,'RAW DATA 2023'!E:BO,23,0)</f>
        <v>#N/A</v>
      </c>
      <c r="G1010" s="14" t="e">
        <f t="shared" si="77"/>
        <v>#N/A</v>
      </c>
      <c r="H1010" s="25" t="e">
        <f t="shared" si="78"/>
        <v>#N/A</v>
      </c>
      <c r="I1010" s="80" t="e">
        <f>VLOOKUP(C1010,'RAW DATA 2023'!E:BO,36,0)</f>
        <v>#N/A</v>
      </c>
      <c r="J1010" t="e">
        <f>VLOOKUP(C1010,'RAW DATA 2023'!E:BO,21,0)</f>
        <v>#N/A</v>
      </c>
      <c r="K1010" s="268" t="e">
        <f t="shared" si="79"/>
        <v>#N/A</v>
      </c>
    </row>
    <row r="1011" spans="1:11">
      <c r="A1011">
        <f>'RAW DATA 2023'!B1004</f>
        <v>0</v>
      </c>
      <c r="B1011">
        <f>'RAW DATA 2023'!D1004</f>
        <v>0</v>
      </c>
      <c r="C1011" t="str">
        <f t="shared" si="75"/>
        <v>00</v>
      </c>
      <c r="D1011" t="e">
        <f>VLOOKUP(C1011,'RAW DATA 2023'!E:BP,63,0)</f>
        <v>#N/A</v>
      </c>
      <c r="E1011" t="e">
        <f t="shared" si="76"/>
        <v>#N/A</v>
      </c>
      <c r="F1011" s="8" t="e">
        <f>VLOOKUP(C1011,'RAW DATA 2023'!E:BO,23,0)</f>
        <v>#N/A</v>
      </c>
      <c r="G1011" s="14" t="e">
        <f t="shared" si="77"/>
        <v>#N/A</v>
      </c>
      <c r="H1011" s="25" t="e">
        <f t="shared" si="78"/>
        <v>#N/A</v>
      </c>
      <c r="I1011" s="80" t="e">
        <f>VLOOKUP(C1011,'RAW DATA 2023'!E:BO,36,0)</f>
        <v>#N/A</v>
      </c>
      <c r="J1011" t="e">
        <f>VLOOKUP(C1011,'RAW DATA 2023'!E:BO,21,0)</f>
        <v>#N/A</v>
      </c>
      <c r="K1011" s="268" t="e">
        <f t="shared" si="79"/>
        <v>#N/A</v>
      </c>
    </row>
    <row r="1012" spans="1:11">
      <c r="A1012">
        <f>'RAW DATA 2023'!B1005</f>
        <v>0</v>
      </c>
      <c r="B1012">
        <f>'RAW DATA 2023'!D1005</f>
        <v>0</v>
      </c>
      <c r="C1012" t="str">
        <f t="shared" si="75"/>
        <v>00</v>
      </c>
      <c r="D1012" t="e">
        <f>VLOOKUP(C1012,'RAW DATA 2023'!E:BP,63,0)</f>
        <v>#N/A</v>
      </c>
      <c r="E1012" t="e">
        <f t="shared" si="76"/>
        <v>#N/A</v>
      </c>
      <c r="F1012" s="8" t="e">
        <f>VLOOKUP(C1012,'RAW DATA 2023'!E:BO,23,0)</f>
        <v>#N/A</v>
      </c>
      <c r="G1012" s="14" t="e">
        <f t="shared" si="77"/>
        <v>#N/A</v>
      </c>
      <c r="H1012" s="25" t="e">
        <f t="shared" si="78"/>
        <v>#N/A</v>
      </c>
      <c r="I1012" s="80" t="e">
        <f>VLOOKUP(C1012,'RAW DATA 2023'!E:BO,36,0)</f>
        <v>#N/A</v>
      </c>
      <c r="J1012" t="e">
        <f>VLOOKUP(C1012,'RAW DATA 2023'!E:BO,21,0)</f>
        <v>#N/A</v>
      </c>
      <c r="K1012" s="268" t="e">
        <f t="shared" si="79"/>
        <v>#N/A</v>
      </c>
    </row>
    <row r="1013" spans="1:11">
      <c r="A1013">
        <f>'RAW DATA 2023'!B1006</f>
        <v>0</v>
      </c>
      <c r="B1013">
        <f>'RAW DATA 2023'!D1006</f>
        <v>0</v>
      </c>
      <c r="C1013" t="str">
        <f t="shared" si="75"/>
        <v>00</v>
      </c>
      <c r="D1013" t="e">
        <f>VLOOKUP(C1013,'RAW DATA 2023'!E:BP,63,0)</f>
        <v>#N/A</v>
      </c>
      <c r="E1013" t="e">
        <f t="shared" si="76"/>
        <v>#N/A</v>
      </c>
      <c r="F1013" s="8" t="e">
        <f>VLOOKUP(C1013,'RAW DATA 2023'!E:BO,23,0)</f>
        <v>#N/A</v>
      </c>
      <c r="G1013" s="14" t="e">
        <f t="shared" si="77"/>
        <v>#N/A</v>
      </c>
      <c r="H1013" s="25" t="e">
        <f t="shared" si="78"/>
        <v>#N/A</v>
      </c>
      <c r="I1013" s="80" t="e">
        <f>VLOOKUP(C1013,'RAW DATA 2023'!E:BO,36,0)</f>
        <v>#N/A</v>
      </c>
      <c r="J1013" t="e">
        <f>VLOOKUP(C1013,'RAW DATA 2023'!E:BO,21,0)</f>
        <v>#N/A</v>
      </c>
      <c r="K1013" s="268" t="e">
        <f t="shared" si="79"/>
        <v>#N/A</v>
      </c>
    </row>
    <row r="1014" spans="1:11">
      <c r="A1014">
        <f>'RAW DATA 2023'!B1007</f>
        <v>0</v>
      </c>
      <c r="B1014">
        <f>'RAW DATA 2023'!D1007</f>
        <v>0</v>
      </c>
      <c r="C1014" t="str">
        <f t="shared" si="75"/>
        <v>00</v>
      </c>
      <c r="D1014" t="e">
        <f>VLOOKUP(C1014,'RAW DATA 2023'!E:BP,63,0)</f>
        <v>#N/A</v>
      </c>
      <c r="E1014" t="e">
        <f t="shared" si="76"/>
        <v>#N/A</v>
      </c>
      <c r="F1014" s="8" t="e">
        <f>VLOOKUP(C1014,'RAW DATA 2023'!E:BO,23,0)</f>
        <v>#N/A</v>
      </c>
      <c r="G1014" s="14" t="e">
        <f t="shared" si="77"/>
        <v>#N/A</v>
      </c>
      <c r="H1014" s="25" t="e">
        <f t="shared" si="78"/>
        <v>#N/A</v>
      </c>
      <c r="I1014" s="80" t="e">
        <f>VLOOKUP(C1014,'RAW DATA 2023'!E:BO,36,0)</f>
        <v>#N/A</v>
      </c>
      <c r="J1014" t="e">
        <f>VLOOKUP(C1014,'RAW DATA 2023'!E:BO,21,0)</f>
        <v>#N/A</v>
      </c>
      <c r="K1014" s="268" t="e">
        <f t="shared" si="79"/>
        <v>#N/A</v>
      </c>
    </row>
    <row r="1015" spans="1:11">
      <c r="A1015">
        <f>'RAW DATA 2023'!B1008</f>
        <v>0</v>
      </c>
      <c r="B1015">
        <f>'RAW DATA 2023'!D1008</f>
        <v>0</v>
      </c>
      <c r="C1015" t="str">
        <f t="shared" si="75"/>
        <v>00</v>
      </c>
      <c r="D1015" t="e">
        <f>VLOOKUP(C1015,'RAW DATA 2023'!E:BP,63,0)</f>
        <v>#N/A</v>
      </c>
      <c r="E1015" t="e">
        <f t="shared" si="76"/>
        <v>#N/A</v>
      </c>
      <c r="F1015" s="8" t="e">
        <f>VLOOKUP(C1015,'RAW DATA 2023'!E:BO,23,0)</f>
        <v>#N/A</v>
      </c>
      <c r="G1015" s="14" t="e">
        <f t="shared" si="77"/>
        <v>#N/A</v>
      </c>
      <c r="H1015" s="25" t="e">
        <f t="shared" si="78"/>
        <v>#N/A</v>
      </c>
      <c r="I1015" s="80" t="e">
        <f>VLOOKUP(C1015,'RAW DATA 2023'!E:BO,36,0)</f>
        <v>#N/A</v>
      </c>
      <c r="J1015" t="e">
        <f>VLOOKUP(C1015,'RAW DATA 2023'!E:BO,21,0)</f>
        <v>#N/A</v>
      </c>
      <c r="K1015" s="268" t="e">
        <f t="shared" si="79"/>
        <v>#N/A</v>
      </c>
    </row>
    <row r="1016" spans="1:11">
      <c r="A1016">
        <f>'RAW DATA 2023'!B1009</f>
        <v>0</v>
      </c>
      <c r="B1016">
        <f>'RAW DATA 2023'!D1009</f>
        <v>0</v>
      </c>
      <c r="C1016" t="str">
        <f t="shared" si="75"/>
        <v>00</v>
      </c>
      <c r="D1016" t="e">
        <f>VLOOKUP(C1016,'RAW DATA 2023'!E:BP,63,0)</f>
        <v>#N/A</v>
      </c>
      <c r="E1016" t="e">
        <f t="shared" si="76"/>
        <v>#N/A</v>
      </c>
      <c r="F1016" s="8" t="e">
        <f>VLOOKUP(C1016,'RAW DATA 2023'!E:BO,23,0)</f>
        <v>#N/A</v>
      </c>
      <c r="G1016" s="14" t="e">
        <f t="shared" si="77"/>
        <v>#N/A</v>
      </c>
      <c r="H1016" s="25" t="e">
        <f t="shared" si="78"/>
        <v>#N/A</v>
      </c>
      <c r="I1016" s="80" t="e">
        <f>VLOOKUP(C1016,'RAW DATA 2023'!E:BO,36,0)</f>
        <v>#N/A</v>
      </c>
      <c r="J1016" t="e">
        <f>VLOOKUP(C1016,'RAW DATA 2023'!E:BO,21,0)</f>
        <v>#N/A</v>
      </c>
      <c r="K1016" s="268" t="e">
        <f t="shared" si="79"/>
        <v>#N/A</v>
      </c>
    </row>
    <row r="1017" spans="1:11">
      <c r="A1017">
        <f>'RAW DATA 2023'!B1010</f>
        <v>0</v>
      </c>
      <c r="B1017">
        <f>'RAW DATA 2023'!D1010</f>
        <v>0</v>
      </c>
      <c r="C1017" t="str">
        <f t="shared" si="75"/>
        <v>00</v>
      </c>
      <c r="D1017" t="e">
        <f>VLOOKUP(C1017,'RAW DATA 2023'!E:BP,63,0)</f>
        <v>#N/A</v>
      </c>
      <c r="E1017" t="e">
        <f t="shared" si="76"/>
        <v>#N/A</v>
      </c>
      <c r="F1017" s="8" t="e">
        <f>VLOOKUP(C1017,'RAW DATA 2023'!E:BO,23,0)</f>
        <v>#N/A</v>
      </c>
      <c r="G1017" s="14" t="e">
        <f t="shared" si="77"/>
        <v>#N/A</v>
      </c>
      <c r="H1017" s="25" t="e">
        <f t="shared" si="78"/>
        <v>#N/A</v>
      </c>
      <c r="I1017" s="80" t="e">
        <f>VLOOKUP(C1017,'RAW DATA 2023'!E:BO,36,0)</f>
        <v>#N/A</v>
      </c>
      <c r="J1017" t="e">
        <f>VLOOKUP(C1017,'RAW DATA 2023'!E:BO,21,0)</f>
        <v>#N/A</v>
      </c>
      <c r="K1017" s="268" t="e">
        <f t="shared" si="79"/>
        <v>#N/A</v>
      </c>
    </row>
    <row r="1018" spans="1:11">
      <c r="A1018">
        <f>'RAW DATA 2023'!B1011</f>
        <v>0</v>
      </c>
      <c r="B1018">
        <f>'RAW DATA 2023'!D1011</f>
        <v>0</v>
      </c>
      <c r="C1018" t="str">
        <f t="shared" si="75"/>
        <v>00</v>
      </c>
      <c r="D1018" t="e">
        <f>VLOOKUP(C1018,'RAW DATA 2023'!E:BP,63,0)</f>
        <v>#N/A</v>
      </c>
      <c r="E1018" t="e">
        <f t="shared" si="76"/>
        <v>#N/A</v>
      </c>
      <c r="F1018" s="8" t="e">
        <f>VLOOKUP(C1018,'RAW DATA 2023'!E:BO,23,0)</f>
        <v>#N/A</v>
      </c>
      <c r="G1018" s="14" t="e">
        <f t="shared" si="77"/>
        <v>#N/A</v>
      </c>
      <c r="H1018" s="25" t="e">
        <f t="shared" si="78"/>
        <v>#N/A</v>
      </c>
      <c r="I1018" s="80" t="e">
        <f>VLOOKUP(C1018,'RAW DATA 2023'!E:BO,36,0)</f>
        <v>#N/A</v>
      </c>
      <c r="J1018" t="e">
        <f>VLOOKUP(C1018,'RAW DATA 2023'!E:BO,21,0)</f>
        <v>#N/A</v>
      </c>
      <c r="K1018" s="268" t="e">
        <f t="shared" si="79"/>
        <v>#N/A</v>
      </c>
    </row>
    <row r="1019" spans="1:11">
      <c r="A1019">
        <f>'RAW DATA 2023'!B1012</f>
        <v>0</v>
      </c>
      <c r="B1019">
        <f>'RAW DATA 2023'!D1012</f>
        <v>0</v>
      </c>
      <c r="C1019" t="str">
        <f t="shared" si="75"/>
        <v>00</v>
      </c>
      <c r="D1019" t="e">
        <f>VLOOKUP(C1019,'RAW DATA 2023'!E:BP,63,0)</f>
        <v>#N/A</v>
      </c>
      <c r="E1019" t="e">
        <f t="shared" si="76"/>
        <v>#N/A</v>
      </c>
      <c r="F1019" s="8" t="e">
        <f>VLOOKUP(C1019,'RAW DATA 2023'!E:BO,23,0)</f>
        <v>#N/A</v>
      </c>
      <c r="G1019" s="14" t="e">
        <f t="shared" si="77"/>
        <v>#N/A</v>
      </c>
      <c r="H1019" s="25" t="e">
        <f t="shared" si="78"/>
        <v>#N/A</v>
      </c>
      <c r="I1019" s="80" t="e">
        <f>VLOOKUP(C1019,'RAW DATA 2023'!E:BO,36,0)</f>
        <v>#N/A</v>
      </c>
      <c r="J1019" t="e">
        <f>VLOOKUP(C1019,'RAW DATA 2023'!E:BO,21,0)</f>
        <v>#N/A</v>
      </c>
      <c r="K1019" s="268" t="e">
        <f t="shared" si="79"/>
        <v>#N/A</v>
      </c>
    </row>
    <row r="1020" spans="1:11">
      <c r="A1020">
        <f>'RAW DATA 2023'!B1013</f>
        <v>0</v>
      </c>
      <c r="B1020">
        <f>'RAW DATA 2023'!D1013</f>
        <v>0</v>
      </c>
      <c r="C1020" t="str">
        <f t="shared" si="75"/>
        <v>00</v>
      </c>
      <c r="D1020" t="e">
        <f>VLOOKUP(C1020,'RAW DATA 2023'!E:BP,63,0)</f>
        <v>#N/A</v>
      </c>
      <c r="E1020" t="e">
        <f t="shared" si="76"/>
        <v>#N/A</v>
      </c>
      <c r="F1020" s="8" t="e">
        <f>VLOOKUP(C1020,'RAW DATA 2023'!E:BO,23,0)</f>
        <v>#N/A</v>
      </c>
      <c r="G1020" s="14" t="e">
        <f t="shared" si="77"/>
        <v>#N/A</v>
      </c>
      <c r="H1020" s="25" t="e">
        <f t="shared" si="78"/>
        <v>#N/A</v>
      </c>
      <c r="I1020" s="80" t="e">
        <f>VLOOKUP(C1020,'RAW DATA 2023'!E:BO,36,0)</f>
        <v>#N/A</v>
      </c>
      <c r="J1020" t="e">
        <f>VLOOKUP(C1020,'RAW DATA 2023'!E:BO,21,0)</f>
        <v>#N/A</v>
      </c>
      <c r="K1020" s="268" t="e">
        <f t="shared" si="79"/>
        <v>#N/A</v>
      </c>
    </row>
    <row r="1021" spans="1:11">
      <c r="A1021">
        <f>'RAW DATA 2023'!B1014</f>
        <v>0</v>
      </c>
      <c r="B1021">
        <f>'RAW DATA 2023'!D1014</f>
        <v>0</v>
      </c>
      <c r="C1021" t="str">
        <f t="shared" si="75"/>
        <v>00</v>
      </c>
      <c r="D1021" t="e">
        <f>VLOOKUP(C1021,'RAW DATA 2023'!E:BP,63,0)</f>
        <v>#N/A</v>
      </c>
      <c r="E1021" t="e">
        <f t="shared" si="76"/>
        <v>#N/A</v>
      </c>
      <c r="F1021" s="8" t="e">
        <f>VLOOKUP(C1021,'RAW DATA 2023'!E:BO,23,0)</f>
        <v>#N/A</v>
      </c>
      <c r="G1021" s="14" t="e">
        <f t="shared" si="77"/>
        <v>#N/A</v>
      </c>
      <c r="H1021" s="25" t="e">
        <f t="shared" si="78"/>
        <v>#N/A</v>
      </c>
      <c r="I1021" s="80" t="e">
        <f>VLOOKUP(C1021,'RAW DATA 2023'!E:BO,36,0)</f>
        <v>#N/A</v>
      </c>
      <c r="J1021" t="e">
        <f>VLOOKUP(C1021,'RAW DATA 2023'!E:BO,21,0)</f>
        <v>#N/A</v>
      </c>
      <c r="K1021" s="268" t="e">
        <f t="shared" si="79"/>
        <v>#N/A</v>
      </c>
    </row>
    <row r="1022" spans="1:11">
      <c r="A1022">
        <f>'RAW DATA 2023'!B1015</f>
        <v>0</v>
      </c>
      <c r="B1022">
        <f>'RAW DATA 2023'!D1015</f>
        <v>0</v>
      </c>
      <c r="C1022" t="str">
        <f t="shared" si="75"/>
        <v>00</v>
      </c>
      <c r="D1022" t="e">
        <f>VLOOKUP(C1022,'RAW DATA 2023'!E:BP,63,0)</f>
        <v>#N/A</v>
      </c>
      <c r="E1022" t="e">
        <f t="shared" si="76"/>
        <v>#N/A</v>
      </c>
      <c r="F1022" s="8" t="e">
        <f>VLOOKUP(C1022,'RAW DATA 2023'!E:BO,23,0)</f>
        <v>#N/A</v>
      </c>
      <c r="G1022" s="14" t="e">
        <f t="shared" si="77"/>
        <v>#N/A</v>
      </c>
      <c r="H1022" s="25" t="e">
        <f t="shared" si="78"/>
        <v>#N/A</v>
      </c>
      <c r="I1022" s="80" t="e">
        <f>VLOOKUP(C1022,'RAW DATA 2023'!E:BO,36,0)</f>
        <v>#N/A</v>
      </c>
      <c r="J1022" t="e">
        <f>VLOOKUP(C1022,'RAW DATA 2023'!E:BO,21,0)</f>
        <v>#N/A</v>
      </c>
      <c r="K1022" s="268" t="e">
        <f t="shared" si="79"/>
        <v>#N/A</v>
      </c>
    </row>
    <row r="1023" spans="1:11">
      <c r="A1023">
        <f>'RAW DATA 2023'!B1016</f>
        <v>0</v>
      </c>
      <c r="B1023">
        <f>'RAW DATA 2023'!D1016</f>
        <v>0</v>
      </c>
      <c r="C1023" t="str">
        <f t="shared" si="75"/>
        <v>00</v>
      </c>
      <c r="D1023" t="e">
        <f>VLOOKUP(C1023,'RAW DATA 2023'!E:BP,63,0)</f>
        <v>#N/A</v>
      </c>
      <c r="E1023" t="e">
        <f t="shared" si="76"/>
        <v>#N/A</v>
      </c>
      <c r="F1023" s="8" t="e">
        <f>VLOOKUP(C1023,'RAW DATA 2023'!E:BO,23,0)</f>
        <v>#N/A</v>
      </c>
      <c r="G1023" s="14" t="e">
        <f t="shared" si="77"/>
        <v>#N/A</v>
      </c>
      <c r="H1023" s="25" t="e">
        <f t="shared" si="78"/>
        <v>#N/A</v>
      </c>
      <c r="I1023" s="80" t="e">
        <f>VLOOKUP(C1023,'RAW DATA 2023'!E:BO,36,0)</f>
        <v>#N/A</v>
      </c>
      <c r="J1023" t="e">
        <f>VLOOKUP(C1023,'RAW DATA 2023'!E:BO,21,0)</f>
        <v>#N/A</v>
      </c>
      <c r="K1023" s="268" t="e">
        <f t="shared" si="79"/>
        <v>#N/A</v>
      </c>
    </row>
    <row r="1024" spans="1:11">
      <c r="A1024">
        <f>'RAW DATA 2023'!B1017</f>
        <v>0</v>
      </c>
      <c r="B1024">
        <f>'RAW DATA 2023'!D1017</f>
        <v>0</v>
      </c>
      <c r="C1024" t="str">
        <f t="shared" si="75"/>
        <v>00</v>
      </c>
      <c r="D1024" t="e">
        <f>VLOOKUP(C1024,'RAW DATA 2023'!E:BP,63,0)</f>
        <v>#N/A</v>
      </c>
      <c r="E1024" t="e">
        <f t="shared" si="76"/>
        <v>#N/A</v>
      </c>
      <c r="F1024" s="8" t="e">
        <f>VLOOKUP(C1024,'RAW DATA 2023'!E:BO,23,0)</f>
        <v>#N/A</v>
      </c>
      <c r="G1024" s="14" t="e">
        <f t="shared" si="77"/>
        <v>#N/A</v>
      </c>
      <c r="H1024" s="25" t="e">
        <f t="shared" si="78"/>
        <v>#N/A</v>
      </c>
      <c r="I1024" s="80" t="e">
        <f>VLOOKUP(C1024,'RAW DATA 2023'!E:BO,36,0)</f>
        <v>#N/A</v>
      </c>
      <c r="J1024" t="e">
        <f>VLOOKUP(C1024,'RAW DATA 2023'!E:BO,21,0)</f>
        <v>#N/A</v>
      </c>
      <c r="K1024" s="268" t="e">
        <f t="shared" si="79"/>
        <v>#N/A</v>
      </c>
    </row>
    <row r="1025" spans="1:11">
      <c r="A1025">
        <f>'RAW DATA 2023'!B1018</f>
        <v>0</v>
      </c>
      <c r="B1025">
        <f>'RAW DATA 2023'!D1018</f>
        <v>0</v>
      </c>
      <c r="C1025" t="str">
        <f t="shared" si="75"/>
        <v>00</v>
      </c>
      <c r="D1025" t="e">
        <f>VLOOKUP(C1025,'RAW DATA 2023'!E:BP,63,0)</f>
        <v>#N/A</v>
      </c>
      <c r="E1025" t="e">
        <f t="shared" si="76"/>
        <v>#N/A</v>
      </c>
      <c r="F1025" s="8" t="e">
        <f>VLOOKUP(C1025,'RAW DATA 2023'!E:BO,23,0)</f>
        <v>#N/A</v>
      </c>
      <c r="G1025" s="14" t="e">
        <f t="shared" si="77"/>
        <v>#N/A</v>
      </c>
      <c r="H1025" s="25" t="e">
        <f t="shared" si="78"/>
        <v>#N/A</v>
      </c>
      <c r="I1025" s="80" t="e">
        <f>VLOOKUP(C1025,'RAW DATA 2023'!E:BO,36,0)</f>
        <v>#N/A</v>
      </c>
      <c r="J1025" t="e">
        <f>VLOOKUP(C1025,'RAW DATA 2023'!E:BO,21,0)</f>
        <v>#N/A</v>
      </c>
      <c r="K1025" s="268" t="e">
        <f t="shared" si="79"/>
        <v>#N/A</v>
      </c>
    </row>
    <row r="1026" spans="1:11">
      <c r="A1026">
        <f>'RAW DATA 2023'!B1019</f>
        <v>0</v>
      </c>
      <c r="B1026">
        <f>'RAW DATA 2023'!D1019</f>
        <v>0</v>
      </c>
      <c r="C1026" t="str">
        <f t="shared" si="75"/>
        <v>00</v>
      </c>
      <c r="D1026" t="e">
        <f>VLOOKUP(C1026,'RAW DATA 2023'!E:BP,63,0)</f>
        <v>#N/A</v>
      </c>
      <c r="E1026" t="e">
        <f t="shared" si="76"/>
        <v>#N/A</v>
      </c>
      <c r="F1026" s="8" t="e">
        <f>VLOOKUP(C1026,'RAW DATA 2023'!E:BO,23,0)</f>
        <v>#N/A</v>
      </c>
      <c r="G1026" s="14" t="e">
        <f t="shared" si="77"/>
        <v>#N/A</v>
      </c>
      <c r="H1026" s="25" t="e">
        <f t="shared" si="78"/>
        <v>#N/A</v>
      </c>
      <c r="I1026" s="80" t="e">
        <f>VLOOKUP(C1026,'RAW DATA 2023'!E:BO,36,0)</f>
        <v>#N/A</v>
      </c>
      <c r="J1026" t="e">
        <f>VLOOKUP(C1026,'RAW DATA 2023'!E:BO,21,0)</f>
        <v>#N/A</v>
      </c>
      <c r="K1026" s="268" t="e">
        <f t="shared" si="79"/>
        <v>#N/A</v>
      </c>
    </row>
    <row r="1027" spans="1:11">
      <c r="A1027">
        <f>'RAW DATA 2023'!B1020</f>
        <v>0</v>
      </c>
      <c r="B1027">
        <f>'RAW DATA 2023'!D1020</f>
        <v>0</v>
      </c>
      <c r="C1027" t="str">
        <f t="shared" si="75"/>
        <v>00</v>
      </c>
      <c r="D1027" t="e">
        <f>VLOOKUP(C1027,'RAW DATA 2023'!E:BP,63,0)</f>
        <v>#N/A</v>
      </c>
      <c r="E1027" t="e">
        <f t="shared" si="76"/>
        <v>#N/A</v>
      </c>
      <c r="F1027" s="8" t="e">
        <f>VLOOKUP(C1027,'RAW DATA 2023'!E:BO,23,0)</f>
        <v>#N/A</v>
      </c>
      <c r="G1027" s="14" t="e">
        <f t="shared" si="77"/>
        <v>#N/A</v>
      </c>
      <c r="H1027" s="25" t="e">
        <f t="shared" si="78"/>
        <v>#N/A</v>
      </c>
      <c r="I1027" s="80" t="e">
        <f>VLOOKUP(C1027,'RAW DATA 2023'!E:BO,36,0)</f>
        <v>#N/A</v>
      </c>
      <c r="J1027" t="e">
        <f>VLOOKUP(C1027,'RAW DATA 2023'!E:BO,21,0)</f>
        <v>#N/A</v>
      </c>
      <c r="K1027" s="268" t="e">
        <f t="shared" si="79"/>
        <v>#N/A</v>
      </c>
    </row>
    <row r="1028" spans="1:11">
      <c r="A1028">
        <f>'RAW DATA 2023'!B1021</f>
        <v>0</v>
      </c>
      <c r="B1028">
        <f>'RAW DATA 2023'!D1021</f>
        <v>0</v>
      </c>
      <c r="C1028" t="str">
        <f t="shared" si="75"/>
        <v>00</v>
      </c>
      <c r="D1028" t="e">
        <f>VLOOKUP(C1028,'RAW DATA 2023'!E:BP,63,0)</f>
        <v>#N/A</v>
      </c>
      <c r="E1028" t="e">
        <f t="shared" si="76"/>
        <v>#N/A</v>
      </c>
      <c r="F1028" s="8" t="e">
        <f>VLOOKUP(C1028,'RAW DATA 2023'!E:BO,23,0)</f>
        <v>#N/A</v>
      </c>
      <c r="G1028" s="14" t="e">
        <f t="shared" si="77"/>
        <v>#N/A</v>
      </c>
      <c r="H1028" s="25" t="e">
        <f t="shared" si="78"/>
        <v>#N/A</v>
      </c>
      <c r="I1028" s="80" t="e">
        <f>VLOOKUP(C1028,'RAW DATA 2023'!E:BO,36,0)</f>
        <v>#N/A</v>
      </c>
      <c r="J1028" t="e">
        <f>VLOOKUP(C1028,'RAW DATA 2023'!E:BO,21,0)</f>
        <v>#N/A</v>
      </c>
      <c r="K1028" s="268" t="e">
        <f t="shared" si="79"/>
        <v>#N/A</v>
      </c>
    </row>
    <row r="1029" spans="1:11">
      <c r="A1029">
        <f>'RAW DATA 2023'!B1022</f>
        <v>0</v>
      </c>
      <c r="B1029">
        <f>'RAW DATA 2023'!D1022</f>
        <v>0</v>
      </c>
      <c r="C1029" t="str">
        <f t="shared" si="75"/>
        <v>00</v>
      </c>
      <c r="D1029" t="e">
        <f>VLOOKUP(C1029,'RAW DATA 2023'!E:BP,63,0)</f>
        <v>#N/A</v>
      </c>
      <c r="E1029" t="e">
        <f t="shared" si="76"/>
        <v>#N/A</v>
      </c>
      <c r="F1029" s="8" t="e">
        <f>VLOOKUP(C1029,'RAW DATA 2023'!E:BO,23,0)</f>
        <v>#N/A</v>
      </c>
      <c r="G1029" s="14" t="e">
        <f t="shared" si="77"/>
        <v>#N/A</v>
      </c>
      <c r="H1029" s="25" t="e">
        <f t="shared" si="78"/>
        <v>#N/A</v>
      </c>
      <c r="I1029" s="80" t="e">
        <f>VLOOKUP(C1029,'RAW DATA 2023'!E:BO,36,0)</f>
        <v>#N/A</v>
      </c>
      <c r="J1029" t="e">
        <f>VLOOKUP(C1029,'RAW DATA 2023'!E:BO,21,0)</f>
        <v>#N/A</v>
      </c>
      <c r="K1029" s="268" t="e">
        <f t="shared" si="79"/>
        <v>#N/A</v>
      </c>
    </row>
    <row r="1030" spans="1:11">
      <c r="A1030">
        <f>'RAW DATA 2023'!B1023</f>
        <v>0</v>
      </c>
      <c r="B1030">
        <f>'RAW DATA 2023'!D1023</f>
        <v>0</v>
      </c>
      <c r="C1030" t="str">
        <f t="shared" si="75"/>
        <v>00</v>
      </c>
      <c r="D1030" t="e">
        <f>VLOOKUP(C1030,'RAW DATA 2023'!E:BP,63,0)</f>
        <v>#N/A</v>
      </c>
      <c r="E1030" t="e">
        <f t="shared" si="76"/>
        <v>#N/A</v>
      </c>
      <c r="F1030" s="8" t="e">
        <f>VLOOKUP(C1030,'RAW DATA 2023'!E:BO,23,0)</f>
        <v>#N/A</v>
      </c>
      <c r="G1030" s="14" t="e">
        <f t="shared" si="77"/>
        <v>#N/A</v>
      </c>
      <c r="H1030" s="25" t="e">
        <f t="shared" si="78"/>
        <v>#N/A</v>
      </c>
      <c r="I1030" s="80" t="e">
        <f>VLOOKUP(C1030,'RAW DATA 2023'!E:BO,36,0)</f>
        <v>#N/A</v>
      </c>
      <c r="J1030" t="e">
        <f>VLOOKUP(C1030,'RAW DATA 2023'!E:BO,21,0)</f>
        <v>#N/A</v>
      </c>
      <c r="K1030" s="268" t="e">
        <f t="shared" si="79"/>
        <v>#N/A</v>
      </c>
    </row>
    <row r="1031" spans="1:11">
      <c r="A1031">
        <f>'RAW DATA 2023'!B1024</f>
        <v>0</v>
      </c>
      <c r="B1031">
        <f>'RAW DATA 2023'!D1024</f>
        <v>0</v>
      </c>
      <c r="C1031" t="str">
        <f t="shared" si="75"/>
        <v>00</v>
      </c>
      <c r="D1031" t="e">
        <f>VLOOKUP(C1031,'RAW DATA 2023'!E:BP,63,0)</f>
        <v>#N/A</v>
      </c>
      <c r="E1031" t="e">
        <f t="shared" si="76"/>
        <v>#N/A</v>
      </c>
      <c r="F1031" s="8" t="e">
        <f>VLOOKUP(C1031,'RAW DATA 2023'!E:BO,23,0)</f>
        <v>#N/A</v>
      </c>
      <c r="G1031" s="14" t="e">
        <f t="shared" si="77"/>
        <v>#N/A</v>
      </c>
      <c r="H1031" s="25" t="e">
        <f t="shared" si="78"/>
        <v>#N/A</v>
      </c>
      <c r="I1031" s="80" t="e">
        <f>VLOOKUP(C1031,'RAW DATA 2023'!E:BO,36,0)</f>
        <v>#N/A</v>
      </c>
      <c r="J1031" t="e">
        <f>VLOOKUP(C1031,'RAW DATA 2023'!E:BO,21,0)</f>
        <v>#N/A</v>
      </c>
      <c r="K1031" s="268" t="e">
        <f t="shared" si="79"/>
        <v>#N/A</v>
      </c>
    </row>
    <row r="1032" spans="1:11">
      <c r="A1032">
        <f>'RAW DATA 2023'!B1025</f>
        <v>0</v>
      </c>
      <c r="B1032">
        <f>'RAW DATA 2023'!D1025</f>
        <v>0</v>
      </c>
      <c r="C1032" t="str">
        <f t="shared" si="75"/>
        <v>00</v>
      </c>
      <c r="D1032" t="e">
        <f>VLOOKUP(C1032,'RAW DATA 2023'!E:BP,63,0)</f>
        <v>#N/A</v>
      </c>
      <c r="E1032" t="e">
        <f t="shared" si="76"/>
        <v>#N/A</v>
      </c>
      <c r="F1032" s="8" t="e">
        <f>VLOOKUP(C1032,'RAW DATA 2023'!E:BO,23,0)</f>
        <v>#N/A</v>
      </c>
      <c r="G1032" s="14" t="e">
        <f t="shared" si="77"/>
        <v>#N/A</v>
      </c>
      <c r="H1032" s="25" t="e">
        <f t="shared" si="78"/>
        <v>#N/A</v>
      </c>
      <c r="I1032" s="80" t="e">
        <f>VLOOKUP(C1032,'RAW DATA 2023'!E:BO,36,0)</f>
        <v>#N/A</v>
      </c>
      <c r="J1032" t="e">
        <f>VLOOKUP(C1032,'RAW DATA 2023'!E:BO,21,0)</f>
        <v>#N/A</v>
      </c>
      <c r="K1032" s="268" t="e">
        <f t="shared" si="79"/>
        <v>#N/A</v>
      </c>
    </row>
    <row r="1033" spans="1:11">
      <c r="A1033">
        <f>'RAW DATA 2023'!B1026</f>
        <v>0</v>
      </c>
      <c r="B1033">
        <f>'RAW DATA 2023'!D1026</f>
        <v>0</v>
      </c>
      <c r="C1033" t="str">
        <f t="shared" si="75"/>
        <v>00</v>
      </c>
      <c r="D1033" t="e">
        <f>VLOOKUP(C1033,'RAW DATA 2023'!E:BP,63,0)</f>
        <v>#N/A</v>
      </c>
      <c r="E1033" t="e">
        <f t="shared" si="76"/>
        <v>#N/A</v>
      </c>
      <c r="F1033" s="8" t="e">
        <f>VLOOKUP(C1033,'RAW DATA 2023'!E:BO,23,0)</f>
        <v>#N/A</v>
      </c>
      <c r="G1033" s="14" t="e">
        <f t="shared" si="77"/>
        <v>#N/A</v>
      </c>
      <c r="H1033" s="25" t="e">
        <f t="shared" si="78"/>
        <v>#N/A</v>
      </c>
      <c r="I1033" s="80" t="e">
        <f>VLOOKUP(C1033,'RAW DATA 2023'!E:BO,36,0)</f>
        <v>#N/A</v>
      </c>
      <c r="J1033" t="e">
        <f>VLOOKUP(C1033,'RAW DATA 2023'!E:BO,21,0)</f>
        <v>#N/A</v>
      </c>
      <c r="K1033" s="268" t="e">
        <f t="shared" si="79"/>
        <v>#N/A</v>
      </c>
    </row>
    <row r="1034" spans="1:11">
      <c r="A1034">
        <f>'RAW DATA 2023'!B1027</f>
        <v>0</v>
      </c>
      <c r="B1034">
        <f>'RAW DATA 2023'!D1027</f>
        <v>0</v>
      </c>
      <c r="C1034" t="str">
        <f t="shared" ref="C1034:C1097" si="80">A1034&amp;B1034</f>
        <v>00</v>
      </c>
      <c r="D1034" t="e">
        <f>VLOOKUP(C1034,'RAW DATA 2023'!E:BP,63,0)</f>
        <v>#N/A</v>
      </c>
      <c r="E1034" t="e">
        <f t="shared" ref="E1034:E1097" si="81">A1034&amp;D1034</f>
        <v>#N/A</v>
      </c>
      <c r="F1034" s="8" t="e">
        <f>VLOOKUP(C1034,'RAW DATA 2023'!E:BO,23,0)</f>
        <v>#N/A</v>
      </c>
      <c r="G1034" s="14" t="e">
        <f t="shared" si="77"/>
        <v>#N/A</v>
      </c>
      <c r="H1034" s="25" t="e">
        <f t="shared" si="78"/>
        <v>#N/A</v>
      </c>
      <c r="I1034" s="80" t="e">
        <f>VLOOKUP(C1034,'RAW DATA 2023'!E:BO,36,0)</f>
        <v>#N/A</v>
      </c>
      <c r="J1034" t="e">
        <f>VLOOKUP(C1034,'RAW DATA 2023'!E:BO,21,0)</f>
        <v>#N/A</v>
      </c>
      <c r="K1034" s="268" t="e">
        <f t="shared" si="79"/>
        <v>#N/A</v>
      </c>
    </row>
    <row r="1035" spans="1:11">
      <c r="A1035">
        <f>'RAW DATA 2023'!B1028</f>
        <v>0</v>
      </c>
      <c r="B1035">
        <f>'RAW DATA 2023'!D1028</f>
        <v>0</v>
      </c>
      <c r="C1035" t="str">
        <f t="shared" si="80"/>
        <v>00</v>
      </c>
      <c r="D1035" t="e">
        <f>VLOOKUP(C1035,'RAW DATA 2023'!E:BP,63,0)</f>
        <v>#N/A</v>
      </c>
      <c r="E1035" t="e">
        <f t="shared" si="81"/>
        <v>#N/A</v>
      </c>
      <c r="F1035" s="8" t="e">
        <f>VLOOKUP(C1035,'RAW DATA 2023'!E:BO,23,0)</f>
        <v>#N/A</v>
      </c>
      <c r="G1035" s="14" t="e">
        <f t="shared" ref="G1035:G1098" si="82">IF(F1035=0,0,$B$2-F1035)</f>
        <v>#N/A</v>
      </c>
      <c r="H1035" s="25" t="e">
        <f t="shared" ref="H1035:H1098" si="83">G1035*$B$6</f>
        <v>#N/A</v>
      </c>
      <c r="I1035" s="80" t="e">
        <f>VLOOKUP(C1035,'RAW DATA 2023'!E:BO,36,0)</f>
        <v>#N/A</v>
      </c>
      <c r="J1035" t="e">
        <f>VLOOKUP(C1035,'RAW DATA 2023'!E:BO,21,0)</f>
        <v>#N/A</v>
      </c>
      <c r="K1035" s="268" t="e">
        <f t="shared" ref="K1035:K1098" si="84">H1035*J1035</f>
        <v>#N/A</v>
      </c>
    </row>
    <row r="1036" spans="1:11">
      <c r="A1036">
        <f>'RAW DATA 2023'!B1029</f>
        <v>0</v>
      </c>
      <c r="B1036">
        <f>'RAW DATA 2023'!D1029</f>
        <v>0</v>
      </c>
      <c r="C1036" t="str">
        <f t="shared" si="80"/>
        <v>00</v>
      </c>
      <c r="D1036" t="e">
        <f>VLOOKUP(C1036,'RAW DATA 2023'!E:BP,63,0)</f>
        <v>#N/A</v>
      </c>
      <c r="E1036" t="e">
        <f t="shared" si="81"/>
        <v>#N/A</v>
      </c>
      <c r="F1036" s="8" t="e">
        <f>VLOOKUP(C1036,'RAW DATA 2023'!E:BO,23,0)</f>
        <v>#N/A</v>
      </c>
      <c r="G1036" s="14" t="e">
        <f t="shared" si="82"/>
        <v>#N/A</v>
      </c>
      <c r="H1036" s="25" t="e">
        <f t="shared" si="83"/>
        <v>#N/A</v>
      </c>
      <c r="I1036" s="80" t="e">
        <f>VLOOKUP(C1036,'RAW DATA 2023'!E:BO,36,0)</f>
        <v>#N/A</v>
      </c>
      <c r="J1036" t="e">
        <f>VLOOKUP(C1036,'RAW DATA 2023'!E:BO,21,0)</f>
        <v>#N/A</v>
      </c>
      <c r="K1036" s="268" t="e">
        <f t="shared" si="84"/>
        <v>#N/A</v>
      </c>
    </row>
    <row r="1037" spans="1:11">
      <c r="A1037">
        <f>'RAW DATA 2023'!B1030</f>
        <v>0</v>
      </c>
      <c r="B1037">
        <f>'RAW DATA 2023'!D1030</f>
        <v>0</v>
      </c>
      <c r="C1037" t="str">
        <f t="shared" si="80"/>
        <v>00</v>
      </c>
      <c r="D1037" t="e">
        <f>VLOOKUP(C1037,'RAW DATA 2023'!E:BP,63,0)</f>
        <v>#N/A</v>
      </c>
      <c r="E1037" t="e">
        <f t="shared" si="81"/>
        <v>#N/A</v>
      </c>
      <c r="F1037" s="8" t="e">
        <f>VLOOKUP(C1037,'RAW DATA 2023'!E:BO,23,0)</f>
        <v>#N/A</v>
      </c>
      <c r="G1037" s="14" t="e">
        <f t="shared" si="82"/>
        <v>#N/A</v>
      </c>
      <c r="H1037" s="25" t="e">
        <f t="shared" si="83"/>
        <v>#N/A</v>
      </c>
      <c r="I1037" s="80" t="e">
        <f>VLOOKUP(C1037,'RAW DATA 2023'!E:BO,36,0)</f>
        <v>#N/A</v>
      </c>
      <c r="J1037" t="e">
        <f>VLOOKUP(C1037,'RAW DATA 2023'!E:BO,21,0)</f>
        <v>#N/A</v>
      </c>
      <c r="K1037" s="268" t="e">
        <f t="shared" si="84"/>
        <v>#N/A</v>
      </c>
    </row>
    <row r="1038" spans="1:11">
      <c r="A1038">
        <f>'RAW DATA 2023'!B1031</f>
        <v>0</v>
      </c>
      <c r="B1038">
        <f>'RAW DATA 2023'!D1031</f>
        <v>0</v>
      </c>
      <c r="C1038" t="str">
        <f t="shared" si="80"/>
        <v>00</v>
      </c>
      <c r="D1038" t="e">
        <f>VLOOKUP(C1038,'RAW DATA 2023'!E:BP,63,0)</f>
        <v>#N/A</v>
      </c>
      <c r="E1038" t="e">
        <f t="shared" si="81"/>
        <v>#N/A</v>
      </c>
      <c r="F1038" s="8" t="e">
        <f>VLOOKUP(C1038,'RAW DATA 2023'!E:BO,23,0)</f>
        <v>#N/A</v>
      </c>
      <c r="G1038" s="14" t="e">
        <f t="shared" si="82"/>
        <v>#N/A</v>
      </c>
      <c r="H1038" s="25" t="e">
        <f t="shared" si="83"/>
        <v>#N/A</v>
      </c>
      <c r="I1038" s="80" t="e">
        <f>VLOOKUP(C1038,'RAW DATA 2023'!E:BO,36,0)</f>
        <v>#N/A</v>
      </c>
      <c r="J1038" t="e">
        <f>VLOOKUP(C1038,'RAW DATA 2023'!E:BO,21,0)</f>
        <v>#N/A</v>
      </c>
      <c r="K1038" s="268" t="e">
        <f t="shared" si="84"/>
        <v>#N/A</v>
      </c>
    </row>
    <row r="1039" spans="1:11">
      <c r="A1039">
        <f>'RAW DATA 2023'!B1032</f>
        <v>0</v>
      </c>
      <c r="B1039">
        <f>'RAW DATA 2023'!D1032</f>
        <v>0</v>
      </c>
      <c r="C1039" t="str">
        <f t="shared" si="80"/>
        <v>00</v>
      </c>
      <c r="D1039" t="e">
        <f>VLOOKUP(C1039,'RAW DATA 2023'!E:BP,63,0)</f>
        <v>#N/A</v>
      </c>
      <c r="E1039" t="e">
        <f t="shared" si="81"/>
        <v>#N/A</v>
      </c>
      <c r="F1039" s="8" t="e">
        <f>VLOOKUP(C1039,'RAW DATA 2023'!E:BO,23,0)</f>
        <v>#N/A</v>
      </c>
      <c r="G1039" s="14" t="e">
        <f t="shared" si="82"/>
        <v>#N/A</v>
      </c>
      <c r="H1039" s="25" t="e">
        <f t="shared" si="83"/>
        <v>#N/A</v>
      </c>
      <c r="I1039" s="80" t="e">
        <f>VLOOKUP(C1039,'RAW DATA 2023'!E:BO,36,0)</f>
        <v>#N/A</v>
      </c>
      <c r="J1039" t="e">
        <f>VLOOKUP(C1039,'RAW DATA 2023'!E:BO,21,0)</f>
        <v>#N/A</v>
      </c>
      <c r="K1039" s="268" t="e">
        <f t="shared" si="84"/>
        <v>#N/A</v>
      </c>
    </row>
    <row r="1040" spans="1:11">
      <c r="A1040">
        <f>'RAW DATA 2023'!B1033</f>
        <v>0</v>
      </c>
      <c r="B1040">
        <f>'RAW DATA 2023'!D1033</f>
        <v>0</v>
      </c>
      <c r="C1040" t="str">
        <f t="shared" si="80"/>
        <v>00</v>
      </c>
      <c r="D1040" t="e">
        <f>VLOOKUP(C1040,'RAW DATA 2023'!E:BP,63,0)</f>
        <v>#N/A</v>
      </c>
      <c r="E1040" t="e">
        <f t="shared" si="81"/>
        <v>#N/A</v>
      </c>
      <c r="F1040" s="8" t="e">
        <f>VLOOKUP(C1040,'RAW DATA 2023'!E:BO,23,0)</f>
        <v>#N/A</v>
      </c>
      <c r="G1040" s="14" t="e">
        <f t="shared" si="82"/>
        <v>#N/A</v>
      </c>
      <c r="H1040" s="25" t="e">
        <f t="shared" si="83"/>
        <v>#N/A</v>
      </c>
      <c r="I1040" s="80" t="e">
        <f>VLOOKUP(C1040,'RAW DATA 2023'!E:BO,36,0)</f>
        <v>#N/A</v>
      </c>
      <c r="J1040" t="e">
        <f>VLOOKUP(C1040,'RAW DATA 2023'!E:BO,21,0)</f>
        <v>#N/A</v>
      </c>
      <c r="K1040" s="268" t="e">
        <f t="shared" si="84"/>
        <v>#N/A</v>
      </c>
    </row>
    <row r="1041" spans="1:11">
      <c r="A1041">
        <f>'RAW DATA 2023'!B1034</f>
        <v>0</v>
      </c>
      <c r="B1041">
        <f>'RAW DATA 2023'!D1034</f>
        <v>0</v>
      </c>
      <c r="C1041" t="str">
        <f t="shared" si="80"/>
        <v>00</v>
      </c>
      <c r="D1041" t="e">
        <f>VLOOKUP(C1041,'RAW DATA 2023'!E:BP,63,0)</f>
        <v>#N/A</v>
      </c>
      <c r="E1041" t="e">
        <f t="shared" si="81"/>
        <v>#N/A</v>
      </c>
      <c r="F1041" s="8" t="e">
        <f>VLOOKUP(C1041,'RAW DATA 2023'!E:BO,23,0)</f>
        <v>#N/A</v>
      </c>
      <c r="G1041" s="14" t="e">
        <f t="shared" si="82"/>
        <v>#N/A</v>
      </c>
      <c r="H1041" s="25" t="e">
        <f t="shared" si="83"/>
        <v>#N/A</v>
      </c>
      <c r="I1041" s="80" t="e">
        <f>VLOOKUP(C1041,'RAW DATA 2023'!E:BO,36,0)</f>
        <v>#N/A</v>
      </c>
      <c r="J1041" t="e">
        <f>VLOOKUP(C1041,'RAW DATA 2023'!E:BO,21,0)</f>
        <v>#N/A</v>
      </c>
      <c r="K1041" s="268" t="e">
        <f t="shared" si="84"/>
        <v>#N/A</v>
      </c>
    </row>
    <row r="1042" spans="1:11">
      <c r="A1042">
        <f>'RAW DATA 2023'!B1035</f>
        <v>0</v>
      </c>
      <c r="B1042">
        <f>'RAW DATA 2023'!D1035</f>
        <v>0</v>
      </c>
      <c r="C1042" t="str">
        <f t="shared" si="80"/>
        <v>00</v>
      </c>
      <c r="D1042" t="e">
        <f>VLOOKUP(C1042,'RAW DATA 2023'!E:BP,63,0)</f>
        <v>#N/A</v>
      </c>
      <c r="E1042" t="e">
        <f t="shared" si="81"/>
        <v>#N/A</v>
      </c>
      <c r="F1042" s="8" t="e">
        <f>VLOOKUP(C1042,'RAW DATA 2023'!E:BO,23,0)</f>
        <v>#N/A</v>
      </c>
      <c r="G1042" s="14" t="e">
        <f t="shared" si="82"/>
        <v>#N/A</v>
      </c>
      <c r="H1042" s="25" t="e">
        <f t="shared" si="83"/>
        <v>#N/A</v>
      </c>
      <c r="I1042" s="80" t="e">
        <f>VLOOKUP(C1042,'RAW DATA 2023'!E:BO,36,0)</f>
        <v>#N/A</v>
      </c>
      <c r="J1042" t="e">
        <f>VLOOKUP(C1042,'RAW DATA 2023'!E:BO,21,0)</f>
        <v>#N/A</v>
      </c>
      <c r="K1042" s="268" t="e">
        <f t="shared" si="84"/>
        <v>#N/A</v>
      </c>
    </row>
    <row r="1043" spans="1:11">
      <c r="A1043">
        <f>'RAW DATA 2023'!B1036</f>
        <v>0</v>
      </c>
      <c r="B1043">
        <f>'RAW DATA 2023'!D1036</f>
        <v>0</v>
      </c>
      <c r="C1043" t="str">
        <f t="shared" si="80"/>
        <v>00</v>
      </c>
      <c r="D1043" t="e">
        <f>VLOOKUP(C1043,'RAW DATA 2023'!E:BP,63,0)</f>
        <v>#N/A</v>
      </c>
      <c r="E1043" t="e">
        <f t="shared" si="81"/>
        <v>#N/A</v>
      </c>
      <c r="F1043" s="8" t="e">
        <f>VLOOKUP(C1043,'RAW DATA 2023'!E:BO,23,0)</f>
        <v>#N/A</v>
      </c>
      <c r="G1043" s="14" t="e">
        <f t="shared" si="82"/>
        <v>#N/A</v>
      </c>
      <c r="H1043" s="25" t="e">
        <f t="shared" si="83"/>
        <v>#N/A</v>
      </c>
      <c r="I1043" s="80" t="e">
        <f>VLOOKUP(C1043,'RAW DATA 2023'!E:BO,36,0)</f>
        <v>#N/A</v>
      </c>
      <c r="J1043" t="e">
        <f>VLOOKUP(C1043,'RAW DATA 2023'!E:BO,21,0)</f>
        <v>#N/A</v>
      </c>
      <c r="K1043" s="268" t="e">
        <f t="shared" si="84"/>
        <v>#N/A</v>
      </c>
    </row>
    <row r="1044" spans="1:11">
      <c r="A1044">
        <f>'RAW DATA 2023'!B1037</f>
        <v>0</v>
      </c>
      <c r="B1044">
        <f>'RAW DATA 2023'!D1037</f>
        <v>0</v>
      </c>
      <c r="C1044" t="str">
        <f t="shared" si="80"/>
        <v>00</v>
      </c>
      <c r="D1044" t="e">
        <f>VLOOKUP(C1044,'RAW DATA 2023'!E:BP,63,0)</f>
        <v>#N/A</v>
      </c>
      <c r="E1044" t="e">
        <f t="shared" si="81"/>
        <v>#N/A</v>
      </c>
      <c r="F1044" s="8" t="e">
        <f>VLOOKUP(C1044,'RAW DATA 2023'!E:BO,23,0)</f>
        <v>#N/A</v>
      </c>
      <c r="G1044" s="14" t="e">
        <f t="shared" si="82"/>
        <v>#N/A</v>
      </c>
      <c r="H1044" s="25" t="e">
        <f t="shared" si="83"/>
        <v>#N/A</v>
      </c>
      <c r="I1044" s="80" t="e">
        <f>VLOOKUP(C1044,'RAW DATA 2023'!E:BO,36,0)</f>
        <v>#N/A</v>
      </c>
      <c r="J1044" t="e">
        <f>VLOOKUP(C1044,'RAW DATA 2023'!E:BO,21,0)</f>
        <v>#N/A</v>
      </c>
      <c r="K1044" s="268" t="e">
        <f t="shared" si="84"/>
        <v>#N/A</v>
      </c>
    </row>
    <row r="1045" spans="1:11">
      <c r="A1045">
        <f>'RAW DATA 2023'!B1038</f>
        <v>0</v>
      </c>
      <c r="B1045">
        <f>'RAW DATA 2023'!D1038</f>
        <v>0</v>
      </c>
      <c r="C1045" t="str">
        <f t="shared" si="80"/>
        <v>00</v>
      </c>
      <c r="D1045" t="e">
        <f>VLOOKUP(C1045,'RAW DATA 2023'!E:BP,63,0)</f>
        <v>#N/A</v>
      </c>
      <c r="E1045" t="e">
        <f t="shared" si="81"/>
        <v>#N/A</v>
      </c>
      <c r="F1045" s="8" t="e">
        <f>VLOOKUP(C1045,'RAW DATA 2023'!E:BO,23,0)</f>
        <v>#N/A</v>
      </c>
      <c r="G1045" s="14" t="e">
        <f t="shared" si="82"/>
        <v>#N/A</v>
      </c>
      <c r="H1045" s="25" t="e">
        <f t="shared" si="83"/>
        <v>#N/A</v>
      </c>
      <c r="I1045" s="80" t="e">
        <f>VLOOKUP(C1045,'RAW DATA 2023'!E:BO,36,0)</f>
        <v>#N/A</v>
      </c>
      <c r="J1045" t="e">
        <f>VLOOKUP(C1045,'RAW DATA 2023'!E:BO,21,0)</f>
        <v>#N/A</v>
      </c>
      <c r="K1045" s="268" t="e">
        <f t="shared" si="84"/>
        <v>#N/A</v>
      </c>
    </row>
    <row r="1046" spans="1:11">
      <c r="A1046">
        <f>'RAW DATA 2023'!B1039</f>
        <v>0</v>
      </c>
      <c r="B1046">
        <f>'RAW DATA 2023'!D1039</f>
        <v>0</v>
      </c>
      <c r="C1046" t="str">
        <f t="shared" si="80"/>
        <v>00</v>
      </c>
      <c r="D1046" t="e">
        <f>VLOOKUP(C1046,'RAW DATA 2023'!E:BP,63,0)</f>
        <v>#N/A</v>
      </c>
      <c r="E1046" t="e">
        <f t="shared" si="81"/>
        <v>#N/A</v>
      </c>
      <c r="F1046" s="8" t="e">
        <f>VLOOKUP(C1046,'RAW DATA 2023'!E:BO,23,0)</f>
        <v>#N/A</v>
      </c>
      <c r="G1046" s="14" t="e">
        <f t="shared" si="82"/>
        <v>#N/A</v>
      </c>
      <c r="H1046" s="25" t="e">
        <f t="shared" si="83"/>
        <v>#N/A</v>
      </c>
      <c r="I1046" s="80" t="e">
        <f>VLOOKUP(C1046,'RAW DATA 2023'!E:BO,36,0)</f>
        <v>#N/A</v>
      </c>
      <c r="J1046" t="e">
        <f>VLOOKUP(C1046,'RAW DATA 2023'!E:BO,21,0)</f>
        <v>#N/A</v>
      </c>
      <c r="K1046" s="268" t="e">
        <f t="shared" si="84"/>
        <v>#N/A</v>
      </c>
    </row>
    <row r="1047" spans="1:11">
      <c r="A1047">
        <f>'RAW DATA 2023'!B1040</f>
        <v>0</v>
      </c>
      <c r="B1047">
        <f>'RAW DATA 2023'!D1040</f>
        <v>0</v>
      </c>
      <c r="C1047" t="str">
        <f t="shared" si="80"/>
        <v>00</v>
      </c>
      <c r="D1047" t="e">
        <f>VLOOKUP(C1047,'RAW DATA 2023'!E:BP,63,0)</f>
        <v>#N/A</v>
      </c>
      <c r="E1047" t="e">
        <f t="shared" si="81"/>
        <v>#N/A</v>
      </c>
      <c r="F1047" s="8" t="e">
        <f>VLOOKUP(C1047,'RAW DATA 2023'!E:BO,23,0)</f>
        <v>#N/A</v>
      </c>
      <c r="G1047" s="14" t="e">
        <f t="shared" si="82"/>
        <v>#N/A</v>
      </c>
      <c r="H1047" s="25" t="e">
        <f t="shared" si="83"/>
        <v>#N/A</v>
      </c>
      <c r="I1047" s="80" t="e">
        <f>VLOOKUP(C1047,'RAW DATA 2023'!E:BO,36,0)</f>
        <v>#N/A</v>
      </c>
      <c r="J1047" t="e">
        <f>VLOOKUP(C1047,'RAW DATA 2023'!E:BO,21,0)</f>
        <v>#N/A</v>
      </c>
      <c r="K1047" s="268" t="e">
        <f t="shared" si="84"/>
        <v>#N/A</v>
      </c>
    </row>
    <row r="1048" spans="1:11">
      <c r="A1048">
        <f>'RAW DATA 2023'!B1041</f>
        <v>0</v>
      </c>
      <c r="B1048">
        <f>'RAW DATA 2023'!D1041</f>
        <v>0</v>
      </c>
      <c r="C1048" t="str">
        <f t="shared" si="80"/>
        <v>00</v>
      </c>
      <c r="D1048" t="e">
        <f>VLOOKUP(C1048,'RAW DATA 2023'!E:BP,63,0)</f>
        <v>#N/A</v>
      </c>
      <c r="E1048" t="e">
        <f t="shared" si="81"/>
        <v>#N/A</v>
      </c>
      <c r="F1048" s="8" t="e">
        <f>VLOOKUP(C1048,'RAW DATA 2023'!E:BO,23,0)</f>
        <v>#N/A</v>
      </c>
      <c r="G1048" s="14" t="e">
        <f t="shared" si="82"/>
        <v>#N/A</v>
      </c>
      <c r="H1048" s="25" t="e">
        <f t="shared" si="83"/>
        <v>#N/A</v>
      </c>
      <c r="I1048" s="80" t="e">
        <f>VLOOKUP(C1048,'RAW DATA 2023'!E:BO,36,0)</f>
        <v>#N/A</v>
      </c>
      <c r="J1048" t="e">
        <f>VLOOKUP(C1048,'RAW DATA 2023'!E:BO,21,0)</f>
        <v>#N/A</v>
      </c>
      <c r="K1048" s="268" t="e">
        <f t="shared" si="84"/>
        <v>#N/A</v>
      </c>
    </row>
    <row r="1049" spans="1:11">
      <c r="A1049">
        <f>'RAW DATA 2023'!B1042</f>
        <v>0</v>
      </c>
      <c r="B1049">
        <f>'RAW DATA 2023'!D1042</f>
        <v>0</v>
      </c>
      <c r="C1049" t="str">
        <f t="shared" si="80"/>
        <v>00</v>
      </c>
      <c r="D1049" t="e">
        <f>VLOOKUP(C1049,'RAW DATA 2023'!E:BP,63,0)</f>
        <v>#N/A</v>
      </c>
      <c r="E1049" t="e">
        <f t="shared" si="81"/>
        <v>#N/A</v>
      </c>
      <c r="F1049" s="8" t="e">
        <f>VLOOKUP(C1049,'RAW DATA 2023'!E:BO,23,0)</f>
        <v>#N/A</v>
      </c>
      <c r="G1049" s="14" t="e">
        <f t="shared" si="82"/>
        <v>#N/A</v>
      </c>
      <c r="H1049" s="25" t="e">
        <f t="shared" si="83"/>
        <v>#N/A</v>
      </c>
      <c r="I1049" s="80" t="e">
        <f>VLOOKUP(C1049,'RAW DATA 2023'!E:BO,36,0)</f>
        <v>#N/A</v>
      </c>
      <c r="J1049" t="e">
        <f>VLOOKUP(C1049,'RAW DATA 2023'!E:BO,21,0)</f>
        <v>#N/A</v>
      </c>
      <c r="K1049" s="268" t="e">
        <f t="shared" si="84"/>
        <v>#N/A</v>
      </c>
    </row>
    <row r="1050" spans="1:11">
      <c r="A1050">
        <f>'RAW DATA 2023'!B1043</f>
        <v>0</v>
      </c>
      <c r="B1050">
        <f>'RAW DATA 2023'!D1043</f>
        <v>0</v>
      </c>
      <c r="C1050" t="str">
        <f t="shared" si="80"/>
        <v>00</v>
      </c>
      <c r="D1050" t="e">
        <f>VLOOKUP(C1050,'RAW DATA 2023'!E:BP,63,0)</f>
        <v>#N/A</v>
      </c>
      <c r="E1050" t="e">
        <f t="shared" si="81"/>
        <v>#N/A</v>
      </c>
      <c r="F1050" s="8" t="e">
        <f>VLOOKUP(C1050,'RAW DATA 2023'!E:BO,23,0)</f>
        <v>#N/A</v>
      </c>
      <c r="G1050" s="14" t="e">
        <f t="shared" si="82"/>
        <v>#N/A</v>
      </c>
      <c r="H1050" s="25" t="e">
        <f t="shared" si="83"/>
        <v>#N/A</v>
      </c>
      <c r="I1050" s="80" t="e">
        <f>VLOOKUP(C1050,'RAW DATA 2023'!E:BO,36,0)</f>
        <v>#N/A</v>
      </c>
      <c r="J1050" t="e">
        <f>VLOOKUP(C1050,'RAW DATA 2023'!E:BO,21,0)</f>
        <v>#N/A</v>
      </c>
      <c r="K1050" s="268" t="e">
        <f t="shared" si="84"/>
        <v>#N/A</v>
      </c>
    </row>
    <row r="1051" spans="1:11">
      <c r="A1051">
        <f>'RAW DATA 2023'!B1044</f>
        <v>0</v>
      </c>
      <c r="B1051">
        <f>'RAW DATA 2023'!D1044</f>
        <v>0</v>
      </c>
      <c r="C1051" t="str">
        <f t="shared" si="80"/>
        <v>00</v>
      </c>
      <c r="D1051" t="e">
        <f>VLOOKUP(C1051,'RAW DATA 2023'!E:BP,63,0)</f>
        <v>#N/A</v>
      </c>
      <c r="E1051" t="e">
        <f t="shared" si="81"/>
        <v>#N/A</v>
      </c>
      <c r="F1051" s="8" t="e">
        <f>VLOOKUP(C1051,'RAW DATA 2023'!E:BO,23,0)</f>
        <v>#N/A</v>
      </c>
      <c r="G1051" s="14" t="e">
        <f t="shared" si="82"/>
        <v>#N/A</v>
      </c>
      <c r="H1051" s="25" t="e">
        <f t="shared" si="83"/>
        <v>#N/A</v>
      </c>
      <c r="I1051" s="80" t="e">
        <f>VLOOKUP(C1051,'RAW DATA 2023'!E:BO,36,0)</f>
        <v>#N/A</v>
      </c>
      <c r="J1051" t="e">
        <f>VLOOKUP(C1051,'RAW DATA 2023'!E:BO,21,0)</f>
        <v>#N/A</v>
      </c>
      <c r="K1051" s="268" t="e">
        <f t="shared" si="84"/>
        <v>#N/A</v>
      </c>
    </row>
    <row r="1052" spans="1:11">
      <c r="A1052">
        <f>'RAW DATA 2023'!B1045</f>
        <v>0</v>
      </c>
      <c r="B1052">
        <f>'RAW DATA 2023'!D1045</f>
        <v>0</v>
      </c>
      <c r="C1052" t="str">
        <f t="shared" si="80"/>
        <v>00</v>
      </c>
      <c r="D1052" t="e">
        <f>VLOOKUP(C1052,'RAW DATA 2023'!E:BP,63,0)</f>
        <v>#N/A</v>
      </c>
      <c r="E1052" t="e">
        <f t="shared" si="81"/>
        <v>#N/A</v>
      </c>
      <c r="F1052" s="8" t="e">
        <f>VLOOKUP(C1052,'RAW DATA 2023'!E:BO,23,0)</f>
        <v>#N/A</v>
      </c>
      <c r="G1052" s="14" t="e">
        <f t="shared" si="82"/>
        <v>#N/A</v>
      </c>
      <c r="H1052" s="25" t="e">
        <f t="shared" si="83"/>
        <v>#N/A</v>
      </c>
      <c r="I1052" s="80" t="e">
        <f>VLOOKUP(C1052,'RAW DATA 2023'!E:BO,36,0)</f>
        <v>#N/A</v>
      </c>
      <c r="J1052" t="e">
        <f>VLOOKUP(C1052,'RAW DATA 2023'!E:BO,21,0)</f>
        <v>#N/A</v>
      </c>
      <c r="K1052" s="268" t="e">
        <f t="shared" si="84"/>
        <v>#N/A</v>
      </c>
    </row>
    <row r="1053" spans="1:11">
      <c r="A1053">
        <f>'RAW DATA 2023'!B1046</f>
        <v>0</v>
      </c>
      <c r="B1053">
        <f>'RAW DATA 2023'!D1046</f>
        <v>0</v>
      </c>
      <c r="C1053" t="str">
        <f t="shared" si="80"/>
        <v>00</v>
      </c>
      <c r="D1053" t="e">
        <f>VLOOKUP(C1053,'RAW DATA 2023'!E:BP,63,0)</f>
        <v>#N/A</v>
      </c>
      <c r="E1053" t="e">
        <f t="shared" si="81"/>
        <v>#N/A</v>
      </c>
      <c r="F1053" s="8" t="e">
        <f>VLOOKUP(C1053,'RAW DATA 2023'!E:BO,23,0)</f>
        <v>#N/A</v>
      </c>
      <c r="G1053" s="14" t="e">
        <f t="shared" si="82"/>
        <v>#N/A</v>
      </c>
      <c r="H1053" s="25" t="e">
        <f t="shared" si="83"/>
        <v>#N/A</v>
      </c>
      <c r="I1053" s="80" t="e">
        <f>VLOOKUP(C1053,'RAW DATA 2023'!E:BO,36,0)</f>
        <v>#N/A</v>
      </c>
      <c r="J1053" t="e">
        <f>VLOOKUP(C1053,'RAW DATA 2023'!E:BO,21,0)</f>
        <v>#N/A</v>
      </c>
      <c r="K1053" s="268" t="e">
        <f t="shared" si="84"/>
        <v>#N/A</v>
      </c>
    </row>
    <row r="1054" spans="1:11">
      <c r="A1054">
        <f>'RAW DATA 2023'!B1047</f>
        <v>0</v>
      </c>
      <c r="B1054">
        <f>'RAW DATA 2023'!D1047</f>
        <v>0</v>
      </c>
      <c r="C1054" t="str">
        <f t="shared" si="80"/>
        <v>00</v>
      </c>
      <c r="D1054" t="e">
        <f>VLOOKUP(C1054,'RAW DATA 2023'!E:BP,63,0)</f>
        <v>#N/A</v>
      </c>
      <c r="E1054" t="e">
        <f t="shared" si="81"/>
        <v>#N/A</v>
      </c>
      <c r="F1054" s="8" t="e">
        <f>VLOOKUP(C1054,'RAW DATA 2023'!E:BO,23,0)</f>
        <v>#N/A</v>
      </c>
      <c r="G1054" s="14" t="e">
        <f t="shared" si="82"/>
        <v>#N/A</v>
      </c>
      <c r="H1054" s="25" t="e">
        <f t="shared" si="83"/>
        <v>#N/A</v>
      </c>
      <c r="I1054" s="80" t="e">
        <f>VLOOKUP(C1054,'RAW DATA 2023'!E:BO,36,0)</f>
        <v>#N/A</v>
      </c>
      <c r="J1054" t="e">
        <f>VLOOKUP(C1054,'RAW DATA 2023'!E:BO,21,0)</f>
        <v>#N/A</v>
      </c>
      <c r="K1054" s="268" t="e">
        <f t="shared" si="84"/>
        <v>#N/A</v>
      </c>
    </row>
    <row r="1055" spans="1:11">
      <c r="A1055">
        <f>'RAW DATA 2023'!B1048</f>
        <v>0</v>
      </c>
      <c r="B1055">
        <f>'RAW DATA 2023'!D1048</f>
        <v>0</v>
      </c>
      <c r="C1055" t="str">
        <f t="shared" si="80"/>
        <v>00</v>
      </c>
      <c r="D1055" t="e">
        <f>VLOOKUP(C1055,'RAW DATA 2023'!E:BP,63,0)</f>
        <v>#N/A</v>
      </c>
      <c r="E1055" t="e">
        <f t="shared" si="81"/>
        <v>#N/A</v>
      </c>
      <c r="F1055" s="8" t="e">
        <f>VLOOKUP(C1055,'RAW DATA 2023'!E:BO,23,0)</f>
        <v>#N/A</v>
      </c>
      <c r="G1055" s="14" t="e">
        <f t="shared" si="82"/>
        <v>#N/A</v>
      </c>
      <c r="H1055" s="25" t="e">
        <f t="shared" si="83"/>
        <v>#N/A</v>
      </c>
      <c r="I1055" s="80" t="e">
        <f>VLOOKUP(C1055,'RAW DATA 2023'!E:BO,36,0)</f>
        <v>#N/A</v>
      </c>
      <c r="J1055" t="e">
        <f>VLOOKUP(C1055,'RAW DATA 2023'!E:BO,21,0)</f>
        <v>#N/A</v>
      </c>
      <c r="K1055" s="268" t="e">
        <f t="shared" si="84"/>
        <v>#N/A</v>
      </c>
    </row>
    <row r="1056" spans="1:11">
      <c r="A1056">
        <f>'RAW DATA 2023'!B1049</f>
        <v>0</v>
      </c>
      <c r="B1056">
        <f>'RAW DATA 2023'!D1049</f>
        <v>0</v>
      </c>
      <c r="C1056" t="str">
        <f t="shared" si="80"/>
        <v>00</v>
      </c>
      <c r="D1056" t="e">
        <f>VLOOKUP(C1056,'RAW DATA 2023'!E:BP,63,0)</f>
        <v>#N/A</v>
      </c>
      <c r="E1056" t="e">
        <f t="shared" si="81"/>
        <v>#N/A</v>
      </c>
      <c r="F1056" s="8" t="e">
        <f>VLOOKUP(C1056,'RAW DATA 2023'!E:BO,23,0)</f>
        <v>#N/A</v>
      </c>
      <c r="G1056" s="14" t="e">
        <f t="shared" si="82"/>
        <v>#N/A</v>
      </c>
      <c r="H1056" s="25" t="e">
        <f t="shared" si="83"/>
        <v>#N/A</v>
      </c>
      <c r="I1056" s="80" t="e">
        <f>VLOOKUP(C1056,'RAW DATA 2023'!E:BO,36,0)</f>
        <v>#N/A</v>
      </c>
      <c r="J1056" t="e">
        <f>VLOOKUP(C1056,'RAW DATA 2023'!E:BO,21,0)</f>
        <v>#N/A</v>
      </c>
      <c r="K1056" s="268" t="e">
        <f t="shared" si="84"/>
        <v>#N/A</v>
      </c>
    </row>
    <row r="1057" spans="1:11">
      <c r="A1057">
        <f>'RAW DATA 2023'!B1050</f>
        <v>0</v>
      </c>
      <c r="B1057">
        <f>'RAW DATA 2023'!D1050</f>
        <v>0</v>
      </c>
      <c r="C1057" t="str">
        <f t="shared" si="80"/>
        <v>00</v>
      </c>
      <c r="D1057" t="e">
        <f>VLOOKUP(C1057,'RAW DATA 2023'!E:BP,63,0)</f>
        <v>#N/A</v>
      </c>
      <c r="E1057" t="e">
        <f t="shared" si="81"/>
        <v>#N/A</v>
      </c>
      <c r="F1057" s="8" t="e">
        <f>VLOOKUP(C1057,'RAW DATA 2023'!E:BO,23,0)</f>
        <v>#N/A</v>
      </c>
      <c r="G1057" s="14" t="e">
        <f t="shared" si="82"/>
        <v>#N/A</v>
      </c>
      <c r="H1057" s="25" t="e">
        <f t="shared" si="83"/>
        <v>#N/A</v>
      </c>
      <c r="I1057" s="80" t="e">
        <f>VLOOKUP(C1057,'RAW DATA 2023'!E:BO,36,0)</f>
        <v>#N/A</v>
      </c>
      <c r="J1057" t="e">
        <f>VLOOKUP(C1057,'RAW DATA 2023'!E:BO,21,0)</f>
        <v>#N/A</v>
      </c>
      <c r="K1057" s="268" t="e">
        <f t="shared" si="84"/>
        <v>#N/A</v>
      </c>
    </row>
    <row r="1058" spans="1:11">
      <c r="A1058">
        <f>'RAW DATA 2023'!B1051</f>
        <v>0</v>
      </c>
      <c r="B1058">
        <f>'RAW DATA 2023'!D1051</f>
        <v>0</v>
      </c>
      <c r="C1058" t="str">
        <f t="shared" si="80"/>
        <v>00</v>
      </c>
      <c r="D1058" t="e">
        <f>VLOOKUP(C1058,'RAW DATA 2023'!E:BP,63,0)</f>
        <v>#N/A</v>
      </c>
      <c r="E1058" t="e">
        <f t="shared" si="81"/>
        <v>#N/A</v>
      </c>
      <c r="F1058" s="8" t="e">
        <f>VLOOKUP(C1058,'RAW DATA 2023'!E:BO,23,0)</f>
        <v>#N/A</v>
      </c>
      <c r="G1058" s="14" t="e">
        <f t="shared" si="82"/>
        <v>#N/A</v>
      </c>
      <c r="H1058" s="25" t="e">
        <f t="shared" si="83"/>
        <v>#N/A</v>
      </c>
      <c r="I1058" s="80" t="e">
        <f>VLOOKUP(C1058,'RAW DATA 2023'!E:BO,36,0)</f>
        <v>#N/A</v>
      </c>
      <c r="J1058" t="e">
        <f>VLOOKUP(C1058,'RAW DATA 2023'!E:BO,21,0)</f>
        <v>#N/A</v>
      </c>
      <c r="K1058" s="268" t="e">
        <f t="shared" si="84"/>
        <v>#N/A</v>
      </c>
    </row>
    <row r="1059" spans="1:11">
      <c r="A1059">
        <f>'RAW DATA 2023'!B1052</f>
        <v>0</v>
      </c>
      <c r="B1059">
        <f>'RAW DATA 2023'!D1052</f>
        <v>0</v>
      </c>
      <c r="C1059" t="str">
        <f t="shared" si="80"/>
        <v>00</v>
      </c>
      <c r="D1059" t="e">
        <f>VLOOKUP(C1059,'RAW DATA 2023'!E:BP,63,0)</f>
        <v>#N/A</v>
      </c>
      <c r="E1059" t="e">
        <f t="shared" si="81"/>
        <v>#N/A</v>
      </c>
      <c r="F1059" s="8" t="e">
        <f>VLOOKUP(C1059,'RAW DATA 2023'!E:BO,23,0)</f>
        <v>#N/A</v>
      </c>
      <c r="G1059" s="14" t="e">
        <f t="shared" si="82"/>
        <v>#N/A</v>
      </c>
      <c r="H1059" s="25" t="e">
        <f t="shared" si="83"/>
        <v>#N/A</v>
      </c>
      <c r="I1059" s="80" t="e">
        <f>VLOOKUP(C1059,'RAW DATA 2023'!E:BO,36,0)</f>
        <v>#N/A</v>
      </c>
      <c r="J1059" t="e">
        <f>VLOOKUP(C1059,'RAW DATA 2023'!E:BO,21,0)</f>
        <v>#N/A</v>
      </c>
      <c r="K1059" s="268" t="e">
        <f t="shared" si="84"/>
        <v>#N/A</v>
      </c>
    </row>
    <row r="1060" spans="1:11">
      <c r="A1060">
        <f>'RAW DATA 2023'!B1053</f>
        <v>0</v>
      </c>
      <c r="B1060">
        <f>'RAW DATA 2023'!D1053</f>
        <v>0</v>
      </c>
      <c r="C1060" t="str">
        <f t="shared" si="80"/>
        <v>00</v>
      </c>
      <c r="D1060" t="e">
        <f>VLOOKUP(C1060,'RAW DATA 2023'!E:BP,63,0)</f>
        <v>#N/A</v>
      </c>
      <c r="E1060" t="e">
        <f t="shared" si="81"/>
        <v>#N/A</v>
      </c>
      <c r="F1060" s="8" t="e">
        <f>VLOOKUP(C1060,'RAW DATA 2023'!E:BO,23,0)</f>
        <v>#N/A</v>
      </c>
      <c r="G1060" s="14" t="e">
        <f t="shared" si="82"/>
        <v>#N/A</v>
      </c>
      <c r="H1060" s="25" t="e">
        <f t="shared" si="83"/>
        <v>#N/A</v>
      </c>
      <c r="I1060" s="80" t="e">
        <f>VLOOKUP(C1060,'RAW DATA 2023'!E:BO,36,0)</f>
        <v>#N/A</v>
      </c>
      <c r="J1060" t="e">
        <f>VLOOKUP(C1060,'RAW DATA 2023'!E:BO,21,0)</f>
        <v>#N/A</v>
      </c>
      <c r="K1060" s="268" t="e">
        <f t="shared" si="84"/>
        <v>#N/A</v>
      </c>
    </row>
    <row r="1061" spans="1:11">
      <c r="A1061">
        <f>'RAW DATA 2023'!B1054</f>
        <v>0</v>
      </c>
      <c r="B1061">
        <f>'RAW DATA 2023'!D1054</f>
        <v>0</v>
      </c>
      <c r="C1061" t="str">
        <f t="shared" si="80"/>
        <v>00</v>
      </c>
      <c r="D1061" t="e">
        <f>VLOOKUP(C1061,'RAW DATA 2023'!E:BP,63,0)</f>
        <v>#N/A</v>
      </c>
      <c r="E1061" t="e">
        <f t="shared" si="81"/>
        <v>#N/A</v>
      </c>
      <c r="F1061" s="8" t="e">
        <f>VLOOKUP(C1061,'RAW DATA 2023'!E:BO,23,0)</f>
        <v>#N/A</v>
      </c>
      <c r="G1061" s="14" t="e">
        <f t="shared" si="82"/>
        <v>#N/A</v>
      </c>
      <c r="H1061" s="25" t="e">
        <f t="shared" si="83"/>
        <v>#N/A</v>
      </c>
      <c r="I1061" s="80" t="e">
        <f>VLOOKUP(C1061,'RAW DATA 2023'!E:BO,36,0)</f>
        <v>#N/A</v>
      </c>
      <c r="J1061" t="e">
        <f>VLOOKUP(C1061,'RAW DATA 2023'!E:BO,21,0)</f>
        <v>#N/A</v>
      </c>
      <c r="K1061" s="268" t="e">
        <f t="shared" si="84"/>
        <v>#N/A</v>
      </c>
    </row>
    <row r="1062" spans="1:11">
      <c r="A1062">
        <f>'RAW DATA 2023'!B1055</f>
        <v>0</v>
      </c>
      <c r="B1062">
        <f>'RAW DATA 2023'!D1055</f>
        <v>0</v>
      </c>
      <c r="C1062" t="str">
        <f t="shared" si="80"/>
        <v>00</v>
      </c>
      <c r="D1062" t="e">
        <f>VLOOKUP(C1062,'RAW DATA 2023'!E:BP,63,0)</f>
        <v>#N/A</v>
      </c>
      <c r="E1062" t="e">
        <f t="shared" si="81"/>
        <v>#N/A</v>
      </c>
      <c r="F1062" s="8" t="e">
        <f>VLOOKUP(C1062,'RAW DATA 2023'!E:BO,23,0)</f>
        <v>#N/A</v>
      </c>
      <c r="G1062" s="14" t="e">
        <f t="shared" si="82"/>
        <v>#N/A</v>
      </c>
      <c r="H1062" s="25" t="e">
        <f t="shared" si="83"/>
        <v>#N/A</v>
      </c>
      <c r="I1062" s="80" t="e">
        <f>VLOOKUP(C1062,'RAW DATA 2023'!E:BO,36,0)</f>
        <v>#N/A</v>
      </c>
      <c r="J1062" t="e">
        <f>VLOOKUP(C1062,'RAW DATA 2023'!E:BO,21,0)</f>
        <v>#N/A</v>
      </c>
      <c r="K1062" s="268" t="e">
        <f t="shared" si="84"/>
        <v>#N/A</v>
      </c>
    </row>
    <row r="1063" spans="1:11">
      <c r="A1063">
        <f>'RAW DATA 2023'!B1056</f>
        <v>0</v>
      </c>
      <c r="B1063">
        <f>'RAW DATA 2023'!D1056</f>
        <v>0</v>
      </c>
      <c r="C1063" t="str">
        <f t="shared" si="80"/>
        <v>00</v>
      </c>
      <c r="D1063" t="e">
        <f>VLOOKUP(C1063,'RAW DATA 2023'!E:BP,63,0)</f>
        <v>#N/A</v>
      </c>
      <c r="E1063" t="e">
        <f t="shared" si="81"/>
        <v>#N/A</v>
      </c>
      <c r="F1063" s="8" t="e">
        <f>VLOOKUP(C1063,'RAW DATA 2023'!E:BO,23,0)</f>
        <v>#N/A</v>
      </c>
      <c r="G1063" s="14" t="e">
        <f t="shared" si="82"/>
        <v>#N/A</v>
      </c>
      <c r="H1063" s="25" t="e">
        <f t="shared" si="83"/>
        <v>#N/A</v>
      </c>
      <c r="I1063" s="80" t="e">
        <f>VLOOKUP(C1063,'RAW DATA 2023'!E:BO,36,0)</f>
        <v>#N/A</v>
      </c>
      <c r="J1063" t="e">
        <f>VLOOKUP(C1063,'RAW DATA 2023'!E:BO,21,0)</f>
        <v>#N/A</v>
      </c>
      <c r="K1063" s="268" t="e">
        <f t="shared" si="84"/>
        <v>#N/A</v>
      </c>
    </row>
    <row r="1064" spans="1:11">
      <c r="A1064">
        <f>'RAW DATA 2023'!B1057</f>
        <v>0</v>
      </c>
      <c r="B1064">
        <f>'RAW DATA 2023'!D1057</f>
        <v>0</v>
      </c>
      <c r="C1064" t="str">
        <f t="shared" si="80"/>
        <v>00</v>
      </c>
      <c r="D1064" t="e">
        <f>VLOOKUP(C1064,'RAW DATA 2023'!E:BP,63,0)</f>
        <v>#N/A</v>
      </c>
      <c r="E1064" t="e">
        <f t="shared" si="81"/>
        <v>#N/A</v>
      </c>
      <c r="F1064" s="8" t="e">
        <f>VLOOKUP(C1064,'RAW DATA 2023'!E:BO,23,0)</f>
        <v>#N/A</v>
      </c>
      <c r="G1064" s="14" t="e">
        <f t="shared" si="82"/>
        <v>#N/A</v>
      </c>
      <c r="H1064" s="25" t="e">
        <f t="shared" si="83"/>
        <v>#N/A</v>
      </c>
      <c r="I1064" s="80" t="e">
        <f>VLOOKUP(C1064,'RAW DATA 2023'!E:BO,36,0)</f>
        <v>#N/A</v>
      </c>
      <c r="J1064" t="e">
        <f>VLOOKUP(C1064,'RAW DATA 2023'!E:BO,21,0)</f>
        <v>#N/A</v>
      </c>
      <c r="K1064" s="268" t="e">
        <f t="shared" si="84"/>
        <v>#N/A</v>
      </c>
    </row>
    <row r="1065" spans="1:11">
      <c r="A1065">
        <f>'RAW DATA 2023'!B1058</f>
        <v>0</v>
      </c>
      <c r="B1065">
        <f>'RAW DATA 2023'!D1058</f>
        <v>0</v>
      </c>
      <c r="C1065" t="str">
        <f t="shared" si="80"/>
        <v>00</v>
      </c>
      <c r="D1065" t="e">
        <f>VLOOKUP(C1065,'RAW DATA 2023'!E:BP,63,0)</f>
        <v>#N/A</v>
      </c>
      <c r="E1065" t="e">
        <f t="shared" si="81"/>
        <v>#N/A</v>
      </c>
      <c r="F1065" s="8" t="e">
        <f>VLOOKUP(C1065,'RAW DATA 2023'!E:BO,23,0)</f>
        <v>#N/A</v>
      </c>
      <c r="G1065" s="14" t="e">
        <f t="shared" si="82"/>
        <v>#N/A</v>
      </c>
      <c r="H1065" s="25" t="e">
        <f t="shared" si="83"/>
        <v>#N/A</v>
      </c>
      <c r="I1065" s="80" t="e">
        <f>VLOOKUP(C1065,'RAW DATA 2023'!E:BO,36,0)</f>
        <v>#N/A</v>
      </c>
      <c r="J1065" t="e">
        <f>VLOOKUP(C1065,'RAW DATA 2023'!E:BO,21,0)</f>
        <v>#N/A</v>
      </c>
      <c r="K1065" s="268" t="e">
        <f t="shared" si="84"/>
        <v>#N/A</v>
      </c>
    </row>
    <row r="1066" spans="1:11">
      <c r="A1066">
        <f>'RAW DATA 2023'!B1059</f>
        <v>0</v>
      </c>
      <c r="B1066">
        <f>'RAW DATA 2023'!D1059</f>
        <v>0</v>
      </c>
      <c r="C1066" t="str">
        <f t="shared" si="80"/>
        <v>00</v>
      </c>
      <c r="D1066" t="e">
        <f>VLOOKUP(C1066,'RAW DATA 2023'!E:BP,63,0)</f>
        <v>#N/A</v>
      </c>
      <c r="E1066" t="e">
        <f t="shared" si="81"/>
        <v>#N/A</v>
      </c>
      <c r="F1066" s="8" t="e">
        <f>VLOOKUP(C1066,'RAW DATA 2023'!E:BO,23,0)</f>
        <v>#N/A</v>
      </c>
      <c r="G1066" s="14" t="e">
        <f t="shared" si="82"/>
        <v>#N/A</v>
      </c>
      <c r="H1066" s="25" t="e">
        <f t="shared" si="83"/>
        <v>#N/A</v>
      </c>
      <c r="I1066" s="80" t="e">
        <f>VLOOKUP(C1066,'RAW DATA 2023'!E:BO,36,0)</f>
        <v>#N/A</v>
      </c>
      <c r="J1066" t="e">
        <f>VLOOKUP(C1066,'RAW DATA 2023'!E:BO,21,0)</f>
        <v>#N/A</v>
      </c>
      <c r="K1066" s="268" t="e">
        <f t="shared" si="84"/>
        <v>#N/A</v>
      </c>
    </row>
    <row r="1067" spans="1:11">
      <c r="A1067">
        <f>'RAW DATA 2023'!B1060</f>
        <v>0</v>
      </c>
      <c r="B1067">
        <f>'RAW DATA 2023'!D1060</f>
        <v>0</v>
      </c>
      <c r="C1067" t="str">
        <f t="shared" si="80"/>
        <v>00</v>
      </c>
      <c r="D1067" t="e">
        <f>VLOOKUP(C1067,'RAW DATA 2023'!E:BP,63,0)</f>
        <v>#N/A</v>
      </c>
      <c r="E1067" t="e">
        <f t="shared" si="81"/>
        <v>#N/A</v>
      </c>
      <c r="F1067" s="8" t="e">
        <f>VLOOKUP(C1067,'RAW DATA 2023'!E:BO,23,0)</f>
        <v>#N/A</v>
      </c>
      <c r="G1067" s="14" t="e">
        <f t="shared" si="82"/>
        <v>#N/A</v>
      </c>
      <c r="H1067" s="25" t="e">
        <f t="shared" si="83"/>
        <v>#N/A</v>
      </c>
      <c r="I1067" s="80" t="e">
        <f>VLOOKUP(C1067,'RAW DATA 2023'!E:BO,36,0)</f>
        <v>#N/A</v>
      </c>
      <c r="J1067" t="e">
        <f>VLOOKUP(C1067,'RAW DATA 2023'!E:BO,21,0)</f>
        <v>#N/A</v>
      </c>
      <c r="K1067" s="268" t="e">
        <f t="shared" si="84"/>
        <v>#N/A</v>
      </c>
    </row>
    <row r="1068" spans="1:11">
      <c r="A1068">
        <f>'RAW DATA 2023'!B1061</f>
        <v>0</v>
      </c>
      <c r="B1068">
        <f>'RAW DATA 2023'!D1061</f>
        <v>0</v>
      </c>
      <c r="C1068" t="str">
        <f t="shared" si="80"/>
        <v>00</v>
      </c>
      <c r="D1068" t="e">
        <f>VLOOKUP(C1068,'RAW DATA 2023'!E:BP,63,0)</f>
        <v>#N/A</v>
      </c>
      <c r="E1068" t="e">
        <f t="shared" si="81"/>
        <v>#N/A</v>
      </c>
      <c r="F1068" s="8" t="e">
        <f>VLOOKUP(C1068,'RAW DATA 2023'!E:BO,23,0)</f>
        <v>#N/A</v>
      </c>
      <c r="G1068" s="14" t="e">
        <f t="shared" si="82"/>
        <v>#N/A</v>
      </c>
      <c r="H1068" s="25" t="e">
        <f t="shared" si="83"/>
        <v>#N/A</v>
      </c>
      <c r="I1068" s="80" t="e">
        <f>VLOOKUP(C1068,'RAW DATA 2023'!E:BO,36,0)</f>
        <v>#N/A</v>
      </c>
      <c r="J1068" t="e">
        <f>VLOOKUP(C1068,'RAW DATA 2023'!E:BO,21,0)</f>
        <v>#N/A</v>
      </c>
      <c r="K1068" s="268" t="e">
        <f t="shared" si="84"/>
        <v>#N/A</v>
      </c>
    </row>
    <row r="1069" spans="1:11">
      <c r="A1069">
        <f>'RAW DATA 2023'!B1062</f>
        <v>0</v>
      </c>
      <c r="B1069">
        <f>'RAW DATA 2023'!D1062</f>
        <v>0</v>
      </c>
      <c r="C1069" t="str">
        <f t="shared" si="80"/>
        <v>00</v>
      </c>
      <c r="D1069" t="e">
        <f>VLOOKUP(C1069,'RAW DATA 2023'!E:BP,63,0)</f>
        <v>#N/A</v>
      </c>
      <c r="E1069" t="e">
        <f t="shared" si="81"/>
        <v>#N/A</v>
      </c>
      <c r="F1069" s="8" t="e">
        <f>VLOOKUP(C1069,'RAW DATA 2023'!E:BO,23,0)</f>
        <v>#N/A</v>
      </c>
      <c r="G1069" s="14" t="e">
        <f t="shared" si="82"/>
        <v>#N/A</v>
      </c>
      <c r="H1069" s="25" t="e">
        <f t="shared" si="83"/>
        <v>#N/A</v>
      </c>
      <c r="I1069" s="80" t="e">
        <f>VLOOKUP(C1069,'RAW DATA 2023'!E:BO,36,0)</f>
        <v>#N/A</v>
      </c>
      <c r="J1069" t="e">
        <f>VLOOKUP(C1069,'RAW DATA 2023'!E:BO,21,0)</f>
        <v>#N/A</v>
      </c>
      <c r="K1069" s="268" t="e">
        <f t="shared" si="84"/>
        <v>#N/A</v>
      </c>
    </row>
    <row r="1070" spans="1:11">
      <c r="A1070">
        <f>'RAW DATA 2023'!B1063</f>
        <v>0</v>
      </c>
      <c r="B1070">
        <f>'RAW DATA 2023'!D1063</f>
        <v>0</v>
      </c>
      <c r="C1070" t="str">
        <f t="shared" si="80"/>
        <v>00</v>
      </c>
      <c r="D1070" t="e">
        <f>VLOOKUP(C1070,'RAW DATA 2023'!E:BP,63,0)</f>
        <v>#N/A</v>
      </c>
      <c r="E1070" t="e">
        <f t="shared" si="81"/>
        <v>#N/A</v>
      </c>
      <c r="F1070" s="8" t="e">
        <f>VLOOKUP(C1070,'RAW DATA 2023'!E:BO,23,0)</f>
        <v>#N/A</v>
      </c>
      <c r="G1070" s="14" t="e">
        <f t="shared" si="82"/>
        <v>#N/A</v>
      </c>
      <c r="H1070" s="25" t="e">
        <f t="shared" si="83"/>
        <v>#N/A</v>
      </c>
      <c r="I1070" s="80" t="e">
        <f>VLOOKUP(C1070,'RAW DATA 2023'!E:BO,36,0)</f>
        <v>#N/A</v>
      </c>
      <c r="J1070" t="e">
        <f>VLOOKUP(C1070,'RAW DATA 2023'!E:BO,21,0)</f>
        <v>#N/A</v>
      </c>
      <c r="K1070" s="268" t="e">
        <f t="shared" si="84"/>
        <v>#N/A</v>
      </c>
    </row>
    <row r="1071" spans="1:11">
      <c r="A1071">
        <f>'RAW DATA 2023'!B1064</f>
        <v>0</v>
      </c>
      <c r="B1071">
        <f>'RAW DATA 2023'!D1064</f>
        <v>0</v>
      </c>
      <c r="C1071" t="str">
        <f t="shared" si="80"/>
        <v>00</v>
      </c>
      <c r="D1071" t="e">
        <f>VLOOKUP(C1071,'RAW DATA 2023'!E:BP,63,0)</f>
        <v>#N/A</v>
      </c>
      <c r="E1071" t="e">
        <f t="shared" si="81"/>
        <v>#N/A</v>
      </c>
      <c r="F1071" s="8" t="e">
        <f>VLOOKUP(C1071,'RAW DATA 2023'!E:BO,23,0)</f>
        <v>#N/A</v>
      </c>
      <c r="G1071" s="14" t="e">
        <f t="shared" si="82"/>
        <v>#N/A</v>
      </c>
      <c r="H1071" s="25" t="e">
        <f t="shared" si="83"/>
        <v>#N/A</v>
      </c>
      <c r="I1071" s="80" t="e">
        <f>VLOOKUP(C1071,'RAW DATA 2023'!E:BO,36,0)</f>
        <v>#N/A</v>
      </c>
      <c r="J1071" t="e">
        <f>VLOOKUP(C1071,'RAW DATA 2023'!E:BO,21,0)</f>
        <v>#N/A</v>
      </c>
      <c r="K1071" s="268" t="e">
        <f t="shared" si="84"/>
        <v>#N/A</v>
      </c>
    </row>
    <row r="1072" spans="1:11">
      <c r="A1072">
        <f>'RAW DATA 2023'!B1065</f>
        <v>0</v>
      </c>
      <c r="B1072">
        <f>'RAW DATA 2023'!D1065</f>
        <v>0</v>
      </c>
      <c r="C1072" t="str">
        <f t="shared" si="80"/>
        <v>00</v>
      </c>
      <c r="D1072" t="e">
        <f>VLOOKUP(C1072,'RAW DATA 2023'!E:BP,63,0)</f>
        <v>#N/A</v>
      </c>
      <c r="E1072" t="e">
        <f t="shared" si="81"/>
        <v>#N/A</v>
      </c>
      <c r="F1072" s="8" t="e">
        <f>VLOOKUP(C1072,'RAW DATA 2023'!E:BO,23,0)</f>
        <v>#N/A</v>
      </c>
      <c r="G1072" s="14" t="e">
        <f t="shared" si="82"/>
        <v>#N/A</v>
      </c>
      <c r="H1072" s="25" t="e">
        <f t="shared" si="83"/>
        <v>#N/A</v>
      </c>
      <c r="I1072" s="80" t="e">
        <f>VLOOKUP(C1072,'RAW DATA 2023'!E:BO,36,0)</f>
        <v>#N/A</v>
      </c>
      <c r="J1072" t="e">
        <f>VLOOKUP(C1072,'RAW DATA 2023'!E:BO,21,0)</f>
        <v>#N/A</v>
      </c>
      <c r="K1072" s="268" t="e">
        <f t="shared" si="84"/>
        <v>#N/A</v>
      </c>
    </row>
    <row r="1073" spans="1:11">
      <c r="A1073">
        <f>'RAW DATA 2023'!B1066</f>
        <v>0</v>
      </c>
      <c r="B1073">
        <f>'RAW DATA 2023'!D1066</f>
        <v>0</v>
      </c>
      <c r="C1073" t="str">
        <f t="shared" si="80"/>
        <v>00</v>
      </c>
      <c r="D1073" t="e">
        <f>VLOOKUP(C1073,'RAW DATA 2023'!E:BP,63,0)</f>
        <v>#N/A</v>
      </c>
      <c r="E1073" t="e">
        <f t="shared" si="81"/>
        <v>#N/A</v>
      </c>
      <c r="F1073" s="8" t="e">
        <f>VLOOKUP(C1073,'RAW DATA 2023'!E:BO,23,0)</f>
        <v>#N/A</v>
      </c>
      <c r="G1073" s="14" t="e">
        <f t="shared" si="82"/>
        <v>#N/A</v>
      </c>
      <c r="H1073" s="25" t="e">
        <f t="shared" si="83"/>
        <v>#N/A</v>
      </c>
      <c r="I1073" s="80" t="e">
        <f>VLOOKUP(C1073,'RAW DATA 2023'!E:BO,36,0)</f>
        <v>#N/A</v>
      </c>
      <c r="J1073" t="e">
        <f>VLOOKUP(C1073,'RAW DATA 2023'!E:BO,21,0)</f>
        <v>#N/A</v>
      </c>
      <c r="K1073" s="268" t="e">
        <f t="shared" si="84"/>
        <v>#N/A</v>
      </c>
    </row>
    <row r="1074" spans="1:11">
      <c r="A1074">
        <f>'RAW DATA 2023'!B1067</f>
        <v>0</v>
      </c>
      <c r="B1074">
        <f>'RAW DATA 2023'!D1067</f>
        <v>0</v>
      </c>
      <c r="C1074" t="str">
        <f t="shared" si="80"/>
        <v>00</v>
      </c>
      <c r="D1074" t="e">
        <f>VLOOKUP(C1074,'RAW DATA 2023'!E:BP,63,0)</f>
        <v>#N/A</v>
      </c>
      <c r="E1074" t="e">
        <f t="shared" si="81"/>
        <v>#N/A</v>
      </c>
      <c r="F1074" s="8" t="e">
        <f>VLOOKUP(C1074,'RAW DATA 2023'!E:BO,23,0)</f>
        <v>#N/A</v>
      </c>
      <c r="G1074" s="14" t="e">
        <f t="shared" si="82"/>
        <v>#N/A</v>
      </c>
      <c r="H1074" s="25" t="e">
        <f t="shared" si="83"/>
        <v>#N/A</v>
      </c>
      <c r="I1074" s="80" t="e">
        <f>VLOOKUP(C1074,'RAW DATA 2023'!E:BO,36,0)</f>
        <v>#N/A</v>
      </c>
      <c r="J1074" t="e">
        <f>VLOOKUP(C1074,'RAW DATA 2023'!E:BO,21,0)</f>
        <v>#N/A</v>
      </c>
      <c r="K1074" s="268" t="e">
        <f t="shared" si="84"/>
        <v>#N/A</v>
      </c>
    </row>
    <row r="1075" spans="1:11">
      <c r="A1075">
        <f>'RAW DATA 2023'!B1068</f>
        <v>0</v>
      </c>
      <c r="B1075">
        <f>'RAW DATA 2023'!D1068</f>
        <v>0</v>
      </c>
      <c r="C1075" t="str">
        <f t="shared" si="80"/>
        <v>00</v>
      </c>
      <c r="D1075" t="e">
        <f>VLOOKUP(C1075,'RAW DATA 2023'!E:BP,63,0)</f>
        <v>#N/A</v>
      </c>
      <c r="E1075" t="e">
        <f t="shared" si="81"/>
        <v>#N/A</v>
      </c>
      <c r="F1075" s="8" t="e">
        <f>VLOOKUP(C1075,'RAW DATA 2023'!E:BO,23,0)</f>
        <v>#N/A</v>
      </c>
      <c r="G1075" s="14" t="e">
        <f t="shared" si="82"/>
        <v>#N/A</v>
      </c>
      <c r="H1075" s="25" t="e">
        <f t="shared" si="83"/>
        <v>#N/A</v>
      </c>
      <c r="I1075" s="80" t="e">
        <f>VLOOKUP(C1075,'RAW DATA 2023'!E:BO,36,0)</f>
        <v>#N/A</v>
      </c>
      <c r="J1075" t="e">
        <f>VLOOKUP(C1075,'RAW DATA 2023'!E:BO,21,0)</f>
        <v>#N/A</v>
      </c>
      <c r="K1075" s="268" t="e">
        <f t="shared" si="84"/>
        <v>#N/A</v>
      </c>
    </row>
    <row r="1076" spans="1:11">
      <c r="A1076">
        <f>'RAW DATA 2023'!B1069</f>
        <v>0</v>
      </c>
      <c r="B1076">
        <f>'RAW DATA 2023'!D1069</f>
        <v>0</v>
      </c>
      <c r="C1076" t="str">
        <f t="shared" si="80"/>
        <v>00</v>
      </c>
      <c r="D1076" t="e">
        <f>VLOOKUP(C1076,'RAW DATA 2023'!E:BP,63,0)</f>
        <v>#N/A</v>
      </c>
      <c r="E1076" t="e">
        <f t="shared" si="81"/>
        <v>#N/A</v>
      </c>
      <c r="F1076" s="8" t="e">
        <f>VLOOKUP(C1076,'RAW DATA 2023'!E:BO,23,0)</f>
        <v>#N/A</v>
      </c>
      <c r="G1076" s="14" t="e">
        <f t="shared" si="82"/>
        <v>#N/A</v>
      </c>
      <c r="H1076" s="25" t="e">
        <f t="shared" si="83"/>
        <v>#N/A</v>
      </c>
      <c r="I1076" s="80" t="e">
        <f>VLOOKUP(C1076,'RAW DATA 2023'!E:BO,36,0)</f>
        <v>#N/A</v>
      </c>
      <c r="J1076" t="e">
        <f>VLOOKUP(C1076,'RAW DATA 2023'!E:BO,21,0)</f>
        <v>#N/A</v>
      </c>
      <c r="K1076" s="268" t="e">
        <f t="shared" si="84"/>
        <v>#N/A</v>
      </c>
    </row>
    <row r="1077" spans="1:11">
      <c r="A1077">
        <f>'RAW DATA 2023'!B1070</f>
        <v>0</v>
      </c>
      <c r="B1077">
        <f>'RAW DATA 2023'!D1070</f>
        <v>0</v>
      </c>
      <c r="C1077" t="str">
        <f t="shared" si="80"/>
        <v>00</v>
      </c>
      <c r="D1077" t="e">
        <f>VLOOKUP(C1077,'RAW DATA 2023'!E:BP,63,0)</f>
        <v>#N/A</v>
      </c>
      <c r="E1077" t="e">
        <f t="shared" si="81"/>
        <v>#N/A</v>
      </c>
      <c r="F1077" s="8" t="e">
        <f>VLOOKUP(C1077,'RAW DATA 2023'!E:BO,23,0)</f>
        <v>#N/A</v>
      </c>
      <c r="G1077" s="14" t="e">
        <f t="shared" si="82"/>
        <v>#N/A</v>
      </c>
      <c r="H1077" s="25" t="e">
        <f t="shared" si="83"/>
        <v>#N/A</v>
      </c>
      <c r="I1077" s="80" t="e">
        <f>VLOOKUP(C1077,'RAW DATA 2023'!E:BO,36,0)</f>
        <v>#N/A</v>
      </c>
      <c r="J1077" t="e">
        <f>VLOOKUP(C1077,'RAW DATA 2023'!E:BO,21,0)</f>
        <v>#N/A</v>
      </c>
      <c r="K1077" s="268" t="e">
        <f t="shared" si="84"/>
        <v>#N/A</v>
      </c>
    </row>
    <row r="1078" spans="1:11">
      <c r="A1078">
        <f>'RAW DATA 2023'!B1071</f>
        <v>0</v>
      </c>
      <c r="B1078">
        <f>'RAW DATA 2023'!D1071</f>
        <v>0</v>
      </c>
      <c r="C1078" t="str">
        <f t="shared" si="80"/>
        <v>00</v>
      </c>
      <c r="D1078" t="e">
        <f>VLOOKUP(C1078,'RAW DATA 2023'!E:BP,63,0)</f>
        <v>#N/A</v>
      </c>
      <c r="E1078" t="e">
        <f t="shared" si="81"/>
        <v>#N/A</v>
      </c>
      <c r="F1078" s="8" t="e">
        <f>VLOOKUP(C1078,'RAW DATA 2023'!E:BO,23,0)</f>
        <v>#N/A</v>
      </c>
      <c r="G1078" s="14" t="e">
        <f t="shared" si="82"/>
        <v>#N/A</v>
      </c>
      <c r="H1078" s="25" t="e">
        <f t="shared" si="83"/>
        <v>#N/A</v>
      </c>
      <c r="I1078" s="80" t="e">
        <f>VLOOKUP(C1078,'RAW DATA 2023'!E:BO,36,0)</f>
        <v>#N/A</v>
      </c>
      <c r="J1078" t="e">
        <f>VLOOKUP(C1078,'RAW DATA 2023'!E:BO,21,0)</f>
        <v>#N/A</v>
      </c>
      <c r="K1078" s="268" t="e">
        <f t="shared" si="84"/>
        <v>#N/A</v>
      </c>
    </row>
    <row r="1079" spans="1:11">
      <c r="A1079">
        <f>'RAW DATA 2023'!B1072</f>
        <v>0</v>
      </c>
      <c r="B1079">
        <f>'RAW DATA 2023'!D1072</f>
        <v>0</v>
      </c>
      <c r="C1079" t="str">
        <f t="shared" si="80"/>
        <v>00</v>
      </c>
      <c r="D1079" t="e">
        <f>VLOOKUP(C1079,'RAW DATA 2023'!E:BP,63,0)</f>
        <v>#N/A</v>
      </c>
      <c r="E1079" t="e">
        <f t="shared" si="81"/>
        <v>#N/A</v>
      </c>
      <c r="F1079" s="8" t="e">
        <f>VLOOKUP(C1079,'RAW DATA 2023'!E:BO,23,0)</f>
        <v>#N/A</v>
      </c>
      <c r="G1079" s="14" t="e">
        <f t="shared" si="82"/>
        <v>#N/A</v>
      </c>
      <c r="H1079" s="25" t="e">
        <f t="shared" si="83"/>
        <v>#N/A</v>
      </c>
      <c r="I1079" s="80" t="e">
        <f>VLOOKUP(C1079,'RAW DATA 2023'!E:BO,36,0)</f>
        <v>#N/A</v>
      </c>
      <c r="J1079" t="e">
        <f>VLOOKUP(C1079,'RAW DATA 2023'!E:BO,21,0)</f>
        <v>#N/A</v>
      </c>
      <c r="K1079" s="268" t="e">
        <f t="shared" si="84"/>
        <v>#N/A</v>
      </c>
    </row>
    <row r="1080" spans="1:11">
      <c r="A1080">
        <f>'RAW DATA 2023'!B1073</f>
        <v>0</v>
      </c>
      <c r="B1080">
        <f>'RAW DATA 2023'!D1073</f>
        <v>0</v>
      </c>
      <c r="C1080" t="str">
        <f t="shared" si="80"/>
        <v>00</v>
      </c>
      <c r="D1080" t="e">
        <f>VLOOKUP(C1080,'RAW DATA 2023'!E:BP,63,0)</f>
        <v>#N/A</v>
      </c>
      <c r="E1080" t="e">
        <f t="shared" si="81"/>
        <v>#N/A</v>
      </c>
      <c r="F1080" s="8" t="e">
        <f>VLOOKUP(C1080,'RAW DATA 2023'!E:BO,23,0)</f>
        <v>#N/A</v>
      </c>
      <c r="G1080" s="14" t="e">
        <f t="shared" si="82"/>
        <v>#N/A</v>
      </c>
      <c r="H1080" s="25" t="e">
        <f t="shared" si="83"/>
        <v>#N/A</v>
      </c>
      <c r="I1080" s="80" t="e">
        <f>VLOOKUP(C1080,'RAW DATA 2023'!E:BO,36,0)</f>
        <v>#N/A</v>
      </c>
      <c r="J1080" t="e">
        <f>VLOOKUP(C1080,'RAW DATA 2023'!E:BO,21,0)</f>
        <v>#N/A</v>
      </c>
      <c r="K1080" s="268" t="e">
        <f t="shared" si="84"/>
        <v>#N/A</v>
      </c>
    </row>
    <row r="1081" spans="1:11">
      <c r="A1081">
        <f>'RAW DATA 2023'!B1074</f>
        <v>0</v>
      </c>
      <c r="B1081">
        <f>'RAW DATA 2023'!D1074</f>
        <v>0</v>
      </c>
      <c r="C1081" t="str">
        <f t="shared" si="80"/>
        <v>00</v>
      </c>
      <c r="D1081" t="e">
        <f>VLOOKUP(C1081,'RAW DATA 2023'!E:BP,63,0)</f>
        <v>#N/A</v>
      </c>
      <c r="E1081" t="e">
        <f t="shared" si="81"/>
        <v>#N/A</v>
      </c>
      <c r="F1081" s="8" t="e">
        <f>VLOOKUP(C1081,'RAW DATA 2023'!E:BO,23,0)</f>
        <v>#N/A</v>
      </c>
      <c r="G1081" s="14" t="e">
        <f t="shared" si="82"/>
        <v>#N/A</v>
      </c>
      <c r="H1081" s="25" t="e">
        <f t="shared" si="83"/>
        <v>#N/A</v>
      </c>
      <c r="I1081" s="80" t="e">
        <f>VLOOKUP(C1081,'RAW DATA 2023'!E:BO,36,0)</f>
        <v>#N/A</v>
      </c>
      <c r="J1081" t="e">
        <f>VLOOKUP(C1081,'RAW DATA 2023'!E:BO,21,0)</f>
        <v>#N/A</v>
      </c>
      <c r="K1081" s="268" t="e">
        <f t="shared" si="84"/>
        <v>#N/A</v>
      </c>
    </row>
    <row r="1082" spans="1:11">
      <c r="A1082">
        <f>'RAW DATA 2023'!B1075</f>
        <v>0</v>
      </c>
      <c r="B1082">
        <f>'RAW DATA 2023'!D1075</f>
        <v>0</v>
      </c>
      <c r="C1082" t="str">
        <f t="shared" si="80"/>
        <v>00</v>
      </c>
      <c r="D1082" t="e">
        <f>VLOOKUP(C1082,'RAW DATA 2023'!E:BP,63,0)</f>
        <v>#N/A</v>
      </c>
      <c r="E1082" t="e">
        <f t="shared" si="81"/>
        <v>#N/A</v>
      </c>
      <c r="F1082" s="8" t="e">
        <f>VLOOKUP(C1082,'RAW DATA 2023'!E:BO,23,0)</f>
        <v>#N/A</v>
      </c>
      <c r="G1082" s="14" t="e">
        <f t="shared" si="82"/>
        <v>#N/A</v>
      </c>
      <c r="H1082" s="25" t="e">
        <f t="shared" si="83"/>
        <v>#N/A</v>
      </c>
      <c r="I1082" s="80" t="e">
        <f>VLOOKUP(C1082,'RAW DATA 2023'!E:BO,36,0)</f>
        <v>#N/A</v>
      </c>
      <c r="J1082" t="e">
        <f>VLOOKUP(C1082,'RAW DATA 2023'!E:BO,21,0)</f>
        <v>#N/A</v>
      </c>
      <c r="K1082" s="268" t="e">
        <f t="shared" si="84"/>
        <v>#N/A</v>
      </c>
    </row>
    <row r="1083" spans="1:11">
      <c r="A1083">
        <f>'RAW DATA 2023'!B1076</f>
        <v>0</v>
      </c>
      <c r="B1083">
        <f>'RAW DATA 2023'!D1076</f>
        <v>0</v>
      </c>
      <c r="C1083" t="str">
        <f t="shared" si="80"/>
        <v>00</v>
      </c>
      <c r="D1083" t="e">
        <f>VLOOKUP(C1083,'RAW DATA 2023'!E:BP,63,0)</f>
        <v>#N/A</v>
      </c>
      <c r="E1083" t="e">
        <f t="shared" si="81"/>
        <v>#N/A</v>
      </c>
      <c r="F1083" s="8" t="e">
        <f>VLOOKUP(C1083,'RAW DATA 2023'!E:BO,23,0)</f>
        <v>#N/A</v>
      </c>
      <c r="G1083" s="14" t="e">
        <f t="shared" si="82"/>
        <v>#N/A</v>
      </c>
      <c r="H1083" s="25" t="e">
        <f t="shared" si="83"/>
        <v>#N/A</v>
      </c>
      <c r="I1083" s="80" t="e">
        <f>VLOOKUP(C1083,'RAW DATA 2023'!E:BO,36,0)</f>
        <v>#N/A</v>
      </c>
      <c r="J1083" t="e">
        <f>VLOOKUP(C1083,'RAW DATA 2023'!E:BO,21,0)</f>
        <v>#N/A</v>
      </c>
      <c r="K1083" s="268" t="e">
        <f t="shared" si="84"/>
        <v>#N/A</v>
      </c>
    </row>
    <row r="1084" spans="1:11">
      <c r="A1084">
        <f>'RAW DATA 2023'!B1077</f>
        <v>0</v>
      </c>
      <c r="B1084">
        <f>'RAW DATA 2023'!D1077</f>
        <v>0</v>
      </c>
      <c r="C1084" t="str">
        <f t="shared" si="80"/>
        <v>00</v>
      </c>
      <c r="D1084" t="e">
        <f>VLOOKUP(C1084,'RAW DATA 2023'!E:BP,63,0)</f>
        <v>#N/A</v>
      </c>
      <c r="E1084" t="e">
        <f t="shared" si="81"/>
        <v>#N/A</v>
      </c>
      <c r="F1084" s="8" t="e">
        <f>VLOOKUP(C1084,'RAW DATA 2023'!E:BO,23,0)</f>
        <v>#N/A</v>
      </c>
      <c r="G1084" s="14" t="e">
        <f t="shared" si="82"/>
        <v>#N/A</v>
      </c>
      <c r="H1084" s="25" t="e">
        <f t="shared" si="83"/>
        <v>#N/A</v>
      </c>
      <c r="I1084" s="80" t="e">
        <f>VLOOKUP(C1084,'RAW DATA 2023'!E:BO,36,0)</f>
        <v>#N/A</v>
      </c>
      <c r="J1084" t="e">
        <f>VLOOKUP(C1084,'RAW DATA 2023'!E:BO,21,0)</f>
        <v>#N/A</v>
      </c>
      <c r="K1084" s="268" t="e">
        <f t="shared" si="84"/>
        <v>#N/A</v>
      </c>
    </row>
    <row r="1085" spans="1:11">
      <c r="A1085">
        <f>'RAW DATA 2023'!B1078</f>
        <v>0</v>
      </c>
      <c r="B1085">
        <f>'RAW DATA 2023'!D1078</f>
        <v>0</v>
      </c>
      <c r="C1085" t="str">
        <f t="shared" si="80"/>
        <v>00</v>
      </c>
      <c r="D1085" t="e">
        <f>VLOOKUP(C1085,'RAW DATA 2023'!E:BP,63,0)</f>
        <v>#N/A</v>
      </c>
      <c r="E1085" t="e">
        <f t="shared" si="81"/>
        <v>#N/A</v>
      </c>
      <c r="F1085" s="8" t="e">
        <f>VLOOKUP(C1085,'RAW DATA 2023'!E:BO,23,0)</f>
        <v>#N/A</v>
      </c>
      <c r="G1085" s="14" t="e">
        <f t="shared" si="82"/>
        <v>#N/A</v>
      </c>
      <c r="H1085" s="25" t="e">
        <f t="shared" si="83"/>
        <v>#N/A</v>
      </c>
      <c r="I1085" s="80" t="e">
        <f>VLOOKUP(C1085,'RAW DATA 2023'!E:BO,36,0)</f>
        <v>#N/A</v>
      </c>
      <c r="J1085" t="e">
        <f>VLOOKUP(C1085,'RAW DATA 2023'!E:BO,21,0)</f>
        <v>#N/A</v>
      </c>
      <c r="K1085" s="268" t="e">
        <f t="shared" si="84"/>
        <v>#N/A</v>
      </c>
    </row>
    <row r="1086" spans="1:11">
      <c r="A1086">
        <f>'RAW DATA 2023'!B1079</f>
        <v>0</v>
      </c>
      <c r="B1086">
        <f>'RAW DATA 2023'!D1079</f>
        <v>0</v>
      </c>
      <c r="C1086" t="str">
        <f t="shared" si="80"/>
        <v>00</v>
      </c>
      <c r="D1086" t="e">
        <f>VLOOKUP(C1086,'RAW DATA 2023'!E:BP,63,0)</f>
        <v>#N/A</v>
      </c>
      <c r="E1086" t="e">
        <f t="shared" si="81"/>
        <v>#N/A</v>
      </c>
      <c r="F1086" s="8" t="e">
        <f>VLOOKUP(C1086,'RAW DATA 2023'!E:BO,23,0)</f>
        <v>#N/A</v>
      </c>
      <c r="G1086" s="14" t="e">
        <f t="shared" si="82"/>
        <v>#N/A</v>
      </c>
      <c r="H1086" s="25" t="e">
        <f t="shared" si="83"/>
        <v>#N/A</v>
      </c>
      <c r="I1086" s="80" t="e">
        <f>VLOOKUP(C1086,'RAW DATA 2023'!E:BO,36,0)</f>
        <v>#N/A</v>
      </c>
      <c r="J1086" t="e">
        <f>VLOOKUP(C1086,'RAW DATA 2023'!E:BO,21,0)</f>
        <v>#N/A</v>
      </c>
      <c r="K1086" s="268" t="e">
        <f t="shared" si="84"/>
        <v>#N/A</v>
      </c>
    </row>
    <row r="1087" spans="1:11">
      <c r="A1087">
        <f>'RAW DATA 2023'!B1080</f>
        <v>0</v>
      </c>
      <c r="B1087">
        <f>'RAW DATA 2023'!D1080</f>
        <v>0</v>
      </c>
      <c r="C1087" t="str">
        <f t="shared" si="80"/>
        <v>00</v>
      </c>
      <c r="D1087" t="e">
        <f>VLOOKUP(C1087,'RAW DATA 2023'!E:BP,63,0)</f>
        <v>#N/A</v>
      </c>
      <c r="E1087" t="e">
        <f t="shared" si="81"/>
        <v>#N/A</v>
      </c>
      <c r="F1087" s="8" t="e">
        <f>VLOOKUP(C1087,'RAW DATA 2023'!E:BO,23,0)</f>
        <v>#N/A</v>
      </c>
      <c r="G1087" s="14" t="e">
        <f t="shared" si="82"/>
        <v>#N/A</v>
      </c>
      <c r="H1087" s="25" t="e">
        <f t="shared" si="83"/>
        <v>#N/A</v>
      </c>
      <c r="I1087" s="80" t="e">
        <f>VLOOKUP(C1087,'RAW DATA 2023'!E:BO,36,0)</f>
        <v>#N/A</v>
      </c>
      <c r="J1087" t="e">
        <f>VLOOKUP(C1087,'RAW DATA 2023'!E:BO,21,0)</f>
        <v>#N/A</v>
      </c>
      <c r="K1087" s="268" t="e">
        <f t="shared" si="84"/>
        <v>#N/A</v>
      </c>
    </row>
    <row r="1088" spans="1:11">
      <c r="A1088">
        <f>'RAW DATA 2023'!B1081</f>
        <v>0</v>
      </c>
      <c r="B1088">
        <f>'RAW DATA 2023'!D1081</f>
        <v>0</v>
      </c>
      <c r="C1088" t="str">
        <f t="shared" si="80"/>
        <v>00</v>
      </c>
      <c r="D1088" t="e">
        <f>VLOOKUP(C1088,'RAW DATA 2023'!E:BP,63,0)</f>
        <v>#N/A</v>
      </c>
      <c r="E1088" t="e">
        <f t="shared" si="81"/>
        <v>#N/A</v>
      </c>
      <c r="F1088" s="8" t="e">
        <f>VLOOKUP(C1088,'RAW DATA 2023'!E:BO,23,0)</f>
        <v>#N/A</v>
      </c>
      <c r="G1088" s="14" t="e">
        <f t="shared" si="82"/>
        <v>#N/A</v>
      </c>
      <c r="H1088" s="25" t="e">
        <f t="shared" si="83"/>
        <v>#N/A</v>
      </c>
      <c r="I1088" s="80" t="e">
        <f>VLOOKUP(C1088,'RAW DATA 2023'!E:BO,36,0)</f>
        <v>#N/A</v>
      </c>
      <c r="J1088" t="e">
        <f>VLOOKUP(C1088,'RAW DATA 2023'!E:BO,21,0)</f>
        <v>#N/A</v>
      </c>
      <c r="K1088" s="268" t="e">
        <f t="shared" si="84"/>
        <v>#N/A</v>
      </c>
    </row>
    <row r="1089" spans="1:11">
      <c r="A1089">
        <f>'RAW DATA 2023'!B1082</f>
        <v>0</v>
      </c>
      <c r="B1089">
        <f>'RAW DATA 2023'!D1082</f>
        <v>0</v>
      </c>
      <c r="C1089" t="str">
        <f t="shared" si="80"/>
        <v>00</v>
      </c>
      <c r="D1089" t="e">
        <f>VLOOKUP(C1089,'RAW DATA 2023'!E:BP,63,0)</f>
        <v>#N/A</v>
      </c>
      <c r="E1089" t="e">
        <f t="shared" si="81"/>
        <v>#N/A</v>
      </c>
      <c r="F1089" s="8" t="e">
        <f>VLOOKUP(C1089,'RAW DATA 2023'!E:BO,23,0)</f>
        <v>#N/A</v>
      </c>
      <c r="G1089" s="14" t="e">
        <f t="shared" si="82"/>
        <v>#N/A</v>
      </c>
      <c r="H1089" s="25" t="e">
        <f t="shared" si="83"/>
        <v>#N/A</v>
      </c>
      <c r="I1089" s="80" t="e">
        <f>VLOOKUP(C1089,'RAW DATA 2023'!E:BO,36,0)</f>
        <v>#N/A</v>
      </c>
      <c r="J1089" t="e">
        <f>VLOOKUP(C1089,'RAW DATA 2023'!E:BO,21,0)</f>
        <v>#N/A</v>
      </c>
      <c r="K1089" s="268" t="e">
        <f t="shared" si="84"/>
        <v>#N/A</v>
      </c>
    </row>
    <row r="1090" spans="1:11">
      <c r="A1090">
        <f>'RAW DATA 2023'!B1083</f>
        <v>0</v>
      </c>
      <c r="B1090">
        <f>'RAW DATA 2023'!D1083</f>
        <v>0</v>
      </c>
      <c r="C1090" t="str">
        <f t="shared" si="80"/>
        <v>00</v>
      </c>
      <c r="D1090" t="e">
        <f>VLOOKUP(C1090,'RAW DATA 2023'!E:BP,63,0)</f>
        <v>#N/A</v>
      </c>
      <c r="E1090" t="e">
        <f t="shared" si="81"/>
        <v>#N/A</v>
      </c>
      <c r="F1090" s="8" t="e">
        <f>VLOOKUP(C1090,'RAW DATA 2023'!E:BO,23,0)</f>
        <v>#N/A</v>
      </c>
      <c r="G1090" s="14" t="e">
        <f t="shared" si="82"/>
        <v>#N/A</v>
      </c>
      <c r="H1090" s="25" t="e">
        <f t="shared" si="83"/>
        <v>#N/A</v>
      </c>
      <c r="I1090" s="80" t="e">
        <f>VLOOKUP(C1090,'RAW DATA 2023'!E:BO,36,0)</f>
        <v>#N/A</v>
      </c>
      <c r="J1090" t="e">
        <f>VLOOKUP(C1090,'RAW DATA 2023'!E:BO,21,0)</f>
        <v>#N/A</v>
      </c>
      <c r="K1090" s="268" t="e">
        <f t="shared" si="84"/>
        <v>#N/A</v>
      </c>
    </row>
    <row r="1091" spans="1:11">
      <c r="A1091">
        <f>'RAW DATA 2023'!B1084</f>
        <v>0</v>
      </c>
      <c r="B1091">
        <f>'RAW DATA 2023'!D1084</f>
        <v>0</v>
      </c>
      <c r="C1091" t="str">
        <f t="shared" si="80"/>
        <v>00</v>
      </c>
      <c r="D1091" t="e">
        <f>VLOOKUP(C1091,'RAW DATA 2023'!E:BP,63,0)</f>
        <v>#N/A</v>
      </c>
      <c r="E1091" t="e">
        <f t="shared" si="81"/>
        <v>#N/A</v>
      </c>
      <c r="F1091" s="8" t="e">
        <f>VLOOKUP(C1091,'RAW DATA 2023'!E:BO,23,0)</f>
        <v>#N/A</v>
      </c>
      <c r="G1091" s="14" t="e">
        <f t="shared" si="82"/>
        <v>#N/A</v>
      </c>
      <c r="H1091" s="25" t="e">
        <f t="shared" si="83"/>
        <v>#N/A</v>
      </c>
      <c r="I1091" s="80" t="e">
        <f>VLOOKUP(C1091,'RAW DATA 2023'!E:BO,36,0)</f>
        <v>#N/A</v>
      </c>
      <c r="J1091" t="e">
        <f>VLOOKUP(C1091,'RAW DATA 2023'!E:BO,21,0)</f>
        <v>#N/A</v>
      </c>
      <c r="K1091" s="268" t="e">
        <f t="shared" si="84"/>
        <v>#N/A</v>
      </c>
    </row>
    <row r="1092" spans="1:11">
      <c r="A1092">
        <f>'RAW DATA 2023'!B1085</f>
        <v>0</v>
      </c>
      <c r="B1092">
        <f>'RAW DATA 2023'!D1085</f>
        <v>0</v>
      </c>
      <c r="C1092" t="str">
        <f t="shared" si="80"/>
        <v>00</v>
      </c>
      <c r="D1092" t="e">
        <f>VLOOKUP(C1092,'RAW DATA 2023'!E:BP,63,0)</f>
        <v>#N/A</v>
      </c>
      <c r="E1092" t="e">
        <f t="shared" si="81"/>
        <v>#N/A</v>
      </c>
      <c r="F1092" s="8" t="e">
        <f>VLOOKUP(C1092,'RAW DATA 2023'!E:BO,23,0)</f>
        <v>#N/A</v>
      </c>
      <c r="G1092" s="14" t="e">
        <f t="shared" si="82"/>
        <v>#N/A</v>
      </c>
      <c r="H1092" s="25" t="e">
        <f t="shared" si="83"/>
        <v>#N/A</v>
      </c>
      <c r="I1092" s="80" t="e">
        <f>VLOOKUP(C1092,'RAW DATA 2023'!E:BO,36,0)</f>
        <v>#N/A</v>
      </c>
      <c r="J1092" t="e">
        <f>VLOOKUP(C1092,'RAW DATA 2023'!E:BO,21,0)</f>
        <v>#N/A</v>
      </c>
      <c r="K1092" s="268" t="e">
        <f t="shared" si="84"/>
        <v>#N/A</v>
      </c>
    </row>
    <row r="1093" spans="1:11">
      <c r="A1093">
        <f>'RAW DATA 2023'!B1086</f>
        <v>0</v>
      </c>
      <c r="B1093">
        <f>'RAW DATA 2023'!D1086</f>
        <v>0</v>
      </c>
      <c r="C1093" t="str">
        <f t="shared" si="80"/>
        <v>00</v>
      </c>
      <c r="D1093" t="e">
        <f>VLOOKUP(C1093,'RAW DATA 2023'!E:BP,63,0)</f>
        <v>#N/A</v>
      </c>
      <c r="E1093" t="e">
        <f t="shared" si="81"/>
        <v>#N/A</v>
      </c>
      <c r="F1093" s="8" t="e">
        <f>VLOOKUP(C1093,'RAW DATA 2023'!E:BO,23,0)</f>
        <v>#N/A</v>
      </c>
      <c r="G1093" s="14" t="e">
        <f t="shared" si="82"/>
        <v>#N/A</v>
      </c>
      <c r="H1093" s="25" t="e">
        <f t="shared" si="83"/>
        <v>#N/A</v>
      </c>
      <c r="I1093" s="80" t="e">
        <f>VLOOKUP(C1093,'RAW DATA 2023'!E:BO,36,0)</f>
        <v>#N/A</v>
      </c>
      <c r="J1093" t="e">
        <f>VLOOKUP(C1093,'RAW DATA 2023'!E:BO,21,0)</f>
        <v>#N/A</v>
      </c>
      <c r="K1093" s="268" t="e">
        <f t="shared" si="84"/>
        <v>#N/A</v>
      </c>
    </row>
    <row r="1094" spans="1:11">
      <c r="A1094">
        <f>'RAW DATA 2023'!B1087</f>
        <v>0</v>
      </c>
      <c r="B1094">
        <f>'RAW DATA 2023'!D1087</f>
        <v>0</v>
      </c>
      <c r="C1094" t="str">
        <f t="shared" si="80"/>
        <v>00</v>
      </c>
      <c r="D1094" t="e">
        <f>VLOOKUP(C1094,'RAW DATA 2023'!E:BP,63,0)</f>
        <v>#N/A</v>
      </c>
      <c r="E1094" t="e">
        <f t="shared" si="81"/>
        <v>#N/A</v>
      </c>
      <c r="F1094" s="8" t="e">
        <f>VLOOKUP(C1094,'RAW DATA 2023'!E:BO,23,0)</f>
        <v>#N/A</v>
      </c>
      <c r="G1094" s="14" t="e">
        <f t="shared" si="82"/>
        <v>#N/A</v>
      </c>
      <c r="H1094" s="25" t="e">
        <f t="shared" si="83"/>
        <v>#N/A</v>
      </c>
      <c r="I1094" s="80" t="e">
        <f>VLOOKUP(C1094,'RAW DATA 2023'!E:BO,36,0)</f>
        <v>#N/A</v>
      </c>
      <c r="J1094" t="e">
        <f>VLOOKUP(C1094,'RAW DATA 2023'!E:BO,21,0)</f>
        <v>#N/A</v>
      </c>
      <c r="K1094" s="268" t="e">
        <f t="shared" si="84"/>
        <v>#N/A</v>
      </c>
    </row>
    <row r="1095" spans="1:11">
      <c r="A1095">
        <f>'RAW DATA 2023'!B1088</f>
        <v>0</v>
      </c>
      <c r="B1095">
        <f>'RAW DATA 2023'!D1088</f>
        <v>0</v>
      </c>
      <c r="C1095" t="str">
        <f t="shared" si="80"/>
        <v>00</v>
      </c>
      <c r="D1095" t="e">
        <f>VLOOKUP(C1095,'RAW DATA 2023'!E:BP,63,0)</f>
        <v>#N/A</v>
      </c>
      <c r="E1095" t="e">
        <f t="shared" si="81"/>
        <v>#N/A</v>
      </c>
      <c r="F1095" s="8" t="e">
        <f>VLOOKUP(C1095,'RAW DATA 2023'!E:BO,23,0)</f>
        <v>#N/A</v>
      </c>
      <c r="G1095" s="14" t="e">
        <f t="shared" si="82"/>
        <v>#N/A</v>
      </c>
      <c r="H1095" s="25" t="e">
        <f t="shared" si="83"/>
        <v>#N/A</v>
      </c>
      <c r="I1095" s="80" t="e">
        <f>VLOOKUP(C1095,'RAW DATA 2023'!E:BO,36,0)</f>
        <v>#N/A</v>
      </c>
      <c r="J1095" t="e">
        <f>VLOOKUP(C1095,'RAW DATA 2023'!E:BO,21,0)</f>
        <v>#N/A</v>
      </c>
      <c r="K1095" s="268" t="e">
        <f t="shared" si="84"/>
        <v>#N/A</v>
      </c>
    </row>
    <row r="1096" spans="1:11">
      <c r="A1096">
        <f>'RAW DATA 2023'!B1089</f>
        <v>0</v>
      </c>
      <c r="B1096">
        <f>'RAW DATA 2023'!D1089</f>
        <v>0</v>
      </c>
      <c r="C1096" t="str">
        <f t="shared" si="80"/>
        <v>00</v>
      </c>
      <c r="D1096" t="e">
        <f>VLOOKUP(C1096,'RAW DATA 2023'!E:BP,63,0)</f>
        <v>#N/A</v>
      </c>
      <c r="E1096" t="e">
        <f t="shared" si="81"/>
        <v>#N/A</v>
      </c>
      <c r="F1096" s="8" t="e">
        <f>VLOOKUP(C1096,'RAW DATA 2023'!E:BO,23,0)</f>
        <v>#N/A</v>
      </c>
      <c r="G1096" s="14" t="e">
        <f t="shared" si="82"/>
        <v>#N/A</v>
      </c>
      <c r="H1096" s="25" t="e">
        <f t="shared" si="83"/>
        <v>#N/A</v>
      </c>
      <c r="I1096" s="80" t="e">
        <f>VLOOKUP(C1096,'RAW DATA 2023'!E:BO,36,0)</f>
        <v>#N/A</v>
      </c>
      <c r="J1096" t="e">
        <f>VLOOKUP(C1096,'RAW DATA 2023'!E:BO,21,0)</f>
        <v>#N/A</v>
      </c>
      <c r="K1096" s="268" t="e">
        <f t="shared" si="84"/>
        <v>#N/A</v>
      </c>
    </row>
    <row r="1097" spans="1:11">
      <c r="A1097">
        <f>'RAW DATA 2023'!B1090</f>
        <v>0</v>
      </c>
      <c r="B1097">
        <f>'RAW DATA 2023'!D1090</f>
        <v>0</v>
      </c>
      <c r="C1097" t="str">
        <f t="shared" si="80"/>
        <v>00</v>
      </c>
      <c r="D1097" t="e">
        <f>VLOOKUP(C1097,'RAW DATA 2023'!E:BP,63,0)</f>
        <v>#N/A</v>
      </c>
      <c r="E1097" t="e">
        <f t="shared" si="81"/>
        <v>#N/A</v>
      </c>
      <c r="F1097" s="8" t="e">
        <f>VLOOKUP(C1097,'RAW DATA 2023'!E:BO,23,0)</f>
        <v>#N/A</v>
      </c>
      <c r="G1097" s="14" t="e">
        <f t="shared" si="82"/>
        <v>#N/A</v>
      </c>
      <c r="H1097" s="25" t="e">
        <f t="shared" si="83"/>
        <v>#N/A</v>
      </c>
      <c r="I1097" s="80" t="e">
        <f>VLOOKUP(C1097,'RAW DATA 2023'!E:BO,36,0)</f>
        <v>#N/A</v>
      </c>
      <c r="J1097" t="e">
        <f>VLOOKUP(C1097,'RAW DATA 2023'!E:BO,21,0)</f>
        <v>#N/A</v>
      </c>
      <c r="K1097" s="268" t="e">
        <f t="shared" si="84"/>
        <v>#N/A</v>
      </c>
    </row>
    <row r="1098" spans="1:11">
      <c r="A1098">
        <f>'RAW DATA 2023'!B1091</f>
        <v>0</v>
      </c>
      <c r="B1098">
        <f>'RAW DATA 2023'!D1091</f>
        <v>0</v>
      </c>
      <c r="C1098" t="str">
        <f t="shared" ref="C1098:C1161" si="85">A1098&amp;B1098</f>
        <v>00</v>
      </c>
      <c r="D1098" t="e">
        <f>VLOOKUP(C1098,'RAW DATA 2023'!E:BP,63,0)</f>
        <v>#N/A</v>
      </c>
      <c r="E1098" t="e">
        <f t="shared" ref="E1098:E1161" si="86">A1098&amp;D1098</f>
        <v>#N/A</v>
      </c>
      <c r="F1098" s="8" t="e">
        <f>VLOOKUP(C1098,'RAW DATA 2023'!E:BO,23,0)</f>
        <v>#N/A</v>
      </c>
      <c r="G1098" s="14" t="e">
        <f t="shared" si="82"/>
        <v>#N/A</v>
      </c>
      <c r="H1098" s="25" t="e">
        <f t="shared" si="83"/>
        <v>#N/A</v>
      </c>
      <c r="I1098" s="80" t="e">
        <f>VLOOKUP(C1098,'RAW DATA 2023'!E:BO,36,0)</f>
        <v>#N/A</v>
      </c>
      <c r="J1098" t="e">
        <f>VLOOKUP(C1098,'RAW DATA 2023'!E:BO,21,0)</f>
        <v>#N/A</v>
      </c>
      <c r="K1098" s="268" t="e">
        <f t="shared" si="84"/>
        <v>#N/A</v>
      </c>
    </row>
    <row r="1099" spans="1:11">
      <c r="A1099">
        <f>'RAW DATA 2023'!B1092</f>
        <v>0</v>
      </c>
      <c r="B1099">
        <f>'RAW DATA 2023'!D1092</f>
        <v>0</v>
      </c>
      <c r="C1099" t="str">
        <f t="shared" si="85"/>
        <v>00</v>
      </c>
      <c r="D1099" t="e">
        <f>VLOOKUP(C1099,'RAW DATA 2023'!E:BP,63,0)</f>
        <v>#N/A</v>
      </c>
      <c r="E1099" t="e">
        <f t="shared" si="86"/>
        <v>#N/A</v>
      </c>
      <c r="F1099" s="8" t="e">
        <f>VLOOKUP(C1099,'RAW DATA 2023'!E:BO,23,0)</f>
        <v>#N/A</v>
      </c>
      <c r="G1099" s="14" t="e">
        <f t="shared" ref="G1099:G1162" si="87">IF(F1099=0,0,$B$2-F1099)</f>
        <v>#N/A</v>
      </c>
      <c r="H1099" s="25" t="e">
        <f t="shared" ref="H1099:H1162" si="88">G1099*$B$6</f>
        <v>#N/A</v>
      </c>
      <c r="I1099" s="80" t="e">
        <f>VLOOKUP(C1099,'RAW DATA 2023'!E:BO,36,0)</f>
        <v>#N/A</v>
      </c>
      <c r="J1099" t="e">
        <f>VLOOKUP(C1099,'RAW DATA 2023'!E:BO,21,0)</f>
        <v>#N/A</v>
      </c>
      <c r="K1099" s="268" t="e">
        <f t="shared" ref="K1099:K1162" si="89">H1099*J1099</f>
        <v>#N/A</v>
      </c>
    </row>
    <row r="1100" spans="1:11">
      <c r="A1100">
        <f>'RAW DATA 2023'!B1093</f>
        <v>0</v>
      </c>
      <c r="B1100">
        <f>'RAW DATA 2023'!D1093</f>
        <v>0</v>
      </c>
      <c r="C1100" t="str">
        <f t="shared" si="85"/>
        <v>00</v>
      </c>
      <c r="D1100" t="e">
        <f>VLOOKUP(C1100,'RAW DATA 2023'!E:BP,63,0)</f>
        <v>#N/A</v>
      </c>
      <c r="E1100" t="e">
        <f t="shared" si="86"/>
        <v>#N/A</v>
      </c>
      <c r="F1100" s="8" t="e">
        <f>VLOOKUP(C1100,'RAW DATA 2023'!E:BO,23,0)</f>
        <v>#N/A</v>
      </c>
      <c r="G1100" s="14" t="e">
        <f t="shared" si="87"/>
        <v>#N/A</v>
      </c>
      <c r="H1100" s="25" t="e">
        <f t="shared" si="88"/>
        <v>#N/A</v>
      </c>
      <c r="I1100" s="80" t="e">
        <f>VLOOKUP(C1100,'RAW DATA 2023'!E:BO,36,0)</f>
        <v>#N/A</v>
      </c>
      <c r="J1100" t="e">
        <f>VLOOKUP(C1100,'RAW DATA 2023'!E:BO,21,0)</f>
        <v>#N/A</v>
      </c>
      <c r="K1100" s="268" t="e">
        <f t="shared" si="89"/>
        <v>#N/A</v>
      </c>
    </row>
    <row r="1101" spans="1:11">
      <c r="A1101">
        <f>'RAW DATA 2023'!B1094</f>
        <v>0</v>
      </c>
      <c r="B1101">
        <f>'RAW DATA 2023'!D1094</f>
        <v>0</v>
      </c>
      <c r="C1101" t="str">
        <f t="shared" si="85"/>
        <v>00</v>
      </c>
      <c r="D1101" t="e">
        <f>VLOOKUP(C1101,'RAW DATA 2023'!E:BP,63,0)</f>
        <v>#N/A</v>
      </c>
      <c r="E1101" t="e">
        <f t="shared" si="86"/>
        <v>#N/A</v>
      </c>
      <c r="F1101" s="8" t="e">
        <f>VLOOKUP(C1101,'RAW DATA 2023'!E:BO,23,0)</f>
        <v>#N/A</v>
      </c>
      <c r="G1101" s="14" t="e">
        <f t="shared" si="87"/>
        <v>#N/A</v>
      </c>
      <c r="H1101" s="25" t="e">
        <f t="shared" si="88"/>
        <v>#N/A</v>
      </c>
      <c r="I1101" s="80" t="e">
        <f>VLOOKUP(C1101,'RAW DATA 2023'!E:BO,36,0)</f>
        <v>#N/A</v>
      </c>
      <c r="J1101" t="e">
        <f>VLOOKUP(C1101,'RAW DATA 2023'!E:BO,21,0)</f>
        <v>#N/A</v>
      </c>
      <c r="K1101" s="268" t="e">
        <f t="shared" si="89"/>
        <v>#N/A</v>
      </c>
    </row>
    <row r="1102" spans="1:11">
      <c r="A1102">
        <f>'RAW DATA 2023'!B1095</f>
        <v>0</v>
      </c>
      <c r="B1102">
        <f>'RAW DATA 2023'!D1095</f>
        <v>0</v>
      </c>
      <c r="C1102" t="str">
        <f t="shared" si="85"/>
        <v>00</v>
      </c>
      <c r="D1102" t="e">
        <f>VLOOKUP(C1102,'RAW DATA 2023'!E:BP,63,0)</f>
        <v>#N/A</v>
      </c>
      <c r="E1102" t="e">
        <f t="shared" si="86"/>
        <v>#N/A</v>
      </c>
      <c r="F1102" s="8" t="e">
        <f>VLOOKUP(C1102,'RAW DATA 2023'!E:BO,23,0)</f>
        <v>#N/A</v>
      </c>
      <c r="G1102" s="14" t="e">
        <f t="shared" si="87"/>
        <v>#N/A</v>
      </c>
      <c r="H1102" s="25" t="e">
        <f t="shared" si="88"/>
        <v>#N/A</v>
      </c>
      <c r="I1102" s="80" t="e">
        <f>VLOOKUP(C1102,'RAW DATA 2023'!E:BO,36,0)</f>
        <v>#N/A</v>
      </c>
      <c r="J1102" t="e">
        <f>VLOOKUP(C1102,'RAW DATA 2023'!E:BO,21,0)</f>
        <v>#N/A</v>
      </c>
      <c r="K1102" s="268" t="e">
        <f t="shared" si="89"/>
        <v>#N/A</v>
      </c>
    </row>
    <row r="1103" spans="1:11">
      <c r="A1103">
        <f>'RAW DATA 2023'!B1096</f>
        <v>0</v>
      </c>
      <c r="B1103">
        <f>'RAW DATA 2023'!D1096</f>
        <v>0</v>
      </c>
      <c r="C1103" t="str">
        <f t="shared" si="85"/>
        <v>00</v>
      </c>
      <c r="D1103" t="e">
        <f>VLOOKUP(C1103,'RAW DATA 2023'!E:BP,63,0)</f>
        <v>#N/A</v>
      </c>
      <c r="E1103" t="e">
        <f t="shared" si="86"/>
        <v>#N/A</v>
      </c>
      <c r="F1103" s="8" t="e">
        <f>VLOOKUP(C1103,'RAW DATA 2023'!E:BO,23,0)</f>
        <v>#N/A</v>
      </c>
      <c r="G1103" s="14" t="e">
        <f t="shared" si="87"/>
        <v>#N/A</v>
      </c>
      <c r="H1103" s="25" t="e">
        <f t="shared" si="88"/>
        <v>#N/A</v>
      </c>
      <c r="I1103" s="80" t="e">
        <f>VLOOKUP(C1103,'RAW DATA 2023'!E:BO,36,0)</f>
        <v>#N/A</v>
      </c>
      <c r="J1103" t="e">
        <f>VLOOKUP(C1103,'RAW DATA 2023'!E:BO,21,0)</f>
        <v>#N/A</v>
      </c>
      <c r="K1103" s="268" t="e">
        <f t="shared" si="89"/>
        <v>#N/A</v>
      </c>
    </row>
    <row r="1104" spans="1:11">
      <c r="A1104">
        <f>'RAW DATA 2023'!B1097</f>
        <v>0</v>
      </c>
      <c r="B1104">
        <f>'RAW DATA 2023'!D1097</f>
        <v>0</v>
      </c>
      <c r="C1104" t="str">
        <f t="shared" si="85"/>
        <v>00</v>
      </c>
      <c r="D1104" t="e">
        <f>VLOOKUP(C1104,'RAW DATA 2023'!E:BP,63,0)</f>
        <v>#N/A</v>
      </c>
      <c r="E1104" t="e">
        <f t="shared" si="86"/>
        <v>#N/A</v>
      </c>
      <c r="F1104" s="8" t="e">
        <f>VLOOKUP(C1104,'RAW DATA 2023'!E:BO,23,0)</f>
        <v>#N/A</v>
      </c>
      <c r="G1104" s="14" t="e">
        <f t="shared" si="87"/>
        <v>#N/A</v>
      </c>
      <c r="H1104" s="25" t="e">
        <f t="shared" si="88"/>
        <v>#N/A</v>
      </c>
      <c r="I1104" s="80" t="e">
        <f>VLOOKUP(C1104,'RAW DATA 2023'!E:BO,36,0)</f>
        <v>#N/A</v>
      </c>
      <c r="J1104" t="e">
        <f>VLOOKUP(C1104,'RAW DATA 2023'!E:BO,21,0)</f>
        <v>#N/A</v>
      </c>
      <c r="K1104" s="268" t="e">
        <f t="shared" si="89"/>
        <v>#N/A</v>
      </c>
    </row>
    <row r="1105" spans="1:11">
      <c r="A1105">
        <f>'RAW DATA 2023'!B1098</f>
        <v>0</v>
      </c>
      <c r="B1105">
        <f>'RAW DATA 2023'!D1098</f>
        <v>0</v>
      </c>
      <c r="C1105" t="str">
        <f t="shared" si="85"/>
        <v>00</v>
      </c>
      <c r="D1105" t="e">
        <f>VLOOKUP(C1105,'RAW DATA 2023'!E:BP,63,0)</f>
        <v>#N/A</v>
      </c>
      <c r="E1105" t="e">
        <f t="shared" si="86"/>
        <v>#N/A</v>
      </c>
      <c r="F1105" s="8" t="e">
        <f>VLOOKUP(C1105,'RAW DATA 2023'!E:BO,23,0)</f>
        <v>#N/A</v>
      </c>
      <c r="G1105" s="14" t="e">
        <f t="shared" si="87"/>
        <v>#N/A</v>
      </c>
      <c r="H1105" s="25" t="e">
        <f t="shared" si="88"/>
        <v>#N/A</v>
      </c>
      <c r="I1105" s="80" t="e">
        <f>VLOOKUP(C1105,'RAW DATA 2023'!E:BO,36,0)</f>
        <v>#N/A</v>
      </c>
      <c r="J1105" t="e">
        <f>VLOOKUP(C1105,'RAW DATA 2023'!E:BO,21,0)</f>
        <v>#N/A</v>
      </c>
      <c r="K1105" s="268" t="e">
        <f t="shared" si="89"/>
        <v>#N/A</v>
      </c>
    </row>
    <row r="1106" spans="1:11">
      <c r="A1106">
        <f>'RAW DATA 2023'!B1099</f>
        <v>0</v>
      </c>
      <c r="B1106">
        <f>'RAW DATA 2023'!D1099</f>
        <v>0</v>
      </c>
      <c r="C1106" t="str">
        <f t="shared" si="85"/>
        <v>00</v>
      </c>
      <c r="D1106" t="e">
        <f>VLOOKUP(C1106,'RAW DATA 2023'!E:BP,63,0)</f>
        <v>#N/A</v>
      </c>
      <c r="E1106" t="e">
        <f t="shared" si="86"/>
        <v>#N/A</v>
      </c>
      <c r="F1106" s="8" t="e">
        <f>VLOOKUP(C1106,'RAW DATA 2023'!E:BO,23,0)</f>
        <v>#N/A</v>
      </c>
      <c r="G1106" s="14" t="e">
        <f t="shared" si="87"/>
        <v>#N/A</v>
      </c>
      <c r="H1106" s="25" t="e">
        <f t="shared" si="88"/>
        <v>#N/A</v>
      </c>
      <c r="I1106" s="80" t="e">
        <f>VLOOKUP(C1106,'RAW DATA 2023'!E:BO,36,0)</f>
        <v>#N/A</v>
      </c>
      <c r="J1106" t="e">
        <f>VLOOKUP(C1106,'RAW DATA 2023'!E:BO,21,0)</f>
        <v>#N/A</v>
      </c>
      <c r="K1106" s="268" t="e">
        <f t="shared" si="89"/>
        <v>#N/A</v>
      </c>
    </row>
    <row r="1107" spans="1:11">
      <c r="A1107">
        <f>'RAW DATA 2023'!B1100</f>
        <v>0</v>
      </c>
      <c r="B1107">
        <f>'RAW DATA 2023'!D1100</f>
        <v>0</v>
      </c>
      <c r="C1107" t="str">
        <f t="shared" si="85"/>
        <v>00</v>
      </c>
      <c r="D1107" t="e">
        <f>VLOOKUP(C1107,'RAW DATA 2023'!E:BP,63,0)</f>
        <v>#N/A</v>
      </c>
      <c r="E1107" t="e">
        <f t="shared" si="86"/>
        <v>#N/A</v>
      </c>
      <c r="F1107" s="8" t="e">
        <f>VLOOKUP(C1107,'RAW DATA 2023'!E:BO,23,0)</f>
        <v>#N/A</v>
      </c>
      <c r="G1107" s="14" t="e">
        <f t="shared" si="87"/>
        <v>#N/A</v>
      </c>
      <c r="H1107" s="25" t="e">
        <f t="shared" si="88"/>
        <v>#N/A</v>
      </c>
      <c r="I1107" s="80" t="e">
        <f>VLOOKUP(C1107,'RAW DATA 2023'!E:BO,36,0)</f>
        <v>#N/A</v>
      </c>
      <c r="J1107" t="e">
        <f>VLOOKUP(C1107,'RAW DATA 2023'!E:BO,21,0)</f>
        <v>#N/A</v>
      </c>
      <c r="K1107" s="268" t="e">
        <f t="shared" si="89"/>
        <v>#N/A</v>
      </c>
    </row>
    <row r="1108" spans="1:11">
      <c r="A1108">
        <f>'RAW DATA 2023'!B1101</f>
        <v>0</v>
      </c>
      <c r="B1108">
        <f>'RAW DATA 2023'!D1101</f>
        <v>0</v>
      </c>
      <c r="C1108" t="str">
        <f t="shared" si="85"/>
        <v>00</v>
      </c>
      <c r="D1108" t="e">
        <f>VLOOKUP(C1108,'RAW DATA 2023'!E:BP,63,0)</f>
        <v>#N/A</v>
      </c>
      <c r="E1108" t="e">
        <f t="shared" si="86"/>
        <v>#N/A</v>
      </c>
      <c r="F1108" s="8" t="e">
        <f>VLOOKUP(C1108,'RAW DATA 2023'!E:BO,23,0)</f>
        <v>#N/A</v>
      </c>
      <c r="G1108" s="14" t="e">
        <f t="shared" si="87"/>
        <v>#N/A</v>
      </c>
      <c r="H1108" s="25" t="e">
        <f t="shared" si="88"/>
        <v>#N/A</v>
      </c>
      <c r="I1108" s="80" t="e">
        <f>VLOOKUP(C1108,'RAW DATA 2023'!E:BO,36,0)</f>
        <v>#N/A</v>
      </c>
      <c r="J1108" t="e">
        <f>VLOOKUP(C1108,'RAW DATA 2023'!E:BO,21,0)</f>
        <v>#N/A</v>
      </c>
      <c r="K1108" s="268" t="e">
        <f t="shared" si="89"/>
        <v>#N/A</v>
      </c>
    </row>
    <row r="1109" spans="1:11">
      <c r="A1109">
        <f>'RAW DATA 2023'!B1102</f>
        <v>0</v>
      </c>
      <c r="B1109">
        <f>'RAW DATA 2023'!D1102</f>
        <v>0</v>
      </c>
      <c r="C1109" t="str">
        <f t="shared" si="85"/>
        <v>00</v>
      </c>
      <c r="D1109" t="e">
        <f>VLOOKUP(C1109,'RAW DATA 2023'!E:BP,63,0)</f>
        <v>#N/A</v>
      </c>
      <c r="E1109" t="e">
        <f t="shared" si="86"/>
        <v>#N/A</v>
      </c>
      <c r="F1109" s="8" t="e">
        <f>VLOOKUP(C1109,'RAW DATA 2023'!E:BO,23,0)</f>
        <v>#N/A</v>
      </c>
      <c r="G1109" s="14" t="e">
        <f t="shared" si="87"/>
        <v>#N/A</v>
      </c>
      <c r="H1109" s="25" t="e">
        <f t="shared" si="88"/>
        <v>#N/A</v>
      </c>
      <c r="I1109" s="80" t="e">
        <f>VLOOKUP(C1109,'RAW DATA 2023'!E:BO,36,0)</f>
        <v>#N/A</v>
      </c>
      <c r="J1109" t="e">
        <f>VLOOKUP(C1109,'RAW DATA 2023'!E:BO,21,0)</f>
        <v>#N/A</v>
      </c>
      <c r="K1109" s="268" t="e">
        <f t="shared" si="89"/>
        <v>#N/A</v>
      </c>
    </row>
    <row r="1110" spans="1:11">
      <c r="A1110">
        <f>'RAW DATA 2023'!B1103</f>
        <v>0</v>
      </c>
      <c r="B1110">
        <f>'RAW DATA 2023'!D1103</f>
        <v>0</v>
      </c>
      <c r="C1110" t="str">
        <f t="shared" si="85"/>
        <v>00</v>
      </c>
      <c r="D1110" t="e">
        <f>VLOOKUP(C1110,'RAW DATA 2023'!E:BP,63,0)</f>
        <v>#N/A</v>
      </c>
      <c r="E1110" t="e">
        <f t="shared" si="86"/>
        <v>#N/A</v>
      </c>
      <c r="F1110" s="8" t="e">
        <f>VLOOKUP(C1110,'RAW DATA 2023'!E:BO,23,0)</f>
        <v>#N/A</v>
      </c>
      <c r="G1110" s="14" t="e">
        <f t="shared" si="87"/>
        <v>#N/A</v>
      </c>
      <c r="H1110" s="25" t="e">
        <f t="shared" si="88"/>
        <v>#N/A</v>
      </c>
      <c r="I1110" s="80" t="e">
        <f>VLOOKUP(C1110,'RAW DATA 2023'!E:BO,36,0)</f>
        <v>#N/A</v>
      </c>
      <c r="J1110" t="e">
        <f>VLOOKUP(C1110,'RAW DATA 2023'!E:BO,21,0)</f>
        <v>#N/A</v>
      </c>
      <c r="K1110" s="268" t="e">
        <f t="shared" si="89"/>
        <v>#N/A</v>
      </c>
    </row>
    <row r="1111" spans="1:11">
      <c r="A1111">
        <f>'RAW DATA 2023'!B1104</f>
        <v>0</v>
      </c>
      <c r="B1111">
        <f>'RAW DATA 2023'!D1104</f>
        <v>0</v>
      </c>
      <c r="C1111" t="str">
        <f t="shared" si="85"/>
        <v>00</v>
      </c>
      <c r="D1111" t="e">
        <f>VLOOKUP(C1111,'RAW DATA 2023'!E:BP,63,0)</f>
        <v>#N/A</v>
      </c>
      <c r="E1111" t="e">
        <f t="shared" si="86"/>
        <v>#N/A</v>
      </c>
      <c r="F1111" s="8" t="e">
        <f>VLOOKUP(C1111,'RAW DATA 2023'!E:BO,23,0)</f>
        <v>#N/A</v>
      </c>
      <c r="G1111" s="14" t="e">
        <f t="shared" si="87"/>
        <v>#N/A</v>
      </c>
      <c r="H1111" s="25" t="e">
        <f t="shared" si="88"/>
        <v>#N/A</v>
      </c>
      <c r="I1111" s="80" t="e">
        <f>VLOOKUP(C1111,'RAW DATA 2023'!E:BO,36,0)</f>
        <v>#N/A</v>
      </c>
      <c r="J1111" t="e">
        <f>VLOOKUP(C1111,'RAW DATA 2023'!E:BO,21,0)</f>
        <v>#N/A</v>
      </c>
      <c r="K1111" s="268" t="e">
        <f t="shared" si="89"/>
        <v>#N/A</v>
      </c>
    </row>
    <row r="1112" spans="1:11">
      <c r="A1112">
        <f>'RAW DATA 2023'!B1105</f>
        <v>0</v>
      </c>
      <c r="B1112">
        <f>'RAW DATA 2023'!D1105</f>
        <v>0</v>
      </c>
      <c r="C1112" t="str">
        <f t="shared" si="85"/>
        <v>00</v>
      </c>
      <c r="D1112" t="e">
        <f>VLOOKUP(C1112,'RAW DATA 2023'!E:BP,63,0)</f>
        <v>#N/A</v>
      </c>
      <c r="E1112" t="e">
        <f t="shared" si="86"/>
        <v>#N/A</v>
      </c>
      <c r="F1112" s="8" t="e">
        <f>VLOOKUP(C1112,'RAW DATA 2023'!E:BO,23,0)</f>
        <v>#N/A</v>
      </c>
      <c r="G1112" s="14" t="e">
        <f t="shared" si="87"/>
        <v>#N/A</v>
      </c>
      <c r="H1112" s="25" t="e">
        <f t="shared" si="88"/>
        <v>#N/A</v>
      </c>
      <c r="I1112" s="80" t="e">
        <f>VLOOKUP(C1112,'RAW DATA 2023'!E:BO,36,0)</f>
        <v>#N/A</v>
      </c>
      <c r="J1112" t="e">
        <f>VLOOKUP(C1112,'RAW DATA 2023'!E:BO,21,0)</f>
        <v>#N/A</v>
      </c>
      <c r="K1112" s="268" t="e">
        <f t="shared" si="89"/>
        <v>#N/A</v>
      </c>
    </row>
    <row r="1113" spans="1:11">
      <c r="A1113">
        <f>'RAW DATA 2023'!B1106</f>
        <v>0</v>
      </c>
      <c r="B1113">
        <f>'RAW DATA 2023'!D1106</f>
        <v>0</v>
      </c>
      <c r="C1113" t="str">
        <f t="shared" si="85"/>
        <v>00</v>
      </c>
      <c r="D1113" t="e">
        <f>VLOOKUP(C1113,'RAW DATA 2023'!E:BP,63,0)</f>
        <v>#N/A</v>
      </c>
      <c r="E1113" t="e">
        <f t="shared" si="86"/>
        <v>#N/A</v>
      </c>
      <c r="F1113" s="8" t="e">
        <f>VLOOKUP(C1113,'RAW DATA 2023'!E:BO,23,0)</f>
        <v>#N/A</v>
      </c>
      <c r="G1113" s="14" t="e">
        <f t="shared" si="87"/>
        <v>#N/A</v>
      </c>
      <c r="H1113" s="25" t="e">
        <f t="shared" si="88"/>
        <v>#N/A</v>
      </c>
      <c r="I1113" s="80" t="e">
        <f>VLOOKUP(C1113,'RAW DATA 2023'!E:BO,36,0)</f>
        <v>#N/A</v>
      </c>
      <c r="J1113" t="e">
        <f>VLOOKUP(C1113,'RAW DATA 2023'!E:BO,21,0)</f>
        <v>#N/A</v>
      </c>
      <c r="K1113" s="268" t="e">
        <f t="shared" si="89"/>
        <v>#N/A</v>
      </c>
    </row>
    <row r="1114" spans="1:11">
      <c r="A1114">
        <f>'RAW DATA 2023'!B1107</f>
        <v>0</v>
      </c>
      <c r="B1114">
        <f>'RAW DATA 2023'!D1107</f>
        <v>0</v>
      </c>
      <c r="C1114" t="str">
        <f t="shared" si="85"/>
        <v>00</v>
      </c>
      <c r="D1114" t="e">
        <f>VLOOKUP(C1114,'RAW DATA 2023'!E:BP,63,0)</f>
        <v>#N/A</v>
      </c>
      <c r="E1114" t="e">
        <f t="shared" si="86"/>
        <v>#N/A</v>
      </c>
      <c r="F1114" s="8" t="e">
        <f>VLOOKUP(C1114,'RAW DATA 2023'!E:BO,23,0)</f>
        <v>#N/A</v>
      </c>
      <c r="G1114" s="14" t="e">
        <f t="shared" si="87"/>
        <v>#N/A</v>
      </c>
      <c r="H1114" s="25" t="e">
        <f t="shared" si="88"/>
        <v>#N/A</v>
      </c>
      <c r="I1114" s="80" t="e">
        <f>VLOOKUP(C1114,'RAW DATA 2023'!E:BO,36,0)</f>
        <v>#N/A</v>
      </c>
      <c r="J1114" t="e">
        <f>VLOOKUP(C1114,'RAW DATA 2023'!E:BO,21,0)</f>
        <v>#N/A</v>
      </c>
      <c r="K1114" s="268" t="e">
        <f t="shared" si="89"/>
        <v>#N/A</v>
      </c>
    </row>
    <row r="1115" spans="1:11">
      <c r="A1115">
        <f>'RAW DATA 2023'!B1108</f>
        <v>0</v>
      </c>
      <c r="B1115">
        <f>'RAW DATA 2023'!D1108</f>
        <v>0</v>
      </c>
      <c r="C1115" t="str">
        <f t="shared" si="85"/>
        <v>00</v>
      </c>
      <c r="D1115" t="e">
        <f>VLOOKUP(C1115,'RAW DATA 2023'!E:BP,63,0)</f>
        <v>#N/A</v>
      </c>
      <c r="E1115" t="e">
        <f t="shared" si="86"/>
        <v>#N/A</v>
      </c>
      <c r="F1115" s="8" t="e">
        <f>VLOOKUP(C1115,'RAW DATA 2023'!E:BO,23,0)</f>
        <v>#N/A</v>
      </c>
      <c r="G1115" s="14" t="e">
        <f t="shared" si="87"/>
        <v>#N/A</v>
      </c>
      <c r="H1115" s="25" t="e">
        <f t="shared" si="88"/>
        <v>#N/A</v>
      </c>
      <c r="I1115" s="80" t="e">
        <f>VLOOKUP(C1115,'RAW DATA 2023'!E:BO,36,0)</f>
        <v>#N/A</v>
      </c>
      <c r="J1115" t="e">
        <f>VLOOKUP(C1115,'RAW DATA 2023'!E:BO,21,0)</f>
        <v>#N/A</v>
      </c>
      <c r="K1115" s="268" t="e">
        <f t="shared" si="89"/>
        <v>#N/A</v>
      </c>
    </row>
    <row r="1116" spans="1:11">
      <c r="A1116">
        <f>'RAW DATA 2023'!B1109</f>
        <v>0</v>
      </c>
      <c r="B1116">
        <f>'RAW DATA 2023'!D1109</f>
        <v>0</v>
      </c>
      <c r="C1116" t="str">
        <f t="shared" si="85"/>
        <v>00</v>
      </c>
      <c r="D1116" t="e">
        <f>VLOOKUP(C1116,'RAW DATA 2023'!E:BP,63,0)</f>
        <v>#N/A</v>
      </c>
      <c r="E1116" t="e">
        <f t="shared" si="86"/>
        <v>#N/A</v>
      </c>
      <c r="F1116" s="8" t="e">
        <f>VLOOKUP(C1116,'RAW DATA 2023'!E:BO,23,0)</f>
        <v>#N/A</v>
      </c>
      <c r="G1116" s="14" t="e">
        <f t="shared" si="87"/>
        <v>#N/A</v>
      </c>
      <c r="H1116" s="25" t="e">
        <f t="shared" si="88"/>
        <v>#N/A</v>
      </c>
      <c r="I1116" s="80" t="e">
        <f>VLOOKUP(C1116,'RAW DATA 2023'!E:BO,36,0)</f>
        <v>#N/A</v>
      </c>
      <c r="J1116" t="e">
        <f>VLOOKUP(C1116,'RAW DATA 2023'!E:BO,21,0)</f>
        <v>#N/A</v>
      </c>
      <c r="K1116" s="268" t="e">
        <f t="shared" si="89"/>
        <v>#N/A</v>
      </c>
    </row>
    <row r="1117" spans="1:11">
      <c r="A1117">
        <f>'RAW DATA 2023'!B1110</f>
        <v>0</v>
      </c>
      <c r="B1117">
        <f>'RAW DATA 2023'!D1110</f>
        <v>0</v>
      </c>
      <c r="C1117" t="str">
        <f t="shared" si="85"/>
        <v>00</v>
      </c>
      <c r="D1117" t="e">
        <f>VLOOKUP(C1117,'RAW DATA 2023'!E:BP,63,0)</f>
        <v>#N/A</v>
      </c>
      <c r="E1117" t="e">
        <f t="shared" si="86"/>
        <v>#N/A</v>
      </c>
      <c r="F1117" s="8" t="e">
        <f>VLOOKUP(C1117,'RAW DATA 2023'!E:BO,23,0)</f>
        <v>#N/A</v>
      </c>
      <c r="G1117" s="14" t="e">
        <f t="shared" si="87"/>
        <v>#N/A</v>
      </c>
      <c r="H1117" s="25" t="e">
        <f t="shared" si="88"/>
        <v>#N/A</v>
      </c>
      <c r="I1117" s="80" t="e">
        <f>VLOOKUP(C1117,'RAW DATA 2023'!E:BO,36,0)</f>
        <v>#N/A</v>
      </c>
      <c r="J1117" t="e">
        <f>VLOOKUP(C1117,'RAW DATA 2023'!E:BO,21,0)</f>
        <v>#N/A</v>
      </c>
      <c r="K1117" s="268" t="e">
        <f t="shared" si="89"/>
        <v>#N/A</v>
      </c>
    </row>
    <row r="1118" spans="1:11">
      <c r="A1118">
        <f>'RAW DATA 2023'!B1111</f>
        <v>0</v>
      </c>
      <c r="B1118">
        <f>'RAW DATA 2023'!D1111</f>
        <v>0</v>
      </c>
      <c r="C1118" t="str">
        <f t="shared" si="85"/>
        <v>00</v>
      </c>
      <c r="D1118" t="e">
        <f>VLOOKUP(C1118,'RAW DATA 2023'!E:BP,63,0)</f>
        <v>#N/A</v>
      </c>
      <c r="E1118" t="e">
        <f t="shared" si="86"/>
        <v>#N/A</v>
      </c>
      <c r="F1118" s="8" t="e">
        <f>VLOOKUP(C1118,'RAW DATA 2023'!E:BO,23,0)</f>
        <v>#N/A</v>
      </c>
      <c r="G1118" s="14" t="e">
        <f t="shared" si="87"/>
        <v>#N/A</v>
      </c>
      <c r="H1118" s="25" t="e">
        <f t="shared" si="88"/>
        <v>#N/A</v>
      </c>
      <c r="I1118" s="80" t="e">
        <f>VLOOKUP(C1118,'RAW DATA 2023'!E:BO,36,0)</f>
        <v>#N/A</v>
      </c>
      <c r="J1118" t="e">
        <f>VLOOKUP(C1118,'RAW DATA 2023'!E:BO,21,0)</f>
        <v>#N/A</v>
      </c>
      <c r="K1118" s="268" t="e">
        <f t="shared" si="89"/>
        <v>#N/A</v>
      </c>
    </row>
    <row r="1119" spans="1:11">
      <c r="A1119">
        <f>'RAW DATA 2023'!B1112</f>
        <v>0</v>
      </c>
      <c r="B1119">
        <f>'RAW DATA 2023'!D1112</f>
        <v>0</v>
      </c>
      <c r="C1119" t="str">
        <f t="shared" si="85"/>
        <v>00</v>
      </c>
      <c r="D1119" t="e">
        <f>VLOOKUP(C1119,'RAW DATA 2023'!E:BP,63,0)</f>
        <v>#N/A</v>
      </c>
      <c r="E1119" t="e">
        <f t="shared" si="86"/>
        <v>#N/A</v>
      </c>
      <c r="F1119" s="8" t="e">
        <f>VLOOKUP(C1119,'RAW DATA 2023'!E:BO,23,0)</f>
        <v>#N/A</v>
      </c>
      <c r="G1119" s="14" t="e">
        <f t="shared" si="87"/>
        <v>#N/A</v>
      </c>
      <c r="H1119" s="25" t="e">
        <f t="shared" si="88"/>
        <v>#N/A</v>
      </c>
      <c r="I1119" s="80" t="e">
        <f>VLOOKUP(C1119,'RAW DATA 2023'!E:BO,36,0)</f>
        <v>#N/A</v>
      </c>
      <c r="J1119" t="e">
        <f>VLOOKUP(C1119,'RAW DATA 2023'!E:BO,21,0)</f>
        <v>#N/A</v>
      </c>
      <c r="K1119" s="268" t="e">
        <f t="shared" si="89"/>
        <v>#N/A</v>
      </c>
    </row>
    <row r="1120" spans="1:11">
      <c r="A1120">
        <f>'RAW DATA 2023'!B1113</f>
        <v>0</v>
      </c>
      <c r="B1120">
        <f>'RAW DATA 2023'!D1113</f>
        <v>0</v>
      </c>
      <c r="C1120" t="str">
        <f t="shared" si="85"/>
        <v>00</v>
      </c>
      <c r="D1120" t="e">
        <f>VLOOKUP(C1120,'RAW DATA 2023'!E:BP,63,0)</f>
        <v>#N/A</v>
      </c>
      <c r="E1120" t="e">
        <f t="shared" si="86"/>
        <v>#N/A</v>
      </c>
      <c r="F1120" s="8" t="e">
        <f>VLOOKUP(C1120,'RAW DATA 2023'!E:BO,23,0)</f>
        <v>#N/A</v>
      </c>
      <c r="G1120" s="14" t="e">
        <f t="shared" si="87"/>
        <v>#N/A</v>
      </c>
      <c r="H1120" s="25" t="e">
        <f t="shared" si="88"/>
        <v>#N/A</v>
      </c>
      <c r="I1120" s="80" t="e">
        <f>VLOOKUP(C1120,'RAW DATA 2023'!E:BO,36,0)</f>
        <v>#N/A</v>
      </c>
      <c r="J1120" t="e">
        <f>VLOOKUP(C1120,'RAW DATA 2023'!E:BO,21,0)</f>
        <v>#N/A</v>
      </c>
      <c r="K1120" s="268" t="e">
        <f t="shared" si="89"/>
        <v>#N/A</v>
      </c>
    </row>
    <row r="1121" spans="1:11">
      <c r="A1121">
        <f>'RAW DATA 2023'!B1114</f>
        <v>0</v>
      </c>
      <c r="B1121">
        <f>'RAW DATA 2023'!D1114</f>
        <v>0</v>
      </c>
      <c r="C1121" t="str">
        <f t="shared" si="85"/>
        <v>00</v>
      </c>
      <c r="D1121" t="e">
        <f>VLOOKUP(C1121,'RAW DATA 2023'!E:BP,63,0)</f>
        <v>#N/A</v>
      </c>
      <c r="E1121" t="e">
        <f t="shared" si="86"/>
        <v>#N/A</v>
      </c>
      <c r="F1121" s="8" t="e">
        <f>VLOOKUP(C1121,'RAW DATA 2023'!E:BO,23,0)</f>
        <v>#N/A</v>
      </c>
      <c r="G1121" s="14" t="e">
        <f t="shared" si="87"/>
        <v>#N/A</v>
      </c>
      <c r="H1121" s="25" t="e">
        <f t="shared" si="88"/>
        <v>#N/A</v>
      </c>
      <c r="I1121" s="80" t="e">
        <f>VLOOKUP(C1121,'RAW DATA 2023'!E:BO,36,0)</f>
        <v>#N/A</v>
      </c>
      <c r="J1121" t="e">
        <f>VLOOKUP(C1121,'RAW DATA 2023'!E:BO,21,0)</f>
        <v>#N/A</v>
      </c>
      <c r="K1121" s="268" t="e">
        <f t="shared" si="89"/>
        <v>#N/A</v>
      </c>
    </row>
    <row r="1122" spans="1:11">
      <c r="A1122">
        <f>'RAW DATA 2023'!B1115</f>
        <v>0</v>
      </c>
      <c r="B1122">
        <f>'RAW DATA 2023'!D1115</f>
        <v>0</v>
      </c>
      <c r="C1122" t="str">
        <f t="shared" si="85"/>
        <v>00</v>
      </c>
      <c r="D1122" t="e">
        <f>VLOOKUP(C1122,'RAW DATA 2023'!E:BP,63,0)</f>
        <v>#N/A</v>
      </c>
      <c r="E1122" t="e">
        <f t="shared" si="86"/>
        <v>#N/A</v>
      </c>
      <c r="F1122" s="8" t="e">
        <f>VLOOKUP(C1122,'RAW DATA 2023'!E:BO,23,0)</f>
        <v>#N/A</v>
      </c>
      <c r="G1122" s="14" t="e">
        <f t="shared" si="87"/>
        <v>#N/A</v>
      </c>
      <c r="H1122" s="25" t="e">
        <f t="shared" si="88"/>
        <v>#N/A</v>
      </c>
      <c r="I1122" s="80" t="e">
        <f>VLOOKUP(C1122,'RAW DATA 2023'!E:BO,36,0)</f>
        <v>#N/A</v>
      </c>
      <c r="J1122" t="e">
        <f>VLOOKUP(C1122,'RAW DATA 2023'!E:BO,21,0)</f>
        <v>#N/A</v>
      </c>
      <c r="K1122" s="268" t="e">
        <f t="shared" si="89"/>
        <v>#N/A</v>
      </c>
    </row>
    <row r="1123" spans="1:11">
      <c r="A1123">
        <f>'RAW DATA 2023'!B1116</f>
        <v>0</v>
      </c>
      <c r="B1123">
        <f>'RAW DATA 2023'!D1116</f>
        <v>0</v>
      </c>
      <c r="C1123" t="str">
        <f t="shared" si="85"/>
        <v>00</v>
      </c>
      <c r="D1123" t="e">
        <f>VLOOKUP(C1123,'RAW DATA 2023'!E:BP,63,0)</f>
        <v>#N/A</v>
      </c>
      <c r="E1123" t="e">
        <f t="shared" si="86"/>
        <v>#N/A</v>
      </c>
      <c r="F1123" s="8" t="e">
        <f>VLOOKUP(C1123,'RAW DATA 2023'!E:BO,23,0)</f>
        <v>#N/A</v>
      </c>
      <c r="G1123" s="14" t="e">
        <f t="shared" si="87"/>
        <v>#N/A</v>
      </c>
      <c r="H1123" s="25" t="e">
        <f t="shared" si="88"/>
        <v>#N/A</v>
      </c>
      <c r="I1123" s="80" t="e">
        <f>VLOOKUP(C1123,'RAW DATA 2023'!E:BO,36,0)</f>
        <v>#N/A</v>
      </c>
      <c r="J1123" t="e">
        <f>VLOOKUP(C1123,'RAW DATA 2023'!E:BO,21,0)</f>
        <v>#N/A</v>
      </c>
      <c r="K1123" s="268" t="e">
        <f t="shared" si="89"/>
        <v>#N/A</v>
      </c>
    </row>
    <row r="1124" spans="1:11">
      <c r="A1124">
        <f>'RAW DATA 2023'!B1117</f>
        <v>0</v>
      </c>
      <c r="B1124">
        <f>'RAW DATA 2023'!D1117</f>
        <v>0</v>
      </c>
      <c r="C1124" t="str">
        <f t="shared" si="85"/>
        <v>00</v>
      </c>
      <c r="D1124" t="e">
        <f>VLOOKUP(C1124,'RAW DATA 2023'!E:BP,63,0)</f>
        <v>#N/A</v>
      </c>
      <c r="E1124" t="e">
        <f t="shared" si="86"/>
        <v>#N/A</v>
      </c>
      <c r="F1124" s="8" t="e">
        <f>VLOOKUP(C1124,'RAW DATA 2023'!E:BO,23,0)</f>
        <v>#N/A</v>
      </c>
      <c r="G1124" s="14" t="e">
        <f t="shared" si="87"/>
        <v>#N/A</v>
      </c>
      <c r="H1124" s="25" t="e">
        <f t="shared" si="88"/>
        <v>#N/A</v>
      </c>
      <c r="I1124" s="80" t="e">
        <f>VLOOKUP(C1124,'RAW DATA 2023'!E:BO,36,0)</f>
        <v>#N/A</v>
      </c>
      <c r="J1124" t="e">
        <f>VLOOKUP(C1124,'RAW DATA 2023'!E:BO,21,0)</f>
        <v>#N/A</v>
      </c>
      <c r="K1124" s="268" t="e">
        <f t="shared" si="89"/>
        <v>#N/A</v>
      </c>
    </row>
    <row r="1125" spans="1:11">
      <c r="A1125">
        <f>'RAW DATA 2023'!B1118</f>
        <v>0</v>
      </c>
      <c r="B1125">
        <f>'RAW DATA 2023'!D1118</f>
        <v>0</v>
      </c>
      <c r="C1125" t="str">
        <f t="shared" si="85"/>
        <v>00</v>
      </c>
      <c r="D1125" t="e">
        <f>VLOOKUP(C1125,'RAW DATA 2023'!E:BP,63,0)</f>
        <v>#N/A</v>
      </c>
      <c r="E1125" t="e">
        <f t="shared" si="86"/>
        <v>#N/A</v>
      </c>
      <c r="F1125" s="8" t="e">
        <f>VLOOKUP(C1125,'RAW DATA 2023'!E:BO,23,0)</f>
        <v>#N/A</v>
      </c>
      <c r="G1125" s="14" t="e">
        <f t="shared" si="87"/>
        <v>#N/A</v>
      </c>
      <c r="H1125" s="25" t="e">
        <f t="shared" si="88"/>
        <v>#N/A</v>
      </c>
      <c r="I1125" s="80" t="e">
        <f>VLOOKUP(C1125,'RAW DATA 2023'!E:BO,36,0)</f>
        <v>#N/A</v>
      </c>
      <c r="J1125" t="e">
        <f>VLOOKUP(C1125,'RAW DATA 2023'!E:BO,21,0)</f>
        <v>#N/A</v>
      </c>
      <c r="K1125" s="268" t="e">
        <f t="shared" si="89"/>
        <v>#N/A</v>
      </c>
    </row>
    <row r="1126" spans="1:11">
      <c r="A1126">
        <f>'RAW DATA 2023'!B1119</f>
        <v>0</v>
      </c>
      <c r="B1126">
        <f>'RAW DATA 2023'!D1119</f>
        <v>0</v>
      </c>
      <c r="C1126" t="str">
        <f t="shared" si="85"/>
        <v>00</v>
      </c>
      <c r="D1126" t="e">
        <f>VLOOKUP(C1126,'RAW DATA 2023'!E:BP,63,0)</f>
        <v>#N/A</v>
      </c>
      <c r="E1126" t="e">
        <f t="shared" si="86"/>
        <v>#N/A</v>
      </c>
      <c r="F1126" s="8" t="e">
        <f>VLOOKUP(C1126,'RAW DATA 2023'!E:BO,23,0)</f>
        <v>#N/A</v>
      </c>
      <c r="G1126" s="14" t="e">
        <f t="shared" si="87"/>
        <v>#N/A</v>
      </c>
      <c r="H1126" s="25" t="e">
        <f t="shared" si="88"/>
        <v>#N/A</v>
      </c>
      <c r="I1126" s="80" t="e">
        <f>VLOOKUP(C1126,'RAW DATA 2023'!E:BO,36,0)</f>
        <v>#N/A</v>
      </c>
      <c r="J1126" t="e">
        <f>VLOOKUP(C1126,'RAW DATA 2023'!E:BO,21,0)</f>
        <v>#N/A</v>
      </c>
      <c r="K1126" s="268" t="e">
        <f t="shared" si="89"/>
        <v>#N/A</v>
      </c>
    </row>
    <row r="1127" spans="1:11">
      <c r="A1127">
        <f>'RAW DATA 2023'!B1120</f>
        <v>0</v>
      </c>
      <c r="B1127">
        <f>'RAW DATA 2023'!D1120</f>
        <v>0</v>
      </c>
      <c r="C1127" t="str">
        <f t="shared" si="85"/>
        <v>00</v>
      </c>
      <c r="D1127" t="e">
        <f>VLOOKUP(C1127,'RAW DATA 2023'!E:BP,63,0)</f>
        <v>#N/A</v>
      </c>
      <c r="E1127" t="e">
        <f t="shared" si="86"/>
        <v>#N/A</v>
      </c>
      <c r="F1127" s="8" t="e">
        <f>VLOOKUP(C1127,'RAW DATA 2023'!E:BO,23,0)</f>
        <v>#N/A</v>
      </c>
      <c r="G1127" s="14" t="e">
        <f t="shared" si="87"/>
        <v>#N/A</v>
      </c>
      <c r="H1127" s="25" t="e">
        <f t="shared" si="88"/>
        <v>#N/A</v>
      </c>
      <c r="I1127" s="80" t="e">
        <f>VLOOKUP(C1127,'RAW DATA 2023'!E:BO,36,0)</f>
        <v>#N/A</v>
      </c>
      <c r="J1127" t="e">
        <f>VLOOKUP(C1127,'RAW DATA 2023'!E:BO,21,0)</f>
        <v>#N/A</v>
      </c>
      <c r="K1127" s="268" t="e">
        <f t="shared" si="89"/>
        <v>#N/A</v>
      </c>
    </row>
    <row r="1128" spans="1:11">
      <c r="A1128">
        <f>'RAW DATA 2023'!B1121</f>
        <v>0</v>
      </c>
      <c r="B1128">
        <f>'RAW DATA 2023'!D1121</f>
        <v>0</v>
      </c>
      <c r="C1128" t="str">
        <f t="shared" si="85"/>
        <v>00</v>
      </c>
      <c r="D1128" t="e">
        <f>VLOOKUP(C1128,'RAW DATA 2023'!E:BP,63,0)</f>
        <v>#N/A</v>
      </c>
      <c r="E1128" t="e">
        <f t="shared" si="86"/>
        <v>#N/A</v>
      </c>
      <c r="F1128" s="8" t="e">
        <f>VLOOKUP(C1128,'RAW DATA 2023'!E:BO,23,0)</f>
        <v>#N/A</v>
      </c>
      <c r="G1128" s="14" t="e">
        <f t="shared" si="87"/>
        <v>#N/A</v>
      </c>
      <c r="H1128" s="25" t="e">
        <f t="shared" si="88"/>
        <v>#N/A</v>
      </c>
      <c r="I1128" s="80" t="e">
        <f>VLOOKUP(C1128,'RAW DATA 2023'!E:BO,36,0)</f>
        <v>#N/A</v>
      </c>
      <c r="J1128" t="e">
        <f>VLOOKUP(C1128,'RAW DATA 2023'!E:BO,21,0)</f>
        <v>#N/A</v>
      </c>
      <c r="K1128" s="268" t="e">
        <f t="shared" si="89"/>
        <v>#N/A</v>
      </c>
    </row>
    <row r="1129" spans="1:11">
      <c r="A1129">
        <f>'RAW DATA 2023'!B1122</f>
        <v>0</v>
      </c>
      <c r="B1129">
        <f>'RAW DATA 2023'!D1122</f>
        <v>0</v>
      </c>
      <c r="C1129" t="str">
        <f t="shared" si="85"/>
        <v>00</v>
      </c>
      <c r="D1129" t="e">
        <f>VLOOKUP(C1129,'RAW DATA 2023'!E:BP,63,0)</f>
        <v>#N/A</v>
      </c>
      <c r="E1129" t="e">
        <f t="shared" si="86"/>
        <v>#N/A</v>
      </c>
      <c r="F1129" s="8" t="e">
        <f>VLOOKUP(C1129,'RAW DATA 2023'!E:BO,23,0)</f>
        <v>#N/A</v>
      </c>
      <c r="G1129" s="14" t="e">
        <f t="shared" si="87"/>
        <v>#N/A</v>
      </c>
      <c r="H1129" s="25" t="e">
        <f t="shared" si="88"/>
        <v>#N/A</v>
      </c>
      <c r="I1129" s="80" t="e">
        <f>VLOOKUP(C1129,'RAW DATA 2023'!E:BO,36,0)</f>
        <v>#N/A</v>
      </c>
      <c r="J1129" t="e">
        <f>VLOOKUP(C1129,'RAW DATA 2023'!E:BO,21,0)</f>
        <v>#N/A</v>
      </c>
      <c r="K1129" s="268" t="e">
        <f t="shared" si="89"/>
        <v>#N/A</v>
      </c>
    </row>
    <row r="1130" spans="1:11">
      <c r="A1130">
        <f>'RAW DATA 2023'!B1123</f>
        <v>0</v>
      </c>
      <c r="B1130">
        <f>'RAW DATA 2023'!D1123</f>
        <v>0</v>
      </c>
      <c r="C1130" t="str">
        <f t="shared" si="85"/>
        <v>00</v>
      </c>
      <c r="D1130" t="e">
        <f>VLOOKUP(C1130,'RAW DATA 2023'!E:BP,63,0)</f>
        <v>#N/A</v>
      </c>
      <c r="E1130" t="e">
        <f t="shared" si="86"/>
        <v>#N/A</v>
      </c>
      <c r="F1130" s="8" t="e">
        <f>VLOOKUP(C1130,'RAW DATA 2023'!E:BO,23,0)</f>
        <v>#N/A</v>
      </c>
      <c r="G1130" s="14" t="e">
        <f t="shared" si="87"/>
        <v>#N/A</v>
      </c>
      <c r="H1130" s="25" t="e">
        <f t="shared" si="88"/>
        <v>#N/A</v>
      </c>
      <c r="I1130" s="80" t="e">
        <f>VLOOKUP(C1130,'RAW DATA 2023'!E:BO,36,0)</f>
        <v>#N/A</v>
      </c>
      <c r="J1130" t="e">
        <f>VLOOKUP(C1130,'RAW DATA 2023'!E:BO,21,0)</f>
        <v>#N/A</v>
      </c>
      <c r="K1130" s="268" t="e">
        <f t="shared" si="89"/>
        <v>#N/A</v>
      </c>
    </row>
    <row r="1131" spans="1:11">
      <c r="A1131">
        <f>'RAW DATA 2023'!B1124</f>
        <v>0</v>
      </c>
      <c r="B1131">
        <f>'RAW DATA 2023'!D1124</f>
        <v>0</v>
      </c>
      <c r="C1131" t="str">
        <f t="shared" si="85"/>
        <v>00</v>
      </c>
      <c r="D1131" t="e">
        <f>VLOOKUP(C1131,'RAW DATA 2023'!E:BP,63,0)</f>
        <v>#N/A</v>
      </c>
      <c r="E1131" t="e">
        <f t="shared" si="86"/>
        <v>#N/A</v>
      </c>
      <c r="F1131" s="8" t="e">
        <f>VLOOKUP(C1131,'RAW DATA 2023'!E:BO,23,0)</f>
        <v>#N/A</v>
      </c>
      <c r="G1131" s="14" t="e">
        <f t="shared" si="87"/>
        <v>#N/A</v>
      </c>
      <c r="H1131" s="25" t="e">
        <f t="shared" si="88"/>
        <v>#N/A</v>
      </c>
      <c r="I1131" s="80" t="e">
        <f>VLOOKUP(C1131,'RAW DATA 2023'!E:BO,36,0)</f>
        <v>#N/A</v>
      </c>
      <c r="J1131" t="e">
        <f>VLOOKUP(C1131,'RAW DATA 2023'!E:BO,21,0)</f>
        <v>#N/A</v>
      </c>
      <c r="K1131" s="268" t="e">
        <f t="shared" si="89"/>
        <v>#N/A</v>
      </c>
    </row>
    <row r="1132" spans="1:11">
      <c r="A1132">
        <f>'RAW DATA 2023'!B1125</f>
        <v>0</v>
      </c>
      <c r="B1132">
        <f>'RAW DATA 2023'!D1125</f>
        <v>0</v>
      </c>
      <c r="C1132" t="str">
        <f t="shared" si="85"/>
        <v>00</v>
      </c>
      <c r="D1132" t="e">
        <f>VLOOKUP(C1132,'RAW DATA 2023'!E:BP,63,0)</f>
        <v>#N/A</v>
      </c>
      <c r="E1132" t="e">
        <f t="shared" si="86"/>
        <v>#N/A</v>
      </c>
      <c r="F1132" s="8" t="e">
        <f>VLOOKUP(C1132,'RAW DATA 2023'!E:BO,23,0)</f>
        <v>#N/A</v>
      </c>
      <c r="G1132" s="14" t="e">
        <f t="shared" si="87"/>
        <v>#N/A</v>
      </c>
      <c r="H1132" s="25" t="e">
        <f t="shared" si="88"/>
        <v>#N/A</v>
      </c>
      <c r="I1132" s="80" t="e">
        <f>VLOOKUP(C1132,'RAW DATA 2023'!E:BO,36,0)</f>
        <v>#N/A</v>
      </c>
      <c r="J1132" t="e">
        <f>VLOOKUP(C1132,'RAW DATA 2023'!E:BO,21,0)</f>
        <v>#N/A</v>
      </c>
      <c r="K1132" s="268" t="e">
        <f t="shared" si="89"/>
        <v>#N/A</v>
      </c>
    </row>
    <row r="1133" spans="1:11">
      <c r="A1133">
        <f>'RAW DATA 2023'!B1126</f>
        <v>0</v>
      </c>
      <c r="B1133">
        <f>'RAW DATA 2023'!D1126</f>
        <v>0</v>
      </c>
      <c r="C1133" t="str">
        <f t="shared" si="85"/>
        <v>00</v>
      </c>
      <c r="D1133" t="e">
        <f>VLOOKUP(C1133,'RAW DATA 2023'!E:BP,63,0)</f>
        <v>#N/A</v>
      </c>
      <c r="E1133" t="e">
        <f t="shared" si="86"/>
        <v>#N/A</v>
      </c>
      <c r="F1133" s="8" t="e">
        <f>VLOOKUP(C1133,'RAW DATA 2023'!E:BO,23,0)</f>
        <v>#N/A</v>
      </c>
      <c r="G1133" s="14" t="e">
        <f t="shared" si="87"/>
        <v>#N/A</v>
      </c>
      <c r="H1133" s="25" t="e">
        <f t="shared" si="88"/>
        <v>#N/A</v>
      </c>
      <c r="I1133" s="80" t="e">
        <f>VLOOKUP(C1133,'RAW DATA 2023'!E:BO,36,0)</f>
        <v>#N/A</v>
      </c>
      <c r="J1133" t="e">
        <f>VLOOKUP(C1133,'RAW DATA 2023'!E:BO,21,0)</f>
        <v>#N/A</v>
      </c>
      <c r="K1133" s="268" t="e">
        <f t="shared" si="89"/>
        <v>#N/A</v>
      </c>
    </row>
    <row r="1134" spans="1:11">
      <c r="A1134">
        <f>'RAW DATA 2023'!B1127</f>
        <v>0</v>
      </c>
      <c r="B1134">
        <f>'RAW DATA 2023'!D1127</f>
        <v>0</v>
      </c>
      <c r="C1134" t="str">
        <f t="shared" si="85"/>
        <v>00</v>
      </c>
      <c r="D1134" t="e">
        <f>VLOOKUP(C1134,'RAW DATA 2023'!E:BP,63,0)</f>
        <v>#N/A</v>
      </c>
      <c r="E1134" t="e">
        <f t="shared" si="86"/>
        <v>#N/A</v>
      </c>
      <c r="F1134" s="8" t="e">
        <f>VLOOKUP(C1134,'RAW DATA 2023'!E:BO,23,0)</f>
        <v>#N/A</v>
      </c>
      <c r="G1134" s="14" t="e">
        <f t="shared" si="87"/>
        <v>#N/A</v>
      </c>
      <c r="H1134" s="25" t="e">
        <f t="shared" si="88"/>
        <v>#N/A</v>
      </c>
      <c r="I1134" s="80" t="e">
        <f>VLOOKUP(C1134,'RAW DATA 2023'!E:BO,36,0)</f>
        <v>#N/A</v>
      </c>
      <c r="J1134" t="e">
        <f>VLOOKUP(C1134,'RAW DATA 2023'!E:BO,21,0)</f>
        <v>#N/A</v>
      </c>
      <c r="K1134" s="268" t="e">
        <f t="shared" si="89"/>
        <v>#N/A</v>
      </c>
    </row>
    <row r="1135" spans="1:11">
      <c r="A1135">
        <f>'RAW DATA 2023'!B1128</f>
        <v>0</v>
      </c>
      <c r="B1135">
        <f>'RAW DATA 2023'!D1128</f>
        <v>0</v>
      </c>
      <c r="C1135" t="str">
        <f t="shared" si="85"/>
        <v>00</v>
      </c>
      <c r="D1135" t="e">
        <f>VLOOKUP(C1135,'RAW DATA 2023'!E:BP,63,0)</f>
        <v>#N/A</v>
      </c>
      <c r="E1135" t="e">
        <f t="shared" si="86"/>
        <v>#N/A</v>
      </c>
      <c r="F1135" s="8" t="e">
        <f>VLOOKUP(C1135,'RAW DATA 2023'!E:BO,23,0)</f>
        <v>#N/A</v>
      </c>
      <c r="G1135" s="14" t="e">
        <f t="shared" si="87"/>
        <v>#N/A</v>
      </c>
      <c r="H1135" s="25" t="e">
        <f t="shared" si="88"/>
        <v>#N/A</v>
      </c>
      <c r="I1135" s="80" t="e">
        <f>VLOOKUP(C1135,'RAW DATA 2023'!E:BO,36,0)</f>
        <v>#N/A</v>
      </c>
      <c r="J1135" t="e">
        <f>VLOOKUP(C1135,'RAW DATA 2023'!E:BO,21,0)</f>
        <v>#N/A</v>
      </c>
      <c r="K1135" s="268" t="e">
        <f t="shared" si="89"/>
        <v>#N/A</v>
      </c>
    </row>
    <row r="1136" spans="1:11">
      <c r="A1136">
        <f>'RAW DATA 2023'!B1129</f>
        <v>0</v>
      </c>
      <c r="B1136">
        <f>'RAW DATA 2023'!D1129</f>
        <v>0</v>
      </c>
      <c r="C1136" t="str">
        <f t="shared" si="85"/>
        <v>00</v>
      </c>
      <c r="D1136" t="e">
        <f>VLOOKUP(C1136,'RAW DATA 2023'!E:BP,63,0)</f>
        <v>#N/A</v>
      </c>
      <c r="E1136" t="e">
        <f t="shared" si="86"/>
        <v>#N/A</v>
      </c>
      <c r="F1136" s="8" t="e">
        <f>VLOOKUP(C1136,'RAW DATA 2023'!E:BO,23,0)</f>
        <v>#N/A</v>
      </c>
      <c r="G1136" s="14" t="e">
        <f t="shared" si="87"/>
        <v>#N/A</v>
      </c>
      <c r="H1136" s="25" t="e">
        <f t="shared" si="88"/>
        <v>#N/A</v>
      </c>
      <c r="I1136" s="80" t="e">
        <f>VLOOKUP(C1136,'RAW DATA 2023'!E:BO,36,0)</f>
        <v>#N/A</v>
      </c>
      <c r="J1136" t="e">
        <f>VLOOKUP(C1136,'RAW DATA 2023'!E:BO,21,0)</f>
        <v>#N/A</v>
      </c>
      <c r="K1136" s="268" t="e">
        <f t="shared" si="89"/>
        <v>#N/A</v>
      </c>
    </row>
    <row r="1137" spans="1:11">
      <c r="A1137">
        <f>'RAW DATA 2023'!B1130</f>
        <v>0</v>
      </c>
      <c r="B1137">
        <f>'RAW DATA 2023'!D1130</f>
        <v>0</v>
      </c>
      <c r="C1137" t="str">
        <f t="shared" si="85"/>
        <v>00</v>
      </c>
      <c r="D1137" t="e">
        <f>VLOOKUP(C1137,'RAW DATA 2023'!E:BP,63,0)</f>
        <v>#N/A</v>
      </c>
      <c r="E1137" t="e">
        <f t="shared" si="86"/>
        <v>#N/A</v>
      </c>
      <c r="F1137" s="8" t="e">
        <f>VLOOKUP(C1137,'RAW DATA 2023'!E:BO,23,0)</f>
        <v>#N/A</v>
      </c>
      <c r="G1137" s="14" t="e">
        <f t="shared" si="87"/>
        <v>#N/A</v>
      </c>
      <c r="H1137" s="25" t="e">
        <f t="shared" si="88"/>
        <v>#N/A</v>
      </c>
      <c r="I1137" s="80" t="e">
        <f>VLOOKUP(C1137,'RAW DATA 2023'!E:BO,36,0)</f>
        <v>#N/A</v>
      </c>
      <c r="J1137" t="e">
        <f>VLOOKUP(C1137,'RAW DATA 2023'!E:BO,21,0)</f>
        <v>#N/A</v>
      </c>
      <c r="K1137" s="268" t="e">
        <f t="shared" si="89"/>
        <v>#N/A</v>
      </c>
    </row>
    <row r="1138" spans="1:11">
      <c r="A1138">
        <f>'RAW DATA 2023'!B1131</f>
        <v>0</v>
      </c>
      <c r="B1138">
        <f>'RAW DATA 2023'!D1131</f>
        <v>0</v>
      </c>
      <c r="C1138" t="str">
        <f t="shared" si="85"/>
        <v>00</v>
      </c>
      <c r="D1138" t="e">
        <f>VLOOKUP(C1138,'RAW DATA 2023'!E:BP,63,0)</f>
        <v>#N/A</v>
      </c>
      <c r="E1138" t="e">
        <f t="shared" si="86"/>
        <v>#N/A</v>
      </c>
      <c r="F1138" s="8" t="e">
        <f>VLOOKUP(C1138,'RAW DATA 2023'!E:BO,23,0)</f>
        <v>#N/A</v>
      </c>
      <c r="G1138" s="14" t="e">
        <f t="shared" si="87"/>
        <v>#N/A</v>
      </c>
      <c r="H1138" s="25" t="e">
        <f t="shared" si="88"/>
        <v>#N/A</v>
      </c>
      <c r="I1138" s="80" t="e">
        <f>VLOOKUP(C1138,'RAW DATA 2023'!E:BO,36,0)</f>
        <v>#N/A</v>
      </c>
      <c r="J1138" t="e">
        <f>VLOOKUP(C1138,'RAW DATA 2023'!E:BO,21,0)</f>
        <v>#N/A</v>
      </c>
      <c r="K1138" s="268" t="e">
        <f t="shared" si="89"/>
        <v>#N/A</v>
      </c>
    </row>
    <row r="1139" spans="1:11">
      <c r="A1139">
        <f>'RAW DATA 2023'!B1132</f>
        <v>0</v>
      </c>
      <c r="B1139">
        <f>'RAW DATA 2023'!D1132</f>
        <v>0</v>
      </c>
      <c r="C1139" t="str">
        <f t="shared" si="85"/>
        <v>00</v>
      </c>
      <c r="D1139" t="e">
        <f>VLOOKUP(C1139,'RAW DATA 2023'!E:BP,63,0)</f>
        <v>#N/A</v>
      </c>
      <c r="E1139" t="e">
        <f t="shared" si="86"/>
        <v>#N/A</v>
      </c>
      <c r="F1139" s="8" t="e">
        <f>VLOOKUP(C1139,'RAW DATA 2023'!E:BO,23,0)</f>
        <v>#N/A</v>
      </c>
      <c r="G1139" s="14" t="e">
        <f t="shared" si="87"/>
        <v>#N/A</v>
      </c>
      <c r="H1139" s="25" t="e">
        <f t="shared" si="88"/>
        <v>#N/A</v>
      </c>
      <c r="I1139" s="80" t="e">
        <f>VLOOKUP(C1139,'RAW DATA 2023'!E:BO,36,0)</f>
        <v>#N/A</v>
      </c>
      <c r="J1139" t="e">
        <f>VLOOKUP(C1139,'RAW DATA 2023'!E:BO,21,0)</f>
        <v>#N/A</v>
      </c>
      <c r="K1139" s="268" t="e">
        <f t="shared" si="89"/>
        <v>#N/A</v>
      </c>
    </row>
    <row r="1140" spans="1:11">
      <c r="A1140">
        <f>'RAW DATA 2023'!B1133</f>
        <v>0</v>
      </c>
      <c r="B1140">
        <f>'RAW DATA 2023'!D1133</f>
        <v>0</v>
      </c>
      <c r="C1140" t="str">
        <f t="shared" si="85"/>
        <v>00</v>
      </c>
      <c r="D1140" t="e">
        <f>VLOOKUP(C1140,'RAW DATA 2023'!E:BP,63,0)</f>
        <v>#N/A</v>
      </c>
      <c r="E1140" t="e">
        <f t="shared" si="86"/>
        <v>#N/A</v>
      </c>
      <c r="F1140" s="8" t="e">
        <f>VLOOKUP(C1140,'RAW DATA 2023'!E:BO,23,0)</f>
        <v>#N/A</v>
      </c>
      <c r="G1140" s="14" t="e">
        <f t="shared" si="87"/>
        <v>#N/A</v>
      </c>
      <c r="H1140" s="25" t="e">
        <f t="shared" si="88"/>
        <v>#N/A</v>
      </c>
      <c r="I1140" s="80" t="e">
        <f>VLOOKUP(C1140,'RAW DATA 2023'!E:BO,36,0)</f>
        <v>#N/A</v>
      </c>
      <c r="J1140" t="e">
        <f>VLOOKUP(C1140,'RAW DATA 2023'!E:BO,21,0)</f>
        <v>#N/A</v>
      </c>
      <c r="K1140" s="268" t="e">
        <f t="shared" si="89"/>
        <v>#N/A</v>
      </c>
    </row>
    <row r="1141" spans="1:11">
      <c r="A1141">
        <f>'RAW DATA 2023'!B1134</f>
        <v>0</v>
      </c>
      <c r="B1141">
        <f>'RAW DATA 2023'!D1134</f>
        <v>0</v>
      </c>
      <c r="C1141" t="str">
        <f t="shared" si="85"/>
        <v>00</v>
      </c>
      <c r="D1141" t="e">
        <f>VLOOKUP(C1141,'RAW DATA 2023'!E:BP,63,0)</f>
        <v>#N/A</v>
      </c>
      <c r="E1141" t="e">
        <f t="shared" si="86"/>
        <v>#N/A</v>
      </c>
      <c r="F1141" s="8" t="e">
        <f>VLOOKUP(C1141,'RAW DATA 2023'!E:BO,23,0)</f>
        <v>#N/A</v>
      </c>
      <c r="G1141" s="14" t="e">
        <f t="shared" si="87"/>
        <v>#N/A</v>
      </c>
      <c r="H1141" s="25" t="e">
        <f t="shared" si="88"/>
        <v>#N/A</v>
      </c>
      <c r="I1141" s="80" t="e">
        <f>VLOOKUP(C1141,'RAW DATA 2023'!E:BO,36,0)</f>
        <v>#N/A</v>
      </c>
      <c r="J1141" t="e">
        <f>VLOOKUP(C1141,'RAW DATA 2023'!E:BO,21,0)</f>
        <v>#N/A</v>
      </c>
      <c r="K1141" s="268" t="e">
        <f t="shared" si="89"/>
        <v>#N/A</v>
      </c>
    </row>
    <row r="1142" spans="1:11">
      <c r="A1142">
        <f>'RAW DATA 2023'!B1135</f>
        <v>0</v>
      </c>
      <c r="B1142">
        <f>'RAW DATA 2023'!D1135</f>
        <v>0</v>
      </c>
      <c r="C1142" t="str">
        <f t="shared" si="85"/>
        <v>00</v>
      </c>
      <c r="D1142" t="e">
        <f>VLOOKUP(C1142,'RAW DATA 2023'!E:BP,63,0)</f>
        <v>#N/A</v>
      </c>
      <c r="E1142" t="e">
        <f t="shared" si="86"/>
        <v>#N/A</v>
      </c>
      <c r="F1142" s="8" t="e">
        <f>VLOOKUP(C1142,'RAW DATA 2023'!E:BO,23,0)</f>
        <v>#N/A</v>
      </c>
      <c r="G1142" s="14" t="e">
        <f t="shared" si="87"/>
        <v>#N/A</v>
      </c>
      <c r="H1142" s="25" t="e">
        <f t="shared" si="88"/>
        <v>#N/A</v>
      </c>
      <c r="I1142" s="80" t="e">
        <f>VLOOKUP(C1142,'RAW DATA 2023'!E:BO,36,0)</f>
        <v>#N/A</v>
      </c>
      <c r="J1142" t="e">
        <f>VLOOKUP(C1142,'RAW DATA 2023'!E:BO,21,0)</f>
        <v>#N/A</v>
      </c>
      <c r="K1142" s="268" t="e">
        <f t="shared" si="89"/>
        <v>#N/A</v>
      </c>
    </row>
    <row r="1143" spans="1:11">
      <c r="A1143">
        <f>'RAW DATA 2023'!B1136</f>
        <v>0</v>
      </c>
      <c r="B1143">
        <f>'RAW DATA 2023'!D1136</f>
        <v>0</v>
      </c>
      <c r="C1143" t="str">
        <f t="shared" si="85"/>
        <v>00</v>
      </c>
      <c r="D1143" t="e">
        <f>VLOOKUP(C1143,'RAW DATA 2023'!E:BP,63,0)</f>
        <v>#N/A</v>
      </c>
      <c r="E1143" t="e">
        <f t="shared" si="86"/>
        <v>#N/A</v>
      </c>
      <c r="F1143" s="8" t="e">
        <f>VLOOKUP(C1143,'RAW DATA 2023'!E:BO,23,0)</f>
        <v>#N/A</v>
      </c>
      <c r="G1143" s="14" t="e">
        <f t="shared" si="87"/>
        <v>#N/A</v>
      </c>
      <c r="H1143" s="25" t="e">
        <f t="shared" si="88"/>
        <v>#N/A</v>
      </c>
      <c r="I1143" s="80" t="e">
        <f>VLOOKUP(C1143,'RAW DATA 2023'!E:BO,36,0)</f>
        <v>#N/A</v>
      </c>
      <c r="J1143" t="e">
        <f>VLOOKUP(C1143,'RAW DATA 2023'!E:BO,21,0)</f>
        <v>#N/A</v>
      </c>
      <c r="K1143" s="268" t="e">
        <f t="shared" si="89"/>
        <v>#N/A</v>
      </c>
    </row>
    <row r="1144" spans="1:11">
      <c r="A1144">
        <f>'RAW DATA 2023'!B1137</f>
        <v>0</v>
      </c>
      <c r="B1144">
        <f>'RAW DATA 2023'!D1137</f>
        <v>0</v>
      </c>
      <c r="C1144" t="str">
        <f t="shared" si="85"/>
        <v>00</v>
      </c>
      <c r="D1144" t="e">
        <f>VLOOKUP(C1144,'RAW DATA 2023'!E:BP,63,0)</f>
        <v>#N/A</v>
      </c>
      <c r="E1144" t="e">
        <f t="shared" si="86"/>
        <v>#N/A</v>
      </c>
      <c r="F1144" s="8" t="e">
        <f>VLOOKUP(C1144,'RAW DATA 2023'!E:BO,23,0)</f>
        <v>#N/A</v>
      </c>
      <c r="G1144" s="14" t="e">
        <f t="shared" si="87"/>
        <v>#N/A</v>
      </c>
      <c r="H1144" s="25" t="e">
        <f t="shared" si="88"/>
        <v>#N/A</v>
      </c>
      <c r="I1144" s="80" t="e">
        <f>VLOOKUP(C1144,'RAW DATA 2023'!E:BO,36,0)</f>
        <v>#N/A</v>
      </c>
      <c r="J1144" t="e">
        <f>VLOOKUP(C1144,'RAW DATA 2023'!E:BO,21,0)</f>
        <v>#N/A</v>
      </c>
      <c r="K1144" s="268" t="e">
        <f t="shared" si="89"/>
        <v>#N/A</v>
      </c>
    </row>
    <row r="1145" spans="1:11">
      <c r="A1145">
        <f>'RAW DATA 2023'!B1138</f>
        <v>0</v>
      </c>
      <c r="B1145">
        <f>'RAW DATA 2023'!D1138</f>
        <v>0</v>
      </c>
      <c r="C1145" t="str">
        <f t="shared" si="85"/>
        <v>00</v>
      </c>
      <c r="D1145" t="e">
        <f>VLOOKUP(C1145,'RAW DATA 2023'!E:BP,63,0)</f>
        <v>#N/A</v>
      </c>
      <c r="E1145" t="e">
        <f t="shared" si="86"/>
        <v>#N/A</v>
      </c>
      <c r="F1145" s="8" t="e">
        <f>VLOOKUP(C1145,'RAW DATA 2023'!E:BO,23,0)</f>
        <v>#N/A</v>
      </c>
      <c r="G1145" s="14" t="e">
        <f t="shared" si="87"/>
        <v>#N/A</v>
      </c>
      <c r="H1145" s="25" t="e">
        <f t="shared" si="88"/>
        <v>#N/A</v>
      </c>
      <c r="I1145" s="80" t="e">
        <f>VLOOKUP(C1145,'RAW DATA 2023'!E:BO,36,0)</f>
        <v>#N/A</v>
      </c>
      <c r="J1145" t="e">
        <f>VLOOKUP(C1145,'RAW DATA 2023'!E:BO,21,0)</f>
        <v>#N/A</v>
      </c>
      <c r="K1145" s="268" t="e">
        <f t="shared" si="89"/>
        <v>#N/A</v>
      </c>
    </row>
    <row r="1146" spans="1:11">
      <c r="A1146">
        <f>'RAW DATA 2023'!B1139</f>
        <v>0</v>
      </c>
      <c r="B1146">
        <f>'RAW DATA 2023'!D1139</f>
        <v>0</v>
      </c>
      <c r="C1146" t="str">
        <f t="shared" si="85"/>
        <v>00</v>
      </c>
      <c r="D1146" t="e">
        <f>VLOOKUP(C1146,'RAW DATA 2023'!E:BP,63,0)</f>
        <v>#N/A</v>
      </c>
      <c r="E1146" t="e">
        <f t="shared" si="86"/>
        <v>#N/A</v>
      </c>
      <c r="F1146" s="8" t="e">
        <f>VLOOKUP(C1146,'RAW DATA 2023'!E:BO,23,0)</f>
        <v>#N/A</v>
      </c>
      <c r="G1146" s="14" t="e">
        <f t="shared" si="87"/>
        <v>#N/A</v>
      </c>
      <c r="H1146" s="25" t="e">
        <f t="shared" si="88"/>
        <v>#N/A</v>
      </c>
      <c r="I1146" s="80" t="e">
        <f>VLOOKUP(C1146,'RAW DATA 2023'!E:BO,36,0)</f>
        <v>#N/A</v>
      </c>
      <c r="J1146" t="e">
        <f>VLOOKUP(C1146,'RAW DATA 2023'!E:BO,21,0)</f>
        <v>#N/A</v>
      </c>
      <c r="K1146" s="268" t="e">
        <f t="shared" si="89"/>
        <v>#N/A</v>
      </c>
    </row>
    <row r="1147" spans="1:11">
      <c r="A1147">
        <f>'RAW DATA 2023'!B1140</f>
        <v>0</v>
      </c>
      <c r="B1147">
        <f>'RAW DATA 2023'!D1140</f>
        <v>0</v>
      </c>
      <c r="C1147" t="str">
        <f t="shared" si="85"/>
        <v>00</v>
      </c>
      <c r="D1147" t="e">
        <f>VLOOKUP(C1147,'RAW DATA 2023'!E:BP,63,0)</f>
        <v>#N/A</v>
      </c>
      <c r="E1147" t="e">
        <f t="shared" si="86"/>
        <v>#N/A</v>
      </c>
      <c r="F1147" s="8" t="e">
        <f>VLOOKUP(C1147,'RAW DATA 2023'!E:BO,23,0)</f>
        <v>#N/A</v>
      </c>
      <c r="G1147" s="14" t="e">
        <f t="shared" si="87"/>
        <v>#N/A</v>
      </c>
      <c r="H1147" s="25" t="e">
        <f t="shared" si="88"/>
        <v>#N/A</v>
      </c>
      <c r="I1147" s="80" t="e">
        <f>VLOOKUP(C1147,'RAW DATA 2023'!E:BO,36,0)</f>
        <v>#N/A</v>
      </c>
      <c r="J1147" t="e">
        <f>VLOOKUP(C1147,'RAW DATA 2023'!E:BO,21,0)</f>
        <v>#N/A</v>
      </c>
      <c r="K1147" s="268" t="e">
        <f t="shared" si="89"/>
        <v>#N/A</v>
      </c>
    </row>
    <row r="1148" spans="1:11">
      <c r="A1148">
        <f>'RAW DATA 2023'!B1141</f>
        <v>0</v>
      </c>
      <c r="B1148">
        <f>'RAW DATA 2023'!D1141</f>
        <v>0</v>
      </c>
      <c r="C1148" t="str">
        <f t="shared" si="85"/>
        <v>00</v>
      </c>
      <c r="D1148" t="e">
        <f>VLOOKUP(C1148,'RAW DATA 2023'!E:BP,63,0)</f>
        <v>#N/A</v>
      </c>
      <c r="E1148" t="e">
        <f t="shared" si="86"/>
        <v>#N/A</v>
      </c>
      <c r="F1148" s="8" t="e">
        <f>VLOOKUP(C1148,'RAW DATA 2023'!E:BO,23,0)</f>
        <v>#N/A</v>
      </c>
      <c r="G1148" s="14" t="e">
        <f t="shared" si="87"/>
        <v>#N/A</v>
      </c>
      <c r="H1148" s="25" t="e">
        <f t="shared" si="88"/>
        <v>#N/A</v>
      </c>
      <c r="I1148" s="80" t="e">
        <f>VLOOKUP(C1148,'RAW DATA 2023'!E:BO,36,0)</f>
        <v>#N/A</v>
      </c>
      <c r="J1148" t="e">
        <f>VLOOKUP(C1148,'RAW DATA 2023'!E:BO,21,0)</f>
        <v>#N/A</v>
      </c>
      <c r="K1148" s="268" t="e">
        <f t="shared" si="89"/>
        <v>#N/A</v>
      </c>
    </row>
    <row r="1149" spans="1:11">
      <c r="A1149">
        <f>'RAW DATA 2023'!B1142</f>
        <v>0</v>
      </c>
      <c r="B1149">
        <f>'RAW DATA 2023'!D1142</f>
        <v>0</v>
      </c>
      <c r="C1149" t="str">
        <f t="shared" si="85"/>
        <v>00</v>
      </c>
      <c r="D1149" t="e">
        <f>VLOOKUP(C1149,'RAW DATA 2023'!E:BP,63,0)</f>
        <v>#N/A</v>
      </c>
      <c r="E1149" t="e">
        <f t="shared" si="86"/>
        <v>#N/A</v>
      </c>
      <c r="F1149" s="8" t="e">
        <f>VLOOKUP(C1149,'RAW DATA 2023'!E:BO,23,0)</f>
        <v>#N/A</v>
      </c>
      <c r="G1149" s="14" t="e">
        <f t="shared" si="87"/>
        <v>#N/A</v>
      </c>
      <c r="H1149" s="25" t="e">
        <f t="shared" si="88"/>
        <v>#N/A</v>
      </c>
      <c r="I1149" s="80" t="e">
        <f>VLOOKUP(C1149,'RAW DATA 2023'!E:BO,36,0)</f>
        <v>#N/A</v>
      </c>
      <c r="J1149" t="e">
        <f>VLOOKUP(C1149,'RAW DATA 2023'!E:BO,21,0)</f>
        <v>#N/A</v>
      </c>
      <c r="K1149" s="268" t="e">
        <f t="shared" si="89"/>
        <v>#N/A</v>
      </c>
    </row>
    <row r="1150" spans="1:11">
      <c r="A1150">
        <f>'RAW DATA 2023'!B1143</f>
        <v>0</v>
      </c>
      <c r="B1150">
        <f>'RAW DATA 2023'!D1143</f>
        <v>0</v>
      </c>
      <c r="C1150" t="str">
        <f t="shared" si="85"/>
        <v>00</v>
      </c>
      <c r="D1150" t="e">
        <f>VLOOKUP(C1150,'RAW DATA 2023'!E:BP,63,0)</f>
        <v>#N/A</v>
      </c>
      <c r="E1150" t="e">
        <f t="shared" si="86"/>
        <v>#N/A</v>
      </c>
      <c r="F1150" s="8" t="e">
        <f>VLOOKUP(C1150,'RAW DATA 2023'!E:BO,23,0)</f>
        <v>#N/A</v>
      </c>
      <c r="G1150" s="14" t="e">
        <f t="shared" si="87"/>
        <v>#N/A</v>
      </c>
      <c r="H1150" s="25" t="e">
        <f t="shared" si="88"/>
        <v>#N/A</v>
      </c>
      <c r="I1150" s="80" t="e">
        <f>VLOOKUP(C1150,'RAW DATA 2023'!E:BO,36,0)</f>
        <v>#N/A</v>
      </c>
      <c r="J1150" t="e">
        <f>VLOOKUP(C1150,'RAW DATA 2023'!E:BO,21,0)</f>
        <v>#N/A</v>
      </c>
      <c r="K1150" s="268" t="e">
        <f t="shared" si="89"/>
        <v>#N/A</v>
      </c>
    </row>
    <row r="1151" spans="1:11">
      <c r="A1151">
        <f>'RAW DATA 2023'!B1144</f>
        <v>0</v>
      </c>
      <c r="B1151">
        <f>'RAW DATA 2023'!D1144</f>
        <v>0</v>
      </c>
      <c r="C1151" t="str">
        <f t="shared" si="85"/>
        <v>00</v>
      </c>
      <c r="D1151" t="e">
        <f>VLOOKUP(C1151,'RAW DATA 2023'!E:BP,63,0)</f>
        <v>#N/A</v>
      </c>
      <c r="E1151" t="e">
        <f t="shared" si="86"/>
        <v>#N/A</v>
      </c>
      <c r="F1151" s="8" t="e">
        <f>VLOOKUP(C1151,'RAW DATA 2023'!E:BO,23,0)</f>
        <v>#N/A</v>
      </c>
      <c r="G1151" s="14" t="e">
        <f t="shared" si="87"/>
        <v>#N/A</v>
      </c>
      <c r="H1151" s="25" t="e">
        <f t="shared" si="88"/>
        <v>#N/A</v>
      </c>
      <c r="I1151" s="80" t="e">
        <f>VLOOKUP(C1151,'RAW DATA 2023'!E:BO,36,0)</f>
        <v>#N/A</v>
      </c>
      <c r="J1151" t="e">
        <f>VLOOKUP(C1151,'RAW DATA 2023'!E:BO,21,0)</f>
        <v>#N/A</v>
      </c>
      <c r="K1151" s="268" t="e">
        <f t="shared" si="89"/>
        <v>#N/A</v>
      </c>
    </row>
    <row r="1152" spans="1:11">
      <c r="A1152">
        <f>'RAW DATA 2023'!B1145</f>
        <v>0</v>
      </c>
      <c r="B1152">
        <f>'RAW DATA 2023'!D1145</f>
        <v>0</v>
      </c>
      <c r="C1152" t="str">
        <f t="shared" si="85"/>
        <v>00</v>
      </c>
      <c r="D1152" t="e">
        <f>VLOOKUP(C1152,'RAW DATA 2023'!E:BP,63,0)</f>
        <v>#N/A</v>
      </c>
      <c r="E1152" t="e">
        <f t="shared" si="86"/>
        <v>#N/A</v>
      </c>
      <c r="F1152" s="8" t="e">
        <f>VLOOKUP(C1152,'RAW DATA 2023'!E:BO,23,0)</f>
        <v>#N/A</v>
      </c>
      <c r="G1152" s="14" t="e">
        <f t="shared" si="87"/>
        <v>#N/A</v>
      </c>
      <c r="H1152" s="25" t="e">
        <f t="shared" si="88"/>
        <v>#N/A</v>
      </c>
      <c r="I1152" s="80" t="e">
        <f>VLOOKUP(C1152,'RAW DATA 2023'!E:BO,36,0)</f>
        <v>#N/A</v>
      </c>
      <c r="J1152" t="e">
        <f>VLOOKUP(C1152,'RAW DATA 2023'!E:BO,21,0)</f>
        <v>#N/A</v>
      </c>
      <c r="K1152" s="268" t="e">
        <f t="shared" si="89"/>
        <v>#N/A</v>
      </c>
    </row>
    <row r="1153" spans="1:11">
      <c r="A1153">
        <f>'RAW DATA 2023'!B1146</f>
        <v>0</v>
      </c>
      <c r="B1153">
        <f>'RAW DATA 2023'!D1146</f>
        <v>0</v>
      </c>
      <c r="C1153" t="str">
        <f t="shared" si="85"/>
        <v>00</v>
      </c>
      <c r="D1153" t="e">
        <f>VLOOKUP(C1153,'RAW DATA 2023'!E:BP,63,0)</f>
        <v>#N/A</v>
      </c>
      <c r="E1153" t="e">
        <f t="shared" si="86"/>
        <v>#N/A</v>
      </c>
      <c r="F1153" s="8" t="e">
        <f>VLOOKUP(C1153,'RAW DATA 2023'!E:BO,23,0)</f>
        <v>#N/A</v>
      </c>
      <c r="G1153" s="14" t="e">
        <f t="shared" si="87"/>
        <v>#N/A</v>
      </c>
      <c r="H1153" s="25" t="e">
        <f t="shared" si="88"/>
        <v>#N/A</v>
      </c>
      <c r="I1153" s="80" t="e">
        <f>VLOOKUP(C1153,'RAW DATA 2023'!E:BO,36,0)</f>
        <v>#N/A</v>
      </c>
      <c r="J1153" t="e">
        <f>VLOOKUP(C1153,'RAW DATA 2023'!E:BO,21,0)</f>
        <v>#N/A</v>
      </c>
      <c r="K1153" s="268" t="e">
        <f t="shared" si="89"/>
        <v>#N/A</v>
      </c>
    </row>
    <row r="1154" spans="1:11">
      <c r="A1154">
        <f>'RAW DATA 2023'!B1147</f>
        <v>0</v>
      </c>
      <c r="B1154">
        <f>'RAW DATA 2023'!D1147</f>
        <v>0</v>
      </c>
      <c r="C1154" t="str">
        <f t="shared" si="85"/>
        <v>00</v>
      </c>
      <c r="D1154" t="e">
        <f>VLOOKUP(C1154,'RAW DATA 2023'!E:BP,63,0)</f>
        <v>#N/A</v>
      </c>
      <c r="E1154" t="e">
        <f t="shared" si="86"/>
        <v>#N/A</v>
      </c>
      <c r="F1154" s="8" t="e">
        <f>VLOOKUP(C1154,'RAW DATA 2023'!E:BO,23,0)</f>
        <v>#N/A</v>
      </c>
      <c r="G1154" s="14" t="e">
        <f t="shared" si="87"/>
        <v>#N/A</v>
      </c>
      <c r="H1154" s="25" t="e">
        <f t="shared" si="88"/>
        <v>#N/A</v>
      </c>
      <c r="I1154" s="80" t="e">
        <f>VLOOKUP(C1154,'RAW DATA 2023'!E:BO,36,0)</f>
        <v>#N/A</v>
      </c>
      <c r="J1154" t="e">
        <f>VLOOKUP(C1154,'RAW DATA 2023'!E:BO,21,0)</f>
        <v>#N/A</v>
      </c>
      <c r="K1154" s="268" t="e">
        <f t="shared" si="89"/>
        <v>#N/A</v>
      </c>
    </row>
    <row r="1155" spans="1:11">
      <c r="A1155">
        <f>'RAW DATA 2023'!B1148</f>
        <v>0</v>
      </c>
      <c r="B1155">
        <f>'RAW DATA 2023'!D1148</f>
        <v>0</v>
      </c>
      <c r="C1155" t="str">
        <f t="shared" si="85"/>
        <v>00</v>
      </c>
      <c r="D1155" t="e">
        <f>VLOOKUP(C1155,'RAW DATA 2023'!E:BP,63,0)</f>
        <v>#N/A</v>
      </c>
      <c r="E1155" t="e">
        <f t="shared" si="86"/>
        <v>#N/A</v>
      </c>
      <c r="F1155" s="8" t="e">
        <f>VLOOKUP(C1155,'RAW DATA 2023'!E:BO,23,0)</f>
        <v>#N/A</v>
      </c>
      <c r="G1155" s="14" t="e">
        <f t="shared" si="87"/>
        <v>#N/A</v>
      </c>
      <c r="H1155" s="25" t="e">
        <f t="shared" si="88"/>
        <v>#N/A</v>
      </c>
      <c r="I1155" s="80" t="e">
        <f>VLOOKUP(C1155,'RAW DATA 2023'!E:BO,36,0)</f>
        <v>#N/A</v>
      </c>
      <c r="J1155" t="e">
        <f>VLOOKUP(C1155,'RAW DATA 2023'!E:BO,21,0)</f>
        <v>#N/A</v>
      </c>
      <c r="K1155" s="268" t="e">
        <f t="shared" si="89"/>
        <v>#N/A</v>
      </c>
    </row>
    <row r="1156" spans="1:11">
      <c r="A1156">
        <f>'RAW DATA 2023'!B1149</f>
        <v>0</v>
      </c>
      <c r="B1156">
        <f>'RAW DATA 2023'!D1149</f>
        <v>0</v>
      </c>
      <c r="C1156" t="str">
        <f t="shared" si="85"/>
        <v>00</v>
      </c>
      <c r="D1156" t="e">
        <f>VLOOKUP(C1156,'RAW DATA 2023'!E:BP,63,0)</f>
        <v>#N/A</v>
      </c>
      <c r="E1156" t="e">
        <f t="shared" si="86"/>
        <v>#N/A</v>
      </c>
      <c r="F1156" s="8" t="e">
        <f>VLOOKUP(C1156,'RAW DATA 2023'!E:BO,23,0)</f>
        <v>#N/A</v>
      </c>
      <c r="G1156" s="14" t="e">
        <f t="shared" si="87"/>
        <v>#N/A</v>
      </c>
      <c r="H1156" s="25" t="e">
        <f t="shared" si="88"/>
        <v>#N/A</v>
      </c>
      <c r="I1156" s="80" t="e">
        <f>VLOOKUP(C1156,'RAW DATA 2023'!E:BO,36,0)</f>
        <v>#N/A</v>
      </c>
      <c r="J1156" t="e">
        <f>VLOOKUP(C1156,'RAW DATA 2023'!E:BO,21,0)</f>
        <v>#N/A</v>
      </c>
      <c r="K1156" s="268" t="e">
        <f t="shared" si="89"/>
        <v>#N/A</v>
      </c>
    </row>
    <row r="1157" spans="1:11">
      <c r="A1157">
        <f>'RAW DATA 2023'!B1150</f>
        <v>0</v>
      </c>
      <c r="B1157">
        <f>'RAW DATA 2023'!D1150</f>
        <v>0</v>
      </c>
      <c r="C1157" t="str">
        <f t="shared" si="85"/>
        <v>00</v>
      </c>
      <c r="D1157" t="e">
        <f>VLOOKUP(C1157,'RAW DATA 2023'!E:BP,63,0)</f>
        <v>#N/A</v>
      </c>
      <c r="E1157" t="e">
        <f t="shared" si="86"/>
        <v>#N/A</v>
      </c>
      <c r="F1157" s="8" t="e">
        <f>VLOOKUP(C1157,'RAW DATA 2023'!E:BO,23,0)</f>
        <v>#N/A</v>
      </c>
      <c r="G1157" s="14" t="e">
        <f t="shared" si="87"/>
        <v>#N/A</v>
      </c>
      <c r="H1157" s="25" t="e">
        <f t="shared" si="88"/>
        <v>#N/A</v>
      </c>
      <c r="I1157" s="80" t="e">
        <f>VLOOKUP(C1157,'RAW DATA 2023'!E:BO,36,0)</f>
        <v>#N/A</v>
      </c>
      <c r="J1157" t="e">
        <f>VLOOKUP(C1157,'RAW DATA 2023'!E:BO,21,0)</f>
        <v>#N/A</v>
      </c>
      <c r="K1157" s="268" t="e">
        <f t="shared" si="89"/>
        <v>#N/A</v>
      </c>
    </row>
    <row r="1158" spans="1:11">
      <c r="A1158">
        <f>'RAW DATA 2023'!B1151</f>
        <v>0</v>
      </c>
      <c r="B1158">
        <f>'RAW DATA 2023'!D1151</f>
        <v>0</v>
      </c>
      <c r="C1158" t="str">
        <f t="shared" si="85"/>
        <v>00</v>
      </c>
      <c r="D1158" t="e">
        <f>VLOOKUP(C1158,'RAW DATA 2023'!E:BP,63,0)</f>
        <v>#N/A</v>
      </c>
      <c r="E1158" t="e">
        <f t="shared" si="86"/>
        <v>#N/A</v>
      </c>
      <c r="F1158" s="8" t="e">
        <f>VLOOKUP(C1158,'RAW DATA 2023'!E:BO,23,0)</f>
        <v>#N/A</v>
      </c>
      <c r="G1158" s="14" t="e">
        <f t="shared" si="87"/>
        <v>#N/A</v>
      </c>
      <c r="H1158" s="25" t="e">
        <f t="shared" si="88"/>
        <v>#N/A</v>
      </c>
      <c r="I1158" s="80" t="e">
        <f>VLOOKUP(C1158,'RAW DATA 2023'!E:BO,36,0)</f>
        <v>#N/A</v>
      </c>
      <c r="J1158" t="e">
        <f>VLOOKUP(C1158,'RAW DATA 2023'!E:BO,21,0)</f>
        <v>#N/A</v>
      </c>
      <c r="K1158" s="268" t="e">
        <f t="shared" si="89"/>
        <v>#N/A</v>
      </c>
    </row>
    <row r="1159" spans="1:11">
      <c r="A1159">
        <f>'RAW DATA 2023'!B1152</f>
        <v>0</v>
      </c>
      <c r="B1159">
        <f>'RAW DATA 2023'!D1152</f>
        <v>0</v>
      </c>
      <c r="C1159" t="str">
        <f t="shared" si="85"/>
        <v>00</v>
      </c>
      <c r="D1159" t="e">
        <f>VLOOKUP(C1159,'RAW DATA 2023'!E:BP,63,0)</f>
        <v>#N/A</v>
      </c>
      <c r="E1159" t="e">
        <f t="shared" si="86"/>
        <v>#N/A</v>
      </c>
      <c r="F1159" s="8" t="e">
        <f>VLOOKUP(C1159,'RAW DATA 2023'!E:BO,23,0)</f>
        <v>#N/A</v>
      </c>
      <c r="G1159" s="14" t="e">
        <f t="shared" si="87"/>
        <v>#N/A</v>
      </c>
      <c r="H1159" s="25" t="e">
        <f t="shared" si="88"/>
        <v>#N/A</v>
      </c>
      <c r="I1159" s="80" t="e">
        <f>VLOOKUP(C1159,'RAW DATA 2023'!E:BO,36,0)</f>
        <v>#N/A</v>
      </c>
      <c r="J1159" t="e">
        <f>VLOOKUP(C1159,'RAW DATA 2023'!E:BO,21,0)</f>
        <v>#N/A</v>
      </c>
      <c r="K1159" s="268" t="e">
        <f t="shared" si="89"/>
        <v>#N/A</v>
      </c>
    </row>
    <row r="1160" spans="1:11">
      <c r="A1160">
        <f>'RAW DATA 2023'!B1153</f>
        <v>0</v>
      </c>
      <c r="B1160">
        <f>'RAW DATA 2023'!D1153</f>
        <v>0</v>
      </c>
      <c r="C1160" t="str">
        <f t="shared" si="85"/>
        <v>00</v>
      </c>
      <c r="D1160" t="e">
        <f>VLOOKUP(C1160,'RAW DATA 2023'!E:BP,63,0)</f>
        <v>#N/A</v>
      </c>
      <c r="E1160" t="e">
        <f t="shared" si="86"/>
        <v>#N/A</v>
      </c>
      <c r="F1160" s="8" t="e">
        <f>VLOOKUP(C1160,'RAW DATA 2023'!E:BO,23,0)</f>
        <v>#N/A</v>
      </c>
      <c r="G1160" s="14" t="e">
        <f t="shared" si="87"/>
        <v>#N/A</v>
      </c>
      <c r="H1160" s="25" t="e">
        <f t="shared" si="88"/>
        <v>#N/A</v>
      </c>
      <c r="I1160" s="80" t="e">
        <f>VLOOKUP(C1160,'RAW DATA 2023'!E:BO,36,0)</f>
        <v>#N/A</v>
      </c>
      <c r="J1160" t="e">
        <f>VLOOKUP(C1160,'RAW DATA 2023'!E:BO,21,0)</f>
        <v>#N/A</v>
      </c>
      <c r="K1160" s="268" t="e">
        <f t="shared" si="89"/>
        <v>#N/A</v>
      </c>
    </row>
    <row r="1161" spans="1:11">
      <c r="A1161">
        <f>'RAW DATA 2023'!B1154</f>
        <v>0</v>
      </c>
      <c r="B1161">
        <f>'RAW DATA 2023'!D1154</f>
        <v>0</v>
      </c>
      <c r="C1161" t="str">
        <f t="shared" si="85"/>
        <v>00</v>
      </c>
      <c r="D1161" t="e">
        <f>VLOOKUP(C1161,'RAW DATA 2023'!E:BP,63,0)</f>
        <v>#N/A</v>
      </c>
      <c r="E1161" t="e">
        <f t="shared" si="86"/>
        <v>#N/A</v>
      </c>
      <c r="F1161" s="8" t="e">
        <f>VLOOKUP(C1161,'RAW DATA 2023'!E:BO,23,0)</f>
        <v>#N/A</v>
      </c>
      <c r="G1161" s="14" t="e">
        <f t="shared" si="87"/>
        <v>#N/A</v>
      </c>
      <c r="H1161" s="25" t="e">
        <f t="shared" si="88"/>
        <v>#N/A</v>
      </c>
      <c r="I1161" s="80" t="e">
        <f>VLOOKUP(C1161,'RAW DATA 2023'!E:BO,36,0)</f>
        <v>#N/A</v>
      </c>
      <c r="J1161" t="e">
        <f>VLOOKUP(C1161,'RAW DATA 2023'!E:BO,21,0)</f>
        <v>#N/A</v>
      </c>
      <c r="K1161" s="268" t="e">
        <f t="shared" si="89"/>
        <v>#N/A</v>
      </c>
    </row>
    <row r="1162" spans="1:11">
      <c r="A1162">
        <f>'RAW DATA 2023'!B1155</f>
        <v>0</v>
      </c>
      <c r="B1162">
        <f>'RAW DATA 2023'!D1155</f>
        <v>0</v>
      </c>
      <c r="C1162" t="str">
        <f t="shared" ref="C1162:C1225" si="90">A1162&amp;B1162</f>
        <v>00</v>
      </c>
      <c r="D1162" t="e">
        <f>VLOOKUP(C1162,'RAW DATA 2023'!E:BP,63,0)</f>
        <v>#N/A</v>
      </c>
      <c r="E1162" t="e">
        <f t="shared" ref="E1162:E1225" si="91">A1162&amp;D1162</f>
        <v>#N/A</v>
      </c>
      <c r="F1162" s="8" t="e">
        <f>VLOOKUP(C1162,'RAW DATA 2023'!E:BO,23,0)</f>
        <v>#N/A</v>
      </c>
      <c r="G1162" s="14" t="e">
        <f t="shared" si="87"/>
        <v>#N/A</v>
      </c>
      <c r="H1162" s="25" t="e">
        <f t="shared" si="88"/>
        <v>#N/A</v>
      </c>
      <c r="I1162" s="80" t="e">
        <f>VLOOKUP(C1162,'RAW DATA 2023'!E:BO,36,0)</f>
        <v>#N/A</v>
      </c>
      <c r="J1162" t="e">
        <f>VLOOKUP(C1162,'RAW DATA 2023'!E:BO,21,0)</f>
        <v>#N/A</v>
      </c>
      <c r="K1162" s="268" t="e">
        <f t="shared" si="89"/>
        <v>#N/A</v>
      </c>
    </row>
    <row r="1163" spans="1:11">
      <c r="A1163">
        <f>'RAW DATA 2023'!B1156</f>
        <v>0</v>
      </c>
      <c r="B1163">
        <f>'RAW DATA 2023'!D1156</f>
        <v>0</v>
      </c>
      <c r="C1163" t="str">
        <f t="shared" si="90"/>
        <v>00</v>
      </c>
      <c r="D1163" t="e">
        <f>VLOOKUP(C1163,'RAW DATA 2023'!E:BP,63,0)</f>
        <v>#N/A</v>
      </c>
      <c r="E1163" t="e">
        <f t="shared" si="91"/>
        <v>#N/A</v>
      </c>
      <c r="F1163" s="8" t="e">
        <f>VLOOKUP(C1163,'RAW DATA 2023'!E:BO,23,0)</f>
        <v>#N/A</v>
      </c>
      <c r="G1163" s="14" t="e">
        <f t="shared" ref="G1163:G1226" si="92">IF(F1163=0,0,$B$2-F1163)</f>
        <v>#N/A</v>
      </c>
      <c r="H1163" s="25" t="e">
        <f t="shared" ref="H1163:H1226" si="93">G1163*$B$6</f>
        <v>#N/A</v>
      </c>
      <c r="I1163" s="80" t="e">
        <f>VLOOKUP(C1163,'RAW DATA 2023'!E:BO,36,0)</f>
        <v>#N/A</v>
      </c>
      <c r="J1163" t="e">
        <f>VLOOKUP(C1163,'RAW DATA 2023'!E:BO,21,0)</f>
        <v>#N/A</v>
      </c>
      <c r="K1163" s="268" t="e">
        <f t="shared" ref="K1163:K1226" si="94">H1163*J1163</f>
        <v>#N/A</v>
      </c>
    </row>
    <row r="1164" spans="1:11">
      <c r="A1164">
        <f>'RAW DATA 2023'!B1157</f>
        <v>0</v>
      </c>
      <c r="B1164">
        <f>'RAW DATA 2023'!D1157</f>
        <v>0</v>
      </c>
      <c r="C1164" t="str">
        <f t="shared" si="90"/>
        <v>00</v>
      </c>
      <c r="D1164" t="e">
        <f>VLOOKUP(C1164,'RAW DATA 2023'!E:BP,63,0)</f>
        <v>#N/A</v>
      </c>
      <c r="E1164" t="e">
        <f t="shared" si="91"/>
        <v>#N/A</v>
      </c>
      <c r="F1164" s="8" t="e">
        <f>VLOOKUP(C1164,'RAW DATA 2023'!E:BO,23,0)</f>
        <v>#N/A</v>
      </c>
      <c r="G1164" s="14" t="e">
        <f t="shared" si="92"/>
        <v>#N/A</v>
      </c>
      <c r="H1164" s="25" t="e">
        <f t="shared" si="93"/>
        <v>#N/A</v>
      </c>
      <c r="I1164" s="80" t="e">
        <f>VLOOKUP(C1164,'RAW DATA 2023'!E:BO,36,0)</f>
        <v>#N/A</v>
      </c>
      <c r="J1164" t="e">
        <f>VLOOKUP(C1164,'RAW DATA 2023'!E:BO,21,0)</f>
        <v>#N/A</v>
      </c>
      <c r="K1164" s="268" t="e">
        <f t="shared" si="94"/>
        <v>#N/A</v>
      </c>
    </row>
    <row r="1165" spans="1:11">
      <c r="A1165">
        <f>'RAW DATA 2023'!B1158</f>
        <v>0</v>
      </c>
      <c r="B1165">
        <f>'RAW DATA 2023'!D1158</f>
        <v>0</v>
      </c>
      <c r="C1165" t="str">
        <f t="shared" si="90"/>
        <v>00</v>
      </c>
      <c r="D1165" t="e">
        <f>VLOOKUP(C1165,'RAW DATA 2023'!E:BP,63,0)</f>
        <v>#N/A</v>
      </c>
      <c r="E1165" t="e">
        <f t="shared" si="91"/>
        <v>#N/A</v>
      </c>
      <c r="F1165" s="8" t="e">
        <f>VLOOKUP(C1165,'RAW DATA 2023'!E:BO,23,0)</f>
        <v>#N/A</v>
      </c>
      <c r="G1165" s="14" t="e">
        <f t="shared" si="92"/>
        <v>#N/A</v>
      </c>
      <c r="H1165" s="25" t="e">
        <f t="shared" si="93"/>
        <v>#N/A</v>
      </c>
      <c r="I1165" s="80" t="e">
        <f>VLOOKUP(C1165,'RAW DATA 2023'!E:BO,36,0)</f>
        <v>#N/A</v>
      </c>
      <c r="J1165" t="e">
        <f>VLOOKUP(C1165,'RAW DATA 2023'!E:BO,21,0)</f>
        <v>#N/A</v>
      </c>
      <c r="K1165" s="268" t="e">
        <f t="shared" si="94"/>
        <v>#N/A</v>
      </c>
    </row>
    <row r="1166" spans="1:11">
      <c r="A1166">
        <f>'RAW DATA 2023'!B1159</f>
        <v>0</v>
      </c>
      <c r="B1166">
        <f>'RAW DATA 2023'!D1159</f>
        <v>0</v>
      </c>
      <c r="C1166" t="str">
        <f t="shared" si="90"/>
        <v>00</v>
      </c>
      <c r="D1166" t="e">
        <f>VLOOKUP(C1166,'RAW DATA 2023'!E:BP,63,0)</f>
        <v>#N/A</v>
      </c>
      <c r="E1166" t="e">
        <f t="shared" si="91"/>
        <v>#N/A</v>
      </c>
      <c r="F1166" s="8" t="e">
        <f>VLOOKUP(C1166,'RAW DATA 2023'!E:BO,23,0)</f>
        <v>#N/A</v>
      </c>
      <c r="G1166" s="14" t="e">
        <f t="shared" si="92"/>
        <v>#N/A</v>
      </c>
      <c r="H1166" s="25" t="e">
        <f t="shared" si="93"/>
        <v>#N/A</v>
      </c>
      <c r="I1166" s="80" t="e">
        <f>VLOOKUP(C1166,'RAW DATA 2023'!E:BO,36,0)</f>
        <v>#N/A</v>
      </c>
      <c r="J1166" t="e">
        <f>VLOOKUP(C1166,'RAW DATA 2023'!E:BO,21,0)</f>
        <v>#N/A</v>
      </c>
      <c r="K1166" s="268" t="e">
        <f t="shared" si="94"/>
        <v>#N/A</v>
      </c>
    </row>
    <row r="1167" spans="1:11">
      <c r="A1167">
        <f>'RAW DATA 2023'!B1160</f>
        <v>0</v>
      </c>
      <c r="B1167">
        <f>'RAW DATA 2023'!D1160</f>
        <v>0</v>
      </c>
      <c r="C1167" t="str">
        <f t="shared" si="90"/>
        <v>00</v>
      </c>
      <c r="D1167" t="e">
        <f>VLOOKUP(C1167,'RAW DATA 2023'!E:BP,63,0)</f>
        <v>#N/A</v>
      </c>
      <c r="E1167" t="e">
        <f t="shared" si="91"/>
        <v>#N/A</v>
      </c>
      <c r="F1167" s="8" t="e">
        <f>VLOOKUP(C1167,'RAW DATA 2023'!E:BO,23,0)</f>
        <v>#N/A</v>
      </c>
      <c r="G1167" s="14" t="e">
        <f t="shared" si="92"/>
        <v>#N/A</v>
      </c>
      <c r="H1167" s="25" t="e">
        <f t="shared" si="93"/>
        <v>#N/A</v>
      </c>
      <c r="I1167" s="80" t="e">
        <f>VLOOKUP(C1167,'RAW DATA 2023'!E:BO,36,0)</f>
        <v>#N/A</v>
      </c>
      <c r="J1167" t="e">
        <f>VLOOKUP(C1167,'RAW DATA 2023'!E:BO,21,0)</f>
        <v>#N/A</v>
      </c>
      <c r="K1167" s="268" t="e">
        <f t="shared" si="94"/>
        <v>#N/A</v>
      </c>
    </row>
    <row r="1168" spans="1:11">
      <c r="A1168">
        <f>'RAW DATA 2023'!B1161</f>
        <v>0</v>
      </c>
      <c r="B1168">
        <f>'RAW DATA 2023'!D1161</f>
        <v>0</v>
      </c>
      <c r="C1168" t="str">
        <f t="shared" si="90"/>
        <v>00</v>
      </c>
      <c r="D1168" t="e">
        <f>VLOOKUP(C1168,'RAW DATA 2023'!E:BP,63,0)</f>
        <v>#N/A</v>
      </c>
      <c r="E1168" t="e">
        <f t="shared" si="91"/>
        <v>#N/A</v>
      </c>
      <c r="F1168" s="8" t="e">
        <f>VLOOKUP(C1168,'RAW DATA 2023'!E:BO,23,0)</f>
        <v>#N/A</v>
      </c>
      <c r="G1168" s="14" t="e">
        <f t="shared" si="92"/>
        <v>#N/A</v>
      </c>
      <c r="H1168" s="25" t="e">
        <f t="shared" si="93"/>
        <v>#N/A</v>
      </c>
      <c r="I1168" s="80" t="e">
        <f>VLOOKUP(C1168,'RAW DATA 2023'!E:BO,36,0)</f>
        <v>#N/A</v>
      </c>
      <c r="J1168" t="e">
        <f>VLOOKUP(C1168,'RAW DATA 2023'!E:BO,21,0)</f>
        <v>#N/A</v>
      </c>
      <c r="K1168" s="268" t="e">
        <f t="shared" si="94"/>
        <v>#N/A</v>
      </c>
    </row>
    <row r="1169" spans="1:11">
      <c r="A1169">
        <f>'RAW DATA 2023'!B1162</f>
        <v>0</v>
      </c>
      <c r="B1169">
        <f>'RAW DATA 2023'!D1162</f>
        <v>0</v>
      </c>
      <c r="C1169" t="str">
        <f t="shared" si="90"/>
        <v>00</v>
      </c>
      <c r="D1169" t="e">
        <f>VLOOKUP(C1169,'RAW DATA 2023'!E:BP,63,0)</f>
        <v>#N/A</v>
      </c>
      <c r="E1169" t="e">
        <f t="shared" si="91"/>
        <v>#N/A</v>
      </c>
      <c r="F1169" s="8" t="e">
        <f>VLOOKUP(C1169,'RAW DATA 2023'!E:BO,23,0)</f>
        <v>#N/A</v>
      </c>
      <c r="G1169" s="14" t="e">
        <f t="shared" si="92"/>
        <v>#N/A</v>
      </c>
      <c r="H1169" s="25" t="e">
        <f t="shared" si="93"/>
        <v>#N/A</v>
      </c>
      <c r="I1169" s="80" t="e">
        <f>VLOOKUP(C1169,'RAW DATA 2023'!E:BO,36,0)</f>
        <v>#N/A</v>
      </c>
      <c r="J1169" t="e">
        <f>VLOOKUP(C1169,'RAW DATA 2023'!E:BO,21,0)</f>
        <v>#N/A</v>
      </c>
      <c r="K1169" s="268" t="e">
        <f t="shared" si="94"/>
        <v>#N/A</v>
      </c>
    </row>
    <row r="1170" spans="1:11">
      <c r="A1170">
        <f>'RAW DATA 2023'!B1163</f>
        <v>0</v>
      </c>
      <c r="B1170">
        <f>'RAW DATA 2023'!D1163</f>
        <v>0</v>
      </c>
      <c r="C1170" t="str">
        <f t="shared" si="90"/>
        <v>00</v>
      </c>
      <c r="D1170" t="e">
        <f>VLOOKUP(C1170,'RAW DATA 2023'!E:BP,63,0)</f>
        <v>#N/A</v>
      </c>
      <c r="E1170" t="e">
        <f t="shared" si="91"/>
        <v>#N/A</v>
      </c>
      <c r="F1170" s="8" t="e">
        <f>VLOOKUP(C1170,'RAW DATA 2023'!E:BO,23,0)</f>
        <v>#N/A</v>
      </c>
      <c r="G1170" s="14" t="e">
        <f t="shared" si="92"/>
        <v>#N/A</v>
      </c>
      <c r="H1170" s="25" t="e">
        <f t="shared" si="93"/>
        <v>#N/A</v>
      </c>
      <c r="I1170" s="80" t="e">
        <f>VLOOKUP(C1170,'RAW DATA 2023'!E:BO,36,0)</f>
        <v>#N/A</v>
      </c>
      <c r="J1170" t="e">
        <f>VLOOKUP(C1170,'RAW DATA 2023'!E:BO,21,0)</f>
        <v>#N/A</v>
      </c>
      <c r="K1170" s="268" t="e">
        <f t="shared" si="94"/>
        <v>#N/A</v>
      </c>
    </row>
    <row r="1171" spans="1:11">
      <c r="A1171">
        <f>'RAW DATA 2023'!B1164</f>
        <v>0</v>
      </c>
      <c r="B1171">
        <f>'RAW DATA 2023'!D1164</f>
        <v>0</v>
      </c>
      <c r="C1171" t="str">
        <f t="shared" si="90"/>
        <v>00</v>
      </c>
      <c r="D1171" t="e">
        <f>VLOOKUP(C1171,'RAW DATA 2023'!E:BP,63,0)</f>
        <v>#N/A</v>
      </c>
      <c r="E1171" t="e">
        <f t="shared" si="91"/>
        <v>#N/A</v>
      </c>
      <c r="F1171" s="8" t="e">
        <f>VLOOKUP(C1171,'RAW DATA 2023'!E:BO,23,0)</f>
        <v>#N/A</v>
      </c>
      <c r="G1171" s="14" t="e">
        <f t="shared" si="92"/>
        <v>#N/A</v>
      </c>
      <c r="H1171" s="25" t="e">
        <f t="shared" si="93"/>
        <v>#N/A</v>
      </c>
      <c r="I1171" s="80" t="e">
        <f>VLOOKUP(C1171,'RAW DATA 2023'!E:BO,36,0)</f>
        <v>#N/A</v>
      </c>
      <c r="J1171" t="e">
        <f>VLOOKUP(C1171,'RAW DATA 2023'!E:BO,21,0)</f>
        <v>#N/A</v>
      </c>
      <c r="K1171" s="268" t="e">
        <f t="shared" si="94"/>
        <v>#N/A</v>
      </c>
    </row>
    <row r="1172" spans="1:11">
      <c r="A1172">
        <f>'RAW DATA 2023'!B1165</f>
        <v>0</v>
      </c>
      <c r="B1172">
        <f>'RAW DATA 2023'!D1165</f>
        <v>0</v>
      </c>
      <c r="C1172" t="str">
        <f t="shared" si="90"/>
        <v>00</v>
      </c>
      <c r="D1172" t="e">
        <f>VLOOKUP(C1172,'RAW DATA 2023'!E:BP,63,0)</f>
        <v>#N/A</v>
      </c>
      <c r="E1172" t="e">
        <f t="shared" si="91"/>
        <v>#N/A</v>
      </c>
      <c r="F1172" s="8" t="e">
        <f>VLOOKUP(C1172,'RAW DATA 2023'!E:BO,23,0)</f>
        <v>#N/A</v>
      </c>
      <c r="G1172" s="14" t="e">
        <f t="shared" si="92"/>
        <v>#N/A</v>
      </c>
      <c r="H1172" s="25" t="e">
        <f t="shared" si="93"/>
        <v>#N/A</v>
      </c>
      <c r="I1172" s="80" t="e">
        <f>VLOOKUP(C1172,'RAW DATA 2023'!E:BO,36,0)</f>
        <v>#N/A</v>
      </c>
      <c r="J1172" t="e">
        <f>VLOOKUP(C1172,'RAW DATA 2023'!E:BO,21,0)</f>
        <v>#N/A</v>
      </c>
      <c r="K1172" s="268" t="e">
        <f t="shared" si="94"/>
        <v>#N/A</v>
      </c>
    </row>
    <row r="1173" spans="1:11">
      <c r="A1173">
        <f>'RAW DATA 2023'!B1166</f>
        <v>0</v>
      </c>
      <c r="B1173">
        <f>'RAW DATA 2023'!D1166</f>
        <v>0</v>
      </c>
      <c r="C1173" t="str">
        <f t="shared" si="90"/>
        <v>00</v>
      </c>
      <c r="D1173" t="e">
        <f>VLOOKUP(C1173,'RAW DATA 2023'!E:BP,63,0)</f>
        <v>#N/A</v>
      </c>
      <c r="E1173" t="e">
        <f t="shared" si="91"/>
        <v>#N/A</v>
      </c>
      <c r="F1173" s="8" t="e">
        <f>VLOOKUP(C1173,'RAW DATA 2023'!E:BO,23,0)</f>
        <v>#N/A</v>
      </c>
      <c r="G1173" s="14" t="e">
        <f t="shared" si="92"/>
        <v>#N/A</v>
      </c>
      <c r="H1173" s="25" t="e">
        <f t="shared" si="93"/>
        <v>#N/A</v>
      </c>
      <c r="I1173" s="80" t="e">
        <f>VLOOKUP(C1173,'RAW DATA 2023'!E:BO,36,0)</f>
        <v>#N/A</v>
      </c>
      <c r="J1173" t="e">
        <f>VLOOKUP(C1173,'RAW DATA 2023'!E:BO,21,0)</f>
        <v>#N/A</v>
      </c>
      <c r="K1173" s="268" t="e">
        <f t="shared" si="94"/>
        <v>#N/A</v>
      </c>
    </row>
    <row r="1174" spans="1:11">
      <c r="A1174">
        <f>'RAW DATA 2023'!B1167</f>
        <v>0</v>
      </c>
      <c r="B1174">
        <f>'RAW DATA 2023'!D1167</f>
        <v>0</v>
      </c>
      <c r="C1174" t="str">
        <f t="shared" si="90"/>
        <v>00</v>
      </c>
      <c r="D1174" t="e">
        <f>VLOOKUP(C1174,'RAW DATA 2023'!E:BP,63,0)</f>
        <v>#N/A</v>
      </c>
      <c r="E1174" t="e">
        <f t="shared" si="91"/>
        <v>#N/A</v>
      </c>
      <c r="F1174" s="8" t="e">
        <f>VLOOKUP(C1174,'RAW DATA 2023'!E:BO,23,0)</f>
        <v>#N/A</v>
      </c>
      <c r="G1174" s="14" t="e">
        <f t="shared" si="92"/>
        <v>#N/A</v>
      </c>
      <c r="H1174" s="25" t="e">
        <f t="shared" si="93"/>
        <v>#N/A</v>
      </c>
      <c r="I1174" s="80" t="e">
        <f>VLOOKUP(C1174,'RAW DATA 2023'!E:BO,36,0)</f>
        <v>#N/A</v>
      </c>
      <c r="J1174" t="e">
        <f>VLOOKUP(C1174,'RAW DATA 2023'!E:BO,21,0)</f>
        <v>#N/A</v>
      </c>
      <c r="K1174" s="268" t="e">
        <f t="shared" si="94"/>
        <v>#N/A</v>
      </c>
    </row>
    <row r="1175" spans="1:11">
      <c r="A1175">
        <f>'RAW DATA 2023'!B1168</f>
        <v>0</v>
      </c>
      <c r="B1175">
        <f>'RAW DATA 2023'!D1168</f>
        <v>0</v>
      </c>
      <c r="C1175" t="str">
        <f t="shared" si="90"/>
        <v>00</v>
      </c>
      <c r="D1175" t="e">
        <f>VLOOKUP(C1175,'RAW DATA 2023'!E:BP,63,0)</f>
        <v>#N/A</v>
      </c>
      <c r="E1175" t="e">
        <f t="shared" si="91"/>
        <v>#N/A</v>
      </c>
      <c r="F1175" s="8" t="e">
        <f>VLOOKUP(C1175,'RAW DATA 2023'!E:BO,23,0)</f>
        <v>#N/A</v>
      </c>
      <c r="G1175" s="14" t="e">
        <f t="shared" si="92"/>
        <v>#N/A</v>
      </c>
      <c r="H1175" s="25" t="e">
        <f t="shared" si="93"/>
        <v>#N/A</v>
      </c>
      <c r="I1175" s="80" t="e">
        <f>VLOOKUP(C1175,'RAW DATA 2023'!E:BO,36,0)</f>
        <v>#N/A</v>
      </c>
      <c r="J1175" t="e">
        <f>VLOOKUP(C1175,'RAW DATA 2023'!E:BO,21,0)</f>
        <v>#N/A</v>
      </c>
      <c r="K1175" s="268" t="e">
        <f t="shared" si="94"/>
        <v>#N/A</v>
      </c>
    </row>
    <row r="1176" spans="1:11">
      <c r="A1176">
        <f>'RAW DATA 2023'!B1169</f>
        <v>0</v>
      </c>
      <c r="B1176">
        <f>'RAW DATA 2023'!D1169</f>
        <v>0</v>
      </c>
      <c r="C1176" t="str">
        <f t="shared" si="90"/>
        <v>00</v>
      </c>
      <c r="D1176" t="e">
        <f>VLOOKUP(C1176,'RAW DATA 2023'!E:BP,63,0)</f>
        <v>#N/A</v>
      </c>
      <c r="E1176" t="e">
        <f t="shared" si="91"/>
        <v>#N/A</v>
      </c>
      <c r="F1176" s="8" t="e">
        <f>VLOOKUP(C1176,'RAW DATA 2023'!E:BO,23,0)</f>
        <v>#N/A</v>
      </c>
      <c r="G1176" s="14" t="e">
        <f t="shared" si="92"/>
        <v>#N/A</v>
      </c>
      <c r="H1176" s="25" t="e">
        <f t="shared" si="93"/>
        <v>#N/A</v>
      </c>
      <c r="I1176" s="80" t="e">
        <f>VLOOKUP(C1176,'RAW DATA 2023'!E:BO,36,0)</f>
        <v>#N/A</v>
      </c>
      <c r="J1176" t="e">
        <f>VLOOKUP(C1176,'RAW DATA 2023'!E:BO,21,0)</f>
        <v>#N/A</v>
      </c>
      <c r="K1176" s="268" t="e">
        <f t="shared" si="94"/>
        <v>#N/A</v>
      </c>
    </row>
    <row r="1177" spans="1:11">
      <c r="A1177">
        <f>'RAW DATA 2023'!B1170</f>
        <v>0</v>
      </c>
      <c r="B1177">
        <f>'RAW DATA 2023'!D1170</f>
        <v>0</v>
      </c>
      <c r="C1177" t="str">
        <f t="shared" si="90"/>
        <v>00</v>
      </c>
      <c r="D1177" t="e">
        <f>VLOOKUP(C1177,'RAW DATA 2023'!E:BP,63,0)</f>
        <v>#N/A</v>
      </c>
      <c r="E1177" t="e">
        <f t="shared" si="91"/>
        <v>#N/A</v>
      </c>
      <c r="F1177" s="8" t="e">
        <f>VLOOKUP(C1177,'RAW DATA 2023'!E:BO,23,0)</f>
        <v>#N/A</v>
      </c>
      <c r="G1177" s="14" t="e">
        <f t="shared" si="92"/>
        <v>#N/A</v>
      </c>
      <c r="H1177" s="25" t="e">
        <f t="shared" si="93"/>
        <v>#N/A</v>
      </c>
      <c r="I1177" s="80" t="e">
        <f>VLOOKUP(C1177,'RAW DATA 2023'!E:BO,36,0)</f>
        <v>#N/A</v>
      </c>
      <c r="J1177" t="e">
        <f>VLOOKUP(C1177,'RAW DATA 2023'!E:BO,21,0)</f>
        <v>#N/A</v>
      </c>
      <c r="K1177" s="268" t="e">
        <f t="shared" si="94"/>
        <v>#N/A</v>
      </c>
    </row>
    <row r="1178" spans="1:11">
      <c r="A1178">
        <f>'RAW DATA 2023'!B1171</f>
        <v>0</v>
      </c>
      <c r="B1178">
        <f>'RAW DATA 2023'!D1171</f>
        <v>0</v>
      </c>
      <c r="C1178" t="str">
        <f t="shared" si="90"/>
        <v>00</v>
      </c>
      <c r="D1178" t="e">
        <f>VLOOKUP(C1178,'RAW DATA 2023'!E:BP,63,0)</f>
        <v>#N/A</v>
      </c>
      <c r="E1178" t="e">
        <f t="shared" si="91"/>
        <v>#N/A</v>
      </c>
      <c r="F1178" s="8" t="e">
        <f>VLOOKUP(C1178,'RAW DATA 2023'!E:BO,23,0)</f>
        <v>#N/A</v>
      </c>
      <c r="G1178" s="14" t="e">
        <f t="shared" si="92"/>
        <v>#N/A</v>
      </c>
      <c r="H1178" s="25" t="e">
        <f t="shared" si="93"/>
        <v>#N/A</v>
      </c>
      <c r="I1178" s="80" t="e">
        <f>VLOOKUP(C1178,'RAW DATA 2023'!E:BO,36,0)</f>
        <v>#N/A</v>
      </c>
      <c r="J1178" t="e">
        <f>VLOOKUP(C1178,'RAW DATA 2023'!E:BO,21,0)</f>
        <v>#N/A</v>
      </c>
      <c r="K1178" s="268" t="e">
        <f t="shared" si="94"/>
        <v>#N/A</v>
      </c>
    </row>
    <row r="1179" spans="1:11">
      <c r="A1179">
        <f>'RAW DATA 2023'!B1172</f>
        <v>0</v>
      </c>
      <c r="B1179">
        <f>'RAW DATA 2023'!D1172</f>
        <v>0</v>
      </c>
      <c r="C1179" t="str">
        <f t="shared" si="90"/>
        <v>00</v>
      </c>
      <c r="D1179" t="e">
        <f>VLOOKUP(C1179,'RAW DATA 2023'!E:BP,63,0)</f>
        <v>#N/A</v>
      </c>
      <c r="E1179" t="e">
        <f t="shared" si="91"/>
        <v>#N/A</v>
      </c>
      <c r="F1179" s="8" t="e">
        <f>VLOOKUP(C1179,'RAW DATA 2023'!E:BO,23,0)</f>
        <v>#N/A</v>
      </c>
      <c r="G1179" s="14" t="e">
        <f t="shared" si="92"/>
        <v>#N/A</v>
      </c>
      <c r="H1179" s="25" t="e">
        <f t="shared" si="93"/>
        <v>#N/A</v>
      </c>
      <c r="I1179" s="80" t="e">
        <f>VLOOKUP(C1179,'RAW DATA 2023'!E:BO,36,0)</f>
        <v>#N/A</v>
      </c>
      <c r="J1179" t="e">
        <f>VLOOKUP(C1179,'RAW DATA 2023'!E:BO,21,0)</f>
        <v>#N/A</v>
      </c>
      <c r="K1179" s="268" t="e">
        <f t="shared" si="94"/>
        <v>#N/A</v>
      </c>
    </row>
    <row r="1180" spans="1:11">
      <c r="A1180">
        <f>'RAW DATA 2023'!B1173</f>
        <v>0</v>
      </c>
      <c r="B1180">
        <f>'RAW DATA 2023'!D1173</f>
        <v>0</v>
      </c>
      <c r="C1180" t="str">
        <f t="shared" si="90"/>
        <v>00</v>
      </c>
      <c r="D1180" t="e">
        <f>VLOOKUP(C1180,'RAW DATA 2023'!E:BP,63,0)</f>
        <v>#N/A</v>
      </c>
      <c r="E1180" t="e">
        <f t="shared" si="91"/>
        <v>#N/A</v>
      </c>
      <c r="F1180" s="8" t="e">
        <f>VLOOKUP(C1180,'RAW DATA 2023'!E:BO,23,0)</f>
        <v>#N/A</v>
      </c>
      <c r="G1180" s="14" t="e">
        <f t="shared" si="92"/>
        <v>#N/A</v>
      </c>
      <c r="H1180" s="25" t="e">
        <f t="shared" si="93"/>
        <v>#N/A</v>
      </c>
      <c r="I1180" s="80" t="e">
        <f>VLOOKUP(C1180,'RAW DATA 2023'!E:BO,36,0)</f>
        <v>#N/A</v>
      </c>
      <c r="J1180" t="e">
        <f>VLOOKUP(C1180,'RAW DATA 2023'!E:BO,21,0)</f>
        <v>#N/A</v>
      </c>
      <c r="K1180" s="268" t="e">
        <f t="shared" si="94"/>
        <v>#N/A</v>
      </c>
    </row>
    <row r="1181" spans="1:11">
      <c r="A1181">
        <f>'RAW DATA 2023'!B1174</f>
        <v>0</v>
      </c>
      <c r="B1181">
        <f>'RAW DATA 2023'!D1174</f>
        <v>0</v>
      </c>
      <c r="C1181" t="str">
        <f t="shared" si="90"/>
        <v>00</v>
      </c>
      <c r="D1181" t="e">
        <f>VLOOKUP(C1181,'RAW DATA 2023'!E:BP,63,0)</f>
        <v>#N/A</v>
      </c>
      <c r="E1181" t="e">
        <f t="shared" si="91"/>
        <v>#N/A</v>
      </c>
      <c r="F1181" s="8" t="e">
        <f>VLOOKUP(C1181,'RAW DATA 2023'!E:BO,23,0)</f>
        <v>#N/A</v>
      </c>
      <c r="G1181" s="14" t="e">
        <f t="shared" si="92"/>
        <v>#N/A</v>
      </c>
      <c r="H1181" s="25" t="e">
        <f t="shared" si="93"/>
        <v>#N/A</v>
      </c>
      <c r="I1181" s="80" t="e">
        <f>VLOOKUP(C1181,'RAW DATA 2023'!E:BO,36,0)</f>
        <v>#N/A</v>
      </c>
      <c r="J1181" t="e">
        <f>VLOOKUP(C1181,'RAW DATA 2023'!E:BO,21,0)</f>
        <v>#N/A</v>
      </c>
      <c r="K1181" s="268" t="e">
        <f t="shared" si="94"/>
        <v>#N/A</v>
      </c>
    </row>
    <row r="1182" spans="1:11">
      <c r="A1182">
        <f>'RAW DATA 2023'!B1175</f>
        <v>0</v>
      </c>
      <c r="B1182">
        <f>'RAW DATA 2023'!D1175</f>
        <v>0</v>
      </c>
      <c r="C1182" t="str">
        <f t="shared" si="90"/>
        <v>00</v>
      </c>
      <c r="D1182" t="e">
        <f>VLOOKUP(C1182,'RAW DATA 2023'!E:BP,63,0)</f>
        <v>#N/A</v>
      </c>
      <c r="E1182" t="e">
        <f t="shared" si="91"/>
        <v>#N/A</v>
      </c>
      <c r="F1182" s="8" t="e">
        <f>VLOOKUP(C1182,'RAW DATA 2023'!E:BO,23,0)</f>
        <v>#N/A</v>
      </c>
      <c r="G1182" s="14" t="e">
        <f t="shared" si="92"/>
        <v>#N/A</v>
      </c>
      <c r="H1182" s="25" t="e">
        <f t="shared" si="93"/>
        <v>#N/A</v>
      </c>
      <c r="I1182" s="80" t="e">
        <f>VLOOKUP(C1182,'RAW DATA 2023'!E:BO,36,0)</f>
        <v>#N/A</v>
      </c>
      <c r="J1182" t="e">
        <f>VLOOKUP(C1182,'RAW DATA 2023'!E:BO,21,0)</f>
        <v>#N/A</v>
      </c>
      <c r="K1182" s="268" t="e">
        <f t="shared" si="94"/>
        <v>#N/A</v>
      </c>
    </row>
    <row r="1183" spans="1:11">
      <c r="A1183">
        <f>'RAW DATA 2023'!B1176</f>
        <v>0</v>
      </c>
      <c r="B1183">
        <f>'RAW DATA 2023'!D1176</f>
        <v>0</v>
      </c>
      <c r="C1183" t="str">
        <f t="shared" si="90"/>
        <v>00</v>
      </c>
      <c r="D1183" t="e">
        <f>VLOOKUP(C1183,'RAW DATA 2023'!E:BP,63,0)</f>
        <v>#N/A</v>
      </c>
      <c r="E1183" t="e">
        <f t="shared" si="91"/>
        <v>#N/A</v>
      </c>
      <c r="F1183" s="8" t="e">
        <f>VLOOKUP(C1183,'RAW DATA 2023'!E:BO,23,0)</f>
        <v>#N/A</v>
      </c>
      <c r="G1183" s="14" t="e">
        <f t="shared" si="92"/>
        <v>#N/A</v>
      </c>
      <c r="H1183" s="25" t="e">
        <f t="shared" si="93"/>
        <v>#N/A</v>
      </c>
      <c r="I1183" s="80" t="e">
        <f>VLOOKUP(C1183,'RAW DATA 2023'!E:BO,36,0)</f>
        <v>#N/A</v>
      </c>
      <c r="J1183" t="e">
        <f>VLOOKUP(C1183,'RAW DATA 2023'!E:BO,21,0)</f>
        <v>#N/A</v>
      </c>
      <c r="K1183" s="268" t="e">
        <f t="shared" si="94"/>
        <v>#N/A</v>
      </c>
    </row>
    <row r="1184" spans="1:11">
      <c r="A1184">
        <f>'RAW DATA 2023'!B1177</f>
        <v>0</v>
      </c>
      <c r="B1184">
        <f>'RAW DATA 2023'!D1177</f>
        <v>0</v>
      </c>
      <c r="C1184" t="str">
        <f t="shared" si="90"/>
        <v>00</v>
      </c>
      <c r="D1184" t="e">
        <f>VLOOKUP(C1184,'RAW DATA 2023'!E:BP,63,0)</f>
        <v>#N/A</v>
      </c>
      <c r="E1184" t="e">
        <f t="shared" si="91"/>
        <v>#N/A</v>
      </c>
      <c r="F1184" s="8" t="e">
        <f>VLOOKUP(C1184,'RAW DATA 2023'!E:BO,23,0)</f>
        <v>#N/A</v>
      </c>
      <c r="G1184" s="14" t="e">
        <f t="shared" si="92"/>
        <v>#N/A</v>
      </c>
      <c r="H1184" s="25" t="e">
        <f t="shared" si="93"/>
        <v>#N/A</v>
      </c>
      <c r="I1184" s="80" t="e">
        <f>VLOOKUP(C1184,'RAW DATA 2023'!E:BO,36,0)</f>
        <v>#N/A</v>
      </c>
      <c r="J1184" t="e">
        <f>VLOOKUP(C1184,'RAW DATA 2023'!E:BO,21,0)</f>
        <v>#N/A</v>
      </c>
      <c r="K1184" s="268" t="e">
        <f t="shared" si="94"/>
        <v>#N/A</v>
      </c>
    </row>
    <row r="1185" spans="1:11">
      <c r="A1185">
        <f>'RAW DATA 2023'!B1178</f>
        <v>0</v>
      </c>
      <c r="B1185">
        <f>'RAW DATA 2023'!D1178</f>
        <v>0</v>
      </c>
      <c r="C1185" t="str">
        <f t="shared" si="90"/>
        <v>00</v>
      </c>
      <c r="D1185" t="e">
        <f>VLOOKUP(C1185,'RAW DATA 2023'!E:BP,63,0)</f>
        <v>#N/A</v>
      </c>
      <c r="E1185" t="e">
        <f t="shared" si="91"/>
        <v>#N/A</v>
      </c>
      <c r="F1185" s="8" t="e">
        <f>VLOOKUP(C1185,'RAW DATA 2023'!E:BO,23,0)</f>
        <v>#N/A</v>
      </c>
      <c r="G1185" s="14" t="e">
        <f t="shared" si="92"/>
        <v>#N/A</v>
      </c>
      <c r="H1185" s="25" t="e">
        <f t="shared" si="93"/>
        <v>#N/A</v>
      </c>
      <c r="I1185" s="80" t="e">
        <f>VLOOKUP(C1185,'RAW DATA 2023'!E:BO,36,0)</f>
        <v>#N/A</v>
      </c>
      <c r="J1185" t="e">
        <f>VLOOKUP(C1185,'RAW DATA 2023'!E:BO,21,0)</f>
        <v>#N/A</v>
      </c>
      <c r="K1185" s="268" t="e">
        <f t="shared" si="94"/>
        <v>#N/A</v>
      </c>
    </row>
    <row r="1186" spans="1:11">
      <c r="A1186">
        <f>'RAW DATA 2023'!B1179</f>
        <v>0</v>
      </c>
      <c r="B1186">
        <f>'RAW DATA 2023'!D1179</f>
        <v>0</v>
      </c>
      <c r="C1186" t="str">
        <f t="shared" si="90"/>
        <v>00</v>
      </c>
      <c r="D1186" t="e">
        <f>VLOOKUP(C1186,'RAW DATA 2023'!E:BP,63,0)</f>
        <v>#N/A</v>
      </c>
      <c r="E1186" t="e">
        <f t="shared" si="91"/>
        <v>#N/A</v>
      </c>
      <c r="F1186" s="8" t="e">
        <f>VLOOKUP(C1186,'RAW DATA 2023'!E:BO,23,0)</f>
        <v>#N/A</v>
      </c>
      <c r="G1186" s="14" t="e">
        <f t="shared" si="92"/>
        <v>#N/A</v>
      </c>
      <c r="H1186" s="25" t="e">
        <f t="shared" si="93"/>
        <v>#N/A</v>
      </c>
      <c r="I1186" s="80" t="e">
        <f>VLOOKUP(C1186,'RAW DATA 2023'!E:BO,36,0)</f>
        <v>#N/A</v>
      </c>
      <c r="J1186" t="e">
        <f>VLOOKUP(C1186,'RAW DATA 2023'!E:BO,21,0)</f>
        <v>#N/A</v>
      </c>
      <c r="K1186" s="268" t="e">
        <f t="shared" si="94"/>
        <v>#N/A</v>
      </c>
    </row>
    <row r="1187" spans="1:11">
      <c r="A1187">
        <f>'RAW DATA 2023'!B1180</f>
        <v>0</v>
      </c>
      <c r="B1187">
        <f>'RAW DATA 2023'!D1180</f>
        <v>0</v>
      </c>
      <c r="C1187" t="str">
        <f t="shared" si="90"/>
        <v>00</v>
      </c>
      <c r="D1187" t="e">
        <f>VLOOKUP(C1187,'RAW DATA 2023'!E:BP,63,0)</f>
        <v>#N/A</v>
      </c>
      <c r="E1187" t="e">
        <f t="shared" si="91"/>
        <v>#N/A</v>
      </c>
      <c r="F1187" s="8" t="e">
        <f>VLOOKUP(C1187,'RAW DATA 2023'!E:BO,23,0)</f>
        <v>#N/A</v>
      </c>
      <c r="G1187" s="14" t="e">
        <f t="shared" si="92"/>
        <v>#N/A</v>
      </c>
      <c r="H1187" s="25" t="e">
        <f t="shared" si="93"/>
        <v>#N/A</v>
      </c>
      <c r="I1187" s="80" t="e">
        <f>VLOOKUP(C1187,'RAW DATA 2023'!E:BO,36,0)</f>
        <v>#N/A</v>
      </c>
      <c r="J1187" t="e">
        <f>VLOOKUP(C1187,'RAW DATA 2023'!E:BO,21,0)</f>
        <v>#N/A</v>
      </c>
      <c r="K1187" s="268" t="e">
        <f t="shared" si="94"/>
        <v>#N/A</v>
      </c>
    </row>
    <row r="1188" spans="1:11">
      <c r="A1188">
        <f>'RAW DATA 2023'!B1181</f>
        <v>0</v>
      </c>
      <c r="B1188">
        <f>'RAW DATA 2023'!D1181</f>
        <v>0</v>
      </c>
      <c r="C1188" t="str">
        <f t="shared" si="90"/>
        <v>00</v>
      </c>
      <c r="D1188" t="e">
        <f>VLOOKUP(C1188,'RAW DATA 2023'!E:BP,63,0)</f>
        <v>#N/A</v>
      </c>
      <c r="E1188" t="e">
        <f t="shared" si="91"/>
        <v>#N/A</v>
      </c>
      <c r="F1188" s="8" t="e">
        <f>VLOOKUP(C1188,'RAW DATA 2023'!E:BO,23,0)</f>
        <v>#N/A</v>
      </c>
      <c r="G1188" s="14" t="e">
        <f t="shared" si="92"/>
        <v>#N/A</v>
      </c>
      <c r="H1188" s="25" t="e">
        <f t="shared" si="93"/>
        <v>#N/A</v>
      </c>
      <c r="I1188" s="80" t="e">
        <f>VLOOKUP(C1188,'RAW DATA 2023'!E:BO,36,0)</f>
        <v>#N/A</v>
      </c>
      <c r="J1188" t="e">
        <f>VLOOKUP(C1188,'RAW DATA 2023'!E:BO,21,0)</f>
        <v>#N/A</v>
      </c>
      <c r="K1188" s="268" t="e">
        <f t="shared" si="94"/>
        <v>#N/A</v>
      </c>
    </row>
    <row r="1189" spans="1:11">
      <c r="A1189">
        <f>'RAW DATA 2023'!B1182</f>
        <v>0</v>
      </c>
      <c r="B1189">
        <f>'RAW DATA 2023'!D1182</f>
        <v>0</v>
      </c>
      <c r="C1189" t="str">
        <f t="shared" si="90"/>
        <v>00</v>
      </c>
      <c r="D1189" t="e">
        <f>VLOOKUP(C1189,'RAW DATA 2023'!E:BP,63,0)</f>
        <v>#N/A</v>
      </c>
      <c r="E1189" t="e">
        <f t="shared" si="91"/>
        <v>#N/A</v>
      </c>
      <c r="F1189" s="8" t="e">
        <f>VLOOKUP(C1189,'RAW DATA 2023'!E:BO,23,0)</f>
        <v>#N/A</v>
      </c>
      <c r="G1189" s="14" t="e">
        <f t="shared" si="92"/>
        <v>#N/A</v>
      </c>
      <c r="H1189" s="25" t="e">
        <f t="shared" si="93"/>
        <v>#N/A</v>
      </c>
      <c r="I1189" s="80" t="e">
        <f>VLOOKUP(C1189,'RAW DATA 2023'!E:BO,36,0)</f>
        <v>#N/A</v>
      </c>
      <c r="J1189" t="e">
        <f>VLOOKUP(C1189,'RAW DATA 2023'!E:BO,21,0)</f>
        <v>#N/A</v>
      </c>
      <c r="K1189" s="268" t="e">
        <f t="shared" si="94"/>
        <v>#N/A</v>
      </c>
    </row>
    <row r="1190" spans="1:11">
      <c r="A1190">
        <f>'RAW DATA 2023'!B1183</f>
        <v>0</v>
      </c>
      <c r="B1190">
        <f>'RAW DATA 2023'!D1183</f>
        <v>0</v>
      </c>
      <c r="C1190" t="str">
        <f t="shared" si="90"/>
        <v>00</v>
      </c>
      <c r="D1190" t="e">
        <f>VLOOKUP(C1190,'RAW DATA 2023'!E:BP,63,0)</f>
        <v>#N/A</v>
      </c>
      <c r="E1190" t="e">
        <f t="shared" si="91"/>
        <v>#N/A</v>
      </c>
      <c r="F1190" s="8" t="e">
        <f>VLOOKUP(C1190,'RAW DATA 2023'!E:BO,23,0)</f>
        <v>#N/A</v>
      </c>
      <c r="G1190" s="14" t="e">
        <f t="shared" si="92"/>
        <v>#N/A</v>
      </c>
      <c r="H1190" s="25" t="e">
        <f t="shared" si="93"/>
        <v>#N/A</v>
      </c>
      <c r="I1190" s="80" t="e">
        <f>VLOOKUP(C1190,'RAW DATA 2023'!E:BO,36,0)</f>
        <v>#N/A</v>
      </c>
      <c r="J1190" t="e">
        <f>VLOOKUP(C1190,'RAW DATA 2023'!E:BO,21,0)</f>
        <v>#N/A</v>
      </c>
      <c r="K1190" s="268" t="e">
        <f t="shared" si="94"/>
        <v>#N/A</v>
      </c>
    </row>
    <row r="1191" spans="1:11">
      <c r="A1191">
        <f>'RAW DATA 2023'!B1184</f>
        <v>0</v>
      </c>
      <c r="B1191">
        <f>'RAW DATA 2023'!D1184</f>
        <v>0</v>
      </c>
      <c r="C1191" t="str">
        <f t="shared" si="90"/>
        <v>00</v>
      </c>
      <c r="D1191" t="e">
        <f>VLOOKUP(C1191,'RAW DATA 2023'!E:BP,63,0)</f>
        <v>#N/A</v>
      </c>
      <c r="E1191" t="e">
        <f t="shared" si="91"/>
        <v>#N/A</v>
      </c>
      <c r="F1191" s="8" t="e">
        <f>VLOOKUP(C1191,'RAW DATA 2023'!E:BO,23,0)</f>
        <v>#N/A</v>
      </c>
      <c r="G1191" s="14" t="e">
        <f t="shared" si="92"/>
        <v>#N/A</v>
      </c>
      <c r="H1191" s="25" t="e">
        <f t="shared" si="93"/>
        <v>#N/A</v>
      </c>
      <c r="I1191" s="80" t="e">
        <f>VLOOKUP(C1191,'RAW DATA 2023'!E:BO,36,0)</f>
        <v>#N/A</v>
      </c>
      <c r="J1191" t="e">
        <f>VLOOKUP(C1191,'RAW DATA 2023'!E:BO,21,0)</f>
        <v>#N/A</v>
      </c>
      <c r="K1191" s="268" t="e">
        <f t="shared" si="94"/>
        <v>#N/A</v>
      </c>
    </row>
    <row r="1192" spans="1:11">
      <c r="A1192">
        <f>'RAW DATA 2023'!B1185</f>
        <v>0</v>
      </c>
      <c r="B1192">
        <f>'RAW DATA 2023'!D1185</f>
        <v>0</v>
      </c>
      <c r="C1192" t="str">
        <f t="shared" si="90"/>
        <v>00</v>
      </c>
      <c r="D1192" t="e">
        <f>VLOOKUP(C1192,'RAW DATA 2023'!E:BP,63,0)</f>
        <v>#N/A</v>
      </c>
      <c r="E1192" t="e">
        <f t="shared" si="91"/>
        <v>#N/A</v>
      </c>
      <c r="F1192" s="8" t="e">
        <f>VLOOKUP(C1192,'RAW DATA 2023'!E:BO,23,0)</f>
        <v>#N/A</v>
      </c>
      <c r="G1192" s="14" t="e">
        <f t="shared" si="92"/>
        <v>#N/A</v>
      </c>
      <c r="H1192" s="25" t="e">
        <f t="shared" si="93"/>
        <v>#N/A</v>
      </c>
      <c r="I1192" s="80" t="e">
        <f>VLOOKUP(C1192,'RAW DATA 2023'!E:BO,36,0)</f>
        <v>#N/A</v>
      </c>
      <c r="J1192" t="e">
        <f>VLOOKUP(C1192,'RAW DATA 2023'!E:BO,21,0)</f>
        <v>#N/A</v>
      </c>
      <c r="K1192" s="268" t="e">
        <f t="shared" si="94"/>
        <v>#N/A</v>
      </c>
    </row>
    <row r="1193" spans="1:11">
      <c r="A1193">
        <f>'RAW DATA 2023'!B1186</f>
        <v>0</v>
      </c>
      <c r="B1193">
        <f>'RAW DATA 2023'!D1186</f>
        <v>0</v>
      </c>
      <c r="C1193" t="str">
        <f t="shared" si="90"/>
        <v>00</v>
      </c>
      <c r="D1193" t="e">
        <f>VLOOKUP(C1193,'RAW DATA 2023'!E:BP,63,0)</f>
        <v>#N/A</v>
      </c>
      <c r="E1193" t="e">
        <f t="shared" si="91"/>
        <v>#N/A</v>
      </c>
      <c r="F1193" s="8" t="e">
        <f>VLOOKUP(C1193,'RAW DATA 2023'!E:BO,23,0)</f>
        <v>#N/A</v>
      </c>
      <c r="G1193" s="14" t="e">
        <f t="shared" si="92"/>
        <v>#N/A</v>
      </c>
      <c r="H1193" s="25" t="e">
        <f t="shared" si="93"/>
        <v>#N/A</v>
      </c>
      <c r="I1193" s="80" t="e">
        <f>VLOOKUP(C1193,'RAW DATA 2023'!E:BO,36,0)</f>
        <v>#N/A</v>
      </c>
      <c r="J1193" t="e">
        <f>VLOOKUP(C1193,'RAW DATA 2023'!E:BO,21,0)</f>
        <v>#N/A</v>
      </c>
      <c r="K1193" s="268" t="e">
        <f t="shared" si="94"/>
        <v>#N/A</v>
      </c>
    </row>
    <row r="1194" spans="1:11">
      <c r="A1194">
        <f>'RAW DATA 2023'!B1187</f>
        <v>0</v>
      </c>
      <c r="B1194">
        <f>'RAW DATA 2023'!D1187</f>
        <v>0</v>
      </c>
      <c r="C1194" t="str">
        <f t="shared" si="90"/>
        <v>00</v>
      </c>
      <c r="D1194" t="e">
        <f>VLOOKUP(C1194,'RAW DATA 2023'!E:BP,63,0)</f>
        <v>#N/A</v>
      </c>
      <c r="E1194" t="e">
        <f t="shared" si="91"/>
        <v>#N/A</v>
      </c>
      <c r="F1194" s="8" t="e">
        <f>VLOOKUP(C1194,'RAW DATA 2023'!E:BO,23,0)</f>
        <v>#N/A</v>
      </c>
      <c r="G1194" s="14" t="e">
        <f t="shared" si="92"/>
        <v>#N/A</v>
      </c>
      <c r="H1194" s="25" t="e">
        <f t="shared" si="93"/>
        <v>#N/A</v>
      </c>
      <c r="I1194" s="80" t="e">
        <f>VLOOKUP(C1194,'RAW DATA 2023'!E:BO,36,0)</f>
        <v>#N/A</v>
      </c>
      <c r="J1194" t="e">
        <f>VLOOKUP(C1194,'RAW DATA 2023'!E:BO,21,0)</f>
        <v>#N/A</v>
      </c>
      <c r="K1194" s="268" t="e">
        <f t="shared" si="94"/>
        <v>#N/A</v>
      </c>
    </row>
    <row r="1195" spans="1:11">
      <c r="A1195">
        <f>'RAW DATA 2023'!B1188</f>
        <v>0</v>
      </c>
      <c r="B1195">
        <f>'RAW DATA 2023'!D1188</f>
        <v>0</v>
      </c>
      <c r="C1195" t="str">
        <f t="shared" si="90"/>
        <v>00</v>
      </c>
      <c r="D1195" t="e">
        <f>VLOOKUP(C1195,'RAW DATA 2023'!E:BP,63,0)</f>
        <v>#N/A</v>
      </c>
      <c r="E1195" t="e">
        <f t="shared" si="91"/>
        <v>#N/A</v>
      </c>
      <c r="F1195" s="8" t="e">
        <f>VLOOKUP(C1195,'RAW DATA 2023'!E:BO,23,0)</f>
        <v>#N/A</v>
      </c>
      <c r="G1195" s="14" t="e">
        <f t="shared" si="92"/>
        <v>#N/A</v>
      </c>
      <c r="H1195" s="25" t="e">
        <f t="shared" si="93"/>
        <v>#N/A</v>
      </c>
      <c r="I1195" s="80" t="e">
        <f>VLOOKUP(C1195,'RAW DATA 2023'!E:BO,36,0)</f>
        <v>#N/A</v>
      </c>
      <c r="J1195" t="e">
        <f>VLOOKUP(C1195,'RAW DATA 2023'!E:BO,21,0)</f>
        <v>#N/A</v>
      </c>
      <c r="K1195" s="268" t="e">
        <f t="shared" si="94"/>
        <v>#N/A</v>
      </c>
    </row>
    <row r="1196" spans="1:11">
      <c r="A1196">
        <f>'RAW DATA 2023'!B1189</f>
        <v>0</v>
      </c>
      <c r="B1196">
        <f>'RAW DATA 2023'!D1189</f>
        <v>0</v>
      </c>
      <c r="C1196" t="str">
        <f t="shared" si="90"/>
        <v>00</v>
      </c>
      <c r="D1196" t="e">
        <f>VLOOKUP(C1196,'RAW DATA 2023'!E:BP,63,0)</f>
        <v>#N/A</v>
      </c>
      <c r="E1196" t="e">
        <f t="shared" si="91"/>
        <v>#N/A</v>
      </c>
      <c r="F1196" s="8" t="e">
        <f>VLOOKUP(C1196,'RAW DATA 2023'!E:BO,23,0)</f>
        <v>#N/A</v>
      </c>
      <c r="G1196" s="14" t="e">
        <f t="shared" si="92"/>
        <v>#N/A</v>
      </c>
      <c r="H1196" s="25" t="e">
        <f t="shared" si="93"/>
        <v>#N/A</v>
      </c>
      <c r="I1196" s="80" t="e">
        <f>VLOOKUP(C1196,'RAW DATA 2023'!E:BO,36,0)</f>
        <v>#N/A</v>
      </c>
      <c r="J1196" t="e">
        <f>VLOOKUP(C1196,'RAW DATA 2023'!E:BO,21,0)</f>
        <v>#N/A</v>
      </c>
      <c r="K1196" s="268" t="e">
        <f t="shared" si="94"/>
        <v>#N/A</v>
      </c>
    </row>
    <row r="1197" spans="1:11">
      <c r="A1197">
        <f>'RAW DATA 2023'!B1190</f>
        <v>0</v>
      </c>
      <c r="B1197">
        <f>'RAW DATA 2023'!D1190</f>
        <v>0</v>
      </c>
      <c r="C1197" t="str">
        <f t="shared" si="90"/>
        <v>00</v>
      </c>
      <c r="D1197" t="e">
        <f>VLOOKUP(C1197,'RAW DATA 2023'!E:BP,63,0)</f>
        <v>#N/A</v>
      </c>
      <c r="E1197" t="e">
        <f t="shared" si="91"/>
        <v>#N/A</v>
      </c>
      <c r="F1197" s="8" t="e">
        <f>VLOOKUP(C1197,'RAW DATA 2023'!E:BO,23,0)</f>
        <v>#N/A</v>
      </c>
      <c r="G1197" s="14" t="e">
        <f t="shared" si="92"/>
        <v>#N/A</v>
      </c>
      <c r="H1197" s="25" t="e">
        <f t="shared" si="93"/>
        <v>#N/A</v>
      </c>
      <c r="I1197" s="80" t="e">
        <f>VLOOKUP(C1197,'RAW DATA 2023'!E:BO,36,0)</f>
        <v>#N/A</v>
      </c>
      <c r="J1197" t="e">
        <f>VLOOKUP(C1197,'RAW DATA 2023'!E:BO,21,0)</f>
        <v>#N/A</v>
      </c>
      <c r="K1197" s="268" t="e">
        <f t="shared" si="94"/>
        <v>#N/A</v>
      </c>
    </row>
    <row r="1198" spans="1:11">
      <c r="A1198">
        <f>'RAW DATA 2023'!B1191</f>
        <v>0</v>
      </c>
      <c r="B1198">
        <f>'RAW DATA 2023'!D1191</f>
        <v>0</v>
      </c>
      <c r="C1198" t="str">
        <f t="shared" si="90"/>
        <v>00</v>
      </c>
      <c r="D1198" t="e">
        <f>VLOOKUP(C1198,'RAW DATA 2023'!E:BP,63,0)</f>
        <v>#N/A</v>
      </c>
      <c r="E1198" t="e">
        <f t="shared" si="91"/>
        <v>#N/A</v>
      </c>
      <c r="F1198" s="8" t="e">
        <f>VLOOKUP(C1198,'RAW DATA 2023'!E:BO,23,0)</f>
        <v>#N/A</v>
      </c>
      <c r="G1198" s="14" t="e">
        <f t="shared" si="92"/>
        <v>#N/A</v>
      </c>
      <c r="H1198" s="25" t="e">
        <f t="shared" si="93"/>
        <v>#N/A</v>
      </c>
      <c r="I1198" s="80" t="e">
        <f>VLOOKUP(C1198,'RAW DATA 2023'!E:BO,36,0)</f>
        <v>#N/A</v>
      </c>
      <c r="J1198" t="e">
        <f>VLOOKUP(C1198,'RAW DATA 2023'!E:BO,21,0)</f>
        <v>#N/A</v>
      </c>
      <c r="K1198" s="268" t="e">
        <f t="shared" si="94"/>
        <v>#N/A</v>
      </c>
    </row>
    <row r="1199" spans="1:11">
      <c r="A1199">
        <f>'RAW DATA 2023'!B1192</f>
        <v>0</v>
      </c>
      <c r="B1199">
        <f>'RAW DATA 2023'!D1192</f>
        <v>0</v>
      </c>
      <c r="C1199" t="str">
        <f t="shared" si="90"/>
        <v>00</v>
      </c>
      <c r="D1199" t="e">
        <f>VLOOKUP(C1199,'RAW DATA 2023'!E:BP,63,0)</f>
        <v>#N/A</v>
      </c>
      <c r="E1199" t="e">
        <f t="shared" si="91"/>
        <v>#N/A</v>
      </c>
      <c r="F1199" s="8" t="e">
        <f>VLOOKUP(C1199,'RAW DATA 2023'!E:BO,23,0)</f>
        <v>#N/A</v>
      </c>
      <c r="G1199" s="14" t="e">
        <f t="shared" si="92"/>
        <v>#N/A</v>
      </c>
      <c r="H1199" s="25" t="e">
        <f t="shared" si="93"/>
        <v>#N/A</v>
      </c>
      <c r="I1199" s="80" t="e">
        <f>VLOOKUP(C1199,'RAW DATA 2023'!E:BO,36,0)</f>
        <v>#N/A</v>
      </c>
      <c r="J1199" t="e">
        <f>VLOOKUP(C1199,'RAW DATA 2023'!E:BO,21,0)</f>
        <v>#N/A</v>
      </c>
      <c r="K1199" s="268" t="e">
        <f t="shared" si="94"/>
        <v>#N/A</v>
      </c>
    </row>
    <row r="1200" spans="1:11">
      <c r="A1200">
        <f>'RAW DATA 2023'!B1193</f>
        <v>0</v>
      </c>
      <c r="B1200">
        <f>'RAW DATA 2023'!D1193</f>
        <v>0</v>
      </c>
      <c r="C1200" t="str">
        <f t="shared" si="90"/>
        <v>00</v>
      </c>
      <c r="D1200" t="e">
        <f>VLOOKUP(C1200,'RAW DATA 2023'!E:BP,63,0)</f>
        <v>#N/A</v>
      </c>
      <c r="E1200" t="e">
        <f t="shared" si="91"/>
        <v>#N/A</v>
      </c>
      <c r="F1200" s="8" t="e">
        <f>VLOOKUP(C1200,'RAW DATA 2023'!E:BO,23,0)</f>
        <v>#N/A</v>
      </c>
      <c r="G1200" s="14" t="e">
        <f t="shared" si="92"/>
        <v>#N/A</v>
      </c>
      <c r="H1200" s="25" t="e">
        <f t="shared" si="93"/>
        <v>#N/A</v>
      </c>
      <c r="I1200" s="80" t="e">
        <f>VLOOKUP(C1200,'RAW DATA 2023'!E:BO,36,0)</f>
        <v>#N/A</v>
      </c>
      <c r="J1200" t="e">
        <f>VLOOKUP(C1200,'RAW DATA 2023'!E:BO,21,0)</f>
        <v>#N/A</v>
      </c>
      <c r="K1200" s="268" t="e">
        <f t="shared" si="94"/>
        <v>#N/A</v>
      </c>
    </row>
    <row r="1201" spans="1:11">
      <c r="A1201">
        <f>'RAW DATA 2023'!B1194</f>
        <v>0</v>
      </c>
      <c r="B1201">
        <f>'RAW DATA 2023'!D1194</f>
        <v>0</v>
      </c>
      <c r="C1201" t="str">
        <f t="shared" si="90"/>
        <v>00</v>
      </c>
      <c r="D1201" t="e">
        <f>VLOOKUP(C1201,'RAW DATA 2023'!E:BP,63,0)</f>
        <v>#N/A</v>
      </c>
      <c r="E1201" t="e">
        <f t="shared" si="91"/>
        <v>#N/A</v>
      </c>
      <c r="F1201" s="8" t="e">
        <f>VLOOKUP(C1201,'RAW DATA 2023'!E:BO,23,0)</f>
        <v>#N/A</v>
      </c>
      <c r="G1201" s="14" t="e">
        <f t="shared" si="92"/>
        <v>#N/A</v>
      </c>
      <c r="H1201" s="25" t="e">
        <f t="shared" si="93"/>
        <v>#N/A</v>
      </c>
      <c r="I1201" s="80" t="e">
        <f>VLOOKUP(C1201,'RAW DATA 2023'!E:BO,36,0)</f>
        <v>#N/A</v>
      </c>
      <c r="J1201" t="e">
        <f>VLOOKUP(C1201,'RAW DATA 2023'!E:BO,21,0)</f>
        <v>#N/A</v>
      </c>
      <c r="K1201" s="268" t="e">
        <f t="shared" si="94"/>
        <v>#N/A</v>
      </c>
    </row>
    <row r="1202" spans="1:11">
      <c r="A1202">
        <f>'RAW DATA 2023'!B1195</f>
        <v>0</v>
      </c>
      <c r="B1202">
        <f>'RAW DATA 2023'!D1195</f>
        <v>0</v>
      </c>
      <c r="C1202" t="str">
        <f t="shared" si="90"/>
        <v>00</v>
      </c>
      <c r="D1202" t="e">
        <f>VLOOKUP(C1202,'RAW DATA 2023'!E:BP,63,0)</f>
        <v>#N/A</v>
      </c>
      <c r="E1202" t="e">
        <f t="shared" si="91"/>
        <v>#N/A</v>
      </c>
      <c r="F1202" s="8" t="e">
        <f>VLOOKUP(C1202,'RAW DATA 2023'!E:BO,23,0)</f>
        <v>#N/A</v>
      </c>
      <c r="G1202" s="14" t="e">
        <f t="shared" si="92"/>
        <v>#N/A</v>
      </c>
      <c r="H1202" s="25" t="e">
        <f t="shared" si="93"/>
        <v>#N/A</v>
      </c>
      <c r="I1202" s="80" t="e">
        <f>VLOOKUP(C1202,'RAW DATA 2023'!E:BO,36,0)</f>
        <v>#N/A</v>
      </c>
      <c r="J1202" t="e">
        <f>VLOOKUP(C1202,'RAW DATA 2023'!E:BO,21,0)</f>
        <v>#N/A</v>
      </c>
      <c r="K1202" s="268" t="e">
        <f t="shared" si="94"/>
        <v>#N/A</v>
      </c>
    </row>
    <row r="1203" spans="1:11">
      <c r="A1203">
        <f>'RAW DATA 2023'!B1196</f>
        <v>0</v>
      </c>
      <c r="B1203">
        <f>'RAW DATA 2023'!D1196</f>
        <v>0</v>
      </c>
      <c r="C1203" t="str">
        <f t="shared" si="90"/>
        <v>00</v>
      </c>
      <c r="D1203" t="e">
        <f>VLOOKUP(C1203,'RAW DATA 2023'!E:BP,63,0)</f>
        <v>#N/A</v>
      </c>
      <c r="E1203" t="e">
        <f t="shared" si="91"/>
        <v>#N/A</v>
      </c>
      <c r="F1203" s="8" t="e">
        <f>VLOOKUP(C1203,'RAW DATA 2023'!E:BO,23,0)</f>
        <v>#N/A</v>
      </c>
      <c r="G1203" s="14" t="e">
        <f t="shared" si="92"/>
        <v>#N/A</v>
      </c>
      <c r="H1203" s="25" t="e">
        <f t="shared" si="93"/>
        <v>#N/A</v>
      </c>
      <c r="I1203" s="80" t="e">
        <f>VLOOKUP(C1203,'RAW DATA 2023'!E:BO,36,0)</f>
        <v>#N/A</v>
      </c>
      <c r="J1203" t="e">
        <f>VLOOKUP(C1203,'RAW DATA 2023'!E:BO,21,0)</f>
        <v>#N/A</v>
      </c>
      <c r="K1203" s="268" t="e">
        <f t="shared" si="94"/>
        <v>#N/A</v>
      </c>
    </row>
    <row r="1204" spans="1:11">
      <c r="A1204">
        <f>'RAW DATA 2023'!B1197</f>
        <v>0</v>
      </c>
      <c r="B1204">
        <f>'RAW DATA 2023'!D1197</f>
        <v>0</v>
      </c>
      <c r="C1204" t="str">
        <f t="shared" si="90"/>
        <v>00</v>
      </c>
      <c r="D1204" t="e">
        <f>VLOOKUP(C1204,'RAW DATA 2023'!E:BP,63,0)</f>
        <v>#N/A</v>
      </c>
      <c r="E1204" t="e">
        <f t="shared" si="91"/>
        <v>#N/A</v>
      </c>
      <c r="F1204" s="8" t="e">
        <f>VLOOKUP(C1204,'RAW DATA 2023'!E:BO,23,0)</f>
        <v>#N/A</v>
      </c>
      <c r="G1204" s="14" t="e">
        <f t="shared" si="92"/>
        <v>#N/A</v>
      </c>
      <c r="H1204" s="25" t="e">
        <f t="shared" si="93"/>
        <v>#N/A</v>
      </c>
      <c r="I1204" s="80" t="e">
        <f>VLOOKUP(C1204,'RAW DATA 2023'!E:BO,36,0)</f>
        <v>#N/A</v>
      </c>
      <c r="J1204" t="e">
        <f>VLOOKUP(C1204,'RAW DATA 2023'!E:BO,21,0)</f>
        <v>#N/A</v>
      </c>
      <c r="K1204" s="268" t="e">
        <f t="shared" si="94"/>
        <v>#N/A</v>
      </c>
    </row>
    <row r="1205" spans="1:11">
      <c r="A1205">
        <f>'RAW DATA 2023'!B1198</f>
        <v>0</v>
      </c>
      <c r="B1205">
        <f>'RAW DATA 2023'!D1198</f>
        <v>0</v>
      </c>
      <c r="C1205" t="str">
        <f t="shared" si="90"/>
        <v>00</v>
      </c>
      <c r="D1205" t="e">
        <f>VLOOKUP(C1205,'RAW DATA 2023'!E:BP,63,0)</f>
        <v>#N/A</v>
      </c>
      <c r="E1205" t="e">
        <f t="shared" si="91"/>
        <v>#N/A</v>
      </c>
      <c r="F1205" s="8" t="e">
        <f>VLOOKUP(C1205,'RAW DATA 2023'!E:BO,23,0)</f>
        <v>#N/A</v>
      </c>
      <c r="G1205" s="14" t="e">
        <f t="shared" si="92"/>
        <v>#N/A</v>
      </c>
      <c r="H1205" s="25" t="e">
        <f t="shared" si="93"/>
        <v>#N/A</v>
      </c>
      <c r="I1205" s="80" t="e">
        <f>VLOOKUP(C1205,'RAW DATA 2023'!E:BO,36,0)</f>
        <v>#N/A</v>
      </c>
      <c r="J1205" t="e">
        <f>VLOOKUP(C1205,'RAW DATA 2023'!E:BO,21,0)</f>
        <v>#N/A</v>
      </c>
      <c r="K1205" s="268" t="e">
        <f t="shared" si="94"/>
        <v>#N/A</v>
      </c>
    </row>
    <row r="1206" spans="1:11">
      <c r="A1206">
        <f>'RAW DATA 2023'!B1199</f>
        <v>0</v>
      </c>
      <c r="B1206">
        <f>'RAW DATA 2023'!D1199</f>
        <v>0</v>
      </c>
      <c r="C1206" t="str">
        <f t="shared" si="90"/>
        <v>00</v>
      </c>
      <c r="D1206" t="e">
        <f>VLOOKUP(C1206,'RAW DATA 2023'!E:BP,63,0)</f>
        <v>#N/A</v>
      </c>
      <c r="E1206" t="e">
        <f t="shared" si="91"/>
        <v>#N/A</v>
      </c>
      <c r="F1206" s="8" t="e">
        <f>VLOOKUP(C1206,'RAW DATA 2023'!E:BO,23,0)</f>
        <v>#N/A</v>
      </c>
      <c r="G1206" s="14" t="e">
        <f t="shared" si="92"/>
        <v>#N/A</v>
      </c>
      <c r="H1206" s="25" t="e">
        <f t="shared" si="93"/>
        <v>#N/A</v>
      </c>
      <c r="I1206" s="80" t="e">
        <f>VLOOKUP(C1206,'RAW DATA 2023'!E:BO,36,0)</f>
        <v>#N/A</v>
      </c>
      <c r="J1206" t="e">
        <f>VLOOKUP(C1206,'RAW DATA 2023'!E:BO,21,0)</f>
        <v>#N/A</v>
      </c>
      <c r="K1206" s="268" t="e">
        <f t="shared" si="94"/>
        <v>#N/A</v>
      </c>
    </row>
    <row r="1207" spans="1:11">
      <c r="A1207">
        <f>'RAW DATA 2023'!B1200</f>
        <v>0</v>
      </c>
      <c r="B1207">
        <f>'RAW DATA 2023'!D1200</f>
        <v>0</v>
      </c>
      <c r="C1207" t="str">
        <f t="shared" si="90"/>
        <v>00</v>
      </c>
      <c r="D1207" t="e">
        <f>VLOOKUP(C1207,'RAW DATA 2023'!E:BP,63,0)</f>
        <v>#N/A</v>
      </c>
      <c r="E1207" t="e">
        <f t="shared" si="91"/>
        <v>#N/A</v>
      </c>
      <c r="F1207" s="8" t="e">
        <f>VLOOKUP(C1207,'RAW DATA 2023'!E:BO,23,0)</f>
        <v>#N/A</v>
      </c>
      <c r="G1207" s="14" t="e">
        <f t="shared" si="92"/>
        <v>#N/A</v>
      </c>
      <c r="H1207" s="25" t="e">
        <f t="shared" si="93"/>
        <v>#N/A</v>
      </c>
      <c r="I1207" s="80" t="e">
        <f>VLOOKUP(C1207,'RAW DATA 2023'!E:BO,36,0)</f>
        <v>#N/A</v>
      </c>
      <c r="J1207" t="e">
        <f>VLOOKUP(C1207,'RAW DATA 2023'!E:BO,21,0)</f>
        <v>#N/A</v>
      </c>
      <c r="K1207" s="268" t="e">
        <f t="shared" si="94"/>
        <v>#N/A</v>
      </c>
    </row>
    <row r="1208" spans="1:11">
      <c r="A1208">
        <f>'RAW DATA 2023'!B1201</f>
        <v>0</v>
      </c>
      <c r="B1208">
        <f>'RAW DATA 2023'!D1201</f>
        <v>0</v>
      </c>
      <c r="C1208" t="str">
        <f t="shared" si="90"/>
        <v>00</v>
      </c>
      <c r="D1208" t="e">
        <f>VLOOKUP(C1208,'RAW DATA 2023'!E:BP,63,0)</f>
        <v>#N/A</v>
      </c>
      <c r="E1208" t="e">
        <f t="shared" si="91"/>
        <v>#N/A</v>
      </c>
      <c r="F1208" s="8" t="e">
        <f>VLOOKUP(C1208,'RAW DATA 2023'!E:BO,23,0)</f>
        <v>#N/A</v>
      </c>
      <c r="G1208" s="14" t="e">
        <f t="shared" si="92"/>
        <v>#N/A</v>
      </c>
      <c r="H1208" s="25" t="e">
        <f t="shared" si="93"/>
        <v>#N/A</v>
      </c>
      <c r="I1208" s="80" t="e">
        <f>VLOOKUP(C1208,'RAW DATA 2023'!E:BO,36,0)</f>
        <v>#N/A</v>
      </c>
      <c r="J1208" t="e">
        <f>VLOOKUP(C1208,'RAW DATA 2023'!E:BO,21,0)</f>
        <v>#N/A</v>
      </c>
      <c r="K1208" s="268" t="e">
        <f t="shared" si="94"/>
        <v>#N/A</v>
      </c>
    </row>
    <row r="1209" spans="1:11">
      <c r="A1209">
        <f>'RAW DATA 2023'!B1202</f>
        <v>0</v>
      </c>
      <c r="B1209">
        <f>'RAW DATA 2023'!D1202</f>
        <v>0</v>
      </c>
      <c r="C1209" t="str">
        <f t="shared" si="90"/>
        <v>00</v>
      </c>
      <c r="D1209" t="e">
        <f>VLOOKUP(C1209,'RAW DATA 2023'!E:BP,63,0)</f>
        <v>#N/A</v>
      </c>
      <c r="E1209" t="e">
        <f t="shared" si="91"/>
        <v>#N/A</v>
      </c>
      <c r="F1209" s="8" t="e">
        <f>VLOOKUP(C1209,'RAW DATA 2023'!E:BO,23,0)</f>
        <v>#N/A</v>
      </c>
      <c r="G1209" s="14" t="e">
        <f t="shared" si="92"/>
        <v>#N/A</v>
      </c>
      <c r="H1209" s="25" t="e">
        <f t="shared" si="93"/>
        <v>#N/A</v>
      </c>
      <c r="I1209" s="80" t="e">
        <f>VLOOKUP(C1209,'RAW DATA 2023'!E:BO,36,0)</f>
        <v>#N/A</v>
      </c>
      <c r="J1209" t="e">
        <f>VLOOKUP(C1209,'RAW DATA 2023'!E:BO,21,0)</f>
        <v>#N/A</v>
      </c>
      <c r="K1209" s="268" t="e">
        <f t="shared" si="94"/>
        <v>#N/A</v>
      </c>
    </row>
    <row r="1210" spans="1:11">
      <c r="A1210">
        <f>'RAW DATA 2023'!B1203</f>
        <v>0</v>
      </c>
      <c r="B1210">
        <f>'RAW DATA 2023'!D1203</f>
        <v>0</v>
      </c>
      <c r="C1210" t="str">
        <f t="shared" si="90"/>
        <v>00</v>
      </c>
      <c r="D1210" t="e">
        <f>VLOOKUP(C1210,'RAW DATA 2023'!E:BP,63,0)</f>
        <v>#N/A</v>
      </c>
      <c r="E1210" t="e">
        <f t="shared" si="91"/>
        <v>#N/A</v>
      </c>
      <c r="F1210" s="8" t="e">
        <f>VLOOKUP(C1210,'RAW DATA 2023'!E:BO,23,0)</f>
        <v>#N/A</v>
      </c>
      <c r="G1210" s="14" t="e">
        <f t="shared" si="92"/>
        <v>#N/A</v>
      </c>
      <c r="H1210" s="25" t="e">
        <f t="shared" si="93"/>
        <v>#N/A</v>
      </c>
      <c r="I1210" s="80" t="e">
        <f>VLOOKUP(C1210,'RAW DATA 2023'!E:BO,36,0)</f>
        <v>#N/A</v>
      </c>
      <c r="J1210" t="e">
        <f>VLOOKUP(C1210,'RAW DATA 2023'!E:BO,21,0)</f>
        <v>#N/A</v>
      </c>
      <c r="K1210" s="268" t="e">
        <f t="shared" si="94"/>
        <v>#N/A</v>
      </c>
    </row>
    <row r="1211" spans="1:11">
      <c r="A1211">
        <f>'RAW DATA 2023'!B1204</f>
        <v>0</v>
      </c>
      <c r="B1211">
        <f>'RAW DATA 2023'!D1204</f>
        <v>0</v>
      </c>
      <c r="C1211" t="str">
        <f t="shared" si="90"/>
        <v>00</v>
      </c>
      <c r="D1211" t="e">
        <f>VLOOKUP(C1211,'RAW DATA 2023'!E:BP,63,0)</f>
        <v>#N/A</v>
      </c>
      <c r="E1211" t="e">
        <f t="shared" si="91"/>
        <v>#N/A</v>
      </c>
      <c r="F1211" s="8" t="e">
        <f>VLOOKUP(C1211,'RAW DATA 2023'!E:BO,23,0)</f>
        <v>#N/A</v>
      </c>
      <c r="G1211" s="14" t="e">
        <f t="shared" si="92"/>
        <v>#N/A</v>
      </c>
      <c r="H1211" s="25" t="e">
        <f t="shared" si="93"/>
        <v>#N/A</v>
      </c>
      <c r="I1211" s="80" t="e">
        <f>VLOOKUP(C1211,'RAW DATA 2023'!E:BO,36,0)</f>
        <v>#N/A</v>
      </c>
      <c r="J1211" t="e">
        <f>VLOOKUP(C1211,'RAW DATA 2023'!E:BO,21,0)</f>
        <v>#N/A</v>
      </c>
      <c r="K1211" s="268" t="e">
        <f t="shared" si="94"/>
        <v>#N/A</v>
      </c>
    </row>
    <row r="1212" spans="1:11">
      <c r="A1212">
        <f>'RAW DATA 2023'!B1205</f>
        <v>0</v>
      </c>
      <c r="B1212">
        <f>'RAW DATA 2023'!D1205</f>
        <v>0</v>
      </c>
      <c r="C1212" t="str">
        <f t="shared" si="90"/>
        <v>00</v>
      </c>
      <c r="D1212" t="e">
        <f>VLOOKUP(C1212,'RAW DATA 2023'!E:BP,63,0)</f>
        <v>#N/A</v>
      </c>
      <c r="E1212" t="e">
        <f t="shared" si="91"/>
        <v>#N/A</v>
      </c>
      <c r="F1212" s="8" t="e">
        <f>VLOOKUP(C1212,'RAW DATA 2023'!E:BO,23,0)</f>
        <v>#N/A</v>
      </c>
      <c r="G1212" s="14" t="e">
        <f t="shared" si="92"/>
        <v>#N/A</v>
      </c>
      <c r="H1212" s="25" t="e">
        <f t="shared" si="93"/>
        <v>#N/A</v>
      </c>
      <c r="I1212" s="80" t="e">
        <f>VLOOKUP(C1212,'RAW DATA 2023'!E:BO,36,0)</f>
        <v>#N/A</v>
      </c>
      <c r="J1212" t="e">
        <f>VLOOKUP(C1212,'RAW DATA 2023'!E:BO,21,0)</f>
        <v>#N/A</v>
      </c>
      <c r="K1212" s="268" t="e">
        <f t="shared" si="94"/>
        <v>#N/A</v>
      </c>
    </row>
    <row r="1213" spans="1:11">
      <c r="A1213">
        <f>'RAW DATA 2023'!B1206</f>
        <v>0</v>
      </c>
      <c r="B1213">
        <f>'RAW DATA 2023'!D1206</f>
        <v>0</v>
      </c>
      <c r="C1213" t="str">
        <f t="shared" si="90"/>
        <v>00</v>
      </c>
      <c r="D1213" t="e">
        <f>VLOOKUP(C1213,'RAW DATA 2023'!E:BP,63,0)</f>
        <v>#N/A</v>
      </c>
      <c r="E1213" t="e">
        <f t="shared" si="91"/>
        <v>#N/A</v>
      </c>
      <c r="F1213" s="8" t="e">
        <f>VLOOKUP(C1213,'RAW DATA 2023'!E:BO,23,0)</f>
        <v>#N/A</v>
      </c>
      <c r="G1213" s="14" t="e">
        <f t="shared" si="92"/>
        <v>#N/A</v>
      </c>
      <c r="H1213" s="25" t="e">
        <f t="shared" si="93"/>
        <v>#N/A</v>
      </c>
      <c r="I1213" s="80" t="e">
        <f>VLOOKUP(C1213,'RAW DATA 2023'!E:BO,36,0)</f>
        <v>#N/A</v>
      </c>
      <c r="J1213" t="e">
        <f>VLOOKUP(C1213,'RAW DATA 2023'!E:BO,21,0)</f>
        <v>#N/A</v>
      </c>
      <c r="K1213" s="268" t="e">
        <f t="shared" si="94"/>
        <v>#N/A</v>
      </c>
    </row>
    <row r="1214" spans="1:11">
      <c r="A1214">
        <f>'RAW DATA 2023'!B1207</f>
        <v>0</v>
      </c>
      <c r="B1214">
        <f>'RAW DATA 2023'!D1207</f>
        <v>0</v>
      </c>
      <c r="C1214" t="str">
        <f t="shared" si="90"/>
        <v>00</v>
      </c>
      <c r="D1214" t="e">
        <f>VLOOKUP(C1214,'RAW DATA 2023'!E:BP,63,0)</f>
        <v>#N/A</v>
      </c>
      <c r="E1214" t="e">
        <f t="shared" si="91"/>
        <v>#N/A</v>
      </c>
      <c r="F1214" s="8" t="e">
        <f>VLOOKUP(C1214,'RAW DATA 2023'!E:BO,23,0)</f>
        <v>#N/A</v>
      </c>
      <c r="G1214" s="14" t="e">
        <f t="shared" si="92"/>
        <v>#N/A</v>
      </c>
      <c r="H1214" s="25" t="e">
        <f t="shared" si="93"/>
        <v>#N/A</v>
      </c>
      <c r="I1214" s="80" t="e">
        <f>VLOOKUP(C1214,'RAW DATA 2023'!E:BO,36,0)</f>
        <v>#N/A</v>
      </c>
      <c r="J1214" t="e">
        <f>VLOOKUP(C1214,'RAW DATA 2023'!E:BO,21,0)</f>
        <v>#N/A</v>
      </c>
      <c r="K1214" s="268" t="e">
        <f t="shared" si="94"/>
        <v>#N/A</v>
      </c>
    </row>
    <row r="1215" spans="1:11">
      <c r="A1215">
        <f>'RAW DATA 2023'!B1208</f>
        <v>0</v>
      </c>
      <c r="B1215">
        <f>'RAW DATA 2023'!D1208</f>
        <v>0</v>
      </c>
      <c r="C1215" t="str">
        <f t="shared" si="90"/>
        <v>00</v>
      </c>
      <c r="D1215" t="e">
        <f>VLOOKUP(C1215,'RAW DATA 2023'!E:BP,63,0)</f>
        <v>#N/A</v>
      </c>
      <c r="E1215" t="e">
        <f t="shared" si="91"/>
        <v>#N/A</v>
      </c>
      <c r="F1215" s="8" t="e">
        <f>VLOOKUP(C1215,'RAW DATA 2023'!E:BO,23,0)</f>
        <v>#N/A</v>
      </c>
      <c r="G1215" s="14" t="e">
        <f t="shared" si="92"/>
        <v>#N/A</v>
      </c>
      <c r="H1215" s="25" t="e">
        <f t="shared" si="93"/>
        <v>#N/A</v>
      </c>
      <c r="I1215" s="80" t="e">
        <f>VLOOKUP(C1215,'RAW DATA 2023'!E:BO,36,0)</f>
        <v>#N/A</v>
      </c>
      <c r="J1215" t="e">
        <f>VLOOKUP(C1215,'RAW DATA 2023'!E:BO,21,0)</f>
        <v>#N/A</v>
      </c>
      <c r="K1215" s="268" t="e">
        <f t="shared" si="94"/>
        <v>#N/A</v>
      </c>
    </row>
    <row r="1216" spans="1:11">
      <c r="A1216">
        <f>'RAW DATA 2023'!B1209</f>
        <v>0</v>
      </c>
      <c r="B1216">
        <f>'RAW DATA 2023'!D1209</f>
        <v>0</v>
      </c>
      <c r="C1216" t="str">
        <f t="shared" si="90"/>
        <v>00</v>
      </c>
      <c r="D1216" t="e">
        <f>VLOOKUP(C1216,'RAW DATA 2023'!E:BP,63,0)</f>
        <v>#N/A</v>
      </c>
      <c r="E1216" t="e">
        <f t="shared" si="91"/>
        <v>#N/A</v>
      </c>
      <c r="F1216" s="8" t="e">
        <f>VLOOKUP(C1216,'RAW DATA 2023'!E:BO,23,0)</f>
        <v>#N/A</v>
      </c>
      <c r="G1216" s="14" t="e">
        <f t="shared" si="92"/>
        <v>#N/A</v>
      </c>
      <c r="H1216" s="25" t="e">
        <f t="shared" si="93"/>
        <v>#N/A</v>
      </c>
      <c r="I1216" s="80" t="e">
        <f>VLOOKUP(C1216,'RAW DATA 2023'!E:BO,36,0)</f>
        <v>#N/A</v>
      </c>
      <c r="J1216" t="e">
        <f>VLOOKUP(C1216,'RAW DATA 2023'!E:BO,21,0)</f>
        <v>#N/A</v>
      </c>
      <c r="K1216" s="268" t="e">
        <f t="shared" si="94"/>
        <v>#N/A</v>
      </c>
    </row>
    <row r="1217" spans="1:11">
      <c r="A1217">
        <f>'RAW DATA 2023'!B1210</f>
        <v>0</v>
      </c>
      <c r="B1217">
        <f>'RAW DATA 2023'!D1210</f>
        <v>0</v>
      </c>
      <c r="C1217" t="str">
        <f t="shared" si="90"/>
        <v>00</v>
      </c>
      <c r="D1217" t="e">
        <f>VLOOKUP(C1217,'RAW DATA 2023'!E:BP,63,0)</f>
        <v>#N/A</v>
      </c>
      <c r="E1217" t="e">
        <f t="shared" si="91"/>
        <v>#N/A</v>
      </c>
      <c r="F1217" s="8" t="e">
        <f>VLOOKUP(C1217,'RAW DATA 2023'!E:BO,23,0)</f>
        <v>#N/A</v>
      </c>
      <c r="G1217" s="14" t="e">
        <f t="shared" si="92"/>
        <v>#N/A</v>
      </c>
      <c r="H1217" s="25" t="e">
        <f t="shared" si="93"/>
        <v>#N/A</v>
      </c>
      <c r="I1217" s="80" t="e">
        <f>VLOOKUP(C1217,'RAW DATA 2023'!E:BO,36,0)</f>
        <v>#N/A</v>
      </c>
      <c r="J1217" t="e">
        <f>VLOOKUP(C1217,'RAW DATA 2023'!E:BO,21,0)</f>
        <v>#N/A</v>
      </c>
      <c r="K1217" s="268" t="e">
        <f t="shared" si="94"/>
        <v>#N/A</v>
      </c>
    </row>
    <row r="1218" spans="1:11">
      <c r="A1218">
        <f>'RAW DATA 2023'!B1211</f>
        <v>0</v>
      </c>
      <c r="B1218">
        <f>'RAW DATA 2023'!D1211</f>
        <v>0</v>
      </c>
      <c r="C1218" t="str">
        <f t="shared" si="90"/>
        <v>00</v>
      </c>
      <c r="D1218" t="e">
        <f>VLOOKUP(C1218,'RAW DATA 2023'!E:BP,63,0)</f>
        <v>#N/A</v>
      </c>
      <c r="E1218" t="e">
        <f t="shared" si="91"/>
        <v>#N/A</v>
      </c>
      <c r="F1218" s="8" t="e">
        <f>VLOOKUP(C1218,'RAW DATA 2023'!E:BO,23,0)</f>
        <v>#N/A</v>
      </c>
      <c r="G1218" s="14" t="e">
        <f t="shared" si="92"/>
        <v>#N/A</v>
      </c>
      <c r="H1218" s="25" t="e">
        <f t="shared" si="93"/>
        <v>#N/A</v>
      </c>
      <c r="I1218" s="80" t="e">
        <f>VLOOKUP(C1218,'RAW DATA 2023'!E:BO,36,0)</f>
        <v>#N/A</v>
      </c>
      <c r="J1218" t="e">
        <f>VLOOKUP(C1218,'RAW DATA 2023'!E:BO,21,0)</f>
        <v>#N/A</v>
      </c>
      <c r="K1218" s="268" t="e">
        <f t="shared" si="94"/>
        <v>#N/A</v>
      </c>
    </row>
    <row r="1219" spans="1:11">
      <c r="A1219">
        <f>'RAW DATA 2023'!B1212</f>
        <v>0</v>
      </c>
      <c r="B1219">
        <f>'RAW DATA 2023'!D1212</f>
        <v>0</v>
      </c>
      <c r="C1219" t="str">
        <f t="shared" si="90"/>
        <v>00</v>
      </c>
      <c r="D1219" t="e">
        <f>VLOOKUP(C1219,'RAW DATA 2023'!E:BP,63,0)</f>
        <v>#N/A</v>
      </c>
      <c r="E1219" t="e">
        <f t="shared" si="91"/>
        <v>#N/A</v>
      </c>
      <c r="F1219" s="8" t="e">
        <f>VLOOKUP(C1219,'RAW DATA 2023'!E:BO,23,0)</f>
        <v>#N/A</v>
      </c>
      <c r="G1219" s="14" t="e">
        <f t="shared" si="92"/>
        <v>#N/A</v>
      </c>
      <c r="H1219" s="25" t="e">
        <f t="shared" si="93"/>
        <v>#N/A</v>
      </c>
      <c r="I1219" s="80" t="e">
        <f>VLOOKUP(C1219,'RAW DATA 2023'!E:BO,36,0)</f>
        <v>#N/A</v>
      </c>
      <c r="J1219" t="e">
        <f>VLOOKUP(C1219,'RAW DATA 2023'!E:BO,21,0)</f>
        <v>#N/A</v>
      </c>
      <c r="K1219" s="268" t="e">
        <f t="shared" si="94"/>
        <v>#N/A</v>
      </c>
    </row>
    <row r="1220" spans="1:11">
      <c r="A1220">
        <f>'RAW DATA 2023'!B1213</f>
        <v>0</v>
      </c>
      <c r="B1220">
        <f>'RAW DATA 2023'!D1213</f>
        <v>0</v>
      </c>
      <c r="C1220" t="str">
        <f t="shared" si="90"/>
        <v>00</v>
      </c>
      <c r="D1220" t="e">
        <f>VLOOKUP(C1220,'RAW DATA 2023'!E:BP,63,0)</f>
        <v>#N/A</v>
      </c>
      <c r="E1220" t="e">
        <f t="shared" si="91"/>
        <v>#N/A</v>
      </c>
      <c r="F1220" s="8" t="e">
        <f>VLOOKUP(C1220,'RAW DATA 2023'!E:BO,23,0)</f>
        <v>#N/A</v>
      </c>
      <c r="G1220" s="14" t="e">
        <f t="shared" si="92"/>
        <v>#N/A</v>
      </c>
      <c r="H1220" s="25" t="e">
        <f t="shared" si="93"/>
        <v>#N/A</v>
      </c>
      <c r="I1220" s="80" t="e">
        <f>VLOOKUP(C1220,'RAW DATA 2023'!E:BO,36,0)</f>
        <v>#N/A</v>
      </c>
      <c r="J1220" t="e">
        <f>VLOOKUP(C1220,'RAW DATA 2023'!E:BO,21,0)</f>
        <v>#N/A</v>
      </c>
      <c r="K1220" s="268" t="e">
        <f t="shared" si="94"/>
        <v>#N/A</v>
      </c>
    </row>
    <row r="1221" spans="1:11">
      <c r="A1221">
        <f>'RAW DATA 2023'!B1214</f>
        <v>0</v>
      </c>
      <c r="B1221">
        <f>'RAW DATA 2023'!D1214</f>
        <v>0</v>
      </c>
      <c r="C1221" t="str">
        <f t="shared" si="90"/>
        <v>00</v>
      </c>
      <c r="D1221" t="e">
        <f>VLOOKUP(C1221,'RAW DATA 2023'!E:BP,63,0)</f>
        <v>#N/A</v>
      </c>
      <c r="E1221" t="e">
        <f t="shared" si="91"/>
        <v>#N/A</v>
      </c>
      <c r="F1221" s="8" t="e">
        <f>VLOOKUP(C1221,'RAW DATA 2023'!E:BO,23,0)</f>
        <v>#N/A</v>
      </c>
      <c r="G1221" s="14" t="e">
        <f t="shared" si="92"/>
        <v>#N/A</v>
      </c>
      <c r="H1221" s="25" t="e">
        <f t="shared" si="93"/>
        <v>#N/A</v>
      </c>
      <c r="I1221" s="80" t="e">
        <f>VLOOKUP(C1221,'RAW DATA 2023'!E:BO,36,0)</f>
        <v>#N/A</v>
      </c>
      <c r="J1221" t="e">
        <f>VLOOKUP(C1221,'RAW DATA 2023'!E:BO,21,0)</f>
        <v>#N/A</v>
      </c>
      <c r="K1221" s="268" t="e">
        <f t="shared" si="94"/>
        <v>#N/A</v>
      </c>
    </row>
    <row r="1222" spans="1:11">
      <c r="A1222">
        <f>'RAW DATA 2023'!B1215</f>
        <v>0</v>
      </c>
      <c r="B1222">
        <f>'RAW DATA 2023'!D1215</f>
        <v>0</v>
      </c>
      <c r="C1222" t="str">
        <f t="shared" si="90"/>
        <v>00</v>
      </c>
      <c r="D1222" t="e">
        <f>VLOOKUP(C1222,'RAW DATA 2023'!E:BP,63,0)</f>
        <v>#N/A</v>
      </c>
      <c r="E1222" t="e">
        <f t="shared" si="91"/>
        <v>#N/A</v>
      </c>
      <c r="F1222" s="8" t="e">
        <f>VLOOKUP(C1222,'RAW DATA 2023'!E:BO,23,0)</f>
        <v>#N/A</v>
      </c>
      <c r="G1222" s="14" t="e">
        <f t="shared" si="92"/>
        <v>#N/A</v>
      </c>
      <c r="H1222" s="25" t="e">
        <f t="shared" si="93"/>
        <v>#N/A</v>
      </c>
      <c r="I1222" s="80" t="e">
        <f>VLOOKUP(C1222,'RAW DATA 2023'!E:BO,36,0)</f>
        <v>#N/A</v>
      </c>
      <c r="J1222" t="e">
        <f>VLOOKUP(C1222,'RAW DATA 2023'!E:BO,21,0)</f>
        <v>#N/A</v>
      </c>
      <c r="K1222" s="268" t="e">
        <f t="shared" si="94"/>
        <v>#N/A</v>
      </c>
    </row>
    <row r="1223" spans="1:11">
      <c r="A1223">
        <f>'RAW DATA 2023'!B1216</f>
        <v>0</v>
      </c>
      <c r="B1223">
        <f>'RAW DATA 2023'!D1216</f>
        <v>0</v>
      </c>
      <c r="C1223" t="str">
        <f t="shared" si="90"/>
        <v>00</v>
      </c>
      <c r="D1223" t="e">
        <f>VLOOKUP(C1223,'RAW DATA 2023'!E:BP,63,0)</f>
        <v>#N/A</v>
      </c>
      <c r="E1223" t="e">
        <f t="shared" si="91"/>
        <v>#N/A</v>
      </c>
      <c r="F1223" s="8" t="e">
        <f>VLOOKUP(C1223,'RAW DATA 2023'!E:BO,23,0)</f>
        <v>#N/A</v>
      </c>
      <c r="G1223" s="14" t="e">
        <f t="shared" si="92"/>
        <v>#N/A</v>
      </c>
      <c r="H1223" s="25" t="e">
        <f t="shared" si="93"/>
        <v>#N/A</v>
      </c>
      <c r="I1223" s="80" t="e">
        <f>VLOOKUP(C1223,'RAW DATA 2023'!E:BO,36,0)</f>
        <v>#N/A</v>
      </c>
      <c r="J1223" t="e">
        <f>VLOOKUP(C1223,'RAW DATA 2023'!E:BO,21,0)</f>
        <v>#N/A</v>
      </c>
      <c r="K1223" s="268" t="e">
        <f t="shared" si="94"/>
        <v>#N/A</v>
      </c>
    </row>
    <row r="1224" spans="1:11">
      <c r="A1224">
        <f>'RAW DATA 2023'!B1217</f>
        <v>0</v>
      </c>
      <c r="B1224">
        <f>'RAW DATA 2023'!D1217</f>
        <v>0</v>
      </c>
      <c r="C1224" t="str">
        <f t="shared" si="90"/>
        <v>00</v>
      </c>
      <c r="D1224" t="e">
        <f>VLOOKUP(C1224,'RAW DATA 2023'!E:BP,63,0)</f>
        <v>#N/A</v>
      </c>
      <c r="E1224" t="e">
        <f t="shared" si="91"/>
        <v>#N/A</v>
      </c>
      <c r="F1224" s="8" t="e">
        <f>VLOOKUP(C1224,'RAW DATA 2023'!E:BO,23,0)</f>
        <v>#N/A</v>
      </c>
      <c r="G1224" s="14" t="e">
        <f t="shared" si="92"/>
        <v>#N/A</v>
      </c>
      <c r="H1224" s="25" t="e">
        <f t="shared" si="93"/>
        <v>#N/A</v>
      </c>
      <c r="I1224" s="80" t="e">
        <f>VLOOKUP(C1224,'RAW DATA 2023'!E:BO,36,0)</f>
        <v>#N/A</v>
      </c>
      <c r="J1224" t="e">
        <f>VLOOKUP(C1224,'RAW DATA 2023'!E:BO,21,0)</f>
        <v>#N/A</v>
      </c>
      <c r="K1224" s="268" t="e">
        <f t="shared" si="94"/>
        <v>#N/A</v>
      </c>
    </row>
    <row r="1225" spans="1:11">
      <c r="A1225">
        <f>'RAW DATA 2023'!B1218</f>
        <v>0</v>
      </c>
      <c r="B1225">
        <f>'RAW DATA 2023'!D1218</f>
        <v>0</v>
      </c>
      <c r="C1225" t="str">
        <f t="shared" si="90"/>
        <v>00</v>
      </c>
      <c r="D1225" t="e">
        <f>VLOOKUP(C1225,'RAW DATA 2023'!E:BP,63,0)</f>
        <v>#N/A</v>
      </c>
      <c r="E1225" t="e">
        <f t="shared" si="91"/>
        <v>#N/A</v>
      </c>
      <c r="F1225" s="8" t="e">
        <f>VLOOKUP(C1225,'RAW DATA 2023'!E:BO,23,0)</f>
        <v>#N/A</v>
      </c>
      <c r="G1225" s="14" t="e">
        <f t="shared" si="92"/>
        <v>#N/A</v>
      </c>
      <c r="H1225" s="25" t="e">
        <f t="shared" si="93"/>
        <v>#N/A</v>
      </c>
      <c r="I1225" s="80" t="e">
        <f>VLOOKUP(C1225,'RAW DATA 2023'!E:BO,36,0)</f>
        <v>#N/A</v>
      </c>
      <c r="J1225" t="e">
        <f>VLOOKUP(C1225,'RAW DATA 2023'!E:BO,21,0)</f>
        <v>#N/A</v>
      </c>
      <c r="K1225" s="268" t="e">
        <f t="shared" si="94"/>
        <v>#N/A</v>
      </c>
    </row>
    <row r="1226" spans="1:11">
      <c r="A1226">
        <f>'RAW DATA 2023'!B1219</f>
        <v>0</v>
      </c>
      <c r="B1226">
        <f>'RAW DATA 2023'!D1219</f>
        <v>0</v>
      </c>
      <c r="C1226" t="str">
        <f t="shared" ref="C1226:C1289" si="95">A1226&amp;B1226</f>
        <v>00</v>
      </c>
      <c r="D1226" t="e">
        <f>VLOOKUP(C1226,'RAW DATA 2023'!E:BP,63,0)</f>
        <v>#N/A</v>
      </c>
      <c r="E1226" t="e">
        <f t="shared" ref="E1226:E1289" si="96">A1226&amp;D1226</f>
        <v>#N/A</v>
      </c>
      <c r="F1226" s="8" t="e">
        <f>VLOOKUP(C1226,'RAW DATA 2023'!E:BO,23,0)</f>
        <v>#N/A</v>
      </c>
      <c r="G1226" s="14" t="e">
        <f t="shared" si="92"/>
        <v>#N/A</v>
      </c>
      <c r="H1226" s="25" t="e">
        <f t="shared" si="93"/>
        <v>#N/A</v>
      </c>
      <c r="I1226" s="80" t="e">
        <f>VLOOKUP(C1226,'RAW DATA 2023'!E:BO,36,0)</f>
        <v>#N/A</v>
      </c>
      <c r="J1226" t="e">
        <f>VLOOKUP(C1226,'RAW DATA 2023'!E:BO,21,0)</f>
        <v>#N/A</v>
      </c>
      <c r="K1226" s="268" t="e">
        <f t="shared" si="94"/>
        <v>#N/A</v>
      </c>
    </row>
    <row r="1227" spans="1:11">
      <c r="A1227">
        <f>'RAW DATA 2023'!B1220</f>
        <v>0</v>
      </c>
      <c r="B1227">
        <f>'RAW DATA 2023'!D1220</f>
        <v>0</v>
      </c>
      <c r="C1227" t="str">
        <f t="shared" si="95"/>
        <v>00</v>
      </c>
      <c r="D1227" t="e">
        <f>VLOOKUP(C1227,'RAW DATA 2023'!E:BP,63,0)</f>
        <v>#N/A</v>
      </c>
      <c r="E1227" t="e">
        <f t="shared" si="96"/>
        <v>#N/A</v>
      </c>
      <c r="F1227" s="8" t="e">
        <f>VLOOKUP(C1227,'RAW DATA 2023'!E:BO,23,0)</f>
        <v>#N/A</v>
      </c>
      <c r="G1227" s="14" t="e">
        <f t="shared" ref="G1227:G1290" si="97">IF(F1227=0,0,$B$2-F1227)</f>
        <v>#N/A</v>
      </c>
      <c r="H1227" s="25" t="e">
        <f t="shared" ref="H1227:H1290" si="98">G1227*$B$6</f>
        <v>#N/A</v>
      </c>
      <c r="I1227" s="80" t="e">
        <f>VLOOKUP(C1227,'RAW DATA 2023'!E:BO,36,0)</f>
        <v>#N/A</v>
      </c>
      <c r="J1227" t="e">
        <f>VLOOKUP(C1227,'RAW DATA 2023'!E:BO,21,0)</f>
        <v>#N/A</v>
      </c>
      <c r="K1227" s="268" t="e">
        <f t="shared" ref="K1227:K1290" si="99">H1227*J1227</f>
        <v>#N/A</v>
      </c>
    </row>
    <row r="1228" spans="1:11">
      <c r="A1228">
        <f>'RAW DATA 2023'!B1221</f>
        <v>0</v>
      </c>
      <c r="B1228">
        <f>'RAW DATA 2023'!D1221</f>
        <v>0</v>
      </c>
      <c r="C1228" t="str">
        <f t="shared" si="95"/>
        <v>00</v>
      </c>
      <c r="D1228" t="e">
        <f>VLOOKUP(C1228,'RAW DATA 2023'!E:BP,63,0)</f>
        <v>#N/A</v>
      </c>
      <c r="E1228" t="e">
        <f t="shared" si="96"/>
        <v>#N/A</v>
      </c>
      <c r="F1228" s="8" t="e">
        <f>VLOOKUP(C1228,'RAW DATA 2023'!E:BO,23,0)</f>
        <v>#N/A</v>
      </c>
      <c r="G1228" s="14" t="e">
        <f t="shared" si="97"/>
        <v>#N/A</v>
      </c>
      <c r="H1228" s="25" t="e">
        <f t="shared" si="98"/>
        <v>#N/A</v>
      </c>
      <c r="I1228" s="80" t="e">
        <f>VLOOKUP(C1228,'RAW DATA 2023'!E:BO,36,0)</f>
        <v>#N/A</v>
      </c>
      <c r="J1228" t="e">
        <f>VLOOKUP(C1228,'RAW DATA 2023'!E:BO,21,0)</f>
        <v>#N/A</v>
      </c>
      <c r="K1228" s="268" t="e">
        <f t="shared" si="99"/>
        <v>#N/A</v>
      </c>
    </row>
    <row r="1229" spans="1:11">
      <c r="A1229">
        <f>'RAW DATA 2023'!B1222</f>
        <v>0</v>
      </c>
      <c r="B1229">
        <f>'RAW DATA 2023'!D1222</f>
        <v>0</v>
      </c>
      <c r="C1229" t="str">
        <f t="shared" si="95"/>
        <v>00</v>
      </c>
      <c r="D1229" t="e">
        <f>VLOOKUP(C1229,'RAW DATA 2023'!E:BP,63,0)</f>
        <v>#N/A</v>
      </c>
      <c r="E1229" t="e">
        <f t="shared" si="96"/>
        <v>#N/A</v>
      </c>
      <c r="F1229" s="8" t="e">
        <f>VLOOKUP(C1229,'RAW DATA 2023'!E:BO,23,0)</f>
        <v>#N/A</v>
      </c>
      <c r="G1229" s="14" t="e">
        <f t="shared" si="97"/>
        <v>#N/A</v>
      </c>
      <c r="H1229" s="25" t="e">
        <f t="shared" si="98"/>
        <v>#N/A</v>
      </c>
      <c r="I1229" s="80" t="e">
        <f>VLOOKUP(C1229,'RAW DATA 2023'!E:BO,36,0)</f>
        <v>#N/A</v>
      </c>
      <c r="J1229" t="e">
        <f>VLOOKUP(C1229,'RAW DATA 2023'!E:BO,21,0)</f>
        <v>#N/A</v>
      </c>
      <c r="K1229" s="268" t="e">
        <f t="shared" si="99"/>
        <v>#N/A</v>
      </c>
    </row>
    <row r="1230" spans="1:11">
      <c r="A1230">
        <f>'RAW DATA 2023'!B1223</f>
        <v>0</v>
      </c>
      <c r="B1230">
        <f>'RAW DATA 2023'!D1223</f>
        <v>0</v>
      </c>
      <c r="C1230" t="str">
        <f t="shared" si="95"/>
        <v>00</v>
      </c>
      <c r="D1230" t="e">
        <f>VLOOKUP(C1230,'RAW DATA 2023'!E:BP,63,0)</f>
        <v>#N/A</v>
      </c>
      <c r="E1230" t="e">
        <f t="shared" si="96"/>
        <v>#N/A</v>
      </c>
      <c r="F1230" s="8" t="e">
        <f>VLOOKUP(C1230,'RAW DATA 2023'!E:BO,23,0)</f>
        <v>#N/A</v>
      </c>
      <c r="G1230" s="14" t="e">
        <f t="shared" si="97"/>
        <v>#N/A</v>
      </c>
      <c r="H1230" s="25" t="e">
        <f t="shared" si="98"/>
        <v>#N/A</v>
      </c>
      <c r="I1230" s="80" t="e">
        <f>VLOOKUP(C1230,'RAW DATA 2023'!E:BO,36,0)</f>
        <v>#N/A</v>
      </c>
      <c r="J1230" t="e">
        <f>VLOOKUP(C1230,'RAW DATA 2023'!E:BO,21,0)</f>
        <v>#N/A</v>
      </c>
      <c r="K1230" s="268" t="e">
        <f t="shared" si="99"/>
        <v>#N/A</v>
      </c>
    </row>
    <row r="1231" spans="1:11">
      <c r="A1231">
        <f>'RAW DATA 2023'!B1224</f>
        <v>0</v>
      </c>
      <c r="B1231">
        <f>'RAW DATA 2023'!D1224</f>
        <v>0</v>
      </c>
      <c r="C1231" t="str">
        <f t="shared" si="95"/>
        <v>00</v>
      </c>
      <c r="D1231" t="e">
        <f>VLOOKUP(C1231,'RAW DATA 2023'!E:BP,63,0)</f>
        <v>#N/A</v>
      </c>
      <c r="E1231" t="e">
        <f t="shared" si="96"/>
        <v>#N/A</v>
      </c>
      <c r="F1231" s="8" t="e">
        <f>VLOOKUP(C1231,'RAW DATA 2023'!E:BO,23,0)</f>
        <v>#N/A</v>
      </c>
      <c r="G1231" s="14" t="e">
        <f t="shared" si="97"/>
        <v>#N/A</v>
      </c>
      <c r="H1231" s="25" t="e">
        <f t="shared" si="98"/>
        <v>#N/A</v>
      </c>
      <c r="I1231" s="80" t="e">
        <f>VLOOKUP(C1231,'RAW DATA 2023'!E:BO,36,0)</f>
        <v>#N/A</v>
      </c>
      <c r="J1231" t="e">
        <f>VLOOKUP(C1231,'RAW DATA 2023'!E:BO,21,0)</f>
        <v>#N/A</v>
      </c>
      <c r="K1231" s="268" t="e">
        <f t="shared" si="99"/>
        <v>#N/A</v>
      </c>
    </row>
    <row r="1232" spans="1:11">
      <c r="A1232">
        <f>'RAW DATA 2023'!B1225</f>
        <v>0</v>
      </c>
      <c r="B1232">
        <f>'RAW DATA 2023'!D1225</f>
        <v>0</v>
      </c>
      <c r="C1232" t="str">
        <f t="shared" si="95"/>
        <v>00</v>
      </c>
      <c r="D1232" t="e">
        <f>VLOOKUP(C1232,'RAW DATA 2023'!E:BP,63,0)</f>
        <v>#N/A</v>
      </c>
      <c r="E1232" t="e">
        <f t="shared" si="96"/>
        <v>#N/A</v>
      </c>
      <c r="F1232" s="8" t="e">
        <f>VLOOKUP(C1232,'RAW DATA 2023'!E:BO,23,0)</f>
        <v>#N/A</v>
      </c>
      <c r="G1232" s="14" t="e">
        <f t="shared" si="97"/>
        <v>#N/A</v>
      </c>
      <c r="H1232" s="25" t="e">
        <f t="shared" si="98"/>
        <v>#N/A</v>
      </c>
      <c r="I1232" s="80" t="e">
        <f>VLOOKUP(C1232,'RAW DATA 2023'!E:BO,36,0)</f>
        <v>#N/A</v>
      </c>
      <c r="J1232" t="e">
        <f>VLOOKUP(C1232,'RAW DATA 2023'!E:BO,21,0)</f>
        <v>#N/A</v>
      </c>
      <c r="K1232" s="268" t="e">
        <f t="shared" si="99"/>
        <v>#N/A</v>
      </c>
    </row>
    <row r="1233" spans="1:11">
      <c r="A1233">
        <f>'RAW DATA 2023'!B1226</f>
        <v>0</v>
      </c>
      <c r="B1233">
        <f>'RAW DATA 2023'!D1226</f>
        <v>0</v>
      </c>
      <c r="C1233" t="str">
        <f t="shared" si="95"/>
        <v>00</v>
      </c>
      <c r="D1233" t="e">
        <f>VLOOKUP(C1233,'RAW DATA 2023'!E:BP,63,0)</f>
        <v>#N/A</v>
      </c>
      <c r="E1233" t="e">
        <f t="shared" si="96"/>
        <v>#N/A</v>
      </c>
      <c r="F1233" s="8" t="e">
        <f>VLOOKUP(C1233,'RAW DATA 2023'!E:BO,23,0)</f>
        <v>#N/A</v>
      </c>
      <c r="G1233" s="14" t="e">
        <f t="shared" si="97"/>
        <v>#N/A</v>
      </c>
      <c r="H1233" s="25" t="e">
        <f t="shared" si="98"/>
        <v>#N/A</v>
      </c>
      <c r="I1233" s="80" t="e">
        <f>VLOOKUP(C1233,'RAW DATA 2023'!E:BO,36,0)</f>
        <v>#N/A</v>
      </c>
      <c r="J1233" t="e">
        <f>VLOOKUP(C1233,'RAW DATA 2023'!E:BO,21,0)</f>
        <v>#N/A</v>
      </c>
      <c r="K1233" s="268" t="e">
        <f t="shared" si="99"/>
        <v>#N/A</v>
      </c>
    </row>
    <row r="1234" spans="1:11">
      <c r="A1234">
        <f>'RAW DATA 2023'!B1227</f>
        <v>0</v>
      </c>
      <c r="B1234">
        <f>'RAW DATA 2023'!D1227</f>
        <v>0</v>
      </c>
      <c r="C1234" t="str">
        <f t="shared" si="95"/>
        <v>00</v>
      </c>
      <c r="D1234" t="e">
        <f>VLOOKUP(C1234,'RAW DATA 2023'!E:BP,63,0)</f>
        <v>#N/A</v>
      </c>
      <c r="E1234" t="e">
        <f t="shared" si="96"/>
        <v>#N/A</v>
      </c>
      <c r="F1234" s="8" t="e">
        <f>VLOOKUP(C1234,'RAW DATA 2023'!E:BO,23,0)</f>
        <v>#N/A</v>
      </c>
      <c r="G1234" s="14" t="e">
        <f t="shared" si="97"/>
        <v>#N/A</v>
      </c>
      <c r="H1234" s="25" t="e">
        <f t="shared" si="98"/>
        <v>#N/A</v>
      </c>
      <c r="I1234" s="80" t="e">
        <f>VLOOKUP(C1234,'RAW DATA 2023'!E:BO,36,0)</f>
        <v>#N/A</v>
      </c>
      <c r="J1234" t="e">
        <f>VLOOKUP(C1234,'RAW DATA 2023'!E:BO,21,0)</f>
        <v>#N/A</v>
      </c>
      <c r="K1234" s="268" t="e">
        <f t="shared" si="99"/>
        <v>#N/A</v>
      </c>
    </row>
    <row r="1235" spans="1:11">
      <c r="A1235">
        <f>'RAW DATA 2023'!B1228</f>
        <v>0</v>
      </c>
      <c r="B1235">
        <f>'RAW DATA 2023'!D1228</f>
        <v>0</v>
      </c>
      <c r="C1235" t="str">
        <f t="shared" si="95"/>
        <v>00</v>
      </c>
      <c r="D1235" t="e">
        <f>VLOOKUP(C1235,'RAW DATA 2023'!E:BP,63,0)</f>
        <v>#N/A</v>
      </c>
      <c r="E1235" t="e">
        <f t="shared" si="96"/>
        <v>#N/A</v>
      </c>
      <c r="F1235" s="8" t="e">
        <f>VLOOKUP(C1235,'RAW DATA 2023'!E:BO,23,0)</f>
        <v>#N/A</v>
      </c>
      <c r="G1235" s="14" t="e">
        <f t="shared" si="97"/>
        <v>#N/A</v>
      </c>
      <c r="H1235" s="25" t="e">
        <f t="shared" si="98"/>
        <v>#N/A</v>
      </c>
      <c r="I1235" s="80" t="e">
        <f>VLOOKUP(C1235,'RAW DATA 2023'!E:BO,36,0)</f>
        <v>#N/A</v>
      </c>
      <c r="J1235" t="e">
        <f>VLOOKUP(C1235,'RAW DATA 2023'!E:BO,21,0)</f>
        <v>#N/A</v>
      </c>
      <c r="K1235" s="268" t="e">
        <f t="shared" si="99"/>
        <v>#N/A</v>
      </c>
    </row>
    <row r="1236" spans="1:11">
      <c r="A1236">
        <f>'RAW DATA 2023'!B1229</f>
        <v>0</v>
      </c>
      <c r="B1236">
        <f>'RAW DATA 2023'!D1229</f>
        <v>0</v>
      </c>
      <c r="C1236" t="str">
        <f t="shared" si="95"/>
        <v>00</v>
      </c>
      <c r="D1236" t="e">
        <f>VLOOKUP(C1236,'RAW DATA 2023'!E:BP,63,0)</f>
        <v>#N/A</v>
      </c>
      <c r="E1236" t="e">
        <f t="shared" si="96"/>
        <v>#N/A</v>
      </c>
      <c r="F1236" s="8" t="e">
        <f>VLOOKUP(C1236,'RAW DATA 2023'!E:BO,23,0)</f>
        <v>#N/A</v>
      </c>
      <c r="G1236" s="14" t="e">
        <f t="shared" si="97"/>
        <v>#N/A</v>
      </c>
      <c r="H1236" s="25" t="e">
        <f t="shared" si="98"/>
        <v>#N/A</v>
      </c>
      <c r="I1236" s="80" t="e">
        <f>VLOOKUP(C1236,'RAW DATA 2023'!E:BO,36,0)</f>
        <v>#N/A</v>
      </c>
      <c r="J1236" t="e">
        <f>VLOOKUP(C1236,'RAW DATA 2023'!E:BO,21,0)</f>
        <v>#N/A</v>
      </c>
      <c r="K1236" s="268" t="e">
        <f t="shared" si="99"/>
        <v>#N/A</v>
      </c>
    </row>
    <row r="1237" spans="1:11">
      <c r="A1237">
        <f>'RAW DATA 2023'!B1230</f>
        <v>0</v>
      </c>
      <c r="B1237">
        <f>'RAW DATA 2023'!D1230</f>
        <v>0</v>
      </c>
      <c r="C1237" t="str">
        <f t="shared" si="95"/>
        <v>00</v>
      </c>
      <c r="D1237" t="e">
        <f>VLOOKUP(C1237,'RAW DATA 2023'!E:BP,63,0)</f>
        <v>#N/A</v>
      </c>
      <c r="E1237" t="e">
        <f t="shared" si="96"/>
        <v>#N/A</v>
      </c>
      <c r="F1237" s="8" t="e">
        <f>VLOOKUP(C1237,'RAW DATA 2023'!E:BO,23,0)</f>
        <v>#N/A</v>
      </c>
      <c r="G1237" s="14" t="e">
        <f t="shared" si="97"/>
        <v>#N/A</v>
      </c>
      <c r="H1237" s="25" t="e">
        <f t="shared" si="98"/>
        <v>#N/A</v>
      </c>
      <c r="I1237" s="80" t="e">
        <f>VLOOKUP(C1237,'RAW DATA 2023'!E:BO,36,0)</f>
        <v>#N/A</v>
      </c>
      <c r="J1237" t="e">
        <f>VLOOKUP(C1237,'RAW DATA 2023'!E:BO,21,0)</f>
        <v>#N/A</v>
      </c>
      <c r="K1237" s="268" t="e">
        <f t="shared" si="99"/>
        <v>#N/A</v>
      </c>
    </row>
    <row r="1238" spans="1:11">
      <c r="A1238">
        <f>'RAW DATA 2023'!B1231</f>
        <v>0</v>
      </c>
      <c r="B1238">
        <f>'RAW DATA 2023'!D1231</f>
        <v>0</v>
      </c>
      <c r="C1238" t="str">
        <f t="shared" si="95"/>
        <v>00</v>
      </c>
      <c r="D1238" t="e">
        <f>VLOOKUP(C1238,'RAW DATA 2023'!E:BP,63,0)</f>
        <v>#N/A</v>
      </c>
      <c r="E1238" t="e">
        <f t="shared" si="96"/>
        <v>#N/A</v>
      </c>
      <c r="F1238" s="8" t="e">
        <f>VLOOKUP(C1238,'RAW DATA 2023'!E:BO,23,0)</f>
        <v>#N/A</v>
      </c>
      <c r="G1238" s="14" t="e">
        <f t="shared" si="97"/>
        <v>#N/A</v>
      </c>
      <c r="H1238" s="25" t="e">
        <f t="shared" si="98"/>
        <v>#N/A</v>
      </c>
      <c r="I1238" s="80" t="e">
        <f>VLOOKUP(C1238,'RAW DATA 2023'!E:BO,36,0)</f>
        <v>#N/A</v>
      </c>
      <c r="J1238" t="e">
        <f>VLOOKUP(C1238,'RAW DATA 2023'!E:BO,21,0)</f>
        <v>#N/A</v>
      </c>
      <c r="K1238" s="268" t="e">
        <f t="shared" si="99"/>
        <v>#N/A</v>
      </c>
    </row>
    <row r="1239" spans="1:11">
      <c r="A1239">
        <f>'RAW DATA 2023'!B1232</f>
        <v>0</v>
      </c>
      <c r="B1239">
        <f>'RAW DATA 2023'!D1232</f>
        <v>0</v>
      </c>
      <c r="C1239" t="str">
        <f t="shared" si="95"/>
        <v>00</v>
      </c>
      <c r="D1239" t="e">
        <f>VLOOKUP(C1239,'RAW DATA 2023'!E:BP,63,0)</f>
        <v>#N/A</v>
      </c>
      <c r="E1239" t="e">
        <f t="shared" si="96"/>
        <v>#N/A</v>
      </c>
      <c r="F1239" s="8" t="e">
        <f>VLOOKUP(C1239,'RAW DATA 2023'!E:BO,23,0)</f>
        <v>#N/A</v>
      </c>
      <c r="G1239" s="14" t="e">
        <f t="shared" si="97"/>
        <v>#N/A</v>
      </c>
      <c r="H1239" s="25" t="e">
        <f t="shared" si="98"/>
        <v>#N/A</v>
      </c>
      <c r="I1239" s="80" t="e">
        <f>VLOOKUP(C1239,'RAW DATA 2023'!E:BO,36,0)</f>
        <v>#N/A</v>
      </c>
      <c r="J1239" t="e">
        <f>VLOOKUP(C1239,'RAW DATA 2023'!E:BO,21,0)</f>
        <v>#N/A</v>
      </c>
      <c r="K1239" s="268" t="e">
        <f t="shared" si="99"/>
        <v>#N/A</v>
      </c>
    </row>
    <row r="1240" spans="1:11">
      <c r="A1240">
        <f>'RAW DATA 2023'!B1233</f>
        <v>0</v>
      </c>
      <c r="B1240">
        <f>'RAW DATA 2023'!D1233</f>
        <v>0</v>
      </c>
      <c r="C1240" t="str">
        <f t="shared" si="95"/>
        <v>00</v>
      </c>
      <c r="D1240" t="e">
        <f>VLOOKUP(C1240,'RAW DATA 2023'!E:BP,63,0)</f>
        <v>#N/A</v>
      </c>
      <c r="E1240" t="e">
        <f t="shared" si="96"/>
        <v>#N/A</v>
      </c>
      <c r="F1240" s="8" t="e">
        <f>VLOOKUP(C1240,'RAW DATA 2023'!E:BO,23,0)</f>
        <v>#N/A</v>
      </c>
      <c r="G1240" s="14" t="e">
        <f t="shared" si="97"/>
        <v>#N/A</v>
      </c>
      <c r="H1240" s="25" t="e">
        <f t="shared" si="98"/>
        <v>#N/A</v>
      </c>
      <c r="I1240" s="80" t="e">
        <f>VLOOKUP(C1240,'RAW DATA 2023'!E:BO,36,0)</f>
        <v>#N/A</v>
      </c>
      <c r="J1240" t="e">
        <f>VLOOKUP(C1240,'RAW DATA 2023'!E:BO,21,0)</f>
        <v>#N/A</v>
      </c>
      <c r="K1240" s="268" t="e">
        <f t="shared" si="99"/>
        <v>#N/A</v>
      </c>
    </row>
    <row r="1241" spans="1:11">
      <c r="A1241">
        <f>'RAW DATA 2023'!B1234</f>
        <v>0</v>
      </c>
      <c r="B1241">
        <f>'RAW DATA 2023'!D1234</f>
        <v>0</v>
      </c>
      <c r="C1241" t="str">
        <f t="shared" si="95"/>
        <v>00</v>
      </c>
      <c r="D1241" t="e">
        <f>VLOOKUP(C1241,'RAW DATA 2023'!E:BP,63,0)</f>
        <v>#N/A</v>
      </c>
      <c r="E1241" t="e">
        <f t="shared" si="96"/>
        <v>#N/A</v>
      </c>
      <c r="F1241" s="8" t="e">
        <f>VLOOKUP(C1241,'RAW DATA 2023'!E:BO,23,0)</f>
        <v>#N/A</v>
      </c>
      <c r="G1241" s="14" t="e">
        <f t="shared" si="97"/>
        <v>#N/A</v>
      </c>
      <c r="H1241" s="25" t="e">
        <f t="shared" si="98"/>
        <v>#N/A</v>
      </c>
      <c r="I1241" s="80" t="e">
        <f>VLOOKUP(C1241,'RAW DATA 2023'!E:BO,36,0)</f>
        <v>#N/A</v>
      </c>
      <c r="J1241" t="e">
        <f>VLOOKUP(C1241,'RAW DATA 2023'!E:BO,21,0)</f>
        <v>#N/A</v>
      </c>
      <c r="K1241" s="268" t="e">
        <f t="shared" si="99"/>
        <v>#N/A</v>
      </c>
    </row>
    <row r="1242" spans="1:11">
      <c r="A1242">
        <f>'RAW DATA 2023'!B1235</f>
        <v>0</v>
      </c>
      <c r="B1242">
        <f>'RAW DATA 2023'!D1235</f>
        <v>0</v>
      </c>
      <c r="C1242" t="str">
        <f t="shared" si="95"/>
        <v>00</v>
      </c>
      <c r="D1242" t="e">
        <f>VLOOKUP(C1242,'RAW DATA 2023'!E:BP,63,0)</f>
        <v>#N/A</v>
      </c>
      <c r="E1242" t="e">
        <f t="shared" si="96"/>
        <v>#N/A</v>
      </c>
      <c r="F1242" s="8" t="e">
        <f>VLOOKUP(C1242,'RAW DATA 2023'!E:BO,23,0)</f>
        <v>#N/A</v>
      </c>
      <c r="G1242" s="14" t="e">
        <f t="shared" si="97"/>
        <v>#N/A</v>
      </c>
      <c r="H1242" s="25" t="e">
        <f t="shared" si="98"/>
        <v>#N/A</v>
      </c>
      <c r="I1242" s="80" t="e">
        <f>VLOOKUP(C1242,'RAW DATA 2023'!E:BO,36,0)</f>
        <v>#N/A</v>
      </c>
      <c r="J1242" t="e">
        <f>VLOOKUP(C1242,'RAW DATA 2023'!E:BO,21,0)</f>
        <v>#N/A</v>
      </c>
      <c r="K1242" s="268" t="e">
        <f t="shared" si="99"/>
        <v>#N/A</v>
      </c>
    </row>
    <row r="1243" spans="1:11">
      <c r="A1243">
        <f>'RAW DATA 2023'!B1236</f>
        <v>0</v>
      </c>
      <c r="B1243">
        <f>'RAW DATA 2023'!D1236</f>
        <v>0</v>
      </c>
      <c r="C1243" t="str">
        <f t="shared" si="95"/>
        <v>00</v>
      </c>
      <c r="D1243" t="e">
        <f>VLOOKUP(C1243,'RAW DATA 2023'!E:BP,63,0)</f>
        <v>#N/A</v>
      </c>
      <c r="E1243" t="e">
        <f t="shared" si="96"/>
        <v>#N/A</v>
      </c>
      <c r="F1243" s="8" t="e">
        <f>VLOOKUP(C1243,'RAW DATA 2023'!E:BO,23,0)</f>
        <v>#N/A</v>
      </c>
      <c r="G1243" s="14" t="e">
        <f t="shared" si="97"/>
        <v>#N/A</v>
      </c>
      <c r="H1243" s="25" t="e">
        <f t="shared" si="98"/>
        <v>#N/A</v>
      </c>
      <c r="I1243" s="80" t="e">
        <f>VLOOKUP(C1243,'RAW DATA 2023'!E:BO,36,0)</f>
        <v>#N/A</v>
      </c>
      <c r="J1243" t="e">
        <f>VLOOKUP(C1243,'RAW DATA 2023'!E:BO,21,0)</f>
        <v>#N/A</v>
      </c>
      <c r="K1243" s="268" t="e">
        <f t="shared" si="99"/>
        <v>#N/A</v>
      </c>
    </row>
    <row r="1244" spans="1:11">
      <c r="A1244">
        <f>'RAW DATA 2023'!B1237</f>
        <v>0</v>
      </c>
      <c r="B1244">
        <f>'RAW DATA 2023'!D1237</f>
        <v>0</v>
      </c>
      <c r="C1244" t="str">
        <f t="shared" si="95"/>
        <v>00</v>
      </c>
      <c r="D1244" t="e">
        <f>VLOOKUP(C1244,'RAW DATA 2023'!E:BP,63,0)</f>
        <v>#N/A</v>
      </c>
      <c r="E1244" t="e">
        <f t="shared" si="96"/>
        <v>#N/A</v>
      </c>
      <c r="F1244" s="8" t="e">
        <f>VLOOKUP(C1244,'RAW DATA 2023'!E:BO,23,0)</f>
        <v>#N/A</v>
      </c>
      <c r="G1244" s="14" t="e">
        <f t="shared" si="97"/>
        <v>#N/A</v>
      </c>
      <c r="H1244" s="25" t="e">
        <f t="shared" si="98"/>
        <v>#N/A</v>
      </c>
      <c r="I1244" s="80" t="e">
        <f>VLOOKUP(C1244,'RAW DATA 2023'!E:BO,36,0)</f>
        <v>#N/A</v>
      </c>
      <c r="J1244" t="e">
        <f>VLOOKUP(C1244,'RAW DATA 2023'!E:BO,21,0)</f>
        <v>#N/A</v>
      </c>
      <c r="K1244" s="268" t="e">
        <f t="shared" si="99"/>
        <v>#N/A</v>
      </c>
    </row>
    <row r="1245" spans="1:11">
      <c r="A1245">
        <f>'RAW DATA 2023'!B1238</f>
        <v>0</v>
      </c>
      <c r="B1245">
        <f>'RAW DATA 2023'!D1238</f>
        <v>0</v>
      </c>
      <c r="C1245" t="str">
        <f t="shared" si="95"/>
        <v>00</v>
      </c>
      <c r="D1245" t="e">
        <f>VLOOKUP(C1245,'RAW DATA 2023'!E:BP,63,0)</f>
        <v>#N/A</v>
      </c>
      <c r="E1245" t="e">
        <f t="shared" si="96"/>
        <v>#N/A</v>
      </c>
      <c r="F1245" s="8" t="e">
        <f>VLOOKUP(C1245,'RAW DATA 2023'!E:BO,23,0)</f>
        <v>#N/A</v>
      </c>
      <c r="G1245" s="14" t="e">
        <f t="shared" si="97"/>
        <v>#N/A</v>
      </c>
      <c r="H1245" s="25" t="e">
        <f t="shared" si="98"/>
        <v>#N/A</v>
      </c>
      <c r="I1245" s="80" t="e">
        <f>VLOOKUP(C1245,'RAW DATA 2023'!E:BO,36,0)</f>
        <v>#N/A</v>
      </c>
      <c r="J1245" t="e">
        <f>VLOOKUP(C1245,'RAW DATA 2023'!E:BO,21,0)</f>
        <v>#N/A</v>
      </c>
      <c r="K1245" s="268" t="e">
        <f t="shared" si="99"/>
        <v>#N/A</v>
      </c>
    </row>
    <row r="1246" spans="1:11">
      <c r="A1246">
        <f>'RAW DATA 2023'!B1239</f>
        <v>0</v>
      </c>
      <c r="B1246">
        <f>'RAW DATA 2023'!D1239</f>
        <v>0</v>
      </c>
      <c r="C1246" t="str">
        <f t="shared" si="95"/>
        <v>00</v>
      </c>
      <c r="D1246" t="e">
        <f>VLOOKUP(C1246,'RAW DATA 2023'!E:BP,63,0)</f>
        <v>#N/A</v>
      </c>
      <c r="E1246" t="e">
        <f t="shared" si="96"/>
        <v>#N/A</v>
      </c>
      <c r="F1246" s="8" t="e">
        <f>VLOOKUP(C1246,'RAW DATA 2023'!E:BO,23,0)</f>
        <v>#N/A</v>
      </c>
      <c r="G1246" s="14" t="e">
        <f t="shared" si="97"/>
        <v>#N/A</v>
      </c>
      <c r="H1246" s="25" t="e">
        <f t="shared" si="98"/>
        <v>#N/A</v>
      </c>
      <c r="I1246" s="80" t="e">
        <f>VLOOKUP(C1246,'RAW DATA 2023'!E:BO,36,0)</f>
        <v>#N/A</v>
      </c>
      <c r="J1246" t="e">
        <f>VLOOKUP(C1246,'RAW DATA 2023'!E:BO,21,0)</f>
        <v>#N/A</v>
      </c>
      <c r="K1246" s="268" t="e">
        <f t="shared" si="99"/>
        <v>#N/A</v>
      </c>
    </row>
    <row r="1247" spans="1:11">
      <c r="A1247">
        <f>'RAW DATA 2023'!B1240</f>
        <v>0</v>
      </c>
      <c r="B1247">
        <f>'RAW DATA 2023'!D1240</f>
        <v>0</v>
      </c>
      <c r="C1247" t="str">
        <f t="shared" si="95"/>
        <v>00</v>
      </c>
      <c r="D1247" t="e">
        <f>VLOOKUP(C1247,'RAW DATA 2023'!E:BP,63,0)</f>
        <v>#N/A</v>
      </c>
      <c r="E1247" t="e">
        <f t="shared" si="96"/>
        <v>#N/A</v>
      </c>
      <c r="F1247" s="8" t="e">
        <f>VLOOKUP(C1247,'RAW DATA 2023'!E:BO,23,0)</f>
        <v>#N/A</v>
      </c>
      <c r="G1247" s="14" t="e">
        <f t="shared" si="97"/>
        <v>#N/A</v>
      </c>
      <c r="H1247" s="25" t="e">
        <f t="shared" si="98"/>
        <v>#N/A</v>
      </c>
      <c r="I1247" s="80" t="e">
        <f>VLOOKUP(C1247,'RAW DATA 2023'!E:BO,36,0)</f>
        <v>#N/A</v>
      </c>
      <c r="J1247" t="e">
        <f>VLOOKUP(C1247,'RAW DATA 2023'!E:BO,21,0)</f>
        <v>#N/A</v>
      </c>
      <c r="K1247" s="268" t="e">
        <f t="shared" si="99"/>
        <v>#N/A</v>
      </c>
    </row>
    <row r="1248" spans="1:11">
      <c r="A1248">
        <f>'RAW DATA 2023'!B1241</f>
        <v>0</v>
      </c>
      <c r="B1248">
        <f>'RAW DATA 2023'!D1241</f>
        <v>0</v>
      </c>
      <c r="C1248" t="str">
        <f t="shared" si="95"/>
        <v>00</v>
      </c>
      <c r="D1248" t="e">
        <f>VLOOKUP(C1248,'RAW DATA 2023'!E:BP,63,0)</f>
        <v>#N/A</v>
      </c>
      <c r="E1248" t="e">
        <f t="shared" si="96"/>
        <v>#N/A</v>
      </c>
      <c r="F1248" s="8" t="e">
        <f>VLOOKUP(C1248,'RAW DATA 2023'!E:BO,23,0)</f>
        <v>#N/A</v>
      </c>
      <c r="G1248" s="14" t="e">
        <f t="shared" si="97"/>
        <v>#N/A</v>
      </c>
      <c r="H1248" s="25" t="e">
        <f t="shared" si="98"/>
        <v>#N/A</v>
      </c>
      <c r="I1248" s="80" t="e">
        <f>VLOOKUP(C1248,'RAW DATA 2023'!E:BO,36,0)</f>
        <v>#N/A</v>
      </c>
      <c r="J1248" t="e">
        <f>VLOOKUP(C1248,'RAW DATA 2023'!E:BO,21,0)</f>
        <v>#N/A</v>
      </c>
      <c r="K1248" s="268" t="e">
        <f t="shared" si="99"/>
        <v>#N/A</v>
      </c>
    </row>
    <row r="1249" spans="1:11">
      <c r="A1249">
        <f>'RAW DATA 2023'!B1242</f>
        <v>0</v>
      </c>
      <c r="B1249">
        <f>'RAW DATA 2023'!D1242</f>
        <v>0</v>
      </c>
      <c r="C1249" t="str">
        <f t="shared" si="95"/>
        <v>00</v>
      </c>
      <c r="D1249" t="e">
        <f>VLOOKUP(C1249,'RAW DATA 2023'!E:BP,63,0)</f>
        <v>#N/A</v>
      </c>
      <c r="E1249" t="e">
        <f t="shared" si="96"/>
        <v>#N/A</v>
      </c>
      <c r="F1249" s="8" t="e">
        <f>VLOOKUP(C1249,'RAW DATA 2023'!E:BO,23,0)</f>
        <v>#N/A</v>
      </c>
      <c r="G1249" s="14" t="e">
        <f t="shared" si="97"/>
        <v>#N/A</v>
      </c>
      <c r="H1249" s="25" t="e">
        <f t="shared" si="98"/>
        <v>#N/A</v>
      </c>
      <c r="I1249" s="80" t="e">
        <f>VLOOKUP(C1249,'RAW DATA 2023'!E:BO,36,0)</f>
        <v>#N/A</v>
      </c>
      <c r="J1249" t="e">
        <f>VLOOKUP(C1249,'RAW DATA 2023'!E:BO,21,0)</f>
        <v>#N/A</v>
      </c>
      <c r="K1249" s="268" t="e">
        <f t="shared" si="99"/>
        <v>#N/A</v>
      </c>
    </row>
    <row r="1250" spans="1:11">
      <c r="A1250">
        <f>'RAW DATA 2023'!B1243</f>
        <v>0</v>
      </c>
      <c r="B1250">
        <f>'RAW DATA 2023'!D1243</f>
        <v>0</v>
      </c>
      <c r="C1250" t="str">
        <f t="shared" si="95"/>
        <v>00</v>
      </c>
      <c r="D1250" t="e">
        <f>VLOOKUP(C1250,'RAW DATA 2023'!E:BP,63,0)</f>
        <v>#N/A</v>
      </c>
      <c r="E1250" t="e">
        <f t="shared" si="96"/>
        <v>#N/A</v>
      </c>
      <c r="F1250" s="8" t="e">
        <f>VLOOKUP(C1250,'RAW DATA 2023'!E:BO,23,0)</f>
        <v>#N/A</v>
      </c>
      <c r="G1250" s="14" t="e">
        <f t="shared" si="97"/>
        <v>#N/A</v>
      </c>
      <c r="H1250" s="25" t="e">
        <f t="shared" si="98"/>
        <v>#N/A</v>
      </c>
      <c r="I1250" s="80" t="e">
        <f>VLOOKUP(C1250,'RAW DATA 2023'!E:BO,36,0)</f>
        <v>#N/A</v>
      </c>
      <c r="J1250" t="e">
        <f>VLOOKUP(C1250,'RAW DATA 2023'!E:BO,21,0)</f>
        <v>#N/A</v>
      </c>
      <c r="K1250" s="268" t="e">
        <f t="shared" si="99"/>
        <v>#N/A</v>
      </c>
    </row>
    <row r="1251" spans="1:11">
      <c r="A1251">
        <f>'RAW DATA 2023'!B1244</f>
        <v>0</v>
      </c>
      <c r="B1251">
        <f>'RAW DATA 2023'!D1244</f>
        <v>0</v>
      </c>
      <c r="C1251" t="str">
        <f t="shared" si="95"/>
        <v>00</v>
      </c>
      <c r="D1251" t="e">
        <f>VLOOKUP(C1251,'RAW DATA 2023'!E:BP,63,0)</f>
        <v>#N/A</v>
      </c>
      <c r="E1251" t="e">
        <f t="shared" si="96"/>
        <v>#N/A</v>
      </c>
      <c r="F1251" s="8" t="e">
        <f>VLOOKUP(C1251,'RAW DATA 2023'!E:BO,23,0)</f>
        <v>#N/A</v>
      </c>
      <c r="G1251" s="14" t="e">
        <f t="shared" si="97"/>
        <v>#N/A</v>
      </c>
      <c r="H1251" s="25" t="e">
        <f t="shared" si="98"/>
        <v>#N/A</v>
      </c>
      <c r="I1251" s="80" t="e">
        <f>VLOOKUP(C1251,'RAW DATA 2023'!E:BO,36,0)</f>
        <v>#N/A</v>
      </c>
      <c r="J1251" t="e">
        <f>VLOOKUP(C1251,'RAW DATA 2023'!E:BO,21,0)</f>
        <v>#N/A</v>
      </c>
      <c r="K1251" s="268" t="e">
        <f t="shared" si="99"/>
        <v>#N/A</v>
      </c>
    </row>
    <row r="1252" spans="1:11">
      <c r="A1252">
        <f>'RAW DATA 2023'!B1245</f>
        <v>0</v>
      </c>
      <c r="B1252">
        <f>'RAW DATA 2023'!D1245</f>
        <v>0</v>
      </c>
      <c r="C1252" t="str">
        <f t="shared" si="95"/>
        <v>00</v>
      </c>
      <c r="D1252" t="e">
        <f>VLOOKUP(C1252,'RAW DATA 2023'!E:BP,63,0)</f>
        <v>#N/A</v>
      </c>
      <c r="E1252" t="e">
        <f t="shared" si="96"/>
        <v>#N/A</v>
      </c>
      <c r="F1252" s="8" t="e">
        <f>VLOOKUP(C1252,'RAW DATA 2023'!E:BO,23,0)</f>
        <v>#N/A</v>
      </c>
      <c r="G1252" s="14" t="e">
        <f t="shared" si="97"/>
        <v>#N/A</v>
      </c>
      <c r="H1252" s="25" t="e">
        <f t="shared" si="98"/>
        <v>#N/A</v>
      </c>
      <c r="I1252" s="80" t="e">
        <f>VLOOKUP(C1252,'RAW DATA 2023'!E:BO,36,0)</f>
        <v>#N/A</v>
      </c>
      <c r="J1252" t="e">
        <f>VLOOKUP(C1252,'RAW DATA 2023'!E:BO,21,0)</f>
        <v>#N/A</v>
      </c>
      <c r="K1252" s="268" t="e">
        <f t="shared" si="99"/>
        <v>#N/A</v>
      </c>
    </row>
    <row r="1253" spans="1:11">
      <c r="A1253">
        <f>'RAW DATA 2023'!B1246</f>
        <v>0</v>
      </c>
      <c r="B1253">
        <f>'RAW DATA 2023'!D1246</f>
        <v>0</v>
      </c>
      <c r="C1253" t="str">
        <f t="shared" si="95"/>
        <v>00</v>
      </c>
      <c r="D1253" t="e">
        <f>VLOOKUP(C1253,'RAW DATA 2023'!E:BP,63,0)</f>
        <v>#N/A</v>
      </c>
      <c r="E1253" t="e">
        <f t="shared" si="96"/>
        <v>#N/A</v>
      </c>
      <c r="F1253" s="8" t="e">
        <f>VLOOKUP(C1253,'RAW DATA 2023'!E:BO,23,0)</f>
        <v>#N/A</v>
      </c>
      <c r="G1253" s="14" t="e">
        <f t="shared" si="97"/>
        <v>#N/A</v>
      </c>
      <c r="H1253" s="25" t="e">
        <f t="shared" si="98"/>
        <v>#N/A</v>
      </c>
      <c r="I1253" s="80" t="e">
        <f>VLOOKUP(C1253,'RAW DATA 2023'!E:BO,36,0)</f>
        <v>#N/A</v>
      </c>
      <c r="J1253" t="e">
        <f>VLOOKUP(C1253,'RAW DATA 2023'!E:BO,21,0)</f>
        <v>#N/A</v>
      </c>
      <c r="K1253" s="268" t="e">
        <f t="shared" si="99"/>
        <v>#N/A</v>
      </c>
    </row>
    <row r="1254" spans="1:11">
      <c r="A1254">
        <f>'RAW DATA 2023'!B1247</f>
        <v>0</v>
      </c>
      <c r="B1254">
        <f>'RAW DATA 2023'!D1247</f>
        <v>0</v>
      </c>
      <c r="C1254" t="str">
        <f t="shared" si="95"/>
        <v>00</v>
      </c>
      <c r="D1254" t="e">
        <f>VLOOKUP(C1254,'RAW DATA 2023'!E:BP,63,0)</f>
        <v>#N/A</v>
      </c>
      <c r="E1254" t="e">
        <f t="shared" si="96"/>
        <v>#N/A</v>
      </c>
      <c r="F1254" s="8" t="e">
        <f>VLOOKUP(C1254,'RAW DATA 2023'!E:BO,23,0)</f>
        <v>#N/A</v>
      </c>
      <c r="G1254" s="14" t="e">
        <f t="shared" si="97"/>
        <v>#N/A</v>
      </c>
      <c r="H1254" s="25" t="e">
        <f t="shared" si="98"/>
        <v>#N/A</v>
      </c>
      <c r="I1254" s="80" t="e">
        <f>VLOOKUP(C1254,'RAW DATA 2023'!E:BO,36,0)</f>
        <v>#N/A</v>
      </c>
      <c r="J1254" t="e">
        <f>VLOOKUP(C1254,'RAW DATA 2023'!E:BO,21,0)</f>
        <v>#N/A</v>
      </c>
      <c r="K1254" s="268" t="e">
        <f t="shared" si="99"/>
        <v>#N/A</v>
      </c>
    </row>
    <row r="1255" spans="1:11">
      <c r="A1255">
        <f>'RAW DATA 2023'!B1248</f>
        <v>0</v>
      </c>
      <c r="B1255">
        <f>'RAW DATA 2023'!D1248</f>
        <v>0</v>
      </c>
      <c r="C1255" t="str">
        <f t="shared" si="95"/>
        <v>00</v>
      </c>
      <c r="D1255" t="e">
        <f>VLOOKUP(C1255,'RAW DATA 2023'!E:BP,63,0)</f>
        <v>#N/A</v>
      </c>
      <c r="E1255" t="e">
        <f t="shared" si="96"/>
        <v>#N/A</v>
      </c>
      <c r="F1255" s="8" t="e">
        <f>VLOOKUP(C1255,'RAW DATA 2023'!E:BO,23,0)</f>
        <v>#N/A</v>
      </c>
      <c r="G1255" s="14" t="e">
        <f t="shared" si="97"/>
        <v>#N/A</v>
      </c>
      <c r="H1255" s="25" t="e">
        <f t="shared" si="98"/>
        <v>#N/A</v>
      </c>
      <c r="I1255" s="80" t="e">
        <f>VLOOKUP(C1255,'RAW DATA 2023'!E:BO,36,0)</f>
        <v>#N/A</v>
      </c>
      <c r="J1255" t="e">
        <f>VLOOKUP(C1255,'RAW DATA 2023'!E:BO,21,0)</f>
        <v>#N/A</v>
      </c>
      <c r="K1255" s="268" t="e">
        <f t="shared" si="99"/>
        <v>#N/A</v>
      </c>
    </row>
    <row r="1256" spans="1:11">
      <c r="A1256">
        <f>'RAW DATA 2023'!B1249</f>
        <v>0</v>
      </c>
      <c r="B1256">
        <f>'RAW DATA 2023'!D1249</f>
        <v>0</v>
      </c>
      <c r="C1256" t="str">
        <f t="shared" si="95"/>
        <v>00</v>
      </c>
      <c r="D1256" t="e">
        <f>VLOOKUP(C1256,'RAW DATA 2023'!E:BP,63,0)</f>
        <v>#N/A</v>
      </c>
      <c r="E1256" t="e">
        <f t="shared" si="96"/>
        <v>#N/A</v>
      </c>
      <c r="F1256" s="8" t="e">
        <f>VLOOKUP(C1256,'RAW DATA 2023'!E:BO,23,0)</f>
        <v>#N/A</v>
      </c>
      <c r="G1256" s="14" t="e">
        <f t="shared" si="97"/>
        <v>#N/A</v>
      </c>
      <c r="H1256" s="25" t="e">
        <f t="shared" si="98"/>
        <v>#N/A</v>
      </c>
      <c r="I1256" s="80" t="e">
        <f>VLOOKUP(C1256,'RAW DATA 2023'!E:BO,36,0)</f>
        <v>#N/A</v>
      </c>
      <c r="J1256" t="e">
        <f>VLOOKUP(C1256,'RAW DATA 2023'!E:BO,21,0)</f>
        <v>#N/A</v>
      </c>
      <c r="K1256" s="268" t="e">
        <f t="shared" si="99"/>
        <v>#N/A</v>
      </c>
    </row>
    <row r="1257" spans="1:11">
      <c r="A1257">
        <f>'RAW DATA 2023'!B1250</f>
        <v>0</v>
      </c>
      <c r="B1257">
        <f>'RAW DATA 2023'!D1250</f>
        <v>0</v>
      </c>
      <c r="C1257" t="str">
        <f t="shared" si="95"/>
        <v>00</v>
      </c>
      <c r="D1257" t="e">
        <f>VLOOKUP(C1257,'RAW DATA 2023'!E:BP,63,0)</f>
        <v>#N/A</v>
      </c>
      <c r="E1257" t="e">
        <f t="shared" si="96"/>
        <v>#N/A</v>
      </c>
      <c r="F1257" s="8" t="e">
        <f>VLOOKUP(C1257,'RAW DATA 2023'!E:BO,23,0)</f>
        <v>#N/A</v>
      </c>
      <c r="G1257" s="14" t="e">
        <f t="shared" si="97"/>
        <v>#N/A</v>
      </c>
      <c r="H1257" s="25" t="e">
        <f t="shared" si="98"/>
        <v>#N/A</v>
      </c>
      <c r="I1257" s="80" t="e">
        <f>VLOOKUP(C1257,'RAW DATA 2023'!E:BO,36,0)</f>
        <v>#N/A</v>
      </c>
      <c r="J1257" t="e">
        <f>VLOOKUP(C1257,'RAW DATA 2023'!E:BO,21,0)</f>
        <v>#N/A</v>
      </c>
      <c r="K1257" s="268" t="e">
        <f t="shared" si="99"/>
        <v>#N/A</v>
      </c>
    </row>
    <row r="1258" spans="1:11">
      <c r="A1258">
        <f>'RAW DATA 2023'!B1251</f>
        <v>0</v>
      </c>
      <c r="B1258">
        <f>'RAW DATA 2023'!D1251</f>
        <v>0</v>
      </c>
      <c r="C1258" t="str">
        <f t="shared" si="95"/>
        <v>00</v>
      </c>
      <c r="D1258" t="e">
        <f>VLOOKUP(C1258,'RAW DATA 2023'!E:BP,63,0)</f>
        <v>#N/A</v>
      </c>
      <c r="E1258" t="e">
        <f t="shared" si="96"/>
        <v>#N/A</v>
      </c>
      <c r="F1258" s="8" t="e">
        <f>VLOOKUP(C1258,'RAW DATA 2023'!E:BO,23,0)</f>
        <v>#N/A</v>
      </c>
      <c r="G1258" s="14" t="e">
        <f t="shared" si="97"/>
        <v>#N/A</v>
      </c>
      <c r="H1258" s="25" t="e">
        <f t="shared" si="98"/>
        <v>#N/A</v>
      </c>
      <c r="I1258" s="80" t="e">
        <f>VLOOKUP(C1258,'RAW DATA 2023'!E:BO,36,0)</f>
        <v>#N/A</v>
      </c>
      <c r="J1258" t="e">
        <f>VLOOKUP(C1258,'RAW DATA 2023'!E:BO,21,0)</f>
        <v>#N/A</v>
      </c>
      <c r="K1258" s="268" t="e">
        <f t="shared" si="99"/>
        <v>#N/A</v>
      </c>
    </row>
    <row r="1259" spans="1:11">
      <c r="A1259">
        <f>'RAW DATA 2023'!B1252</f>
        <v>0</v>
      </c>
      <c r="B1259">
        <f>'RAW DATA 2023'!D1252</f>
        <v>0</v>
      </c>
      <c r="C1259" t="str">
        <f t="shared" si="95"/>
        <v>00</v>
      </c>
      <c r="D1259" t="e">
        <f>VLOOKUP(C1259,'RAW DATA 2023'!E:BP,63,0)</f>
        <v>#N/A</v>
      </c>
      <c r="E1259" t="e">
        <f t="shared" si="96"/>
        <v>#N/A</v>
      </c>
      <c r="F1259" s="8" t="e">
        <f>VLOOKUP(C1259,'RAW DATA 2023'!E:BO,23,0)</f>
        <v>#N/A</v>
      </c>
      <c r="G1259" s="14" t="e">
        <f t="shared" si="97"/>
        <v>#N/A</v>
      </c>
      <c r="H1259" s="25" t="e">
        <f t="shared" si="98"/>
        <v>#N/A</v>
      </c>
      <c r="I1259" s="80" t="e">
        <f>VLOOKUP(C1259,'RAW DATA 2023'!E:BO,36,0)</f>
        <v>#N/A</v>
      </c>
      <c r="J1259" t="e">
        <f>VLOOKUP(C1259,'RAW DATA 2023'!E:BO,21,0)</f>
        <v>#N/A</v>
      </c>
      <c r="K1259" s="268" t="e">
        <f t="shared" si="99"/>
        <v>#N/A</v>
      </c>
    </row>
    <row r="1260" spans="1:11">
      <c r="A1260">
        <f>'RAW DATA 2023'!B1253</f>
        <v>0</v>
      </c>
      <c r="B1260">
        <f>'RAW DATA 2023'!D1253</f>
        <v>0</v>
      </c>
      <c r="C1260" t="str">
        <f t="shared" si="95"/>
        <v>00</v>
      </c>
      <c r="D1260" t="e">
        <f>VLOOKUP(C1260,'RAW DATA 2023'!E:BP,63,0)</f>
        <v>#N/A</v>
      </c>
      <c r="E1260" t="e">
        <f t="shared" si="96"/>
        <v>#N/A</v>
      </c>
      <c r="F1260" s="8" t="e">
        <f>VLOOKUP(C1260,'RAW DATA 2023'!E:BO,23,0)</f>
        <v>#N/A</v>
      </c>
      <c r="G1260" s="14" t="e">
        <f t="shared" si="97"/>
        <v>#N/A</v>
      </c>
      <c r="H1260" s="25" t="e">
        <f t="shared" si="98"/>
        <v>#N/A</v>
      </c>
      <c r="I1260" s="80" t="e">
        <f>VLOOKUP(C1260,'RAW DATA 2023'!E:BO,36,0)</f>
        <v>#N/A</v>
      </c>
      <c r="J1260" t="e">
        <f>VLOOKUP(C1260,'RAW DATA 2023'!E:BO,21,0)</f>
        <v>#N/A</v>
      </c>
      <c r="K1260" s="268" t="e">
        <f t="shared" si="99"/>
        <v>#N/A</v>
      </c>
    </row>
    <row r="1261" spans="1:11">
      <c r="A1261">
        <f>'RAW DATA 2023'!B1254</f>
        <v>0</v>
      </c>
      <c r="B1261">
        <f>'RAW DATA 2023'!D1254</f>
        <v>0</v>
      </c>
      <c r="C1261" t="str">
        <f t="shared" si="95"/>
        <v>00</v>
      </c>
      <c r="D1261" t="e">
        <f>VLOOKUP(C1261,'RAW DATA 2023'!E:BP,63,0)</f>
        <v>#N/A</v>
      </c>
      <c r="E1261" t="e">
        <f t="shared" si="96"/>
        <v>#N/A</v>
      </c>
      <c r="F1261" s="8" t="e">
        <f>VLOOKUP(C1261,'RAW DATA 2023'!E:BO,23,0)</f>
        <v>#N/A</v>
      </c>
      <c r="G1261" s="14" t="e">
        <f t="shared" si="97"/>
        <v>#N/A</v>
      </c>
      <c r="H1261" s="25" t="e">
        <f t="shared" si="98"/>
        <v>#N/A</v>
      </c>
      <c r="I1261" s="80" t="e">
        <f>VLOOKUP(C1261,'RAW DATA 2023'!E:BO,36,0)</f>
        <v>#N/A</v>
      </c>
      <c r="J1261" t="e">
        <f>VLOOKUP(C1261,'RAW DATA 2023'!E:BO,21,0)</f>
        <v>#N/A</v>
      </c>
      <c r="K1261" s="268" t="e">
        <f t="shared" si="99"/>
        <v>#N/A</v>
      </c>
    </row>
    <row r="1262" spans="1:11">
      <c r="A1262">
        <f>'RAW DATA 2023'!B1255</f>
        <v>0</v>
      </c>
      <c r="B1262">
        <f>'RAW DATA 2023'!D1255</f>
        <v>0</v>
      </c>
      <c r="C1262" t="str">
        <f t="shared" si="95"/>
        <v>00</v>
      </c>
      <c r="D1262" t="e">
        <f>VLOOKUP(C1262,'RAW DATA 2023'!E:BP,63,0)</f>
        <v>#N/A</v>
      </c>
      <c r="E1262" t="e">
        <f t="shared" si="96"/>
        <v>#N/A</v>
      </c>
      <c r="F1262" s="8" t="e">
        <f>VLOOKUP(C1262,'RAW DATA 2023'!E:BO,23,0)</f>
        <v>#N/A</v>
      </c>
      <c r="G1262" s="14" t="e">
        <f t="shared" si="97"/>
        <v>#N/A</v>
      </c>
      <c r="H1262" s="25" t="e">
        <f t="shared" si="98"/>
        <v>#N/A</v>
      </c>
      <c r="I1262" s="80" t="e">
        <f>VLOOKUP(C1262,'RAW DATA 2023'!E:BO,36,0)</f>
        <v>#N/A</v>
      </c>
      <c r="J1262" t="e">
        <f>VLOOKUP(C1262,'RAW DATA 2023'!E:BO,21,0)</f>
        <v>#N/A</v>
      </c>
      <c r="K1262" s="268" t="e">
        <f t="shared" si="99"/>
        <v>#N/A</v>
      </c>
    </row>
    <row r="1263" spans="1:11">
      <c r="A1263">
        <f>'RAW DATA 2023'!B1256</f>
        <v>0</v>
      </c>
      <c r="B1263">
        <f>'RAW DATA 2023'!D1256</f>
        <v>0</v>
      </c>
      <c r="C1263" t="str">
        <f t="shared" si="95"/>
        <v>00</v>
      </c>
      <c r="D1263" t="e">
        <f>VLOOKUP(C1263,'RAW DATA 2023'!E:BP,63,0)</f>
        <v>#N/A</v>
      </c>
      <c r="E1263" t="e">
        <f t="shared" si="96"/>
        <v>#N/A</v>
      </c>
      <c r="F1263" s="8" t="e">
        <f>VLOOKUP(C1263,'RAW DATA 2023'!E:BO,23,0)</f>
        <v>#N/A</v>
      </c>
      <c r="G1263" s="14" t="e">
        <f t="shared" si="97"/>
        <v>#N/A</v>
      </c>
      <c r="H1263" s="25" t="e">
        <f t="shared" si="98"/>
        <v>#N/A</v>
      </c>
      <c r="I1263" s="80" t="e">
        <f>VLOOKUP(C1263,'RAW DATA 2023'!E:BO,36,0)</f>
        <v>#N/A</v>
      </c>
      <c r="J1263" t="e">
        <f>VLOOKUP(C1263,'RAW DATA 2023'!E:BO,21,0)</f>
        <v>#N/A</v>
      </c>
      <c r="K1263" s="268" t="e">
        <f t="shared" si="99"/>
        <v>#N/A</v>
      </c>
    </row>
    <row r="1264" spans="1:11">
      <c r="A1264">
        <f>'RAW DATA 2023'!B1257</f>
        <v>0</v>
      </c>
      <c r="B1264">
        <f>'RAW DATA 2023'!D1257</f>
        <v>0</v>
      </c>
      <c r="C1264" t="str">
        <f t="shared" si="95"/>
        <v>00</v>
      </c>
      <c r="D1264" t="e">
        <f>VLOOKUP(C1264,'RAW DATA 2023'!E:BP,63,0)</f>
        <v>#N/A</v>
      </c>
      <c r="E1264" t="e">
        <f t="shared" si="96"/>
        <v>#N/A</v>
      </c>
      <c r="F1264" s="8" t="e">
        <f>VLOOKUP(C1264,'RAW DATA 2023'!E:BO,23,0)</f>
        <v>#N/A</v>
      </c>
      <c r="G1264" s="14" t="e">
        <f t="shared" si="97"/>
        <v>#N/A</v>
      </c>
      <c r="H1264" s="25" t="e">
        <f t="shared" si="98"/>
        <v>#N/A</v>
      </c>
      <c r="I1264" s="80" t="e">
        <f>VLOOKUP(C1264,'RAW DATA 2023'!E:BO,36,0)</f>
        <v>#N/A</v>
      </c>
      <c r="J1264" t="e">
        <f>VLOOKUP(C1264,'RAW DATA 2023'!E:BO,21,0)</f>
        <v>#N/A</v>
      </c>
      <c r="K1264" s="268" t="e">
        <f t="shared" si="99"/>
        <v>#N/A</v>
      </c>
    </row>
    <row r="1265" spans="1:11">
      <c r="A1265">
        <f>'RAW DATA 2023'!B1258</f>
        <v>0</v>
      </c>
      <c r="B1265">
        <f>'RAW DATA 2023'!D1258</f>
        <v>0</v>
      </c>
      <c r="C1265" t="str">
        <f t="shared" si="95"/>
        <v>00</v>
      </c>
      <c r="D1265" t="e">
        <f>VLOOKUP(C1265,'RAW DATA 2023'!E:BP,63,0)</f>
        <v>#N/A</v>
      </c>
      <c r="E1265" t="e">
        <f t="shared" si="96"/>
        <v>#N/A</v>
      </c>
      <c r="F1265" s="8" t="e">
        <f>VLOOKUP(C1265,'RAW DATA 2023'!E:BO,23,0)</f>
        <v>#N/A</v>
      </c>
      <c r="G1265" s="14" t="e">
        <f t="shared" si="97"/>
        <v>#N/A</v>
      </c>
      <c r="H1265" s="25" t="e">
        <f t="shared" si="98"/>
        <v>#N/A</v>
      </c>
      <c r="I1265" s="80" t="e">
        <f>VLOOKUP(C1265,'RAW DATA 2023'!E:BO,36,0)</f>
        <v>#N/A</v>
      </c>
      <c r="J1265" t="e">
        <f>VLOOKUP(C1265,'RAW DATA 2023'!E:BO,21,0)</f>
        <v>#N/A</v>
      </c>
      <c r="K1265" s="268" t="e">
        <f t="shared" si="99"/>
        <v>#N/A</v>
      </c>
    </row>
    <row r="1266" spans="1:11">
      <c r="A1266">
        <f>'RAW DATA 2023'!B1259</f>
        <v>0</v>
      </c>
      <c r="B1266">
        <f>'RAW DATA 2023'!D1259</f>
        <v>0</v>
      </c>
      <c r="C1266" t="str">
        <f t="shared" si="95"/>
        <v>00</v>
      </c>
      <c r="D1266" t="e">
        <f>VLOOKUP(C1266,'RAW DATA 2023'!E:BP,63,0)</f>
        <v>#N/A</v>
      </c>
      <c r="E1266" t="e">
        <f t="shared" si="96"/>
        <v>#N/A</v>
      </c>
      <c r="F1266" s="8" t="e">
        <f>VLOOKUP(C1266,'RAW DATA 2023'!E:BO,23,0)</f>
        <v>#N/A</v>
      </c>
      <c r="G1266" s="14" t="e">
        <f t="shared" si="97"/>
        <v>#N/A</v>
      </c>
      <c r="H1266" s="25" t="e">
        <f t="shared" si="98"/>
        <v>#N/A</v>
      </c>
      <c r="I1266" s="80" t="e">
        <f>VLOOKUP(C1266,'RAW DATA 2023'!E:BO,36,0)</f>
        <v>#N/A</v>
      </c>
      <c r="J1266" t="e">
        <f>VLOOKUP(C1266,'RAW DATA 2023'!E:BO,21,0)</f>
        <v>#N/A</v>
      </c>
      <c r="K1266" s="268" t="e">
        <f t="shared" si="99"/>
        <v>#N/A</v>
      </c>
    </row>
    <row r="1267" spans="1:11">
      <c r="A1267">
        <f>'RAW DATA 2023'!B1260</f>
        <v>0</v>
      </c>
      <c r="B1267">
        <f>'RAW DATA 2023'!D1260</f>
        <v>0</v>
      </c>
      <c r="C1267" t="str">
        <f t="shared" si="95"/>
        <v>00</v>
      </c>
      <c r="D1267" t="e">
        <f>VLOOKUP(C1267,'RAW DATA 2023'!E:BP,63,0)</f>
        <v>#N/A</v>
      </c>
      <c r="E1267" t="e">
        <f t="shared" si="96"/>
        <v>#N/A</v>
      </c>
      <c r="F1267" s="8" t="e">
        <f>VLOOKUP(C1267,'RAW DATA 2023'!E:BO,23,0)</f>
        <v>#N/A</v>
      </c>
      <c r="G1267" s="14" t="e">
        <f t="shared" si="97"/>
        <v>#N/A</v>
      </c>
      <c r="H1267" s="25" t="e">
        <f t="shared" si="98"/>
        <v>#N/A</v>
      </c>
      <c r="I1267" s="80" t="e">
        <f>VLOOKUP(C1267,'RAW DATA 2023'!E:BO,36,0)</f>
        <v>#N/A</v>
      </c>
      <c r="J1267" t="e">
        <f>VLOOKUP(C1267,'RAW DATA 2023'!E:BO,21,0)</f>
        <v>#N/A</v>
      </c>
      <c r="K1267" s="268" t="e">
        <f t="shared" si="99"/>
        <v>#N/A</v>
      </c>
    </row>
    <row r="1268" spans="1:11">
      <c r="A1268">
        <f>'RAW DATA 2023'!B1261</f>
        <v>0</v>
      </c>
      <c r="B1268">
        <f>'RAW DATA 2023'!D1261</f>
        <v>0</v>
      </c>
      <c r="C1268" t="str">
        <f t="shared" si="95"/>
        <v>00</v>
      </c>
      <c r="D1268" t="e">
        <f>VLOOKUP(C1268,'RAW DATA 2023'!E:BP,63,0)</f>
        <v>#N/A</v>
      </c>
      <c r="E1268" t="e">
        <f t="shared" si="96"/>
        <v>#N/A</v>
      </c>
      <c r="F1268" s="8" t="e">
        <f>VLOOKUP(C1268,'RAW DATA 2023'!E:BO,23,0)</f>
        <v>#N/A</v>
      </c>
      <c r="G1268" s="14" t="e">
        <f t="shared" si="97"/>
        <v>#N/A</v>
      </c>
      <c r="H1268" s="25" t="e">
        <f t="shared" si="98"/>
        <v>#N/A</v>
      </c>
      <c r="I1268" s="80" t="e">
        <f>VLOOKUP(C1268,'RAW DATA 2023'!E:BO,36,0)</f>
        <v>#N/A</v>
      </c>
      <c r="J1268" t="e">
        <f>VLOOKUP(C1268,'RAW DATA 2023'!E:BO,21,0)</f>
        <v>#N/A</v>
      </c>
      <c r="K1268" s="268" t="e">
        <f t="shared" si="99"/>
        <v>#N/A</v>
      </c>
    </row>
    <row r="1269" spans="1:11">
      <c r="A1269">
        <f>'RAW DATA 2023'!B1262</f>
        <v>0</v>
      </c>
      <c r="B1269">
        <f>'RAW DATA 2023'!D1262</f>
        <v>0</v>
      </c>
      <c r="C1269" t="str">
        <f t="shared" si="95"/>
        <v>00</v>
      </c>
      <c r="D1269" t="e">
        <f>VLOOKUP(C1269,'RAW DATA 2023'!E:BP,63,0)</f>
        <v>#N/A</v>
      </c>
      <c r="E1269" t="e">
        <f t="shared" si="96"/>
        <v>#N/A</v>
      </c>
      <c r="F1269" s="8" t="e">
        <f>VLOOKUP(C1269,'RAW DATA 2023'!E:BO,23,0)</f>
        <v>#N/A</v>
      </c>
      <c r="G1269" s="14" t="e">
        <f t="shared" si="97"/>
        <v>#N/A</v>
      </c>
      <c r="H1269" s="25" t="e">
        <f t="shared" si="98"/>
        <v>#N/A</v>
      </c>
      <c r="I1269" s="80" t="e">
        <f>VLOOKUP(C1269,'RAW DATA 2023'!E:BO,36,0)</f>
        <v>#N/A</v>
      </c>
      <c r="J1269" t="e">
        <f>VLOOKUP(C1269,'RAW DATA 2023'!E:BO,21,0)</f>
        <v>#N/A</v>
      </c>
      <c r="K1269" s="268" t="e">
        <f t="shared" si="99"/>
        <v>#N/A</v>
      </c>
    </row>
    <row r="1270" spans="1:11">
      <c r="A1270">
        <f>'RAW DATA 2023'!B1263</f>
        <v>0</v>
      </c>
      <c r="B1270">
        <f>'RAW DATA 2023'!D1263</f>
        <v>0</v>
      </c>
      <c r="C1270" t="str">
        <f t="shared" si="95"/>
        <v>00</v>
      </c>
      <c r="D1270" t="e">
        <f>VLOOKUP(C1270,'RAW DATA 2023'!E:BP,63,0)</f>
        <v>#N/A</v>
      </c>
      <c r="E1270" t="e">
        <f t="shared" si="96"/>
        <v>#N/A</v>
      </c>
      <c r="F1270" s="8" t="e">
        <f>VLOOKUP(C1270,'RAW DATA 2023'!E:BO,23,0)</f>
        <v>#N/A</v>
      </c>
      <c r="G1270" s="14" t="e">
        <f t="shared" si="97"/>
        <v>#N/A</v>
      </c>
      <c r="H1270" s="25" t="e">
        <f t="shared" si="98"/>
        <v>#N/A</v>
      </c>
      <c r="I1270" s="80" t="e">
        <f>VLOOKUP(C1270,'RAW DATA 2023'!E:BO,36,0)</f>
        <v>#N/A</v>
      </c>
      <c r="J1270" t="e">
        <f>VLOOKUP(C1270,'RAW DATA 2023'!E:BO,21,0)</f>
        <v>#N/A</v>
      </c>
      <c r="K1270" s="268" t="e">
        <f t="shared" si="99"/>
        <v>#N/A</v>
      </c>
    </row>
    <row r="1271" spans="1:11">
      <c r="A1271">
        <f>'RAW DATA 2023'!B1264</f>
        <v>0</v>
      </c>
      <c r="B1271">
        <f>'RAW DATA 2023'!D1264</f>
        <v>0</v>
      </c>
      <c r="C1271" t="str">
        <f t="shared" si="95"/>
        <v>00</v>
      </c>
      <c r="D1271" t="e">
        <f>VLOOKUP(C1271,'RAW DATA 2023'!E:BP,63,0)</f>
        <v>#N/A</v>
      </c>
      <c r="E1271" t="e">
        <f t="shared" si="96"/>
        <v>#N/A</v>
      </c>
      <c r="F1271" s="8" t="e">
        <f>VLOOKUP(C1271,'RAW DATA 2023'!E:BO,23,0)</f>
        <v>#N/A</v>
      </c>
      <c r="G1271" s="14" t="e">
        <f t="shared" si="97"/>
        <v>#N/A</v>
      </c>
      <c r="H1271" s="25" t="e">
        <f t="shared" si="98"/>
        <v>#N/A</v>
      </c>
      <c r="I1271" s="80" t="e">
        <f>VLOOKUP(C1271,'RAW DATA 2023'!E:BO,36,0)</f>
        <v>#N/A</v>
      </c>
      <c r="J1271" t="e">
        <f>VLOOKUP(C1271,'RAW DATA 2023'!E:BO,21,0)</f>
        <v>#N/A</v>
      </c>
      <c r="K1271" s="268" t="e">
        <f t="shared" si="99"/>
        <v>#N/A</v>
      </c>
    </row>
    <row r="1272" spans="1:11">
      <c r="A1272">
        <f>'RAW DATA 2023'!B1265</f>
        <v>0</v>
      </c>
      <c r="B1272">
        <f>'RAW DATA 2023'!D1265</f>
        <v>0</v>
      </c>
      <c r="C1272" t="str">
        <f t="shared" si="95"/>
        <v>00</v>
      </c>
      <c r="D1272" t="e">
        <f>VLOOKUP(C1272,'RAW DATA 2023'!E:BP,63,0)</f>
        <v>#N/A</v>
      </c>
      <c r="E1272" t="e">
        <f t="shared" si="96"/>
        <v>#N/A</v>
      </c>
      <c r="F1272" s="8" t="e">
        <f>VLOOKUP(C1272,'RAW DATA 2023'!E:BO,23,0)</f>
        <v>#N/A</v>
      </c>
      <c r="G1272" s="14" t="e">
        <f t="shared" si="97"/>
        <v>#N/A</v>
      </c>
      <c r="H1272" s="25" t="e">
        <f t="shared" si="98"/>
        <v>#N/A</v>
      </c>
      <c r="I1272" s="80" t="e">
        <f>VLOOKUP(C1272,'RAW DATA 2023'!E:BO,36,0)</f>
        <v>#N/A</v>
      </c>
      <c r="J1272" t="e">
        <f>VLOOKUP(C1272,'RAW DATA 2023'!E:BO,21,0)</f>
        <v>#N/A</v>
      </c>
      <c r="K1272" s="268" t="e">
        <f t="shared" si="99"/>
        <v>#N/A</v>
      </c>
    </row>
    <row r="1273" spans="1:11">
      <c r="A1273">
        <f>'RAW DATA 2023'!B1266</f>
        <v>0</v>
      </c>
      <c r="B1273">
        <f>'RAW DATA 2023'!D1266</f>
        <v>0</v>
      </c>
      <c r="C1273" t="str">
        <f t="shared" si="95"/>
        <v>00</v>
      </c>
      <c r="D1273" t="e">
        <f>VLOOKUP(C1273,'RAW DATA 2023'!E:BP,63,0)</f>
        <v>#N/A</v>
      </c>
      <c r="E1273" t="e">
        <f t="shared" si="96"/>
        <v>#N/A</v>
      </c>
      <c r="F1273" s="8" t="e">
        <f>VLOOKUP(C1273,'RAW DATA 2023'!E:BO,23,0)</f>
        <v>#N/A</v>
      </c>
      <c r="G1273" s="14" t="e">
        <f t="shared" si="97"/>
        <v>#N/A</v>
      </c>
      <c r="H1273" s="25" t="e">
        <f t="shared" si="98"/>
        <v>#N/A</v>
      </c>
      <c r="I1273" s="80" t="e">
        <f>VLOOKUP(C1273,'RAW DATA 2023'!E:BO,36,0)</f>
        <v>#N/A</v>
      </c>
      <c r="J1273" t="e">
        <f>VLOOKUP(C1273,'RAW DATA 2023'!E:BO,21,0)</f>
        <v>#N/A</v>
      </c>
      <c r="K1273" s="268" t="e">
        <f t="shared" si="99"/>
        <v>#N/A</v>
      </c>
    </row>
    <row r="1274" spans="1:11">
      <c r="A1274">
        <f>'RAW DATA 2023'!B1267</f>
        <v>0</v>
      </c>
      <c r="B1274">
        <f>'RAW DATA 2023'!D1267</f>
        <v>0</v>
      </c>
      <c r="C1274" t="str">
        <f t="shared" si="95"/>
        <v>00</v>
      </c>
      <c r="D1274" t="e">
        <f>VLOOKUP(C1274,'RAW DATA 2023'!E:BP,63,0)</f>
        <v>#N/A</v>
      </c>
      <c r="E1274" t="e">
        <f t="shared" si="96"/>
        <v>#N/A</v>
      </c>
      <c r="F1274" s="8" t="e">
        <f>VLOOKUP(C1274,'RAW DATA 2023'!E:BO,23,0)</f>
        <v>#N/A</v>
      </c>
      <c r="G1274" s="14" t="e">
        <f t="shared" si="97"/>
        <v>#N/A</v>
      </c>
      <c r="H1274" s="25" t="e">
        <f t="shared" si="98"/>
        <v>#N/A</v>
      </c>
      <c r="I1274" s="80" t="e">
        <f>VLOOKUP(C1274,'RAW DATA 2023'!E:BO,36,0)</f>
        <v>#N/A</v>
      </c>
      <c r="J1274" t="e">
        <f>VLOOKUP(C1274,'RAW DATA 2023'!E:BO,21,0)</f>
        <v>#N/A</v>
      </c>
      <c r="K1274" s="268" t="e">
        <f t="shared" si="99"/>
        <v>#N/A</v>
      </c>
    </row>
    <row r="1275" spans="1:11">
      <c r="A1275">
        <f>'RAW DATA 2023'!B1268</f>
        <v>0</v>
      </c>
      <c r="B1275">
        <f>'RAW DATA 2023'!D1268</f>
        <v>0</v>
      </c>
      <c r="C1275" t="str">
        <f t="shared" si="95"/>
        <v>00</v>
      </c>
      <c r="D1275" t="e">
        <f>VLOOKUP(C1275,'RAW DATA 2023'!E:BP,63,0)</f>
        <v>#N/A</v>
      </c>
      <c r="E1275" t="e">
        <f t="shared" si="96"/>
        <v>#N/A</v>
      </c>
      <c r="F1275" s="8" t="e">
        <f>VLOOKUP(C1275,'RAW DATA 2023'!E:BO,23,0)</f>
        <v>#N/A</v>
      </c>
      <c r="G1275" s="14" t="e">
        <f t="shared" si="97"/>
        <v>#N/A</v>
      </c>
      <c r="H1275" s="25" t="e">
        <f t="shared" si="98"/>
        <v>#N/A</v>
      </c>
      <c r="I1275" s="80" t="e">
        <f>VLOOKUP(C1275,'RAW DATA 2023'!E:BO,36,0)</f>
        <v>#N/A</v>
      </c>
      <c r="J1275" t="e">
        <f>VLOOKUP(C1275,'RAW DATA 2023'!E:BO,21,0)</f>
        <v>#N/A</v>
      </c>
      <c r="K1275" s="268" t="e">
        <f t="shared" si="99"/>
        <v>#N/A</v>
      </c>
    </row>
    <row r="1276" spans="1:11">
      <c r="A1276">
        <f>'RAW DATA 2023'!B1269</f>
        <v>0</v>
      </c>
      <c r="B1276">
        <f>'RAW DATA 2023'!D1269</f>
        <v>0</v>
      </c>
      <c r="C1276" t="str">
        <f t="shared" si="95"/>
        <v>00</v>
      </c>
      <c r="D1276" t="e">
        <f>VLOOKUP(C1276,'RAW DATA 2023'!E:BP,63,0)</f>
        <v>#N/A</v>
      </c>
      <c r="E1276" t="e">
        <f t="shared" si="96"/>
        <v>#N/A</v>
      </c>
      <c r="F1276" s="8" t="e">
        <f>VLOOKUP(C1276,'RAW DATA 2023'!E:BO,23,0)</f>
        <v>#N/A</v>
      </c>
      <c r="G1276" s="14" t="e">
        <f t="shared" si="97"/>
        <v>#N/A</v>
      </c>
      <c r="H1276" s="25" t="e">
        <f t="shared" si="98"/>
        <v>#N/A</v>
      </c>
      <c r="I1276" s="80" t="e">
        <f>VLOOKUP(C1276,'RAW DATA 2023'!E:BO,36,0)</f>
        <v>#N/A</v>
      </c>
      <c r="J1276" t="e">
        <f>VLOOKUP(C1276,'RAW DATA 2023'!E:BO,21,0)</f>
        <v>#N/A</v>
      </c>
      <c r="K1276" s="268" t="e">
        <f t="shared" si="99"/>
        <v>#N/A</v>
      </c>
    </row>
    <row r="1277" spans="1:11">
      <c r="A1277">
        <f>'RAW DATA 2023'!B1270</f>
        <v>0</v>
      </c>
      <c r="B1277">
        <f>'RAW DATA 2023'!D1270</f>
        <v>0</v>
      </c>
      <c r="C1277" t="str">
        <f t="shared" si="95"/>
        <v>00</v>
      </c>
      <c r="D1277" t="e">
        <f>VLOOKUP(C1277,'RAW DATA 2023'!E:BP,63,0)</f>
        <v>#N/A</v>
      </c>
      <c r="E1277" t="e">
        <f t="shared" si="96"/>
        <v>#N/A</v>
      </c>
      <c r="F1277" s="8" t="e">
        <f>VLOOKUP(C1277,'RAW DATA 2023'!E:BO,23,0)</f>
        <v>#N/A</v>
      </c>
      <c r="G1277" s="14" t="e">
        <f t="shared" si="97"/>
        <v>#N/A</v>
      </c>
      <c r="H1277" s="25" t="e">
        <f t="shared" si="98"/>
        <v>#N/A</v>
      </c>
      <c r="I1277" s="80" t="e">
        <f>VLOOKUP(C1277,'RAW DATA 2023'!E:BO,36,0)</f>
        <v>#N/A</v>
      </c>
      <c r="J1277" t="e">
        <f>VLOOKUP(C1277,'RAW DATA 2023'!E:BO,21,0)</f>
        <v>#N/A</v>
      </c>
      <c r="K1277" s="268" t="e">
        <f t="shared" si="99"/>
        <v>#N/A</v>
      </c>
    </row>
    <row r="1278" spans="1:11">
      <c r="A1278">
        <f>'RAW DATA 2023'!B1271</f>
        <v>0</v>
      </c>
      <c r="B1278">
        <f>'RAW DATA 2023'!D1271</f>
        <v>0</v>
      </c>
      <c r="C1278" t="str">
        <f t="shared" si="95"/>
        <v>00</v>
      </c>
      <c r="D1278" t="e">
        <f>VLOOKUP(C1278,'RAW DATA 2023'!E:BP,63,0)</f>
        <v>#N/A</v>
      </c>
      <c r="E1278" t="e">
        <f t="shared" si="96"/>
        <v>#N/A</v>
      </c>
      <c r="F1278" s="8" t="e">
        <f>VLOOKUP(C1278,'RAW DATA 2023'!E:BO,23,0)</f>
        <v>#N/A</v>
      </c>
      <c r="G1278" s="14" t="e">
        <f t="shared" si="97"/>
        <v>#N/A</v>
      </c>
      <c r="H1278" s="25" t="e">
        <f t="shared" si="98"/>
        <v>#N/A</v>
      </c>
      <c r="I1278" s="80" t="e">
        <f>VLOOKUP(C1278,'RAW DATA 2023'!E:BO,36,0)</f>
        <v>#N/A</v>
      </c>
      <c r="J1278" t="e">
        <f>VLOOKUP(C1278,'RAW DATA 2023'!E:BO,21,0)</f>
        <v>#N/A</v>
      </c>
      <c r="K1278" s="268" t="e">
        <f t="shared" si="99"/>
        <v>#N/A</v>
      </c>
    </row>
    <row r="1279" spans="1:11">
      <c r="A1279">
        <f>'RAW DATA 2023'!B1272</f>
        <v>0</v>
      </c>
      <c r="B1279">
        <f>'RAW DATA 2023'!D1272</f>
        <v>0</v>
      </c>
      <c r="C1279" t="str">
        <f t="shared" si="95"/>
        <v>00</v>
      </c>
      <c r="D1279" t="e">
        <f>VLOOKUP(C1279,'RAW DATA 2023'!E:BP,63,0)</f>
        <v>#N/A</v>
      </c>
      <c r="E1279" t="e">
        <f t="shared" si="96"/>
        <v>#N/A</v>
      </c>
      <c r="F1279" s="8" t="e">
        <f>VLOOKUP(C1279,'RAW DATA 2023'!E:BO,23,0)</f>
        <v>#N/A</v>
      </c>
      <c r="G1279" s="14" t="e">
        <f t="shared" si="97"/>
        <v>#N/A</v>
      </c>
      <c r="H1279" s="25" t="e">
        <f t="shared" si="98"/>
        <v>#N/A</v>
      </c>
      <c r="I1279" s="80" t="e">
        <f>VLOOKUP(C1279,'RAW DATA 2023'!E:BO,36,0)</f>
        <v>#N/A</v>
      </c>
      <c r="J1279" t="e">
        <f>VLOOKUP(C1279,'RAW DATA 2023'!E:BO,21,0)</f>
        <v>#N/A</v>
      </c>
      <c r="K1279" s="268" t="e">
        <f t="shared" si="99"/>
        <v>#N/A</v>
      </c>
    </row>
    <row r="1280" spans="1:11">
      <c r="A1280">
        <f>'RAW DATA 2023'!B1273</f>
        <v>0</v>
      </c>
      <c r="B1280">
        <f>'RAW DATA 2023'!D1273</f>
        <v>0</v>
      </c>
      <c r="C1280" t="str">
        <f t="shared" si="95"/>
        <v>00</v>
      </c>
      <c r="D1280" t="e">
        <f>VLOOKUP(C1280,'RAW DATA 2023'!E:BP,63,0)</f>
        <v>#N/A</v>
      </c>
      <c r="E1280" t="e">
        <f t="shared" si="96"/>
        <v>#N/A</v>
      </c>
      <c r="F1280" s="8" t="e">
        <f>VLOOKUP(C1280,'RAW DATA 2023'!E:BO,23,0)</f>
        <v>#N/A</v>
      </c>
      <c r="G1280" s="14" t="e">
        <f t="shared" si="97"/>
        <v>#N/A</v>
      </c>
      <c r="H1280" s="25" t="e">
        <f t="shared" si="98"/>
        <v>#N/A</v>
      </c>
      <c r="I1280" s="80" t="e">
        <f>VLOOKUP(C1280,'RAW DATA 2023'!E:BO,36,0)</f>
        <v>#N/A</v>
      </c>
      <c r="J1280" t="e">
        <f>VLOOKUP(C1280,'RAW DATA 2023'!E:BO,21,0)</f>
        <v>#N/A</v>
      </c>
      <c r="K1280" s="268" t="e">
        <f t="shared" si="99"/>
        <v>#N/A</v>
      </c>
    </row>
    <row r="1281" spans="1:11">
      <c r="A1281">
        <f>'RAW DATA 2023'!B1274</f>
        <v>0</v>
      </c>
      <c r="B1281">
        <f>'RAW DATA 2023'!D1274</f>
        <v>0</v>
      </c>
      <c r="C1281" t="str">
        <f t="shared" si="95"/>
        <v>00</v>
      </c>
      <c r="D1281" t="e">
        <f>VLOOKUP(C1281,'RAW DATA 2023'!E:BP,63,0)</f>
        <v>#N/A</v>
      </c>
      <c r="E1281" t="e">
        <f t="shared" si="96"/>
        <v>#N/A</v>
      </c>
      <c r="F1281" s="8" t="e">
        <f>VLOOKUP(C1281,'RAW DATA 2023'!E:BO,23,0)</f>
        <v>#N/A</v>
      </c>
      <c r="G1281" s="14" t="e">
        <f t="shared" si="97"/>
        <v>#N/A</v>
      </c>
      <c r="H1281" s="25" t="e">
        <f t="shared" si="98"/>
        <v>#N/A</v>
      </c>
      <c r="I1281" s="80" t="e">
        <f>VLOOKUP(C1281,'RAW DATA 2023'!E:BO,36,0)</f>
        <v>#N/A</v>
      </c>
      <c r="J1281" t="e">
        <f>VLOOKUP(C1281,'RAW DATA 2023'!E:BO,21,0)</f>
        <v>#N/A</v>
      </c>
      <c r="K1281" s="268" t="e">
        <f t="shared" si="99"/>
        <v>#N/A</v>
      </c>
    </row>
    <row r="1282" spans="1:11">
      <c r="C1282" t="str">
        <f t="shared" si="95"/>
        <v/>
      </c>
      <c r="D1282" t="e">
        <f>VLOOKUP(C1282,'RAW DATA 2023'!E:BP,63,0)</f>
        <v>#N/A</v>
      </c>
      <c r="E1282" t="e">
        <f t="shared" si="96"/>
        <v>#N/A</v>
      </c>
      <c r="F1282" s="8" t="e">
        <f>VLOOKUP(C1282,'RAW DATA 2023'!E:BO,23,0)</f>
        <v>#N/A</v>
      </c>
      <c r="G1282" s="14" t="e">
        <f t="shared" si="97"/>
        <v>#N/A</v>
      </c>
      <c r="H1282" s="25" t="e">
        <f t="shared" si="98"/>
        <v>#N/A</v>
      </c>
      <c r="I1282" s="80" t="e">
        <f>VLOOKUP(C1282,'RAW DATA 2023'!E:BO,36,0)</f>
        <v>#N/A</v>
      </c>
      <c r="J1282" t="e">
        <f>VLOOKUP(C1282,'RAW DATA 2023'!E:BO,21,0)</f>
        <v>#N/A</v>
      </c>
      <c r="K1282" s="268" t="e">
        <f t="shared" si="99"/>
        <v>#N/A</v>
      </c>
    </row>
    <row r="1283" spans="1:11">
      <c r="C1283" t="str">
        <f t="shared" si="95"/>
        <v/>
      </c>
      <c r="D1283" t="e">
        <f>VLOOKUP(C1283,'RAW DATA 2023'!E:BP,63,0)</f>
        <v>#N/A</v>
      </c>
      <c r="E1283" t="e">
        <f t="shared" si="96"/>
        <v>#N/A</v>
      </c>
      <c r="F1283" s="8" t="e">
        <f>VLOOKUP(C1283,'RAW DATA 2023'!E:BO,23,0)</f>
        <v>#N/A</v>
      </c>
      <c r="G1283" s="14" t="e">
        <f t="shared" si="97"/>
        <v>#N/A</v>
      </c>
      <c r="H1283" s="25" t="e">
        <f t="shared" si="98"/>
        <v>#N/A</v>
      </c>
      <c r="I1283" s="80" t="e">
        <f>VLOOKUP(C1283,'RAW DATA 2023'!E:BO,36,0)</f>
        <v>#N/A</v>
      </c>
      <c r="J1283" t="e">
        <f>VLOOKUP(C1283,'RAW DATA 2023'!E:BO,21,0)</f>
        <v>#N/A</v>
      </c>
      <c r="K1283" s="268" t="e">
        <f t="shared" si="99"/>
        <v>#N/A</v>
      </c>
    </row>
    <row r="1284" spans="1:11">
      <c r="C1284" t="str">
        <f t="shared" si="95"/>
        <v/>
      </c>
      <c r="D1284" t="e">
        <f>VLOOKUP(C1284,'RAW DATA 2023'!E:BP,63,0)</f>
        <v>#N/A</v>
      </c>
      <c r="E1284" t="e">
        <f t="shared" si="96"/>
        <v>#N/A</v>
      </c>
      <c r="F1284" s="8" t="e">
        <f>VLOOKUP(C1284,'RAW DATA 2023'!E:BO,23,0)</f>
        <v>#N/A</v>
      </c>
      <c r="G1284" s="14" t="e">
        <f t="shared" si="97"/>
        <v>#N/A</v>
      </c>
      <c r="H1284" s="25" t="e">
        <f t="shared" si="98"/>
        <v>#N/A</v>
      </c>
      <c r="I1284" s="80" t="e">
        <f>VLOOKUP(C1284,'RAW DATA 2023'!E:BO,36,0)</f>
        <v>#N/A</v>
      </c>
      <c r="J1284" t="e">
        <f>VLOOKUP(C1284,'RAW DATA 2023'!E:BO,21,0)</f>
        <v>#N/A</v>
      </c>
      <c r="K1284" s="268" t="e">
        <f t="shared" si="99"/>
        <v>#N/A</v>
      </c>
    </row>
    <row r="1285" spans="1:11">
      <c r="C1285" t="str">
        <f t="shared" si="95"/>
        <v/>
      </c>
      <c r="D1285" t="e">
        <f>VLOOKUP(C1285,'RAW DATA 2023'!E:BP,63,0)</f>
        <v>#N/A</v>
      </c>
      <c r="E1285" t="e">
        <f t="shared" si="96"/>
        <v>#N/A</v>
      </c>
      <c r="F1285" s="8" t="e">
        <f>VLOOKUP(C1285,'RAW DATA 2023'!E:BO,23,0)</f>
        <v>#N/A</v>
      </c>
      <c r="G1285" s="14" t="e">
        <f t="shared" si="97"/>
        <v>#N/A</v>
      </c>
      <c r="H1285" s="25" t="e">
        <f t="shared" si="98"/>
        <v>#N/A</v>
      </c>
      <c r="I1285" s="80" t="e">
        <f>VLOOKUP(C1285,'RAW DATA 2023'!E:BO,36,0)</f>
        <v>#N/A</v>
      </c>
      <c r="J1285" t="e">
        <f>VLOOKUP(C1285,'RAW DATA 2023'!E:BO,21,0)</f>
        <v>#N/A</v>
      </c>
      <c r="K1285" s="268" t="e">
        <f t="shared" si="99"/>
        <v>#N/A</v>
      </c>
    </row>
    <row r="1286" spans="1:11">
      <c r="C1286" t="str">
        <f t="shared" si="95"/>
        <v/>
      </c>
      <c r="D1286" t="e">
        <f>VLOOKUP(C1286,'RAW DATA 2023'!E:BP,63,0)</f>
        <v>#N/A</v>
      </c>
      <c r="E1286" t="e">
        <f t="shared" si="96"/>
        <v>#N/A</v>
      </c>
      <c r="F1286" s="8" t="e">
        <f>VLOOKUP(C1286,'RAW DATA 2023'!E:BO,23,0)</f>
        <v>#N/A</v>
      </c>
      <c r="G1286" s="14" t="e">
        <f t="shared" si="97"/>
        <v>#N/A</v>
      </c>
      <c r="H1286" s="25" t="e">
        <f t="shared" si="98"/>
        <v>#N/A</v>
      </c>
      <c r="I1286" s="80" t="e">
        <f>VLOOKUP(C1286,'RAW DATA 2023'!E:BO,36,0)</f>
        <v>#N/A</v>
      </c>
      <c r="J1286" t="e">
        <f>VLOOKUP(C1286,'RAW DATA 2023'!E:BO,21,0)</f>
        <v>#N/A</v>
      </c>
      <c r="K1286" s="268" t="e">
        <f t="shared" si="99"/>
        <v>#N/A</v>
      </c>
    </row>
    <row r="1287" spans="1:11">
      <c r="C1287" t="str">
        <f t="shared" si="95"/>
        <v/>
      </c>
      <c r="D1287" t="e">
        <f>VLOOKUP(C1287,'RAW DATA 2023'!E:BP,63,0)</f>
        <v>#N/A</v>
      </c>
      <c r="E1287" t="e">
        <f t="shared" si="96"/>
        <v>#N/A</v>
      </c>
      <c r="F1287" s="8" t="e">
        <f>VLOOKUP(C1287,'RAW DATA 2023'!E:BO,23,0)</f>
        <v>#N/A</v>
      </c>
      <c r="G1287" s="14" t="e">
        <f t="shared" si="97"/>
        <v>#N/A</v>
      </c>
      <c r="H1287" s="25" t="e">
        <f t="shared" si="98"/>
        <v>#N/A</v>
      </c>
      <c r="I1287" s="80" t="e">
        <f>VLOOKUP(C1287,'RAW DATA 2023'!E:BO,36,0)</f>
        <v>#N/A</v>
      </c>
      <c r="J1287" t="e">
        <f>VLOOKUP(C1287,'RAW DATA 2023'!E:BO,21,0)</f>
        <v>#N/A</v>
      </c>
      <c r="K1287" s="268" t="e">
        <f t="shared" si="99"/>
        <v>#N/A</v>
      </c>
    </row>
    <row r="1288" spans="1:11">
      <c r="C1288" t="str">
        <f t="shared" si="95"/>
        <v/>
      </c>
      <c r="D1288" t="e">
        <f>VLOOKUP(C1288,'RAW DATA 2023'!E:BP,63,0)</f>
        <v>#N/A</v>
      </c>
      <c r="E1288" t="e">
        <f t="shared" si="96"/>
        <v>#N/A</v>
      </c>
      <c r="F1288" s="8" t="e">
        <f>VLOOKUP(C1288,'RAW DATA 2023'!E:BO,23,0)</f>
        <v>#N/A</v>
      </c>
      <c r="G1288" s="14" t="e">
        <f t="shared" si="97"/>
        <v>#N/A</v>
      </c>
      <c r="H1288" s="25" t="e">
        <f t="shared" si="98"/>
        <v>#N/A</v>
      </c>
      <c r="I1288" s="80" t="e">
        <f>VLOOKUP(C1288,'RAW DATA 2023'!E:BO,36,0)</f>
        <v>#N/A</v>
      </c>
      <c r="J1288" t="e">
        <f>VLOOKUP(C1288,'RAW DATA 2023'!E:BO,21,0)</f>
        <v>#N/A</v>
      </c>
      <c r="K1288" s="268" t="e">
        <f t="shared" si="99"/>
        <v>#N/A</v>
      </c>
    </row>
    <row r="1289" spans="1:11">
      <c r="C1289" t="str">
        <f t="shared" si="95"/>
        <v/>
      </c>
      <c r="D1289" t="e">
        <f>VLOOKUP(C1289,'RAW DATA 2023'!E:BP,63,0)</f>
        <v>#N/A</v>
      </c>
      <c r="E1289" t="e">
        <f t="shared" si="96"/>
        <v>#N/A</v>
      </c>
      <c r="F1289" s="8" t="e">
        <f>VLOOKUP(C1289,'RAW DATA 2023'!E:BO,23,0)</f>
        <v>#N/A</v>
      </c>
      <c r="G1289" s="14" t="e">
        <f t="shared" si="97"/>
        <v>#N/A</v>
      </c>
      <c r="H1289" s="25" t="e">
        <f t="shared" si="98"/>
        <v>#N/A</v>
      </c>
      <c r="I1289" s="80" t="e">
        <f>VLOOKUP(C1289,'RAW DATA 2023'!E:BO,36,0)</f>
        <v>#N/A</v>
      </c>
      <c r="J1289" t="e">
        <f>VLOOKUP(C1289,'RAW DATA 2023'!E:BO,21,0)</f>
        <v>#N/A</v>
      </c>
      <c r="K1289" s="268" t="e">
        <f t="shared" si="99"/>
        <v>#N/A</v>
      </c>
    </row>
    <row r="1290" spans="1:11">
      <c r="C1290" t="str">
        <f t="shared" ref="C1290:C1297" si="100">A1290&amp;B1290</f>
        <v/>
      </c>
      <c r="D1290" t="e">
        <f>VLOOKUP(C1290,'RAW DATA 2023'!E:BP,63,0)</f>
        <v>#N/A</v>
      </c>
      <c r="E1290" t="e">
        <f t="shared" ref="E1290:E1297" si="101">A1290&amp;D1290</f>
        <v>#N/A</v>
      </c>
      <c r="F1290" s="8" t="e">
        <f>VLOOKUP(C1290,'RAW DATA 2023'!E:BO,23,0)</f>
        <v>#N/A</v>
      </c>
      <c r="G1290" s="14" t="e">
        <f t="shared" si="97"/>
        <v>#N/A</v>
      </c>
      <c r="H1290" s="25" t="e">
        <f t="shared" si="98"/>
        <v>#N/A</v>
      </c>
      <c r="I1290" s="80" t="e">
        <f>VLOOKUP(C1290,'RAW DATA 2023'!E:BO,36,0)</f>
        <v>#N/A</v>
      </c>
      <c r="J1290" t="e">
        <f>VLOOKUP(C1290,'RAW DATA 2023'!E:BO,21,0)</f>
        <v>#N/A</v>
      </c>
      <c r="K1290" s="268" t="e">
        <f t="shared" si="99"/>
        <v>#N/A</v>
      </c>
    </row>
    <row r="1291" spans="1:11">
      <c r="C1291" t="str">
        <f t="shared" si="100"/>
        <v/>
      </c>
      <c r="D1291" t="e">
        <f>VLOOKUP(C1291,'RAW DATA 2023'!E:BP,63,0)</f>
        <v>#N/A</v>
      </c>
      <c r="E1291" t="e">
        <f t="shared" si="101"/>
        <v>#N/A</v>
      </c>
      <c r="F1291" s="8" t="e">
        <f>VLOOKUP(C1291,'RAW DATA 2023'!E:BO,23,0)</f>
        <v>#N/A</v>
      </c>
      <c r="G1291" s="14" t="e">
        <f t="shared" ref="G1291:G1297" si="102">IF(F1291=0,0,$B$2-F1291)</f>
        <v>#N/A</v>
      </c>
      <c r="H1291" s="25" t="e">
        <f t="shared" ref="H1291:H1297" si="103">G1291*$B$6</f>
        <v>#N/A</v>
      </c>
      <c r="I1291" s="80" t="e">
        <f>VLOOKUP(C1291,'RAW DATA 2023'!E:BO,36,0)</f>
        <v>#N/A</v>
      </c>
      <c r="J1291" t="e">
        <f>VLOOKUP(C1291,'RAW DATA 2023'!E:BO,21,0)</f>
        <v>#N/A</v>
      </c>
      <c r="K1291" s="268" t="e">
        <f t="shared" ref="K1291:K1297" si="104">H1291*J1291</f>
        <v>#N/A</v>
      </c>
    </row>
    <row r="1292" spans="1:11">
      <c r="C1292" t="str">
        <f t="shared" si="100"/>
        <v/>
      </c>
      <c r="D1292" t="e">
        <f>VLOOKUP(C1292,'RAW DATA 2023'!E:BP,63,0)</f>
        <v>#N/A</v>
      </c>
      <c r="E1292" t="e">
        <f t="shared" si="101"/>
        <v>#N/A</v>
      </c>
      <c r="F1292" s="8" t="e">
        <f>VLOOKUP(C1292,'RAW DATA 2023'!E:BO,23,0)</f>
        <v>#N/A</v>
      </c>
      <c r="G1292" s="14" t="e">
        <f t="shared" si="102"/>
        <v>#N/A</v>
      </c>
      <c r="H1292" s="25" t="e">
        <f t="shared" si="103"/>
        <v>#N/A</v>
      </c>
      <c r="I1292" s="80" t="e">
        <f>VLOOKUP(C1292,'RAW DATA 2023'!E:BO,36,0)</f>
        <v>#N/A</v>
      </c>
      <c r="J1292" t="e">
        <f>VLOOKUP(C1292,'RAW DATA 2023'!E:BO,21,0)</f>
        <v>#N/A</v>
      </c>
      <c r="K1292" s="268" t="e">
        <f t="shared" si="104"/>
        <v>#N/A</v>
      </c>
    </row>
    <row r="1293" spans="1:11">
      <c r="C1293" t="str">
        <f t="shared" si="100"/>
        <v/>
      </c>
      <c r="D1293" t="e">
        <f>VLOOKUP(C1293,'RAW DATA 2023'!E:BP,63,0)</f>
        <v>#N/A</v>
      </c>
      <c r="E1293" t="e">
        <f t="shared" si="101"/>
        <v>#N/A</v>
      </c>
      <c r="F1293" s="8" t="e">
        <f>VLOOKUP(C1293,'RAW DATA 2023'!E:BO,23,0)</f>
        <v>#N/A</v>
      </c>
      <c r="G1293" s="14" t="e">
        <f t="shared" si="102"/>
        <v>#N/A</v>
      </c>
      <c r="H1293" s="25" t="e">
        <f t="shared" si="103"/>
        <v>#N/A</v>
      </c>
      <c r="I1293" s="80" t="e">
        <f>VLOOKUP(C1293,'RAW DATA 2023'!E:BO,36,0)</f>
        <v>#N/A</v>
      </c>
      <c r="J1293" t="e">
        <f>VLOOKUP(C1293,'RAW DATA 2023'!E:BO,21,0)</f>
        <v>#N/A</v>
      </c>
      <c r="K1293" s="268" t="e">
        <f t="shared" si="104"/>
        <v>#N/A</v>
      </c>
    </row>
    <row r="1294" spans="1:11">
      <c r="C1294" t="str">
        <f t="shared" si="100"/>
        <v/>
      </c>
      <c r="D1294" t="e">
        <f>VLOOKUP(C1294,'RAW DATA 2023'!E:BP,63,0)</f>
        <v>#N/A</v>
      </c>
      <c r="E1294" t="e">
        <f t="shared" si="101"/>
        <v>#N/A</v>
      </c>
      <c r="F1294" s="8" t="e">
        <f>VLOOKUP(C1294,'RAW DATA 2023'!E:BO,23,0)</f>
        <v>#N/A</v>
      </c>
      <c r="G1294" s="14" t="e">
        <f t="shared" si="102"/>
        <v>#N/A</v>
      </c>
      <c r="H1294" s="25" t="e">
        <f t="shared" si="103"/>
        <v>#N/A</v>
      </c>
      <c r="I1294" s="80" t="e">
        <f>VLOOKUP(C1294,'RAW DATA 2023'!E:BO,36,0)</f>
        <v>#N/A</v>
      </c>
      <c r="J1294" t="e">
        <f>VLOOKUP(C1294,'RAW DATA 2023'!E:BO,21,0)</f>
        <v>#N/A</v>
      </c>
      <c r="K1294" s="268" t="e">
        <f t="shared" si="104"/>
        <v>#N/A</v>
      </c>
    </row>
    <row r="1295" spans="1:11">
      <c r="C1295" t="str">
        <f t="shared" si="100"/>
        <v/>
      </c>
      <c r="D1295" t="e">
        <f>VLOOKUP(C1295,'RAW DATA 2023'!E:BP,63,0)</f>
        <v>#N/A</v>
      </c>
      <c r="E1295" t="e">
        <f t="shared" si="101"/>
        <v>#N/A</v>
      </c>
      <c r="F1295" s="8" t="e">
        <f>VLOOKUP(C1295,'RAW DATA 2023'!E:BO,23,0)</f>
        <v>#N/A</v>
      </c>
      <c r="G1295" s="14" t="e">
        <f t="shared" si="102"/>
        <v>#N/A</v>
      </c>
      <c r="H1295" s="25" t="e">
        <f t="shared" si="103"/>
        <v>#N/A</v>
      </c>
      <c r="I1295" s="80" t="e">
        <f>VLOOKUP(C1295,'RAW DATA 2023'!E:BO,36,0)</f>
        <v>#N/A</v>
      </c>
      <c r="J1295" t="e">
        <f>VLOOKUP(C1295,'RAW DATA 2023'!E:BO,21,0)</f>
        <v>#N/A</v>
      </c>
      <c r="K1295" s="268" t="e">
        <f t="shared" si="104"/>
        <v>#N/A</v>
      </c>
    </row>
    <row r="1296" spans="1:11">
      <c r="C1296" t="str">
        <f t="shared" si="100"/>
        <v/>
      </c>
      <c r="D1296" t="e">
        <f>VLOOKUP(C1296,'RAW DATA 2023'!E:BP,63,0)</f>
        <v>#N/A</v>
      </c>
      <c r="E1296" t="e">
        <f t="shared" si="101"/>
        <v>#N/A</v>
      </c>
      <c r="F1296" s="8" t="e">
        <f>VLOOKUP(C1296,'RAW DATA 2023'!E:BO,23,0)</f>
        <v>#N/A</v>
      </c>
      <c r="G1296" s="14" t="e">
        <f t="shared" si="102"/>
        <v>#N/A</v>
      </c>
      <c r="H1296" s="25" t="e">
        <f t="shared" si="103"/>
        <v>#N/A</v>
      </c>
      <c r="I1296" s="80" t="e">
        <f>VLOOKUP(C1296,'RAW DATA 2023'!E:BO,36,0)</f>
        <v>#N/A</v>
      </c>
      <c r="J1296" t="e">
        <f>VLOOKUP(C1296,'RAW DATA 2023'!E:BO,21,0)</f>
        <v>#N/A</v>
      </c>
      <c r="K1296" s="268" t="e">
        <f t="shared" si="104"/>
        <v>#N/A</v>
      </c>
    </row>
    <row r="1297" spans="3:11">
      <c r="C1297" t="str">
        <f t="shared" si="100"/>
        <v/>
      </c>
      <c r="D1297" t="e">
        <f>VLOOKUP(C1297,'RAW DATA 2023'!E:BP,63,0)</f>
        <v>#N/A</v>
      </c>
      <c r="E1297" t="e">
        <f t="shared" si="101"/>
        <v>#N/A</v>
      </c>
      <c r="F1297" s="8" t="e">
        <f>VLOOKUP(C1297,'RAW DATA 2023'!E:BO,23,0)</f>
        <v>#N/A</v>
      </c>
      <c r="G1297" s="14" t="e">
        <f t="shared" si="102"/>
        <v>#N/A</v>
      </c>
      <c r="H1297" s="25" t="e">
        <f t="shared" si="103"/>
        <v>#N/A</v>
      </c>
      <c r="I1297" s="80" t="e">
        <f>VLOOKUP(C1297,'RAW DATA 2023'!E:BO,36,0)</f>
        <v>#N/A</v>
      </c>
      <c r="J1297" t="e">
        <f>VLOOKUP(C1297,'RAW DATA 2023'!E:BO,21,0)</f>
        <v>#N/A</v>
      </c>
      <c r="K1297" s="268" t="e">
        <f t="shared" si="104"/>
        <v>#N/A</v>
      </c>
    </row>
  </sheetData>
  <autoFilter ref="A9:I1297" xr:uid="{1E1CEC76-2C31-A143-A445-9D5023F3C612}">
    <sortState xmlns:xlrd2="http://schemas.microsoft.com/office/spreadsheetml/2017/richdata2" ref="A10:I1297">
      <sortCondition ref="A9:A1297"/>
    </sortState>
  </autoFilter>
  <pageMargins left="0.7" right="0.7" top="0.75" bottom="0.75" header="0.3" footer="0.3"/>
  <pageSetup paperSize="9"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79998168889431442"/>
  </sheetPr>
  <dimension ref="A1:BT1141"/>
  <sheetViews>
    <sheetView zoomScale="140" zoomScaleNormal="140" workbookViewId="0">
      <pane xSplit="4" ySplit="1" topLeftCell="E2" activePane="bottomRight" state="frozen"/>
      <selection pane="topRight" activeCell="E1" sqref="E1"/>
      <selection pane="bottomLeft" activeCell="A2" sqref="A2"/>
      <selection pane="bottomRight" activeCell="E3" sqref="E3"/>
    </sheetView>
  </sheetViews>
  <sheetFormatPr baseColWidth="10" defaultRowHeight="16"/>
  <cols>
    <col min="3" max="3" width="15.6640625" customWidth="1"/>
    <col min="4" max="4" width="13.1640625" customWidth="1"/>
    <col min="5" max="5" width="23.1640625" customWidth="1"/>
    <col min="10" max="10" width="19" customWidth="1"/>
    <col min="21" max="21" width="15.33203125" customWidth="1"/>
    <col min="59" max="59" width="0" hidden="1" customWidth="1"/>
    <col min="68" max="68" width="11" customWidth="1"/>
    <col min="69" max="69" width="14.83203125" customWidth="1"/>
    <col min="70" max="71" width="10.83203125" style="25"/>
  </cols>
  <sheetData>
    <row r="1" spans="1:72">
      <c r="A1" s="1" t="s">
        <v>0</v>
      </c>
      <c r="B1" s="1" t="s">
        <v>1</v>
      </c>
      <c r="C1" s="1" t="s">
        <v>2</v>
      </c>
      <c r="D1" s="1" t="s">
        <v>3</v>
      </c>
      <c r="E1" s="1">
        <v>1</v>
      </c>
      <c r="F1" s="1">
        <v>2</v>
      </c>
      <c r="G1" s="1">
        <v>3</v>
      </c>
      <c r="H1" s="1">
        <v>4</v>
      </c>
      <c r="I1" s="1">
        <v>5</v>
      </c>
      <c r="J1" s="1">
        <v>6</v>
      </c>
      <c r="K1" s="1">
        <v>7</v>
      </c>
      <c r="L1" s="1">
        <v>8</v>
      </c>
      <c r="M1" s="1">
        <v>9</v>
      </c>
      <c r="N1" s="1">
        <v>10</v>
      </c>
      <c r="O1" s="1">
        <v>11</v>
      </c>
      <c r="P1" s="1">
        <v>12</v>
      </c>
      <c r="Q1" s="1">
        <v>13</v>
      </c>
      <c r="R1" s="1">
        <v>14</v>
      </c>
      <c r="S1" s="1">
        <v>15</v>
      </c>
      <c r="T1" s="1">
        <v>16</v>
      </c>
      <c r="U1" s="1">
        <v>17</v>
      </c>
      <c r="V1" s="1">
        <v>18</v>
      </c>
      <c r="W1" s="1">
        <v>19</v>
      </c>
      <c r="X1" s="1">
        <v>20</v>
      </c>
      <c r="Y1" s="1">
        <v>21</v>
      </c>
      <c r="Z1" s="1">
        <v>22</v>
      </c>
      <c r="AA1" s="1">
        <v>23</v>
      </c>
      <c r="AB1" s="1">
        <v>24</v>
      </c>
      <c r="AC1" s="1">
        <v>25</v>
      </c>
      <c r="AD1" s="1">
        <v>26</v>
      </c>
      <c r="AE1" s="1">
        <v>27</v>
      </c>
      <c r="AF1" s="1">
        <v>28</v>
      </c>
      <c r="AG1" s="1">
        <v>29</v>
      </c>
      <c r="AH1" s="1">
        <v>30</v>
      </c>
      <c r="AI1" s="1">
        <v>31</v>
      </c>
      <c r="AJ1" s="1">
        <v>32</v>
      </c>
      <c r="AK1" s="1">
        <v>33</v>
      </c>
      <c r="AL1" s="1">
        <v>34</v>
      </c>
      <c r="AM1" s="1">
        <v>35</v>
      </c>
      <c r="AN1" s="1">
        <v>36</v>
      </c>
      <c r="AO1" s="1">
        <v>37</v>
      </c>
      <c r="AP1" s="1">
        <v>38</v>
      </c>
      <c r="AQ1" s="1">
        <v>39</v>
      </c>
      <c r="AR1" s="1">
        <v>40</v>
      </c>
      <c r="AS1" s="1">
        <v>41</v>
      </c>
      <c r="AT1" s="1">
        <v>42</v>
      </c>
      <c r="AU1" s="1">
        <v>43</v>
      </c>
      <c r="AV1" s="1">
        <v>44</v>
      </c>
      <c r="AW1" s="1">
        <v>45</v>
      </c>
      <c r="AX1" s="1">
        <v>46</v>
      </c>
      <c r="AY1" s="1">
        <v>47</v>
      </c>
      <c r="AZ1" s="1">
        <v>48</v>
      </c>
      <c r="BA1" s="1">
        <v>49</v>
      </c>
      <c r="BB1" s="1">
        <v>50</v>
      </c>
      <c r="BC1" s="1">
        <v>51</v>
      </c>
      <c r="BD1" s="1">
        <v>52</v>
      </c>
      <c r="BE1" s="1">
        <v>53</v>
      </c>
      <c r="BF1" s="1">
        <v>54</v>
      </c>
      <c r="BG1" s="1">
        <v>55</v>
      </c>
      <c r="BH1" s="1">
        <v>56</v>
      </c>
      <c r="BI1" s="1">
        <v>57</v>
      </c>
      <c r="BJ1" s="1">
        <v>58</v>
      </c>
      <c r="BK1" s="1">
        <v>59</v>
      </c>
      <c r="BL1" s="1">
        <v>60</v>
      </c>
      <c r="BM1" s="1">
        <v>61</v>
      </c>
      <c r="BN1" s="1">
        <v>62</v>
      </c>
      <c r="BO1" s="1">
        <v>63</v>
      </c>
    </row>
    <row r="2" spans="1:72">
      <c r="A2" s="1" t="s">
        <v>0</v>
      </c>
      <c r="B2" s="1" t="s">
        <v>1</v>
      </c>
      <c r="C2" s="1" t="s">
        <v>2</v>
      </c>
      <c r="D2" s="1" t="s">
        <v>3</v>
      </c>
      <c r="E2" s="1" t="s">
        <v>1874</v>
      </c>
      <c r="F2" s="1" t="s">
        <v>4</v>
      </c>
      <c r="G2" s="1" t="s">
        <v>5</v>
      </c>
      <c r="H2" s="1" t="s">
        <v>6</v>
      </c>
      <c r="I2" s="1" t="s">
        <v>7</v>
      </c>
      <c r="J2" s="1" t="s">
        <v>8</v>
      </c>
      <c r="K2" s="1" t="s">
        <v>9</v>
      </c>
      <c r="L2" s="1" t="s">
        <v>10</v>
      </c>
      <c r="M2" s="1" t="s">
        <v>11</v>
      </c>
      <c r="N2" s="1" t="s">
        <v>12</v>
      </c>
      <c r="O2" s="1" t="s">
        <v>13</v>
      </c>
      <c r="P2" s="1" t="s">
        <v>14</v>
      </c>
      <c r="Q2" s="1" t="s">
        <v>15</v>
      </c>
      <c r="R2" s="1" t="s">
        <v>16</v>
      </c>
      <c r="S2" s="1" t="s">
        <v>17</v>
      </c>
      <c r="T2" s="1" t="s">
        <v>18</v>
      </c>
      <c r="U2" s="426" t="s">
        <v>19</v>
      </c>
      <c r="V2" s="1" t="s">
        <v>20</v>
      </c>
      <c r="W2" s="1" t="s">
        <v>21</v>
      </c>
      <c r="X2" s="1" t="s">
        <v>22</v>
      </c>
      <c r="Y2" s="426" t="s">
        <v>23</v>
      </c>
      <c r="Z2" s="1" t="s">
        <v>24</v>
      </c>
      <c r="AA2" s="1" t="s">
        <v>25</v>
      </c>
      <c r="AB2" s="1" t="s">
        <v>26</v>
      </c>
      <c r="AC2" s="1" t="s">
        <v>27</v>
      </c>
      <c r="AD2" s="1" t="s">
        <v>28</v>
      </c>
      <c r="AE2" s="1" t="s">
        <v>29</v>
      </c>
      <c r="AF2" s="1" t="s">
        <v>30</v>
      </c>
      <c r="AG2" s="1" t="s">
        <v>31</v>
      </c>
      <c r="AH2" s="1" t="s">
        <v>32</v>
      </c>
      <c r="AI2" s="1" t="s">
        <v>33</v>
      </c>
      <c r="AJ2" s="1" t="s">
        <v>34</v>
      </c>
      <c r="AK2" s="1" t="s">
        <v>35</v>
      </c>
      <c r="AL2" s="1" t="s">
        <v>36</v>
      </c>
      <c r="AM2" s="1" t="s">
        <v>37</v>
      </c>
      <c r="AN2" s="1" t="s">
        <v>38</v>
      </c>
      <c r="AO2" s="1" t="s">
        <v>39</v>
      </c>
      <c r="AP2" s="1" t="s">
        <v>40</v>
      </c>
      <c r="AQ2" s="1" t="s">
        <v>41</v>
      </c>
      <c r="AR2" s="1" t="s">
        <v>42</v>
      </c>
      <c r="AS2" s="1" t="s">
        <v>43</v>
      </c>
      <c r="AT2" s="1" t="s">
        <v>44</v>
      </c>
      <c r="AU2" s="1" t="s">
        <v>45</v>
      </c>
      <c r="AV2" s="1" t="s">
        <v>46</v>
      </c>
      <c r="AW2" s="1" t="s">
        <v>47</v>
      </c>
      <c r="AX2" s="1" t="s">
        <v>48</v>
      </c>
      <c r="AY2" s="1" t="s">
        <v>49</v>
      </c>
      <c r="AZ2" s="1" t="s">
        <v>50</v>
      </c>
      <c r="BA2" s="1" t="s">
        <v>51</v>
      </c>
      <c r="BB2" s="1" t="s">
        <v>52</v>
      </c>
      <c r="BC2" s="1" t="s">
        <v>53</v>
      </c>
      <c r="BD2" s="1" t="s">
        <v>54</v>
      </c>
      <c r="BE2" s="1" t="s">
        <v>55</v>
      </c>
      <c r="BF2" s="1" t="s">
        <v>56</v>
      </c>
      <c r="BG2" s="1" t="s">
        <v>57</v>
      </c>
      <c r="BH2" s="1" t="s">
        <v>58</v>
      </c>
      <c r="BI2" s="1" t="s">
        <v>59</v>
      </c>
      <c r="BJ2" s="1" t="s">
        <v>60</v>
      </c>
      <c r="BK2" s="1" t="s">
        <v>61</v>
      </c>
      <c r="BL2" s="1" t="s">
        <v>62</v>
      </c>
      <c r="BM2" s="1" t="s">
        <v>63</v>
      </c>
      <c r="BN2" s="1" t="s">
        <v>64</v>
      </c>
      <c r="BO2" t="s">
        <v>1924</v>
      </c>
      <c r="BP2" t="s">
        <v>2644</v>
      </c>
      <c r="BQ2" s="17" t="s">
        <v>2818</v>
      </c>
      <c r="BR2" s="411" t="s">
        <v>2817</v>
      </c>
      <c r="BS2" s="411" t="s">
        <v>2819</v>
      </c>
      <c r="BT2" s="17" t="s">
        <v>2823</v>
      </c>
    </row>
    <row r="3" spans="1:72">
      <c r="A3" s="3" t="s">
        <v>1793</v>
      </c>
      <c r="B3" s="3" t="s">
        <v>1795</v>
      </c>
      <c r="C3" s="3" t="s">
        <v>1796</v>
      </c>
      <c r="D3" s="2" t="s">
        <v>1813</v>
      </c>
      <c r="E3" s="4" t="str">
        <f>B3&amp;D3</f>
        <v>LamaeA1-013-0016</v>
      </c>
      <c r="F3">
        <v>4</v>
      </c>
      <c r="G3">
        <v>1.5</v>
      </c>
      <c r="H3" t="s">
        <v>72</v>
      </c>
      <c r="I3" t="s">
        <v>75</v>
      </c>
      <c r="J3" t="s">
        <v>112</v>
      </c>
      <c r="K3" t="s">
        <v>79</v>
      </c>
      <c r="N3" s="5">
        <v>45059</v>
      </c>
      <c r="O3" s="5">
        <v>45075</v>
      </c>
      <c r="P3">
        <v>1.3</v>
      </c>
      <c r="Q3" s="4">
        <v>135</v>
      </c>
      <c r="R3">
        <v>0.14899999999999999</v>
      </c>
      <c r="S3" t="s">
        <v>70</v>
      </c>
      <c r="T3" s="6">
        <v>3</v>
      </c>
      <c r="U3" s="5">
        <v>45182</v>
      </c>
      <c r="V3" s="6">
        <v>1</v>
      </c>
      <c r="W3" t="s">
        <v>86</v>
      </c>
      <c r="X3" s="6">
        <v>107</v>
      </c>
      <c r="Y3">
        <v>20.41601</v>
      </c>
      <c r="Z3">
        <v>5.1040025</v>
      </c>
      <c r="AA3" s="6">
        <v>33.479411501071958</v>
      </c>
      <c r="AB3" s="4">
        <v>52.578153846153839</v>
      </c>
      <c r="AC3" s="6">
        <v>29.869103283610034</v>
      </c>
      <c r="AD3">
        <v>0.40494636300000003</v>
      </c>
      <c r="AE3">
        <v>1.6511499450852949</v>
      </c>
      <c r="AF3">
        <v>33390</v>
      </c>
      <c r="AG3" s="4"/>
      <c r="AH3" s="4"/>
      <c r="AL3">
        <v>23</v>
      </c>
      <c r="AM3">
        <v>9.2735599999999998</v>
      </c>
      <c r="AN3" t="s">
        <v>81</v>
      </c>
      <c r="AO3" t="s">
        <v>127</v>
      </c>
      <c r="AP3" s="5">
        <v>45082</v>
      </c>
      <c r="AQ3" t="s">
        <v>117</v>
      </c>
      <c r="AR3" s="5">
        <v>45180</v>
      </c>
      <c r="AS3">
        <v>185.48996057505852</v>
      </c>
      <c r="AT3" s="6"/>
      <c r="AU3">
        <v>25.4702069601259</v>
      </c>
      <c r="AV3">
        <v>52.760793612463956</v>
      </c>
      <c r="AW3">
        <v>10.008386555453294</v>
      </c>
      <c r="AX3">
        <v>88.239387128043148</v>
      </c>
      <c r="AY3">
        <v>23.140257572366007</v>
      </c>
      <c r="AZ3">
        <v>22.016095211552106</v>
      </c>
      <c r="BA3">
        <v>0.69774358456916896</v>
      </c>
      <c r="BB3">
        <v>3.3815260670424832</v>
      </c>
      <c r="BC3">
        <v>8.8590914679214983</v>
      </c>
      <c r="BD3">
        <v>58.094713903451265</v>
      </c>
      <c r="BE3">
        <v>39.155859543564105</v>
      </c>
      <c r="BF3">
        <v>5.6877979585629115</v>
      </c>
      <c r="BG3">
        <v>2.8988421341878263</v>
      </c>
      <c r="BH3">
        <v>8.5866400927507378</v>
      </c>
      <c r="BI3">
        <v>154.92074112424515</v>
      </c>
      <c r="BJ3" s="6">
        <v>191</v>
      </c>
      <c r="BK3">
        <v>30.569219450813371</v>
      </c>
      <c r="BL3" s="4">
        <v>624.10149000000024</v>
      </c>
      <c r="BM3" t="s">
        <v>1814</v>
      </c>
      <c r="BN3" t="s">
        <v>65</v>
      </c>
      <c r="BO3">
        <v>9</v>
      </c>
      <c r="BP3">
        <v>2023</v>
      </c>
      <c r="BQ3" t="str">
        <f>B3&amp;BO3</f>
        <v>Lamae9</v>
      </c>
      <c r="BR3">
        <f>BT3*Y3</f>
        <v>736.59450999999967</v>
      </c>
      <c r="BS3">
        <f>Y3*AS3</f>
        <v>3786.9648900000007</v>
      </c>
      <c r="BT3" s="6">
        <f>BJ3-BI3</f>
        <v>36.079258875754846</v>
      </c>
    </row>
    <row r="4" spans="1:72">
      <c r="A4" s="3" t="s">
        <v>1793</v>
      </c>
      <c r="B4" s="3" t="s">
        <v>1795</v>
      </c>
      <c r="C4" s="3" t="s">
        <v>1796</v>
      </c>
      <c r="D4" s="2" t="s">
        <v>1804</v>
      </c>
      <c r="E4" s="4" t="str">
        <f t="shared" ref="E4:E67" si="0">B4&amp;D4</f>
        <v>LamaeA1-012-0013</v>
      </c>
      <c r="F4">
        <v>4</v>
      </c>
      <c r="G4">
        <v>1.5</v>
      </c>
      <c r="H4" t="s">
        <v>72</v>
      </c>
      <c r="I4" t="s">
        <v>75</v>
      </c>
      <c r="J4" t="s">
        <v>112</v>
      </c>
      <c r="K4" t="s">
        <v>79</v>
      </c>
      <c r="N4" s="5">
        <v>44962</v>
      </c>
      <c r="O4" s="5">
        <v>44976</v>
      </c>
      <c r="P4">
        <v>1.5</v>
      </c>
      <c r="Q4" s="4">
        <v>156</v>
      </c>
      <c r="R4">
        <v>0.122</v>
      </c>
      <c r="S4" t="s">
        <v>70</v>
      </c>
      <c r="T4" s="6">
        <v>5</v>
      </c>
      <c r="U4" s="5">
        <v>45088</v>
      </c>
      <c r="V4" s="6">
        <v>1</v>
      </c>
      <c r="W4" t="s">
        <v>86</v>
      </c>
      <c r="X4" s="6">
        <v>112</v>
      </c>
      <c r="Y4">
        <v>36.7363</v>
      </c>
      <c r="Z4">
        <v>9.184075</v>
      </c>
      <c r="AA4" s="6">
        <v>35.836488704632742</v>
      </c>
      <c r="AB4" s="4">
        <v>87.766666666666666</v>
      </c>
      <c r="AC4" s="6">
        <v>27.904519559437908</v>
      </c>
      <c r="AD4">
        <v>0.40475486999999999</v>
      </c>
      <c r="AE4">
        <v>1.6582820127218396</v>
      </c>
      <c r="AF4">
        <v>60615</v>
      </c>
      <c r="AG4" s="4"/>
      <c r="AH4" s="4"/>
      <c r="AL4">
        <v>22</v>
      </c>
      <c r="AM4">
        <v>10.29763</v>
      </c>
      <c r="AN4" t="s">
        <v>81</v>
      </c>
      <c r="AO4" t="s">
        <v>131</v>
      </c>
      <c r="AP4" s="5">
        <v>44977</v>
      </c>
      <c r="AQ4" t="s">
        <v>127</v>
      </c>
      <c r="AR4" s="5">
        <v>45082</v>
      </c>
      <c r="AS4">
        <v>235.47740844886394</v>
      </c>
      <c r="AT4" s="6"/>
      <c r="AU4">
        <v>16.332619234925673</v>
      </c>
      <c r="AV4">
        <v>52.96550578038616</v>
      </c>
      <c r="AW4">
        <v>5.3403034600653845</v>
      </c>
      <c r="AX4">
        <v>74.638428475377211</v>
      </c>
      <c r="AY4">
        <v>12.20220299812447</v>
      </c>
      <c r="AZ4">
        <v>11.289772786045409</v>
      </c>
      <c r="BA4">
        <v>0.27047742968126892</v>
      </c>
      <c r="BB4">
        <v>0.73663515378522038</v>
      </c>
      <c r="BC4">
        <v>3.5369560897531866</v>
      </c>
      <c r="BD4">
        <v>28.036044457389551</v>
      </c>
      <c r="BE4">
        <v>132.80293551609719</v>
      </c>
      <c r="BF4">
        <v>3.4139603062910524</v>
      </c>
      <c r="BG4">
        <v>1.9354347062714536</v>
      </c>
      <c r="BH4">
        <v>5.349395012562506</v>
      </c>
      <c r="BI4">
        <v>108.02386794532927</v>
      </c>
      <c r="BJ4" s="6">
        <v>187</v>
      </c>
      <c r="BK4">
        <v>127.45354050353464</v>
      </c>
      <c r="BL4" s="4">
        <v>4682.1715000000004</v>
      </c>
      <c r="BM4" t="s">
        <v>1805</v>
      </c>
      <c r="BN4" t="s">
        <v>65</v>
      </c>
      <c r="BO4">
        <v>6</v>
      </c>
      <c r="BP4">
        <v>2023</v>
      </c>
      <c r="BQ4" t="str">
        <f t="shared" ref="BQ4:BQ67" si="1">B4&amp;BO4</f>
        <v>Lamae6</v>
      </c>
      <c r="BR4">
        <f t="shared" ref="BR4:BR67" si="2">BT4*Y4</f>
        <v>2901.2908800000005</v>
      </c>
      <c r="BS4">
        <f t="shared" ref="BS4:BS67" si="3">Y4*AS4</f>
        <v>8650.5687200000011</v>
      </c>
      <c r="BT4" s="6">
        <f t="shared" ref="BT4:BT67" si="4">BJ4-BI4</f>
        <v>78.976132054670728</v>
      </c>
    </row>
    <row r="5" spans="1:72">
      <c r="A5" s="3" t="s">
        <v>1793</v>
      </c>
      <c r="B5" s="3" t="s">
        <v>1795</v>
      </c>
      <c r="C5" s="3" t="s">
        <v>1796</v>
      </c>
      <c r="D5" s="2" t="s">
        <v>1806</v>
      </c>
      <c r="E5" s="4" t="str">
        <f t="shared" si="0"/>
        <v>LamaeA1-011-0023</v>
      </c>
      <c r="F5">
        <v>4</v>
      </c>
      <c r="G5">
        <v>1.5</v>
      </c>
      <c r="H5" t="s">
        <v>72</v>
      </c>
      <c r="I5" t="s">
        <v>75</v>
      </c>
      <c r="J5" t="s">
        <v>112</v>
      </c>
      <c r="K5" t="s">
        <v>79</v>
      </c>
      <c r="N5" s="5">
        <v>45088</v>
      </c>
      <c r="O5" s="5">
        <v>45107</v>
      </c>
      <c r="P5">
        <v>1.3</v>
      </c>
      <c r="Q5" s="4">
        <v>135</v>
      </c>
      <c r="R5">
        <v>0.127</v>
      </c>
      <c r="S5" t="s">
        <v>70</v>
      </c>
      <c r="T5" s="6">
        <v>2</v>
      </c>
      <c r="U5" s="5">
        <v>45188</v>
      </c>
      <c r="V5" s="6">
        <v>1</v>
      </c>
      <c r="W5" t="s">
        <v>86</v>
      </c>
      <c r="X5" s="6">
        <v>81</v>
      </c>
      <c r="Y5">
        <v>20.785169999999997</v>
      </c>
      <c r="Z5">
        <v>5.1962924999999993</v>
      </c>
      <c r="AA5" s="6">
        <v>35.30728880254528</v>
      </c>
      <c r="AB5" s="4">
        <v>56.451384615384612</v>
      </c>
      <c r="AC5" s="6">
        <v>28.322763766780945</v>
      </c>
      <c r="AD5">
        <v>0.38423456800000005</v>
      </c>
      <c r="AE5">
        <v>1.6021102170353763</v>
      </c>
      <c r="AF5">
        <v>33035</v>
      </c>
      <c r="AG5" s="4"/>
      <c r="AH5" s="4"/>
      <c r="AL5">
        <v>32</v>
      </c>
      <c r="AM5">
        <v>15.49732</v>
      </c>
      <c r="AN5" t="s">
        <v>81</v>
      </c>
      <c r="AO5" t="s">
        <v>116</v>
      </c>
      <c r="AP5" s="5">
        <v>45110</v>
      </c>
      <c r="AQ5" t="s">
        <v>117</v>
      </c>
      <c r="AR5" s="5">
        <v>45187</v>
      </c>
      <c r="AS5">
        <v>175.0068019650549</v>
      </c>
      <c r="AT5" s="6"/>
      <c r="AU5">
        <v>25.017837236837615</v>
      </c>
      <c r="AV5">
        <v>52.202956723471601</v>
      </c>
      <c r="AW5">
        <v>8.3839208435629864</v>
      </c>
      <c r="AX5">
        <v>85.604714803872199</v>
      </c>
      <c r="AY5">
        <v>18.946665338796851</v>
      </c>
      <c r="AZ5">
        <v>16.81540540683574</v>
      </c>
      <c r="BA5">
        <v>0.36891928235371668</v>
      </c>
      <c r="BB5">
        <v>2.854565057682954</v>
      </c>
      <c r="BC5">
        <v>7.5790161927951525</v>
      </c>
      <c r="BD5">
        <v>46.564571278464413</v>
      </c>
      <c r="BE5">
        <v>42.837515882718293</v>
      </c>
      <c r="BF5">
        <v>4.4897977740860435</v>
      </c>
      <c r="BG5">
        <v>2.3881637725358997</v>
      </c>
      <c r="BH5">
        <v>6.8779615466219433</v>
      </c>
      <c r="BI5">
        <v>139.04724762895853</v>
      </c>
      <c r="BJ5" s="6">
        <v>187</v>
      </c>
      <c r="BK5">
        <v>35.959554336096375</v>
      </c>
      <c r="BL5" s="4">
        <v>747.42545000000018</v>
      </c>
      <c r="BM5" t="s">
        <v>1807</v>
      </c>
      <c r="BN5" t="s">
        <v>65</v>
      </c>
      <c r="BO5">
        <v>9</v>
      </c>
      <c r="BP5">
        <v>2023</v>
      </c>
      <c r="BQ5" t="str">
        <f t="shared" si="1"/>
        <v>Lamae9</v>
      </c>
      <c r="BR5">
        <f t="shared" si="2"/>
        <v>996.70610999999985</v>
      </c>
      <c r="BS5">
        <f t="shared" si="3"/>
        <v>3637.5461299999997</v>
      </c>
      <c r="BT5" s="6">
        <f t="shared" si="4"/>
        <v>47.95275237104147</v>
      </c>
    </row>
    <row r="6" spans="1:72">
      <c r="A6" s="3" t="s">
        <v>1793</v>
      </c>
      <c r="B6" s="3" t="s">
        <v>1795</v>
      </c>
      <c r="C6" s="3" t="s">
        <v>1796</v>
      </c>
      <c r="D6" s="2" t="s">
        <v>1801</v>
      </c>
      <c r="E6" s="4" t="str">
        <f t="shared" si="0"/>
        <v>LamaeA1-012-0014</v>
      </c>
      <c r="F6">
        <v>4</v>
      </c>
      <c r="G6">
        <v>1.5</v>
      </c>
      <c r="H6" t="s">
        <v>72</v>
      </c>
      <c r="I6" t="s">
        <v>75</v>
      </c>
      <c r="J6" t="s">
        <v>112</v>
      </c>
      <c r="K6" t="s">
        <v>79</v>
      </c>
      <c r="N6" s="5">
        <v>45089</v>
      </c>
      <c r="O6" s="5">
        <v>45103</v>
      </c>
      <c r="P6">
        <v>1.3</v>
      </c>
      <c r="Q6" s="4">
        <v>135</v>
      </c>
      <c r="R6">
        <v>0.106</v>
      </c>
      <c r="S6" t="s">
        <v>70</v>
      </c>
      <c r="T6" s="6">
        <v>3</v>
      </c>
      <c r="U6" s="5">
        <v>45185</v>
      </c>
      <c r="V6" s="6">
        <v>1</v>
      </c>
      <c r="W6" t="s">
        <v>86</v>
      </c>
      <c r="X6" s="6">
        <v>82</v>
      </c>
      <c r="Y6">
        <v>31.467560000000002</v>
      </c>
      <c r="Z6">
        <v>7.8668900000000006</v>
      </c>
      <c r="AA6" s="6">
        <v>37.834487325995404</v>
      </c>
      <c r="AB6" s="4">
        <v>91.581461538461539</v>
      </c>
      <c r="AC6" s="6">
        <v>26.430911865770618</v>
      </c>
      <c r="AD6">
        <v>0.37980487800000001</v>
      </c>
      <c r="AE6">
        <v>1.4371342728675112</v>
      </c>
      <c r="AF6">
        <v>45025</v>
      </c>
      <c r="AG6" s="4"/>
      <c r="AH6" s="4"/>
      <c r="AL6">
        <v>32</v>
      </c>
      <c r="AM6">
        <v>21.59881</v>
      </c>
      <c r="AN6" t="s">
        <v>81</v>
      </c>
      <c r="AO6" t="s">
        <v>116</v>
      </c>
      <c r="AP6" s="5">
        <v>45110</v>
      </c>
      <c r="AQ6" t="s">
        <v>117</v>
      </c>
      <c r="AR6" s="5">
        <v>45180</v>
      </c>
      <c r="AS6">
        <v>172.41058505966146</v>
      </c>
      <c r="AT6" s="6"/>
      <c r="AU6">
        <v>16.524954588153641</v>
      </c>
      <c r="AV6">
        <v>46.980967065765505</v>
      </c>
      <c r="AW6">
        <v>4.5266172528152815</v>
      </c>
      <c r="AX6">
        <v>68.03253890673443</v>
      </c>
      <c r="AY6">
        <v>11.976513590504</v>
      </c>
      <c r="AZ6">
        <v>10.640199621451426</v>
      </c>
      <c r="BA6">
        <v>0.24368111159556061</v>
      </c>
      <c r="BB6">
        <v>1.8618720358362708</v>
      </c>
      <c r="BC6">
        <v>4.795608556875715</v>
      </c>
      <c r="BD6">
        <v>29.517874916262972</v>
      </c>
      <c r="BE6">
        <v>74.860171236664058</v>
      </c>
      <c r="BF6">
        <v>2.8380872237949175</v>
      </c>
      <c r="BG6">
        <v>1.5109922726770044</v>
      </c>
      <c r="BH6">
        <v>4.3490794964719219</v>
      </c>
      <c r="BI6">
        <v>101.89949331946933</v>
      </c>
      <c r="BJ6" s="6">
        <v>185</v>
      </c>
      <c r="BK6">
        <v>70.511091740192128</v>
      </c>
      <c r="BL6" s="4">
        <v>2218.8120100000001</v>
      </c>
      <c r="BM6" t="s">
        <v>1802</v>
      </c>
      <c r="BN6" t="s">
        <v>65</v>
      </c>
      <c r="BO6">
        <v>9</v>
      </c>
      <c r="BP6">
        <v>2023</v>
      </c>
      <c r="BQ6" t="str">
        <f t="shared" si="1"/>
        <v>Lamae9</v>
      </c>
      <c r="BR6">
        <f t="shared" si="2"/>
        <v>2614.9701799999998</v>
      </c>
      <c r="BS6">
        <f t="shared" si="3"/>
        <v>5425.3404300000011</v>
      </c>
      <c r="BT6" s="6">
        <f t="shared" si="4"/>
        <v>83.100506680530671</v>
      </c>
    </row>
    <row r="7" spans="1:72">
      <c r="A7" s="3" t="s">
        <v>1793</v>
      </c>
      <c r="B7" s="3" t="s">
        <v>1795</v>
      </c>
      <c r="C7" s="3" t="s">
        <v>1796</v>
      </c>
      <c r="D7" s="2" t="s">
        <v>1797</v>
      </c>
      <c r="E7" s="4" t="str">
        <f t="shared" si="0"/>
        <v>LamaeB1-018-0013</v>
      </c>
      <c r="F7">
        <v>6</v>
      </c>
      <c r="G7">
        <v>1.5</v>
      </c>
      <c r="H7" t="s">
        <v>72</v>
      </c>
      <c r="I7" t="s">
        <v>75</v>
      </c>
      <c r="J7" t="s">
        <v>112</v>
      </c>
      <c r="K7" t="s">
        <v>79</v>
      </c>
      <c r="N7" s="5">
        <v>45016</v>
      </c>
      <c r="O7" s="5">
        <v>45034</v>
      </c>
      <c r="P7">
        <v>1.5</v>
      </c>
      <c r="Q7" s="4">
        <v>104</v>
      </c>
      <c r="R7">
        <v>0.108</v>
      </c>
      <c r="S7" t="s">
        <v>70</v>
      </c>
      <c r="T7" s="6">
        <v>5</v>
      </c>
      <c r="U7" s="5">
        <v>45112</v>
      </c>
      <c r="V7" s="6">
        <v>1</v>
      </c>
      <c r="W7" t="s">
        <v>86</v>
      </c>
      <c r="X7" s="6">
        <v>78</v>
      </c>
      <c r="Y7">
        <v>25.393049999999999</v>
      </c>
      <c r="Z7">
        <v>4.2321749999999998</v>
      </c>
      <c r="AA7" s="6">
        <v>42.44295191006988</v>
      </c>
      <c r="AB7" s="4">
        <v>71.850400000000008</v>
      </c>
      <c r="AC7" s="6">
        <v>23.561037934374756</v>
      </c>
      <c r="AD7">
        <v>0.35474074100000003</v>
      </c>
      <c r="AE7">
        <v>1.8836008026656172</v>
      </c>
      <c r="AF7">
        <v>47525</v>
      </c>
      <c r="AG7" s="4"/>
      <c r="AH7" s="4"/>
      <c r="AL7">
        <v>36</v>
      </c>
      <c r="AM7">
        <v>3.83467</v>
      </c>
      <c r="AN7" t="s">
        <v>81</v>
      </c>
      <c r="AO7" t="s">
        <v>134</v>
      </c>
      <c r="AP7" s="5">
        <v>45040</v>
      </c>
      <c r="AQ7" t="s">
        <v>116</v>
      </c>
      <c r="AR7" s="5">
        <v>45110</v>
      </c>
      <c r="AS7">
        <v>168.23480716180211</v>
      </c>
      <c r="AT7" s="6"/>
      <c r="AU7">
        <v>23.628512526065194</v>
      </c>
      <c r="AV7">
        <v>58.805872079171259</v>
      </c>
      <c r="AW7">
        <v>7.6166096628801938</v>
      </c>
      <c r="AX7">
        <v>90.050994268116654</v>
      </c>
      <c r="AY7">
        <v>20.261829122535492</v>
      </c>
      <c r="AZ7">
        <v>20.486540214743798</v>
      </c>
      <c r="BA7">
        <v>0.69453728480824484</v>
      </c>
      <c r="BB7">
        <v>1.8853075940070214</v>
      </c>
      <c r="BC7">
        <v>6.8586762913474351</v>
      </c>
      <c r="BD7">
        <v>50.186890507441987</v>
      </c>
      <c r="BE7">
        <v>27.996922386243469</v>
      </c>
      <c r="BF7">
        <v>5.6098696296821373</v>
      </c>
      <c r="BG7">
        <v>4.8402779500690158</v>
      </c>
      <c r="BH7">
        <v>10.450147579751153</v>
      </c>
      <c r="BI7">
        <v>150.68803235530979</v>
      </c>
      <c r="BJ7" s="6">
        <v>180</v>
      </c>
      <c r="BK7">
        <v>17.546774806492323</v>
      </c>
      <c r="BL7" s="4">
        <v>445.56612999999987</v>
      </c>
      <c r="BM7" t="s">
        <v>1798</v>
      </c>
      <c r="BN7" t="s">
        <v>65</v>
      </c>
      <c r="BO7">
        <v>7</v>
      </c>
      <c r="BP7">
        <v>2023</v>
      </c>
      <c r="BQ7" t="str">
        <f t="shared" si="1"/>
        <v>Lamae7</v>
      </c>
      <c r="BR7">
        <f t="shared" si="2"/>
        <v>744.32026000000076</v>
      </c>
      <c r="BS7">
        <f t="shared" si="3"/>
        <v>4271.9948699999986</v>
      </c>
      <c r="BT7" s="6">
        <f t="shared" si="4"/>
        <v>29.311967644690213</v>
      </c>
    </row>
    <row r="8" spans="1:72">
      <c r="A8" s="3" t="s">
        <v>1793</v>
      </c>
      <c r="B8" s="3" t="s">
        <v>1795</v>
      </c>
      <c r="C8" s="3" t="s">
        <v>1796</v>
      </c>
      <c r="D8" s="2" t="s">
        <v>1824</v>
      </c>
      <c r="E8" s="4" t="str">
        <f t="shared" si="0"/>
        <v>LamaeA1-007-0045</v>
      </c>
      <c r="F8">
        <v>8</v>
      </c>
      <c r="G8">
        <v>1.5</v>
      </c>
      <c r="H8" t="s">
        <v>72</v>
      </c>
      <c r="I8" t="s">
        <v>75</v>
      </c>
      <c r="J8" t="s">
        <v>112</v>
      </c>
      <c r="K8" t="s">
        <v>79</v>
      </c>
      <c r="N8" s="5">
        <v>44966</v>
      </c>
      <c r="O8" s="5">
        <v>44983</v>
      </c>
      <c r="P8">
        <v>1.8</v>
      </c>
      <c r="Q8" s="4">
        <v>94</v>
      </c>
      <c r="R8">
        <v>0.127</v>
      </c>
      <c r="S8" t="s">
        <v>70</v>
      </c>
      <c r="T8" s="6">
        <v>3</v>
      </c>
      <c r="U8" s="5">
        <v>45120</v>
      </c>
      <c r="V8" s="6">
        <v>2</v>
      </c>
      <c r="W8" t="s">
        <v>71</v>
      </c>
      <c r="X8" s="6">
        <v>137</v>
      </c>
      <c r="Y8">
        <v>22.668790000000001</v>
      </c>
      <c r="Z8">
        <v>2.8335987500000002</v>
      </c>
      <c r="AA8" s="6">
        <v>25.812052606248503</v>
      </c>
      <c r="AB8" s="4">
        <v>32.507111111111108</v>
      </c>
      <c r="AC8" s="6">
        <v>38.741591583380043</v>
      </c>
      <c r="AD8">
        <v>0.34665728200000001</v>
      </c>
      <c r="AE8">
        <v>3.059345509513606</v>
      </c>
      <c r="AF8">
        <v>68650</v>
      </c>
      <c r="AG8" s="4"/>
      <c r="AH8" s="4"/>
      <c r="AL8">
        <v>21</v>
      </c>
      <c r="AM8">
        <v>13.21631</v>
      </c>
      <c r="AN8" t="s">
        <v>81</v>
      </c>
      <c r="AO8" t="s">
        <v>198</v>
      </c>
      <c r="AP8" s="5">
        <v>44984</v>
      </c>
      <c r="AQ8" t="s">
        <v>127</v>
      </c>
      <c r="AR8" s="5">
        <v>45117</v>
      </c>
      <c r="AS8">
        <v>254.41194611622407</v>
      </c>
      <c r="AT8" s="6"/>
      <c r="AU8">
        <v>31.761730555534722</v>
      </c>
      <c r="AV8">
        <v>96.569510767888318</v>
      </c>
      <c r="AW8">
        <v>12.135109549296631</v>
      </c>
      <c r="AX8">
        <v>140.46635087271966</v>
      </c>
      <c r="AY8">
        <v>48.649994993116088</v>
      </c>
      <c r="AZ8">
        <v>46.036748322252755</v>
      </c>
      <c r="BA8">
        <v>1.1671571354271664</v>
      </c>
      <c r="BB8">
        <v>4.1314940056350604</v>
      </c>
      <c r="BC8">
        <v>15.425670271770128</v>
      </c>
      <c r="BD8">
        <v>115.41106472820118</v>
      </c>
      <c r="BE8">
        <v>-1.4654694846967686</v>
      </c>
      <c r="BF8">
        <v>13.388105849496156</v>
      </c>
      <c r="BG8">
        <v>7.5766911246696429</v>
      </c>
      <c r="BH8">
        <v>20.9647969741658</v>
      </c>
      <c r="BI8">
        <v>276.84221257508665</v>
      </c>
      <c r="BJ8" s="6">
        <v>214</v>
      </c>
      <c r="BK8">
        <v>-22.430266458862562</v>
      </c>
      <c r="BL8" s="4">
        <v>-508.46699999999908</v>
      </c>
      <c r="BM8" t="s">
        <v>1825</v>
      </c>
      <c r="BN8" t="s">
        <v>65</v>
      </c>
      <c r="BO8">
        <v>7</v>
      </c>
      <c r="BP8">
        <v>2023</v>
      </c>
      <c r="BQ8" t="str">
        <f t="shared" si="1"/>
        <v>Lamae7</v>
      </c>
      <c r="BR8">
        <f t="shared" si="2"/>
        <v>-1424.5569199999986</v>
      </c>
      <c r="BS8">
        <f t="shared" si="3"/>
        <v>5767.2109799999998</v>
      </c>
      <c r="BT8" s="6">
        <f t="shared" si="4"/>
        <v>-62.842212575086648</v>
      </c>
    </row>
    <row r="9" spans="1:72">
      <c r="A9" s="3" t="s">
        <v>1793</v>
      </c>
      <c r="B9" s="3" t="s">
        <v>1795</v>
      </c>
      <c r="C9" s="3" t="s">
        <v>1796</v>
      </c>
      <c r="D9" s="2" t="s">
        <v>1820</v>
      </c>
      <c r="E9" s="4" t="str">
        <f t="shared" si="0"/>
        <v>LamaeB1-021-0012</v>
      </c>
      <c r="F9">
        <v>8.5</v>
      </c>
      <c r="G9">
        <v>1.5</v>
      </c>
      <c r="H9" t="s">
        <v>72</v>
      </c>
      <c r="I9" t="s">
        <v>75</v>
      </c>
      <c r="J9" t="s">
        <v>112</v>
      </c>
      <c r="K9" t="s">
        <v>79</v>
      </c>
      <c r="L9" t="s">
        <v>79</v>
      </c>
      <c r="M9">
        <v>0</v>
      </c>
      <c r="N9" s="5">
        <v>44859</v>
      </c>
      <c r="O9" s="5">
        <v>44860</v>
      </c>
      <c r="P9">
        <v>3</v>
      </c>
      <c r="Q9" s="4">
        <v>147</v>
      </c>
      <c r="R9">
        <v>4.0000000000000001E-3</v>
      </c>
      <c r="S9" t="s">
        <v>70</v>
      </c>
      <c r="T9" s="6">
        <v>4</v>
      </c>
      <c r="U9" s="5">
        <v>44978</v>
      </c>
      <c r="V9" s="6">
        <v>2</v>
      </c>
      <c r="W9" t="s">
        <v>71</v>
      </c>
      <c r="X9" s="6">
        <v>117.99999999999999</v>
      </c>
      <c r="Y9">
        <v>23.084119999999999</v>
      </c>
      <c r="Z9">
        <v>2.7157788235294116</v>
      </c>
      <c r="AA9" s="6">
        <v>26.459704766740082</v>
      </c>
      <c r="AB9" s="4">
        <v>20.359966666666669</v>
      </c>
      <c r="AC9" s="6">
        <v>37.793316622980718</v>
      </c>
      <c r="AD9">
        <v>0.338949153</v>
      </c>
      <c r="AE9">
        <v>1.6056608582132896</v>
      </c>
      <c r="AF9">
        <v>37046</v>
      </c>
      <c r="AG9" s="4"/>
      <c r="AH9" s="4">
        <v>0</v>
      </c>
      <c r="AL9">
        <v>25</v>
      </c>
      <c r="AM9">
        <v>6.2231999999999994</v>
      </c>
      <c r="AN9" t="s">
        <v>85</v>
      </c>
      <c r="AO9" t="s">
        <v>131</v>
      </c>
      <c r="AP9" s="5">
        <v>44865</v>
      </c>
      <c r="AQ9" t="s">
        <v>136</v>
      </c>
      <c r="AR9" s="5">
        <v>44977</v>
      </c>
      <c r="AS9">
        <v>299.11904893927078</v>
      </c>
      <c r="AT9" s="6"/>
      <c r="AU9">
        <v>18.194325796261669</v>
      </c>
      <c r="AV9">
        <v>50.125105483769786</v>
      </c>
      <c r="AW9">
        <v>15.945131978173745</v>
      </c>
      <c r="AX9">
        <v>84.2645632582052</v>
      </c>
      <c r="AY9">
        <v>39.460782563944392</v>
      </c>
      <c r="AZ9">
        <v>30.954851646933051</v>
      </c>
      <c r="BA9">
        <v>5.790993982010146E-2</v>
      </c>
      <c r="BB9">
        <v>5.1481347350472983</v>
      </c>
      <c r="BC9">
        <v>11.706916269712686</v>
      </c>
      <c r="BD9">
        <v>87.328595155457521</v>
      </c>
      <c r="BE9">
        <v>127.52589052560805</v>
      </c>
      <c r="BF9">
        <v>10.850662706657218</v>
      </c>
      <c r="BG9">
        <v>2.9421658698707156</v>
      </c>
      <c r="BH9">
        <v>13.792828576527935</v>
      </c>
      <c r="BI9">
        <v>185.38598699019067</v>
      </c>
      <c r="BJ9" s="6">
        <v>210</v>
      </c>
      <c r="BK9">
        <v>113.73306194908012</v>
      </c>
      <c r="BL9" s="4">
        <v>2625.4276499999996</v>
      </c>
      <c r="BM9" t="s">
        <v>1821</v>
      </c>
      <c r="BN9" t="s">
        <v>65</v>
      </c>
      <c r="BO9">
        <v>2</v>
      </c>
      <c r="BP9">
        <v>2023</v>
      </c>
      <c r="BQ9" t="str">
        <f t="shared" si="1"/>
        <v>Lamae2</v>
      </c>
      <c r="BR9">
        <f t="shared" si="2"/>
        <v>568.19282999999962</v>
      </c>
      <c r="BS9">
        <f t="shared" si="3"/>
        <v>6904.9000199999991</v>
      </c>
      <c r="BT9" s="6">
        <f t="shared" si="4"/>
        <v>24.614013009809327</v>
      </c>
    </row>
    <row r="10" spans="1:72">
      <c r="A10" s="3" t="s">
        <v>1793</v>
      </c>
      <c r="B10" s="3" t="s">
        <v>1795</v>
      </c>
      <c r="C10" s="3" t="s">
        <v>1796</v>
      </c>
      <c r="D10" s="2" t="s">
        <v>1901</v>
      </c>
      <c r="E10" s="4" t="str">
        <f t="shared" si="0"/>
        <v>LamaeA1-007-0046</v>
      </c>
      <c r="F10">
        <v>8</v>
      </c>
      <c r="G10">
        <v>1.5</v>
      </c>
      <c r="H10" t="s">
        <v>72</v>
      </c>
      <c r="I10" t="s">
        <v>75</v>
      </c>
      <c r="J10" t="s">
        <v>112</v>
      </c>
      <c r="K10" t="s">
        <v>79</v>
      </c>
      <c r="N10" s="5">
        <v>45121</v>
      </c>
      <c r="O10" s="5">
        <v>45141</v>
      </c>
      <c r="P10">
        <v>2.5</v>
      </c>
      <c r="Q10" s="4">
        <v>130</v>
      </c>
      <c r="R10">
        <v>9.0999999999999998E-2</v>
      </c>
      <c r="S10" t="s">
        <v>70</v>
      </c>
      <c r="T10" s="6">
        <v>6</v>
      </c>
      <c r="U10" s="5">
        <v>45231</v>
      </c>
      <c r="V10" s="6">
        <v>1</v>
      </c>
      <c r="W10" t="s">
        <v>86</v>
      </c>
      <c r="X10" s="6">
        <v>90</v>
      </c>
      <c r="Y10">
        <v>44.091540000000002</v>
      </c>
      <c r="Z10">
        <v>5.5114425000000002</v>
      </c>
      <c r="AA10" s="6">
        <v>43.421345682187557</v>
      </c>
      <c r="AB10" s="4">
        <v>76.580559999999991</v>
      </c>
      <c r="AC10" s="6">
        <v>23.030147598816203</v>
      </c>
      <c r="AD10">
        <v>0.32578627500000001</v>
      </c>
      <c r="AE10">
        <v>1.709794924007848</v>
      </c>
      <c r="AF10">
        <v>74998</v>
      </c>
      <c r="AG10" s="4"/>
      <c r="AH10" s="4"/>
      <c r="AL10">
        <v>34</v>
      </c>
      <c r="AM10">
        <v>10.45284</v>
      </c>
      <c r="AN10" t="s">
        <v>81</v>
      </c>
      <c r="AO10" t="s">
        <v>116</v>
      </c>
      <c r="AP10" s="5">
        <v>45145</v>
      </c>
      <c r="AQ10" t="s">
        <v>117</v>
      </c>
      <c r="AR10" s="5">
        <v>45229</v>
      </c>
      <c r="AS10">
        <v>180.26988896282597</v>
      </c>
      <c r="AT10" s="6"/>
      <c r="AU10">
        <v>16.783264998228681</v>
      </c>
      <c r="AV10">
        <v>54.762823208261743</v>
      </c>
      <c r="AW10">
        <v>4.9777585450632928</v>
      </c>
      <c r="AX10">
        <v>76.52384675155372</v>
      </c>
      <c r="AY10">
        <v>20.605357172827254</v>
      </c>
      <c r="AZ10">
        <v>15.747478314434012</v>
      </c>
      <c r="BA10">
        <v>0.64343998871438812</v>
      </c>
      <c r="BB10">
        <v>2.2885517267031275</v>
      </c>
      <c r="BC10">
        <v>8.4838842099867673</v>
      </c>
      <c r="BD10">
        <v>47.768711412665553</v>
      </c>
      <c r="BE10">
        <v>55.977330798606701</v>
      </c>
      <c r="BF10">
        <v>4.7475667667765746</v>
      </c>
      <c r="BG10">
        <v>2.588781430632725</v>
      </c>
      <c r="BH10">
        <v>7.3363481974092988</v>
      </c>
      <c r="BI10">
        <v>131.62890636162857</v>
      </c>
      <c r="BJ10" s="6">
        <v>178</v>
      </c>
      <c r="BK10">
        <v>48.6409826011974</v>
      </c>
      <c r="BL10" s="4">
        <v>2144.6558299999992</v>
      </c>
      <c r="BM10" t="s">
        <v>1902</v>
      </c>
      <c r="BN10" t="s">
        <v>65</v>
      </c>
      <c r="BO10">
        <v>11</v>
      </c>
      <c r="BP10">
        <v>2023</v>
      </c>
      <c r="BQ10" t="str">
        <f t="shared" si="1"/>
        <v>Lamae11</v>
      </c>
      <c r="BR10">
        <f t="shared" si="2"/>
        <v>2044.5729299999998</v>
      </c>
      <c r="BS10">
        <f t="shared" si="3"/>
        <v>7948.3770199999999</v>
      </c>
      <c r="BT10" s="6">
        <f t="shared" si="4"/>
        <v>46.371093638371434</v>
      </c>
    </row>
    <row r="11" spans="1:72">
      <c r="A11" s="3" t="s">
        <v>1793</v>
      </c>
      <c r="B11" s="3" t="s">
        <v>1795</v>
      </c>
      <c r="C11" s="3" t="s">
        <v>1796</v>
      </c>
      <c r="D11" s="2" t="s">
        <v>272</v>
      </c>
      <c r="E11" s="4" t="str">
        <f t="shared" si="0"/>
        <v>LamaeB1-022-0011</v>
      </c>
      <c r="F11">
        <v>8.5</v>
      </c>
      <c r="G11">
        <v>1.5</v>
      </c>
      <c r="H11" t="s">
        <v>72</v>
      </c>
      <c r="I11" t="s">
        <v>75</v>
      </c>
      <c r="J11" t="s">
        <v>112</v>
      </c>
      <c r="K11" t="s">
        <v>79</v>
      </c>
      <c r="L11" t="s">
        <v>79</v>
      </c>
      <c r="M11">
        <v>0</v>
      </c>
      <c r="N11" s="5">
        <v>44835</v>
      </c>
      <c r="O11" s="5">
        <v>44858</v>
      </c>
      <c r="P11">
        <v>3</v>
      </c>
      <c r="Q11" s="4">
        <v>147</v>
      </c>
      <c r="R11">
        <v>4.0000000000000001E-3</v>
      </c>
      <c r="S11" t="s">
        <v>70</v>
      </c>
      <c r="T11" s="6">
        <v>4</v>
      </c>
      <c r="U11" s="5">
        <v>44982</v>
      </c>
      <c r="V11" s="6">
        <v>2</v>
      </c>
      <c r="W11" t="s">
        <v>71</v>
      </c>
      <c r="X11" s="6">
        <v>124</v>
      </c>
      <c r="Y11">
        <v>24.10154</v>
      </c>
      <c r="Z11">
        <v>2.8354752941176469</v>
      </c>
      <c r="AA11" s="6">
        <v>27.091090444842944</v>
      </c>
      <c r="AB11" s="4">
        <v>21.764566666666667</v>
      </c>
      <c r="AC11" s="6">
        <v>36.912504575479716</v>
      </c>
      <c r="AD11">
        <v>0.32254838699999999</v>
      </c>
      <c r="AE11">
        <v>1.6284661309431396</v>
      </c>
      <c r="AF11">
        <v>39229</v>
      </c>
      <c r="AG11" s="4">
        <v>0</v>
      </c>
      <c r="AH11" s="4">
        <v>0</v>
      </c>
      <c r="AL11">
        <v>25</v>
      </c>
      <c r="AM11">
        <v>6.8649300000000002</v>
      </c>
      <c r="AN11" t="s">
        <v>85</v>
      </c>
      <c r="AO11" t="s">
        <v>131</v>
      </c>
      <c r="AP11" s="5">
        <v>44865</v>
      </c>
      <c r="AQ11" t="s">
        <v>136</v>
      </c>
      <c r="AR11" s="5">
        <v>44977</v>
      </c>
      <c r="AS11">
        <v>296.61072445993074</v>
      </c>
      <c r="AT11" s="6"/>
      <c r="AU11">
        <v>17.426272346082452</v>
      </c>
      <c r="AV11">
        <v>50.986971786865062</v>
      </c>
      <c r="AW11">
        <v>18.094303932445811</v>
      </c>
      <c r="AX11">
        <v>86.507548065393323</v>
      </c>
      <c r="AY11">
        <v>48.601108061974465</v>
      </c>
      <c r="AZ11">
        <v>36.132683222731835</v>
      </c>
      <c r="BA11">
        <v>2.6863843555225104E-2</v>
      </c>
      <c r="BB11">
        <v>5.9082249516006033</v>
      </c>
      <c r="BC11">
        <v>14.927816230830064</v>
      </c>
      <c r="BD11">
        <v>105.5966963106922</v>
      </c>
      <c r="BE11">
        <v>104.5064800838452</v>
      </c>
      <c r="BF11">
        <v>13.337510798065187</v>
      </c>
      <c r="BG11">
        <v>4.0420060294902322</v>
      </c>
      <c r="BH11">
        <v>17.37951682755542</v>
      </c>
      <c r="BI11">
        <v>209.48376120364097</v>
      </c>
      <c r="BJ11" s="6">
        <v>207</v>
      </c>
      <c r="BK11">
        <v>87.12696325628977</v>
      </c>
      <c r="BL11" s="4">
        <v>2099.8939899999982</v>
      </c>
      <c r="BM11" t="s">
        <v>1819</v>
      </c>
      <c r="BN11" t="s">
        <v>65</v>
      </c>
      <c r="BO11">
        <v>2</v>
      </c>
      <c r="BP11">
        <v>2023</v>
      </c>
      <c r="BQ11" t="str">
        <f t="shared" si="1"/>
        <v>Lamae2</v>
      </c>
      <c r="BR11">
        <f t="shared" si="2"/>
        <v>-59.862470000000904</v>
      </c>
      <c r="BS11">
        <f t="shared" si="3"/>
        <v>7148.775239999999</v>
      </c>
      <c r="BT11" s="6">
        <f t="shared" si="4"/>
        <v>-2.4837612036409666</v>
      </c>
    </row>
    <row r="12" spans="1:72">
      <c r="A12" s="3" t="s">
        <v>1793</v>
      </c>
      <c r="B12" s="3" t="s">
        <v>1795</v>
      </c>
      <c r="C12" s="3" t="s">
        <v>1796</v>
      </c>
      <c r="D12" s="2" t="s">
        <v>324</v>
      </c>
      <c r="E12" s="4" t="str">
        <f t="shared" si="0"/>
        <v>LamaeB1-021-0014</v>
      </c>
      <c r="F12">
        <v>8.5</v>
      </c>
      <c r="G12">
        <v>1.5</v>
      </c>
      <c r="H12" t="s">
        <v>72</v>
      </c>
      <c r="I12" t="s">
        <v>75</v>
      </c>
      <c r="J12" t="s">
        <v>112</v>
      </c>
      <c r="K12" t="s">
        <v>79</v>
      </c>
      <c r="N12" s="5">
        <v>45163</v>
      </c>
      <c r="O12" s="5">
        <v>45206</v>
      </c>
      <c r="P12">
        <v>1.95</v>
      </c>
      <c r="Q12" s="4">
        <v>96</v>
      </c>
      <c r="R12">
        <v>7.8E-2</v>
      </c>
      <c r="S12" t="s">
        <v>70</v>
      </c>
      <c r="T12" s="6">
        <v>6</v>
      </c>
      <c r="U12" s="5">
        <v>45290</v>
      </c>
      <c r="V12" s="6">
        <v>1</v>
      </c>
      <c r="W12" t="s">
        <v>86</v>
      </c>
      <c r="X12" s="6">
        <v>84</v>
      </c>
      <c r="Y12">
        <v>36.34543</v>
      </c>
      <c r="Z12">
        <v>4.275932941176471</v>
      </c>
      <c r="AA12" s="6">
        <v>45.598690124177921</v>
      </c>
      <c r="AB12" s="4">
        <v>84.989948717948721</v>
      </c>
      <c r="AC12" s="6">
        <v>21.930454521318964</v>
      </c>
      <c r="AD12">
        <v>0.31235463699999999</v>
      </c>
      <c r="AE12">
        <v>1.7641542641694603</v>
      </c>
      <c r="AF12">
        <v>63850</v>
      </c>
      <c r="AG12" s="4"/>
      <c r="AH12" s="4"/>
      <c r="AL12">
        <v>38</v>
      </c>
      <c r="AM12">
        <v>10.253020000000001</v>
      </c>
      <c r="AN12" t="s">
        <v>81</v>
      </c>
      <c r="AO12" t="s">
        <v>127</v>
      </c>
      <c r="AP12" s="5">
        <v>45208</v>
      </c>
      <c r="AQ12" t="s">
        <v>94</v>
      </c>
      <c r="AR12" s="5">
        <v>45285</v>
      </c>
      <c r="AS12">
        <v>181.08859573266844</v>
      </c>
      <c r="AT12" s="6"/>
      <c r="AU12">
        <v>21.460744858431998</v>
      </c>
      <c r="AV12">
        <v>55.844910350489748</v>
      </c>
      <c r="AW12">
        <v>5.4695366102423355</v>
      </c>
      <c r="AX12">
        <v>82.775191819164078</v>
      </c>
      <c r="AY12">
        <v>33.19860681246584</v>
      </c>
      <c r="AZ12">
        <v>20.472938963715659</v>
      </c>
      <c r="BA12">
        <v>1.8029779810006377</v>
      </c>
      <c r="BB12">
        <v>1.1109426962344375</v>
      </c>
      <c r="BC12">
        <v>14.994709100979133</v>
      </c>
      <c r="BD12">
        <v>71.580175554395709</v>
      </c>
      <c r="BE12">
        <v>26.733228359108651</v>
      </c>
      <c r="BF12">
        <v>7.8901259388044114</v>
      </c>
      <c r="BG12">
        <v>4.1035219558552463</v>
      </c>
      <c r="BH12">
        <v>11.993647894659656</v>
      </c>
      <c r="BI12">
        <v>166.34901526821943</v>
      </c>
      <c r="BJ12" s="6">
        <v>175</v>
      </c>
      <c r="BK12">
        <v>14.739580464449004</v>
      </c>
      <c r="BL12" s="4">
        <v>535.71638999999868</v>
      </c>
      <c r="BM12" t="s">
        <v>2828</v>
      </c>
      <c r="BN12" t="s">
        <v>65</v>
      </c>
      <c r="BO12">
        <v>12</v>
      </c>
      <c r="BP12">
        <v>2023</v>
      </c>
      <c r="BQ12" t="str">
        <f t="shared" si="1"/>
        <v>Lamae12</v>
      </c>
      <c r="BR12">
        <f t="shared" si="2"/>
        <v>314.42375999999939</v>
      </c>
      <c r="BS12">
        <f t="shared" si="3"/>
        <v>6581.7428799999998</v>
      </c>
      <c r="BT12" s="6">
        <f t="shared" si="4"/>
        <v>8.6509847317805679</v>
      </c>
    </row>
    <row r="13" spans="1:72">
      <c r="A13" s="3" t="s">
        <v>1793</v>
      </c>
      <c r="B13" s="3" t="s">
        <v>1795</v>
      </c>
      <c r="C13" s="3" t="s">
        <v>1796</v>
      </c>
      <c r="D13" s="2" t="s">
        <v>351</v>
      </c>
      <c r="E13" s="4" t="str">
        <f t="shared" si="0"/>
        <v>LamaeB1-021-0013</v>
      </c>
      <c r="F13">
        <v>8.5</v>
      </c>
      <c r="G13">
        <v>1.5</v>
      </c>
      <c r="H13" t="s">
        <v>72</v>
      </c>
      <c r="I13" t="s">
        <v>75</v>
      </c>
      <c r="J13" t="s">
        <v>112</v>
      </c>
      <c r="K13" t="s">
        <v>79</v>
      </c>
      <c r="N13" s="5">
        <v>44979</v>
      </c>
      <c r="O13" s="5">
        <v>45002</v>
      </c>
      <c r="P13">
        <v>1.95</v>
      </c>
      <c r="Q13" s="4">
        <v>96</v>
      </c>
      <c r="R13">
        <v>8.4000000000000005E-2</v>
      </c>
      <c r="S13" t="s">
        <v>70</v>
      </c>
      <c r="T13" s="6">
        <v>5</v>
      </c>
      <c r="U13" s="5">
        <v>45162</v>
      </c>
      <c r="V13" s="6">
        <v>1</v>
      </c>
      <c r="W13" t="s">
        <v>86</v>
      </c>
      <c r="X13" s="6">
        <v>160</v>
      </c>
      <c r="Y13">
        <v>45.87556</v>
      </c>
      <c r="Z13">
        <v>5.3971247058823533</v>
      </c>
      <c r="AA13" s="6">
        <v>30.445034349444455</v>
      </c>
      <c r="AB13" s="4">
        <v>71.624769230769232</v>
      </c>
      <c r="AC13" s="6">
        <v>32.84607888833758</v>
      </c>
      <c r="AD13">
        <v>0.311975</v>
      </c>
      <c r="AE13">
        <v>2.1254928761566072</v>
      </c>
      <c r="AF13">
        <v>97159</v>
      </c>
      <c r="AG13" s="4"/>
      <c r="AH13" s="4"/>
      <c r="AL13">
        <v>20</v>
      </c>
      <c r="AM13">
        <v>12.59446</v>
      </c>
      <c r="AN13" t="s">
        <v>81</v>
      </c>
      <c r="AO13" t="s">
        <v>144</v>
      </c>
      <c r="AP13" s="5">
        <v>45005</v>
      </c>
      <c r="AQ13" t="s">
        <v>127</v>
      </c>
      <c r="AR13" s="5">
        <v>45159</v>
      </c>
      <c r="AS13">
        <v>201.69439893485773</v>
      </c>
      <c r="AT13" s="6"/>
      <c r="AU13">
        <v>17.002517244476149</v>
      </c>
      <c r="AV13">
        <v>67.461457255235658</v>
      </c>
      <c r="AW13">
        <v>7.1538060788794748</v>
      </c>
      <c r="AX13">
        <v>91.617780578591265</v>
      </c>
      <c r="AY13">
        <v>30.94468209216409</v>
      </c>
      <c r="AZ13">
        <v>28.89554612521351</v>
      </c>
      <c r="BA13">
        <v>0.87931482471276623</v>
      </c>
      <c r="BB13">
        <v>3.6687168505409002</v>
      </c>
      <c r="BC13">
        <v>10.351251298076797</v>
      </c>
      <c r="BD13">
        <v>74.739511190708058</v>
      </c>
      <c r="BE13">
        <v>35.337107165558407</v>
      </c>
      <c r="BF13">
        <v>8.1733428431173376</v>
      </c>
      <c r="BG13">
        <v>4.9480586177040689</v>
      </c>
      <c r="BH13">
        <v>13.121401460821406</v>
      </c>
      <c r="BI13">
        <v>179.47869323012074</v>
      </c>
      <c r="BJ13" s="6">
        <v>197</v>
      </c>
      <c r="BK13">
        <v>22.215705704737012</v>
      </c>
      <c r="BL13" s="4">
        <v>1019.1579400000051</v>
      </c>
      <c r="BM13" t="s">
        <v>1818</v>
      </c>
      <c r="BN13" t="s">
        <v>65</v>
      </c>
      <c r="BO13">
        <v>8</v>
      </c>
      <c r="BP13">
        <v>2023</v>
      </c>
      <c r="BQ13" t="str">
        <f t="shared" si="1"/>
        <v>Lamae8</v>
      </c>
      <c r="BR13">
        <f t="shared" si="2"/>
        <v>803.79976000000215</v>
      </c>
      <c r="BS13">
        <f t="shared" si="3"/>
        <v>9252.8435000000027</v>
      </c>
      <c r="BT13" s="6">
        <f t="shared" si="4"/>
        <v>17.52130676987926</v>
      </c>
    </row>
    <row r="14" spans="1:72">
      <c r="A14" s="3" t="s">
        <v>1793</v>
      </c>
      <c r="B14" s="3" t="s">
        <v>1795</v>
      </c>
      <c r="C14" s="3" t="s">
        <v>1796</v>
      </c>
      <c r="D14" s="2" t="s">
        <v>2686</v>
      </c>
      <c r="E14" s="4" t="str">
        <f t="shared" si="0"/>
        <v>LamaeB1-018-0014</v>
      </c>
      <c r="F14">
        <v>6</v>
      </c>
      <c r="G14">
        <v>1.5</v>
      </c>
      <c r="H14" t="s">
        <v>72</v>
      </c>
      <c r="I14" t="s">
        <v>75</v>
      </c>
      <c r="J14" t="s">
        <v>112</v>
      </c>
      <c r="K14" t="s">
        <v>79</v>
      </c>
      <c r="N14" s="5">
        <v>45198</v>
      </c>
      <c r="O14" s="5">
        <v>45199</v>
      </c>
      <c r="P14">
        <v>1.625</v>
      </c>
      <c r="Q14" s="4">
        <v>113</v>
      </c>
      <c r="R14">
        <v>6.4000000000000001E-2</v>
      </c>
      <c r="S14" t="s">
        <v>70</v>
      </c>
      <c r="T14" s="6">
        <v>3</v>
      </c>
      <c r="U14" s="5">
        <v>45282</v>
      </c>
      <c r="V14" s="6">
        <v>1</v>
      </c>
      <c r="W14" t="s">
        <v>86</v>
      </c>
      <c r="X14" s="6">
        <v>83</v>
      </c>
      <c r="Y14">
        <v>29.407319999999999</v>
      </c>
      <c r="Z14">
        <v>4.9012199999999995</v>
      </c>
      <c r="AA14" s="6">
        <v>42.200955408381319</v>
      </c>
      <c r="AB14" s="4">
        <v>76.370276923076915</v>
      </c>
      <c r="AC14" s="6">
        <v>23.696145983495793</v>
      </c>
      <c r="AD14">
        <v>0.30815693500000002</v>
      </c>
      <c r="AE14">
        <v>1.8202218664133236</v>
      </c>
      <c r="AF14">
        <v>53340</v>
      </c>
      <c r="AG14" s="4"/>
      <c r="AH14" s="4"/>
      <c r="AL14">
        <v>39</v>
      </c>
      <c r="AM14">
        <v>19.898119999999999</v>
      </c>
      <c r="AN14" t="s">
        <v>81</v>
      </c>
      <c r="AO14" t="s">
        <v>127</v>
      </c>
      <c r="AP14" s="5">
        <v>45201</v>
      </c>
      <c r="AQ14" t="s">
        <v>215</v>
      </c>
      <c r="AR14" s="5">
        <v>45278</v>
      </c>
      <c r="AS14">
        <v>187.09570882351744</v>
      </c>
      <c r="AT14" s="6"/>
      <c r="AU14">
        <v>22.103340256779603</v>
      </c>
      <c r="AV14">
        <v>57.604610348715887</v>
      </c>
      <c r="AW14">
        <v>5.7064312558913919</v>
      </c>
      <c r="AX14">
        <v>85.4143818613869</v>
      </c>
      <c r="AY14">
        <v>18.969159719416798</v>
      </c>
      <c r="AZ14">
        <v>13.151584367429605</v>
      </c>
      <c r="BA14">
        <v>1.3396528483384407</v>
      </c>
      <c r="BB14">
        <v>0.58050002516380284</v>
      </c>
      <c r="BC14">
        <v>8.8346503523612476</v>
      </c>
      <c r="BD14">
        <v>42.875547312709898</v>
      </c>
      <c r="BE14">
        <v>58.805779649420643</v>
      </c>
      <c r="BF14">
        <v>4.5682765379504158</v>
      </c>
      <c r="BG14">
        <v>2.3410759633995886</v>
      </c>
      <c r="BH14">
        <v>6.9093525013500043</v>
      </c>
      <c r="BI14">
        <v>135.1992816754468</v>
      </c>
      <c r="BJ14" s="6">
        <v>180</v>
      </c>
      <c r="BK14">
        <v>51.896427148070643</v>
      </c>
      <c r="BL14" s="4">
        <v>1526.1348400000008</v>
      </c>
      <c r="BM14" t="s">
        <v>2687</v>
      </c>
      <c r="BN14" t="s">
        <v>65</v>
      </c>
      <c r="BO14">
        <v>12</v>
      </c>
      <c r="BP14">
        <v>2023</v>
      </c>
      <c r="BQ14" t="str">
        <f t="shared" si="1"/>
        <v>Lamae12</v>
      </c>
      <c r="BR14">
        <f t="shared" si="2"/>
        <v>1317.4690599999999</v>
      </c>
      <c r="BS14">
        <f t="shared" si="3"/>
        <v>5501.9833800000006</v>
      </c>
      <c r="BT14" s="6">
        <f t="shared" si="4"/>
        <v>44.800718324553202</v>
      </c>
    </row>
    <row r="15" spans="1:72">
      <c r="A15" s="3" t="s">
        <v>1793</v>
      </c>
      <c r="B15" s="3" t="s">
        <v>1795</v>
      </c>
      <c r="C15" s="3" t="s">
        <v>1796</v>
      </c>
      <c r="D15" s="2" t="s">
        <v>2829</v>
      </c>
      <c r="E15" s="4" t="str">
        <f t="shared" si="0"/>
        <v>LamaeB1-022-0013</v>
      </c>
      <c r="F15">
        <v>8.5</v>
      </c>
      <c r="G15">
        <v>1.5</v>
      </c>
      <c r="H15" t="s">
        <v>72</v>
      </c>
      <c r="I15" t="s">
        <v>75</v>
      </c>
      <c r="J15" t="s">
        <v>112</v>
      </c>
      <c r="K15" t="s">
        <v>79</v>
      </c>
      <c r="N15" s="5">
        <v>45191</v>
      </c>
      <c r="O15" s="5">
        <v>45224</v>
      </c>
      <c r="P15">
        <v>1.95</v>
      </c>
      <c r="Q15" s="4">
        <v>96</v>
      </c>
      <c r="R15">
        <v>0.09</v>
      </c>
      <c r="S15" t="s">
        <v>70</v>
      </c>
      <c r="T15" s="6">
        <v>1</v>
      </c>
      <c r="U15" s="5">
        <v>45289</v>
      </c>
      <c r="V15" s="6">
        <v>2</v>
      </c>
      <c r="W15" t="s">
        <v>71</v>
      </c>
      <c r="X15" s="6">
        <v>65</v>
      </c>
      <c r="Y15">
        <v>25.45177</v>
      </c>
      <c r="Z15">
        <v>2.9943258823529413</v>
      </c>
      <c r="AA15" s="6">
        <v>50.130894629332261</v>
      </c>
      <c r="AB15" s="4">
        <v>65.431794871794864</v>
      </c>
      <c r="AC15" s="6">
        <v>19.947778857608629</v>
      </c>
      <c r="AD15">
        <v>0.30630769200000002</v>
      </c>
      <c r="AE15">
        <v>1.6072851460344664</v>
      </c>
      <c r="AF15">
        <v>40625</v>
      </c>
      <c r="AG15" s="4"/>
      <c r="AH15" s="4"/>
      <c r="AL15">
        <v>50</v>
      </c>
      <c r="AM15">
        <v>25.45177</v>
      </c>
      <c r="AN15" t="s">
        <v>81</v>
      </c>
      <c r="AO15" t="s">
        <v>117</v>
      </c>
      <c r="AP15" s="5">
        <v>45229</v>
      </c>
      <c r="AQ15" t="s">
        <v>93</v>
      </c>
      <c r="AR15" s="5">
        <v>45285</v>
      </c>
      <c r="AS15">
        <v>159.19615649520645</v>
      </c>
      <c r="AT15" s="6"/>
      <c r="AU15">
        <v>30.646198673019594</v>
      </c>
      <c r="AV15">
        <v>50.663307895678763</v>
      </c>
      <c r="AW15">
        <v>6.0500472069329572</v>
      </c>
      <c r="AX15">
        <v>87.359553775631326</v>
      </c>
      <c r="AY15">
        <v>36.837930328617617</v>
      </c>
      <c r="AZ15">
        <v>12.393116863778038</v>
      </c>
      <c r="BA15">
        <v>2.5269382050835754</v>
      </c>
      <c r="BB15">
        <v>1.0180105352201438</v>
      </c>
      <c r="BC15">
        <v>17.20602967887891</v>
      </c>
      <c r="BD15">
        <v>69.982025611578294</v>
      </c>
      <c r="BE15">
        <v>1.8545771079968318</v>
      </c>
      <c r="BF15">
        <v>8.854380265105334</v>
      </c>
      <c r="BG15">
        <v>4.5461867681501129</v>
      </c>
      <c r="BH15">
        <v>13.400567033255449</v>
      </c>
      <c r="BI15">
        <v>170.74214642046508</v>
      </c>
      <c r="BJ15" s="6">
        <v>167</v>
      </c>
      <c r="BK15">
        <v>-11.545989925258651</v>
      </c>
      <c r="BL15" s="4">
        <v>-293.86588000000035</v>
      </c>
      <c r="BM15" t="s">
        <v>2830</v>
      </c>
      <c r="BN15" t="s">
        <v>65</v>
      </c>
      <c r="BO15">
        <v>12</v>
      </c>
      <c r="BP15">
        <v>2023</v>
      </c>
      <c r="BQ15" t="str">
        <f t="shared" si="1"/>
        <v>Lamae12</v>
      </c>
      <c r="BR15">
        <f t="shared" si="2"/>
        <v>-95.244250000000406</v>
      </c>
      <c r="BS15">
        <f t="shared" si="3"/>
        <v>4051.8239600000006</v>
      </c>
      <c r="BT15" s="6">
        <f t="shared" si="4"/>
        <v>-3.7421464204650761</v>
      </c>
    </row>
    <row r="16" spans="1:72">
      <c r="A16" s="3" t="s">
        <v>1793</v>
      </c>
      <c r="B16" s="3" t="s">
        <v>1795</v>
      </c>
      <c r="C16" s="3" t="s">
        <v>1796</v>
      </c>
      <c r="D16" s="2" t="s">
        <v>353</v>
      </c>
      <c r="E16" s="4" t="str">
        <f t="shared" si="0"/>
        <v>LamaeB1-018-0012</v>
      </c>
      <c r="F16">
        <v>6</v>
      </c>
      <c r="G16">
        <v>1.5</v>
      </c>
      <c r="H16" t="s">
        <v>72</v>
      </c>
      <c r="I16" t="s">
        <v>75</v>
      </c>
      <c r="J16" t="s">
        <v>112</v>
      </c>
      <c r="K16" t="s">
        <v>79</v>
      </c>
      <c r="N16" s="5">
        <v>44882</v>
      </c>
      <c r="O16" s="5">
        <v>44893</v>
      </c>
      <c r="P16">
        <v>3.1205539999999998</v>
      </c>
      <c r="Q16" s="4">
        <v>217</v>
      </c>
      <c r="R16">
        <v>0.191</v>
      </c>
      <c r="S16" t="s">
        <v>70</v>
      </c>
      <c r="T16" s="6">
        <v>6</v>
      </c>
      <c r="U16" s="5">
        <v>45015</v>
      </c>
      <c r="V16" s="6">
        <v>1</v>
      </c>
      <c r="W16" t="s">
        <v>86</v>
      </c>
      <c r="X16" s="6">
        <v>122</v>
      </c>
      <c r="Y16">
        <v>34.227609999999999</v>
      </c>
      <c r="Z16">
        <v>5.7046016666666661</v>
      </c>
      <c r="AA16" s="6">
        <v>32.777252048857633</v>
      </c>
      <c r="AB16" s="4">
        <v>35.95153296497994</v>
      </c>
      <c r="AC16" s="6">
        <v>30.508963915260626</v>
      </c>
      <c r="AD16">
        <v>0.302016697</v>
      </c>
      <c r="AE16">
        <v>1.6548494287137325</v>
      </c>
      <c r="AF16">
        <v>55653</v>
      </c>
      <c r="AG16" s="4"/>
      <c r="AH16" s="4"/>
      <c r="AL16">
        <v>27</v>
      </c>
      <c r="AM16">
        <v>10.44364</v>
      </c>
      <c r="AN16" t="s">
        <v>81</v>
      </c>
      <c r="AO16" t="s">
        <v>438</v>
      </c>
      <c r="AP16" s="5">
        <v>44900</v>
      </c>
      <c r="AQ16" t="s">
        <v>127</v>
      </c>
      <c r="AR16" s="5">
        <v>45012</v>
      </c>
      <c r="AS16">
        <v>267.6365334886076</v>
      </c>
      <c r="AT16" s="6"/>
      <c r="AU16">
        <v>36.468266408317731</v>
      </c>
      <c r="AV16">
        <v>52.667698971678149</v>
      </c>
      <c r="AW16">
        <v>10.225700538249678</v>
      </c>
      <c r="AX16">
        <v>99.361665918245549</v>
      </c>
      <c r="AY16">
        <v>20.458980337803311</v>
      </c>
      <c r="AZ16">
        <v>17.206526543921701</v>
      </c>
      <c r="BA16">
        <v>4.6352345372639221E-2</v>
      </c>
      <c r="BB16">
        <v>2.2439767193794711</v>
      </c>
      <c r="BC16">
        <v>5.8554164313546853</v>
      </c>
      <c r="BD16">
        <v>45.811252377831813</v>
      </c>
      <c r="BE16">
        <v>122.46361519253026</v>
      </c>
      <c r="BF16">
        <v>5.711655590326056</v>
      </c>
      <c r="BG16">
        <v>0.89401451050774516</v>
      </c>
      <c r="BH16">
        <v>6.6056701008338008</v>
      </c>
      <c r="BI16">
        <v>151.77858839691118</v>
      </c>
      <c r="BJ16" s="6">
        <v>192</v>
      </c>
      <c r="BK16">
        <v>115.85794509169642</v>
      </c>
      <c r="BL16" s="4">
        <v>3965.5405599999995</v>
      </c>
      <c r="BM16" t="s">
        <v>1815</v>
      </c>
      <c r="BN16" t="s">
        <v>65</v>
      </c>
      <c r="BO16">
        <v>3</v>
      </c>
      <c r="BP16">
        <v>2023</v>
      </c>
      <c r="BQ16" t="str">
        <f t="shared" si="1"/>
        <v>Lamae3</v>
      </c>
      <c r="BR16">
        <f t="shared" si="2"/>
        <v>1376.6827899999989</v>
      </c>
      <c r="BS16">
        <f t="shared" si="3"/>
        <v>9160.5588900000002</v>
      </c>
      <c r="BT16" s="6">
        <f t="shared" si="4"/>
        <v>40.221411603088825</v>
      </c>
    </row>
    <row r="17" spans="1:72">
      <c r="A17" s="3" t="s">
        <v>1793</v>
      </c>
      <c r="B17" s="3" t="s">
        <v>1795</v>
      </c>
      <c r="C17" s="3" t="s">
        <v>1796</v>
      </c>
      <c r="D17" s="2" t="s">
        <v>1799</v>
      </c>
      <c r="E17" s="4" t="str">
        <f t="shared" si="0"/>
        <v>LamaeA1-013-0015</v>
      </c>
      <c r="F17">
        <v>4</v>
      </c>
      <c r="G17">
        <v>1.5</v>
      </c>
      <c r="H17" t="s">
        <v>72</v>
      </c>
      <c r="I17" t="s">
        <v>75</v>
      </c>
      <c r="J17" t="s">
        <v>112</v>
      </c>
      <c r="K17" t="s">
        <v>79</v>
      </c>
      <c r="N17" s="5">
        <v>44905</v>
      </c>
      <c r="O17" s="5">
        <v>44925</v>
      </c>
      <c r="P17">
        <v>2</v>
      </c>
      <c r="Q17" s="4">
        <v>208</v>
      </c>
      <c r="R17">
        <v>0.112</v>
      </c>
      <c r="S17" t="s">
        <v>70</v>
      </c>
      <c r="T17" s="6">
        <v>6</v>
      </c>
      <c r="U17" s="5">
        <v>45058</v>
      </c>
      <c r="V17" s="6">
        <v>1</v>
      </c>
      <c r="W17" t="s">
        <v>86</v>
      </c>
      <c r="X17" s="6">
        <v>133</v>
      </c>
      <c r="Y17">
        <v>35.65099</v>
      </c>
      <c r="Z17">
        <v>8.9127475</v>
      </c>
      <c r="AA17" s="6">
        <v>39.146206038037093</v>
      </c>
      <c r="AB17" s="4">
        <v>69.780050000000003</v>
      </c>
      <c r="AC17" s="6">
        <v>25.545259712482292</v>
      </c>
      <c r="AD17">
        <v>0.29990977400000002</v>
      </c>
      <c r="AE17">
        <v>1.9270748798577346</v>
      </c>
      <c r="AF17">
        <v>68270</v>
      </c>
      <c r="AG17" s="4"/>
      <c r="AH17" s="4"/>
      <c r="AL17">
        <v>25</v>
      </c>
      <c r="AM17">
        <v>11.177490000000001</v>
      </c>
      <c r="AN17" t="s">
        <v>81</v>
      </c>
      <c r="AO17" t="s">
        <v>97</v>
      </c>
      <c r="AP17" s="5">
        <v>44928</v>
      </c>
      <c r="AQ17" t="s">
        <v>117</v>
      </c>
      <c r="AR17" s="5">
        <v>45054</v>
      </c>
      <c r="AS17">
        <v>245.22738078241312</v>
      </c>
      <c r="AT17" s="6"/>
      <c r="AU17">
        <v>22.439769554786555</v>
      </c>
      <c r="AV17">
        <v>62.23320923205781</v>
      </c>
      <c r="AW17">
        <v>8.5683822524984574</v>
      </c>
      <c r="AX17">
        <v>93.24136103934282</v>
      </c>
      <c r="AY17">
        <v>14.942192629152794</v>
      </c>
      <c r="AZ17">
        <v>13.032983375777224</v>
      </c>
      <c r="BA17">
        <v>0.12022807781775485</v>
      </c>
      <c r="BB17">
        <v>1.2702441082281304</v>
      </c>
      <c r="BC17">
        <v>4.0528148026183848</v>
      </c>
      <c r="BD17">
        <v>33.418462993594289</v>
      </c>
      <c r="BE17">
        <v>118.56755674947601</v>
      </c>
      <c r="BF17">
        <v>4.2238266034126948</v>
      </c>
      <c r="BG17">
        <v>1.8970412883344894</v>
      </c>
      <c r="BH17">
        <v>6.1208678917471842</v>
      </c>
      <c r="BI17">
        <v>132.78069192468428</v>
      </c>
      <c r="BJ17" s="6">
        <v>183</v>
      </c>
      <c r="BK17">
        <v>112.44668885772884</v>
      </c>
      <c r="BL17" s="4">
        <v>4008.8357800000022</v>
      </c>
      <c r="BM17" t="s">
        <v>1800</v>
      </c>
      <c r="BN17" t="s">
        <v>65</v>
      </c>
      <c r="BO17">
        <v>5</v>
      </c>
      <c r="BP17">
        <v>2023</v>
      </c>
      <c r="BQ17" t="str">
        <f t="shared" si="1"/>
        <v>Lamae5</v>
      </c>
      <c r="BR17">
        <f t="shared" si="2"/>
        <v>1790.36805</v>
      </c>
      <c r="BS17">
        <f t="shared" si="3"/>
        <v>8742.5989000000027</v>
      </c>
      <c r="BT17" s="6">
        <f t="shared" si="4"/>
        <v>50.219308075315723</v>
      </c>
    </row>
    <row r="18" spans="1:72">
      <c r="A18" s="3" t="s">
        <v>1793</v>
      </c>
      <c r="B18" s="3" t="s">
        <v>1795</v>
      </c>
      <c r="C18" s="3" t="s">
        <v>1796</v>
      </c>
      <c r="D18" s="2" t="s">
        <v>2684</v>
      </c>
      <c r="E18" s="4" t="str">
        <f t="shared" si="0"/>
        <v>LamaeA1-009-0021</v>
      </c>
      <c r="F18">
        <v>5</v>
      </c>
      <c r="G18">
        <v>1.5</v>
      </c>
      <c r="H18" t="s">
        <v>72</v>
      </c>
      <c r="I18" t="s">
        <v>75</v>
      </c>
      <c r="J18" t="s">
        <v>112</v>
      </c>
      <c r="K18" t="s">
        <v>79</v>
      </c>
      <c r="N18" s="5">
        <v>45157</v>
      </c>
      <c r="O18" s="5">
        <v>45175</v>
      </c>
      <c r="P18">
        <v>1.39476</v>
      </c>
      <c r="Q18" s="4">
        <v>116</v>
      </c>
      <c r="R18">
        <v>0.125</v>
      </c>
      <c r="S18" t="s">
        <v>70</v>
      </c>
      <c r="T18" s="6">
        <v>5</v>
      </c>
      <c r="U18" s="5">
        <v>45267</v>
      </c>
      <c r="V18" s="6">
        <v>1</v>
      </c>
      <c r="W18" t="s">
        <v>86</v>
      </c>
      <c r="X18" s="6">
        <v>92</v>
      </c>
      <c r="Y18">
        <v>26.820060000000002</v>
      </c>
      <c r="Z18">
        <v>5.3640120000000007</v>
      </c>
      <c r="AA18" s="6">
        <v>42.649196161380694</v>
      </c>
      <c r="AB18" s="4">
        <v>82.010811895953424</v>
      </c>
      <c r="AC18" s="6">
        <v>23.447100766356549</v>
      </c>
      <c r="AD18">
        <v>0.292413337</v>
      </c>
      <c r="AE18">
        <v>1.8066840554690284</v>
      </c>
      <c r="AF18">
        <v>48140</v>
      </c>
      <c r="AG18" s="4"/>
      <c r="AH18" s="4"/>
      <c r="AL18">
        <v>37</v>
      </c>
      <c r="AM18">
        <v>5.3994600000000004</v>
      </c>
      <c r="AN18" t="s">
        <v>81</v>
      </c>
      <c r="AO18" t="s">
        <v>117</v>
      </c>
      <c r="AP18" s="5">
        <v>45180</v>
      </c>
      <c r="AQ18" t="s">
        <v>90</v>
      </c>
      <c r="AR18" s="5">
        <v>45264</v>
      </c>
      <c r="AS18">
        <v>182.9393744831294</v>
      </c>
      <c r="AT18" s="6"/>
      <c r="AU18">
        <v>20.801743172834058</v>
      </c>
      <c r="AV18">
        <v>56.947104890891374</v>
      </c>
      <c r="AW18">
        <v>7.1852863118128729</v>
      </c>
      <c r="AX18">
        <v>84.934134375538306</v>
      </c>
      <c r="AY18">
        <v>21.727250423749986</v>
      </c>
      <c r="AZ18">
        <v>17.847450005704687</v>
      </c>
      <c r="BA18">
        <v>0.82436616472893787</v>
      </c>
      <c r="BB18">
        <v>1.0531602091867061</v>
      </c>
      <c r="BC18">
        <v>9.1601182100263756</v>
      </c>
      <c r="BD18">
        <v>50.612345013396684</v>
      </c>
      <c r="BE18">
        <v>47.392895094194408</v>
      </c>
      <c r="BF18">
        <v>5.0996108882679616</v>
      </c>
      <c r="BG18">
        <v>2.6907881637848678</v>
      </c>
      <c r="BH18">
        <v>7.7903990520528295</v>
      </c>
      <c r="BI18">
        <v>143.33687844098782</v>
      </c>
      <c r="BJ18" s="6">
        <v>180</v>
      </c>
      <c r="BK18">
        <v>39.602496042141581</v>
      </c>
      <c r="BL18" s="4">
        <v>1062.1413199999997</v>
      </c>
      <c r="BM18" t="s">
        <v>2685</v>
      </c>
      <c r="BN18" t="s">
        <v>65</v>
      </c>
      <c r="BO18">
        <v>12</v>
      </c>
      <c r="BP18">
        <v>2023</v>
      </c>
      <c r="BQ18" t="str">
        <f t="shared" si="1"/>
        <v>Lamae12</v>
      </c>
      <c r="BR18">
        <f t="shared" si="2"/>
        <v>983.30712000000028</v>
      </c>
      <c r="BS18">
        <f t="shared" si="3"/>
        <v>4906.4449999999997</v>
      </c>
      <c r="BT18" s="6">
        <f t="shared" si="4"/>
        <v>36.663121559012183</v>
      </c>
    </row>
    <row r="19" spans="1:72">
      <c r="A19" s="3" t="s">
        <v>1793</v>
      </c>
      <c r="B19" s="3" t="s">
        <v>1795</v>
      </c>
      <c r="C19" s="3" t="s">
        <v>1796</v>
      </c>
      <c r="D19" s="2" t="s">
        <v>258</v>
      </c>
      <c r="E19" s="4" t="str">
        <f t="shared" si="0"/>
        <v>LamaeB1-022-0012</v>
      </c>
      <c r="F19">
        <v>8.5</v>
      </c>
      <c r="G19">
        <v>1.5</v>
      </c>
      <c r="H19" t="s">
        <v>72</v>
      </c>
      <c r="I19" t="s">
        <v>75</v>
      </c>
      <c r="J19" t="s">
        <v>112</v>
      </c>
      <c r="K19" t="s">
        <v>79</v>
      </c>
      <c r="N19" s="5">
        <v>44983</v>
      </c>
      <c r="O19" s="5">
        <v>45010</v>
      </c>
      <c r="P19">
        <v>1.95</v>
      </c>
      <c r="Q19" s="4">
        <v>96</v>
      </c>
      <c r="R19">
        <v>0.114</v>
      </c>
      <c r="S19" t="s">
        <v>70</v>
      </c>
      <c r="T19" s="6">
        <v>6</v>
      </c>
      <c r="U19" s="5">
        <v>45190</v>
      </c>
      <c r="V19" s="6">
        <v>1</v>
      </c>
      <c r="W19" t="s">
        <v>86</v>
      </c>
      <c r="X19" s="6">
        <v>180</v>
      </c>
      <c r="Y19">
        <v>43.273940000000003</v>
      </c>
      <c r="Z19">
        <v>5.0910517647058828</v>
      </c>
      <c r="AA19" s="6">
        <v>36.385940360410906</v>
      </c>
      <c r="AB19" s="4">
        <v>80.74682051282052</v>
      </c>
      <c r="AC19" s="6">
        <v>27.483142941882925</v>
      </c>
      <c r="AD19">
        <v>0.29176432699999999</v>
      </c>
      <c r="AE19">
        <v>2.5159028099416196</v>
      </c>
      <c r="AF19">
        <v>108315</v>
      </c>
      <c r="AG19" s="4"/>
      <c r="AH19" s="4"/>
      <c r="AL19">
        <v>19</v>
      </c>
      <c r="AM19">
        <v>14.223540000000002</v>
      </c>
      <c r="AN19" t="s">
        <v>81</v>
      </c>
      <c r="AO19" t="s">
        <v>144</v>
      </c>
      <c r="AP19" s="5">
        <v>45012</v>
      </c>
      <c r="AQ19" t="s">
        <v>127</v>
      </c>
      <c r="AR19" s="5">
        <v>45187</v>
      </c>
      <c r="AS19">
        <v>199.58867761983305</v>
      </c>
      <c r="AT19" s="6"/>
      <c r="AU19">
        <v>18.024704937891027</v>
      </c>
      <c r="AV19">
        <v>79.902803396224144</v>
      </c>
      <c r="AW19">
        <v>10.184756229730871</v>
      </c>
      <c r="AX19">
        <v>108.11226456384605</v>
      </c>
      <c r="AY19">
        <v>38.007904757459116</v>
      </c>
      <c r="AZ19">
        <v>34.902910157938024</v>
      </c>
      <c r="BA19">
        <v>0.94810964751534044</v>
      </c>
      <c r="BB19">
        <v>4.2523994810733665</v>
      </c>
      <c r="BC19">
        <v>13.101314786682233</v>
      </c>
      <c r="BD19">
        <v>91.21263883066807</v>
      </c>
      <c r="BE19">
        <v>0.26377422531892591</v>
      </c>
      <c r="BF19">
        <v>9.8183588090199319</v>
      </c>
      <c r="BG19">
        <v>5.9829262137905612</v>
      </c>
      <c r="BH19">
        <v>15.801285022810495</v>
      </c>
      <c r="BI19">
        <v>215.12618841732464</v>
      </c>
      <c r="BJ19" s="6">
        <v>186</v>
      </c>
      <c r="BK19">
        <v>-15.537510797491571</v>
      </c>
      <c r="BL19" s="4">
        <v>-672.36931000000243</v>
      </c>
      <c r="BM19" t="s">
        <v>1803</v>
      </c>
      <c r="BN19" t="s">
        <v>65</v>
      </c>
      <c r="BO19">
        <v>9</v>
      </c>
      <c r="BP19">
        <v>2023</v>
      </c>
      <c r="BQ19" t="str">
        <f t="shared" si="1"/>
        <v>Lamae9</v>
      </c>
      <c r="BR19">
        <f t="shared" si="2"/>
        <v>-1260.4049300000015</v>
      </c>
      <c r="BS19">
        <f t="shared" si="3"/>
        <v>8636.9884599999987</v>
      </c>
      <c r="BT19" s="6">
        <f t="shared" si="4"/>
        <v>-29.126188417324641</v>
      </c>
    </row>
    <row r="20" spans="1:72">
      <c r="A20" s="3" t="s">
        <v>1793</v>
      </c>
      <c r="B20" s="3" t="s">
        <v>1795</v>
      </c>
      <c r="C20" s="3" t="s">
        <v>1796</v>
      </c>
      <c r="D20" s="2" t="s">
        <v>1816</v>
      </c>
      <c r="E20" s="4" t="str">
        <f t="shared" si="0"/>
        <v>LamaeA1-011-0022</v>
      </c>
      <c r="F20">
        <v>4</v>
      </c>
      <c r="G20">
        <v>1.5</v>
      </c>
      <c r="H20" t="s">
        <v>72</v>
      </c>
      <c r="I20" t="s">
        <v>75</v>
      </c>
      <c r="J20" t="s">
        <v>112</v>
      </c>
      <c r="K20" t="s">
        <v>79</v>
      </c>
      <c r="N20" s="5">
        <v>44916</v>
      </c>
      <c r="O20" s="5">
        <v>44934</v>
      </c>
      <c r="P20">
        <v>2.5</v>
      </c>
      <c r="Q20" s="4">
        <v>260</v>
      </c>
      <c r="R20">
        <v>4.0000000000000001E-3</v>
      </c>
      <c r="S20" t="s">
        <v>70</v>
      </c>
      <c r="T20" s="6">
        <v>6</v>
      </c>
      <c r="U20" s="5">
        <v>45087</v>
      </c>
      <c r="V20" s="6">
        <v>1</v>
      </c>
      <c r="W20" t="s">
        <v>86</v>
      </c>
      <c r="X20" s="6">
        <v>153.00000000000003</v>
      </c>
      <c r="Y20">
        <v>28.999839999999999</v>
      </c>
      <c r="Z20">
        <v>7.2499599999999997</v>
      </c>
      <c r="AA20" s="6">
        <v>31.659140188359661</v>
      </c>
      <c r="AB20" s="4">
        <v>36.724400000000003</v>
      </c>
      <c r="AC20" s="6">
        <v>31.586454782106717</v>
      </c>
      <c r="AD20">
        <v>0.284145496</v>
      </c>
      <c r="AE20">
        <v>2.2680383210514314</v>
      </c>
      <c r="AF20">
        <v>65750</v>
      </c>
      <c r="AG20" s="4"/>
      <c r="AH20" s="4"/>
      <c r="AL20">
        <v>23</v>
      </c>
      <c r="AM20">
        <v>8.8437900000000003</v>
      </c>
      <c r="AN20" t="s">
        <v>81</v>
      </c>
      <c r="AO20" t="s">
        <v>176</v>
      </c>
      <c r="AP20" s="5">
        <v>44935</v>
      </c>
      <c r="AQ20" t="s">
        <v>127</v>
      </c>
      <c r="AR20" s="5">
        <v>45082</v>
      </c>
      <c r="AS20">
        <v>241.65287636069712</v>
      </c>
      <c r="AT20" s="6"/>
      <c r="AU20">
        <v>17.241474435721027</v>
      </c>
      <c r="AV20">
        <v>73.474532962940486</v>
      </c>
      <c r="AW20">
        <v>12.468350859866812</v>
      </c>
      <c r="AX20">
        <v>103.18435825852832</v>
      </c>
      <c r="AY20">
        <v>20.645654251885531</v>
      </c>
      <c r="AZ20">
        <v>19.077048700958354</v>
      </c>
      <c r="BA20">
        <v>0.35899232547489912</v>
      </c>
      <c r="BB20">
        <v>1.6325379726232967</v>
      </c>
      <c r="BC20">
        <v>5.5909070532802954</v>
      </c>
      <c r="BD20">
        <v>47.305140304222384</v>
      </c>
      <c r="BE20">
        <v>91.163377797946396</v>
      </c>
      <c r="BF20">
        <v>5.821710395643561</v>
      </c>
      <c r="BG20">
        <v>2.6056550656831208</v>
      </c>
      <c r="BH20">
        <v>8.4273654613266817</v>
      </c>
      <c r="BI20">
        <v>158.91686402407737</v>
      </c>
      <c r="BJ20" s="6">
        <v>194</v>
      </c>
      <c r="BK20">
        <v>82.736012336619766</v>
      </c>
      <c r="BL20" s="4">
        <v>2399.3311199999994</v>
      </c>
      <c r="BM20" t="s">
        <v>1817</v>
      </c>
      <c r="BN20" t="s">
        <v>65</v>
      </c>
      <c r="BO20">
        <v>6</v>
      </c>
      <c r="BP20">
        <v>2023</v>
      </c>
      <c r="BQ20" t="str">
        <f t="shared" si="1"/>
        <v>Lamae6</v>
      </c>
      <c r="BR20">
        <f t="shared" si="2"/>
        <v>1017.40533</v>
      </c>
      <c r="BS20">
        <f t="shared" si="3"/>
        <v>7007.8947499999986</v>
      </c>
      <c r="BT20" s="6">
        <f t="shared" si="4"/>
        <v>35.08313597592263</v>
      </c>
    </row>
    <row r="21" spans="1:72">
      <c r="A21" s="3" t="s">
        <v>1793</v>
      </c>
      <c r="B21" s="3" t="s">
        <v>1795</v>
      </c>
      <c r="C21" s="3" t="s">
        <v>1796</v>
      </c>
      <c r="D21" s="2" t="s">
        <v>2682</v>
      </c>
      <c r="E21" s="4" t="str">
        <f t="shared" si="0"/>
        <v>LamaeA1-010-0023</v>
      </c>
      <c r="F21">
        <v>5</v>
      </c>
      <c r="G21">
        <v>1.5</v>
      </c>
      <c r="H21" t="s">
        <v>72</v>
      </c>
      <c r="I21" t="s">
        <v>75</v>
      </c>
      <c r="J21" t="s">
        <v>112</v>
      </c>
      <c r="K21" t="s">
        <v>79</v>
      </c>
      <c r="N21" s="5">
        <v>45157</v>
      </c>
      <c r="O21" s="5">
        <v>45183</v>
      </c>
      <c r="P21">
        <v>1.625</v>
      </c>
      <c r="Q21" s="4">
        <v>135</v>
      </c>
      <c r="R21">
        <v>7.9000000000000001E-2</v>
      </c>
      <c r="S21" t="s">
        <v>70</v>
      </c>
      <c r="T21" s="6">
        <v>6</v>
      </c>
      <c r="U21" s="5">
        <v>45274</v>
      </c>
      <c r="V21" s="6">
        <v>1</v>
      </c>
      <c r="W21" t="s">
        <v>86</v>
      </c>
      <c r="X21" s="6">
        <v>91</v>
      </c>
      <c r="Y21">
        <v>28.944220000000001</v>
      </c>
      <c r="Z21">
        <v>5.7888440000000001</v>
      </c>
      <c r="AA21" s="6">
        <v>45.292220692076</v>
      </c>
      <c r="AB21" s="4">
        <v>80.673723076923082</v>
      </c>
      <c r="AC21" s="6">
        <v>22.078846758223818</v>
      </c>
      <c r="AD21">
        <v>0.27385714300000003</v>
      </c>
      <c r="AE21">
        <v>2.1243273744125695</v>
      </c>
      <c r="AF21">
        <v>61215</v>
      </c>
      <c r="AG21" s="4"/>
      <c r="AH21" s="4"/>
      <c r="AL21">
        <v>40</v>
      </c>
      <c r="AM21">
        <v>3.48116</v>
      </c>
      <c r="AN21" t="s">
        <v>81</v>
      </c>
      <c r="AO21" t="s">
        <v>117</v>
      </c>
      <c r="AP21" s="5">
        <v>45187</v>
      </c>
      <c r="AQ21" t="s">
        <v>102</v>
      </c>
      <c r="AR21" s="5">
        <v>45271</v>
      </c>
      <c r="AS21">
        <v>176.39571320284327</v>
      </c>
      <c r="AT21" s="6"/>
      <c r="AU21">
        <v>22.456987958217564</v>
      </c>
      <c r="AV21">
        <v>66.957416368449387</v>
      </c>
      <c r="AW21">
        <v>5.419153461381927</v>
      </c>
      <c r="AX21">
        <v>94.833557788048878</v>
      </c>
      <c r="AY21">
        <v>21.777880350550127</v>
      </c>
      <c r="AZ21">
        <v>17.246408436641225</v>
      </c>
      <c r="BA21">
        <v>0.93670757063068188</v>
      </c>
      <c r="BB21">
        <v>0.98367722467560015</v>
      </c>
      <c r="BC21">
        <v>9.4460230747278739</v>
      </c>
      <c r="BD21">
        <v>50.390696657225504</v>
      </c>
      <c r="BE21">
        <v>31.171458757568885</v>
      </c>
      <c r="BF21">
        <v>5.1329992654837477</v>
      </c>
      <c r="BG21">
        <v>2.6967270149273324</v>
      </c>
      <c r="BH21">
        <v>7.8297262804110801</v>
      </c>
      <c r="BI21">
        <v>153.05398072568545</v>
      </c>
      <c r="BJ21" s="6">
        <v>175</v>
      </c>
      <c r="BK21">
        <v>23.341732477157795</v>
      </c>
      <c r="BL21" s="4">
        <v>675.60824000000025</v>
      </c>
      <c r="BM21" t="s">
        <v>2683</v>
      </c>
      <c r="BN21" t="s">
        <v>65</v>
      </c>
      <c r="BO21">
        <v>12</v>
      </c>
      <c r="BP21">
        <v>2023</v>
      </c>
      <c r="BQ21" t="str">
        <f t="shared" si="1"/>
        <v>Lamae12</v>
      </c>
      <c r="BR21">
        <f t="shared" si="2"/>
        <v>635.21041000000071</v>
      </c>
      <c r="BS21">
        <f t="shared" si="3"/>
        <v>5105.6363300000003</v>
      </c>
      <c r="BT21" s="6">
        <f t="shared" si="4"/>
        <v>21.946019274314551</v>
      </c>
    </row>
    <row r="22" spans="1:72">
      <c r="A22" s="3" t="s">
        <v>1793</v>
      </c>
      <c r="B22" s="3" t="s">
        <v>1795</v>
      </c>
      <c r="C22" s="3" t="s">
        <v>1796</v>
      </c>
      <c r="D22" s="2" t="s">
        <v>1822</v>
      </c>
      <c r="E22" s="4" t="str">
        <f t="shared" si="0"/>
        <v>LamaeA1-012-0012</v>
      </c>
      <c r="F22">
        <v>4</v>
      </c>
      <c r="G22">
        <v>1.5</v>
      </c>
      <c r="H22" t="s">
        <v>72</v>
      </c>
      <c r="I22" t="s">
        <v>75</v>
      </c>
      <c r="J22" t="s">
        <v>112</v>
      </c>
      <c r="K22" t="s">
        <v>79</v>
      </c>
      <c r="L22" t="s">
        <v>79</v>
      </c>
      <c r="M22">
        <v>0</v>
      </c>
      <c r="N22" s="5">
        <v>44805</v>
      </c>
      <c r="O22" s="5">
        <v>44820</v>
      </c>
      <c r="P22">
        <v>2.1656</v>
      </c>
      <c r="Q22" s="4">
        <v>226</v>
      </c>
      <c r="R22">
        <v>4.0000000000000001E-3</v>
      </c>
      <c r="S22" t="s">
        <v>70</v>
      </c>
      <c r="T22" s="6">
        <v>1</v>
      </c>
      <c r="U22" s="5">
        <v>44961</v>
      </c>
      <c r="V22" s="6">
        <v>1</v>
      </c>
      <c r="W22" t="s">
        <v>86</v>
      </c>
      <c r="X22" s="6">
        <v>141</v>
      </c>
      <c r="Y22">
        <v>12.67896</v>
      </c>
      <c r="Z22">
        <v>3.16974</v>
      </c>
      <c r="AA22" s="6">
        <v>26.000003154832889</v>
      </c>
      <c r="AB22" s="4">
        <v>15.222247875877354</v>
      </c>
      <c r="AC22" s="6">
        <v>38.461533794626469</v>
      </c>
      <c r="AD22">
        <v>0.2727485</v>
      </c>
      <c r="AE22">
        <v>1.8680605760215181</v>
      </c>
      <c r="AF22">
        <v>23669</v>
      </c>
      <c r="AG22" s="4">
        <v>0</v>
      </c>
      <c r="AH22" s="4">
        <v>0</v>
      </c>
      <c r="AL22">
        <v>25.999999999999996</v>
      </c>
      <c r="AM22">
        <v>12.665899999999999</v>
      </c>
      <c r="AN22" t="s">
        <v>81</v>
      </c>
      <c r="AO22" t="s">
        <v>144</v>
      </c>
      <c r="AP22" s="5">
        <v>44823</v>
      </c>
      <c r="AQ22" t="s">
        <v>131</v>
      </c>
      <c r="AR22" s="5">
        <v>44956</v>
      </c>
      <c r="AS22">
        <v>299.93680002145283</v>
      </c>
      <c r="AT22" s="6"/>
      <c r="AU22">
        <v>23.912371361688976</v>
      </c>
      <c r="AV22">
        <v>57.154698808104129</v>
      </c>
      <c r="AW22">
        <v>30.946040526983293</v>
      </c>
      <c r="AX22">
        <v>112.01311069677639</v>
      </c>
      <c r="AY22">
        <v>58.007237975354442</v>
      </c>
      <c r="AZ22">
        <v>36.867422880110041</v>
      </c>
      <c r="BA22">
        <v>2.6535409844340547</v>
      </c>
      <c r="BB22">
        <v>12.980696366263476</v>
      </c>
      <c r="BC22">
        <v>18.641786077091496</v>
      </c>
      <c r="BD22">
        <v>129.15068428325353</v>
      </c>
      <c r="BE22">
        <v>58.77300504142292</v>
      </c>
      <c r="BF22">
        <v>15.523756680358643</v>
      </c>
      <c r="BG22">
        <v>6.1303900319900064</v>
      </c>
      <c r="BH22">
        <v>21.654146712348648</v>
      </c>
      <c r="BI22">
        <v>262.81794169237855</v>
      </c>
      <c r="BJ22" s="6">
        <v>210</v>
      </c>
      <c r="BK22">
        <v>37.118858329074278</v>
      </c>
      <c r="BL22" s="4">
        <v>470.62851999999953</v>
      </c>
      <c r="BM22" t="s">
        <v>1823</v>
      </c>
      <c r="BN22" t="s">
        <v>65</v>
      </c>
      <c r="BO22">
        <v>2</v>
      </c>
      <c r="BP22">
        <v>2023</v>
      </c>
      <c r="BQ22" t="str">
        <f t="shared" si="1"/>
        <v>Lamae2</v>
      </c>
      <c r="BR22">
        <f t="shared" si="2"/>
        <v>-669.67656999999997</v>
      </c>
      <c r="BS22">
        <f t="shared" si="3"/>
        <v>3802.8866899999994</v>
      </c>
      <c r="BT22" s="6">
        <f t="shared" si="4"/>
        <v>-52.817941692378554</v>
      </c>
    </row>
    <row r="23" spans="1:72">
      <c r="A23" s="3" t="s">
        <v>1793</v>
      </c>
      <c r="B23" s="3" t="s">
        <v>1795</v>
      </c>
      <c r="C23" s="3" t="s">
        <v>1796</v>
      </c>
      <c r="D23" s="2" t="s">
        <v>1810</v>
      </c>
      <c r="E23" s="4" t="str">
        <f t="shared" si="0"/>
        <v>LamaeA1-010-0022</v>
      </c>
      <c r="F23">
        <v>5</v>
      </c>
      <c r="G23">
        <v>1.5</v>
      </c>
      <c r="H23" t="s">
        <v>72</v>
      </c>
      <c r="I23" t="s">
        <v>75</v>
      </c>
      <c r="J23" t="s">
        <v>112</v>
      </c>
      <c r="K23" t="s">
        <v>79</v>
      </c>
      <c r="N23" s="5">
        <v>44924</v>
      </c>
      <c r="O23" s="5">
        <v>44957</v>
      </c>
      <c r="P23">
        <v>1.5</v>
      </c>
      <c r="Q23" s="4">
        <v>125</v>
      </c>
      <c r="R23">
        <v>0.1</v>
      </c>
      <c r="S23" t="s">
        <v>70</v>
      </c>
      <c r="T23" s="6">
        <v>6</v>
      </c>
      <c r="U23" s="5">
        <v>45156</v>
      </c>
      <c r="V23" s="6">
        <v>1</v>
      </c>
      <c r="W23" t="s">
        <v>86</v>
      </c>
      <c r="X23" s="6">
        <v>199</v>
      </c>
      <c r="Y23">
        <v>32.192239999999998</v>
      </c>
      <c r="Z23">
        <v>6.4384479999999993</v>
      </c>
      <c r="AA23" s="6">
        <v>35.201371510649771</v>
      </c>
      <c r="AB23" s="4">
        <v>75.547399999999996</v>
      </c>
      <c r="AC23" s="6">
        <v>28.407984038277075</v>
      </c>
      <c r="AD23">
        <v>0.25075376900000002</v>
      </c>
      <c r="AE23">
        <v>2.3573321415541542</v>
      </c>
      <c r="AF23">
        <v>75533</v>
      </c>
      <c r="AG23" s="4"/>
      <c r="AH23" s="4"/>
      <c r="AL23">
        <v>20</v>
      </c>
      <c r="AM23">
        <v>9.3951000000000011</v>
      </c>
      <c r="AN23" t="s">
        <v>81</v>
      </c>
      <c r="AO23" t="s">
        <v>136</v>
      </c>
      <c r="AP23" s="5">
        <v>44963</v>
      </c>
      <c r="AQ23" t="s">
        <v>116</v>
      </c>
      <c r="AR23" s="5">
        <v>45152</v>
      </c>
      <c r="AS23">
        <v>209.73911476803107</v>
      </c>
      <c r="AT23" s="6"/>
      <c r="AU23">
        <v>21.4337368260177</v>
      </c>
      <c r="AV23">
        <v>75.489980815252338</v>
      </c>
      <c r="AW23">
        <v>10.911238236295453</v>
      </c>
      <c r="AX23">
        <v>107.83495587756551</v>
      </c>
      <c r="AY23">
        <v>32.310905050409659</v>
      </c>
      <c r="AZ23">
        <v>29.934426122568656</v>
      </c>
      <c r="BA23">
        <v>0.67942802364793509</v>
      </c>
      <c r="BB23">
        <v>3.4918449290885016</v>
      </c>
      <c r="BC23">
        <v>9.8689783624873577</v>
      </c>
      <c r="BD23">
        <v>76.28558248820211</v>
      </c>
      <c r="BE23">
        <v>25.618576402263457</v>
      </c>
      <c r="BF23">
        <v>8.7173669803654565</v>
      </c>
      <c r="BG23">
        <v>4.0823204598375264</v>
      </c>
      <c r="BH23">
        <v>12.799687440202984</v>
      </c>
      <c r="BI23">
        <v>196.9202258059706</v>
      </c>
      <c r="BJ23" s="6">
        <v>187</v>
      </c>
      <c r="BK23">
        <v>12.818888962060479</v>
      </c>
      <c r="BL23" s="4">
        <v>412.66875000000186</v>
      </c>
      <c r="BM23" t="s">
        <v>1811</v>
      </c>
      <c r="BN23" t="s">
        <v>65</v>
      </c>
      <c r="BO23">
        <v>8</v>
      </c>
      <c r="BP23">
        <v>2023</v>
      </c>
      <c r="BQ23" t="str">
        <f t="shared" si="1"/>
        <v>Lamae8</v>
      </c>
      <c r="BR23">
        <f t="shared" si="2"/>
        <v>-319.35428999999903</v>
      </c>
      <c r="BS23">
        <f t="shared" si="3"/>
        <v>6751.97192</v>
      </c>
      <c r="BT23" s="6">
        <f t="shared" si="4"/>
        <v>-9.9202258059706026</v>
      </c>
    </row>
    <row r="24" spans="1:72">
      <c r="A24" s="3" t="s">
        <v>1793</v>
      </c>
      <c r="B24" s="3" t="s">
        <v>1795</v>
      </c>
      <c r="C24" s="3" t="s">
        <v>1796</v>
      </c>
      <c r="D24" s="2" t="s">
        <v>1808</v>
      </c>
      <c r="E24" s="4" t="str">
        <f t="shared" si="0"/>
        <v>LamaeA1-009-0020</v>
      </c>
      <c r="F24">
        <v>5</v>
      </c>
      <c r="G24">
        <v>1.5</v>
      </c>
      <c r="H24" t="s">
        <v>72</v>
      </c>
      <c r="I24" t="s">
        <v>75</v>
      </c>
      <c r="J24" t="s">
        <v>112</v>
      </c>
      <c r="K24" t="s">
        <v>79</v>
      </c>
      <c r="N24" s="5">
        <v>44919</v>
      </c>
      <c r="O24" s="5">
        <v>44941</v>
      </c>
      <c r="P24">
        <v>2.5</v>
      </c>
      <c r="Q24" s="4">
        <v>208</v>
      </c>
      <c r="R24">
        <v>4.0000000000000001E-3</v>
      </c>
      <c r="S24" t="s">
        <v>70</v>
      </c>
      <c r="T24" s="6">
        <v>6</v>
      </c>
      <c r="U24" s="5">
        <v>45156</v>
      </c>
      <c r="V24" s="6">
        <v>1</v>
      </c>
      <c r="W24" t="s">
        <v>86</v>
      </c>
      <c r="X24" s="6">
        <v>215</v>
      </c>
      <c r="Y24">
        <v>33.981850000000001</v>
      </c>
      <c r="Z24">
        <v>6.7963700000000005</v>
      </c>
      <c r="AA24" s="6">
        <v>35.224332989522352</v>
      </c>
      <c r="AB24" s="4">
        <v>47.879519999999999</v>
      </c>
      <c r="AC24" s="6">
        <v>28.389465892724068</v>
      </c>
      <c r="AD24">
        <v>0.24477943699999996</v>
      </c>
      <c r="AE24">
        <v>3.2278223539392354</v>
      </c>
      <c r="AF24">
        <v>109655</v>
      </c>
      <c r="AG24" s="4"/>
      <c r="AH24" s="4"/>
      <c r="AL24">
        <v>19</v>
      </c>
      <c r="AM24">
        <v>3.8081499999999999</v>
      </c>
      <c r="AN24" t="s">
        <v>81</v>
      </c>
      <c r="AO24" t="s">
        <v>176</v>
      </c>
      <c r="AP24" s="5">
        <v>44942</v>
      </c>
      <c r="AQ24" t="s">
        <v>116</v>
      </c>
      <c r="AR24" s="5">
        <v>45152</v>
      </c>
      <c r="AS24">
        <v>224.0546912543019</v>
      </c>
      <c r="AT24" s="6"/>
      <c r="AU24">
        <v>14.713736891899648</v>
      </c>
      <c r="AV24">
        <v>104.21199081274267</v>
      </c>
      <c r="AW24">
        <v>15.052685771963564</v>
      </c>
      <c r="AX24">
        <v>133.97841347660588</v>
      </c>
      <c r="AY24">
        <v>31.269864059784851</v>
      </c>
      <c r="AZ24">
        <v>28.910913914339563</v>
      </c>
      <c r="BA24">
        <v>0.6570021938181706</v>
      </c>
      <c r="BB24">
        <v>3.4417961352898692</v>
      </c>
      <c r="BC24">
        <v>9.5740752784206844</v>
      </c>
      <c r="BD24">
        <v>73.853651581653153</v>
      </c>
      <c r="BE24">
        <v>16.222626196042867</v>
      </c>
      <c r="BF24">
        <v>8.4356081261026095</v>
      </c>
      <c r="BG24">
        <v>3.9493656172339051</v>
      </c>
      <c r="BH24">
        <v>12.384973743336515</v>
      </c>
      <c r="BI24">
        <v>220.21703880159555</v>
      </c>
      <c r="BJ24" s="6">
        <v>187</v>
      </c>
      <c r="BK24">
        <v>3.8376524527063518</v>
      </c>
      <c r="BL24" s="4">
        <v>130.41052999999934</v>
      </c>
      <c r="BM24" t="s">
        <v>1809</v>
      </c>
      <c r="BN24" t="s">
        <v>65</v>
      </c>
      <c r="BO24">
        <v>8</v>
      </c>
      <c r="BP24">
        <v>2023</v>
      </c>
      <c r="BQ24" t="str">
        <f t="shared" si="1"/>
        <v>Lamae8</v>
      </c>
      <c r="BR24">
        <f t="shared" si="2"/>
        <v>-1128.7764299999997</v>
      </c>
      <c r="BS24">
        <f t="shared" si="3"/>
        <v>7613.7929099999992</v>
      </c>
      <c r="BT24" s="6">
        <f t="shared" si="4"/>
        <v>-33.21703880159555</v>
      </c>
    </row>
    <row r="25" spans="1:72">
      <c r="A25" s="3" t="s">
        <v>1793</v>
      </c>
      <c r="B25" s="3" t="s">
        <v>1795</v>
      </c>
      <c r="C25" s="3" t="s">
        <v>1796</v>
      </c>
      <c r="D25" s="2" t="s">
        <v>1812</v>
      </c>
      <c r="E25" s="4" t="str">
        <f t="shared" si="0"/>
        <v>LamaeA1-007-0044</v>
      </c>
      <c r="F25">
        <v>8</v>
      </c>
      <c r="G25">
        <v>1.5</v>
      </c>
      <c r="H25" t="s">
        <v>72</v>
      </c>
      <c r="I25" t="s">
        <v>75</v>
      </c>
      <c r="J25" t="s">
        <v>112</v>
      </c>
      <c r="K25" t="s">
        <v>79</v>
      </c>
      <c r="L25" t="s">
        <v>79</v>
      </c>
      <c r="M25">
        <v>0</v>
      </c>
      <c r="N25" s="5">
        <v>44835</v>
      </c>
      <c r="O25" s="5">
        <v>44837</v>
      </c>
      <c r="P25">
        <v>2.6057589999999999</v>
      </c>
      <c r="Q25" s="4">
        <v>136</v>
      </c>
      <c r="R25">
        <v>0.13300000000000001</v>
      </c>
      <c r="S25" t="s">
        <v>70</v>
      </c>
      <c r="T25" s="6">
        <v>1</v>
      </c>
      <c r="U25" s="5">
        <v>44965</v>
      </c>
      <c r="V25" s="6">
        <v>2</v>
      </c>
      <c r="W25" t="s">
        <v>71</v>
      </c>
      <c r="X25" s="6">
        <v>128</v>
      </c>
      <c r="Y25">
        <v>7.9533199999999997</v>
      </c>
      <c r="Z25">
        <v>0.99416499999999997</v>
      </c>
      <c r="AA25" s="6">
        <v>35.000100586924709</v>
      </c>
      <c r="AB25" s="4">
        <v>10.682760761835612</v>
      </c>
      <c r="AC25" s="6">
        <v>28.571346459889281</v>
      </c>
      <c r="AD25">
        <v>0.22217522300000001</v>
      </c>
      <c r="AE25">
        <v>2.1176331407614808</v>
      </c>
      <c r="AF25">
        <v>16110</v>
      </c>
      <c r="AG25" s="4">
        <v>0</v>
      </c>
      <c r="AH25" s="4">
        <v>0</v>
      </c>
      <c r="AL25">
        <v>35</v>
      </c>
      <c r="AM25">
        <v>7.9431000000000003</v>
      </c>
      <c r="AN25" t="s">
        <v>85</v>
      </c>
      <c r="AO25" t="s">
        <v>123</v>
      </c>
      <c r="AP25" s="5">
        <v>44844</v>
      </c>
      <c r="AQ25" t="s">
        <v>198</v>
      </c>
      <c r="AR25" s="5">
        <v>44963</v>
      </c>
      <c r="AS25">
        <v>264.44956320127955</v>
      </c>
      <c r="AT25" s="6"/>
      <c r="AU25">
        <v>74.328362243691942</v>
      </c>
      <c r="AV25">
        <v>62.463942102166122</v>
      </c>
      <c r="AW25">
        <v>48.856850975441724</v>
      </c>
      <c r="AX25">
        <v>185.64915532129979</v>
      </c>
      <c r="AY25">
        <v>122.94178531732659</v>
      </c>
      <c r="AZ25">
        <v>90.714730452188533</v>
      </c>
      <c r="BA25">
        <v>0.42331378594096553</v>
      </c>
      <c r="BB25">
        <v>16.855516941352796</v>
      </c>
      <c r="BC25">
        <v>37.746583816569689</v>
      </c>
      <c r="BD25">
        <v>268.68193031337859</v>
      </c>
      <c r="BE25">
        <v>-189.88152243339883</v>
      </c>
      <c r="BF25">
        <v>33.804031523942207</v>
      </c>
      <c r="BG25">
        <v>11.528276241871319</v>
      </c>
      <c r="BH25">
        <v>45.332307765813525</v>
      </c>
      <c r="BI25">
        <v>499.66339340049188</v>
      </c>
      <c r="BJ25" s="6">
        <v>187</v>
      </c>
      <c r="BK25">
        <v>-235.21383019921234</v>
      </c>
      <c r="BL25" s="4">
        <v>-1870.7308599999994</v>
      </c>
      <c r="BM25" t="s">
        <v>1794</v>
      </c>
      <c r="BN25" t="s">
        <v>65</v>
      </c>
      <c r="BO25">
        <v>2</v>
      </c>
      <c r="BP25">
        <v>2023</v>
      </c>
      <c r="BQ25" t="str">
        <f t="shared" si="1"/>
        <v>Lamae2</v>
      </c>
      <c r="BR25">
        <f t="shared" si="2"/>
        <v>-2486.7120199999999</v>
      </c>
      <c r="BS25">
        <f t="shared" si="3"/>
        <v>2103.2520000000004</v>
      </c>
      <c r="BT25" s="6">
        <f t="shared" si="4"/>
        <v>-312.66339340049188</v>
      </c>
    </row>
    <row r="26" spans="1:72">
      <c r="A26" s="3" t="s">
        <v>1793</v>
      </c>
      <c r="B26" s="3" t="s">
        <v>1795</v>
      </c>
      <c r="C26" s="3" t="s">
        <v>1796</v>
      </c>
      <c r="D26" s="2" t="s">
        <v>2813</v>
      </c>
      <c r="E26" s="4" t="str">
        <f t="shared" si="0"/>
        <v>LamaeA1-007-0047</v>
      </c>
      <c r="F26">
        <v>8</v>
      </c>
      <c r="G26">
        <v>1.5</v>
      </c>
      <c r="H26" t="s">
        <v>72</v>
      </c>
      <c r="I26" t="s">
        <v>75</v>
      </c>
      <c r="J26" t="s">
        <v>112</v>
      </c>
      <c r="K26" t="s">
        <v>79</v>
      </c>
      <c r="N26" s="5">
        <v>45232</v>
      </c>
      <c r="O26" s="5">
        <v>45269</v>
      </c>
      <c r="P26">
        <v>1.95</v>
      </c>
      <c r="Q26" s="4">
        <v>102</v>
      </c>
      <c r="R26">
        <v>0.13300000000000001</v>
      </c>
      <c r="S26" t="s">
        <v>70</v>
      </c>
      <c r="T26" s="6"/>
      <c r="U26" s="5">
        <v>45278</v>
      </c>
      <c r="V26" s="6">
        <v>3</v>
      </c>
      <c r="W26" t="s">
        <v>2831</v>
      </c>
      <c r="X26" s="6"/>
      <c r="AA26" s="6"/>
      <c r="AB26" s="4"/>
      <c r="AC26" s="6"/>
      <c r="AF26">
        <v>375</v>
      </c>
      <c r="AG26" s="4"/>
      <c r="AH26" s="4"/>
      <c r="AN26" t="s">
        <v>100</v>
      </c>
      <c r="AO26" t="s">
        <v>94</v>
      </c>
      <c r="AP26" s="5">
        <v>45271</v>
      </c>
      <c r="AQ26" t="s">
        <v>94</v>
      </c>
      <c r="AR26" s="5">
        <v>45278</v>
      </c>
      <c r="AT26" s="6"/>
      <c r="BJ26" s="6"/>
      <c r="BL26" s="4">
        <v>-1765.7129399999999</v>
      </c>
      <c r="BM26" t="s">
        <v>2832</v>
      </c>
      <c r="BN26" t="s">
        <v>65</v>
      </c>
      <c r="BO26">
        <v>12</v>
      </c>
      <c r="BP26">
        <v>2023</v>
      </c>
      <c r="BQ26" t="str">
        <f t="shared" si="1"/>
        <v>Lamae12</v>
      </c>
      <c r="BR26">
        <f t="shared" si="2"/>
        <v>0</v>
      </c>
      <c r="BS26">
        <f t="shared" si="3"/>
        <v>0</v>
      </c>
      <c r="BT26" s="6">
        <f t="shared" si="4"/>
        <v>0</v>
      </c>
    </row>
    <row r="27" spans="1:72">
      <c r="A27" s="3" t="s">
        <v>1793</v>
      </c>
      <c r="B27" s="3" t="s">
        <v>1795</v>
      </c>
      <c r="C27" s="3" t="s">
        <v>1796</v>
      </c>
      <c r="D27" s="2" t="s">
        <v>2833</v>
      </c>
      <c r="E27" s="4" t="str">
        <f t="shared" si="0"/>
        <v>LamaeA1-011-0024</v>
      </c>
      <c r="F27">
        <v>4</v>
      </c>
      <c r="G27">
        <v>1.5</v>
      </c>
      <c r="H27" t="s">
        <v>72</v>
      </c>
      <c r="I27" t="s">
        <v>75</v>
      </c>
      <c r="J27" t="s">
        <v>112</v>
      </c>
      <c r="K27" t="s">
        <v>79</v>
      </c>
      <c r="N27" s="5">
        <v>45189</v>
      </c>
      <c r="O27" s="5">
        <v>45246</v>
      </c>
      <c r="P27">
        <v>1.3</v>
      </c>
      <c r="Q27" s="4">
        <v>135</v>
      </c>
      <c r="R27">
        <v>9.5000000000000001E-2</v>
      </c>
      <c r="S27" t="s">
        <v>70</v>
      </c>
      <c r="T27" s="6"/>
      <c r="U27" s="5">
        <v>45276</v>
      </c>
      <c r="V27" s="6">
        <v>3</v>
      </c>
      <c r="W27" t="s">
        <v>2831</v>
      </c>
      <c r="X27" s="6"/>
      <c r="AA27" s="6"/>
      <c r="AB27" s="4"/>
      <c r="AC27" s="6"/>
      <c r="AF27">
        <v>6175</v>
      </c>
      <c r="AG27" s="4"/>
      <c r="AH27" s="4"/>
      <c r="AN27" t="s">
        <v>100</v>
      </c>
      <c r="AO27" t="s">
        <v>189</v>
      </c>
      <c r="AP27" s="5">
        <v>45250</v>
      </c>
      <c r="AQ27" t="s">
        <v>92</v>
      </c>
      <c r="AR27" s="5">
        <v>45271</v>
      </c>
      <c r="AT27" s="6"/>
      <c r="BJ27" s="6"/>
      <c r="BL27" s="4">
        <v>-1751.5498700000001</v>
      </c>
      <c r="BM27" t="s">
        <v>2834</v>
      </c>
      <c r="BN27" t="s">
        <v>65</v>
      </c>
      <c r="BO27">
        <v>12</v>
      </c>
      <c r="BP27">
        <v>2023</v>
      </c>
      <c r="BQ27" t="str">
        <f t="shared" si="1"/>
        <v>Lamae12</v>
      </c>
      <c r="BR27">
        <f t="shared" si="2"/>
        <v>0</v>
      </c>
      <c r="BS27">
        <f t="shared" si="3"/>
        <v>0</v>
      </c>
      <c r="BT27" s="6">
        <f t="shared" si="4"/>
        <v>0</v>
      </c>
    </row>
    <row r="28" spans="1:72">
      <c r="A28" s="3" t="s">
        <v>1793</v>
      </c>
      <c r="B28" s="3" t="s">
        <v>1795</v>
      </c>
      <c r="C28" s="3" t="s">
        <v>1796</v>
      </c>
      <c r="D28" s="2" t="s">
        <v>2835</v>
      </c>
      <c r="E28" s="4" t="str">
        <f t="shared" si="0"/>
        <v>LamaeA1-012-0015</v>
      </c>
      <c r="F28">
        <v>4</v>
      </c>
      <c r="G28">
        <v>1.5</v>
      </c>
      <c r="H28" t="s">
        <v>72</v>
      </c>
      <c r="I28" t="s">
        <v>75</v>
      </c>
      <c r="J28" t="s">
        <v>112</v>
      </c>
      <c r="K28" t="s">
        <v>79</v>
      </c>
      <c r="N28" s="5">
        <v>45244</v>
      </c>
      <c r="O28" s="5">
        <v>45247</v>
      </c>
      <c r="P28">
        <v>1.06</v>
      </c>
      <c r="Q28" s="4">
        <v>110</v>
      </c>
      <c r="R28">
        <v>0.1</v>
      </c>
      <c r="S28" t="s">
        <v>70</v>
      </c>
      <c r="T28" s="6"/>
      <c r="U28" s="5">
        <v>45276</v>
      </c>
      <c r="V28" s="6">
        <v>3</v>
      </c>
      <c r="W28" t="s">
        <v>2831</v>
      </c>
      <c r="X28" s="6"/>
      <c r="AA28" s="6"/>
      <c r="AB28" s="4"/>
      <c r="AC28" s="6"/>
      <c r="AF28">
        <v>5525</v>
      </c>
      <c r="AG28" s="4"/>
      <c r="AH28" s="4"/>
      <c r="AN28" t="s">
        <v>100</v>
      </c>
      <c r="AO28" t="s">
        <v>189</v>
      </c>
      <c r="AP28" s="5">
        <v>45250</v>
      </c>
      <c r="AQ28" t="s">
        <v>102</v>
      </c>
      <c r="AR28" s="5">
        <v>45271</v>
      </c>
      <c r="AT28" s="6"/>
      <c r="BJ28" s="6"/>
      <c r="BL28" s="4">
        <v>-1130.31979</v>
      </c>
      <c r="BM28" t="s">
        <v>2836</v>
      </c>
      <c r="BN28" t="s">
        <v>65</v>
      </c>
      <c r="BO28">
        <v>12</v>
      </c>
      <c r="BP28">
        <v>2023</v>
      </c>
      <c r="BQ28" t="str">
        <f t="shared" si="1"/>
        <v>Lamae12</v>
      </c>
      <c r="BR28">
        <f t="shared" si="2"/>
        <v>0</v>
      </c>
      <c r="BS28">
        <f t="shared" si="3"/>
        <v>0</v>
      </c>
      <c r="BT28" s="6">
        <f t="shared" si="4"/>
        <v>0</v>
      </c>
    </row>
    <row r="29" spans="1:72">
      <c r="A29" s="3" t="s">
        <v>1793</v>
      </c>
      <c r="B29" s="3" t="s">
        <v>1795</v>
      </c>
      <c r="C29" s="3" t="s">
        <v>1796</v>
      </c>
      <c r="D29" s="2" t="s">
        <v>2837</v>
      </c>
      <c r="E29" s="4" t="str">
        <f t="shared" si="0"/>
        <v>LamaeA1-013-0017</v>
      </c>
      <c r="F29">
        <v>4</v>
      </c>
      <c r="G29">
        <v>1.5</v>
      </c>
      <c r="H29" t="s">
        <v>72</v>
      </c>
      <c r="I29" t="s">
        <v>75</v>
      </c>
      <c r="J29" t="s">
        <v>112</v>
      </c>
      <c r="K29" t="s">
        <v>79</v>
      </c>
      <c r="N29" s="5">
        <v>45252</v>
      </c>
      <c r="O29" s="5">
        <v>45260</v>
      </c>
      <c r="P29">
        <v>1.3</v>
      </c>
      <c r="Q29" s="4">
        <v>135</v>
      </c>
      <c r="R29">
        <v>0.127</v>
      </c>
      <c r="S29" t="s">
        <v>70</v>
      </c>
      <c r="T29" s="6"/>
      <c r="U29" s="5">
        <v>45290</v>
      </c>
      <c r="V29" s="6">
        <v>3</v>
      </c>
      <c r="W29" t="s">
        <v>2831</v>
      </c>
      <c r="X29" s="6"/>
      <c r="AA29" s="6"/>
      <c r="AB29" s="4"/>
      <c r="AC29" s="6"/>
      <c r="AF29">
        <v>5300</v>
      </c>
      <c r="AG29" s="4"/>
      <c r="AH29" s="4"/>
      <c r="AN29" t="s">
        <v>53</v>
      </c>
      <c r="AO29" t="s">
        <v>105</v>
      </c>
      <c r="AP29" s="5">
        <v>45264</v>
      </c>
      <c r="AQ29" t="s">
        <v>92</v>
      </c>
      <c r="AR29" s="5">
        <v>45285</v>
      </c>
      <c r="AT29" s="6"/>
      <c r="BJ29" s="6"/>
      <c r="BL29" s="4">
        <v>-1318.65011</v>
      </c>
      <c r="BM29" t="s">
        <v>2838</v>
      </c>
      <c r="BN29" t="s">
        <v>65</v>
      </c>
      <c r="BO29">
        <v>12</v>
      </c>
      <c r="BP29">
        <v>2023</v>
      </c>
      <c r="BQ29" t="str">
        <f t="shared" si="1"/>
        <v>Lamae12</v>
      </c>
      <c r="BR29">
        <f t="shared" si="2"/>
        <v>0</v>
      </c>
      <c r="BS29">
        <f t="shared" si="3"/>
        <v>0</v>
      </c>
      <c r="BT29" s="6">
        <f t="shared" si="4"/>
        <v>0</v>
      </c>
    </row>
    <row r="30" spans="1:72">
      <c r="A30" s="3" t="s">
        <v>967</v>
      </c>
      <c r="B30" s="3" t="s">
        <v>1747</v>
      </c>
      <c r="C30" s="3" t="s">
        <v>1749</v>
      </c>
      <c r="D30" s="2" t="s">
        <v>1765</v>
      </c>
      <c r="E30" s="4" t="str">
        <f t="shared" si="0"/>
        <v>BansangA1-008-0015</v>
      </c>
      <c r="F30">
        <v>3.38</v>
      </c>
      <c r="G30">
        <v>1.5</v>
      </c>
      <c r="H30" t="s">
        <v>72</v>
      </c>
      <c r="I30" t="s">
        <v>75</v>
      </c>
      <c r="J30" t="s">
        <v>112</v>
      </c>
      <c r="K30" t="s">
        <v>79</v>
      </c>
      <c r="L30" t="s">
        <v>79</v>
      </c>
      <c r="M30">
        <v>2.2466107165913494</v>
      </c>
      <c r="N30" s="5">
        <v>45055</v>
      </c>
      <c r="O30" s="5">
        <v>45089</v>
      </c>
      <c r="P30">
        <v>1</v>
      </c>
      <c r="Q30" s="4">
        <v>123</v>
      </c>
      <c r="R30">
        <v>0.54</v>
      </c>
      <c r="S30" t="s">
        <v>70</v>
      </c>
      <c r="T30" s="6">
        <v>4</v>
      </c>
      <c r="U30" s="5">
        <v>45176</v>
      </c>
      <c r="V30" s="6">
        <v>1</v>
      </c>
      <c r="W30" t="s">
        <v>86</v>
      </c>
      <c r="X30" s="6">
        <v>87</v>
      </c>
      <c r="Y30">
        <v>26.082049999999999</v>
      </c>
      <c r="Z30">
        <v>7.7165828402366863</v>
      </c>
      <c r="AA30" s="6">
        <v>26.90563050067</v>
      </c>
      <c r="AB30" s="4">
        <v>70.175399999999996</v>
      </c>
      <c r="AC30" s="6">
        <v>37.166941691817932</v>
      </c>
      <c r="AD30">
        <v>0.493543228</v>
      </c>
      <c r="AE30">
        <v>1.5161273272897047</v>
      </c>
      <c r="AF30">
        <v>38725</v>
      </c>
      <c r="AG30" s="4">
        <v>0</v>
      </c>
      <c r="AH30" s="4">
        <v>87000</v>
      </c>
      <c r="AL30">
        <v>23</v>
      </c>
      <c r="AM30">
        <v>7.6755800000000001</v>
      </c>
      <c r="AN30" t="s">
        <v>81</v>
      </c>
      <c r="AO30" t="s">
        <v>106</v>
      </c>
      <c r="AP30" s="5">
        <v>45089</v>
      </c>
      <c r="AQ30" t="s">
        <v>99</v>
      </c>
      <c r="AR30" s="5">
        <v>45173</v>
      </c>
      <c r="AS30">
        <v>204.07653539503224</v>
      </c>
      <c r="AT30" s="6"/>
      <c r="AU30">
        <v>17.253245047839414</v>
      </c>
      <c r="AV30">
        <v>44.489640959970551</v>
      </c>
      <c r="AW30">
        <v>33.649001899773992</v>
      </c>
      <c r="AX30">
        <v>95.391887907583964</v>
      </c>
      <c r="AY30">
        <v>9.3717625723438136</v>
      </c>
      <c r="AZ30">
        <v>25.13575965079432</v>
      </c>
      <c r="BA30">
        <v>4.6683811280171614</v>
      </c>
      <c r="BB30">
        <v>6.5579477073312873</v>
      </c>
      <c r="BC30">
        <v>15.98660956481565</v>
      </c>
      <c r="BD30">
        <v>61.720460623302237</v>
      </c>
      <c r="BE30">
        <v>46.964186864146036</v>
      </c>
      <c r="BF30">
        <v>3.6917627257059933</v>
      </c>
      <c r="BH30">
        <v>3.6917627257059933</v>
      </c>
      <c r="BI30">
        <v>160.80411125659219</v>
      </c>
      <c r="BJ30" s="6">
        <v>207</v>
      </c>
      <c r="BK30">
        <v>43.272424138440051</v>
      </c>
      <c r="BL30" s="4">
        <v>1128.6335300000003</v>
      </c>
      <c r="BM30" t="s">
        <v>1766</v>
      </c>
      <c r="BN30" t="s">
        <v>65</v>
      </c>
      <c r="BO30">
        <v>9</v>
      </c>
      <c r="BP30">
        <v>2023</v>
      </c>
      <c r="BQ30" t="str">
        <f t="shared" si="1"/>
        <v>Bansang9</v>
      </c>
      <c r="BR30">
        <f t="shared" si="2"/>
        <v>1204.8834799999995</v>
      </c>
      <c r="BS30">
        <f t="shared" si="3"/>
        <v>5322.7344000000003</v>
      </c>
      <c r="BT30" s="6">
        <f t="shared" si="4"/>
        <v>46.195888743407806</v>
      </c>
    </row>
    <row r="31" spans="1:72">
      <c r="A31" s="3" t="s">
        <v>967</v>
      </c>
      <c r="B31" s="3" t="s">
        <v>1747</v>
      </c>
      <c r="C31" s="3" t="s">
        <v>1749</v>
      </c>
      <c r="D31" s="2" t="s">
        <v>1767</v>
      </c>
      <c r="E31" s="4" t="str">
        <f t="shared" si="0"/>
        <v>BansangA1-006-0015</v>
      </c>
      <c r="F31">
        <v>3.38</v>
      </c>
      <c r="G31">
        <v>1.5</v>
      </c>
      <c r="H31" t="s">
        <v>72</v>
      </c>
      <c r="I31" t="s">
        <v>75</v>
      </c>
      <c r="J31" t="s">
        <v>112</v>
      </c>
      <c r="K31" t="s">
        <v>79</v>
      </c>
      <c r="L31" t="s">
        <v>79</v>
      </c>
      <c r="M31">
        <v>1.6337285902503293</v>
      </c>
      <c r="N31" s="5">
        <v>45110</v>
      </c>
      <c r="O31" s="5">
        <v>45126</v>
      </c>
      <c r="P31">
        <v>0.8</v>
      </c>
      <c r="Q31" s="4">
        <v>99</v>
      </c>
      <c r="R31">
        <v>0.4</v>
      </c>
      <c r="S31" t="s">
        <v>70</v>
      </c>
      <c r="T31" s="6">
        <v>4</v>
      </c>
      <c r="U31" s="5">
        <v>45209</v>
      </c>
      <c r="V31" s="6">
        <v>1</v>
      </c>
      <c r="W31" t="s">
        <v>86</v>
      </c>
      <c r="X31" s="6">
        <v>83</v>
      </c>
      <c r="Y31">
        <v>24.9177</v>
      </c>
      <c r="Z31">
        <v>7.3721005917159763</v>
      </c>
      <c r="AA31" s="6">
        <v>25.588156210244122</v>
      </c>
      <c r="AB31" s="4">
        <v>79.699750000000009</v>
      </c>
      <c r="AC31" s="6">
        <v>39.080580553891323</v>
      </c>
      <c r="AD31">
        <v>0.47710843400000003</v>
      </c>
      <c r="AE31">
        <v>1.5428271748984661</v>
      </c>
      <c r="AF31">
        <v>37950</v>
      </c>
      <c r="AG31" s="4">
        <v>0</v>
      </c>
      <c r="AH31" s="4">
        <v>62000</v>
      </c>
      <c r="AL31">
        <v>25</v>
      </c>
      <c r="AM31">
        <v>8.3036700000000003</v>
      </c>
      <c r="AN31" t="s">
        <v>81</v>
      </c>
      <c r="AO31" t="s">
        <v>106</v>
      </c>
      <c r="AP31" s="5">
        <v>45127</v>
      </c>
      <c r="AQ31" t="s">
        <v>101</v>
      </c>
      <c r="AR31" s="5">
        <v>45204</v>
      </c>
      <c r="AS31">
        <v>209.01502947703844</v>
      </c>
      <c r="AT31" s="6"/>
      <c r="AU31">
        <v>12.842276775143773</v>
      </c>
      <c r="AV31">
        <v>45.765214285427632</v>
      </c>
      <c r="AW31">
        <v>22.477127905063462</v>
      </c>
      <c r="AX31">
        <v>81.08461896563486</v>
      </c>
      <c r="AY31">
        <v>8.0716920100972391</v>
      </c>
      <c r="AZ31">
        <v>18.008354703684528</v>
      </c>
      <c r="BA31">
        <v>2.7403773221445</v>
      </c>
      <c r="BB31">
        <v>6.997206002159106</v>
      </c>
      <c r="BC31">
        <v>13.280909152931448</v>
      </c>
      <c r="BD31">
        <v>49.098539191016826</v>
      </c>
      <c r="BE31">
        <v>78.831871320386753</v>
      </c>
      <c r="BF31">
        <v>3.142715820481023</v>
      </c>
      <c r="BH31">
        <v>3.142715820481023</v>
      </c>
      <c r="BI31">
        <v>133.32587397713269</v>
      </c>
      <c r="BJ31" s="6">
        <v>214</v>
      </c>
      <c r="BK31">
        <v>75.689155499905738</v>
      </c>
      <c r="BL31" s="4">
        <v>1885.9996700000013</v>
      </c>
      <c r="BM31" t="s">
        <v>1768</v>
      </c>
      <c r="BN31" t="s">
        <v>65</v>
      </c>
      <c r="BO31">
        <v>10</v>
      </c>
      <c r="BP31">
        <v>2023</v>
      </c>
      <c r="BQ31" t="str">
        <f t="shared" si="1"/>
        <v>Bansang10</v>
      </c>
      <c r="BR31">
        <f t="shared" si="2"/>
        <v>2010.2136700000008</v>
      </c>
      <c r="BS31">
        <f t="shared" si="3"/>
        <v>5208.1738000000005</v>
      </c>
      <c r="BT31" s="6">
        <f t="shared" si="4"/>
        <v>80.674126022867313</v>
      </c>
    </row>
    <row r="32" spans="1:72">
      <c r="A32" s="3" t="s">
        <v>967</v>
      </c>
      <c r="B32" s="3" t="s">
        <v>1747</v>
      </c>
      <c r="C32" s="3" t="s">
        <v>1749</v>
      </c>
      <c r="D32" s="2" t="s">
        <v>1752</v>
      </c>
      <c r="E32" s="4" t="str">
        <f t="shared" si="0"/>
        <v>BansangA1-005-0016</v>
      </c>
      <c r="F32">
        <v>3.38</v>
      </c>
      <c r="G32">
        <v>1.5</v>
      </c>
      <c r="H32" t="s">
        <v>72</v>
      </c>
      <c r="I32" t="s">
        <v>75</v>
      </c>
      <c r="J32" t="s">
        <v>112</v>
      </c>
      <c r="K32" t="s">
        <v>79</v>
      </c>
      <c r="L32" t="s">
        <v>79</v>
      </c>
      <c r="M32">
        <v>1.84</v>
      </c>
      <c r="N32" s="5">
        <v>45122</v>
      </c>
      <c r="O32" s="5">
        <v>45148</v>
      </c>
      <c r="P32">
        <v>0.7</v>
      </c>
      <c r="Q32" s="4">
        <v>86</v>
      </c>
      <c r="R32">
        <v>0.82099999999999995</v>
      </c>
      <c r="S32" t="s">
        <v>70</v>
      </c>
      <c r="T32" s="6">
        <v>2</v>
      </c>
      <c r="U32" s="5">
        <v>45198</v>
      </c>
      <c r="V32" s="6">
        <v>1</v>
      </c>
      <c r="W32" t="s">
        <v>86</v>
      </c>
      <c r="X32" s="6">
        <v>50</v>
      </c>
      <c r="Y32">
        <v>10.1906</v>
      </c>
      <c r="Z32">
        <v>3.0149704142011835</v>
      </c>
      <c r="AA32" s="6">
        <v>45.999941122210664</v>
      </c>
      <c r="AB32" s="4">
        <v>66.966714285714289</v>
      </c>
      <c r="AC32" s="6">
        <v>21.739158259860442</v>
      </c>
      <c r="AD32">
        <v>0.41836260899999994</v>
      </c>
      <c r="AE32">
        <v>1.4298787462823153</v>
      </c>
      <c r="AF32">
        <v>13750</v>
      </c>
      <c r="AG32" s="4">
        <v>0</v>
      </c>
      <c r="AH32" s="4">
        <v>25300</v>
      </c>
      <c r="AI32" t="s">
        <v>73</v>
      </c>
      <c r="AJ32" t="s">
        <v>73</v>
      </c>
      <c r="AK32" t="s">
        <v>78</v>
      </c>
      <c r="AL32">
        <v>46</v>
      </c>
      <c r="AM32">
        <v>5.3041400000000003</v>
      </c>
      <c r="AN32" t="s">
        <v>73</v>
      </c>
      <c r="AO32" t="s">
        <v>106</v>
      </c>
      <c r="AP32" s="5">
        <v>45148</v>
      </c>
      <c r="AQ32" t="s">
        <v>106</v>
      </c>
      <c r="AR32" s="5">
        <v>45194</v>
      </c>
      <c r="AS32">
        <v>171.84876945420288</v>
      </c>
      <c r="AT32" s="6"/>
      <c r="AU32">
        <v>37.779914823464757</v>
      </c>
      <c r="AV32">
        <v>40.605249936215721</v>
      </c>
      <c r="AW32">
        <v>43.648816556434355</v>
      </c>
      <c r="AX32">
        <v>122.03398131611482</v>
      </c>
      <c r="AY32">
        <v>14.995859910113241</v>
      </c>
      <c r="AZ32">
        <v>35.153631778305503</v>
      </c>
      <c r="BA32">
        <v>5.2935950778168106</v>
      </c>
      <c r="BB32">
        <v>13.263650815457382</v>
      </c>
      <c r="BC32">
        <v>25.337418797715539</v>
      </c>
      <c r="BD32">
        <v>94.044156379408477</v>
      </c>
      <c r="BE32">
        <v>-44.229368241320415</v>
      </c>
      <c r="BF32">
        <v>6.127585225600062</v>
      </c>
      <c r="BH32">
        <v>6.127585225600062</v>
      </c>
      <c r="BI32">
        <v>222.20572292112334</v>
      </c>
      <c r="BJ32" s="6">
        <v>174</v>
      </c>
      <c r="BK32">
        <v>-50.35695346692048</v>
      </c>
      <c r="BL32" s="4">
        <v>-513.16756999999984</v>
      </c>
      <c r="BM32" t="s">
        <v>1753</v>
      </c>
      <c r="BN32" t="s">
        <v>65</v>
      </c>
      <c r="BO32">
        <v>9</v>
      </c>
      <c r="BP32">
        <v>2023</v>
      </c>
      <c r="BQ32" t="str">
        <f t="shared" si="1"/>
        <v>Bansang9</v>
      </c>
      <c r="BR32">
        <f t="shared" si="2"/>
        <v>-491.24523999999951</v>
      </c>
      <c r="BS32">
        <f t="shared" si="3"/>
        <v>1751.2420699999998</v>
      </c>
      <c r="BT32" s="6">
        <f t="shared" si="4"/>
        <v>-48.205722921123339</v>
      </c>
    </row>
    <row r="33" spans="1:72">
      <c r="A33" s="3" t="s">
        <v>967</v>
      </c>
      <c r="B33" s="3" t="s">
        <v>1747</v>
      </c>
      <c r="C33" s="3" t="s">
        <v>1749</v>
      </c>
      <c r="D33" s="2" t="s">
        <v>1769</v>
      </c>
      <c r="E33" s="4" t="str">
        <f t="shared" si="0"/>
        <v>BansangA1-006-0013</v>
      </c>
      <c r="F33">
        <v>3.38</v>
      </c>
      <c r="G33">
        <v>1.5</v>
      </c>
      <c r="H33" t="s">
        <v>72</v>
      </c>
      <c r="I33" t="s">
        <v>75</v>
      </c>
      <c r="J33" t="s">
        <v>112</v>
      </c>
      <c r="K33" t="s">
        <v>79</v>
      </c>
      <c r="L33" t="s">
        <v>79</v>
      </c>
      <c r="M33">
        <v>3.1285623812539582</v>
      </c>
      <c r="N33" s="5">
        <v>44772</v>
      </c>
      <c r="O33" s="5">
        <v>44796</v>
      </c>
      <c r="P33">
        <v>0.8</v>
      </c>
      <c r="Q33" s="4">
        <v>99</v>
      </c>
      <c r="R33">
        <v>0.2</v>
      </c>
      <c r="S33" t="s">
        <v>70</v>
      </c>
      <c r="T33" s="6">
        <v>3</v>
      </c>
      <c r="U33" s="5">
        <v>44939</v>
      </c>
      <c r="V33" s="6">
        <v>1</v>
      </c>
      <c r="W33" t="s">
        <v>86</v>
      </c>
      <c r="X33" s="6">
        <v>143</v>
      </c>
      <c r="Y33">
        <v>15.87575</v>
      </c>
      <c r="Z33">
        <v>4.6969674556213024</v>
      </c>
      <c r="AA33" s="6">
        <v>24.362250602333749</v>
      </c>
      <c r="AB33" s="4">
        <v>48.346125000000001</v>
      </c>
      <c r="AC33" s="6">
        <v>41.047110807743124</v>
      </c>
      <c r="AD33">
        <v>0.38710178699999992</v>
      </c>
      <c r="AE33">
        <v>2.5117794342690067</v>
      </c>
      <c r="AF33">
        <v>39475</v>
      </c>
      <c r="AG33" s="4">
        <v>1000</v>
      </c>
      <c r="AH33" s="4">
        <v>123500</v>
      </c>
      <c r="AL33">
        <v>18</v>
      </c>
      <c r="AM33">
        <v>6.2413699999999999</v>
      </c>
      <c r="AN33" t="s">
        <v>81</v>
      </c>
      <c r="AO33" t="s">
        <v>101</v>
      </c>
      <c r="AP33" s="5">
        <v>44802</v>
      </c>
      <c r="AQ33" t="s">
        <v>105</v>
      </c>
      <c r="AR33" s="5">
        <v>44938</v>
      </c>
      <c r="AS33">
        <v>290.94185156606773</v>
      </c>
      <c r="AT33" s="6"/>
      <c r="AU33">
        <v>25.195660047556807</v>
      </c>
      <c r="AV33">
        <v>75.147473347715859</v>
      </c>
      <c r="AW33">
        <v>68.619115947278075</v>
      </c>
      <c r="AX33">
        <v>168.96224934255073</v>
      </c>
      <c r="AY33">
        <v>17.344837251783382</v>
      </c>
      <c r="AZ33">
        <v>54.037698376454664</v>
      </c>
      <c r="BA33">
        <v>5.0428962411224667</v>
      </c>
      <c r="BB33">
        <v>16.324573012298629</v>
      </c>
      <c r="BC33">
        <v>45.010102199896068</v>
      </c>
      <c r="BD33">
        <v>137.76010708155519</v>
      </c>
      <c r="BE33">
        <v>-15.780504858038199</v>
      </c>
      <c r="BF33">
        <v>6.7249685841613793</v>
      </c>
      <c r="BH33">
        <v>6.7249685841613793</v>
      </c>
      <c r="BI33">
        <v>313.44732500826734</v>
      </c>
      <c r="BJ33" s="6">
        <v>219</v>
      </c>
      <c r="BK33">
        <v>-22.505473442199612</v>
      </c>
      <c r="BL33" s="4">
        <v>-357.29127000000051</v>
      </c>
      <c r="BM33" t="s">
        <v>1770</v>
      </c>
      <c r="BN33" t="s">
        <v>65</v>
      </c>
      <c r="BO33">
        <v>1</v>
      </c>
      <c r="BP33">
        <v>2023</v>
      </c>
      <c r="BQ33" t="str">
        <f t="shared" si="1"/>
        <v>Bansang1</v>
      </c>
      <c r="BR33">
        <f t="shared" si="2"/>
        <v>-1499.4221200000002</v>
      </c>
      <c r="BS33">
        <f t="shared" si="3"/>
        <v>4618.9200999999994</v>
      </c>
      <c r="BT33" s="6">
        <f t="shared" si="4"/>
        <v>-94.447325008267342</v>
      </c>
    </row>
    <row r="34" spans="1:72">
      <c r="A34" s="3" t="s">
        <v>967</v>
      </c>
      <c r="B34" s="3" t="s">
        <v>1747</v>
      </c>
      <c r="C34" s="3" t="s">
        <v>1749</v>
      </c>
      <c r="D34" s="2" t="s">
        <v>1764</v>
      </c>
      <c r="E34" s="4" t="str">
        <f t="shared" si="0"/>
        <v>BansangA1-005-0014</v>
      </c>
      <c r="F34">
        <v>3.38</v>
      </c>
      <c r="G34">
        <v>1.5</v>
      </c>
      <c r="H34" t="s">
        <v>72</v>
      </c>
      <c r="I34" t="s">
        <v>75</v>
      </c>
      <c r="J34" t="s">
        <v>112</v>
      </c>
      <c r="K34" t="s">
        <v>79</v>
      </c>
      <c r="L34" t="s">
        <v>79</v>
      </c>
      <c r="M34">
        <v>3.1583924349881798</v>
      </c>
      <c r="N34" s="5">
        <v>44804</v>
      </c>
      <c r="O34" s="5">
        <v>44831</v>
      </c>
      <c r="P34">
        <v>0.8</v>
      </c>
      <c r="Q34" s="4">
        <v>99</v>
      </c>
      <c r="R34">
        <v>0.2</v>
      </c>
      <c r="S34" t="s">
        <v>70</v>
      </c>
      <c r="T34" s="6">
        <v>3</v>
      </c>
      <c r="U34" s="5">
        <v>44943</v>
      </c>
      <c r="V34" s="6">
        <v>1</v>
      </c>
      <c r="W34" t="s">
        <v>86</v>
      </c>
      <c r="X34" s="6">
        <v>112</v>
      </c>
      <c r="Y34">
        <v>17.161000000000001</v>
      </c>
      <c r="Z34">
        <v>5.0772189349112429</v>
      </c>
      <c r="AA34" s="6">
        <v>27.578404521881009</v>
      </c>
      <c r="AB34" s="4">
        <v>59.159125000000003</v>
      </c>
      <c r="AC34" s="6">
        <v>36.260255708650185</v>
      </c>
      <c r="AD34">
        <v>0.38641304300000001</v>
      </c>
      <c r="AE34">
        <v>1.8660535305909258</v>
      </c>
      <c r="AF34">
        <v>31725</v>
      </c>
      <c r="AG34" s="4">
        <v>0</v>
      </c>
      <c r="AH34" s="4">
        <v>100200</v>
      </c>
      <c r="AL34">
        <v>23</v>
      </c>
      <c r="AM34">
        <v>7.6938800000000001</v>
      </c>
      <c r="AN34" t="s">
        <v>81</v>
      </c>
      <c r="AO34" t="s">
        <v>109</v>
      </c>
      <c r="AP34" s="5">
        <v>44834</v>
      </c>
      <c r="AQ34" t="s">
        <v>105</v>
      </c>
      <c r="AR34" s="5">
        <v>44942</v>
      </c>
      <c r="AS34">
        <v>279.37475380222594</v>
      </c>
      <c r="AT34" s="6"/>
      <c r="AU34">
        <v>20.97779849659111</v>
      </c>
      <c r="AV34">
        <v>55.935988578754149</v>
      </c>
      <c r="AW34">
        <v>54.257603286521778</v>
      </c>
      <c r="AX34">
        <v>131.17139036186705</v>
      </c>
      <c r="AY34">
        <v>12.720749956296254</v>
      </c>
      <c r="AZ34">
        <v>45.15760678282151</v>
      </c>
      <c r="BA34">
        <v>4.4941804090670709</v>
      </c>
      <c r="BB34">
        <v>14.212253947905136</v>
      </c>
      <c r="BC34">
        <v>34.935829497115556</v>
      </c>
      <c r="BD34">
        <v>111.52062059320554</v>
      </c>
      <c r="BE34">
        <v>36.682742847153349</v>
      </c>
      <c r="BF34">
        <v>4.8583637317172652</v>
      </c>
      <c r="BH34">
        <v>4.8583637317172652</v>
      </c>
      <c r="BI34">
        <v>247.55037468678978</v>
      </c>
      <c r="BJ34" s="6">
        <v>207</v>
      </c>
      <c r="BK34">
        <v>31.824379115436159</v>
      </c>
      <c r="BL34" s="4">
        <v>546.13816999999995</v>
      </c>
      <c r="BM34" t="s">
        <v>1748</v>
      </c>
      <c r="BN34" t="s">
        <v>65</v>
      </c>
      <c r="BO34">
        <v>1</v>
      </c>
      <c r="BP34">
        <v>2023</v>
      </c>
      <c r="BQ34" t="str">
        <f t="shared" si="1"/>
        <v>Bansang1</v>
      </c>
      <c r="BR34">
        <f t="shared" si="2"/>
        <v>-695.88497999999947</v>
      </c>
      <c r="BS34">
        <f t="shared" si="3"/>
        <v>4794.3501499999993</v>
      </c>
      <c r="BT34" s="6">
        <f t="shared" si="4"/>
        <v>-40.55037468678978</v>
      </c>
    </row>
    <row r="35" spans="1:72">
      <c r="A35" s="3" t="s">
        <v>967</v>
      </c>
      <c r="B35" s="3" t="s">
        <v>1747</v>
      </c>
      <c r="C35" s="3" t="s">
        <v>1749</v>
      </c>
      <c r="D35" s="2" t="s">
        <v>1760</v>
      </c>
      <c r="E35" s="4" t="str">
        <f t="shared" si="0"/>
        <v>BansangA1-007-0017</v>
      </c>
      <c r="F35">
        <v>3.38</v>
      </c>
      <c r="G35">
        <v>1.5</v>
      </c>
      <c r="H35" t="s">
        <v>72</v>
      </c>
      <c r="I35" t="s">
        <v>75</v>
      </c>
      <c r="J35" t="s">
        <v>112</v>
      </c>
      <c r="K35" t="s">
        <v>79</v>
      </c>
      <c r="L35" t="s">
        <v>79</v>
      </c>
      <c r="M35">
        <v>1.6490785645004851</v>
      </c>
      <c r="N35" s="5">
        <v>45009</v>
      </c>
      <c r="O35" s="5">
        <v>45038</v>
      </c>
      <c r="P35">
        <v>1</v>
      </c>
      <c r="Q35" s="4">
        <v>123</v>
      </c>
      <c r="R35">
        <v>0.42</v>
      </c>
      <c r="S35" t="s">
        <v>70</v>
      </c>
      <c r="T35" s="6">
        <v>4</v>
      </c>
      <c r="U35" s="5">
        <v>45143</v>
      </c>
      <c r="V35" s="6">
        <v>1</v>
      </c>
      <c r="W35" t="s">
        <v>86</v>
      </c>
      <c r="X35" s="6">
        <v>105.00000000000001</v>
      </c>
      <c r="Y35">
        <v>27.400359999999999</v>
      </c>
      <c r="Z35">
        <v>8.1066153846153846</v>
      </c>
      <c r="AA35" s="6">
        <v>28.96363405444308</v>
      </c>
      <c r="AB35" s="4">
        <v>79.361400000000003</v>
      </c>
      <c r="AC35" s="6">
        <v>34.526054227874006</v>
      </c>
      <c r="AD35">
        <v>0.34873368599999999</v>
      </c>
      <c r="AE35">
        <v>1.910649079552682</v>
      </c>
      <c r="AF35">
        <v>51550</v>
      </c>
      <c r="AG35" s="4">
        <v>0</v>
      </c>
      <c r="AH35" s="4">
        <v>85010</v>
      </c>
      <c r="AL35">
        <v>26.999999999999996</v>
      </c>
      <c r="AM35">
        <v>9.9426299999999994</v>
      </c>
      <c r="AN35" t="s">
        <v>81</v>
      </c>
      <c r="AO35" t="s">
        <v>90</v>
      </c>
      <c r="AP35" s="5">
        <v>45040</v>
      </c>
      <c r="AQ35" t="s">
        <v>106</v>
      </c>
      <c r="AR35" s="5">
        <v>45138</v>
      </c>
      <c r="AS35">
        <v>195.18531325865789</v>
      </c>
      <c r="AT35" s="6"/>
      <c r="AU35">
        <v>16.423141885727048</v>
      </c>
      <c r="AV35">
        <v>57.478724732083833</v>
      </c>
      <c r="AW35">
        <v>38.091830545292105</v>
      </c>
      <c r="AX35">
        <v>111.99369716310298</v>
      </c>
      <c r="AY35">
        <v>9.9207163701498811</v>
      </c>
      <c r="AZ35">
        <v>30.990136990900847</v>
      </c>
      <c r="BA35">
        <v>4.5938462122395478</v>
      </c>
      <c r="BB35">
        <v>7.1069785214500838</v>
      </c>
      <c r="BC35">
        <v>17.700563423254295</v>
      </c>
      <c r="BD35">
        <v>70.31224151799465</v>
      </c>
      <c r="BE35">
        <v>12.879374577560256</v>
      </c>
      <c r="BF35">
        <v>3.5710067312984211</v>
      </c>
      <c r="BH35">
        <v>3.5710067312984211</v>
      </c>
      <c r="BI35">
        <v>185.876945412396</v>
      </c>
      <c r="BJ35" s="6">
        <v>200</v>
      </c>
      <c r="BK35">
        <v>9.3083678462619037</v>
      </c>
      <c r="BL35" s="4">
        <v>255.05263000000082</v>
      </c>
      <c r="BM35" t="s">
        <v>1761</v>
      </c>
      <c r="BN35" t="s">
        <v>65</v>
      </c>
      <c r="BO35">
        <v>8</v>
      </c>
      <c r="BP35">
        <v>2023</v>
      </c>
      <c r="BQ35" t="str">
        <f t="shared" si="1"/>
        <v>Bansang8</v>
      </c>
      <c r="BR35">
        <f t="shared" si="2"/>
        <v>386.97678000000121</v>
      </c>
      <c r="BS35">
        <f t="shared" si="3"/>
        <v>5348.1478499999994</v>
      </c>
      <c r="BT35" s="6">
        <f t="shared" si="4"/>
        <v>14.123054587604003</v>
      </c>
    </row>
    <row r="36" spans="1:72">
      <c r="A36" s="3" t="s">
        <v>967</v>
      </c>
      <c r="B36" s="3" t="s">
        <v>1747</v>
      </c>
      <c r="C36" s="3" t="s">
        <v>1749</v>
      </c>
      <c r="D36" s="2" t="s">
        <v>1762</v>
      </c>
      <c r="E36" s="4" t="str">
        <f t="shared" si="0"/>
        <v>BansangA1-005-0015</v>
      </c>
      <c r="F36">
        <v>3.38</v>
      </c>
      <c r="G36">
        <v>1.8</v>
      </c>
      <c r="H36" t="s">
        <v>72</v>
      </c>
      <c r="I36" t="s">
        <v>75</v>
      </c>
      <c r="J36" t="s">
        <v>112</v>
      </c>
      <c r="K36" t="s">
        <v>79</v>
      </c>
      <c r="L36" t="s">
        <v>79</v>
      </c>
      <c r="M36">
        <v>1.3917910447761195</v>
      </c>
      <c r="N36" s="5">
        <v>44967</v>
      </c>
      <c r="O36" s="5">
        <v>44982</v>
      </c>
      <c r="P36">
        <v>1</v>
      </c>
      <c r="Q36" s="4">
        <v>103</v>
      </c>
      <c r="R36">
        <v>0.45</v>
      </c>
      <c r="S36" t="s">
        <v>70</v>
      </c>
      <c r="T36" s="6">
        <v>5</v>
      </c>
      <c r="U36" s="5">
        <v>45094</v>
      </c>
      <c r="V36" s="6">
        <v>1</v>
      </c>
      <c r="W36" t="s">
        <v>86</v>
      </c>
      <c r="X36" s="6">
        <v>112</v>
      </c>
      <c r="Y36">
        <v>24.177</v>
      </c>
      <c r="Z36">
        <v>7.1529585798816573</v>
      </c>
      <c r="AA36" s="6">
        <v>28.631426562435372</v>
      </c>
      <c r="AB36" s="4">
        <v>69.222200000000001</v>
      </c>
      <c r="AC36" s="6">
        <v>34.926656477257296</v>
      </c>
      <c r="AD36">
        <v>0.32666997399999997</v>
      </c>
      <c r="AE36">
        <v>2.2590202763928167</v>
      </c>
      <c r="AF36">
        <v>53600</v>
      </c>
      <c r="AG36" s="4">
        <v>0</v>
      </c>
      <c r="AH36" s="4">
        <v>74600</v>
      </c>
      <c r="AL36">
        <v>27.000000000000004</v>
      </c>
      <c r="AM36">
        <v>6.0035100000000003</v>
      </c>
      <c r="AN36" t="s">
        <v>81</v>
      </c>
      <c r="AO36" t="s">
        <v>106</v>
      </c>
      <c r="AP36" s="5">
        <v>44982</v>
      </c>
      <c r="AQ36" t="s">
        <v>106</v>
      </c>
      <c r="AR36" s="5">
        <v>45092</v>
      </c>
      <c r="AS36">
        <v>209.52946643504157</v>
      </c>
      <c r="AT36" s="6"/>
      <c r="AU36">
        <v>18.612731108077924</v>
      </c>
      <c r="AV36">
        <v>70.694484427348286</v>
      </c>
      <c r="AW36">
        <v>41.245942838234676</v>
      </c>
      <c r="AX36">
        <v>130.55315837366086</v>
      </c>
      <c r="AY36">
        <v>8.8753836290689492</v>
      </c>
      <c r="AZ36">
        <v>34.204830210530673</v>
      </c>
      <c r="BA36">
        <v>4.3124730115398933</v>
      </c>
      <c r="BB36">
        <v>8.1926347354924101</v>
      </c>
      <c r="BC36">
        <v>20.460722173966992</v>
      </c>
      <c r="BD36">
        <v>76.04604376059892</v>
      </c>
      <c r="BE36">
        <v>2.9302643007817863</v>
      </c>
      <c r="BF36">
        <v>3.6278880754436034</v>
      </c>
      <c r="BH36">
        <v>3.6278880754436034</v>
      </c>
      <c r="BI36">
        <v>210.22709020970342</v>
      </c>
      <c r="BJ36" s="6">
        <v>204</v>
      </c>
      <c r="BK36">
        <v>-0.69762377466183789</v>
      </c>
      <c r="BL36" s="4">
        <v>-16.866449999999254</v>
      </c>
      <c r="BM36" t="s">
        <v>1763</v>
      </c>
      <c r="BN36" t="s">
        <v>65</v>
      </c>
      <c r="BO36">
        <v>6</v>
      </c>
      <c r="BP36">
        <v>2023</v>
      </c>
      <c r="BQ36" t="str">
        <f t="shared" si="1"/>
        <v>Bansang6</v>
      </c>
      <c r="BR36">
        <f t="shared" si="2"/>
        <v>-150.55235999999957</v>
      </c>
      <c r="BS36">
        <f t="shared" si="3"/>
        <v>5065.7939100000003</v>
      </c>
      <c r="BT36" s="6">
        <f t="shared" si="4"/>
        <v>-6.2270902097034195</v>
      </c>
    </row>
    <row r="37" spans="1:72">
      <c r="A37" s="3" t="s">
        <v>967</v>
      </c>
      <c r="B37" s="3" t="s">
        <v>1747</v>
      </c>
      <c r="C37" s="3" t="s">
        <v>1749</v>
      </c>
      <c r="D37" s="2" t="s">
        <v>1758</v>
      </c>
      <c r="E37" s="4" t="str">
        <f t="shared" si="0"/>
        <v>BansangA1-006-0014</v>
      </c>
      <c r="F37">
        <v>3.38</v>
      </c>
      <c r="G37">
        <v>1.5</v>
      </c>
      <c r="H37" t="s">
        <v>72</v>
      </c>
      <c r="I37" t="s">
        <v>75</v>
      </c>
      <c r="J37" t="s">
        <v>112</v>
      </c>
      <c r="K37" t="s">
        <v>79</v>
      </c>
      <c r="L37" t="s">
        <v>79</v>
      </c>
      <c r="M37">
        <v>1.8210477515067223</v>
      </c>
      <c r="N37" s="5">
        <v>44940</v>
      </c>
      <c r="O37" s="5">
        <v>44967</v>
      </c>
      <c r="P37">
        <v>1</v>
      </c>
      <c r="Q37" s="4">
        <v>123</v>
      </c>
      <c r="R37">
        <v>0.45</v>
      </c>
      <c r="S37" t="s">
        <v>70</v>
      </c>
      <c r="T37" s="6">
        <v>5</v>
      </c>
      <c r="U37" s="5">
        <v>45084</v>
      </c>
      <c r="V37" s="6">
        <v>1</v>
      </c>
      <c r="W37" t="s">
        <v>86</v>
      </c>
      <c r="X37" s="6">
        <v>117</v>
      </c>
      <c r="Y37">
        <v>23.783330000000003</v>
      </c>
      <c r="Z37">
        <v>7.0364881656804741</v>
      </c>
      <c r="AA37" s="6">
        <v>29.88900208675572</v>
      </c>
      <c r="AB37" s="4">
        <v>71.085999999999999</v>
      </c>
      <c r="AC37" s="6">
        <v>33.457122358832969</v>
      </c>
      <c r="AD37">
        <v>0.31270971800000003</v>
      </c>
      <c r="AE37">
        <v>2.3110717587245366</v>
      </c>
      <c r="AF37">
        <v>53925</v>
      </c>
      <c r="AG37" s="4">
        <v>500</v>
      </c>
      <c r="AH37" s="4">
        <v>98200</v>
      </c>
      <c r="AL37">
        <v>27</v>
      </c>
      <c r="AM37">
        <v>7.6513500000000008</v>
      </c>
      <c r="AN37" t="s">
        <v>81</v>
      </c>
      <c r="AO37" t="s">
        <v>99</v>
      </c>
      <c r="AP37" s="5">
        <v>44968</v>
      </c>
      <c r="AQ37" t="s">
        <v>106</v>
      </c>
      <c r="AR37" s="5">
        <v>45082</v>
      </c>
      <c r="AS37">
        <v>213.20306113567773</v>
      </c>
      <c r="AT37" s="6"/>
      <c r="AU37">
        <v>18.92081554601479</v>
      </c>
      <c r="AV37">
        <v>72.73467844914903</v>
      </c>
      <c r="AW37">
        <v>42.989223964852698</v>
      </c>
      <c r="AX37">
        <v>134.64471796001652</v>
      </c>
      <c r="AY37">
        <v>9.5955650449285272</v>
      </c>
      <c r="AZ37">
        <v>38.159557135186702</v>
      </c>
      <c r="BA37">
        <v>5.120981796914057</v>
      </c>
      <c r="BB37">
        <v>7.6233874734950904</v>
      </c>
      <c r="BC37">
        <v>22.944022136513269</v>
      </c>
      <c r="BD37">
        <v>83.443513587037643</v>
      </c>
      <c r="BE37">
        <v>-4.8851704113764356</v>
      </c>
      <c r="BF37">
        <v>4.0401037197061971</v>
      </c>
      <c r="BH37">
        <v>4.0401037197061971</v>
      </c>
      <c r="BI37">
        <v>222.12833526676036</v>
      </c>
      <c r="BJ37" s="6">
        <v>200</v>
      </c>
      <c r="BK37">
        <v>-8.9252741310826167</v>
      </c>
      <c r="BL37" s="4">
        <v>-212.27274000000116</v>
      </c>
      <c r="BM37" t="s">
        <v>1759</v>
      </c>
      <c r="BN37" t="s">
        <v>65</v>
      </c>
      <c r="BO37">
        <v>6</v>
      </c>
      <c r="BP37">
        <v>2023</v>
      </c>
      <c r="BQ37" t="str">
        <f t="shared" si="1"/>
        <v>Bansang6</v>
      </c>
      <c r="BR37">
        <f t="shared" si="2"/>
        <v>-526.28549999999973</v>
      </c>
      <c r="BS37">
        <f t="shared" si="3"/>
        <v>5070.6787599999989</v>
      </c>
      <c r="BT37" s="6">
        <f t="shared" si="4"/>
        <v>-22.128335266760359</v>
      </c>
    </row>
    <row r="38" spans="1:72">
      <c r="A38" s="3" t="s">
        <v>967</v>
      </c>
      <c r="B38" s="3" t="s">
        <v>1747</v>
      </c>
      <c r="C38" s="3" t="s">
        <v>1749</v>
      </c>
      <c r="D38" s="2" t="s">
        <v>1754</v>
      </c>
      <c r="E38" s="4" t="str">
        <f t="shared" si="0"/>
        <v>BansangA1-008-0014</v>
      </c>
      <c r="F38">
        <v>3.38</v>
      </c>
      <c r="G38">
        <v>1.5</v>
      </c>
      <c r="H38" t="s">
        <v>72</v>
      </c>
      <c r="I38" t="s">
        <v>75</v>
      </c>
      <c r="J38" t="s">
        <v>112</v>
      </c>
      <c r="K38" t="s">
        <v>79</v>
      </c>
      <c r="L38" t="s">
        <v>79</v>
      </c>
      <c r="M38">
        <v>1.7347509792949076</v>
      </c>
      <c r="N38" s="5">
        <v>44932</v>
      </c>
      <c r="O38" s="5">
        <v>44951</v>
      </c>
      <c r="P38">
        <v>1</v>
      </c>
      <c r="Q38" s="4">
        <v>123</v>
      </c>
      <c r="R38">
        <v>0.34</v>
      </c>
      <c r="S38" t="s">
        <v>70</v>
      </c>
      <c r="T38" s="6">
        <v>3</v>
      </c>
      <c r="U38" s="5">
        <v>45054</v>
      </c>
      <c r="V38" s="6">
        <v>1</v>
      </c>
      <c r="W38" t="s">
        <v>86</v>
      </c>
      <c r="X38" s="6">
        <v>103</v>
      </c>
      <c r="Y38">
        <v>23.061229999999998</v>
      </c>
      <c r="Z38">
        <v>6.8228491124260353</v>
      </c>
      <c r="AA38" s="6">
        <v>32.88844523904406</v>
      </c>
      <c r="AB38" s="4">
        <v>75.844800000000006</v>
      </c>
      <c r="AC38" s="6">
        <v>30.405815560196611</v>
      </c>
      <c r="AD38">
        <v>0.30009708699999998</v>
      </c>
      <c r="AE38">
        <v>1.9662227793125637</v>
      </c>
      <c r="AF38">
        <v>44675</v>
      </c>
      <c r="AG38" s="4">
        <v>0</v>
      </c>
      <c r="AH38" s="4">
        <v>77500</v>
      </c>
      <c r="AL38">
        <v>32</v>
      </c>
      <c r="AM38">
        <v>7.2443800000000005</v>
      </c>
      <c r="AN38" t="s">
        <v>81</v>
      </c>
      <c r="AO38" t="s">
        <v>105</v>
      </c>
      <c r="AP38" s="5">
        <v>44952</v>
      </c>
      <c r="AQ38" t="s">
        <v>106</v>
      </c>
      <c r="AR38" s="5">
        <v>45050</v>
      </c>
      <c r="AS38">
        <v>212.38378742157298</v>
      </c>
      <c r="AT38" s="6"/>
      <c r="AU38">
        <v>17.345128598951575</v>
      </c>
      <c r="AV38">
        <v>62.37389419384828</v>
      </c>
      <c r="AW38">
        <v>36.354030118948565</v>
      </c>
      <c r="AX38">
        <v>116.07305291174842</v>
      </c>
      <c r="AY38">
        <v>7.9435181904868033</v>
      </c>
      <c r="AZ38">
        <v>33.270363723010441</v>
      </c>
      <c r="BA38">
        <v>4.8596349804411991</v>
      </c>
      <c r="BB38">
        <v>4.3678758678526686</v>
      </c>
      <c r="BC38">
        <v>20.438313567836584</v>
      </c>
      <c r="BD38">
        <v>70.879706329627695</v>
      </c>
      <c r="BE38">
        <v>25.431028180196861</v>
      </c>
      <c r="BF38">
        <v>3.509199639394776</v>
      </c>
      <c r="BH38">
        <v>3.509199639394776</v>
      </c>
      <c r="BI38">
        <v>190.46195888077088</v>
      </c>
      <c r="BJ38" s="6">
        <v>192</v>
      </c>
      <c r="BK38">
        <v>21.921828540802075</v>
      </c>
      <c r="BL38" s="4">
        <v>505.54433000000103</v>
      </c>
      <c r="BM38" t="s">
        <v>1755</v>
      </c>
      <c r="BN38" t="s">
        <v>65</v>
      </c>
      <c r="BO38">
        <v>5</v>
      </c>
      <c r="BP38">
        <v>2023</v>
      </c>
      <c r="BQ38" t="str">
        <f t="shared" si="1"/>
        <v>Bansang5</v>
      </c>
      <c r="BR38">
        <f t="shared" si="2"/>
        <v>35.469120000000167</v>
      </c>
      <c r="BS38">
        <f t="shared" si="3"/>
        <v>4897.8313700000008</v>
      </c>
      <c r="BT38" s="6">
        <f t="shared" si="4"/>
        <v>1.5380411192291206</v>
      </c>
    </row>
    <row r="39" spans="1:72">
      <c r="A39" s="3" t="s">
        <v>967</v>
      </c>
      <c r="B39" s="3" t="s">
        <v>1747</v>
      </c>
      <c r="C39" s="3" t="s">
        <v>1749</v>
      </c>
      <c r="D39" s="2" t="s">
        <v>1756</v>
      </c>
      <c r="E39" s="4" t="str">
        <f t="shared" si="0"/>
        <v>BansangA1-007-0016</v>
      </c>
      <c r="F39">
        <v>3.38</v>
      </c>
      <c r="G39">
        <v>1.8</v>
      </c>
      <c r="H39" t="s">
        <v>72</v>
      </c>
      <c r="I39" t="s">
        <v>75</v>
      </c>
      <c r="J39" t="s">
        <v>112</v>
      </c>
      <c r="K39" t="s">
        <v>79</v>
      </c>
      <c r="L39" t="s">
        <v>79</v>
      </c>
      <c r="M39">
        <v>2.8932169241101411</v>
      </c>
      <c r="N39" s="5">
        <v>44813</v>
      </c>
      <c r="O39" s="5">
        <v>44860</v>
      </c>
      <c r="P39">
        <v>1</v>
      </c>
      <c r="Q39" s="4">
        <v>103</v>
      </c>
      <c r="R39">
        <v>0.2</v>
      </c>
      <c r="S39" t="s">
        <v>70</v>
      </c>
      <c r="T39" s="6">
        <v>3</v>
      </c>
      <c r="U39" s="5">
        <v>44993</v>
      </c>
      <c r="V39" s="6">
        <v>1</v>
      </c>
      <c r="W39" t="s">
        <v>86</v>
      </c>
      <c r="X39" s="6">
        <v>133</v>
      </c>
      <c r="Y39">
        <v>20.58954</v>
      </c>
      <c r="Z39">
        <v>6.0915798816568048</v>
      </c>
      <c r="AA39" s="6">
        <v>30.559546255040178</v>
      </c>
      <c r="AB39" s="4">
        <v>62.920699999999997</v>
      </c>
      <c r="AC39" s="6">
        <v>32.722998949471318</v>
      </c>
      <c r="AD39">
        <v>0.28768073999999999</v>
      </c>
      <c r="AE39">
        <v>1.8256910160798134</v>
      </c>
      <c r="AF39">
        <v>37225</v>
      </c>
      <c r="AG39" s="4">
        <v>0</v>
      </c>
      <c r="AH39" s="4">
        <v>107700</v>
      </c>
      <c r="AL39">
        <v>26</v>
      </c>
      <c r="AM39">
        <v>8.0990900000000003</v>
      </c>
      <c r="AN39" t="s">
        <v>81</v>
      </c>
      <c r="AO39" t="s">
        <v>101</v>
      </c>
      <c r="AP39" s="5">
        <v>44861</v>
      </c>
      <c r="AQ39" t="s">
        <v>99</v>
      </c>
      <c r="AR39" s="5">
        <v>44987</v>
      </c>
      <c r="AS39">
        <v>266.89281790656815</v>
      </c>
      <c r="AT39" s="6"/>
      <c r="AU39">
        <v>19.427340290263892</v>
      </c>
      <c r="AV39">
        <v>56.12996113560574</v>
      </c>
      <c r="AW39">
        <v>58.021699853420735</v>
      </c>
      <c r="AX39">
        <v>133.57900127929037</v>
      </c>
      <c r="AY39">
        <v>13.26146674476457</v>
      </c>
      <c r="AZ39">
        <v>49.784687758930012</v>
      </c>
      <c r="BA39">
        <v>5.4548173490034264</v>
      </c>
      <c r="BB39">
        <v>12.554493689514189</v>
      </c>
      <c r="BC39">
        <v>38.232044037894966</v>
      </c>
      <c r="BD39">
        <v>119.28750958010716</v>
      </c>
      <c r="BE39">
        <v>14.026307047170633</v>
      </c>
      <c r="BF39">
        <v>5.3859260576001216</v>
      </c>
      <c r="BH39">
        <v>5.3859260576001216</v>
      </c>
      <c r="BI39">
        <v>258.25243691699762</v>
      </c>
      <c r="BJ39" s="6">
        <v>197</v>
      </c>
      <c r="BK39">
        <v>8.6403809895705095</v>
      </c>
      <c r="BL39" s="4">
        <v>177.90147000000161</v>
      </c>
      <c r="BM39" t="s">
        <v>1757</v>
      </c>
      <c r="BN39" t="s">
        <v>65</v>
      </c>
      <c r="BO39">
        <v>3</v>
      </c>
      <c r="BP39">
        <v>2023</v>
      </c>
      <c r="BQ39" t="str">
        <f t="shared" si="1"/>
        <v>Bansang3</v>
      </c>
      <c r="BR39">
        <f t="shared" si="2"/>
        <v>-1261.1594999999993</v>
      </c>
      <c r="BS39">
        <f t="shared" si="3"/>
        <v>5495.200350000001</v>
      </c>
      <c r="BT39" s="6">
        <f t="shared" si="4"/>
        <v>-61.252436916997624</v>
      </c>
    </row>
    <row r="40" spans="1:72">
      <c r="A40" s="3" t="s">
        <v>967</v>
      </c>
      <c r="B40" s="3" t="s">
        <v>1747</v>
      </c>
      <c r="C40" s="3" t="s">
        <v>1749</v>
      </c>
      <c r="D40" s="2" t="s">
        <v>1750</v>
      </c>
      <c r="E40" s="4" t="str">
        <f t="shared" si="0"/>
        <v>BansangA1-007-0018</v>
      </c>
      <c r="F40">
        <v>3.38</v>
      </c>
      <c r="G40">
        <v>1.5</v>
      </c>
      <c r="H40" t="s">
        <v>72</v>
      </c>
      <c r="I40" t="s">
        <v>75</v>
      </c>
      <c r="J40" t="s">
        <v>112</v>
      </c>
      <c r="K40" t="s">
        <v>79</v>
      </c>
      <c r="L40" t="s">
        <v>79</v>
      </c>
      <c r="M40">
        <v>0</v>
      </c>
      <c r="N40" s="5">
        <v>45144</v>
      </c>
      <c r="O40" s="5">
        <v>45192</v>
      </c>
      <c r="P40">
        <v>0.8</v>
      </c>
      <c r="Q40" s="4">
        <v>99</v>
      </c>
      <c r="R40">
        <v>0.375</v>
      </c>
      <c r="S40" t="s">
        <v>70</v>
      </c>
      <c r="T40" s="6">
        <v>1</v>
      </c>
      <c r="U40" s="5">
        <v>45224</v>
      </c>
      <c r="V40" s="6">
        <v>2</v>
      </c>
      <c r="W40" t="s">
        <v>71</v>
      </c>
      <c r="X40" s="6">
        <v>32</v>
      </c>
      <c r="Y40">
        <v>5.2088599999999996</v>
      </c>
      <c r="Z40">
        <v>1.5410828402366863</v>
      </c>
      <c r="AA40" s="6">
        <v>129.00001151883524</v>
      </c>
      <c r="AB40" s="4">
        <v>83.992874999999998</v>
      </c>
      <c r="AC40" s="6">
        <v>7.7519372923000898</v>
      </c>
      <c r="AD40">
        <v>0.23052931199999996</v>
      </c>
      <c r="AE40">
        <v>1.2681152039373704</v>
      </c>
      <c r="AF40">
        <v>6225</v>
      </c>
      <c r="AG40" s="4">
        <v>0</v>
      </c>
      <c r="AH40" s="4">
        <v>0</v>
      </c>
      <c r="AI40" t="s">
        <v>73</v>
      </c>
      <c r="AJ40" t="s">
        <v>73</v>
      </c>
      <c r="AK40" t="s">
        <v>136</v>
      </c>
      <c r="AL40">
        <v>129</v>
      </c>
      <c r="AM40">
        <v>5.2088599999999996</v>
      </c>
      <c r="AN40" t="s">
        <v>73</v>
      </c>
      <c r="AO40" t="s">
        <v>106</v>
      </c>
      <c r="AP40" s="5">
        <v>45194</v>
      </c>
      <c r="AQ40" t="s">
        <v>101</v>
      </c>
      <c r="AR40" s="5">
        <v>45222</v>
      </c>
      <c r="AS40">
        <v>80.191377767880113</v>
      </c>
      <c r="AT40" s="6"/>
      <c r="AU40">
        <v>61.433787815376114</v>
      </c>
      <c r="AV40">
        <v>36.088670073682152</v>
      </c>
      <c r="AW40">
        <v>86.3244510315117</v>
      </c>
      <c r="AX40">
        <v>183.84690892056997</v>
      </c>
      <c r="AY40">
        <v>29.300551368245646</v>
      </c>
      <c r="AZ40">
        <v>73.778055083070001</v>
      </c>
      <c r="BA40">
        <v>7.028489919099381</v>
      </c>
      <c r="BB40">
        <v>41.651570593181624</v>
      </c>
      <c r="BC40">
        <v>53.817633800870048</v>
      </c>
      <c r="BD40">
        <v>205.57630076446671</v>
      </c>
      <c r="BE40">
        <v>-309.23183191715657</v>
      </c>
      <c r="BF40">
        <v>11.970995572927666</v>
      </c>
      <c r="BH40">
        <v>11.970995572927666</v>
      </c>
      <c r="BI40">
        <v>401.39420525796436</v>
      </c>
      <c r="BJ40" s="6">
        <v>150</v>
      </c>
      <c r="BK40">
        <v>-321.20282749008425</v>
      </c>
      <c r="BL40" s="4">
        <v>-1673.1005600000001</v>
      </c>
      <c r="BM40" t="s">
        <v>1751</v>
      </c>
      <c r="BN40" t="s">
        <v>65</v>
      </c>
      <c r="BO40">
        <v>10</v>
      </c>
      <c r="BP40">
        <v>2023</v>
      </c>
      <c r="BQ40" t="str">
        <f t="shared" si="1"/>
        <v>Bansang10</v>
      </c>
      <c r="BR40">
        <f t="shared" si="2"/>
        <v>-1309.4772200000002</v>
      </c>
      <c r="BS40">
        <f t="shared" si="3"/>
        <v>417.70565999999997</v>
      </c>
      <c r="BT40" s="6">
        <f t="shared" si="4"/>
        <v>-251.39420525796436</v>
      </c>
    </row>
    <row r="41" spans="1:72">
      <c r="A41" s="3" t="s">
        <v>967</v>
      </c>
      <c r="B41" s="3" t="s">
        <v>1660</v>
      </c>
      <c r="C41" s="3" t="s">
        <v>1699</v>
      </c>
      <c r="D41" s="2" t="s">
        <v>1711</v>
      </c>
      <c r="E41" s="4" t="str">
        <f t="shared" si="0"/>
        <v>Petchburi5B1-127-0009</v>
      </c>
      <c r="F41">
        <v>1.5</v>
      </c>
      <c r="G41">
        <v>1.5</v>
      </c>
      <c r="H41" t="s">
        <v>72</v>
      </c>
      <c r="I41" t="s">
        <v>75</v>
      </c>
      <c r="J41" t="s">
        <v>357</v>
      </c>
      <c r="K41" t="s">
        <v>79</v>
      </c>
      <c r="L41" t="s">
        <v>79</v>
      </c>
      <c r="M41">
        <v>0.83795771015987619</v>
      </c>
      <c r="N41" s="5">
        <v>45057</v>
      </c>
      <c r="O41" s="5">
        <v>45087</v>
      </c>
      <c r="P41">
        <v>1</v>
      </c>
      <c r="Q41" s="4">
        <v>278</v>
      </c>
      <c r="R41">
        <v>0.51600000000000001</v>
      </c>
      <c r="S41" t="s">
        <v>70</v>
      </c>
      <c r="T41" s="6">
        <v>6</v>
      </c>
      <c r="U41" s="5">
        <v>45212</v>
      </c>
      <c r="V41" s="6">
        <v>1</v>
      </c>
      <c r="W41" t="s">
        <v>86</v>
      </c>
      <c r="X41" s="6">
        <v>125</v>
      </c>
      <c r="Y41">
        <v>26.976220000000001</v>
      </c>
      <c r="Z41">
        <v>17.984146666666668</v>
      </c>
      <c r="AA41" s="6">
        <v>32.643750681155474</v>
      </c>
      <c r="AB41" s="4">
        <v>88.06049999999999</v>
      </c>
      <c r="AC41" s="6">
        <v>30.633734761896655</v>
      </c>
      <c r="AD41">
        <v>0.41692463200000002</v>
      </c>
      <c r="AE41">
        <v>1.8319953500008692</v>
      </c>
      <c r="AF41">
        <v>48475</v>
      </c>
      <c r="AG41" s="4">
        <v>0</v>
      </c>
      <c r="AH41" s="4">
        <v>40620</v>
      </c>
      <c r="AL41">
        <v>19</v>
      </c>
      <c r="AM41">
        <v>11.37406</v>
      </c>
      <c r="AN41" t="s">
        <v>81</v>
      </c>
      <c r="AO41" t="s">
        <v>74</v>
      </c>
      <c r="AP41" s="5">
        <v>45087</v>
      </c>
      <c r="AQ41" t="s">
        <v>198</v>
      </c>
      <c r="AR41" s="5">
        <v>45211</v>
      </c>
      <c r="AS41">
        <v>194.60124138963874</v>
      </c>
      <c r="AT41" s="6"/>
      <c r="AU41">
        <v>17.052055477009002</v>
      </c>
      <c r="AV41">
        <v>53.94739144327859</v>
      </c>
      <c r="AW41">
        <v>24.45459371253645</v>
      </c>
      <c r="AX41">
        <v>95.454040632824046</v>
      </c>
      <c r="AY41">
        <v>9.6927430900252123</v>
      </c>
      <c r="AZ41">
        <v>21.409736427119885</v>
      </c>
      <c r="BA41">
        <v>6.6054491696761062</v>
      </c>
      <c r="BB41">
        <v>6.8718178454950314</v>
      </c>
      <c r="BC41">
        <v>13.520829085765165</v>
      </c>
      <c r="BD41">
        <v>58.100575618081393</v>
      </c>
      <c r="BE41">
        <v>41.046625138733305</v>
      </c>
      <c r="BF41">
        <v>6.329830865851477</v>
      </c>
      <c r="BH41">
        <v>6.329830865851477</v>
      </c>
      <c r="BI41">
        <v>159.88444711675692</v>
      </c>
      <c r="BJ41" s="6">
        <v>192</v>
      </c>
      <c r="BK41">
        <v>34.716794272881813</v>
      </c>
      <c r="BL41" s="4">
        <v>936.52787999999987</v>
      </c>
      <c r="BM41" t="s">
        <v>1712</v>
      </c>
      <c r="BN41" t="s">
        <v>65</v>
      </c>
      <c r="BO41">
        <v>10</v>
      </c>
      <c r="BP41">
        <v>2023</v>
      </c>
      <c r="BQ41" t="str">
        <f t="shared" si="1"/>
        <v>Petchburi510</v>
      </c>
      <c r="BR41">
        <f t="shared" si="2"/>
        <v>866.35621999999978</v>
      </c>
      <c r="BS41">
        <f t="shared" si="3"/>
        <v>5249.6059000000005</v>
      </c>
      <c r="BT41" s="6">
        <f t="shared" si="4"/>
        <v>32.115552883243083</v>
      </c>
    </row>
    <row r="42" spans="1:72">
      <c r="A42" s="3" t="s">
        <v>967</v>
      </c>
      <c r="B42" s="3" t="s">
        <v>1660</v>
      </c>
      <c r="C42" s="3" t="s">
        <v>1699</v>
      </c>
      <c r="D42" s="2" t="s">
        <v>1709</v>
      </c>
      <c r="E42" s="4" t="str">
        <f t="shared" si="0"/>
        <v>Petchburi5B1-124-0008</v>
      </c>
      <c r="F42">
        <v>1.5</v>
      </c>
      <c r="G42">
        <v>1.8</v>
      </c>
      <c r="H42" t="s">
        <v>72</v>
      </c>
      <c r="I42" t="s">
        <v>75</v>
      </c>
      <c r="J42" t="s">
        <v>357</v>
      </c>
      <c r="K42" t="s">
        <v>79</v>
      </c>
      <c r="L42" t="s">
        <v>79</v>
      </c>
      <c r="M42">
        <v>3.6755263157894738</v>
      </c>
      <c r="N42" s="5">
        <v>45016</v>
      </c>
      <c r="O42" s="5">
        <v>45038</v>
      </c>
      <c r="P42">
        <v>0.8</v>
      </c>
      <c r="Q42" s="4">
        <v>185</v>
      </c>
      <c r="R42">
        <v>0.47</v>
      </c>
      <c r="S42" t="s">
        <v>70</v>
      </c>
      <c r="T42" s="6">
        <v>4</v>
      </c>
      <c r="U42" s="5">
        <v>45138</v>
      </c>
      <c r="V42" s="6">
        <v>1</v>
      </c>
      <c r="W42" t="s">
        <v>86</v>
      </c>
      <c r="X42" s="6">
        <v>100</v>
      </c>
      <c r="Y42">
        <v>17.39311</v>
      </c>
      <c r="Z42">
        <v>11.595406666666667</v>
      </c>
      <c r="AA42" s="6">
        <v>32.922864283615752</v>
      </c>
      <c r="AB42" s="4">
        <v>71.578874999999996</v>
      </c>
      <c r="AC42" s="6">
        <v>30.374027951682674</v>
      </c>
      <c r="AD42">
        <v>0.41196666700000001</v>
      </c>
      <c r="AE42">
        <v>1.7864372975199667</v>
      </c>
      <c r="AF42">
        <v>30400</v>
      </c>
      <c r="AG42" s="4">
        <v>0</v>
      </c>
      <c r="AH42" s="4">
        <v>111736</v>
      </c>
      <c r="AL42">
        <v>23.999999999999996</v>
      </c>
      <c r="AM42">
        <v>7.3778999999999995</v>
      </c>
      <c r="AN42" t="s">
        <v>81</v>
      </c>
      <c r="AO42" t="s">
        <v>134</v>
      </c>
      <c r="AP42" s="5">
        <v>45040</v>
      </c>
      <c r="AQ42" t="s">
        <v>157</v>
      </c>
      <c r="AR42" s="5">
        <v>45137</v>
      </c>
      <c r="AS42">
        <v>183.82331279454911</v>
      </c>
      <c r="AT42" s="6"/>
      <c r="AU42">
        <v>20.697851045615192</v>
      </c>
      <c r="AV42">
        <v>52.677607972352256</v>
      </c>
      <c r="AW42">
        <v>36.256209499048765</v>
      </c>
      <c r="AX42">
        <v>109.63166851701621</v>
      </c>
      <c r="AY42">
        <v>12.788903767066381</v>
      </c>
      <c r="AZ42">
        <v>24.536807390972637</v>
      </c>
      <c r="BA42">
        <v>6.2380810562343374</v>
      </c>
      <c r="BB42">
        <v>8.5425976148026432</v>
      </c>
      <c r="BC42">
        <v>15.888263801010856</v>
      </c>
      <c r="BD42">
        <v>67.994653630086859</v>
      </c>
      <c r="BE42">
        <v>6.196990647446043</v>
      </c>
      <c r="BF42">
        <v>7.3553700287067709</v>
      </c>
      <c r="BH42">
        <v>7.3553700287067709</v>
      </c>
      <c r="BI42">
        <v>184.98169217580985</v>
      </c>
      <c r="BJ42" s="6">
        <v>191</v>
      </c>
      <c r="BK42">
        <v>-1.1583793812607577</v>
      </c>
      <c r="BL42" s="4">
        <v>-20.147820000000298</v>
      </c>
      <c r="BM42" t="s">
        <v>1710</v>
      </c>
      <c r="BN42" t="s">
        <v>65</v>
      </c>
      <c r="BO42">
        <v>7</v>
      </c>
      <c r="BP42">
        <v>2023</v>
      </c>
      <c r="BQ42" t="str">
        <f t="shared" si="1"/>
        <v>Petchburi57</v>
      </c>
      <c r="BR42">
        <f t="shared" si="2"/>
        <v>104.67708999999986</v>
      </c>
      <c r="BS42">
        <f t="shared" si="3"/>
        <v>3197.2591000000002</v>
      </c>
      <c r="BT42" s="6">
        <f t="shared" si="4"/>
        <v>6.0183078241901455</v>
      </c>
    </row>
    <row r="43" spans="1:72">
      <c r="A43" s="3" t="s">
        <v>967</v>
      </c>
      <c r="B43" s="3" t="s">
        <v>1660</v>
      </c>
      <c r="C43" s="3" t="s">
        <v>1699</v>
      </c>
      <c r="D43" s="2" t="s">
        <v>2740</v>
      </c>
      <c r="E43" s="4" t="str">
        <f t="shared" si="0"/>
        <v>Petchburi5B1-124-0009</v>
      </c>
      <c r="F43">
        <v>1.5</v>
      </c>
      <c r="G43">
        <v>1.5</v>
      </c>
      <c r="H43" t="s">
        <v>72</v>
      </c>
      <c r="I43" t="s">
        <v>75</v>
      </c>
      <c r="J43" t="s">
        <v>357</v>
      </c>
      <c r="K43" t="s">
        <v>79</v>
      </c>
      <c r="L43" t="s">
        <v>79</v>
      </c>
      <c r="N43" s="5">
        <v>45139</v>
      </c>
      <c r="O43" s="5">
        <v>45161</v>
      </c>
      <c r="P43">
        <v>0.8</v>
      </c>
      <c r="Q43" s="4">
        <v>222</v>
      </c>
      <c r="R43">
        <v>0.65</v>
      </c>
      <c r="S43" t="s">
        <v>70</v>
      </c>
      <c r="T43" s="6">
        <v>5</v>
      </c>
      <c r="U43" s="5">
        <v>45253</v>
      </c>
      <c r="V43" s="6">
        <v>1</v>
      </c>
      <c r="W43" t="s">
        <v>86</v>
      </c>
      <c r="X43" s="6">
        <v>92</v>
      </c>
      <c r="Y43">
        <v>19.362919999999999</v>
      </c>
      <c r="Z43">
        <v>12.908613333333333</v>
      </c>
      <c r="AA43" s="6">
        <v>32.555781875874096</v>
      </c>
      <c r="AB43" s="4">
        <v>78.796875</v>
      </c>
      <c r="AC43" s="6">
        <v>30.716510013880622</v>
      </c>
      <c r="AD43">
        <v>0.41099498299999998</v>
      </c>
      <c r="AE43">
        <v>1.707537897523314</v>
      </c>
      <c r="AF43">
        <v>32175</v>
      </c>
      <c r="AG43" s="4">
        <v>0</v>
      </c>
      <c r="AH43" s="4"/>
      <c r="AL43">
        <v>26</v>
      </c>
      <c r="AM43">
        <v>5.2409600000000003</v>
      </c>
      <c r="AN43" t="s">
        <v>81</v>
      </c>
      <c r="AO43" t="s">
        <v>157</v>
      </c>
      <c r="AP43" s="5">
        <v>45162</v>
      </c>
      <c r="AQ43" t="s">
        <v>108</v>
      </c>
      <c r="AR43" s="5">
        <v>45252</v>
      </c>
      <c r="AS43">
        <v>207.0456868075683</v>
      </c>
      <c r="AT43" s="6"/>
      <c r="AU43">
        <v>20.658041245845155</v>
      </c>
      <c r="AV43">
        <v>49.416158306701682</v>
      </c>
      <c r="AW43">
        <v>28.199014921303188</v>
      </c>
      <c r="AX43">
        <v>98.273214473850032</v>
      </c>
      <c r="AY43">
        <v>8.9781494733232403</v>
      </c>
      <c r="AZ43">
        <v>20.913826530296056</v>
      </c>
      <c r="BA43">
        <v>8.6004905251893824</v>
      </c>
      <c r="BB43">
        <v>5.8114364982141131</v>
      </c>
      <c r="BC43">
        <v>13.645692901690451</v>
      </c>
      <c r="BD43">
        <v>57.949595928713244</v>
      </c>
      <c r="BE43">
        <v>50.822876405005026</v>
      </c>
      <c r="BF43">
        <v>7.3016001718749051</v>
      </c>
      <c r="BH43">
        <v>7.3016001718749051</v>
      </c>
      <c r="BI43">
        <v>163.52441057443821</v>
      </c>
      <c r="BJ43" s="6">
        <v>192</v>
      </c>
      <c r="BK43">
        <v>43.521276233130095</v>
      </c>
      <c r="BL43" s="4">
        <v>842.6989899999993</v>
      </c>
      <c r="BM43" t="s">
        <v>2741</v>
      </c>
      <c r="BN43" t="s">
        <v>65</v>
      </c>
      <c r="BO43">
        <v>11</v>
      </c>
      <c r="BP43">
        <v>2023</v>
      </c>
      <c r="BQ43" t="str">
        <f t="shared" si="1"/>
        <v>Petchburi511</v>
      </c>
      <c r="BR43">
        <f t="shared" si="2"/>
        <v>551.37055999999893</v>
      </c>
      <c r="BS43">
        <f t="shared" si="3"/>
        <v>4009.0090700000001</v>
      </c>
      <c r="BT43" s="6">
        <f t="shared" si="4"/>
        <v>28.475589425561793</v>
      </c>
    </row>
    <row r="44" spans="1:72">
      <c r="A44" s="3" t="s">
        <v>967</v>
      </c>
      <c r="B44" s="3" t="s">
        <v>1660</v>
      </c>
      <c r="C44" s="3" t="s">
        <v>1699</v>
      </c>
      <c r="D44" s="2" t="s">
        <v>2738</v>
      </c>
      <c r="E44" s="4" t="str">
        <f t="shared" si="0"/>
        <v>Petchburi5B1-126-0009</v>
      </c>
      <c r="F44">
        <v>1.5</v>
      </c>
      <c r="G44">
        <v>1.5</v>
      </c>
      <c r="H44" t="s">
        <v>72</v>
      </c>
      <c r="I44" t="s">
        <v>75</v>
      </c>
      <c r="J44" t="s">
        <v>357</v>
      </c>
      <c r="K44" t="s">
        <v>79</v>
      </c>
      <c r="L44" t="s">
        <v>79</v>
      </c>
      <c r="M44">
        <v>0.29435483870967744</v>
      </c>
      <c r="N44" s="5">
        <v>45108</v>
      </c>
      <c r="O44" s="5">
        <v>45119</v>
      </c>
      <c r="P44">
        <v>1.5</v>
      </c>
      <c r="Q44" s="4">
        <v>417</v>
      </c>
      <c r="R44">
        <v>0.66</v>
      </c>
      <c r="S44" t="s">
        <v>70</v>
      </c>
      <c r="T44" s="6">
        <v>6</v>
      </c>
      <c r="U44" s="5">
        <v>45247</v>
      </c>
      <c r="V44" s="6">
        <v>1</v>
      </c>
      <c r="W44" t="s">
        <v>86</v>
      </c>
      <c r="X44" s="6">
        <v>128</v>
      </c>
      <c r="Y44">
        <v>30.91103</v>
      </c>
      <c r="Z44">
        <v>20.607353333333332</v>
      </c>
      <c r="AA44" s="6">
        <v>38.587164517002506</v>
      </c>
      <c r="AB44" s="4">
        <v>79.517933333333332</v>
      </c>
      <c r="AC44" s="6">
        <v>25.915353266223384</v>
      </c>
      <c r="AD44">
        <v>0.40602796099999999</v>
      </c>
      <c r="AE44">
        <v>1.6576969442562639</v>
      </c>
      <c r="AF44">
        <v>49600</v>
      </c>
      <c r="AG44" s="4">
        <v>0</v>
      </c>
      <c r="AH44" s="4">
        <v>14600</v>
      </c>
      <c r="AL44">
        <v>19</v>
      </c>
      <c r="AM44">
        <v>7.26898</v>
      </c>
      <c r="AN44" t="s">
        <v>81</v>
      </c>
      <c r="AO44" t="s">
        <v>157</v>
      </c>
      <c r="AP44" s="5">
        <v>45119</v>
      </c>
      <c r="AQ44" t="s">
        <v>108</v>
      </c>
      <c r="AR44" s="5">
        <v>45246</v>
      </c>
      <c r="AS44">
        <v>183.02696222028189</v>
      </c>
      <c r="AT44" s="6"/>
      <c r="AU44">
        <v>24.263183724385765</v>
      </c>
      <c r="AV44">
        <v>48.092829646893058</v>
      </c>
      <c r="AW44">
        <v>23.363663714861659</v>
      </c>
      <c r="AX44">
        <v>95.719677086140479</v>
      </c>
      <c r="AY44">
        <v>7.1211431647538124</v>
      </c>
      <c r="AZ44">
        <v>17.591939835068583</v>
      </c>
      <c r="BA44">
        <v>5.9773815366230103</v>
      </c>
      <c r="BB44">
        <v>5.520421351213467</v>
      </c>
      <c r="BC44">
        <v>10.688176356465638</v>
      </c>
      <c r="BD44">
        <v>46.899062244124515</v>
      </c>
      <c r="BE44">
        <v>40.408222890016894</v>
      </c>
      <c r="BF44">
        <v>5.3430590957337873</v>
      </c>
      <c r="BH44">
        <v>5.3430590957337873</v>
      </c>
      <c r="BI44">
        <v>147.96179842599875</v>
      </c>
      <c r="BJ44" s="6">
        <v>184</v>
      </c>
      <c r="BK44">
        <v>35.065163794283144</v>
      </c>
      <c r="BL44" s="4">
        <v>1083.9003300000002</v>
      </c>
      <c r="BM44" t="s">
        <v>2739</v>
      </c>
      <c r="BN44" t="s">
        <v>65</v>
      </c>
      <c r="BO44">
        <v>11</v>
      </c>
      <c r="BP44">
        <v>2023</v>
      </c>
      <c r="BQ44" t="str">
        <f t="shared" si="1"/>
        <v>Petchburi511</v>
      </c>
      <c r="BR44">
        <f t="shared" si="2"/>
        <v>1113.9779299999998</v>
      </c>
      <c r="BS44">
        <f t="shared" si="3"/>
        <v>5657.5519199999999</v>
      </c>
      <c r="BT44" s="6">
        <f t="shared" si="4"/>
        <v>36.038201574001249</v>
      </c>
    </row>
    <row r="45" spans="1:72">
      <c r="A45" s="3" t="s">
        <v>967</v>
      </c>
      <c r="B45" s="3" t="s">
        <v>1660</v>
      </c>
      <c r="C45" s="3" t="s">
        <v>1699</v>
      </c>
      <c r="D45" s="2" t="s">
        <v>2742</v>
      </c>
      <c r="E45" s="4" t="str">
        <f t="shared" si="0"/>
        <v>Petchburi5B1-125-0009</v>
      </c>
      <c r="F45">
        <v>1.5</v>
      </c>
      <c r="G45">
        <v>2</v>
      </c>
      <c r="H45" t="s">
        <v>72</v>
      </c>
      <c r="I45" t="s">
        <v>75</v>
      </c>
      <c r="J45" t="s">
        <v>357</v>
      </c>
      <c r="K45" t="s">
        <v>79</v>
      </c>
      <c r="L45" t="s">
        <v>79</v>
      </c>
      <c r="M45">
        <v>0.75218718209562563</v>
      </c>
      <c r="N45" s="5">
        <v>45088</v>
      </c>
      <c r="O45" s="5">
        <v>45101</v>
      </c>
      <c r="P45">
        <v>1</v>
      </c>
      <c r="Q45" s="4">
        <v>208</v>
      </c>
      <c r="R45">
        <v>0.9</v>
      </c>
      <c r="S45" t="s">
        <v>70</v>
      </c>
      <c r="T45" s="6">
        <v>6</v>
      </c>
      <c r="U45" s="5">
        <v>45237</v>
      </c>
      <c r="V45" s="6">
        <v>1</v>
      </c>
      <c r="W45" t="s">
        <v>86</v>
      </c>
      <c r="X45" s="6">
        <v>136</v>
      </c>
      <c r="Y45">
        <v>23.8934</v>
      </c>
      <c r="Z45">
        <v>15.928933333333333</v>
      </c>
      <c r="AA45" s="6">
        <v>32.01532640812944</v>
      </c>
      <c r="AB45" s="4">
        <v>76.495500000000007</v>
      </c>
      <c r="AC45" s="6">
        <v>31.235039969671419</v>
      </c>
      <c r="AD45">
        <v>0.38037925700000003</v>
      </c>
      <c r="AE45">
        <v>2.1375699113658699</v>
      </c>
      <c r="AF45">
        <v>49150</v>
      </c>
      <c r="AG45" s="4">
        <v>0</v>
      </c>
      <c r="AH45" s="4">
        <v>36970</v>
      </c>
      <c r="AL45">
        <v>19</v>
      </c>
      <c r="AM45">
        <v>5.07944</v>
      </c>
      <c r="AN45" t="s">
        <v>81</v>
      </c>
      <c r="AO45" t="s">
        <v>157</v>
      </c>
      <c r="AP45" s="5">
        <v>45101</v>
      </c>
      <c r="AQ45" t="s">
        <v>108</v>
      </c>
      <c r="AR45" s="5">
        <v>45236</v>
      </c>
      <c r="AS45">
        <v>190.94340236215854</v>
      </c>
      <c r="AT45" s="6"/>
      <c r="AU45">
        <v>23.018908987419117</v>
      </c>
      <c r="AV45">
        <v>61.579202624992675</v>
      </c>
      <c r="AW45">
        <v>35.635389270677265</v>
      </c>
      <c r="AX45">
        <v>120.23350088308906</v>
      </c>
      <c r="AY45">
        <v>10.165975541362888</v>
      </c>
      <c r="AZ45">
        <v>22.749870675584042</v>
      </c>
      <c r="BA45">
        <v>7.4542610093163804</v>
      </c>
      <c r="BB45">
        <v>7.6416386952045334</v>
      </c>
      <c r="BC45">
        <v>14.663277306703945</v>
      </c>
      <c r="BD45">
        <v>62.675023228171789</v>
      </c>
      <c r="BE45">
        <v>8.0348782508976839</v>
      </c>
      <c r="BF45">
        <v>7.1706220127734026</v>
      </c>
      <c r="BH45">
        <v>7.1706220127734026</v>
      </c>
      <c r="BI45">
        <v>190.07914612403422</v>
      </c>
      <c r="BJ45" s="6">
        <v>192</v>
      </c>
      <c r="BK45">
        <v>0.86425623812431684</v>
      </c>
      <c r="BL45" s="4">
        <v>20.650019999999554</v>
      </c>
      <c r="BM45" t="s">
        <v>2743</v>
      </c>
      <c r="BN45" t="s">
        <v>65</v>
      </c>
      <c r="BO45">
        <v>11</v>
      </c>
      <c r="BP45">
        <v>2023</v>
      </c>
      <c r="BQ45" t="str">
        <f t="shared" si="1"/>
        <v>Petchburi511</v>
      </c>
      <c r="BR45">
        <f t="shared" si="2"/>
        <v>45.895730000000661</v>
      </c>
      <c r="BS45">
        <f t="shared" si="3"/>
        <v>4562.2870899999989</v>
      </c>
      <c r="BT45" s="6">
        <f t="shared" si="4"/>
        <v>1.9208538759657756</v>
      </c>
    </row>
    <row r="46" spans="1:72">
      <c r="A46" s="3" t="s">
        <v>967</v>
      </c>
      <c r="B46" s="3" t="s">
        <v>1660</v>
      </c>
      <c r="C46" s="3" t="s">
        <v>1699</v>
      </c>
      <c r="D46" s="2" t="s">
        <v>1715</v>
      </c>
      <c r="E46" s="4" t="str">
        <f t="shared" si="0"/>
        <v>Petchburi5B1-116-0007</v>
      </c>
      <c r="F46">
        <v>1.85</v>
      </c>
      <c r="G46">
        <v>1.5</v>
      </c>
      <c r="H46" t="s">
        <v>72</v>
      </c>
      <c r="I46" t="s">
        <v>75</v>
      </c>
      <c r="J46" t="s">
        <v>357</v>
      </c>
      <c r="K46" t="s">
        <v>79</v>
      </c>
      <c r="L46" t="s">
        <v>79</v>
      </c>
      <c r="M46">
        <v>1.9165313028764805</v>
      </c>
      <c r="N46" s="5">
        <v>45043</v>
      </c>
      <c r="O46" s="5">
        <v>45069</v>
      </c>
      <c r="P46">
        <v>1</v>
      </c>
      <c r="Q46" s="4">
        <v>225</v>
      </c>
      <c r="R46">
        <v>0.26</v>
      </c>
      <c r="S46" t="s">
        <v>70</v>
      </c>
      <c r="T46" s="6">
        <v>6</v>
      </c>
      <c r="U46" s="5">
        <v>45195</v>
      </c>
      <c r="V46" s="6">
        <v>1</v>
      </c>
      <c r="W46" t="s">
        <v>86</v>
      </c>
      <c r="X46" s="6">
        <v>126</v>
      </c>
      <c r="Y46">
        <v>34.285119999999999</v>
      </c>
      <c r="Z46">
        <v>18.532497297297297</v>
      </c>
      <c r="AA46" s="6">
        <v>29.572012581551412</v>
      </c>
      <c r="AB46" s="4">
        <v>101.38799999999999</v>
      </c>
      <c r="AC46" s="6">
        <v>33.81575728883103</v>
      </c>
      <c r="AD46">
        <v>0.37586545700000001</v>
      </c>
      <c r="AE46">
        <v>1.7369519931156745</v>
      </c>
      <c r="AF46">
        <v>59100</v>
      </c>
      <c r="AG46" s="4">
        <v>3552</v>
      </c>
      <c r="AH46" s="4">
        <v>113267</v>
      </c>
      <c r="AL46">
        <v>21</v>
      </c>
      <c r="AM46">
        <v>13.269440000000001</v>
      </c>
      <c r="AN46" t="s">
        <v>81</v>
      </c>
      <c r="AO46" t="s">
        <v>74</v>
      </c>
      <c r="AP46" s="5">
        <v>45069</v>
      </c>
      <c r="AQ46" t="s">
        <v>144</v>
      </c>
      <c r="AR46" s="5">
        <v>45194</v>
      </c>
      <c r="AS46">
        <v>193.88060476381591</v>
      </c>
      <c r="AT46" s="6"/>
      <c r="AU46">
        <v>11.666868892394136</v>
      </c>
      <c r="AV46">
        <v>51.761608534547925</v>
      </c>
      <c r="AW46">
        <v>23.019890553102915</v>
      </c>
      <c r="AX46">
        <v>86.448367980044978</v>
      </c>
      <c r="AY46">
        <v>9.3529933685517204</v>
      </c>
      <c r="AZ46">
        <v>20.59549303021252</v>
      </c>
      <c r="BA46">
        <v>6.2990011410197777</v>
      </c>
      <c r="BB46">
        <v>6.53593862293613</v>
      </c>
      <c r="BC46">
        <v>12.83118974062217</v>
      </c>
      <c r="BD46">
        <v>55.614615903342312</v>
      </c>
      <c r="BE46">
        <v>51.81762088042862</v>
      </c>
      <c r="BF46">
        <v>5.9241898526241119</v>
      </c>
      <c r="BH46">
        <v>5.9241898526241119</v>
      </c>
      <c r="BI46">
        <v>147.98717373601147</v>
      </c>
      <c r="BJ46" s="6">
        <v>200</v>
      </c>
      <c r="BK46">
        <v>45.893431027804453</v>
      </c>
      <c r="BL46" s="4">
        <v>1573.4617899999992</v>
      </c>
      <c r="BM46" t="s">
        <v>1716</v>
      </c>
      <c r="BN46" t="s">
        <v>65</v>
      </c>
      <c r="BO46">
        <v>9</v>
      </c>
      <c r="BP46">
        <v>2023</v>
      </c>
      <c r="BQ46" t="str">
        <f t="shared" si="1"/>
        <v>Petchburi59</v>
      </c>
      <c r="BR46">
        <f t="shared" si="2"/>
        <v>1783.2659899999983</v>
      </c>
      <c r="BS46">
        <f t="shared" si="3"/>
        <v>6647.2197999999999</v>
      </c>
      <c r="BT46" s="6">
        <f t="shared" si="4"/>
        <v>52.012826263988529</v>
      </c>
    </row>
    <row r="47" spans="1:72">
      <c r="A47" s="3" t="s">
        <v>967</v>
      </c>
      <c r="B47" s="3" t="s">
        <v>1660</v>
      </c>
      <c r="C47" s="3" t="s">
        <v>1699</v>
      </c>
      <c r="D47" s="2" t="s">
        <v>1713</v>
      </c>
      <c r="E47" s="4" t="str">
        <f t="shared" si="0"/>
        <v>Petchburi5B1-125-0008</v>
      </c>
      <c r="F47">
        <v>1.5</v>
      </c>
      <c r="G47">
        <v>1.8</v>
      </c>
      <c r="H47" t="s">
        <v>72</v>
      </c>
      <c r="I47" t="s">
        <v>75</v>
      </c>
      <c r="J47" t="s">
        <v>357</v>
      </c>
      <c r="K47" t="s">
        <v>79</v>
      </c>
      <c r="L47" t="s">
        <v>79</v>
      </c>
      <c r="M47">
        <v>3.3404457652303119</v>
      </c>
      <c r="N47" s="5">
        <v>44970</v>
      </c>
      <c r="O47" s="5">
        <v>44990</v>
      </c>
      <c r="P47">
        <v>0.75</v>
      </c>
      <c r="Q47" s="4">
        <v>174</v>
      </c>
      <c r="R47">
        <v>0.62</v>
      </c>
      <c r="S47" t="s">
        <v>70</v>
      </c>
      <c r="T47" s="6">
        <v>3</v>
      </c>
      <c r="U47" s="5">
        <v>45087</v>
      </c>
      <c r="V47" s="6">
        <v>1</v>
      </c>
      <c r="W47" t="s">
        <v>86</v>
      </c>
      <c r="X47" s="6">
        <v>97</v>
      </c>
      <c r="Y47">
        <v>19.625970000000002</v>
      </c>
      <c r="Z47">
        <v>13.083980000000002</v>
      </c>
      <c r="AA47" s="6">
        <v>31.401454297545545</v>
      </c>
      <c r="AB47" s="4">
        <v>82.171199999999999</v>
      </c>
      <c r="AC47" s="6">
        <v>31.845658819635105</v>
      </c>
      <c r="AD47">
        <v>0.37543337199999999</v>
      </c>
      <c r="AE47">
        <v>1.7561741394094348</v>
      </c>
      <c r="AF47">
        <v>33650</v>
      </c>
      <c r="AG47" s="4">
        <v>12400</v>
      </c>
      <c r="AH47" s="4">
        <v>112406</v>
      </c>
      <c r="AL47">
        <v>27</v>
      </c>
      <c r="AM47">
        <v>11.25136</v>
      </c>
      <c r="AN47" t="s">
        <v>81</v>
      </c>
      <c r="AO47" t="s">
        <v>123</v>
      </c>
      <c r="AP47" s="5">
        <v>44990</v>
      </c>
      <c r="AQ47" t="s">
        <v>103</v>
      </c>
      <c r="AR47" s="5">
        <v>45087</v>
      </c>
      <c r="AS47">
        <v>190.25271464289406</v>
      </c>
      <c r="AT47" s="6"/>
      <c r="AU47">
        <v>19.107335841234853</v>
      </c>
      <c r="AV47">
        <v>53.297014618895254</v>
      </c>
      <c r="AW47">
        <v>25.146689310133457</v>
      </c>
      <c r="AX47">
        <v>97.551039770263571</v>
      </c>
      <c r="AY47">
        <v>10.552666696219344</v>
      </c>
      <c r="AZ47">
        <v>21.343480602487421</v>
      </c>
      <c r="BA47">
        <v>6.2789971654904182</v>
      </c>
      <c r="BB47">
        <v>5.7553476337730078</v>
      </c>
      <c r="BC47">
        <v>13.351763505192354</v>
      </c>
      <c r="BD47">
        <v>57.282255603162547</v>
      </c>
      <c r="BE47">
        <v>35.419419269467944</v>
      </c>
      <c r="BF47">
        <v>6.7876303693524438</v>
      </c>
      <c r="BH47">
        <v>6.7876303693524438</v>
      </c>
      <c r="BI47">
        <v>161.62092574277852</v>
      </c>
      <c r="BJ47" s="6">
        <v>194</v>
      </c>
      <c r="BK47">
        <v>28.631788900115527</v>
      </c>
      <c r="BL47" s="4">
        <v>561.92663000000039</v>
      </c>
      <c r="BM47" t="s">
        <v>1714</v>
      </c>
      <c r="BN47" t="s">
        <v>65</v>
      </c>
      <c r="BO47">
        <v>6</v>
      </c>
      <c r="BP47">
        <v>2023</v>
      </c>
      <c r="BQ47" t="str">
        <f t="shared" si="1"/>
        <v>Petchburi56</v>
      </c>
      <c r="BR47">
        <f t="shared" si="2"/>
        <v>635.470740000001</v>
      </c>
      <c r="BS47">
        <f t="shared" si="3"/>
        <v>3733.8940699999998</v>
      </c>
      <c r="BT47" s="6">
        <f t="shared" si="4"/>
        <v>32.379074257221475</v>
      </c>
    </row>
    <row r="48" spans="1:72">
      <c r="A48" s="3" t="s">
        <v>967</v>
      </c>
      <c r="B48" s="3" t="s">
        <v>1660</v>
      </c>
      <c r="C48" s="3" t="s">
        <v>1699</v>
      </c>
      <c r="D48" s="2" t="s">
        <v>1701</v>
      </c>
      <c r="E48" s="4" t="str">
        <f t="shared" si="0"/>
        <v>Petchburi5B1-126-0008</v>
      </c>
      <c r="F48">
        <v>1.5</v>
      </c>
      <c r="G48">
        <v>1.8</v>
      </c>
      <c r="H48" t="s">
        <v>72</v>
      </c>
      <c r="I48" t="s">
        <v>75</v>
      </c>
      <c r="J48" t="s">
        <v>357</v>
      </c>
      <c r="K48" t="s">
        <v>79</v>
      </c>
      <c r="L48" t="s">
        <v>79</v>
      </c>
      <c r="M48">
        <v>1.9766230936819171</v>
      </c>
      <c r="N48" s="5">
        <v>44995</v>
      </c>
      <c r="O48" s="5">
        <v>45013</v>
      </c>
      <c r="P48">
        <v>1</v>
      </c>
      <c r="Q48" s="4">
        <v>231</v>
      </c>
      <c r="R48">
        <v>0.51</v>
      </c>
      <c r="S48" t="s">
        <v>70</v>
      </c>
      <c r="T48" s="6">
        <v>5</v>
      </c>
      <c r="U48" s="5">
        <v>45107</v>
      </c>
      <c r="V48" s="6">
        <v>1</v>
      </c>
      <c r="W48" t="s">
        <v>86</v>
      </c>
      <c r="X48" s="6">
        <v>94</v>
      </c>
      <c r="Y48">
        <v>27.31617</v>
      </c>
      <c r="Z48">
        <v>18.21078</v>
      </c>
      <c r="AA48" s="6">
        <v>36.614942724400969</v>
      </c>
      <c r="AB48" s="4">
        <v>100.018</v>
      </c>
      <c r="AC48" s="6">
        <v>27.311253974284629</v>
      </c>
      <c r="AD48">
        <v>0.37451367800000002</v>
      </c>
      <c r="AE48">
        <v>1.7122923565731323</v>
      </c>
      <c r="AF48">
        <v>45900</v>
      </c>
      <c r="AG48" s="4">
        <v>0</v>
      </c>
      <c r="AH48" s="4">
        <v>90727</v>
      </c>
      <c r="AL48">
        <v>28</v>
      </c>
      <c r="AM48">
        <v>13.685700000000001</v>
      </c>
      <c r="AN48" t="s">
        <v>81</v>
      </c>
      <c r="AO48" t="s">
        <v>127</v>
      </c>
      <c r="AP48" s="5">
        <v>45013</v>
      </c>
      <c r="AQ48" t="s">
        <v>74</v>
      </c>
      <c r="AR48" s="5">
        <v>45106</v>
      </c>
      <c r="AS48">
        <v>171.58907855676691</v>
      </c>
      <c r="AT48" s="6"/>
      <c r="AU48">
        <v>16.47375894936955</v>
      </c>
      <c r="AV48">
        <v>51.594856453155778</v>
      </c>
      <c r="AW48">
        <v>16.364640064840721</v>
      </c>
      <c r="AX48">
        <v>84.433255467366038</v>
      </c>
      <c r="AY48">
        <v>7.40019958874176</v>
      </c>
      <c r="AZ48">
        <v>14.575986311404565</v>
      </c>
      <c r="BA48">
        <v>3.7737695291836295</v>
      </c>
      <c r="BB48">
        <v>4.0867826638946827</v>
      </c>
      <c r="BC48">
        <v>8.8130023352468534</v>
      </c>
      <c r="BD48">
        <v>38.649740428471496</v>
      </c>
      <c r="BE48">
        <v>48.506082660929373</v>
      </c>
      <c r="BF48">
        <v>4.4453801539527689</v>
      </c>
      <c r="BH48">
        <v>4.4453801539527689</v>
      </c>
      <c r="BI48">
        <v>127.52837604979031</v>
      </c>
      <c r="BJ48" s="6">
        <v>186</v>
      </c>
      <c r="BK48">
        <v>44.060702506976611</v>
      </c>
      <c r="BL48" s="4">
        <v>1203.5696399999993</v>
      </c>
      <c r="BM48" t="s">
        <v>1702</v>
      </c>
      <c r="BN48" t="s">
        <v>65</v>
      </c>
      <c r="BO48">
        <v>6</v>
      </c>
      <c r="BP48">
        <v>2023</v>
      </c>
      <c r="BQ48" t="str">
        <f t="shared" si="1"/>
        <v>Petchburi56</v>
      </c>
      <c r="BR48">
        <f t="shared" si="2"/>
        <v>1597.2208199999993</v>
      </c>
      <c r="BS48">
        <f t="shared" si="3"/>
        <v>4687.1564399999997</v>
      </c>
      <c r="BT48" s="6">
        <f t="shared" si="4"/>
        <v>58.47162395020969</v>
      </c>
    </row>
    <row r="49" spans="1:72">
      <c r="A49" s="3" t="s">
        <v>967</v>
      </c>
      <c r="B49" s="3" t="s">
        <v>1660</v>
      </c>
      <c r="C49" s="3" t="s">
        <v>1699</v>
      </c>
      <c r="D49" s="2" t="s">
        <v>1707</v>
      </c>
      <c r="E49" s="4" t="str">
        <f t="shared" si="0"/>
        <v>Petchburi5B1-115-0008</v>
      </c>
      <c r="F49">
        <v>2.0299999999999998</v>
      </c>
      <c r="G49">
        <v>1.5</v>
      </c>
      <c r="H49" t="s">
        <v>72</v>
      </c>
      <c r="I49" t="s">
        <v>75</v>
      </c>
      <c r="J49" t="s">
        <v>357</v>
      </c>
      <c r="K49" t="s">
        <v>79</v>
      </c>
      <c r="L49" t="s">
        <v>79</v>
      </c>
      <c r="M49">
        <v>2.367170785687938</v>
      </c>
      <c r="N49" s="5">
        <v>45042</v>
      </c>
      <c r="O49" s="5">
        <v>45059</v>
      </c>
      <c r="P49">
        <v>1.5</v>
      </c>
      <c r="Q49" s="4">
        <v>308</v>
      </c>
      <c r="R49">
        <v>0.35099999999999998</v>
      </c>
      <c r="S49" t="s">
        <v>70</v>
      </c>
      <c r="T49" s="6">
        <v>6</v>
      </c>
      <c r="U49" s="5">
        <v>45182</v>
      </c>
      <c r="V49" s="6">
        <v>1</v>
      </c>
      <c r="W49" t="s">
        <v>86</v>
      </c>
      <c r="X49" s="6">
        <v>123.00000000000001</v>
      </c>
      <c r="Y49">
        <v>38.189169999999997</v>
      </c>
      <c r="Z49">
        <v>18.812399014778325</v>
      </c>
      <c r="AA49" s="6">
        <v>33.218056323297944</v>
      </c>
      <c r="AB49" s="4">
        <v>84.571333333333328</v>
      </c>
      <c r="AC49" s="6">
        <v>30.104109351474492</v>
      </c>
      <c r="AD49">
        <v>0.36669549200000001</v>
      </c>
      <c r="AE49">
        <v>1.7995033344245852</v>
      </c>
      <c r="AF49">
        <v>67775</v>
      </c>
      <c r="AG49" s="4">
        <v>2200</v>
      </c>
      <c r="AH49" s="4">
        <v>160435</v>
      </c>
      <c r="AL49">
        <v>22</v>
      </c>
      <c r="AM49">
        <v>16.42699</v>
      </c>
      <c r="AN49" t="s">
        <v>81</v>
      </c>
      <c r="AO49" t="s">
        <v>117</v>
      </c>
      <c r="AP49" s="5">
        <v>45060</v>
      </c>
      <c r="AQ49" t="s">
        <v>117</v>
      </c>
      <c r="AR49" s="5">
        <v>45181</v>
      </c>
      <c r="AS49">
        <v>188.65791977149541</v>
      </c>
      <c r="AT49" s="6"/>
      <c r="AU49">
        <v>15.71126054847487</v>
      </c>
      <c r="AV49">
        <v>53.185784608568355</v>
      </c>
      <c r="AW49">
        <v>22.696115678869166</v>
      </c>
      <c r="AX49">
        <v>91.593160835912386</v>
      </c>
      <c r="AY49">
        <v>8.5130941573226107</v>
      </c>
      <c r="AZ49">
        <v>18.565838953818584</v>
      </c>
      <c r="BA49">
        <v>5.6249138171895332</v>
      </c>
      <c r="BB49">
        <v>6.0908105622615007</v>
      </c>
      <c r="BC49">
        <v>11.680150681462832</v>
      </c>
      <c r="BD49">
        <v>50.474808172055063</v>
      </c>
      <c r="BE49">
        <v>46.589950763527966</v>
      </c>
      <c r="BF49">
        <v>5.3088338919122879</v>
      </c>
      <c r="BH49">
        <v>5.3088338919122879</v>
      </c>
      <c r="BI49">
        <v>147.37680289987972</v>
      </c>
      <c r="BJ49" s="6">
        <v>191</v>
      </c>
      <c r="BK49">
        <v>41.281116871615694</v>
      </c>
      <c r="BL49" s="4">
        <v>1576.4915899999999</v>
      </c>
      <c r="BM49" t="s">
        <v>1708</v>
      </c>
      <c r="BN49" t="s">
        <v>65</v>
      </c>
      <c r="BO49">
        <v>9</v>
      </c>
      <c r="BP49">
        <v>2023</v>
      </c>
      <c r="BQ49" t="str">
        <f t="shared" si="1"/>
        <v>Petchburi59</v>
      </c>
      <c r="BR49">
        <f t="shared" si="2"/>
        <v>1665.9336900000003</v>
      </c>
      <c r="BS49">
        <f t="shared" si="3"/>
        <v>7204.6893699999991</v>
      </c>
      <c r="BT49" s="6">
        <f t="shared" si="4"/>
        <v>43.623197100120279</v>
      </c>
    </row>
    <row r="50" spans="1:72">
      <c r="A50" s="3" t="s">
        <v>967</v>
      </c>
      <c r="B50" s="3" t="s">
        <v>1660</v>
      </c>
      <c r="C50" s="3" t="s">
        <v>1699</v>
      </c>
      <c r="D50" s="2" t="s">
        <v>1719</v>
      </c>
      <c r="E50" s="4" t="str">
        <f t="shared" si="0"/>
        <v>Petchburi5B1-125-0007</v>
      </c>
      <c r="F50">
        <v>1.5</v>
      </c>
      <c r="G50">
        <v>1.8</v>
      </c>
      <c r="H50" t="s">
        <v>72</v>
      </c>
      <c r="I50" t="s">
        <v>75</v>
      </c>
      <c r="J50" t="s">
        <v>357</v>
      </c>
      <c r="K50" t="s">
        <v>79</v>
      </c>
      <c r="L50" t="s">
        <v>79</v>
      </c>
      <c r="M50">
        <v>4.0441204437400948</v>
      </c>
      <c r="N50" s="5">
        <v>44835</v>
      </c>
      <c r="O50" s="5">
        <v>44852</v>
      </c>
      <c r="P50">
        <v>0.72</v>
      </c>
      <c r="Q50" s="4">
        <v>167</v>
      </c>
      <c r="R50">
        <v>0.73</v>
      </c>
      <c r="S50" t="s">
        <v>70</v>
      </c>
      <c r="T50" s="6">
        <v>3</v>
      </c>
      <c r="U50" s="5">
        <v>44969</v>
      </c>
      <c r="V50" s="6">
        <v>1</v>
      </c>
      <c r="W50" t="s">
        <v>86</v>
      </c>
      <c r="X50" s="6">
        <v>117</v>
      </c>
      <c r="Y50">
        <v>16.008389999999999</v>
      </c>
      <c r="Z50">
        <v>10.67226</v>
      </c>
      <c r="AA50" s="6">
        <v>28.690580376914856</v>
      </c>
      <c r="AB50" s="4">
        <v>63.790277777777781</v>
      </c>
      <c r="AC50" s="6">
        <v>34.85464521326395</v>
      </c>
      <c r="AD50">
        <v>0.36536975100000002</v>
      </c>
      <c r="AE50">
        <v>2.0377464268390906</v>
      </c>
      <c r="AF50">
        <v>31550</v>
      </c>
      <c r="AG50" s="4">
        <v>0</v>
      </c>
      <c r="AH50" s="4">
        <v>127592</v>
      </c>
      <c r="AL50">
        <v>23</v>
      </c>
      <c r="AM50">
        <v>8.8622000000000014</v>
      </c>
      <c r="AN50" t="s">
        <v>81</v>
      </c>
      <c r="AO50" t="s">
        <v>215</v>
      </c>
      <c r="AP50" s="5">
        <v>44852</v>
      </c>
      <c r="AQ50" t="s">
        <v>123</v>
      </c>
      <c r="AR50" s="5">
        <v>44968</v>
      </c>
      <c r="AS50">
        <v>286.85673699853635</v>
      </c>
      <c r="AT50" s="6"/>
      <c r="AU50">
        <v>22.488207746063161</v>
      </c>
      <c r="AV50">
        <v>60.609915175729732</v>
      </c>
      <c r="AW50">
        <v>35.438788035523864</v>
      </c>
      <c r="AX50">
        <v>118.53691095731676</v>
      </c>
      <c r="AY50">
        <v>11.953998497038116</v>
      </c>
      <c r="AZ50">
        <v>24.718938006882642</v>
      </c>
      <c r="BA50">
        <v>11.992457704990946</v>
      </c>
      <c r="BB50">
        <v>12.961245321984286</v>
      </c>
      <c r="BC50">
        <v>18.03438197095398</v>
      </c>
      <c r="BD50">
        <v>79.661021501849973</v>
      </c>
      <c r="BE50">
        <v>88.658804539369612</v>
      </c>
      <c r="BF50">
        <v>11.543794847576798</v>
      </c>
      <c r="BH50">
        <v>11.543794847576798</v>
      </c>
      <c r="BI50">
        <v>209.74172730674354</v>
      </c>
      <c r="BJ50" s="6">
        <v>204</v>
      </c>
      <c r="BK50">
        <v>77.115009691792835</v>
      </c>
      <c r="BL50" s="4">
        <v>1234.4871499999995</v>
      </c>
      <c r="BM50" t="s">
        <v>1720</v>
      </c>
      <c r="BN50" t="s">
        <v>65</v>
      </c>
      <c r="BO50">
        <v>2</v>
      </c>
      <c r="BP50">
        <v>2023</v>
      </c>
      <c r="BQ50" t="str">
        <f t="shared" si="1"/>
        <v>Petchburi52</v>
      </c>
      <c r="BR50">
        <f t="shared" si="2"/>
        <v>-91.915810000000235</v>
      </c>
      <c r="BS50">
        <f t="shared" si="3"/>
        <v>4592.1145199999992</v>
      </c>
      <c r="BT50" s="6">
        <f t="shared" si="4"/>
        <v>-5.7417273067435417</v>
      </c>
    </row>
    <row r="51" spans="1:72">
      <c r="A51" s="3" t="s">
        <v>967</v>
      </c>
      <c r="B51" s="3" t="s">
        <v>1660</v>
      </c>
      <c r="C51" s="3" t="s">
        <v>1699</v>
      </c>
      <c r="D51" s="2" t="s">
        <v>1723</v>
      </c>
      <c r="E51" s="4" t="str">
        <f t="shared" si="0"/>
        <v>Petchburi5B1-127-0007</v>
      </c>
      <c r="F51">
        <v>1.5</v>
      </c>
      <c r="G51">
        <v>1.8</v>
      </c>
      <c r="H51" t="s">
        <v>72</v>
      </c>
      <c r="I51" t="s">
        <v>75</v>
      </c>
      <c r="J51" t="s">
        <v>357</v>
      </c>
      <c r="K51" t="s">
        <v>79</v>
      </c>
      <c r="L51" t="s">
        <v>79</v>
      </c>
      <c r="M51">
        <v>3.7308875739644969</v>
      </c>
      <c r="N51" s="5">
        <v>44795</v>
      </c>
      <c r="O51" s="5">
        <v>44834</v>
      </c>
      <c r="P51">
        <v>0.45</v>
      </c>
      <c r="Q51" s="4">
        <v>104</v>
      </c>
      <c r="R51">
        <v>0.12</v>
      </c>
      <c r="S51" t="s">
        <v>70</v>
      </c>
      <c r="T51" s="6">
        <v>4</v>
      </c>
      <c r="U51" s="5">
        <v>44936</v>
      </c>
      <c r="V51" s="6">
        <v>1</v>
      </c>
      <c r="W51" t="s">
        <v>86</v>
      </c>
      <c r="X51" s="6">
        <v>102</v>
      </c>
      <c r="Y51">
        <v>12.95316</v>
      </c>
      <c r="Z51">
        <v>8.6354400000000009</v>
      </c>
      <c r="AA51" s="6">
        <v>28.626142192329901</v>
      </c>
      <c r="AB51" s="4">
        <v>82.399777777777786</v>
      </c>
      <c r="AC51" s="6">
        <v>34.933103918834732</v>
      </c>
      <c r="AD51">
        <v>0.34896358500000002</v>
      </c>
      <c r="AE51">
        <v>1.6377035403855755</v>
      </c>
      <c r="AF51">
        <v>21125</v>
      </c>
      <c r="AG51" s="4">
        <v>0</v>
      </c>
      <c r="AH51" s="4">
        <v>78815</v>
      </c>
      <c r="AL51">
        <v>28</v>
      </c>
      <c r="AM51">
        <v>4.3442100000000003</v>
      </c>
      <c r="AN51" t="s">
        <v>81</v>
      </c>
      <c r="AO51" t="s">
        <v>131</v>
      </c>
      <c r="AP51" s="5">
        <v>44835</v>
      </c>
      <c r="AQ51" t="s">
        <v>198</v>
      </c>
      <c r="AR51" s="5">
        <v>44936</v>
      </c>
      <c r="AS51">
        <v>273.09609778617721</v>
      </c>
      <c r="AT51" s="6"/>
      <c r="AU51">
        <v>13.896223006586808</v>
      </c>
      <c r="AV51">
        <v>49.421487884037568</v>
      </c>
      <c r="AW51">
        <v>35.51090776304779</v>
      </c>
      <c r="AX51">
        <v>98.828618653672166</v>
      </c>
      <c r="AY51">
        <v>16.625656596537059</v>
      </c>
      <c r="AZ51">
        <v>28.239858073242367</v>
      </c>
      <c r="BA51">
        <v>16.592244672342506</v>
      </c>
      <c r="BB51">
        <v>18.213605791945746</v>
      </c>
      <c r="BC51">
        <v>24.05795342603658</v>
      </c>
      <c r="BD51">
        <v>103.72931856010428</v>
      </c>
      <c r="BE51">
        <v>70.538160572400784</v>
      </c>
      <c r="BF51">
        <v>15.094512072729744</v>
      </c>
      <c r="BH51">
        <v>15.094512072729744</v>
      </c>
      <c r="BI51">
        <v>217.65244928650608</v>
      </c>
      <c r="BJ51" s="6">
        <v>204</v>
      </c>
      <c r="BK51">
        <v>55.443648499671134</v>
      </c>
      <c r="BL51" s="4">
        <v>718.17045000000019</v>
      </c>
      <c r="BM51" t="s">
        <v>1724</v>
      </c>
      <c r="BN51" t="s">
        <v>65</v>
      </c>
      <c r="BO51">
        <v>1</v>
      </c>
      <c r="BP51">
        <v>2023</v>
      </c>
      <c r="BQ51" t="str">
        <f t="shared" si="1"/>
        <v>Petchburi51</v>
      </c>
      <c r="BR51">
        <f t="shared" si="2"/>
        <v>-176.84235999999916</v>
      </c>
      <c r="BS51">
        <f t="shared" si="3"/>
        <v>3537.4574499999994</v>
      </c>
      <c r="BT51" s="6">
        <f t="shared" si="4"/>
        <v>-13.652449286506084</v>
      </c>
    </row>
    <row r="52" spans="1:72">
      <c r="A52" s="3" t="s">
        <v>967</v>
      </c>
      <c r="B52" s="3" t="s">
        <v>1660</v>
      </c>
      <c r="C52" s="3" t="s">
        <v>1699</v>
      </c>
      <c r="D52" s="2" t="s">
        <v>1705</v>
      </c>
      <c r="E52" s="4" t="str">
        <f t="shared" si="0"/>
        <v>Petchburi5B1-127-0008</v>
      </c>
      <c r="F52">
        <v>1.5</v>
      </c>
      <c r="G52">
        <v>1.8</v>
      </c>
      <c r="H52" t="s">
        <v>72</v>
      </c>
      <c r="I52" t="s">
        <v>75</v>
      </c>
      <c r="J52" t="s">
        <v>357</v>
      </c>
      <c r="K52" t="s">
        <v>79</v>
      </c>
      <c r="L52" t="s">
        <v>79</v>
      </c>
      <c r="M52">
        <v>3.2292454212454214</v>
      </c>
      <c r="N52" s="5">
        <v>44937</v>
      </c>
      <c r="O52" s="5">
        <v>44956</v>
      </c>
      <c r="P52">
        <v>0.65</v>
      </c>
      <c r="Q52" s="4">
        <v>150</v>
      </c>
      <c r="R52">
        <v>0.435</v>
      </c>
      <c r="S52" t="s">
        <v>70</v>
      </c>
      <c r="T52" s="6">
        <v>3</v>
      </c>
      <c r="U52" s="5">
        <v>45056</v>
      </c>
      <c r="V52" s="6">
        <v>1</v>
      </c>
      <c r="W52" t="s">
        <v>86</v>
      </c>
      <c r="X52" s="6">
        <v>100</v>
      </c>
      <c r="Y52">
        <v>19.407409999999999</v>
      </c>
      <c r="Z52">
        <v>12.938273333333333</v>
      </c>
      <c r="AA52" s="6">
        <v>34.155613757837855</v>
      </c>
      <c r="AB52" s="4">
        <v>101.98030769230768</v>
      </c>
      <c r="AC52" s="6">
        <v>29.277764032875126</v>
      </c>
      <c r="AD52">
        <v>0.32898333299999999</v>
      </c>
      <c r="AE52">
        <v>1.7843211893173934</v>
      </c>
      <c r="AF52">
        <v>34125</v>
      </c>
      <c r="AG52" s="4">
        <v>0</v>
      </c>
      <c r="AH52" s="4">
        <v>110198</v>
      </c>
      <c r="AL52">
        <v>30</v>
      </c>
      <c r="AM52">
        <v>13.73724</v>
      </c>
      <c r="AN52" t="s">
        <v>81</v>
      </c>
      <c r="AO52" t="s">
        <v>123</v>
      </c>
      <c r="AP52" s="5">
        <v>44956</v>
      </c>
      <c r="AQ52" t="s">
        <v>134</v>
      </c>
      <c r="AR52" s="5">
        <v>45054</v>
      </c>
      <c r="AS52">
        <v>211.55104313249424</v>
      </c>
      <c r="AT52" s="6"/>
      <c r="AU52">
        <v>14.710875897402078</v>
      </c>
      <c r="AV52">
        <v>57.047848734066022</v>
      </c>
      <c r="AW52">
        <v>27.722816182066545</v>
      </c>
      <c r="AX52">
        <v>99.481540813534636</v>
      </c>
      <c r="AY52">
        <v>10.519233632926804</v>
      </c>
      <c r="AZ52">
        <v>22.242241494357057</v>
      </c>
      <c r="BA52">
        <v>6.2344815717295612</v>
      </c>
      <c r="BB52">
        <v>5.599200511557183</v>
      </c>
      <c r="BC52">
        <v>13.225170179843678</v>
      </c>
      <c r="BD52">
        <v>57.820327390414285</v>
      </c>
      <c r="BE52">
        <v>54.249174928545322</v>
      </c>
      <c r="BF52">
        <v>7.5442426372194946</v>
      </c>
      <c r="BH52">
        <v>7.5442426372194946</v>
      </c>
      <c r="BI52">
        <v>164.84611084116841</v>
      </c>
      <c r="BJ52" s="6">
        <v>189</v>
      </c>
      <c r="BK52">
        <v>46.704932291325839</v>
      </c>
      <c r="BL52" s="4">
        <v>906.42177000000004</v>
      </c>
      <c r="BM52" t="s">
        <v>1706</v>
      </c>
      <c r="BN52" t="s">
        <v>65</v>
      </c>
      <c r="BO52">
        <v>5</v>
      </c>
      <c r="BP52">
        <v>2023</v>
      </c>
      <c r="BQ52" t="str">
        <f t="shared" si="1"/>
        <v>Petchburi55</v>
      </c>
      <c r="BR52">
        <f t="shared" si="2"/>
        <v>468.76442999999972</v>
      </c>
      <c r="BS52">
        <f t="shared" si="3"/>
        <v>4105.6578300000001</v>
      </c>
      <c r="BT52" s="6">
        <f t="shared" si="4"/>
        <v>24.153889158831589</v>
      </c>
    </row>
    <row r="53" spans="1:72">
      <c r="A53" s="3" t="s">
        <v>967</v>
      </c>
      <c r="B53" s="3" t="s">
        <v>1660</v>
      </c>
      <c r="C53" s="3" t="s">
        <v>1699</v>
      </c>
      <c r="D53" s="2" t="s">
        <v>1717</v>
      </c>
      <c r="E53" s="4" t="str">
        <f t="shared" si="0"/>
        <v>Petchburi5B1-116-0006</v>
      </c>
      <c r="F53">
        <v>1.85</v>
      </c>
      <c r="G53">
        <v>1.8</v>
      </c>
      <c r="H53" t="s">
        <v>72</v>
      </c>
      <c r="I53" t="s">
        <v>75</v>
      </c>
      <c r="J53" t="s">
        <v>357</v>
      </c>
      <c r="K53" t="s">
        <v>79</v>
      </c>
      <c r="L53" t="s">
        <v>79</v>
      </c>
      <c r="M53">
        <v>3.4405560098119379</v>
      </c>
      <c r="N53" s="5">
        <v>44868</v>
      </c>
      <c r="O53" s="5">
        <v>44901</v>
      </c>
      <c r="P53">
        <v>1</v>
      </c>
      <c r="Q53" s="4">
        <v>188</v>
      </c>
      <c r="R53">
        <v>0.3</v>
      </c>
      <c r="S53" t="s">
        <v>70</v>
      </c>
      <c r="T53" s="6">
        <v>5</v>
      </c>
      <c r="U53" s="5">
        <v>45042</v>
      </c>
      <c r="V53" s="6">
        <v>1</v>
      </c>
      <c r="W53" t="s">
        <v>86</v>
      </c>
      <c r="X53" s="6">
        <v>141</v>
      </c>
      <c r="Y53">
        <v>31.616630000000001</v>
      </c>
      <c r="Z53">
        <v>17.090070270270271</v>
      </c>
      <c r="AA53" s="6">
        <v>28.894635513019573</v>
      </c>
      <c r="AB53" s="4">
        <v>91.355099999999993</v>
      </c>
      <c r="AC53" s="6">
        <v>34.608500236987318</v>
      </c>
      <c r="AD53">
        <v>0.32024500299999997</v>
      </c>
      <c r="AE53">
        <v>1.9526366662057826</v>
      </c>
      <c r="AF53">
        <v>61150</v>
      </c>
      <c r="AG53" s="4">
        <v>0</v>
      </c>
      <c r="AH53" s="4">
        <v>210390</v>
      </c>
      <c r="AL53">
        <v>21.999999999999996</v>
      </c>
      <c r="AM53">
        <v>15.273639999999999</v>
      </c>
      <c r="AN53" t="s">
        <v>81</v>
      </c>
      <c r="AO53" t="s">
        <v>108</v>
      </c>
      <c r="AP53" s="5">
        <v>44902</v>
      </c>
      <c r="AQ53" t="s">
        <v>134</v>
      </c>
      <c r="AR53" s="5">
        <v>45041</v>
      </c>
      <c r="AS53">
        <v>234.47947361878857</v>
      </c>
      <c r="AT53" s="6"/>
      <c r="AU53">
        <v>12.65156975933235</v>
      </c>
      <c r="AV53">
        <v>62.433704034870239</v>
      </c>
      <c r="AW53">
        <v>28.781983089279265</v>
      </c>
      <c r="AX53">
        <v>103.86725688348186</v>
      </c>
      <c r="AY53">
        <v>10.639667162502773</v>
      </c>
      <c r="AZ53">
        <v>22.219890608202078</v>
      </c>
      <c r="BA53">
        <v>9.0940558813510464</v>
      </c>
      <c r="BB53">
        <v>9.8259387543833743</v>
      </c>
      <c r="BC53">
        <v>15.19197586839584</v>
      </c>
      <c r="BD53">
        <v>66.971528274835123</v>
      </c>
      <c r="BE53">
        <v>63.640688460471608</v>
      </c>
      <c r="BF53">
        <v>8.9045236636542224</v>
      </c>
      <c r="BH53">
        <v>8.9045236636542224</v>
      </c>
      <c r="BI53">
        <v>179.74330882197125</v>
      </c>
      <c r="BJ53" s="6">
        <v>204</v>
      </c>
      <c r="BK53">
        <v>54.73616479681732</v>
      </c>
      <c r="BL53" s="4">
        <v>1730.5730699999983</v>
      </c>
      <c r="BM53" t="s">
        <v>1718</v>
      </c>
      <c r="BN53" t="s">
        <v>65</v>
      </c>
      <c r="BO53">
        <v>4</v>
      </c>
      <c r="BP53">
        <v>2023</v>
      </c>
      <c r="BQ53" t="str">
        <f t="shared" si="1"/>
        <v>Petchburi54</v>
      </c>
      <c r="BR53">
        <f t="shared" si="2"/>
        <v>766.91482999999903</v>
      </c>
      <c r="BS53">
        <f t="shared" si="3"/>
        <v>7413.4507599999997</v>
      </c>
      <c r="BT53" s="6">
        <f t="shared" si="4"/>
        <v>24.256691178028746</v>
      </c>
    </row>
    <row r="54" spans="1:72">
      <c r="A54" s="3" t="s">
        <v>967</v>
      </c>
      <c r="B54" s="3" t="s">
        <v>1660</v>
      </c>
      <c r="C54" s="3" t="s">
        <v>1699</v>
      </c>
      <c r="D54" s="2" t="s">
        <v>1725</v>
      </c>
      <c r="E54" s="4" t="str">
        <f t="shared" si="0"/>
        <v>Petchburi5B1-115-0007</v>
      </c>
      <c r="F54">
        <v>2.0299999999999998</v>
      </c>
      <c r="G54">
        <v>1.8</v>
      </c>
      <c r="H54" t="s">
        <v>72</v>
      </c>
      <c r="I54" t="s">
        <v>75</v>
      </c>
      <c r="J54" t="s">
        <v>357</v>
      </c>
      <c r="K54" t="s">
        <v>79</v>
      </c>
      <c r="L54" t="s">
        <v>79</v>
      </c>
      <c r="M54">
        <v>3.5629141531322506</v>
      </c>
      <c r="N54" s="5">
        <v>44886</v>
      </c>
      <c r="O54" s="5">
        <v>44915</v>
      </c>
      <c r="P54">
        <v>0.9</v>
      </c>
      <c r="Q54" s="4">
        <v>154</v>
      </c>
      <c r="R54">
        <v>0.71</v>
      </c>
      <c r="S54" t="s">
        <v>70</v>
      </c>
      <c r="T54" s="6">
        <v>4</v>
      </c>
      <c r="U54" s="5">
        <v>45041</v>
      </c>
      <c r="V54" s="6">
        <v>1</v>
      </c>
      <c r="W54" t="s">
        <v>86</v>
      </c>
      <c r="X54" s="6">
        <v>126</v>
      </c>
      <c r="Y54">
        <v>26.975270000000002</v>
      </c>
      <c r="Z54">
        <v>13.288310344827588</v>
      </c>
      <c r="AA54" s="6">
        <v>28.172581775826526</v>
      </c>
      <c r="AB54" s="4">
        <v>84.440333333333328</v>
      </c>
      <c r="AC54" s="6">
        <v>35.495504386397755</v>
      </c>
      <c r="AD54">
        <v>0.311825397</v>
      </c>
      <c r="AE54">
        <v>2.0456579462467541</v>
      </c>
      <c r="AF54">
        <v>53875</v>
      </c>
      <c r="AG54" s="4">
        <v>0</v>
      </c>
      <c r="AH54" s="4">
        <v>191952</v>
      </c>
      <c r="AL54">
        <v>25</v>
      </c>
      <c r="AM54">
        <v>15.552190000000001</v>
      </c>
      <c r="AN54" t="s">
        <v>81</v>
      </c>
      <c r="AO54" t="s">
        <v>189</v>
      </c>
      <c r="AP54" s="5">
        <v>44916</v>
      </c>
      <c r="AQ54" t="s">
        <v>134</v>
      </c>
      <c r="AR54" s="5">
        <v>45040</v>
      </c>
      <c r="AS54">
        <v>259.4625796145877</v>
      </c>
      <c r="AT54" s="6"/>
      <c r="AU54">
        <v>16.681946093588685</v>
      </c>
      <c r="AV54">
        <v>64.616864261228869</v>
      </c>
      <c r="AW54">
        <v>33.401346492546693</v>
      </c>
      <c r="AX54">
        <v>114.70015684736424</v>
      </c>
      <c r="AY54">
        <v>12.072625779093222</v>
      </c>
      <c r="AZ54">
        <v>25.538857257035797</v>
      </c>
      <c r="BA54">
        <v>10.067718691972313</v>
      </c>
      <c r="BB54">
        <v>10.639854207205341</v>
      </c>
      <c r="BC54">
        <v>17.734399692755623</v>
      </c>
      <c r="BD54">
        <v>76.053455628062295</v>
      </c>
      <c r="BE54">
        <v>68.70896713916116</v>
      </c>
      <c r="BF54">
        <v>10.135861476085319</v>
      </c>
      <c r="BH54">
        <v>10.135861476085319</v>
      </c>
      <c r="BI54">
        <v>200.88947395151189</v>
      </c>
      <c r="BJ54" s="6">
        <v>204</v>
      </c>
      <c r="BK54">
        <v>58.573105663075843</v>
      </c>
      <c r="BL54" s="4">
        <v>1580.0253399999999</v>
      </c>
      <c r="BM54" t="s">
        <v>1700</v>
      </c>
      <c r="BN54" t="s">
        <v>65</v>
      </c>
      <c r="BO54">
        <v>4</v>
      </c>
      <c r="BP54">
        <v>2023</v>
      </c>
      <c r="BQ54" t="str">
        <f t="shared" si="1"/>
        <v>Petchburi54</v>
      </c>
      <c r="BR54">
        <f t="shared" si="2"/>
        <v>83.907279999999901</v>
      </c>
      <c r="BS54">
        <f t="shared" si="3"/>
        <v>6999.0731399999995</v>
      </c>
      <c r="BT54" s="6">
        <f t="shared" si="4"/>
        <v>3.1105260484881114</v>
      </c>
    </row>
    <row r="55" spans="1:72">
      <c r="A55" s="3" t="s">
        <v>967</v>
      </c>
      <c r="B55" s="3" t="s">
        <v>1660</v>
      </c>
      <c r="C55" s="3" t="s">
        <v>1699</v>
      </c>
      <c r="D55" s="2" t="s">
        <v>1721</v>
      </c>
      <c r="E55" s="4" t="str">
        <f t="shared" si="0"/>
        <v>Petchburi5B1-124-0007</v>
      </c>
      <c r="F55">
        <v>1.5</v>
      </c>
      <c r="G55">
        <v>1.8</v>
      </c>
      <c r="H55" t="s">
        <v>72</v>
      </c>
      <c r="I55" t="s">
        <v>75</v>
      </c>
      <c r="J55" t="s">
        <v>357</v>
      </c>
      <c r="K55" t="s">
        <v>79</v>
      </c>
      <c r="L55" t="s">
        <v>79</v>
      </c>
      <c r="M55">
        <v>3.7500884955752212</v>
      </c>
      <c r="N55" s="5">
        <v>44861</v>
      </c>
      <c r="O55" s="5">
        <v>44893</v>
      </c>
      <c r="P55">
        <v>0.54</v>
      </c>
      <c r="Q55" s="4">
        <v>125</v>
      </c>
      <c r="R55">
        <v>0.47</v>
      </c>
      <c r="S55" t="s">
        <v>70</v>
      </c>
      <c r="T55" s="6">
        <v>2</v>
      </c>
      <c r="U55" s="5">
        <v>45015</v>
      </c>
      <c r="V55" s="6">
        <v>1</v>
      </c>
      <c r="W55" t="s">
        <v>86</v>
      </c>
      <c r="X55" s="6">
        <v>122</v>
      </c>
      <c r="Y55">
        <v>14.6243</v>
      </c>
      <c r="Z55">
        <v>9.7495333333333338</v>
      </c>
      <c r="AA55" s="6">
        <v>28.636037280416843</v>
      </c>
      <c r="AB55" s="4">
        <v>77.552222222222227</v>
      </c>
      <c r="AC55" s="6">
        <v>34.921032900172399</v>
      </c>
      <c r="AD55">
        <v>0.29972981199999998</v>
      </c>
      <c r="AE55">
        <v>1.9658327824362409</v>
      </c>
      <c r="AF55">
        <v>28250</v>
      </c>
      <c r="AG55" s="4">
        <v>0</v>
      </c>
      <c r="AH55" s="4">
        <v>105940</v>
      </c>
      <c r="AL55">
        <v>27.000000000000004</v>
      </c>
      <c r="AM55">
        <v>12.23382</v>
      </c>
      <c r="AN55" t="s">
        <v>81</v>
      </c>
      <c r="AO55" t="s">
        <v>94</v>
      </c>
      <c r="AP55" s="5">
        <v>44894</v>
      </c>
      <c r="AQ55" t="s">
        <v>117</v>
      </c>
      <c r="AR55" s="5">
        <v>45015</v>
      </c>
      <c r="AS55">
        <v>252.6924659641829</v>
      </c>
      <c r="AT55" s="6"/>
      <c r="AU55">
        <v>16.616179919722651</v>
      </c>
      <c r="AV55">
        <v>62.09557790800244</v>
      </c>
      <c r="AW55">
        <v>45.952597389276761</v>
      </c>
      <c r="AX55">
        <v>124.66435521700184</v>
      </c>
      <c r="AY55">
        <v>16.102368660380325</v>
      </c>
      <c r="AZ55">
        <v>33.532103416915682</v>
      </c>
      <c r="BA55">
        <v>15.154229604151995</v>
      </c>
      <c r="BB55">
        <v>15.630664031782718</v>
      </c>
      <c r="BC55">
        <v>24.20292663580479</v>
      </c>
      <c r="BD55">
        <v>104.62229234903552</v>
      </c>
      <c r="BE55">
        <v>23.405818398145556</v>
      </c>
      <c r="BF55">
        <v>14.136880397694251</v>
      </c>
      <c r="BH55">
        <v>14.136880397694251</v>
      </c>
      <c r="BI55">
        <v>243.42352796373166</v>
      </c>
      <c r="BJ55" s="6">
        <v>204</v>
      </c>
      <c r="BK55">
        <v>9.2689380004512394</v>
      </c>
      <c r="BL55" s="4">
        <v>135.55172999999905</v>
      </c>
      <c r="BM55" t="s">
        <v>1722</v>
      </c>
      <c r="BN55" t="s">
        <v>65</v>
      </c>
      <c r="BO55">
        <v>3</v>
      </c>
      <c r="BP55">
        <v>2023</v>
      </c>
      <c r="BQ55" t="str">
        <f t="shared" si="1"/>
        <v>Petchburi53</v>
      </c>
      <c r="BR55">
        <f t="shared" si="2"/>
        <v>-576.54150000000084</v>
      </c>
      <c r="BS55">
        <f t="shared" si="3"/>
        <v>3695.4504299999999</v>
      </c>
      <c r="BT55" s="6">
        <f t="shared" si="4"/>
        <v>-39.423527963731658</v>
      </c>
    </row>
    <row r="56" spans="1:72">
      <c r="A56" s="3" t="s">
        <v>967</v>
      </c>
      <c r="B56" s="3" t="s">
        <v>1660</v>
      </c>
      <c r="C56" s="3" t="s">
        <v>1699</v>
      </c>
      <c r="D56" s="2" t="s">
        <v>1703</v>
      </c>
      <c r="E56" s="4" t="str">
        <f t="shared" si="0"/>
        <v>Petchburi5B1-126-0007</v>
      </c>
      <c r="F56">
        <v>1.5</v>
      </c>
      <c r="G56">
        <v>1.5</v>
      </c>
      <c r="H56" t="s">
        <v>72</v>
      </c>
      <c r="I56" t="s">
        <v>75</v>
      </c>
      <c r="J56" t="s">
        <v>357</v>
      </c>
      <c r="K56" t="s">
        <v>79</v>
      </c>
      <c r="L56" t="s">
        <v>79</v>
      </c>
      <c r="M56">
        <v>2.8409523809523809</v>
      </c>
      <c r="N56" s="5">
        <v>44859</v>
      </c>
      <c r="O56" s="5">
        <v>44884</v>
      </c>
      <c r="P56">
        <v>0.75</v>
      </c>
      <c r="Q56" s="4">
        <v>208</v>
      </c>
      <c r="R56">
        <v>0.57799999999999996</v>
      </c>
      <c r="S56" t="s">
        <v>70</v>
      </c>
      <c r="T56" s="6">
        <v>3</v>
      </c>
      <c r="U56" s="5">
        <v>44994</v>
      </c>
      <c r="V56" s="6">
        <v>1</v>
      </c>
      <c r="W56" t="s">
        <v>86</v>
      </c>
      <c r="X56" s="6">
        <v>110</v>
      </c>
      <c r="Y56">
        <v>16.926939999999998</v>
      </c>
      <c r="Z56">
        <v>11.284626666666666</v>
      </c>
      <c r="AA56" s="6">
        <v>35.865726469166901</v>
      </c>
      <c r="AB56" s="4">
        <v>80.946266666666673</v>
      </c>
      <c r="AC56" s="6">
        <v>27.881771776174155</v>
      </c>
      <c r="AD56">
        <v>0.28800058699999997</v>
      </c>
      <c r="AE56">
        <v>1.8461885452640567</v>
      </c>
      <c r="AF56">
        <v>30450</v>
      </c>
      <c r="AG56" s="4">
        <v>0</v>
      </c>
      <c r="AH56" s="4">
        <v>86507</v>
      </c>
      <c r="AL56">
        <v>31</v>
      </c>
      <c r="AM56">
        <v>10.942770000000001</v>
      </c>
      <c r="AN56" t="s">
        <v>81</v>
      </c>
      <c r="AO56" t="s">
        <v>96</v>
      </c>
      <c r="AP56" s="5">
        <v>44884</v>
      </c>
      <c r="AQ56" t="s">
        <v>170</v>
      </c>
      <c r="AR56" s="5">
        <v>44994</v>
      </c>
      <c r="AS56">
        <v>248.07669608328504</v>
      </c>
      <c r="AT56" s="6"/>
      <c r="AU56">
        <v>20.824791722544063</v>
      </c>
      <c r="AV56">
        <v>57.039030090494805</v>
      </c>
      <c r="AW56">
        <v>39.501423175127918</v>
      </c>
      <c r="AX56">
        <v>117.36524498816679</v>
      </c>
      <c r="AY56">
        <v>11.956417403263673</v>
      </c>
      <c r="AZ56">
        <v>24.48426709139396</v>
      </c>
      <c r="BA56">
        <v>11.692769632313935</v>
      </c>
      <c r="BB56">
        <v>12.189967590125564</v>
      </c>
      <c r="BC56">
        <v>18.490138205724133</v>
      </c>
      <c r="BD56">
        <v>78.81355992282127</v>
      </c>
      <c r="BE56">
        <v>51.897891172296994</v>
      </c>
      <c r="BF56">
        <v>10.846985928939313</v>
      </c>
      <c r="BH56">
        <v>10.846985928939313</v>
      </c>
      <c r="BI56">
        <v>207.02579083992737</v>
      </c>
      <c r="BJ56" s="6">
        <v>187</v>
      </c>
      <c r="BK56">
        <v>41.050905243357683</v>
      </c>
      <c r="BL56" s="4">
        <v>694.86621000000093</v>
      </c>
      <c r="BM56" t="s">
        <v>1704</v>
      </c>
      <c r="BN56" t="s">
        <v>65</v>
      </c>
      <c r="BO56">
        <v>3</v>
      </c>
      <c r="BP56">
        <v>2023</v>
      </c>
      <c r="BQ56" t="str">
        <f t="shared" si="1"/>
        <v>Petchburi53</v>
      </c>
      <c r="BR56">
        <f t="shared" si="2"/>
        <v>-338.97536000000014</v>
      </c>
      <c r="BS56">
        <f t="shared" si="3"/>
        <v>4199.1793500000003</v>
      </c>
      <c r="BT56" s="6">
        <f t="shared" si="4"/>
        <v>-20.025790839927367</v>
      </c>
    </row>
    <row r="57" spans="1:72">
      <c r="A57" s="3" t="s">
        <v>967</v>
      </c>
      <c r="B57" s="3" t="s">
        <v>1660</v>
      </c>
      <c r="C57" s="3" t="s">
        <v>2839</v>
      </c>
      <c r="D57" s="2" t="s">
        <v>2840</v>
      </c>
      <c r="E57" s="4" t="str">
        <f t="shared" si="0"/>
        <v>Petchburi5B1-115-0009</v>
      </c>
      <c r="F57">
        <v>2.0299999999999998</v>
      </c>
      <c r="G57">
        <v>2</v>
      </c>
      <c r="H57" t="s">
        <v>72</v>
      </c>
      <c r="I57" t="s">
        <v>75</v>
      </c>
      <c r="J57" t="s">
        <v>357</v>
      </c>
      <c r="K57" t="s">
        <v>79</v>
      </c>
      <c r="N57" s="5">
        <v>45183</v>
      </c>
      <c r="O57" s="5">
        <v>45199</v>
      </c>
      <c r="P57">
        <v>1</v>
      </c>
      <c r="Q57" s="4">
        <v>154</v>
      </c>
      <c r="R57">
        <v>0.65</v>
      </c>
      <c r="S57" t="s">
        <v>70</v>
      </c>
      <c r="T57" s="6">
        <v>5</v>
      </c>
      <c r="U57" s="5">
        <v>45289</v>
      </c>
      <c r="V57" s="6">
        <v>1</v>
      </c>
      <c r="W57" t="s">
        <v>86</v>
      </c>
      <c r="X57" s="6">
        <v>90</v>
      </c>
      <c r="Y57">
        <v>24.044840000000001</v>
      </c>
      <c r="Z57">
        <v>11.844748768472908</v>
      </c>
      <c r="AA57" s="6">
        <v>34.286067197785471</v>
      </c>
      <c r="AB57" s="4">
        <v>82.440299999999993</v>
      </c>
      <c r="AC57" s="6">
        <v>29.16636644941855</v>
      </c>
      <c r="AD57">
        <v>0.38960317500000002</v>
      </c>
      <c r="AE57">
        <v>1.659553987118527</v>
      </c>
      <c r="AF57">
        <v>38825</v>
      </c>
      <c r="AG57" s="4"/>
      <c r="AH57" s="4"/>
      <c r="AL57">
        <v>28.000000000000004</v>
      </c>
      <c r="AM57">
        <v>9.4169300000000007</v>
      </c>
      <c r="AN57" t="s">
        <v>81</v>
      </c>
      <c r="AO57" t="s">
        <v>198</v>
      </c>
      <c r="AP57" s="5">
        <v>45201</v>
      </c>
      <c r="AQ57" t="s">
        <v>198</v>
      </c>
      <c r="AR57" s="5">
        <v>45288</v>
      </c>
      <c r="AS57">
        <v>224.08003047639326</v>
      </c>
      <c r="AT57" s="6"/>
      <c r="AU57">
        <v>20.794482308886231</v>
      </c>
      <c r="AV57">
        <v>48.117312071945591</v>
      </c>
      <c r="AW57">
        <v>27.446937055933834</v>
      </c>
      <c r="AX57">
        <v>96.358731436765652</v>
      </c>
      <c r="AY57">
        <v>7.6916989258402211</v>
      </c>
      <c r="AZ57">
        <v>15.375052194150596</v>
      </c>
      <c r="BA57">
        <v>6.9131094238930269</v>
      </c>
      <c r="BB57">
        <v>8.5541475842634007</v>
      </c>
      <c r="BC57">
        <v>15.907877948033763</v>
      </c>
      <c r="BD57">
        <v>54.441886076181007</v>
      </c>
      <c r="BE57">
        <v>73.279412963446603</v>
      </c>
      <c r="BF57">
        <v>7.6843859223018338</v>
      </c>
      <c r="BH57">
        <v>7.6843859223018338</v>
      </c>
      <c r="BI57">
        <v>158.48500343524847</v>
      </c>
      <c r="BJ57" s="6">
        <v>189</v>
      </c>
      <c r="BK57">
        <v>65.595027041144775</v>
      </c>
      <c r="BL57" s="4">
        <v>1577.2219299999997</v>
      </c>
      <c r="BM57" t="s">
        <v>2841</v>
      </c>
      <c r="BN57" t="s">
        <v>65</v>
      </c>
      <c r="BO57">
        <v>12</v>
      </c>
      <c r="BP57">
        <v>2023</v>
      </c>
      <c r="BQ57" t="str">
        <f t="shared" si="1"/>
        <v>Petchburi512</v>
      </c>
      <c r="BR57">
        <f t="shared" si="2"/>
        <v>733.7282100000001</v>
      </c>
      <c r="BS57">
        <f t="shared" si="3"/>
        <v>5387.9684799999995</v>
      </c>
      <c r="BT57" s="6">
        <f t="shared" si="4"/>
        <v>30.514996564751527</v>
      </c>
    </row>
    <row r="58" spans="1:72">
      <c r="A58" s="3" t="s">
        <v>967</v>
      </c>
      <c r="B58" s="3" t="s">
        <v>1660</v>
      </c>
      <c r="C58" s="3" t="s">
        <v>2839</v>
      </c>
      <c r="D58" s="2" t="s">
        <v>2842</v>
      </c>
      <c r="E58" s="4" t="str">
        <f t="shared" si="0"/>
        <v>Petchburi5B1-116-0008</v>
      </c>
      <c r="F58">
        <v>1.85</v>
      </c>
      <c r="G58">
        <v>2</v>
      </c>
      <c r="H58" t="s">
        <v>72</v>
      </c>
      <c r="I58" t="s">
        <v>75</v>
      </c>
      <c r="J58" t="s">
        <v>357</v>
      </c>
      <c r="K58" t="s">
        <v>79</v>
      </c>
      <c r="N58" s="5">
        <v>45196</v>
      </c>
      <c r="O58" s="5">
        <v>45225</v>
      </c>
      <c r="P58">
        <v>1</v>
      </c>
      <c r="Q58" s="4">
        <v>169</v>
      </c>
      <c r="R58">
        <v>0.45</v>
      </c>
      <c r="S58" t="s">
        <v>70</v>
      </c>
      <c r="T58" s="6">
        <v>2</v>
      </c>
      <c r="U58" s="5">
        <v>45287</v>
      </c>
      <c r="V58" s="6">
        <v>1</v>
      </c>
      <c r="W58" t="s">
        <v>86</v>
      </c>
      <c r="X58" s="6">
        <v>61.999999999999993</v>
      </c>
      <c r="Y58">
        <v>17.396419999999999</v>
      </c>
      <c r="Z58">
        <v>9.4034702702702688</v>
      </c>
      <c r="AA58" s="6">
        <v>48.642364348526883</v>
      </c>
      <c r="AB58" s="4">
        <v>84.6203</v>
      </c>
      <c r="AC58" s="6">
        <v>20.55821120936702</v>
      </c>
      <c r="AD58">
        <v>0.32876344099999999</v>
      </c>
      <c r="AE58">
        <v>1.3690207135194337</v>
      </c>
      <c r="AF58">
        <v>23200</v>
      </c>
      <c r="AG58" s="4"/>
      <c r="AH58" s="4"/>
      <c r="AI58" t="s">
        <v>73</v>
      </c>
      <c r="AJ58" t="s">
        <v>73</v>
      </c>
      <c r="AK58" t="s">
        <v>266</v>
      </c>
      <c r="AL58">
        <v>48.000000000000007</v>
      </c>
      <c r="AM58">
        <v>15.161479999999999</v>
      </c>
      <c r="AN58" t="s">
        <v>73</v>
      </c>
      <c r="AO58" t="s">
        <v>97</v>
      </c>
      <c r="AP58" s="5">
        <v>45225</v>
      </c>
      <c r="AQ58" t="s">
        <v>198</v>
      </c>
      <c r="AR58" s="5">
        <v>45286</v>
      </c>
      <c r="AS58">
        <v>176.44340847139813</v>
      </c>
      <c r="AT58" s="6"/>
      <c r="AU58">
        <v>25.867391106905906</v>
      </c>
      <c r="AV58">
        <v>39.721408197778629</v>
      </c>
      <c r="AW58">
        <v>33.778292890146368</v>
      </c>
      <c r="AX58">
        <v>99.367092194830903</v>
      </c>
      <c r="AY58">
        <v>8.0943159569612622</v>
      </c>
      <c r="AZ58">
        <v>13.507205505500558</v>
      </c>
      <c r="BA58">
        <v>7.2811975107522136</v>
      </c>
      <c r="BB58">
        <v>9.5539260376560229</v>
      </c>
      <c r="BC58">
        <v>17.496272221526038</v>
      </c>
      <c r="BD58">
        <v>55.9329172323961</v>
      </c>
      <c r="BE58">
        <v>21.143399044171126</v>
      </c>
      <c r="BF58">
        <v>8.3618169715378219</v>
      </c>
      <c r="BH58">
        <v>8.3618169715378219</v>
      </c>
      <c r="BI58">
        <v>163.66182639876482</v>
      </c>
      <c r="BJ58" s="6">
        <v>170</v>
      </c>
      <c r="BK58">
        <v>12.781582072633311</v>
      </c>
      <c r="BL58" s="4">
        <v>222.35376999999954</v>
      </c>
      <c r="BM58" t="s">
        <v>2843</v>
      </c>
      <c r="BN58" t="s">
        <v>65</v>
      </c>
      <c r="BO58">
        <v>12</v>
      </c>
      <c r="BP58">
        <v>2023</v>
      </c>
      <c r="BQ58" t="str">
        <f t="shared" si="1"/>
        <v>Petchburi512</v>
      </c>
      <c r="BR58">
        <f t="shared" si="2"/>
        <v>110.26152999999977</v>
      </c>
      <c r="BS58">
        <f t="shared" si="3"/>
        <v>3069.4836399999995</v>
      </c>
      <c r="BT58" s="6">
        <f t="shared" si="4"/>
        <v>6.3381736012351837</v>
      </c>
    </row>
    <row r="59" spans="1:72">
      <c r="A59" s="3" t="s">
        <v>967</v>
      </c>
      <c r="B59" s="3" t="s">
        <v>1660</v>
      </c>
      <c r="C59" s="3" t="s">
        <v>1670</v>
      </c>
      <c r="D59" s="2" t="s">
        <v>1693</v>
      </c>
      <c r="E59" s="4" t="str">
        <f t="shared" si="0"/>
        <v>Petchburi5AG-002-0013</v>
      </c>
      <c r="F59">
        <v>1.5</v>
      </c>
      <c r="G59">
        <v>1.8</v>
      </c>
      <c r="H59" t="s">
        <v>84</v>
      </c>
      <c r="I59" t="s">
        <v>67</v>
      </c>
      <c r="J59" t="s">
        <v>357</v>
      </c>
      <c r="K59" t="s">
        <v>89</v>
      </c>
      <c r="L59" t="s">
        <v>89</v>
      </c>
      <c r="M59">
        <v>3.3697147037307973</v>
      </c>
      <c r="N59" s="5">
        <v>45024</v>
      </c>
      <c r="O59" s="5">
        <v>45040</v>
      </c>
      <c r="P59">
        <v>0.8</v>
      </c>
      <c r="Q59" s="4">
        <v>185</v>
      </c>
      <c r="R59">
        <v>0.6</v>
      </c>
      <c r="S59" t="s">
        <v>70</v>
      </c>
      <c r="T59" s="6">
        <v>4</v>
      </c>
      <c r="U59" s="5">
        <v>45161</v>
      </c>
      <c r="V59" s="6">
        <v>1</v>
      </c>
      <c r="W59" t="s">
        <v>86</v>
      </c>
      <c r="X59" s="6">
        <v>121</v>
      </c>
      <c r="Y59">
        <v>15.328959999999999</v>
      </c>
      <c r="Z59">
        <v>10.219306666666666</v>
      </c>
      <c r="AA59" s="6">
        <v>29.462729369768073</v>
      </c>
      <c r="AB59" s="4">
        <v>56.454124999999998</v>
      </c>
      <c r="AC59" s="6">
        <v>33.941186760046321</v>
      </c>
      <c r="AD59">
        <v>0.43001304899999993</v>
      </c>
      <c r="AE59">
        <v>2.3015079843975608</v>
      </c>
      <c r="AF59">
        <v>34175</v>
      </c>
      <c r="AG59" s="4">
        <v>3600</v>
      </c>
      <c r="AH59" s="4">
        <v>115160</v>
      </c>
      <c r="AL59">
        <v>19</v>
      </c>
      <c r="AM59">
        <v>8.1753999999999998</v>
      </c>
      <c r="AN59" t="s">
        <v>81</v>
      </c>
      <c r="AO59" t="s">
        <v>134</v>
      </c>
      <c r="AP59" s="5">
        <v>45042</v>
      </c>
      <c r="AQ59" t="s">
        <v>157</v>
      </c>
      <c r="AR59" s="5">
        <v>45160</v>
      </c>
      <c r="AS59">
        <v>199.46204895831158</v>
      </c>
      <c r="AT59" s="6"/>
      <c r="AU59">
        <v>23.484959188359813</v>
      </c>
      <c r="AV59">
        <v>67.58135255098847</v>
      </c>
      <c r="AW59">
        <v>49.085950384109552</v>
      </c>
      <c r="AX59">
        <v>140.15226212345783</v>
      </c>
      <c r="AY59">
        <v>15.31132118552074</v>
      </c>
      <c r="AZ59">
        <v>34.3966844456506</v>
      </c>
      <c r="BA59">
        <v>7.5607803790994303</v>
      </c>
      <c r="BB59">
        <v>10.211120650063673</v>
      </c>
      <c r="BC59">
        <v>24.561196584765046</v>
      </c>
      <c r="BD59">
        <v>92.041103245099492</v>
      </c>
      <c r="BE59">
        <v>-32.731316410245739</v>
      </c>
      <c r="BF59">
        <v>16.515525515103437</v>
      </c>
      <c r="BH59">
        <v>16.515525515103437</v>
      </c>
      <c r="BI59">
        <v>248.70889088366076</v>
      </c>
      <c r="BJ59" s="6">
        <v>200</v>
      </c>
      <c r="BK59">
        <v>-49.24684192534918</v>
      </c>
      <c r="BL59" s="4">
        <v>-754.90287000000058</v>
      </c>
      <c r="BM59" t="s">
        <v>1694</v>
      </c>
      <c r="BN59" t="s">
        <v>65</v>
      </c>
      <c r="BO59">
        <v>8</v>
      </c>
      <c r="BP59">
        <v>2023</v>
      </c>
      <c r="BQ59" t="str">
        <f t="shared" si="1"/>
        <v>Petchburi58</v>
      </c>
      <c r="BR59">
        <f t="shared" si="2"/>
        <v>-746.65664000000038</v>
      </c>
      <c r="BS59">
        <f t="shared" si="3"/>
        <v>3057.5457699999997</v>
      </c>
      <c r="BT59" s="6">
        <f t="shared" si="4"/>
        <v>-48.708890883660757</v>
      </c>
    </row>
    <row r="60" spans="1:72">
      <c r="A60" s="3" t="s">
        <v>967</v>
      </c>
      <c r="B60" s="3" t="s">
        <v>1660</v>
      </c>
      <c r="C60" s="3" t="s">
        <v>1670</v>
      </c>
      <c r="D60" s="2" t="s">
        <v>1697</v>
      </c>
      <c r="E60" s="4" t="str">
        <f t="shared" si="0"/>
        <v>Petchburi5AG-003-0011</v>
      </c>
      <c r="F60">
        <v>1.5</v>
      </c>
      <c r="G60">
        <v>1.8</v>
      </c>
      <c r="H60" t="s">
        <v>72</v>
      </c>
      <c r="I60" t="s">
        <v>67</v>
      </c>
      <c r="J60" t="s">
        <v>357</v>
      </c>
      <c r="K60" t="s">
        <v>89</v>
      </c>
      <c r="L60" t="s">
        <v>89</v>
      </c>
      <c r="M60">
        <v>1.156591928251121</v>
      </c>
      <c r="N60" s="5">
        <v>44804</v>
      </c>
      <c r="O60" s="5">
        <v>44827</v>
      </c>
      <c r="P60">
        <v>0.72</v>
      </c>
      <c r="Q60" s="4">
        <v>167</v>
      </c>
      <c r="R60">
        <v>0.26</v>
      </c>
      <c r="S60" t="s">
        <v>70</v>
      </c>
      <c r="T60" s="6">
        <v>5</v>
      </c>
      <c r="U60" s="5">
        <v>44945</v>
      </c>
      <c r="V60" s="6">
        <v>1</v>
      </c>
      <c r="W60" t="s">
        <v>86</v>
      </c>
      <c r="X60" s="6">
        <v>118</v>
      </c>
      <c r="Y60">
        <v>18.157040000000002</v>
      </c>
      <c r="Z60">
        <v>12.104693333333335</v>
      </c>
      <c r="AA60" s="6">
        <v>26.656106942541292</v>
      </c>
      <c r="AB60" s="4">
        <v>67.221666666666664</v>
      </c>
      <c r="AC60" s="6">
        <v>37.514855494673512</v>
      </c>
      <c r="AD60">
        <v>0.42152542399999998</v>
      </c>
      <c r="AE60">
        <v>1.8614523000761276</v>
      </c>
      <c r="AF60">
        <v>33450</v>
      </c>
      <c r="AG60" s="4">
        <v>1000</v>
      </c>
      <c r="AH60" s="4">
        <v>38688</v>
      </c>
      <c r="AL60">
        <v>20</v>
      </c>
      <c r="AM60">
        <v>8.0846499999999999</v>
      </c>
      <c r="AN60" t="s">
        <v>81</v>
      </c>
      <c r="AO60" t="s">
        <v>198</v>
      </c>
      <c r="AP60" s="5">
        <v>44827</v>
      </c>
      <c r="AQ60" t="s">
        <v>136</v>
      </c>
      <c r="AR60" s="5">
        <v>44945</v>
      </c>
      <c r="AS60">
        <v>288.57088985869945</v>
      </c>
      <c r="AT60" s="6"/>
      <c r="AU60">
        <v>15.861616210571766</v>
      </c>
      <c r="AV60">
        <v>55.871406903327859</v>
      </c>
      <c r="AW60">
        <v>10.800738446354691</v>
      </c>
      <c r="AX60">
        <v>82.53376156025432</v>
      </c>
      <c r="AY60">
        <v>14.201673841110665</v>
      </c>
      <c r="AZ60">
        <v>22.890862166961131</v>
      </c>
      <c r="BA60">
        <v>7.1248292673255111</v>
      </c>
      <c r="BB60">
        <v>11.474187422619543</v>
      </c>
      <c r="BC60">
        <v>21.214365887831935</v>
      </c>
      <c r="BD60">
        <v>76.905918585848781</v>
      </c>
      <c r="BE60">
        <v>129.13120971259633</v>
      </c>
      <c r="BF60">
        <v>18.096295982164495</v>
      </c>
      <c r="BH60">
        <v>18.096295982164495</v>
      </c>
      <c r="BI60">
        <v>177.53597612826758</v>
      </c>
      <c r="BJ60" s="6">
        <v>210</v>
      </c>
      <c r="BK60">
        <v>111.03491373043185</v>
      </c>
      <c r="BL60" s="4">
        <v>2016.0653700000005</v>
      </c>
      <c r="BM60" t="s">
        <v>1698</v>
      </c>
      <c r="BN60" t="s">
        <v>65</v>
      </c>
      <c r="BO60">
        <v>1</v>
      </c>
      <c r="BP60">
        <v>2023</v>
      </c>
      <c r="BQ60" t="str">
        <f t="shared" si="1"/>
        <v>Petchburi51</v>
      </c>
      <c r="BR60">
        <f t="shared" si="2"/>
        <v>589.45058000000051</v>
      </c>
      <c r="BS60">
        <f t="shared" si="3"/>
        <v>5239.5931900000005</v>
      </c>
      <c r="BT60" s="6">
        <f t="shared" si="4"/>
        <v>32.464023871732422</v>
      </c>
    </row>
    <row r="61" spans="1:72">
      <c r="A61" s="3" t="s">
        <v>967</v>
      </c>
      <c r="B61" s="3" t="s">
        <v>1660</v>
      </c>
      <c r="C61" s="3" t="s">
        <v>1670</v>
      </c>
      <c r="D61" s="2" t="s">
        <v>1695</v>
      </c>
      <c r="E61" s="4" t="str">
        <f t="shared" si="0"/>
        <v>Petchburi5AG-006-0010</v>
      </c>
      <c r="F61">
        <v>1.5</v>
      </c>
      <c r="G61">
        <v>1.5</v>
      </c>
      <c r="H61" t="s">
        <v>72</v>
      </c>
      <c r="I61" t="s">
        <v>67</v>
      </c>
      <c r="J61" t="s">
        <v>357</v>
      </c>
      <c r="K61" t="s">
        <v>89</v>
      </c>
      <c r="L61" t="s">
        <v>89</v>
      </c>
      <c r="M61">
        <v>1.1172862029646522</v>
      </c>
      <c r="N61" s="5">
        <v>44760</v>
      </c>
      <c r="O61" s="5">
        <v>44791</v>
      </c>
      <c r="P61">
        <v>0.72</v>
      </c>
      <c r="Q61" s="4">
        <v>200</v>
      </c>
      <c r="R61">
        <v>0.27</v>
      </c>
      <c r="S61" t="s">
        <v>70</v>
      </c>
      <c r="T61" s="6">
        <v>6</v>
      </c>
      <c r="U61" s="5">
        <v>44928</v>
      </c>
      <c r="V61" s="6">
        <v>1</v>
      </c>
      <c r="W61" t="s">
        <v>86</v>
      </c>
      <c r="X61" s="6">
        <v>137</v>
      </c>
      <c r="Y61">
        <v>24.152349999999998</v>
      </c>
      <c r="Z61">
        <v>16.101566666666667</v>
      </c>
      <c r="AA61" s="6">
        <v>29.323316364660169</v>
      </c>
      <c r="AB61" s="4">
        <v>98.364861111111111</v>
      </c>
      <c r="AC61" s="6">
        <v>34.102554689386309</v>
      </c>
      <c r="AD61">
        <v>0.40354420099999999</v>
      </c>
      <c r="AE61">
        <v>1.830290154207685</v>
      </c>
      <c r="AF61">
        <v>43850</v>
      </c>
      <c r="AG61" s="4">
        <v>0</v>
      </c>
      <c r="AH61" s="4">
        <v>48993</v>
      </c>
      <c r="AL61">
        <v>18</v>
      </c>
      <c r="AM61">
        <v>8.4245400000000004</v>
      </c>
      <c r="AN61" t="s">
        <v>81</v>
      </c>
      <c r="AO61" t="s">
        <v>170</v>
      </c>
      <c r="AP61" s="5">
        <v>44792</v>
      </c>
      <c r="AQ61" t="s">
        <v>189</v>
      </c>
      <c r="AR61" s="5">
        <v>44927</v>
      </c>
      <c r="AS61">
        <v>276.91371854084593</v>
      </c>
      <c r="AT61" s="6"/>
      <c r="AU61">
        <v>11.924305502363124</v>
      </c>
      <c r="AV61">
        <v>54.838412825253037</v>
      </c>
      <c r="AW61">
        <v>19.117328955567455</v>
      </c>
      <c r="AX61">
        <v>85.880047283183615</v>
      </c>
      <c r="AY61">
        <v>12.946920278979066</v>
      </c>
      <c r="AZ61">
        <v>20.587931609139488</v>
      </c>
      <c r="BA61">
        <v>7.5956107790753284</v>
      </c>
      <c r="BB61">
        <v>10.561636031276461</v>
      </c>
      <c r="BC61">
        <v>18.228671330119017</v>
      </c>
      <c r="BD61">
        <v>69.920770028589359</v>
      </c>
      <c r="BE61">
        <v>121.11290122907296</v>
      </c>
      <c r="BF61">
        <v>16.329934768252365</v>
      </c>
      <c r="BH61">
        <v>16.329934768252365</v>
      </c>
      <c r="BI61">
        <v>172.13075208002533</v>
      </c>
      <c r="BJ61" s="6">
        <v>200</v>
      </c>
      <c r="BK61">
        <v>104.7829664608206</v>
      </c>
      <c r="BL61" s="4">
        <v>2530.7548800000004</v>
      </c>
      <c r="BM61" t="s">
        <v>1696</v>
      </c>
      <c r="BN61" t="s">
        <v>65</v>
      </c>
      <c r="BO61">
        <v>1</v>
      </c>
      <c r="BP61">
        <v>2023</v>
      </c>
      <c r="BQ61" t="str">
        <f t="shared" si="1"/>
        <v>Petchburi51</v>
      </c>
      <c r="BR61">
        <f t="shared" si="2"/>
        <v>673.10783000000015</v>
      </c>
      <c r="BS61">
        <f t="shared" si="3"/>
        <v>6688.1170499999998</v>
      </c>
      <c r="BT61" s="6">
        <f t="shared" si="4"/>
        <v>27.869247919974669</v>
      </c>
    </row>
    <row r="62" spans="1:72">
      <c r="A62" s="3" t="s">
        <v>967</v>
      </c>
      <c r="B62" s="3" t="s">
        <v>1660</v>
      </c>
      <c r="C62" s="3" t="s">
        <v>1670</v>
      </c>
      <c r="D62" s="2" t="s">
        <v>1675</v>
      </c>
      <c r="E62" s="4" t="str">
        <f t="shared" si="0"/>
        <v>Petchburi5AG-006-0012</v>
      </c>
      <c r="F62">
        <v>1.5</v>
      </c>
      <c r="G62">
        <v>1.8</v>
      </c>
      <c r="H62" t="s">
        <v>72</v>
      </c>
      <c r="I62" t="s">
        <v>67</v>
      </c>
      <c r="J62" t="s">
        <v>357</v>
      </c>
      <c r="K62" t="s">
        <v>89</v>
      </c>
      <c r="L62" t="s">
        <v>89</v>
      </c>
      <c r="M62">
        <v>0.31666666666666665</v>
      </c>
      <c r="N62" s="5">
        <v>45071</v>
      </c>
      <c r="O62" s="5">
        <v>45095</v>
      </c>
      <c r="P62">
        <v>1</v>
      </c>
      <c r="Q62" s="4">
        <v>231</v>
      </c>
      <c r="R62">
        <v>0.87</v>
      </c>
      <c r="S62" t="s">
        <v>70</v>
      </c>
      <c r="T62" s="6">
        <v>5</v>
      </c>
      <c r="U62" s="5">
        <v>45209</v>
      </c>
      <c r="V62" s="6">
        <v>1</v>
      </c>
      <c r="W62" t="s">
        <v>86</v>
      </c>
      <c r="X62" s="6">
        <v>114.00000000000001</v>
      </c>
      <c r="Y62">
        <v>19.346270000000001</v>
      </c>
      <c r="Z62">
        <v>12.897513333333334</v>
      </c>
      <c r="AA62" s="6">
        <v>35.21996746659692</v>
      </c>
      <c r="AB62" s="4">
        <v>68.137499999999989</v>
      </c>
      <c r="AC62" s="6">
        <v>28.392984773436066</v>
      </c>
      <c r="AD62">
        <v>0.39109250400000001</v>
      </c>
      <c r="AE62">
        <v>1.8834970478348714</v>
      </c>
      <c r="AF62">
        <v>34800</v>
      </c>
      <c r="AG62" s="4">
        <v>3600</v>
      </c>
      <c r="AH62" s="4">
        <v>11020</v>
      </c>
      <c r="AL62">
        <v>22</v>
      </c>
      <c r="AM62">
        <v>7.1638599999999997</v>
      </c>
      <c r="AN62" t="s">
        <v>81</v>
      </c>
      <c r="AO62" t="s">
        <v>74</v>
      </c>
      <c r="AP62" s="5">
        <v>45095</v>
      </c>
      <c r="AQ62" t="s">
        <v>170</v>
      </c>
      <c r="AR62" s="5">
        <v>45208</v>
      </c>
      <c r="AS62">
        <v>180.82159299958084</v>
      </c>
      <c r="AT62" s="6"/>
      <c r="AU62">
        <v>28.429252770689128</v>
      </c>
      <c r="AV62">
        <v>53.94855080591762</v>
      </c>
      <c r="AW62">
        <v>10.295925261045154</v>
      </c>
      <c r="AX62">
        <v>92.673728837651907</v>
      </c>
      <c r="AY62">
        <v>11.010976792942516</v>
      </c>
      <c r="AZ62">
        <v>27.049664353903879</v>
      </c>
      <c r="BA62">
        <v>5.8828533872420881</v>
      </c>
      <c r="BB62">
        <v>8.2112045371019846</v>
      </c>
      <c r="BC62">
        <v>17.884944746455002</v>
      </c>
      <c r="BD62">
        <v>70.039643817645469</v>
      </c>
      <c r="BE62">
        <v>18.108220344283467</v>
      </c>
      <c r="BF62">
        <v>13.487661445849769</v>
      </c>
      <c r="BH62">
        <v>13.487661445849769</v>
      </c>
      <c r="BI62">
        <v>176.20103410114714</v>
      </c>
      <c r="BJ62" s="6">
        <v>187</v>
      </c>
      <c r="BK62">
        <v>4.6205588984336794</v>
      </c>
      <c r="BL62" s="4">
        <v>89.39058000000054</v>
      </c>
      <c r="BM62" t="s">
        <v>1676</v>
      </c>
      <c r="BN62" t="s">
        <v>65</v>
      </c>
      <c r="BO62">
        <v>10</v>
      </c>
      <c r="BP62">
        <v>2023</v>
      </c>
      <c r="BQ62" t="str">
        <f t="shared" si="1"/>
        <v>Petchburi510</v>
      </c>
      <c r="BR62">
        <f t="shared" si="2"/>
        <v>208.91971000000004</v>
      </c>
      <c r="BS62">
        <f t="shared" si="3"/>
        <v>3498.2233600000009</v>
      </c>
      <c r="BT62" s="6">
        <f t="shared" si="4"/>
        <v>10.798965898852856</v>
      </c>
    </row>
    <row r="63" spans="1:72">
      <c r="A63" s="3" t="s">
        <v>967</v>
      </c>
      <c r="B63" s="3" t="s">
        <v>1660</v>
      </c>
      <c r="C63" s="3" t="s">
        <v>1670</v>
      </c>
      <c r="D63" s="2" t="s">
        <v>1671</v>
      </c>
      <c r="E63" s="4" t="str">
        <f t="shared" si="0"/>
        <v>Petchburi5AG-001-0013</v>
      </c>
      <c r="F63">
        <v>1.5</v>
      </c>
      <c r="G63">
        <v>1.8</v>
      </c>
      <c r="H63" t="s">
        <v>84</v>
      </c>
      <c r="I63" t="s">
        <v>67</v>
      </c>
      <c r="J63" t="s">
        <v>357</v>
      </c>
      <c r="K63" t="s">
        <v>89</v>
      </c>
      <c r="L63" t="s">
        <v>89</v>
      </c>
      <c r="M63">
        <v>2.8648366013071898</v>
      </c>
      <c r="N63" s="5">
        <v>45012</v>
      </c>
      <c r="O63" s="5">
        <v>45031</v>
      </c>
      <c r="P63">
        <v>0.8</v>
      </c>
      <c r="Q63" s="4">
        <v>185</v>
      </c>
      <c r="R63">
        <v>0.28000000000000003</v>
      </c>
      <c r="S63" t="s">
        <v>70</v>
      </c>
      <c r="T63" s="6">
        <v>2</v>
      </c>
      <c r="U63" s="5">
        <v>45096</v>
      </c>
      <c r="V63" s="6">
        <v>2</v>
      </c>
      <c r="W63" t="s">
        <v>71</v>
      </c>
      <c r="X63" s="6">
        <v>65</v>
      </c>
      <c r="Y63">
        <v>9.8226200000000006</v>
      </c>
      <c r="Z63">
        <v>6.5484133333333334</v>
      </c>
      <c r="AA63" s="6">
        <v>44.361585809081483</v>
      </c>
      <c r="AB63" s="4">
        <v>54.468375000000002</v>
      </c>
      <c r="AC63" s="6">
        <v>22.542025533164889</v>
      </c>
      <c r="AD63">
        <v>0.37092682899999996</v>
      </c>
      <c r="AE63">
        <v>1.9924739181257305</v>
      </c>
      <c r="AF63">
        <v>19125</v>
      </c>
      <c r="AG63" s="4">
        <v>0</v>
      </c>
      <c r="AH63" s="4">
        <v>54790</v>
      </c>
      <c r="AL63">
        <v>41</v>
      </c>
      <c r="AM63">
        <v>7.8710399999999998</v>
      </c>
      <c r="AN63" t="s">
        <v>77</v>
      </c>
      <c r="AO63" t="s">
        <v>117</v>
      </c>
      <c r="AP63" s="5">
        <v>45033</v>
      </c>
      <c r="AQ63" t="s">
        <v>74</v>
      </c>
      <c r="AR63" s="5">
        <v>45095</v>
      </c>
      <c r="AS63">
        <v>158.84738084136407</v>
      </c>
      <c r="AT63" s="6"/>
      <c r="AU63">
        <v>32.577866190486851</v>
      </c>
      <c r="AV63">
        <v>60.224319987946181</v>
      </c>
      <c r="AW63">
        <v>24.019680085354004</v>
      </c>
      <c r="AX63">
        <v>116.82186626378704</v>
      </c>
      <c r="AY63">
        <v>16.458748276936294</v>
      </c>
      <c r="AZ63">
        <v>33.74565340000936</v>
      </c>
      <c r="BA63">
        <v>8.1063687692285757</v>
      </c>
      <c r="BB63">
        <v>8.0507838030993764</v>
      </c>
      <c r="BC63">
        <v>25.264106725089636</v>
      </c>
      <c r="BD63">
        <v>91.625660974363242</v>
      </c>
      <c r="BE63">
        <v>-49.600146396786215</v>
      </c>
      <c r="BF63">
        <v>15.990012847895976</v>
      </c>
      <c r="BH63">
        <v>15.990012847895976</v>
      </c>
      <c r="BI63">
        <v>224.43754008604625</v>
      </c>
      <c r="BJ63" s="6">
        <v>177</v>
      </c>
      <c r="BK63">
        <v>-65.590159244682184</v>
      </c>
      <c r="BL63" s="4">
        <v>-644.2672100000002</v>
      </c>
      <c r="BM63" t="s">
        <v>1672</v>
      </c>
      <c r="BN63" t="s">
        <v>65</v>
      </c>
      <c r="BO63">
        <v>6</v>
      </c>
      <c r="BP63">
        <v>2023</v>
      </c>
      <c r="BQ63" t="str">
        <f t="shared" si="1"/>
        <v>Petchburi56</v>
      </c>
      <c r="BR63">
        <f t="shared" si="2"/>
        <v>-465.96092999999968</v>
      </c>
      <c r="BS63">
        <f t="shared" si="3"/>
        <v>1560.2974599999995</v>
      </c>
      <c r="BT63" s="6">
        <f t="shared" si="4"/>
        <v>-47.437540086046255</v>
      </c>
    </row>
    <row r="64" spans="1:72">
      <c r="A64" s="3" t="s">
        <v>967</v>
      </c>
      <c r="B64" s="3" t="s">
        <v>1660</v>
      </c>
      <c r="C64" s="3" t="s">
        <v>1670</v>
      </c>
      <c r="D64" s="2" t="s">
        <v>2736</v>
      </c>
      <c r="E64" s="4" t="str">
        <f t="shared" si="0"/>
        <v>Petchburi5AG-001-0014</v>
      </c>
      <c r="F64">
        <v>1.5</v>
      </c>
      <c r="G64">
        <v>1.8</v>
      </c>
      <c r="H64" t="s">
        <v>84</v>
      </c>
      <c r="I64" t="s">
        <v>67</v>
      </c>
      <c r="J64" t="s">
        <v>357</v>
      </c>
      <c r="K64" t="s">
        <v>89</v>
      </c>
      <c r="L64" t="s">
        <v>89</v>
      </c>
      <c r="M64">
        <v>0.11435930457179652</v>
      </c>
      <c r="N64" s="5">
        <v>45097</v>
      </c>
      <c r="O64" s="5">
        <v>45120</v>
      </c>
      <c r="P64">
        <v>0.8</v>
      </c>
      <c r="Q64" s="4">
        <v>185</v>
      </c>
      <c r="R64">
        <v>0.63300000000000001</v>
      </c>
      <c r="S64" t="s">
        <v>70</v>
      </c>
      <c r="T64" s="6">
        <v>6</v>
      </c>
      <c r="U64" s="5">
        <v>45249</v>
      </c>
      <c r="V64" s="6">
        <v>1</v>
      </c>
      <c r="W64" t="s">
        <v>86</v>
      </c>
      <c r="X64" s="6">
        <v>129</v>
      </c>
      <c r="Y64">
        <v>21.37829</v>
      </c>
      <c r="Z64">
        <v>14.252193333333333</v>
      </c>
      <c r="AA64" s="6">
        <v>32.617108290700514</v>
      </c>
      <c r="AB64" s="4">
        <v>87.16225</v>
      </c>
      <c r="AC64" s="6">
        <v>30.658757088074257</v>
      </c>
      <c r="AD64">
        <v>0.36423292699999998</v>
      </c>
      <c r="AE64">
        <v>1.8601217211911103</v>
      </c>
      <c r="AF64">
        <v>38825</v>
      </c>
      <c r="AG64" s="4">
        <v>0</v>
      </c>
      <c r="AH64" s="4">
        <v>4440</v>
      </c>
      <c r="AL64">
        <v>21</v>
      </c>
      <c r="AM64">
        <v>3.6833400000000003</v>
      </c>
      <c r="AN64" t="s">
        <v>81</v>
      </c>
      <c r="AO64" t="s">
        <v>74</v>
      </c>
      <c r="AP64" s="5">
        <v>45120</v>
      </c>
      <c r="AQ64" t="s">
        <v>189</v>
      </c>
      <c r="AR64" s="5">
        <v>45248</v>
      </c>
      <c r="AS64">
        <v>191.56110568244696</v>
      </c>
      <c r="AT64" s="6"/>
      <c r="AU64">
        <v>18.008924006550568</v>
      </c>
      <c r="AV64">
        <v>54.406914678395687</v>
      </c>
      <c r="AW64">
        <v>22.807005144003575</v>
      </c>
      <c r="AX64">
        <v>95.222843828949834</v>
      </c>
      <c r="AY64">
        <v>10.895669859469582</v>
      </c>
      <c r="AZ64">
        <v>28.67403192678179</v>
      </c>
      <c r="BA64">
        <v>6.3697278874970831</v>
      </c>
      <c r="BB64">
        <v>8.5743812999075235</v>
      </c>
      <c r="BC64">
        <v>16.559416117940213</v>
      </c>
      <c r="BD64">
        <v>71.073227091596181</v>
      </c>
      <c r="BE64">
        <v>25.265034761900949</v>
      </c>
      <c r="BF64">
        <v>13.981954122616912</v>
      </c>
      <c r="BH64">
        <v>13.981954122616912</v>
      </c>
      <c r="BI64">
        <v>180.27802504316296</v>
      </c>
      <c r="BJ64" s="6">
        <v>192</v>
      </c>
      <c r="BK64">
        <v>11.283080639284002</v>
      </c>
      <c r="BL64" s="4">
        <v>241.21296999999882</v>
      </c>
      <c r="BM64" t="s">
        <v>2737</v>
      </c>
      <c r="BN64" t="s">
        <v>65</v>
      </c>
      <c r="BO64">
        <v>11</v>
      </c>
      <c r="BP64">
        <v>2023</v>
      </c>
      <c r="BQ64" t="str">
        <f t="shared" si="1"/>
        <v>Petchburi511</v>
      </c>
      <c r="BR64">
        <f t="shared" si="2"/>
        <v>250.59577999999982</v>
      </c>
      <c r="BS64">
        <f t="shared" si="3"/>
        <v>4095.248869999999</v>
      </c>
      <c r="BT64" s="6">
        <f t="shared" si="4"/>
        <v>11.721974956837045</v>
      </c>
    </row>
    <row r="65" spans="1:72">
      <c r="A65" s="3" t="s">
        <v>967</v>
      </c>
      <c r="B65" s="3" t="s">
        <v>1660</v>
      </c>
      <c r="C65" s="3" t="s">
        <v>1670</v>
      </c>
      <c r="D65" s="2" t="s">
        <v>1673</v>
      </c>
      <c r="E65" s="4" t="str">
        <f t="shared" si="0"/>
        <v>Petchburi5AG-004-0012</v>
      </c>
      <c r="F65">
        <v>1.5</v>
      </c>
      <c r="G65">
        <v>1.8</v>
      </c>
      <c r="H65" t="s">
        <v>72</v>
      </c>
      <c r="I65" t="s">
        <v>67</v>
      </c>
      <c r="J65" t="s">
        <v>357</v>
      </c>
      <c r="K65" t="s">
        <v>89</v>
      </c>
      <c r="L65" t="s">
        <v>89</v>
      </c>
      <c r="M65">
        <v>0.38279009126466751</v>
      </c>
      <c r="N65" s="5">
        <v>45065</v>
      </c>
      <c r="O65" s="5">
        <v>45083</v>
      </c>
      <c r="P65">
        <v>1</v>
      </c>
      <c r="Q65" s="4">
        <v>231</v>
      </c>
      <c r="R65">
        <v>0.89</v>
      </c>
      <c r="S65" t="s">
        <v>70</v>
      </c>
      <c r="T65" s="6">
        <v>5</v>
      </c>
      <c r="U65" s="5">
        <v>45204</v>
      </c>
      <c r="V65" s="6">
        <v>1</v>
      </c>
      <c r="W65" t="s">
        <v>86</v>
      </c>
      <c r="X65" s="6">
        <v>121</v>
      </c>
      <c r="Y65">
        <v>18.414950000000001</v>
      </c>
      <c r="Z65">
        <v>12.276633333333335</v>
      </c>
      <c r="AA65" s="6">
        <v>38.919953624636506</v>
      </c>
      <c r="AB65" s="4">
        <v>71.670900000000003</v>
      </c>
      <c r="AC65" s="6">
        <v>25.693761345260071</v>
      </c>
      <c r="AD65">
        <v>0.35196909799999998</v>
      </c>
      <c r="AE65">
        <v>2.1883086684983408</v>
      </c>
      <c r="AF65">
        <v>38350</v>
      </c>
      <c r="AG65" s="4">
        <v>0</v>
      </c>
      <c r="AH65" s="4">
        <v>14680</v>
      </c>
      <c r="AL65">
        <v>23</v>
      </c>
      <c r="AM65">
        <v>7.7452800000000002</v>
      </c>
      <c r="AN65" t="s">
        <v>81</v>
      </c>
      <c r="AO65" t="s">
        <v>74</v>
      </c>
      <c r="AP65" s="5">
        <v>45083</v>
      </c>
      <c r="AQ65" t="s">
        <v>198</v>
      </c>
      <c r="AR65" s="5">
        <v>45203</v>
      </c>
      <c r="AS65">
        <v>173.49561361828299</v>
      </c>
      <c r="AT65" s="6"/>
      <c r="AU65">
        <v>29.867037379954873</v>
      </c>
      <c r="AV65">
        <v>62.713733678342869</v>
      </c>
      <c r="AW65">
        <v>5.8824547446504054</v>
      </c>
      <c r="AX65">
        <v>98.463225802948145</v>
      </c>
      <c r="AY65">
        <v>11.816101591370053</v>
      </c>
      <c r="AZ65">
        <v>29.113460530710096</v>
      </c>
      <c r="BA65">
        <v>6.6219593319558312</v>
      </c>
      <c r="BB65">
        <v>8.4991808286202239</v>
      </c>
      <c r="BC65">
        <v>19.221698131138012</v>
      </c>
      <c r="BD65">
        <v>75.272400413794216</v>
      </c>
      <c r="BE65">
        <v>-0.24001259845937284</v>
      </c>
      <c r="BF65">
        <v>14.182651052541548</v>
      </c>
      <c r="BH65">
        <v>14.182651052541548</v>
      </c>
      <c r="BI65">
        <v>187.91827726928395</v>
      </c>
      <c r="BJ65" s="6">
        <v>183</v>
      </c>
      <c r="BK65">
        <v>-14.422663651000972</v>
      </c>
      <c r="BL65" s="4">
        <v>-265.59263000000033</v>
      </c>
      <c r="BM65" t="s">
        <v>1674</v>
      </c>
      <c r="BN65" t="s">
        <v>65</v>
      </c>
      <c r="BO65">
        <v>10</v>
      </c>
      <c r="BP65">
        <v>2023</v>
      </c>
      <c r="BQ65" t="str">
        <f t="shared" si="1"/>
        <v>Petchburi510</v>
      </c>
      <c r="BR65">
        <f t="shared" si="2"/>
        <v>-90.569830000000437</v>
      </c>
      <c r="BS65">
        <f t="shared" si="3"/>
        <v>3194.9130500000006</v>
      </c>
      <c r="BT65" s="6">
        <f t="shared" si="4"/>
        <v>-4.9182772692839478</v>
      </c>
    </row>
    <row r="66" spans="1:72">
      <c r="A66" s="3" t="s">
        <v>967</v>
      </c>
      <c r="B66" s="3" t="s">
        <v>1660</v>
      </c>
      <c r="C66" s="3" t="s">
        <v>1670</v>
      </c>
      <c r="D66" s="2" t="s">
        <v>1691</v>
      </c>
      <c r="E66" s="4" t="str">
        <f t="shared" si="0"/>
        <v>Petchburi5AG-001-0012</v>
      </c>
      <c r="F66">
        <v>1.5</v>
      </c>
      <c r="G66">
        <v>1.8</v>
      </c>
      <c r="H66" t="s">
        <v>84</v>
      </c>
      <c r="I66" t="s">
        <v>67</v>
      </c>
      <c r="J66" t="s">
        <v>357</v>
      </c>
      <c r="K66" t="s">
        <v>89</v>
      </c>
      <c r="L66" t="s">
        <v>89</v>
      </c>
      <c r="M66">
        <v>3.8993306559571619</v>
      </c>
      <c r="N66" s="5">
        <v>44860</v>
      </c>
      <c r="O66" s="5">
        <v>44888</v>
      </c>
      <c r="P66">
        <v>0.72</v>
      </c>
      <c r="Q66" s="4">
        <v>167</v>
      </c>
      <c r="R66">
        <v>0.49</v>
      </c>
      <c r="S66" t="s">
        <v>70</v>
      </c>
      <c r="T66" s="6">
        <v>4</v>
      </c>
      <c r="U66" s="5">
        <v>45011</v>
      </c>
      <c r="V66" s="6">
        <v>1</v>
      </c>
      <c r="W66" t="s">
        <v>86</v>
      </c>
      <c r="X66" s="6">
        <v>123.00000000000001</v>
      </c>
      <c r="Y66">
        <v>19.016060000000003</v>
      </c>
      <c r="Z66">
        <v>12.677373333333335</v>
      </c>
      <c r="AA66" s="6">
        <v>29.675232408816544</v>
      </c>
      <c r="AB66" s="4">
        <v>78.375833333333333</v>
      </c>
      <c r="AC66" s="6">
        <v>33.698135408803026</v>
      </c>
      <c r="AD66">
        <v>0.349498056</v>
      </c>
      <c r="AE66">
        <v>2.0012580867436878</v>
      </c>
      <c r="AF66">
        <v>37350</v>
      </c>
      <c r="AG66" s="4">
        <v>0</v>
      </c>
      <c r="AH66" s="4">
        <v>145640</v>
      </c>
      <c r="AL66">
        <v>23</v>
      </c>
      <c r="AM66">
        <v>8.7093600000000002</v>
      </c>
      <c r="AN66" t="s">
        <v>81</v>
      </c>
      <c r="AO66" t="s">
        <v>96</v>
      </c>
      <c r="AP66" s="5">
        <v>44889</v>
      </c>
      <c r="AQ66" t="s">
        <v>144</v>
      </c>
      <c r="AR66" s="5">
        <v>45010</v>
      </c>
      <c r="AS66">
        <v>267.72918154444187</v>
      </c>
      <c r="AT66" s="6"/>
      <c r="AU66">
        <v>17.03822979102927</v>
      </c>
      <c r="AV66">
        <v>62.574301932156295</v>
      </c>
      <c r="AW66">
        <v>13.095482450097444</v>
      </c>
      <c r="AX66">
        <v>92.708014173283004</v>
      </c>
      <c r="AY66">
        <v>14.617685261826058</v>
      </c>
      <c r="AZ66">
        <v>28.134503677417936</v>
      </c>
      <c r="BA66">
        <v>5.6519394659040838</v>
      </c>
      <c r="BB66">
        <v>11.18225226466471</v>
      </c>
      <c r="BC66">
        <v>23.16585612371858</v>
      </c>
      <c r="BD66">
        <v>82.752236793531367</v>
      </c>
      <c r="BE66">
        <v>92.268930577627501</v>
      </c>
      <c r="BF66">
        <v>17.988976160150944</v>
      </c>
      <c r="BH66">
        <v>17.988976160150944</v>
      </c>
      <c r="BI66">
        <v>193.44922712696533</v>
      </c>
      <c r="BJ66" s="6">
        <v>200</v>
      </c>
      <c r="BK66">
        <v>74.27995441747656</v>
      </c>
      <c r="BL66" s="4">
        <v>1412.5120699999993</v>
      </c>
      <c r="BM66" t="s">
        <v>1692</v>
      </c>
      <c r="BN66" t="s">
        <v>65</v>
      </c>
      <c r="BO66">
        <v>3</v>
      </c>
      <c r="BP66">
        <v>2023</v>
      </c>
      <c r="BQ66" t="str">
        <f t="shared" si="1"/>
        <v>Petchburi53</v>
      </c>
      <c r="BR66">
        <f t="shared" si="2"/>
        <v>124.56988999999976</v>
      </c>
      <c r="BS66">
        <f t="shared" si="3"/>
        <v>5091.1541800000005</v>
      </c>
      <c r="BT66" s="6">
        <f t="shared" si="4"/>
        <v>6.5507728730346741</v>
      </c>
    </row>
    <row r="67" spans="1:72">
      <c r="A67" s="3" t="s">
        <v>967</v>
      </c>
      <c r="B67" s="3" t="s">
        <v>1660</v>
      </c>
      <c r="C67" s="3" t="s">
        <v>1670</v>
      </c>
      <c r="D67" s="2" t="s">
        <v>1689</v>
      </c>
      <c r="E67" s="4" t="str">
        <f t="shared" si="0"/>
        <v>Petchburi5AG-003-0012</v>
      </c>
      <c r="F67">
        <v>1.5</v>
      </c>
      <c r="G67">
        <v>1.8</v>
      </c>
      <c r="H67" t="s">
        <v>72</v>
      </c>
      <c r="I67" t="s">
        <v>67</v>
      </c>
      <c r="J67" t="s">
        <v>357</v>
      </c>
      <c r="K67" t="s">
        <v>89</v>
      </c>
      <c r="L67" t="s">
        <v>89</v>
      </c>
      <c r="M67">
        <v>1.0645835866261397</v>
      </c>
      <c r="N67" s="5">
        <v>44946</v>
      </c>
      <c r="O67" s="5">
        <v>44968</v>
      </c>
      <c r="P67">
        <v>0.72</v>
      </c>
      <c r="Q67" s="4">
        <v>167</v>
      </c>
      <c r="R67">
        <v>0.32</v>
      </c>
      <c r="S67" t="s">
        <v>70</v>
      </c>
      <c r="T67" s="6">
        <v>5</v>
      </c>
      <c r="U67" s="5">
        <v>45098</v>
      </c>
      <c r="V67" s="6">
        <v>1</v>
      </c>
      <c r="W67" t="s">
        <v>86</v>
      </c>
      <c r="X67" s="6">
        <v>130</v>
      </c>
      <c r="Y67">
        <v>21.269490000000001</v>
      </c>
      <c r="Z67">
        <v>14.17966</v>
      </c>
      <c r="AA67" s="6">
        <v>29.865455166061807</v>
      </c>
      <c r="AB67" s="4">
        <v>88.225416666666661</v>
      </c>
      <c r="AC67" s="6">
        <v>33.483501069703081</v>
      </c>
      <c r="AD67">
        <v>0.34718881099999999</v>
      </c>
      <c r="AE67">
        <v>1.9546948085682414</v>
      </c>
      <c r="AF67">
        <v>41125</v>
      </c>
      <c r="AG67" s="4">
        <v>3600</v>
      </c>
      <c r="AH67" s="4">
        <v>43781</v>
      </c>
      <c r="AL67">
        <v>22</v>
      </c>
      <c r="AM67">
        <v>8.1110000000000007</v>
      </c>
      <c r="AN67" t="s">
        <v>81</v>
      </c>
      <c r="AO67" t="s">
        <v>198</v>
      </c>
      <c r="AP67" s="5">
        <v>44968</v>
      </c>
      <c r="AQ67" t="s">
        <v>74</v>
      </c>
      <c r="AR67" s="5">
        <v>45097</v>
      </c>
      <c r="AS67">
        <v>230.77495229081654</v>
      </c>
      <c r="AT67" s="6"/>
      <c r="AU67">
        <v>13.540522128175146</v>
      </c>
      <c r="AV67">
        <v>61.867762696707807</v>
      </c>
      <c r="AW67">
        <v>20.526839618627434</v>
      </c>
      <c r="AX67">
        <v>95.935124443510389</v>
      </c>
      <c r="AY67">
        <v>13.494893389545306</v>
      </c>
      <c r="AZ67">
        <v>29.213883360625946</v>
      </c>
      <c r="BA67">
        <v>6.0880091624199721</v>
      </c>
      <c r="BB67">
        <v>6.6445072260782938</v>
      </c>
      <c r="BC67">
        <v>21.364198671430302</v>
      </c>
      <c r="BD67">
        <v>76.805491810099824</v>
      </c>
      <c r="BE67">
        <v>58.034336037206316</v>
      </c>
      <c r="BF67">
        <v>14.300115799673614</v>
      </c>
      <c r="BH67">
        <v>14.300115799673614</v>
      </c>
      <c r="BI67">
        <v>187.04073205328382</v>
      </c>
      <c r="BJ67" s="6">
        <v>200</v>
      </c>
      <c r="BK67">
        <v>43.734220237532725</v>
      </c>
      <c r="BL67" s="4">
        <v>930.20456000000001</v>
      </c>
      <c r="BM67" t="s">
        <v>1690</v>
      </c>
      <c r="BN67" t="s">
        <v>65</v>
      </c>
      <c r="BO67">
        <v>6</v>
      </c>
      <c r="BP67">
        <v>2023</v>
      </c>
      <c r="BQ67" t="str">
        <f t="shared" si="1"/>
        <v>Petchburi56</v>
      </c>
      <c r="BR67">
        <f t="shared" si="2"/>
        <v>275.63702000000035</v>
      </c>
      <c r="BS67">
        <f t="shared" si="3"/>
        <v>4908.4655400000001</v>
      </c>
      <c r="BT67" s="6">
        <f t="shared" si="4"/>
        <v>12.959267946716182</v>
      </c>
    </row>
    <row r="68" spans="1:72">
      <c r="A68" s="3" t="s">
        <v>967</v>
      </c>
      <c r="B68" s="3" t="s">
        <v>1660</v>
      </c>
      <c r="C68" s="3" t="s">
        <v>1670</v>
      </c>
      <c r="D68" s="2" t="s">
        <v>1685</v>
      </c>
      <c r="E68" s="4" t="str">
        <f t="shared" ref="E68:E131" si="5">B68&amp;D68</f>
        <v>Petchburi5AG-005-0012</v>
      </c>
      <c r="F68">
        <v>1.5</v>
      </c>
      <c r="G68">
        <v>1.8</v>
      </c>
      <c r="H68" t="s">
        <v>72</v>
      </c>
      <c r="I68" t="s">
        <v>67</v>
      </c>
      <c r="J68" t="s">
        <v>357</v>
      </c>
      <c r="K68" t="s">
        <v>89</v>
      </c>
      <c r="L68" t="s">
        <v>89</v>
      </c>
      <c r="M68">
        <v>0.49056603773584906</v>
      </c>
      <c r="N68" s="5">
        <v>45054</v>
      </c>
      <c r="O68" s="5">
        <v>45075</v>
      </c>
      <c r="P68">
        <v>1</v>
      </c>
      <c r="Q68" s="4">
        <v>231</v>
      </c>
      <c r="R68">
        <v>0.48</v>
      </c>
      <c r="S68" t="s">
        <v>70</v>
      </c>
      <c r="T68" s="6">
        <v>5</v>
      </c>
      <c r="U68" s="5">
        <v>45205</v>
      </c>
      <c r="V68" s="6">
        <v>1</v>
      </c>
      <c r="W68" t="s">
        <v>86</v>
      </c>
      <c r="X68" s="6">
        <v>130</v>
      </c>
      <c r="Y68">
        <v>21.481900000000003</v>
      </c>
      <c r="Z68">
        <v>14.321266666666668</v>
      </c>
      <c r="AA68" s="6">
        <v>32.201201942100091</v>
      </c>
      <c r="AB68" s="4">
        <v>69.174300000000002</v>
      </c>
      <c r="AC68" s="6">
        <v>31.054741428536321</v>
      </c>
      <c r="AD68">
        <v>0.34595804200000002</v>
      </c>
      <c r="AE68">
        <v>1.9557754298420618</v>
      </c>
      <c r="AF68">
        <v>41075</v>
      </c>
      <c r="AG68" s="4">
        <v>4640</v>
      </c>
      <c r="AH68" s="4">
        <v>20150</v>
      </c>
      <c r="AL68">
        <v>22</v>
      </c>
      <c r="AM68">
        <v>9.3390400000000007</v>
      </c>
      <c r="AN68" t="s">
        <v>81</v>
      </c>
      <c r="AO68" t="s">
        <v>103</v>
      </c>
      <c r="AP68" s="5">
        <v>45075</v>
      </c>
      <c r="AQ68" t="s">
        <v>131</v>
      </c>
      <c r="AR68" s="5">
        <v>45204</v>
      </c>
      <c r="AS68">
        <v>184.95199353874651</v>
      </c>
      <c r="AT68" s="6"/>
      <c r="AU68">
        <v>20.947867739818172</v>
      </c>
      <c r="AV68">
        <v>57.576248842048408</v>
      </c>
      <c r="AW68">
        <v>8.8650594221181578</v>
      </c>
      <c r="AX68">
        <v>87.38917600398473</v>
      </c>
      <c r="AY68">
        <v>11.211274607925741</v>
      </c>
      <c r="AZ68">
        <v>27.1042919853458</v>
      </c>
      <c r="BA68">
        <v>6.3263156424711031</v>
      </c>
      <c r="BB68">
        <v>7.7787178973926858</v>
      </c>
      <c r="BC68">
        <v>18.197593788258953</v>
      </c>
      <c r="BD68">
        <v>70.61819392139428</v>
      </c>
      <c r="BE68">
        <v>26.944623613367497</v>
      </c>
      <c r="BF68">
        <v>13.164143302035663</v>
      </c>
      <c r="BH68">
        <v>13.164143302035663</v>
      </c>
      <c r="BI68">
        <v>171.17151322741466</v>
      </c>
      <c r="BJ68" s="6">
        <v>192</v>
      </c>
      <c r="BK68">
        <v>13.780480311331839</v>
      </c>
      <c r="BL68" s="4">
        <v>296.03089999999946</v>
      </c>
      <c r="BM68" t="s">
        <v>1686</v>
      </c>
      <c r="BN68" t="s">
        <v>65</v>
      </c>
      <c r="BO68">
        <v>10</v>
      </c>
      <c r="BP68">
        <v>2023</v>
      </c>
      <c r="BQ68" t="str">
        <f t="shared" ref="BQ68:BQ131" si="6">B68&amp;BO68</f>
        <v>Petchburi510</v>
      </c>
      <c r="BR68">
        <f t="shared" ref="BR68:BR131" si="7">BT68*Y68</f>
        <v>447.43547000000098</v>
      </c>
      <c r="BS68">
        <f t="shared" ref="BS68:BS131" si="8">Y68*AS68</f>
        <v>3973.1202299999991</v>
      </c>
      <c r="BT68" s="6">
        <f t="shared" ref="BT68:BT131" si="9">BJ68-BI68</f>
        <v>20.828486772585336</v>
      </c>
    </row>
    <row r="69" spans="1:72">
      <c r="A69" s="3" t="s">
        <v>967</v>
      </c>
      <c r="B69" s="3" t="s">
        <v>1660</v>
      </c>
      <c r="C69" s="3" t="s">
        <v>1670</v>
      </c>
      <c r="D69" s="2" t="s">
        <v>1677</v>
      </c>
      <c r="E69" s="4" t="str">
        <f t="shared" si="5"/>
        <v>Petchburi5AG-003-0013</v>
      </c>
      <c r="F69">
        <v>1.5</v>
      </c>
      <c r="G69">
        <v>1.8</v>
      </c>
      <c r="H69" t="s">
        <v>72</v>
      </c>
      <c r="I69" t="s">
        <v>67</v>
      </c>
      <c r="J69" t="s">
        <v>357</v>
      </c>
      <c r="K69" t="s">
        <v>89</v>
      </c>
      <c r="L69" t="s">
        <v>89</v>
      </c>
      <c r="M69">
        <v>0.16104380242311278</v>
      </c>
      <c r="N69" s="5">
        <v>45099</v>
      </c>
      <c r="O69" s="5">
        <v>45112</v>
      </c>
      <c r="P69">
        <v>1</v>
      </c>
      <c r="Q69" s="4">
        <v>231</v>
      </c>
      <c r="R69">
        <v>0.56499999999999995</v>
      </c>
      <c r="S69" t="s">
        <v>70</v>
      </c>
      <c r="T69" s="6">
        <v>4</v>
      </c>
      <c r="U69" s="5">
        <v>45220</v>
      </c>
      <c r="V69" s="6">
        <v>2</v>
      </c>
      <c r="W69" t="s">
        <v>71</v>
      </c>
      <c r="X69" s="6">
        <v>108</v>
      </c>
      <c r="Y69">
        <v>11.725790000000002</v>
      </c>
      <c r="Z69">
        <v>7.8171933333333348</v>
      </c>
      <c r="AA69" s="6">
        <v>34.583853198803659</v>
      </c>
      <c r="AB69" s="4">
        <v>40.552300000000002</v>
      </c>
      <c r="AC69" s="6">
        <v>28.915227989534504</v>
      </c>
      <c r="AD69">
        <v>0.33770404700000001</v>
      </c>
      <c r="AE69">
        <v>2.4035036946309356</v>
      </c>
      <c r="AF69">
        <v>26825</v>
      </c>
      <c r="AG69" s="4">
        <v>3600</v>
      </c>
      <c r="AH69" s="4">
        <v>4320</v>
      </c>
      <c r="AL69">
        <v>27</v>
      </c>
      <c r="AM69">
        <v>2.1657500000000001</v>
      </c>
      <c r="AN69" t="s">
        <v>81</v>
      </c>
      <c r="AO69" t="s">
        <v>74</v>
      </c>
      <c r="AP69" s="5">
        <v>45113</v>
      </c>
      <c r="AQ69" t="s">
        <v>198</v>
      </c>
      <c r="AR69" s="5">
        <v>45219</v>
      </c>
      <c r="AS69">
        <v>181.97469765363354</v>
      </c>
      <c r="AT69" s="6"/>
      <c r="AU69">
        <v>40.508997688002253</v>
      </c>
      <c r="AV69">
        <v>68.636085926833061</v>
      </c>
      <c r="AW69">
        <v>13.506514273238736</v>
      </c>
      <c r="AX69">
        <v>122.65159788807405</v>
      </c>
      <c r="AY69">
        <v>15.15528847096869</v>
      </c>
      <c r="AZ69">
        <v>39.527549956122364</v>
      </c>
      <c r="BA69">
        <v>9.5943335161213028</v>
      </c>
      <c r="BB69">
        <v>12.730386609345723</v>
      </c>
      <c r="BC69">
        <v>23.801024920282561</v>
      </c>
      <c r="BD69">
        <v>100.80858347284065</v>
      </c>
      <c r="BE69">
        <v>-41.485483707281162</v>
      </c>
      <c r="BF69">
        <v>19.847418382897864</v>
      </c>
      <c r="BH69">
        <v>19.847418382897864</v>
      </c>
      <c r="BI69">
        <v>243.30759974381257</v>
      </c>
      <c r="BJ69" s="6">
        <v>189</v>
      </c>
      <c r="BK69">
        <v>-61.332902090179033</v>
      </c>
      <c r="BL69" s="4">
        <v>-719.17673000000048</v>
      </c>
      <c r="BM69" t="s">
        <v>1678</v>
      </c>
      <c r="BN69" t="s">
        <v>65</v>
      </c>
      <c r="BO69">
        <v>10</v>
      </c>
      <c r="BP69">
        <v>2023</v>
      </c>
      <c r="BQ69" t="str">
        <f t="shared" si="6"/>
        <v>Petchburi510</v>
      </c>
      <c r="BR69">
        <f t="shared" si="7"/>
        <v>-636.79951000000017</v>
      </c>
      <c r="BS69">
        <f t="shared" si="8"/>
        <v>2133.79709</v>
      </c>
      <c r="BT69" s="6">
        <f t="shared" si="9"/>
        <v>-54.307599743812574</v>
      </c>
    </row>
    <row r="70" spans="1:72">
      <c r="A70" s="3" t="s">
        <v>967</v>
      </c>
      <c r="B70" s="3" t="s">
        <v>1660</v>
      </c>
      <c r="C70" s="3" t="s">
        <v>1670</v>
      </c>
      <c r="D70" s="2" t="s">
        <v>1687</v>
      </c>
      <c r="E70" s="4" t="str">
        <f t="shared" si="5"/>
        <v>Petchburi5AG-002-0012</v>
      </c>
      <c r="F70">
        <v>1.5</v>
      </c>
      <c r="G70">
        <v>1.8</v>
      </c>
      <c r="H70" t="s">
        <v>84</v>
      </c>
      <c r="I70" t="s">
        <v>67</v>
      </c>
      <c r="J70" t="s">
        <v>357</v>
      </c>
      <c r="K70" t="s">
        <v>89</v>
      </c>
      <c r="L70" t="s">
        <v>89</v>
      </c>
      <c r="M70">
        <v>3.8646408839779007</v>
      </c>
      <c r="N70" s="5">
        <v>44867</v>
      </c>
      <c r="O70" s="5">
        <v>44895</v>
      </c>
      <c r="P70">
        <v>0.72</v>
      </c>
      <c r="Q70" s="4">
        <v>167</v>
      </c>
      <c r="R70">
        <v>0.56000000000000005</v>
      </c>
      <c r="S70" t="s">
        <v>70</v>
      </c>
      <c r="T70" s="6">
        <v>4</v>
      </c>
      <c r="U70" s="5">
        <v>45023</v>
      </c>
      <c r="V70" s="6">
        <v>1</v>
      </c>
      <c r="W70" t="s">
        <v>86</v>
      </c>
      <c r="X70" s="6">
        <v>128</v>
      </c>
      <c r="Y70">
        <v>18.64274</v>
      </c>
      <c r="Z70">
        <v>12.428493333333334</v>
      </c>
      <c r="AA70" s="6">
        <v>31.058631939296475</v>
      </c>
      <c r="AB70" s="4">
        <v>80.419166666666669</v>
      </c>
      <c r="AC70" s="6">
        <v>32.197168309102658</v>
      </c>
      <c r="AD70">
        <v>0.33529891299999998</v>
      </c>
      <c r="AE70">
        <v>1.984699175527453</v>
      </c>
      <c r="AF70">
        <v>36200</v>
      </c>
      <c r="AG70" s="4">
        <v>3600</v>
      </c>
      <c r="AH70" s="4">
        <v>139900</v>
      </c>
      <c r="AL70">
        <v>23</v>
      </c>
      <c r="AM70">
        <v>9.0825200000000006</v>
      </c>
      <c r="AN70" t="s">
        <v>81</v>
      </c>
      <c r="AO70" t="s">
        <v>108</v>
      </c>
      <c r="AP70" s="5">
        <v>44896</v>
      </c>
      <c r="AQ70" t="s">
        <v>127</v>
      </c>
      <c r="AR70" s="5">
        <v>45022</v>
      </c>
      <c r="AS70">
        <v>263.3733029586852</v>
      </c>
      <c r="AT70" s="6"/>
      <c r="AU70">
        <v>17.379419548843142</v>
      </c>
      <c r="AV70">
        <v>62.22350040820178</v>
      </c>
      <c r="AW70">
        <v>16.403912193164739</v>
      </c>
      <c r="AX70">
        <v>96.006832150209661</v>
      </c>
      <c r="AY70">
        <v>15.481976898245641</v>
      </c>
      <c r="AZ70">
        <v>30.210734580860965</v>
      </c>
      <c r="BA70">
        <v>5.9140013753343119</v>
      </c>
      <c r="BB70">
        <v>11.750783414884292</v>
      </c>
      <c r="BC70">
        <v>24.435585648890665</v>
      </c>
      <c r="BD70">
        <v>87.793081918215876</v>
      </c>
      <c r="BE70">
        <v>79.57338889025965</v>
      </c>
      <c r="BF70">
        <v>18.752468789459062</v>
      </c>
      <c r="BH70">
        <v>18.752468789459062</v>
      </c>
      <c r="BI70">
        <v>202.55238285788462</v>
      </c>
      <c r="BJ70" s="6">
        <v>194</v>
      </c>
      <c r="BK70">
        <v>60.820920100800606</v>
      </c>
      <c r="BL70" s="4">
        <v>1133.8685999999996</v>
      </c>
      <c r="BM70" t="s">
        <v>1688</v>
      </c>
      <c r="BN70" t="s">
        <v>65</v>
      </c>
      <c r="BO70">
        <v>4</v>
      </c>
      <c r="BP70">
        <v>2023</v>
      </c>
      <c r="BQ70" t="str">
        <f t="shared" si="6"/>
        <v>Petchburi54</v>
      </c>
      <c r="BR70">
        <f t="shared" si="7"/>
        <v>-159.43984999999998</v>
      </c>
      <c r="BS70">
        <f t="shared" si="8"/>
        <v>4910.0000099999988</v>
      </c>
      <c r="BT70" s="6">
        <f t="shared" si="9"/>
        <v>-8.5523828578846235</v>
      </c>
    </row>
    <row r="71" spans="1:72">
      <c r="A71" s="3" t="s">
        <v>967</v>
      </c>
      <c r="B71" s="3" t="s">
        <v>1660</v>
      </c>
      <c r="C71" s="3" t="s">
        <v>1670</v>
      </c>
      <c r="D71" s="2" t="s">
        <v>1681</v>
      </c>
      <c r="E71" s="4" t="str">
        <f t="shared" si="5"/>
        <v>Petchburi5AG-006-0011</v>
      </c>
      <c r="F71">
        <v>1.5</v>
      </c>
      <c r="G71">
        <v>1.8</v>
      </c>
      <c r="H71" t="s">
        <v>72</v>
      </c>
      <c r="I71" t="s">
        <v>67</v>
      </c>
      <c r="J71" t="s">
        <v>357</v>
      </c>
      <c r="K71" t="s">
        <v>89</v>
      </c>
      <c r="L71" t="s">
        <v>89</v>
      </c>
      <c r="M71">
        <v>1.2043230115361263</v>
      </c>
      <c r="N71" s="5">
        <v>44929</v>
      </c>
      <c r="O71" s="5">
        <v>44956</v>
      </c>
      <c r="P71">
        <v>0.72</v>
      </c>
      <c r="Q71" s="4">
        <v>167</v>
      </c>
      <c r="R71">
        <v>0.4</v>
      </c>
      <c r="S71" t="s">
        <v>70</v>
      </c>
      <c r="T71" s="6">
        <v>4</v>
      </c>
      <c r="U71" s="5">
        <v>45070</v>
      </c>
      <c r="V71" s="6">
        <v>1</v>
      </c>
      <c r="W71" t="s">
        <v>86</v>
      </c>
      <c r="X71" s="6">
        <v>114</v>
      </c>
      <c r="Y71">
        <v>20.047459999999997</v>
      </c>
      <c r="Z71">
        <v>13.364973333333332</v>
      </c>
      <c r="AA71" s="6">
        <v>32.498979920648303</v>
      </c>
      <c r="AB71" s="4">
        <v>90.489166666666662</v>
      </c>
      <c r="AC71" s="6">
        <v>30.770196555143187</v>
      </c>
      <c r="AD71">
        <v>0.33387314400000001</v>
      </c>
      <c r="AE71">
        <v>2.0838120070082886</v>
      </c>
      <c r="AF71">
        <v>41175</v>
      </c>
      <c r="AG71" s="4">
        <v>3600</v>
      </c>
      <c r="AH71" s="4">
        <v>49588</v>
      </c>
      <c r="AL71">
        <v>25.999999999999996</v>
      </c>
      <c r="AM71">
        <v>10.14517</v>
      </c>
      <c r="AN71" t="s">
        <v>81</v>
      </c>
      <c r="AO71" t="s">
        <v>198</v>
      </c>
      <c r="AP71" s="5">
        <v>44957</v>
      </c>
      <c r="AQ71" t="s">
        <v>157</v>
      </c>
      <c r="AR71" s="5">
        <v>45069</v>
      </c>
      <c r="AS71">
        <v>212.43737660531556</v>
      </c>
      <c r="AT71" s="6"/>
      <c r="AU71">
        <v>14.3659096962907</v>
      </c>
      <c r="AV71">
        <v>66.026834322153519</v>
      </c>
      <c r="AW71">
        <v>20.835623066463281</v>
      </c>
      <c r="AX71">
        <v>101.2283670849075</v>
      </c>
      <c r="AY71">
        <v>13.202514433249895</v>
      </c>
      <c r="AZ71">
        <v>28.631020089328025</v>
      </c>
      <c r="BA71">
        <v>5.5703500593092601</v>
      </c>
      <c r="BB71">
        <v>6.6398606107706399</v>
      </c>
      <c r="BC71">
        <v>20.722569841765488</v>
      </c>
      <c r="BD71">
        <v>74.7663150344233</v>
      </c>
      <c r="BE71">
        <v>36.442694485984759</v>
      </c>
      <c r="BF71">
        <v>14.536497890505826</v>
      </c>
      <c r="BH71">
        <v>14.536497890505826</v>
      </c>
      <c r="BI71">
        <v>190.53118000983667</v>
      </c>
      <c r="BJ71" s="6">
        <v>192</v>
      </c>
      <c r="BK71">
        <v>21.906196595478889</v>
      </c>
      <c r="BL71" s="4">
        <v>439.16359999999918</v>
      </c>
      <c r="BM71" t="s">
        <v>1682</v>
      </c>
      <c r="BN71" t="s">
        <v>65</v>
      </c>
      <c r="BO71">
        <v>5</v>
      </c>
      <c r="BP71">
        <v>2023</v>
      </c>
      <c r="BQ71" t="str">
        <f t="shared" si="6"/>
        <v>Petchburi55</v>
      </c>
      <c r="BR71">
        <f t="shared" si="7"/>
        <v>29.446109999999656</v>
      </c>
      <c r="BS71">
        <f t="shared" si="8"/>
        <v>4258.8298099999993</v>
      </c>
      <c r="BT71" s="6">
        <f t="shared" si="9"/>
        <v>1.4688199901633254</v>
      </c>
    </row>
    <row r="72" spans="1:72">
      <c r="A72" s="3" t="s">
        <v>967</v>
      </c>
      <c r="B72" s="3" t="s">
        <v>1660</v>
      </c>
      <c r="C72" s="3" t="s">
        <v>1670</v>
      </c>
      <c r="D72" s="2" t="s">
        <v>1683</v>
      </c>
      <c r="E72" s="4" t="str">
        <f t="shared" si="5"/>
        <v>Petchburi5AG-004-0011</v>
      </c>
      <c r="F72">
        <v>1.5</v>
      </c>
      <c r="G72">
        <v>1.8</v>
      </c>
      <c r="H72" t="s">
        <v>72</v>
      </c>
      <c r="I72" t="s">
        <v>67</v>
      </c>
      <c r="J72" t="s">
        <v>357</v>
      </c>
      <c r="K72" t="s">
        <v>89</v>
      </c>
      <c r="L72" t="s">
        <v>89</v>
      </c>
      <c r="M72">
        <v>1.470723340790455</v>
      </c>
      <c r="N72" s="5">
        <v>44921</v>
      </c>
      <c r="O72" s="5">
        <v>44949</v>
      </c>
      <c r="P72">
        <v>0.72</v>
      </c>
      <c r="Q72" s="4">
        <v>167</v>
      </c>
      <c r="R72">
        <v>0.32</v>
      </c>
      <c r="S72" t="s">
        <v>70</v>
      </c>
      <c r="T72" s="6">
        <v>3</v>
      </c>
      <c r="U72" s="5">
        <v>45064</v>
      </c>
      <c r="V72" s="6">
        <v>1</v>
      </c>
      <c r="W72" t="s">
        <v>86</v>
      </c>
      <c r="X72" s="6">
        <v>115</v>
      </c>
      <c r="Y72">
        <v>17.35623</v>
      </c>
      <c r="Z72">
        <v>11.570819999999999</v>
      </c>
      <c r="AA72" s="6">
        <v>32.409227119022965</v>
      </c>
      <c r="AB72" s="4">
        <v>78.125277777777782</v>
      </c>
      <c r="AC72" s="6">
        <v>30.85541029187452</v>
      </c>
      <c r="AD72">
        <v>0.30777639800000001</v>
      </c>
      <c r="AE72">
        <v>1.9575693557626115</v>
      </c>
      <c r="AF72">
        <v>33525</v>
      </c>
      <c r="AG72" s="4">
        <v>3600</v>
      </c>
      <c r="AH72" s="4">
        <v>49306</v>
      </c>
      <c r="AL72">
        <v>27.999999999999996</v>
      </c>
      <c r="AM72">
        <v>11.968129999999999</v>
      </c>
      <c r="AN72" t="s">
        <v>81</v>
      </c>
      <c r="AO72" t="s">
        <v>170</v>
      </c>
      <c r="AP72" s="5">
        <v>44950</v>
      </c>
      <c r="AQ72" t="s">
        <v>157</v>
      </c>
      <c r="AR72" s="5">
        <v>45063</v>
      </c>
      <c r="AS72">
        <v>211.79171744094199</v>
      </c>
      <c r="AT72" s="6"/>
      <c r="AU72">
        <v>16.593465285952078</v>
      </c>
      <c r="AV72">
        <v>62.071984526593631</v>
      </c>
      <c r="AW72">
        <v>24.971594061613615</v>
      </c>
      <c r="AX72">
        <v>103.63704387415932</v>
      </c>
      <c r="AY72">
        <v>15.409795790906207</v>
      </c>
      <c r="AZ72">
        <v>32.847416172751807</v>
      </c>
      <c r="BA72">
        <v>6.3069019020835739</v>
      </c>
      <c r="BB72">
        <v>8.2374323225723547</v>
      </c>
      <c r="BC72">
        <v>24.387698826300415</v>
      </c>
      <c r="BD72">
        <v>87.189245014614357</v>
      </c>
      <c r="BE72">
        <v>20.965428552168319</v>
      </c>
      <c r="BF72">
        <v>17.260140018886592</v>
      </c>
      <c r="BH72">
        <v>17.260140018886592</v>
      </c>
      <c r="BI72">
        <v>208.08642890766023</v>
      </c>
      <c r="BJ72" s="6">
        <v>192</v>
      </c>
      <c r="BK72">
        <v>3.7052885332817542</v>
      </c>
      <c r="BL72" s="4">
        <v>64.309840000000776</v>
      </c>
      <c r="BM72" t="s">
        <v>1684</v>
      </c>
      <c r="BN72" t="s">
        <v>65</v>
      </c>
      <c r="BO72">
        <v>5</v>
      </c>
      <c r="BP72">
        <v>2023</v>
      </c>
      <c r="BQ72" t="str">
        <f t="shared" si="6"/>
        <v>Petchburi55</v>
      </c>
      <c r="BR72">
        <f t="shared" si="7"/>
        <v>-279.1997599999998</v>
      </c>
      <c r="BS72">
        <f t="shared" si="8"/>
        <v>3675.9057600000006</v>
      </c>
      <c r="BT72" s="6">
        <f t="shared" si="9"/>
        <v>-16.086428907660235</v>
      </c>
    </row>
    <row r="73" spans="1:72">
      <c r="A73" s="3" t="s">
        <v>967</v>
      </c>
      <c r="B73" s="3" t="s">
        <v>1660</v>
      </c>
      <c r="C73" s="3" t="s">
        <v>1670</v>
      </c>
      <c r="D73" s="2" t="s">
        <v>1679</v>
      </c>
      <c r="E73" s="4" t="str">
        <f t="shared" si="5"/>
        <v>Petchburi5AG-005-0011</v>
      </c>
      <c r="F73">
        <v>1.5</v>
      </c>
      <c r="G73">
        <v>1.8</v>
      </c>
      <c r="H73" t="s">
        <v>72</v>
      </c>
      <c r="I73" t="s">
        <v>67</v>
      </c>
      <c r="J73" t="s">
        <v>357</v>
      </c>
      <c r="K73" t="s">
        <v>89</v>
      </c>
      <c r="L73" t="s">
        <v>89</v>
      </c>
      <c r="M73">
        <v>1.1688338762214985</v>
      </c>
      <c r="N73" s="5">
        <v>44903</v>
      </c>
      <c r="O73" s="5">
        <v>44924</v>
      </c>
      <c r="P73">
        <v>0.72</v>
      </c>
      <c r="Q73" s="4">
        <v>167</v>
      </c>
      <c r="R73">
        <v>7.0000000000000007E-2</v>
      </c>
      <c r="S73" t="s">
        <v>70</v>
      </c>
      <c r="T73" s="6">
        <v>4</v>
      </c>
      <c r="U73" s="5">
        <v>45053</v>
      </c>
      <c r="V73" s="6">
        <v>1</v>
      </c>
      <c r="W73" t="s">
        <v>86</v>
      </c>
      <c r="X73" s="6">
        <v>129</v>
      </c>
      <c r="Y73">
        <v>19.61373</v>
      </c>
      <c r="Z73">
        <v>13.07582</v>
      </c>
      <c r="AA73" s="6">
        <v>32.673642392344547</v>
      </c>
      <c r="AB73" s="4">
        <v>89.007222222222225</v>
      </c>
      <c r="AC73" s="6">
        <v>30.605709274528284</v>
      </c>
      <c r="AD73">
        <v>0.29760882500000002</v>
      </c>
      <c r="AE73">
        <v>1.9615781157911256</v>
      </c>
      <c r="AF73">
        <v>38375</v>
      </c>
      <c r="AG73" s="4">
        <v>3600</v>
      </c>
      <c r="AH73" s="4">
        <v>44854</v>
      </c>
      <c r="AL73">
        <v>26</v>
      </c>
      <c r="AM73">
        <v>9.8188200000000005</v>
      </c>
      <c r="AN73" t="s">
        <v>81</v>
      </c>
      <c r="AO73" t="s">
        <v>108</v>
      </c>
      <c r="AP73" s="5">
        <v>44925</v>
      </c>
      <c r="AQ73" t="s">
        <v>134</v>
      </c>
      <c r="AR73" s="5">
        <v>45052</v>
      </c>
      <c r="AS73">
        <v>224.92557407489548</v>
      </c>
      <c r="AT73" s="6"/>
      <c r="AU73">
        <v>14.683591545310351</v>
      </c>
      <c r="AV73">
        <v>63.167712107793889</v>
      </c>
      <c r="AW73">
        <v>19.314192659937703</v>
      </c>
      <c r="AX73">
        <v>97.165496313041942</v>
      </c>
      <c r="AY73">
        <v>14.241904013158132</v>
      </c>
      <c r="AZ73">
        <v>28.878333697873888</v>
      </c>
      <c r="BA73">
        <v>5.4227513073749876</v>
      </c>
      <c r="BB73">
        <v>8.7808983808791101</v>
      </c>
      <c r="BC73">
        <v>22.971948221985311</v>
      </c>
      <c r="BD73">
        <v>80.295835621271422</v>
      </c>
      <c r="BE73">
        <v>47.464242140582115</v>
      </c>
      <c r="BF73">
        <v>16.46439509466073</v>
      </c>
      <c r="BH73">
        <v>16.46439509466073</v>
      </c>
      <c r="BI73">
        <v>193.92572702897414</v>
      </c>
      <c r="BJ73" s="6">
        <v>192</v>
      </c>
      <c r="BK73">
        <v>30.999847045921349</v>
      </c>
      <c r="BL73" s="4">
        <v>608.02262999999891</v>
      </c>
      <c r="BM73" t="s">
        <v>1680</v>
      </c>
      <c r="BN73" t="s">
        <v>65</v>
      </c>
      <c r="BO73">
        <v>5</v>
      </c>
      <c r="BP73">
        <v>2023</v>
      </c>
      <c r="BQ73" t="str">
        <f t="shared" si="6"/>
        <v>Petchburi55</v>
      </c>
      <c r="BR73">
        <f t="shared" si="7"/>
        <v>-37.770690000000904</v>
      </c>
      <c r="BS73">
        <f t="shared" si="8"/>
        <v>4411.6294799999996</v>
      </c>
      <c r="BT73" s="6">
        <f t="shared" si="9"/>
        <v>-1.9257270289741371</v>
      </c>
    </row>
    <row r="74" spans="1:72">
      <c r="A74" s="3" t="s">
        <v>967</v>
      </c>
      <c r="B74" s="3" t="s">
        <v>1660</v>
      </c>
      <c r="C74" s="3" t="s">
        <v>1726</v>
      </c>
      <c r="D74" s="2" t="s">
        <v>1737</v>
      </c>
      <c r="E74" s="4" t="str">
        <f t="shared" si="5"/>
        <v>Petchburi5A1-021-0020</v>
      </c>
      <c r="F74">
        <v>1.5</v>
      </c>
      <c r="G74">
        <v>2</v>
      </c>
      <c r="H74" t="s">
        <v>72</v>
      </c>
      <c r="I74" t="s">
        <v>75</v>
      </c>
      <c r="J74" t="s">
        <v>68</v>
      </c>
      <c r="K74" t="s">
        <v>79</v>
      </c>
      <c r="L74" t="s">
        <v>79</v>
      </c>
      <c r="M74">
        <v>3.1058823529411765</v>
      </c>
      <c r="N74" s="5">
        <v>45023</v>
      </c>
      <c r="O74" s="5">
        <v>45037</v>
      </c>
      <c r="P74">
        <v>0.8</v>
      </c>
      <c r="Q74" s="4">
        <v>167</v>
      </c>
      <c r="R74">
        <v>0.46</v>
      </c>
      <c r="S74" t="s">
        <v>70</v>
      </c>
      <c r="T74" s="6">
        <v>4</v>
      </c>
      <c r="U74" s="5">
        <v>45176</v>
      </c>
      <c r="V74" s="6">
        <v>1</v>
      </c>
      <c r="W74" t="s">
        <v>86</v>
      </c>
      <c r="X74" s="6">
        <v>139</v>
      </c>
      <c r="Y74">
        <v>17.540839999999999</v>
      </c>
      <c r="Z74">
        <v>11.693893333333333</v>
      </c>
      <c r="AA74" s="6">
        <v>28.093580467069991</v>
      </c>
      <c r="AB74" s="4">
        <v>61.598125000000003</v>
      </c>
      <c r="AC74" s="6">
        <v>35.595320474446261</v>
      </c>
      <c r="AD74">
        <v>0.396370903</v>
      </c>
      <c r="AE74">
        <v>2.4748381746991179</v>
      </c>
      <c r="AF74">
        <v>42500</v>
      </c>
      <c r="AG74" s="4">
        <v>0</v>
      </c>
      <c r="AH74" s="4">
        <v>132000</v>
      </c>
      <c r="AL74">
        <v>18</v>
      </c>
      <c r="AM74">
        <v>7.9782600000000006</v>
      </c>
      <c r="AN74" t="s">
        <v>81</v>
      </c>
      <c r="AO74" t="s">
        <v>134</v>
      </c>
      <c r="AP74" s="5">
        <v>45038</v>
      </c>
      <c r="AQ74" t="s">
        <v>117</v>
      </c>
      <c r="AR74" s="5">
        <v>45176</v>
      </c>
      <c r="AS74">
        <v>193.26387447807514</v>
      </c>
      <c r="AT74" s="6"/>
      <c r="AU74">
        <v>20.523532510415695</v>
      </c>
      <c r="AV74">
        <v>73.062343650589128</v>
      </c>
      <c r="AW74">
        <v>61.856030269930073</v>
      </c>
      <c r="AX74">
        <v>155.44190643093492</v>
      </c>
      <c r="AY74">
        <v>13.868130032541202</v>
      </c>
      <c r="AZ74">
        <v>35.984242487816992</v>
      </c>
      <c r="BA74">
        <v>10.308355814202741</v>
      </c>
      <c r="BB74">
        <v>10.562862439883153</v>
      </c>
      <c r="BC74">
        <v>19.213940723477322</v>
      </c>
      <c r="BD74">
        <v>89.937531497921412</v>
      </c>
      <c r="BE74">
        <v>-52.115563450781195</v>
      </c>
      <c r="BF74">
        <v>11.151892383717087</v>
      </c>
      <c r="BH74">
        <v>11.151892383717087</v>
      </c>
      <c r="BI74">
        <v>256.5313303125734</v>
      </c>
      <c r="BJ74" s="6">
        <v>204</v>
      </c>
      <c r="BK74">
        <v>-63.267455834498278</v>
      </c>
      <c r="BL74" s="4">
        <v>-1109.7643200000007</v>
      </c>
      <c r="BM74" t="s">
        <v>1738</v>
      </c>
      <c r="BN74" t="s">
        <v>65</v>
      </c>
      <c r="BO74">
        <v>9</v>
      </c>
      <c r="BP74">
        <v>2023</v>
      </c>
      <c r="BQ74" t="str">
        <f t="shared" si="6"/>
        <v>Petchburi59</v>
      </c>
      <c r="BR74">
        <f t="shared" si="7"/>
        <v>-921.44366000000002</v>
      </c>
      <c r="BS74">
        <f t="shared" si="8"/>
        <v>3390.0106999999994</v>
      </c>
      <c r="BT74" s="6">
        <f t="shared" si="9"/>
        <v>-52.531330312573402</v>
      </c>
    </row>
    <row r="75" spans="1:72">
      <c r="A75" s="3" t="s">
        <v>967</v>
      </c>
      <c r="B75" s="3" t="s">
        <v>1660</v>
      </c>
      <c r="C75" s="3" t="s">
        <v>1726</v>
      </c>
      <c r="D75" s="2" t="s">
        <v>119</v>
      </c>
      <c r="E75" s="4" t="str">
        <f t="shared" si="5"/>
        <v>Petchburi5A1-034-0008</v>
      </c>
      <c r="F75">
        <v>1.5</v>
      </c>
      <c r="G75">
        <v>3</v>
      </c>
      <c r="H75" t="s">
        <v>84</v>
      </c>
      <c r="I75" t="s">
        <v>75</v>
      </c>
      <c r="J75" t="s">
        <v>641</v>
      </c>
      <c r="K75" t="s">
        <v>79</v>
      </c>
      <c r="L75" t="s">
        <v>79</v>
      </c>
      <c r="M75">
        <v>3.9733178654292343</v>
      </c>
      <c r="N75" s="5">
        <v>44958</v>
      </c>
      <c r="O75" s="5">
        <v>44978</v>
      </c>
      <c r="P75">
        <v>1.1000000000000001</v>
      </c>
      <c r="Q75" s="4">
        <v>153</v>
      </c>
      <c r="R75">
        <v>0.65</v>
      </c>
      <c r="S75" t="s">
        <v>70</v>
      </c>
      <c r="T75" s="6">
        <v>4</v>
      </c>
      <c r="U75" s="5">
        <v>45073</v>
      </c>
      <c r="V75" s="6">
        <v>1</v>
      </c>
      <c r="W75" t="s">
        <v>86</v>
      </c>
      <c r="X75" s="6">
        <v>94.999999999999986</v>
      </c>
      <c r="Y75">
        <v>23.96434</v>
      </c>
      <c r="Z75">
        <v>15.976226666666667</v>
      </c>
      <c r="AA75" s="6">
        <v>31.221973983009754</v>
      </c>
      <c r="AB75" s="4">
        <v>68.01945454545455</v>
      </c>
      <c r="AC75" s="6">
        <v>32.028724402376859</v>
      </c>
      <c r="AD75">
        <v>0.36909774400000001</v>
      </c>
      <c r="AE75">
        <v>1.8538160653162628</v>
      </c>
      <c r="AF75">
        <v>43100</v>
      </c>
      <c r="AG75" s="4">
        <v>0</v>
      </c>
      <c r="AH75" s="4">
        <v>171250</v>
      </c>
      <c r="AL75">
        <v>27.999999999999996</v>
      </c>
      <c r="AM75">
        <v>4.77827</v>
      </c>
      <c r="AN75" t="s">
        <v>81</v>
      </c>
      <c r="AO75" t="s">
        <v>123</v>
      </c>
      <c r="AP75" s="5">
        <v>44979</v>
      </c>
      <c r="AQ75" t="s">
        <v>83</v>
      </c>
      <c r="AR75" s="5">
        <v>45072</v>
      </c>
      <c r="AS75">
        <v>199.22180790290906</v>
      </c>
      <c r="AT75" s="6"/>
      <c r="AU75">
        <v>22.950767682314638</v>
      </c>
      <c r="AV75">
        <v>57.588797772022929</v>
      </c>
      <c r="AW75">
        <v>23.541393170018452</v>
      </c>
      <c r="AX75">
        <v>104.08095862435601</v>
      </c>
      <c r="AY75">
        <v>9.3895208463909299</v>
      </c>
      <c r="AZ75">
        <v>21.728235369720178</v>
      </c>
      <c r="BA75">
        <v>5.4917423137879036</v>
      </c>
      <c r="BB75">
        <v>4.7527743305261065</v>
      </c>
      <c r="BC75">
        <v>11.568422080474573</v>
      </c>
      <c r="BD75">
        <v>52.930694940899691</v>
      </c>
      <c r="BE75">
        <v>42.210154337653357</v>
      </c>
      <c r="BF75">
        <v>6.9780373671880787</v>
      </c>
      <c r="BH75">
        <v>6.9780373671880787</v>
      </c>
      <c r="BI75">
        <v>163.98969093244381</v>
      </c>
      <c r="BJ75" s="6">
        <v>194</v>
      </c>
      <c r="BK75">
        <v>35.232116970465249</v>
      </c>
      <c r="BL75" s="4">
        <v>844.31442999999922</v>
      </c>
      <c r="BM75" t="s">
        <v>1733</v>
      </c>
      <c r="BN75" t="s">
        <v>65</v>
      </c>
      <c r="BO75">
        <v>5</v>
      </c>
      <c r="BP75">
        <v>2023</v>
      </c>
      <c r="BQ75" t="str">
        <f t="shared" si="6"/>
        <v>Petchburi55</v>
      </c>
      <c r="BR75">
        <f t="shared" si="7"/>
        <v>719.17724999999962</v>
      </c>
      <c r="BS75">
        <f t="shared" si="8"/>
        <v>4774.2191400000002</v>
      </c>
      <c r="BT75" s="6">
        <f t="shared" si="9"/>
        <v>30.010309067556193</v>
      </c>
    </row>
    <row r="76" spans="1:72">
      <c r="A76" s="3" t="s">
        <v>967</v>
      </c>
      <c r="B76" s="3" t="s">
        <v>1660</v>
      </c>
      <c r="C76" s="3" t="s">
        <v>1726</v>
      </c>
      <c r="D76" s="2" t="s">
        <v>1727</v>
      </c>
      <c r="E76" s="4" t="str">
        <f t="shared" si="5"/>
        <v>Petchburi5A1-035-0007</v>
      </c>
      <c r="F76">
        <v>1.5</v>
      </c>
      <c r="G76">
        <v>3</v>
      </c>
      <c r="H76" t="s">
        <v>72</v>
      </c>
      <c r="I76" t="s">
        <v>75</v>
      </c>
      <c r="J76" t="s">
        <v>641</v>
      </c>
      <c r="K76" t="s">
        <v>79</v>
      </c>
      <c r="L76" t="s">
        <v>79</v>
      </c>
      <c r="M76">
        <v>2.1618471687740515</v>
      </c>
      <c r="N76" s="5">
        <v>45037</v>
      </c>
      <c r="O76" s="5">
        <v>45055</v>
      </c>
      <c r="P76">
        <v>1.4</v>
      </c>
      <c r="Q76" s="4">
        <v>194</v>
      </c>
      <c r="R76">
        <v>0.67</v>
      </c>
      <c r="S76" t="s">
        <v>70</v>
      </c>
      <c r="T76" s="6">
        <v>6</v>
      </c>
      <c r="U76" s="5">
        <v>45189</v>
      </c>
      <c r="V76" s="6">
        <v>1</v>
      </c>
      <c r="W76" t="s">
        <v>86</v>
      </c>
      <c r="X76" s="6">
        <v>134</v>
      </c>
      <c r="Y76">
        <v>26.048549999999999</v>
      </c>
      <c r="Z76">
        <v>17.3657</v>
      </c>
      <c r="AA76" s="6">
        <v>34.756445176410971</v>
      </c>
      <c r="AB76" s="4">
        <v>64.668214285714285</v>
      </c>
      <c r="AC76" s="6">
        <v>28.771642063058138</v>
      </c>
      <c r="AD76">
        <v>0.36813432800000001</v>
      </c>
      <c r="AE76">
        <v>1.8109917942856688</v>
      </c>
      <c r="AF76">
        <v>45475</v>
      </c>
      <c r="AG76" s="4">
        <v>0</v>
      </c>
      <c r="AH76" s="4">
        <v>98310</v>
      </c>
      <c r="AL76">
        <v>20</v>
      </c>
      <c r="AM76">
        <v>5.1940400000000002</v>
      </c>
      <c r="AN76" t="s">
        <v>81</v>
      </c>
      <c r="AO76" t="s">
        <v>134</v>
      </c>
      <c r="AP76" s="5">
        <v>45055</v>
      </c>
      <c r="AQ76" t="s">
        <v>116</v>
      </c>
      <c r="AR76" s="5">
        <v>45188</v>
      </c>
      <c r="AS76">
        <v>184.38968848553952</v>
      </c>
      <c r="AT76" s="6"/>
      <c r="AU76">
        <v>26.872896955876627</v>
      </c>
      <c r="AV76">
        <v>52.337085173646912</v>
      </c>
      <c r="AW76">
        <v>20.537825713907303</v>
      </c>
      <c r="AX76">
        <v>99.747807843430834</v>
      </c>
      <c r="AY76">
        <v>9.0645444756042082</v>
      </c>
      <c r="AZ76">
        <v>24.283528641709427</v>
      </c>
      <c r="BA76">
        <v>6.713353718345167</v>
      </c>
      <c r="BB76">
        <v>6.8617727282324728</v>
      </c>
      <c r="BC76">
        <v>12.737389989078087</v>
      </c>
      <c r="BD76">
        <v>59.660589552969363</v>
      </c>
      <c r="BE76">
        <v>24.981291089139326</v>
      </c>
      <c r="BF76">
        <v>7.426868290173541</v>
      </c>
      <c r="BH76">
        <v>7.426868290173541</v>
      </c>
      <c r="BI76">
        <v>166.83526568657376</v>
      </c>
      <c r="BJ76" s="6">
        <v>189</v>
      </c>
      <c r="BK76">
        <v>17.554422798965771</v>
      </c>
      <c r="BL76" s="4">
        <v>457.26725999999979</v>
      </c>
      <c r="BM76" t="s">
        <v>1728</v>
      </c>
      <c r="BN76" t="s">
        <v>65</v>
      </c>
      <c r="BO76">
        <v>9</v>
      </c>
      <c r="BP76">
        <v>2023</v>
      </c>
      <c r="BQ76" t="str">
        <f t="shared" si="6"/>
        <v>Petchburi59</v>
      </c>
      <c r="BR76">
        <f t="shared" si="7"/>
        <v>577.35918999999899</v>
      </c>
      <c r="BS76">
        <f t="shared" si="8"/>
        <v>4803.0840200000002</v>
      </c>
      <c r="BT76" s="6">
        <f t="shared" si="9"/>
        <v>22.164734313426237</v>
      </c>
    </row>
    <row r="77" spans="1:72">
      <c r="A77" s="3" t="s">
        <v>967</v>
      </c>
      <c r="B77" s="3" t="s">
        <v>1660</v>
      </c>
      <c r="C77" s="3" t="s">
        <v>1726</v>
      </c>
      <c r="D77" s="2" t="s">
        <v>2746</v>
      </c>
      <c r="E77" s="4" t="str">
        <f t="shared" si="5"/>
        <v>Petchburi5A1-032-0009</v>
      </c>
      <c r="F77">
        <v>1.5</v>
      </c>
      <c r="G77">
        <v>3</v>
      </c>
      <c r="H77" t="s">
        <v>84</v>
      </c>
      <c r="I77" t="s">
        <v>75</v>
      </c>
      <c r="J77" t="s">
        <v>641</v>
      </c>
      <c r="K77" t="s">
        <v>79</v>
      </c>
      <c r="L77" t="s">
        <v>79</v>
      </c>
      <c r="M77">
        <v>0</v>
      </c>
      <c r="N77" s="5">
        <v>45122</v>
      </c>
      <c r="O77" s="5">
        <v>45136</v>
      </c>
      <c r="P77">
        <v>1.5</v>
      </c>
      <c r="Q77" s="4">
        <v>208</v>
      </c>
      <c r="R77">
        <v>0.86</v>
      </c>
      <c r="S77" t="s">
        <v>70</v>
      </c>
      <c r="T77" s="6">
        <v>6</v>
      </c>
      <c r="U77" s="5">
        <v>45262</v>
      </c>
      <c r="V77" s="6">
        <v>1</v>
      </c>
      <c r="W77" t="s">
        <v>86</v>
      </c>
      <c r="X77" s="6">
        <v>126</v>
      </c>
      <c r="Y77">
        <v>29.24784</v>
      </c>
      <c r="Z77">
        <v>19.498560000000001</v>
      </c>
      <c r="AA77" s="6">
        <v>36.055961739396821</v>
      </c>
      <c r="AB77" s="4">
        <v>70.303933333333333</v>
      </c>
      <c r="AC77" s="6">
        <v>27.734664442672248</v>
      </c>
      <c r="AD77">
        <v>0.35392496400000001</v>
      </c>
      <c r="AE77">
        <v>1.7633694162353029</v>
      </c>
      <c r="AF77">
        <v>49300</v>
      </c>
      <c r="AG77" s="4">
        <v>0</v>
      </c>
      <c r="AH77" s="4">
        <v>0</v>
      </c>
      <c r="AL77">
        <v>22</v>
      </c>
      <c r="AM77">
        <v>4.0454600000000003</v>
      </c>
      <c r="AN77" t="s">
        <v>81</v>
      </c>
      <c r="AO77" t="s">
        <v>157</v>
      </c>
      <c r="AP77" s="5">
        <v>45137</v>
      </c>
      <c r="AQ77" t="s">
        <v>189</v>
      </c>
      <c r="AR77" s="5">
        <v>45261</v>
      </c>
      <c r="AS77">
        <v>195.05338650649071</v>
      </c>
      <c r="AT77" s="6"/>
      <c r="AU77">
        <v>28.207211199185991</v>
      </c>
      <c r="AV77">
        <v>50.090099644965228</v>
      </c>
      <c r="AW77">
        <v>27.180678641568061</v>
      </c>
      <c r="AX77">
        <v>105.47798948571928</v>
      </c>
      <c r="AY77">
        <v>6.0079865726836585</v>
      </c>
      <c r="AZ77">
        <v>19.852315589800824</v>
      </c>
      <c r="BA77">
        <v>5.7313873434756211</v>
      </c>
      <c r="BB77">
        <v>5.1766971509690975</v>
      </c>
      <c r="BC77">
        <v>9.639755961465875</v>
      </c>
      <c r="BD77">
        <v>46.408142618395075</v>
      </c>
      <c r="BE77">
        <v>43.167254402376358</v>
      </c>
      <c r="BF77">
        <v>6.7052346429685068</v>
      </c>
      <c r="BH77">
        <v>6.7052346429685068</v>
      </c>
      <c r="BI77">
        <v>158.59136674708284</v>
      </c>
      <c r="BJ77" s="6">
        <v>186</v>
      </c>
      <c r="BK77">
        <v>36.462019759407852</v>
      </c>
      <c r="BL77" s="4">
        <v>1066.4353199999994</v>
      </c>
      <c r="BM77" t="s">
        <v>2747</v>
      </c>
      <c r="BN77" t="s">
        <v>65</v>
      </c>
      <c r="BO77">
        <v>12</v>
      </c>
      <c r="BP77">
        <v>2023</v>
      </c>
      <c r="BQ77" t="str">
        <f t="shared" si="6"/>
        <v>Petchburi512</v>
      </c>
      <c r="BR77">
        <f t="shared" si="7"/>
        <v>801.64332000000047</v>
      </c>
      <c r="BS77">
        <f t="shared" si="8"/>
        <v>5704.8902399999997</v>
      </c>
      <c r="BT77" s="6">
        <f t="shared" si="9"/>
        <v>27.408633252917156</v>
      </c>
    </row>
    <row r="78" spans="1:72">
      <c r="A78" s="3" t="s">
        <v>967</v>
      </c>
      <c r="B78" s="3" t="s">
        <v>1660</v>
      </c>
      <c r="C78" s="3" t="s">
        <v>1726</v>
      </c>
      <c r="D78" s="2" t="s">
        <v>1734</v>
      </c>
      <c r="E78" s="4" t="str">
        <f t="shared" si="5"/>
        <v>Petchburi5A1-020-0016</v>
      </c>
      <c r="F78">
        <v>1.5</v>
      </c>
      <c r="G78">
        <v>2</v>
      </c>
      <c r="H78" t="s">
        <v>72</v>
      </c>
      <c r="I78" t="s">
        <v>75</v>
      </c>
      <c r="J78" t="s">
        <v>68</v>
      </c>
      <c r="K78" t="s">
        <v>79</v>
      </c>
      <c r="L78" t="s">
        <v>79</v>
      </c>
      <c r="M78">
        <v>2.3397576457010962</v>
      </c>
      <c r="N78" s="5">
        <v>45036</v>
      </c>
      <c r="O78" s="5">
        <v>45050</v>
      </c>
      <c r="P78">
        <v>0.8</v>
      </c>
      <c r="Q78" s="4">
        <v>167</v>
      </c>
      <c r="R78">
        <v>0.49</v>
      </c>
      <c r="S78" t="s">
        <v>70</v>
      </c>
      <c r="T78" s="6">
        <v>6</v>
      </c>
      <c r="U78" s="5">
        <v>45191</v>
      </c>
      <c r="V78" s="6">
        <v>1</v>
      </c>
      <c r="W78" t="s">
        <v>86</v>
      </c>
      <c r="X78" s="6">
        <v>141</v>
      </c>
      <c r="Y78">
        <v>21.449169999999999</v>
      </c>
      <c r="Z78">
        <v>14.299446666666666</v>
      </c>
      <c r="AA78" s="6">
        <v>31.02325171556755</v>
      </c>
      <c r="AB78" s="4">
        <v>83.177875</v>
      </c>
      <c r="AC78" s="6">
        <v>32.23388731678947</v>
      </c>
      <c r="AD78">
        <v>0.35113475199999999</v>
      </c>
      <c r="AE78">
        <v>2.0574939557404912</v>
      </c>
      <c r="AF78">
        <v>43325</v>
      </c>
      <c r="AG78" s="4">
        <v>0</v>
      </c>
      <c r="AH78" s="4">
        <v>101370</v>
      </c>
      <c r="AL78">
        <v>20</v>
      </c>
      <c r="AM78">
        <v>5.43642</v>
      </c>
      <c r="AN78" t="s">
        <v>81</v>
      </c>
      <c r="AO78" t="s">
        <v>134</v>
      </c>
      <c r="AP78" s="5">
        <v>45052</v>
      </c>
      <c r="AQ78" t="s">
        <v>144</v>
      </c>
      <c r="AR78" s="5">
        <v>45190</v>
      </c>
      <c r="AS78">
        <v>194.03053451485539</v>
      </c>
      <c r="AT78" s="6"/>
      <c r="AU78">
        <v>16.783866228856414</v>
      </c>
      <c r="AV78">
        <v>60.697620933583885</v>
      </c>
      <c r="AW78">
        <v>42.079693992821177</v>
      </c>
      <c r="AX78">
        <v>119.56118115526148</v>
      </c>
      <c r="AY78">
        <v>11.213895456094571</v>
      </c>
      <c r="AZ78">
        <v>29.890131879228893</v>
      </c>
      <c r="BA78">
        <v>9.401774520878897</v>
      </c>
      <c r="BB78">
        <v>8.4651639200957423</v>
      </c>
      <c r="BC78">
        <v>15.750241617740917</v>
      </c>
      <c r="BD78">
        <v>74.721207394039013</v>
      </c>
      <c r="BE78">
        <v>-0.25185403444510257</v>
      </c>
      <c r="BF78">
        <v>9.2120902580379553</v>
      </c>
      <c r="BH78">
        <v>9.2120902580379553</v>
      </c>
      <c r="BI78">
        <v>203.49447880733848</v>
      </c>
      <c r="BJ78" s="6">
        <v>194</v>
      </c>
      <c r="BK78">
        <v>-9.4639442924830917</v>
      </c>
      <c r="BL78" s="4">
        <v>-202.99374999999952</v>
      </c>
      <c r="BM78" t="s">
        <v>1735</v>
      </c>
      <c r="BN78" t="s">
        <v>65</v>
      </c>
      <c r="BO78">
        <v>9</v>
      </c>
      <c r="BP78">
        <v>2023</v>
      </c>
      <c r="BQ78" t="str">
        <f t="shared" si="6"/>
        <v>Petchburi59</v>
      </c>
      <c r="BR78">
        <f t="shared" si="7"/>
        <v>-203.64869000000033</v>
      </c>
      <c r="BS78">
        <f t="shared" si="8"/>
        <v>4161.793920000001</v>
      </c>
      <c r="BT78" s="6">
        <f t="shared" si="9"/>
        <v>-9.4944788073384814</v>
      </c>
    </row>
    <row r="79" spans="1:72">
      <c r="A79" s="3" t="s">
        <v>967</v>
      </c>
      <c r="B79" s="3" t="s">
        <v>1660</v>
      </c>
      <c r="C79" s="3" t="s">
        <v>1726</v>
      </c>
      <c r="D79" s="2" t="s">
        <v>1729</v>
      </c>
      <c r="E79" s="4" t="str">
        <f t="shared" si="5"/>
        <v>Petchburi5A1-033-0009</v>
      </c>
      <c r="F79">
        <v>1.5</v>
      </c>
      <c r="G79">
        <v>3</v>
      </c>
      <c r="H79" t="s">
        <v>84</v>
      </c>
      <c r="I79" t="s">
        <v>75</v>
      </c>
      <c r="J79" t="s">
        <v>641</v>
      </c>
      <c r="K79" t="s">
        <v>79</v>
      </c>
      <c r="L79" t="s">
        <v>79</v>
      </c>
      <c r="M79">
        <v>3.6447436561367166</v>
      </c>
      <c r="N79" s="5">
        <v>44999</v>
      </c>
      <c r="O79" s="5">
        <v>45014</v>
      </c>
      <c r="P79">
        <v>1.3</v>
      </c>
      <c r="Q79" s="4">
        <v>181</v>
      </c>
      <c r="R79">
        <v>0.63</v>
      </c>
      <c r="S79" t="s">
        <v>70</v>
      </c>
      <c r="T79" s="6">
        <v>5</v>
      </c>
      <c r="U79" s="5">
        <v>45132</v>
      </c>
      <c r="V79" s="6">
        <v>1</v>
      </c>
      <c r="W79" t="s">
        <v>86</v>
      </c>
      <c r="X79" s="6">
        <v>117.99999999999999</v>
      </c>
      <c r="Y79">
        <v>26.07667</v>
      </c>
      <c r="Z79">
        <v>17.384446666666665</v>
      </c>
      <c r="AA79" s="6">
        <v>33.82049931989016</v>
      </c>
      <c r="AB79" s="4">
        <v>67.84046153846154</v>
      </c>
      <c r="AC79" s="6">
        <v>29.567866238210456</v>
      </c>
      <c r="AD79">
        <v>0.347768362</v>
      </c>
      <c r="AE79">
        <v>1.9113006069047542</v>
      </c>
      <c r="AF79">
        <v>48275</v>
      </c>
      <c r="AG79" s="4">
        <v>0</v>
      </c>
      <c r="AH79" s="4">
        <v>175950</v>
      </c>
      <c r="AL79">
        <v>24</v>
      </c>
      <c r="AM79">
        <v>10.19524</v>
      </c>
      <c r="AN79" t="s">
        <v>81</v>
      </c>
      <c r="AO79" t="s">
        <v>127</v>
      </c>
      <c r="AP79" s="5">
        <v>45015</v>
      </c>
      <c r="AQ79" t="s">
        <v>74</v>
      </c>
      <c r="AR79" s="5">
        <v>45131</v>
      </c>
      <c r="AS79">
        <v>196.9991774256452</v>
      </c>
      <c r="AT79" s="6"/>
      <c r="AU79">
        <v>24.926495599323076</v>
      </c>
      <c r="AV79">
        <v>56.727585232316862</v>
      </c>
      <c r="AW79">
        <v>25.479564683680845</v>
      </c>
      <c r="AX79">
        <v>107.13364551532078</v>
      </c>
      <c r="AY79">
        <v>9.1331600238834163</v>
      </c>
      <c r="AZ79">
        <v>21.141174083960873</v>
      </c>
      <c r="BA79">
        <v>5.6436891673668459</v>
      </c>
      <c r="BB79">
        <v>5.8327880822206239</v>
      </c>
      <c r="BC79">
        <v>11.98569525940237</v>
      </c>
      <c r="BD79">
        <v>53.736506616834127</v>
      </c>
      <c r="BE79">
        <v>36.129025293490294</v>
      </c>
      <c r="BF79">
        <v>6.7241304200267908</v>
      </c>
      <c r="BH79">
        <v>6.7241304200267908</v>
      </c>
      <c r="BI79">
        <v>167.59428255218171</v>
      </c>
      <c r="BJ79" s="6">
        <v>191</v>
      </c>
      <c r="BK79">
        <v>29.404894873463498</v>
      </c>
      <c r="BL79" s="4">
        <v>766.78173999999933</v>
      </c>
      <c r="BM79" t="s">
        <v>1730</v>
      </c>
      <c r="BN79" t="s">
        <v>65</v>
      </c>
      <c r="BO79">
        <v>7</v>
      </c>
      <c r="BP79">
        <v>2023</v>
      </c>
      <c r="BQ79" t="str">
        <f t="shared" si="6"/>
        <v>Petchburi57</v>
      </c>
      <c r="BR79">
        <f t="shared" si="7"/>
        <v>610.34316999999976</v>
      </c>
      <c r="BS79">
        <f t="shared" si="8"/>
        <v>5137.0825399999994</v>
      </c>
      <c r="BT79" s="6">
        <f t="shared" si="9"/>
        <v>23.40571744781829</v>
      </c>
    </row>
    <row r="80" spans="1:72">
      <c r="A80" s="3" t="s">
        <v>967</v>
      </c>
      <c r="B80" s="3" t="s">
        <v>1660</v>
      </c>
      <c r="C80" s="3" t="s">
        <v>1726</v>
      </c>
      <c r="D80" s="2" t="s">
        <v>2744</v>
      </c>
      <c r="E80" s="4" t="str">
        <f t="shared" si="5"/>
        <v>Petchburi5A1-033-0010</v>
      </c>
      <c r="F80">
        <v>1.5</v>
      </c>
      <c r="G80">
        <v>1.5</v>
      </c>
      <c r="H80" t="s">
        <v>84</v>
      </c>
      <c r="I80" t="s">
        <v>75</v>
      </c>
      <c r="J80" t="s">
        <v>641</v>
      </c>
      <c r="K80" t="s">
        <v>79</v>
      </c>
      <c r="L80" t="s">
        <v>79</v>
      </c>
      <c r="N80" s="5">
        <v>45133</v>
      </c>
      <c r="O80" s="5">
        <v>45149</v>
      </c>
      <c r="P80">
        <v>1.1000000000000001</v>
      </c>
      <c r="Q80" s="4">
        <v>306</v>
      </c>
      <c r="R80">
        <v>0.45</v>
      </c>
      <c r="S80" t="s">
        <v>70</v>
      </c>
      <c r="T80" s="6">
        <v>6</v>
      </c>
      <c r="U80" s="5">
        <v>45255</v>
      </c>
      <c r="V80" s="6">
        <v>1</v>
      </c>
      <c r="W80" t="s">
        <v>86</v>
      </c>
      <c r="X80" s="6">
        <v>106</v>
      </c>
      <c r="Y80">
        <v>17.919349999999998</v>
      </c>
      <c r="Z80">
        <v>11.946233333333332</v>
      </c>
      <c r="AA80" s="6">
        <v>36.506234880171441</v>
      </c>
      <c r="AB80" s="4">
        <v>59.469818181818177</v>
      </c>
      <c r="AC80" s="6">
        <v>27.3925811106627</v>
      </c>
      <c r="AD80">
        <v>0.33268194099999998</v>
      </c>
      <c r="AE80">
        <v>1.7590326181464446</v>
      </c>
      <c r="AF80">
        <v>30650</v>
      </c>
      <c r="AG80" s="4">
        <v>0</v>
      </c>
      <c r="AH80" s="4"/>
      <c r="AL80">
        <v>27.999999999999996</v>
      </c>
      <c r="AM80">
        <v>0.97944000000000009</v>
      </c>
      <c r="AN80" t="s">
        <v>81</v>
      </c>
      <c r="AO80" t="s">
        <v>157</v>
      </c>
      <c r="AP80" s="5">
        <v>45150</v>
      </c>
      <c r="AQ80" t="s">
        <v>108</v>
      </c>
      <c r="AR80" s="5">
        <v>45254</v>
      </c>
      <c r="AS80">
        <v>195.411728103977</v>
      </c>
      <c r="AT80" s="6"/>
      <c r="AU80">
        <v>27.623769835401397</v>
      </c>
      <c r="AV80">
        <v>50.883541534709686</v>
      </c>
      <c r="AW80">
        <v>37.905646689193524</v>
      </c>
      <c r="AX80">
        <v>116.41295805930459</v>
      </c>
      <c r="AY80">
        <v>8.6898380800642894</v>
      </c>
      <c r="AZ80">
        <v>28.506378858608155</v>
      </c>
      <c r="BA80">
        <v>7.6015698114049899</v>
      </c>
      <c r="BB80">
        <v>7.1912111767446909</v>
      </c>
      <c r="BC80">
        <v>13.469972962188919</v>
      </c>
      <c r="BD80">
        <v>65.458970889011042</v>
      </c>
      <c r="BE80">
        <v>13.53979915566137</v>
      </c>
      <c r="BF80">
        <v>9.5202772421990769</v>
      </c>
      <c r="BH80">
        <v>9.5202772421990769</v>
      </c>
      <c r="BI80">
        <v>191.39220619051468</v>
      </c>
      <c r="BJ80" s="6">
        <v>186</v>
      </c>
      <c r="BK80">
        <v>4.0195219134623006</v>
      </c>
      <c r="BL80" s="4">
        <v>72.027220000000668</v>
      </c>
      <c r="BM80" t="s">
        <v>2745</v>
      </c>
      <c r="BN80" t="s">
        <v>65</v>
      </c>
      <c r="BO80">
        <v>11</v>
      </c>
      <c r="BP80">
        <v>2023</v>
      </c>
      <c r="BQ80" t="str">
        <f t="shared" si="6"/>
        <v>Petchburi511</v>
      </c>
      <c r="BR80">
        <f t="shared" si="7"/>
        <v>-96.624829999999307</v>
      </c>
      <c r="BS80">
        <f t="shared" si="8"/>
        <v>3501.6511499999997</v>
      </c>
      <c r="BT80" s="6">
        <f t="shared" si="9"/>
        <v>-5.3922061905146847</v>
      </c>
    </row>
    <row r="81" spans="1:72">
      <c r="A81" s="3" t="s">
        <v>967</v>
      </c>
      <c r="B81" s="3" t="s">
        <v>1660</v>
      </c>
      <c r="C81" s="3" t="s">
        <v>1726</v>
      </c>
      <c r="D81" s="2" t="s">
        <v>1736</v>
      </c>
      <c r="E81" s="4" t="str">
        <f t="shared" si="5"/>
        <v>Petchburi5A1-020-0015</v>
      </c>
      <c r="F81">
        <v>1.5</v>
      </c>
      <c r="G81">
        <v>1.8</v>
      </c>
      <c r="H81" t="s">
        <v>72</v>
      </c>
      <c r="I81" t="s">
        <v>75</v>
      </c>
      <c r="J81" t="s">
        <v>68</v>
      </c>
      <c r="K81" t="s">
        <v>79</v>
      </c>
      <c r="L81" t="s">
        <v>79</v>
      </c>
      <c r="M81">
        <v>3.8572237960339941</v>
      </c>
      <c r="N81" s="5">
        <v>44880</v>
      </c>
      <c r="O81" s="5">
        <v>44910</v>
      </c>
      <c r="P81">
        <v>0.72</v>
      </c>
      <c r="Q81" s="4">
        <v>167</v>
      </c>
      <c r="R81">
        <v>0.46200000000000002</v>
      </c>
      <c r="S81" t="s">
        <v>70</v>
      </c>
      <c r="T81" s="6">
        <v>3</v>
      </c>
      <c r="U81" s="5">
        <v>45035</v>
      </c>
      <c r="V81" s="6">
        <v>1</v>
      </c>
      <c r="W81" t="s">
        <v>86</v>
      </c>
      <c r="X81" s="6">
        <v>125.00000000000001</v>
      </c>
      <c r="Y81">
        <v>18.962029999999999</v>
      </c>
      <c r="Z81">
        <v>12.641353333333333</v>
      </c>
      <c r="AA81" s="6">
        <v>28.964989507979897</v>
      </c>
      <c r="AB81" s="4">
        <v>76.282638888888883</v>
      </c>
      <c r="AC81" s="6">
        <v>34.524438537238154</v>
      </c>
      <c r="AD81">
        <v>0.32963733299999998</v>
      </c>
      <c r="AE81">
        <v>1.8948411473612057</v>
      </c>
      <c r="AF81">
        <v>35300</v>
      </c>
      <c r="AG81" s="4">
        <v>0</v>
      </c>
      <c r="AH81" s="4">
        <v>136160</v>
      </c>
      <c r="AL81">
        <v>24</v>
      </c>
      <c r="AM81">
        <v>11.509639999999999</v>
      </c>
      <c r="AN81" t="s">
        <v>81</v>
      </c>
      <c r="AO81" t="s">
        <v>97</v>
      </c>
      <c r="AP81" s="5">
        <v>44910</v>
      </c>
      <c r="AQ81" t="s">
        <v>134</v>
      </c>
      <c r="AR81" s="5">
        <v>45034</v>
      </c>
      <c r="AS81">
        <v>255.06172862293752</v>
      </c>
      <c r="AT81" s="6"/>
      <c r="AU81">
        <v>15.188247249898875</v>
      </c>
      <c r="AV81">
        <v>60.214252904356748</v>
      </c>
      <c r="AW81">
        <v>34.844611573760844</v>
      </c>
      <c r="AX81">
        <v>110.24711172801648</v>
      </c>
      <c r="AY81">
        <v>17.846708923042524</v>
      </c>
      <c r="AZ81">
        <v>36.140629457921975</v>
      </c>
      <c r="BA81">
        <v>8.8835530794962363</v>
      </c>
      <c r="BB81">
        <v>13.393082386221307</v>
      </c>
      <c r="BC81">
        <v>24.778599126781259</v>
      </c>
      <c r="BD81">
        <v>101.04257297346331</v>
      </c>
      <c r="BE81">
        <v>43.772043921457737</v>
      </c>
      <c r="BF81">
        <v>13.903088435151725</v>
      </c>
      <c r="BH81">
        <v>13.903088435151725</v>
      </c>
      <c r="BI81">
        <v>225.1927731366315</v>
      </c>
      <c r="BJ81" s="6">
        <v>200</v>
      </c>
      <c r="BK81">
        <v>29.868955486306021</v>
      </c>
      <c r="BL81" s="4">
        <v>566.37602999999933</v>
      </c>
      <c r="BM81" t="s">
        <v>969</v>
      </c>
      <c r="BN81" t="s">
        <v>65</v>
      </c>
      <c r="BO81">
        <v>4</v>
      </c>
      <c r="BP81">
        <v>2023</v>
      </c>
      <c r="BQ81" t="str">
        <f t="shared" si="6"/>
        <v>Petchburi54</v>
      </c>
      <c r="BR81">
        <f t="shared" si="7"/>
        <v>-477.70612000000062</v>
      </c>
      <c r="BS81">
        <f t="shared" si="8"/>
        <v>4836.4881499999992</v>
      </c>
      <c r="BT81" s="6">
        <f t="shared" si="9"/>
        <v>-25.192773136631502</v>
      </c>
    </row>
    <row r="82" spans="1:72">
      <c r="A82" s="3" t="s">
        <v>967</v>
      </c>
      <c r="B82" s="3" t="s">
        <v>1660</v>
      </c>
      <c r="C82" s="3" t="s">
        <v>1726</v>
      </c>
      <c r="D82" s="2" t="s">
        <v>1731</v>
      </c>
      <c r="E82" s="4" t="str">
        <f t="shared" si="5"/>
        <v>Petchburi5A1-032-0008</v>
      </c>
      <c r="F82">
        <v>1.5</v>
      </c>
      <c r="G82">
        <v>3</v>
      </c>
      <c r="H82" t="s">
        <v>84</v>
      </c>
      <c r="I82" t="s">
        <v>75</v>
      </c>
      <c r="J82" t="s">
        <v>641</v>
      </c>
      <c r="K82" t="s">
        <v>79</v>
      </c>
      <c r="L82" t="s">
        <v>79</v>
      </c>
      <c r="M82">
        <v>3.5012623985572588</v>
      </c>
      <c r="N82" s="5">
        <v>44989</v>
      </c>
      <c r="O82" s="5">
        <v>45001</v>
      </c>
      <c r="P82">
        <v>1.3</v>
      </c>
      <c r="Q82" s="4">
        <v>181</v>
      </c>
      <c r="R82">
        <v>0.66700000000000004</v>
      </c>
      <c r="S82" t="s">
        <v>70</v>
      </c>
      <c r="T82" s="6">
        <v>5</v>
      </c>
      <c r="U82" s="5">
        <v>45121</v>
      </c>
      <c r="V82" s="6">
        <v>1</v>
      </c>
      <c r="W82" t="s">
        <v>86</v>
      </c>
      <c r="X82" s="6">
        <v>120</v>
      </c>
      <c r="Y82">
        <v>30.557200000000002</v>
      </c>
      <c r="Z82">
        <v>20.371466666666667</v>
      </c>
      <c r="AA82" s="6">
        <v>31.496308562302829</v>
      </c>
      <c r="AB82" s="4">
        <v>74.033769230769224</v>
      </c>
      <c r="AC82" s="6">
        <v>31.749752451843701</v>
      </c>
      <c r="AD82">
        <v>0.32777499999999998</v>
      </c>
      <c r="AE82">
        <v>1.8676196185946878</v>
      </c>
      <c r="AF82">
        <v>55450</v>
      </c>
      <c r="AG82" s="4">
        <v>0</v>
      </c>
      <c r="AH82" s="4">
        <v>194145</v>
      </c>
      <c r="AL82">
        <v>25</v>
      </c>
      <c r="AM82">
        <v>10.049940000000001</v>
      </c>
      <c r="AN82" t="s">
        <v>81</v>
      </c>
      <c r="AO82" t="s">
        <v>116</v>
      </c>
      <c r="AP82" s="5">
        <v>45002</v>
      </c>
      <c r="AQ82" t="s">
        <v>74</v>
      </c>
      <c r="AR82" s="5">
        <v>45121</v>
      </c>
      <c r="AS82">
        <v>192.77630051182703</v>
      </c>
      <c r="AT82" s="6"/>
      <c r="AU82">
        <v>20.289817129841747</v>
      </c>
      <c r="AV82">
        <v>55.974953857028758</v>
      </c>
      <c r="AW82">
        <v>20.993030447815908</v>
      </c>
      <c r="AX82">
        <v>97.257801434686414</v>
      </c>
      <c r="AY82">
        <v>8.1378182555993348</v>
      </c>
      <c r="AZ82">
        <v>18.246458445145496</v>
      </c>
      <c r="BA82">
        <v>4.5721352087233127</v>
      </c>
      <c r="BB82">
        <v>4.8708108072729166</v>
      </c>
      <c r="BC82">
        <v>10.181398164753315</v>
      </c>
      <c r="BD82">
        <v>46.008620881494373</v>
      </c>
      <c r="BE82">
        <v>49.509878195646245</v>
      </c>
      <c r="BF82">
        <v>5.7740627413506473</v>
      </c>
      <c r="BH82">
        <v>5.7740627413506473</v>
      </c>
      <c r="BI82">
        <v>149.04048505753147</v>
      </c>
      <c r="BJ82" s="6">
        <v>194</v>
      </c>
      <c r="BK82">
        <v>43.735815454295533</v>
      </c>
      <c r="BL82" s="4">
        <v>1336.4440599999996</v>
      </c>
      <c r="BM82" t="s">
        <v>1732</v>
      </c>
      <c r="BN82" t="s">
        <v>65</v>
      </c>
      <c r="BO82">
        <v>7</v>
      </c>
      <c r="BP82">
        <v>2023</v>
      </c>
      <c r="BQ82" t="str">
        <f t="shared" si="6"/>
        <v>Petchburi57</v>
      </c>
      <c r="BR82">
        <f t="shared" si="7"/>
        <v>1373.8368899999994</v>
      </c>
      <c r="BS82">
        <f t="shared" si="8"/>
        <v>5890.7039700000014</v>
      </c>
      <c r="BT82" s="6">
        <f t="shared" si="9"/>
        <v>44.95951494246853</v>
      </c>
    </row>
    <row r="83" spans="1:72">
      <c r="A83" s="3" t="s">
        <v>967</v>
      </c>
      <c r="B83" s="3" t="s">
        <v>1660</v>
      </c>
      <c r="C83" s="3" t="s">
        <v>1726</v>
      </c>
      <c r="D83" s="2" t="s">
        <v>1743</v>
      </c>
      <c r="E83" s="4" t="str">
        <f t="shared" si="5"/>
        <v>Petchburi5A1-033-0008</v>
      </c>
      <c r="F83">
        <v>1.5</v>
      </c>
      <c r="G83">
        <v>3.5</v>
      </c>
      <c r="H83" t="s">
        <v>84</v>
      </c>
      <c r="I83" t="s">
        <v>75</v>
      </c>
      <c r="J83" t="s">
        <v>641</v>
      </c>
      <c r="K83" t="s">
        <v>79</v>
      </c>
      <c r="L83" t="s">
        <v>79</v>
      </c>
      <c r="M83">
        <v>3.5789222699093943</v>
      </c>
      <c r="N83" s="5">
        <v>44855</v>
      </c>
      <c r="O83" s="5">
        <v>44860</v>
      </c>
      <c r="P83">
        <v>1.1000000000000001</v>
      </c>
      <c r="Q83" s="4">
        <v>131</v>
      </c>
      <c r="R83">
        <v>1.5</v>
      </c>
      <c r="S83" t="s">
        <v>70</v>
      </c>
      <c r="T83" s="6">
        <v>5</v>
      </c>
      <c r="U83" s="5">
        <v>44998</v>
      </c>
      <c r="V83" s="6">
        <v>1</v>
      </c>
      <c r="W83" t="s">
        <v>86</v>
      </c>
      <c r="X83" s="6">
        <v>138</v>
      </c>
      <c r="Y83">
        <v>26.363889999999998</v>
      </c>
      <c r="Z83">
        <v>17.575926666666664</v>
      </c>
      <c r="AA83" s="6">
        <v>27.715029914022551</v>
      </c>
      <c r="AB83" s="4">
        <v>66.425090909090912</v>
      </c>
      <c r="AC83" s="6">
        <v>36.081505345734634</v>
      </c>
      <c r="AD83">
        <v>0.31851119900000002</v>
      </c>
      <c r="AE83">
        <v>2.1212767395177368</v>
      </c>
      <c r="AF83">
        <v>52425</v>
      </c>
      <c r="AG83" s="4">
        <v>0</v>
      </c>
      <c r="AH83" s="4">
        <v>187625</v>
      </c>
      <c r="AL83">
        <v>22</v>
      </c>
      <c r="AM83">
        <v>9.3180800000000001</v>
      </c>
      <c r="AN83" t="s">
        <v>81</v>
      </c>
      <c r="AO83" t="s">
        <v>215</v>
      </c>
      <c r="AP83" s="5">
        <v>44860</v>
      </c>
      <c r="AQ83" t="s">
        <v>116</v>
      </c>
      <c r="AR83" s="5">
        <v>44997</v>
      </c>
      <c r="AS83">
        <v>294.80355933817049</v>
      </c>
      <c r="AT83" s="6"/>
      <c r="AU83">
        <v>31.292802389935623</v>
      </c>
      <c r="AV83">
        <v>61.777896585063907</v>
      </c>
      <c r="AW83">
        <v>31.879558744934837</v>
      </c>
      <c r="AX83">
        <v>124.95025771993437</v>
      </c>
      <c r="AY83">
        <v>11.600777047696681</v>
      </c>
      <c r="AZ83">
        <v>22.922561882939128</v>
      </c>
      <c r="BA83">
        <v>6.9401768858844406</v>
      </c>
      <c r="BB83">
        <v>9.8630983515710327</v>
      </c>
      <c r="BC83">
        <v>17.126864055342359</v>
      </c>
      <c r="BD83">
        <v>68.453478223433635</v>
      </c>
      <c r="BE83">
        <v>101.39982339480248</v>
      </c>
      <c r="BF83">
        <v>9.6052077292084004</v>
      </c>
      <c r="BH83">
        <v>9.6052077292084004</v>
      </c>
      <c r="BI83">
        <v>203.00894367257644</v>
      </c>
      <c r="BJ83" s="6">
        <v>207</v>
      </c>
      <c r="BK83">
        <v>91.794615665594065</v>
      </c>
      <c r="BL83" s="4">
        <v>2420.0631499999986</v>
      </c>
      <c r="BM83" t="s">
        <v>1744</v>
      </c>
      <c r="BN83" t="s">
        <v>65</v>
      </c>
      <c r="BO83">
        <v>3</v>
      </c>
      <c r="BP83">
        <v>2023</v>
      </c>
      <c r="BQ83" t="str">
        <f t="shared" si="6"/>
        <v>Petchburi53</v>
      </c>
      <c r="BR83">
        <f t="shared" si="7"/>
        <v>105.21976999999882</v>
      </c>
      <c r="BS83">
        <f t="shared" si="8"/>
        <v>7772.1686099999988</v>
      </c>
      <c r="BT83" s="6">
        <f t="shared" si="9"/>
        <v>3.9910563274235642</v>
      </c>
    </row>
    <row r="84" spans="1:72">
      <c r="A84" s="3" t="s">
        <v>967</v>
      </c>
      <c r="B84" s="3" t="s">
        <v>1660</v>
      </c>
      <c r="C84" s="3" t="s">
        <v>1726</v>
      </c>
      <c r="D84" s="2" t="s">
        <v>2748</v>
      </c>
      <c r="E84" s="4" t="str">
        <f t="shared" si="5"/>
        <v>Petchburi5A1-034-0009</v>
      </c>
      <c r="F84">
        <v>1.5</v>
      </c>
      <c r="G84">
        <v>3</v>
      </c>
      <c r="H84" t="s">
        <v>84</v>
      </c>
      <c r="I84" t="s">
        <v>75</v>
      </c>
      <c r="J84" t="s">
        <v>641</v>
      </c>
      <c r="K84" t="s">
        <v>79</v>
      </c>
      <c r="L84" t="s">
        <v>79</v>
      </c>
      <c r="M84">
        <v>0.77775847089487404</v>
      </c>
      <c r="N84" s="5">
        <v>45074</v>
      </c>
      <c r="O84" s="5">
        <v>45093</v>
      </c>
      <c r="P84">
        <v>1.5</v>
      </c>
      <c r="Q84" s="4">
        <v>208</v>
      </c>
      <c r="R84">
        <v>0.77200000000000002</v>
      </c>
      <c r="S84" t="s">
        <v>70</v>
      </c>
      <c r="T84" s="6">
        <v>6</v>
      </c>
      <c r="U84" s="5">
        <v>45258</v>
      </c>
      <c r="V84" s="6">
        <v>1</v>
      </c>
      <c r="W84" t="s">
        <v>86</v>
      </c>
      <c r="X84" s="6">
        <v>165</v>
      </c>
      <c r="Y84">
        <v>27.532970000000002</v>
      </c>
      <c r="Z84">
        <v>18.355313333333335</v>
      </c>
      <c r="AA84" s="6">
        <v>33.89616158373034</v>
      </c>
      <c r="AB84" s="4">
        <v>62.217466666666667</v>
      </c>
      <c r="AC84" s="6">
        <v>29.501865499720338</v>
      </c>
      <c r="AD84">
        <v>0.31430047799999999</v>
      </c>
      <c r="AE84">
        <v>2.1819930032147905</v>
      </c>
      <c r="AF84">
        <v>57550</v>
      </c>
      <c r="AG84" s="4">
        <v>0</v>
      </c>
      <c r="AH84" s="4">
        <v>44760</v>
      </c>
      <c r="AL84">
        <v>19</v>
      </c>
      <c r="AM84">
        <v>7.1590299999999996</v>
      </c>
      <c r="AN84" t="s">
        <v>81</v>
      </c>
      <c r="AO84" t="s">
        <v>157</v>
      </c>
      <c r="AP84" s="5">
        <v>45093</v>
      </c>
      <c r="AQ84" t="s">
        <v>108</v>
      </c>
      <c r="AR84" s="5">
        <v>45257</v>
      </c>
      <c r="AS84">
        <v>185.97625973514667</v>
      </c>
      <c r="AT84" s="6"/>
      <c r="AU84">
        <v>27.240068906478303</v>
      </c>
      <c r="AV84">
        <v>62.679249278228966</v>
      </c>
      <c r="AW84">
        <v>32.202384631952157</v>
      </c>
      <c r="AX84">
        <v>122.12170281665944</v>
      </c>
      <c r="AY84">
        <v>9.3842022854781</v>
      </c>
      <c r="AZ84">
        <v>26.396743613202652</v>
      </c>
      <c r="BA84">
        <v>7.7844892868440985</v>
      </c>
      <c r="BB84">
        <v>7.4012865302944064</v>
      </c>
      <c r="BC84">
        <v>14.085984185505595</v>
      </c>
      <c r="BD84">
        <v>65.052705901324856</v>
      </c>
      <c r="BE84">
        <v>-1.1981489828376226</v>
      </c>
      <c r="BF84">
        <v>9.0885941473077558</v>
      </c>
      <c r="BH84">
        <v>9.0885941473077558</v>
      </c>
      <c r="BI84">
        <v>196.26300286529201</v>
      </c>
      <c r="BJ84" s="6">
        <v>191</v>
      </c>
      <c r="BK84">
        <v>-10.286743130145348</v>
      </c>
      <c r="BL84" s="4">
        <v>-283.22458999999799</v>
      </c>
      <c r="BM84" t="s">
        <v>2749</v>
      </c>
      <c r="BN84" t="s">
        <v>65</v>
      </c>
      <c r="BO84">
        <v>11</v>
      </c>
      <c r="BP84">
        <v>2023</v>
      </c>
      <c r="BQ84" t="str">
        <f t="shared" si="6"/>
        <v>Petchburi511</v>
      </c>
      <c r="BR84">
        <f t="shared" si="7"/>
        <v>-144.90609999999893</v>
      </c>
      <c r="BS84">
        <f t="shared" si="8"/>
        <v>5120.4787800000013</v>
      </c>
      <c r="BT84" s="6">
        <f t="shared" si="9"/>
        <v>-5.2630028652920089</v>
      </c>
    </row>
    <row r="85" spans="1:72">
      <c r="A85" s="3" t="s">
        <v>967</v>
      </c>
      <c r="B85" s="3" t="s">
        <v>1660</v>
      </c>
      <c r="C85" s="3" t="s">
        <v>1726</v>
      </c>
      <c r="D85" s="2" t="s">
        <v>1741</v>
      </c>
      <c r="E85" s="4" t="str">
        <f t="shared" si="5"/>
        <v>Petchburi5A1-021-0019</v>
      </c>
      <c r="F85">
        <v>1.5</v>
      </c>
      <c r="G85">
        <v>1.8</v>
      </c>
      <c r="H85" t="s">
        <v>72</v>
      </c>
      <c r="I85" t="s">
        <v>75</v>
      </c>
      <c r="J85" t="s">
        <v>68</v>
      </c>
      <c r="K85" t="s">
        <v>79</v>
      </c>
      <c r="L85" t="s">
        <v>79</v>
      </c>
      <c r="M85">
        <v>4.3145287030474844</v>
      </c>
      <c r="N85" s="5">
        <v>44856</v>
      </c>
      <c r="O85" s="5">
        <v>44880</v>
      </c>
      <c r="P85">
        <v>0.54</v>
      </c>
      <c r="Q85" s="4">
        <v>125</v>
      </c>
      <c r="R85">
        <v>1.2</v>
      </c>
      <c r="S85" t="s">
        <v>70</v>
      </c>
      <c r="T85" s="6">
        <v>4</v>
      </c>
      <c r="U85" s="5">
        <v>45022</v>
      </c>
      <c r="V85" s="6">
        <v>1</v>
      </c>
      <c r="W85" t="s">
        <v>86</v>
      </c>
      <c r="X85" s="6">
        <v>142</v>
      </c>
      <c r="Y85">
        <v>16.658540000000002</v>
      </c>
      <c r="Z85">
        <v>11.105693333333335</v>
      </c>
      <c r="AA85" s="6">
        <v>27.957552102405131</v>
      </c>
      <c r="AB85" s="4">
        <v>86.24666666666667</v>
      </c>
      <c r="AC85" s="6">
        <v>35.76851064560735</v>
      </c>
      <c r="AD85">
        <v>0.31165172899999999</v>
      </c>
      <c r="AE85">
        <v>2.2032361182071307</v>
      </c>
      <c r="AF85">
        <v>35275</v>
      </c>
      <c r="AG85" s="4">
        <v>0</v>
      </c>
      <c r="AH85" s="4">
        <v>152195</v>
      </c>
      <c r="AL85">
        <v>22</v>
      </c>
      <c r="AM85">
        <v>3.00326</v>
      </c>
      <c r="AN85" t="s">
        <v>81</v>
      </c>
      <c r="AO85" t="s">
        <v>148</v>
      </c>
      <c r="AP85" s="5">
        <v>44881</v>
      </c>
      <c r="AQ85" t="s">
        <v>127</v>
      </c>
      <c r="AR85" s="5">
        <v>45021</v>
      </c>
      <c r="AS85">
        <v>276.19773161393493</v>
      </c>
      <c r="AT85" s="6"/>
      <c r="AU85">
        <v>17.828693270838858</v>
      </c>
      <c r="AV85">
        <v>67.33211914129329</v>
      </c>
      <c r="AW85">
        <v>41.583778650469959</v>
      </c>
      <c r="AX85">
        <v>126.74459106260211</v>
      </c>
      <c r="AY85">
        <v>21.227208386809409</v>
      </c>
      <c r="AZ85">
        <v>42.613343666371726</v>
      </c>
      <c r="BA85">
        <v>12.532603097270229</v>
      </c>
      <c r="BB85">
        <v>17.214765519667388</v>
      </c>
      <c r="BC85">
        <v>30.383056978582754</v>
      </c>
      <c r="BD85">
        <v>123.97097764870152</v>
      </c>
      <c r="BE85">
        <v>25.482162902631288</v>
      </c>
      <c r="BF85">
        <v>17.253372144257543</v>
      </c>
      <c r="BH85">
        <v>17.253372144257543</v>
      </c>
      <c r="BI85">
        <v>267.96894085556119</v>
      </c>
      <c r="BJ85" s="6">
        <v>204</v>
      </c>
      <c r="BK85">
        <v>8.2287907583737621</v>
      </c>
      <c r="BL85" s="4">
        <v>137.07963999999967</v>
      </c>
      <c r="BM85" t="s">
        <v>1742</v>
      </c>
      <c r="BN85" t="s">
        <v>65</v>
      </c>
      <c r="BO85">
        <v>4</v>
      </c>
      <c r="BP85">
        <v>2023</v>
      </c>
      <c r="BQ85" t="str">
        <f t="shared" si="6"/>
        <v>Petchburi54</v>
      </c>
      <c r="BR85">
        <f t="shared" si="7"/>
        <v>-1065.6291600000004</v>
      </c>
      <c r="BS85">
        <f t="shared" si="8"/>
        <v>4601.0509600000005</v>
      </c>
      <c r="BT85" s="6">
        <f t="shared" si="9"/>
        <v>-63.968940855561186</v>
      </c>
    </row>
    <row r="86" spans="1:72">
      <c r="A86" s="3" t="s">
        <v>967</v>
      </c>
      <c r="B86" s="3" t="s">
        <v>1660</v>
      </c>
      <c r="C86" s="3" t="s">
        <v>1726</v>
      </c>
      <c r="D86" s="2" t="s">
        <v>1745</v>
      </c>
      <c r="E86" s="4" t="str">
        <f t="shared" si="5"/>
        <v>Petchburi5A1-035-0006</v>
      </c>
      <c r="F86">
        <v>1.5</v>
      </c>
      <c r="G86">
        <v>3</v>
      </c>
      <c r="H86" t="s">
        <v>72</v>
      </c>
      <c r="I86" t="s">
        <v>75</v>
      </c>
      <c r="J86" t="s">
        <v>641</v>
      </c>
      <c r="K86" t="s">
        <v>79</v>
      </c>
      <c r="L86" t="s">
        <v>79</v>
      </c>
      <c r="M86">
        <v>4.8269035532994922</v>
      </c>
      <c r="N86" s="5">
        <v>44875</v>
      </c>
      <c r="O86" s="5">
        <v>44885</v>
      </c>
      <c r="P86">
        <v>0.45</v>
      </c>
      <c r="Q86" s="4">
        <v>63</v>
      </c>
      <c r="R86">
        <v>1.27</v>
      </c>
      <c r="S86" t="s">
        <v>70</v>
      </c>
      <c r="T86" s="6">
        <v>2</v>
      </c>
      <c r="U86" s="5">
        <v>45036</v>
      </c>
      <c r="V86" s="6">
        <v>1</v>
      </c>
      <c r="W86" t="s">
        <v>86</v>
      </c>
      <c r="X86" s="6">
        <v>151</v>
      </c>
      <c r="Y86">
        <v>15.26825</v>
      </c>
      <c r="Z86">
        <v>10.178833333333333</v>
      </c>
      <c r="AA86" s="6">
        <v>20.989242382067363</v>
      </c>
      <c r="AB86" s="4">
        <v>71.215333333333334</v>
      </c>
      <c r="AC86" s="6">
        <v>47.643453813005308</v>
      </c>
      <c r="AD86">
        <v>0.30694733499999999</v>
      </c>
      <c r="AE86">
        <v>2.6808648170513889</v>
      </c>
      <c r="AF86">
        <v>39400</v>
      </c>
      <c r="AG86" s="4">
        <v>0</v>
      </c>
      <c r="AH86" s="4">
        <v>190180</v>
      </c>
      <c r="AL86">
        <v>21</v>
      </c>
      <c r="AM86">
        <v>15.097110000000001</v>
      </c>
      <c r="AN86" t="s">
        <v>81</v>
      </c>
      <c r="AO86" t="s">
        <v>94</v>
      </c>
      <c r="AP86" s="5">
        <v>44887</v>
      </c>
      <c r="AQ86" t="s">
        <v>134</v>
      </c>
      <c r="AR86" s="5">
        <v>45036</v>
      </c>
      <c r="AS86">
        <v>296.20938483454222</v>
      </c>
      <c r="AT86" s="6"/>
      <c r="AU86">
        <v>22.104694382132859</v>
      </c>
      <c r="AV86">
        <v>82.522983315049203</v>
      </c>
      <c r="AW86">
        <v>54.26411474792463</v>
      </c>
      <c r="AX86">
        <v>158.89179244510669</v>
      </c>
      <c r="AY86">
        <v>22.888830088582516</v>
      </c>
      <c r="AZ86">
        <v>46.302733450133445</v>
      </c>
      <c r="BA86">
        <v>11.997209896353544</v>
      </c>
      <c r="BB86">
        <v>17.427206130368571</v>
      </c>
      <c r="BC86">
        <v>31.972208340838012</v>
      </c>
      <c r="BD86">
        <v>130.58818790627606</v>
      </c>
      <c r="BE86">
        <v>6.7294044831594704</v>
      </c>
      <c r="BF86">
        <v>17.991676190788073</v>
      </c>
      <c r="BH86">
        <v>17.991676190788073</v>
      </c>
      <c r="BI86">
        <v>307.47165654217088</v>
      </c>
      <c r="BJ86" s="6">
        <v>232</v>
      </c>
      <c r="BK86">
        <v>-11.262271707628617</v>
      </c>
      <c r="BL86" s="4">
        <v>-171.95518000000064</v>
      </c>
      <c r="BM86" t="s">
        <v>1746</v>
      </c>
      <c r="BN86" t="s">
        <v>65</v>
      </c>
      <c r="BO86">
        <v>4</v>
      </c>
      <c r="BP86">
        <v>2023</v>
      </c>
      <c r="BQ86" t="str">
        <f t="shared" si="6"/>
        <v>Petchburi54</v>
      </c>
      <c r="BR86">
        <f t="shared" si="7"/>
        <v>-1152.3201200000005</v>
      </c>
      <c r="BS86">
        <f t="shared" si="8"/>
        <v>4522.5989399999989</v>
      </c>
      <c r="BT86" s="6">
        <f t="shared" si="9"/>
        <v>-75.471656542170876</v>
      </c>
    </row>
    <row r="87" spans="1:72">
      <c r="A87" s="3" t="s">
        <v>967</v>
      </c>
      <c r="B87" s="3" t="s">
        <v>1660</v>
      </c>
      <c r="C87" s="3" t="s">
        <v>1726</v>
      </c>
      <c r="D87" s="2" t="s">
        <v>1739</v>
      </c>
      <c r="E87" s="4" t="str">
        <f t="shared" si="5"/>
        <v>Petchburi5A1-032-0007</v>
      </c>
      <c r="F87">
        <v>1.5</v>
      </c>
      <c r="G87">
        <v>3.5</v>
      </c>
      <c r="H87" t="s">
        <v>84</v>
      </c>
      <c r="I87" t="s">
        <v>75</v>
      </c>
      <c r="J87" t="s">
        <v>641</v>
      </c>
      <c r="K87" t="s">
        <v>79</v>
      </c>
      <c r="L87" t="s">
        <v>79</v>
      </c>
      <c r="M87">
        <v>3.719686274509804</v>
      </c>
      <c r="N87" s="5">
        <v>44859</v>
      </c>
      <c r="O87" s="5">
        <v>44865</v>
      </c>
      <c r="P87">
        <v>0.45</v>
      </c>
      <c r="Q87" s="4">
        <v>54</v>
      </c>
      <c r="R87">
        <v>7.6999999999999999E-2</v>
      </c>
      <c r="S87" t="s">
        <v>70</v>
      </c>
      <c r="T87" s="6">
        <v>1</v>
      </c>
      <c r="U87" s="5">
        <v>44988</v>
      </c>
      <c r="V87" s="6">
        <v>1</v>
      </c>
      <c r="W87" t="s">
        <v>86</v>
      </c>
      <c r="X87" s="6">
        <v>123</v>
      </c>
      <c r="Y87">
        <v>18.040479999999999</v>
      </c>
      <c r="Z87">
        <v>12.026986666666666</v>
      </c>
      <c r="AA87" s="6">
        <v>28.000474488483679</v>
      </c>
      <c r="AB87" s="4">
        <v>112.25377777777778</v>
      </c>
      <c r="AC87" s="6">
        <v>35.71368050963887</v>
      </c>
      <c r="AD87">
        <v>0.28973403000000003</v>
      </c>
      <c r="AE87">
        <v>1.770259965799966</v>
      </c>
      <c r="AF87">
        <v>31875</v>
      </c>
      <c r="AG87" s="4">
        <v>0</v>
      </c>
      <c r="AH87" s="4">
        <v>118565</v>
      </c>
      <c r="AL87">
        <v>28</v>
      </c>
      <c r="AM87">
        <v>18.02666</v>
      </c>
      <c r="AN87" t="s">
        <v>81</v>
      </c>
      <c r="AO87" t="s">
        <v>215</v>
      </c>
      <c r="AP87" s="5">
        <v>44865</v>
      </c>
      <c r="AQ87" t="s">
        <v>116</v>
      </c>
      <c r="AR87" s="5">
        <v>44987</v>
      </c>
      <c r="AS87">
        <v>264.46462843560698</v>
      </c>
      <c r="AT87" s="6"/>
      <c r="AU87">
        <v>9.9775615726410809</v>
      </c>
      <c r="AV87">
        <v>55.862885023014904</v>
      </c>
      <c r="AW87">
        <v>40.470527946041344</v>
      </c>
      <c r="AX87">
        <v>106.31097454169733</v>
      </c>
      <c r="AY87">
        <v>15.517374260551826</v>
      </c>
      <c r="AZ87">
        <v>30.278902778640035</v>
      </c>
      <c r="BA87">
        <v>9.1325469167117515</v>
      </c>
      <c r="BB87">
        <v>13.356948373879192</v>
      </c>
      <c r="BC87">
        <v>23.267614276338549</v>
      </c>
      <c r="BD87">
        <v>91.55338660612135</v>
      </c>
      <c r="BE87">
        <v>66.600267287788299</v>
      </c>
      <c r="BF87">
        <v>12.865822860589077</v>
      </c>
      <c r="BH87">
        <v>12.865822860589077</v>
      </c>
      <c r="BI87">
        <v>210.73018400840775</v>
      </c>
      <c r="BJ87" s="6">
        <v>204</v>
      </c>
      <c r="BK87">
        <v>53.734444427199222</v>
      </c>
      <c r="BL87" s="4">
        <v>969.39516999999898</v>
      </c>
      <c r="BM87" t="s">
        <v>1740</v>
      </c>
      <c r="BN87" t="s">
        <v>65</v>
      </c>
      <c r="BO87">
        <v>3</v>
      </c>
      <c r="BP87">
        <v>2023</v>
      </c>
      <c r="BQ87" t="str">
        <f t="shared" si="6"/>
        <v>Petchburi53</v>
      </c>
      <c r="BR87">
        <f t="shared" si="7"/>
        <v>-121.41574999999978</v>
      </c>
      <c r="BS87">
        <f t="shared" si="8"/>
        <v>4771.068839999999</v>
      </c>
      <c r="BT87" s="6">
        <f t="shared" si="9"/>
        <v>-6.7301840084077469</v>
      </c>
    </row>
    <row r="88" spans="1:72">
      <c r="A88" s="3" t="s">
        <v>967</v>
      </c>
      <c r="B88" s="3" t="s">
        <v>1660</v>
      </c>
      <c r="C88" s="3" t="s">
        <v>1726</v>
      </c>
      <c r="D88" s="2" t="s">
        <v>2844</v>
      </c>
      <c r="E88" s="4" t="str">
        <f t="shared" si="5"/>
        <v>Petchburi5A1-034-0007</v>
      </c>
      <c r="F88">
        <v>1.5</v>
      </c>
      <c r="G88">
        <v>3</v>
      </c>
      <c r="H88" t="s">
        <v>84</v>
      </c>
      <c r="I88" t="s">
        <v>75</v>
      </c>
      <c r="J88" t="s">
        <v>641</v>
      </c>
      <c r="K88" t="s">
        <v>79</v>
      </c>
      <c r="L88" t="s">
        <v>79</v>
      </c>
      <c r="M88">
        <v>1.7630662020905923</v>
      </c>
      <c r="N88" s="5">
        <v>44875</v>
      </c>
      <c r="O88" s="5">
        <v>44894</v>
      </c>
      <c r="P88">
        <v>1.2</v>
      </c>
      <c r="Q88" s="4">
        <v>167</v>
      </c>
      <c r="R88">
        <v>0.13500000000000001</v>
      </c>
      <c r="S88" t="s">
        <v>70</v>
      </c>
      <c r="T88" s="6"/>
      <c r="U88" s="5">
        <v>44936</v>
      </c>
      <c r="V88" s="6">
        <v>3</v>
      </c>
      <c r="W88" t="s">
        <v>2831</v>
      </c>
      <c r="X88" s="6"/>
      <c r="AA88" s="6"/>
      <c r="AB88" s="4"/>
      <c r="AC88" s="6"/>
      <c r="AF88">
        <v>7175</v>
      </c>
      <c r="AG88" s="4">
        <v>0</v>
      </c>
      <c r="AH88" s="4">
        <v>12650</v>
      </c>
      <c r="AI88" t="s">
        <v>100</v>
      </c>
      <c r="AJ88" t="s">
        <v>100</v>
      </c>
      <c r="AK88" t="s">
        <v>977</v>
      </c>
      <c r="AN88" t="s">
        <v>100</v>
      </c>
      <c r="AO88" t="s">
        <v>438</v>
      </c>
      <c r="AP88" s="5">
        <v>44894</v>
      </c>
      <c r="AQ88" t="s">
        <v>198</v>
      </c>
      <c r="AR88" s="5">
        <v>44936</v>
      </c>
      <c r="AT88" s="6"/>
      <c r="BJ88" s="6"/>
      <c r="BL88" s="4">
        <v>-1944.32961</v>
      </c>
      <c r="BM88" t="s">
        <v>2845</v>
      </c>
      <c r="BN88" t="s">
        <v>65</v>
      </c>
      <c r="BO88">
        <v>1</v>
      </c>
      <c r="BP88">
        <v>2023</v>
      </c>
      <c r="BQ88" t="str">
        <f t="shared" si="6"/>
        <v>Petchburi51</v>
      </c>
      <c r="BR88">
        <f t="shared" si="7"/>
        <v>0</v>
      </c>
      <c r="BS88">
        <f t="shared" si="8"/>
        <v>0</v>
      </c>
      <c r="BT88" s="6">
        <f t="shared" si="9"/>
        <v>0</v>
      </c>
    </row>
    <row r="89" spans="1:72">
      <c r="A89" s="3" t="s">
        <v>967</v>
      </c>
      <c r="B89" s="3" t="s">
        <v>1660</v>
      </c>
      <c r="C89" s="3" t="s">
        <v>1661</v>
      </c>
      <c r="D89" s="2" t="s">
        <v>2846</v>
      </c>
      <c r="E89" s="4" t="str">
        <f t="shared" si="5"/>
        <v>Petchburi5AG-002-0014</v>
      </c>
      <c r="F89">
        <v>1.5</v>
      </c>
      <c r="G89">
        <v>1.8</v>
      </c>
      <c r="H89" t="s">
        <v>84</v>
      </c>
      <c r="I89" t="s">
        <v>67</v>
      </c>
      <c r="J89" t="s">
        <v>357</v>
      </c>
      <c r="K89" t="s">
        <v>89</v>
      </c>
      <c r="N89" s="5">
        <v>45162</v>
      </c>
      <c r="O89" s="5">
        <v>45188</v>
      </c>
      <c r="P89">
        <v>0.7</v>
      </c>
      <c r="Q89" s="4">
        <v>162</v>
      </c>
      <c r="R89">
        <v>0.67600000000000005</v>
      </c>
      <c r="S89" t="s">
        <v>70</v>
      </c>
      <c r="T89" s="6">
        <v>5</v>
      </c>
      <c r="U89" s="5">
        <v>45290</v>
      </c>
      <c r="V89" s="6">
        <v>1</v>
      </c>
      <c r="W89" t="s">
        <v>86</v>
      </c>
      <c r="X89" s="6">
        <v>102</v>
      </c>
      <c r="Y89">
        <v>15.31992</v>
      </c>
      <c r="Z89">
        <v>10.213279999999999</v>
      </c>
      <c r="AA89" s="6">
        <v>33.031961002407321</v>
      </c>
      <c r="AB89" s="4">
        <v>72.292428571428573</v>
      </c>
      <c r="AC89" s="6">
        <v>30.273709754232318</v>
      </c>
      <c r="AD89">
        <v>0.41963000900000003</v>
      </c>
      <c r="AE89">
        <v>1.7933012368895367</v>
      </c>
      <c r="AF89">
        <v>26625</v>
      </c>
      <c r="AG89" s="4"/>
      <c r="AH89" s="4"/>
      <c r="AL89">
        <v>23</v>
      </c>
      <c r="AM89">
        <v>4.8151800000000007</v>
      </c>
      <c r="AN89" t="s">
        <v>81</v>
      </c>
      <c r="AO89" t="s">
        <v>127</v>
      </c>
      <c r="AP89" s="5">
        <v>45188</v>
      </c>
      <c r="AQ89" t="s">
        <v>131</v>
      </c>
      <c r="AR89" s="5">
        <v>45289</v>
      </c>
      <c r="AS89">
        <v>223.28391858443126</v>
      </c>
      <c r="AT89" s="6"/>
      <c r="AU89">
        <v>22.846072303249624</v>
      </c>
      <c r="AV89">
        <v>51.775336294184328</v>
      </c>
      <c r="AW89">
        <v>37.366268883910621</v>
      </c>
      <c r="AX89">
        <v>111.98767748134456</v>
      </c>
      <c r="AY89">
        <v>12.88203854850417</v>
      </c>
      <c r="AZ89">
        <v>31.526417892521629</v>
      </c>
      <c r="BA89">
        <v>11.57398994250623</v>
      </c>
      <c r="BB89">
        <v>12.427589700207314</v>
      </c>
      <c r="BC89">
        <v>20.751098569705324</v>
      </c>
      <c r="BD89">
        <v>89.161134653444662</v>
      </c>
      <c r="BE89">
        <v>22.135106449642038</v>
      </c>
      <c r="BF89">
        <v>17.06050096867347</v>
      </c>
      <c r="BH89">
        <v>17.06050096867347</v>
      </c>
      <c r="BI89">
        <v>218.20931310346268</v>
      </c>
      <c r="BJ89" s="6">
        <v>191</v>
      </c>
      <c r="BK89">
        <v>5.0746054809685877</v>
      </c>
      <c r="BL89" s="4">
        <v>77.742550000000278</v>
      </c>
      <c r="BM89" t="s">
        <v>2847</v>
      </c>
      <c r="BN89" t="s">
        <v>65</v>
      </c>
      <c r="BO89">
        <v>12</v>
      </c>
      <c r="BP89">
        <v>2023</v>
      </c>
      <c r="BQ89" t="str">
        <f t="shared" si="6"/>
        <v>Petchburi512</v>
      </c>
      <c r="BR89">
        <f t="shared" si="7"/>
        <v>-416.84449999999993</v>
      </c>
      <c r="BS89">
        <f t="shared" si="8"/>
        <v>3420.6917699999999</v>
      </c>
      <c r="BT89" s="6">
        <f t="shared" si="9"/>
        <v>-27.209313103462677</v>
      </c>
    </row>
    <row r="90" spans="1:72">
      <c r="A90" s="3" t="s">
        <v>967</v>
      </c>
      <c r="B90" s="3" t="s">
        <v>1660</v>
      </c>
      <c r="C90" s="3" t="s">
        <v>1661</v>
      </c>
      <c r="D90" s="2" t="s">
        <v>1669</v>
      </c>
      <c r="E90" s="4" t="str">
        <f t="shared" si="5"/>
        <v>Petchburi5G1-G01-0002</v>
      </c>
      <c r="F90">
        <v>1</v>
      </c>
      <c r="G90">
        <v>2</v>
      </c>
      <c r="H90" t="s">
        <v>88</v>
      </c>
      <c r="I90" t="s">
        <v>67</v>
      </c>
      <c r="J90" t="s">
        <v>68</v>
      </c>
      <c r="K90" t="s">
        <v>89</v>
      </c>
      <c r="L90" t="s">
        <v>89</v>
      </c>
      <c r="M90">
        <v>0.77073981712385697</v>
      </c>
      <c r="N90" s="5">
        <v>44784</v>
      </c>
      <c r="O90" s="5">
        <v>44816</v>
      </c>
      <c r="P90">
        <v>0.55200000000000005</v>
      </c>
      <c r="Q90" s="4">
        <v>173</v>
      </c>
      <c r="R90">
        <v>1.1120000000000001</v>
      </c>
      <c r="S90" t="s">
        <v>70</v>
      </c>
      <c r="T90" s="6">
        <v>5</v>
      </c>
      <c r="U90" s="5">
        <v>44956</v>
      </c>
      <c r="V90" s="6">
        <v>1</v>
      </c>
      <c r="W90" t="s">
        <v>86</v>
      </c>
      <c r="X90" s="6">
        <v>140</v>
      </c>
      <c r="Y90">
        <v>13.1435</v>
      </c>
      <c r="Z90">
        <v>13.1435</v>
      </c>
      <c r="AA90" s="6">
        <v>26.739452961539925</v>
      </c>
      <c r="AB90" s="4">
        <v>63.668478260869563</v>
      </c>
      <c r="AC90" s="6">
        <v>37.397922890880636</v>
      </c>
      <c r="AD90">
        <v>0.36799699200000002</v>
      </c>
      <c r="AE90">
        <v>2.4003352089069794</v>
      </c>
      <c r="AF90">
        <v>30075</v>
      </c>
      <c r="AG90" s="4">
        <v>3020</v>
      </c>
      <c r="AH90" s="4">
        <v>23180</v>
      </c>
      <c r="AL90">
        <v>19</v>
      </c>
      <c r="AM90">
        <v>7.4755500000000001</v>
      </c>
      <c r="AN90" t="s">
        <v>81</v>
      </c>
      <c r="AO90" t="s">
        <v>96</v>
      </c>
      <c r="AP90" s="5">
        <v>44816</v>
      </c>
      <c r="AQ90" t="s">
        <v>198</v>
      </c>
      <c r="AR90" s="5">
        <v>44955</v>
      </c>
      <c r="AS90">
        <v>283.05123901548296</v>
      </c>
      <c r="AT90" s="6"/>
      <c r="AU90">
        <v>18.899075588694032</v>
      </c>
      <c r="AV90">
        <v>69.650987940807241</v>
      </c>
      <c r="AW90">
        <v>14.939643169627578</v>
      </c>
      <c r="AX90">
        <v>103.48970669912885</v>
      </c>
      <c r="AY90">
        <v>34.76366569026515</v>
      </c>
      <c r="AZ90">
        <v>36.252880130863161</v>
      </c>
      <c r="BA90">
        <v>30.822370753604435</v>
      </c>
      <c r="BB90">
        <v>20.092998059877505</v>
      </c>
      <c r="BC90">
        <v>24.227704949214438</v>
      </c>
      <c r="BD90">
        <v>146.15961958382471</v>
      </c>
      <c r="BE90">
        <v>33.401912732529411</v>
      </c>
      <c r="BF90">
        <v>2.8239821965229952</v>
      </c>
      <c r="BH90">
        <v>2.8239821965229952</v>
      </c>
      <c r="BI90">
        <v>252.47330847947657</v>
      </c>
      <c r="BJ90" s="6">
        <v>210</v>
      </c>
      <c r="BK90">
        <v>30.577930536006409</v>
      </c>
      <c r="BL90" s="4">
        <v>401.90103000000028</v>
      </c>
      <c r="BM90" t="s">
        <v>1662</v>
      </c>
      <c r="BN90" t="s">
        <v>65</v>
      </c>
      <c r="BO90">
        <v>1</v>
      </c>
      <c r="BP90">
        <v>2023</v>
      </c>
      <c r="BQ90" t="str">
        <f t="shared" si="6"/>
        <v>Petchburi51</v>
      </c>
      <c r="BR90">
        <f t="shared" si="7"/>
        <v>-558.24793000000034</v>
      </c>
      <c r="BS90">
        <f t="shared" si="8"/>
        <v>3720.2839600000002</v>
      </c>
      <c r="BT90" s="6">
        <f t="shared" si="9"/>
        <v>-42.473308479476572</v>
      </c>
    </row>
    <row r="91" spans="1:72">
      <c r="A91" s="3" t="s">
        <v>967</v>
      </c>
      <c r="B91" s="3" t="s">
        <v>1660</v>
      </c>
      <c r="C91" s="3" t="s">
        <v>1661</v>
      </c>
      <c r="D91" s="2" t="s">
        <v>1665</v>
      </c>
      <c r="E91" s="4" t="str">
        <f t="shared" si="5"/>
        <v>Petchburi5G1-G02-0002</v>
      </c>
      <c r="F91">
        <v>1</v>
      </c>
      <c r="G91">
        <v>3.3</v>
      </c>
      <c r="H91" t="s">
        <v>88</v>
      </c>
      <c r="I91" t="s">
        <v>67</v>
      </c>
      <c r="J91" t="s">
        <v>68</v>
      </c>
      <c r="K91" t="s">
        <v>89</v>
      </c>
      <c r="L91" t="s">
        <v>89</v>
      </c>
      <c r="M91">
        <v>0.64438902743142146</v>
      </c>
      <c r="N91" s="5">
        <v>45021</v>
      </c>
      <c r="O91" s="5">
        <v>45046</v>
      </c>
      <c r="P91">
        <v>1.5</v>
      </c>
      <c r="Q91" s="4">
        <v>284</v>
      </c>
      <c r="R91">
        <v>0.39</v>
      </c>
      <c r="S91" t="s">
        <v>70</v>
      </c>
      <c r="T91" s="6">
        <v>6</v>
      </c>
      <c r="U91" s="5">
        <v>45167</v>
      </c>
      <c r="V91" s="6">
        <v>1</v>
      </c>
      <c r="W91" t="s">
        <v>86</v>
      </c>
      <c r="X91" s="6">
        <v>121</v>
      </c>
      <c r="Y91">
        <v>20.16797</v>
      </c>
      <c r="Z91">
        <v>20.16797</v>
      </c>
      <c r="AA91" s="6">
        <v>44.518263365127972</v>
      </c>
      <c r="AB91" s="4">
        <v>59.856200000000001</v>
      </c>
      <c r="AC91" s="6">
        <v>22.462691138651191</v>
      </c>
      <c r="AD91">
        <v>0.34112947700000001</v>
      </c>
      <c r="AE91">
        <v>2.047701748410478</v>
      </c>
      <c r="AF91">
        <v>40100</v>
      </c>
      <c r="AG91" s="4">
        <v>0</v>
      </c>
      <c r="AH91" s="4">
        <v>25840</v>
      </c>
      <c r="AL91">
        <v>24</v>
      </c>
      <c r="AM91">
        <v>4.2435200000000002</v>
      </c>
      <c r="AN91" t="s">
        <v>81</v>
      </c>
      <c r="AO91" t="s">
        <v>117</v>
      </c>
      <c r="AP91" s="5">
        <v>45047</v>
      </c>
      <c r="AQ91" t="s">
        <v>74</v>
      </c>
      <c r="AR91" s="5">
        <v>45166</v>
      </c>
      <c r="AS91">
        <v>153.19173521182347</v>
      </c>
      <c r="AT91" s="6"/>
      <c r="AU91">
        <v>30.989732729669871</v>
      </c>
      <c r="AV91">
        <v>61.125840627490028</v>
      </c>
      <c r="AW91">
        <v>8.029611805253575</v>
      </c>
      <c r="AX91">
        <v>100.14518516241347</v>
      </c>
      <c r="AY91">
        <v>23.712372142560707</v>
      </c>
      <c r="AZ91">
        <v>32.265378221010828</v>
      </c>
      <c r="BA91">
        <v>5.602300082754982</v>
      </c>
      <c r="BB91">
        <v>2.6006330830519877</v>
      </c>
      <c r="BC91">
        <v>13.035082856628605</v>
      </c>
      <c r="BD91">
        <v>77.215766386007104</v>
      </c>
      <c r="BE91">
        <v>-24.169216336597103</v>
      </c>
      <c r="BF91">
        <v>17.107514539143004</v>
      </c>
      <c r="BH91">
        <v>17.107514539143004</v>
      </c>
      <c r="BI91">
        <v>194.46846608756357</v>
      </c>
      <c r="BJ91" s="6">
        <v>177</v>
      </c>
      <c r="BK91">
        <v>-41.2767308757401</v>
      </c>
      <c r="BL91" s="4">
        <v>-832.46787000000006</v>
      </c>
      <c r="BM91" t="s">
        <v>1666</v>
      </c>
      <c r="BN91" t="s">
        <v>65</v>
      </c>
      <c r="BO91">
        <v>8</v>
      </c>
      <c r="BP91">
        <v>2023</v>
      </c>
      <c r="BQ91" t="str">
        <f t="shared" si="6"/>
        <v>Petchburi58</v>
      </c>
      <c r="BR91">
        <f t="shared" si="7"/>
        <v>-352.30349999999947</v>
      </c>
      <c r="BS91">
        <f t="shared" si="8"/>
        <v>3089.5663199999995</v>
      </c>
      <c r="BT91" s="6">
        <f t="shared" si="9"/>
        <v>-17.46846608756357</v>
      </c>
    </row>
    <row r="92" spans="1:72">
      <c r="A92" s="3" t="s">
        <v>967</v>
      </c>
      <c r="B92" s="3" t="s">
        <v>1660</v>
      </c>
      <c r="C92" s="3" t="s">
        <v>1661</v>
      </c>
      <c r="D92" s="2" t="s">
        <v>1667</v>
      </c>
      <c r="E92" s="4" t="str">
        <f t="shared" si="5"/>
        <v>Petchburi5G1-G02-0001</v>
      </c>
      <c r="F92">
        <v>1</v>
      </c>
      <c r="G92">
        <v>3.3</v>
      </c>
      <c r="H92" t="s">
        <v>88</v>
      </c>
      <c r="I92" t="s">
        <v>67</v>
      </c>
      <c r="J92" t="s">
        <v>68</v>
      </c>
      <c r="K92" t="s">
        <v>89</v>
      </c>
      <c r="L92" t="s">
        <v>89</v>
      </c>
      <c r="M92">
        <v>0.95942857142857141</v>
      </c>
      <c r="N92" s="5">
        <v>44881</v>
      </c>
      <c r="O92" s="5">
        <v>44891</v>
      </c>
      <c r="P92">
        <v>0.75</v>
      </c>
      <c r="Q92" s="4">
        <v>142</v>
      </c>
      <c r="R92">
        <v>0.36</v>
      </c>
      <c r="S92" t="s">
        <v>70</v>
      </c>
      <c r="T92" s="6">
        <v>4</v>
      </c>
      <c r="U92" s="5">
        <v>45020</v>
      </c>
      <c r="V92" s="6">
        <v>1</v>
      </c>
      <c r="W92" t="s">
        <v>86</v>
      </c>
      <c r="X92" s="6">
        <v>129</v>
      </c>
      <c r="Y92">
        <v>15.27791</v>
      </c>
      <c r="Z92">
        <v>15.27791</v>
      </c>
      <c r="AA92" s="6">
        <v>28.663999198843296</v>
      </c>
      <c r="AB92" s="4">
        <v>58.390133333333338</v>
      </c>
      <c r="AC92" s="6">
        <v>34.88696720450487</v>
      </c>
      <c r="AD92">
        <v>0.320206718</v>
      </c>
      <c r="AE92">
        <v>2.3321035374012773</v>
      </c>
      <c r="AF92">
        <v>35000</v>
      </c>
      <c r="AG92" s="4"/>
      <c r="AH92" s="4">
        <v>33580</v>
      </c>
      <c r="AL92">
        <v>24</v>
      </c>
      <c r="AM92">
        <v>10.183200000000001</v>
      </c>
      <c r="AN92" t="s">
        <v>81</v>
      </c>
      <c r="AO92" t="s">
        <v>189</v>
      </c>
      <c r="AP92" s="5">
        <v>44891</v>
      </c>
      <c r="AQ92" t="s">
        <v>144</v>
      </c>
      <c r="AR92" s="5">
        <v>45019</v>
      </c>
      <c r="AS92">
        <v>264.0182884962669</v>
      </c>
      <c r="AT92" s="6"/>
      <c r="AU92">
        <v>19.636193694032759</v>
      </c>
      <c r="AV92">
        <v>73.209384660598204</v>
      </c>
      <c r="AW92">
        <v>14.781096367238717</v>
      </c>
      <c r="AX92">
        <v>107.62667472186968</v>
      </c>
      <c r="AY92">
        <v>15.895377705458401</v>
      </c>
      <c r="AZ92">
        <v>32.076483628978046</v>
      </c>
      <c r="BA92">
        <v>10.120188559822648</v>
      </c>
      <c r="BB92">
        <v>7.0225050415927308</v>
      </c>
      <c r="BC92">
        <v>11.567669268898692</v>
      </c>
      <c r="BD92">
        <v>76.682224204750526</v>
      </c>
      <c r="BE92">
        <v>79.709389569646703</v>
      </c>
      <c r="BF92">
        <v>2.3945382581779842</v>
      </c>
      <c r="BH92">
        <v>2.3945382581779842</v>
      </c>
      <c r="BI92">
        <v>186.70343718479813</v>
      </c>
      <c r="BJ92" s="6">
        <v>204</v>
      </c>
      <c r="BK92">
        <v>77.314851311468757</v>
      </c>
      <c r="BL92" s="4">
        <v>1181.2093400000017</v>
      </c>
      <c r="BM92" t="s">
        <v>1668</v>
      </c>
      <c r="BN92" t="s">
        <v>65</v>
      </c>
      <c r="BO92">
        <v>4</v>
      </c>
      <c r="BP92">
        <v>2023</v>
      </c>
      <c r="BQ92" t="str">
        <f t="shared" si="6"/>
        <v>Petchburi54</v>
      </c>
      <c r="BR92">
        <f t="shared" si="7"/>
        <v>264.25533000000075</v>
      </c>
      <c r="BS92">
        <f t="shared" si="8"/>
        <v>4033.6476500000012</v>
      </c>
      <c r="BT92" s="6">
        <f t="shared" si="9"/>
        <v>17.296562815201867</v>
      </c>
    </row>
    <row r="93" spans="1:72">
      <c r="A93" s="3" t="s">
        <v>967</v>
      </c>
      <c r="B93" s="3" t="s">
        <v>1660</v>
      </c>
      <c r="C93" s="3" t="s">
        <v>1661</v>
      </c>
      <c r="D93" s="2" t="s">
        <v>2734</v>
      </c>
      <c r="E93" s="4" t="str">
        <f t="shared" si="5"/>
        <v>Petchburi5G1-G01-0004</v>
      </c>
      <c r="F93">
        <v>1</v>
      </c>
      <c r="G93">
        <v>2.5</v>
      </c>
      <c r="H93" t="s">
        <v>88</v>
      </c>
      <c r="I93" t="s">
        <v>67</v>
      </c>
      <c r="J93" t="s">
        <v>68</v>
      </c>
      <c r="K93" t="s">
        <v>89</v>
      </c>
      <c r="L93" t="s">
        <v>89</v>
      </c>
      <c r="M93">
        <v>0.14899713467048711</v>
      </c>
      <c r="N93" s="5">
        <v>45093</v>
      </c>
      <c r="O93" s="5">
        <v>45106</v>
      </c>
      <c r="P93">
        <v>0.8</v>
      </c>
      <c r="Q93" s="4">
        <v>200</v>
      </c>
      <c r="R93">
        <v>0.43</v>
      </c>
      <c r="S93" t="s">
        <v>70</v>
      </c>
      <c r="T93" s="6">
        <v>5</v>
      </c>
      <c r="U93" s="5">
        <v>45244</v>
      </c>
      <c r="V93" s="6">
        <v>1</v>
      </c>
      <c r="W93" t="s">
        <v>86</v>
      </c>
      <c r="X93" s="6">
        <v>138</v>
      </c>
      <c r="Y93">
        <v>16.447740000000003</v>
      </c>
      <c r="Z93">
        <v>16.447740000000003</v>
      </c>
      <c r="AA93" s="6">
        <v>33.937428485615648</v>
      </c>
      <c r="AB93" s="4">
        <v>69.774250000000009</v>
      </c>
      <c r="AC93" s="6">
        <v>29.465992110269912</v>
      </c>
      <c r="AD93">
        <v>0.31194391900000001</v>
      </c>
      <c r="AE93">
        <v>2.1671997729718515</v>
      </c>
      <c r="AF93">
        <v>34900</v>
      </c>
      <c r="AG93" s="4">
        <v>0</v>
      </c>
      <c r="AH93" s="4">
        <v>5200</v>
      </c>
      <c r="AL93">
        <v>23</v>
      </c>
      <c r="AM93">
        <v>5.9493900000000002</v>
      </c>
      <c r="AN93" t="s">
        <v>81</v>
      </c>
      <c r="AO93" t="s">
        <v>157</v>
      </c>
      <c r="AP93" s="5">
        <v>45106</v>
      </c>
      <c r="AQ93" t="s">
        <v>189</v>
      </c>
      <c r="AR93" s="5">
        <v>45243</v>
      </c>
      <c r="AS93">
        <v>188.36412236574751</v>
      </c>
      <c r="AT93" s="6"/>
      <c r="AU93">
        <v>21.887505517475343</v>
      </c>
      <c r="AV93">
        <v>63.577888512342703</v>
      </c>
      <c r="AW93">
        <v>8.8059204486452245</v>
      </c>
      <c r="AX93">
        <v>94.271314478463268</v>
      </c>
      <c r="AY93">
        <v>37.72915671089158</v>
      </c>
      <c r="AZ93">
        <v>37.601173778281989</v>
      </c>
      <c r="BA93">
        <v>8.0784879867993986</v>
      </c>
      <c r="BB93">
        <v>5.9660445751209599</v>
      </c>
      <c r="BC93">
        <v>20.751245459862567</v>
      </c>
      <c r="BD93">
        <v>110.12610851095648</v>
      </c>
      <c r="BE93">
        <v>-16.033300623672247</v>
      </c>
      <c r="BF93">
        <v>28.003837001314466</v>
      </c>
      <c r="BH93">
        <v>28.003837001314466</v>
      </c>
      <c r="BI93">
        <v>232.40125999073427</v>
      </c>
      <c r="BJ93" s="6">
        <v>189</v>
      </c>
      <c r="BK93">
        <v>-44.037137624986748</v>
      </c>
      <c r="BL93" s="4">
        <v>-724.31138999999962</v>
      </c>
      <c r="BM93" t="s">
        <v>2735</v>
      </c>
      <c r="BN93" t="s">
        <v>65</v>
      </c>
      <c r="BO93">
        <v>11</v>
      </c>
      <c r="BP93">
        <v>2023</v>
      </c>
      <c r="BQ93" t="str">
        <f t="shared" si="6"/>
        <v>Petchburi511</v>
      </c>
      <c r="BR93">
        <f t="shared" si="7"/>
        <v>-713.85263999999995</v>
      </c>
      <c r="BS93">
        <f t="shared" si="8"/>
        <v>3098.1641100000006</v>
      </c>
      <c r="BT93" s="6">
        <f t="shared" si="9"/>
        <v>-43.401259990734275</v>
      </c>
    </row>
    <row r="94" spans="1:72">
      <c r="A94" s="3" t="s">
        <v>967</v>
      </c>
      <c r="B94" s="3" t="s">
        <v>1660</v>
      </c>
      <c r="C94" s="3" t="s">
        <v>1661</v>
      </c>
      <c r="D94" s="2" t="s">
        <v>1663</v>
      </c>
      <c r="E94" s="4" t="str">
        <f t="shared" si="5"/>
        <v>Petchburi5G1-G01-0003</v>
      </c>
      <c r="F94">
        <v>1</v>
      </c>
      <c r="G94">
        <v>2.2000000000000002</v>
      </c>
      <c r="H94" t="s">
        <v>88</v>
      </c>
      <c r="I94" t="s">
        <v>67</v>
      </c>
      <c r="J94" t="s">
        <v>68</v>
      </c>
      <c r="K94" t="s">
        <v>89</v>
      </c>
      <c r="L94" t="s">
        <v>89</v>
      </c>
      <c r="M94">
        <v>0.80934891485809679</v>
      </c>
      <c r="N94" s="5">
        <v>44957</v>
      </c>
      <c r="O94" s="5">
        <v>44979</v>
      </c>
      <c r="P94">
        <v>1</v>
      </c>
      <c r="Q94" s="4">
        <v>284</v>
      </c>
      <c r="R94">
        <v>0.25</v>
      </c>
      <c r="S94" t="s">
        <v>70</v>
      </c>
      <c r="T94" s="6">
        <v>5</v>
      </c>
      <c r="U94" s="5">
        <v>45092</v>
      </c>
      <c r="V94" s="6">
        <v>1</v>
      </c>
      <c r="W94" t="s">
        <v>86</v>
      </c>
      <c r="X94" s="6">
        <v>113</v>
      </c>
      <c r="Y94">
        <v>14.975200000000001</v>
      </c>
      <c r="Z94">
        <v>14.975200000000001</v>
      </c>
      <c r="AA94" s="6">
        <v>47.396361985148779</v>
      </c>
      <c r="AB94" s="4">
        <v>70.977000000000004</v>
      </c>
      <c r="AC94" s="6">
        <v>21.098665764966118</v>
      </c>
      <c r="AD94">
        <v>0.26595602000000002</v>
      </c>
      <c r="AE94">
        <v>2.0339309943919193</v>
      </c>
      <c r="AF94">
        <v>29950</v>
      </c>
      <c r="AG94" s="4">
        <v>0</v>
      </c>
      <c r="AH94" s="4">
        <v>24240</v>
      </c>
      <c r="AL94">
        <v>33</v>
      </c>
      <c r="AM94">
        <v>6.4721599999999997</v>
      </c>
      <c r="AN94" t="s">
        <v>81</v>
      </c>
      <c r="AO94" t="s">
        <v>116</v>
      </c>
      <c r="AP94" s="5">
        <v>44980</v>
      </c>
      <c r="AQ94" t="s">
        <v>157</v>
      </c>
      <c r="AR94" s="5">
        <v>45092</v>
      </c>
      <c r="AS94">
        <v>148.35676985950101</v>
      </c>
      <c r="AT94" s="6"/>
      <c r="AU94">
        <v>26.71082856990224</v>
      </c>
      <c r="AV94">
        <v>63.925772610716386</v>
      </c>
      <c r="AW94">
        <v>18.556150168278212</v>
      </c>
      <c r="AX94">
        <v>109.19275134889683</v>
      </c>
      <c r="AY94">
        <v>18.122413724023719</v>
      </c>
      <c r="AZ94">
        <v>35.995431780543832</v>
      </c>
      <c r="BA94">
        <v>6.6423500186975799</v>
      </c>
      <c r="BB94">
        <v>0.97886372135263622</v>
      </c>
      <c r="BC94">
        <v>11.417192424809016</v>
      </c>
      <c r="BD94">
        <v>73.15625166942678</v>
      </c>
      <c r="BE94">
        <v>-33.9922331588226</v>
      </c>
      <c r="BF94">
        <v>10.026230033655647</v>
      </c>
      <c r="BH94">
        <v>10.026230033655647</v>
      </c>
      <c r="BI94">
        <v>192.37523305197931</v>
      </c>
      <c r="BJ94" s="6">
        <v>172</v>
      </c>
      <c r="BK94">
        <v>-44.018463192478293</v>
      </c>
      <c r="BL94" s="4">
        <v>-659.18529000000092</v>
      </c>
      <c r="BM94" t="s">
        <v>1664</v>
      </c>
      <c r="BN94" t="s">
        <v>65</v>
      </c>
      <c r="BO94">
        <v>6</v>
      </c>
      <c r="BP94">
        <v>2023</v>
      </c>
      <c r="BQ94" t="str">
        <f t="shared" si="6"/>
        <v>Petchburi56</v>
      </c>
      <c r="BR94">
        <f t="shared" si="7"/>
        <v>-305.12319000000053</v>
      </c>
      <c r="BS94">
        <f t="shared" si="8"/>
        <v>2221.6722999999997</v>
      </c>
      <c r="BT94" s="6">
        <f t="shared" si="9"/>
        <v>-20.375233051979308</v>
      </c>
    </row>
    <row r="95" spans="1:72">
      <c r="A95" s="3" t="s">
        <v>967</v>
      </c>
      <c r="B95" s="3" t="s">
        <v>1174</v>
      </c>
      <c r="C95" s="3" t="s">
        <v>2794</v>
      </c>
      <c r="D95" s="2" t="s">
        <v>1564</v>
      </c>
      <c r="E95" s="4" t="str">
        <f t="shared" si="5"/>
        <v>Roiphet1A5-I09-0099</v>
      </c>
      <c r="F95">
        <v>0.72</v>
      </c>
      <c r="G95">
        <v>1.3</v>
      </c>
      <c r="H95" t="s">
        <v>72</v>
      </c>
      <c r="I95" t="s">
        <v>67</v>
      </c>
      <c r="J95" t="s">
        <v>357</v>
      </c>
      <c r="K95" t="s">
        <v>89</v>
      </c>
      <c r="L95" t="s">
        <v>89</v>
      </c>
      <c r="M95">
        <v>0.3254237288135593</v>
      </c>
      <c r="N95" s="5">
        <v>45084</v>
      </c>
      <c r="O95" s="5">
        <v>45113</v>
      </c>
      <c r="P95">
        <v>0.25</v>
      </c>
      <c r="Q95" s="4">
        <v>167</v>
      </c>
      <c r="R95">
        <v>0.94</v>
      </c>
      <c r="S95" t="s">
        <v>70</v>
      </c>
      <c r="T95" s="6">
        <v>3</v>
      </c>
      <c r="U95" s="5">
        <v>45203</v>
      </c>
      <c r="V95" s="6">
        <v>2</v>
      </c>
      <c r="W95" t="s">
        <v>71</v>
      </c>
      <c r="X95" s="6">
        <v>90</v>
      </c>
      <c r="Y95">
        <v>3.2848899999999999</v>
      </c>
      <c r="Z95">
        <v>4.5623472222222219</v>
      </c>
      <c r="AA95" s="6">
        <v>28.915732338069159</v>
      </c>
      <c r="AB95" s="4">
        <v>37.994</v>
      </c>
      <c r="AC95" s="6">
        <v>34.58324998684003</v>
      </c>
      <c r="AD95">
        <v>0.49460606099999999</v>
      </c>
      <c r="AE95">
        <v>2.4181041407779249</v>
      </c>
      <c r="AF95">
        <v>7375</v>
      </c>
      <c r="AG95" s="4">
        <v>750</v>
      </c>
      <c r="AH95" s="4">
        <v>2400</v>
      </c>
      <c r="AL95">
        <v>21.999999999999996</v>
      </c>
      <c r="AM95">
        <v>2.0438299999999998</v>
      </c>
      <c r="AN95" t="s">
        <v>85</v>
      </c>
      <c r="AO95" t="s">
        <v>93</v>
      </c>
      <c r="AP95" s="5">
        <v>45117</v>
      </c>
      <c r="AQ95" t="s">
        <v>92</v>
      </c>
      <c r="AR95" s="5">
        <v>45201</v>
      </c>
      <c r="AS95">
        <v>206.57490205151467</v>
      </c>
      <c r="AT95" s="6"/>
      <c r="AU95">
        <v>41.858327067268618</v>
      </c>
      <c r="AV95">
        <v>73.122506385297541</v>
      </c>
      <c r="AW95">
        <v>31.201933702498398</v>
      </c>
      <c r="AX95">
        <v>146.18276715506454</v>
      </c>
      <c r="AY95">
        <v>35.159259518583582</v>
      </c>
      <c r="AZ95">
        <v>49.920813177914638</v>
      </c>
      <c r="BA95">
        <v>7.0263753124153334</v>
      </c>
      <c r="BB95">
        <v>10.865176611697805</v>
      </c>
      <c r="BC95">
        <v>21.336601834460215</v>
      </c>
      <c r="BD95">
        <v>124.30822645507159</v>
      </c>
      <c r="BE95">
        <v>-63.91609155862146</v>
      </c>
      <c r="BF95">
        <v>43.208755848749888</v>
      </c>
      <c r="BG95">
        <v>0.13481729981825874</v>
      </c>
      <c r="BH95">
        <v>43.34357314856814</v>
      </c>
      <c r="BI95">
        <v>313.83456675870428</v>
      </c>
      <c r="BJ95" s="6">
        <v>200</v>
      </c>
      <c r="BK95">
        <v>-107.25966470718961</v>
      </c>
      <c r="BL95" s="4">
        <v>-352.33620000000008</v>
      </c>
      <c r="BM95" t="s">
        <v>1565</v>
      </c>
      <c r="BN95" t="s">
        <v>65</v>
      </c>
      <c r="BO95">
        <v>10</v>
      </c>
      <c r="BP95">
        <v>2023</v>
      </c>
      <c r="BQ95" t="str">
        <f t="shared" si="6"/>
        <v>Roiphet110</v>
      </c>
      <c r="BR95">
        <f t="shared" si="7"/>
        <v>-373.93403000000012</v>
      </c>
      <c r="BS95">
        <f t="shared" si="8"/>
        <v>678.57583</v>
      </c>
      <c r="BT95" s="6">
        <f t="shared" si="9"/>
        <v>-113.83456675870428</v>
      </c>
    </row>
    <row r="96" spans="1:72">
      <c r="A96" s="3" t="s">
        <v>967</v>
      </c>
      <c r="B96" s="3" t="s">
        <v>1174</v>
      </c>
      <c r="C96" s="3" t="s">
        <v>2794</v>
      </c>
      <c r="D96" s="2" t="s">
        <v>1493</v>
      </c>
      <c r="E96" s="4" t="str">
        <f t="shared" si="5"/>
        <v>Roiphet1A3-G05-0077</v>
      </c>
      <c r="F96">
        <v>1.1299999999999999</v>
      </c>
      <c r="G96">
        <v>1.5</v>
      </c>
      <c r="H96" t="s">
        <v>72</v>
      </c>
      <c r="I96" t="s">
        <v>67</v>
      </c>
      <c r="J96" t="s">
        <v>357</v>
      </c>
      <c r="K96" t="s">
        <v>89</v>
      </c>
      <c r="L96" t="s">
        <v>89</v>
      </c>
      <c r="M96">
        <v>0.70032154340836017</v>
      </c>
      <c r="N96" s="5">
        <v>45085</v>
      </c>
      <c r="O96" s="5">
        <v>45132</v>
      </c>
      <c r="P96">
        <v>0.50760000000000005</v>
      </c>
      <c r="Q96" s="4">
        <v>187</v>
      </c>
      <c r="R96">
        <v>0.42</v>
      </c>
      <c r="S96" t="s">
        <v>70</v>
      </c>
      <c r="T96" s="6">
        <v>3</v>
      </c>
      <c r="U96" s="5">
        <v>45226</v>
      </c>
      <c r="V96" s="6">
        <v>2</v>
      </c>
      <c r="W96" t="s">
        <v>71</v>
      </c>
      <c r="X96" s="6">
        <v>94</v>
      </c>
      <c r="Y96">
        <v>6.3364599999999998</v>
      </c>
      <c r="Z96">
        <v>5.6074867256637173</v>
      </c>
      <c r="AA96" s="6">
        <v>40.648879658358133</v>
      </c>
      <c r="AB96" s="4">
        <v>50.74271079590229</v>
      </c>
      <c r="AC96" s="6">
        <v>24.600924020654581</v>
      </c>
      <c r="AD96">
        <v>0.40469721800000003</v>
      </c>
      <c r="AE96">
        <v>2.5395010819417791</v>
      </c>
      <c r="AF96">
        <v>15550</v>
      </c>
      <c r="AG96" s="4">
        <v>3840</v>
      </c>
      <c r="AH96" s="4">
        <v>10890</v>
      </c>
      <c r="AL96">
        <v>26</v>
      </c>
      <c r="AM96">
        <v>3.6850700000000001</v>
      </c>
      <c r="AN96" t="s">
        <v>85</v>
      </c>
      <c r="AO96" t="s">
        <v>93</v>
      </c>
      <c r="AP96" s="5">
        <v>45135</v>
      </c>
      <c r="AQ96" t="s">
        <v>106</v>
      </c>
      <c r="AR96" s="5">
        <v>45222</v>
      </c>
      <c r="AS96">
        <v>199.33131117374688</v>
      </c>
      <c r="AT96" s="6"/>
      <c r="AU96">
        <v>36.048519204729452</v>
      </c>
      <c r="AV96">
        <v>78.404658121411657</v>
      </c>
      <c r="AW96">
        <v>34.667298460023403</v>
      </c>
      <c r="AX96">
        <v>149.12047578616449</v>
      </c>
      <c r="AY96">
        <v>32.417412877221665</v>
      </c>
      <c r="AZ96">
        <v>45.376194278824464</v>
      </c>
      <c r="BA96">
        <v>6.9739507548378752</v>
      </c>
      <c r="BB96">
        <v>10.344046991537862</v>
      </c>
      <c r="BC96">
        <v>19.63343728201551</v>
      </c>
      <c r="BD96">
        <v>114.74504218443738</v>
      </c>
      <c r="BE96">
        <v>-64.534206796854988</v>
      </c>
      <c r="BF96">
        <v>42.770718981892102</v>
      </c>
      <c r="BG96">
        <v>0.13375922833885168</v>
      </c>
      <c r="BH96">
        <v>42.904478210230948</v>
      </c>
      <c r="BI96">
        <v>306.76999618083278</v>
      </c>
      <c r="BJ96" s="6">
        <v>182</v>
      </c>
      <c r="BK96">
        <v>-107.43868500708592</v>
      </c>
      <c r="BL96" s="4">
        <v>-680.78092999999967</v>
      </c>
      <c r="BM96" t="s">
        <v>1494</v>
      </c>
      <c r="BN96" t="s">
        <v>65</v>
      </c>
      <c r="BO96">
        <v>10</v>
      </c>
      <c r="BP96">
        <v>2023</v>
      </c>
      <c r="BQ96" t="str">
        <f t="shared" si="6"/>
        <v>Roiphet110</v>
      </c>
      <c r="BR96">
        <f t="shared" si="7"/>
        <v>-790.60008999999968</v>
      </c>
      <c r="BS96">
        <f t="shared" si="8"/>
        <v>1263.0548800000001</v>
      </c>
      <c r="BT96" s="6">
        <f t="shared" si="9"/>
        <v>-124.76999618083278</v>
      </c>
    </row>
    <row r="97" spans="1:72">
      <c r="A97" s="3" t="s">
        <v>967</v>
      </c>
      <c r="B97" s="3" t="s">
        <v>1174</v>
      </c>
      <c r="C97" s="3" t="s">
        <v>2794</v>
      </c>
      <c r="D97" s="2" t="s">
        <v>1518</v>
      </c>
      <c r="E97" s="4" t="str">
        <f t="shared" si="5"/>
        <v>Roiphet1A5-G09-0084</v>
      </c>
      <c r="F97">
        <v>1.1299999999999999</v>
      </c>
      <c r="G97">
        <v>1.5</v>
      </c>
      <c r="H97" t="s">
        <v>72</v>
      </c>
      <c r="I97" t="s">
        <v>67</v>
      </c>
      <c r="J97" t="s">
        <v>357</v>
      </c>
      <c r="K97" t="s">
        <v>89</v>
      </c>
      <c r="L97" t="s">
        <v>89</v>
      </c>
      <c r="M97">
        <v>0.40719794344473009</v>
      </c>
      <c r="N97" s="5">
        <v>45083</v>
      </c>
      <c r="O97" s="5">
        <v>45113</v>
      </c>
      <c r="P97">
        <v>0.55000000000000004</v>
      </c>
      <c r="Q97" s="4">
        <v>203</v>
      </c>
      <c r="R97">
        <v>1.0649999999999999</v>
      </c>
      <c r="S97" t="s">
        <v>70</v>
      </c>
      <c r="T97" s="6">
        <v>3</v>
      </c>
      <c r="U97" s="5">
        <v>45224</v>
      </c>
      <c r="V97" s="6">
        <v>2</v>
      </c>
      <c r="W97" t="s">
        <v>71</v>
      </c>
      <c r="X97" s="6">
        <v>111</v>
      </c>
      <c r="Y97">
        <v>7.5512199999999998</v>
      </c>
      <c r="Z97">
        <v>6.6824955752212398</v>
      </c>
      <c r="AA97" s="6">
        <v>35.147830416806819</v>
      </c>
      <c r="AB97" s="4">
        <v>48.256181818181823</v>
      </c>
      <c r="AC97" s="6">
        <v>28.451258246706029</v>
      </c>
      <c r="AD97">
        <v>0.399905815</v>
      </c>
      <c r="AE97">
        <v>2.7922374363671341</v>
      </c>
      <c r="AF97">
        <v>19450</v>
      </c>
      <c r="AG97" s="4">
        <v>750</v>
      </c>
      <c r="AH97" s="4">
        <v>7920</v>
      </c>
      <c r="AL97">
        <v>22</v>
      </c>
      <c r="AM97">
        <v>4.3675299999999995</v>
      </c>
      <c r="AN97" t="s">
        <v>85</v>
      </c>
      <c r="AO97" t="s">
        <v>438</v>
      </c>
      <c r="AP97" s="5">
        <v>45117</v>
      </c>
      <c r="AQ97" t="s">
        <v>99</v>
      </c>
      <c r="AR97" s="5">
        <v>45222</v>
      </c>
      <c r="AS97">
        <v>196.7676746274112</v>
      </c>
      <c r="AT97" s="6"/>
      <c r="AU97">
        <v>40.059751934124549</v>
      </c>
      <c r="AV97">
        <v>82.554567341436211</v>
      </c>
      <c r="AW97">
        <v>34.239382510375812</v>
      </c>
      <c r="AX97">
        <v>156.85370178593658</v>
      </c>
      <c r="AY97">
        <v>27.299854857890516</v>
      </c>
      <c r="AZ97">
        <v>38.043583685815008</v>
      </c>
      <c r="BA97">
        <v>5.9408439960695096</v>
      </c>
      <c r="BB97">
        <v>8.6607356162315501</v>
      </c>
      <c r="BC97">
        <v>16.571469246029121</v>
      </c>
      <c r="BD97">
        <v>96.516487402035693</v>
      </c>
      <c r="BE97">
        <v>-56.602514560561076</v>
      </c>
      <c r="BF97">
        <v>35.799537028453678</v>
      </c>
      <c r="BG97">
        <v>0.11190509613016174</v>
      </c>
      <c r="BH97">
        <v>35.911442124583843</v>
      </c>
      <c r="BI97">
        <v>289.2816313125561</v>
      </c>
      <c r="BJ97" s="6">
        <v>187</v>
      </c>
      <c r="BK97">
        <v>-92.513956685144876</v>
      </c>
      <c r="BL97" s="4">
        <v>-698.59323999999981</v>
      </c>
      <c r="BM97" t="s">
        <v>1519</v>
      </c>
      <c r="BN97" t="s">
        <v>65</v>
      </c>
      <c r="BO97">
        <v>10</v>
      </c>
      <c r="BP97">
        <v>2023</v>
      </c>
      <c r="BQ97" t="str">
        <f t="shared" si="6"/>
        <v>Roiphet110</v>
      </c>
      <c r="BR97">
        <f t="shared" si="7"/>
        <v>-772.35109999999986</v>
      </c>
      <c r="BS97">
        <f t="shared" si="8"/>
        <v>1485.836</v>
      </c>
      <c r="BT97" s="6">
        <f t="shared" si="9"/>
        <v>-102.2816313125561</v>
      </c>
    </row>
    <row r="98" spans="1:72">
      <c r="A98" s="3" t="s">
        <v>967</v>
      </c>
      <c r="B98" s="3" t="s">
        <v>1174</v>
      </c>
      <c r="C98" s="3" t="s">
        <v>2794</v>
      </c>
      <c r="D98" s="2" t="s">
        <v>1570</v>
      </c>
      <c r="E98" s="4" t="str">
        <f t="shared" si="5"/>
        <v>Roiphet1A5-I10-0095</v>
      </c>
      <c r="F98">
        <v>0.72</v>
      </c>
      <c r="G98">
        <v>1.3</v>
      </c>
      <c r="H98" t="s">
        <v>72</v>
      </c>
      <c r="I98" t="s">
        <v>67</v>
      </c>
      <c r="J98" t="s">
        <v>357</v>
      </c>
      <c r="K98" t="s">
        <v>89</v>
      </c>
      <c r="L98" t="s">
        <v>89</v>
      </c>
      <c r="M98">
        <v>0.36650246305418721</v>
      </c>
      <c r="N98" s="5">
        <v>45072</v>
      </c>
      <c r="O98" s="5">
        <v>45103</v>
      </c>
      <c r="P98">
        <v>0.2</v>
      </c>
      <c r="Q98" s="4">
        <v>134</v>
      </c>
      <c r="R98">
        <v>0.57999999999999996</v>
      </c>
      <c r="S98" t="s">
        <v>70</v>
      </c>
      <c r="T98" s="6">
        <v>2</v>
      </c>
      <c r="U98" s="5">
        <v>45216</v>
      </c>
      <c r="V98" s="6">
        <v>2</v>
      </c>
      <c r="W98" t="s">
        <v>71</v>
      </c>
      <c r="X98" s="6">
        <v>113</v>
      </c>
      <c r="Y98">
        <v>3.1999</v>
      </c>
      <c r="Z98">
        <v>4.4443055555555553</v>
      </c>
      <c r="AA98" s="6">
        <v>26.65895809244039</v>
      </c>
      <c r="AB98" s="4">
        <v>42.652999999999999</v>
      </c>
      <c r="AC98" s="6">
        <v>37.510843316999974</v>
      </c>
      <c r="AD98">
        <v>0.39711987099999996</v>
      </c>
      <c r="AE98">
        <v>3.2912976792298041</v>
      </c>
      <c r="AF98">
        <v>10150</v>
      </c>
      <c r="AG98" s="4">
        <v>1830</v>
      </c>
      <c r="AH98" s="4">
        <v>3720</v>
      </c>
      <c r="AL98">
        <v>22</v>
      </c>
      <c r="AM98">
        <v>2.48996</v>
      </c>
      <c r="AN98" t="s">
        <v>85</v>
      </c>
      <c r="AO98" t="s">
        <v>96</v>
      </c>
      <c r="AP98" s="5">
        <v>45110</v>
      </c>
      <c r="AQ98" t="s">
        <v>215</v>
      </c>
      <c r="AR98" s="5">
        <v>45212</v>
      </c>
      <c r="AS98">
        <v>206.21671927247726</v>
      </c>
      <c r="AT98" s="6"/>
      <c r="AU98">
        <v>28.125878933716677</v>
      </c>
      <c r="AV98">
        <v>101.99647176474265</v>
      </c>
      <c r="AW98">
        <v>48.66521453795432</v>
      </c>
      <c r="AX98">
        <v>178.78756523641366</v>
      </c>
      <c r="AY98">
        <v>42.022331947873361</v>
      </c>
      <c r="AZ98">
        <v>57.486462076939901</v>
      </c>
      <c r="BA98">
        <v>9.8525453920435009</v>
      </c>
      <c r="BB98">
        <v>12.945129535297978</v>
      </c>
      <c r="BC98">
        <v>25.738891840370009</v>
      </c>
      <c r="BD98">
        <v>148.04536079252475</v>
      </c>
      <c r="BE98">
        <v>-120.61620675646114</v>
      </c>
      <c r="BF98">
        <v>54.099446857714298</v>
      </c>
      <c r="BG98">
        <v>0.16810525328916526</v>
      </c>
      <c r="BH98">
        <v>54.267552111003461</v>
      </c>
      <c r="BI98">
        <v>381.10047813994191</v>
      </c>
      <c r="BJ98" s="6">
        <v>210</v>
      </c>
      <c r="BK98">
        <v>-174.88375886746465</v>
      </c>
      <c r="BL98" s="4">
        <v>-559.61054000000013</v>
      </c>
      <c r="BM98" t="s">
        <v>1571</v>
      </c>
      <c r="BN98" t="s">
        <v>65</v>
      </c>
      <c r="BO98">
        <v>10</v>
      </c>
      <c r="BP98">
        <v>2023</v>
      </c>
      <c r="BQ98" t="str">
        <f t="shared" si="6"/>
        <v>Roiphet110</v>
      </c>
      <c r="BR98">
        <f t="shared" si="7"/>
        <v>-547.5044200000001</v>
      </c>
      <c r="BS98">
        <f t="shared" si="8"/>
        <v>659.87288000000001</v>
      </c>
      <c r="BT98" s="6">
        <f t="shared" si="9"/>
        <v>-171.10047813994191</v>
      </c>
    </row>
    <row r="99" spans="1:72">
      <c r="A99" s="3" t="s">
        <v>967</v>
      </c>
      <c r="B99" s="3" t="s">
        <v>1174</v>
      </c>
      <c r="C99" s="3" t="s">
        <v>2794</v>
      </c>
      <c r="D99" s="2" t="s">
        <v>1491</v>
      </c>
      <c r="E99" s="4" t="str">
        <f t="shared" si="5"/>
        <v>Roiphet1A3-I05-0085</v>
      </c>
      <c r="F99">
        <v>0.72</v>
      </c>
      <c r="G99">
        <v>1.3</v>
      </c>
      <c r="H99" t="s">
        <v>72</v>
      </c>
      <c r="I99" t="s">
        <v>67</v>
      </c>
      <c r="J99" t="s">
        <v>357</v>
      </c>
      <c r="K99" t="s">
        <v>89</v>
      </c>
      <c r="L99" t="s">
        <v>89</v>
      </c>
      <c r="M99">
        <v>0.83168316831683164</v>
      </c>
      <c r="N99" s="5">
        <v>45084</v>
      </c>
      <c r="O99" s="5">
        <v>45132</v>
      </c>
      <c r="P99">
        <v>0.29239999999999999</v>
      </c>
      <c r="Q99" s="4">
        <v>195</v>
      </c>
      <c r="R99">
        <v>0.44700000000000001</v>
      </c>
      <c r="S99" t="s">
        <v>70</v>
      </c>
      <c r="T99" s="6">
        <v>3</v>
      </c>
      <c r="U99" s="5">
        <v>45225</v>
      </c>
      <c r="V99" s="6">
        <v>2</v>
      </c>
      <c r="W99" t="s">
        <v>71</v>
      </c>
      <c r="X99" s="6">
        <v>92.999999999999986</v>
      </c>
      <c r="Y99">
        <v>3.1843900000000001</v>
      </c>
      <c r="Z99">
        <v>4.4227638888888894</v>
      </c>
      <c r="AA99" s="6">
        <v>41.811147503917546</v>
      </c>
      <c r="AB99" s="4">
        <v>45.534541723666209</v>
      </c>
      <c r="AC99" s="6">
        <v>23.917066612589473</v>
      </c>
      <c r="AD99">
        <v>0.39344125800000002</v>
      </c>
      <c r="AE99">
        <v>2.4807110389185083</v>
      </c>
      <c r="AF99">
        <v>7575</v>
      </c>
      <c r="AG99" s="4">
        <v>2700</v>
      </c>
      <c r="AH99" s="4">
        <v>6300</v>
      </c>
      <c r="AL99">
        <v>27</v>
      </c>
      <c r="AM99">
        <v>1.9533199999999999</v>
      </c>
      <c r="AN99" t="s">
        <v>85</v>
      </c>
      <c r="AO99" t="s">
        <v>93</v>
      </c>
      <c r="AP99" s="5">
        <v>45135</v>
      </c>
      <c r="AQ99" t="s">
        <v>215</v>
      </c>
      <c r="AR99" s="5">
        <v>45212</v>
      </c>
      <c r="AS99">
        <v>191.14558832303831</v>
      </c>
      <c r="AT99" s="6"/>
      <c r="AU99">
        <v>41.3203156648526</v>
      </c>
      <c r="AV99">
        <v>75.918599794623148</v>
      </c>
      <c r="AW99">
        <v>36.510958142689823</v>
      </c>
      <c r="AX99">
        <v>153.74987360216556</v>
      </c>
      <c r="AY99">
        <v>41.174633132248246</v>
      </c>
      <c r="AZ99">
        <v>59.466751873985281</v>
      </c>
      <c r="BA99">
        <v>8.9091348735550611</v>
      </c>
      <c r="BB99">
        <v>13.100342608788498</v>
      </c>
      <c r="BC99">
        <v>24.965497316597531</v>
      </c>
      <c r="BD99">
        <v>147.6163598051746</v>
      </c>
      <c r="BE99">
        <v>-110.22064508430185</v>
      </c>
      <c r="BF99">
        <v>54.159176482780062</v>
      </c>
      <c r="BG99">
        <v>0.16933227399910186</v>
      </c>
      <c r="BH99">
        <v>54.328508756779165</v>
      </c>
      <c r="BI99">
        <v>355.69474216411936</v>
      </c>
      <c r="BJ99" s="6">
        <v>181</v>
      </c>
      <c r="BK99">
        <v>-164.54915384108105</v>
      </c>
      <c r="BL99" s="4">
        <v>-523.98868000000004</v>
      </c>
      <c r="BM99" t="s">
        <v>1492</v>
      </c>
      <c r="BN99" t="s">
        <v>65</v>
      </c>
      <c r="BO99">
        <v>10</v>
      </c>
      <c r="BP99">
        <v>2023</v>
      </c>
      <c r="BQ99" t="str">
        <f t="shared" si="6"/>
        <v>Roiphet110</v>
      </c>
      <c r="BR99">
        <f t="shared" si="7"/>
        <v>-556.29619000000002</v>
      </c>
      <c r="BS99">
        <f t="shared" si="8"/>
        <v>608.68209999999999</v>
      </c>
      <c r="BT99" s="6">
        <f t="shared" si="9"/>
        <v>-174.69474216411936</v>
      </c>
    </row>
    <row r="100" spans="1:72">
      <c r="A100" s="3" t="s">
        <v>967</v>
      </c>
      <c r="B100" s="3" t="s">
        <v>1174</v>
      </c>
      <c r="C100" s="3" t="s">
        <v>2794</v>
      </c>
      <c r="D100" s="2" t="s">
        <v>1566</v>
      </c>
      <c r="E100" s="4" t="str">
        <f t="shared" si="5"/>
        <v>Roiphet1A6-I11-0102</v>
      </c>
      <c r="F100">
        <v>0.72</v>
      </c>
      <c r="G100">
        <v>1.3</v>
      </c>
      <c r="H100" t="s">
        <v>72</v>
      </c>
      <c r="I100" t="s">
        <v>67</v>
      </c>
      <c r="J100" t="s">
        <v>357</v>
      </c>
      <c r="K100" t="s">
        <v>89</v>
      </c>
      <c r="L100" t="s">
        <v>89</v>
      </c>
      <c r="M100">
        <v>0.84745762711864403</v>
      </c>
      <c r="N100" s="5">
        <v>45064</v>
      </c>
      <c r="O100" s="5">
        <v>45101</v>
      </c>
      <c r="P100">
        <v>0.2</v>
      </c>
      <c r="Q100" s="4">
        <v>134</v>
      </c>
      <c r="R100">
        <v>0.95</v>
      </c>
      <c r="S100" t="s">
        <v>70</v>
      </c>
      <c r="T100" s="6">
        <v>2</v>
      </c>
      <c r="U100" s="5">
        <v>45210</v>
      </c>
      <c r="V100" s="6">
        <v>2</v>
      </c>
      <c r="W100" t="s">
        <v>71</v>
      </c>
      <c r="X100" s="6">
        <v>109.00000000000001</v>
      </c>
      <c r="Y100">
        <v>2.8306199999999997</v>
      </c>
      <c r="Z100">
        <v>3.9314166666666663</v>
      </c>
      <c r="AA100" s="6">
        <v>28.43016724251224</v>
      </c>
      <c r="AB100" s="4">
        <v>40.237499999999997</v>
      </c>
      <c r="AC100" s="6">
        <v>35.173904939422179</v>
      </c>
      <c r="AD100">
        <v>0.39016753100000001</v>
      </c>
      <c r="AE100">
        <v>3.3514856359491332</v>
      </c>
      <c r="AF100">
        <v>8850</v>
      </c>
      <c r="AG100" s="4">
        <v>1950</v>
      </c>
      <c r="AH100" s="4">
        <v>7500</v>
      </c>
      <c r="AL100">
        <v>23</v>
      </c>
      <c r="AM100">
        <v>2.1266799999999999</v>
      </c>
      <c r="AN100" t="s">
        <v>85</v>
      </c>
      <c r="AO100" t="s">
        <v>94</v>
      </c>
      <c r="AP100" s="5">
        <v>45103</v>
      </c>
      <c r="AQ100" t="s">
        <v>92</v>
      </c>
      <c r="AR100" s="5">
        <v>45208</v>
      </c>
      <c r="AS100">
        <v>199.23787721417924</v>
      </c>
      <c r="AT100" s="6"/>
      <c r="AU100">
        <v>38.86074428923699</v>
      </c>
      <c r="AV100">
        <v>101.25003709434685</v>
      </c>
      <c r="AW100">
        <v>47.753647610770813</v>
      </c>
      <c r="AX100">
        <v>187.86442899435465</v>
      </c>
      <c r="AY100">
        <v>46.362033759388403</v>
      </c>
      <c r="AZ100">
        <v>66.336579971878948</v>
      </c>
      <c r="BA100">
        <v>10.732701669598885</v>
      </c>
      <c r="BB100">
        <v>14.058043820788377</v>
      </c>
      <c r="BC100">
        <v>28.399060983106175</v>
      </c>
      <c r="BD100">
        <v>165.88842020476082</v>
      </c>
      <c r="BE100">
        <v>-154.51497198493624</v>
      </c>
      <c r="BF100">
        <v>59.170927217358738</v>
      </c>
      <c r="BG100">
        <v>0.18276914598215233</v>
      </c>
      <c r="BH100">
        <v>59.353696363340887</v>
      </c>
      <c r="BI100">
        <v>413.10654556245635</v>
      </c>
      <c r="BJ100" s="6">
        <v>204</v>
      </c>
      <c r="BK100">
        <v>-213.86866834827711</v>
      </c>
      <c r="BL100" s="4">
        <v>-605.38093000000015</v>
      </c>
      <c r="BM100" t="s">
        <v>1567</v>
      </c>
      <c r="BN100" t="s">
        <v>65</v>
      </c>
      <c r="BO100">
        <v>10</v>
      </c>
      <c r="BP100">
        <v>2023</v>
      </c>
      <c r="BQ100" t="str">
        <f t="shared" si="6"/>
        <v>Roiphet110</v>
      </c>
      <c r="BR100">
        <f t="shared" si="7"/>
        <v>-591.90117000000009</v>
      </c>
      <c r="BS100">
        <f t="shared" si="8"/>
        <v>563.96672000000001</v>
      </c>
      <c r="BT100" s="6">
        <f t="shared" si="9"/>
        <v>-209.10654556245635</v>
      </c>
    </row>
    <row r="101" spans="1:72">
      <c r="A101" s="3" t="s">
        <v>967</v>
      </c>
      <c r="B101" s="3" t="s">
        <v>1174</v>
      </c>
      <c r="C101" s="3" t="s">
        <v>2794</v>
      </c>
      <c r="D101" s="2" t="s">
        <v>1514</v>
      </c>
      <c r="E101" s="4" t="str">
        <f t="shared" si="5"/>
        <v>Roiphet1A5-G10-0069</v>
      </c>
      <c r="F101">
        <v>1.1299999999999999</v>
      </c>
      <c r="G101">
        <v>1.5</v>
      </c>
      <c r="H101" t="s">
        <v>72</v>
      </c>
      <c r="I101" t="s">
        <v>67</v>
      </c>
      <c r="J101" t="s">
        <v>357</v>
      </c>
      <c r="K101" t="s">
        <v>89</v>
      </c>
      <c r="L101" t="s">
        <v>89</v>
      </c>
      <c r="M101">
        <v>0.49458388375165124</v>
      </c>
      <c r="N101" s="5">
        <v>45072</v>
      </c>
      <c r="O101" s="5">
        <v>45101</v>
      </c>
      <c r="P101">
        <v>0.55000000000000004</v>
      </c>
      <c r="Q101" s="4">
        <v>203</v>
      </c>
      <c r="R101">
        <v>0.51400000000000001</v>
      </c>
      <c r="S101" t="s">
        <v>70</v>
      </c>
      <c r="T101" s="6">
        <v>3</v>
      </c>
      <c r="U101" s="5">
        <v>45216</v>
      </c>
      <c r="V101" s="6">
        <v>2</v>
      </c>
      <c r="W101" t="s">
        <v>71</v>
      </c>
      <c r="X101" s="6">
        <v>114.99999999999999</v>
      </c>
      <c r="Y101">
        <v>6.4523700000000002</v>
      </c>
      <c r="Z101">
        <v>5.7100619469026554</v>
      </c>
      <c r="AA101" s="6">
        <v>35.673248744259858</v>
      </c>
      <c r="AB101" s="4">
        <v>41.850363636363639</v>
      </c>
      <c r="AC101" s="6">
        <v>28.032209994916958</v>
      </c>
      <c r="AD101">
        <v>0.37360226799999996</v>
      </c>
      <c r="AE101">
        <v>3.0674448872947</v>
      </c>
      <c r="AF101">
        <v>18925</v>
      </c>
      <c r="AG101" s="4">
        <v>750</v>
      </c>
      <c r="AH101" s="4">
        <v>9360</v>
      </c>
      <c r="AL101">
        <v>23</v>
      </c>
      <c r="AM101">
        <v>4.2934899999999994</v>
      </c>
      <c r="AN101" t="s">
        <v>85</v>
      </c>
      <c r="AO101" t="s">
        <v>96</v>
      </c>
      <c r="AP101" s="5">
        <v>45103</v>
      </c>
      <c r="AQ101" t="s">
        <v>92</v>
      </c>
      <c r="AR101" s="5">
        <v>45212</v>
      </c>
      <c r="AS101">
        <v>194.88507788611008</v>
      </c>
      <c r="AT101" s="6"/>
      <c r="AU101">
        <v>38.745453221064501</v>
      </c>
      <c r="AV101">
        <v>94.258439922075155</v>
      </c>
      <c r="AW101">
        <v>32.164865003091897</v>
      </c>
      <c r="AX101">
        <v>165.16875814623157</v>
      </c>
      <c r="AY101">
        <v>32.936910003611075</v>
      </c>
      <c r="AZ101">
        <v>43.277432943244115</v>
      </c>
      <c r="BA101">
        <v>7.778853351559194</v>
      </c>
      <c r="BB101">
        <v>10.130908487888947</v>
      </c>
      <c r="BC101">
        <v>20.193810956284281</v>
      </c>
      <c r="BD101">
        <v>114.3179157425876</v>
      </c>
      <c r="BE101">
        <v>-84.601596002709087</v>
      </c>
      <c r="BF101">
        <v>42.391612694250327</v>
      </c>
      <c r="BG101">
        <v>0.13171129367968668</v>
      </c>
      <c r="BH101">
        <v>42.523323987930013</v>
      </c>
      <c r="BI101">
        <v>322.0099978767492</v>
      </c>
      <c r="BJ101" s="6">
        <v>187</v>
      </c>
      <c r="BK101">
        <v>-127.1249199906391</v>
      </c>
      <c r="BL101" s="4">
        <v>-820.25702000000001</v>
      </c>
      <c r="BM101" t="s">
        <v>1515</v>
      </c>
      <c r="BN101" t="s">
        <v>65</v>
      </c>
      <c r="BO101">
        <v>10</v>
      </c>
      <c r="BP101">
        <v>2023</v>
      </c>
      <c r="BQ101" t="str">
        <f t="shared" si="6"/>
        <v>Roiphet110</v>
      </c>
      <c r="BR101">
        <f t="shared" si="7"/>
        <v>-871.13446000000022</v>
      </c>
      <c r="BS101">
        <f t="shared" si="8"/>
        <v>1257.47063</v>
      </c>
      <c r="BT101" s="6">
        <f t="shared" si="9"/>
        <v>-135.0099978767492</v>
      </c>
    </row>
    <row r="102" spans="1:72">
      <c r="A102" s="3" t="s">
        <v>967</v>
      </c>
      <c r="B102" s="3" t="s">
        <v>1174</v>
      </c>
      <c r="C102" s="3" t="s">
        <v>2794</v>
      </c>
      <c r="D102" s="2" t="s">
        <v>1495</v>
      </c>
      <c r="E102" s="4" t="str">
        <f t="shared" si="5"/>
        <v>Roiphet1A6-G11-0092</v>
      </c>
      <c r="F102">
        <v>1.1299999999999999</v>
      </c>
      <c r="G102">
        <v>1.5</v>
      </c>
      <c r="H102" t="s">
        <v>72</v>
      </c>
      <c r="I102" t="s">
        <v>67</v>
      </c>
      <c r="J102" t="s">
        <v>357</v>
      </c>
      <c r="K102" t="s">
        <v>89</v>
      </c>
      <c r="L102" t="s">
        <v>89</v>
      </c>
      <c r="M102">
        <v>0.54891994917407883</v>
      </c>
      <c r="N102" s="5">
        <v>45064</v>
      </c>
      <c r="O102" s="5">
        <v>45101</v>
      </c>
      <c r="P102">
        <v>0.55000000000000004</v>
      </c>
      <c r="Q102" s="4">
        <v>203</v>
      </c>
      <c r="R102">
        <v>0.5</v>
      </c>
      <c r="S102" t="s">
        <v>70</v>
      </c>
      <c r="T102" s="6">
        <v>3</v>
      </c>
      <c r="U102" s="5">
        <v>45218</v>
      </c>
      <c r="V102" s="6">
        <v>2</v>
      </c>
      <c r="W102" t="s">
        <v>71</v>
      </c>
      <c r="X102" s="6">
        <v>117</v>
      </c>
      <c r="Y102">
        <v>7.2236099999999999</v>
      </c>
      <c r="Z102">
        <v>6.3925752212389382</v>
      </c>
      <c r="AA102" s="6">
        <v>40.151807752633381</v>
      </c>
      <c r="AB102" s="4">
        <v>52.734727272727277</v>
      </c>
      <c r="AC102" s="6">
        <v>24.905478880572055</v>
      </c>
      <c r="AD102">
        <v>0.36733556299999998</v>
      </c>
      <c r="AE102">
        <v>2.8315015521089832</v>
      </c>
      <c r="AF102">
        <v>19675</v>
      </c>
      <c r="AG102" s="4">
        <v>3450</v>
      </c>
      <c r="AH102" s="4">
        <v>10800</v>
      </c>
      <c r="AL102">
        <v>23</v>
      </c>
      <c r="AM102">
        <v>5.2600100000000003</v>
      </c>
      <c r="AN102" t="s">
        <v>85</v>
      </c>
      <c r="AO102" t="s">
        <v>97</v>
      </c>
      <c r="AP102" s="5">
        <v>45103</v>
      </c>
      <c r="AQ102" t="s">
        <v>215</v>
      </c>
      <c r="AR102" s="5">
        <v>45212</v>
      </c>
      <c r="AS102">
        <v>188.78248687290707</v>
      </c>
      <c r="AT102" s="6"/>
      <c r="AU102">
        <v>34.262647069816893</v>
      </c>
      <c r="AV102">
        <v>87.547749670870957</v>
      </c>
      <c r="AW102">
        <v>47.72665883124921</v>
      </c>
      <c r="AX102">
        <v>169.53705557193706</v>
      </c>
      <c r="AY102">
        <v>29.746744356353677</v>
      </c>
      <c r="AZ102">
        <v>40.22766594542064</v>
      </c>
      <c r="BA102">
        <v>6.6457989841644283</v>
      </c>
      <c r="BB102">
        <v>9.1217424528732867</v>
      </c>
      <c r="BC102">
        <v>18.208884477428878</v>
      </c>
      <c r="BD102">
        <v>103.9508362162409</v>
      </c>
      <c r="BE102">
        <v>-84.70540491527089</v>
      </c>
      <c r="BF102">
        <v>38.801844230239453</v>
      </c>
      <c r="BG102">
        <v>0.11999263526131673</v>
      </c>
      <c r="BH102">
        <v>38.921836865500772</v>
      </c>
      <c r="BI102">
        <v>312.40972865367871</v>
      </c>
      <c r="BJ102" s="6">
        <v>182</v>
      </c>
      <c r="BK102">
        <v>-123.62724178077164</v>
      </c>
      <c r="BL102" s="4">
        <v>-893.03497999999979</v>
      </c>
      <c r="BM102" t="s">
        <v>1496</v>
      </c>
      <c r="BN102" t="s">
        <v>65</v>
      </c>
      <c r="BO102">
        <v>10</v>
      </c>
      <c r="BP102">
        <v>2023</v>
      </c>
      <c r="BQ102" t="str">
        <f t="shared" si="6"/>
        <v>Roiphet110</v>
      </c>
      <c r="BR102">
        <f t="shared" si="7"/>
        <v>-942.02902000000006</v>
      </c>
      <c r="BS102">
        <f t="shared" si="8"/>
        <v>1363.6910600000003</v>
      </c>
      <c r="BT102" s="6">
        <f t="shared" si="9"/>
        <v>-130.40972865367871</v>
      </c>
    </row>
    <row r="103" spans="1:72">
      <c r="A103" s="3" t="s">
        <v>967</v>
      </c>
      <c r="B103" s="3" t="s">
        <v>1174</v>
      </c>
      <c r="C103" s="3" t="s">
        <v>2794</v>
      </c>
      <c r="D103" s="2" t="s">
        <v>1510</v>
      </c>
      <c r="E103" s="4" t="str">
        <f t="shared" si="5"/>
        <v>Roiphet1A4-I07-0095</v>
      </c>
      <c r="F103">
        <v>0.72</v>
      </c>
      <c r="G103">
        <v>1.3</v>
      </c>
      <c r="H103" t="s">
        <v>72</v>
      </c>
      <c r="I103" t="s">
        <v>67</v>
      </c>
      <c r="J103" t="s">
        <v>357</v>
      </c>
      <c r="K103" t="s">
        <v>89</v>
      </c>
      <c r="L103" t="s">
        <v>89</v>
      </c>
      <c r="M103">
        <v>0.58395721925133692</v>
      </c>
      <c r="N103" s="5">
        <v>45073</v>
      </c>
      <c r="O103" s="5">
        <v>45103</v>
      </c>
      <c r="P103">
        <v>0.25</v>
      </c>
      <c r="Q103" s="4">
        <v>167</v>
      </c>
      <c r="R103">
        <v>0.54</v>
      </c>
      <c r="S103" t="s">
        <v>70</v>
      </c>
      <c r="T103" s="6">
        <v>3</v>
      </c>
      <c r="U103" s="5">
        <v>45219</v>
      </c>
      <c r="V103" s="6">
        <v>2</v>
      </c>
      <c r="W103" t="s">
        <v>71</v>
      </c>
      <c r="X103" s="6">
        <v>116</v>
      </c>
      <c r="Y103">
        <v>3.93154</v>
      </c>
      <c r="Z103">
        <v>5.4604722222222222</v>
      </c>
      <c r="AA103" s="6">
        <v>35.920021162190899</v>
      </c>
      <c r="AB103" s="4">
        <v>56.488400000000006</v>
      </c>
      <c r="AC103" s="6">
        <v>27.839627250904609</v>
      </c>
      <c r="AD103">
        <v>0.34017241399999998</v>
      </c>
      <c r="AE103">
        <v>2.4627817053512162</v>
      </c>
      <c r="AF103">
        <v>9350</v>
      </c>
      <c r="AG103" s="4">
        <v>1830</v>
      </c>
      <c r="AH103" s="4">
        <v>5460</v>
      </c>
      <c r="AL103">
        <v>25</v>
      </c>
      <c r="AM103">
        <v>2.6593</v>
      </c>
      <c r="AN103" t="s">
        <v>85</v>
      </c>
      <c r="AO103" t="s">
        <v>96</v>
      </c>
      <c r="AP103" s="5">
        <v>45110</v>
      </c>
      <c r="AQ103" t="s">
        <v>215</v>
      </c>
      <c r="AR103" s="5">
        <v>45212</v>
      </c>
      <c r="AS103">
        <v>192.13151843806756</v>
      </c>
      <c r="AT103" s="6"/>
      <c r="AU103">
        <v>27.978858157363273</v>
      </c>
      <c r="AV103">
        <v>76.313821047223229</v>
      </c>
      <c r="AW103">
        <v>44.377676432136006</v>
      </c>
      <c r="AX103">
        <v>148.67035563672249</v>
      </c>
      <c r="AY103">
        <v>34.771438164179933</v>
      </c>
      <c r="AZ103">
        <v>47.737423503258256</v>
      </c>
      <c r="BA103">
        <v>7.7040218336834929</v>
      </c>
      <c r="BB103">
        <v>10.759147814851179</v>
      </c>
      <c r="BC103">
        <v>21.298585287190264</v>
      </c>
      <c r="BD103">
        <v>122.27061660316312</v>
      </c>
      <c r="BE103">
        <v>-78.809453801818051</v>
      </c>
      <c r="BF103">
        <v>45.079070796685265</v>
      </c>
      <c r="BG103">
        <v>0.1402122323567864</v>
      </c>
      <c r="BH103">
        <v>45.219283029042053</v>
      </c>
      <c r="BI103">
        <v>316.1602552689277</v>
      </c>
      <c r="BJ103" s="6">
        <v>186</v>
      </c>
      <c r="BK103">
        <v>-124.02873683086013</v>
      </c>
      <c r="BL103" s="4">
        <v>-487.62393999999983</v>
      </c>
      <c r="BM103" t="s">
        <v>1511</v>
      </c>
      <c r="BN103" t="s">
        <v>65</v>
      </c>
      <c r="BO103">
        <v>10</v>
      </c>
      <c r="BP103">
        <v>2023</v>
      </c>
      <c r="BQ103" t="str">
        <f t="shared" si="6"/>
        <v>Roiphet110</v>
      </c>
      <c r="BR103">
        <f t="shared" si="7"/>
        <v>-511.73025000000001</v>
      </c>
      <c r="BS103">
        <f t="shared" si="8"/>
        <v>755.37275000000011</v>
      </c>
      <c r="BT103" s="6">
        <f t="shared" si="9"/>
        <v>-130.1602552689277</v>
      </c>
    </row>
    <row r="104" spans="1:72">
      <c r="A104" s="3" t="s">
        <v>967</v>
      </c>
      <c r="B104" s="3" t="s">
        <v>1174</v>
      </c>
      <c r="C104" s="3" t="s">
        <v>2794</v>
      </c>
      <c r="D104" s="2" t="s">
        <v>1506</v>
      </c>
      <c r="E104" s="4" t="str">
        <f t="shared" si="5"/>
        <v>Roiphet1A4-G07-0072</v>
      </c>
      <c r="F104">
        <v>1.1299999999999999</v>
      </c>
      <c r="G104">
        <v>1.5</v>
      </c>
      <c r="H104" t="s">
        <v>72</v>
      </c>
      <c r="I104" t="s">
        <v>67</v>
      </c>
      <c r="J104" t="s">
        <v>357</v>
      </c>
      <c r="K104" t="s">
        <v>89</v>
      </c>
      <c r="L104" t="s">
        <v>89</v>
      </c>
      <c r="M104">
        <v>0.57302551640340216</v>
      </c>
      <c r="N104" s="5">
        <v>45073</v>
      </c>
      <c r="O104" s="5">
        <v>45103</v>
      </c>
      <c r="P104">
        <v>0.55000000000000004</v>
      </c>
      <c r="Q104" s="4">
        <v>203</v>
      </c>
      <c r="R104">
        <v>0.54300000000000004</v>
      </c>
      <c r="S104" t="s">
        <v>70</v>
      </c>
      <c r="T104" s="6">
        <v>3</v>
      </c>
      <c r="U104" s="5">
        <v>45220</v>
      </c>
      <c r="V104" s="6">
        <v>2</v>
      </c>
      <c r="W104" t="s">
        <v>71</v>
      </c>
      <c r="X104" s="6">
        <v>117</v>
      </c>
      <c r="Y104">
        <v>7.2866499999999998</v>
      </c>
      <c r="Z104">
        <v>6.4483628318584074</v>
      </c>
      <c r="AA104" s="6">
        <v>36.569754276656624</v>
      </c>
      <c r="AB104" s="4">
        <v>48.449272727272728</v>
      </c>
      <c r="AC104" s="6">
        <v>27.345001895140559</v>
      </c>
      <c r="AD104">
        <v>0.33723931600000001</v>
      </c>
      <c r="AE104">
        <v>2.9444216268662911</v>
      </c>
      <c r="AF104">
        <v>20575</v>
      </c>
      <c r="AG104" s="4">
        <v>3090</v>
      </c>
      <c r="AH104" s="4">
        <v>11790</v>
      </c>
      <c r="AL104">
        <v>25</v>
      </c>
      <c r="AM104">
        <v>5.0634100000000002</v>
      </c>
      <c r="AN104" t="s">
        <v>85</v>
      </c>
      <c r="AO104" t="s">
        <v>96</v>
      </c>
      <c r="AP104" s="5">
        <v>45110</v>
      </c>
      <c r="AQ104" t="s">
        <v>215</v>
      </c>
      <c r="AR104" s="5">
        <v>45212</v>
      </c>
      <c r="AS104">
        <v>197.0822627682131</v>
      </c>
      <c r="AT104" s="6"/>
      <c r="AU104">
        <v>33.280039524335599</v>
      </c>
      <c r="AV104">
        <v>90.463370684745414</v>
      </c>
      <c r="AW104">
        <v>34.617187596494958</v>
      </c>
      <c r="AX104">
        <v>158.36059780557599</v>
      </c>
      <c r="AY104">
        <v>29.597389747003085</v>
      </c>
      <c r="AZ104">
        <v>39.611822991360924</v>
      </c>
      <c r="BA104">
        <v>6.5755443173474788</v>
      </c>
      <c r="BB104">
        <v>9.1698366190224601</v>
      </c>
      <c r="BC104">
        <v>18.127781628045813</v>
      </c>
      <c r="BD104">
        <v>103.08237530277977</v>
      </c>
      <c r="BE104">
        <v>-64.36071034014266</v>
      </c>
      <c r="BF104">
        <v>38.471823128598196</v>
      </c>
      <c r="BG104">
        <v>0.1196777668750386</v>
      </c>
      <c r="BH104">
        <v>38.591500895473231</v>
      </c>
      <c r="BI104">
        <v>300.0344740038289</v>
      </c>
      <c r="BJ104" s="6">
        <v>186</v>
      </c>
      <c r="BK104">
        <v>-102.95221123561579</v>
      </c>
      <c r="BL104" s="4">
        <v>-750.17672999999979</v>
      </c>
      <c r="BM104" t="s">
        <v>1507</v>
      </c>
      <c r="BN104" t="s">
        <v>65</v>
      </c>
      <c r="BO104">
        <v>10</v>
      </c>
      <c r="BP104">
        <v>2023</v>
      </c>
      <c r="BQ104" t="str">
        <f t="shared" si="6"/>
        <v>Roiphet110</v>
      </c>
      <c r="BR104">
        <f t="shared" si="7"/>
        <v>-830.9292999999999</v>
      </c>
      <c r="BS104">
        <f t="shared" si="8"/>
        <v>1436.0694699999999</v>
      </c>
      <c r="BT104" s="6">
        <f t="shared" si="9"/>
        <v>-114.0344740038289</v>
      </c>
    </row>
    <row r="105" spans="1:72">
      <c r="A105" s="3" t="s">
        <v>967</v>
      </c>
      <c r="B105" s="3" t="s">
        <v>1174</v>
      </c>
      <c r="C105" s="3" t="s">
        <v>1391</v>
      </c>
      <c r="D105" s="2" t="s">
        <v>1478</v>
      </c>
      <c r="E105" s="4" t="str">
        <f t="shared" si="5"/>
        <v>Roiphet1D6-I12-0085</v>
      </c>
      <c r="F105">
        <v>0.72</v>
      </c>
      <c r="G105">
        <v>1.3</v>
      </c>
      <c r="H105" t="s">
        <v>72</v>
      </c>
      <c r="I105" t="s">
        <v>67</v>
      </c>
      <c r="J105" t="s">
        <v>357</v>
      </c>
      <c r="K105" t="s">
        <v>89</v>
      </c>
      <c r="L105" t="s">
        <v>89</v>
      </c>
      <c r="M105">
        <v>0.1505226480836237</v>
      </c>
      <c r="N105" s="5">
        <v>44968</v>
      </c>
      <c r="O105" s="5">
        <v>44991</v>
      </c>
      <c r="P105">
        <v>0.2</v>
      </c>
      <c r="Q105" s="4">
        <v>134</v>
      </c>
      <c r="R105">
        <v>0.8</v>
      </c>
      <c r="S105" t="s">
        <v>70</v>
      </c>
      <c r="T105" s="6">
        <v>2</v>
      </c>
      <c r="U105" s="5">
        <v>45084</v>
      </c>
      <c r="V105" s="6">
        <v>2</v>
      </c>
      <c r="W105" t="s">
        <v>71</v>
      </c>
      <c r="X105" s="6">
        <v>93.000000000000014</v>
      </c>
      <c r="Y105">
        <v>2.8191100000000002</v>
      </c>
      <c r="Z105">
        <v>3.915430555555556</v>
      </c>
      <c r="AA105" s="6">
        <v>29.817566536956697</v>
      </c>
      <c r="AB105" s="4">
        <v>42.029499999999999</v>
      </c>
      <c r="AC105" s="6">
        <v>33.537277388500939</v>
      </c>
      <c r="AD105">
        <v>0.45890603099999999</v>
      </c>
      <c r="AE105">
        <v>2.6982712260869235</v>
      </c>
      <c r="AF105">
        <v>7175</v>
      </c>
      <c r="AG105" s="4"/>
      <c r="AH105" s="4">
        <v>1080</v>
      </c>
      <c r="AL105">
        <v>23</v>
      </c>
      <c r="AM105">
        <v>2.39202</v>
      </c>
      <c r="AN105" t="s">
        <v>81</v>
      </c>
      <c r="AO105" t="s">
        <v>123</v>
      </c>
      <c r="AP105" s="5">
        <v>44995</v>
      </c>
      <c r="AQ105" t="s">
        <v>127</v>
      </c>
      <c r="AR105" s="5">
        <v>45075</v>
      </c>
      <c r="AS105">
        <v>248.90792838874685</v>
      </c>
      <c r="AT105" s="6"/>
      <c r="AU105">
        <v>35.472188030974316</v>
      </c>
      <c r="AV105">
        <v>77.626325329625317</v>
      </c>
      <c r="AW105">
        <v>40.956816158291097</v>
      </c>
      <c r="AX105">
        <v>154.05532951889072</v>
      </c>
      <c r="AY105">
        <v>33.292574606879469</v>
      </c>
      <c r="AZ105">
        <v>64.586795123283579</v>
      </c>
      <c r="BA105">
        <v>9.0996413761790063</v>
      </c>
      <c r="BB105">
        <v>7.9275799809159615</v>
      </c>
      <c r="BC105">
        <v>18.52706350585823</v>
      </c>
      <c r="BD105">
        <v>133.43365459311624</v>
      </c>
      <c r="BE105">
        <v>-38.581055723260107</v>
      </c>
      <c r="BF105">
        <v>48.58385093167702</v>
      </c>
      <c r="BG105">
        <v>0.14451014681938626</v>
      </c>
      <c r="BH105">
        <v>48.728361078496405</v>
      </c>
      <c r="BI105">
        <v>336.21734519050341</v>
      </c>
      <c r="BJ105" s="6">
        <v>200</v>
      </c>
      <c r="BK105">
        <v>-87.309416801756527</v>
      </c>
      <c r="BL105" s="4">
        <v>-246.13484999999986</v>
      </c>
      <c r="BM105" t="s">
        <v>1479</v>
      </c>
      <c r="BN105" t="s">
        <v>65</v>
      </c>
      <c r="BO105">
        <v>6</v>
      </c>
      <c r="BP105">
        <v>2023</v>
      </c>
      <c r="BQ105" t="str">
        <f t="shared" si="6"/>
        <v>Roiphet16</v>
      </c>
      <c r="BR105">
        <f t="shared" si="7"/>
        <v>-384.01168000000007</v>
      </c>
      <c r="BS105">
        <f t="shared" si="8"/>
        <v>701.69883000000016</v>
      </c>
      <c r="BT105" s="6">
        <f t="shared" si="9"/>
        <v>-136.21734519050341</v>
      </c>
    </row>
    <row r="106" spans="1:72">
      <c r="A106" s="3" t="s">
        <v>967</v>
      </c>
      <c r="B106" s="3" t="s">
        <v>1174</v>
      </c>
      <c r="C106" s="3" t="s">
        <v>1391</v>
      </c>
      <c r="D106" s="2" t="s">
        <v>1454</v>
      </c>
      <c r="E106" s="4" t="str">
        <f t="shared" si="5"/>
        <v>Roiphet1D4-G08-0059</v>
      </c>
      <c r="F106">
        <v>1.1299999999999999</v>
      </c>
      <c r="G106">
        <v>1.5</v>
      </c>
      <c r="H106" t="s">
        <v>72</v>
      </c>
      <c r="I106" t="s">
        <v>67</v>
      </c>
      <c r="J106" t="s">
        <v>357</v>
      </c>
      <c r="K106" t="s">
        <v>89</v>
      </c>
      <c r="L106" t="s">
        <v>89</v>
      </c>
      <c r="M106">
        <v>3.1217932752179327</v>
      </c>
      <c r="N106" s="5">
        <v>44946</v>
      </c>
      <c r="O106" s="5">
        <v>44976</v>
      </c>
      <c r="P106">
        <v>0.47</v>
      </c>
      <c r="Q106" s="4">
        <v>173</v>
      </c>
      <c r="R106">
        <v>0.76</v>
      </c>
      <c r="S106" t="s">
        <v>70</v>
      </c>
      <c r="T106" s="6">
        <v>3</v>
      </c>
      <c r="U106" s="5">
        <v>45070</v>
      </c>
      <c r="V106" s="6">
        <v>1</v>
      </c>
      <c r="W106" t="s">
        <v>86</v>
      </c>
      <c r="X106" s="6">
        <v>94</v>
      </c>
      <c r="Y106">
        <v>9.6585699999999992</v>
      </c>
      <c r="Z106">
        <v>8.5474070796460175</v>
      </c>
      <c r="AA106" s="6">
        <v>34.737233358561362</v>
      </c>
      <c r="AB106" s="4">
        <v>71.385531914893619</v>
      </c>
      <c r="AC106" s="6">
        <v>28.78755454350366</v>
      </c>
      <c r="AD106">
        <v>0.45444958400000002</v>
      </c>
      <c r="AE106">
        <v>2.1582842097454464</v>
      </c>
      <c r="AF106">
        <v>20075</v>
      </c>
      <c r="AG106" s="4">
        <v>0</v>
      </c>
      <c r="AH106" s="4">
        <v>62670</v>
      </c>
      <c r="AL106">
        <v>23</v>
      </c>
      <c r="AM106">
        <v>6.1663199999999998</v>
      </c>
      <c r="AN106" t="s">
        <v>81</v>
      </c>
      <c r="AO106" t="s">
        <v>123</v>
      </c>
      <c r="AP106" s="5">
        <v>44977</v>
      </c>
      <c r="AQ106" t="s">
        <v>144</v>
      </c>
      <c r="AR106" s="5">
        <v>45068</v>
      </c>
      <c r="AS106">
        <v>231.92664338509741</v>
      </c>
      <c r="AT106" s="6"/>
      <c r="AU106">
        <v>24.330723906333958</v>
      </c>
      <c r="AV106">
        <v>63.184718855896854</v>
      </c>
      <c r="AW106">
        <v>19.484071658640971</v>
      </c>
      <c r="AX106">
        <v>106.99951442087179</v>
      </c>
      <c r="AY106">
        <v>17.028264018379531</v>
      </c>
      <c r="AZ106">
        <v>33.374938526096514</v>
      </c>
      <c r="BA106">
        <v>4.1926962272883044</v>
      </c>
      <c r="BB106">
        <v>3.927723255098841</v>
      </c>
      <c r="BC106">
        <v>8.5534483883224937</v>
      </c>
      <c r="BD106">
        <v>67.077070415185688</v>
      </c>
      <c r="BE106">
        <v>57.850058549039929</v>
      </c>
      <c r="BF106">
        <v>24.221751253032281</v>
      </c>
      <c r="BG106">
        <v>7.0830361016175278E-2</v>
      </c>
      <c r="BH106">
        <v>24.292581614048455</v>
      </c>
      <c r="BI106">
        <v>198.36916645010601</v>
      </c>
      <c r="BJ106" s="6">
        <v>189</v>
      </c>
      <c r="BK106">
        <v>33.557476934991413</v>
      </c>
      <c r="BL106" s="4">
        <v>324.11723999999998</v>
      </c>
      <c r="BM106" t="s">
        <v>1455</v>
      </c>
      <c r="BN106" t="s">
        <v>65</v>
      </c>
      <c r="BO106">
        <v>5</v>
      </c>
      <c r="BP106">
        <v>2023</v>
      </c>
      <c r="BQ106" t="str">
        <f t="shared" si="6"/>
        <v>Roiphet15</v>
      </c>
      <c r="BR106">
        <f t="shared" si="7"/>
        <v>-90.49275000000037</v>
      </c>
      <c r="BS106">
        <f t="shared" si="8"/>
        <v>2240.0797200000002</v>
      </c>
      <c r="BT106" s="6">
        <f t="shared" si="9"/>
        <v>-9.3691664501060075</v>
      </c>
    </row>
    <row r="107" spans="1:72">
      <c r="A107" s="3" t="s">
        <v>967</v>
      </c>
      <c r="B107" s="3" t="s">
        <v>1174</v>
      </c>
      <c r="C107" s="3" t="s">
        <v>1391</v>
      </c>
      <c r="D107" s="2" t="s">
        <v>1468</v>
      </c>
      <c r="E107" s="4" t="str">
        <f t="shared" si="5"/>
        <v>Roiphet1D4-I08-0071</v>
      </c>
      <c r="F107">
        <v>0.72</v>
      </c>
      <c r="G107">
        <v>1.3</v>
      </c>
      <c r="H107" t="s">
        <v>72</v>
      </c>
      <c r="I107" t="s">
        <v>67</v>
      </c>
      <c r="J107" t="s">
        <v>357</v>
      </c>
      <c r="K107" t="s">
        <v>89</v>
      </c>
      <c r="L107" t="s">
        <v>89</v>
      </c>
      <c r="M107">
        <v>3.4291560102301792</v>
      </c>
      <c r="N107" s="5">
        <v>44952</v>
      </c>
      <c r="O107" s="5">
        <v>44976</v>
      </c>
      <c r="P107">
        <v>0.26</v>
      </c>
      <c r="Q107" s="4">
        <v>174</v>
      </c>
      <c r="R107">
        <v>0.76</v>
      </c>
      <c r="S107" t="s">
        <v>70</v>
      </c>
      <c r="T107" s="6">
        <v>3</v>
      </c>
      <c r="U107" s="5">
        <v>45070</v>
      </c>
      <c r="V107" s="6">
        <v>2</v>
      </c>
      <c r="W107" t="s">
        <v>71</v>
      </c>
      <c r="X107" s="6">
        <v>94</v>
      </c>
      <c r="Y107">
        <v>4.0373799999999997</v>
      </c>
      <c r="Z107">
        <v>5.6074722222222224</v>
      </c>
      <c r="AA107" s="6">
        <v>33.655737136459784</v>
      </c>
      <c r="AB107" s="4">
        <v>52.261923076923075</v>
      </c>
      <c r="AC107" s="6">
        <v>29.712616186221766</v>
      </c>
      <c r="AD107">
        <v>0.45444958400000002</v>
      </c>
      <c r="AE107">
        <v>2.5457187651375857</v>
      </c>
      <c r="AF107">
        <v>9775</v>
      </c>
      <c r="AG107" s="4"/>
      <c r="AH107" s="4">
        <v>33520</v>
      </c>
      <c r="AL107">
        <v>23</v>
      </c>
      <c r="AM107">
        <v>2.6543999999999999</v>
      </c>
      <c r="AN107" t="s">
        <v>81</v>
      </c>
      <c r="AO107" t="s">
        <v>123</v>
      </c>
      <c r="AP107" s="5">
        <v>44977</v>
      </c>
      <c r="AQ107" t="s">
        <v>127</v>
      </c>
      <c r="AR107" s="5">
        <v>45068</v>
      </c>
      <c r="AS107">
        <v>236.79039872392491</v>
      </c>
      <c r="AT107" s="6"/>
      <c r="AU107">
        <v>32.199099415957875</v>
      </c>
      <c r="AV107">
        <v>73.546606957977701</v>
      </c>
      <c r="AW107">
        <v>31.306966399001325</v>
      </c>
      <c r="AX107">
        <v>137.05267277293689</v>
      </c>
      <c r="AY107">
        <v>24.39556098261744</v>
      </c>
      <c r="AZ107">
        <v>48.485247858759891</v>
      </c>
      <c r="BA107">
        <v>6.0051691938831615</v>
      </c>
      <c r="BB107">
        <v>5.7172597080284735</v>
      </c>
      <c r="BC107">
        <v>12.58775245332369</v>
      </c>
      <c r="BD107">
        <v>97.190990196612674</v>
      </c>
      <c r="BE107">
        <v>2.5467357543753479</v>
      </c>
      <c r="BF107">
        <v>34.958482976583824</v>
      </c>
      <c r="BG107">
        <v>0.10237827501993868</v>
      </c>
      <c r="BH107">
        <v>35.060861251603761</v>
      </c>
      <c r="BI107">
        <v>269.30452422115332</v>
      </c>
      <c r="BJ107" s="6">
        <v>191</v>
      </c>
      <c r="BK107">
        <v>-32.514125497228399</v>
      </c>
      <c r="BL107" s="4">
        <v>-131.27188000000001</v>
      </c>
      <c r="BM107" t="s">
        <v>1469</v>
      </c>
      <c r="BN107" t="s">
        <v>65</v>
      </c>
      <c r="BO107">
        <v>5</v>
      </c>
      <c r="BP107">
        <v>2023</v>
      </c>
      <c r="BQ107" t="str">
        <f t="shared" si="6"/>
        <v>Roiphet15</v>
      </c>
      <c r="BR107">
        <f t="shared" si="7"/>
        <v>-316.14511999999996</v>
      </c>
      <c r="BS107">
        <f t="shared" si="8"/>
        <v>956.01281999999992</v>
      </c>
      <c r="BT107" s="6">
        <f t="shared" si="9"/>
        <v>-78.304524221153315</v>
      </c>
    </row>
    <row r="108" spans="1:72">
      <c r="A108" s="3" t="s">
        <v>967</v>
      </c>
      <c r="B108" s="3" t="s">
        <v>1174</v>
      </c>
      <c r="C108" s="3" t="s">
        <v>1391</v>
      </c>
      <c r="D108" s="2" t="s">
        <v>1474</v>
      </c>
      <c r="E108" s="4" t="str">
        <f t="shared" si="5"/>
        <v>Roiphet1D6-G12-0079</v>
      </c>
      <c r="F108">
        <v>1.1299999999999999</v>
      </c>
      <c r="G108">
        <v>1.5</v>
      </c>
      <c r="H108" t="s">
        <v>72</v>
      </c>
      <c r="I108" t="s">
        <v>67</v>
      </c>
      <c r="J108" t="s">
        <v>357</v>
      </c>
      <c r="K108" t="s">
        <v>89</v>
      </c>
      <c r="L108" t="s">
        <v>89</v>
      </c>
      <c r="M108">
        <v>0.32844364937388193</v>
      </c>
      <c r="N108" s="5">
        <v>44964</v>
      </c>
      <c r="O108" s="5">
        <v>44991</v>
      </c>
      <c r="P108">
        <v>0.4</v>
      </c>
      <c r="Q108" s="4">
        <v>147</v>
      </c>
      <c r="R108">
        <v>0.8</v>
      </c>
      <c r="S108" t="s">
        <v>70</v>
      </c>
      <c r="T108" s="6">
        <v>2</v>
      </c>
      <c r="U108" s="5">
        <v>45081</v>
      </c>
      <c r="V108" s="6">
        <v>2</v>
      </c>
      <c r="W108" t="s">
        <v>71</v>
      </c>
      <c r="X108" s="6">
        <v>90</v>
      </c>
      <c r="Y108">
        <v>6.56168</v>
      </c>
      <c r="Z108">
        <v>5.8067964601769919</v>
      </c>
      <c r="AA108" s="6">
        <v>30.781141415003475</v>
      </c>
      <c r="AB108" s="4">
        <v>50.494000000000007</v>
      </c>
      <c r="AC108" s="6">
        <v>32.487424248425555</v>
      </c>
      <c r="AD108">
        <v>0.43555555600000001</v>
      </c>
      <c r="AE108">
        <v>2.2389805308827109</v>
      </c>
      <c r="AF108">
        <v>13975</v>
      </c>
      <c r="AG108" s="4">
        <v>0</v>
      </c>
      <c r="AH108" s="4">
        <v>4590</v>
      </c>
      <c r="AL108">
        <v>25</v>
      </c>
      <c r="AM108">
        <v>5.6995399999999998</v>
      </c>
      <c r="AN108" t="s">
        <v>77</v>
      </c>
      <c r="AO108" t="s">
        <v>123</v>
      </c>
      <c r="AP108" s="5">
        <v>44995</v>
      </c>
      <c r="AQ108" t="s">
        <v>123</v>
      </c>
      <c r="AR108" s="5">
        <v>45075</v>
      </c>
      <c r="AS108">
        <v>230.92575377037585</v>
      </c>
      <c r="AT108" s="6"/>
      <c r="AU108">
        <v>30.47999902464003</v>
      </c>
      <c r="AV108">
        <v>64.862518440399427</v>
      </c>
      <c r="AW108">
        <v>29.066237609880396</v>
      </c>
      <c r="AX108">
        <v>124.40875507491984</v>
      </c>
      <c r="AY108">
        <v>22.752065019933923</v>
      </c>
      <c r="AZ108">
        <v>44.559210446105268</v>
      </c>
      <c r="BA108">
        <v>6.0760354055668664</v>
      </c>
      <c r="BB108">
        <v>5.3791087038685212</v>
      </c>
      <c r="BC108">
        <v>12.339952573121518</v>
      </c>
      <c r="BD108">
        <v>91.106372148596108</v>
      </c>
      <c r="BE108">
        <v>15.410626546859902</v>
      </c>
      <c r="BF108">
        <v>33.120098816156833</v>
      </c>
      <c r="BG108">
        <v>9.7906328866997461E-2</v>
      </c>
      <c r="BH108">
        <v>33.218005145023831</v>
      </c>
      <c r="BI108">
        <v>248.73313236853977</v>
      </c>
      <c r="BJ108" s="6">
        <v>197</v>
      </c>
      <c r="BK108">
        <v>-17.807378598163929</v>
      </c>
      <c r="BL108" s="4">
        <v>-116.8463200000003</v>
      </c>
      <c r="BM108" t="s">
        <v>1475</v>
      </c>
      <c r="BN108" t="s">
        <v>65</v>
      </c>
      <c r="BO108">
        <v>6</v>
      </c>
      <c r="BP108">
        <v>2023</v>
      </c>
      <c r="BQ108" t="str">
        <f t="shared" si="6"/>
        <v>Roiphet16</v>
      </c>
      <c r="BR108">
        <f t="shared" si="7"/>
        <v>-339.45626000000004</v>
      </c>
      <c r="BS108">
        <f t="shared" si="8"/>
        <v>1515.2608999999998</v>
      </c>
      <c r="BT108" s="6">
        <f t="shared" si="9"/>
        <v>-51.733132368539771</v>
      </c>
    </row>
    <row r="109" spans="1:72">
      <c r="A109" s="3" t="s">
        <v>967</v>
      </c>
      <c r="B109" s="3" t="s">
        <v>1174</v>
      </c>
      <c r="C109" s="3" t="s">
        <v>1391</v>
      </c>
      <c r="D109" s="2" t="s">
        <v>1476</v>
      </c>
      <c r="E109" s="4" t="str">
        <f t="shared" si="5"/>
        <v>Roiphet1D6-I11-0083</v>
      </c>
      <c r="F109">
        <v>0.72</v>
      </c>
      <c r="G109">
        <v>1.3</v>
      </c>
      <c r="H109" t="s">
        <v>72</v>
      </c>
      <c r="I109" t="s">
        <v>67</v>
      </c>
      <c r="J109" t="s">
        <v>357</v>
      </c>
      <c r="K109" t="s">
        <v>89</v>
      </c>
      <c r="L109" t="s">
        <v>89</v>
      </c>
      <c r="M109">
        <v>0.11470588235294117</v>
      </c>
      <c r="N109" s="5">
        <v>44965</v>
      </c>
      <c r="O109" s="5">
        <v>44990</v>
      </c>
      <c r="P109">
        <v>0.2</v>
      </c>
      <c r="Q109" s="4">
        <v>134</v>
      </c>
      <c r="R109">
        <v>0.75</v>
      </c>
      <c r="S109" t="s">
        <v>70</v>
      </c>
      <c r="T109" s="6">
        <v>2</v>
      </c>
      <c r="U109" s="5">
        <v>45081</v>
      </c>
      <c r="V109" s="6">
        <v>2</v>
      </c>
      <c r="W109" t="s">
        <v>71</v>
      </c>
      <c r="X109" s="6">
        <v>91</v>
      </c>
      <c r="Y109">
        <v>2.5640999999999998</v>
      </c>
      <c r="Z109">
        <v>3.5612499999999998</v>
      </c>
      <c r="AA109" s="6">
        <v>30.487110487110488</v>
      </c>
      <c r="AB109" s="4">
        <v>39.085999999999999</v>
      </c>
      <c r="AC109" s="6">
        <v>32.800747070562352</v>
      </c>
      <c r="AD109">
        <v>0.43131868099999998</v>
      </c>
      <c r="AE109">
        <v>2.8167847230852079</v>
      </c>
      <c r="AF109">
        <v>6800</v>
      </c>
      <c r="AG109" s="4"/>
      <c r="AH109" s="4">
        <v>780</v>
      </c>
      <c r="AL109">
        <v>25</v>
      </c>
      <c r="AM109">
        <v>2.2368899999999998</v>
      </c>
      <c r="AN109" t="s">
        <v>77</v>
      </c>
      <c r="AO109" t="s">
        <v>123</v>
      </c>
      <c r="AP109" s="5">
        <v>44995</v>
      </c>
      <c r="AQ109" t="s">
        <v>127</v>
      </c>
      <c r="AR109" s="5">
        <v>45075</v>
      </c>
      <c r="AS109">
        <v>233.58516438516438</v>
      </c>
      <c r="AT109" s="6"/>
      <c r="AU109">
        <v>39.000039000039003</v>
      </c>
      <c r="AV109">
        <v>80.87420537420536</v>
      </c>
      <c r="AW109">
        <v>33.459143559143563</v>
      </c>
      <c r="AX109">
        <v>153.33338793338791</v>
      </c>
      <c r="AY109">
        <v>36.706828906828903</v>
      </c>
      <c r="AZ109">
        <v>72.026972426972421</v>
      </c>
      <c r="BA109">
        <v>9.844495144495145</v>
      </c>
      <c r="BB109">
        <v>8.690569790569791</v>
      </c>
      <c r="BC109">
        <v>19.985105885105884</v>
      </c>
      <c r="BD109">
        <v>147.25397215397214</v>
      </c>
      <c r="BE109">
        <v>-67.002195702195678</v>
      </c>
      <c r="BF109">
        <v>53.533731133731138</v>
      </c>
      <c r="BG109">
        <v>0.15830115830115829</v>
      </c>
      <c r="BH109">
        <v>53.692032292032287</v>
      </c>
      <c r="BI109">
        <v>354.27939237939239</v>
      </c>
      <c r="BJ109" s="6">
        <v>197</v>
      </c>
      <c r="BK109">
        <v>-120.69422799422803</v>
      </c>
      <c r="BL109" s="4">
        <v>-309.47207000000009</v>
      </c>
      <c r="BM109" t="s">
        <v>1477</v>
      </c>
      <c r="BN109" t="s">
        <v>65</v>
      </c>
      <c r="BO109">
        <v>6</v>
      </c>
      <c r="BP109">
        <v>2023</v>
      </c>
      <c r="BQ109" t="str">
        <f t="shared" si="6"/>
        <v>Roiphet16</v>
      </c>
      <c r="BR109">
        <f t="shared" si="7"/>
        <v>-403.28009000000003</v>
      </c>
      <c r="BS109">
        <f t="shared" si="8"/>
        <v>598.93571999999995</v>
      </c>
      <c r="BT109" s="6">
        <f t="shared" si="9"/>
        <v>-157.27939237939239</v>
      </c>
    </row>
    <row r="110" spans="1:72">
      <c r="A110" s="3" t="s">
        <v>967</v>
      </c>
      <c r="B110" s="3" t="s">
        <v>1174</v>
      </c>
      <c r="C110" s="3" t="s">
        <v>1391</v>
      </c>
      <c r="D110" s="2" t="s">
        <v>1402</v>
      </c>
      <c r="E110" s="4" t="str">
        <f t="shared" si="5"/>
        <v>Roiphet1D1-I02-0088</v>
      </c>
      <c r="F110">
        <v>0.72</v>
      </c>
      <c r="G110">
        <v>1.3</v>
      </c>
      <c r="H110" t="s">
        <v>72</v>
      </c>
      <c r="I110" t="s">
        <v>67</v>
      </c>
      <c r="J110" t="s">
        <v>357</v>
      </c>
      <c r="K110" t="s">
        <v>89</v>
      </c>
      <c r="L110" t="s">
        <v>89</v>
      </c>
      <c r="M110">
        <v>0.44</v>
      </c>
      <c r="N110" s="5">
        <v>44841</v>
      </c>
      <c r="O110" s="5">
        <v>44868</v>
      </c>
      <c r="P110">
        <v>0.22500000000000001</v>
      </c>
      <c r="Q110" s="4">
        <v>150</v>
      </c>
      <c r="R110">
        <v>0.4</v>
      </c>
      <c r="S110" t="s">
        <v>70</v>
      </c>
      <c r="T110" s="6">
        <v>2</v>
      </c>
      <c r="U110" s="5">
        <v>44932</v>
      </c>
      <c r="V110" s="6">
        <v>2</v>
      </c>
      <c r="W110" t="s">
        <v>71</v>
      </c>
      <c r="X110" s="6">
        <v>64</v>
      </c>
      <c r="Y110">
        <v>4.1273</v>
      </c>
      <c r="Z110">
        <v>5.7323611111111115</v>
      </c>
      <c r="AA110" s="6">
        <v>40.175175053909335</v>
      </c>
      <c r="AB110" s="4">
        <v>73.695555555555558</v>
      </c>
      <c r="AC110" s="6">
        <v>24.890992974097639</v>
      </c>
      <c r="AD110">
        <v>0.427777778</v>
      </c>
      <c r="AE110">
        <v>1.48614172838283</v>
      </c>
      <c r="AF110">
        <v>6000</v>
      </c>
      <c r="AG110" s="4">
        <v>0</v>
      </c>
      <c r="AH110" s="4">
        <v>2640</v>
      </c>
      <c r="AL110">
        <v>36</v>
      </c>
      <c r="AM110">
        <v>3.4890599999999998</v>
      </c>
      <c r="AN110" t="s">
        <v>1403</v>
      </c>
      <c r="AO110" t="s">
        <v>90</v>
      </c>
      <c r="AP110" s="5">
        <v>44869</v>
      </c>
      <c r="AQ110" t="s">
        <v>94</v>
      </c>
      <c r="AR110" s="5">
        <v>44928</v>
      </c>
      <c r="AS110">
        <v>100.27013301674218</v>
      </c>
      <c r="AT110" s="6"/>
      <c r="AU110">
        <v>21.806023308216023</v>
      </c>
      <c r="AV110">
        <v>48.024914593075366</v>
      </c>
      <c r="AW110">
        <v>18.007060305768906</v>
      </c>
      <c r="AX110">
        <v>87.837998207060309</v>
      </c>
      <c r="AY110">
        <v>25.022680687132024</v>
      </c>
      <c r="AZ110">
        <v>31.086315508928354</v>
      </c>
      <c r="BA110">
        <v>5.9627141230344289</v>
      </c>
      <c r="BB110">
        <v>7.302347781842851</v>
      </c>
      <c r="BC110">
        <v>14.238325297409929</v>
      </c>
      <c r="BD110">
        <v>83.612383398347589</v>
      </c>
      <c r="BE110">
        <v>-71.180248588665719</v>
      </c>
      <c r="BF110">
        <v>31.999568725316795</v>
      </c>
      <c r="BG110">
        <v>8.7798318513313781E-2</v>
      </c>
      <c r="BH110">
        <v>32.087367043830106</v>
      </c>
      <c r="BI110">
        <v>203.53774864923798</v>
      </c>
      <c r="BJ110" s="6">
        <v>182</v>
      </c>
      <c r="BK110">
        <v>-103.26761563249582</v>
      </c>
      <c r="BL110" s="4">
        <v>-426.21643</v>
      </c>
      <c r="BM110" t="s">
        <v>1404</v>
      </c>
      <c r="BN110" t="s">
        <v>65</v>
      </c>
      <c r="BO110">
        <v>1</v>
      </c>
      <c r="BP110">
        <v>2023</v>
      </c>
      <c r="BQ110" t="str">
        <f t="shared" si="6"/>
        <v>Roiphet11</v>
      </c>
      <c r="BR110">
        <f t="shared" si="7"/>
        <v>-88.892749999999921</v>
      </c>
      <c r="BS110">
        <f t="shared" si="8"/>
        <v>413.84492</v>
      </c>
      <c r="BT110" s="6">
        <f t="shared" si="9"/>
        <v>-21.537748649237983</v>
      </c>
    </row>
    <row r="111" spans="1:72">
      <c r="A111" s="3" t="s">
        <v>967</v>
      </c>
      <c r="B111" s="3" t="s">
        <v>1174</v>
      </c>
      <c r="C111" s="3" t="s">
        <v>1391</v>
      </c>
      <c r="D111" s="2" t="s">
        <v>1413</v>
      </c>
      <c r="E111" s="4" t="str">
        <f t="shared" si="5"/>
        <v>Roiphet1D4-G07-0062</v>
      </c>
      <c r="F111">
        <v>1.1299999999999999</v>
      </c>
      <c r="G111">
        <v>1.5</v>
      </c>
      <c r="H111" t="s">
        <v>72</v>
      </c>
      <c r="I111" t="s">
        <v>67</v>
      </c>
      <c r="J111" t="s">
        <v>357</v>
      </c>
      <c r="K111" t="s">
        <v>89</v>
      </c>
      <c r="L111" t="s">
        <v>89</v>
      </c>
      <c r="M111">
        <v>4.883</v>
      </c>
      <c r="N111" s="5">
        <v>44946</v>
      </c>
      <c r="O111" s="5">
        <v>44975</v>
      </c>
      <c r="P111">
        <v>0.47</v>
      </c>
      <c r="Q111" s="4">
        <v>173</v>
      </c>
      <c r="R111">
        <v>0.74</v>
      </c>
      <c r="S111" t="s">
        <v>70</v>
      </c>
      <c r="T111" s="6">
        <v>3</v>
      </c>
      <c r="U111" s="5">
        <v>45071</v>
      </c>
      <c r="V111" s="6">
        <v>2</v>
      </c>
      <c r="W111" t="s">
        <v>71</v>
      </c>
      <c r="X111" s="6">
        <v>96</v>
      </c>
      <c r="Y111">
        <v>8.3072700000000008</v>
      </c>
      <c r="Z111">
        <v>7.3515663716814172</v>
      </c>
      <c r="AA111" s="6">
        <v>38.393238693337281</v>
      </c>
      <c r="AB111" s="4">
        <v>67.860212765957456</v>
      </c>
      <c r="AC111" s="6">
        <v>26.046252778709675</v>
      </c>
      <c r="AD111">
        <v>0.42631944400000005</v>
      </c>
      <c r="AE111">
        <v>2.5127301189652074</v>
      </c>
      <c r="AF111">
        <v>20000</v>
      </c>
      <c r="AG111" s="4">
        <v>0</v>
      </c>
      <c r="AH111" s="4">
        <v>97660</v>
      </c>
      <c r="AL111">
        <v>24</v>
      </c>
      <c r="AM111">
        <v>5.3733900000000006</v>
      </c>
      <c r="AN111" t="s">
        <v>81</v>
      </c>
      <c r="AO111" t="s">
        <v>123</v>
      </c>
      <c r="AP111" s="5">
        <v>44977</v>
      </c>
      <c r="AQ111" t="s">
        <v>116</v>
      </c>
      <c r="AR111" s="5">
        <v>45068</v>
      </c>
      <c r="AS111">
        <v>214.60844898504561</v>
      </c>
      <c r="AT111" s="6"/>
      <c r="AU111">
        <v>28.288475034517958</v>
      </c>
      <c r="AV111">
        <v>72.93778943022194</v>
      </c>
      <c r="AW111">
        <v>27.992970013012702</v>
      </c>
      <c r="AX111">
        <v>129.21923447775259</v>
      </c>
      <c r="AY111">
        <v>19.944729134842131</v>
      </c>
      <c r="AZ111">
        <v>38.984059745259266</v>
      </c>
      <c r="BA111">
        <v>4.9405340141827585</v>
      </c>
      <c r="BB111">
        <v>4.5913856176577861</v>
      </c>
      <c r="BC111">
        <v>10.00729481526422</v>
      </c>
      <c r="BD111">
        <v>78.468003327206162</v>
      </c>
      <c r="BE111">
        <v>6.921211180086857</v>
      </c>
      <c r="BF111">
        <v>28.378426366303248</v>
      </c>
      <c r="BG111">
        <v>8.2997181986380605E-2</v>
      </c>
      <c r="BH111">
        <v>28.461423548289631</v>
      </c>
      <c r="BI111">
        <v>236.1486613532484</v>
      </c>
      <c r="BJ111" s="6">
        <v>184</v>
      </c>
      <c r="BK111">
        <v>-21.540212368202774</v>
      </c>
      <c r="BL111" s="4">
        <v>-178.94035999999986</v>
      </c>
      <c r="BM111" t="s">
        <v>1414</v>
      </c>
      <c r="BN111" t="s">
        <v>65</v>
      </c>
      <c r="BO111">
        <v>5</v>
      </c>
      <c r="BP111">
        <v>2023</v>
      </c>
      <c r="BQ111" t="str">
        <f t="shared" si="6"/>
        <v>Roiphet15</v>
      </c>
      <c r="BR111">
        <f t="shared" si="7"/>
        <v>-433.21300999999988</v>
      </c>
      <c r="BS111">
        <f t="shared" si="8"/>
        <v>1782.81033</v>
      </c>
      <c r="BT111" s="6">
        <f t="shared" si="9"/>
        <v>-52.1486613532484</v>
      </c>
    </row>
    <row r="112" spans="1:72">
      <c r="A112" s="3" t="s">
        <v>967</v>
      </c>
      <c r="B112" s="3" t="s">
        <v>1174</v>
      </c>
      <c r="C112" s="3" t="s">
        <v>1391</v>
      </c>
      <c r="D112" s="2" t="s">
        <v>1426</v>
      </c>
      <c r="E112" s="4" t="str">
        <f t="shared" si="5"/>
        <v>Roiphet1D4-I07-0076</v>
      </c>
      <c r="F112">
        <v>0.72</v>
      </c>
      <c r="G112">
        <v>1.3</v>
      </c>
      <c r="H112" t="s">
        <v>72</v>
      </c>
      <c r="I112" t="s">
        <v>67</v>
      </c>
      <c r="J112" t="s">
        <v>357</v>
      </c>
      <c r="K112" t="s">
        <v>89</v>
      </c>
      <c r="L112" t="s">
        <v>89</v>
      </c>
      <c r="M112">
        <v>0.67150259067357509</v>
      </c>
      <c r="N112" s="5">
        <v>44954</v>
      </c>
      <c r="O112" s="5">
        <v>44975</v>
      </c>
      <c r="P112">
        <v>0.26</v>
      </c>
      <c r="Q112" s="4">
        <v>174</v>
      </c>
      <c r="R112">
        <v>0.74</v>
      </c>
      <c r="S112" t="s">
        <v>70</v>
      </c>
      <c r="T112" s="6">
        <v>3</v>
      </c>
      <c r="U112" s="5">
        <v>45071</v>
      </c>
      <c r="V112" s="6">
        <v>2</v>
      </c>
      <c r="W112" t="s">
        <v>71</v>
      </c>
      <c r="X112" s="6">
        <v>96</v>
      </c>
      <c r="Y112">
        <v>4.9937800000000001</v>
      </c>
      <c r="Z112">
        <v>6.9358055555555556</v>
      </c>
      <c r="AA112" s="6">
        <v>36.809791380477314</v>
      </c>
      <c r="AB112" s="4">
        <v>70.7</v>
      </c>
      <c r="AC112" s="6">
        <v>27.166684800348165</v>
      </c>
      <c r="AD112">
        <v>0.42631944399999999</v>
      </c>
      <c r="AE112">
        <v>2.0098388380007415</v>
      </c>
      <c r="AF112">
        <v>9650</v>
      </c>
      <c r="AG112" s="4"/>
      <c r="AH112" s="4">
        <v>6480</v>
      </c>
      <c r="AL112">
        <v>24</v>
      </c>
      <c r="AM112">
        <v>3.39825</v>
      </c>
      <c r="AN112" t="s">
        <v>81</v>
      </c>
      <c r="AO112" t="s">
        <v>123</v>
      </c>
      <c r="AP112" s="5">
        <v>44977</v>
      </c>
      <c r="AQ112" t="s">
        <v>127</v>
      </c>
      <c r="AR112" s="5">
        <v>45068</v>
      </c>
      <c r="AS112">
        <v>219.73485215608218</v>
      </c>
      <c r="AT112" s="6"/>
      <c r="AU112">
        <v>26.032384286051851</v>
      </c>
      <c r="AV112">
        <v>58.688953057603655</v>
      </c>
      <c r="AW112">
        <v>22.312314519261953</v>
      </c>
      <c r="AX112">
        <v>107.03365186291745</v>
      </c>
      <c r="AY112">
        <v>19.458191990836603</v>
      </c>
      <c r="AZ112">
        <v>38.74693518737309</v>
      </c>
      <c r="BA112">
        <v>4.8209052060763593</v>
      </c>
      <c r="BB112">
        <v>4.5758583678095546</v>
      </c>
      <c r="BC112">
        <v>10.121897640664988</v>
      </c>
      <c r="BD112">
        <v>77.723788392760582</v>
      </c>
      <c r="BE112">
        <v>34.977411900404149</v>
      </c>
      <c r="BF112">
        <v>27.964063294738658</v>
      </c>
      <c r="BG112">
        <v>8.1951948223590157E-2</v>
      </c>
      <c r="BH112">
        <v>28.046015242962248</v>
      </c>
      <c r="BI112">
        <v>212.80345549864029</v>
      </c>
      <c r="BJ112" s="6">
        <v>186</v>
      </c>
      <c r="BK112">
        <v>6.9313966574418808</v>
      </c>
      <c r="BL112" s="4">
        <v>34.613870000000112</v>
      </c>
      <c r="BM112" t="s">
        <v>1427</v>
      </c>
      <c r="BN112" t="s">
        <v>65</v>
      </c>
      <c r="BO112">
        <v>5</v>
      </c>
      <c r="BP112">
        <v>2023</v>
      </c>
      <c r="BQ112" t="str">
        <f t="shared" si="6"/>
        <v>Roiphet15</v>
      </c>
      <c r="BR112">
        <f t="shared" si="7"/>
        <v>-133.85055999999992</v>
      </c>
      <c r="BS112">
        <f t="shared" si="8"/>
        <v>1097.3075100000001</v>
      </c>
      <c r="BT112" s="6">
        <f t="shared" si="9"/>
        <v>-26.80345549864029</v>
      </c>
    </row>
    <row r="113" spans="1:72">
      <c r="A113" s="3" t="s">
        <v>967</v>
      </c>
      <c r="B113" s="3" t="s">
        <v>1174</v>
      </c>
      <c r="C113" s="3" t="s">
        <v>1391</v>
      </c>
      <c r="D113" s="2" t="s">
        <v>1446</v>
      </c>
      <c r="E113" s="4" t="str">
        <f t="shared" si="5"/>
        <v>Roiphet1D2-G03-0080</v>
      </c>
      <c r="F113">
        <v>1.1299999999999999</v>
      </c>
      <c r="G113">
        <v>1.5</v>
      </c>
      <c r="H113" t="s">
        <v>72</v>
      </c>
      <c r="I113" t="s">
        <v>67</v>
      </c>
      <c r="J113" t="s">
        <v>357</v>
      </c>
      <c r="K113" t="s">
        <v>89</v>
      </c>
      <c r="L113" t="s">
        <v>89</v>
      </c>
      <c r="M113">
        <v>6.2068965517241378E-2</v>
      </c>
      <c r="N113" s="5">
        <v>44910</v>
      </c>
      <c r="O113" s="5">
        <v>44931</v>
      </c>
      <c r="P113">
        <v>0.47</v>
      </c>
      <c r="Q113" s="4">
        <v>173</v>
      </c>
      <c r="R113">
        <v>0.64</v>
      </c>
      <c r="S113" t="s">
        <v>70</v>
      </c>
      <c r="T113" s="6">
        <v>4</v>
      </c>
      <c r="U113" s="5">
        <v>45040</v>
      </c>
      <c r="V113" s="6">
        <v>1</v>
      </c>
      <c r="W113" t="s">
        <v>86</v>
      </c>
      <c r="X113" s="6">
        <v>109</v>
      </c>
      <c r="Y113">
        <v>9.5929199999999994</v>
      </c>
      <c r="Z113">
        <v>8.4893097345132755</v>
      </c>
      <c r="AA113" s="6">
        <v>35.242449639942791</v>
      </c>
      <c r="AB113" s="4">
        <v>71.931489361702134</v>
      </c>
      <c r="AC113" s="6">
        <v>28.37487207094221</v>
      </c>
      <c r="AD113">
        <v>0.41114261900000004</v>
      </c>
      <c r="AE113">
        <v>2.3406929742620628</v>
      </c>
      <c r="AF113">
        <v>21750</v>
      </c>
      <c r="AG113" s="4">
        <v>0</v>
      </c>
      <c r="AH113" s="4">
        <v>1350</v>
      </c>
      <c r="AL113">
        <v>22</v>
      </c>
      <c r="AM113">
        <v>5.0602200000000002</v>
      </c>
      <c r="AN113" t="s">
        <v>81</v>
      </c>
      <c r="AO113" t="s">
        <v>108</v>
      </c>
      <c r="AP113" s="5">
        <v>44935</v>
      </c>
      <c r="AQ113" t="s">
        <v>127</v>
      </c>
      <c r="AR113" s="5">
        <v>45037</v>
      </c>
      <c r="AS113">
        <v>257.40742339141786</v>
      </c>
      <c r="AT113" s="6"/>
      <c r="AU113">
        <v>24.497233376281674</v>
      </c>
      <c r="AV113">
        <v>71.403451712304474</v>
      </c>
      <c r="AW113">
        <v>18.722208670561205</v>
      </c>
      <c r="AX113">
        <v>114.62289375914735</v>
      </c>
      <c r="AY113">
        <v>19.56525229023071</v>
      </c>
      <c r="AZ113">
        <v>36.780532934706009</v>
      </c>
      <c r="BA113">
        <v>4.2350295843184345</v>
      </c>
      <c r="BB113">
        <v>5.4026719705783011</v>
      </c>
      <c r="BC113">
        <v>9.2463076935906905</v>
      </c>
      <c r="BD113">
        <v>75.22979447342415</v>
      </c>
      <c r="BE113">
        <v>67.554735158846356</v>
      </c>
      <c r="BF113">
        <v>26.489820617705558</v>
      </c>
      <c r="BG113">
        <v>7.6165547090979599E-2</v>
      </c>
      <c r="BH113">
        <v>26.565986164796538</v>
      </c>
      <c r="BI113">
        <v>216.41867439736808</v>
      </c>
      <c r="BJ113" s="6">
        <v>187</v>
      </c>
      <c r="BK113">
        <v>40.988748994049779</v>
      </c>
      <c r="BL113" s="4">
        <v>393.20179000000002</v>
      </c>
      <c r="BM113" t="s">
        <v>1447</v>
      </c>
      <c r="BN113" t="s">
        <v>65</v>
      </c>
      <c r="BO113">
        <v>4</v>
      </c>
      <c r="BP113">
        <v>2023</v>
      </c>
      <c r="BQ113" t="str">
        <f t="shared" si="6"/>
        <v>Roiphet14</v>
      </c>
      <c r="BR113">
        <f t="shared" si="7"/>
        <v>-282.21099000000015</v>
      </c>
      <c r="BS113">
        <f t="shared" si="8"/>
        <v>2469.2888200000002</v>
      </c>
      <c r="BT113" s="6">
        <f t="shared" si="9"/>
        <v>-29.418674397368079</v>
      </c>
    </row>
    <row r="114" spans="1:72">
      <c r="A114" s="3" t="s">
        <v>967</v>
      </c>
      <c r="B114" s="3" t="s">
        <v>1174</v>
      </c>
      <c r="C114" s="3" t="s">
        <v>1391</v>
      </c>
      <c r="D114" s="2" t="s">
        <v>1438</v>
      </c>
      <c r="E114" s="4" t="str">
        <f t="shared" si="5"/>
        <v>Roiphet1D5-I09-0082</v>
      </c>
      <c r="F114">
        <v>0.72</v>
      </c>
      <c r="G114">
        <v>1.3</v>
      </c>
      <c r="H114" t="s">
        <v>72</v>
      </c>
      <c r="I114" t="s">
        <v>67</v>
      </c>
      <c r="J114" t="s">
        <v>357</v>
      </c>
      <c r="K114" t="s">
        <v>89</v>
      </c>
      <c r="L114" t="s">
        <v>89</v>
      </c>
      <c r="M114">
        <v>0.35776397515527952</v>
      </c>
      <c r="N114" s="5">
        <v>44909</v>
      </c>
      <c r="O114" s="5">
        <v>44939</v>
      </c>
      <c r="P114">
        <v>0.251</v>
      </c>
      <c r="Q114" s="4">
        <v>168</v>
      </c>
      <c r="R114">
        <v>0.3</v>
      </c>
      <c r="S114" t="s">
        <v>70</v>
      </c>
      <c r="T114" s="6">
        <v>3</v>
      </c>
      <c r="U114" s="5">
        <v>45060</v>
      </c>
      <c r="V114" s="6">
        <v>2</v>
      </c>
      <c r="W114" t="s">
        <v>71</v>
      </c>
      <c r="X114" s="6">
        <v>121.00000000000001</v>
      </c>
      <c r="Y114">
        <v>4.9518500000000003</v>
      </c>
      <c r="Z114">
        <v>6.8775694444444451</v>
      </c>
      <c r="AA114" s="6">
        <v>36.006946898633842</v>
      </c>
      <c r="AB114" s="4">
        <v>71.03625498007969</v>
      </c>
      <c r="AC114" s="6">
        <v>27.772418550653111</v>
      </c>
      <c r="AD114">
        <v>0.41074380199999999</v>
      </c>
      <c r="AE114">
        <v>2.4761307150942464</v>
      </c>
      <c r="AF114">
        <v>12075</v>
      </c>
      <c r="AG114" s="4">
        <v>0</v>
      </c>
      <c r="AH114" s="4">
        <v>4320</v>
      </c>
      <c r="AL114">
        <v>20</v>
      </c>
      <c r="AM114">
        <v>3.1618200000000001</v>
      </c>
      <c r="AN114" t="s">
        <v>81</v>
      </c>
      <c r="AO114" t="s">
        <v>189</v>
      </c>
      <c r="AP114" s="5">
        <v>44942</v>
      </c>
      <c r="AQ114" t="s">
        <v>144</v>
      </c>
      <c r="AR114" s="5">
        <v>45058</v>
      </c>
      <c r="AS114">
        <v>253.86645597100073</v>
      </c>
      <c r="AT114" s="6"/>
      <c r="AU114">
        <v>20.275250663893292</v>
      </c>
      <c r="AV114">
        <v>76.047008693720528</v>
      </c>
      <c r="AW114">
        <v>24.338315982915478</v>
      </c>
      <c r="AX114">
        <v>120.66057534052931</v>
      </c>
      <c r="AY114">
        <v>27.474943707907148</v>
      </c>
      <c r="AZ114">
        <v>51.041214899482007</v>
      </c>
      <c r="BA114">
        <v>6.4748386966487272</v>
      </c>
      <c r="BB114">
        <v>7.6767915021658562</v>
      </c>
      <c r="BC114">
        <v>13.041273463453052</v>
      </c>
      <c r="BD114">
        <v>105.7090622696568</v>
      </c>
      <c r="BE114">
        <v>27.496818360814629</v>
      </c>
      <c r="BF114">
        <v>37.771089592778459</v>
      </c>
      <c r="BG114">
        <v>0.10908246412956772</v>
      </c>
      <c r="BH114">
        <v>37.880172056908023</v>
      </c>
      <c r="BI114">
        <v>264.2498096670941</v>
      </c>
      <c r="BJ114" s="6">
        <v>186</v>
      </c>
      <c r="BK114">
        <v>-10.383353696093343</v>
      </c>
      <c r="BL114" s="4">
        <v>-51.41680999999982</v>
      </c>
      <c r="BM114" t="s">
        <v>1439</v>
      </c>
      <c r="BN114" t="s">
        <v>65</v>
      </c>
      <c r="BO114">
        <v>5</v>
      </c>
      <c r="BP114">
        <v>2023</v>
      </c>
      <c r="BQ114" t="str">
        <f t="shared" si="6"/>
        <v>Roiphet15</v>
      </c>
      <c r="BR114">
        <f t="shared" si="7"/>
        <v>-387.48131999999993</v>
      </c>
      <c r="BS114">
        <f t="shared" si="8"/>
        <v>1257.10861</v>
      </c>
      <c r="BT114" s="6">
        <f t="shared" si="9"/>
        <v>-78.249809667094098</v>
      </c>
    </row>
    <row r="115" spans="1:72">
      <c r="A115" s="3" t="s">
        <v>967</v>
      </c>
      <c r="B115" s="3" t="s">
        <v>1174</v>
      </c>
      <c r="C115" s="3" t="s">
        <v>1391</v>
      </c>
      <c r="D115" s="2" t="s">
        <v>1452</v>
      </c>
      <c r="E115" s="4" t="str">
        <f t="shared" si="5"/>
        <v>Roiphet1D2-I04-0091</v>
      </c>
      <c r="F115">
        <v>0.72</v>
      </c>
      <c r="G115">
        <v>1.3</v>
      </c>
      <c r="H115" t="s">
        <v>72</v>
      </c>
      <c r="I115" t="s">
        <v>67</v>
      </c>
      <c r="J115" t="s">
        <v>357</v>
      </c>
      <c r="K115" t="s">
        <v>89</v>
      </c>
      <c r="L115" t="s">
        <v>89</v>
      </c>
      <c r="M115">
        <v>0.34325581395348836</v>
      </c>
      <c r="N115" s="5">
        <v>44910</v>
      </c>
      <c r="O115" s="5">
        <v>44932</v>
      </c>
      <c r="P115">
        <v>0.25</v>
      </c>
      <c r="Q115" s="4">
        <v>167</v>
      </c>
      <c r="R115">
        <v>0.44</v>
      </c>
      <c r="S115" t="s">
        <v>70</v>
      </c>
      <c r="T115" s="6">
        <v>3</v>
      </c>
      <c r="U115" s="5">
        <v>45047</v>
      </c>
      <c r="V115" s="6">
        <v>2</v>
      </c>
      <c r="W115" t="s">
        <v>71</v>
      </c>
      <c r="X115" s="6">
        <v>115</v>
      </c>
      <c r="Y115">
        <v>4.4097200000000001</v>
      </c>
      <c r="Z115">
        <v>6.1246111111111112</v>
      </c>
      <c r="AA115" s="6">
        <v>34.784294694447716</v>
      </c>
      <c r="AB115" s="4">
        <v>61.355599999999995</v>
      </c>
      <c r="AC115" s="6">
        <v>28.748606484167709</v>
      </c>
      <c r="AD115">
        <v>0.41025258799999997</v>
      </c>
      <c r="AE115">
        <v>2.5001628012986892</v>
      </c>
      <c r="AF115">
        <v>10750</v>
      </c>
      <c r="AG115" s="4">
        <v>0</v>
      </c>
      <c r="AH115" s="4">
        <v>3690</v>
      </c>
      <c r="AL115">
        <v>21</v>
      </c>
      <c r="AM115">
        <v>2.44998</v>
      </c>
      <c r="AN115" t="s">
        <v>81</v>
      </c>
      <c r="AO115" t="s">
        <v>108</v>
      </c>
      <c r="AP115" s="5">
        <v>44935</v>
      </c>
      <c r="AQ115" t="s">
        <v>127</v>
      </c>
      <c r="AR115" s="5">
        <v>45037</v>
      </c>
      <c r="AS115">
        <v>250.87499886614114</v>
      </c>
      <c r="AT115" s="6"/>
      <c r="AU115">
        <v>25.511823879974237</v>
      </c>
      <c r="AV115">
        <v>76.574399281587048</v>
      </c>
      <c r="AW115">
        <v>27.196651941619884</v>
      </c>
      <c r="AX115">
        <v>129.28287510318114</v>
      </c>
      <c r="AY115">
        <v>28.32542428997759</v>
      </c>
      <c r="AZ115">
        <v>54.172246763966875</v>
      </c>
      <c r="BA115">
        <v>6.1829299819489671</v>
      </c>
      <c r="BB115">
        <v>8.0867311303211995</v>
      </c>
      <c r="BC115">
        <v>13.54968342661212</v>
      </c>
      <c r="BD115">
        <v>110.31701559282675</v>
      </c>
      <c r="BE115">
        <v>11.275108170133251</v>
      </c>
      <c r="BF115">
        <v>38.727195831027821</v>
      </c>
      <c r="BG115">
        <v>0.1115535680269949</v>
      </c>
      <c r="BH115">
        <v>38.838749399054812</v>
      </c>
      <c r="BI115">
        <v>278.43864009506268</v>
      </c>
      <c r="BJ115" s="6">
        <v>189</v>
      </c>
      <c r="BK115">
        <v>-27.563641228921551</v>
      </c>
      <c r="BL115" s="4">
        <v>-121.54793999999994</v>
      </c>
      <c r="BM115" t="s">
        <v>1453</v>
      </c>
      <c r="BN115" t="s">
        <v>65</v>
      </c>
      <c r="BO115">
        <v>5</v>
      </c>
      <c r="BP115">
        <v>2023</v>
      </c>
      <c r="BQ115" t="str">
        <f t="shared" si="6"/>
        <v>Roiphet15</v>
      </c>
      <c r="BR115">
        <f t="shared" si="7"/>
        <v>-394.39935999999983</v>
      </c>
      <c r="BS115">
        <f t="shared" si="8"/>
        <v>1106.2884999999999</v>
      </c>
      <c r="BT115" s="6">
        <f t="shared" si="9"/>
        <v>-89.438640095062681</v>
      </c>
    </row>
    <row r="116" spans="1:72">
      <c r="A116" s="3" t="s">
        <v>967</v>
      </c>
      <c r="B116" s="3" t="s">
        <v>1174</v>
      </c>
      <c r="C116" s="3" t="s">
        <v>1391</v>
      </c>
      <c r="D116" s="2" t="s">
        <v>1472</v>
      </c>
      <c r="E116" s="4" t="str">
        <f t="shared" si="5"/>
        <v>Roiphet1D6-G11-0076</v>
      </c>
      <c r="F116">
        <v>1.1299999999999999</v>
      </c>
      <c r="G116">
        <v>1.5</v>
      </c>
      <c r="H116" t="s">
        <v>72</v>
      </c>
      <c r="I116" t="s">
        <v>67</v>
      </c>
      <c r="J116" t="s">
        <v>357</v>
      </c>
      <c r="K116" t="s">
        <v>89</v>
      </c>
      <c r="L116" t="s">
        <v>89</v>
      </c>
      <c r="M116">
        <v>0.50467289719626163</v>
      </c>
      <c r="N116" s="5">
        <v>44967</v>
      </c>
      <c r="O116" s="5">
        <v>44990</v>
      </c>
      <c r="P116">
        <v>0.4</v>
      </c>
      <c r="Q116" s="4">
        <v>147</v>
      </c>
      <c r="R116">
        <v>1.333</v>
      </c>
      <c r="S116" t="s">
        <v>70</v>
      </c>
      <c r="T116" s="6">
        <v>2</v>
      </c>
      <c r="U116" s="5">
        <v>45078</v>
      </c>
      <c r="V116" s="6">
        <v>2</v>
      </c>
      <c r="W116" t="s">
        <v>71</v>
      </c>
      <c r="X116" s="6">
        <v>88</v>
      </c>
      <c r="Y116">
        <v>6.3938600000000001</v>
      </c>
      <c r="Z116">
        <v>5.658283185840709</v>
      </c>
      <c r="AA116" s="6">
        <v>32.251409946417347</v>
      </c>
      <c r="AB116" s="4">
        <v>51.552750000000003</v>
      </c>
      <c r="AC116" s="6">
        <v>31.006396361008868</v>
      </c>
      <c r="AD116">
        <v>0.40572769400000003</v>
      </c>
      <c r="AE116">
        <v>2.2822167960918209</v>
      </c>
      <c r="AF116">
        <v>13375</v>
      </c>
      <c r="AG116" s="4"/>
      <c r="AH116" s="4">
        <v>6750</v>
      </c>
      <c r="AL116">
        <v>27.000000000000004</v>
      </c>
      <c r="AM116">
        <v>5.6639600000000003</v>
      </c>
      <c r="AN116" t="s">
        <v>81</v>
      </c>
      <c r="AO116" t="s">
        <v>123</v>
      </c>
      <c r="AP116" s="5">
        <v>44995</v>
      </c>
      <c r="AQ116" t="s">
        <v>123</v>
      </c>
      <c r="AR116" s="5">
        <v>45075</v>
      </c>
      <c r="AS116">
        <v>223.29213964647337</v>
      </c>
      <c r="AT116" s="6"/>
      <c r="AU116">
        <v>31.280009258882743</v>
      </c>
      <c r="AV116">
        <v>63.741602099514225</v>
      </c>
      <c r="AW116">
        <v>24.010183207014222</v>
      </c>
      <c r="AX116">
        <v>119.03179456541118</v>
      </c>
      <c r="AY116">
        <v>21.93554597692161</v>
      </c>
      <c r="AZ116">
        <v>43.993176265980182</v>
      </c>
      <c r="BA116">
        <v>5.8976330416993807</v>
      </c>
      <c r="BB116">
        <v>5.2009318314758222</v>
      </c>
      <c r="BC116">
        <v>11.908943893047391</v>
      </c>
      <c r="BD116">
        <v>88.936231009124398</v>
      </c>
      <c r="BE116">
        <v>15.3241140719378</v>
      </c>
      <c r="BF116">
        <v>32.287898077217832</v>
      </c>
      <c r="BG116">
        <v>9.5027104128022816E-2</v>
      </c>
      <c r="BH116">
        <v>32.382925181345854</v>
      </c>
      <c r="BI116">
        <v>240.3509507558814</v>
      </c>
      <c r="BJ116" s="6">
        <v>192</v>
      </c>
      <c r="BK116">
        <v>-17.058811109408037</v>
      </c>
      <c r="BL116" s="4">
        <v>-109.07164999999968</v>
      </c>
      <c r="BM116" t="s">
        <v>1473</v>
      </c>
      <c r="BN116" t="s">
        <v>65</v>
      </c>
      <c r="BO116">
        <v>6</v>
      </c>
      <c r="BP116">
        <v>2023</v>
      </c>
      <c r="BQ116" t="str">
        <f t="shared" si="6"/>
        <v>Roiphet16</v>
      </c>
      <c r="BR116">
        <f t="shared" si="7"/>
        <v>-309.14920999999987</v>
      </c>
      <c r="BS116">
        <f t="shared" si="8"/>
        <v>1427.6986800000002</v>
      </c>
      <c r="BT116" s="6">
        <f t="shared" si="9"/>
        <v>-48.350950755881399</v>
      </c>
    </row>
    <row r="117" spans="1:72">
      <c r="A117" s="3" t="s">
        <v>967</v>
      </c>
      <c r="B117" s="3" t="s">
        <v>1174</v>
      </c>
      <c r="C117" s="3" t="s">
        <v>1391</v>
      </c>
      <c r="D117" s="2" t="s">
        <v>1428</v>
      </c>
      <c r="E117" s="4" t="str">
        <f t="shared" si="5"/>
        <v>Roiphet1D2-I03-0085</v>
      </c>
      <c r="F117">
        <v>0.72</v>
      </c>
      <c r="G117">
        <v>1.3</v>
      </c>
      <c r="H117" t="s">
        <v>72</v>
      </c>
      <c r="I117" t="s">
        <v>67</v>
      </c>
      <c r="J117" t="s">
        <v>357</v>
      </c>
      <c r="K117" t="s">
        <v>89</v>
      </c>
      <c r="L117" t="s">
        <v>89</v>
      </c>
      <c r="M117">
        <v>0.29556650246305421</v>
      </c>
      <c r="N117" s="5">
        <v>44910</v>
      </c>
      <c r="O117" s="5">
        <v>44931</v>
      </c>
      <c r="P117">
        <v>0.18</v>
      </c>
      <c r="Q117" s="4">
        <v>120</v>
      </c>
      <c r="R117">
        <v>0.6</v>
      </c>
      <c r="S117" t="s">
        <v>70</v>
      </c>
      <c r="T117" s="6">
        <v>4</v>
      </c>
      <c r="U117" s="5">
        <v>45042</v>
      </c>
      <c r="V117" s="6">
        <v>2</v>
      </c>
      <c r="W117" t="s">
        <v>71</v>
      </c>
      <c r="X117" s="6">
        <v>111</v>
      </c>
      <c r="Y117">
        <v>4.35886</v>
      </c>
      <c r="Z117">
        <v>6.0539722222222228</v>
      </c>
      <c r="AA117" s="6">
        <v>36.590071715999137</v>
      </c>
      <c r="AB117" s="4">
        <v>88.606111111111105</v>
      </c>
      <c r="AC117" s="6">
        <v>27.329817983459883</v>
      </c>
      <c r="AD117">
        <v>0.40409500399999998</v>
      </c>
      <c r="AE117">
        <v>2.3877521254522618</v>
      </c>
      <c r="AF117">
        <v>10150</v>
      </c>
      <c r="AG117" s="4">
        <v>0</v>
      </c>
      <c r="AH117" s="4">
        <v>3000</v>
      </c>
      <c r="AL117">
        <v>22</v>
      </c>
      <c r="AM117">
        <v>2.4255800000000001</v>
      </c>
      <c r="AN117" t="s">
        <v>81</v>
      </c>
      <c r="AO117" t="s">
        <v>108</v>
      </c>
      <c r="AP117" s="5">
        <v>44935</v>
      </c>
      <c r="AQ117" t="s">
        <v>127</v>
      </c>
      <c r="AR117" s="5">
        <v>45037</v>
      </c>
      <c r="AS117">
        <v>254.40403454114147</v>
      </c>
      <c r="AT117" s="6"/>
      <c r="AU117">
        <v>20.647600519401863</v>
      </c>
      <c r="AV117">
        <v>73.442111010677095</v>
      </c>
      <c r="AW117">
        <v>27.13600345044345</v>
      </c>
      <c r="AX117">
        <v>121.22571498052243</v>
      </c>
      <c r="AY117">
        <v>27.784397755376407</v>
      </c>
      <c r="AZ117">
        <v>52.498577609742</v>
      </c>
      <c r="BA117">
        <v>6.029064938997811</v>
      </c>
      <c r="BB117">
        <v>7.7488884708387076</v>
      </c>
      <c r="BC117">
        <v>13.177814841495252</v>
      </c>
      <c r="BD117">
        <v>107.23874361645018</v>
      </c>
      <c r="BE117">
        <v>25.93957594416888</v>
      </c>
      <c r="BF117">
        <v>37.726811597527792</v>
      </c>
      <c r="BG117">
        <v>0.10853296504131817</v>
      </c>
      <c r="BH117">
        <v>37.835344562569105</v>
      </c>
      <c r="BI117">
        <v>266.2998031595418</v>
      </c>
      <c r="BJ117" s="6">
        <v>186</v>
      </c>
      <c r="BK117">
        <v>-11.895768618400329</v>
      </c>
      <c r="BL117" s="4">
        <v>-51.851990000000455</v>
      </c>
      <c r="BM117" t="s">
        <v>1429</v>
      </c>
      <c r="BN117" t="s">
        <v>65</v>
      </c>
      <c r="BO117">
        <v>4</v>
      </c>
      <c r="BP117">
        <v>2023</v>
      </c>
      <c r="BQ117" t="str">
        <f t="shared" si="6"/>
        <v>Roiphet14</v>
      </c>
      <c r="BR117">
        <f t="shared" si="7"/>
        <v>-350.01560000000035</v>
      </c>
      <c r="BS117">
        <f t="shared" si="8"/>
        <v>1108.91157</v>
      </c>
      <c r="BT117" s="6">
        <f t="shared" si="9"/>
        <v>-80.299803159541796</v>
      </c>
    </row>
    <row r="118" spans="1:72">
      <c r="A118" s="3" t="s">
        <v>967</v>
      </c>
      <c r="B118" s="3" t="s">
        <v>1174</v>
      </c>
      <c r="C118" s="3" t="s">
        <v>1391</v>
      </c>
      <c r="D118" s="2" t="s">
        <v>1430</v>
      </c>
      <c r="E118" s="4" t="str">
        <f t="shared" si="5"/>
        <v>Roiphet1D5-I10-0074</v>
      </c>
      <c r="F118">
        <v>0.72</v>
      </c>
      <c r="G118">
        <v>1.3</v>
      </c>
      <c r="H118" t="s">
        <v>72</v>
      </c>
      <c r="I118" t="s">
        <v>67</v>
      </c>
      <c r="J118" t="s">
        <v>357</v>
      </c>
      <c r="K118" t="s">
        <v>89</v>
      </c>
      <c r="L118" t="s">
        <v>89</v>
      </c>
      <c r="M118">
        <v>0.1430167597765363</v>
      </c>
      <c r="N118" s="5">
        <v>44912</v>
      </c>
      <c r="O118" s="5">
        <v>44940</v>
      </c>
      <c r="P118">
        <v>0.26</v>
      </c>
      <c r="Q118" s="4">
        <v>174</v>
      </c>
      <c r="R118">
        <v>0.44900000000000001</v>
      </c>
      <c r="S118" t="s">
        <v>70</v>
      </c>
      <c r="T118" s="6">
        <v>4</v>
      </c>
      <c r="U118" s="5">
        <v>45049</v>
      </c>
      <c r="V118" s="6">
        <v>1</v>
      </c>
      <c r="W118" t="s">
        <v>86</v>
      </c>
      <c r="X118" s="6">
        <v>109</v>
      </c>
      <c r="Y118">
        <v>6.6232899999999999</v>
      </c>
      <c r="Z118">
        <v>9.1990138888888886</v>
      </c>
      <c r="AA118" s="6">
        <v>36.562644848708118</v>
      </c>
      <c r="AB118" s="4">
        <v>93.140384615384619</v>
      </c>
      <c r="AC118" s="6">
        <v>27.350318997377823</v>
      </c>
      <c r="AD118">
        <v>0.39476386100000005</v>
      </c>
      <c r="AE118">
        <v>2.0633244652646821</v>
      </c>
      <c r="AF118">
        <v>13425</v>
      </c>
      <c r="AG118" s="4">
        <v>0</v>
      </c>
      <c r="AH118" s="4">
        <v>1920</v>
      </c>
      <c r="AL118">
        <v>23</v>
      </c>
      <c r="AM118">
        <v>3.6618000000000004</v>
      </c>
      <c r="AN118" t="s">
        <v>81</v>
      </c>
      <c r="AO118" t="s">
        <v>108</v>
      </c>
      <c r="AP118" s="5">
        <v>44942</v>
      </c>
      <c r="AQ118" t="s">
        <v>127</v>
      </c>
      <c r="AR118" s="5">
        <v>45047</v>
      </c>
      <c r="AS118">
        <v>243.83623244641257</v>
      </c>
      <c r="AT118" s="6"/>
      <c r="AU118">
        <v>17.664936912018046</v>
      </c>
      <c r="AV118">
        <v>63.369453851484664</v>
      </c>
      <c r="AW118">
        <v>24.312995505254932</v>
      </c>
      <c r="AX118">
        <v>105.34738626875763</v>
      </c>
      <c r="AY118">
        <v>18.773207877052037</v>
      </c>
      <c r="AZ118">
        <v>35.913062843390527</v>
      </c>
      <c r="BA118">
        <v>4.1410099814442667</v>
      </c>
      <c r="BB118">
        <v>5.2272843254636303</v>
      </c>
      <c r="BC118">
        <v>8.9619011095694123</v>
      </c>
      <c r="BD118">
        <v>73.01646613691986</v>
      </c>
      <c r="BE118">
        <v>65.472380040735061</v>
      </c>
      <c r="BF118">
        <v>25.721962951946846</v>
      </c>
      <c r="BG118">
        <v>7.4180656441134238E-2</v>
      </c>
      <c r="BH118">
        <v>25.796143608387979</v>
      </c>
      <c r="BI118">
        <v>204.15999601406554</v>
      </c>
      <c r="BJ118" s="6">
        <v>186</v>
      </c>
      <c r="BK118">
        <v>39.676236432347025</v>
      </c>
      <c r="BL118" s="4">
        <v>262.78721999999976</v>
      </c>
      <c r="BM118" t="s">
        <v>1431</v>
      </c>
      <c r="BN118" t="s">
        <v>65</v>
      </c>
      <c r="BO118">
        <v>5</v>
      </c>
      <c r="BP118">
        <v>2023</v>
      </c>
      <c r="BQ118" t="str">
        <f t="shared" si="6"/>
        <v>Roiphet15</v>
      </c>
      <c r="BR118">
        <f t="shared" si="7"/>
        <v>-120.27892000000016</v>
      </c>
      <c r="BS118">
        <f t="shared" si="8"/>
        <v>1614.9980799999998</v>
      </c>
      <c r="BT118" s="6">
        <f t="shared" si="9"/>
        <v>-18.159996014065541</v>
      </c>
    </row>
    <row r="119" spans="1:72">
      <c r="A119" s="3" t="s">
        <v>967</v>
      </c>
      <c r="B119" s="3" t="s">
        <v>1174</v>
      </c>
      <c r="C119" s="3" t="s">
        <v>1391</v>
      </c>
      <c r="D119" s="2" t="s">
        <v>1460</v>
      </c>
      <c r="E119" s="4" t="str">
        <f t="shared" si="5"/>
        <v>Roiphet1D5-G10-0069</v>
      </c>
      <c r="F119">
        <v>1.1299999999999999</v>
      </c>
      <c r="G119">
        <v>1.5</v>
      </c>
      <c r="H119" t="s">
        <v>72</v>
      </c>
      <c r="I119" t="s">
        <v>67</v>
      </c>
      <c r="J119" t="s">
        <v>357</v>
      </c>
      <c r="K119" t="s">
        <v>89</v>
      </c>
      <c r="L119" t="s">
        <v>89</v>
      </c>
      <c r="M119">
        <v>0.58880976602238044</v>
      </c>
      <c r="N119" s="5">
        <v>44912</v>
      </c>
      <c r="O119" s="5">
        <v>44940</v>
      </c>
      <c r="P119">
        <v>0.47</v>
      </c>
      <c r="Q119" s="4">
        <v>173</v>
      </c>
      <c r="R119">
        <v>0.45</v>
      </c>
      <c r="S119" t="s">
        <v>70</v>
      </c>
      <c r="T119" s="6">
        <v>4</v>
      </c>
      <c r="U119" s="5">
        <v>45049</v>
      </c>
      <c r="V119" s="6">
        <v>1</v>
      </c>
      <c r="W119" t="s">
        <v>86</v>
      </c>
      <c r="X119" s="6">
        <v>109.00000000000001</v>
      </c>
      <c r="Y119">
        <v>10.91056</v>
      </c>
      <c r="Z119">
        <v>9.6553628318584082</v>
      </c>
      <c r="AA119" s="6">
        <v>34.416656890205452</v>
      </c>
      <c r="AB119" s="4">
        <v>79.894680851063825</v>
      </c>
      <c r="AC119" s="6">
        <v>29.055698326253978</v>
      </c>
      <c r="AD119">
        <v>0.39475468699999999</v>
      </c>
      <c r="AE119">
        <v>2.2969135837085974</v>
      </c>
      <c r="AF119">
        <v>24575</v>
      </c>
      <c r="AG119" s="4">
        <v>0</v>
      </c>
      <c r="AH119" s="4">
        <v>14470</v>
      </c>
      <c r="AL119">
        <v>23</v>
      </c>
      <c r="AM119">
        <v>6.4087399999999999</v>
      </c>
      <c r="AN119" t="s">
        <v>81</v>
      </c>
      <c r="AO119" t="s">
        <v>176</v>
      </c>
      <c r="AP119" s="5">
        <v>44946</v>
      </c>
      <c r="AQ119" t="s">
        <v>127</v>
      </c>
      <c r="AR119" s="5">
        <v>45047</v>
      </c>
      <c r="AS119">
        <v>249.143546252438</v>
      </c>
      <c r="AT119" s="6"/>
      <c r="AU119">
        <v>19.384889501547125</v>
      </c>
      <c r="AV119">
        <v>70.368687766714075</v>
      </c>
      <c r="AW119">
        <v>18.557511255150974</v>
      </c>
      <c r="AX119">
        <v>108.31108852341218</v>
      </c>
      <c r="AY119">
        <v>17.885915113431391</v>
      </c>
      <c r="AZ119">
        <v>34.21567820533501</v>
      </c>
      <c r="BA119">
        <v>3.9452897009869341</v>
      </c>
      <c r="BB119">
        <v>4.9802219134489896</v>
      </c>
      <c r="BC119">
        <v>8.5383289217052099</v>
      </c>
      <c r="BD119">
        <v>69.565433854907539</v>
      </c>
      <c r="BE119">
        <v>71.267023874118266</v>
      </c>
      <c r="BF119">
        <v>24.506245325629482</v>
      </c>
      <c r="BG119">
        <v>7.0673732604009332E-2</v>
      </c>
      <c r="BH119">
        <v>24.576919058233493</v>
      </c>
      <c r="BI119">
        <v>202.45344143655325</v>
      </c>
      <c r="BJ119" s="6">
        <v>189</v>
      </c>
      <c r="BK119">
        <v>46.690104815884752</v>
      </c>
      <c r="BL119" s="4">
        <v>509.41518999999948</v>
      </c>
      <c r="BM119" t="s">
        <v>1461</v>
      </c>
      <c r="BN119" t="s">
        <v>65</v>
      </c>
      <c r="BO119">
        <v>5</v>
      </c>
      <c r="BP119">
        <v>2023</v>
      </c>
      <c r="BQ119" t="str">
        <f t="shared" si="6"/>
        <v>Roiphet15</v>
      </c>
      <c r="BR119">
        <f t="shared" si="7"/>
        <v>-146.7845800000004</v>
      </c>
      <c r="BS119">
        <f t="shared" si="8"/>
        <v>2718.2956100000001</v>
      </c>
      <c r="BT119" s="6">
        <f t="shared" si="9"/>
        <v>-13.453441436553248</v>
      </c>
    </row>
    <row r="120" spans="1:72">
      <c r="A120" s="3" t="s">
        <v>967</v>
      </c>
      <c r="B120" s="3" t="s">
        <v>1174</v>
      </c>
      <c r="C120" s="3" t="s">
        <v>1391</v>
      </c>
      <c r="D120" s="2" t="s">
        <v>1436</v>
      </c>
      <c r="E120" s="4" t="str">
        <f t="shared" si="5"/>
        <v>Roiphet1D2-G04-0079</v>
      </c>
      <c r="F120">
        <v>1.1299999999999999</v>
      </c>
      <c r="G120">
        <v>1.5</v>
      </c>
      <c r="H120" t="s">
        <v>72</v>
      </c>
      <c r="I120" t="s">
        <v>67</v>
      </c>
      <c r="J120" t="s">
        <v>357</v>
      </c>
      <c r="K120" t="s">
        <v>89</v>
      </c>
      <c r="L120" t="s">
        <v>89</v>
      </c>
      <c r="M120">
        <v>0.24507042253521127</v>
      </c>
      <c r="N120" s="5">
        <v>44905</v>
      </c>
      <c r="O120" s="5">
        <v>44932</v>
      </c>
      <c r="P120">
        <v>0.44900000000000001</v>
      </c>
      <c r="Q120" s="4">
        <v>166</v>
      </c>
      <c r="R120">
        <v>0.48</v>
      </c>
      <c r="S120" t="s">
        <v>70</v>
      </c>
      <c r="T120" s="6">
        <v>3</v>
      </c>
      <c r="U120" s="5">
        <v>45047</v>
      </c>
      <c r="V120" s="6">
        <v>2</v>
      </c>
      <c r="W120" t="s">
        <v>71</v>
      </c>
      <c r="X120" s="6">
        <v>115</v>
      </c>
      <c r="Y120">
        <v>7.97194</v>
      </c>
      <c r="Z120">
        <v>7.0548141592920359</v>
      </c>
      <c r="AA120" s="6">
        <v>36.096985175503079</v>
      </c>
      <c r="AB120" s="4">
        <v>64.089755011135864</v>
      </c>
      <c r="AC120" s="6">
        <v>27.703144601633984</v>
      </c>
      <c r="AD120">
        <v>0.39108300400000001</v>
      </c>
      <c r="AE120">
        <v>2.746112252817666</v>
      </c>
      <c r="AF120">
        <v>21300</v>
      </c>
      <c r="AG120" s="4">
        <v>0</v>
      </c>
      <c r="AH120" s="4">
        <v>5220</v>
      </c>
      <c r="AL120">
        <v>22</v>
      </c>
      <c r="AM120">
        <v>5.4620800000000003</v>
      </c>
      <c r="AN120" t="s">
        <v>81</v>
      </c>
      <c r="AO120" t="s">
        <v>108</v>
      </c>
      <c r="AP120" s="5">
        <v>44935</v>
      </c>
      <c r="AQ120" t="s">
        <v>117</v>
      </c>
      <c r="AR120" s="5">
        <v>45037</v>
      </c>
      <c r="AS120">
        <v>250.15663063194157</v>
      </c>
      <c r="AT120" s="6"/>
      <c r="AU120">
        <v>25.345148106985249</v>
      </c>
      <c r="AV120">
        <v>83.660467840952109</v>
      </c>
      <c r="AW120">
        <v>28.445339528395852</v>
      </c>
      <c r="AX120">
        <v>137.45095547633321</v>
      </c>
      <c r="AY120">
        <v>25.633232312335522</v>
      </c>
      <c r="AZ120">
        <v>48.471217796420952</v>
      </c>
      <c r="BA120">
        <v>5.6309104182921601</v>
      </c>
      <c r="BB120">
        <v>7.660559412138074</v>
      </c>
      <c r="BC120">
        <v>12.282199815854108</v>
      </c>
      <c r="BD120">
        <v>99.678119755040811</v>
      </c>
      <c r="BE120">
        <v>13.02755540056755</v>
      </c>
      <c r="BF120">
        <v>34.952507168894897</v>
      </c>
      <c r="BG120">
        <v>0.10051254776127266</v>
      </c>
      <c r="BH120">
        <v>35.053019716656173</v>
      </c>
      <c r="BI120">
        <v>272.18209494803023</v>
      </c>
      <c r="BJ120" s="6">
        <v>186</v>
      </c>
      <c r="BK120">
        <v>-22.025464316088673</v>
      </c>
      <c r="BL120" s="4">
        <v>-175.58567999999994</v>
      </c>
      <c r="BM120" t="s">
        <v>1437</v>
      </c>
      <c r="BN120" t="s">
        <v>65</v>
      </c>
      <c r="BO120">
        <v>5</v>
      </c>
      <c r="BP120">
        <v>2023</v>
      </c>
      <c r="BQ120" t="str">
        <f t="shared" si="6"/>
        <v>Roiphet15</v>
      </c>
      <c r="BR120">
        <f t="shared" si="7"/>
        <v>-687.03849000000014</v>
      </c>
      <c r="BS120">
        <f t="shared" si="8"/>
        <v>1994.2336500000004</v>
      </c>
      <c r="BT120" s="6">
        <f t="shared" si="9"/>
        <v>-86.182094948030226</v>
      </c>
    </row>
    <row r="121" spans="1:72">
      <c r="A121" s="3" t="s">
        <v>967</v>
      </c>
      <c r="B121" s="3" t="s">
        <v>1174</v>
      </c>
      <c r="C121" s="3" t="s">
        <v>1391</v>
      </c>
      <c r="D121" s="2" t="s">
        <v>1458</v>
      </c>
      <c r="E121" s="4" t="str">
        <f t="shared" si="5"/>
        <v>Roiphet1D6-I11-0082</v>
      </c>
      <c r="F121">
        <v>0.72</v>
      </c>
      <c r="G121">
        <v>1.3</v>
      </c>
      <c r="H121" t="s">
        <v>72</v>
      </c>
      <c r="I121" t="s">
        <v>67</v>
      </c>
      <c r="J121" t="s">
        <v>357</v>
      </c>
      <c r="K121" t="s">
        <v>89</v>
      </c>
      <c r="L121" t="s">
        <v>89</v>
      </c>
      <c r="M121">
        <v>1.0921348314606742</v>
      </c>
      <c r="N121" s="5">
        <v>44845</v>
      </c>
      <c r="O121" s="5">
        <v>44862</v>
      </c>
      <c r="P121">
        <v>0.25</v>
      </c>
      <c r="Q121" s="4">
        <v>167</v>
      </c>
      <c r="R121">
        <v>0.432</v>
      </c>
      <c r="S121" t="s">
        <v>70</v>
      </c>
      <c r="T121" s="6">
        <v>3</v>
      </c>
      <c r="U121" s="5">
        <v>44964</v>
      </c>
      <c r="V121" s="6">
        <v>2</v>
      </c>
      <c r="W121" t="s">
        <v>71</v>
      </c>
      <c r="X121" s="6">
        <v>102</v>
      </c>
      <c r="Y121">
        <v>4.15707</v>
      </c>
      <c r="Z121">
        <v>5.7737083333333334</v>
      </c>
      <c r="AA121" s="6">
        <v>34.610675307367934</v>
      </c>
      <c r="AB121" s="4">
        <v>57.551600000000001</v>
      </c>
      <c r="AC121" s="6">
        <v>28.892819660965113</v>
      </c>
      <c r="AD121">
        <v>0.38792156900000002</v>
      </c>
      <c r="AE121">
        <v>2.198035598297881</v>
      </c>
      <c r="AF121">
        <v>8900</v>
      </c>
      <c r="AG121" s="4">
        <v>0</v>
      </c>
      <c r="AH121" s="4">
        <v>9720</v>
      </c>
      <c r="AL121">
        <v>25</v>
      </c>
      <c r="AM121">
        <v>2.3904699999999997</v>
      </c>
      <c r="AN121" t="s">
        <v>81</v>
      </c>
      <c r="AO121" t="s">
        <v>90</v>
      </c>
      <c r="AP121" s="5">
        <v>44865</v>
      </c>
      <c r="AQ121" t="s">
        <v>176</v>
      </c>
      <c r="AR121" s="5">
        <v>44956</v>
      </c>
      <c r="AS121">
        <v>272.2666108581285</v>
      </c>
      <c r="AT121" s="6"/>
      <c r="AU121">
        <v>27.062329958360092</v>
      </c>
      <c r="AV121">
        <v>69.154103731714898</v>
      </c>
      <c r="AW121">
        <v>19.227475120697989</v>
      </c>
      <c r="AX121">
        <v>115.44390881077297</v>
      </c>
      <c r="AY121">
        <v>31.687693495659211</v>
      </c>
      <c r="AZ121">
        <v>42.345923932000183</v>
      </c>
      <c r="BA121">
        <v>7.4259899400298774</v>
      </c>
      <c r="BB121">
        <v>8.5616503931855874</v>
      </c>
      <c r="BC121">
        <v>15.629869114544622</v>
      </c>
      <c r="BD121">
        <v>105.65112687541949</v>
      </c>
      <c r="BE121">
        <v>51.171575171936041</v>
      </c>
      <c r="BF121">
        <v>40.258696630078397</v>
      </c>
      <c r="BG121">
        <v>0.11150642159020656</v>
      </c>
      <c r="BH121">
        <v>40.370203051668611</v>
      </c>
      <c r="BI121">
        <v>261.46523873786106</v>
      </c>
      <c r="BJ121" s="6">
        <v>189</v>
      </c>
      <c r="BK121">
        <v>10.801372120267414</v>
      </c>
      <c r="BL121" s="4">
        <v>44.902060000000056</v>
      </c>
      <c r="BM121" t="s">
        <v>1459</v>
      </c>
      <c r="BN121" t="s">
        <v>65</v>
      </c>
      <c r="BO121">
        <v>2</v>
      </c>
      <c r="BP121">
        <v>2023</v>
      </c>
      <c r="BQ121" t="str">
        <f t="shared" si="6"/>
        <v>Roiphet12</v>
      </c>
      <c r="BR121">
        <f t="shared" si="7"/>
        <v>-301.24307000000005</v>
      </c>
      <c r="BS121">
        <f t="shared" si="8"/>
        <v>1131.8313600000004</v>
      </c>
      <c r="BT121" s="6">
        <f t="shared" si="9"/>
        <v>-72.465238737861057</v>
      </c>
    </row>
    <row r="122" spans="1:72">
      <c r="A122" s="3" t="s">
        <v>967</v>
      </c>
      <c r="B122" s="3" t="s">
        <v>1174</v>
      </c>
      <c r="C122" s="3" t="s">
        <v>1391</v>
      </c>
      <c r="D122" s="2" t="s">
        <v>1442</v>
      </c>
      <c r="E122" s="4" t="str">
        <f t="shared" si="5"/>
        <v>Roiphet1D1-G02-0078</v>
      </c>
      <c r="F122">
        <v>1.1299999999999999</v>
      </c>
      <c r="G122">
        <v>1.5</v>
      </c>
      <c r="H122" t="s">
        <v>72</v>
      </c>
      <c r="I122" t="s">
        <v>67</v>
      </c>
      <c r="J122" t="s">
        <v>357</v>
      </c>
      <c r="K122" t="s">
        <v>89</v>
      </c>
      <c r="L122" t="s">
        <v>89</v>
      </c>
      <c r="M122">
        <v>0.45447470817120622</v>
      </c>
      <c r="N122" s="5">
        <v>44841</v>
      </c>
      <c r="O122" s="5">
        <v>44867</v>
      </c>
      <c r="P122">
        <v>0.47</v>
      </c>
      <c r="Q122" s="4">
        <v>173</v>
      </c>
      <c r="R122">
        <v>0.35299999999999998</v>
      </c>
      <c r="S122" t="s">
        <v>70</v>
      </c>
      <c r="T122" s="6">
        <v>4</v>
      </c>
      <c r="U122" s="5">
        <v>44970</v>
      </c>
      <c r="V122" s="6">
        <v>1</v>
      </c>
      <c r="W122" t="s">
        <v>86</v>
      </c>
      <c r="X122" s="6">
        <v>103</v>
      </c>
      <c r="Y122">
        <v>11.804790000000001</v>
      </c>
      <c r="Z122">
        <v>10.446716814159293</v>
      </c>
      <c r="AA122" s="6">
        <v>35.763533277593247</v>
      </c>
      <c r="AB122" s="4">
        <v>89.825744680851059</v>
      </c>
      <c r="AC122" s="6">
        <v>27.961443077732064</v>
      </c>
      <c r="AD122">
        <v>0.38492232999999998</v>
      </c>
      <c r="AE122">
        <v>1.6560886065399818</v>
      </c>
      <c r="AF122">
        <v>19275</v>
      </c>
      <c r="AG122" s="4">
        <v>0</v>
      </c>
      <c r="AH122" s="4">
        <v>8760</v>
      </c>
      <c r="AL122">
        <v>25</v>
      </c>
      <c r="AM122">
        <v>6.7219199999999999</v>
      </c>
      <c r="AN122" t="s">
        <v>81</v>
      </c>
      <c r="AO122" t="s">
        <v>102</v>
      </c>
      <c r="AP122" s="5">
        <v>44869</v>
      </c>
      <c r="AQ122" t="s">
        <v>136</v>
      </c>
      <c r="AR122" s="5">
        <v>44956</v>
      </c>
      <c r="AS122">
        <v>265.01457967486078</v>
      </c>
      <c r="AT122" s="6"/>
      <c r="AU122">
        <v>15.925738619662017</v>
      </c>
      <c r="AV122">
        <v>53.640261283767003</v>
      </c>
      <c r="AW122">
        <v>15.763089389984904</v>
      </c>
      <c r="AX122">
        <v>85.329089293413915</v>
      </c>
      <c r="AY122">
        <v>18.961857008892149</v>
      </c>
      <c r="AZ122">
        <v>25.18512485186098</v>
      </c>
      <c r="BA122">
        <v>4.4258788169886962</v>
      </c>
      <c r="BB122">
        <v>4.9629777403918229</v>
      </c>
      <c r="BC122">
        <v>9.4155702896874907</v>
      </c>
      <c r="BD122">
        <v>62.951408707821138</v>
      </c>
      <c r="BE122">
        <v>116.73408167362572</v>
      </c>
      <c r="BF122">
        <v>24.047263864922623</v>
      </c>
      <c r="BG122">
        <v>6.6673782422220135E-2</v>
      </c>
      <c r="BH122">
        <v>24.113937647344844</v>
      </c>
      <c r="BI122">
        <v>172.39443564857993</v>
      </c>
      <c r="BJ122" s="6">
        <v>187</v>
      </c>
      <c r="BK122">
        <v>92.62014402628084</v>
      </c>
      <c r="BL122" s="4">
        <v>1093.3613499999999</v>
      </c>
      <c r="BM122" t="s">
        <v>1443</v>
      </c>
      <c r="BN122" t="s">
        <v>65</v>
      </c>
      <c r="BO122">
        <v>2</v>
      </c>
      <c r="BP122">
        <v>2023</v>
      </c>
      <c r="BQ122" t="str">
        <f t="shared" si="6"/>
        <v>Roiphet12</v>
      </c>
      <c r="BR122">
        <f t="shared" si="7"/>
        <v>172.41562000000016</v>
      </c>
      <c r="BS122">
        <f t="shared" si="8"/>
        <v>3128.44146</v>
      </c>
      <c r="BT122" s="6">
        <f t="shared" si="9"/>
        <v>14.605564351420071</v>
      </c>
    </row>
    <row r="123" spans="1:72">
      <c r="A123" s="3" t="s">
        <v>967</v>
      </c>
      <c r="B123" s="3" t="s">
        <v>1174</v>
      </c>
      <c r="C123" s="3" t="s">
        <v>1391</v>
      </c>
      <c r="D123" s="2" t="s">
        <v>1434</v>
      </c>
      <c r="E123" s="4" t="str">
        <f t="shared" si="5"/>
        <v>Roiphet1D6-G11-0075</v>
      </c>
      <c r="F123">
        <v>1.1299999999999999</v>
      </c>
      <c r="G123">
        <v>1.5</v>
      </c>
      <c r="H123" t="s">
        <v>72</v>
      </c>
      <c r="I123" t="s">
        <v>67</v>
      </c>
      <c r="J123" t="s">
        <v>357</v>
      </c>
      <c r="K123" t="s">
        <v>89</v>
      </c>
      <c r="L123" t="s">
        <v>89</v>
      </c>
      <c r="M123">
        <v>1.1347150259067358</v>
      </c>
      <c r="N123" s="5">
        <v>44845</v>
      </c>
      <c r="O123" s="5">
        <v>44862</v>
      </c>
      <c r="P123">
        <v>0.54500000000000004</v>
      </c>
      <c r="Q123" s="4">
        <v>201</v>
      </c>
      <c r="R123">
        <v>0.433</v>
      </c>
      <c r="S123" t="s">
        <v>70</v>
      </c>
      <c r="T123" s="6">
        <v>4</v>
      </c>
      <c r="U123" s="5">
        <v>44966</v>
      </c>
      <c r="V123" s="6">
        <v>1</v>
      </c>
      <c r="W123" t="s">
        <v>86</v>
      </c>
      <c r="X123" s="6">
        <v>104</v>
      </c>
      <c r="Y123">
        <v>9.4653200000000002</v>
      </c>
      <c r="Z123">
        <v>8.3763893805309753</v>
      </c>
      <c r="AA123" s="6">
        <v>36.135915109050728</v>
      </c>
      <c r="AB123" s="4">
        <v>62.75926605504587</v>
      </c>
      <c r="AC123" s="6">
        <v>27.673299457954961</v>
      </c>
      <c r="AD123">
        <v>0.38045192300000003</v>
      </c>
      <c r="AE123">
        <v>2.0911276595514154</v>
      </c>
      <c r="AF123">
        <v>19300</v>
      </c>
      <c r="AG123" s="4">
        <v>0</v>
      </c>
      <c r="AH123" s="4">
        <v>21900</v>
      </c>
      <c r="AL123">
        <v>24.999999999999996</v>
      </c>
      <c r="AM123">
        <v>5.57606</v>
      </c>
      <c r="AN123" t="s">
        <v>81</v>
      </c>
      <c r="AO123" t="s">
        <v>106</v>
      </c>
      <c r="AP123" s="5">
        <v>44865</v>
      </c>
      <c r="AQ123" t="s">
        <v>176</v>
      </c>
      <c r="AR123" s="5">
        <v>44956</v>
      </c>
      <c r="AS123">
        <v>258.68133565479036</v>
      </c>
      <c r="AT123" s="6"/>
      <c r="AU123">
        <v>25.910375983062384</v>
      </c>
      <c r="AV123">
        <v>65.086517941284598</v>
      </c>
      <c r="AW123">
        <v>18.929907282585258</v>
      </c>
      <c r="AX123">
        <v>109.92680120693224</v>
      </c>
      <c r="AY123">
        <v>22.174753732573226</v>
      </c>
      <c r="AZ123">
        <v>29.723249715804652</v>
      </c>
      <c r="BA123">
        <v>5.1719994675298882</v>
      </c>
      <c r="BB123">
        <v>5.9697210448246869</v>
      </c>
      <c r="BC123">
        <v>10.888896519082294</v>
      </c>
      <c r="BD123">
        <v>73.928620479814739</v>
      </c>
      <c r="BE123">
        <v>74.825913968043395</v>
      </c>
      <c r="BF123">
        <v>28.149516339648311</v>
      </c>
      <c r="BG123">
        <v>7.8003701935063993E-2</v>
      </c>
      <c r="BH123">
        <v>28.227520041583375</v>
      </c>
      <c r="BI123">
        <v>212.08294172833035</v>
      </c>
      <c r="BJ123" s="6">
        <v>186</v>
      </c>
      <c r="BK123">
        <v>46.598393926459984</v>
      </c>
      <c r="BL123" s="4">
        <v>441.06871000000018</v>
      </c>
      <c r="BM123" t="s">
        <v>1435</v>
      </c>
      <c r="BN123" t="s">
        <v>65</v>
      </c>
      <c r="BO123">
        <v>2</v>
      </c>
      <c r="BP123">
        <v>2023</v>
      </c>
      <c r="BQ123" t="str">
        <f t="shared" si="6"/>
        <v>Roiphet12</v>
      </c>
      <c r="BR123">
        <f t="shared" si="7"/>
        <v>-246.88338999999988</v>
      </c>
      <c r="BS123">
        <f t="shared" si="8"/>
        <v>2448.5016200000005</v>
      </c>
      <c r="BT123" s="6">
        <f t="shared" si="9"/>
        <v>-26.082941728330354</v>
      </c>
    </row>
    <row r="124" spans="1:72">
      <c r="A124" s="3" t="s">
        <v>967</v>
      </c>
      <c r="B124" s="3" t="s">
        <v>1174</v>
      </c>
      <c r="C124" s="3" t="s">
        <v>1391</v>
      </c>
      <c r="D124" s="2" t="s">
        <v>1419</v>
      </c>
      <c r="E124" s="4" t="str">
        <f t="shared" si="5"/>
        <v>Roiphet1D1-I01-0091</v>
      </c>
      <c r="F124">
        <v>0.72</v>
      </c>
      <c r="G124">
        <v>1.3</v>
      </c>
      <c r="H124" t="s">
        <v>72</v>
      </c>
      <c r="I124" t="s">
        <v>67</v>
      </c>
      <c r="J124" t="s">
        <v>357</v>
      </c>
      <c r="K124" t="s">
        <v>89</v>
      </c>
      <c r="L124" t="s">
        <v>89</v>
      </c>
      <c r="M124">
        <v>0.42699386503067482</v>
      </c>
      <c r="N124" s="5">
        <v>44965</v>
      </c>
      <c r="O124" s="5">
        <v>45001</v>
      </c>
      <c r="P124">
        <v>0.2</v>
      </c>
      <c r="Q124" s="4">
        <v>134</v>
      </c>
      <c r="R124">
        <v>0.45300000000000001</v>
      </c>
      <c r="S124" t="s">
        <v>70</v>
      </c>
      <c r="T124" s="6">
        <v>3</v>
      </c>
      <c r="U124" s="5">
        <v>45082</v>
      </c>
      <c r="V124" s="6">
        <v>2</v>
      </c>
      <c r="W124" t="s">
        <v>71</v>
      </c>
      <c r="X124" s="6">
        <v>81</v>
      </c>
      <c r="Y124">
        <v>4.2856800000000002</v>
      </c>
      <c r="Z124">
        <v>5.9523333333333337</v>
      </c>
      <c r="AA124" s="6">
        <v>38.15753859364208</v>
      </c>
      <c r="AB124" s="4">
        <v>81.765500000000003</v>
      </c>
      <c r="AC124" s="6">
        <v>26.207141153665056</v>
      </c>
      <c r="AD124">
        <v>0.38020987699999997</v>
      </c>
      <c r="AE124">
        <v>1.9427844033744852</v>
      </c>
      <c r="AF124">
        <v>8150</v>
      </c>
      <c r="AG124" s="4">
        <v>0</v>
      </c>
      <c r="AH124" s="4">
        <v>3480</v>
      </c>
      <c r="AL124">
        <v>32</v>
      </c>
      <c r="AM124">
        <v>2.8971799999999996</v>
      </c>
      <c r="AN124" t="s">
        <v>81</v>
      </c>
      <c r="AO124" t="s">
        <v>144</v>
      </c>
      <c r="AP124" s="5">
        <v>45005</v>
      </c>
      <c r="AQ124" t="s">
        <v>127</v>
      </c>
      <c r="AR124" s="5">
        <v>45079</v>
      </c>
      <c r="AS124">
        <v>174.21556905788577</v>
      </c>
      <c r="AT124" s="6"/>
      <c r="AU124">
        <v>21.000168001344008</v>
      </c>
      <c r="AV124">
        <v>58.079546303037091</v>
      </c>
      <c r="AW124">
        <v>15.358822870582964</v>
      </c>
      <c r="AX124">
        <v>94.438537174964054</v>
      </c>
      <c r="AY124">
        <v>22.17519040152321</v>
      </c>
      <c r="AZ124">
        <v>43.266949468929084</v>
      </c>
      <c r="BA124">
        <v>5.9594066752534021</v>
      </c>
      <c r="BB124">
        <v>5.2526553545761692</v>
      </c>
      <c r="BC124">
        <v>12.114931586119354</v>
      </c>
      <c r="BD124">
        <v>88.76913348640123</v>
      </c>
      <c r="BE124">
        <v>-8.9921016034795116</v>
      </c>
      <c r="BF124">
        <v>32.286757294058347</v>
      </c>
      <c r="BG124">
        <v>9.5632431726120473E-2</v>
      </c>
      <c r="BH124">
        <v>32.382389725784471</v>
      </c>
      <c r="BI124">
        <v>215.59006038714972</v>
      </c>
      <c r="BJ124" s="6">
        <v>184</v>
      </c>
      <c r="BK124">
        <v>-41.374491329263954</v>
      </c>
      <c r="BL124" s="4">
        <v>-177.31782999999996</v>
      </c>
      <c r="BM124" t="s">
        <v>1420</v>
      </c>
      <c r="BN124" t="s">
        <v>65</v>
      </c>
      <c r="BO124">
        <v>6</v>
      </c>
      <c r="BP124">
        <v>2023</v>
      </c>
      <c r="BQ124" t="str">
        <f t="shared" si="6"/>
        <v>Roiphet16</v>
      </c>
      <c r="BR124">
        <f t="shared" si="7"/>
        <v>-135.38488999999981</v>
      </c>
      <c r="BS124">
        <f t="shared" si="8"/>
        <v>746.63217999999995</v>
      </c>
      <c r="BT124" s="6">
        <f t="shared" si="9"/>
        <v>-31.59006038714972</v>
      </c>
    </row>
    <row r="125" spans="1:72">
      <c r="A125" s="3" t="s">
        <v>967</v>
      </c>
      <c r="B125" s="3" t="s">
        <v>1174</v>
      </c>
      <c r="C125" s="3" t="s">
        <v>1391</v>
      </c>
      <c r="D125" s="2" t="s">
        <v>1411</v>
      </c>
      <c r="E125" s="4" t="str">
        <f t="shared" si="5"/>
        <v>Roiphet1D6-G12-0078</v>
      </c>
      <c r="F125">
        <v>1.1299999999999999</v>
      </c>
      <c r="G125">
        <v>1.5</v>
      </c>
      <c r="H125" t="s">
        <v>72</v>
      </c>
      <c r="I125" t="s">
        <v>67</v>
      </c>
      <c r="J125" t="s">
        <v>357</v>
      </c>
      <c r="K125" t="s">
        <v>89</v>
      </c>
      <c r="L125" t="s">
        <v>89</v>
      </c>
      <c r="M125">
        <v>2.64860088365243</v>
      </c>
      <c r="N125" s="5">
        <v>44846</v>
      </c>
      <c r="O125" s="5">
        <v>44863</v>
      </c>
      <c r="P125">
        <v>0.54500000000000004</v>
      </c>
      <c r="Q125" s="4">
        <v>201</v>
      </c>
      <c r="R125">
        <v>0.46</v>
      </c>
      <c r="S125" t="s">
        <v>70</v>
      </c>
      <c r="T125" s="6">
        <v>5</v>
      </c>
      <c r="U125" s="5">
        <v>44963</v>
      </c>
      <c r="V125" s="6">
        <v>2</v>
      </c>
      <c r="W125" t="s">
        <v>71</v>
      </c>
      <c r="X125" s="6">
        <v>100</v>
      </c>
      <c r="Y125">
        <v>7.8799700000000001</v>
      </c>
      <c r="Z125">
        <v>6.9734247787610624</v>
      </c>
      <c r="AA125" s="6">
        <v>38.414105637458007</v>
      </c>
      <c r="AB125" s="4">
        <v>55.541651376146795</v>
      </c>
      <c r="AC125" s="6">
        <v>26.032104181670423</v>
      </c>
      <c r="AD125">
        <v>0.38001538499999998</v>
      </c>
      <c r="AE125">
        <v>2.2249106103660519</v>
      </c>
      <c r="AF125">
        <v>16975</v>
      </c>
      <c r="AG125" s="4">
        <v>0</v>
      </c>
      <c r="AH125" s="4">
        <v>44960</v>
      </c>
      <c r="AL125">
        <v>26</v>
      </c>
      <c r="AM125">
        <v>4.6863199999999994</v>
      </c>
      <c r="AN125" t="s">
        <v>81</v>
      </c>
      <c r="AO125" t="s">
        <v>90</v>
      </c>
      <c r="AP125" s="5">
        <v>44865</v>
      </c>
      <c r="AQ125" t="s">
        <v>176</v>
      </c>
      <c r="AR125" s="5">
        <v>44956</v>
      </c>
      <c r="AS125">
        <v>259.688140944699</v>
      </c>
      <c r="AT125" s="6"/>
      <c r="AU125">
        <v>31.123214936097476</v>
      </c>
      <c r="AV125">
        <v>70.103977553214008</v>
      </c>
      <c r="AW125">
        <v>26.113259314439016</v>
      </c>
      <c r="AX125">
        <v>127.34045180375048</v>
      </c>
      <c r="AY125">
        <v>25.793541092161515</v>
      </c>
      <c r="AZ125">
        <v>34.554179774796097</v>
      </c>
      <c r="BA125">
        <v>6.0439735176656768</v>
      </c>
      <c r="BB125">
        <v>7.0226612537864987</v>
      </c>
      <c r="BC125">
        <v>12.684484839409285</v>
      </c>
      <c r="BD125">
        <v>86.098840477819081</v>
      </c>
      <c r="BE125">
        <v>46.248848663129436</v>
      </c>
      <c r="BF125">
        <v>32.77960068375895</v>
      </c>
      <c r="BG125">
        <v>9.0776995343890901E-2</v>
      </c>
      <c r="BH125">
        <v>32.870377679102845</v>
      </c>
      <c r="BI125">
        <v>246.30966996067247</v>
      </c>
      <c r="BJ125" s="6">
        <v>184</v>
      </c>
      <c r="BK125">
        <v>13.378470984026524</v>
      </c>
      <c r="BL125" s="4">
        <v>105.42194999999948</v>
      </c>
      <c r="BM125" t="s">
        <v>1412</v>
      </c>
      <c r="BN125" t="s">
        <v>65</v>
      </c>
      <c r="BO125">
        <v>2</v>
      </c>
      <c r="BP125">
        <v>2023</v>
      </c>
      <c r="BQ125" t="str">
        <f t="shared" si="6"/>
        <v>Roiphet12</v>
      </c>
      <c r="BR125">
        <f t="shared" si="7"/>
        <v>-490.99833000000024</v>
      </c>
      <c r="BS125">
        <f t="shared" si="8"/>
        <v>2046.3347599999997</v>
      </c>
      <c r="BT125" s="6">
        <f t="shared" si="9"/>
        <v>-62.309669960672466</v>
      </c>
    </row>
    <row r="126" spans="1:72">
      <c r="A126" s="3" t="s">
        <v>967</v>
      </c>
      <c r="B126" s="3" t="s">
        <v>1174</v>
      </c>
      <c r="C126" s="3" t="s">
        <v>1391</v>
      </c>
      <c r="D126" s="2" t="s">
        <v>1462</v>
      </c>
      <c r="E126" s="4" t="str">
        <f t="shared" si="5"/>
        <v>Roiphet1D3-G05-0080</v>
      </c>
      <c r="F126">
        <v>1.1299999999999999</v>
      </c>
      <c r="G126">
        <v>1.5</v>
      </c>
      <c r="H126" t="s">
        <v>72</v>
      </c>
      <c r="I126" t="s">
        <v>67</v>
      </c>
      <c r="J126" t="s">
        <v>357</v>
      </c>
      <c r="K126" t="s">
        <v>89</v>
      </c>
      <c r="L126" t="s">
        <v>89</v>
      </c>
      <c r="M126">
        <v>0.18253521126760563</v>
      </c>
      <c r="N126" s="5">
        <v>44885</v>
      </c>
      <c r="O126" s="5">
        <v>44913</v>
      </c>
      <c r="P126">
        <v>0.45</v>
      </c>
      <c r="Q126" s="4">
        <v>166</v>
      </c>
      <c r="R126">
        <v>0.65</v>
      </c>
      <c r="S126" t="s">
        <v>70</v>
      </c>
      <c r="T126" s="6">
        <v>4</v>
      </c>
      <c r="U126" s="5">
        <v>45018</v>
      </c>
      <c r="V126" s="6">
        <v>1</v>
      </c>
      <c r="W126" t="s">
        <v>86</v>
      </c>
      <c r="X126" s="6">
        <v>105</v>
      </c>
      <c r="Y126">
        <v>9.0817499999999995</v>
      </c>
      <c r="Z126">
        <v>8.0369469026548668</v>
      </c>
      <c r="AA126" s="6">
        <v>34.409557629311529</v>
      </c>
      <c r="AB126" s="4">
        <v>69.444222222222223</v>
      </c>
      <c r="AC126" s="6">
        <v>29.061692997417595</v>
      </c>
      <c r="AD126">
        <v>0.37476190500000001</v>
      </c>
      <c r="AE126">
        <v>2.0195124726228064</v>
      </c>
      <c r="AF126">
        <v>17750</v>
      </c>
      <c r="AG126" s="4">
        <v>0</v>
      </c>
      <c r="AH126" s="4">
        <v>3240</v>
      </c>
      <c r="AL126">
        <v>25</v>
      </c>
      <c r="AM126">
        <v>4.8273299999999999</v>
      </c>
      <c r="AN126" t="s">
        <v>81</v>
      </c>
      <c r="AO126" t="s">
        <v>97</v>
      </c>
      <c r="AP126" s="5">
        <v>44921</v>
      </c>
      <c r="AQ126" t="s">
        <v>123</v>
      </c>
      <c r="AR126" s="5">
        <v>45012</v>
      </c>
      <c r="AS126">
        <v>254.72905772565861</v>
      </c>
      <c r="AT126" s="6"/>
      <c r="AU126">
        <v>13.886811462548517</v>
      </c>
      <c r="AV126">
        <v>62.938083519145572</v>
      </c>
      <c r="AW126">
        <v>22.466242739560109</v>
      </c>
      <c r="AX126">
        <v>99.291137721254188</v>
      </c>
      <c r="AY126">
        <v>22.541751314449307</v>
      </c>
      <c r="AZ126">
        <v>38.022469237757043</v>
      </c>
      <c r="BA126">
        <v>4.7475178242078888</v>
      </c>
      <c r="BB126">
        <v>6.2235053816720338</v>
      </c>
      <c r="BC126">
        <v>10.390177003330855</v>
      </c>
      <c r="BD126">
        <v>81.925420761417115</v>
      </c>
      <c r="BE126">
        <v>73.512499242987303</v>
      </c>
      <c r="BF126">
        <v>29.245561703416193</v>
      </c>
      <c r="BG126">
        <v>8.2761582294161362E-2</v>
      </c>
      <c r="BH126">
        <v>29.328323285710354</v>
      </c>
      <c r="BI126">
        <v>210.54488176838163</v>
      </c>
      <c r="BJ126" s="6">
        <v>189</v>
      </c>
      <c r="BK126">
        <v>44.184175957276999</v>
      </c>
      <c r="BL126" s="4">
        <v>401.26964000000038</v>
      </c>
      <c r="BM126" t="s">
        <v>1463</v>
      </c>
      <c r="BN126" t="s">
        <v>65</v>
      </c>
      <c r="BO126">
        <v>4</v>
      </c>
      <c r="BP126">
        <v>2023</v>
      </c>
      <c r="BQ126" t="str">
        <f t="shared" si="6"/>
        <v>Roiphet14</v>
      </c>
      <c r="BR126">
        <f t="shared" si="7"/>
        <v>-195.66522999999984</v>
      </c>
      <c r="BS126">
        <f t="shared" si="8"/>
        <v>2313.38562</v>
      </c>
      <c r="BT126" s="6">
        <f t="shared" si="9"/>
        <v>-21.544881768381629</v>
      </c>
    </row>
    <row r="127" spans="1:72">
      <c r="A127" s="3" t="s">
        <v>967</v>
      </c>
      <c r="B127" s="3" t="s">
        <v>1174</v>
      </c>
      <c r="C127" s="3" t="s">
        <v>1391</v>
      </c>
      <c r="D127" s="2" t="s">
        <v>1423</v>
      </c>
      <c r="E127" s="4" t="str">
        <f t="shared" si="5"/>
        <v>Roiphet1D3-I06-0080</v>
      </c>
      <c r="F127">
        <v>0.72</v>
      </c>
      <c r="G127">
        <v>1.3</v>
      </c>
      <c r="H127" t="s">
        <v>72</v>
      </c>
      <c r="I127" t="s">
        <v>67</v>
      </c>
      <c r="J127" t="s">
        <v>357</v>
      </c>
      <c r="K127" t="s">
        <v>89</v>
      </c>
      <c r="L127" t="s">
        <v>89</v>
      </c>
      <c r="M127">
        <v>0.29295774647887324</v>
      </c>
      <c r="N127" s="5">
        <v>44897</v>
      </c>
      <c r="O127" s="5">
        <v>44913</v>
      </c>
      <c r="P127">
        <v>0.25</v>
      </c>
      <c r="Q127" s="4">
        <v>167</v>
      </c>
      <c r="R127">
        <v>0.65</v>
      </c>
      <c r="S127" t="s">
        <v>70</v>
      </c>
      <c r="T127" s="6">
        <v>3</v>
      </c>
      <c r="U127" s="5">
        <v>45033</v>
      </c>
      <c r="V127" s="6">
        <v>2</v>
      </c>
      <c r="W127" t="s">
        <v>71</v>
      </c>
      <c r="X127" s="6">
        <v>120</v>
      </c>
      <c r="Y127">
        <v>4.6386599999999998</v>
      </c>
      <c r="Z127">
        <v>6.4425833333333333</v>
      </c>
      <c r="AA127" s="6">
        <v>37.585207797079327</v>
      </c>
      <c r="AB127" s="4">
        <v>69.738</v>
      </c>
      <c r="AC127" s="6">
        <v>26.606211821388627</v>
      </c>
      <c r="AD127">
        <v>0.37337121200000001</v>
      </c>
      <c r="AE127">
        <v>2.3792715184443809</v>
      </c>
      <c r="AF127">
        <v>10650</v>
      </c>
      <c r="AG127" s="4">
        <v>0</v>
      </c>
      <c r="AH127" s="4">
        <v>3120</v>
      </c>
      <c r="AL127">
        <v>22</v>
      </c>
      <c r="AM127">
        <v>2.71366</v>
      </c>
      <c r="AN127" t="s">
        <v>81</v>
      </c>
      <c r="AO127" t="s">
        <v>97</v>
      </c>
      <c r="AP127" s="5">
        <v>44921</v>
      </c>
      <c r="AQ127" t="s">
        <v>144</v>
      </c>
      <c r="AR127" s="5">
        <v>45030</v>
      </c>
      <c r="AS127">
        <v>249.66210500446252</v>
      </c>
      <c r="AT127" s="6"/>
      <c r="AU127">
        <v>15.104165858243544</v>
      </c>
      <c r="AV127">
        <v>73.183095980304628</v>
      </c>
      <c r="AW127">
        <v>17.759307644880209</v>
      </c>
      <c r="AX127">
        <v>106.04656948342839</v>
      </c>
      <c r="AY127">
        <v>27.602762435703411</v>
      </c>
      <c r="AZ127">
        <v>49.536736902467531</v>
      </c>
      <c r="BA127">
        <v>6.0325331022321098</v>
      </c>
      <c r="BB127">
        <v>8.372846899751222</v>
      </c>
      <c r="BC127">
        <v>12.964440161598393</v>
      </c>
      <c r="BD127">
        <v>104.50931950175266</v>
      </c>
      <c r="BE127">
        <v>39.106216019281476</v>
      </c>
      <c r="BF127">
        <v>36.786028723812485</v>
      </c>
      <c r="BG127">
        <v>0.10512518701521562</v>
      </c>
      <c r="BH127">
        <v>36.891153910827704</v>
      </c>
      <c r="BI127">
        <v>247.44704289600875</v>
      </c>
      <c r="BJ127" s="6">
        <v>185</v>
      </c>
      <c r="BK127">
        <v>2.2150621084537687</v>
      </c>
      <c r="BL127" s="4">
        <v>10.274920000000158</v>
      </c>
      <c r="BM127" t="s">
        <v>1424</v>
      </c>
      <c r="BN127" t="s">
        <v>65</v>
      </c>
      <c r="BO127">
        <v>4</v>
      </c>
      <c r="BP127">
        <v>2023</v>
      </c>
      <c r="BQ127" t="str">
        <f t="shared" si="6"/>
        <v>Roiphet14</v>
      </c>
      <c r="BR127">
        <f t="shared" si="7"/>
        <v>-289.67059999999992</v>
      </c>
      <c r="BS127">
        <f t="shared" si="8"/>
        <v>1158.09762</v>
      </c>
      <c r="BT127" s="6">
        <f t="shared" si="9"/>
        <v>-62.447042896008753</v>
      </c>
    </row>
    <row r="128" spans="1:72">
      <c r="A128" s="3" t="s">
        <v>967</v>
      </c>
      <c r="B128" s="3" t="s">
        <v>1174</v>
      </c>
      <c r="C128" s="3" t="s">
        <v>1391</v>
      </c>
      <c r="D128" s="2" t="s">
        <v>1450</v>
      </c>
      <c r="E128" s="4" t="str">
        <f t="shared" si="5"/>
        <v>Roiphet1D5-G09-0068</v>
      </c>
      <c r="F128">
        <v>1.1299999999999999</v>
      </c>
      <c r="G128">
        <v>1.5</v>
      </c>
      <c r="H128" t="s">
        <v>72</v>
      </c>
      <c r="I128" t="s">
        <v>67</v>
      </c>
      <c r="J128" t="s">
        <v>357</v>
      </c>
      <c r="K128" t="s">
        <v>89</v>
      </c>
      <c r="L128" t="s">
        <v>89</v>
      </c>
      <c r="M128">
        <v>1.882509505703422</v>
      </c>
      <c r="N128" s="5">
        <v>44909</v>
      </c>
      <c r="O128" s="5">
        <v>44939</v>
      </c>
      <c r="P128">
        <v>0.49</v>
      </c>
      <c r="Q128" s="4">
        <v>181</v>
      </c>
      <c r="R128">
        <v>0.3</v>
      </c>
      <c r="S128" t="s">
        <v>70</v>
      </c>
      <c r="T128" s="6">
        <v>4</v>
      </c>
      <c r="U128" s="5">
        <v>45060</v>
      </c>
      <c r="V128" s="6">
        <v>1</v>
      </c>
      <c r="W128" t="s">
        <v>86</v>
      </c>
      <c r="X128" s="6">
        <v>121</v>
      </c>
      <c r="Y128">
        <v>12.052239999999999</v>
      </c>
      <c r="Z128">
        <v>10.665699115044248</v>
      </c>
      <c r="AA128" s="6">
        <v>35.010836159917162</v>
      </c>
      <c r="AB128" s="4">
        <v>86.114081632653068</v>
      </c>
      <c r="AC128" s="6">
        <v>28.562585464464558</v>
      </c>
      <c r="AD128">
        <v>0.37317806199999998</v>
      </c>
      <c r="AE128">
        <v>2.2091112820909111</v>
      </c>
      <c r="AF128">
        <v>26300</v>
      </c>
      <c r="AG128" s="4">
        <v>0</v>
      </c>
      <c r="AH128" s="4">
        <v>49510</v>
      </c>
      <c r="AL128">
        <v>22</v>
      </c>
      <c r="AM128">
        <v>7.7516699999999998</v>
      </c>
      <c r="AN128" t="s">
        <v>81</v>
      </c>
      <c r="AO128" t="s">
        <v>176</v>
      </c>
      <c r="AP128" s="5">
        <v>44946</v>
      </c>
      <c r="AQ128" t="s">
        <v>127</v>
      </c>
      <c r="AR128" s="5">
        <v>45058</v>
      </c>
      <c r="AS128">
        <v>249.95810571312884</v>
      </c>
      <c r="AT128" s="6"/>
      <c r="AU128">
        <v>16.262537088541219</v>
      </c>
      <c r="AV128">
        <v>67.70728511878292</v>
      </c>
      <c r="AW128">
        <v>26.137239218601682</v>
      </c>
      <c r="AX128">
        <v>110.10706142592582</v>
      </c>
      <c r="AY128">
        <v>17.716685860885612</v>
      </c>
      <c r="AZ128">
        <v>32.912939005529267</v>
      </c>
      <c r="BA128">
        <v>4.1751732458032702</v>
      </c>
      <c r="BB128">
        <v>4.9502291690175442</v>
      </c>
      <c r="BC128">
        <v>8.4094135198104265</v>
      </c>
      <c r="BD128">
        <v>68.164440801046112</v>
      </c>
      <c r="BE128">
        <v>71.686603486156912</v>
      </c>
      <c r="BF128">
        <v>24.355953748016965</v>
      </c>
      <c r="BG128">
        <v>7.0339621514340908E-2</v>
      </c>
      <c r="BH128">
        <v>24.426293369531308</v>
      </c>
      <c r="BI128">
        <v>202.69779559650323</v>
      </c>
      <c r="BJ128" s="6">
        <v>187</v>
      </c>
      <c r="BK128">
        <v>47.260310116625632</v>
      </c>
      <c r="BL128" s="4">
        <v>569.59260000000006</v>
      </c>
      <c r="BM128" t="s">
        <v>1451</v>
      </c>
      <c r="BN128" t="s">
        <v>65</v>
      </c>
      <c r="BO128">
        <v>5</v>
      </c>
      <c r="BP128">
        <v>2023</v>
      </c>
      <c r="BQ128" t="str">
        <f t="shared" si="6"/>
        <v>Roiphet15</v>
      </c>
      <c r="BR128">
        <f t="shared" si="7"/>
        <v>-189.19360000000003</v>
      </c>
      <c r="BS128">
        <f t="shared" si="8"/>
        <v>3012.5550799999996</v>
      </c>
      <c r="BT128" s="6">
        <f t="shared" si="9"/>
        <v>-15.697795596503227</v>
      </c>
    </row>
    <row r="129" spans="1:72">
      <c r="A129" s="3" t="s">
        <v>967</v>
      </c>
      <c r="B129" s="3" t="s">
        <v>1174</v>
      </c>
      <c r="C129" s="3" t="s">
        <v>1391</v>
      </c>
      <c r="D129" s="2" t="s">
        <v>1448</v>
      </c>
      <c r="E129" s="4" t="str">
        <f t="shared" si="5"/>
        <v>Roiphet1D3-I05-0094</v>
      </c>
      <c r="F129">
        <v>0.72</v>
      </c>
      <c r="G129">
        <v>1.3</v>
      </c>
      <c r="H129" t="s">
        <v>72</v>
      </c>
      <c r="I129" t="s">
        <v>67</v>
      </c>
      <c r="J129" t="s">
        <v>357</v>
      </c>
      <c r="K129" t="s">
        <v>89</v>
      </c>
      <c r="L129" t="s">
        <v>89</v>
      </c>
      <c r="M129">
        <v>0.37209302325581395</v>
      </c>
      <c r="N129" s="5">
        <v>44897</v>
      </c>
      <c r="O129" s="5">
        <v>44913</v>
      </c>
      <c r="P129">
        <v>0.25</v>
      </c>
      <c r="Q129" s="4">
        <v>167</v>
      </c>
      <c r="R129">
        <v>0.65</v>
      </c>
      <c r="S129" t="s">
        <v>70</v>
      </c>
      <c r="T129" s="6">
        <v>4</v>
      </c>
      <c r="U129" s="5">
        <v>45019</v>
      </c>
      <c r="V129" s="6">
        <v>2</v>
      </c>
      <c r="W129" t="s">
        <v>71</v>
      </c>
      <c r="X129" s="6">
        <v>106</v>
      </c>
      <c r="Y129">
        <v>4.6130200000000006</v>
      </c>
      <c r="Z129">
        <v>6.4069722222222234</v>
      </c>
      <c r="AA129" s="6">
        <v>35.117341784774396</v>
      </c>
      <c r="AB129" s="4">
        <v>64.7988</v>
      </c>
      <c r="AC129" s="6">
        <v>28.475959431347498</v>
      </c>
      <c r="AD129">
        <v>0.37122641499999998</v>
      </c>
      <c r="AE129">
        <v>2.1739032742241355</v>
      </c>
      <c r="AF129">
        <v>9675</v>
      </c>
      <c r="AG129" s="4">
        <v>0</v>
      </c>
      <c r="AH129" s="4">
        <v>3600</v>
      </c>
      <c r="AL129">
        <v>25</v>
      </c>
      <c r="AM129">
        <v>2.51166</v>
      </c>
      <c r="AN129" t="s">
        <v>81</v>
      </c>
      <c r="AO129" t="s">
        <v>97</v>
      </c>
      <c r="AP129" s="5">
        <v>44921</v>
      </c>
      <c r="AQ129" t="s">
        <v>116</v>
      </c>
      <c r="AR129" s="5">
        <v>45012</v>
      </c>
      <c r="AS129">
        <v>259.40444220922512</v>
      </c>
      <c r="AT129" s="6"/>
      <c r="AU129">
        <v>15.188477396586183</v>
      </c>
      <c r="AV129">
        <v>67.303666578510388</v>
      </c>
      <c r="AW129">
        <v>20.04157363289125</v>
      </c>
      <c r="AX129">
        <v>102.53371760798782</v>
      </c>
      <c r="AY129">
        <v>25.450353564476199</v>
      </c>
      <c r="AZ129">
        <v>43.711648768052164</v>
      </c>
      <c r="BA129">
        <v>5.4681033249368092</v>
      </c>
      <c r="BB129">
        <v>7.2759038547415784</v>
      </c>
      <c r="BC129">
        <v>11.634347997624115</v>
      </c>
      <c r="BD129">
        <v>93.540357509830869</v>
      </c>
      <c r="BE129">
        <v>63.33036709140643</v>
      </c>
      <c r="BF129">
        <v>33.148200094515083</v>
      </c>
      <c r="BG129">
        <v>9.427663439568873E-2</v>
      </c>
      <c r="BH129">
        <v>33.242476728910773</v>
      </c>
      <c r="BI129">
        <v>229.31655184672948</v>
      </c>
      <c r="BJ129" s="6">
        <v>187</v>
      </c>
      <c r="BK129">
        <v>30.087890362495674</v>
      </c>
      <c r="BL129" s="4">
        <v>138.79603999999981</v>
      </c>
      <c r="BM129" t="s">
        <v>1449</v>
      </c>
      <c r="BN129" t="s">
        <v>65</v>
      </c>
      <c r="BO129">
        <v>4</v>
      </c>
      <c r="BP129">
        <v>2023</v>
      </c>
      <c r="BQ129" t="str">
        <f t="shared" si="6"/>
        <v>Roiphet14</v>
      </c>
      <c r="BR129">
        <f t="shared" si="7"/>
        <v>-195.20710000000005</v>
      </c>
      <c r="BS129">
        <f t="shared" si="8"/>
        <v>1196.6378799999998</v>
      </c>
      <c r="BT129" s="6">
        <f t="shared" si="9"/>
        <v>-42.316551846729482</v>
      </c>
    </row>
    <row r="130" spans="1:72">
      <c r="A130" s="3" t="s">
        <v>967</v>
      </c>
      <c r="B130" s="3" t="s">
        <v>1174</v>
      </c>
      <c r="C130" s="3" t="s">
        <v>1391</v>
      </c>
      <c r="D130" s="2" t="s">
        <v>1407</v>
      </c>
      <c r="E130" s="4" t="str">
        <f t="shared" si="5"/>
        <v>Roiphet1D1-I01-0090</v>
      </c>
      <c r="F130">
        <v>0.72</v>
      </c>
      <c r="G130">
        <v>1.3</v>
      </c>
      <c r="H130" t="s">
        <v>72</v>
      </c>
      <c r="I130" t="s">
        <v>67</v>
      </c>
      <c r="J130" t="s">
        <v>357</v>
      </c>
      <c r="K130" t="s">
        <v>89</v>
      </c>
      <c r="L130" t="s">
        <v>89</v>
      </c>
      <c r="M130">
        <v>1.8150495049504951</v>
      </c>
      <c r="N130" s="5">
        <v>44840</v>
      </c>
      <c r="O130" s="5">
        <v>44866</v>
      </c>
      <c r="P130">
        <v>0.22500000000000001</v>
      </c>
      <c r="Q130" s="4">
        <v>150</v>
      </c>
      <c r="R130">
        <v>0.25</v>
      </c>
      <c r="S130" t="s">
        <v>70</v>
      </c>
      <c r="T130" s="6">
        <v>4</v>
      </c>
      <c r="U130" s="5">
        <v>44964</v>
      </c>
      <c r="V130" s="6">
        <v>2</v>
      </c>
      <c r="W130" t="s">
        <v>71</v>
      </c>
      <c r="X130" s="6">
        <v>98</v>
      </c>
      <c r="Y130">
        <v>4.6091499999999996</v>
      </c>
      <c r="Z130">
        <v>6.4015972222222217</v>
      </c>
      <c r="AA130" s="6">
        <v>38.985279281429335</v>
      </c>
      <c r="AB130" s="4">
        <v>79.861777777777775</v>
      </c>
      <c r="AC130" s="6">
        <v>25.650707611484282</v>
      </c>
      <c r="AD130">
        <v>0.36188046600000001</v>
      </c>
      <c r="AE130">
        <v>1.6637601198346563</v>
      </c>
      <c r="AF130">
        <v>7575</v>
      </c>
      <c r="AG130" s="4">
        <v>0</v>
      </c>
      <c r="AH130" s="4">
        <v>13749</v>
      </c>
      <c r="AL130">
        <v>28</v>
      </c>
      <c r="AM130">
        <v>2.4731199999999998</v>
      </c>
      <c r="AN130" t="s">
        <v>81</v>
      </c>
      <c r="AO130" t="s">
        <v>90</v>
      </c>
      <c r="AP130" s="5">
        <v>44869</v>
      </c>
      <c r="AQ130" t="s">
        <v>136</v>
      </c>
      <c r="AR130" s="5">
        <v>44963</v>
      </c>
      <c r="AS130">
        <v>251.14175932655698</v>
      </c>
      <c r="AT130" s="6"/>
      <c r="AU130">
        <v>19.526376880769778</v>
      </c>
      <c r="AV130">
        <v>53.906399227623339</v>
      </c>
      <c r="AW130">
        <v>31.273113263833899</v>
      </c>
      <c r="AX130">
        <v>104.70588937222702</v>
      </c>
      <c r="AY130">
        <v>29.901031643578534</v>
      </c>
      <c r="AZ130">
        <v>39.201529566188995</v>
      </c>
      <c r="BA130">
        <v>7.0918368896651236</v>
      </c>
      <c r="BB130">
        <v>7.8581452111560708</v>
      </c>
      <c r="BC130">
        <v>15.115648221472508</v>
      </c>
      <c r="BD130">
        <v>99.168191532061229</v>
      </c>
      <c r="BE130">
        <v>47.267678422268744</v>
      </c>
      <c r="BF130">
        <v>38.013668463816543</v>
      </c>
      <c r="BG130">
        <v>0.1052493409847803</v>
      </c>
      <c r="BH130">
        <v>38.11891780480132</v>
      </c>
      <c r="BI130">
        <v>241.99299870908956</v>
      </c>
      <c r="BJ130" s="6">
        <v>183</v>
      </c>
      <c r="BK130">
        <v>9.1487606174674312</v>
      </c>
      <c r="BL130" s="4">
        <v>42.16801000000001</v>
      </c>
      <c r="BM130" t="s">
        <v>1408</v>
      </c>
      <c r="BN130" t="s">
        <v>65</v>
      </c>
      <c r="BO130">
        <v>2</v>
      </c>
      <c r="BP130">
        <v>2023</v>
      </c>
      <c r="BQ130" t="str">
        <f t="shared" si="6"/>
        <v>Roiphet12</v>
      </c>
      <c r="BR130">
        <f t="shared" si="7"/>
        <v>-271.90758000000011</v>
      </c>
      <c r="BS130">
        <f t="shared" si="8"/>
        <v>1157.5500400000001</v>
      </c>
      <c r="BT130" s="6">
        <f t="shared" si="9"/>
        <v>-58.992998709089562</v>
      </c>
    </row>
    <row r="131" spans="1:72">
      <c r="A131" s="3" t="s">
        <v>967</v>
      </c>
      <c r="B131" s="3" t="s">
        <v>1174</v>
      </c>
      <c r="C131" s="3" t="s">
        <v>1391</v>
      </c>
      <c r="D131" s="2" t="s">
        <v>1470</v>
      </c>
      <c r="E131" s="4" t="str">
        <f t="shared" si="5"/>
        <v>Roiphet1D3-G06-0083</v>
      </c>
      <c r="F131">
        <v>1.1299999999999999</v>
      </c>
      <c r="G131">
        <v>1.5</v>
      </c>
      <c r="H131" t="s">
        <v>72</v>
      </c>
      <c r="I131" t="s">
        <v>67</v>
      </c>
      <c r="J131" t="s">
        <v>357</v>
      </c>
      <c r="K131" t="s">
        <v>89</v>
      </c>
      <c r="L131" t="s">
        <v>89</v>
      </c>
      <c r="M131">
        <v>0.25887640449438204</v>
      </c>
      <c r="N131" s="5">
        <v>44886</v>
      </c>
      <c r="O131" s="5">
        <v>44913</v>
      </c>
      <c r="P131">
        <v>0.45</v>
      </c>
      <c r="Q131" s="4">
        <v>166</v>
      </c>
      <c r="R131">
        <v>0.65</v>
      </c>
      <c r="S131" t="s">
        <v>70</v>
      </c>
      <c r="T131" s="6">
        <v>4</v>
      </c>
      <c r="U131" s="5">
        <v>45032</v>
      </c>
      <c r="V131" s="6">
        <v>1</v>
      </c>
      <c r="W131" t="s">
        <v>86</v>
      </c>
      <c r="X131" s="6">
        <v>119</v>
      </c>
      <c r="Y131">
        <v>10.90072</v>
      </c>
      <c r="Z131">
        <v>9.6466548672566379</v>
      </c>
      <c r="AA131" s="6">
        <v>33.302754313476541</v>
      </c>
      <c r="AB131" s="4">
        <v>80.671999999999997</v>
      </c>
      <c r="AC131" s="6">
        <v>30.027546388117589</v>
      </c>
      <c r="AD131">
        <v>0.35990135200000001</v>
      </c>
      <c r="AE131">
        <v>2.0974301060875438</v>
      </c>
      <c r="AF131">
        <v>22250</v>
      </c>
      <c r="AG131" s="4">
        <v>0</v>
      </c>
      <c r="AH131" s="4">
        <v>5760</v>
      </c>
      <c r="AL131">
        <v>23</v>
      </c>
      <c r="AM131">
        <v>5.3787399999999996</v>
      </c>
      <c r="AN131" t="s">
        <v>81</v>
      </c>
      <c r="AO131" t="s">
        <v>97</v>
      </c>
      <c r="AP131" s="5">
        <v>44921</v>
      </c>
      <c r="AQ131" t="s">
        <v>144</v>
      </c>
      <c r="AR131" s="5">
        <v>45030</v>
      </c>
      <c r="AS131">
        <v>253.86408237254054</v>
      </c>
      <c r="AT131" s="6"/>
      <c r="AU131">
        <v>11.569561460160433</v>
      </c>
      <c r="AV131">
        <v>65.318460615445616</v>
      </c>
      <c r="AW131">
        <v>19.123905576879324</v>
      </c>
      <c r="AX131">
        <v>96.011927652485369</v>
      </c>
      <c r="AY131">
        <v>20.145009687433493</v>
      </c>
      <c r="AZ131">
        <v>35.481776433116345</v>
      </c>
      <c r="BA131">
        <v>4.3239620869080211</v>
      </c>
      <c r="BB131">
        <v>5.9159936224396192</v>
      </c>
      <c r="BC131">
        <v>9.5040355132505017</v>
      </c>
      <c r="BD131">
        <v>75.370777343147978</v>
      </c>
      <c r="BE131">
        <v>82.481377376907204</v>
      </c>
      <c r="BF131">
        <v>26.704899309403423</v>
      </c>
      <c r="BG131">
        <v>7.5969293771420615E-2</v>
      </c>
      <c r="BH131">
        <v>26.780868603174842</v>
      </c>
      <c r="BI131">
        <v>198.16357359880814</v>
      </c>
      <c r="BJ131" s="6">
        <v>191</v>
      </c>
      <c r="BK131">
        <v>55.700508773732373</v>
      </c>
      <c r="BL131" s="4">
        <v>607.17564999999991</v>
      </c>
      <c r="BM131" t="s">
        <v>1471</v>
      </c>
      <c r="BN131" t="s">
        <v>65</v>
      </c>
      <c r="BO131">
        <v>4</v>
      </c>
      <c r="BP131">
        <v>2023</v>
      </c>
      <c r="BQ131" t="str">
        <f t="shared" si="6"/>
        <v>Roiphet14</v>
      </c>
      <c r="BR131">
        <f t="shared" si="7"/>
        <v>-78.088109999999887</v>
      </c>
      <c r="BS131">
        <f t="shared" si="8"/>
        <v>2767.3012800000001</v>
      </c>
      <c r="BT131" s="6">
        <f t="shared" si="9"/>
        <v>-7.1635735988081422</v>
      </c>
    </row>
    <row r="132" spans="1:72">
      <c r="A132" s="3" t="s">
        <v>967</v>
      </c>
      <c r="B132" s="3" t="s">
        <v>1174</v>
      </c>
      <c r="C132" s="3" t="s">
        <v>1391</v>
      </c>
      <c r="D132" s="2" t="s">
        <v>1400</v>
      </c>
      <c r="E132" s="4" t="str">
        <f t="shared" ref="E132:E195" si="10">B132&amp;D132</f>
        <v>Roiphet1D1-I02-0089</v>
      </c>
      <c r="F132">
        <v>0.72</v>
      </c>
      <c r="G132">
        <v>1.3</v>
      </c>
      <c r="H132" t="s">
        <v>72</v>
      </c>
      <c r="I132" t="s">
        <v>67</v>
      </c>
      <c r="J132" t="s">
        <v>357</v>
      </c>
      <c r="K132" t="s">
        <v>89</v>
      </c>
      <c r="L132" t="s">
        <v>89</v>
      </c>
      <c r="M132">
        <v>0.37777777777777777</v>
      </c>
      <c r="N132" s="5">
        <v>44976</v>
      </c>
      <c r="O132" s="5">
        <v>45002</v>
      </c>
      <c r="P132">
        <v>0.2</v>
      </c>
      <c r="Q132" s="4">
        <v>134</v>
      </c>
      <c r="R132">
        <v>0.41899999999999998</v>
      </c>
      <c r="S132" t="s">
        <v>70</v>
      </c>
      <c r="T132" s="6">
        <v>3</v>
      </c>
      <c r="U132" s="5">
        <v>45082</v>
      </c>
      <c r="V132" s="6">
        <v>2</v>
      </c>
      <c r="W132" t="s">
        <v>71</v>
      </c>
      <c r="X132" s="6">
        <v>80</v>
      </c>
      <c r="Y132">
        <v>4.8064600000000004</v>
      </c>
      <c r="Z132">
        <v>6.6756388888888898</v>
      </c>
      <c r="AA132" s="6">
        <v>40.466580393886559</v>
      </c>
      <c r="AB132" s="4">
        <v>97.250499999999988</v>
      </c>
      <c r="AC132" s="6">
        <v>24.71174955398687</v>
      </c>
      <c r="AD132">
        <v>0.35190535699999997</v>
      </c>
      <c r="AE132">
        <v>1.7151423779919706</v>
      </c>
      <c r="AF132">
        <v>8100</v>
      </c>
      <c r="AG132" s="4">
        <v>0</v>
      </c>
      <c r="AH132" s="4">
        <v>3060</v>
      </c>
      <c r="AL132">
        <v>35</v>
      </c>
      <c r="AM132">
        <v>3.5079799999999999</v>
      </c>
      <c r="AN132" t="s">
        <v>81</v>
      </c>
      <c r="AO132" t="s">
        <v>144</v>
      </c>
      <c r="AP132" s="5">
        <v>45005</v>
      </c>
      <c r="AQ132" t="s">
        <v>117</v>
      </c>
      <c r="AR132" s="5">
        <v>45079</v>
      </c>
      <c r="AS132">
        <v>163.03843161079047</v>
      </c>
      <c r="AT132" s="6"/>
      <c r="AU132">
        <v>18.72479954061825</v>
      </c>
      <c r="AV132">
        <v>51.452470217166052</v>
      </c>
      <c r="AW132">
        <v>12.163563204520583</v>
      </c>
      <c r="AX132">
        <v>82.340832962304887</v>
      </c>
      <c r="AY132">
        <v>17.474796419818325</v>
      </c>
      <c r="AZ132">
        <v>34.887574223024842</v>
      </c>
      <c r="BA132">
        <v>4.9452798941424669</v>
      </c>
      <c r="BB132">
        <v>4.2121103681295589</v>
      </c>
      <c r="BC132">
        <v>10.005330326269229</v>
      </c>
      <c r="BD132">
        <v>71.525091231384422</v>
      </c>
      <c r="BE132">
        <v>9.1725074171011585</v>
      </c>
      <c r="BF132">
        <v>26.029004714488416</v>
      </c>
      <c r="BG132">
        <v>7.7375032768399188E-2</v>
      </c>
      <c r="BH132">
        <v>26.106379747256813</v>
      </c>
      <c r="BI132">
        <v>179.97230394094615</v>
      </c>
      <c r="BJ132" s="6">
        <v>182</v>
      </c>
      <c r="BK132">
        <v>-16.933872330155687</v>
      </c>
      <c r="BL132" s="4">
        <v>-81.391980000000103</v>
      </c>
      <c r="BM132" t="s">
        <v>1401</v>
      </c>
      <c r="BN132" t="s">
        <v>65</v>
      </c>
      <c r="BO132">
        <v>6</v>
      </c>
      <c r="BP132">
        <v>2023</v>
      </c>
      <c r="BQ132" t="str">
        <f t="shared" ref="BQ132:BQ195" si="11">B132&amp;BO132</f>
        <v>Roiphet16</v>
      </c>
      <c r="BR132">
        <f t="shared" ref="BR132:BR195" si="12">BT132*Y132</f>
        <v>9.7460399999999794</v>
      </c>
      <c r="BS132">
        <f t="shared" ref="BS132:BS195" si="13">Y132*AS132</f>
        <v>783.6377</v>
      </c>
      <c r="BT132" s="6">
        <f t="shared" ref="BT132:BT195" si="14">BJ132-BI132</f>
        <v>2.0276960590538522</v>
      </c>
    </row>
    <row r="133" spans="1:72">
      <c r="A133" s="3" t="s">
        <v>967</v>
      </c>
      <c r="B133" s="3" t="s">
        <v>1174</v>
      </c>
      <c r="C133" s="3" t="s">
        <v>1391</v>
      </c>
      <c r="D133" s="2" t="s">
        <v>1425</v>
      </c>
      <c r="E133" s="4" t="str">
        <f t="shared" si="10"/>
        <v>Roiphet1D1-G01-0076</v>
      </c>
      <c r="F133">
        <v>1.1299999999999999</v>
      </c>
      <c r="G133">
        <v>1.5</v>
      </c>
      <c r="H133" t="s">
        <v>72</v>
      </c>
      <c r="I133" t="s">
        <v>67</v>
      </c>
      <c r="J133" t="s">
        <v>357</v>
      </c>
      <c r="K133" t="s">
        <v>89</v>
      </c>
      <c r="L133" t="s">
        <v>89</v>
      </c>
      <c r="M133">
        <v>1.9638968481375358</v>
      </c>
      <c r="N133" s="5">
        <v>44840</v>
      </c>
      <c r="O133" s="5">
        <v>44866</v>
      </c>
      <c r="P133">
        <v>0.47</v>
      </c>
      <c r="Q133" s="4">
        <v>173</v>
      </c>
      <c r="R133">
        <v>0.249</v>
      </c>
      <c r="S133" t="s">
        <v>70</v>
      </c>
      <c r="T133" s="6">
        <v>4</v>
      </c>
      <c r="U133" s="5">
        <v>44971</v>
      </c>
      <c r="V133" s="6">
        <v>1</v>
      </c>
      <c r="W133" t="s">
        <v>86</v>
      </c>
      <c r="X133" s="6">
        <v>105</v>
      </c>
      <c r="Y133">
        <v>10.6181</v>
      </c>
      <c r="Z133">
        <v>9.3965486725663734</v>
      </c>
      <c r="AA133" s="6">
        <v>37.121424737005675</v>
      </c>
      <c r="AB133" s="4">
        <v>83.863617021276596</v>
      </c>
      <c r="AC133" s="6">
        <v>26.938621216311187</v>
      </c>
      <c r="AD133">
        <v>0.35036225700000001</v>
      </c>
      <c r="AE133">
        <v>1.6617686551387219</v>
      </c>
      <c r="AF133">
        <v>17450</v>
      </c>
      <c r="AG133" s="4">
        <v>0</v>
      </c>
      <c r="AH133" s="4">
        <v>34270</v>
      </c>
      <c r="AL133">
        <v>27</v>
      </c>
      <c r="AM133">
        <v>5.4470299999999998</v>
      </c>
      <c r="AN133" t="s">
        <v>81</v>
      </c>
      <c r="AO133" t="s">
        <v>90</v>
      </c>
      <c r="AP133" s="5">
        <v>44869</v>
      </c>
      <c r="AQ133" t="s">
        <v>131</v>
      </c>
      <c r="AR133" s="5">
        <v>44963</v>
      </c>
      <c r="AS133">
        <v>252.48593345325435</v>
      </c>
      <c r="AT133" s="6"/>
      <c r="AU133">
        <v>17.705615882314159</v>
      </c>
      <c r="AV133">
        <v>54.220970795151679</v>
      </c>
      <c r="AW133">
        <v>17.911194093105163</v>
      </c>
      <c r="AX133">
        <v>89.837780770571001</v>
      </c>
      <c r="AY133">
        <v>21.409493223834769</v>
      </c>
      <c r="AZ133">
        <v>28.37573388836044</v>
      </c>
      <c r="BA133">
        <v>4.9980278957628954</v>
      </c>
      <c r="BB133">
        <v>5.5666559930684398</v>
      </c>
      <c r="BC133">
        <v>10.658150704928374</v>
      </c>
      <c r="BD133">
        <v>71.008061705954916</v>
      </c>
      <c r="BE133">
        <v>91.640090976728445</v>
      </c>
      <c r="BF133">
        <v>27.145165330897242</v>
      </c>
      <c r="BG133">
        <v>7.5273353989885203E-2</v>
      </c>
      <c r="BH133">
        <v>27.220438684887128</v>
      </c>
      <c r="BI133">
        <v>188.06628116141309</v>
      </c>
      <c r="BJ133" s="6">
        <v>185</v>
      </c>
      <c r="BK133">
        <v>64.419652291841274</v>
      </c>
      <c r="BL133" s="4">
        <v>684.0143099999998</v>
      </c>
      <c r="BM133" t="s">
        <v>1392</v>
      </c>
      <c r="BN133" t="s">
        <v>65</v>
      </c>
      <c r="BO133">
        <v>2</v>
      </c>
      <c r="BP133">
        <v>2023</v>
      </c>
      <c r="BQ133" t="str">
        <f t="shared" si="11"/>
        <v>Roiphet12</v>
      </c>
      <c r="BR133">
        <f t="shared" si="12"/>
        <v>-32.558080000000302</v>
      </c>
      <c r="BS133">
        <f t="shared" si="13"/>
        <v>2680.9208899999999</v>
      </c>
      <c r="BT133" s="6">
        <f t="shared" si="14"/>
        <v>-3.0662811614130874</v>
      </c>
    </row>
    <row r="134" spans="1:72">
      <c r="A134" s="3" t="s">
        <v>967</v>
      </c>
      <c r="B134" s="3" t="s">
        <v>1174</v>
      </c>
      <c r="C134" s="3" t="s">
        <v>1391</v>
      </c>
      <c r="D134" s="2" t="s">
        <v>1421</v>
      </c>
      <c r="E134" s="4" t="str">
        <f t="shared" si="10"/>
        <v>Roiphet1D4-I08-0070</v>
      </c>
      <c r="F134">
        <v>0.72</v>
      </c>
      <c r="G134">
        <v>1.3</v>
      </c>
      <c r="H134" t="s">
        <v>72</v>
      </c>
      <c r="I134" t="s">
        <v>67</v>
      </c>
      <c r="J134" t="s">
        <v>357</v>
      </c>
      <c r="K134" t="s">
        <v>89</v>
      </c>
      <c r="L134" t="s">
        <v>89</v>
      </c>
      <c r="M134">
        <v>2.3437837837837838</v>
      </c>
      <c r="N134" s="5">
        <v>44835</v>
      </c>
      <c r="O134" s="5">
        <v>44855</v>
      </c>
      <c r="P134">
        <v>0.25</v>
      </c>
      <c r="Q134" s="4">
        <v>167</v>
      </c>
      <c r="R134">
        <v>0.3</v>
      </c>
      <c r="S134" t="s">
        <v>70</v>
      </c>
      <c r="T134" s="6">
        <v>3</v>
      </c>
      <c r="U134" s="5">
        <v>44951</v>
      </c>
      <c r="V134" s="6">
        <v>2</v>
      </c>
      <c r="W134" t="s">
        <v>71</v>
      </c>
      <c r="X134" s="6">
        <v>96</v>
      </c>
      <c r="Y134">
        <v>5.6944999999999997</v>
      </c>
      <c r="Z134">
        <v>7.9090277777777773</v>
      </c>
      <c r="AA134" s="6">
        <v>38.02563877425586</v>
      </c>
      <c r="AB134" s="4">
        <v>86.614800000000002</v>
      </c>
      <c r="AC134" s="6">
        <v>26.298046061412137</v>
      </c>
      <c r="AD134">
        <v>0.34409722199999998</v>
      </c>
      <c r="AE134">
        <v>1.6460539193878458</v>
      </c>
      <c r="AF134">
        <v>9250</v>
      </c>
      <c r="AG134" s="4">
        <v>0</v>
      </c>
      <c r="AH134" s="4">
        <v>21680</v>
      </c>
      <c r="AL134">
        <v>30</v>
      </c>
      <c r="AM134">
        <v>3.8147099999999998</v>
      </c>
      <c r="AN134" t="s">
        <v>81</v>
      </c>
      <c r="AO134" t="s">
        <v>104</v>
      </c>
      <c r="AP134" s="5">
        <v>44858</v>
      </c>
      <c r="AQ134" t="s">
        <v>108</v>
      </c>
      <c r="AR134" s="5">
        <v>44949</v>
      </c>
      <c r="AS134">
        <v>248.84077618754935</v>
      </c>
      <c r="AT134" s="6"/>
      <c r="AU134">
        <v>17.560804284836244</v>
      </c>
      <c r="AV134">
        <v>54.08229519712004</v>
      </c>
      <c r="AW134">
        <v>19.173774694881029</v>
      </c>
      <c r="AX134">
        <v>90.816874176837317</v>
      </c>
      <c r="AY134">
        <v>22.92294494687857</v>
      </c>
      <c r="AZ134">
        <v>28.871981736763544</v>
      </c>
      <c r="BA134">
        <v>5.5705716041794719</v>
      </c>
      <c r="BB134">
        <v>6.0305470190534738</v>
      </c>
      <c r="BC134">
        <v>12.320008780402141</v>
      </c>
      <c r="BD134">
        <v>75.7160540872772</v>
      </c>
      <c r="BE134">
        <v>82.307847923434849</v>
      </c>
      <c r="BF134">
        <v>29.253651769251029</v>
      </c>
      <c r="BG134">
        <v>8.072350513653527E-2</v>
      </c>
      <c r="BH134">
        <v>29.334375274387561</v>
      </c>
      <c r="BI134">
        <v>195.86730353850203</v>
      </c>
      <c r="BJ134" s="6">
        <v>184</v>
      </c>
      <c r="BK134">
        <v>52.973472649047316</v>
      </c>
      <c r="BL134" s="4">
        <v>301.65743999999995</v>
      </c>
      <c r="BM134" t="s">
        <v>1422</v>
      </c>
      <c r="BN134" t="s">
        <v>65</v>
      </c>
      <c r="BO134">
        <v>1</v>
      </c>
      <c r="BP134">
        <v>2023</v>
      </c>
      <c r="BQ134" t="str">
        <f t="shared" si="11"/>
        <v>Roiphet11</v>
      </c>
      <c r="BR134">
        <f t="shared" si="12"/>
        <v>-67.57835999999979</v>
      </c>
      <c r="BS134">
        <f t="shared" si="13"/>
        <v>1417.0237999999997</v>
      </c>
      <c r="BT134" s="6">
        <f t="shared" si="14"/>
        <v>-11.867303538502028</v>
      </c>
    </row>
    <row r="135" spans="1:72">
      <c r="A135" s="3" t="s">
        <v>967</v>
      </c>
      <c r="B135" s="3" t="s">
        <v>1174</v>
      </c>
      <c r="C135" s="3" t="s">
        <v>1391</v>
      </c>
      <c r="D135" s="2" t="s">
        <v>1409</v>
      </c>
      <c r="E135" s="4" t="str">
        <f t="shared" si="10"/>
        <v>Roiphet1D4-I07-0075</v>
      </c>
      <c r="F135">
        <v>0.72</v>
      </c>
      <c r="G135">
        <v>1.3</v>
      </c>
      <c r="H135" t="s">
        <v>72</v>
      </c>
      <c r="I135" t="s">
        <v>67</v>
      </c>
      <c r="J135" t="s">
        <v>357</v>
      </c>
      <c r="K135" t="s">
        <v>89</v>
      </c>
      <c r="L135" t="s">
        <v>89</v>
      </c>
      <c r="M135">
        <v>1.1061093247588425</v>
      </c>
      <c r="N135" s="5">
        <v>44835</v>
      </c>
      <c r="O135" s="5">
        <v>44853</v>
      </c>
      <c r="P135">
        <v>0.25</v>
      </c>
      <c r="Q135" s="4">
        <v>167</v>
      </c>
      <c r="R135">
        <v>0.28000000000000003</v>
      </c>
      <c r="S135" t="s">
        <v>70</v>
      </c>
      <c r="T135" s="6">
        <v>3</v>
      </c>
      <c r="U135" s="5">
        <v>44953</v>
      </c>
      <c r="V135" s="6">
        <v>2</v>
      </c>
      <c r="W135" t="s">
        <v>71</v>
      </c>
      <c r="X135" s="6">
        <v>100</v>
      </c>
      <c r="Y135">
        <v>3.8226900000000001</v>
      </c>
      <c r="Z135">
        <v>5.3092916666666667</v>
      </c>
      <c r="AA135" s="6">
        <v>38.754123405246041</v>
      </c>
      <c r="AB135" s="4">
        <v>59.258000000000003</v>
      </c>
      <c r="AC135" s="6">
        <v>25.803705828748864</v>
      </c>
      <c r="AD135">
        <v>0.34202758599999999</v>
      </c>
      <c r="AE135">
        <v>2.0718471283266138</v>
      </c>
      <c r="AF135">
        <v>7775</v>
      </c>
      <c r="AG135" s="4">
        <v>0</v>
      </c>
      <c r="AH135" s="4">
        <v>8600</v>
      </c>
      <c r="AL135">
        <v>29</v>
      </c>
      <c r="AM135">
        <v>2.6025</v>
      </c>
      <c r="AN135" t="s">
        <v>81</v>
      </c>
      <c r="AO135" t="s">
        <v>104</v>
      </c>
      <c r="AP135" s="5">
        <v>44855</v>
      </c>
      <c r="AQ135" t="s">
        <v>189</v>
      </c>
      <c r="AR135" s="5">
        <v>44949</v>
      </c>
      <c r="AS135">
        <v>255.42401293330093</v>
      </c>
      <c r="AT135" s="6"/>
      <c r="AU135">
        <v>26.159589189811363</v>
      </c>
      <c r="AV135">
        <v>67.596865034831495</v>
      </c>
      <c r="AW135">
        <v>24.748844400147544</v>
      </c>
      <c r="AX135">
        <v>118.5052986247904</v>
      </c>
      <c r="AY135">
        <v>34.696703106974411</v>
      </c>
      <c r="AZ135">
        <v>43.850008763462377</v>
      </c>
      <c r="BA135">
        <v>8.4340346719195125</v>
      </c>
      <c r="BB135">
        <v>9.0784081366786218</v>
      </c>
      <c r="BC135">
        <v>18.511082509960264</v>
      </c>
      <c r="BD135">
        <v>114.57023718899518</v>
      </c>
      <c r="BE135">
        <v>22.348477119515337</v>
      </c>
      <c r="BF135">
        <v>44.268821170432339</v>
      </c>
      <c r="BG135">
        <v>0.1222149847358797</v>
      </c>
      <c r="BH135">
        <v>44.391036155168223</v>
      </c>
      <c r="BI135">
        <v>277.46657196895376</v>
      </c>
      <c r="BJ135" s="6">
        <v>184</v>
      </c>
      <c r="BK135">
        <v>-22.042559035652843</v>
      </c>
      <c r="BL135" s="4">
        <v>-84.26186999999976</v>
      </c>
      <c r="BM135" t="s">
        <v>1410</v>
      </c>
      <c r="BN135" t="s">
        <v>65</v>
      </c>
      <c r="BO135">
        <v>1</v>
      </c>
      <c r="BP135">
        <v>2023</v>
      </c>
      <c r="BQ135" t="str">
        <f t="shared" si="11"/>
        <v>Roiphet11</v>
      </c>
      <c r="BR135">
        <f t="shared" si="12"/>
        <v>-357.29372999999987</v>
      </c>
      <c r="BS135">
        <f t="shared" si="13"/>
        <v>976.40682000000015</v>
      </c>
      <c r="BT135" s="6">
        <f t="shared" si="14"/>
        <v>-93.466571968953758</v>
      </c>
    </row>
    <row r="136" spans="1:72">
      <c r="A136" s="3" t="s">
        <v>967</v>
      </c>
      <c r="B136" s="3" t="s">
        <v>1174</v>
      </c>
      <c r="C136" s="3" t="s">
        <v>1391</v>
      </c>
      <c r="D136" s="2" t="s">
        <v>1393</v>
      </c>
      <c r="E136" s="4" t="str">
        <f t="shared" si="10"/>
        <v>Roiphet1D4-G08-0058</v>
      </c>
      <c r="F136">
        <v>1.1299999999999999</v>
      </c>
      <c r="G136">
        <v>1.5</v>
      </c>
      <c r="H136" t="s">
        <v>72</v>
      </c>
      <c r="I136" t="s">
        <v>67</v>
      </c>
      <c r="J136" t="s">
        <v>357</v>
      </c>
      <c r="K136" t="s">
        <v>89</v>
      </c>
      <c r="L136" t="s">
        <v>89</v>
      </c>
      <c r="M136">
        <v>0.92648870636550307</v>
      </c>
      <c r="N136" s="5">
        <v>44794</v>
      </c>
      <c r="O136" s="5">
        <v>44855</v>
      </c>
      <c r="P136">
        <v>0.45</v>
      </c>
      <c r="Q136" s="4">
        <v>166</v>
      </c>
      <c r="R136">
        <v>0.3</v>
      </c>
      <c r="S136" t="s">
        <v>70</v>
      </c>
      <c r="T136" s="6">
        <v>3</v>
      </c>
      <c r="U136" s="5">
        <v>44929</v>
      </c>
      <c r="V136" s="6">
        <v>2</v>
      </c>
      <c r="W136" t="s">
        <v>71</v>
      </c>
      <c r="X136" s="6">
        <v>74</v>
      </c>
      <c r="Y136">
        <v>7.7354200000000004</v>
      </c>
      <c r="Z136">
        <v>6.8455044247787624</v>
      </c>
      <c r="AA136" s="6">
        <v>49.108128582546257</v>
      </c>
      <c r="AB136" s="4">
        <v>84.415999999999997</v>
      </c>
      <c r="AC136" s="6">
        <v>20.363227613511921</v>
      </c>
      <c r="AD136">
        <v>0.31021370199999998</v>
      </c>
      <c r="AE136">
        <v>1.6018851589780565</v>
      </c>
      <c r="AF136">
        <v>12175</v>
      </c>
      <c r="AG136" s="4">
        <v>0</v>
      </c>
      <c r="AH136" s="4">
        <v>11280</v>
      </c>
      <c r="AL136">
        <v>43</v>
      </c>
      <c r="AM136">
        <v>5.0623900000000006</v>
      </c>
      <c r="AN136" t="s">
        <v>1394</v>
      </c>
      <c r="AO136" t="s">
        <v>105</v>
      </c>
      <c r="AP136" s="5">
        <v>44858</v>
      </c>
      <c r="AQ136" t="s">
        <v>94</v>
      </c>
      <c r="AR136" s="5">
        <v>44928</v>
      </c>
      <c r="AS136">
        <v>210.39789048299903</v>
      </c>
      <c r="AT136" s="6"/>
      <c r="AU136">
        <v>23.269583293473396</v>
      </c>
      <c r="AV136">
        <v>52.233838628025367</v>
      </c>
      <c r="AW136">
        <v>29.547126077187787</v>
      </c>
      <c r="AX136">
        <v>105.05054799868654</v>
      </c>
      <c r="AY136">
        <v>42.134976510648421</v>
      </c>
      <c r="AZ136">
        <v>37.181771642651583</v>
      </c>
      <c r="BA136">
        <v>12.17976399471522</v>
      </c>
      <c r="BB136">
        <v>9.5931352143774991</v>
      </c>
      <c r="BC136">
        <v>17.539681103288508</v>
      </c>
      <c r="BD136">
        <v>118.62932846568124</v>
      </c>
      <c r="BE136">
        <v>-13.281985981368749</v>
      </c>
      <c r="BF136">
        <v>53.931971373241531</v>
      </c>
      <c r="BG136">
        <v>0.14692285616036363</v>
      </c>
      <c r="BH136">
        <v>54.078894229401897</v>
      </c>
      <c r="BI136">
        <v>277.75877069376975</v>
      </c>
      <c r="BJ136" s="6">
        <v>169</v>
      </c>
      <c r="BK136">
        <v>-67.360880210770745</v>
      </c>
      <c r="BL136" s="4">
        <v>-521.06470000000013</v>
      </c>
      <c r="BM136" t="s">
        <v>1395</v>
      </c>
      <c r="BN136" t="s">
        <v>65</v>
      </c>
      <c r="BO136">
        <v>1</v>
      </c>
      <c r="BP136">
        <v>2023</v>
      </c>
      <c r="BQ136" t="str">
        <f t="shared" si="11"/>
        <v>Roiphet11</v>
      </c>
      <c r="BR136">
        <f t="shared" si="12"/>
        <v>-841.29477000000043</v>
      </c>
      <c r="BS136">
        <f t="shared" si="13"/>
        <v>1627.5160500000004</v>
      </c>
      <c r="BT136" s="6">
        <f t="shared" si="14"/>
        <v>-108.75877069376975</v>
      </c>
    </row>
    <row r="137" spans="1:72">
      <c r="A137" s="3" t="s">
        <v>967</v>
      </c>
      <c r="B137" s="3" t="s">
        <v>1174</v>
      </c>
      <c r="C137" s="3" t="s">
        <v>1391</v>
      </c>
      <c r="D137" s="2" t="s">
        <v>1398</v>
      </c>
      <c r="E137" s="4" t="str">
        <f t="shared" si="10"/>
        <v>Roiphet1D1-G02-0079</v>
      </c>
      <c r="F137">
        <v>1.1299999999999999</v>
      </c>
      <c r="G137">
        <v>1.5</v>
      </c>
      <c r="H137" t="s">
        <v>72</v>
      </c>
      <c r="I137" t="s">
        <v>67</v>
      </c>
      <c r="J137" t="s">
        <v>357</v>
      </c>
      <c r="K137" t="s">
        <v>89</v>
      </c>
      <c r="L137" t="s">
        <v>89</v>
      </c>
      <c r="M137">
        <v>0.41791044776119401</v>
      </c>
      <c r="N137" s="5">
        <v>44971</v>
      </c>
      <c r="O137" s="5">
        <v>45002</v>
      </c>
      <c r="P137">
        <v>0.4</v>
      </c>
      <c r="Q137" s="4">
        <v>147</v>
      </c>
      <c r="R137">
        <v>0.45</v>
      </c>
      <c r="S137" t="s">
        <v>70</v>
      </c>
      <c r="T137" s="6">
        <v>3</v>
      </c>
      <c r="U137" s="5">
        <v>45083</v>
      </c>
      <c r="V137" s="6">
        <v>2</v>
      </c>
      <c r="W137" t="s">
        <v>71</v>
      </c>
      <c r="X137" s="6">
        <v>81</v>
      </c>
      <c r="Y137">
        <v>7.9241999999999999</v>
      </c>
      <c r="Z137">
        <v>7.0125663716814168</v>
      </c>
      <c r="AA137" s="6">
        <v>44.186037707276448</v>
      </c>
      <c r="AB137" s="4">
        <v>87.534749999999988</v>
      </c>
      <c r="AC137" s="6">
        <v>22.631583456855704</v>
      </c>
      <c r="AD137">
        <v>0.30308642000000002</v>
      </c>
      <c r="AE137">
        <v>1.9466005188352165</v>
      </c>
      <c r="AF137">
        <v>15075</v>
      </c>
      <c r="AG137" s="4">
        <v>0</v>
      </c>
      <c r="AH137" s="4">
        <v>6300</v>
      </c>
      <c r="AL137">
        <v>40</v>
      </c>
      <c r="AM137">
        <v>5.8376800000000006</v>
      </c>
      <c r="AN137" t="s">
        <v>81</v>
      </c>
      <c r="AO137" t="s">
        <v>144</v>
      </c>
      <c r="AP137" s="5">
        <v>45005</v>
      </c>
      <c r="AQ137" t="s">
        <v>144</v>
      </c>
      <c r="AR137" s="5">
        <v>45079</v>
      </c>
      <c r="AS137">
        <v>161.7400065621766</v>
      </c>
      <c r="AT137" s="6"/>
      <c r="AU137">
        <v>22.715226773680623</v>
      </c>
      <c r="AV137">
        <v>58.15960475505414</v>
      </c>
      <c r="AW137">
        <v>19.93011534287373</v>
      </c>
      <c r="AX137">
        <v>100.80494687160849</v>
      </c>
      <c r="AY137">
        <v>17.810807400116104</v>
      </c>
      <c r="AZ137">
        <v>34.955990510083041</v>
      </c>
      <c r="BA137">
        <v>4.9260922238207012</v>
      </c>
      <c r="BB137">
        <v>4.2588185558163598</v>
      </c>
      <c r="BC137">
        <v>10.003522122106965</v>
      </c>
      <c r="BD137">
        <v>71.955230811943167</v>
      </c>
      <c r="BE137">
        <v>-11.020171121375057</v>
      </c>
      <c r="BF137">
        <v>26.191281138790035</v>
      </c>
      <c r="BG137">
        <v>7.7853915852704389E-2</v>
      </c>
      <c r="BH137">
        <v>26.269135054642739</v>
      </c>
      <c r="BI137">
        <v>199.02931273819439</v>
      </c>
      <c r="BJ137" s="6">
        <v>177</v>
      </c>
      <c r="BK137">
        <v>-37.289306176017789</v>
      </c>
      <c r="BL137" s="4">
        <v>-295.48792000000014</v>
      </c>
      <c r="BM137" t="s">
        <v>1399</v>
      </c>
      <c r="BN137" t="s">
        <v>65</v>
      </c>
      <c r="BO137">
        <v>6</v>
      </c>
      <c r="BP137">
        <v>2023</v>
      </c>
      <c r="BQ137" t="str">
        <f t="shared" si="11"/>
        <v>Roiphet16</v>
      </c>
      <c r="BR137">
        <f t="shared" si="12"/>
        <v>-174.56468000000001</v>
      </c>
      <c r="BS137">
        <f t="shared" si="13"/>
        <v>1281.6601599999999</v>
      </c>
      <c r="BT137" s="6">
        <f t="shared" si="14"/>
        <v>-22.029312738194392</v>
      </c>
    </row>
    <row r="138" spans="1:72">
      <c r="A138" s="3" t="s">
        <v>967</v>
      </c>
      <c r="B138" s="3" t="s">
        <v>1174</v>
      </c>
      <c r="C138" s="3" t="s">
        <v>1391</v>
      </c>
      <c r="D138" s="2" t="s">
        <v>1396</v>
      </c>
      <c r="E138" s="4" t="str">
        <f t="shared" si="10"/>
        <v>Roiphet1D1-G01-0077</v>
      </c>
      <c r="F138">
        <v>1.1299999999999999</v>
      </c>
      <c r="G138">
        <v>1.5</v>
      </c>
      <c r="H138" t="s">
        <v>72</v>
      </c>
      <c r="I138" t="s">
        <v>67</v>
      </c>
      <c r="J138" t="s">
        <v>357</v>
      </c>
      <c r="K138" t="s">
        <v>89</v>
      </c>
      <c r="L138" t="s">
        <v>89</v>
      </c>
      <c r="M138">
        <v>0.47272727272727272</v>
      </c>
      <c r="N138" s="5">
        <v>44972</v>
      </c>
      <c r="O138" s="5">
        <v>45001</v>
      </c>
      <c r="P138">
        <v>0.4</v>
      </c>
      <c r="Q138" s="4">
        <v>147</v>
      </c>
      <c r="R138">
        <v>0.45300000000000001</v>
      </c>
      <c r="S138" t="s">
        <v>70</v>
      </c>
      <c r="T138" s="6">
        <v>3</v>
      </c>
      <c r="U138" s="5">
        <v>45082</v>
      </c>
      <c r="V138" s="6">
        <v>2</v>
      </c>
      <c r="W138" t="s">
        <v>71</v>
      </c>
      <c r="X138" s="6">
        <v>81</v>
      </c>
      <c r="Y138">
        <v>7.0100500000000006</v>
      </c>
      <c r="Z138">
        <v>6.2035840707964613</v>
      </c>
      <c r="AA138" s="6">
        <v>45.707805222501975</v>
      </c>
      <c r="AB138" s="4">
        <v>80.103500000000011</v>
      </c>
      <c r="AC138" s="6">
        <v>21.878101456240991</v>
      </c>
      <c r="AD138">
        <v>0.28835214599999998</v>
      </c>
      <c r="AE138">
        <v>2.1746388781499313</v>
      </c>
      <c r="AF138">
        <v>14850</v>
      </c>
      <c r="AG138" s="4">
        <v>0</v>
      </c>
      <c r="AH138" s="4">
        <v>7020</v>
      </c>
      <c r="AL138">
        <v>42</v>
      </c>
      <c r="AM138">
        <v>4.9978299999999996</v>
      </c>
      <c r="AN138" t="s">
        <v>81</v>
      </c>
      <c r="AO138" t="s">
        <v>116</v>
      </c>
      <c r="AP138" s="5">
        <v>45005</v>
      </c>
      <c r="AQ138" t="s">
        <v>127</v>
      </c>
      <c r="AR138" s="5">
        <v>45079</v>
      </c>
      <c r="AS138">
        <v>156.21147210076961</v>
      </c>
      <c r="AT138" s="6"/>
      <c r="AU138">
        <v>25.677420275176353</v>
      </c>
      <c r="AV138">
        <v>64.738802148344163</v>
      </c>
      <c r="AW138">
        <v>21.536080341794989</v>
      </c>
      <c r="AX138">
        <v>111.95230276531551</v>
      </c>
      <c r="AY138">
        <v>19.70362836213722</v>
      </c>
      <c r="AZ138">
        <v>38.986773275511581</v>
      </c>
      <c r="BA138">
        <v>5.4657541672313306</v>
      </c>
      <c r="BB138">
        <v>4.7170975955948951</v>
      </c>
      <c r="BC138">
        <v>11.078522977724839</v>
      </c>
      <c r="BD138">
        <v>79.951776378199867</v>
      </c>
      <c r="BE138">
        <v>-35.692607042745763</v>
      </c>
      <c r="BF138">
        <v>29.089457279192018</v>
      </c>
      <c r="BG138">
        <v>8.6350311338720828E-2</v>
      </c>
      <c r="BH138">
        <v>29.175807590530741</v>
      </c>
      <c r="BI138">
        <v>221.07988673404608</v>
      </c>
      <c r="BJ138" s="6">
        <v>175</v>
      </c>
      <c r="BK138">
        <v>-64.868414633276487</v>
      </c>
      <c r="BL138" s="4">
        <v>-454.73082999999986</v>
      </c>
      <c r="BM138" t="s">
        <v>1397</v>
      </c>
      <c r="BN138" t="s">
        <v>65</v>
      </c>
      <c r="BO138">
        <v>6</v>
      </c>
      <c r="BP138">
        <v>2023</v>
      </c>
      <c r="BQ138" t="str">
        <f t="shared" si="11"/>
        <v>Roiphet16</v>
      </c>
      <c r="BR138">
        <f t="shared" si="12"/>
        <v>-323.02230999999978</v>
      </c>
      <c r="BS138">
        <f t="shared" si="13"/>
        <v>1095.0502300000001</v>
      </c>
      <c r="BT138" s="6">
        <f t="shared" si="14"/>
        <v>-46.079886734046084</v>
      </c>
    </row>
    <row r="139" spans="1:72">
      <c r="A139" s="3" t="s">
        <v>967</v>
      </c>
      <c r="B139" s="3" t="s">
        <v>1174</v>
      </c>
      <c r="C139" s="3" t="s">
        <v>1482</v>
      </c>
      <c r="D139" s="2" t="s">
        <v>1528</v>
      </c>
      <c r="E139" s="4" t="str">
        <f t="shared" si="10"/>
        <v>Roiphet1A2-I04-0100</v>
      </c>
      <c r="F139">
        <v>0.72</v>
      </c>
      <c r="G139">
        <v>1.3</v>
      </c>
      <c r="H139" t="s">
        <v>72</v>
      </c>
      <c r="I139" t="s">
        <v>67</v>
      </c>
      <c r="J139" t="s">
        <v>357</v>
      </c>
      <c r="K139" t="s">
        <v>89</v>
      </c>
      <c r="L139" t="s">
        <v>89</v>
      </c>
      <c r="M139">
        <v>0.41780415430267065</v>
      </c>
      <c r="N139" s="5">
        <v>45048</v>
      </c>
      <c r="O139" s="5">
        <v>45077</v>
      </c>
      <c r="P139">
        <v>0.25</v>
      </c>
      <c r="Q139" s="4">
        <v>167</v>
      </c>
      <c r="R139">
        <v>0.71</v>
      </c>
      <c r="S139" t="s">
        <v>70</v>
      </c>
      <c r="T139" s="6">
        <v>3</v>
      </c>
      <c r="U139" s="5">
        <v>45184</v>
      </c>
      <c r="V139" s="6">
        <v>2</v>
      </c>
      <c r="W139" t="s">
        <v>71</v>
      </c>
      <c r="X139" s="6">
        <v>106.99999999999999</v>
      </c>
      <c r="Y139">
        <v>2.9948200000000003</v>
      </c>
      <c r="Z139">
        <v>4.1594722222222229</v>
      </c>
      <c r="AA139" s="6">
        <v>33.048396898644995</v>
      </c>
      <c r="AB139" s="4">
        <v>39.589600000000004</v>
      </c>
      <c r="AC139" s="6">
        <v>30.258653787863476</v>
      </c>
      <c r="AD139">
        <v>0.46065420600000001</v>
      </c>
      <c r="AE139">
        <v>2.9904306220095691</v>
      </c>
      <c r="AF139">
        <v>8425</v>
      </c>
      <c r="AG139" s="4">
        <v>375</v>
      </c>
      <c r="AH139" s="4">
        <v>3520</v>
      </c>
      <c r="AL139">
        <v>20</v>
      </c>
      <c r="AM139">
        <v>1.8125799999999999</v>
      </c>
      <c r="AN139" t="s">
        <v>81</v>
      </c>
      <c r="AO139" t="s">
        <v>123</v>
      </c>
      <c r="AP139" s="5">
        <v>45079</v>
      </c>
      <c r="AQ139" t="s">
        <v>438</v>
      </c>
      <c r="AR139" s="5">
        <v>45180</v>
      </c>
      <c r="AS139">
        <v>205.11443091738403</v>
      </c>
      <c r="AT139" s="6"/>
      <c r="AU139">
        <v>41.17910258379468</v>
      </c>
      <c r="AV139">
        <v>90.828594039040738</v>
      </c>
      <c r="AW139">
        <v>41.947743103091319</v>
      </c>
      <c r="AX139">
        <v>173.95543972592674</v>
      </c>
      <c r="AY139">
        <v>42.829796114624585</v>
      </c>
      <c r="AZ139">
        <v>66.843750208693677</v>
      </c>
      <c r="BA139">
        <v>10.703548126431638</v>
      </c>
      <c r="BB139">
        <v>12.221869761788689</v>
      </c>
      <c r="BC139">
        <v>26.931318075877673</v>
      </c>
      <c r="BD139">
        <v>159.53028228741627</v>
      </c>
      <c r="BE139">
        <v>-128.37129109595898</v>
      </c>
      <c r="BF139">
        <v>53.904191236868989</v>
      </c>
      <c r="BG139">
        <v>0.16355907867584696</v>
      </c>
      <c r="BH139">
        <v>54.067750315544835</v>
      </c>
      <c r="BI139">
        <v>387.55347232888784</v>
      </c>
      <c r="BJ139" s="6">
        <v>191</v>
      </c>
      <c r="BK139">
        <v>-182.43904141150381</v>
      </c>
      <c r="BL139" s="4">
        <v>-546.37208999999984</v>
      </c>
      <c r="BM139" t="s">
        <v>1529</v>
      </c>
      <c r="BN139" t="s">
        <v>65</v>
      </c>
      <c r="BO139">
        <v>9</v>
      </c>
      <c r="BP139">
        <v>2023</v>
      </c>
      <c r="BQ139" t="str">
        <f t="shared" si="11"/>
        <v>Roiphet19</v>
      </c>
      <c r="BR139">
        <f t="shared" si="12"/>
        <v>-588.64226999999994</v>
      </c>
      <c r="BS139">
        <f t="shared" si="13"/>
        <v>614.28080000000011</v>
      </c>
      <c r="BT139" s="6">
        <f t="shared" si="14"/>
        <v>-196.55347232888784</v>
      </c>
    </row>
    <row r="140" spans="1:72">
      <c r="A140" s="3" t="s">
        <v>967</v>
      </c>
      <c r="B140" s="3" t="s">
        <v>1174</v>
      </c>
      <c r="C140" s="3" t="s">
        <v>1482</v>
      </c>
      <c r="D140" s="2" t="s">
        <v>1504</v>
      </c>
      <c r="E140" s="4" t="str">
        <f t="shared" si="10"/>
        <v>Roiphet1A2-G03-0083</v>
      </c>
      <c r="F140">
        <v>1.1299999999999999</v>
      </c>
      <c r="G140">
        <v>1.5</v>
      </c>
      <c r="H140" t="s">
        <v>72</v>
      </c>
      <c r="I140" t="s">
        <v>67</v>
      </c>
      <c r="J140" t="s">
        <v>357</v>
      </c>
      <c r="K140" t="s">
        <v>89</v>
      </c>
      <c r="L140" t="s">
        <v>89</v>
      </c>
      <c r="M140">
        <v>0.76097560975609757</v>
      </c>
      <c r="N140" s="5">
        <v>45057</v>
      </c>
      <c r="O140" s="5">
        <v>45086</v>
      </c>
      <c r="P140">
        <v>0.55000000000000004</v>
      </c>
      <c r="Q140" s="4">
        <v>203</v>
      </c>
      <c r="R140">
        <v>0.45</v>
      </c>
      <c r="S140" t="s">
        <v>70</v>
      </c>
      <c r="T140" s="6">
        <v>3</v>
      </c>
      <c r="U140" s="5">
        <v>45183</v>
      </c>
      <c r="V140" s="6">
        <v>2</v>
      </c>
      <c r="W140" t="s">
        <v>71</v>
      </c>
      <c r="X140" s="6">
        <v>97</v>
      </c>
      <c r="Y140">
        <v>5.3845200000000002</v>
      </c>
      <c r="Z140">
        <v>4.7650619469026552</v>
      </c>
      <c r="AA140" s="6">
        <v>36.794551789203119</v>
      </c>
      <c r="AB140" s="4">
        <v>36.021999999999998</v>
      </c>
      <c r="AC140" s="6">
        <v>27.177936715441575</v>
      </c>
      <c r="AD140">
        <v>0.44359031800000004</v>
      </c>
      <c r="AE140">
        <v>2.9929454086757454</v>
      </c>
      <c r="AF140">
        <v>15375</v>
      </c>
      <c r="AG140" s="4">
        <v>375</v>
      </c>
      <c r="AH140" s="4">
        <v>11700</v>
      </c>
      <c r="AL140">
        <v>23</v>
      </c>
      <c r="AM140">
        <v>3.5806199999999997</v>
      </c>
      <c r="AN140" t="s">
        <v>85</v>
      </c>
      <c r="AO140" t="s">
        <v>189</v>
      </c>
      <c r="AP140" s="5">
        <v>45089</v>
      </c>
      <c r="AQ140" t="s">
        <v>92</v>
      </c>
      <c r="AR140" s="5">
        <v>45180</v>
      </c>
      <c r="AS140">
        <v>182.48021736385044</v>
      </c>
      <c r="AT140" s="6"/>
      <c r="AU140">
        <v>45.965099953199164</v>
      </c>
      <c r="AV140">
        <v>93.008192002258326</v>
      </c>
      <c r="AW140">
        <v>44.511118911249277</v>
      </c>
      <c r="AX140">
        <v>183.48441086670675</v>
      </c>
      <c r="AY140">
        <v>34.902908708668548</v>
      </c>
      <c r="AZ140">
        <v>47.613232005824095</v>
      </c>
      <c r="BA140">
        <v>8.2988492939017764</v>
      </c>
      <c r="BB140">
        <v>10.129090429601895</v>
      </c>
      <c r="BC140">
        <v>21.849290187426174</v>
      </c>
      <c r="BD140">
        <v>122.7933706254225</v>
      </c>
      <c r="BE140">
        <v>-123.79756412827881</v>
      </c>
      <c r="BF140">
        <v>43.505352380527874</v>
      </c>
      <c r="BG140">
        <v>0.13277320912541882</v>
      </c>
      <c r="BH140">
        <v>43.638125589653299</v>
      </c>
      <c r="BI140">
        <v>349.91590708178262</v>
      </c>
      <c r="BJ140" s="6">
        <v>186</v>
      </c>
      <c r="BK140">
        <v>-167.43568971793218</v>
      </c>
      <c r="BL140" s="4">
        <v>-901.56082000000015</v>
      </c>
      <c r="BM140" t="s">
        <v>1505</v>
      </c>
      <c r="BN140" t="s">
        <v>65</v>
      </c>
      <c r="BO140">
        <v>9</v>
      </c>
      <c r="BP140">
        <v>2023</v>
      </c>
      <c r="BQ140" t="str">
        <f t="shared" si="11"/>
        <v>Roiphet19</v>
      </c>
      <c r="BR140">
        <f t="shared" si="12"/>
        <v>-882.60848000000021</v>
      </c>
      <c r="BS140">
        <f t="shared" si="13"/>
        <v>982.56838000000005</v>
      </c>
      <c r="BT140" s="6">
        <f t="shared" si="14"/>
        <v>-163.91590708178262</v>
      </c>
    </row>
    <row r="141" spans="1:72">
      <c r="A141" s="3" t="s">
        <v>967</v>
      </c>
      <c r="B141" s="3" t="s">
        <v>1174</v>
      </c>
      <c r="C141" s="3" t="s">
        <v>1482</v>
      </c>
      <c r="D141" s="2" t="s">
        <v>1516</v>
      </c>
      <c r="E141" s="4" t="str">
        <f t="shared" si="10"/>
        <v>Roiphet1A2-I03-0095</v>
      </c>
      <c r="F141">
        <v>0.72</v>
      </c>
      <c r="G141">
        <v>1.3</v>
      </c>
      <c r="H141" t="s">
        <v>72</v>
      </c>
      <c r="I141" t="s">
        <v>67</v>
      </c>
      <c r="J141" t="s">
        <v>357</v>
      </c>
      <c r="K141" t="s">
        <v>89</v>
      </c>
      <c r="L141" t="s">
        <v>89</v>
      </c>
      <c r="M141">
        <v>0.66153846153846152</v>
      </c>
      <c r="N141" s="5">
        <v>45046</v>
      </c>
      <c r="O141" s="5">
        <v>45086</v>
      </c>
      <c r="P141">
        <v>0.25</v>
      </c>
      <c r="Q141" s="4">
        <v>167</v>
      </c>
      <c r="R141">
        <v>0.45</v>
      </c>
      <c r="S141" t="s">
        <v>70</v>
      </c>
      <c r="T141" s="6">
        <v>3</v>
      </c>
      <c r="U141" s="5">
        <v>45183</v>
      </c>
      <c r="V141" s="6">
        <v>2</v>
      </c>
      <c r="W141" t="s">
        <v>71</v>
      </c>
      <c r="X141" s="6">
        <v>97.000000000000014</v>
      </c>
      <c r="Y141">
        <v>3.4768400000000002</v>
      </c>
      <c r="Z141">
        <v>4.8289444444444447</v>
      </c>
      <c r="AA141" s="6">
        <v>35.383566686991635</v>
      </c>
      <c r="AB141" s="4">
        <v>49.209199999999996</v>
      </c>
      <c r="AC141" s="6">
        <v>28.261707160449674</v>
      </c>
      <c r="AD141">
        <v>0.44359031799999998</v>
      </c>
      <c r="AE141">
        <v>2.3184132541902347</v>
      </c>
      <c r="AF141">
        <v>7800</v>
      </c>
      <c r="AG141" s="4">
        <v>375</v>
      </c>
      <c r="AH141" s="4">
        <v>5160</v>
      </c>
      <c r="AL141">
        <v>23</v>
      </c>
      <c r="AM141">
        <v>2.1813600000000002</v>
      </c>
      <c r="AN141" t="s">
        <v>85</v>
      </c>
      <c r="AO141" t="s">
        <v>108</v>
      </c>
      <c r="AP141" s="5">
        <v>45089</v>
      </c>
      <c r="AQ141" t="s">
        <v>215</v>
      </c>
      <c r="AR141" s="5">
        <v>45180</v>
      </c>
      <c r="AS141">
        <v>185.59740453975448</v>
      </c>
      <c r="AT141" s="6"/>
      <c r="AU141">
        <v>32.35696782135502</v>
      </c>
      <c r="AV141">
        <v>72.995202540237685</v>
      </c>
      <c r="AW141">
        <v>35.501374811610553</v>
      </c>
      <c r="AX141">
        <v>140.85354517320326</v>
      </c>
      <c r="AY141">
        <v>34.887955729915667</v>
      </c>
      <c r="AZ141">
        <v>49.359329160962254</v>
      </c>
      <c r="BA141">
        <v>7.5330587545012131</v>
      </c>
      <c r="BB141">
        <v>10.022583725451845</v>
      </c>
      <c r="BC141">
        <v>21.802933123180818</v>
      </c>
      <c r="BD141">
        <v>123.60586049401181</v>
      </c>
      <c r="BE141">
        <v>-78.862001127460587</v>
      </c>
      <c r="BF141">
        <v>44.075588753005597</v>
      </c>
      <c r="BG141">
        <v>0.1334717732193601</v>
      </c>
      <c r="BH141">
        <v>44.20906052622496</v>
      </c>
      <c r="BI141">
        <v>308.66846619344</v>
      </c>
      <c r="BJ141" s="6">
        <v>187</v>
      </c>
      <c r="BK141">
        <v>-123.07106165368549</v>
      </c>
      <c r="BL141" s="4">
        <v>-427.89838999999989</v>
      </c>
      <c r="BM141" t="s">
        <v>1517</v>
      </c>
      <c r="BN141" t="s">
        <v>65</v>
      </c>
      <c r="BO141">
        <v>9</v>
      </c>
      <c r="BP141">
        <v>2023</v>
      </c>
      <c r="BQ141" t="str">
        <f t="shared" si="11"/>
        <v>Roiphet19</v>
      </c>
      <c r="BR141">
        <f t="shared" si="12"/>
        <v>-423.02178999999995</v>
      </c>
      <c r="BS141">
        <f t="shared" si="13"/>
        <v>645.29247999999995</v>
      </c>
      <c r="BT141" s="6">
        <f t="shared" si="14"/>
        <v>-121.66846619344</v>
      </c>
    </row>
    <row r="142" spans="1:72">
      <c r="A142" s="3" t="s">
        <v>967</v>
      </c>
      <c r="B142" s="3" t="s">
        <v>1174</v>
      </c>
      <c r="C142" s="3" t="s">
        <v>1482</v>
      </c>
      <c r="D142" s="2" t="s">
        <v>1524</v>
      </c>
      <c r="E142" s="4" t="str">
        <f t="shared" si="10"/>
        <v>Roiphet1A2-G04-0082</v>
      </c>
      <c r="F142">
        <v>1.1299999999999999</v>
      </c>
      <c r="G142">
        <v>1.5</v>
      </c>
      <c r="H142" t="s">
        <v>72</v>
      </c>
      <c r="I142" t="s">
        <v>67</v>
      </c>
      <c r="J142" t="s">
        <v>357</v>
      </c>
      <c r="K142" t="s">
        <v>89</v>
      </c>
      <c r="L142" t="s">
        <v>89</v>
      </c>
      <c r="M142">
        <v>0.74416107382550334</v>
      </c>
      <c r="N142" s="5">
        <v>45052</v>
      </c>
      <c r="O142" s="5">
        <v>45077</v>
      </c>
      <c r="P142">
        <v>0.5</v>
      </c>
      <c r="Q142" s="4">
        <v>184</v>
      </c>
      <c r="R142">
        <v>0.71</v>
      </c>
      <c r="S142" t="s">
        <v>70</v>
      </c>
      <c r="T142" s="6">
        <v>3</v>
      </c>
      <c r="U142" s="5">
        <v>45184</v>
      </c>
      <c r="V142" s="6">
        <v>2</v>
      </c>
      <c r="W142" t="s">
        <v>71</v>
      </c>
      <c r="X142" s="6">
        <v>107</v>
      </c>
      <c r="Y142">
        <v>6.2935400000000001</v>
      </c>
      <c r="Z142">
        <v>5.5695044247787617</v>
      </c>
      <c r="AA142" s="6">
        <v>34.187913320643069</v>
      </c>
      <c r="AB142" s="4">
        <v>43.032600000000002</v>
      </c>
      <c r="AC142" s="6">
        <v>29.250103409972908</v>
      </c>
      <c r="AD142">
        <v>0.43840231400000002</v>
      </c>
      <c r="AE142">
        <v>3.1362927588262437</v>
      </c>
      <c r="AF142">
        <v>18625</v>
      </c>
      <c r="AG142" s="4">
        <v>375</v>
      </c>
      <c r="AH142" s="4">
        <v>13860</v>
      </c>
      <c r="AL142">
        <v>21</v>
      </c>
      <c r="AM142">
        <v>4.1197400000000002</v>
      </c>
      <c r="AN142" t="s">
        <v>81</v>
      </c>
      <c r="AO142" t="s">
        <v>123</v>
      </c>
      <c r="AP142" s="5">
        <v>45079</v>
      </c>
      <c r="AQ142" t="s">
        <v>215</v>
      </c>
      <c r="AR142" s="5">
        <v>45180</v>
      </c>
      <c r="AS142">
        <v>195.51427018816119</v>
      </c>
      <c r="AT142" s="6"/>
      <c r="AU142">
        <v>39.190700305392518</v>
      </c>
      <c r="AV142">
        <v>95.787149998252161</v>
      </c>
      <c r="AW142">
        <v>42.037894412365695</v>
      </c>
      <c r="AX142">
        <v>177.01574471601037</v>
      </c>
      <c r="AY142">
        <v>31.152035261553912</v>
      </c>
      <c r="AZ142">
        <v>47.725899890999344</v>
      </c>
      <c r="BA142">
        <v>7.8664694273810918</v>
      </c>
      <c r="BB142">
        <v>8.9557689313168733</v>
      </c>
      <c r="BC142">
        <v>19.545704007601444</v>
      </c>
      <c r="BD142">
        <v>115.24587751885267</v>
      </c>
      <c r="BE142">
        <v>-96.747352046701849</v>
      </c>
      <c r="BF142">
        <v>39.045271818404274</v>
      </c>
      <c r="BG142">
        <v>0.11878370519612173</v>
      </c>
      <c r="BH142">
        <v>39.164055523600396</v>
      </c>
      <c r="BI142">
        <v>331.42567775846345</v>
      </c>
      <c r="BJ142" s="6">
        <v>189</v>
      </c>
      <c r="BK142">
        <v>-135.91140757030226</v>
      </c>
      <c r="BL142" s="4">
        <v>-855.36388000000011</v>
      </c>
      <c r="BM142" t="s">
        <v>1525</v>
      </c>
      <c r="BN142" t="s">
        <v>65</v>
      </c>
      <c r="BO142">
        <v>9</v>
      </c>
      <c r="BP142">
        <v>2023</v>
      </c>
      <c r="BQ142" t="str">
        <f t="shared" si="11"/>
        <v>Roiphet19</v>
      </c>
      <c r="BR142">
        <f t="shared" si="12"/>
        <v>-896.36170000000004</v>
      </c>
      <c r="BS142">
        <f t="shared" si="13"/>
        <v>1230.4768799999999</v>
      </c>
      <c r="BT142" s="6">
        <f t="shared" si="14"/>
        <v>-142.42567775846345</v>
      </c>
    </row>
    <row r="143" spans="1:72">
      <c r="A143" s="3" t="s">
        <v>967</v>
      </c>
      <c r="B143" s="3" t="s">
        <v>1174</v>
      </c>
      <c r="C143" s="3" t="s">
        <v>1482</v>
      </c>
      <c r="D143" s="2" t="s">
        <v>1520</v>
      </c>
      <c r="E143" s="4" t="str">
        <f t="shared" si="10"/>
        <v>Roiphet1A1-I02-0095</v>
      </c>
      <c r="F143">
        <v>0.72</v>
      </c>
      <c r="G143">
        <v>1.3</v>
      </c>
      <c r="H143" t="s">
        <v>72</v>
      </c>
      <c r="I143" t="s">
        <v>67</v>
      </c>
      <c r="J143" t="s">
        <v>357</v>
      </c>
      <c r="K143" t="s">
        <v>89</v>
      </c>
      <c r="L143" t="s">
        <v>89</v>
      </c>
      <c r="M143">
        <v>0.63354037267080743</v>
      </c>
      <c r="N143" s="5">
        <v>45062</v>
      </c>
      <c r="O143" s="5">
        <v>45091</v>
      </c>
      <c r="P143">
        <v>0.2</v>
      </c>
      <c r="Q143" s="4">
        <v>134</v>
      </c>
      <c r="R143">
        <v>1.01</v>
      </c>
      <c r="S143" t="s">
        <v>70</v>
      </c>
      <c r="T143" s="6">
        <v>3</v>
      </c>
      <c r="U143" s="5">
        <v>45184</v>
      </c>
      <c r="V143" s="6">
        <v>2</v>
      </c>
      <c r="W143" t="s">
        <v>71</v>
      </c>
      <c r="X143" s="6">
        <v>92.999999999999986</v>
      </c>
      <c r="Y143">
        <v>3.2046399999999999</v>
      </c>
      <c r="Z143">
        <v>4.4508888888888887</v>
      </c>
      <c r="AA143" s="6">
        <v>35.032016076688805</v>
      </c>
      <c r="AB143" s="4">
        <v>56.132499999999993</v>
      </c>
      <c r="AC143" s="6">
        <v>28.545316884158016</v>
      </c>
      <c r="AD143">
        <v>0.41924731199999998</v>
      </c>
      <c r="AE143">
        <v>2.6809740761463248</v>
      </c>
      <c r="AF143">
        <v>8050</v>
      </c>
      <c r="AG143" s="4">
        <v>75</v>
      </c>
      <c r="AH143" s="4">
        <v>5100</v>
      </c>
      <c r="AL143">
        <v>25</v>
      </c>
      <c r="AM143">
        <v>2.0447199999999999</v>
      </c>
      <c r="AN143" t="s">
        <v>81</v>
      </c>
      <c r="AO143" t="s">
        <v>176</v>
      </c>
      <c r="AP143" s="5">
        <v>45093</v>
      </c>
      <c r="AQ143" t="s">
        <v>438</v>
      </c>
      <c r="AR143" s="5">
        <v>45180</v>
      </c>
      <c r="AS143">
        <v>193.36851253182888</v>
      </c>
      <c r="AT143" s="6"/>
      <c r="AU143">
        <v>34.325228418792754</v>
      </c>
      <c r="AV143">
        <v>81.978855659293998</v>
      </c>
      <c r="AW143">
        <v>36.808693020120828</v>
      </c>
      <c r="AX143">
        <v>153.11277709820757</v>
      </c>
      <c r="AY143">
        <v>36.370593888861151</v>
      </c>
      <c r="AZ143">
        <v>50.24921051974637</v>
      </c>
      <c r="BA143">
        <v>8.7543031354535916</v>
      </c>
      <c r="BB143">
        <v>10.668864521443908</v>
      </c>
      <c r="BC143">
        <v>22.682965949373411</v>
      </c>
      <c r="BD143">
        <v>128.72593801487844</v>
      </c>
      <c r="BE143">
        <v>-88.470202581257126</v>
      </c>
      <c r="BF143">
        <v>45.066815617354834</v>
      </c>
      <c r="BG143">
        <v>0.13809351440411405</v>
      </c>
      <c r="BH143">
        <v>45.204909131758946</v>
      </c>
      <c r="BI143">
        <v>327.04362424484503</v>
      </c>
      <c r="BJ143" s="6">
        <v>187</v>
      </c>
      <c r="BK143">
        <v>-133.67511171301612</v>
      </c>
      <c r="BL143" s="4">
        <v>-428.38060999999999</v>
      </c>
      <c r="BM143" t="s">
        <v>1521</v>
      </c>
      <c r="BN143" t="s">
        <v>65</v>
      </c>
      <c r="BO143">
        <v>9</v>
      </c>
      <c r="BP143">
        <v>2023</v>
      </c>
      <c r="BQ143" t="str">
        <f t="shared" si="11"/>
        <v>Roiphet19</v>
      </c>
      <c r="BR143">
        <f t="shared" si="12"/>
        <v>-448.78940000000017</v>
      </c>
      <c r="BS143">
        <f t="shared" si="13"/>
        <v>619.67647000000011</v>
      </c>
      <c r="BT143" s="6">
        <f t="shared" si="14"/>
        <v>-140.04362424484503</v>
      </c>
    </row>
    <row r="144" spans="1:72">
      <c r="A144" s="3" t="s">
        <v>967</v>
      </c>
      <c r="B144" s="3" t="s">
        <v>1174</v>
      </c>
      <c r="C144" s="3" t="s">
        <v>1482</v>
      </c>
      <c r="D144" s="2" t="s">
        <v>1483</v>
      </c>
      <c r="E144" s="4" t="str">
        <f t="shared" si="10"/>
        <v>Roiphet1A1-G02-0075</v>
      </c>
      <c r="F144">
        <v>1.1299999999999999</v>
      </c>
      <c r="G144">
        <v>1.5</v>
      </c>
      <c r="H144" t="s">
        <v>72</v>
      </c>
      <c r="I144" t="s">
        <v>67</v>
      </c>
      <c r="J144" t="s">
        <v>357</v>
      </c>
      <c r="K144" t="s">
        <v>89</v>
      </c>
      <c r="L144" t="s">
        <v>89</v>
      </c>
      <c r="M144">
        <v>0.53192133131618757</v>
      </c>
      <c r="N144" s="5">
        <v>45062</v>
      </c>
      <c r="O144" s="5">
        <v>45091</v>
      </c>
      <c r="P144">
        <v>0.55000000000000004</v>
      </c>
      <c r="Q144" s="4">
        <v>203</v>
      </c>
      <c r="R144">
        <v>1.01</v>
      </c>
      <c r="S144" t="s">
        <v>70</v>
      </c>
      <c r="T144" s="6">
        <v>4</v>
      </c>
      <c r="U144" s="5">
        <v>45185</v>
      </c>
      <c r="V144" s="6">
        <v>2</v>
      </c>
      <c r="W144" t="s">
        <v>71</v>
      </c>
      <c r="X144" s="6">
        <v>94</v>
      </c>
      <c r="Y144">
        <v>7.1951899999999993</v>
      </c>
      <c r="Z144">
        <v>6.3674247787610616</v>
      </c>
      <c r="AA144" s="6">
        <v>44.692217995633193</v>
      </c>
      <c r="AB144" s="4">
        <v>58.467090909090913</v>
      </c>
      <c r="AC144" s="6">
        <v>22.375260053052379</v>
      </c>
      <c r="AD144">
        <v>0.414787234</v>
      </c>
      <c r="AE144">
        <v>2.4888210142340985</v>
      </c>
      <c r="AF144">
        <v>16525</v>
      </c>
      <c r="AG144" s="4">
        <v>750</v>
      </c>
      <c r="AH144" s="4">
        <v>8790</v>
      </c>
      <c r="AL144">
        <v>25</v>
      </c>
      <c r="AM144">
        <v>3.01938</v>
      </c>
      <c r="AN144" t="s">
        <v>81</v>
      </c>
      <c r="AO144" t="s">
        <v>176</v>
      </c>
      <c r="AP144" s="5">
        <v>45093</v>
      </c>
      <c r="AQ144" t="s">
        <v>92</v>
      </c>
      <c r="AR144" s="5">
        <v>45180</v>
      </c>
      <c r="AS144">
        <v>174.81334057891453</v>
      </c>
      <c r="AT144" s="6"/>
      <c r="AU144">
        <v>42.041975264030562</v>
      </c>
      <c r="AV144">
        <v>74.535297886504722</v>
      </c>
      <c r="AW144">
        <v>28.484755788241877</v>
      </c>
      <c r="AX144">
        <v>145.06202893877716</v>
      </c>
      <c r="AY144">
        <v>25.639627306575647</v>
      </c>
      <c r="AZ144">
        <v>35.024257872273004</v>
      </c>
      <c r="BA144">
        <v>6.1669962850181861</v>
      </c>
      <c r="BB144">
        <v>7.5230925104132069</v>
      </c>
      <c r="BC144">
        <v>15.980680148821644</v>
      </c>
      <c r="BD144">
        <v>90.334654123101686</v>
      </c>
      <c r="BE144">
        <v>-60.583342482964312</v>
      </c>
      <c r="BF144">
        <v>31.772153341329421</v>
      </c>
      <c r="BG144">
        <v>9.7385892519863959E-2</v>
      </c>
      <c r="BH144">
        <v>31.869539233849284</v>
      </c>
      <c r="BI144">
        <v>267.26622229572808</v>
      </c>
      <c r="BJ144" s="6">
        <v>177</v>
      </c>
      <c r="BK144">
        <v>-92.452881716813579</v>
      </c>
      <c r="BL144" s="4">
        <v>-665.21604999999977</v>
      </c>
      <c r="BM144" t="s">
        <v>1484</v>
      </c>
      <c r="BN144" t="s">
        <v>65</v>
      </c>
      <c r="BO144">
        <v>9</v>
      </c>
      <c r="BP144">
        <v>2023</v>
      </c>
      <c r="BQ144" t="str">
        <f t="shared" si="11"/>
        <v>Roiphet19</v>
      </c>
      <c r="BR144">
        <f t="shared" si="12"/>
        <v>-649.48261999999966</v>
      </c>
      <c r="BS144">
        <f t="shared" si="13"/>
        <v>1257.8152</v>
      </c>
      <c r="BT144" s="6">
        <f t="shared" si="14"/>
        <v>-90.266222295728085</v>
      </c>
    </row>
    <row r="145" spans="1:72">
      <c r="A145" s="3" t="s">
        <v>967</v>
      </c>
      <c r="B145" s="3" t="s">
        <v>1174</v>
      </c>
      <c r="C145" s="3" t="s">
        <v>1482</v>
      </c>
      <c r="D145" s="2" t="s">
        <v>1500</v>
      </c>
      <c r="E145" s="4" t="str">
        <f t="shared" si="10"/>
        <v>Roiphet1A1-I01-0089</v>
      </c>
      <c r="F145">
        <v>0.72</v>
      </c>
      <c r="G145">
        <v>1.3</v>
      </c>
      <c r="H145" t="s">
        <v>72</v>
      </c>
      <c r="I145" t="s">
        <v>67</v>
      </c>
      <c r="J145" t="s">
        <v>357</v>
      </c>
      <c r="K145" t="s">
        <v>89</v>
      </c>
      <c r="L145" t="s">
        <v>89</v>
      </c>
      <c r="M145">
        <v>0.79668049792531115</v>
      </c>
      <c r="N145" s="5">
        <v>45090</v>
      </c>
      <c r="O145" s="5">
        <v>45120</v>
      </c>
      <c r="P145">
        <v>0.25</v>
      </c>
      <c r="Q145" s="4">
        <v>167</v>
      </c>
      <c r="R145">
        <v>0.76</v>
      </c>
      <c r="S145" t="s">
        <v>70</v>
      </c>
      <c r="T145" s="6">
        <v>3</v>
      </c>
      <c r="U145" s="5">
        <v>45197</v>
      </c>
      <c r="V145" s="6">
        <v>2</v>
      </c>
      <c r="W145" t="s">
        <v>71</v>
      </c>
      <c r="X145" s="6">
        <v>77</v>
      </c>
      <c r="Y145">
        <v>3.2212499999999999</v>
      </c>
      <c r="Z145">
        <v>4.473958333333333</v>
      </c>
      <c r="AA145" s="6">
        <v>39.266123399301513</v>
      </c>
      <c r="AB145" s="4">
        <v>50.594399999999993</v>
      </c>
      <c r="AC145" s="6">
        <v>25.467245386841231</v>
      </c>
      <c r="AD145">
        <v>0.40906577300000002</v>
      </c>
      <c r="AE145">
        <v>1.9876419803182206</v>
      </c>
      <c r="AF145">
        <v>6025</v>
      </c>
      <c r="AG145" s="4">
        <v>0</v>
      </c>
      <c r="AH145" s="4">
        <v>4800</v>
      </c>
      <c r="AL145">
        <v>31</v>
      </c>
      <c r="AM145">
        <v>1.92493</v>
      </c>
      <c r="AN145" t="s">
        <v>85</v>
      </c>
      <c r="AO145" t="s">
        <v>94</v>
      </c>
      <c r="AP145" s="5">
        <v>45121</v>
      </c>
      <c r="AQ145" t="s">
        <v>92</v>
      </c>
      <c r="AR145" s="5">
        <v>45195</v>
      </c>
      <c r="AS145">
        <v>167.27503298409002</v>
      </c>
      <c r="AT145" s="6"/>
      <c r="AU145">
        <v>38.804811796662783</v>
      </c>
      <c r="AV145">
        <v>61.212324408226614</v>
      </c>
      <c r="AW145">
        <v>34.873226232052779</v>
      </c>
      <c r="AX145">
        <v>134.89036243694215</v>
      </c>
      <c r="AY145">
        <v>32.510162204113307</v>
      </c>
      <c r="AZ145">
        <v>46.948178502134269</v>
      </c>
      <c r="BA145">
        <v>6.0294264648816442</v>
      </c>
      <c r="BB145">
        <v>10.121446643383779</v>
      </c>
      <c r="BC145">
        <v>19.596681412495148</v>
      </c>
      <c r="BD145">
        <v>115.20589522700814</v>
      </c>
      <c r="BE145">
        <v>-82.821224679860279</v>
      </c>
      <c r="BF145">
        <v>39.438829646876215</v>
      </c>
      <c r="BG145">
        <v>0.12310438494373302</v>
      </c>
      <c r="BH145">
        <v>39.561934031819945</v>
      </c>
      <c r="BI145">
        <v>289.65819169577026</v>
      </c>
      <c r="BJ145" s="6">
        <v>183</v>
      </c>
      <c r="BK145">
        <v>-122.38315871168025</v>
      </c>
      <c r="BL145" s="4">
        <v>-394.22674999999998</v>
      </c>
      <c r="BM145" t="s">
        <v>1501</v>
      </c>
      <c r="BN145" t="s">
        <v>65</v>
      </c>
      <c r="BO145">
        <v>9</v>
      </c>
      <c r="BP145">
        <v>2023</v>
      </c>
      <c r="BQ145" t="str">
        <f t="shared" si="11"/>
        <v>Roiphet19</v>
      </c>
      <c r="BR145">
        <f t="shared" si="12"/>
        <v>-343.57269999999994</v>
      </c>
      <c r="BS145">
        <f t="shared" si="13"/>
        <v>538.8347</v>
      </c>
      <c r="BT145" s="6">
        <f t="shared" si="14"/>
        <v>-106.65819169577026</v>
      </c>
    </row>
    <row r="146" spans="1:72">
      <c r="A146" s="3" t="s">
        <v>967</v>
      </c>
      <c r="B146" s="3" t="s">
        <v>1174</v>
      </c>
      <c r="C146" s="3" t="s">
        <v>1482</v>
      </c>
      <c r="D146" s="2" t="s">
        <v>1522</v>
      </c>
      <c r="E146" s="4" t="str">
        <f t="shared" si="10"/>
        <v>Roiphet1A1-G01-0063</v>
      </c>
      <c r="F146">
        <v>1.1299999999999999</v>
      </c>
      <c r="G146">
        <v>1.5</v>
      </c>
      <c r="H146" t="s">
        <v>72</v>
      </c>
      <c r="I146" t="s">
        <v>67</v>
      </c>
      <c r="J146" t="s">
        <v>357</v>
      </c>
      <c r="K146" t="s">
        <v>89</v>
      </c>
      <c r="L146" t="s">
        <v>89</v>
      </c>
      <c r="M146">
        <v>0.31898734177215188</v>
      </c>
      <c r="N146" s="5">
        <v>44943</v>
      </c>
      <c r="O146" s="5">
        <v>44970</v>
      </c>
      <c r="P146">
        <v>0.47</v>
      </c>
      <c r="Q146" s="4">
        <v>173</v>
      </c>
      <c r="R146">
        <v>0.5</v>
      </c>
      <c r="S146" t="s">
        <v>70</v>
      </c>
      <c r="T146" s="6">
        <v>3</v>
      </c>
      <c r="U146" s="5">
        <v>45088</v>
      </c>
      <c r="V146" s="6">
        <v>2</v>
      </c>
      <c r="W146" t="s">
        <v>71</v>
      </c>
      <c r="X146" s="6">
        <v>118</v>
      </c>
      <c r="Y146">
        <v>6.6633900000000006</v>
      </c>
      <c r="Z146">
        <v>5.8968053097345141</v>
      </c>
      <c r="AA146" s="6">
        <v>35.011908352955473</v>
      </c>
      <c r="AB146" s="4">
        <v>49.637872340425531</v>
      </c>
      <c r="AC146" s="6">
        <v>28.561710773345681</v>
      </c>
      <c r="AD146">
        <v>0.39931396299999999</v>
      </c>
      <c r="AE146">
        <v>3.3795398225683257</v>
      </c>
      <c r="AF146">
        <v>21725</v>
      </c>
      <c r="AG146" s="4">
        <v>3090</v>
      </c>
      <c r="AH146" s="4">
        <v>6930</v>
      </c>
      <c r="AL146">
        <v>21</v>
      </c>
      <c r="AM146">
        <v>4.5440399999999999</v>
      </c>
      <c r="AN146" t="s">
        <v>81</v>
      </c>
      <c r="AO146" t="s">
        <v>198</v>
      </c>
      <c r="AP146" s="5">
        <v>44974</v>
      </c>
      <c r="AQ146" t="s">
        <v>123</v>
      </c>
      <c r="AR146" s="5">
        <v>45079</v>
      </c>
      <c r="AS146">
        <v>242.28817313709686</v>
      </c>
      <c r="AT146" s="6"/>
      <c r="AU146">
        <v>31.740600505148279</v>
      </c>
      <c r="AV146">
        <v>98.412326158306797</v>
      </c>
      <c r="AW146">
        <v>29.665769225574373</v>
      </c>
      <c r="AX146">
        <v>159.81869588902947</v>
      </c>
      <c r="AY146">
        <v>30.755576365783785</v>
      </c>
      <c r="AZ146">
        <v>49.055279669957777</v>
      </c>
      <c r="BA146">
        <v>7.2093288851470483</v>
      </c>
      <c r="BB146">
        <v>7.041601947357127</v>
      </c>
      <c r="BC146">
        <v>17.190653706296647</v>
      </c>
      <c r="BD146">
        <v>111.25244057454239</v>
      </c>
      <c r="BE146">
        <v>-28.782963326474999</v>
      </c>
      <c r="BF146">
        <v>41.76491695668421</v>
      </c>
      <c r="BG146">
        <v>0.11603553146371441</v>
      </c>
      <c r="BH146">
        <v>41.880952488147919</v>
      </c>
      <c r="BI146">
        <v>312.9520889517197</v>
      </c>
      <c r="BJ146" s="6">
        <v>187</v>
      </c>
      <c r="BK146">
        <v>-70.663915814622882</v>
      </c>
      <c r="BL146" s="4">
        <v>-470.86122999999998</v>
      </c>
      <c r="BM146" t="s">
        <v>1523</v>
      </c>
      <c r="BN146" t="s">
        <v>65</v>
      </c>
      <c r="BO146">
        <v>6</v>
      </c>
      <c r="BP146">
        <v>2023</v>
      </c>
      <c r="BQ146" t="str">
        <f t="shared" si="11"/>
        <v>Roiphet16</v>
      </c>
      <c r="BR146">
        <f t="shared" si="12"/>
        <v>-839.26788999999962</v>
      </c>
      <c r="BS146">
        <f t="shared" si="13"/>
        <v>1614.4605899999999</v>
      </c>
      <c r="BT146" s="6">
        <f t="shared" si="14"/>
        <v>-125.9520889517197</v>
      </c>
    </row>
    <row r="147" spans="1:72">
      <c r="A147" s="3" t="s">
        <v>967</v>
      </c>
      <c r="B147" s="3" t="s">
        <v>1174</v>
      </c>
      <c r="C147" s="3" t="s">
        <v>1482</v>
      </c>
      <c r="D147" s="2" t="s">
        <v>1508</v>
      </c>
      <c r="E147" s="4" t="str">
        <f t="shared" si="10"/>
        <v>Roiphet1A1-I01-0087</v>
      </c>
      <c r="F147">
        <v>0.72</v>
      </c>
      <c r="G147">
        <v>1.3</v>
      </c>
      <c r="H147" t="s">
        <v>72</v>
      </c>
      <c r="I147" t="s">
        <v>67</v>
      </c>
      <c r="J147" t="s">
        <v>357</v>
      </c>
      <c r="K147" t="s">
        <v>89</v>
      </c>
      <c r="L147" t="s">
        <v>89</v>
      </c>
      <c r="M147">
        <v>0.46250000000000002</v>
      </c>
      <c r="N147" s="5">
        <v>44784</v>
      </c>
      <c r="O147" s="5">
        <v>44840</v>
      </c>
      <c r="P147">
        <v>0.26</v>
      </c>
      <c r="Q147" s="4">
        <v>174</v>
      </c>
      <c r="R147">
        <v>0.83099999999999996</v>
      </c>
      <c r="S147" t="s">
        <v>70</v>
      </c>
      <c r="T147" s="6">
        <v>4</v>
      </c>
      <c r="U147" s="5">
        <v>44943</v>
      </c>
      <c r="V147" s="6">
        <v>2</v>
      </c>
      <c r="W147" t="s">
        <v>71</v>
      </c>
      <c r="X147" s="6">
        <v>103</v>
      </c>
      <c r="Y147">
        <v>3.1845400000000001</v>
      </c>
      <c r="Z147">
        <v>4.4229722222222225</v>
      </c>
      <c r="AA147" s="6">
        <v>36.506057389764301</v>
      </c>
      <c r="AB147" s="4">
        <v>44.713461538461544</v>
      </c>
      <c r="AC147" s="6">
        <v>27.392714291858415</v>
      </c>
      <c r="AD147">
        <v>0.39646278299999999</v>
      </c>
      <c r="AE147">
        <v>3.2338476049316176</v>
      </c>
      <c r="AF147">
        <v>9600</v>
      </c>
      <c r="AG147" s="4">
        <v>1200</v>
      </c>
      <c r="AH147" s="4">
        <v>4440</v>
      </c>
      <c r="AL147">
        <v>24</v>
      </c>
      <c r="AM147">
        <v>1.2589699999999999</v>
      </c>
      <c r="AN147" t="s">
        <v>81</v>
      </c>
      <c r="AO147" t="s">
        <v>101</v>
      </c>
      <c r="AP147" s="5">
        <v>44841</v>
      </c>
      <c r="AQ147" t="s">
        <v>96</v>
      </c>
      <c r="AR147" s="5">
        <v>44935</v>
      </c>
      <c r="AS147">
        <v>265.52687358299784</v>
      </c>
      <c r="AT147" s="6"/>
      <c r="AU147">
        <v>44.904444597963902</v>
      </c>
      <c r="AV147">
        <v>100.73545943841184</v>
      </c>
      <c r="AW147">
        <v>46.112298793546337</v>
      </c>
      <c r="AX147">
        <v>191.75220282992208</v>
      </c>
      <c r="AY147">
        <v>61.867670055957852</v>
      </c>
      <c r="AZ147">
        <v>60.43497648011958</v>
      </c>
      <c r="BA147">
        <v>15.320071344684004</v>
      </c>
      <c r="BB147">
        <v>11.375646090173149</v>
      </c>
      <c r="BC147">
        <v>24.351265802910312</v>
      </c>
      <c r="BD147">
        <v>173.34962977384492</v>
      </c>
      <c r="BE147">
        <v>-99.574959020769171</v>
      </c>
      <c r="BF147">
        <v>72.347799054180513</v>
      </c>
      <c r="BG147">
        <v>0.19519930665025401</v>
      </c>
      <c r="BH147">
        <v>72.542998360830765</v>
      </c>
      <c r="BI147">
        <v>437.6448309645977</v>
      </c>
      <c r="BJ147" s="6">
        <v>186</v>
      </c>
      <c r="BK147">
        <v>-172.11795738159987</v>
      </c>
      <c r="BL147" s="4">
        <v>-548.11652000000004</v>
      </c>
      <c r="BM147" t="s">
        <v>1509</v>
      </c>
      <c r="BN147" t="s">
        <v>65</v>
      </c>
      <c r="BO147">
        <v>1</v>
      </c>
      <c r="BP147">
        <v>2023</v>
      </c>
      <c r="BQ147" t="str">
        <f t="shared" si="11"/>
        <v>Roiphet11</v>
      </c>
      <c r="BR147">
        <f t="shared" si="12"/>
        <v>-801.37302999999997</v>
      </c>
      <c r="BS147">
        <f t="shared" si="13"/>
        <v>845.58094999999992</v>
      </c>
      <c r="BT147" s="6">
        <f t="shared" si="14"/>
        <v>-251.6448309645977</v>
      </c>
    </row>
    <row r="148" spans="1:72">
      <c r="A148" s="3" t="s">
        <v>967</v>
      </c>
      <c r="B148" s="3" t="s">
        <v>1174</v>
      </c>
      <c r="C148" s="3" t="s">
        <v>1482</v>
      </c>
      <c r="D148" s="2" t="s">
        <v>1526</v>
      </c>
      <c r="E148" s="4" t="str">
        <f t="shared" si="10"/>
        <v>Roiphet1A1-I01-0088</v>
      </c>
      <c r="F148">
        <v>0.72</v>
      </c>
      <c r="G148">
        <v>1.3</v>
      </c>
      <c r="H148" t="s">
        <v>72</v>
      </c>
      <c r="I148" t="s">
        <v>67</v>
      </c>
      <c r="J148" t="s">
        <v>357</v>
      </c>
      <c r="K148" t="s">
        <v>89</v>
      </c>
      <c r="L148" t="s">
        <v>89</v>
      </c>
      <c r="M148">
        <v>0.47906066536203523</v>
      </c>
      <c r="N148" s="5">
        <v>44944</v>
      </c>
      <c r="O148" s="5">
        <v>44970</v>
      </c>
      <c r="P148">
        <v>0.26</v>
      </c>
      <c r="Q148" s="4">
        <v>174</v>
      </c>
      <c r="R148">
        <v>0.497</v>
      </c>
      <c r="S148" t="s">
        <v>70</v>
      </c>
      <c r="T148" s="6">
        <v>3</v>
      </c>
      <c r="U148" s="5">
        <v>45089</v>
      </c>
      <c r="V148" s="6">
        <v>2</v>
      </c>
      <c r="W148" t="s">
        <v>71</v>
      </c>
      <c r="X148" s="6">
        <v>118.99999999999999</v>
      </c>
      <c r="Y148">
        <v>4.6814499999999999</v>
      </c>
      <c r="Z148">
        <v>6.5020138888888885</v>
      </c>
      <c r="AA148" s="6">
        <v>33.121789189246925</v>
      </c>
      <c r="AB148" s="4">
        <v>59.637692307692305</v>
      </c>
      <c r="AC148" s="6">
        <v>30.191605721729928</v>
      </c>
      <c r="AD148">
        <v>0.39598359300000002</v>
      </c>
      <c r="AE148">
        <v>2.8063353982689692</v>
      </c>
      <c r="AF148">
        <v>12775</v>
      </c>
      <c r="AG148" s="4">
        <v>1710</v>
      </c>
      <c r="AH148" s="4">
        <v>6120</v>
      </c>
      <c r="AL148">
        <v>21</v>
      </c>
      <c r="AM148">
        <v>3.2982399999999998</v>
      </c>
      <c r="AN148" t="s">
        <v>81</v>
      </c>
      <c r="AO148" t="s">
        <v>131</v>
      </c>
      <c r="AP148" s="5">
        <v>44974</v>
      </c>
      <c r="AQ148" t="s">
        <v>123</v>
      </c>
      <c r="AR148" s="5">
        <v>45079</v>
      </c>
      <c r="AS148">
        <v>241.21638594879792</v>
      </c>
      <c r="AT148" s="6"/>
      <c r="AU148">
        <v>24.992256672612122</v>
      </c>
      <c r="AV148">
        <v>82.378876202885877</v>
      </c>
      <c r="AW148">
        <v>16.763754819553775</v>
      </c>
      <c r="AX148">
        <v>124.13488769505177</v>
      </c>
      <c r="AY148">
        <v>27.852180414187913</v>
      </c>
      <c r="AZ148">
        <v>44.562421899197894</v>
      </c>
      <c r="BA148">
        <v>6.5523886829935174</v>
      </c>
      <c r="BB148">
        <v>6.4183191105319937</v>
      </c>
      <c r="BC148">
        <v>15.666562710271389</v>
      </c>
      <c r="BD148">
        <v>101.0518728171827</v>
      </c>
      <c r="BE148">
        <v>16.02962543656345</v>
      </c>
      <c r="BF148">
        <v>37.829324247829206</v>
      </c>
      <c r="BG148">
        <v>0.10519603968855805</v>
      </c>
      <c r="BH148">
        <v>37.934520287517763</v>
      </c>
      <c r="BI148">
        <v>263.12128079975218</v>
      </c>
      <c r="BJ148" s="6">
        <v>191</v>
      </c>
      <c r="BK148">
        <v>-21.904894850954282</v>
      </c>
      <c r="BL148" s="4">
        <v>-102.54666999999992</v>
      </c>
      <c r="BM148" t="s">
        <v>1527</v>
      </c>
      <c r="BN148" t="s">
        <v>65</v>
      </c>
      <c r="BO148">
        <v>6</v>
      </c>
      <c r="BP148">
        <v>2023</v>
      </c>
      <c r="BQ148" t="str">
        <f t="shared" si="11"/>
        <v>Roiphet16</v>
      </c>
      <c r="BR148">
        <f t="shared" si="12"/>
        <v>-337.63216999999986</v>
      </c>
      <c r="BS148">
        <f t="shared" si="13"/>
        <v>1129.24245</v>
      </c>
      <c r="BT148" s="6">
        <f t="shared" si="14"/>
        <v>-72.121280799752185</v>
      </c>
    </row>
    <row r="149" spans="1:72">
      <c r="A149" s="3" t="s">
        <v>967</v>
      </c>
      <c r="B149" s="3" t="s">
        <v>1174</v>
      </c>
      <c r="C149" s="3" t="s">
        <v>1482</v>
      </c>
      <c r="D149" s="2" t="s">
        <v>1560</v>
      </c>
      <c r="E149" s="4" t="str">
        <f t="shared" si="10"/>
        <v>Roiphet1A6-G11-0091</v>
      </c>
      <c r="F149">
        <v>1.1299999999999999</v>
      </c>
      <c r="G149">
        <v>1.5</v>
      </c>
      <c r="H149" t="s">
        <v>72</v>
      </c>
      <c r="I149" t="s">
        <v>67</v>
      </c>
      <c r="J149" t="s">
        <v>357</v>
      </c>
      <c r="K149" t="s">
        <v>89</v>
      </c>
      <c r="L149" t="s">
        <v>89</v>
      </c>
      <c r="M149">
        <v>0.64220183486238536</v>
      </c>
      <c r="N149" s="5">
        <v>44946</v>
      </c>
      <c r="O149" s="5">
        <v>44966</v>
      </c>
      <c r="P149">
        <v>0.42</v>
      </c>
      <c r="Q149" s="4">
        <v>155</v>
      </c>
      <c r="R149">
        <v>0.4</v>
      </c>
      <c r="S149" t="s">
        <v>70</v>
      </c>
      <c r="T149" s="6">
        <v>2</v>
      </c>
      <c r="U149" s="5">
        <v>45063</v>
      </c>
      <c r="V149" s="6">
        <v>2</v>
      </c>
      <c r="W149" t="s">
        <v>71</v>
      </c>
      <c r="X149" s="6">
        <v>97</v>
      </c>
      <c r="Y149">
        <v>5.9745200000000001</v>
      </c>
      <c r="Z149">
        <v>5.2871858407079655</v>
      </c>
      <c r="AA149" s="6">
        <v>29.573087042975835</v>
      </c>
      <c r="AB149" s="4">
        <v>42.067857142857143</v>
      </c>
      <c r="AC149" s="6">
        <v>33.814528680985937</v>
      </c>
      <c r="AD149">
        <v>0.39238699399999999</v>
      </c>
      <c r="AE149">
        <v>2.8158001694646706</v>
      </c>
      <c r="AF149">
        <v>16350</v>
      </c>
      <c r="AG149" s="4">
        <v>2340</v>
      </c>
      <c r="AH149" s="4">
        <v>10500</v>
      </c>
      <c r="AL149">
        <v>26</v>
      </c>
      <c r="AM149">
        <v>5.1206400000000007</v>
      </c>
      <c r="AN149" t="s">
        <v>81</v>
      </c>
      <c r="AO149" t="s">
        <v>198</v>
      </c>
      <c r="AP149" s="5">
        <v>44967</v>
      </c>
      <c r="AQ149" t="s">
        <v>116</v>
      </c>
      <c r="AR149" s="5">
        <v>45058</v>
      </c>
      <c r="AS149">
        <v>229.43622583906321</v>
      </c>
      <c r="AT149" s="6"/>
      <c r="AU149">
        <v>28.119413777173722</v>
      </c>
      <c r="AV149">
        <v>82.225574606830335</v>
      </c>
      <c r="AW149">
        <v>25.110715170423735</v>
      </c>
      <c r="AX149">
        <v>135.4557035544278</v>
      </c>
      <c r="AY149">
        <v>27.629913365425175</v>
      </c>
      <c r="AZ149">
        <v>46.914470116427751</v>
      </c>
      <c r="BA149">
        <v>6.0402141092506163</v>
      </c>
      <c r="BB149">
        <v>6.5161151021337282</v>
      </c>
      <c r="BC149">
        <v>14.958508800707001</v>
      </c>
      <c r="BD149">
        <v>102.05922149394428</v>
      </c>
      <c r="BE149">
        <v>-8.0786992093088656</v>
      </c>
      <c r="BF149">
        <v>37.621628181008681</v>
      </c>
      <c r="BG149">
        <v>0.10376063683777108</v>
      </c>
      <c r="BH149">
        <v>37.725388817846451</v>
      </c>
      <c r="BI149">
        <v>275.24031386621851</v>
      </c>
      <c r="BJ149" s="6">
        <v>200</v>
      </c>
      <c r="BK149">
        <v>-45.804088027155309</v>
      </c>
      <c r="BL149" s="4">
        <v>-273.65743999999995</v>
      </c>
      <c r="BM149" t="s">
        <v>1561</v>
      </c>
      <c r="BN149" t="s">
        <v>65</v>
      </c>
      <c r="BO149">
        <v>5</v>
      </c>
      <c r="BP149">
        <v>2023</v>
      </c>
      <c r="BQ149" t="str">
        <f t="shared" si="11"/>
        <v>Roiphet15</v>
      </c>
      <c r="BR149">
        <f t="shared" si="12"/>
        <v>-449.52475999999984</v>
      </c>
      <c r="BS149">
        <f t="shared" si="13"/>
        <v>1370.7713200000001</v>
      </c>
      <c r="BT149" s="6">
        <f t="shared" si="14"/>
        <v>-75.240313866218514</v>
      </c>
    </row>
    <row r="150" spans="1:72">
      <c r="A150" s="3" t="s">
        <v>967</v>
      </c>
      <c r="B150" s="3" t="s">
        <v>1174</v>
      </c>
      <c r="C150" s="3" t="s">
        <v>1482</v>
      </c>
      <c r="D150" s="2" t="s">
        <v>1550</v>
      </c>
      <c r="E150" s="4" t="str">
        <f t="shared" si="10"/>
        <v>Roiphet1A6-I11-0101</v>
      </c>
      <c r="F150">
        <v>0.72</v>
      </c>
      <c r="G150">
        <v>1.3</v>
      </c>
      <c r="H150" t="s">
        <v>72</v>
      </c>
      <c r="I150" t="s">
        <v>67</v>
      </c>
      <c r="J150" t="s">
        <v>357</v>
      </c>
      <c r="K150" t="s">
        <v>89</v>
      </c>
      <c r="L150" t="s">
        <v>89</v>
      </c>
      <c r="M150">
        <v>1.04</v>
      </c>
      <c r="N150" s="5">
        <v>44946</v>
      </c>
      <c r="O150" s="5">
        <v>44966</v>
      </c>
      <c r="P150">
        <v>0.22</v>
      </c>
      <c r="Q150" s="4">
        <v>147</v>
      </c>
      <c r="R150">
        <v>0.41</v>
      </c>
      <c r="S150" t="s">
        <v>70</v>
      </c>
      <c r="T150" s="6">
        <v>3</v>
      </c>
      <c r="U150" s="5">
        <v>45063</v>
      </c>
      <c r="V150" s="6">
        <v>2</v>
      </c>
      <c r="W150" t="s">
        <v>71</v>
      </c>
      <c r="X150" s="6">
        <v>97.000000000000014</v>
      </c>
      <c r="Y150">
        <v>3.32734</v>
      </c>
      <c r="Z150">
        <v>4.6213055555555558</v>
      </c>
      <c r="AA150" s="6">
        <v>30.865496162099454</v>
      </c>
      <c r="AB150" s="4">
        <v>46.68181818181818</v>
      </c>
      <c r="AC150" s="6">
        <v>32.398636806231742</v>
      </c>
      <c r="AD150">
        <v>0.39228390200000002</v>
      </c>
      <c r="AE150">
        <v>2.6643642440773885</v>
      </c>
      <c r="AF150">
        <v>8625</v>
      </c>
      <c r="AG150" s="4">
        <v>960</v>
      </c>
      <c r="AH150" s="4">
        <v>8970</v>
      </c>
      <c r="AL150">
        <v>26</v>
      </c>
      <c r="AM150">
        <v>1.04352</v>
      </c>
      <c r="AN150" t="s">
        <v>81</v>
      </c>
      <c r="AO150" t="s">
        <v>198</v>
      </c>
      <c r="AP150" s="5">
        <v>44967</v>
      </c>
      <c r="AQ150" t="s">
        <v>117</v>
      </c>
      <c r="AR150" s="5">
        <v>45058</v>
      </c>
      <c r="AS150">
        <v>229.41398234024774</v>
      </c>
      <c r="AT150" s="6"/>
      <c r="AU150">
        <v>29.753496787223426</v>
      </c>
      <c r="AV150">
        <v>78.057547470351693</v>
      </c>
      <c r="AW150">
        <v>37.266615374443241</v>
      </c>
      <c r="AX150">
        <v>145.07765963201834</v>
      </c>
      <c r="AY150">
        <v>31.61110075916498</v>
      </c>
      <c r="AZ150">
        <v>53.674310410117386</v>
      </c>
      <c r="BA150">
        <v>6.9105321367819332</v>
      </c>
      <c r="BB150">
        <v>7.4550571928327134</v>
      </c>
      <c r="BC150">
        <v>17.113886768409596</v>
      </c>
      <c r="BD150">
        <v>116.76488726730661</v>
      </c>
      <c r="BE150">
        <v>-32.428564559077202</v>
      </c>
      <c r="BF150">
        <v>43.042547500405732</v>
      </c>
      <c r="BG150">
        <v>0.11869240895129442</v>
      </c>
      <c r="BH150">
        <v>43.161239909357022</v>
      </c>
      <c r="BI150">
        <v>305.00378680868204</v>
      </c>
      <c r="BJ150" s="6">
        <v>197</v>
      </c>
      <c r="BK150">
        <v>-75.589804468434266</v>
      </c>
      <c r="BL150" s="4">
        <v>-251.51298000000008</v>
      </c>
      <c r="BM150" t="s">
        <v>1551</v>
      </c>
      <c r="BN150" t="s">
        <v>65</v>
      </c>
      <c r="BO150">
        <v>5</v>
      </c>
      <c r="BP150">
        <v>2023</v>
      </c>
      <c r="BQ150" t="str">
        <f t="shared" si="11"/>
        <v>Roiphet15</v>
      </c>
      <c r="BR150">
        <f t="shared" si="12"/>
        <v>-359.36532000000011</v>
      </c>
      <c r="BS150">
        <f t="shared" si="13"/>
        <v>763.33831999999995</v>
      </c>
      <c r="BT150" s="6">
        <f t="shared" si="14"/>
        <v>-108.00378680868204</v>
      </c>
    </row>
    <row r="151" spans="1:72">
      <c r="A151" s="3" t="s">
        <v>967</v>
      </c>
      <c r="B151" s="3" t="s">
        <v>1174</v>
      </c>
      <c r="C151" s="3" t="s">
        <v>1482</v>
      </c>
      <c r="D151" s="2" t="s">
        <v>1546</v>
      </c>
      <c r="E151" s="4" t="str">
        <f t="shared" si="10"/>
        <v>Roiphet1A1-I02-0094</v>
      </c>
      <c r="F151">
        <v>0.72</v>
      </c>
      <c r="G151">
        <v>1.3</v>
      </c>
      <c r="H151" t="s">
        <v>72</v>
      </c>
      <c r="I151" t="s">
        <v>67</v>
      </c>
      <c r="J151" t="s">
        <v>357</v>
      </c>
      <c r="K151" t="s">
        <v>89</v>
      </c>
      <c r="L151" t="s">
        <v>89</v>
      </c>
      <c r="M151">
        <v>0.53017751479289943</v>
      </c>
      <c r="N151" s="5">
        <v>44909</v>
      </c>
      <c r="O151" s="5">
        <v>44938</v>
      </c>
      <c r="P151">
        <v>0.26</v>
      </c>
      <c r="Q151" s="4">
        <v>174</v>
      </c>
      <c r="R151">
        <v>0.42</v>
      </c>
      <c r="S151" t="s">
        <v>70</v>
      </c>
      <c r="T151" s="6">
        <v>4</v>
      </c>
      <c r="U151" s="5">
        <v>45061</v>
      </c>
      <c r="V151" s="6">
        <v>2</v>
      </c>
      <c r="W151" t="s">
        <v>71</v>
      </c>
      <c r="X151" s="6">
        <v>123</v>
      </c>
      <c r="Y151">
        <v>5.0217000000000001</v>
      </c>
      <c r="Z151">
        <v>6.9745833333333334</v>
      </c>
      <c r="AA151" s="6">
        <v>30.898500507796165</v>
      </c>
      <c r="AB151" s="4">
        <v>59.678076923076929</v>
      </c>
      <c r="AC151" s="6">
        <v>32.364030084491795</v>
      </c>
      <c r="AD151">
        <v>0.38373209400000002</v>
      </c>
      <c r="AE151">
        <v>2.5801526717557253</v>
      </c>
      <c r="AF151">
        <v>12675</v>
      </c>
      <c r="AG151" s="4">
        <v>1950</v>
      </c>
      <c r="AH151" s="4">
        <v>6720</v>
      </c>
      <c r="AL151">
        <v>21</v>
      </c>
      <c r="AM151">
        <v>3.09762</v>
      </c>
      <c r="AN151" t="s">
        <v>81</v>
      </c>
      <c r="AO151" t="s">
        <v>176</v>
      </c>
      <c r="AP151" s="5">
        <v>44942</v>
      </c>
      <c r="AQ151" t="s">
        <v>116</v>
      </c>
      <c r="AR151" s="5">
        <v>45058</v>
      </c>
      <c r="AS151">
        <v>257.01550869227555</v>
      </c>
      <c r="AT151" s="6"/>
      <c r="AU151">
        <v>23.298882848437781</v>
      </c>
      <c r="AV151">
        <v>77.050672083159142</v>
      </c>
      <c r="AW151">
        <v>24.410488479996808</v>
      </c>
      <c r="AX151">
        <v>124.76004341159374</v>
      </c>
      <c r="AY151">
        <v>28.78882051894777</v>
      </c>
      <c r="AZ151">
        <v>41.595391998725539</v>
      </c>
      <c r="BA151">
        <v>7.0058406515721776</v>
      </c>
      <c r="BB151">
        <v>6.360344106577454</v>
      </c>
      <c r="BC151">
        <v>14.324762530617123</v>
      </c>
      <c r="BD151">
        <v>98.075159806440055</v>
      </c>
      <c r="BE151">
        <v>34.180305474241734</v>
      </c>
      <c r="BF151">
        <v>37.901300356452992</v>
      </c>
      <c r="BG151">
        <v>0.10391700021904933</v>
      </c>
      <c r="BH151">
        <v>38.005217356672041</v>
      </c>
      <c r="BI151">
        <v>260.84042057470577</v>
      </c>
      <c r="BJ151" s="6">
        <v>197</v>
      </c>
      <c r="BK151">
        <v>-3.8249118824302175</v>
      </c>
      <c r="BL151" s="4">
        <v>-19.207559999999823</v>
      </c>
      <c r="BM151" t="s">
        <v>1547</v>
      </c>
      <c r="BN151" t="s">
        <v>65</v>
      </c>
      <c r="BO151">
        <v>5</v>
      </c>
      <c r="BP151">
        <v>2023</v>
      </c>
      <c r="BQ151" t="str">
        <f t="shared" si="11"/>
        <v>Roiphet15</v>
      </c>
      <c r="BR151">
        <f t="shared" si="12"/>
        <v>-320.58744000000002</v>
      </c>
      <c r="BS151">
        <f t="shared" si="13"/>
        <v>1290.6547800000001</v>
      </c>
      <c r="BT151" s="6">
        <f t="shared" si="14"/>
        <v>-63.840420574705774</v>
      </c>
    </row>
    <row r="152" spans="1:72">
      <c r="A152" s="3" t="s">
        <v>967</v>
      </c>
      <c r="B152" s="3" t="s">
        <v>1174</v>
      </c>
      <c r="C152" s="3" t="s">
        <v>1482</v>
      </c>
      <c r="D152" s="2" t="s">
        <v>1562</v>
      </c>
      <c r="E152" s="4" t="str">
        <f t="shared" si="10"/>
        <v>Roiphet1A2-I03-0094</v>
      </c>
      <c r="F152">
        <v>0.72</v>
      </c>
      <c r="G152">
        <v>1.3</v>
      </c>
      <c r="H152" t="s">
        <v>72</v>
      </c>
      <c r="I152" t="s">
        <v>67</v>
      </c>
      <c r="J152" t="s">
        <v>357</v>
      </c>
      <c r="K152" t="s">
        <v>89</v>
      </c>
      <c r="L152" t="s">
        <v>89</v>
      </c>
      <c r="M152">
        <v>0.58461538461538465</v>
      </c>
      <c r="N152" s="5">
        <v>44916</v>
      </c>
      <c r="O152" s="5">
        <v>44943</v>
      </c>
      <c r="P152">
        <v>0.2</v>
      </c>
      <c r="Q152" s="4">
        <v>134</v>
      </c>
      <c r="R152">
        <v>0.87</v>
      </c>
      <c r="S152" t="s">
        <v>70</v>
      </c>
      <c r="T152" s="6">
        <v>3</v>
      </c>
      <c r="U152" s="5">
        <v>45045</v>
      </c>
      <c r="V152" s="6">
        <v>2</v>
      </c>
      <c r="W152" t="s">
        <v>71</v>
      </c>
      <c r="X152" s="6">
        <v>102</v>
      </c>
      <c r="Y152">
        <v>4.7643999999999993</v>
      </c>
      <c r="Z152">
        <v>6.6172222222222219</v>
      </c>
      <c r="AA152" s="6">
        <v>29.254050877340276</v>
      </c>
      <c r="AB152" s="4">
        <v>69.689000000000007</v>
      </c>
      <c r="AC152" s="6">
        <v>34.183300090401637</v>
      </c>
      <c r="AD152">
        <v>0.38362745100000001</v>
      </c>
      <c r="AE152">
        <v>2.1239979086789824</v>
      </c>
      <c r="AF152">
        <v>9750</v>
      </c>
      <c r="AG152" s="4">
        <v>1950</v>
      </c>
      <c r="AH152" s="4">
        <v>5700</v>
      </c>
      <c r="AL152">
        <v>25</v>
      </c>
      <c r="AM152">
        <v>3.2578299999999998</v>
      </c>
      <c r="AN152" t="s">
        <v>81</v>
      </c>
      <c r="AO152" t="s">
        <v>176</v>
      </c>
      <c r="AP152" s="5">
        <v>44946</v>
      </c>
      <c r="AQ152" t="s">
        <v>117</v>
      </c>
      <c r="AR152" s="5">
        <v>45040</v>
      </c>
      <c r="AS152">
        <v>265.47136890269502</v>
      </c>
      <c r="AT152" s="6"/>
      <c r="AU152">
        <v>23.087901939383766</v>
      </c>
      <c r="AV152">
        <v>63.018459827050648</v>
      </c>
      <c r="AW152">
        <v>23.430138107631599</v>
      </c>
      <c r="AX152">
        <v>109.53649987406601</v>
      </c>
      <c r="AY152">
        <v>25.981800436571238</v>
      </c>
      <c r="AZ152">
        <v>37.881030140206526</v>
      </c>
      <c r="BA152">
        <v>6.5636239610444127</v>
      </c>
      <c r="BB152">
        <v>5.6255813953488367</v>
      </c>
      <c r="BC152">
        <v>12.399582318864917</v>
      </c>
      <c r="BD152">
        <v>88.451618252035928</v>
      </c>
      <c r="BE152">
        <v>67.483250776593081</v>
      </c>
      <c r="BF152">
        <v>33.997766770212408</v>
      </c>
      <c r="BG152">
        <v>9.314079422382672E-2</v>
      </c>
      <c r="BH152">
        <v>34.090907564436236</v>
      </c>
      <c r="BI152">
        <v>232.07902569053815</v>
      </c>
      <c r="BJ152" s="6">
        <v>200</v>
      </c>
      <c r="BK152">
        <v>33.392343212156881</v>
      </c>
      <c r="BL152" s="4">
        <v>159.0944800000002</v>
      </c>
      <c r="BM152" t="s">
        <v>1563</v>
      </c>
      <c r="BN152" t="s">
        <v>65</v>
      </c>
      <c r="BO152">
        <v>4</v>
      </c>
      <c r="BP152">
        <v>2023</v>
      </c>
      <c r="BQ152" t="str">
        <f t="shared" si="11"/>
        <v>Roiphet14</v>
      </c>
      <c r="BR152">
        <f t="shared" si="12"/>
        <v>-152.83730999999992</v>
      </c>
      <c r="BS152">
        <f t="shared" si="13"/>
        <v>1264.81179</v>
      </c>
      <c r="BT152" s="6">
        <f t="shared" si="14"/>
        <v>-32.079025690538145</v>
      </c>
    </row>
    <row r="153" spans="1:72">
      <c r="A153" s="3" t="s">
        <v>967</v>
      </c>
      <c r="B153" s="3" t="s">
        <v>1174</v>
      </c>
      <c r="C153" s="3" t="s">
        <v>1482</v>
      </c>
      <c r="D153" s="2" t="s">
        <v>1568</v>
      </c>
      <c r="E153" s="4" t="str">
        <f t="shared" si="10"/>
        <v>Roiphet1A2-G03-0082</v>
      </c>
      <c r="F153">
        <v>1.1299999999999999</v>
      </c>
      <c r="G153">
        <v>1.5</v>
      </c>
      <c r="H153" t="s">
        <v>72</v>
      </c>
      <c r="I153" t="s">
        <v>67</v>
      </c>
      <c r="J153" t="s">
        <v>357</v>
      </c>
      <c r="K153" t="s">
        <v>89</v>
      </c>
      <c r="L153" t="s">
        <v>89</v>
      </c>
      <c r="M153">
        <v>0.47647058823529409</v>
      </c>
      <c r="N153" s="5">
        <v>44916</v>
      </c>
      <c r="O153" s="5">
        <v>44943</v>
      </c>
      <c r="P153">
        <v>0.4</v>
      </c>
      <c r="Q153" s="4">
        <v>147</v>
      </c>
      <c r="R153">
        <v>0.87</v>
      </c>
      <c r="S153" t="s">
        <v>70</v>
      </c>
      <c r="T153" s="6">
        <v>3</v>
      </c>
      <c r="U153" s="5">
        <v>45056</v>
      </c>
      <c r="V153" s="6">
        <v>2</v>
      </c>
      <c r="W153" t="s">
        <v>71</v>
      </c>
      <c r="X153" s="6">
        <v>113</v>
      </c>
      <c r="Y153">
        <v>7.7162100000000002</v>
      </c>
      <c r="Z153">
        <v>6.8285044247787621</v>
      </c>
      <c r="AA153" s="6">
        <v>28.24158492316824</v>
      </c>
      <c r="AB153" s="4">
        <v>54.479500000000002</v>
      </c>
      <c r="AC153" s="6">
        <v>35.408777613597778</v>
      </c>
      <c r="AD153">
        <v>0.37706425500000001</v>
      </c>
      <c r="AE153">
        <v>2.7686507306387846</v>
      </c>
      <c r="AF153">
        <v>20400</v>
      </c>
      <c r="AG153" s="4">
        <v>3090</v>
      </c>
      <c r="AH153" s="4">
        <v>9720</v>
      </c>
      <c r="AL153">
        <v>23</v>
      </c>
      <c r="AM153">
        <v>5.5598599999999996</v>
      </c>
      <c r="AN153" t="s">
        <v>81</v>
      </c>
      <c r="AO153" t="s">
        <v>176</v>
      </c>
      <c r="AP153" s="5">
        <v>44946</v>
      </c>
      <c r="AQ153" t="s">
        <v>116</v>
      </c>
      <c r="AR153" s="5">
        <v>45054</v>
      </c>
      <c r="AS153">
        <v>258.85739760841142</v>
      </c>
      <c r="AT153" s="6"/>
      <c r="AU153">
        <v>28.51140650656216</v>
      </c>
      <c r="AV153">
        <v>80.971294197539976</v>
      </c>
      <c r="AW153">
        <v>21.321744742561435</v>
      </c>
      <c r="AX153">
        <v>130.80444544666355</v>
      </c>
      <c r="AY153">
        <v>27.011414930386806</v>
      </c>
      <c r="AZ153">
        <v>39.654238285375854</v>
      </c>
      <c r="BA153">
        <v>6.6250944440340529</v>
      </c>
      <c r="BB153">
        <v>5.8453424673511991</v>
      </c>
      <c r="BC153">
        <v>13.233776685704511</v>
      </c>
      <c r="BD153">
        <v>92.369866812852408</v>
      </c>
      <c r="BE153">
        <v>35.68308534889546</v>
      </c>
      <c r="BF153">
        <v>35.653773031060595</v>
      </c>
      <c r="BG153">
        <v>9.7794124317508196E-2</v>
      </c>
      <c r="BH153">
        <v>35.751567155378098</v>
      </c>
      <c r="BI153">
        <v>258.9258794148941</v>
      </c>
      <c r="BJ153" s="6">
        <v>204</v>
      </c>
      <c r="BK153">
        <v>-6.8481806482676419E-2</v>
      </c>
      <c r="BL153" s="4">
        <v>-0.52841999999969269</v>
      </c>
      <c r="BM153" t="s">
        <v>1569</v>
      </c>
      <c r="BN153" t="s">
        <v>65</v>
      </c>
      <c r="BO153">
        <v>5</v>
      </c>
      <c r="BP153">
        <v>2023</v>
      </c>
      <c r="BQ153" t="str">
        <f t="shared" si="11"/>
        <v>Roiphet15</v>
      </c>
      <c r="BR153">
        <f t="shared" si="12"/>
        <v>-423.81961999999999</v>
      </c>
      <c r="BS153">
        <f t="shared" si="13"/>
        <v>1997.3980400000003</v>
      </c>
      <c r="BT153" s="6">
        <f t="shared" si="14"/>
        <v>-54.925879414894098</v>
      </c>
    </row>
    <row r="154" spans="1:72">
      <c r="A154" s="3" t="s">
        <v>967</v>
      </c>
      <c r="B154" s="3" t="s">
        <v>1174</v>
      </c>
      <c r="C154" s="3" t="s">
        <v>1482</v>
      </c>
      <c r="D154" s="2" t="s">
        <v>1542</v>
      </c>
      <c r="E154" s="4" t="str">
        <f t="shared" si="10"/>
        <v>Roiphet1A4-G07-0071</v>
      </c>
      <c r="F154">
        <v>1.1299999999999999</v>
      </c>
      <c r="G154">
        <v>1.5</v>
      </c>
      <c r="H154" t="s">
        <v>72</v>
      </c>
      <c r="I154" t="s">
        <v>67</v>
      </c>
      <c r="J154" t="s">
        <v>357</v>
      </c>
      <c r="K154" t="s">
        <v>89</v>
      </c>
      <c r="L154" t="s">
        <v>89</v>
      </c>
      <c r="M154">
        <v>0.51984282907662083</v>
      </c>
      <c r="N154" s="5">
        <v>44924</v>
      </c>
      <c r="O154" s="5">
        <v>44953</v>
      </c>
      <c r="P154">
        <v>0.54</v>
      </c>
      <c r="Q154" s="4">
        <v>199</v>
      </c>
      <c r="R154">
        <v>0.81</v>
      </c>
      <c r="S154" t="s">
        <v>70</v>
      </c>
      <c r="T154" s="6">
        <v>4</v>
      </c>
      <c r="U154" s="5">
        <v>45072</v>
      </c>
      <c r="V154" s="6">
        <v>1</v>
      </c>
      <c r="W154" t="s">
        <v>86</v>
      </c>
      <c r="X154" s="6">
        <v>119</v>
      </c>
      <c r="Y154">
        <v>9.9828700000000001</v>
      </c>
      <c r="Z154">
        <v>8.834398230088496</v>
      </c>
      <c r="AA154" s="6">
        <v>31.384762097472969</v>
      </c>
      <c r="AB154" s="4">
        <v>58.020370370370365</v>
      </c>
      <c r="AC154" s="6">
        <v>31.86259615077719</v>
      </c>
      <c r="AD154">
        <v>0.37516424799999998</v>
      </c>
      <c r="AE154">
        <v>2.6661861595081224</v>
      </c>
      <c r="AF154">
        <v>25450</v>
      </c>
      <c r="AG154" s="4">
        <v>0</v>
      </c>
      <c r="AH154" s="4">
        <v>13230</v>
      </c>
      <c r="AL154">
        <v>22</v>
      </c>
      <c r="AM154">
        <v>5.9948600000000001</v>
      </c>
      <c r="AN154" t="s">
        <v>81</v>
      </c>
      <c r="AO154" t="s">
        <v>198</v>
      </c>
      <c r="AP154" s="5">
        <v>44963</v>
      </c>
      <c r="AQ154" t="s">
        <v>116</v>
      </c>
      <c r="AR154" s="5">
        <v>45068</v>
      </c>
      <c r="AS154">
        <v>243.82043941271397</v>
      </c>
      <c r="AT154" s="6"/>
      <c r="AU154">
        <v>29.75096340030472</v>
      </c>
      <c r="AV154">
        <v>77.175221153836489</v>
      </c>
      <c r="AW154">
        <v>18.914810069649306</v>
      </c>
      <c r="AX154">
        <v>125.84099462379049</v>
      </c>
      <c r="AY154">
        <v>21.620295566305078</v>
      </c>
      <c r="AZ154">
        <v>32.222012307082032</v>
      </c>
      <c r="BA154">
        <v>5.0869689778590717</v>
      </c>
      <c r="BB154">
        <v>4.5312500313036228</v>
      </c>
      <c r="BC154">
        <v>10.936427099621653</v>
      </c>
      <c r="BD154">
        <v>74.396953982171453</v>
      </c>
      <c r="BE154">
        <v>43.58249080675202</v>
      </c>
      <c r="BF154">
        <v>29.004633937935679</v>
      </c>
      <c r="BG154">
        <v>7.9746605935968315E-2</v>
      </c>
      <c r="BH154">
        <v>29.084380543871646</v>
      </c>
      <c r="BI154">
        <v>229.32232914983365</v>
      </c>
      <c r="BJ154" s="6">
        <v>194</v>
      </c>
      <c r="BK154">
        <v>14.498110262880314</v>
      </c>
      <c r="BL154" s="4">
        <v>144.73275000000001</v>
      </c>
      <c r="BM154" t="s">
        <v>1543</v>
      </c>
      <c r="BN154" t="s">
        <v>65</v>
      </c>
      <c r="BO154">
        <v>5</v>
      </c>
      <c r="BP154">
        <v>2023</v>
      </c>
      <c r="BQ154" t="str">
        <f t="shared" si="11"/>
        <v>Roiphet15</v>
      </c>
      <c r="BR154">
        <f t="shared" si="12"/>
        <v>-352.61821999999984</v>
      </c>
      <c r="BS154">
        <f t="shared" si="13"/>
        <v>2434.0277499999997</v>
      </c>
      <c r="BT154" s="6">
        <f t="shared" si="14"/>
        <v>-35.322329149833649</v>
      </c>
    </row>
    <row r="155" spans="1:72">
      <c r="A155" s="3" t="s">
        <v>967</v>
      </c>
      <c r="B155" s="3" t="s">
        <v>1174</v>
      </c>
      <c r="C155" s="3" t="s">
        <v>1482</v>
      </c>
      <c r="D155" s="2" t="s">
        <v>1534</v>
      </c>
      <c r="E155" s="4" t="str">
        <f t="shared" si="10"/>
        <v>Roiphet1A3-G05-0076</v>
      </c>
      <c r="F155">
        <v>1.1299999999999999</v>
      </c>
      <c r="G155">
        <v>1.5</v>
      </c>
      <c r="H155" t="s">
        <v>72</v>
      </c>
      <c r="I155" t="s">
        <v>67</v>
      </c>
      <c r="J155" t="s">
        <v>357</v>
      </c>
      <c r="K155" t="s">
        <v>89</v>
      </c>
      <c r="L155" t="s">
        <v>89</v>
      </c>
      <c r="M155">
        <v>0.50676156583629894</v>
      </c>
      <c r="N155" s="5">
        <v>44943</v>
      </c>
      <c r="O155" s="5">
        <v>44969</v>
      </c>
      <c r="P155">
        <v>0.47</v>
      </c>
      <c r="Q155" s="4">
        <v>173</v>
      </c>
      <c r="R155">
        <v>0.45</v>
      </c>
      <c r="S155" t="s">
        <v>70</v>
      </c>
      <c r="T155" s="6">
        <v>3</v>
      </c>
      <c r="U155" s="5">
        <v>45084</v>
      </c>
      <c r="V155" s="6">
        <v>2</v>
      </c>
      <c r="W155" t="s">
        <v>71</v>
      </c>
      <c r="X155" s="6">
        <v>115</v>
      </c>
      <c r="Y155">
        <v>7.0439499999999997</v>
      </c>
      <c r="Z155">
        <v>6.2335840707964607</v>
      </c>
      <c r="AA155" s="6">
        <v>32.39361437829627</v>
      </c>
      <c r="AB155" s="4">
        <v>48.54872340425532</v>
      </c>
      <c r="AC155" s="6">
        <v>30.87028166483331</v>
      </c>
      <c r="AD155">
        <v>0.37415879000000002</v>
      </c>
      <c r="AE155">
        <v>3.0845089593459525</v>
      </c>
      <c r="AF155">
        <v>21075</v>
      </c>
      <c r="AG155" s="4">
        <v>2340</v>
      </c>
      <c r="AH155" s="4">
        <v>10680</v>
      </c>
      <c r="AL155">
        <v>23</v>
      </c>
      <c r="AM155">
        <v>5.0172400000000001</v>
      </c>
      <c r="AN155" t="s">
        <v>81</v>
      </c>
      <c r="AO155" t="s">
        <v>170</v>
      </c>
      <c r="AP155" s="5">
        <v>44970</v>
      </c>
      <c r="AQ155" t="s">
        <v>123</v>
      </c>
      <c r="AR155" s="5">
        <v>45079</v>
      </c>
      <c r="AS155">
        <v>239.46605668694411</v>
      </c>
      <c r="AT155" s="6"/>
      <c r="AU155">
        <v>30.025766792779621</v>
      </c>
      <c r="AV155">
        <v>90.458120798699582</v>
      </c>
      <c r="AW155">
        <v>23.909931217569685</v>
      </c>
      <c r="AX155">
        <v>144.39381880904889</v>
      </c>
      <c r="AY155">
        <v>28.252263289773495</v>
      </c>
      <c r="AZ155">
        <v>45.526366598286465</v>
      </c>
      <c r="BA155">
        <v>6.4151988585949642</v>
      </c>
      <c r="BB155">
        <v>6.4583848550884095</v>
      </c>
      <c r="BC155">
        <v>15.673846350414188</v>
      </c>
      <c r="BD155">
        <v>102.32605995215754</v>
      </c>
      <c r="BE155">
        <v>-7.2538220742623167</v>
      </c>
      <c r="BF155">
        <v>38.466232724536667</v>
      </c>
      <c r="BG155">
        <v>0.10658508365334793</v>
      </c>
      <c r="BH155">
        <v>38.572817808190017</v>
      </c>
      <c r="BI155">
        <v>285.29269656939641</v>
      </c>
      <c r="BJ155" s="6">
        <v>192</v>
      </c>
      <c r="BK155">
        <v>-45.826639882452326</v>
      </c>
      <c r="BL155" s="4">
        <v>-322.80056000000008</v>
      </c>
      <c r="BM155" t="s">
        <v>1535</v>
      </c>
      <c r="BN155" t="s">
        <v>65</v>
      </c>
      <c r="BO155">
        <v>6</v>
      </c>
      <c r="BP155">
        <v>2023</v>
      </c>
      <c r="BQ155" t="str">
        <f t="shared" si="11"/>
        <v>Roiphet16</v>
      </c>
      <c r="BR155">
        <f t="shared" si="12"/>
        <v>-657.14908999999977</v>
      </c>
      <c r="BS155">
        <f t="shared" si="13"/>
        <v>1686.78693</v>
      </c>
      <c r="BT155" s="6">
        <f t="shared" si="14"/>
        <v>-93.292696569396412</v>
      </c>
    </row>
    <row r="156" spans="1:72">
      <c r="A156" s="3" t="s">
        <v>967</v>
      </c>
      <c r="B156" s="3" t="s">
        <v>1174</v>
      </c>
      <c r="C156" s="3" t="s">
        <v>1482</v>
      </c>
      <c r="D156" s="2" t="s">
        <v>1532</v>
      </c>
      <c r="E156" s="4" t="str">
        <f t="shared" si="10"/>
        <v>Roiphet1A2-I04-0099</v>
      </c>
      <c r="F156">
        <v>0.72</v>
      </c>
      <c r="G156">
        <v>1.3</v>
      </c>
      <c r="H156" t="s">
        <v>72</v>
      </c>
      <c r="I156" t="s">
        <v>67</v>
      </c>
      <c r="J156" t="s">
        <v>357</v>
      </c>
      <c r="K156" t="s">
        <v>89</v>
      </c>
      <c r="L156" t="s">
        <v>89</v>
      </c>
      <c r="M156">
        <v>0.47655502392344495</v>
      </c>
      <c r="N156" s="5">
        <v>44902</v>
      </c>
      <c r="O156" s="5">
        <v>44931</v>
      </c>
      <c r="P156">
        <v>0.26</v>
      </c>
      <c r="Q156" s="4">
        <v>174</v>
      </c>
      <c r="R156">
        <v>0.3</v>
      </c>
      <c r="S156" t="s">
        <v>70</v>
      </c>
      <c r="T156" s="6">
        <v>3</v>
      </c>
      <c r="U156" s="5">
        <v>45047</v>
      </c>
      <c r="V156" s="6">
        <v>2</v>
      </c>
      <c r="W156" t="s">
        <v>71</v>
      </c>
      <c r="X156" s="6">
        <v>116</v>
      </c>
      <c r="Y156">
        <v>4.4280900000000001</v>
      </c>
      <c r="Z156">
        <v>6.1501250000000001</v>
      </c>
      <c r="AA156" s="6">
        <v>32.898156993195713</v>
      </c>
      <c r="AB156" s="4">
        <v>56.029230769230765</v>
      </c>
      <c r="AC156" s="6">
        <v>30.396839561767209</v>
      </c>
      <c r="AD156">
        <v>0.37222638699999999</v>
      </c>
      <c r="AE156">
        <v>2.4022491488681843</v>
      </c>
      <c r="AF156">
        <v>10450</v>
      </c>
      <c r="AG156" s="4">
        <v>1950</v>
      </c>
      <c r="AH156" s="4">
        <v>4980</v>
      </c>
      <c r="AL156">
        <v>23</v>
      </c>
      <c r="AM156">
        <v>3.16378</v>
      </c>
      <c r="AN156" t="s">
        <v>81</v>
      </c>
      <c r="AO156" t="s">
        <v>189</v>
      </c>
      <c r="AP156" s="5">
        <v>44935</v>
      </c>
      <c r="AQ156" t="s">
        <v>117</v>
      </c>
      <c r="AR156" s="5">
        <v>45040</v>
      </c>
      <c r="AS156">
        <v>250.44366306917883</v>
      </c>
      <c r="AT156" s="6"/>
      <c r="AU156">
        <v>23.48642416933712</v>
      </c>
      <c r="AV156">
        <v>72.951466659440058</v>
      </c>
      <c r="AW156">
        <v>30.53934992287871</v>
      </c>
      <c r="AX156">
        <v>126.97724075165588</v>
      </c>
      <c r="AY156">
        <v>31.71555456189915</v>
      </c>
      <c r="AZ156">
        <v>45.196310373095393</v>
      </c>
      <c r="BA156">
        <v>7.9875815532204619</v>
      </c>
      <c r="BB156">
        <v>7.1964910378967</v>
      </c>
      <c r="BC156">
        <v>15.355889333775965</v>
      </c>
      <c r="BD156">
        <v>107.45182685988767</v>
      </c>
      <c r="BE156">
        <v>16.014595457635266</v>
      </c>
      <c r="BF156">
        <v>41.164416260735436</v>
      </c>
      <c r="BG156">
        <v>0.11262192051200401</v>
      </c>
      <c r="BH156">
        <v>41.277038181247441</v>
      </c>
      <c r="BI156">
        <v>275.70610579279099</v>
      </c>
      <c r="BJ156" s="6">
        <v>192</v>
      </c>
      <c r="BK156">
        <v>-25.262442723612185</v>
      </c>
      <c r="BL156" s="4">
        <v>-111.86436999999988</v>
      </c>
      <c r="BM156" t="s">
        <v>1533</v>
      </c>
      <c r="BN156" t="s">
        <v>65</v>
      </c>
      <c r="BO156">
        <v>5</v>
      </c>
      <c r="BP156">
        <v>2023</v>
      </c>
      <c r="BQ156" t="str">
        <f t="shared" si="11"/>
        <v>Roiphet15</v>
      </c>
      <c r="BR156">
        <f t="shared" si="12"/>
        <v>-370.65816999999987</v>
      </c>
      <c r="BS156">
        <f t="shared" si="13"/>
        <v>1108.9870800000001</v>
      </c>
      <c r="BT156" s="6">
        <f t="shared" si="14"/>
        <v>-83.706105792790993</v>
      </c>
    </row>
    <row r="157" spans="1:72">
      <c r="A157" s="3" t="s">
        <v>967</v>
      </c>
      <c r="B157" s="3" t="s">
        <v>1174</v>
      </c>
      <c r="C157" s="3" t="s">
        <v>1482</v>
      </c>
      <c r="D157" s="2" t="s">
        <v>1498</v>
      </c>
      <c r="E157" s="4" t="str">
        <f t="shared" si="10"/>
        <v>Roiphet1A4-G08-0070</v>
      </c>
      <c r="F157">
        <v>1.1299999999999999</v>
      </c>
      <c r="G157">
        <v>1.5</v>
      </c>
      <c r="H157" t="s">
        <v>72</v>
      </c>
      <c r="I157" t="s">
        <v>67</v>
      </c>
      <c r="J157" t="s">
        <v>357</v>
      </c>
      <c r="K157" t="s">
        <v>89</v>
      </c>
      <c r="L157" t="s">
        <v>89</v>
      </c>
      <c r="M157">
        <v>0.42841918294849024</v>
      </c>
      <c r="N157" s="5">
        <v>45082</v>
      </c>
      <c r="O157" s="5">
        <v>45114</v>
      </c>
      <c r="P157">
        <v>0.55000000000000004</v>
      </c>
      <c r="Q157" s="4">
        <v>203</v>
      </c>
      <c r="R157">
        <v>0.62</v>
      </c>
      <c r="S157" t="s">
        <v>70</v>
      </c>
      <c r="T157" s="6">
        <v>2</v>
      </c>
      <c r="U157" s="5">
        <v>45199</v>
      </c>
      <c r="V157" s="6">
        <v>2</v>
      </c>
      <c r="W157" t="s">
        <v>71</v>
      </c>
      <c r="X157" s="6">
        <v>85</v>
      </c>
      <c r="Y157">
        <v>5.8241000000000005</v>
      </c>
      <c r="Z157">
        <v>5.1540707964601777</v>
      </c>
      <c r="AA157" s="6">
        <v>39.309077797427925</v>
      </c>
      <c r="AB157" s="4">
        <v>41.625454545454545</v>
      </c>
      <c r="AC157" s="6">
        <v>25.439416440988907</v>
      </c>
      <c r="AD157">
        <v>0.37221252399999999</v>
      </c>
      <c r="AE157">
        <v>2.5669785340409619</v>
      </c>
      <c r="AF157">
        <v>14075</v>
      </c>
      <c r="AG157" s="4">
        <v>750</v>
      </c>
      <c r="AH157" s="4">
        <v>6030</v>
      </c>
      <c r="AL157">
        <v>31</v>
      </c>
      <c r="AM157">
        <v>4.8501599999999998</v>
      </c>
      <c r="AN157" t="s">
        <v>85</v>
      </c>
      <c r="AO157" t="s">
        <v>93</v>
      </c>
      <c r="AP157" s="5">
        <v>45117</v>
      </c>
      <c r="AQ157" t="s">
        <v>92</v>
      </c>
      <c r="AR157" s="5">
        <v>45195</v>
      </c>
      <c r="AS157">
        <v>161.90843220411736</v>
      </c>
      <c r="AT157" s="6"/>
      <c r="AU157">
        <v>47.21759585171958</v>
      </c>
      <c r="AV157">
        <v>78.742147284558982</v>
      </c>
      <c r="AW157">
        <v>27.673551278309088</v>
      </c>
      <c r="AX157">
        <v>153.63329441458765</v>
      </c>
      <c r="AY157">
        <v>30.790527291770402</v>
      </c>
      <c r="AZ157">
        <v>42.667739221510622</v>
      </c>
      <c r="BA157">
        <v>6.2508765302793554</v>
      </c>
      <c r="BB157">
        <v>9.438115760374993</v>
      </c>
      <c r="BC157">
        <v>18.742264040796002</v>
      </c>
      <c r="BD157">
        <v>107.88952284473137</v>
      </c>
      <c r="BE157">
        <v>-99.614385055201666</v>
      </c>
      <c r="BF157">
        <v>37.422982091653644</v>
      </c>
      <c r="BG157">
        <v>0.11667038684088528</v>
      </c>
      <c r="BH157">
        <v>37.539652478494531</v>
      </c>
      <c r="BI157">
        <v>299.06246973781356</v>
      </c>
      <c r="BJ157" s="6">
        <v>183</v>
      </c>
      <c r="BK157">
        <v>-137.15403753369623</v>
      </c>
      <c r="BL157" s="4">
        <v>-798.79883000000018</v>
      </c>
      <c r="BM157" t="s">
        <v>1499</v>
      </c>
      <c r="BN157" t="s">
        <v>65</v>
      </c>
      <c r="BO157">
        <v>9</v>
      </c>
      <c r="BP157">
        <v>2023</v>
      </c>
      <c r="BQ157" t="str">
        <f t="shared" si="11"/>
        <v>Roiphet19</v>
      </c>
      <c r="BR157">
        <f t="shared" si="12"/>
        <v>-675.95943</v>
      </c>
      <c r="BS157">
        <f t="shared" si="13"/>
        <v>942.97090000000003</v>
      </c>
      <c r="BT157" s="6">
        <f t="shared" si="14"/>
        <v>-116.06246973781356</v>
      </c>
    </row>
    <row r="158" spans="1:72">
      <c r="A158" s="3" t="s">
        <v>967</v>
      </c>
      <c r="B158" s="3" t="s">
        <v>1174</v>
      </c>
      <c r="C158" s="3" t="s">
        <v>1482</v>
      </c>
      <c r="D158" s="2" t="s">
        <v>1554</v>
      </c>
      <c r="E158" s="4" t="str">
        <f t="shared" si="10"/>
        <v>Roiphet1A5-I10-0094</v>
      </c>
      <c r="F158">
        <v>0.72</v>
      </c>
      <c r="G158">
        <v>1.3</v>
      </c>
      <c r="H158" t="s">
        <v>72</v>
      </c>
      <c r="I158" t="s">
        <v>67</v>
      </c>
      <c r="J158" t="s">
        <v>357</v>
      </c>
      <c r="K158" t="s">
        <v>89</v>
      </c>
      <c r="L158" t="s">
        <v>89</v>
      </c>
      <c r="M158">
        <v>0.57966101694915251</v>
      </c>
      <c r="N158" s="5">
        <v>44922</v>
      </c>
      <c r="O158" s="5">
        <v>44949</v>
      </c>
      <c r="P158">
        <v>0.26</v>
      </c>
      <c r="Q158" s="4">
        <v>174</v>
      </c>
      <c r="R158">
        <v>0.433</v>
      </c>
      <c r="S158" t="s">
        <v>70</v>
      </c>
      <c r="T158" s="6">
        <v>3</v>
      </c>
      <c r="U158" s="5">
        <v>45071</v>
      </c>
      <c r="V158" s="6">
        <v>2</v>
      </c>
      <c r="W158" t="s">
        <v>71</v>
      </c>
      <c r="X158" s="6">
        <v>122</v>
      </c>
      <c r="Y158">
        <v>3.4640500000000003</v>
      </c>
      <c r="Z158">
        <v>4.8111805555555565</v>
      </c>
      <c r="AA158" s="6">
        <v>30.422771033905398</v>
      </c>
      <c r="AB158" s="4">
        <v>40.533076923076919</v>
      </c>
      <c r="AC158" s="6">
        <v>32.870115575123833</v>
      </c>
      <c r="AD158">
        <v>0.36902906099999999</v>
      </c>
      <c r="AE158">
        <v>3.5208641035969501</v>
      </c>
      <c r="AF158">
        <v>11800</v>
      </c>
      <c r="AG158" s="4">
        <v>750</v>
      </c>
      <c r="AH158" s="4">
        <v>6840</v>
      </c>
      <c r="AL158">
        <v>22</v>
      </c>
      <c r="AM158">
        <v>2.4258000000000002</v>
      </c>
      <c r="AN158" t="s">
        <v>81</v>
      </c>
      <c r="AO158" t="s">
        <v>131</v>
      </c>
      <c r="AP158" s="5">
        <v>44956</v>
      </c>
      <c r="AQ158" t="s">
        <v>116</v>
      </c>
      <c r="AR158" s="5">
        <v>45068</v>
      </c>
      <c r="AS158">
        <v>261.28774411454799</v>
      </c>
      <c r="AT158" s="6"/>
      <c r="AU158">
        <v>32.620776259003186</v>
      </c>
      <c r="AV158">
        <v>103.8096303459823</v>
      </c>
      <c r="AW158">
        <v>23.627952829780156</v>
      </c>
      <c r="AX158">
        <v>160.05835943476563</v>
      </c>
      <c r="AY158">
        <v>40.083636206174852</v>
      </c>
      <c r="AZ158">
        <v>59.478480391449303</v>
      </c>
      <c r="BA158">
        <v>9.4666734025201702</v>
      </c>
      <c r="BB158">
        <v>8.4635931929389017</v>
      </c>
      <c r="BC158">
        <v>20.249592240296764</v>
      </c>
      <c r="BD158">
        <v>137.74197543337999</v>
      </c>
      <c r="BE158">
        <v>-36.512590753597635</v>
      </c>
      <c r="BF158">
        <v>53.647328993519132</v>
      </c>
      <c r="BG158">
        <v>0.1474487954850536</v>
      </c>
      <c r="BH158">
        <v>53.794777789004186</v>
      </c>
      <c r="BI158">
        <v>351.5951126571498</v>
      </c>
      <c r="BJ158" s="6">
        <v>197</v>
      </c>
      <c r="BK158">
        <v>-90.307368542601822</v>
      </c>
      <c r="BL158" s="4">
        <v>-312.82923999999986</v>
      </c>
      <c r="BM158" t="s">
        <v>1555</v>
      </c>
      <c r="BN158" t="s">
        <v>65</v>
      </c>
      <c r="BO158">
        <v>5</v>
      </c>
      <c r="BP158">
        <v>2023</v>
      </c>
      <c r="BQ158" t="str">
        <f t="shared" si="11"/>
        <v>Roiphet15</v>
      </c>
      <c r="BR158">
        <f t="shared" si="12"/>
        <v>-535.52519999999981</v>
      </c>
      <c r="BS158">
        <f t="shared" si="13"/>
        <v>905.11381000000006</v>
      </c>
      <c r="BT158" s="6">
        <f t="shared" si="14"/>
        <v>-154.5951126571498</v>
      </c>
    </row>
    <row r="159" spans="1:72">
      <c r="A159" s="3" t="s">
        <v>967</v>
      </c>
      <c r="B159" s="3" t="s">
        <v>1174</v>
      </c>
      <c r="C159" s="3" t="s">
        <v>1482</v>
      </c>
      <c r="D159" s="2" t="s">
        <v>1530</v>
      </c>
      <c r="E159" s="4" t="str">
        <f t="shared" si="10"/>
        <v>Roiphet1A2-G04-0081</v>
      </c>
      <c r="F159">
        <v>1.1299999999999999</v>
      </c>
      <c r="G159">
        <v>1.5</v>
      </c>
      <c r="H159" t="s">
        <v>72</v>
      </c>
      <c r="I159" t="s">
        <v>67</v>
      </c>
      <c r="J159" t="s">
        <v>357</v>
      </c>
      <c r="K159" t="s">
        <v>89</v>
      </c>
      <c r="L159" t="s">
        <v>89</v>
      </c>
      <c r="M159">
        <v>0.61109902067464639</v>
      </c>
      <c r="N159" s="5">
        <v>44905</v>
      </c>
      <c r="O159" s="5">
        <v>44934</v>
      </c>
      <c r="P159">
        <v>0.47</v>
      </c>
      <c r="Q159" s="4">
        <v>173</v>
      </c>
      <c r="R159">
        <v>0.46</v>
      </c>
      <c r="S159" t="s">
        <v>70</v>
      </c>
      <c r="T159" s="6">
        <v>3</v>
      </c>
      <c r="U159" s="5">
        <v>45051</v>
      </c>
      <c r="V159" s="6">
        <v>2</v>
      </c>
      <c r="W159" t="s">
        <v>71</v>
      </c>
      <c r="X159" s="6">
        <v>117</v>
      </c>
      <c r="Y159">
        <v>8.45655</v>
      </c>
      <c r="Z159">
        <v>7.4836725663716823</v>
      </c>
      <c r="AA159" s="6">
        <v>32.93979223205681</v>
      </c>
      <c r="AB159" s="4">
        <v>59.267446808510641</v>
      </c>
      <c r="AC159" s="6">
        <v>30.358418564243582</v>
      </c>
      <c r="AD159">
        <v>0.36767744299999999</v>
      </c>
      <c r="AE159">
        <v>2.7881097283489176</v>
      </c>
      <c r="AF159">
        <v>22975</v>
      </c>
      <c r="AG159" s="4">
        <v>3090</v>
      </c>
      <c r="AH159" s="4">
        <v>14040</v>
      </c>
      <c r="AL159">
        <v>23.000000000000004</v>
      </c>
      <c r="AM159">
        <v>6.0715200000000005</v>
      </c>
      <c r="AN159" t="s">
        <v>81</v>
      </c>
      <c r="AO159" t="s">
        <v>176</v>
      </c>
      <c r="AP159" s="5">
        <v>44942</v>
      </c>
      <c r="AQ159" t="s">
        <v>127</v>
      </c>
      <c r="AR159" s="5">
        <v>45040</v>
      </c>
      <c r="AS159">
        <v>250.19848046780314</v>
      </c>
      <c r="AT159" s="6"/>
      <c r="AU159">
        <v>25.010199194707067</v>
      </c>
      <c r="AV159">
        <v>83.581613069159445</v>
      </c>
      <c r="AW159">
        <v>26.83600049665645</v>
      </c>
      <c r="AX159">
        <v>135.42781276052295</v>
      </c>
      <c r="AY159">
        <v>26.081932939555728</v>
      </c>
      <c r="AZ159">
        <v>37.395474513838387</v>
      </c>
      <c r="BA159">
        <v>6.5019659317333911</v>
      </c>
      <c r="BB159">
        <v>5.8559684504910399</v>
      </c>
      <c r="BC159">
        <v>12.721592138638096</v>
      </c>
      <c r="BD159">
        <v>88.556933974256637</v>
      </c>
      <c r="BE159">
        <v>26.213733733023545</v>
      </c>
      <c r="BF159">
        <v>34.018382200779286</v>
      </c>
      <c r="BG159">
        <v>9.3139637322548818E-2</v>
      </c>
      <c r="BH159">
        <v>34.111521838101837</v>
      </c>
      <c r="BI159">
        <v>258.09626857288146</v>
      </c>
      <c r="BJ159" s="6">
        <v>191</v>
      </c>
      <c r="BK159">
        <v>-7.897788105078317</v>
      </c>
      <c r="BL159" s="4">
        <v>-66.788040000000038</v>
      </c>
      <c r="BM159" t="s">
        <v>1531</v>
      </c>
      <c r="BN159" t="s">
        <v>65</v>
      </c>
      <c r="BO159">
        <v>5</v>
      </c>
      <c r="BP159">
        <v>2023</v>
      </c>
      <c r="BQ159" t="str">
        <f t="shared" si="11"/>
        <v>Roiphet15</v>
      </c>
      <c r="BR159">
        <f t="shared" si="12"/>
        <v>-567.40295000000071</v>
      </c>
      <c r="BS159">
        <f t="shared" si="13"/>
        <v>2115.8159600000008</v>
      </c>
      <c r="BT159" s="6">
        <f t="shared" si="14"/>
        <v>-67.096268572881456</v>
      </c>
    </row>
    <row r="160" spans="1:72">
      <c r="A160" s="3" t="s">
        <v>967</v>
      </c>
      <c r="B160" s="3" t="s">
        <v>1174</v>
      </c>
      <c r="C160" s="3" t="s">
        <v>1482</v>
      </c>
      <c r="D160" s="2" t="s">
        <v>1502</v>
      </c>
      <c r="E160" s="4" t="str">
        <f t="shared" si="10"/>
        <v>Roiphet1A3-I05-0083</v>
      </c>
      <c r="F160">
        <v>0.72</v>
      </c>
      <c r="G160">
        <v>1.3</v>
      </c>
      <c r="H160" t="s">
        <v>72</v>
      </c>
      <c r="I160" t="s">
        <v>67</v>
      </c>
      <c r="J160" t="s">
        <v>357</v>
      </c>
      <c r="K160" t="s">
        <v>89</v>
      </c>
      <c r="L160" t="s">
        <v>89</v>
      </c>
      <c r="M160">
        <v>0.6919354838709677</v>
      </c>
      <c r="N160" s="5">
        <v>44819</v>
      </c>
      <c r="O160" s="5">
        <v>44853</v>
      </c>
      <c r="P160">
        <v>0.26</v>
      </c>
      <c r="Q160" s="4">
        <v>174</v>
      </c>
      <c r="R160">
        <v>0.35799999999999998</v>
      </c>
      <c r="S160" t="s">
        <v>70</v>
      </c>
      <c r="T160" s="6">
        <v>3</v>
      </c>
      <c r="U160" s="5">
        <v>44943</v>
      </c>
      <c r="V160" s="6">
        <v>2</v>
      </c>
      <c r="W160" t="s">
        <v>71</v>
      </c>
      <c r="X160" s="6">
        <v>90</v>
      </c>
      <c r="Y160">
        <v>3.0636199999999998</v>
      </c>
      <c r="Z160">
        <v>4.2550277777777774</v>
      </c>
      <c r="AA160" s="6">
        <v>38.686912867783867</v>
      </c>
      <c r="AB160" s="4">
        <v>45.585384615384619</v>
      </c>
      <c r="AC160" s="6">
        <v>25.848534449300548</v>
      </c>
      <c r="AD160">
        <v>0.36639259299999999</v>
      </c>
      <c r="AE160">
        <v>2.0871274729935805</v>
      </c>
      <c r="AF160">
        <v>6200</v>
      </c>
      <c r="AG160" s="4">
        <v>960</v>
      </c>
      <c r="AH160" s="4">
        <v>4290</v>
      </c>
      <c r="AL160">
        <v>30</v>
      </c>
      <c r="AM160">
        <v>2.01389</v>
      </c>
      <c r="AN160" t="s">
        <v>81</v>
      </c>
      <c r="AO160" t="s">
        <v>105</v>
      </c>
      <c r="AP160" s="5">
        <v>44855</v>
      </c>
      <c r="AQ160" t="s">
        <v>97</v>
      </c>
      <c r="AR160" s="5">
        <v>44935</v>
      </c>
      <c r="AS160">
        <v>250.75551798199515</v>
      </c>
      <c r="AT160" s="6"/>
      <c r="AU160">
        <v>33.946768855145223</v>
      </c>
      <c r="AV160">
        <v>67.343270379485716</v>
      </c>
      <c r="AW160">
        <v>45.067785822001419</v>
      </c>
      <c r="AX160">
        <v>146.35782505663235</v>
      </c>
      <c r="AY160">
        <v>44.722230563842771</v>
      </c>
      <c r="AZ160">
        <v>50.295444604748624</v>
      </c>
      <c r="BA160">
        <v>9.9905242817320676</v>
      </c>
      <c r="BB160">
        <v>8.1620892930585391</v>
      </c>
      <c r="BC160">
        <v>22.676000940064366</v>
      </c>
      <c r="BD160">
        <v>135.84628968344637</v>
      </c>
      <c r="BE160">
        <v>-31.448596758083568</v>
      </c>
      <c r="BF160">
        <v>52.021073109589317</v>
      </c>
      <c r="BG160">
        <v>0.1405918488585399</v>
      </c>
      <c r="BH160">
        <v>52.161664958447858</v>
      </c>
      <c r="BI160">
        <v>334.36577969852664</v>
      </c>
      <c r="BJ160" s="6">
        <v>184</v>
      </c>
      <c r="BK160">
        <v>-83.610261716531454</v>
      </c>
      <c r="BL160" s="4">
        <v>-256.15007000000008</v>
      </c>
      <c r="BM160" t="s">
        <v>1503</v>
      </c>
      <c r="BN160" t="s">
        <v>65</v>
      </c>
      <c r="BO160">
        <v>1</v>
      </c>
      <c r="BP160">
        <v>2023</v>
      </c>
      <c r="BQ160" t="str">
        <f t="shared" si="11"/>
        <v>Roiphet11</v>
      </c>
      <c r="BR160">
        <f t="shared" si="12"/>
        <v>-460.66361000000012</v>
      </c>
      <c r="BS160">
        <f t="shared" si="13"/>
        <v>768.21961999999996</v>
      </c>
      <c r="BT160" s="6">
        <f t="shared" si="14"/>
        <v>-150.36577969852664</v>
      </c>
    </row>
    <row r="161" spans="1:72">
      <c r="A161" s="3" t="s">
        <v>967</v>
      </c>
      <c r="B161" s="3" t="s">
        <v>1174</v>
      </c>
      <c r="C161" s="3" t="s">
        <v>1482</v>
      </c>
      <c r="D161" s="2" t="s">
        <v>1572</v>
      </c>
      <c r="E161" s="4" t="str">
        <f t="shared" si="10"/>
        <v>Roiphet1A3-I06-0089</v>
      </c>
      <c r="F161">
        <v>0.72</v>
      </c>
      <c r="G161">
        <v>1.3</v>
      </c>
      <c r="H161" t="s">
        <v>72</v>
      </c>
      <c r="I161" t="s">
        <v>67</v>
      </c>
      <c r="J161" t="s">
        <v>357</v>
      </c>
      <c r="K161" t="s">
        <v>89</v>
      </c>
      <c r="L161" t="s">
        <v>89</v>
      </c>
      <c r="M161">
        <v>0.83243243243243248</v>
      </c>
      <c r="N161" s="5">
        <v>44946</v>
      </c>
      <c r="O161" s="5">
        <v>44966</v>
      </c>
      <c r="P161">
        <v>0.22</v>
      </c>
      <c r="Q161" s="4">
        <v>147</v>
      </c>
      <c r="R161">
        <v>0.4</v>
      </c>
      <c r="S161" t="s">
        <v>70</v>
      </c>
      <c r="T161" s="6">
        <v>2</v>
      </c>
      <c r="U161" s="5">
        <v>45089</v>
      </c>
      <c r="V161" s="6">
        <v>2</v>
      </c>
      <c r="W161" t="s">
        <v>71</v>
      </c>
      <c r="X161" s="6">
        <v>123</v>
      </c>
      <c r="Y161">
        <v>3.52671</v>
      </c>
      <c r="Z161">
        <v>4.8982083333333337</v>
      </c>
      <c r="AA161" s="6">
        <v>26.432851014117972</v>
      </c>
      <c r="AB161" s="4">
        <v>42.37318181818182</v>
      </c>
      <c r="AC161" s="6">
        <v>37.831711738771311</v>
      </c>
      <c r="AD161">
        <v>0.36629711799999992</v>
      </c>
      <c r="AE161">
        <v>3.2278795739198962</v>
      </c>
      <c r="AF161">
        <v>11100</v>
      </c>
      <c r="AG161" s="4">
        <v>960</v>
      </c>
      <c r="AH161" s="4">
        <v>9240</v>
      </c>
      <c r="AL161">
        <v>22</v>
      </c>
      <c r="AM161">
        <v>2.9876100000000001</v>
      </c>
      <c r="AN161" t="s">
        <v>81</v>
      </c>
      <c r="AO161" t="s">
        <v>198</v>
      </c>
      <c r="AP161" s="5">
        <v>44967</v>
      </c>
      <c r="AQ161" t="s">
        <v>123</v>
      </c>
      <c r="AR161" s="5">
        <v>45079</v>
      </c>
      <c r="AS161">
        <v>256.17184855006508</v>
      </c>
      <c r="AT161" s="6"/>
      <c r="AU161">
        <v>24.952434421883282</v>
      </c>
      <c r="AV161">
        <v>95.416439117477751</v>
      </c>
      <c r="AW161">
        <v>36.290539908299799</v>
      </c>
      <c r="AX161">
        <v>156.65941344766082</v>
      </c>
      <c r="AY161">
        <v>36.328192564741641</v>
      </c>
      <c r="AZ161">
        <v>58.788658551454468</v>
      </c>
      <c r="BA161">
        <v>8.4777909156125659</v>
      </c>
      <c r="BB161">
        <v>8.476171842879058</v>
      </c>
      <c r="BC161">
        <v>20.623836380082288</v>
      </c>
      <c r="BD161">
        <v>132.69465025477001</v>
      </c>
      <c r="BE161">
        <v>-33.182215152365757</v>
      </c>
      <c r="BF161">
        <v>49.424747143938681</v>
      </c>
      <c r="BG161">
        <v>0.13750492668804637</v>
      </c>
      <c r="BH161">
        <v>49.562252070626734</v>
      </c>
      <c r="BI161">
        <v>338.9163157730577</v>
      </c>
      <c r="BJ161" s="6">
        <v>210</v>
      </c>
      <c r="BK161">
        <v>-82.744467222992625</v>
      </c>
      <c r="BL161" s="4">
        <v>-291.81574000000035</v>
      </c>
      <c r="BM161" t="s">
        <v>1573</v>
      </c>
      <c r="BN161" t="s">
        <v>65</v>
      </c>
      <c r="BO161">
        <v>6</v>
      </c>
      <c r="BP161">
        <v>2023</v>
      </c>
      <c r="BQ161" t="str">
        <f t="shared" si="11"/>
        <v>Roiphet16</v>
      </c>
      <c r="BR161">
        <f t="shared" si="12"/>
        <v>-454.65046000000035</v>
      </c>
      <c r="BS161">
        <f t="shared" si="13"/>
        <v>903.44381999999996</v>
      </c>
      <c r="BT161" s="6">
        <f t="shared" si="14"/>
        <v>-128.9163157730577</v>
      </c>
    </row>
    <row r="162" spans="1:72">
      <c r="A162" s="3" t="s">
        <v>967</v>
      </c>
      <c r="B162" s="3" t="s">
        <v>1174</v>
      </c>
      <c r="C162" s="3" t="s">
        <v>1482</v>
      </c>
      <c r="D162" s="2" t="s">
        <v>1544</v>
      </c>
      <c r="E162" s="4" t="str">
        <f t="shared" si="10"/>
        <v>Roiphet1A1-G02-0074</v>
      </c>
      <c r="F162">
        <v>1.1299999999999999</v>
      </c>
      <c r="G162">
        <v>1.5</v>
      </c>
      <c r="H162" t="s">
        <v>72</v>
      </c>
      <c r="I162" t="s">
        <v>67</v>
      </c>
      <c r="J162" t="s">
        <v>357</v>
      </c>
      <c r="K162" t="s">
        <v>89</v>
      </c>
      <c r="L162" t="s">
        <v>89</v>
      </c>
      <c r="M162">
        <v>0.32749742533470649</v>
      </c>
      <c r="N162" s="5">
        <v>44909</v>
      </c>
      <c r="O162" s="5">
        <v>44938</v>
      </c>
      <c r="P162">
        <v>0.47</v>
      </c>
      <c r="Q162" s="4">
        <v>173</v>
      </c>
      <c r="R162">
        <v>0.42</v>
      </c>
      <c r="S162" t="s">
        <v>70</v>
      </c>
      <c r="T162" s="6">
        <v>4</v>
      </c>
      <c r="U162" s="5">
        <v>45061</v>
      </c>
      <c r="V162" s="6">
        <v>2</v>
      </c>
      <c r="W162" t="s">
        <v>71</v>
      </c>
      <c r="X162" s="6">
        <v>123</v>
      </c>
      <c r="Y162">
        <v>8.9492999999999991</v>
      </c>
      <c r="Z162">
        <v>7.919734513274336</v>
      </c>
      <c r="AA162" s="6">
        <v>31.365805146771258</v>
      </c>
      <c r="AB162" s="4">
        <v>59.723829787234038</v>
      </c>
      <c r="AC162" s="6">
        <v>31.881853353378315</v>
      </c>
      <c r="AD162">
        <v>0.36613451600000002</v>
      </c>
      <c r="AE162">
        <v>2.7736834287411876</v>
      </c>
      <c r="AF162">
        <v>24275</v>
      </c>
      <c r="AG162" s="4">
        <v>3090</v>
      </c>
      <c r="AH162" s="4">
        <v>7950</v>
      </c>
      <c r="AL162">
        <v>22</v>
      </c>
      <c r="AM162">
        <v>5.0963000000000003</v>
      </c>
      <c r="AN162" t="s">
        <v>81</v>
      </c>
      <c r="AO162" t="s">
        <v>176</v>
      </c>
      <c r="AP162" s="5">
        <v>44942</v>
      </c>
      <c r="AQ162" t="s">
        <v>116</v>
      </c>
      <c r="AR162" s="5">
        <v>45058</v>
      </c>
      <c r="AS162">
        <v>249.70984769758533</v>
      </c>
      <c r="AT162" s="6"/>
      <c r="AU162">
        <v>23.633133317689659</v>
      </c>
      <c r="AV162">
        <v>82.759059367771783</v>
      </c>
      <c r="AW162">
        <v>28.816515258176622</v>
      </c>
      <c r="AX162">
        <v>135.20870794363807</v>
      </c>
      <c r="AY162">
        <v>25.353124825405342</v>
      </c>
      <c r="AZ162">
        <v>36.631346585766487</v>
      </c>
      <c r="BA162">
        <v>6.1697551763825116</v>
      </c>
      <c r="BB162">
        <v>5.6012939559518617</v>
      </c>
      <c r="BC162">
        <v>12.615226889253911</v>
      </c>
      <c r="BD162">
        <v>86.370747432760112</v>
      </c>
      <c r="BE162">
        <v>28.130392321187145</v>
      </c>
      <c r="BF162">
        <v>33.378113371995575</v>
      </c>
      <c r="BG162">
        <v>9.15144201222442E-2</v>
      </c>
      <c r="BH162">
        <v>33.469627792117819</v>
      </c>
      <c r="BI162">
        <v>255.04908316851603</v>
      </c>
      <c r="BJ162" s="6">
        <v>194</v>
      </c>
      <c r="BK162">
        <v>-5.3392354709306797</v>
      </c>
      <c r="BL162" s="4">
        <v>-47.782419999999924</v>
      </c>
      <c r="BM162" t="s">
        <v>1545</v>
      </c>
      <c r="BN162" t="s">
        <v>65</v>
      </c>
      <c r="BO162">
        <v>5</v>
      </c>
      <c r="BP162">
        <v>2023</v>
      </c>
      <c r="BQ162" t="str">
        <f t="shared" si="11"/>
        <v>Roiphet15</v>
      </c>
      <c r="BR162">
        <f t="shared" si="12"/>
        <v>-546.34656000000052</v>
      </c>
      <c r="BS162">
        <f t="shared" si="13"/>
        <v>2234.7283400000001</v>
      </c>
      <c r="BT162" s="6">
        <f t="shared" si="14"/>
        <v>-61.049083168516034</v>
      </c>
    </row>
    <row r="163" spans="1:72">
      <c r="A163" s="3" t="s">
        <v>967</v>
      </c>
      <c r="B163" s="3" t="s">
        <v>1174</v>
      </c>
      <c r="C163" s="3" t="s">
        <v>1482</v>
      </c>
      <c r="D163" s="2" t="s">
        <v>1552</v>
      </c>
      <c r="E163" s="4" t="str">
        <f t="shared" si="10"/>
        <v>Roiphet1A5-I09-0098</v>
      </c>
      <c r="F163">
        <v>0.72</v>
      </c>
      <c r="G163">
        <v>1.3</v>
      </c>
      <c r="H163" t="s">
        <v>72</v>
      </c>
      <c r="I163" t="s">
        <v>67</v>
      </c>
      <c r="J163" t="s">
        <v>357</v>
      </c>
      <c r="K163" t="s">
        <v>89</v>
      </c>
      <c r="L163" t="s">
        <v>89</v>
      </c>
      <c r="M163">
        <v>0.51200000000000001</v>
      </c>
      <c r="N163" s="5">
        <v>44925</v>
      </c>
      <c r="O163" s="5">
        <v>44953</v>
      </c>
      <c r="P163">
        <v>0.26</v>
      </c>
      <c r="Q163" s="4">
        <v>174</v>
      </c>
      <c r="R163">
        <v>0.30099999999999999</v>
      </c>
      <c r="S163" t="s">
        <v>70</v>
      </c>
      <c r="T163" s="6">
        <v>3</v>
      </c>
      <c r="U163" s="5">
        <v>45083</v>
      </c>
      <c r="V163" s="6">
        <v>2</v>
      </c>
      <c r="W163" t="s">
        <v>71</v>
      </c>
      <c r="X163" s="6">
        <v>130</v>
      </c>
      <c r="Y163">
        <v>3.9381200000000001</v>
      </c>
      <c r="Z163">
        <v>5.469611111111111</v>
      </c>
      <c r="AA163" s="6">
        <v>30.607244065696324</v>
      </c>
      <c r="AB163" s="4">
        <v>46.359615384615381</v>
      </c>
      <c r="AC163" s="6">
        <v>32.672003982245819</v>
      </c>
      <c r="AD163">
        <v>0.36398498200000001</v>
      </c>
      <c r="AE163">
        <v>3.4003735877115036</v>
      </c>
      <c r="AF163">
        <v>13125</v>
      </c>
      <c r="AG163" s="4">
        <v>750</v>
      </c>
      <c r="AH163" s="4">
        <v>6720</v>
      </c>
      <c r="AL163">
        <v>21</v>
      </c>
      <c r="AM163">
        <v>2.6465900000000002</v>
      </c>
      <c r="AN163" t="s">
        <v>81</v>
      </c>
      <c r="AO163" t="s">
        <v>131</v>
      </c>
      <c r="AP163" s="5">
        <v>44956</v>
      </c>
      <c r="AQ163" t="s">
        <v>123</v>
      </c>
      <c r="AR163" s="5">
        <v>45079</v>
      </c>
      <c r="AS163">
        <v>257.67591642712767</v>
      </c>
      <c r="AT163" s="6"/>
      <c r="AU163">
        <v>26.408540115588149</v>
      </c>
      <c r="AV163">
        <v>101.58207977410542</v>
      </c>
      <c r="AW163">
        <v>27.092534000995396</v>
      </c>
      <c r="AX163">
        <v>155.08315389068898</v>
      </c>
      <c r="AY163">
        <v>37.119295501406768</v>
      </c>
      <c r="AZ163">
        <v>54.824893604054729</v>
      </c>
      <c r="BA163">
        <v>8.9153504717987264</v>
      </c>
      <c r="BB163">
        <v>7.785334118818116</v>
      </c>
      <c r="BC163">
        <v>19.222629071739814</v>
      </c>
      <c r="BD163">
        <v>127.86750276781817</v>
      </c>
      <c r="BE163">
        <v>-25.274740231379468</v>
      </c>
      <c r="BF163">
        <v>49.858589885529142</v>
      </c>
      <c r="BG163">
        <v>0.13760880826384161</v>
      </c>
      <c r="BH163">
        <v>49.996198693792984</v>
      </c>
      <c r="BI163">
        <v>332.94685535230002</v>
      </c>
      <c r="BJ163" s="6">
        <v>197</v>
      </c>
      <c r="BK163">
        <v>-75.270938925172331</v>
      </c>
      <c r="BL163" s="4">
        <v>-296.42598999999962</v>
      </c>
      <c r="BM163" t="s">
        <v>1553</v>
      </c>
      <c r="BN163" t="s">
        <v>65</v>
      </c>
      <c r="BO163">
        <v>6</v>
      </c>
      <c r="BP163">
        <v>2023</v>
      </c>
      <c r="BQ163" t="str">
        <f t="shared" si="11"/>
        <v>Roiphet16</v>
      </c>
      <c r="BR163">
        <f t="shared" si="12"/>
        <v>-535.37502999999981</v>
      </c>
      <c r="BS163">
        <f t="shared" si="13"/>
        <v>1014.75868</v>
      </c>
      <c r="BT163" s="6">
        <f t="shared" si="14"/>
        <v>-135.94685535230002</v>
      </c>
    </row>
    <row r="164" spans="1:72">
      <c r="A164" s="3" t="s">
        <v>967</v>
      </c>
      <c r="B164" s="3" t="s">
        <v>1174</v>
      </c>
      <c r="C164" s="3" t="s">
        <v>1482</v>
      </c>
      <c r="D164" s="2" t="s">
        <v>1538</v>
      </c>
      <c r="E164" s="4" t="str">
        <f t="shared" si="10"/>
        <v>Roiphet1A3-I05-0084</v>
      </c>
      <c r="F164">
        <v>0.72</v>
      </c>
      <c r="G164">
        <v>1.3</v>
      </c>
      <c r="H164" t="s">
        <v>72</v>
      </c>
      <c r="I164" t="s">
        <v>67</v>
      </c>
      <c r="J164" t="s">
        <v>357</v>
      </c>
      <c r="K164" t="s">
        <v>89</v>
      </c>
      <c r="L164" t="s">
        <v>89</v>
      </c>
      <c r="M164">
        <v>0.64595185995623627</v>
      </c>
      <c r="N164" s="5">
        <v>44944</v>
      </c>
      <c r="O164" s="5">
        <v>44969</v>
      </c>
      <c r="P164">
        <v>0.26</v>
      </c>
      <c r="Q164" s="4">
        <v>174</v>
      </c>
      <c r="R164">
        <v>0.45</v>
      </c>
      <c r="S164" t="s">
        <v>70</v>
      </c>
      <c r="T164" s="6">
        <v>2</v>
      </c>
      <c r="U164" s="5">
        <v>45083</v>
      </c>
      <c r="V164" s="6">
        <v>2</v>
      </c>
      <c r="W164" t="s">
        <v>71</v>
      </c>
      <c r="X164" s="6">
        <v>114</v>
      </c>
      <c r="Y164">
        <v>3.9103600000000003</v>
      </c>
      <c r="Z164">
        <v>5.431055555555556</v>
      </c>
      <c r="AA164" s="6">
        <v>31.668439734449002</v>
      </c>
      <c r="AB164" s="4">
        <v>47.628846153846155</v>
      </c>
      <c r="AC164" s="6">
        <v>31.577179311180199</v>
      </c>
      <c r="AD164">
        <v>0.36154970800000003</v>
      </c>
      <c r="AE164">
        <v>3.0118417445220067</v>
      </c>
      <c r="AF164">
        <v>11425</v>
      </c>
      <c r="AG164" s="4">
        <v>960</v>
      </c>
      <c r="AH164" s="4">
        <v>7380</v>
      </c>
      <c r="AL164">
        <v>23.999999999999996</v>
      </c>
      <c r="AM164">
        <v>3.3748800000000001</v>
      </c>
      <c r="AN164" t="s">
        <v>81</v>
      </c>
      <c r="AO164" t="s">
        <v>170</v>
      </c>
      <c r="AP164" s="5">
        <v>44970</v>
      </c>
      <c r="AQ164" t="s">
        <v>123</v>
      </c>
      <c r="AR164" s="5">
        <v>45079</v>
      </c>
      <c r="AS164">
        <v>223.9359189435244</v>
      </c>
      <c r="AT164" s="6"/>
      <c r="AU164">
        <v>29.920518826911078</v>
      </c>
      <c r="AV164">
        <v>88.648947922953411</v>
      </c>
      <c r="AW164">
        <v>26.75228367720619</v>
      </c>
      <c r="AX164">
        <v>145.32175042707067</v>
      </c>
      <c r="AY164">
        <v>31.895285856033713</v>
      </c>
      <c r="AZ164">
        <v>51.837066152477007</v>
      </c>
      <c r="BA164">
        <v>7.1478252641700495</v>
      </c>
      <c r="BB164">
        <v>7.3348310641475472</v>
      </c>
      <c r="BC164">
        <v>17.743445616260395</v>
      </c>
      <c r="BD164">
        <v>115.95845395308871</v>
      </c>
      <c r="BE164">
        <v>-37.344285436634976</v>
      </c>
      <c r="BF164">
        <v>43.494519686167003</v>
      </c>
      <c r="BG164">
        <v>0.12045949733528369</v>
      </c>
      <c r="BH164">
        <v>43.614979183502292</v>
      </c>
      <c r="BI164">
        <v>304.89518356366165</v>
      </c>
      <c r="BJ164" s="6">
        <v>194</v>
      </c>
      <c r="BK164">
        <v>-80.959264620137247</v>
      </c>
      <c r="BL164" s="4">
        <v>-316.57986999999986</v>
      </c>
      <c r="BM164" t="s">
        <v>1539</v>
      </c>
      <c r="BN164" t="s">
        <v>65</v>
      </c>
      <c r="BO164">
        <v>6</v>
      </c>
      <c r="BP164">
        <v>2023</v>
      </c>
      <c r="BQ164" t="str">
        <f t="shared" si="11"/>
        <v>Roiphet16</v>
      </c>
      <c r="BR164">
        <f t="shared" si="12"/>
        <v>-433.64008999999999</v>
      </c>
      <c r="BS164">
        <f t="shared" si="13"/>
        <v>875.67006000000015</v>
      </c>
      <c r="BT164" s="6">
        <f t="shared" si="14"/>
        <v>-110.89518356366165</v>
      </c>
    </row>
    <row r="165" spans="1:72">
      <c r="A165" s="3" t="s">
        <v>967</v>
      </c>
      <c r="B165" s="3" t="s">
        <v>1174</v>
      </c>
      <c r="C165" s="3" t="s">
        <v>1482</v>
      </c>
      <c r="D165" s="2" t="s">
        <v>1485</v>
      </c>
      <c r="E165" s="4" t="str">
        <f t="shared" si="10"/>
        <v>Roiphet1A1-G01-0064</v>
      </c>
      <c r="F165">
        <v>1.1299999999999999</v>
      </c>
      <c r="G165">
        <v>1.5</v>
      </c>
      <c r="H165" t="s">
        <v>72</v>
      </c>
      <c r="I165" t="s">
        <v>67</v>
      </c>
      <c r="J165" t="s">
        <v>357</v>
      </c>
      <c r="K165" t="s">
        <v>89</v>
      </c>
      <c r="L165" t="s">
        <v>89</v>
      </c>
      <c r="M165">
        <v>0.77777777777777779</v>
      </c>
      <c r="N165" s="5">
        <v>45089</v>
      </c>
      <c r="O165" s="5">
        <v>45120</v>
      </c>
      <c r="P165">
        <v>0.55000000000000004</v>
      </c>
      <c r="Q165" s="4">
        <v>203</v>
      </c>
      <c r="R165">
        <v>0.76</v>
      </c>
      <c r="S165" t="s">
        <v>70</v>
      </c>
      <c r="T165" s="6">
        <v>2</v>
      </c>
      <c r="U165" s="5">
        <v>45197</v>
      </c>
      <c r="V165" s="6">
        <v>2</v>
      </c>
      <c r="W165" t="s">
        <v>71</v>
      </c>
      <c r="X165" s="6">
        <v>77</v>
      </c>
      <c r="Y165">
        <v>5.19963</v>
      </c>
      <c r="Z165">
        <v>4.6014424778761063</v>
      </c>
      <c r="AA165" s="6">
        <v>44.099291680369561</v>
      </c>
      <c r="AB165" s="4">
        <v>41.690909090909088</v>
      </c>
      <c r="AC165" s="6">
        <v>22.676101177496733</v>
      </c>
      <c r="AD165">
        <v>0.361187384</v>
      </c>
      <c r="AE165">
        <v>2.5409532652817948</v>
      </c>
      <c r="AF165">
        <v>12150</v>
      </c>
      <c r="AG165" s="4">
        <v>0</v>
      </c>
      <c r="AH165" s="4">
        <v>9450</v>
      </c>
      <c r="AL165">
        <v>35</v>
      </c>
      <c r="AM165">
        <v>3.9807299999999999</v>
      </c>
      <c r="AN165" t="s">
        <v>85</v>
      </c>
      <c r="AO165" t="s">
        <v>94</v>
      </c>
      <c r="AP165" s="5">
        <v>45121</v>
      </c>
      <c r="AQ165" t="s">
        <v>92</v>
      </c>
      <c r="AR165" s="5">
        <v>45195</v>
      </c>
      <c r="AS165">
        <v>157.64171296803812</v>
      </c>
      <c r="AT165" s="6"/>
      <c r="AU165">
        <v>52.888378596169339</v>
      </c>
      <c r="AV165">
        <v>76.645588243778889</v>
      </c>
      <c r="AW165">
        <v>40.827130007327455</v>
      </c>
      <c r="AX165">
        <v>170.36109684727569</v>
      </c>
      <c r="AY165">
        <v>31.894525187369098</v>
      </c>
      <c r="AZ165">
        <v>44.812371264878458</v>
      </c>
      <c r="BA165">
        <v>5.9994172662285585</v>
      </c>
      <c r="BB165">
        <v>9.9097108832743892</v>
      </c>
      <c r="BC165">
        <v>19.252912226446881</v>
      </c>
      <c r="BD165">
        <v>111.86893682819738</v>
      </c>
      <c r="BE165">
        <v>-124.58832070743495</v>
      </c>
      <c r="BF165">
        <v>38.699161286476155</v>
      </c>
      <c r="BG165">
        <v>0.12077590136221231</v>
      </c>
      <c r="BH165">
        <v>38.819937187838363</v>
      </c>
      <c r="BI165">
        <v>321.04997086331144</v>
      </c>
      <c r="BJ165" s="6">
        <v>177</v>
      </c>
      <c r="BK165">
        <v>-163.40825789527332</v>
      </c>
      <c r="BL165" s="4">
        <v>-849.66247999999996</v>
      </c>
      <c r="BM165" t="s">
        <v>1486</v>
      </c>
      <c r="BN165" t="s">
        <v>65</v>
      </c>
      <c r="BO165">
        <v>9</v>
      </c>
      <c r="BP165">
        <v>2023</v>
      </c>
      <c r="BQ165" t="str">
        <f t="shared" si="11"/>
        <v>Roiphet19</v>
      </c>
      <c r="BR165">
        <f t="shared" si="12"/>
        <v>-749.00655000000006</v>
      </c>
      <c r="BS165">
        <f t="shared" si="13"/>
        <v>819.67858000000001</v>
      </c>
      <c r="BT165" s="6">
        <f t="shared" si="14"/>
        <v>-144.04997086331144</v>
      </c>
    </row>
    <row r="166" spans="1:72">
      <c r="A166" s="3" t="s">
        <v>967</v>
      </c>
      <c r="B166" s="3" t="s">
        <v>1174</v>
      </c>
      <c r="C166" s="3" t="s">
        <v>1482</v>
      </c>
      <c r="D166" s="2" t="s">
        <v>1489</v>
      </c>
      <c r="E166" s="4" t="str">
        <f t="shared" si="10"/>
        <v>Roiphet1A4-I08-0100</v>
      </c>
      <c r="F166">
        <v>0.72</v>
      </c>
      <c r="G166">
        <v>1.3</v>
      </c>
      <c r="H166" t="s">
        <v>72</v>
      </c>
      <c r="I166" t="s">
        <v>67</v>
      </c>
      <c r="J166" t="s">
        <v>357</v>
      </c>
      <c r="K166" t="s">
        <v>89</v>
      </c>
      <c r="L166" t="s">
        <v>89</v>
      </c>
      <c r="M166">
        <v>0.43250883392226147</v>
      </c>
      <c r="N166" s="5">
        <v>45083</v>
      </c>
      <c r="O166" s="5">
        <v>45114</v>
      </c>
      <c r="P166">
        <v>0.25</v>
      </c>
      <c r="Q166" s="4">
        <v>167</v>
      </c>
      <c r="R166">
        <v>0.62</v>
      </c>
      <c r="S166" t="s">
        <v>70</v>
      </c>
      <c r="T166" s="6">
        <v>2</v>
      </c>
      <c r="U166" s="5">
        <v>45199</v>
      </c>
      <c r="V166" s="6">
        <v>2</v>
      </c>
      <c r="W166" t="s">
        <v>71</v>
      </c>
      <c r="X166" s="6">
        <v>85</v>
      </c>
      <c r="Y166">
        <v>2.79779</v>
      </c>
      <c r="Z166">
        <v>3.8858194444444445</v>
      </c>
      <c r="AA166" s="6">
        <v>42.637939230607017</v>
      </c>
      <c r="AB166" s="4">
        <v>47.716799999999999</v>
      </c>
      <c r="AC166" s="6">
        <v>23.453291084062634</v>
      </c>
      <c r="AD166">
        <v>0.36035294099999998</v>
      </c>
      <c r="AE166">
        <v>2.6770950397118196</v>
      </c>
      <c r="AF166">
        <v>7075</v>
      </c>
      <c r="AG166" s="4">
        <v>750</v>
      </c>
      <c r="AH166" s="4">
        <v>3060</v>
      </c>
      <c r="AL166">
        <v>32</v>
      </c>
      <c r="AM166">
        <v>2.2395900000000002</v>
      </c>
      <c r="AN166" t="s">
        <v>85</v>
      </c>
      <c r="AO166" t="s">
        <v>438</v>
      </c>
      <c r="AP166" s="5">
        <v>45117</v>
      </c>
      <c r="AQ166" t="s">
        <v>92</v>
      </c>
      <c r="AR166" s="5">
        <v>45195</v>
      </c>
      <c r="AS166">
        <v>159.58300301309248</v>
      </c>
      <c r="AT166" s="6"/>
      <c r="AU166">
        <v>44.678120945460527</v>
      </c>
      <c r="AV166">
        <v>82.303936321167782</v>
      </c>
      <c r="AW166">
        <v>42.051000968621658</v>
      </c>
      <c r="AX166">
        <v>169.03305823524997</v>
      </c>
      <c r="AY166">
        <v>40.502353643411404</v>
      </c>
      <c r="AZ166">
        <v>57.681845313622539</v>
      </c>
      <c r="BA166">
        <v>8.1287587703151392</v>
      </c>
      <c r="BB166">
        <v>12.437198646074222</v>
      </c>
      <c r="BC166">
        <v>24.62350998466647</v>
      </c>
      <c r="BD166">
        <v>143.37366635808979</v>
      </c>
      <c r="BE166">
        <v>-152.82372158024728</v>
      </c>
      <c r="BF166">
        <v>49.219072911119135</v>
      </c>
      <c r="BG166">
        <v>0.15346755832281908</v>
      </c>
      <c r="BH166">
        <v>49.372540469441951</v>
      </c>
      <c r="BI166">
        <v>361.77926506278169</v>
      </c>
      <c r="BJ166" s="6">
        <v>180</v>
      </c>
      <c r="BK166">
        <v>-202.19626204968921</v>
      </c>
      <c r="BL166" s="4">
        <v>-565.70267999999999</v>
      </c>
      <c r="BM166" t="s">
        <v>1490</v>
      </c>
      <c r="BN166" t="s">
        <v>65</v>
      </c>
      <c r="BO166">
        <v>9</v>
      </c>
      <c r="BP166">
        <v>2023</v>
      </c>
      <c r="BQ166" t="str">
        <f t="shared" si="11"/>
        <v>Roiphet19</v>
      </c>
      <c r="BR166">
        <f t="shared" si="12"/>
        <v>-508.58020999999997</v>
      </c>
      <c r="BS166">
        <f t="shared" si="13"/>
        <v>446.47973000000002</v>
      </c>
      <c r="BT166" s="6">
        <f t="shared" si="14"/>
        <v>-181.77926506278169</v>
      </c>
    </row>
    <row r="167" spans="1:72">
      <c r="A167" s="3" t="s">
        <v>967</v>
      </c>
      <c r="B167" s="3" t="s">
        <v>1174</v>
      </c>
      <c r="C167" s="3" t="s">
        <v>1482</v>
      </c>
      <c r="D167" s="2" t="s">
        <v>1536</v>
      </c>
      <c r="E167" s="4" t="str">
        <f t="shared" si="10"/>
        <v>Roiphet1A4-I07-0094</v>
      </c>
      <c r="F167">
        <v>0.72</v>
      </c>
      <c r="G167">
        <v>1.3</v>
      </c>
      <c r="H167" t="s">
        <v>72</v>
      </c>
      <c r="I167" t="s">
        <v>67</v>
      </c>
      <c r="J167" t="s">
        <v>357</v>
      </c>
      <c r="K167" t="s">
        <v>89</v>
      </c>
      <c r="L167" t="s">
        <v>89</v>
      </c>
      <c r="M167">
        <v>0.44761904761904764</v>
      </c>
      <c r="N167" s="5">
        <v>44926</v>
      </c>
      <c r="O167" s="5">
        <v>44953</v>
      </c>
      <c r="P167">
        <v>0.26</v>
      </c>
      <c r="Q167" s="4">
        <v>174</v>
      </c>
      <c r="R167">
        <v>0.81</v>
      </c>
      <c r="S167" t="s">
        <v>70</v>
      </c>
      <c r="T167" s="6">
        <v>3</v>
      </c>
      <c r="U167" s="5">
        <v>45072</v>
      </c>
      <c r="V167" s="6">
        <v>2</v>
      </c>
      <c r="W167" t="s">
        <v>71</v>
      </c>
      <c r="X167" s="6">
        <v>119</v>
      </c>
      <c r="Y167">
        <v>5.1187899999999997</v>
      </c>
      <c r="Z167">
        <v>7.109430555555555</v>
      </c>
      <c r="AA167" s="6">
        <v>32.04429171737852</v>
      </c>
      <c r="AB167" s="4">
        <v>63.087692307692308</v>
      </c>
      <c r="AC167" s="6">
        <v>31.206806155046699</v>
      </c>
      <c r="AD167">
        <v>0.358556814</v>
      </c>
      <c r="AE167">
        <v>2.5671377839896174</v>
      </c>
      <c r="AF167">
        <v>12600</v>
      </c>
      <c r="AG167" s="4">
        <v>0</v>
      </c>
      <c r="AH167" s="4">
        <v>5640</v>
      </c>
      <c r="AL167">
        <v>23</v>
      </c>
      <c r="AM167">
        <v>3.5465399999999998</v>
      </c>
      <c r="AN167" t="s">
        <v>81</v>
      </c>
      <c r="AO167" t="s">
        <v>198</v>
      </c>
      <c r="AP167" s="5">
        <v>44963</v>
      </c>
      <c r="AQ167" t="s">
        <v>144</v>
      </c>
      <c r="AR167" s="5">
        <v>45068</v>
      </c>
      <c r="AS167">
        <v>242.26223775540706</v>
      </c>
      <c r="AT167" s="6"/>
      <c r="AU167">
        <v>27.93628963094794</v>
      </c>
      <c r="AV167">
        <v>74.295800374697919</v>
      </c>
      <c r="AW167">
        <v>17.529472785560653</v>
      </c>
      <c r="AX167">
        <v>119.76156279120653</v>
      </c>
      <c r="AY167">
        <v>26.442768701196965</v>
      </c>
      <c r="AZ167">
        <v>39.596092045190368</v>
      </c>
      <c r="BA167">
        <v>6.2111592778762166</v>
      </c>
      <c r="BB167">
        <v>5.5000908417809677</v>
      </c>
      <c r="BC167">
        <v>13.365207402530677</v>
      </c>
      <c r="BD167">
        <v>91.11531826857518</v>
      </c>
      <c r="BE167">
        <v>31.385356695625347</v>
      </c>
      <c r="BF167">
        <v>35.541868293092698</v>
      </c>
      <c r="BG167">
        <v>9.7747709908005603E-2</v>
      </c>
      <c r="BH167">
        <v>35.639616003000711</v>
      </c>
      <c r="BI167">
        <v>246.51649706278241</v>
      </c>
      <c r="BJ167" s="6">
        <v>192</v>
      </c>
      <c r="BK167">
        <v>-4.2542593073753592</v>
      </c>
      <c r="BL167" s="4">
        <v>-21.776659999999914</v>
      </c>
      <c r="BM167" t="s">
        <v>1537</v>
      </c>
      <c r="BN167" t="s">
        <v>65</v>
      </c>
      <c r="BO167">
        <v>5</v>
      </c>
      <c r="BP167">
        <v>2023</v>
      </c>
      <c r="BQ167" t="str">
        <f t="shared" si="11"/>
        <v>Roiphet15</v>
      </c>
      <c r="BR167">
        <f t="shared" si="12"/>
        <v>-279.05849999999992</v>
      </c>
      <c r="BS167">
        <f t="shared" si="13"/>
        <v>1240.08952</v>
      </c>
      <c r="BT167" s="6">
        <f t="shared" si="14"/>
        <v>-54.516497062782406</v>
      </c>
    </row>
    <row r="168" spans="1:72">
      <c r="A168" s="3" t="s">
        <v>967</v>
      </c>
      <c r="B168" s="3" t="s">
        <v>1174</v>
      </c>
      <c r="C168" s="3" t="s">
        <v>1482</v>
      </c>
      <c r="D168" s="2" t="s">
        <v>1497</v>
      </c>
      <c r="E168" s="4" t="str">
        <f t="shared" si="10"/>
        <v>Roiphet1A1-G01-0062</v>
      </c>
      <c r="F168">
        <v>1.1299999999999999</v>
      </c>
      <c r="G168">
        <v>1.5</v>
      </c>
      <c r="H168" t="s">
        <v>72</v>
      </c>
      <c r="I168" t="s">
        <v>67</v>
      </c>
      <c r="J168" t="s">
        <v>357</v>
      </c>
      <c r="K168" t="s">
        <v>89</v>
      </c>
      <c r="L168" t="s">
        <v>89</v>
      </c>
      <c r="M168">
        <v>0.47923930269413628</v>
      </c>
      <c r="N168" s="5">
        <v>44784</v>
      </c>
      <c r="O168" s="5">
        <v>44840</v>
      </c>
      <c r="P168">
        <v>0.47</v>
      </c>
      <c r="Q168" s="4">
        <v>173</v>
      </c>
      <c r="R168">
        <v>0.83099999999999996</v>
      </c>
      <c r="S168" t="s">
        <v>70</v>
      </c>
      <c r="T168" s="6">
        <v>3</v>
      </c>
      <c r="U168" s="5">
        <v>44942</v>
      </c>
      <c r="V168" s="6">
        <v>2</v>
      </c>
      <c r="W168" t="s">
        <v>71</v>
      </c>
      <c r="X168" s="6">
        <v>102.00000000000001</v>
      </c>
      <c r="Y168">
        <v>5.4536999999999995</v>
      </c>
      <c r="Z168">
        <v>4.8262831858407083</v>
      </c>
      <c r="AA168" s="6">
        <v>39.791334323486808</v>
      </c>
      <c r="AB168" s="4">
        <v>46.172340425531914</v>
      </c>
      <c r="AC168" s="6">
        <v>25.131099949311093</v>
      </c>
      <c r="AD168">
        <v>0.35496114699999998</v>
      </c>
      <c r="AE168">
        <v>3.1155324351120011</v>
      </c>
      <c r="AF168">
        <v>15775</v>
      </c>
      <c r="AG168" s="4">
        <v>2340</v>
      </c>
      <c r="AH168" s="4">
        <v>7560</v>
      </c>
      <c r="AL168">
        <v>27</v>
      </c>
      <c r="AM168">
        <v>3.4702600000000001</v>
      </c>
      <c r="AN168" t="s">
        <v>81</v>
      </c>
      <c r="AO168" t="s">
        <v>101</v>
      </c>
      <c r="AP168" s="5">
        <v>44841</v>
      </c>
      <c r="AQ168" t="s">
        <v>97</v>
      </c>
      <c r="AR168" s="5">
        <v>44935</v>
      </c>
      <c r="AS168">
        <v>255.87500595925704</v>
      </c>
      <c r="AT168" s="6"/>
      <c r="AU168">
        <v>47.399013513761304</v>
      </c>
      <c r="AV168">
        <v>96.587474558556579</v>
      </c>
      <c r="AW168">
        <v>42.452294772356389</v>
      </c>
      <c r="AX168">
        <v>186.43878284467428</v>
      </c>
      <c r="AY168">
        <v>56.371094853035551</v>
      </c>
      <c r="AZ168">
        <v>55.199624108403469</v>
      </c>
      <c r="BA168">
        <v>13.928188202504723</v>
      </c>
      <c r="BB168">
        <v>10.4028677778389</v>
      </c>
      <c r="BC168">
        <v>22.228866640996021</v>
      </c>
      <c r="BD168">
        <v>158.13064158277868</v>
      </c>
      <c r="BE168">
        <v>-88.69441846819592</v>
      </c>
      <c r="BF168">
        <v>65.9006619359334</v>
      </c>
      <c r="BG168">
        <v>0.17780772686433066</v>
      </c>
      <c r="BH168">
        <v>66.078469662797744</v>
      </c>
      <c r="BI168">
        <v>410.64789409025065</v>
      </c>
      <c r="BJ168" s="6">
        <v>183</v>
      </c>
      <c r="BK168">
        <v>-154.77288813099364</v>
      </c>
      <c r="BL168" s="4">
        <v>-844.08489999999995</v>
      </c>
      <c r="BM168" t="s">
        <v>1175</v>
      </c>
      <c r="BN168" t="s">
        <v>65</v>
      </c>
      <c r="BO168">
        <v>1</v>
      </c>
      <c r="BP168">
        <v>2023</v>
      </c>
      <c r="BQ168" t="str">
        <f t="shared" si="11"/>
        <v>Roiphet11</v>
      </c>
      <c r="BR168">
        <f t="shared" si="12"/>
        <v>-1241.5233199999998</v>
      </c>
      <c r="BS168">
        <f t="shared" si="13"/>
        <v>1395.46552</v>
      </c>
      <c r="BT168" s="6">
        <f t="shared" si="14"/>
        <v>-227.64789409025065</v>
      </c>
    </row>
    <row r="169" spans="1:72">
      <c r="A169" s="3" t="s">
        <v>967</v>
      </c>
      <c r="B169" s="3" t="s">
        <v>1174</v>
      </c>
      <c r="C169" s="3" t="s">
        <v>1482</v>
      </c>
      <c r="D169" s="2" t="s">
        <v>1556</v>
      </c>
      <c r="E169" s="4" t="str">
        <f t="shared" si="10"/>
        <v>Roiphet1A5-G10-0068</v>
      </c>
      <c r="F169">
        <v>1.1299999999999999</v>
      </c>
      <c r="G169">
        <v>1.5</v>
      </c>
      <c r="H169" t="s">
        <v>72</v>
      </c>
      <c r="I169" t="s">
        <v>67</v>
      </c>
      <c r="J169" t="s">
        <v>357</v>
      </c>
      <c r="K169" t="s">
        <v>89</v>
      </c>
      <c r="L169" t="s">
        <v>89</v>
      </c>
      <c r="M169">
        <v>0.46835722160970233</v>
      </c>
      <c r="N169" s="5">
        <v>44922</v>
      </c>
      <c r="O169" s="5">
        <v>44949</v>
      </c>
      <c r="P169">
        <v>0.47</v>
      </c>
      <c r="Q169" s="4">
        <v>173</v>
      </c>
      <c r="R169">
        <v>0.39300000000000002</v>
      </c>
      <c r="S169" t="s">
        <v>70</v>
      </c>
      <c r="T169" s="6">
        <v>2</v>
      </c>
      <c r="U169" s="5">
        <v>45071</v>
      </c>
      <c r="V169" s="6">
        <v>2</v>
      </c>
      <c r="W169" t="s">
        <v>71</v>
      </c>
      <c r="X169" s="6">
        <v>122</v>
      </c>
      <c r="Y169">
        <v>6.8346999999999998</v>
      </c>
      <c r="Z169">
        <v>6.0484070796460179</v>
      </c>
      <c r="AA169" s="6">
        <v>29.724640437766105</v>
      </c>
      <c r="AB169" s="4">
        <v>43.225319148936173</v>
      </c>
      <c r="AC169" s="6">
        <v>33.642122672389604</v>
      </c>
      <c r="AD169">
        <v>0.35315787599999998</v>
      </c>
      <c r="AE169">
        <v>3.4097744360902253</v>
      </c>
      <c r="AF169">
        <v>22675</v>
      </c>
      <c r="AG169" s="4">
        <v>750</v>
      </c>
      <c r="AH169" s="4">
        <v>10620</v>
      </c>
      <c r="AL169">
        <v>23</v>
      </c>
      <c r="AM169">
        <v>5.8133400000000002</v>
      </c>
      <c r="AN169" t="s">
        <v>81</v>
      </c>
      <c r="AO169" t="s">
        <v>198</v>
      </c>
      <c r="AP169" s="5">
        <v>44956</v>
      </c>
      <c r="AQ169" t="s">
        <v>123</v>
      </c>
      <c r="AR169" s="5">
        <v>45068</v>
      </c>
      <c r="AS169">
        <v>244.68485815032113</v>
      </c>
      <c r="AT169" s="6"/>
      <c r="AU169">
        <v>29.042971893426195</v>
      </c>
      <c r="AV169">
        <v>100.50510922205805</v>
      </c>
      <c r="AW169">
        <v>26.357663101526029</v>
      </c>
      <c r="AX169">
        <v>155.90574421701027</v>
      </c>
      <c r="AY169">
        <v>31.884360688837845</v>
      </c>
      <c r="AZ169">
        <v>47.311915665647369</v>
      </c>
      <c r="BA169">
        <v>7.5302251744772999</v>
      </c>
      <c r="BB169">
        <v>6.7323291439273119</v>
      </c>
      <c r="BC169">
        <v>16.107454606639646</v>
      </c>
      <c r="BD169">
        <v>109.5662852795295</v>
      </c>
      <c r="BE169">
        <v>-20.787171346218628</v>
      </c>
      <c r="BF169">
        <v>42.673546754063821</v>
      </c>
      <c r="BG169">
        <v>0.11728824966713974</v>
      </c>
      <c r="BH169">
        <v>42.790835003730962</v>
      </c>
      <c r="BI169">
        <v>308.26286450027072</v>
      </c>
      <c r="BJ169" s="6">
        <v>200</v>
      </c>
      <c r="BK169">
        <v>-63.578006349949568</v>
      </c>
      <c r="BL169" s="4">
        <v>-434.53660000000031</v>
      </c>
      <c r="BM169" t="s">
        <v>1557</v>
      </c>
      <c r="BN169" t="s">
        <v>65</v>
      </c>
      <c r="BO169">
        <v>5</v>
      </c>
      <c r="BP169">
        <v>2023</v>
      </c>
      <c r="BQ169" t="str">
        <f t="shared" si="11"/>
        <v>Roiphet15</v>
      </c>
      <c r="BR169">
        <f t="shared" si="12"/>
        <v>-739.94420000000025</v>
      </c>
      <c r="BS169">
        <f t="shared" si="13"/>
        <v>1672.3475999999998</v>
      </c>
      <c r="BT169" s="6">
        <f t="shared" si="14"/>
        <v>-108.26286450027072</v>
      </c>
    </row>
    <row r="170" spans="1:72">
      <c r="A170" s="3" t="s">
        <v>967</v>
      </c>
      <c r="B170" s="3" t="s">
        <v>1174</v>
      </c>
      <c r="C170" s="3" t="s">
        <v>1482</v>
      </c>
      <c r="D170" s="2" t="s">
        <v>1487</v>
      </c>
      <c r="E170" s="4" t="str">
        <f t="shared" si="10"/>
        <v>Roiphet1A3-G05-0075</v>
      </c>
      <c r="F170">
        <v>1.1299999999999999</v>
      </c>
      <c r="G170">
        <v>1.5</v>
      </c>
      <c r="H170" t="s">
        <v>72</v>
      </c>
      <c r="I170" t="s">
        <v>67</v>
      </c>
      <c r="J170" t="s">
        <v>357</v>
      </c>
      <c r="K170" t="s">
        <v>89</v>
      </c>
      <c r="L170" t="s">
        <v>89</v>
      </c>
      <c r="M170">
        <v>0.98886414253897548</v>
      </c>
      <c r="N170" s="5">
        <v>44819</v>
      </c>
      <c r="O170" s="5">
        <v>44853</v>
      </c>
      <c r="P170">
        <v>0.47</v>
      </c>
      <c r="Q170" s="4">
        <v>173</v>
      </c>
      <c r="R170">
        <v>0.35</v>
      </c>
      <c r="S170" t="s">
        <v>70</v>
      </c>
      <c r="T170" s="6">
        <v>3</v>
      </c>
      <c r="U170" s="5">
        <v>44942</v>
      </c>
      <c r="V170" s="6">
        <v>2</v>
      </c>
      <c r="W170" t="s">
        <v>71</v>
      </c>
      <c r="X170" s="6">
        <v>89</v>
      </c>
      <c r="Y170">
        <v>5.7762799999999999</v>
      </c>
      <c r="Z170">
        <v>5.1117522123893808</v>
      </c>
      <c r="AA170" s="6">
        <v>43.166190004639667</v>
      </c>
      <c r="AB170" s="4">
        <v>53.051063829787239</v>
      </c>
      <c r="AC170" s="6">
        <v>23.166278976497953</v>
      </c>
      <c r="AD170">
        <v>0.34719101099999999</v>
      </c>
      <c r="AE170">
        <v>2.0002494743219645</v>
      </c>
      <c r="AF170">
        <v>11225</v>
      </c>
      <c r="AG170" s="4">
        <v>2340</v>
      </c>
      <c r="AH170" s="4">
        <v>11100</v>
      </c>
      <c r="AL170">
        <v>32</v>
      </c>
      <c r="AM170">
        <v>3.2368399999999999</v>
      </c>
      <c r="AN170" t="s">
        <v>81</v>
      </c>
      <c r="AO170" t="s">
        <v>105</v>
      </c>
      <c r="AP170" s="5">
        <v>44855</v>
      </c>
      <c r="AQ170" t="s">
        <v>108</v>
      </c>
      <c r="AR170" s="5">
        <v>44935</v>
      </c>
      <c r="AS170">
        <v>242.12125104738692</v>
      </c>
      <c r="AT170" s="6"/>
      <c r="AU170">
        <v>32.54689869604659</v>
      </c>
      <c r="AV170">
        <v>64.726545458322676</v>
      </c>
      <c r="AW170">
        <v>43.804365439348501</v>
      </c>
      <c r="AX170">
        <v>141.07780959371777</v>
      </c>
      <c r="AY170">
        <v>36.918502911908703</v>
      </c>
      <c r="AZ170">
        <v>41.691240729327525</v>
      </c>
      <c r="BA170">
        <v>8.2107065446965866</v>
      </c>
      <c r="BB170">
        <v>6.7732035150650596</v>
      </c>
      <c r="BC170">
        <v>18.792941131662595</v>
      </c>
      <c r="BD170">
        <v>112.38659483266046</v>
      </c>
      <c r="BE170">
        <v>-11.343153378991317</v>
      </c>
      <c r="BF170">
        <v>42.923457657869776</v>
      </c>
      <c r="BG170">
        <v>0.11600545679918563</v>
      </c>
      <c r="BH170">
        <v>43.039463114668955</v>
      </c>
      <c r="BI170">
        <v>296.50386754104716</v>
      </c>
      <c r="BJ170" s="6">
        <v>178</v>
      </c>
      <c r="BK170">
        <v>-54.382616493660237</v>
      </c>
      <c r="BL170" s="4">
        <v>-314.12921999999975</v>
      </c>
      <c r="BM170" t="s">
        <v>1488</v>
      </c>
      <c r="BN170" t="s">
        <v>65</v>
      </c>
      <c r="BO170">
        <v>1</v>
      </c>
      <c r="BP170">
        <v>2023</v>
      </c>
      <c r="BQ170" t="str">
        <f t="shared" si="11"/>
        <v>Roiphet11</v>
      </c>
      <c r="BR170">
        <f t="shared" si="12"/>
        <v>-684.5115199999999</v>
      </c>
      <c r="BS170">
        <f t="shared" si="13"/>
        <v>1398.56014</v>
      </c>
      <c r="BT170" s="6">
        <f t="shared" si="14"/>
        <v>-118.50386754104716</v>
      </c>
    </row>
    <row r="171" spans="1:72">
      <c r="A171" s="3" t="s">
        <v>967</v>
      </c>
      <c r="B171" s="3" t="s">
        <v>1174</v>
      </c>
      <c r="C171" s="3" t="s">
        <v>1482</v>
      </c>
      <c r="D171" s="2" t="s">
        <v>1540</v>
      </c>
      <c r="E171" s="4" t="str">
        <f t="shared" si="10"/>
        <v>Roiphet1A4-G08-0069</v>
      </c>
      <c r="F171">
        <v>1.1299999999999999</v>
      </c>
      <c r="G171">
        <v>1.5</v>
      </c>
      <c r="H171" t="s">
        <v>72</v>
      </c>
      <c r="I171" t="s">
        <v>67</v>
      </c>
      <c r="J171" t="s">
        <v>357</v>
      </c>
      <c r="K171" t="s">
        <v>89</v>
      </c>
      <c r="L171" t="s">
        <v>89</v>
      </c>
      <c r="M171">
        <v>0.45890109890109892</v>
      </c>
      <c r="N171" s="5">
        <v>44920</v>
      </c>
      <c r="O171" s="5">
        <v>44948</v>
      </c>
      <c r="P171">
        <v>0.47</v>
      </c>
      <c r="Q171" s="4">
        <v>173</v>
      </c>
      <c r="R171">
        <v>0.32</v>
      </c>
      <c r="S171" t="s">
        <v>70</v>
      </c>
      <c r="T171" s="6">
        <v>2</v>
      </c>
      <c r="U171" s="5">
        <v>45081</v>
      </c>
      <c r="V171" s="6">
        <v>2</v>
      </c>
      <c r="W171" t="s">
        <v>71</v>
      </c>
      <c r="X171" s="6">
        <v>133</v>
      </c>
      <c r="Y171">
        <v>5.7237799999999996</v>
      </c>
      <c r="Z171">
        <v>5.0652920353982305</v>
      </c>
      <c r="AA171" s="6">
        <v>31.553973073737986</v>
      </c>
      <c r="AB171" s="4">
        <v>38.427234042553195</v>
      </c>
      <c r="AC171" s="6">
        <v>31.691730155917789</v>
      </c>
      <c r="AD171">
        <v>0.33935748500000001</v>
      </c>
      <c r="AE171">
        <v>4.0819036204242307</v>
      </c>
      <c r="AF171">
        <v>22750</v>
      </c>
      <c r="AG171" s="4">
        <v>750</v>
      </c>
      <c r="AH171" s="4">
        <v>10440</v>
      </c>
      <c r="AL171">
        <v>22</v>
      </c>
      <c r="AM171">
        <v>4.8273100000000007</v>
      </c>
      <c r="AN171" t="s">
        <v>81</v>
      </c>
      <c r="AO171" t="s">
        <v>198</v>
      </c>
      <c r="AP171" s="5">
        <v>44963</v>
      </c>
      <c r="AQ171" t="s">
        <v>123</v>
      </c>
      <c r="AR171" s="5">
        <v>45079</v>
      </c>
      <c r="AS171">
        <v>255.88090038401194</v>
      </c>
      <c r="AT171" s="6"/>
      <c r="AU171">
        <v>32.84542732250366</v>
      </c>
      <c r="AV171">
        <v>120.75485605666186</v>
      </c>
      <c r="AW171">
        <v>26.756473868667218</v>
      </c>
      <c r="AX171">
        <v>180.35675724783275</v>
      </c>
      <c r="AY171">
        <v>41.049540688146649</v>
      </c>
      <c r="AZ171">
        <v>60.218324254251563</v>
      </c>
      <c r="BA171">
        <v>9.7642100150599767</v>
      </c>
      <c r="BB171">
        <v>8.7401804401986105</v>
      </c>
      <c r="BC171">
        <v>21.183736971022643</v>
      </c>
      <c r="BD171">
        <v>140.95599236867946</v>
      </c>
      <c r="BE171">
        <v>-65.431849232500269</v>
      </c>
      <c r="BF171">
        <v>54.95214351355223</v>
      </c>
      <c r="BG171">
        <v>0.15136325994360372</v>
      </c>
      <c r="BH171">
        <v>55.103506773495837</v>
      </c>
      <c r="BI171">
        <v>376.41625639000802</v>
      </c>
      <c r="BJ171" s="6">
        <v>194</v>
      </c>
      <c r="BK171">
        <v>-120.53535600599606</v>
      </c>
      <c r="BL171" s="4">
        <v>-689.91786000000013</v>
      </c>
      <c r="BM171" t="s">
        <v>1541</v>
      </c>
      <c r="BN171" t="s">
        <v>65</v>
      </c>
      <c r="BO171">
        <v>6</v>
      </c>
      <c r="BP171">
        <v>2023</v>
      </c>
      <c r="BQ171" t="str">
        <f t="shared" si="11"/>
        <v>Roiphet16</v>
      </c>
      <c r="BR171">
        <f t="shared" si="12"/>
        <v>-1044.11052</v>
      </c>
      <c r="BS171">
        <f t="shared" si="13"/>
        <v>1464.6059799999998</v>
      </c>
      <c r="BT171" s="6">
        <f t="shared" si="14"/>
        <v>-182.41625639000802</v>
      </c>
    </row>
    <row r="172" spans="1:72">
      <c r="A172" s="3" t="s">
        <v>967</v>
      </c>
      <c r="B172" s="3" t="s">
        <v>1174</v>
      </c>
      <c r="C172" s="3" t="s">
        <v>1482</v>
      </c>
      <c r="D172" s="2" t="s">
        <v>1558</v>
      </c>
      <c r="E172" s="4" t="str">
        <f t="shared" si="10"/>
        <v>Roiphet1A5-G09-0083</v>
      </c>
      <c r="F172">
        <v>1.1299999999999999</v>
      </c>
      <c r="G172">
        <v>1.5</v>
      </c>
      <c r="H172" t="s">
        <v>72</v>
      </c>
      <c r="I172" t="s">
        <v>67</v>
      </c>
      <c r="J172" t="s">
        <v>357</v>
      </c>
      <c r="K172" t="s">
        <v>89</v>
      </c>
      <c r="L172" t="s">
        <v>89</v>
      </c>
      <c r="M172">
        <v>0.58240647118301314</v>
      </c>
      <c r="N172" s="5">
        <v>44924</v>
      </c>
      <c r="O172" s="5">
        <v>44953</v>
      </c>
      <c r="P172">
        <v>0.47</v>
      </c>
      <c r="Q172" s="4">
        <v>173</v>
      </c>
      <c r="R172">
        <v>0.30099999999999999</v>
      </c>
      <c r="S172" t="s">
        <v>70</v>
      </c>
      <c r="T172" s="6">
        <v>2</v>
      </c>
      <c r="U172" s="5">
        <v>45082</v>
      </c>
      <c r="V172" s="6">
        <v>2</v>
      </c>
      <c r="W172" t="s">
        <v>71</v>
      </c>
      <c r="X172" s="6">
        <v>129</v>
      </c>
      <c r="Y172">
        <v>6.8811999999999998</v>
      </c>
      <c r="Z172">
        <v>6.0895575221238945</v>
      </c>
      <c r="AA172" s="6">
        <v>29.580741731093415</v>
      </c>
      <c r="AB172" s="4">
        <v>43.308723404255318</v>
      </c>
      <c r="AC172" s="6">
        <v>33.805778404429354</v>
      </c>
      <c r="AD172">
        <v>0.33470744899999999</v>
      </c>
      <c r="AE172">
        <v>3.668560915174266</v>
      </c>
      <c r="AF172">
        <v>24725</v>
      </c>
      <c r="AG172" s="4">
        <v>750</v>
      </c>
      <c r="AH172" s="4">
        <v>14400</v>
      </c>
      <c r="AL172">
        <v>23</v>
      </c>
      <c r="AM172">
        <v>5.9932799999999995</v>
      </c>
      <c r="AN172" t="s">
        <v>81</v>
      </c>
      <c r="AO172" t="s">
        <v>131</v>
      </c>
      <c r="AP172" s="5">
        <v>44956</v>
      </c>
      <c r="AQ172" t="s">
        <v>123</v>
      </c>
      <c r="AR172" s="5">
        <v>45079</v>
      </c>
      <c r="AS172">
        <v>254.19783903970233</v>
      </c>
      <c r="AT172" s="6"/>
      <c r="AU172">
        <v>27.320816136720339</v>
      </c>
      <c r="AV172">
        <v>109.01171162006625</v>
      </c>
      <c r="AW172">
        <v>23.52442597221415</v>
      </c>
      <c r="AX172">
        <v>159.85695372900074</v>
      </c>
      <c r="AY172">
        <v>33.372052839620999</v>
      </c>
      <c r="AZ172">
        <v>49.277768412486196</v>
      </c>
      <c r="BA172">
        <v>7.9684241120734756</v>
      </c>
      <c r="BB172">
        <v>7.0170813230250539</v>
      </c>
      <c r="BC172">
        <v>17.246368365982679</v>
      </c>
      <c r="BD172">
        <v>114.88169505318841</v>
      </c>
      <c r="BE172">
        <v>-20.540809742486815</v>
      </c>
      <c r="BF172">
        <v>44.807992791954888</v>
      </c>
      <c r="BG172">
        <v>0.12357147009242574</v>
      </c>
      <c r="BH172">
        <v>44.93156426204731</v>
      </c>
      <c r="BI172">
        <v>319.67021304423645</v>
      </c>
      <c r="BJ172" s="6">
        <v>200</v>
      </c>
      <c r="BK172">
        <v>-65.472374004534132</v>
      </c>
      <c r="BL172" s="4">
        <v>-450.52850000000024</v>
      </c>
      <c r="BM172" t="s">
        <v>1559</v>
      </c>
      <c r="BN172" t="s">
        <v>65</v>
      </c>
      <c r="BO172">
        <v>6</v>
      </c>
      <c r="BP172">
        <v>2023</v>
      </c>
      <c r="BQ172" t="str">
        <f t="shared" si="11"/>
        <v>Roiphet16</v>
      </c>
      <c r="BR172">
        <f t="shared" si="12"/>
        <v>-823.47466999999983</v>
      </c>
      <c r="BS172">
        <f t="shared" si="13"/>
        <v>1749.1861699999997</v>
      </c>
      <c r="BT172" s="6">
        <f t="shared" si="14"/>
        <v>-119.67021304423645</v>
      </c>
    </row>
    <row r="173" spans="1:72">
      <c r="A173" s="3" t="s">
        <v>967</v>
      </c>
      <c r="B173" s="3" t="s">
        <v>1174</v>
      </c>
      <c r="C173" s="3" t="s">
        <v>1482</v>
      </c>
      <c r="D173" s="2" t="s">
        <v>1512</v>
      </c>
      <c r="E173" s="4" t="str">
        <f t="shared" si="10"/>
        <v>Roiphet1A4-I08-0099</v>
      </c>
      <c r="F173">
        <v>0.72</v>
      </c>
      <c r="G173">
        <v>1.3</v>
      </c>
      <c r="H173" t="s">
        <v>72</v>
      </c>
      <c r="I173" t="s">
        <v>67</v>
      </c>
      <c r="J173" t="s">
        <v>357</v>
      </c>
      <c r="K173" t="s">
        <v>89</v>
      </c>
      <c r="L173" t="s">
        <v>89</v>
      </c>
      <c r="M173">
        <v>0.56234309623430967</v>
      </c>
      <c r="N173" s="5">
        <v>44923</v>
      </c>
      <c r="O173" s="5">
        <v>44948</v>
      </c>
      <c r="P173">
        <v>0.26</v>
      </c>
      <c r="Q173" s="4">
        <v>174</v>
      </c>
      <c r="R173">
        <v>0.32</v>
      </c>
      <c r="S173" t="s">
        <v>70</v>
      </c>
      <c r="T173" s="6">
        <v>2</v>
      </c>
      <c r="U173" s="5">
        <v>45082</v>
      </c>
      <c r="V173" s="6">
        <v>2</v>
      </c>
      <c r="W173" t="s">
        <v>71</v>
      </c>
      <c r="X173" s="6">
        <v>134</v>
      </c>
      <c r="Y173">
        <v>3.4325700000000001</v>
      </c>
      <c r="Z173">
        <v>4.7674583333333338</v>
      </c>
      <c r="AA173" s="6">
        <v>35.877782536117252</v>
      </c>
      <c r="AB173" s="4">
        <v>47.366538461538461</v>
      </c>
      <c r="AC173" s="6">
        <v>27.872402621129815</v>
      </c>
      <c r="AD173">
        <v>0.322076574</v>
      </c>
      <c r="AE173">
        <v>3.5678351451168426</v>
      </c>
      <c r="AF173">
        <v>11950</v>
      </c>
      <c r="AG173" s="4">
        <v>750</v>
      </c>
      <c r="AH173" s="4">
        <v>6720</v>
      </c>
      <c r="AL173">
        <v>23</v>
      </c>
      <c r="AM173">
        <v>2.6833499999999999</v>
      </c>
      <c r="AN173" t="s">
        <v>81</v>
      </c>
      <c r="AO173" t="s">
        <v>198</v>
      </c>
      <c r="AP173" s="5">
        <v>44963</v>
      </c>
      <c r="AQ173" t="s">
        <v>123</v>
      </c>
      <c r="AR173" s="5">
        <v>45079</v>
      </c>
      <c r="AS173">
        <v>243.82031830377824</v>
      </c>
      <c r="AT173" s="6"/>
      <c r="AU173">
        <v>30.297998292824325</v>
      </c>
      <c r="AV173">
        <v>105.71114937204486</v>
      </c>
      <c r="AW173">
        <v>30.901575204584326</v>
      </c>
      <c r="AX173">
        <v>166.91072286945354</v>
      </c>
      <c r="AY173">
        <v>42.942314359211899</v>
      </c>
      <c r="AZ173">
        <v>63.274392073577523</v>
      </c>
      <c r="BA173">
        <v>10.260271458411626</v>
      </c>
      <c r="BB173">
        <v>9.0604008075581852</v>
      </c>
      <c r="BC173">
        <v>22.196654401803897</v>
      </c>
      <c r="BD173">
        <v>147.73403310056312</v>
      </c>
      <c r="BE173">
        <v>-70.824437666238424</v>
      </c>
      <c r="BF173">
        <v>57.606973783491675</v>
      </c>
      <c r="BG173">
        <v>0.15884890912639799</v>
      </c>
      <c r="BH173">
        <v>57.765822692618073</v>
      </c>
      <c r="BI173">
        <v>372.41057866263475</v>
      </c>
      <c r="BJ173" s="6">
        <v>187</v>
      </c>
      <c r="BK173">
        <v>-128.59026035885648</v>
      </c>
      <c r="BL173" s="4">
        <v>-441.39507000000009</v>
      </c>
      <c r="BM173" t="s">
        <v>1513</v>
      </c>
      <c r="BN173" t="s">
        <v>65</v>
      </c>
      <c r="BO173">
        <v>6</v>
      </c>
      <c r="BP173">
        <v>2023</v>
      </c>
      <c r="BQ173" t="str">
        <f t="shared" si="11"/>
        <v>Roiphet16</v>
      </c>
      <c r="BR173">
        <f t="shared" si="12"/>
        <v>-636.43479000000013</v>
      </c>
      <c r="BS173">
        <f t="shared" si="13"/>
        <v>836.93031000000008</v>
      </c>
      <c r="BT173" s="6">
        <f t="shared" si="14"/>
        <v>-185.41057866263475</v>
      </c>
    </row>
    <row r="174" spans="1:72">
      <c r="A174" s="3" t="s">
        <v>967</v>
      </c>
      <c r="B174" s="3" t="s">
        <v>1174</v>
      </c>
      <c r="C174" s="3" t="s">
        <v>1482</v>
      </c>
      <c r="D174" s="2" t="s">
        <v>1548</v>
      </c>
      <c r="E174" s="4" t="str">
        <f t="shared" si="10"/>
        <v>Roiphet1A3-G06-0081</v>
      </c>
      <c r="F174">
        <v>1.1299999999999999</v>
      </c>
      <c r="G174">
        <v>1.5</v>
      </c>
      <c r="H174" t="s">
        <v>72</v>
      </c>
      <c r="I174" t="s">
        <v>67</v>
      </c>
      <c r="J174" t="s">
        <v>357</v>
      </c>
      <c r="K174" t="s">
        <v>89</v>
      </c>
      <c r="L174" t="s">
        <v>89</v>
      </c>
      <c r="M174">
        <v>0.53160987074030552</v>
      </c>
      <c r="N174" s="5">
        <v>44946</v>
      </c>
      <c r="O174" s="5">
        <v>44966</v>
      </c>
      <c r="P174">
        <v>0.42</v>
      </c>
      <c r="Q174" s="4">
        <v>155</v>
      </c>
      <c r="R174">
        <v>0.41</v>
      </c>
      <c r="S174" t="s">
        <v>70</v>
      </c>
      <c r="T174" s="6">
        <v>2</v>
      </c>
      <c r="U174" s="5">
        <v>45089</v>
      </c>
      <c r="V174" s="6">
        <v>2</v>
      </c>
      <c r="W174" t="s">
        <v>71</v>
      </c>
      <c r="X174" s="6">
        <v>123.00000000000001</v>
      </c>
      <c r="Y174">
        <v>6.1950399999999997</v>
      </c>
      <c r="Z174">
        <v>5.4823362831858411</v>
      </c>
      <c r="AA174" s="6">
        <v>30.887613316459621</v>
      </c>
      <c r="AB174" s="4">
        <v>45.55952380952381</v>
      </c>
      <c r="AC174" s="6">
        <v>32.375437679644627</v>
      </c>
      <c r="AD174">
        <v>0.309362101</v>
      </c>
      <c r="AE174">
        <v>3.5323867145731911</v>
      </c>
      <c r="AF174">
        <v>21275</v>
      </c>
      <c r="AG174" s="4">
        <v>2340</v>
      </c>
      <c r="AH174" s="4">
        <v>11310</v>
      </c>
      <c r="AL174">
        <v>25.999999999999996</v>
      </c>
      <c r="AM174">
        <v>5.2183100000000007</v>
      </c>
      <c r="AN174" t="s">
        <v>81</v>
      </c>
      <c r="AO174" t="s">
        <v>198</v>
      </c>
      <c r="AP174" s="5">
        <v>44967</v>
      </c>
      <c r="AQ174" t="s">
        <v>123</v>
      </c>
      <c r="AR174" s="5">
        <v>45079</v>
      </c>
      <c r="AS174">
        <v>185.59074517678661</v>
      </c>
      <c r="AT174" s="6"/>
      <c r="AU174">
        <v>30.508277589813787</v>
      </c>
      <c r="AV174">
        <v>104.04086817841373</v>
      </c>
      <c r="AW174">
        <v>28.242048477491672</v>
      </c>
      <c r="AX174">
        <v>162.7911942457192</v>
      </c>
      <c r="AY174">
        <v>32.457519241199414</v>
      </c>
      <c r="AZ174">
        <v>52.524884423667956</v>
      </c>
      <c r="BA174">
        <v>7.5745047651024038</v>
      </c>
      <c r="BB174">
        <v>7.5730584467574058</v>
      </c>
      <c r="BC174">
        <v>18.426425010976523</v>
      </c>
      <c r="BD174">
        <v>118.55639188770371</v>
      </c>
      <c r="BE174">
        <v>-95.756840956636296</v>
      </c>
      <c r="BF174">
        <v>44.158673713164092</v>
      </c>
      <c r="BG174">
        <v>0.12285312120664273</v>
      </c>
      <c r="BH174">
        <v>44.281526834370737</v>
      </c>
      <c r="BI174">
        <v>325.62911296779356</v>
      </c>
      <c r="BJ174" s="6">
        <v>197</v>
      </c>
      <c r="BK174">
        <v>-140.03836779100698</v>
      </c>
      <c r="BL174" s="4">
        <v>-867.54328999999984</v>
      </c>
      <c r="BM174" t="s">
        <v>1549</v>
      </c>
      <c r="BN174" t="s">
        <v>65</v>
      </c>
      <c r="BO174">
        <v>6</v>
      </c>
      <c r="BP174">
        <v>2023</v>
      </c>
      <c r="BQ174" t="str">
        <f t="shared" si="11"/>
        <v>Roiphet16</v>
      </c>
      <c r="BR174">
        <f t="shared" si="12"/>
        <v>-796.86249999999973</v>
      </c>
      <c r="BS174">
        <f t="shared" si="13"/>
        <v>1149.74209</v>
      </c>
      <c r="BT174" s="6">
        <f t="shared" si="14"/>
        <v>-128.62911296779356</v>
      </c>
    </row>
    <row r="175" spans="1:72">
      <c r="A175" s="3" t="s">
        <v>967</v>
      </c>
      <c r="B175" s="3" t="s">
        <v>1174</v>
      </c>
      <c r="C175" s="3" t="s">
        <v>2777</v>
      </c>
      <c r="D175" s="2" t="s">
        <v>1892</v>
      </c>
      <c r="E175" s="4" t="str">
        <f t="shared" si="10"/>
        <v>Roiphet1D6-I12-0086</v>
      </c>
      <c r="F175">
        <v>0.72</v>
      </c>
      <c r="G175">
        <v>1.3</v>
      </c>
      <c r="H175" t="s">
        <v>72</v>
      </c>
      <c r="I175" t="s">
        <v>67</v>
      </c>
      <c r="J175" t="s">
        <v>357</v>
      </c>
      <c r="K175" t="s">
        <v>89</v>
      </c>
      <c r="L175" t="s">
        <v>89</v>
      </c>
      <c r="M175">
        <v>3.6090225563909777E-2</v>
      </c>
      <c r="N175" s="5">
        <v>45085</v>
      </c>
      <c r="O175" s="5">
        <v>45137</v>
      </c>
      <c r="P175">
        <v>0.25</v>
      </c>
      <c r="Q175" s="4">
        <v>167</v>
      </c>
      <c r="R175">
        <v>0.6</v>
      </c>
      <c r="S175" t="s">
        <v>70</v>
      </c>
      <c r="T175" s="6">
        <v>3</v>
      </c>
      <c r="U175" s="5">
        <v>45234</v>
      </c>
      <c r="V175" s="6">
        <v>2</v>
      </c>
      <c r="W175" t="s">
        <v>71</v>
      </c>
      <c r="X175" s="6">
        <v>97</v>
      </c>
      <c r="Y175">
        <v>3.84904</v>
      </c>
      <c r="Z175">
        <v>5.3458888888888891</v>
      </c>
      <c r="AA175" s="6">
        <v>36.559505746887538</v>
      </c>
      <c r="AB175" s="4">
        <v>56.287600000000005</v>
      </c>
      <c r="AC175" s="6">
        <v>27.352667372565183</v>
      </c>
      <c r="AD175">
        <v>0.40618556700000003</v>
      </c>
      <c r="AE175">
        <v>2.6966456161598686</v>
      </c>
      <c r="AF175">
        <v>9975</v>
      </c>
      <c r="AG175" s="4">
        <v>0</v>
      </c>
      <c r="AH175" s="4">
        <v>360</v>
      </c>
      <c r="AL175">
        <v>25</v>
      </c>
      <c r="AM175">
        <v>2.5981199999999998</v>
      </c>
      <c r="AN175" t="s">
        <v>81</v>
      </c>
      <c r="AO175" t="s">
        <v>438</v>
      </c>
      <c r="AP175" s="5">
        <v>45138</v>
      </c>
      <c r="AQ175" t="s">
        <v>92</v>
      </c>
      <c r="AR175" s="5">
        <v>45229</v>
      </c>
      <c r="AS175">
        <v>207.01849032486024</v>
      </c>
      <c r="AT175" s="6"/>
      <c r="AU175">
        <v>29.228067258329354</v>
      </c>
      <c r="AV175">
        <v>81.267978508926902</v>
      </c>
      <c r="AW175">
        <v>19.916638954128832</v>
      </c>
      <c r="AX175">
        <v>130.41268472138509</v>
      </c>
      <c r="AY175">
        <v>36.306543969405368</v>
      </c>
      <c r="AZ175">
        <v>54.262192650634951</v>
      </c>
      <c r="BA175">
        <v>12.988929707147758</v>
      </c>
      <c r="BB175">
        <v>5.1711777482177377</v>
      </c>
      <c r="BC175">
        <v>20.609749444017211</v>
      </c>
      <c r="BD175">
        <v>129.33859351942303</v>
      </c>
      <c r="BE175">
        <v>-52.732787915947881</v>
      </c>
      <c r="BF175">
        <v>40.787627564275766</v>
      </c>
      <c r="BG175">
        <v>0.14957495895080333</v>
      </c>
      <c r="BH175">
        <v>40.937202523226567</v>
      </c>
      <c r="BI175">
        <v>300.68848076403469</v>
      </c>
      <c r="BJ175" s="6">
        <v>186</v>
      </c>
      <c r="BK175">
        <v>-93.669990439174427</v>
      </c>
      <c r="BL175" s="4">
        <v>-360.53953999999993</v>
      </c>
      <c r="BM175" t="s">
        <v>1893</v>
      </c>
      <c r="BN175" t="s">
        <v>65</v>
      </c>
      <c r="BO175">
        <v>11</v>
      </c>
      <c r="BP175">
        <v>2023</v>
      </c>
      <c r="BQ175" t="str">
        <f t="shared" si="11"/>
        <v>Roiphet111</v>
      </c>
      <c r="BR175">
        <f t="shared" si="12"/>
        <v>-441.44055000000009</v>
      </c>
      <c r="BS175">
        <f t="shared" si="13"/>
        <v>796.82245</v>
      </c>
      <c r="BT175" s="6">
        <f t="shared" si="14"/>
        <v>-114.68848076403469</v>
      </c>
    </row>
    <row r="176" spans="1:72">
      <c r="A176" s="3" t="s">
        <v>967</v>
      </c>
      <c r="B176" s="3" t="s">
        <v>1174</v>
      </c>
      <c r="C176" s="3" t="s">
        <v>2777</v>
      </c>
      <c r="D176" s="2" t="s">
        <v>1894</v>
      </c>
      <c r="E176" s="4" t="str">
        <f t="shared" si="10"/>
        <v>Roiphet1D6-I11-0084</v>
      </c>
      <c r="F176">
        <v>0.72</v>
      </c>
      <c r="G176">
        <v>1.3</v>
      </c>
      <c r="H176" t="s">
        <v>72</v>
      </c>
      <c r="I176" t="s">
        <v>67</v>
      </c>
      <c r="J176" t="s">
        <v>357</v>
      </c>
      <c r="K176" t="s">
        <v>89</v>
      </c>
      <c r="L176" t="s">
        <v>89</v>
      </c>
      <c r="M176">
        <v>0.16695652173913045</v>
      </c>
      <c r="N176" s="5">
        <v>45082</v>
      </c>
      <c r="O176" s="5">
        <v>45135</v>
      </c>
      <c r="P176">
        <v>0.25</v>
      </c>
      <c r="Q176" s="4">
        <v>167</v>
      </c>
      <c r="R176">
        <v>1.2</v>
      </c>
      <c r="S176" t="s">
        <v>70</v>
      </c>
      <c r="T176" s="6">
        <v>2</v>
      </c>
      <c r="U176" s="5">
        <v>45232</v>
      </c>
      <c r="V176" s="6">
        <v>2</v>
      </c>
      <c r="W176" t="s">
        <v>71</v>
      </c>
      <c r="X176" s="6">
        <v>97</v>
      </c>
      <c r="Y176">
        <v>2.8666999999999998</v>
      </c>
      <c r="Z176">
        <v>3.9815277777777776</v>
      </c>
      <c r="AA176" s="6">
        <v>36.549342449506405</v>
      </c>
      <c r="AB176" s="4">
        <v>41.910399999999996</v>
      </c>
      <c r="AC176" s="6">
        <v>27.360273345040845</v>
      </c>
      <c r="AD176">
        <v>0.38413957199999998</v>
      </c>
      <c r="AE176">
        <v>3.3603459695328635</v>
      </c>
      <c r="AF176">
        <v>8625</v>
      </c>
      <c r="AG176" s="4">
        <v>0</v>
      </c>
      <c r="AH176" s="4">
        <v>1440</v>
      </c>
      <c r="AL176">
        <v>26</v>
      </c>
      <c r="AM176">
        <v>2.2366599999999996</v>
      </c>
      <c r="AN176" t="s">
        <v>81</v>
      </c>
      <c r="AO176" t="s">
        <v>438</v>
      </c>
      <c r="AP176" s="5">
        <v>45138</v>
      </c>
      <c r="AQ176" t="s">
        <v>92</v>
      </c>
      <c r="AR176" s="5">
        <v>45229</v>
      </c>
      <c r="AS176">
        <v>192.35610632434503</v>
      </c>
      <c r="AT176" s="6"/>
      <c r="AU176">
        <v>47.964558551644728</v>
      </c>
      <c r="AV176">
        <v>94.859734189137356</v>
      </c>
      <c r="AW176">
        <v>24.606156905152268</v>
      </c>
      <c r="AX176">
        <v>167.43044964593435</v>
      </c>
      <c r="AY176">
        <v>49.009435936791441</v>
      </c>
      <c r="AZ176">
        <v>72.782956012139394</v>
      </c>
      <c r="BA176">
        <v>17.418052115673074</v>
      </c>
      <c r="BB176">
        <v>6.9325775281682782</v>
      </c>
      <c r="BC176">
        <v>27.877925838071651</v>
      </c>
      <c r="BD176">
        <v>174.02094743084382</v>
      </c>
      <c r="BE176">
        <v>-149.09529075243313</v>
      </c>
      <c r="BF176">
        <v>55.180078138626293</v>
      </c>
      <c r="BG176">
        <v>0.20217323054383088</v>
      </c>
      <c r="BH176">
        <v>55.382251369170127</v>
      </c>
      <c r="BI176">
        <v>396.83364844594843</v>
      </c>
      <c r="BJ176" s="6">
        <v>186</v>
      </c>
      <c r="BK176">
        <v>-204.47754212160339</v>
      </c>
      <c r="BL176" s="4">
        <v>-586.1757700000004</v>
      </c>
      <c r="BM176" t="s">
        <v>1895</v>
      </c>
      <c r="BN176" t="s">
        <v>65</v>
      </c>
      <c r="BO176">
        <v>11</v>
      </c>
      <c r="BP176">
        <v>2023</v>
      </c>
      <c r="BQ176" t="str">
        <f t="shared" si="11"/>
        <v>Roiphet111</v>
      </c>
      <c r="BR176">
        <f t="shared" si="12"/>
        <v>-604.39682000000028</v>
      </c>
      <c r="BS176">
        <f t="shared" si="13"/>
        <v>551.42724999999984</v>
      </c>
      <c r="BT176" s="6">
        <f t="shared" si="14"/>
        <v>-210.83364844594843</v>
      </c>
    </row>
    <row r="177" spans="1:72">
      <c r="A177" s="3" t="s">
        <v>967</v>
      </c>
      <c r="B177" s="3" t="s">
        <v>1174</v>
      </c>
      <c r="C177" s="3" t="s">
        <v>2777</v>
      </c>
      <c r="D177" s="2" t="s">
        <v>1890</v>
      </c>
      <c r="E177" s="4" t="str">
        <f t="shared" si="10"/>
        <v>Roiphet1D6-G11-0077</v>
      </c>
      <c r="F177">
        <v>1.1299999999999999</v>
      </c>
      <c r="G177">
        <v>1.5</v>
      </c>
      <c r="H177" t="s">
        <v>72</v>
      </c>
      <c r="I177" t="s">
        <v>67</v>
      </c>
      <c r="J177" t="s">
        <v>357</v>
      </c>
      <c r="K177" t="s">
        <v>89</v>
      </c>
      <c r="L177" t="s">
        <v>89</v>
      </c>
      <c r="M177">
        <v>0.21176470588235294</v>
      </c>
      <c r="N177" s="5">
        <v>45079</v>
      </c>
      <c r="O177" s="5">
        <v>45135</v>
      </c>
      <c r="P177">
        <v>0.55000000000000004</v>
      </c>
      <c r="Q177" s="4">
        <v>203</v>
      </c>
      <c r="R177">
        <v>0.55000000000000004</v>
      </c>
      <c r="S177" t="s">
        <v>70</v>
      </c>
      <c r="T177" s="6">
        <v>3</v>
      </c>
      <c r="U177" s="5">
        <v>45232</v>
      </c>
      <c r="V177" s="6">
        <v>2</v>
      </c>
      <c r="W177" t="s">
        <v>71</v>
      </c>
      <c r="X177" s="6">
        <v>97</v>
      </c>
      <c r="Y177">
        <v>7.2064899999999996</v>
      </c>
      <c r="Z177">
        <v>6.3774247787610623</v>
      </c>
      <c r="AA177" s="6">
        <v>41.762355876439159</v>
      </c>
      <c r="AB177" s="4">
        <v>54.72</v>
      </c>
      <c r="AC177" s="6">
        <v>23.945009303561932</v>
      </c>
      <c r="AD177">
        <v>0.37615502099999998</v>
      </c>
      <c r="AE177">
        <v>2.5854614505525069</v>
      </c>
      <c r="AF177">
        <v>17850</v>
      </c>
      <c r="AG177" s="4">
        <v>0</v>
      </c>
      <c r="AH177" s="4">
        <v>3780</v>
      </c>
      <c r="AL177">
        <v>27</v>
      </c>
      <c r="AM177">
        <v>4.6362399999999999</v>
      </c>
      <c r="AN177" t="s">
        <v>81</v>
      </c>
      <c r="AO177" t="s">
        <v>438</v>
      </c>
      <c r="AP177" s="5">
        <v>45138</v>
      </c>
      <c r="AQ177" t="s">
        <v>92</v>
      </c>
      <c r="AR177" s="5">
        <v>45229</v>
      </c>
      <c r="AS177">
        <v>186.90927760948816</v>
      </c>
      <c r="AT177" s="6"/>
      <c r="AU177">
        <v>34.344042661545359</v>
      </c>
      <c r="AV177">
        <v>78.343742931718481</v>
      </c>
      <c r="AW177">
        <v>28.079558842099274</v>
      </c>
      <c r="AX177">
        <v>140.76734443536313</v>
      </c>
      <c r="AY177">
        <v>31.195694436542617</v>
      </c>
      <c r="AZ177">
        <v>40.323391831529634</v>
      </c>
      <c r="BA177">
        <v>11.068967000578647</v>
      </c>
      <c r="BB177">
        <v>4.4768868061983023</v>
      </c>
      <c r="BC177">
        <v>17.846894951633875</v>
      </c>
      <c r="BD177">
        <v>104.91183502648308</v>
      </c>
      <c r="BE177">
        <v>-58.769901852358046</v>
      </c>
      <c r="BF177">
        <v>35.171659157231886</v>
      </c>
      <c r="BG177">
        <v>0.12880195490453747</v>
      </c>
      <c r="BH177">
        <v>35.300461112136425</v>
      </c>
      <c r="BI177">
        <v>280.97964057398264</v>
      </c>
      <c r="BJ177" s="6">
        <v>181</v>
      </c>
      <c r="BK177">
        <v>-94.070362964494464</v>
      </c>
      <c r="BL177" s="4">
        <v>-677.9171299999997</v>
      </c>
      <c r="BM177" t="s">
        <v>1891</v>
      </c>
      <c r="BN177" t="s">
        <v>65</v>
      </c>
      <c r="BO177">
        <v>11</v>
      </c>
      <c r="BP177">
        <v>2023</v>
      </c>
      <c r="BQ177" t="str">
        <f t="shared" si="11"/>
        <v>Roiphet111</v>
      </c>
      <c r="BR177">
        <f t="shared" si="12"/>
        <v>-720.50228000000004</v>
      </c>
      <c r="BS177">
        <f t="shared" si="13"/>
        <v>1346.9598400000002</v>
      </c>
      <c r="BT177" s="6">
        <f t="shared" si="14"/>
        <v>-99.979640573982635</v>
      </c>
    </row>
    <row r="178" spans="1:72">
      <c r="A178" s="3" t="s">
        <v>967</v>
      </c>
      <c r="B178" s="3" t="s">
        <v>1174</v>
      </c>
      <c r="C178" s="3" t="s">
        <v>2777</v>
      </c>
      <c r="D178" s="2" t="s">
        <v>1886</v>
      </c>
      <c r="E178" s="4" t="str">
        <f t="shared" si="10"/>
        <v>Roiphet1D6-G12-0080</v>
      </c>
      <c r="F178">
        <v>1.1299999999999999</v>
      </c>
      <c r="G178">
        <v>1.5</v>
      </c>
      <c r="H178" t="s">
        <v>72</v>
      </c>
      <c r="I178" t="s">
        <v>67</v>
      </c>
      <c r="J178" t="s">
        <v>357</v>
      </c>
      <c r="K178" t="s">
        <v>89</v>
      </c>
      <c r="L178" t="s">
        <v>89</v>
      </c>
      <c r="M178">
        <v>0.22296072507552869</v>
      </c>
      <c r="N178" s="5">
        <v>45082</v>
      </c>
      <c r="O178" s="5">
        <v>45137</v>
      </c>
      <c r="P178">
        <v>0.55000000000000004</v>
      </c>
      <c r="Q178" s="4">
        <v>203</v>
      </c>
      <c r="R178">
        <v>0.43</v>
      </c>
      <c r="S178" t="s">
        <v>70</v>
      </c>
      <c r="T178" s="6">
        <v>4</v>
      </c>
      <c r="U178" s="5">
        <v>45234</v>
      </c>
      <c r="V178" s="6">
        <v>2</v>
      </c>
      <c r="W178" t="s">
        <v>71</v>
      </c>
      <c r="X178" s="6">
        <v>97</v>
      </c>
      <c r="Y178">
        <v>6.0220399999999996</v>
      </c>
      <c r="Z178">
        <v>5.3292389380530976</v>
      </c>
      <c r="AA178" s="6">
        <v>45.955025207404802</v>
      </c>
      <c r="AB178" s="4">
        <v>50.316909090909093</v>
      </c>
      <c r="AC178" s="6">
        <v>21.760405863924291</v>
      </c>
      <c r="AD178">
        <v>0.36375552300000003</v>
      </c>
      <c r="AE178">
        <v>2.8605651647115153</v>
      </c>
      <c r="AF178">
        <v>16550</v>
      </c>
      <c r="AG178" s="4">
        <v>0</v>
      </c>
      <c r="AH178" s="4">
        <v>3690</v>
      </c>
      <c r="AL178">
        <v>28</v>
      </c>
      <c r="AM178">
        <v>2.6958000000000002</v>
      </c>
      <c r="AN178" t="s">
        <v>81</v>
      </c>
      <c r="AO178" t="s">
        <v>438</v>
      </c>
      <c r="AP178" s="5">
        <v>45138</v>
      </c>
      <c r="AQ178" t="s">
        <v>92</v>
      </c>
      <c r="AR178" s="5">
        <v>45229</v>
      </c>
      <c r="AS178">
        <v>188.11691885141914</v>
      </c>
      <c r="AT178" s="6"/>
      <c r="AU178">
        <v>41.09902956473222</v>
      </c>
      <c r="AV178">
        <v>86.92438774900198</v>
      </c>
      <c r="AW178">
        <v>33.325675352538347</v>
      </c>
      <c r="AX178">
        <v>161.34909266627255</v>
      </c>
      <c r="AY178">
        <v>37.135982158869751</v>
      </c>
      <c r="AZ178">
        <v>47.823973271515953</v>
      </c>
      <c r="BA178">
        <v>13.262386168142356</v>
      </c>
      <c r="BB178">
        <v>5.3653911299161079</v>
      </c>
      <c r="BC178">
        <v>21.203348034885188</v>
      </c>
      <c r="BD178">
        <v>124.79108076332938</v>
      </c>
      <c r="BE178">
        <v>-98.023254578182787</v>
      </c>
      <c r="BF178">
        <v>41.778905487177113</v>
      </c>
      <c r="BG178">
        <v>0.15311588763940459</v>
      </c>
      <c r="BH178">
        <v>41.932021374816514</v>
      </c>
      <c r="BI178">
        <v>328.07219480441842</v>
      </c>
      <c r="BJ178" s="6">
        <v>174</v>
      </c>
      <c r="BK178">
        <v>-139.95527595299927</v>
      </c>
      <c r="BL178" s="4">
        <v>-842.8162699999998</v>
      </c>
      <c r="BM178" t="s">
        <v>1887</v>
      </c>
      <c r="BN178" t="s">
        <v>65</v>
      </c>
      <c r="BO178">
        <v>11</v>
      </c>
      <c r="BP178">
        <v>2023</v>
      </c>
      <c r="BQ178" t="str">
        <f t="shared" si="11"/>
        <v>Roiphet111</v>
      </c>
      <c r="BR178">
        <f t="shared" si="12"/>
        <v>-927.82891999999981</v>
      </c>
      <c r="BS178">
        <f t="shared" si="13"/>
        <v>1132.84761</v>
      </c>
      <c r="BT178" s="6">
        <f t="shared" si="14"/>
        <v>-154.07219480441842</v>
      </c>
    </row>
    <row r="179" spans="1:72">
      <c r="A179" s="3" t="s">
        <v>967</v>
      </c>
      <c r="B179" s="3" t="s">
        <v>1174</v>
      </c>
      <c r="C179" s="3" t="s">
        <v>2777</v>
      </c>
      <c r="D179" s="2" t="s">
        <v>1896</v>
      </c>
      <c r="E179" s="4" t="str">
        <f t="shared" si="10"/>
        <v>Roiphet1D4-G08-0060</v>
      </c>
      <c r="F179">
        <v>1.1299999999999999</v>
      </c>
      <c r="G179">
        <v>1.5</v>
      </c>
      <c r="H179" t="s">
        <v>72</v>
      </c>
      <c r="I179" t="s">
        <v>67</v>
      </c>
      <c r="J179" t="s">
        <v>357</v>
      </c>
      <c r="K179" t="s">
        <v>89</v>
      </c>
      <c r="L179" t="s">
        <v>89</v>
      </c>
      <c r="M179">
        <v>0.88340611353711795</v>
      </c>
      <c r="N179" s="5">
        <v>45071</v>
      </c>
      <c r="O179" s="5">
        <v>45124</v>
      </c>
      <c r="P179">
        <v>0.55000000000000004</v>
      </c>
      <c r="Q179" s="4">
        <v>203</v>
      </c>
      <c r="R179">
        <v>0.45</v>
      </c>
      <c r="S179" t="s">
        <v>70</v>
      </c>
      <c r="T179" s="6">
        <v>4</v>
      </c>
      <c r="U179" s="5">
        <v>45233</v>
      </c>
      <c r="V179" s="6">
        <v>2</v>
      </c>
      <c r="W179" t="s">
        <v>71</v>
      </c>
      <c r="X179" s="6">
        <v>109</v>
      </c>
      <c r="Y179">
        <v>8.7360000000000007</v>
      </c>
      <c r="Z179">
        <v>7.7309734513274346</v>
      </c>
      <c r="AA179" s="6">
        <v>35.841575091575095</v>
      </c>
      <c r="AB179" s="4">
        <v>56.929454545454547</v>
      </c>
      <c r="AC179" s="6">
        <v>27.90055954418866</v>
      </c>
      <c r="AD179">
        <v>0.36284403700000001</v>
      </c>
      <c r="AE179">
        <v>2.6977898150776998</v>
      </c>
      <c r="AF179">
        <v>22900</v>
      </c>
      <c r="AG179" s="4">
        <v>0</v>
      </c>
      <c r="AH179" s="4">
        <v>20230</v>
      </c>
      <c r="AL179">
        <v>25</v>
      </c>
      <c r="AM179">
        <v>5.1693800000000003</v>
      </c>
      <c r="AN179" t="s">
        <v>81</v>
      </c>
      <c r="AO179" t="s">
        <v>93</v>
      </c>
      <c r="AP179" s="5">
        <v>45128</v>
      </c>
      <c r="AQ179" t="s">
        <v>105</v>
      </c>
      <c r="AR179" s="5">
        <v>45229</v>
      </c>
      <c r="AS179">
        <v>204.93908882783884</v>
      </c>
      <c r="AT179" s="6"/>
      <c r="AU179">
        <v>28.331043956043953</v>
      </c>
      <c r="AV179">
        <v>83.395891712454244</v>
      </c>
      <c r="AW179">
        <v>32.350378891941403</v>
      </c>
      <c r="AX179">
        <v>144.07731456043962</v>
      </c>
      <c r="AY179">
        <v>27.053476419413919</v>
      </c>
      <c r="AZ179">
        <v>34.810217490842497</v>
      </c>
      <c r="BA179">
        <v>10.425538003663002</v>
      </c>
      <c r="BB179">
        <v>3.9629052197802199</v>
      </c>
      <c r="BC179">
        <v>15.389297161172161</v>
      </c>
      <c r="BD179">
        <v>91.6414342948718</v>
      </c>
      <c r="BE179">
        <v>-30.779660027472573</v>
      </c>
      <c r="BF179">
        <v>30.845091575091573</v>
      </c>
      <c r="BG179">
        <v>0.11198031135531136</v>
      </c>
      <c r="BH179">
        <v>30.957071886446883</v>
      </c>
      <c r="BI179">
        <v>266.67582074175823</v>
      </c>
      <c r="BJ179" s="6">
        <v>187</v>
      </c>
      <c r="BK179">
        <v>-61.736731913919371</v>
      </c>
      <c r="BL179" s="4">
        <v>-539.33208999999965</v>
      </c>
      <c r="BM179" t="s">
        <v>1897</v>
      </c>
      <c r="BN179" t="s">
        <v>65</v>
      </c>
      <c r="BO179">
        <v>11</v>
      </c>
      <c r="BP179">
        <v>2023</v>
      </c>
      <c r="BQ179" t="str">
        <f t="shared" si="11"/>
        <v>Roiphet111</v>
      </c>
      <c r="BR179">
        <f t="shared" si="12"/>
        <v>-696.04796999999996</v>
      </c>
      <c r="BS179">
        <f t="shared" si="13"/>
        <v>1790.3478800000003</v>
      </c>
      <c r="BT179" s="6">
        <f t="shared" si="14"/>
        <v>-79.67582074175823</v>
      </c>
    </row>
    <row r="180" spans="1:72">
      <c r="A180" s="3" t="s">
        <v>967</v>
      </c>
      <c r="B180" s="3" t="s">
        <v>1174</v>
      </c>
      <c r="C180" s="3" t="s">
        <v>2777</v>
      </c>
      <c r="D180" s="2" t="s">
        <v>2784</v>
      </c>
      <c r="E180" s="4" t="str">
        <f t="shared" si="10"/>
        <v>Roiphet1D1-I02-0090</v>
      </c>
      <c r="F180">
        <v>0.72</v>
      </c>
      <c r="G180">
        <v>1.3</v>
      </c>
      <c r="H180" t="s">
        <v>72</v>
      </c>
      <c r="I180" t="s">
        <v>67</v>
      </c>
      <c r="J180" t="s">
        <v>357</v>
      </c>
      <c r="K180" t="s">
        <v>89</v>
      </c>
      <c r="L180" t="s">
        <v>89</v>
      </c>
      <c r="M180">
        <v>0.62</v>
      </c>
      <c r="N180" s="5">
        <v>45083</v>
      </c>
      <c r="O180" s="5">
        <v>45165</v>
      </c>
      <c r="P180">
        <v>0.25</v>
      </c>
      <c r="Q180" s="4">
        <v>167</v>
      </c>
      <c r="R180">
        <v>0.65900000000000003</v>
      </c>
      <c r="S180" t="s">
        <v>70</v>
      </c>
      <c r="T180" s="6">
        <v>4</v>
      </c>
      <c r="U180" s="5">
        <v>45269</v>
      </c>
      <c r="V180" s="6">
        <v>2</v>
      </c>
      <c r="W180" t="s">
        <v>71</v>
      </c>
      <c r="X180" s="6">
        <v>104</v>
      </c>
      <c r="Y180">
        <v>2.5346700000000002</v>
      </c>
      <c r="Z180">
        <v>3.5203750000000005</v>
      </c>
      <c r="AA180" s="6">
        <v>50.648802408203039</v>
      </c>
      <c r="AB180" s="4">
        <v>51.351199999999999</v>
      </c>
      <c r="AC180" s="6">
        <v>19.743803455420711</v>
      </c>
      <c r="AD180">
        <v>0.34978881800000006</v>
      </c>
      <c r="AE180">
        <v>3.7975004008472646</v>
      </c>
      <c r="AF180">
        <v>9000</v>
      </c>
      <c r="AG180" s="4"/>
      <c r="AH180" s="4">
        <v>5580</v>
      </c>
      <c r="AL180">
        <v>27</v>
      </c>
      <c r="AM180">
        <v>1.10368</v>
      </c>
      <c r="AN180" t="s">
        <v>81</v>
      </c>
      <c r="AO180" t="s">
        <v>92</v>
      </c>
      <c r="AP180" s="5">
        <v>45170</v>
      </c>
      <c r="AQ180" t="s">
        <v>93</v>
      </c>
      <c r="AR180" s="5">
        <v>45268</v>
      </c>
      <c r="AS180">
        <v>190.52062004126768</v>
      </c>
      <c r="AT180" s="6"/>
      <c r="AU180">
        <v>49.316084539604759</v>
      </c>
      <c r="AV180">
        <v>108.1248012561793</v>
      </c>
      <c r="AW180">
        <v>56.104629004959257</v>
      </c>
      <c r="AX180">
        <v>213.54551480074335</v>
      </c>
      <c r="AY180">
        <v>70.43564645496258</v>
      </c>
      <c r="AZ180">
        <v>106.76525149230471</v>
      </c>
      <c r="BA180">
        <v>29.468814480780534</v>
      </c>
      <c r="BB180">
        <v>13.107023794024469</v>
      </c>
      <c r="BC180">
        <v>42.437110156351707</v>
      </c>
      <c r="BD180">
        <v>262.21384637842397</v>
      </c>
      <c r="BE180">
        <v>-285.23874113789964</v>
      </c>
      <c r="BF180">
        <v>78.399239348712058</v>
      </c>
      <c r="BG180">
        <v>0.28846753226258248</v>
      </c>
      <c r="BH180">
        <v>78.687706880974645</v>
      </c>
      <c r="BI180">
        <v>554.44706806014199</v>
      </c>
      <c r="BJ180" s="6">
        <v>167</v>
      </c>
      <c r="BK180">
        <v>-363.92644801887434</v>
      </c>
      <c r="BL180" s="4">
        <v>-922.43345000000022</v>
      </c>
      <c r="BM180" t="s">
        <v>2785</v>
      </c>
      <c r="BN180" t="s">
        <v>65</v>
      </c>
      <c r="BO180">
        <v>12</v>
      </c>
      <c r="BP180">
        <v>2023</v>
      </c>
      <c r="BQ180" t="str">
        <f t="shared" si="11"/>
        <v>Roiphet112</v>
      </c>
      <c r="BR180">
        <f t="shared" si="12"/>
        <v>-982.05046000000016</v>
      </c>
      <c r="BS180">
        <f t="shared" si="13"/>
        <v>482.90690000000001</v>
      </c>
      <c r="BT180" s="6">
        <f t="shared" si="14"/>
        <v>-387.44706806014199</v>
      </c>
    </row>
    <row r="181" spans="1:72">
      <c r="A181" s="3" t="s">
        <v>967</v>
      </c>
      <c r="B181" s="3" t="s">
        <v>1174</v>
      </c>
      <c r="C181" s="3" t="s">
        <v>2777</v>
      </c>
      <c r="D181" s="2" t="s">
        <v>2778</v>
      </c>
      <c r="E181" s="4" t="str">
        <f t="shared" si="10"/>
        <v>Roiphet1D1-I01-0092</v>
      </c>
      <c r="F181">
        <v>0.72</v>
      </c>
      <c r="G181">
        <v>1.3</v>
      </c>
      <c r="H181" t="s">
        <v>72</v>
      </c>
      <c r="I181" t="s">
        <v>67</v>
      </c>
      <c r="J181" t="s">
        <v>357</v>
      </c>
      <c r="K181" t="s">
        <v>89</v>
      </c>
      <c r="L181" t="s">
        <v>89</v>
      </c>
      <c r="M181">
        <v>0.64695652173913043</v>
      </c>
      <c r="N181" s="5">
        <v>45158</v>
      </c>
      <c r="O181" s="5">
        <v>45165</v>
      </c>
      <c r="P181">
        <v>0.22</v>
      </c>
      <c r="Q181" s="4">
        <v>147</v>
      </c>
      <c r="R181">
        <v>0.67</v>
      </c>
      <c r="S181" t="s">
        <v>70</v>
      </c>
      <c r="T181" s="6">
        <v>4</v>
      </c>
      <c r="U181" s="5">
        <v>45268</v>
      </c>
      <c r="V181" s="6">
        <v>2</v>
      </c>
      <c r="W181" t="s">
        <v>71</v>
      </c>
      <c r="X181" s="6">
        <v>103</v>
      </c>
      <c r="Y181">
        <v>3.0216699999999999</v>
      </c>
      <c r="Z181">
        <v>4.1967638888888885</v>
      </c>
      <c r="AA181" s="6">
        <v>52.253224210453162</v>
      </c>
      <c r="AB181" s="4">
        <v>71.769090909090906</v>
      </c>
      <c r="AC181" s="6">
        <v>19.137575051300889</v>
      </c>
      <c r="AD181">
        <v>0.34023578399999999</v>
      </c>
      <c r="AE181">
        <v>3.0008036935109579</v>
      </c>
      <c r="AF181">
        <v>8625</v>
      </c>
      <c r="AG181" s="4"/>
      <c r="AH181" s="4">
        <v>5580</v>
      </c>
      <c r="AL181">
        <v>28.000000000000004</v>
      </c>
      <c r="AM181">
        <v>1.3377999999999999</v>
      </c>
      <c r="AN181" t="s">
        <v>81</v>
      </c>
      <c r="AO181" t="s">
        <v>215</v>
      </c>
      <c r="AP181" s="5">
        <v>45170</v>
      </c>
      <c r="AQ181" t="s">
        <v>93</v>
      </c>
      <c r="AR181" s="5">
        <v>45264</v>
      </c>
      <c r="AS181">
        <v>185.75756783500512</v>
      </c>
      <c r="AT181" s="6"/>
      <c r="AU181">
        <v>36.403710530931569</v>
      </c>
      <c r="AV181">
        <v>86.818319009024805</v>
      </c>
      <c r="AW181">
        <v>111.89314518130702</v>
      </c>
      <c r="AX181">
        <v>235.1151747212634</v>
      </c>
      <c r="AY181">
        <v>35.587923234502775</v>
      </c>
      <c r="AZ181">
        <v>42.999314948356371</v>
      </c>
      <c r="BA181">
        <v>13.523108082616567</v>
      </c>
      <c r="BB181">
        <v>7.3679091363385156</v>
      </c>
      <c r="BC181">
        <v>20.05821284256719</v>
      </c>
      <c r="BD181">
        <v>119.53646824438142</v>
      </c>
      <c r="BE181">
        <v>-168.89407513063969</v>
      </c>
      <c r="BF181">
        <v>37.465782166815039</v>
      </c>
      <c r="BG181">
        <v>0.14272571127886235</v>
      </c>
      <c r="BH181">
        <v>37.608507878093903</v>
      </c>
      <c r="BI181">
        <v>392.2601508437387</v>
      </c>
      <c r="BJ181" s="6">
        <v>166</v>
      </c>
      <c r="BK181">
        <v>-206.50258300873358</v>
      </c>
      <c r="BL181" s="4">
        <v>-623.98266000000001</v>
      </c>
      <c r="BM181" t="s">
        <v>2779</v>
      </c>
      <c r="BN181" t="s">
        <v>65</v>
      </c>
      <c r="BO181">
        <v>12</v>
      </c>
      <c r="BP181">
        <v>2023</v>
      </c>
      <c r="BQ181" t="str">
        <f t="shared" si="11"/>
        <v>Roiphet112</v>
      </c>
      <c r="BR181">
        <f t="shared" si="12"/>
        <v>-683.68350999999984</v>
      </c>
      <c r="BS181">
        <f t="shared" si="13"/>
        <v>561.29806999999994</v>
      </c>
      <c r="BT181" s="6">
        <f t="shared" si="14"/>
        <v>-226.2601508437387</v>
      </c>
    </row>
    <row r="182" spans="1:72">
      <c r="A182" s="3" t="s">
        <v>967</v>
      </c>
      <c r="B182" s="3" t="s">
        <v>1174</v>
      </c>
      <c r="C182" s="3" t="s">
        <v>2777</v>
      </c>
      <c r="D182" s="2" t="s">
        <v>2782</v>
      </c>
      <c r="E182" s="4" t="str">
        <f t="shared" si="10"/>
        <v>Roiphet1D1-G02-0080</v>
      </c>
      <c r="F182">
        <v>1.1299999999999999</v>
      </c>
      <c r="G182">
        <v>1.5</v>
      </c>
      <c r="H182" t="s">
        <v>72</v>
      </c>
      <c r="I182" t="s">
        <v>67</v>
      </c>
      <c r="J182" t="s">
        <v>357</v>
      </c>
      <c r="K182" t="s">
        <v>89</v>
      </c>
      <c r="L182" t="s">
        <v>89</v>
      </c>
      <c r="M182">
        <v>0.53333333333333333</v>
      </c>
      <c r="N182" s="5">
        <v>45084</v>
      </c>
      <c r="O182" s="5">
        <v>45165</v>
      </c>
      <c r="P182">
        <v>0.55000000000000004</v>
      </c>
      <c r="Q182" s="4">
        <v>203</v>
      </c>
      <c r="R182">
        <v>0.66</v>
      </c>
      <c r="S182" t="s">
        <v>70</v>
      </c>
      <c r="T182" s="6">
        <v>6</v>
      </c>
      <c r="U182" s="5">
        <v>45269</v>
      </c>
      <c r="V182" s="6">
        <v>2</v>
      </c>
      <c r="W182" t="s">
        <v>71</v>
      </c>
      <c r="X182" s="6">
        <v>104</v>
      </c>
      <c r="Y182">
        <v>6.2579799999999999</v>
      </c>
      <c r="Z182">
        <v>5.5380353982300887</v>
      </c>
      <c r="AA182" s="6">
        <v>50.976033800044107</v>
      </c>
      <c r="AB182" s="4">
        <v>58.00127272727272</v>
      </c>
      <c r="AC182" s="6">
        <v>19.617061694570964</v>
      </c>
      <c r="AD182">
        <v>0.33706044000000002</v>
      </c>
      <c r="AE182">
        <v>2.7735557153907751</v>
      </c>
      <c r="AF182">
        <v>16350</v>
      </c>
      <c r="AG182" s="4"/>
      <c r="AH182" s="4">
        <v>8720</v>
      </c>
      <c r="AL182">
        <v>28</v>
      </c>
      <c r="AM182">
        <v>0.91771999999999998</v>
      </c>
      <c r="AN182" t="s">
        <v>81</v>
      </c>
      <c r="AO182" t="s">
        <v>92</v>
      </c>
      <c r="AP182" s="5">
        <v>45170</v>
      </c>
      <c r="AQ182" t="s">
        <v>93</v>
      </c>
      <c r="AR182" s="5">
        <v>45268</v>
      </c>
      <c r="AS182">
        <v>184.53479876893186</v>
      </c>
      <c r="AT182" s="6"/>
      <c r="AU182">
        <v>43.943892438134995</v>
      </c>
      <c r="AV182">
        <v>79.910127549145258</v>
      </c>
      <c r="AW182">
        <v>37.484386335526793</v>
      </c>
      <c r="AX182">
        <v>161.33840632280703</v>
      </c>
      <c r="AY182">
        <v>44.544306629295718</v>
      </c>
      <c r="AZ182">
        <v>55.940531928833266</v>
      </c>
      <c r="BA182">
        <v>17.86932045164734</v>
      </c>
      <c r="BB182">
        <v>8.2746685032550449</v>
      </c>
      <c r="BC182">
        <v>26.806328879286934</v>
      </c>
      <c r="BD182">
        <v>153.43515639231831</v>
      </c>
      <c r="BE182">
        <v>-130.23876394619347</v>
      </c>
      <c r="BF182">
        <v>49.55912291186614</v>
      </c>
      <c r="BG182">
        <v>0.18238632913496047</v>
      </c>
      <c r="BH182">
        <v>49.741509241001104</v>
      </c>
      <c r="BI182">
        <v>364.51507195612646</v>
      </c>
      <c r="BJ182" s="6">
        <v>167</v>
      </c>
      <c r="BK182">
        <v>-179.98027318719463</v>
      </c>
      <c r="BL182" s="4">
        <v>-1126.3129500000002</v>
      </c>
      <c r="BM182" t="s">
        <v>2783</v>
      </c>
      <c r="BN182" t="s">
        <v>65</v>
      </c>
      <c r="BO182">
        <v>12</v>
      </c>
      <c r="BP182">
        <v>2023</v>
      </c>
      <c r="BQ182" t="str">
        <f t="shared" si="11"/>
        <v>Roiphet112</v>
      </c>
      <c r="BR182">
        <f t="shared" si="12"/>
        <v>-1236.0453700000003</v>
      </c>
      <c r="BS182">
        <f t="shared" si="13"/>
        <v>1154.8150800000003</v>
      </c>
      <c r="BT182" s="6">
        <f t="shared" si="14"/>
        <v>-197.51507195612646</v>
      </c>
    </row>
    <row r="183" spans="1:72">
      <c r="A183" s="3" t="s">
        <v>967</v>
      </c>
      <c r="B183" s="3" t="s">
        <v>1174</v>
      </c>
      <c r="C183" s="3" t="s">
        <v>2777</v>
      </c>
      <c r="D183" s="2" t="s">
        <v>2780</v>
      </c>
      <c r="E183" s="4" t="str">
        <f t="shared" si="10"/>
        <v>Roiphet1D1-G01-0078</v>
      </c>
      <c r="F183">
        <v>1.1299999999999999</v>
      </c>
      <c r="G183">
        <v>1.5</v>
      </c>
      <c r="H183" t="s">
        <v>72</v>
      </c>
      <c r="I183" t="s">
        <v>67</v>
      </c>
      <c r="J183" t="s">
        <v>357</v>
      </c>
      <c r="K183" t="s">
        <v>89</v>
      </c>
      <c r="L183" t="s">
        <v>89</v>
      </c>
      <c r="M183">
        <v>0.501021897810219</v>
      </c>
      <c r="N183" s="5">
        <v>45083</v>
      </c>
      <c r="O183" s="5">
        <v>45165</v>
      </c>
      <c r="P183">
        <v>0.55000000000000004</v>
      </c>
      <c r="Q183" s="4">
        <v>203</v>
      </c>
      <c r="R183">
        <v>0.66</v>
      </c>
      <c r="S183" t="s">
        <v>70</v>
      </c>
      <c r="T183" s="6">
        <v>5</v>
      </c>
      <c r="U183" s="5">
        <v>45268</v>
      </c>
      <c r="V183" s="6">
        <v>2</v>
      </c>
      <c r="W183" t="s">
        <v>71</v>
      </c>
      <c r="X183" s="6">
        <v>103</v>
      </c>
      <c r="Y183">
        <v>6.8357399999999995</v>
      </c>
      <c r="Z183">
        <v>6.0493274336283189</v>
      </c>
      <c r="AA183" s="6">
        <v>51.779617129966908</v>
      </c>
      <c r="AB183" s="4">
        <v>64.354909090909089</v>
      </c>
      <c r="AC183" s="6">
        <v>19.312618660157309</v>
      </c>
      <c r="AD183">
        <v>0.32837629699999998</v>
      </c>
      <c r="AE183">
        <v>2.6457192648531067</v>
      </c>
      <c r="AF183">
        <v>17125</v>
      </c>
      <c r="AG183" s="4"/>
      <c r="AH183" s="4">
        <v>8580</v>
      </c>
      <c r="AL183">
        <v>29.000000000000004</v>
      </c>
      <c r="AM183">
        <v>2.8003100000000001</v>
      </c>
      <c r="AN183" t="s">
        <v>81</v>
      </c>
      <c r="AO183" t="s">
        <v>92</v>
      </c>
      <c r="AP183" s="5">
        <v>45170</v>
      </c>
      <c r="AQ183" t="s">
        <v>93</v>
      </c>
      <c r="AR183" s="5">
        <v>45264</v>
      </c>
      <c r="AS183">
        <v>187.19703938417786</v>
      </c>
      <c r="AT183" s="6"/>
      <c r="AU183">
        <v>40.22973372304974</v>
      </c>
      <c r="AV183">
        <v>76.459411855921971</v>
      </c>
      <c r="AW183">
        <v>43.923910213085925</v>
      </c>
      <c r="AX183">
        <v>160.61305579205765</v>
      </c>
      <c r="AY183">
        <v>40.702959738082491</v>
      </c>
      <c r="AZ183">
        <v>51.204551372638527</v>
      </c>
      <c r="BA183">
        <v>16.282234257008021</v>
      </c>
      <c r="BB183">
        <v>7.5349340378656882</v>
      </c>
      <c r="BC183">
        <v>24.482731935386663</v>
      </c>
      <c r="BD183">
        <v>140.20741134098139</v>
      </c>
      <c r="BE183">
        <v>-113.62342774886119</v>
      </c>
      <c r="BF183">
        <v>45.312611363217442</v>
      </c>
      <c r="BG183">
        <v>0.16671640524654244</v>
      </c>
      <c r="BH183">
        <v>45.479327768463982</v>
      </c>
      <c r="BI183">
        <v>346.29979490150299</v>
      </c>
      <c r="BJ183" s="6">
        <v>167</v>
      </c>
      <c r="BK183">
        <v>-159.10275551732514</v>
      </c>
      <c r="BL183" s="4">
        <v>-1087.5850700000001</v>
      </c>
      <c r="BM183" t="s">
        <v>2781</v>
      </c>
      <c r="BN183" t="s">
        <v>65</v>
      </c>
      <c r="BO183">
        <v>12</v>
      </c>
      <c r="BP183">
        <v>2023</v>
      </c>
      <c r="BQ183" t="str">
        <f t="shared" si="11"/>
        <v>Roiphet112</v>
      </c>
      <c r="BR183">
        <f t="shared" si="12"/>
        <v>-1225.64678</v>
      </c>
      <c r="BS183">
        <f t="shared" si="13"/>
        <v>1279.6302899999998</v>
      </c>
      <c r="BT183" s="6">
        <f t="shared" si="14"/>
        <v>-179.29979490150299</v>
      </c>
    </row>
    <row r="184" spans="1:72">
      <c r="A184" s="3" t="s">
        <v>967</v>
      </c>
      <c r="B184" s="3" t="s">
        <v>1174</v>
      </c>
      <c r="C184" s="3" t="s">
        <v>2777</v>
      </c>
      <c r="D184" s="2" t="s">
        <v>1888</v>
      </c>
      <c r="E184" s="4" t="str">
        <f t="shared" si="10"/>
        <v>Roiphet1D4-G07-0063</v>
      </c>
      <c r="F184">
        <v>1.1299999999999999</v>
      </c>
      <c r="G184">
        <v>1.5</v>
      </c>
      <c r="H184" t="s">
        <v>72</v>
      </c>
      <c r="I184" t="s">
        <v>67</v>
      </c>
      <c r="J184" t="s">
        <v>357</v>
      </c>
      <c r="K184" t="s">
        <v>89</v>
      </c>
      <c r="L184" t="s">
        <v>89</v>
      </c>
      <c r="M184">
        <v>0.94711111111111113</v>
      </c>
      <c r="N184" s="5">
        <v>45072</v>
      </c>
      <c r="O184" s="5">
        <v>45124</v>
      </c>
      <c r="P184">
        <v>0.55000000000000004</v>
      </c>
      <c r="Q184" s="4">
        <v>203</v>
      </c>
      <c r="R184">
        <v>0.45</v>
      </c>
      <c r="S184" t="s">
        <v>70</v>
      </c>
      <c r="T184" s="6">
        <v>4</v>
      </c>
      <c r="U184" s="5">
        <v>45233</v>
      </c>
      <c r="V184" s="6">
        <v>1</v>
      </c>
      <c r="W184" t="s">
        <v>86</v>
      </c>
      <c r="X184" s="6">
        <v>109</v>
      </c>
      <c r="Y184">
        <v>9.2783999999999995</v>
      </c>
      <c r="Z184">
        <v>8.2109734513274333</v>
      </c>
      <c r="AA184" s="6">
        <v>42.720835488877391</v>
      </c>
      <c r="AB184" s="4">
        <v>72.069272727272732</v>
      </c>
      <c r="AC184" s="6">
        <v>23.407781906801791</v>
      </c>
      <c r="AD184">
        <v>0.32352555700000002</v>
      </c>
      <c r="AE184">
        <v>2.4914653470389765</v>
      </c>
      <c r="AF184">
        <v>22500</v>
      </c>
      <c r="AG184" s="4">
        <v>0</v>
      </c>
      <c r="AH184" s="4">
        <v>21310</v>
      </c>
      <c r="AL184">
        <v>28</v>
      </c>
      <c r="AM184">
        <v>4.9724899999999996</v>
      </c>
      <c r="AN184" t="s">
        <v>81</v>
      </c>
      <c r="AO184" t="s">
        <v>93</v>
      </c>
      <c r="AP184" s="5">
        <v>45128</v>
      </c>
      <c r="AQ184" t="s">
        <v>105</v>
      </c>
      <c r="AR184" s="5">
        <v>45229</v>
      </c>
      <c r="AS184">
        <v>185.15687510777718</v>
      </c>
      <c r="AT184" s="6"/>
      <c r="AU184">
        <v>26.674857734092093</v>
      </c>
      <c r="AV184">
        <v>77.45659919813761</v>
      </c>
      <c r="AW184">
        <v>31.463903259182612</v>
      </c>
      <c r="AX184">
        <v>135.59536019141231</v>
      </c>
      <c r="AY184">
        <v>25.340747327125374</v>
      </c>
      <c r="AZ184">
        <v>32.613935592343509</v>
      </c>
      <c r="BA184">
        <v>9.757135928608383</v>
      </c>
      <c r="BB184">
        <v>3.7090705294016209</v>
      </c>
      <c r="BC184">
        <v>14.43370408691154</v>
      </c>
      <c r="BD184">
        <v>85.854593464390433</v>
      </c>
      <c r="BE184">
        <v>-36.293078548025562</v>
      </c>
      <c r="BF184">
        <v>28.847964088635973</v>
      </c>
      <c r="BG184">
        <v>0.10485428522158992</v>
      </c>
      <c r="BH184">
        <v>28.952818373857564</v>
      </c>
      <c r="BI184">
        <v>250.4027720296603</v>
      </c>
      <c r="BJ184" s="6">
        <v>180</v>
      </c>
      <c r="BK184">
        <v>-65.245896921883116</v>
      </c>
      <c r="BL184" s="4">
        <v>-605.37753000000021</v>
      </c>
      <c r="BM184" t="s">
        <v>1889</v>
      </c>
      <c r="BN184" t="s">
        <v>65</v>
      </c>
      <c r="BO184">
        <v>11</v>
      </c>
      <c r="BP184">
        <v>2023</v>
      </c>
      <c r="BQ184" t="str">
        <f t="shared" si="11"/>
        <v>Roiphet111</v>
      </c>
      <c r="BR184">
        <f t="shared" si="12"/>
        <v>-653.22508000000005</v>
      </c>
      <c r="BS184">
        <f t="shared" si="13"/>
        <v>1717.9595499999998</v>
      </c>
      <c r="BT184" s="6">
        <f t="shared" si="14"/>
        <v>-70.402772029660298</v>
      </c>
    </row>
    <row r="185" spans="1:72">
      <c r="A185" s="3" t="s">
        <v>967</v>
      </c>
      <c r="B185" s="3" t="s">
        <v>1174</v>
      </c>
      <c r="C185" s="3" t="s">
        <v>1364</v>
      </c>
      <c r="D185" s="2" t="s">
        <v>1379</v>
      </c>
      <c r="E185" s="4" t="str">
        <f t="shared" si="10"/>
        <v>Roiphet1B4-G08-0079</v>
      </c>
      <c r="F185">
        <v>1.1299999999999999</v>
      </c>
      <c r="G185">
        <v>1.5</v>
      </c>
      <c r="H185" t="s">
        <v>84</v>
      </c>
      <c r="I185" t="s">
        <v>67</v>
      </c>
      <c r="J185" t="s">
        <v>357</v>
      </c>
      <c r="K185" t="s">
        <v>89</v>
      </c>
      <c r="L185" t="s">
        <v>89</v>
      </c>
      <c r="M185">
        <v>0.69545865498296122</v>
      </c>
      <c r="N185" s="5">
        <v>44849</v>
      </c>
      <c r="O185" s="5">
        <v>44878</v>
      </c>
      <c r="P185">
        <v>0.47</v>
      </c>
      <c r="Q185" s="4">
        <v>173</v>
      </c>
      <c r="R185">
        <v>0.45</v>
      </c>
      <c r="S185" t="s">
        <v>70</v>
      </c>
      <c r="T185" s="6">
        <v>3</v>
      </c>
      <c r="U185" s="5">
        <v>44985</v>
      </c>
      <c r="V185" s="6">
        <v>2</v>
      </c>
      <c r="W185" t="s">
        <v>71</v>
      </c>
      <c r="X185" s="6">
        <v>107</v>
      </c>
      <c r="Y185">
        <v>7.5867399999999998</v>
      </c>
      <c r="Z185">
        <v>6.7139292035398235</v>
      </c>
      <c r="AA185" s="6">
        <v>36.540068593361575</v>
      </c>
      <c r="AB185" s="4">
        <v>58.982978723404258</v>
      </c>
      <c r="AC185" s="6">
        <v>27.36721737248395</v>
      </c>
      <c r="AD185">
        <v>0.38520249200000001</v>
      </c>
      <c r="AE185">
        <v>1.9496314696199717</v>
      </c>
      <c r="AF185">
        <v>14379</v>
      </c>
      <c r="AG185" s="4">
        <v>0</v>
      </c>
      <c r="AH185" s="4">
        <v>10000</v>
      </c>
      <c r="AL185">
        <v>24</v>
      </c>
      <c r="AM185">
        <v>5.3350799999999996</v>
      </c>
      <c r="AN185" t="s">
        <v>81</v>
      </c>
      <c r="AO185" t="s">
        <v>215</v>
      </c>
      <c r="AP185" s="5">
        <v>44900</v>
      </c>
      <c r="AQ185" t="s">
        <v>123</v>
      </c>
      <c r="AR185" s="5">
        <v>44984</v>
      </c>
      <c r="AS185">
        <v>259.55887640804877</v>
      </c>
      <c r="AT185" s="6"/>
      <c r="AU185">
        <v>24.780076818238136</v>
      </c>
      <c r="AV185">
        <v>61.892403061130352</v>
      </c>
      <c r="AW185">
        <v>18.113356988640707</v>
      </c>
      <c r="AX185">
        <v>104.78583686800918</v>
      </c>
      <c r="AY185">
        <v>33.627256239175196</v>
      </c>
      <c r="AZ185">
        <v>43.709705354341914</v>
      </c>
      <c r="BA185">
        <v>6.8495612081078301</v>
      </c>
      <c r="BB185">
        <v>9.9764470642199417</v>
      </c>
      <c r="BC185">
        <v>13.60630521146105</v>
      </c>
      <c r="BD185">
        <v>107.76927507730592</v>
      </c>
      <c r="BE185">
        <v>47.003764462733656</v>
      </c>
      <c r="BF185">
        <v>40.35728916504322</v>
      </c>
      <c r="BG185">
        <v>0.10660441770773746</v>
      </c>
      <c r="BH185">
        <v>40.463893582750963</v>
      </c>
      <c r="BI185">
        <v>253.01900552806609</v>
      </c>
      <c r="BJ185" s="6">
        <v>186</v>
      </c>
      <c r="BK185">
        <v>6.5398708799826819</v>
      </c>
      <c r="BL185" s="4">
        <v>49.616299999999811</v>
      </c>
      <c r="BM185" t="s">
        <v>1380</v>
      </c>
      <c r="BN185" t="s">
        <v>65</v>
      </c>
      <c r="BO185">
        <v>2</v>
      </c>
      <c r="BP185">
        <v>2023</v>
      </c>
      <c r="BQ185" t="str">
        <f t="shared" si="11"/>
        <v>Roiphet12</v>
      </c>
      <c r="BR185">
        <f t="shared" si="12"/>
        <v>-508.45577000000009</v>
      </c>
      <c r="BS185">
        <f t="shared" si="13"/>
        <v>1969.20571</v>
      </c>
      <c r="BT185" s="6">
        <f t="shared" si="14"/>
        <v>-67.019005528066089</v>
      </c>
    </row>
    <row r="186" spans="1:72">
      <c r="A186" s="3" t="s">
        <v>967</v>
      </c>
      <c r="B186" s="3" t="s">
        <v>1174</v>
      </c>
      <c r="C186" s="3" t="s">
        <v>1364</v>
      </c>
      <c r="D186" s="2" t="s">
        <v>1389</v>
      </c>
      <c r="E186" s="4" t="str">
        <f t="shared" si="10"/>
        <v>Roiphet1B2-I04-0097</v>
      </c>
      <c r="F186">
        <v>0.72</v>
      </c>
      <c r="G186">
        <v>1.3</v>
      </c>
      <c r="H186" t="s">
        <v>72</v>
      </c>
      <c r="I186" t="s">
        <v>67</v>
      </c>
      <c r="J186" t="s">
        <v>357</v>
      </c>
      <c r="K186" t="s">
        <v>89</v>
      </c>
      <c r="L186" t="s">
        <v>89</v>
      </c>
      <c r="M186">
        <v>0.6548713235294118</v>
      </c>
      <c r="N186" s="5">
        <v>44839</v>
      </c>
      <c r="O186" s="5">
        <v>44865</v>
      </c>
      <c r="P186">
        <v>0.26</v>
      </c>
      <c r="Q186" s="4">
        <v>174</v>
      </c>
      <c r="R186">
        <v>0.24</v>
      </c>
      <c r="S186" t="s">
        <v>70</v>
      </c>
      <c r="T186" s="6">
        <v>2</v>
      </c>
      <c r="U186" s="5">
        <v>44984</v>
      </c>
      <c r="V186" s="6">
        <v>2</v>
      </c>
      <c r="W186" t="s">
        <v>71</v>
      </c>
      <c r="X186" s="6">
        <v>119</v>
      </c>
      <c r="Y186">
        <v>3.3606599999999998</v>
      </c>
      <c r="Z186">
        <v>4.667583333333333</v>
      </c>
      <c r="AA186" s="6">
        <v>29.380240786036076</v>
      </c>
      <c r="AB186" s="4">
        <v>37.975769230769231</v>
      </c>
      <c r="AC186" s="6">
        <v>34.036480751896455</v>
      </c>
      <c r="AD186">
        <v>0.37995416300000001</v>
      </c>
      <c r="AE186">
        <v>2.6389432099663765</v>
      </c>
      <c r="AF186">
        <v>8704</v>
      </c>
      <c r="AG186" s="4">
        <v>0</v>
      </c>
      <c r="AH186" s="4">
        <v>5700</v>
      </c>
      <c r="AL186">
        <v>22</v>
      </c>
      <c r="AM186">
        <v>2.9731399999999999</v>
      </c>
      <c r="AN186" t="s">
        <v>81</v>
      </c>
      <c r="AO186" t="s">
        <v>90</v>
      </c>
      <c r="AP186" s="5">
        <v>44869</v>
      </c>
      <c r="AQ186" t="s">
        <v>198</v>
      </c>
      <c r="AR186" s="5">
        <v>44981</v>
      </c>
      <c r="AS186">
        <v>295.36445817190673</v>
      </c>
      <c r="AT186" s="6"/>
      <c r="AU186">
        <v>30.946302214445975</v>
      </c>
      <c r="AV186">
        <v>85.676260020353126</v>
      </c>
      <c r="AW186">
        <v>24.724783227104197</v>
      </c>
      <c r="AX186">
        <v>141.34734546190327</v>
      </c>
      <c r="AY186">
        <v>51.863235197848041</v>
      </c>
      <c r="AZ186">
        <v>65.029247231198639</v>
      </c>
      <c r="BA186">
        <v>11.404968071747811</v>
      </c>
      <c r="BB186">
        <v>14.679726601322358</v>
      </c>
      <c r="BC186">
        <v>22.124657061410556</v>
      </c>
      <c r="BD186">
        <v>165.1018341635274</v>
      </c>
      <c r="BE186">
        <v>-11.08472145352394</v>
      </c>
      <c r="BF186">
        <v>62.295709771294931</v>
      </c>
      <c r="BG186">
        <v>0.16494974201496138</v>
      </c>
      <c r="BH186">
        <v>62.460659513309892</v>
      </c>
      <c r="BI186">
        <v>368.90983913874055</v>
      </c>
      <c r="BJ186" s="6">
        <v>200</v>
      </c>
      <c r="BK186">
        <v>-73.545380966833832</v>
      </c>
      <c r="BL186" s="4">
        <v>-247.16101999999978</v>
      </c>
      <c r="BM186" t="s">
        <v>1390</v>
      </c>
      <c r="BN186" t="s">
        <v>65</v>
      </c>
      <c r="BO186">
        <v>2</v>
      </c>
      <c r="BP186">
        <v>2023</v>
      </c>
      <c r="BQ186" t="str">
        <f t="shared" si="11"/>
        <v>Roiphet12</v>
      </c>
      <c r="BR186">
        <f t="shared" si="12"/>
        <v>-567.6485399999998</v>
      </c>
      <c r="BS186">
        <f t="shared" si="13"/>
        <v>992.61951999999997</v>
      </c>
      <c r="BT186" s="6">
        <f t="shared" si="14"/>
        <v>-168.90983913874055</v>
      </c>
    </row>
    <row r="187" spans="1:72">
      <c r="A187" s="3" t="s">
        <v>967</v>
      </c>
      <c r="B187" s="3" t="s">
        <v>1174</v>
      </c>
      <c r="C187" s="3" t="s">
        <v>1364</v>
      </c>
      <c r="D187" s="2" t="s">
        <v>1381</v>
      </c>
      <c r="E187" s="4" t="str">
        <f t="shared" si="10"/>
        <v>Roiphet1B6-G12-0086</v>
      </c>
      <c r="F187">
        <v>1.1299999999999999</v>
      </c>
      <c r="G187">
        <v>1.5</v>
      </c>
      <c r="H187" t="s">
        <v>84</v>
      </c>
      <c r="I187" t="s">
        <v>67</v>
      </c>
      <c r="J187" t="s">
        <v>357</v>
      </c>
      <c r="K187" t="s">
        <v>89</v>
      </c>
      <c r="L187" t="s">
        <v>89</v>
      </c>
      <c r="M187">
        <v>0.42184300341296926</v>
      </c>
      <c r="N187" s="5">
        <v>44788</v>
      </c>
      <c r="O187" s="5">
        <v>44839</v>
      </c>
      <c r="P187">
        <v>0.40699999999999997</v>
      </c>
      <c r="Q187" s="4">
        <v>150</v>
      </c>
      <c r="R187">
        <v>0.4</v>
      </c>
      <c r="S187" t="s">
        <v>70</v>
      </c>
      <c r="T187" s="6">
        <v>5</v>
      </c>
      <c r="U187" s="5">
        <v>44950</v>
      </c>
      <c r="V187" s="6">
        <v>2</v>
      </c>
      <c r="W187" t="s">
        <v>71</v>
      </c>
      <c r="X187" s="6">
        <v>111</v>
      </c>
      <c r="Y187">
        <v>8.0286299999999997</v>
      </c>
      <c r="Z187">
        <v>7.1049823008849557</v>
      </c>
      <c r="AA187" s="6">
        <v>35.767621624112707</v>
      </c>
      <c r="AB187" s="4">
        <v>70.556511056511056</v>
      </c>
      <c r="AC187" s="6">
        <v>27.958247000853166</v>
      </c>
      <c r="AD187">
        <v>0.371771772</v>
      </c>
      <c r="AE187">
        <v>1.8624862220515825</v>
      </c>
      <c r="AF187">
        <v>14650</v>
      </c>
      <c r="AG187" s="4">
        <v>500</v>
      </c>
      <c r="AH187" s="4">
        <v>6180</v>
      </c>
      <c r="AL187">
        <v>24</v>
      </c>
      <c r="AM187">
        <v>3.0132300000000001</v>
      </c>
      <c r="AN187" t="s">
        <v>81</v>
      </c>
      <c r="AO187" t="s">
        <v>104</v>
      </c>
      <c r="AP187" s="5">
        <v>44841</v>
      </c>
      <c r="AQ187" t="s">
        <v>108</v>
      </c>
      <c r="AR187" s="5">
        <v>44949</v>
      </c>
      <c r="AS187">
        <v>261.74504865711833</v>
      </c>
      <c r="AT187" s="6"/>
      <c r="AU187">
        <v>20.277432139729942</v>
      </c>
      <c r="AV187">
        <v>62.811061164856262</v>
      </c>
      <c r="AW187">
        <v>24.686394814557413</v>
      </c>
      <c r="AX187">
        <v>107.77488811914361</v>
      </c>
      <c r="AY187">
        <v>44.752132057399571</v>
      </c>
      <c r="AZ187">
        <v>42.818017519801003</v>
      </c>
      <c r="BA187">
        <v>9.6600939388164608</v>
      </c>
      <c r="BB187">
        <v>12.27215975826511</v>
      </c>
      <c r="BC187">
        <v>17.105191047538625</v>
      </c>
      <c r="BD187">
        <v>126.60759432182077</v>
      </c>
      <c r="BE187">
        <v>27.362566216153951</v>
      </c>
      <c r="BF187">
        <v>51.243265663008515</v>
      </c>
      <c r="BG187">
        <v>0.13828137552733152</v>
      </c>
      <c r="BH187">
        <v>51.381547038535842</v>
      </c>
      <c r="BI187">
        <v>285.76402947950027</v>
      </c>
      <c r="BJ187" s="6">
        <v>187</v>
      </c>
      <c r="BK187">
        <v>-24.018980822381931</v>
      </c>
      <c r="BL187" s="4">
        <v>-192.83951000000025</v>
      </c>
      <c r="BM187" t="s">
        <v>1382</v>
      </c>
      <c r="BN187" t="s">
        <v>65</v>
      </c>
      <c r="BO187">
        <v>1</v>
      </c>
      <c r="BP187">
        <v>2023</v>
      </c>
      <c r="BQ187" t="str">
        <f t="shared" si="11"/>
        <v>Roiphet11</v>
      </c>
      <c r="BR187">
        <f t="shared" si="12"/>
        <v>-792.93985000000021</v>
      </c>
      <c r="BS187">
        <f t="shared" si="13"/>
        <v>2101.45415</v>
      </c>
      <c r="BT187" s="6">
        <f t="shared" si="14"/>
        <v>-98.764029479500266</v>
      </c>
    </row>
    <row r="188" spans="1:72">
      <c r="A188" s="3" t="s">
        <v>967</v>
      </c>
      <c r="B188" s="3" t="s">
        <v>1174</v>
      </c>
      <c r="C188" s="3" t="s">
        <v>1364</v>
      </c>
      <c r="D188" s="2" t="s">
        <v>1387</v>
      </c>
      <c r="E188" s="4" t="str">
        <f t="shared" si="10"/>
        <v>Roiphet1B2-G03-0079</v>
      </c>
      <c r="F188">
        <v>1.1299999999999999</v>
      </c>
      <c r="G188">
        <v>1.5</v>
      </c>
      <c r="H188" t="s">
        <v>84</v>
      </c>
      <c r="I188" t="s">
        <v>67</v>
      </c>
      <c r="J188" t="s">
        <v>357</v>
      </c>
      <c r="K188" t="s">
        <v>89</v>
      </c>
      <c r="L188" t="s">
        <v>89</v>
      </c>
      <c r="M188">
        <v>0.62052153357464723</v>
      </c>
      <c r="N188" s="5">
        <v>44839</v>
      </c>
      <c r="O188" s="5">
        <v>44865</v>
      </c>
      <c r="P188">
        <v>0.47</v>
      </c>
      <c r="Q188" s="4">
        <v>173</v>
      </c>
      <c r="R188">
        <v>0.33900000000000002</v>
      </c>
      <c r="S188" t="s">
        <v>70</v>
      </c>
      <c r="T188" s="6">
        <v>2</v>
      </c>
      <c r="U188" s="5">
        <v>44983</v>
      </c>
      <c r="V188" s="6">
        <v>2</v>
      </c>
      <c r="W188" t="s">
        <v>71</v>
      </c>
      <c r="X188" s="6">
        <v>118.00000000000001</v>
      </c>
      <c r="Y188">
        <v>5.5274200000000002</v>
      </c>
      <c r="Z188">
        <v>4.8915221238938056</v>
      </c>
      <c r="AA188" s="6">
        <v>32.706760115931118</v>
      </c>
      <c r="AB188" s="4">
        <v>38.464680851063832</v>
      </c>
      <c r="AC188" s="6">
        <v>30.574719001681569</v>
      </c>
      <c r="AD188">
        <v>0.36558695699999999</v>
      </c>
      <c r="AE188">
        <v>2.5218146185888122</v>
      </c>
      <c r="AF188">
        <v>13537</v>
      </c>
      <c r="AG188" s="4">
        <v>0</v>
      </c>
      <c r="AH188" s="4">
        <v>8400</v>
      </c>
      <c r="AL188">
        <v>23</v>
      </c>
      <c r="AM188">
        <v>4.6890700000000001</v>
      </c>
      <c r="AN188" t="s">
        <v>81</v>
      </c>
      <c r="AO188" t="s">
        <v>92</v>
      </c>
      <c r="AP188" s="5">
        <v>44869</v>
      </c>
      <c r="AQ188" t="s">
        <v>136</v>
      </c>
      <c r="AR188" s="5">
        <v>44981</v>
      </c>
      <c r="AS188">
        <v>280.96491672425833</v>
      </c>
      <c r="AT188" s="6"/>
      <c r="AU188">
        <v>34.012251647242294</v>
      </c>
      <c r="AV188">
        <v>80.832827973991471</v>
      </c>
      <c r="AW188">
        <v>23.588290739621744</v>
      </c>
      <c r="AX188">
        <v>138.43337036085549</v>
      </c>
      <c r="AY188">
        <v>49.151969635019597</v>
      </c>
      <c r="AZ188">
        <v>61.591330132322135</v>
      </c>
      <c r="BA188">
        <v>10.84085884553734</v>
      </c>
      <c r="BB188">
        <v>13.891395985830641</v>
      </c>
      <c r="BC188">
        <v>21.001595681167704</v>
      </c>
      <c r="BD188">
        <v>156.47715027987741</v>
      </c>
      <c r="BE188">
        <v>-13.945603916474568</v>
      </c>
      <c r="BF188">
        <v>59.019434021659293</v>
      </c>
      <c r="BG188">
        <v>0.1563496170003365</v>
      </c>
      <c r="BH188">
        <v>59.175783638659631</v>
      </c>
      <c r="BI188">
        <v>354.08630427939255</v>
      </c>
      <c r="BJ188" s="6">
        <v>192</v>
      </c>
      <c r="BK188">
        <v>-73.121387555134206</v>
      </c>
      <c r="BL188" s="4">
        <v>-404.17261999999988</v>
      </c>
      <c r="BM188" t="s">
        <v>1388</v>
      </c>
      <c r="BN188" t="s">
        <v>65</v>
      </c>
      <c r="BO188">
        <v>2</v>
      </c>
      <c r="BP188">
        <v>2023</v>
      </c>
      <c r="BQ188" t="str">
        <f t="shared" si="11"/>
        <v>Roiphet12</v>
      </c>
      <c r="BR188">
        <f t="shared" si="12"/>
        <v>-895.91908000000001</v>
      </c>
      <c r="BS188">
        <f t="shared" si="13"/>
        <v>1553.0110999999999</v>
      </c>
      <c r="BT188" s="6">
        <f t="shared" si="14"/>
        <v>-162.08630427939255</v>
      </c>
    </row>
    <row r="189" spans="1:72">
      <c r="A189" s="3" t="s">
        <v>967</v>
      </c>
      <c r="B189" s="3" t="s">
        <v>1174</v>
      </c>
      <c r="C189" s="3" t="s">
        <v>1364</v>
      </c>
      <c r="D189" s="2" t="s">
        <v>1385</v>
      </c>
      <c r="E189" s="4" t="str">
        <f t="shared" si="10"/>
        <v>Roiphet1B2-I03-0094</v>
      </c>
      <c r="F189">
        <v>0.72</v>
      </c>
      <c r="G189">
        <v>1.3</v>
      </c>
      <c r="H189" t="s">
        <v>72</v>
      </c>
      <c r="I189" t="s">
        <v>67</v>
      </c>
      <c r="J189" t="s">
        <v>357</v>
      </c>
      <c r="K189" t="s">
        <v>89</v>
      </c>
      <c r="L189" t="s">
        <v>89</v>
      </c>
      <c r="M189">
        <v>0.67549668874172186</v>
      </c>
      <c r="N189" s="5">
        <v>44839</v>
      </c>
      <c r="O189" s="5">
        <v>44865</v>
      </c>
      <c r="P189">
        <v>0.26</v>
      </c>
      <c r="Q189" s="4">
        <v>174</v>
      </c>
      <c r="R189">
        <v>0.34</v>
      </c>
      <c r="S189" t="s">
        <v>70</v>
      </c>
      <c r="T189" s="6">
        <v>2</v>
      </c>
      <c r="U189" s="5">
        <v>44983</v>
      </c>
      <c r="V189" s="6">
        <v>2</v>
      </c>
      <c r="W189" t="s">
        <v>71</v>
      </c>
      <c r="X189" s="6">
        <v>118</v>
      </c>
      <c r="Y189">
        <v>2.8410700000000002</v>
      </c>
      <c r="Z189">
        <v>3.9459305555555559</v>
      </c>
      <c r="AA189" s="6">
        <v>32.796798389339223</v>
      </c>
      <c r="AB189" s="4">
        <v>35.837692307692308</v>
      </c>
      <c r="AC189" s="6">
        <v>30.490781085664004</v>
      </c>
      <c r="AD189">
        <v>0.36557848199999998</v>
      </c>
      <c r="AE189">
        <v>2.7427616521960254</v>
      </c>
      <c r="AF189">
        <v>7550</v>
      </c>
      <c r="AG189" s="4">
        <v>0</v>
      </c>
      <c r="AH189" s="4">
        <v>5100</v>
      </c>
      <c r="AL189">
        <v>23</v>
      </c>
      <c r="AM189">
        <v>2.4376799999999998</v>
      </c>
      <c r="AN189" t="s">
        <v>81</v>
      </c>
      <c r="AO189" t="s">
        <v>102</v>
      </c>
      <c r="AP189" s="5">
        <v>44869</v>
      </c>
      <c r="AQ189" t="s">
        <v>198</v>
      </c>
      <c r="AR189" s="5">
        <v>44981</v>
      </c>
      <c r="AS189">
        <v>279.9521694291235</v>
      </c>
      <c r="AT189" s="6"/>
      <c r="AU189">
        <v>36.605926640315097</v>
      </c>
      <c r="AV189">
        <v>87.588883765623535</v>
      </c>
      <c r="AW189">
        <v>28.33994938526682</v>
      </c>
      <c r="AX189">
        <v>152.53475979120546</v>
      </c>
      <c r="AY189">
        <v>60.930607130412128</v>
      </c>
      <c r="AZ189">
        <v>76.350899485053162</v>
      </c>
      <c r="BA189">
        <v>13.438729070385454</v>
      </c>
      <c r="BB189">
        <v>17.22029376256129</v>
      </c>
      <c r="BC189">
        <v>26.034356774032315</v>
      </c>
      <c r="BD189">
        <v>193.97488622244435</v>
      </c>
      <c r="BE189">
        <v>-66.557476584526313</v>
      </c>
      <c r="BF189">
        <v>73.162688705311723</v>
      </c>
      <c r="BG189">
        <v>0.19381430235791444</v>
      </c>
      <c r="BH189">
        <v>73.356503007669644</v>
      </c>
      <c r="BI189">
        <v>419.86614902131936</v>
      </c>
      <c r="BJ189" s="6">
        <v>192</v>
      </c>
      <c r="BK189">
        <v>-139.91397959219586</v>
      </c>
      <c r="BL189" s="4">
        <v>-397.50540999999993</v>
      </c>
      <c r="BM189" t="s">
        <v>1386</v>
      </c>
      <c r="BN189" t="s">
        <v>65</v>
      </c>
      <c r="BO189">
        <v>2</v>
      </c>
      <c r="BP189">
        <v>2023</v>
      </c>
      <c r="BQ189" t="str">
        <f t="shared" si="11"/>
        <v>Roiphet12</v>
      </c>
      <c r="BR189">
        <f t="shared" si="12"/>
        <v>-647.3836799999998</v>
      </c>
      <c r="BS189">
        <f t="shared" si="13"/>
        <v>795.36370999999997</v>
      </c>
      <c r="BT189" s="6">
        <f t="shared" si="14"/>
        <v>-227.86614902131936</v>
      </c>
    </row>
    <row r="190" spans="1:72">
      <c r="A190" s="3" t="s">
        <v>967</v>
      </c>
      <c r="B190" s="3" t="s">
        <v>1174</v>
      </c>
      <c r="C190" s="3" t="s">
        <v>1364</v>
      </c>
      <c r="D190" s="2" t="s">
        <v>1383</v>
      </c>
      <c r="E190" s="4" t="str">
        <f t="shared" si="10"/>
        <v>Roiphet1B2-G04-0091</v>
      </c>
      <c r="F190">
        <v>1.1299999999999999</v>
      </c>
      <c r="G190">
        <v>1.5</v>
      </c>
      <c r="H190" t="s">
        <v>84</v>
      </c>
      <c r="I190" t="s">
        <v>67</v>
      </c>
      <c r="J190" t="s">
        <v>357</v>
      </c>
      <c r="K190" t="s">
        <v>89</v>
      </c>
      <c r="L190" t="s">
        <v>89</v>
      </c>
      <c r="M190">
        <v>0.54999294880834859</v>
      </c>
      <c r="N190" s="5">
        <v>44839</v>
      </c>
      <c r="O190" s="5">
        <v>44865</v>
      </c>
      <c r="P190">
        <v>0.47</v>
      </c>
      <c r="Q190" s="4">
        <v>173</v>
      </c>
      <c r="R190">
        <v>0.24</v>
      </c>
      <c r="S190" t="s">
        <v>70</v>
      </c>
      <c r="T190" s="6">
        <v>2</v>
      </c>
      <c r="U190" s="5">
        <v>44974</v>
      </c>
      <c r="V190" s="6">
        <v>2</v>
      </c>
      <c r="W190" t="s">
        <v>71</v>
      </c>
      <c r="X190" s="6">
        <v>109</v>
      </c>
      <c r="Y190">
        <v>6.9918500000000003</v>
      </c>
      <c r="Z190">
        <v>6.1874778761061959</v>
      </c>
      <c r="AA190" s="6">
        <v>33.908622181539933</v>
      </c>
      <c r="AB190" s="4">
        <v>50.443404255319145</v>
      </c>
      <c r="AC190" s="6">
        <v>29.49102427831486</v>
      </c>
      <c r="AD190">
        <v>0.36477064199999998</v>
      </c>
      <c r="AE190">
        <v>2.0616068962509631</v>
      </c>
      <c r="AF190">
        <v>14182</v>
      </c>
      <c r="AG190" s="4">
        <v>0</v>
      </c>
      <c r="AH190" s="4">
        <v>7800</v>
      </c>
      <c r="AL190">
        <v>25</v>
      </c>
      <c r="AM190">
        <v>5.9179399999999998</v>
      </c>
      <c r="AN190" t="s">
        <v>81</v>
      </c>
      <c r="AO190" t="s">
        <v>90</v>
      </c>
      <c r="AP190" s="5">
        <v>44869</v>
      </c>
      <c r="AQ190" t="s">
        <v>176</v>
      </c>
      <c r="AR190" s="5">
        <v>44970</v>
      </c>
      <c r="AS190">
        <v>276.99695359597246</v>
      </c>
      <c r="AT190" s="6"/>
      <c r="AU190">
        <v>26.888448693836395</v>
      </c>
      <c r="AV190">
        <v>67.435272495834425</v>
      </c>
      <c r="AW190">
        <v>20.165418308459135</v>
      </c>
      <c r="AX190">
        <v>114.48913949812996</v>
      </c>
      <c r="AY190">
        <v>36.460039903602045</v>
      </c>
      <c r="AZ190">
        <v>45.412465942490186</v>
      </c>
      <c r="BA190">
        <v>8.2715776225176434</v>
      </c>
      <c r="BB190">
        <v>10.154557091470783</v>
      </c>
      <c r="BC190">
        <v>15.818979240115278</v>
      </c>
      <c r="BD190">
        <v>116.11761980019595</v>
      </c>
      <c r="BE190">
        <v>46.390194297646545</v>
      </c>
      <c r="BF190">
        <v>43.638969657529834</v>
      </c>
      <c r="BG190">
        <v>0.11612520291482226</v>
      </c>
      <c r="BH190">
        <v>43.755094860444657</v>
      </c>
      <c r="BI190">
        <v>274.36185415877054</v>
      </c>
      <c r="BJ190" s="6">
        <v>189</v>
      </c>
      <c r="BK190">
        <v>2.6350994372019141</v>
      </c>
      <c r="BL190" s="4">
        <v>18.424220000000204</v>
      </c>
      <c r="BM190" t="s">
        <v>1384</v>
      </c>
      <c r="BN190" t="s">
        <v>65</v>
      </c>
      <c r="BO190">
        <v>2</v>
      </c>
      <c r="BP190">
        <v>2023</v>
      </c>
      <c r="BQ190" t="str">
        <f t="shared" si="11"/>
        <v>Roiphet12</v>
      </c>
      <c r="BR190">
        <f t="shared" si="12"/>
        <v>-596.83727999999985</v>
      </c>
      <c r="BS190">
        <f t="shared" si="13"/>
        <v>1936.7211500000001</v>
      </c>
      <c r="BT190" s="6">
        <f t="shared" si="14"/>
        <v>-85.361854158770541</v>
      </c>
    </row>
    <row r="191" spans="1:72">
      <c r="A191" s="3" t="s">
        <v>967</v>
      </c>
      <c r="B191" s="3" t="s">
        <v>1174</v>
      </c>
      <c r="C191" s="3" t="s">
        <v>1364</v>
      </c>
      <c r="D191" s="2" t="s">
        <v>1373</v>
      </c>
      <c r="E191" s="4" t="str">
        <f t="shared" si="10"/>
        <v>Roiphet1B1-G02-0087</v>
      </c>
      <c r="F191">
        <v>1.1299999999999999</v>
      </c>
      <c r="G191">
        <v>1.5</v>
      </c>
      <c r="H191" t="s">
        <v>84</v>
      </c>
      <c r="I191" t="s">
        <v>67</v>
      </c>
      <c r="J191" t="s">
        <v>357</v>
      </c>
      <c r="K191" t="s">
        <v>69</v>
      </c>
      <c r="L191" t="s">
        <v>69</v>
      </c>
      <c r="M191">
        <v>0.45482737233822618</v>
      </c>
      <c r="N191" s="5">
        <v>44835</v>
      </c>
      <c r="O191" s="5">
        <v>44859</v>
      </c>
      <c r="P191">
        <v>0.47</v>
      </c>
      <c r="Q191" s="4">
        <v>173</v>
      </c>
      <c r="R191">
        <v>0.3</v>
      </c>
      <c r="S191" t="s">
        <v>70</v>
      </c>
      <c r="T191" s="6">
        <v>3</v>
      </c>
      <c r="U191" s="5">
        <v>44965</v>
      </c>
      <c r="V191" s="6">
        <v>2</v>
      </c>
      <c r="W191" t="s">
        <v>71</v>
      </c>
      <c r="X191" s="6">
        <v>106</v>
      </c>
      <c r="Y191">
        <v>8.08413</v>
      </c>
      <c r="Z191">
        <v>7.1540973451327439</v>
      </c>
      <c r="AA191" s="6">
        <v>41.3967860487152</v>
      </c>
      <c r="AB191" s="4">
        <v>71.2036170212766</v>
      </c>
      <c r="AC191" s="6">
        <v>24.156464678760642</v>
      </c>
      <c r="AD191">
        <v>0.36001451400000001</v>
      </c>
      <c r="AE191">
        <v>1.8268617031321406</v>
      </c>
      <c r="AF191">
        <v>14511</v>
      </c>
      <c r="AG191" s="4">
        <v>0</v>
      </c>
      <c r="AH191" s="4">
        <v>6600</v>
      </c>
      <c r="AL191">
        <v>25.999999999999996</v>
      </c>
      <c r="AM191">
        <v>5.26206</v>
      </c>
      <c r="AN191" t="s">
        <v>81</v>
      </c>
      <c r="AO191" t="s">
        <v>90</v>
      </c>
      <c r="AP191" s="5">
        <v>44865</v>
      </c>
      <c r="AQ191" t="s">
        <v>136</v>
      </c>
      <c r="AR191" s="5">
        <v>44963</v>
      </c>
      <c r="AS191">
        <v>256.66702539419822</v>
      </c>
      <c r="AT191" s="6"/>
      <c r="AU191">
        <v>23.255439979317501</v>
      </c>
      <c r="AV191">
        <v>60.116441719764538</v>
      </c>
      <c r="AW191">
        <v>17.447602896044476</v>
      </c>
      <c r="AX191">
        <v>100.81948459512653</v>
      </c>
      <c r="AY191">
        <v>30.464309703084929</v>
      </c>
      <c r="AZ191">
        <v>37.129738141271851</v>
      </c>
      <c r="BA191">
        <v>7.3122747902371668</v>
      </c>
      <c r="BB191">
        <v>8.1847793145335359</v>
      </c>
      <c r="BC191">
        <v>13.700081517739076</v>
      </c>
      <c r="BD191">
        <v>96.791183466866556</v>
      </c>
      <c r="BE191">
        <v>59.056357332205124</v>
      </c>
      <c r="BF191">
        <v>36.355589284190145</v>
      </c>
      <c r="BG191">
        <v>9.7286906568795906E-2</v>
      </c>
      <c r="BH191">
        <v>36.452876190758936</v>
      </c>
      <c r="BI191">
        <v>234.063544252752</v>
      </c>
      <c r="BJ191" s="6">
        <v>181</v>
      </c>
      <c r="BK191">
        <v>22.603481141446235</v>
      </c>
      <c r="BL191" s="4">
        <v>182.72947999999974</v>
      </c>
      <c r="BM191" t="s">
        <v>1374</v>
      </c>
      <c r="BN191" t="s">
        <v>65</v>
      </c>
      <c r="BO191">
        <v>2</v>
      </c>
      <c r="BP191">
        <v>2023</v>
      </c>
      <c r="BQ191" t="str">
        <f t="shared" si="11"/>
        <v>Roiphet12</v>
      </c>
      <c r="BR191">
        <f t="shared" si="12"/>
        <v>-428.97258999999997</v>
      </c>
      <c r="BS191">
        <f t="shared" si="13"/>
        <v>2074.9295999999995</v>
      </c>
      <c r="BT191" s="6">
        <f t="shared" si="14"/>
        <v>-53.063544252751996</v>
      </c>
    </row>
    <row r="192" spans="1:72">
      <c r="A192" s="3" t="s">
        <v>967</v>
      </c>
      <c r="B192" s="3" t="s">
        <v>1174</v>
      </c>
      <c r="C192" s="3" t="s">
        <v>1364</v>
      </c>
      <c r="D192" s="2" t="s">
        <v>1377</v>
      </c>
      <c r="E192" s="4" t="str">
        <f t="shared" si="10"/>
        <v>Roiphet1B1-I02-0094</v>
      </c>
      <c r="F192">
        <v>0.72</v>
      </c>
      <c r="G192">
        <v>1.3</v>
      </c>
      <c r="H192" t="s">
        <v>72</v>
      </c>
      <c r="I192" t="s">
        <v>67</v>
      </c>
      <c r="J192" t="s">
        <v>357</v>
      </c>
      <c r="K192" t="s">
        <v>69</v>
      </c>
      <c r="L192" t="s">
        <v>69</v>
      </c>
      <c r="M192">
        <v>0.56694286960314</v>
      </c>
      <c r="N192" s="5">
        <v>44835</v>
      </c>
      <c r="O192" s="5">
        <v>44859</v>
      </c>
      <c r="P192">
        <v>0.26</v>
      </c>
      <c r="Q192" s="4">
        <v>174</v>
      </c>
      <c r="R192">
        <v>0.3</v>
      </c>
      <c r="S192" t="s">
        <v>70</v>
      </c>
      <c r="T192" s="6">
        <v>3</v>
      </c>
      <c r="U192" s="5">
        <v>44972</v>
      </c>
      <c r="V192" s="6">
        <v>2</v>
      </c>
      <c r="W192" t="s">
        <v>71</v>
      </c>
      <c r="X192" s="6">
        <v>113</v>
      </c>
      <c r="Y192">
        <v>4.9142000000000001</v>
      </c>
      <c r="Z192">
        <v>6.825277777777778</v>
      </c>
      <c r="AA192" s="6">
        <v>37.206666395344108</v>
      </c>
      <c r="AB192" s="4">
        <v>70.323461538461544</v>
      </c>
      <c r="AC192" s="6">
        <v>26.876903976679188</v>
      </c>
      <c r="AD192">
        <v>0.33771273000000002</v>
      </c>
      <c r="AE192">
        <v>1.8965303337330963</v>
      </c>
      <c r="AF192">
        <v>9172</v>
      </c>
      <c r="AG192" s="4">
        <v>0</v>
      </c>
      <c r="AH192" s="4">
        <v>5200</v>
      </c>
      <c r="AL192">
        <v>26</v>
      </c>
      <c r="AM192">
        <v>3.4093200000000001</v>
      </c>
      <c r="AN192" t="s">
        <v>81</v>
      </c>
      <c r="AO192" t="s">
        <v>99</v>
      </c>
      <c r="AP192" s="5">
        <v>44865</v>
      </c>
      <c r="AQ192" t="s">
        <v>131</v>
      </c>
      <c r="AR192" s="5">
        <v>44963</v>
      </c>
      <c r="AS192">
        <v>256.64225306255338</v>
      </c>
      <c r="AT192" s="6"/>
      <c r="AU192">
        <v>21.163159822555045</v>
      </c>
      <c r="AV192">
        <v>62.735429978429863</v>
      </c>
      <c r="AW192">
        <v>18.181854625371368</v>
      </c>
      <c r="AX192">
        <v>102.08044442635627</v>
      </c>
      <c r="AY192">
        <v>33.622196898783123</v>
      </c>
      <c r="AZ192">
        <v>41.230310121688177</v>
      </c>
      <c r="BA192">
        <v>7.8751536364006354</v>
      </c>
      <c r="BB192">
        <v>9.1624313214765376</v>
      </c>
      <c r="BC192">
        <v>14.912809816450288</v>
      </c>
      <c r="BD192">
        <v>106.80290179479876</v>
      </c>
      <c r="BE192">
        <v>47.758906841398343</v>
      </c>
      <c r="BF192">
        <v>40.235739286150334</v>
      </c>
      <c r="BG192">
        <v>0.10724431240079771</v>
      </c>
      <c r="BH192">
        <v>40.342983598551129</v>
      </c>
      <c r="BI192">
        <v>249.22632981970617</v>
      </c>
      <c r="BJ192" s="6">
        <v>185</v>
      </c>
      <c r="BK192">
        <v>7.415923242847227</v>
      </c>
      <c r="BL192" s="4">
        <v>36.44332999999984</v>
      </c>
      <c r="BM192" t="s">
        <v>1378</v>
      </c>
      <c r="BN192" t="s">
        <v>65</v>
      </c>
      <c r="BO192">
        <v>2</v>
      </c>
      <c r="BP192">
        <v>2023</v>
      </c>
      <c r="BQ192" t="str">
        <f t="shared" si="11"/>
        <v>Roiphet12</v>
      </c>
      <c r="BR192">
        <f t="shared" si="12"/>
        <v>-315.62103000000008</v>
      </c>
      <c r="BS192">
        <f t="shared" si="13"/>
        <v>1261.1913599999998</v>
      </c>
      <c r="BT192" s="6">
        <f t="shared" si="14"/>
        <v>-64.226329819706166</v>
      </c>
    </row>
    <row r="193" spans="1:72">
      <c r="A193" s="3" t="s">
        <v>967</v>
      </c>
      <c r="B193" s="3" t="s">
        <v>1174</v>
      </c>
      <c r="C193" s="3" t="s">
        <v>1364</v>
      </c>
      <c r="D193" s="2" t="s">
        <v>1366</v>
      </c>
      <c r="E193" s="4" t="str">
        <f t="shared" si="10"/>
        <v>Roiphet1B1-G01-0083</v>
      </c>
      <c r="F193">
        <v>1.1299999999999999</v>
      </c>
      <c r="G193">
        <v>1.5</v>
      </c>
      <c r="H193" t="s">
        <v>84</v>
      </c>
      <c r="I193" t="s">
        <v>67</v>
      </c>
      <c r="J193" t="s">
        <v>357</v>
      </c>
      <c r="K193" t="s">
        <v>69</v>
      </c>
      <c r="L193" t="s">
        <v>69</v>
      </c>
      <c r="M193">
        <v>0.50324056423942054</v>
      </c>
      <c r="N193" s="5">
        <v>44835</v>
      </c>
      <c r="O193" s="5">
        <v>44859</v>
      </c>
      <c r="P193">
        <v>0.47</v>
      </c>
      <c r="Q193" s="4">
        <v>173</v>
      </c>
      <c r="R193">
        <v>0.3</v>
      </c>
      <c r="S193" t="s">
        <v>70</v>
      </c>
      <c r="T193" s="6">
        <v>3</v>
      </c>
      <c r="U193" s="5">
        <v>44966</v>
      </c>
      <c r="V193" s="6">
        <v>2</v>
      </c>
      <c r="W193" t="s">
        <v>71</v>
      </c>
      <c r="X193" s="6">
        <v>107</v>
      </c>
      <c r="Y193">
        <v>6.3224</v>
      </c>
      <c r="Z193">
        <v>5.5950442477876114</v>
      </c>
      <c r="AA193" s="6">
        <v>46.58816272301658</v>
      </c>
      <c r="AB193" s="4">
        <v>62.67</v>
      </c>
      <c r="AC193" s="6">
        <v>21.464679900457988</v>
      </c>
      <c r="AD193">
        <v>0.33097463300000002</v>
      </c>
      <c r="AE193">
        <v>2.1216876435758891</v>
      </c>
      <c r="AF193">
        <v>13115</v>
      </c>
      <c r="AG193" s="4">
        <v>0</v>
      </c>
      <c r="AH193" s="4">
        <v>6600</v>
      </c>
      <c r="AL193">
        <v>28</v>
      </c>
      <c r="AM193">
        <v>3.9132500000000001</v>
      </c>
      <c r="AN193" t="s">
        <v>81</v>
      </c>
      <c r="AO193" t="s">
        <v>90</v>
      </c>
      <c r="AP193" s="5">
        <v>44865</v>
      </c>
      <c r="AQ193" t="s">
        <v>189</v>
      </c>
      <c r="AR193" s="5">
        <v>44963</v>
      </c>
      <c r="AS193">
        <v>240.52244875363786</v>
      </c>
      <c r="AT193" s="6"/>
      <c r="AU193">
        <v>29.735543464507156</v>
      </c>
      <c r="AV193">
        <v>68.698139946855619</v>
      </c>
      <c r="AW193">
        <v>23.86571555105656</v>
      </c>
      <c r="AX193">
        <v>122.29939896241933</v>
      </c>
      <c r="AY193">
        <v>39.247709730482093</v>
      </c>
      <c r="AZ193">
        <v>47.878770719979755</v>
      </c>
      <c r="BA193">
        <v>9.3865335948374042</v>
      </c>
      <c r="BB193">
        <v>10.567115335948374</v>
      </c>
      <c r="BC193">
        <v>17.613914019992407</v>
      </c>
      <c r="BD193">
        <v>124.69404340124004</v>
      </c>
      <c r="BE193">
        <v>-6.4709936100215089</v>
      </c>
      <c r="BF193">
        <v>46.856992597747698</v>
      </c>
      <c r="BG193">
        <v>0.1253147538909275</v>
      </c>
      <c r="BH193">
        <v>46.982307351638624</v>
      </c>
      <c r="BI193">
        <v>293.97574971529804</v>
      </c>
      <c r="BJ193" s="6">
        <v>174</v>
      </c>
      <c r="BK193">
        <v>-53.45330096166019</v>
      </c>
      <c r="BL193" s="4">
        <v>-337.95315000000039</v>
      </c>
      <c r="BM193" t="s">
        <v>1365</v>
      </c>
      <c r="BN193" t="s">
        <v>65</v>
      </c>
      <c r="BO193">
        <v>2</v>
      </c>
      <c r="BP193">
        <v>2023</v>
      </c>
      <c r="BQ193" t="str">
        <f t="shared" si="11"/>
        <v>Roiphet12</v>
      </c>
      <c r="BR193">
        <f t="shared" si="12"/>
        <v>-758.53468000000032</v>
      </c>
      <c r="BS193">
        <f t="shared" si="13"/>
        <v>1520.67913</v>
      </c>
      <c r="BT193" s="6">
        <f t="shared" si="14"/>
        <v>-119.97574971529804</v>
      </c>
    </row>
    <row r="194" spans="1:72">
      <c r="A194" s="3" t="s">
        <v>967</v>
      </c>
      <c r="B194" s="3" t="s">
        <v>1174</v>
      </c>
      <c r="C194" s="3" t="s">
        <v>1364</v>
      </c>
      <c r="D194" s="2" t="s">
        <v>1369</v>
      </c>
      <c r="E194" s="4" t="str">
        <f t="shared" si="10"/>
        <v>Roiphet1B1-I01-0094</v>
      </c>
      <c r="F194">
        <v>0.72</v>
      </c>
      <c r="G194">
        <v>1.3</v>
      </c>
      <c r="H194" t="s">
        <v>72</v>
      </c>
      <c r="I194" t="s">
        <v>67</v>
      </c>
      <c r="J194" t="s">
        <v>357</v>
      </c>
      <c r="K194" t="s">
        <v>69</v>
      </c>
      <c r="L194" t="s">
        <v>69</v>
      </c>
      <c r="M194">
        <v>0.67428906479038409</v>
      </c>
      <c r="N194" s="5">
        <v>44835</v>
      </c>
      <c r="O194" s="5">
        <v>44859</v>
      </c>
      <c r="P194">
        <v>0.26</v>
      </c>
      <c r="Q194" s="4">
        <v>174</v>
      </c>
      <c r="R194">
        <v>0.3</v>
      </c>
      <c r="S194" t="s">
        <v>70</v>
      </c>
      <c r="T194" s="6">
        <v>3</v>
      </c>
      <c r="U194" s="5">
        <v>44966</v>
      </c>
      <c r="V194" s="6">
        <v>2</v>
      </c>
      <c r="W194" t="s">
        <v>71</v>
      </c>
      <c r="X194" s="6">
        <v>107</v>
      </c>
      <c r="Y194">
        <v>3.5503</v>
      </c>
      <c r="Z194">
        <v>4.9309722222222225</v>
      </c>
      <c r="AA194" s="6">
        <v>44.982114187533448</v>
      </c>
      <c r="AB194" s="4">
        <v>61.423076923076927</v>
      </c>
      <c r="AC194" s="6">
        <v>22.231058234189106</v>
      </c>
      <c r="AD194">
        <v>0.33097463300000002</v>
      </c>
      <c r="AE194">
        <v>1.9646919908994038</v>
      </c>
      <c r="AF194">
        <v>6822</v>
      </c>
      <c r="AG194" s="4">
        <v>0</v>
      </c>
      <c r="AH194" s="4">
        <v>4600</v>
      </c>
      <c r="AL194">
        <v>28</v>
      </c>
      <c r="AM194">
        <v>2.2769499999999998</v>
      </c>
      <c r="AN194" t="s">
        <v>81</v>
      </c>
      <c r="AO194" t="s">
        <v>99</v>
      </c>
      <c r="AP194" s="5">
        <v>44865</v>
      </c>
      <c r="AQ194" t="s">
        <v>176</v>
      </c>
      <c r="AR194" s="5">
        <v>44963</v>
      </c>
      <c r="AS194">
        <v>237.97893417457681</v>
      </c>
      <c r="AT194" s="6"/>
      <c r="AU194">
        <v>29.293299157817646</v>
      </c>
      <c r="AV194">
        <v>63.388677013210156</v>
      </c>
      <c r="AW194">
        <v>24.359747063628422</v>
      </c>
      <c r="AX194">
        <v>117.04172323465622</v>
      </c>
      <c r="AY194">
        <v>44.533338027772302</v>
      </c>
      <c r="AZ194">
        <v>54.326778018758972</v>
      </c>
      <c r="BA194">
        <v>10.650649240909219</v>
      </c>
      <c r="BB194">
        <v>11.99022899473284</v>
      </c>
      <c r="BC194">
        <v>19.986040616285948</v>
      </c>
      <c r="BD194">
        <v>141.48703489845929</v>
      </c>
      <c r="BE194">
        <v>-20.549823958538695</v>
      </c>
      <c r="BF194">
        <v>53.167397121370023</v>
      </c>
      <c r="BG194">
        <v>0.1421908007773991</v>
      </c>
      <c r="BH194">
        <v>53.309587922147422</v>
      </c>
      <c r="BI194">
        <v>311.83834605526289</v>
      </c>
      <c r="BJ194" s="6">
        <v>175</v>
      </c>
      <c r="BK194">
        <v>-73.859411880686082</v>
      </c>
      <c r="BL194" s="4">
        <v>-262.22306999999984</v>
      </c>
      <c r="BM194" t="s">
        <v>1370</v>
      </c>
      <c r="BN194" t="s">
        <v>65</v>
      </c>
      <c r="BO194">
        <v>2</v>
      </c>
      <c r="BP194">
        <v>2023</v>
      </c>
      <c r="BQ194" t="str">
        <f t="shared" si="11"/>
        <v>Roiphet12</v>
      </c>
      <c r="BR194">
        <f t="shared" si="12"/>
        <v>-485.81717999999984</v>
      </c>
      <c r="BS194">
        <f t="shared" si="13"/>
        <v>844.89661000000001</v>
      </c>
      <c r="BT194" s="6">
        <f t="shared" si="14"/>
        <v>-136.83834605526289</v>
      </c>
    </row>
    <row r="195" spans="1:72">
      <c r="A195" s="3" t="s">
        <v>967</v>
      </c>
      <c r="B195" s="3" t="s">
        <v>1174</v>
      </c>
      <c r="C195" s="3" t="s">
        <v>1364</v>
      </c>
      <c r="D195" s="2" t="s">
        <v>1371</v>
      </c>
      <c r="E195" s="4" t="str">
        <f t="shared" si="10"/>
        <v>Roiphet1B6-G11-0081</v>
      </c>
      <c r="F195">
        <v>1.1299999999999999</v>
      </c>
      <c r="G195">
        <v>1.5</v>
      </c>
      <c r="H195" t="s">
        <v>84</v>
      </c>
      <c r="I195" t="s">
        <v>67</v>
      </c>
      <c r="J195" t="s">
        <v>357</v>
      </c>
      <c r="K195" t="s">
        <v>89</v>
      </c>
      <c r="L195" t="s">
        <v>89</v>
      </c>
      <c r="M195">
        <v>0.39720880300590444</v>
      </c>
      <c r="N195" s="5">
        <v>44788</v>
      </c>
      <c r="O195" s="5">
        <v>44839</v>
      </c>
      <c r="P195">
        <v>0.49299999999999999</v>
      </c>
      <c r="Q195" s="4">
        <v>182</v>
      </c>
      <c r="R195">
        <v>0.40100000000000002</v>
      </c>
      <c r="S195" t="s">
        <v>70</v>
      </c>
      <c r="T195" s="6">
        <v>4</v>
      </c>
      <c r="U195" s="5">
        <v>44947</v>
      </c>
      <c r="V195" s="6">
        <v>2</v>
      </c>
      <c r="W195" t="s">
        <v>71</v>
      </c>
      <c r="X195" s="6">
        <v>108</v>
      </c>
      <c r="Y195">
        <v>6.7478699999999998</v>
      </c>
      <c r="Z195">
        <v>5.9715663716814165</v>
      </c>
      <c r="AA195" s="6">
        <v>42.345806899065927</v>
      </c>
      <c r="AB195" s="4">
        <v>57.960243407707914</v>
      </c>
      <c r="AC195" s="6">
        <v>23.615089030740805</v>
      </c>
      <c r="AD195">
        <v>0.32697486799999997</v>
      </c>
      <c r="AE195">
        <v>1.9909102983541138</v>
      </c>
      <c r="AF195">
        <v>13041</v>
      </c>
      <c r="AG195" s="4">
        <v>500</v>
      </c>
      <c r="AH195" s="4">
        <v>5180</v>
      </c>
      <c r="AL195">
        <v>28.000000000000004</v>
      </c>
      <c r="AM195">
        <v>2.4369200000000002</v>
      </c>
      <c r="AN195" t="s">
        <v>81</v>
      </c>
      <c r="AO195" t="s">
        <v>104</v>
      </c>
      <c r="AP195" s="5">
        <v>44841</v>
      </c>
      <c r="AQ195" t="s">
        <v>97</v>
      </c>
      <c r="AR195" s="5">
        <v>44946</v>
      </c>
      <c r="AS195">
        <v>234.61375663727964</v>
      </c>
      <c r="AT195" s="6"/>
      <c r="AU195">
        <v>29.224036621926622</v>
      </c>
      <c r="AV195">
        <v>65.898923660355052</v>
      </c>
      <c r="AW195">
        <v>30.820158064693015</v>
      </c>
      <c r="AX195">
        <v>125.94311834697469</v>
      </c>
      <c r="AY195">
        <v>52.544642976228054</v>
      </c>
      <c r="AZ195">
        <v>49.741995622322314</v>
      </c>
      <c r="BA195">
        <v>11.376702574293816</v>
      </c>
      <c r="BB195">
        <v>14.553098977899692</v>
      </c>
      <c r="BC195">
        <v>20.159574799158843</v>
      </c>
      <c r="BD195">
        <v>148.37601494990272</v>
      </c>
      <c r="BE195">
        <v>-39.705376659597775</v>
      </c>
      <c r="BF195">
        <v>60.073906284501632</v>
      </c>
      <c r="BG195">
        <v>0.16210893215192348</v>
      </c>
      <c r="BH195">
        <v>60.236015216653563</v>
      </c>
      <c r="BI195">
        <v>334.55514851353092</v>
      </c>
      <c r="BJ195" s="6">
        <v>180</v>
      </c>
      <c r="BK195">
        <v>-99.941391876251288</v>
      </c>
      <c r="BL195" s="4">
        <v>-674.39151999999979</v>
      </c>
      <c r="BM195" t="s">
        <v>1372</v>
      </c>
      <c r="BN195" t="s">
        <v>65</v>
      </c>
      <c r="BO195">
        <v>1</v>
      </c>
      <c r="BP195">
        <v>2023</v>
      </c>
      <c r="BQ195" t="str">
        <f t="shared" si="11"/>
        <v>Roiphet11</v>
      </c>
      <c r="BR195">
        <f t="shared" si="12"/>
        <v>-1042.91805</v>
      </c>
      <c r="BS195">
        <f t="shared" si="13"/>
        <v>1583.1431300000002</v>
      </c>
      <c r="BT195" s="6">
        <f t="shared" si="14"/>
        <v>-154.55514851353092</v>
      </c>
    </row>
    <row r="196" spans="1:72">
      <c r="A196" s="3" t="s">
        <v>967</v>
      </c>
      <c r="B196" s="3" t="s">
        <v>1174</v>
      </c>
      <c r="C196" s="3" t="s">
        <v>1364</v>
      </c>
      <c r="D196" s="2" t="s">
        <v>1375</v>
      </c>
      <c r="E196" s="4" t="str">
        <f t="shared" ref="E196:E259" si="15">B196&amp;D196</f>
        <v>Roiphet1B6-I12-0085</v>
      </c>
      <c r="F196">
        <v>0.72</v>
      </c>
      <c r="G196">
        <v>1.3</v>
      </c>
      <c r="H196" t="s">
        <v>72</v>
      </c>
      <c r="I196" t="s">
        <v>67</v>
      </c>
      <c r="J196" t="s">
        <v>357</v>
      </c>
      <c r="K196" t="s">
        <v>89</v>
      </c>
      <c r="L196" t="s">
        <v>89</v>
      </c>
      <c r="M196">
        <v>0.50775740479548659</v>
      </c>
      <c r="N196" s="5">
        <v>44788</v>
      </c>
      <c r="O196" s="5">
        <v>44847</v>
      </c>
      <c r="P196">
        <v>0.2</v>
      </c>
      <c r="Q196" s="4">
        <v>134</v>
      </c>
      <c r="R196">
        <v>0.2</v>
      </c>
      <c r="S196" t="s">
        <v>70</v>
      </c>
      <c r="T196" s="6">
        <v>3</v>
      </c>
      <c r="U196" s="5">
        <v>44954</v>
      </c>
      <c r="V196" s="6">
        <v>2</v>
      </c>
      <c r="W196" t="s">
        <v>71</v>
      </c>
      <c r="X196" s="6">
        <v>107</v>
      </c>
      <c r="Y196">
        <v>3.5630799999999998</v>
      </c>
      <c r="Z196">
        <v>4.948722222222222</v>
      </c>
      <c r="AA196" s="6">
        <v>39.697957946495727</v>
      </c>
      <c r="AB196" s="4">
        <v>70.723500000000001</v>
      </c>
      <c r="AC196" s="6">
        <v>25.190212588460696</v>
      </c>
      <c r="AD196">
        <v>0.29018691600000002</v>
      </c>
      <c r="AE196">
        <v>2.012443657254448</v>
      </c>
      <c r="AF196">
        <v>7090</v>
      </c>
      <c r="AG196" s="4">
        <v>0</v>
      </c>
      <c r="AH196" s="4">
        <v>3600</v>
      </c>
      <c r="AL196">
        <v>32</v>
      </c>
      <c r="AM196">
        <v>2.13096</v>
      </c>
      <c r="AN196" t="s">
        <v>81</v>
      </c>
      <c r="AO196" t="s">
        <v>105</v>
      </c>
      <c r="AP196" s="5">
        <v>44848</v>
      </c>
      <c r="AQ196" t="s">
        <v>108</v>
      </c>
      <c r="AR196" s="5">
        <v>44949</v>
      </c>
      <c r="AS196">
        <v>238.49442617061644</v>
      </c>
      <c r="AT196" s="6"/>
      <c r="AU196">
        <v>22.452484928769493</v>
      </c>
      <c r="AV196">
        <v>68.777512713719588</v>
      </c>
      <c r="AW196">
        <v>33.870454775082223</v>
      </c>
      <c r="AX196">
        <v>125.10045241757129</v>
      </c>
      <c r="AY196">
        <v>65.380266510996094</v>
      </c>
      <c r="AZ196">
        <v>63.410243384936642</v>
      </c>
      <c r="BA196">
        <v>14.057262256250212</v>
      </c>
      <c r="BB196">
        <v>17.697169302962607</v>
      </c>
      <c r="BC196">
        <v>24.867491047071635</v>
      </c>
      <c r="BD196">
        <v>185.4124325022172</v>
      </c>
      <c r="BE196">
        <v>-72.018458749172055</v>
      </c>
      <c r="BF196">
        <v>75.011711777450969</v>
      </c>
      <c r="BG196">
        <v>0.2023838925873121</v>
      </c>
      <c r="BH196">
        <v>75.214095670038276</v>
      </c>
      <c r="BI196">
        <v>385.72698058982672</v>
      </c>
      <c r="BJ196" s="6">
        <v>183</v>
      </c>
      <c r="BK196">
        <v>-147.23255441921032</v>
      </c>
      <c r="BL196" s="4">
        <v>-524.60136999999986</v>
      </c>
      <c r="BM196" t="s">
        <v>1376</v>
      </c>
      <c r="BN196" t="s">
        <v>65</v>
      </c>
      <c r="BO196">
        <v>1</v>
      </c>
      <c r="BP196">
        <v>2023</v>
      </c>
      <c r="BQ196" t="str">
        <f t="shared" ref="BQ196:BQ259" si="16">B196&amp;BO196</f>
        <v>Roiphet11</v>
      </c>
      <c r="BR196">
        <f t="shared" ref="BR196:BR259" si="17">BT196*Y196</f>
        <v>-722.33244999999977</v>
      </c>
      <c r="BS196">
        <f t="shared" ref="BS196:BS259" si="18">Y196*AS196</f>
        <v>849.77472</v>
      </c>
      <c r="BT196" s="6">
        <f t="shared" ref="BT196:BT259" si="19">BJ196-BI196</f>
        <v>-202.72698058982672</v>
      </c>
    </row>
    <row r="197" spans="1:72">
      <c r="A197" s="3" t="s">
        <v>967</v>
      </c>
      <c r="B197" s="3" t="s">
        <v>1174</v>
      </c>
      <c r="C197" s="3" t="s">
        <v>1364</v>
      </c>
      <c r="D197" s="2" t="s">
        <v>1367</v>
      </c>
      <c r="E197" s="4" t="str">
        <f t="shared" si="15"/>
        <v>Roiphet1B6-I11-0082</v>
      </c>
      <c r="F197">
        <v>0.72</v>
      </c>
      <c r="G197">
        <v>1.3</v>
      </c>
      <c r="H197" t="s">
        <v>72</v>
      </c>
      <c r="I197" t="s">
        <v>67</v>
      </c>
      <c r="J197" t="s">
        <v>357</v>
      </c>
      <c r="K197" t="s">
        <v>89</v>
      </c>
      <c r="L197" t="s">
        <v>89</v>
      </c>
      <c r="M197">
        <v>0.45216563541170873</v>
      </c>
      <c r="N197" s="5">
        <v>44788</v>
      </c>
      <c r="O197" s="5">
        <v>44847</v>
      </c>
      <c r="P197">
        <v>0.2</v>
      </c>
      <c r="Q197" s="4">
        <v>134</v>
      </c>
      <c r="R197">
        <v>0.2</v>
      </c>
      <c r="S197" t="s">
        <v>70</v>
      </c>
      <c r="T197" s="6">
        <v>3</v>
      </c>
      <c r="U197" s="5">
        <v>44947</v>
      </c>
      <c r="V197" s="6">
        <v>2</v>
      </c>
      <c r="W197" t="s">
        <v>71</v>
      </c>
      <c r="X197" s="6">
        <v>100</v>
      </c>
      <c r="Y197">
        <v>3.3876999999999997</v>
      </c>
      <c r="Z197">
        <v>4.7051388888888885</v>
      </c>
      <c r="AA197" s="6">
        <v>45.276146057797327</v>
      </c>
      <c r="AB197" s="4">
        <v>76.691000000000003</v>
      </c>
      <c r="AC197" s="6">
        <v>22.086685530244747</v>
      </c>
      <c r="AD197">
        <v>0.27577777799999997</v>
      </c>
      <c r="AE197">
        <v>1.882785195806076</v>
      </c>
      <c r="AF197">
        <v>6303</v>
      </c>
      <c r="AG197" s="4">
        <v>900</v>
      </c>
      <c r="AH197" s="4">
        <v>2850</v>
      </c>
      <c r="AL197">
        <v>36</v>
      </c>
      <c r="AM197">
        <v>1.9233199999999999</v>
      </c>
      <c r="AN197" t="s">
        <v>81</v>
      </c>
      <c r="AO197" t="s">
        <v>105</v>
      </c>
      <c r="AP197" s="5">
        <v>44848</v>
      </c>
      <c r="AQ197" t="s">
        <v>108</v>
      </c>
      <c r="AR197" s="5">
        <v>44946</v>
      </c>
      <c r="AS197">
        <v>234.05431118457957</v>
      </c>
      <c r="AT197" s="6"/>
      <c r="AU197">
        <v>23.614841928151851</v>
      </c>
      <c r="AV197">
        <v>63.700484104259566</v>
      </c>
      <c r="AW197">
        <v>36.014074445789163</v>
      </c>
      <c r="AX197">
        <v>123.32940047820057</v>
      </c>
      <c r="AY197">
        <v>66.687472326357138</v>
      </c>
      <c r="AZ197">
        <v>63.130469049797803</v>
      </c>
      <c r="BA197">
        <v>14.438837559406089</v>
      </c>
      <c r="BB197">
        <v>18.470189213920953</v>
      </c>
      <c r="BC197">
        <v>25.585695309502025</v>
      </c>
      <c r="BD197">
        <v>188.31266345898399</v>
      </c>
      <c r="BE197">
        <v>-77.587752752604985</v>
      </c>
      <c r="BF197">
        <v>76.243300764530517</v>
      </c>
      <c r="BG197">
        <v>0.20574431029902296</v>
      </c>
      <c r="BH197">
        <v>76.449045074829542</v>
      </c>
      <c r="BI197">
        <v>388.09110901201404</v>
      </c>
      <c r="BJ197" s="6">
        <v>175</v>
      </c>
      <c r="BK197">
        <v>-154.0367978274345</v>
      </c>
      <c r="BL197" s="4">
        <v>-521.8304599999999</v>
      </c>
      <c r="BM197" t="s">
        <v>1368</v>
      </c>
      <c r="BN197" t="s">
        <v>65</v>
      </c>
      <c r="BO197">
        <v>1</v>
      </c>
      <c r="BP197">
        <v>2023</v>
      </c>
      <c r="BQ197" t="str">
        <f t="shared" si="16"/>
        <v>Roiphet11</v>
      </c>
      <c r="BR197">
        <f t="shared" si="17"/>
        <v>-721.88874999999996</v>
      </c>
      <c r="BS197">
        <f t="shared" si="18"/>
        <v>792.90579000000014</v>
      </c>
      <c r="BT197" s="6">
        <f t="shared" si="19"/>
        <v>-213.09110901201404</v>
      </c>
    </row>
    <row r="198" spans="1:72">
      <c r="A198" s="3" t="s">
        <v>967</v>
      </c>
      <c r="B198" s="3" t="s">
        <v>1174</v>
      </c>
      <c r="C198" s="3" t="s">
        <v>1176</v>
      </c>
      <c r="D198" s="2" t="s">
        <v>1216</v>
      </c>
      <c r="E198" s="4" t="str">
        <f t="shared" si="15"/>
        <v>Roiphet1C2-I03-0060</v>
      </c>
      <c r="F198">
        <v>0.72</v>
      </c>
      <c r="G198">
        <v>1.7</v>
      </c>
      <c r="H198" t="s">
        <v>84</v>
      </c>
      <c r="I198" t="s">
        <v>67</v>
      </c>
      <c r="J198" t="s">
        <v>357</v>
      </c>
      <c r="K198" t="s">
        <v>89</v>
      </c>
      <c r="L198" t="s">
        <v>89</v>
      </c>
      <c r="M198">
        <v>0.462111801242236</v>
      </c>
      <c r="N198" s="5">
        <v>45095</v>
      </c>
      <c r="O198" s="5">
        <v>45131</v>
      </c>
      <c r="P198">
        <v>0.35</v>
      </c>
      <c r="Q198" s="4">
        <v>179</v>
      </c>
      <c r="R198">
        <v>0.5</v>
      </c>
      <c r="S198" t="s">
        <v>70</v>
      </c>
      <c r="T198" s="6">
        <v>4</v>
      </c>
      <c r="U198" s="5">
        <v>45210</v>
      </c>
      <c r="V198" s="6">
        <v>2</v>
      </c>
      <c r="W198" t="s">
        <v>71</v>
      </c>
      <c r="X198" s="6">
        <v>79</v>
      </c>
      <c r="Y198">
        <v>3.5478800000000001</v>
      </c>
      <c r="Z198">
        <v>4.9276111111111112</v>
      </c>
      <c r="AA198" s="6">
        <v>41.727172283166283</v>
      </c>
      <c r="AB198" s="4">
        <v>42.298000000000002</v>
      </c>
      <c r="AC198" s="6">
        <v>23.96519930020332</v>
      </c>
      <c r="AD198">
        <v>0.48052580299999992</v>
      </c>
      <c r="AE198">
        <v>2.3866843765565333</v>
      </c>
      <c r="AF198">
        <v>8050</v>
      </c>
      <c r="AG198" s="4">
        <v>0</v>
      </c>
      <c r="AH198" s="4">
        <v>3720</v>
      </c>
      <c r="AL198">
        <v>26</v>
      </c>
      <c r="AM198">
        <v>1.7781</v>
      </c>
      <c r="AN198" t="s">
        <v>85</v>
      </c>
      <c r="AO198" t="s">
        <v>93</v>
      </c>
      <c r="AP198" s="5">
        <v>45135</v>
      </c>
      <c r="AQ198" t="s">
        <v>215</v>
      </c>
      <c r="AR198" s="5">
        <v>45205</v>
      </c>
      <c r="AS198">
        <v>170.13661679650949</v>
      </c>
      <c r="AT198" s="6"/>
      <c r="AU198">
        <v>44.392707757872309</v>
      </c>
      <c r="AV198">
        <v>74.299392876872957</v>
      </c>
      <c r="AW198">
        <v>47.715475156995169</v>
      </c>
      <c r="AX198">
        <v>166.40757579174044</v>
      </c>
      <c r="AY198">
        <v>31.753458403328182</v>
      </c>
      <c r="AZ198">
        <v>38.707749416552979</v>
      </c>
      <c r="BA198">
        <v>12.735458921947759</v>
      </c>
      <c r="BB198">
        <v>9.3377989108989023</v>
      </c>
      <c r="BC198">
        <v>18.04752133668557</v>
      </c>
      <c r="BD198">
        <v>110.58198698941339</v>
      </c>
      <c r="BE198">
        <v>-106.85294598464435</v>
      </c>
      <c r="BF198">
        <v>46.095372447771616</v>
      </c>
      <c r="BG198">
        <v>0.1339137738593188</v>
      </c>
      <c r="BH198">
        <v>46.229286221630936</v>
      </c>
      <c r="BI198">
        <v>323.21884900278479</v>
      </c>
      <c r="BJ198" s="6">
        <v>181</v>
      </c>
      <c r="BK198">
        <v>-153.08223220627534</v>
      </c>
      <c r="BL198" s="4">
        <v>-543.11739000000011</v>
      </c>
      <c r="BM198" t="s">
        <v>1217</v>
      </c>
      <c r="BN198" t="s">
        <v>65</v>
      </c>
      <c r="BO198">
        <v>10</v>
      </c>
      <c r="BP198">
        <v>2023</v>
      </c>
      <c r="BQ198" t="str">
        <f t="shared" si="16"/>
        <v>Roiphet110</v>
      </c>
      <c r="BR198">
        <f t="shared" si="17"/>
        <v>-504.57541000000015</v>
      </c>
      <c r="BS198">
        <f t="shared" si="18"/>
        <v>603.62430000000006</v>
      </c>
      <c r="BT198" s="6">
        <f t="shared" si="19"/>
        <v>-142.21884900278479</v>
      </c>
    </row>
    <row r="199" spans="1:72">
      <c r="A199" s="3" t="s">
        <v>967</v>
      </c>
      <c r="B199" s="3" t="s">
        <v>1174</v>
      </c>
      <c r="C199" s="3" t="s">
        <v>1176</v>
      </c>
      <c r="D199" s="2" t="s">
        <v>1275</v>
      </c>
      <c r="E199" s="4" t="str">
        <f t="shared" si="15"/>
        <v>Roiphet1C6-I12-0062</v>
      </c>
      <c r="F199">
        <v>0.72</v>
      </c>
      <c r="G199">
        <v>1.3</v>
      </c>
      <c r="H199" t="s">
        <v>84</v>
      </c>
      <c r="I199" t="s">
        <v>67</v>
      </c>
      <c r="J199" t="s">
        <v>357</v>
      </c>
      <c r="K199" t="s">
        <v>89</v>
      </c>
      <c r="L199" t="s">
        <v>89</v>
      </c>
      <c r="M199">
        <v>0.46773162939297125</v>
      </c>
      <c r="N199" s="5">
        <v>44994</v>
      </c>
      <c r="O199" s="5">
        <v>45022</v>
      </c>
      <c r="P199">
        <v>0.2</v>
      </c>
      <c r="Q199" s="4">
        <v>134</v>
      </c>
      <c r="R199">
        <v>0.51</v>
      </c>
      <c r="S199" t="s">
        <v>70</v>
      </c>
      <c r="T199" s="6">
        <v>4</v>
      </c>
      <c r="U199" s="5">
        <v>45109</v>
      </c>
      <c r="V199" s="6">
        <v>2</v>
      </c>
      <c r="W199" t="s">
        <v>71</v>
      </c>
      <c r="X199" s="6">
        <v>87</v>
      </c>
      <c r="Y199">
        <v>3.99769</v>
      </c>
      <c r="Z199">
        <v>5.5523472222222221</v>
      </c>
      <c r="AA199" s="6">
        <v>27.487123814002587</v>
      </c>
      <c r="AB199" s="4">
        <v>54.942500000000003</v>
      </c>
      <c r="AC199" s="6">
        <v>36.380670701187604</v>
      </c>
      <c r="AD199">
        <v>0.473065134</v>
      </c>
      <c r="AE199">
        <v>2.0086300501323255</v>
      </c>
      <c r="AF199">
        <v>7825</v>
      </c>
      <c r="AG199" s="4">
        <v>0</v>
      </c>
      <c r="AH199" s="4">
        <v>3660</v>
      </c>
      <c r="AL199">
        <v>24</v>
      </c>
      <c r="AM199">
        <v>2.3506</v>
      </c>
      <c r="AN199" t="s">
        <v>77</v>
      </c>
      <c r="AO199" t="s">
        <v>127</v>
      </c>
      <c r="AP199" s="5">
        <v>45030</v>
      </c>
      <c r="AQ199" t="s">
        <v>97</v>
      </c>
      <c r="AR199" s="5">
        <v>45103</v>
      </c>
      <c r="AS199">
        <v>189.61643349034065</v>
      </c>
      <c r="AT199" s="6"/>
      <c r="AU199">
        <v>22.513001258226627</v>
      </c>
      <c r="AV199">
        <v>57.900377467987759</v>
      </c>
      <c r="AW199">
        <v>18.982069645220115</v>
      </c>
      <c r="AX199">
        <v>99.395448371434483</v>
      </c>
      <c r="AY199">
        <v>22.881078823020296</v>
      </c>
      <c r="AZ199">
        <v>37.061002729076037</v>
      </c>
      <c r="BA199">
        <v>7.0675790268880272</v>
      </c>
      <c r="BB199">
        <v>6.8837203485012592</v>
      </c>
      <c r="BC199">
        <v>15.519885233722475</v>
      </c>
      <c r="BD199">
        <v>89.413266161208085</v>
      </c>
      <c r="BE199">
        <v>0.80771895769808566</v>
      </c>
      <c r="BF199">
        <v>37.988035590553544</v>
      </c>
      <c r="BG199">
        <v>0.10040048127793801</v>
      </c>
      <c r="BH199">
        <v>38.088436071831474</v>
      </c>
      <c r="BI199">
        <v>226.89715060447409</v>
      </c>
      <c r="BJ199" s="6">
        <v>207</v>
      </c>
      <c r="BK199">
        <v>-37.280717114133438</v>
      </c>
      <c r="BL199" s="4">
        <v>-149.03675000000013</v>
      </c>
      <c r="BM199" t="s">
        <v>1276</v>
      </c>
      <c r="BN199" t="s">
        <v>65</v>
      </c>
      <c r="BO199">
        <v>7</v>
      </c>
      <c r="BP199">
        <v>2023</v>
      </c>
      <c r="BQ199" t="str">
        <f t="shared" si="16"/>
        <v>Roiphet17</v>
      </c>
      <c r="BR199">
        <f t="shared" si="17"/>
        <v>-79.542640000000034</v>
      </c>
      <c r="BS199">
        <f t="shared" si="18"/>
        <v>758.02771999999993</v>
      </c>
      <c r="BT199" s="6">
        <f t="shared" si="19"/>
        <v>-19.897150604474092</v>
      </c>
    </row>
    <row r="200" spans="1:72">
      <c r="A200" s="3" t="s">
        <v>967</v>
      </c>
      <c r="B200" s="3" t="s">
        <v>1174</v>
      </c>
      <c r="C200" s="3" t="s">
        <v>1176</v>
      </c>
      <c r="D200" s="2" t="s">
        <v>1270</v>
      </c>
      <c r="E200" s="4" t="str">
        <f t="shared" si="15"/>
        <v>Roiphet1C6-G11-0059</v>
      </c>
      <c r="F200">
        <v>1.1299999999999999</v>
      </c>
      <c r="G200">
        <v>1.5</v>
      </c>
      <c r="H200" t="s">
        <v>84</v>
      </c>
      <c r="I200" t="s">
        <v>67</v>
      </c>
      <c r="J200" t="s">
        <v>357</v>
      </c>
      <c r="K200" t="s">
        <v>89</v>
      </c>
      <c r="L200" t="s">
        <v>89</v>
      </c>
      <c r="M200">
        <v>0.62736156351791528</v>
      </c>
      <c r="N200" s="5">
        <v>44994</v>
      </c>
      <c r="O200" s="5">
        <v>45022</v>
      </c>
      <c r="P200">
        <v>0.4</v>
      </c>
      <c r="Q200" s="4">
        <v>147</v>
      </c>
      <c r="R200">
        <v>0.51</v>
      </c>
      <c r="S200" t="s">
        <v>70</v>
      </c>
      <c r="T200" s="6">
        <v>3</v>
      </c>
      <c r="U200" s="5">
        <v>45109</v>
      </c>
      <c r="V200" s="6">
        <v>2</v>
      </c>
      <c r="W200" t="s">
        <v>71</v>
      </c>
      <c r="X200" s="6">
        <v>87</v>
      </c>
      <c r="Y200">
        <v>8.8715400000000013</v>
      </c>
      <c r="Z200">
        <v>7.8509203539823025</v>
      </c>
      <c r="AA200" s="6">
        <v>30.167253937873241</v>
      </c>
      <c r="AB200" s="4">
        <v>66.907499999999999</v>
      </c>
      <c r="AC200" s="6">
        <v>33.148525950005606</v>
      </c>
      <c r="AD200">
        <v>0.45390804600000001</v>
      </c>
      <c r="AE200">
        <v>1.7709753863264546</v>
      </c>
      <c r="AF200">
        <v>15350</v>
      </c>
      <c r="AG200" s="4">
        <v>0</v>
      </c>
      <c r="AH200" s="4">
        <v>9630</v>
      </c>
      <c r="AL200">
        <v>25</v>
      </c>
      <c r="AM200">
        <v>6.7111599999999996</v>
      </c>
      <c r="AN200" t="s">
        <v>77</v>
      </c>
      <c r="AO200" t="s">
        <v>127</v>
      </c>
      <c r="AP200" s="5">
        <v>45030</v>
      </c>
      <c r="AQ200" t="s">
        <v>94</v>
      </c>
      <c r="AR200" s="5">
        <v>45103</v>
      </c>
      <c r="AS200">
        <v>189.52463382907587</v>
      </c>
      <c r="AT200" s="6"/>
      <c r="AU200">
        <v>20.289600227243522</v>
      </c>
      <c r="AV200">
        <v>51.225761254528528</v>
      </c>
      <c r="AW200">
        <v>15.204116759886102</v>
      </c>
      <c r="AX200">
        <v>86.719478241658152</v>
      </c>
      <c r="AY200">
        <v>16.182011240438523</v>
      </c>
      <c r="AZ200">
        <v>26.210356939155997</v>
      </c>
      <c r="BA200">
        <v>4.998353160781555</v>
      </c>
      <c r="BB200">
        <v>4.8683069681250375</v>
      </c>
      <c r="BC200">
        <v>10.975991766931108</v>
      </c>
      <c r="BD200">
        <v>63.235020075432217</v>
      </c>
      <c r="BE200">
        <v>39.570135511985498</v>
      </c>
      <c r="BF200">
        <v>26.86600409849925</v>
      </c>
      <c r="BG200">
        <v>7.1002328795226055E-2</v>
      </c>
      <c r="BH200">
        <v>26.937006427294474</v>
      </c>
      <c r="BI200">
        <v>176.89150474438486</v>
      </c>
      <c r="BJ200" s="6">
        <v>197</v>
      </c>
      <c r="BK200">
        <v>12.633129084690998</v>
      </c>
      <c r="BL200" s="4">
        <v>112.07530999999959</v>
      </c>
      <c r="BM200" t="s">
        <v>1271</v>
      </c>
      <c r="BN200" t="s">
        <v>65</v>
      </c>
      <c r="BO200">
        <v>7</v>
      </c>
      <c r="BP200">
        <v>2023</v>
      </c>
      <c r="BQ200" t="str">
        <f t="shared" si="16"/>
        <v>Roiphet17</v>
      </c>
      <c r="BR200">
        <f t="shared" si="17"/>
        <v>178.39331999999996</v>
      </c>
      <c r="BS200">
        <f t="shared" si="18"/>
        <v>1681.37537</v>
      </c>
      <c r="BT200" s="6">
        <f t="shared" si="19"/>
        <v>20.108495255615139</v>
      </c>
    </row>
    <row r="201" spans="1:72">
      <c r="A201" s="3" t="s">
        <v>967</v>
      </c>
      <c r="B201" s="3" t="s">
        <v>1174</v>
      </c>
      <c r="C201" s="3" t="s">
        <v>1176</v>
      </c>
      <c r="D201" s="2" t="s">
        <v>1273</v>
      </c>
      <c r="E201" s="4" t="str">
        <f t="shared" si="15"/>
        <v>Roiphet1C6-I11-0065</v>
      </c>
      <c r="F201">
        <v>0.72</v>
      </c>
      <c r="G201">
        <v>1.3</v>
      </c>
      <c r="H201" t="s">
        <v>84</v>
      </c>
      <c r="I201" t="s">
        <v>67</v>
      </c>
      <c r="J201" t="s">
        <v>357</v>
      </c>
      <c r="K201" t="s">
        <v>89</v>
      </c>
      <c r="L201" t="s">
        <v>89</v>
      </c>
      <c r="M201">
        <v>0.75529411764705878</v>
      </c>
      <c r="N201" s="5">
        <v>44994</v>
      </c>
      <c r="O201" s="5">
        <v>45022</v>
      </c>
      <c r="P201">
        <v>0.2</v>
      </c>
      <c r="Q201" s="4">
        <v>134</v>
      </c>
      <c r="R201">
        <v>0.51</v>
      </c>
      <c r="S201" t="s">
        <v>70</v>
      </c>
      <c r="T201" s="6">
        <v>3</v>
      </c>
      <c r="U201" s="5">
        <v>45109</v>
      </c>
      <c r="V201" s="6">
        <v>2</v>
      </c>
      <c r="W201" t="s">
        <v>71</v>
      </c>
      <c r="X201" s="6">
        <v>87</v>
      </c>
      <c r="Y201">
        <v>4.4094100000000003</v>
      </c>
      <c r="Z201">
        <v>6.1241805555555562</v>
      </c>
      <c r="AA201" s="6">
        <v>29.616887520099063</v>
      </c>
      <c r="AB201" s="4">
        <v>65.296500000000009</v>
      </c>
      <c r="AC201" s="6">
        <v>33.764520303538475</v>
      </c>
      <c r="AD201">
        <v>0.45390804600000001</v>
      </c>
      <c r="AE201">
        <v>1.9733436101973112</v>
      </c>
      <c r="AF201">
        <v>8500</v>
      </c>
      <c r="AG201" s="4">
        <v>0</v>
      </c>
      <c r="AH201" s="4">
        <v>6420</v>
      </c>
      <c r="AL201">
        <v>25</v>
      </c>
      <c r="AM201">
        <v>3.3836300000000001</v>
      </c>
      <c r="AN201" t="s">
        <v>77</v>
      </c>
      <c r="AO201" t="s">
        <v>127</v>
      </c>
      <c r="AP201" s="5">
        <v>45030</v>
      </c>
      <c r="AQ201" t="s">
        <v>108</v>
      </c>
      <c r="AR201" s="5">
        <v>45103</v>
      </c>
      <c r="AS201">
        <v>185.69872159767408</v>
      </c>
      <c r="AT201" s="6"/>
      <c r="AU201">
        <v>20.410893974477311</v>
      </c>
      <c r="AV201">
        <v>57.00536352936107</v>
      </c>
      <c r="AW201">
        <v>17.462592501037552</v>
      </c>
      <c r="AX201">
        <v>94.878850004875943</v>
      </c>
      <c r="AY201">
        <v>20.744598483697366</v>
      </c>
      <c r="AZ201">
        <v>33.600481697097798</v>
      </c>
      <c r="BA201">
        <v>6.4076599817209114</v>
      </c>
      <c r="BB201">
        <v>6.2409483354915958</v>
      </c>
      <c r="BC201">
        <v>14.070719211867349</v>
      </c>
      <c r="BD201">
        <v>81.064407709875027</v>
      </c>
      <c r="BE201">
        <v>9.7554638829231095</v>
      </c>
      <c r="BF201">
        <v>34.440993239458336</v>
      </c>
      <c r="BG201">
        <v>9.102124774062742E-2</v>
      </c>
      <c r="BH201">
        <v>34.532014487198971</v>
      </c>
      <c r="BI201">
        <v>210.47527220194993</v>
      </c>
      <c r="BJ201" s="6">
        <v>200</v>
      </c>
      <c r="BK201">
        <v>-24.776550604275851</v>
      </c>
      <c r="BL201" s="4">
        <v>-109.24996999999998</v>
      </c>
      <c r="BM201" t="s">
        <v>1274</v>
      </c>
      <c r="BN201" t="s">
        <v>65</v>
      </c>
      <c r="BO201">
        <v>7</v>
      </c>
      <c r="BP201">
        <v>2023</v>
      </c>
      <c r="BQ201" t="str">
        <f t="shared" si="16"/>
        <v>Roiphet17</v>
      </c>
      <c r="BR201">
        <f t="shared" si="17"/>
        <v>-46.189770000000067</v>
      </c>
      <c r="BS201">
        <f t="shared" si="18"/>
        <v>818.82180000000017</v>
      </c>
      <c r="BT201" s="6">
        <f t="shared" si="19"/>
        <v>-10.475272201949934</v>
      </c>
    </row>
    <row r="202" spans="1:72">
      <c r="A202" s="3" t="s">
        <v>967</v>
      </c>
      <c r="B202" s="3" t="s">
        <v>1174</v>
      </c>
      <c r="C202" s="3" t="s">
        <v>1176</v>
      </c>
      <c r="D202" s="2" t="s">
        <v>1279</v>
      </c>
      <c r="E202" s="4" t="str">
        <f t="shared" si="15"/>
        <v>Roiphet1C4-G08-0061</v>
      </c>
      <c r="F202">
        <v>1.1299999999999999</v>
      </c>
      <c r="G202">
        <v>1.5</v>
      </c>
      <c r="H202" t="s">
        <v>84</v>
      </c>
      <c r="I202" t="s">
        <v>67</v>
      </c>
      <c r="J202" t="s">
        <v>357</v>
      </c>
      <c r="K202" t="s">
        <v>89</v>
      </c>
      <c r="L202" t="s">
        <v>89</v>
      </c>
      <c r="M202">
        <v>0.42646153846153845</v>
      </c>
      <c r="N202" s="5">
        <v>44969</v>
      </c>
      <c r="O202" s="5">
        <v>44995</v>
      </c>
      <c r="P202">
        <v>0.42</v>
      </c>
      <c r="Q202" s="4">
        <v>155</v>
      </c>
      <c r="R202">
        <v>1.1000000000000001</v>
      </c>
      <c r="S202" t="s">
        <v>70</v>
      </c>
      <c r="T202" s="6">
        <v>3</v>
      </c>
      <c r="U202" s="5">
        <v>45098</v>
      </c>
      <c r="V202" s="6">
        <v>2</v>
      </c>
      <c r="W202" t="s">
        <v>71</v>
      </c>
      <c r="X202" s="6">
        <v>103</v>
      </c>
      <c r="Y202">
        <v>6.5844199999999997</v>
      </c>
      <c r="Z202">
        <v>5.8269203539823016</v>
      </c>
      <c r="AA202" s="6">
        <v>24.851391618396153</v>
      </c>
      <c r="AB202" s="4">
        <v>38.96</v>
      </c>
      <c r="AC202" s="6">
        <v>40.239195267429352</v>
      </c>
      <c r="AD202">
        <v>0.45164123900000008</v>
      </c>
      <c r="AE202">
        <v>2.6541792297816875</v>
      </c>
      <c r="AF202">
        <v>16250</v>
      </c>
      <c r="AG202" s="4">
        <v>0</v>
      </c>
      <c r="AH202" s="4">
        <v>6930</v>
      </c>
      <c r="AL202">
        <v>21</v>
      </c>
      <c r="AM202">
        <v>4.3831199999999999</v>
      </c>
      <c r="AN202" t="s">
        <v>81</v>
      </c>
      <c r="AO202" t="s">
        <v>116</v>
      </c>
      <c r="AP202" s="5">
        <v>45005</v>
      </c>
      <c r="AQ202" t="s">
        <v>170</v>
      </c>
      <c r="AR202" s="5">
        <v>45096</v>
      </c>
      <c r="AS202">
        <v>251.26444546368546</v>
      </c>
      <c r="AT202" s="6"/>
      <c r="AU202">
        <v>35.082816709748165</v>
      </c>
      <c r="AV202">
        <v>73.011035140528691</v>
      </c>
      <c r="AW202">
        <v>16.527925010858969</v>
      </c>
      <c r="AX202">
        <v>124.62177686113581</v>
      </c>
      <c r="AY202">
        <v>25.468736805975315</v>
      </c>
      <c r="AZ202">
        <v>44.453576776694078</v>
      </c>
      <c r="BA202">
        <v>6.8540494075408311</v>
      </c>
      <c r="BB202">
        <v>8.4652376367242681</v>
      </c>
      <c r="BC202">
        <v>16.157827113094243</v>
      </c>
      <c r="BD202">
        <v>101.39942774002874</v>
      </c>
      <c r="BE202">
        <v>25.243240862520906</v>
      </c>
      <c r="BF202">
        <v>41.256980873030585</v>
      </c>
      <c r="BG202">
        <v>0.10713016484367645</v>
      </c>
      <c r="BH202">
        <v>41.36411103787426</v>
      </c>
      <c r="BI202">
        <v>267.38531563903882</v>
      </c>
      <c r="BJ202" s="6">
        <v>219</v>
      </c>
      <c r="BK202">
        <v>-16.120870175353382</v>
      </c>
      <c r="BL202" s="4">
        <v>-106.14658000000031</v>
      </c>
      <c r="BM202" t="s">
        <v>1280</v>
      </c>
      <c r="BN202" t="s">
        <v>65</v>
      </c>
      <c r="BO202">
        <v>6</v>
      </c>
      <c r="BP202">
        <v>2023</v>
      </c>
      <c r="BQ202" t="str">
        <f t="shared" si="16"/>
        <v>Roiphet16</v>
      </c>
      <c r="BR202">
        <f t="shared" si="17"/>
        <v>-318.58923999999996</v>
      </c>
      <c r="BS202">
        <f t="shared" si="18"/>
        <v>1654.4306399999998</v>
      </c>
      <c r="BT202" s="6">
        <f t="shared" si="19"/>
        <v>-48.385315639038822</v>
      </c>
    </row>
    <row r="203" spans="1:72">
      <c r="A203" s="3" t="s">
        <v>967</v>
      </c>
      <c r="B203" s="3" t="s">
        <v>1174</v>
      </c>
      <c r="C203" s="3" t="s">
        <v>1176</v>
      </c>
      <c r="D203" s="2" t="s">
        <v>1283</v>
      </c>
      <c r="E203" s="4" t="str">
        <f t="shared" si="15"/>
        <v>Roiphet1C4-I08-0064</v>
      </c>
      <c r="F203">
        <v>0.72</v>
      </c>
      <c r="G203">
        <v>1.3</v>
      </c>
      <c r="H203" t="s">
        <v>84</v>
      </c>
      <c r="I203" t="s">
        <v>67</v>
      </c>
      <c r="J203" t="s">
        <v>357</v>
      </c>
      <c r="K203" t="s">
        <v>89</v>
      </c>
      <c r="L203" t="s">
        <v>89</v>
      </c>
      <c r="M203">
        <v>0.50215384615384617</v>
      </c>
      <c r="N203" s="5">
        <v>44969</v>
      </c>
      <c r="O203" s="5">
        <v>44996</v>
      </c>
      <c r="P203">
        <v>0.2</v>
      </c>
      <c r="Q203" s="4">
        <v>134</v>
      </c>
      <c r="R203">
        <v>1.1399999999999999</v>
      </c>
      <c r="S203" t="s">
        <v>70</v>
      </c>
      <c r="T203" s="6">
        <v>3</v>
      </c>
      <c r="U203" s="5">
        <v>45099</v>
      </c>
      <c r="V203" s="6">
        <v>2</v>
      </c>
      <c r="W203" t="s">
        <v>71</v>
      </c>
      <c r="X203" s="6">
        <v>103</v>
      </c>
      <c r="Y203">
        <v>3.0891500000000001</v>
      </c>
      <c r="Z203">
        <v>4.290486111111111</v>
      </c>
      <c r="AA203" s="6">
        <v>24.122493242477702</v>
      </c>
      <c r="AB203" s="4">
        <v>37.259</v>
      </c>
      <c r="AC203" s="6">
        <v>41.45508467752758</v>
      </c>
      <c r="AD203">
        <v>0.45125289000000002</v>
      </c>
      <c r="AE203">
        <v>2.839767226464883</v>
      </c>
      <c r="AF203">
        <v>8125</v>
      </c>
      <c r="AG203" s="4">
        <v>0</v>
      </c>
      <c r="AH203" s="4">
        <v>4080</v>
      </c>
      <c r="AL203">
        <v>21</v>
      </c>
      <c r="AM203">
        <v>2.1029499999999999</v>
      </c>
      <c r="AN203" t="s">
        <v>81</v>
      </c>
      <c r="AO203" t="s">
        <v>116</v>
      </c>
      <c r="AP203" s="5">
        <v>45005</v>
      </c>
      <c r="AQ203" t="s">
        <v>198</v>
      </c>
      <c r="AR203" s="5">
        <v>45096</v>
      </c>
      <c r="AS203">
        <v>255.4667918359419</v>
      </c>
      <c r="AT203" s="6"/>
      <c r="AU203">
        <v>35.608500720262853</v>
      </c>
      <c r="AV203">
        <v>77.760435718563357</v>
      </c>
      <c r="AW203">
        <v>33.550161047537344</v>
      </c>
      <c r="AX203">
        <v>146.91909748636357</v>
      </c>
      <c r="AY203">
        <v>34.869112862761597</v>
      </c>
      <c r="AZ203">
        <v>60.644209572212418</v>
      </c>
      <c r="BA203">
        <v>9.3951799038570467</v>
      </c>
      <c r="BB203">
        <v>11.546163184047392</v>
      </c>
      <c r="BC203">
        <v>22.14027807001926</v>
      </c>
      <c r="BD203">
        <v>138.59494359289772</v>
      </c>
      <c r="BE203">
        <v>-30.047249243319385</v>
      </c>
      <c r="BF203">
        <v>56.432225693151828</v>
      </c>
      <c r="BG203">
        <v>0.14667141446676268</v>
      </c>
      <c r="BH203">
        <v>56.578897107618594</v>
      </c>
      <c r="BI203">
        <v>342.09293818687991</v>
      </c>
      <c r="BJ203" s="6">
        <v>219</v>
      </c>
      <c r="BK203">
        <v>-86.626146350938001</v>
      </c>
      <c r="BL203" s="4">
        <v>-267.60116000000016</v>
      </c>
      <c r="BM203" t="s">
        <v>1284</v>
      </c>
      <c r="BN203" t="s">
        <v>65</v>
      </c>
      <c r="BO203">
        <v>6</v>
      </c>
      <c r="BP203">
        <v>2023</v>
      </c>
      <c r="BQ203" t="str">
        <f t="shared" si="16"/>
        <v>Roiphet16</v>
      </c>
      <c r="BR203">
        <f t="shared" si="17"/>
        <v>-380.25255000000004</v>
      </c>
      <c r="BS203">
        <f t="shared" si="18"/>
        <v>789.17523999999992</v>
      </c>
      <c r="BT203" s="6">
        <f t="shared" si="19"/>
        <v>-123.09293818687991</v>
      </c>
    </row>
    <row r="204" spans="1:72">
      <c r="A204" s="3" t="s">
        <v>967</v>
      </c>
      <c r="B204" s="3" t="s">
        <v>1174</v>
      </c>
      <c r="C204" s="3" t="s">
        <v>1176</v>
      </c>
      <c r="D204" s="2" t="s">
        <v>1281</v>
      </c>
      <c r="E204" s="4" t="str">
        <f t="shared" si="15"/>
        <v>Roiphet1C4-I07-0060</v>
      </c>
      <c r="F204">
        <v>0.72</v>
      </c>
      <c r="G204">
        <v>1.3</v>
      </c>
      <c r="H204" t="s">
        <v>84</v>
      </c>
      <c r="I204" t="s">
        <v>67</v>
      </c>
      <c r="J204" t="s">
        <v>357</v>
      </c>
      <c r="K204" t="s">
        <v>89</v>
      </c>
      <c r="L204" t="s">
        <v>89</v>
      </c>
      <c r="M204">
        <v>0.50370370370370365</v>
      </c>
      <c r="N204" s="5">
        <v>44969</v>
      </c>
      <c r="O204" s="5">
        <v>44995</v>
      </c>
      <c r="P204">
        <v>0.22</v>
      </c>
      <c r="Q204" s="4">
        <v>147</v>
      </c>
      <c r="R204">
        <v>1.1000000000000001</v>
      </c>
      <c r="S204" t="s">
        <v>70</v>
      </c>
      <c r="T204" s="6">
        <v>3</v>
      </c>
      <c r="U204" s="5">
        <v>45099</v>
      </c>
      <c r="V204" s="6">
        <v>2</v>
      </c>
      <c r="W204" t="s">
        <v>71</v>
      </c>
      <c r="X204" s="6">
        <v>104</v>
      </c>
      <c r="Y204">
        <v>3.1531700000000003</v>
      </c>
      <c r="Z204">
        <v>4.379402777777778</v>
      </c>
      <c r="AA204" s="6">
        <v>24.531186076234391</v>
      </c>
      <c r="AB204" s="4">
        <v>35.159545454545452</v>
      </c>
      <c r="AC204" s="6">
        <v>40.764437434551589</v>
      </c>
      <c r="AD204">
        <v>0.447298535</v>
      </c>
      <c r="AE204">
        <v>2.7823864631745998</v>
      </c>
      <c r="AF204">
        <v>8100</v>
      </c>
      <c r="AG204" s="4">
        <v>0</v>
      </c>
      <c r="AH204" s="4">
        <v>4080</v>
      </c>
      <c r="AL204">
        <v>21</v>
      </c>
      <c r="AM204">
        <v>2.13287</v>
      </c>
      <c r="AN204" t="s">
        <v>81</v>
      </c>
      <c r="AO204" t="s">
        <v>116</v>
      </c>
      <c r="AP204" s="5">
        <v>45005</v>
      </c>
      <c r="AQ204" t="s">
        <v>123</v>
      </c>
      <c r="AR204" s="5">
        <v>45096</v>
      </c>
      <c r="AS204">
        <v>256.13623115785072</v>
      </c>
      <c r="AT204" s="6"/>
      <c r="AU204">
        <v>38.374080687054615</v>
      </c>
      <c r="AV204">
        <v>76.033014395037384</v>
      </c>
      <c r="AW204">
        <v>32.691307477871469</v>
      </c>
      <c r="AX204">
        <v>147.09840255996346</v>
      </c>
      <c r="AY204">
        <v>34.16115211041587</v>
      </c>
      <c r="AZ204">
        <v>59.412924136662475</v>
      </c>
      <c r="BA204">
        <v>9.2044260220666807</v>
      </c>
      <c r="BB204">
        <v>11.311737077290474</v>
      </c>
      <c r="BC204">
        <v>21.690755652248377</v>
      </c>
      <c r="BD204">
        <v>135.78099499868387</v>
      </c>
      <c r="BE204">
        <v>-26.743166400796611</v>
      </c>
      <c r="BF204">
        <v>55.286457755211416</v>
      </c>
      <c r="BG204">
        <v>0.14369348940907084</v>
      </c>
      <c r="BH204">
        <v>55.430151244620482</v>
      </c>
      <c r="BI204">
        <v>338.30954880326783</v>
      </c>
      <c r="BJ204" s="6">
        <v>219</v>
      </c>
      <c r="BK204">
        <v>-82.173317645417129</v>
      </c>
      <c r="BL204" s="4">
        <v>-259.10643999999996</v>
      </c>
      <c r="BM204" t="s">
        <v>1282</v>
      </c>
      <c r="BN204" t="s">
        <v>65</v>
      </c>
      <c r="BO204">
        <v>6</v>
      </c>
      <c r="BP204">
        <v>2023</v>
      </c>
      <c r="BQ204" t="str">
        <f t="shared" si="16"/>
        <v>Roiphet16</v>
      </c>
      <c r="BR204">
        <f t="shared" si="17"/>
        <v>-376.20329000000004</v>
      </c>
      <c r="BS204">
        <f t="shared" si="18"/>
        <v>807.64108000000022</v>
      </c>
      <c r="BT204" s="6">
        <f t="shared" si="19"/>
        <v>-119.30954880326783</v>
      </c>
    </row>
    <row r="205" spans="1:72">
      <c r="A205" s="3" t="s">
        <v>967</v>
      </c>
      <c r="B205" s="3" t="s">
        <v>1174</v>
      </c>
      <c r="C205" s="3" t="s">
        <v>1176</v>
      </c>
      <c r="D205" s="2" t="s">
        <v>1277</v>
      </c>
      <c r="E205" s="4" t="str">
        <f t="shared" si="15"/>
        <v>Roiphet1C4-G07-0057</v>
      </c>
      <c r="F205">
        <v>1.1299999999999999</v>
      </c>
      <c r="G205">
        <v>1.5</v>
      </c>
      <c r="H205" t="s">
        <v>84</v>
      </c>
      <c r="I205" t="s">
        <v>67</v>
      </c>
      <c r="J205" t="s">
        <v>357</v>
      </c>
      <c r="K205" t="s">
        <v>89</v>
      </c>
      <c r="L205" t="s">
        <v>89</v>
      </c>
      <c r="M205">
        <v>0.41973094170403585</v>
      </c>
      <c r="N205" s="5">
        <v>44969</v>
      </c>
      <c r="O205" s="5">
        <v>44995</v>
      </c>
      <c r="P205">
        <v>0.42</v>
      </c>
      <c r="Q205" s="4">
        <v>155</v>
      </c>
      <c r="R205">
        <v>1.1000000000000001</v>
      </c>
      <c r="S205" t="s">
        <v>70</v>
      </c>
      <c r="T205" s="6">
        <v>3</v>
      </c>
      <c r="U205" s="5">
        <v>45099</v>
      </c>
      <c r="V205" s="6">
        <v>2</v>
      </c>
      <c r="W205" t="s">
        <v>71</v>
      </c>
      <c r="X205" s="6">
        <v>104.00000000000001</v>
      </c>
      <c r="Y205">
        <v>6.2168000000000001</v>
      </c>
      <c r="Z205">
        <v>5.5015929203539828</v>
      </c>
      <c r="AA205" s="6">
        <v>25.732048642388367</v>
      </c>
      <c r="AB205" s="4">
        <v>38.088333333333338</v>
      </c>
      <c r="AC205" s="6">
        <v>38.862043745428856</v>
      </c>
      <c r="AD205">
        <v>0.42648601400000002</v>
      </c>
      <c r="AE205">
        <v>2.9062695488983108</v>
      </c>
      <c r="AF205">
        <v>16725</v>
      </c>
      <c r="AG205" s="4">
        <v>0</v>
      </c>
      <c r="AH205" s="4">
        <v>7020</v>
      </c>
      <c r="AL205">
        <v>22</v>
      </c>
      <c r="AM205">
        <v>4.2695799999999995</v>
      </c>
      <c r="AN205" t="s">
        <v>81</v>
      </c>
      <c r="AO205" t="s">
        <v>116</v>
      </c>
      <c r="AP205" s="5">
        <v>45005</v>
      </c>
      <c r="AQ205" t="s">
        <v>136</v>
      </c>
      <c r="AR205" s="5">
        <v>45096</v>
      </c>
      <c r="AS205">
        <v>249.31303403680349</v>
      </c>
      <c r="AT205" s="6"/>
      <c r="AU205">
        <v>37.157380002573667</v>
      </c>
      <c r="AV205">
        <v>79.564081199330829</v>
      </c>
      <c r="AW205">
        <v>29.745603847638659</v>
      </c>
      <c r="AX205">
        <v>146.46706504954315</v>
      </c>
      <c r="AY205">
        <v>27.193117037704283</v>
      </c>
      <c r="AZ205">
        <v>47.294148114785735</v>
      </c>
      <c r="BA205">
        <v>7.3269463389525162</v>
      </c>
      <c r="BB205">
        <v>9.0044202805301765</v>
      </c>
      <c r="BC205">
        <v>17.266373375369962</v>
      </c>
      <c r="BD205">
        <v>108.08500514734268</v>
      </c>
      <c r="BE205">
        <v>-5.2390361600823496</v>
      </c>
      <c r="BF205">
        <v>44.009374597863847</v>
      </c>
      <c r="BG205">
        <v>0.11438521425813926</v>
      </c>
      <c r="BH205">
        <v>44.123759812121989</v>
      </c>
      <c r="BI205">
        <v>298.67583000900788</v>
      </c>
      <c r="BJ205" s="6">
        <v>214</v>
      </c>
      <c r="BK205">
        <v>-49.362795972204367</v>
      </c>
      <c r="BL205" s="4">
        <v>-306.8786300000001</v>
      </c>
      <c r="BM205" t="s">
        <v>1278</v>
      </c>
      <c r="BN205" t="s">
        <v>65</v>
      </c>
      <c r="BO205">
        <v>6</v>
      </c>
      <c r="BP205">
        <v>2023</v>
      </c>
      <c r="BQ205" t="str">
        <f t="shared" si="16"/>
        <v>Roiphet16</v>
      </c>
      <c r="BR205">
        <f t="shared" si="17"/>
        <v>-526.4127000000002</v>
      </c>
      <c r="BS205">
        <f t="shared" si="18"/>
        <v>1549.9292699999999</v>
      </c>
      <c r="BT205" s="6">
        <f t="shared" si="19"/>
        <v>-84.675830009007882</v>
      </c>
    </row>
    <row r="206" spans="1:72">
      <c r="A206" s="3" t="s">
        <v>967</v>
      </c>
      <c r="B206" s="3" t="s">
        <v>1174</v>
      </c>
      <c r="C206" s="3" t="s">
        <v>1176</v>
      </c>
      <c r="D206" s="2" t="s">
        <v>1466</v>
      </c>
      <c r="E206" s="4" t="str">
        <f t="shared" si="15"/>
        <v>Roiphet1D5-G09-0069</v>
      </c>
      <c r="F206">
        <v>1.1299999999999999</v>
      </c>
      <c r="G206">
        <v>1.5</v>
      </c>
      <c r="H206" t="s">
        <v>72</v>
      </c>
      <c r="I206" t="s">
        <v>67</v>
      </c>
      <c r="J206" t="s">
        <v>357</v>
      </c>
      <c r="K206" t="s">
        <v>89</v>
      </c>
      <c r="L206" t="s">
        <v>89</v>
      </c>
      <c r="M206">
        <v>0.32240543161978663</v>
      </c>
      <c r="N206" s="5">
        <v>45061</v>
      </c>
      <c r="O206" s="5">
        <v>45098</v>
      </c>
      <c r="P206">
        <v>0.5</v>
      </c>
      <c r="Q206" s="4">
        <v>184</v>
      </c>
      <c r="R206">
        <v>1.6</v>
      </c>
      <c r="S206" t="s">
        <v>70</v>
      </c>
      <c r="T206" s="6">
        <v>6</v>
      </c>
      <c r="U206" s="5">
        <v>45202</v>
      </c>
      <c r="V206" s="6">
        <v>1</v>
      </c>
      <c r="W206" t="s">
        <v>86</v>
      </c>
      <c r="X206" s="6">
        <v>104</v>
      </c>
      <c r="Y206">
        <v>13.70152</v>
      </c>
      <c r="Z206">
        <v>12.1252389380531</v>
      </c>
      <c r="AA206" s="6">
        <v>33.893684788257069</v>
      </c>
      <c r="AB206" s="4">
        <v>92.879000000000005</v>
      </c>
      <c r="AC206" s="6">
        <v>29.504021361125766</v>
      </c>
      <c r="AD206">
        <v>0.42167832199999999</v>
      </c>
      <c r="AE206">
        <v>1.9978266126781961</v>
      </c>
      <c r="AF206">
        <v>25775</v>
      </c>
      <c r="AG206" s="4">
        <v>0</v>
      </c>
      <c r="AH206" s="4">
        <v>8310</v>
      </c>
      <c r="AL206">
        <v>22</v>
      </c>
      <c r="AM206">
        <v>6.5516999999999994</v>
      </c>
      <c r="AN206" t="s">
        <v>81</v>
      </c>
      <c r="AO206" t="s">
        <v>96</v>
      </c>
      <c r="AP206" s="5">
        <v>45110</v>
      </c>
      <c r="AQ206" t="s">
        <v>92</v>
      </c>
      <c r="AR206" s="5">
        <v>45201</v>
      </c>
      <c r="AS206">
        <v>195.51406121364639</v>
      </c>
      <c r="AT206" s="6"/>
      <c r="AU206">
        <v>23.719996029637588</v>
      </c>
      <c r="AV206">
        <v>61.020508673490234</v>
      </c>
      <c r="AW206">
        <v>27.65009794533745</v>
      </c>
      <c r="AX206">
        <v>112.39060264846526</v>
      </c>
      <c r="AY206">
        <v>14.87850253110604</v>
      </c>
      <c r="AZ206">
        <v>19.146885163105988</v>
      </c>
      <c r="BA206">
        <v>6.2464806824352328</v>
      </c>
      <c r="BB206">
        <v>1.9455804903397582</v>
      </c>
      <c r="BC206">
        <v>8.974056163111829</v>
      </c>
      <c r="BD206">
        <v>51.191505030098845</v>
      </c>
      <c r="BE206">
        <v>31.931953535082279</v>
      </c>
      <c r="BF206">
        <v>17.422855274451301</v>
      </c>
      <c r="BG206">
        <v>6.2031803770676519E-2</v>
      </c>
      <c r="BH206">
        <v>17.484887078221977</v>
      </c>
      <c r="BI206">
        <v>181.0669947567861</v>
      </c>
      <c r="BJ206" s="6">
        <v>191</v>
      </c>
      <c r="BK206">
        <v>14.447066456860295</v>
      </c>
      <c r="BL206" s="4">
        <v>197.9467700000005</v>
      </c>
      <c r="BM206" t="s">
        <v>1467</v>
      </c>
      <c r="BN206" t="s">
        <v>65</v>
      </c>
      <c r="BO206">
        <v>10</v>
      </c>
      <c r="BP206">
        <v>2023</v>
      </c>
      <c r="BQ206" t="str">
        <f t="shared" si="16"/>
        <v>Roiphet110</v>
      </c>
      <c r="BR206">
        <f t="shared" si="17"/>
        <v>136.09727000000009</v>
      </c>
      <c r="BS206">
        <f t="shared" si="18"/>
        <v>2678.8398200000001</v>
      </c>
      <c r="BT206" s="6">
        <f t="shared" si="19"/>
        <v>9.9330052432138984</v>
      </c>
    </row>
    <row r="207" spans="1:72">
      <c r="A207" s="3" t="s">
        <v>967</v>
      </c>
      <c r="B207" s="3" t="s">
        <v>1174</v>
      </c>
      <c r="C207" s="3" t="s">
        <v>1176</v>
      </c>
      <c r="D207" s="2" t="s">
        <v>1200</v>
      </c>
      <c r="E207" s="4" t="str">
        <f t="shared" si="15"/>
        <v>Roiphet1C2-G03-0067</v>
      </c>
      <c r="F207">
        <v>1.1299999999999999</v>
      </c>
      <c r="G207">
        <v>2.1</v>
      </c>
      <c r="H207" t="s">
        <v>84</v>
      </c>
      <c r="I207" t="s">
        <v>67</v>
      </c>
      <c r="J207" t="s">
        <v>357</v>
      </c>
      <c r="K207" t="s">
        <v>89</v>
      </c>
      <c r="L207" t="s">
        <v>89</v>
      </c>
      <c r="M207">
        <v>0.3323076923076923</v>
      </c>
      <c r="N207" s="5">
        <v>45088</v>
      </c>
      <c r="O207" s="5">
        <v>45131</v>
      </c>
      <c r="P207">
        <v>0.65</v>
      </c>
      <c r="Q207" s="4">
        <v>171</v>
      </c>
      <c r="R207">
        <v>0.45</v>
      </c>
      <c r="S207" t="s">
        <v>70</v>
      </c>
      <c r="T207" s="6">
        <v>3</v>
      </c>
      <c r="U207" s="5">
        <v>45204</v>
      </c>
      <c r="V207" s="6">
        <v>2</v>
      </c>
      <c r="W207" t="s">
        <v>71</v>
      </c>
      <c r="X207" s="6">
        <v>73</v>
      </c>
      <c r="Y207">
        <v>5.7642899999999999</v>
      </c>
      <c r="Z207">
        <v>5.1011415929203547</v>
      </c>
      <c r="AA207" s="6">
        <v>52.101819998646839</v>
      </c>
      <c r="AB207" s="4">
        <v>46.20461538461538</v>
      </c>
      <c r="AC207" s="6">
        <v>19.19318749375687</v>
      </c>
      <c r="AD207">
        <v>0.40894562099999998</v>
      </c>
      <c r="AE207">
        <v>2.3758655918007054</v>
      </c>
      <c r="AF207">
        <v>13000</v>
      </c>
      <c r="AG207" s="4">
        <v>0</v>
      </c>
      <c r="AH207" s="4">
        <v>4320</v>
      </c>
      <c r="AL207">
        <v>33</v>
      </c>
      <c r="AM207">
        <v>3.7844600000000002</v>
      </c>
      <c r="AN207" t="s">
        <v>85</v>
      </c>
      <c r="AO207" t="s">
        <v>93</v>
      </c>
      <c r="AP207" s="5">
        <v>45135</v>
      </c>
      <c r="AQ207" t="s">
        <v>93</v>
      </c>
      <c r="AR207" s="5">
        <v>45201</v>
      </c>
      <c r="AS207">
        <v>167.83528760697331</v>
      </c>
      <c r="AT207" s="6"/>
      <c r="AU207">
        <v>50.743456696314723</v>
      </c>
      <c r="AV207">
        <v>74.314340534567123</v>
      </c>
      <c r="AW207">
        <v>46.305584902910851</v>
      </c>
      <c r="AX207">
        <v>171.3633821337927</v>
      </c>
      <c r="AY207">
        <v>30.713204922028559</v>
      </c>
      <c r="AZ207">
        <v>35.028669619328653</v>
      </c>
      <c r="BA207">
        <v>11.71378955604246</v>
      </c>
      <c r="BB207">
        <v>8.7997168775339194</v>
      </c>
      <c r="BC207">
        <v>17.900593134627162</v>
      </c>
      <c r="BD207">
        <v>104.15597410956076</v>
      </c>
      <c r="BE207">
        <v>-107.68406863638015</v>
      </c>
      <c r="BF207">
        <v>44.382976914763141</v>
      </c>
      <c r="BG207">
        <v>0.12896644686509529</v>
      </c>
      <c r="BH207">
        <v>44.511943361628234</v>
      </c>
      <c r="BI207">
        <v>320.03129960498171</v>
      </c>
      <c r="BJ207" s="6">
        <v>166</v>
      </c>
      <c r="BK207">
        <v>-152.19601199800837</v>
      </c>
      <c r="BL207" s="4">
        <v>-877.30194999999969</v>
      </c>
      <c r="BM207" t="s">
        <v>1201</v>
      </c>
      <c r="BN207" t="s">
        <v>65</v>
      </c>
      <c r="BO207">
        <v>10</v>
      </c>
      <c r="BP207">
        <v>2023</v>
      </c>
      <c r="BQ207" t="str">
        <f t="shared" si="16"/>
        <v>Roiphet110</v>
      </c>
      <c r="BR207">
        <f t="shared" si="17"/>
        <v>-887.88108</v>
      </c>
      <c r="BS207">
        <f t="shared" si="18"/>
        <v>967.45127000000014</v>
      </c>
      <c r="BT207" s="6">
        <f t="shared" si="19"/>
        <v>-154.03129960498171</v>
      </c>
    </row>
    <row r="208" spans="1:72">
      <c r="A208" s="3" t="s">
        <v>967</v>
      </c>
      <c r="B208" s="3" t="s">
        <v>1174</v>
      </c>
      <c r="C208" s="3" t="s">
        <v>1176</v>
      </c>
      <c r="D208" s="2" t="s">
        <v>1198</v>
      </c>
      <c r="E208" s="4" t="str">
        <f t="shared" si="15"/>
        <v>Roiphet1C2-G04-0065</v>
      </c>
      <c r="F208">
        <v>1.1299999999999999</v>
      </c>
      <c r="G208">
        <v>2</v>
      </c>
      <c r="H208" t="s">
        <v>84</v>
      </c>
      <c r="I208" t="s">
        <v>67</v>
      </c>
      <c r="J208" t="s">
        <v>357</v>
      </c>
      <c r="K208" t="s">
        <v>89</v>
      </c>
      <c r="L208" t="s">
        <v>89</v>
      </c>
      <c r="M208">
        <v>0.3421782178217822</v>
      </c>
      <c r="N208" s="5">
        <v>45088</v>
      </c>
      <c r="O208" s="5">
        <v>45132</v>
      </c>
      <c r="P208">
        <v>0.65</v>
      </c>
      <c r="Q208" s="4">
        <v>180</v>
      </c>
      <c r="R208">
        <v>0.5</v>
      </c>
      <c r="S208" t="s">
        <v>70</v>
      </c>
      <c r="T208" s="6">
        <v>3</v>
      </c>
      <c r="U208" s="5">
        <v>45205</v>
      </c>
      <c r="V208" s="6">
        <v>2</v>
      </c>
      <c r="W208" t="s">
        <v>71</v>
      </c>
      <c r="X208" s="6">
        <v>73</v>
      </c>
      <c r="Y208">
        <v>5.0912700000000006</v>
      </c>
      <c r="Z208">
        <v>4.5055486725663725</v>
      </c>
      <c r="AA208" s="6">
        <v>55.083112857892033</v>
      </c>
      <c r="AB208" s="4">
        <v>43.145076923076928</v>
      </c>
      <c r="AC208" s="6">
        <v>18.15438431338989</v>
      </c>
      <c r="AD208">
        <v>0.40826068900000001</v>
      </c>
      <c r="AE208">
        <v>2.648821825032992</v>
      </c>
      <c r="AF208">
        <v>12625</v>
      </c>
      <c r="AG208" s="4">
        <v>0</v>
      </c>
      <c r="AH208" s="4">
        <v>4320</v>
      </c>
      <c r="AL208">
        <v>33</v>
      </c>
      <c r="AM208">
        <v>3.0221799999999996</v>
      </c>
      <c r="AN208" t="s">
        <v>85</v>
      </c>
      <c r="AO208" t="s">
        <v>93</v>
      </c>
      <c r="AP208" s="5">
        <v>45135</v>
      </c>
      <c r="AQ208" t="s">
        <v>215</v>
      </c>
      <c r="AR208" s="5">
        <v>45201</v>
      </c>
      <c r="AS208">
        <v>162.09258004387902</v>
      </c>
      <c r="AT208" s="6"/>
      <c r="AU208">
        <v>57.451284257169618</v>
      </c>
      <c r="AV208">
        <v>81.205767912524763</v>
      </c>
      <c r="AW208">
        <v>47.074342943901989</v>
      </c>
      <c r="AX208">
        <v>185.73139511359639</v>
      </c>
      <c r="AY208">
        <v>35.076707776252285</v>
      </c>
      <c r="AZ208">
        <v>39.824185321147759</v>
      </c>
      <c r="BA208">
        <v>13.469580281540752</v>
      </c>
      <c r="BB208">
        <v>10.059548992687482</v>
      </c>
      <c r="BC208">
        <v>20.396844009451478</v>
      </c>
      <c r="BD208">
        <v>118.82686638107974</v>
      </c>
      <c r="BE208">
        <v>-142.46568145079709</v>
      </c>
      <c r="BF208">
        <v>50.722752869126957</v>
      </c>
      <c r="BG208">
        <v>0.14739937186595881</v>
      </c>
      <c r="BH208">
        <v>50.870152240992923</v>
      </c>
      <c r="BI208">
        <v>355.4284137356691</v>
      </c>
      <c r="BJ208" s="6">
        <v>165</v>
      </c>
      <c r="BK208">
        <v>-193.33583369179004</v>
      </c>
      <c r="BL208" s="4">
        <v>-984.32492999999988</v>
      </c>
      <c r="BM208" t="s">
        <v>1199</v>
      </c>
      <c r="BN208" t="s">
        <v>65</v>
      </c>
      <c r="BO208">
        <v>10</v>
      </c>
      <c r="BP208">
        <v>2023</v>
      </c>
      <c r="BQ208" t="str">
        <f t="shared" si="16"/>
        <v>Roiphet110</v>
      </c>
      <c r="BR208">
        <f t="shared" si="17"/>
        <v>-969.52247000000011</v>
      </c>
      <c r="BS208">
        <f t="shared" si="18"/>
        <v>825.25709000000006</v>
      </c>
      <c r="BT208" s="6">
        <f t="shared" si="19"/>
        <v>-190.4284137356691</v>
      </c>
    </row>
    <row r="209" spans="1:72">
      <c r="A209" s="3" t="s">
        <v>967</v>
      </c>
      <c r="B209" s="3" t="s">
        <v>1174</v>
      </c>
      <c r="C209" s="3" t="s">
        <v>1176</v>
      </c>
      <c r="D209" s="2" t="s">
        <v>1202</v>
      </c>
      <c r="E209" s="4" t="str">
        <f t="shared" si="15"/>
        <v>Roiphet1C2-I04-0068</v>
      </c>
      <c r="F209">
        <v>0.72</v>
      </c>
      <c r="G209">
        <v>1.7</v>
      </c>
      <c r="H209" t="s">
        <v>84</v>
      </c>
      <c r="I209" t="s">
        <v>67</v>
      </c>
      <c r="J209" t="s">
        <v>357</v>
      </c>
      <c r="K209" t="s">
        <v>89</v>
      </c>
      <c r="L209" t="s">
        <v>89</v>
      </c>
      <c r="M209">
        <v>0.36455696202531646</v>
      </c>
      <c r="N209" s="5">
        <v>45095</v>
      </c>
      <c r="O209" s="5">
        <v>45132</v>
      </c>
      <c r="P209">
        <v>0.35</v>
      </c>
      <c r="Q209" s="4">
        <v>179</v>
      </c>
      <c r="R209">
        <v>0.499</v>
      </c>
      <c r="S209" t="s">
        <v>70</v>
      </c>
      <c r="T209" s="6">
        <v>3</v>
      </c>
      <c r="U209" s="5">
        <v>45203</v>
      </c>
      <c r="V209" s="6">
        <v>2</v>
      </c>
      <c r="W209" t="s">
        <v>71</v>
      </c>
      <c r="X209" s="6">
        <v>71</v>
      </c>
      <c r="Y209">
        <v>3.0312800000000002</v>
      </c>
      <c r="Z209">
        <v>4.2101111111111118</v>
      </c>
      <c r="AA209" s="6">
        <v>50.41500620200047</v>
      </c>
      <c r="AB209" s="4">
        <v>43.663428571428568</v>
      </c>
      <c r="AC209" s="6">
        <v>19.835364018269622</v>
      </c>
      <c r="AD209">
        <v>0.40722203800000001</v>
      </c>
      <c r="AE209">
        <v>2.7654867256637163</v>
      </c>
      <c r="AF209">
        <v>7900</v>
      </c>
      <c r="AG209" s="4">
        <v>0</v>
      </c>
      <c r="AH209" s="4">
        <v>2880</v>
      </c>
      <c r="AL209">
        <v>34</v>
      </c>
      <c r="AM209">
        <v>1.8710199999999999</v>
      </c>
      <c r="AN209" t="s">
        <v>85</v>
      </c>
      <c r="AO209" t="s">
        <v>93</v>
      </c>
      <c r="AP209" s="5">
        <v>45135</v>
      </c>
      <c r="AQ209" t="s">
        <v>215</v>
      </c>
      <c r="AR209" s="5">
        <v>45201</v>
      </c>
      <c r="AS209">
        <v>159.97500725766008</v>
      </c>
      <c r="AT209" s="6"/>
      <c r="AU209">
        <v>51.95824866063181</v>
      </c>
      <c r="AV209">
        <v>85.703867673062192</v>
      </c>
      <c r="AW209">
        <v>47.091354147422891</v>
      </c>
      <c r="AX209">
        <v>184.75347048111686</v>
      </c>
      <c r="AY209">
        <v>34.891448497004561</v>
      </c>
      <c r="AZ209">
        <v>43.403479718138861</v>
      </c>
      <c r="BA209">
        <v>13.494131192103664</v>
      </c>
      <c r="BB209">
        <v>10.205596315747801</v>
      </c>
      <c r="BC209">
        <v>20.149742023171726</v>
      </c>
      <c r="BD209">
        <v>122.14439774616663</v>
      </c>
      <c r="BE209">
        <v>-146.9228609696234</v>
      </c>
      <c r="BF209">
        <v>50.409638832440422</v>
      </c>
      <c r="BG209">
        <v>0.14636721121110552</v>
      </c>
      <c r="BH209">
        <v>50.556006043651522</v>
      </c>
      <c r="BI209">
        <v>357.45387427093505</v>
      </c>
      <c r="BJ209" s="6">
        <v>167</v>
      </c>
      <c r="BK209">
        <v>-197.47886701327494</v>
      </c>
      <c r="BL209" s="4">
        <v>-598.61374000000012</v>
      </c>
      <c r="BM209" t="s">
        <v>1203</v>
      </c>
      <c r="BN209" t="s">
        <v>65</v>
      </c>
      <c r="BO209">
        <v>10</v>
      </c>
      <c r="BP209">
        <v>2023</v>
      </c>
      <c r="BQ209" t="str">
        <f t="shared" si="16"/>
        <v>Roiphet110</v>
      </c>
      <c r="BR209">
        <f t="shared" si="17"/>
        <v>-577.31902000000002</v>
      </c>
      <c r="BS209">
        <f t="shared" si="18"/>
        <v>484.92903999999987</v>
      </c>
      <c r="BT209" s="6">
        <f t="shared" si="19"/>
        <v>-190.45387427093505</v>
      </c>
    </row>
    <row r="210" spans="1:72">
      <c r="A210" s="3" t="s">
        <v>967</v>
      </c>
      <c r="B210" s="3" t="s">
        <v>1174</v>
      </c>
      <c r="C210" s="3" t="s">
        <v>1176</v>
      </c>
      <c r="D210" s="2" t="s">
        <v>1444</v>
      </c>
      <c r="E210" s="4" t="str">
        <f t="shared" si="15"/>
        <v>Roiphet1D2-I03-0086</v>
      </c>
      <c r="F210">
        <v>0.72</v>
      </c>
      <c r="G210">
        <v>1.3</v>
      </c>
      <c r="H210" t="s">
        <v>72</v>
      </c>
      <c r="I210" t="s">
        <v>67</v>
      </c>
      <c r="J210" t="s">
        <v>357</v>
      </c>
      <c r="K210" t="s">
        <v>89</v>
      </c>
      <c r="L210" t="s">
        <v>89</v>
      </c>
      <c r="M210">
        <v>0.36812749003984063</v>
      </c>
      <c r="N210" s="5">
        <v>45043</v>
      </c>
      <c r="O210" s="5">
        <v>45081</v>
      </c>
      <c r="P210">
        <v>0.25</v>
      </c>
      <c r="Q210" s="4">
        <v>167</v>
      </c>
      <c r="R210">
        <v>0.76</v>
      </c>
      <c r="S210" t="s">
        <v>70</v>
      </c>
      <c r="T210" s="6">
        <v>5</v>
      </c>
      <c r="U210" s="5">
        <v>45191</v>
      </c>
      <c r="V210" s="6">
        <v>1</v>
      </c>
      <c r="W210" t="s">
        <v>86</v>
      </c>
      <c r="X210" s="6">
        <v>109.99999999999999</v>
      </c>
      <c r="Y210">
        <v>5.8691899999999997</v>
      </c>
      <c r="Z210">
        <v>8.1516527777777785</v>
      </c>
      <c r="AA210" s="6">
        <v>35.489224237075305</v>
      </c>
      <c r="AB210" s="4">
        <v>83.3172</v>
      </c>
      <c r="AC210" s="6">
        <v>28.177567177005468</v>
      </c>
      <c r="AD210">
        <v>0.40631405000000004</v>
      </c>
      <c r="AE210">
        <v>2.2098221753454279</v>
      </c>
      <c r="AF210">
        <v>12550</v>
      </c>
      <c r="AG210" s="4"/>
      <c r="AH210" s="4">
        <v>4620</v>
      </c>
      <c r="AL210">
        <v>22</v>
      </c>
      <c r="AM210">
        <v>2.9629299999999996</v>
      </c>
      <c r="AN210" t="s">
        <v>81</v>
      </c>
      <c r="AO210" t="s">
        <v>176</v>
      </c>
      <c r="AP210" s="5">
        <v>45089</v>
      </c>
      <c r="AQ210" t="s">
        <v>438</v>
      </c>
      <c r="AR210" s="5">
        <v>45184</v>
      </c>
      <c r="AS210">
        <v>185.95960260274418</v>
      </c>
      <c r="AT210" s="6"/>
      <c r="AU210">
        <v>20.871704613413428</v>
      </c>
      <c r="AV210">
        <v>68.891530177077243</v>
      </c>
      <c r="AW210">
        <v>17.488609160718944</v>
      </c>
      <c r="AX210">
        <v>107.25184395120962</v>
      </c>
      <c r="AY210">
        <v>22.682869356759625</v>
      </c>
      <c r="AZ210">
        <v>31.553239884890431</v>
      </c>
      <c r="BA210">
        <v>10.148417413646516</v>
      </c>
      <c r="BB210">
        <v>3.2702178665199115</v>
      </c>
      <c r="BC210">
        <v>13.55981830542204</v>
      </c>
      <c r="BD210">
        <v>81.214562827238524</v>
      </c>
      <c r="BE210">
        <v>-2.5068041757039623</v>
      </c>
      <c r="BF210">
        <v>27.603161594700467</v>
      </c>
      <c r="BG210">
        <v>9.5873536211981567E-2</v>
      </c>
      <c r="BH210">
        <v>27.699035130912449</v>
      </c>
      <c r="BI210">
        <v>216.16544190936057</v>
      </c>
      <c r="BJ210" s="6">
        <v>187</v>
      </c>
      <c r="BK210">
        <v>-30.205839306616387</v>
      </c>
      <c r="BL210" s="4">
        <v>-177.28380999999982</v>
      </c>
      <c r="BM210" t="s">
        <v>1445</v>
      </c>
      <c r="BN210" t="s">
        <v>65</v>
      </c>
      <c r="BO210">
        <v>9</v>
      </c>
      <c r="BP210">
        <v>2023</v>
      </c>
      <c r="BQ210" t="str">
        <f t="shared" si="16"/>
        <v>Roiphet19</v>
      </c>
      <c r="BR210">
        <f t="shared" si="17"/>
        <v>-171.17751999999993</v>
      </c>
      <c r="BS210">
        <f t="shared" si="18"/>
        <v>1091.4322400000001</v>
      </c>
      <c r="BT210" s="6">
        <f t="shared" si="19"/>
        <v>-29.165441909360567</v>
      </c>
    </row>
    <row r="211" spans="1:72">
      <c r="A211" s="3" t="s">
        <v>967</v>
      </c>
      <c r="B211" s="3" t="s">
        <v>1174</v>
      </c>
      <c r="C211" s="3" t="s">
        <v>1176</v>
      </c>
      <c r="D211" s="2" t="s">
        <v>1464</v>
      </c>
      <c r="E211" s="4" t="str">
        <f t="shared" si="15"/>
        <v>Roiphet1D2-G03-0081</v>
      </c>
      <c r="F211">
        <v>1.1299999999999999</v>
      </c>
      <c r="G211">
        <v>1.5</v>
      </c>
      <c r="H211" t="s">
        <v>72</v>
      </c>
      <c r="I211" t="s">
        <v>67</v>
      </c>
      <c r="J211" t="s">
        <v>357</v>
      </c>
      <c r="K211" t="s">
        <v>89</v>
      </c>
      <c r="L211" t="s">
        <v>89</v>
      </c>
      <c r="M211">
        <v>0.2829170829170829</v>
      </c>
      <c r="N211" s="5">
        <v>45041</v>
      </c>
      <c r="O211" s="5">
        <v>45081</v>
      </c>
      <c r="P211">
        <v>0.5</v>
      </c>
      <c r="Q211" s="4">
        <v>184</v>
      </c>
      <c r="R211">
        <v>1.1579999999999999</v>
      </c>
      <c r="S211" t="s">
        <v>70</v>
      </c>
      <c r="T211" s="6">
        <v>5</v>
      </c>
      <c r="U211" s="5">
        <v>45191</v>
      </c>
      <c r="V211" s="6">
        <v>1</v>
      </c>
      <c r="W211" t="s">
        <v>86</v>
      </c>
      <c r="X211" s="6">
        <v>110</v>
      </c>
      <c r="Y211">
        <v>12.356399999999999</v>
      </c>
      <c r="Z211">
        <v>10.934867256637169</v>
      </c>
      <c r="AA211" s="6">
        <v>33.962400051795022</v>
      </c>
      <c r="AB211" s="4">
        <v>83.930599999999998</v>
      </c>
      <c r="AC211" s="6">
        <v>29.444326622233131</v>
      </c>
      <c r="AD211">
        <v>0.40269586800000001</v>
      </c>
      <c r="AE211">
        <v>2.1247962233392204</v>
      </c>
      <c r="AF211">
        <v>25025</v>
      </c>
      <c r="AG211" s="4"/>
      <c r="AH211" s="4">
        <v>7080</v>
      </c>
      <c r="AL211">
        <v>22</v>
      </c>
      <c r="AM211">
        <v>6.5292899999999996</v>
      </c>
      <c r="AN211" t="s">
        <v>81</v>
      </c>
      <c r="AO211" t="s">
        <v>176</v>
      </c>
      <c r="AP211" s="5">
        <v>45089</v>
      </c>
      <c r="AQ211" t="s">
        <v>93</v>
      </c>
      <c r="AR211" s="5">
        <v>45184</v>
      </c>
      <c r="AS211">
        <v>187.21626363665789</v>
      </c>
      <c r="AT211" s="6"/>
      <c r="AU211">
        <v>22.255673173416206</v>
      </c>
      <c r="AV211">
        <v>65.187451846816231</v>
      </c>
      <c r="AW211">
        <v>17.83203845780325</v>
      </c>
      <c r="AX211">
        <v>105.27516347803568</v>
      </c>
      <c r="AY211">
        <v>17.102479686640123</v>
      </c>
      <c r="AZ211">
        <v>22.456113431096441</v>
      </c>
      <c r="BA211">
        <v>7.6099316953157876</v>
      </c>
      <c r="BB211">
        <v>2.5335745039008124</v>
      </c>
      <c r="BC211">
        <v>10.225847334175002</v>
      </c>
      <c r="BD211">
        <v>59.927946651128174</v>
      </c>
      <c r="BE211">
        <v>22.013153507494032</v>
      </c>
      <c r="BF211">
        <v>20.899033699135671</v>
      </c>
      <c r="BG211">
        <v>7.2428053478359386E-2</v>
      </c>
      <c r="BH211">
        <v>20.971461752614033</v>
      </c>
      <c r="BI211">
        <v>186.17457188177787</v>
      </c>
      <c r="BJ211" s="6">
        <v>189</v>
      </c>
      <c r="BK211">
        <v>1.0416917548800291</v>
      </c>
      <c r="BL211" s="4">
        <v>12.87155999999959</v>
      </c>
      <c r="BM211" t="s">
        <v>1465</v>
      </c>
      <c r="BN211" t="s">
        <v>65</v>
      </c>
      <c r="BO211">
        <v>9</v>
      </c>
      <c r="BP211">
        <v>2023</v>
      </c>
      <c r="BQ211" t="str">
        <f t="shared" si="16"/>
        <v>Roiphet19</v>
      </c>
      <c r="BR211">
        <f t="shared" si="17"/>
        <v>34.91211999999998</v>
      </c>
      <c r="BS211">
        <f t="shared" si="18"/>
        <v>2313.3190399999994</v>
      </c>
      <c r="BT211" s="6">
        <f t="shared" si="19"/>
        <v>2.8254281182221348</v>
      </c>
    </row>
    <row r="212" spans="1:72">
      <c r="A212" s="3" t="s">
        <v>967</v>
      </c>
      <c r="B212" s="3" t="s">
        <v>1174</v>
      </c>
      <c r="C212" s="3" t="s">
        <v>1176</v>
      </c>
      <c r="D212" s="2" t="s">
        <v>1244</v>
      </c>
      <c r="E212" s="4" t="str">
        <f t="shared" si="15"/>
        <v>Roiphet1C5-I09-0065</v>
      </c>
      <c r="F212">
        <v>0.72</v>
      </c>
      <c r="G212">
        <v>1.3</v>
      </c>
      <c r="H212" t="s">
        <v>84</v>
      </c>
      <c r="I212" t="s">
        <v>67</v>
      </c>
      <c r="J212" t="s">
        <v>357</v>
      </c>
      <c r="K212" t="s">
        <v>89</v>
      </c>
      <c r="L212" t="s">
        <v>89</v>
      </c>
      <c r="M212">
        <v>0.72986301369863016</v>
      </c>
      <c r="N212" s="5">
        <v>45066</v>
      </c>
      <c r="O212" s="5">
        <v>45125</v>
      </c>
      <c r="P212">
        <v>0.25</v>
      </c>
      <c r="Q212" s="4">
        <v>167</v>
      </c>
      <c r="R212">
        <v>1.18</v>
      </c>
      <c r="S212" t="s">
        <v>70</v>
      </c>
      <c r="T212" s="6">
        <v>4</v>
      </c>
      <c r="U212" s="5">
        <v>45226</v>
      </c>
      <c r="V212" s="6">
        <v>2</v>
      </c>
      <c r="W212" t="s">
        <v>71</v>
      </c>
      <c r="X212" s="6">
        <v>101</v>
      </c>
      <c r="Y212">
        <v>3.3363800000000001</v>
      </c>
      <c r="Z212">
        <v>4.6338611111111119</v>
      </c>
      <c r="AA212" s="6">
        <v>34.180459060418777</v>
      </c>
      <c r="AB212" s="4">
        <v>45.615600000000001</v>
      </c>
      <c r="AC212" s="6">
        <v>29.256482431448891</v>
      </c>
      <c r="AD212">
        <v>0.400858086</v>
      </c>
      <c r="AE212">
        <v>3.0002827663757898</v>
      </c>
      <c r="AF212">
        <v>9125</v>
      </c>
      <c r="AG212" s="4">
        <v>0</v>
      </c>
      <c r="AH212" s="4">
        <v>6660</v>
      </c>
      <c r="AL212">
        <v>24</v>
      </c>
      <c r="AM212">
        <v>1.72451</v>
      </c>
      <c r="AN212" t="s">
        <v>81</v>
      </c>
      <c r="AO212" t="s">
        <v>215</v>
      </c>
      <c r="AP212" s="5">
        <v>45128</v>
      </c>
      <c r="AQ212" t="s">
        <v>90</v>
      </c>
      <c r="AR212" s="5">
        <v>45219</v>
      </c>
      <c r="AS212">
        <v>192.77985421324908</v>
      </c>
      <c r="AT212" s="6"/>
      <c r="AU212">
        <v>41.212331928617246</v>
      </c>
      <c r="AV212">
        <v>88.040600890785825</v>
      </c>
      <c r="AW212">
        <v>47.116734304845352</v>
      </c>
      <c r="AX212">
        <v>176.36966712424842</v>
      </c>
      <c r="AY212">
        <v>42.485286448186358</v>
      </c>
      <c r="AZ212">
        <v>57.71928557298628</v>
      </c>
      <c r="BA212">
        <v>13.709130854399078</v>
      </c>
      <c r="BB212">
        <v>13.016149239595013</v>
      </c>
      <c r="BC212">
        <v>24.238839700513729</v>
      </c>
      <c r="BD212">
        <v>151.16869181568046</v>
      </c>
      <c r="BE212">
        <v>-134.7585047266798</v>
      </c>
      <c r="BF212">
        <v>62.950874900341105</v>
      </c>
      <c r="BG212">
        <v>0.18148112625060697</v>
      </c>
      <c r="BH212">
        <v>63.132356026591708</v>
      </c>
      <c r="BI212">
        <v>390.67071496652056</v>
      </c>
      <c r="BJ212" s="6">
        <v>189</v>
      </c>
      <c r="BK212">
        <v>-197.89086075327151</v>
      </c>
      <c r="BL212" s="4">
        <v>-660.23910999999998</v>
      </c>
      <c r="BM212" t="s">
        <v>1245</v>
      </c>
      <c r="BN212" t="s">
        <v>65</v>
      </c>
      <c r="BO212">
        <v>10</v>
      </c>
      <c r="BP212">
        <v>2023</v>
      </c>
      <c r="BQ212" t="str">
        <f t="shared" si="16"/>
        <v>Roiphet110</v>
      </c>
      <c r="BR212">
        <f t="shared" si="17"/>
        <v>-672.8501399999999</v>
      </c>
      <c r="BS212">
        <f t="shared" si="18"/>
        <v>643.18684999999994</v>
      </c>
      <c r="BT212" s="6">
        <f t="shared" si="19"/>
        <v>-201.67071496652056</v>
      </c>
    </row>
    <row r="213" spans="1:72">
      <c r="A213" s="3" t="s">
        <v>967</v>
      </c>
      <c r="B213" s="3" t="s">
        <v>1174</v>
      </c>
      <c r="C213" s="3" t="s">
        <v>1176</v>
      </c>
      <c r="D213" s="2" t="s">
        <v>1238</v>
      </c>
      <c r="E213" s="4" t="str">
        <f t="shared" si="15"/>
        <v>Roiphet1C6-G12-0060</v>
      </c>
      <c r="F213">
        <v>1.1299999999999999</v>
      </c>
      <c r="G213">
        <v>1.5</v>
      </c>
      <c r="H213" t="s">
        <v>84</v>
      </c>
      <c r="I213" t="s">
        <v>67</v>
      </c>
      <c r="J213" t="s">
        <v>357</v>
      </c>
      <c r="K213" t="s">
        <v>89</v>
      </c>
      <c r="L213" t="s">
        <v>89</v>
      </c>
      <c r="M213">
        <v>0.5115020297699594</v>
      </c>
      <c r="N213" s="5">
        <v>44994</v>
      </c>
      <c r="O213" s="5">
        <v>45022</v>
      </c>
      <c r="P213">
        <v>0.5</v>
      </c>
      <c r="Q213" s="4">
        <v>184</v>
      </c>
      <c r="R213">
        <v>0.51</v>
      </c>
      <c r="S213" t="s">
        <v>70</v>
      </c>
      <c r="T213" s="6">
        <v>3</v>
      </c>
      <c r="U213" s="5">
        <v>45107</v>
      </c>
      <c r="V213" s="6">
        <v>2</v>
      </c>
      <c r="W213" t="s">
        <v>71</v>
      </c>
      <c r="X213" s="6">
        <v>85</v>
      </c>
      <c r="Y213">
        <v>8.052859999999999</v>
      </c>
      <c r="Z213">
        <v>7.126424778761062</v>
      </c>
      <c r="AA213" s="6">
        <v>35.086664861924831</v>
      </c>
      <c r="AB213" s="4">
        <v>56.509600000000006</v>
      </c>
      <c r="AC213" s="6">
        <v>28.500856491640359</v>
      </c>
      <c r="AD213">
        <v>0.39967951299999999</v>
      </c>
      <c r="AE213">
        <v>2.3692397657818942</v>
      </c>
      <c r="AF213">
        <v>18475</v>
      </c>
      <c r="AG213" s="4">
        <v>0</v>
      </c>
      <c r="AH213" s="4">
        <v>9450</v>
      </c>
      <c r="AL213">
        <v>28.999999999999996</v>
      </c>
      <c r="AM213">
        <v>5.8986299999999998</v>
      </c>
      <c r="AN213" t="s">
        <v>77</v>
      </c>
      <c r="AO213" t="s">
        <v>127</v>
      </c>
      <c r="AP213" s="5">
        <v>45030</v>
      </c>
      <c r="AQ213" t="s">
        <v>94</v>
      </c>
      <c r="AR213" s="5">
        <v>45103</v>
      </c>
      <c r="AS213">
        <v>134.84237898088381</v>
      </c>
      <c r="AT213" s="6"/>
      <c r="AU213">
        <v>27.940383913292916</v>
      </c>
      <c r="AV213">
        <v>67.69245833157413</v>
      </c>
      <c r="AW213">
        <v>16.474019168345158</v>
      </c>
      <c r="AX213">
        <v>112.1068614132122</v>
      </c>
      <c r="AY213">
        <v>17.487240558012932</v>
      </c>
      <c r="AZ213">
        <v>28.57157208743229</v>
      </c>
      <c r="BA213">
        <v>5.3870587592482666</v>
      </c>
      <c r="BB213">
        <v>5.2651231984661351</v>
      </c>
      <c r="BC213">
        <v>11.871870366553003</v>
      </c>
      <c r="BD213">
        <v>68.582864969712617</v>
      </c>
      <c r="BE213">
        <v>-45.847347402041009</v>
      </c>
      <c r="BF213">
        <v>29.052442237912992</v>
      </c>
      <c r="BG213">
        <v>7.6764031660801271E-2</v>
      </c>
      <c r="BH213">
        <v>29.129206269573793</v>
      </c>
      <c r="BI213">
        <v>209.81893265249863</v>
      </c>
      <c r="BJ213" s="6">
        <v>187</v>
      </c>
      <c r="BK213">
        <v>-74.976553671614795</v>
      </c>
      <c r="BL213" s="4">
        <v>-603.77568999999994</v>
      </c>
      <c r="BM213" t="s">
        <v>1239</v>
      </c>
      <c r="BN213" t="s">
        <v>65</v>
      </c>
      <c r="BO213">
        <v>6</v>
      </c>
      <c r="BP213">
        <v>2023</v>
      </c>
      <c r="BQ213" t="str">
        <f t="shared" si="16"/>
        <v>Roiphet16</v>
      </c>
      <c r="BR213">
        <f t="shared" si="17"/>
        <v>-183.7576700000001</v>
      </c>
      <c r="BS213">
        <f t="shared" si="18"/>
        <v>1085.8667999999998</v>
      </c>
      <c r="BT213" s="6">
        <f t="shared" si="19"/>
        <v>-22.818932652498631</v>
      </c>
    </row>
    <row r="214" spans="1:72">
      <c r="A214" s="3" t="s">
        <v>967</v>
      </c>
      <c r="B214" s="3" t="s">
        <v>1174</v>
      </c>
      <c r="C214" s="3" t="s">
        <v>1176</v>
      </c>
      <c r="D214" s="2" t="s">
        <v>1440</v>
      </c>
      <c r="E214" s="4" t="str">
        <f t="shared" si="15"/>
        <v>Roiphet1D5-G10-0070</v>
      </c>
      <c r="F214">
        <v>1.1299999999999999</v>
      </c>
      <c r="G214">
        <v>1.5</v>
      </c>
      <c r="H214" t="s">
        <v>72</v>
      </c>
      <c r="I214" t="s">
        <v>67</v>
      </c>
      <c r="J214" t="s">
        <v>357</v>
      </c>
      <c r="K214" t="s">
        <v>89</v>
      </c>
      <c r="L214" t="s">
        <v>89</v>
      </c>
      <c r="M214">
        <v>0.37442116868798236</v>
      </c>
      <c r="N214" s="5">
        <v>45050</v>
      </c>
      <c r="O214" s="5">
        <v>45096</v>
      </c>
      <c r="P214">
        <v>0.5</v>
      </c>
      <c r="Q214" s="4">
        <v>184</v>
      </c>
      <c r="R214">
        <v>0.95399999999999996</v>
      </c>
      <c r="S214" t="s">
        <v>70</v>
      </c>
      <c r="T214" s="6">
        <v>5</v>
      </c>
      <c r="U214" s="5">
        <v>45210</v>
      </c>
      <c r="V214" s="6">
        <v>1</v>
      </c>
      <c r="W214" t="s">
        <v>86</v>
      </c>
      <c r="X214" s="6">
        <v>114.00000000000001</v>
      </c>
      <c r="Y214">
        <v>10.45851</v>
      </c>
      <c r="Z214">
        <v>9.2553185840707979</v>
      </c>
      <c r="AA214" s="6">
        <v>35.945751354638467</v>
      </c>
      <c r="AB214" s="4">
        <v>75.18780000000001</v>
      </c>
      <c r="AC214" s="6">
        <v>27.81969947252081</v>
      </c>
      <c r="AD214">
        <v>0.39035566199999999</v>
      </c>
      <c r="AE214">
        <v>2.2716798909994389</v>
      </c>
      <c r="AF214">
        <v>22675</v>
      </c>
      <c r="AG214" s="4">
        <v>0</v>
      </c>
      <c r="AH214" s="4">
        <v>8490</v>
      </c>
      <c r="AL214">
        <v>22</v>
      </c>
      <c r="AM214">
        <v>5.3669599999999997</v>
      </c>
      <c r="AN214" t="s">
        <v>81</v>
      </c>
      <c r="AO214" t="s">
        <v>94</v>
      </c>
      <c r="AP214" s="5">
        <v>45103</v>
      </c>
      <c r="AQ214" t="s">
        <v>105</v>
      </c>
      <c r="AR214" s="5">
        <v>45208</v>
      </c>
      <c r="AS214">
        <v>190.1297383661726</v>
      </c>
      <c r="AT214" s="6"/>
      <c r="AU214">
        <v>26.294376541209026</v>
      </c>
      <c r="AV214">
        <v>69.80102901847394</v>
      </c>
      <c r="AW214">
        <v>34.916730968369308</v>
      </c>
      <c r="AX214">
        <v>131.01213652805228</v>
      </c>
      <c r="AY214">
        <v>21.867920000076495</v>
      </c>
      <c r="AZ214">
        <v>27.343246791368941</v>
      </c>
      <c r="BA214">
        <v>9.0262848149497383</v>
      </c>
      <c r="BB214">
        <v>2.9999579289975342</v>
      </c>
      <c r="BC214">
        <v>12.683053322127151</v>
      </c>
      <c r="BD214">
        <v>73.920462857519865</v>
      </c>
      <c r="BE214">
        <v>-14.802861019399543</v>
      </c>
      <c r="BF214">
        <v>25.916089385581692</v>
      </c>
      <c r="BG214">
        <v>9.1392559743213905E-2</v>
      </c>
      <c r="BH214">
        <v>26.007481945324908</v>
      </c>
      <c r="BI214">
        <v>230.94008133089702</v>
      </c>
      <c r="BJ214" s="6">
        <v>186</v>
      </c>
      <c r="BK214">
        <v>-40.810342964724434</v>
      </c>
      <c r="BL214" s="4">
        <v>-426.81538000000012</v>
      </c>
      <c r="BM214" t="s">
        <v>1441</v>
      </c>
      <c r="BN214" t="s">
        <v>65</v>
      </c>
      <c r="BO214">
        <v>10</v>
      </c>
      <c r="BP214">
        <v>2023</v>
      </c>
      <c r="BQ214" t="str">
        <f t="shared" si="16"/>
        <v>Roiphet110</v>
      </c>
      <c r="BR214">
        <f t="shared" si="17"/>
        <v>-470.00628999999975</v>
      </c>
      <c r="BS214">
        <f t="shared" si="18"/>
        <v>1988.4737699999998</v>
      </c>
      <c r="BT214" s="6">
        <f t="shared" si="19"/>
        <v>-44.940081330897016</v>
      </c>
    </row>
    <row r="215" spans="1:72">
      <c r="A215" s="3" t="s">
        <v>967</v>
      </c>
      <c r="B215" s="3" t="s">
        <v>1174</v>
      </c>
      <c r="C215" s="3" t="s">
        <v>1176</v>
      </c>
      <c r="D215" s="2" t="s">
        <v>1258</v>
      </c>
      <c r="E215" s="4" t="str">
        <f t="shared" si="15"/>
        <v>Roiphet1C2-I04-0066</v>
      </c>
      <c r="F215">
        <v>0.72</v>
      </c>
      <c r="G215">
        <v>1.3</v>
      </c>
      <c r="H215" t="s">
        <v>84</v>
      </c>
      <c r="I215" t="s">
        <v>67</v>
      </c>
      <c r="J215" t="s">
        <v>357</v>
      </c>
      <c r="K215" t="s">
        <v>89</v>
      </c>
      <c r="L215" t="s">
        <v>89</v>
      </c>
      <c r="M215">
        <v>0.80577617328519857</v>
      </c>
      <c r="N215" s="5">
        <v>44880</v>
      </c>
      <c r="O215" s="5">
        <v>44901</v>
      </c>
      <c r="P215">
        <v>0.33400000000000002</v>
      </c>
      <c r="Q215" s="4">
        <v>223</v>
      </c>
      <c r="R215">
        <v>0.75</v>
      </c>
      <c r="S215" t="s">
        <v>70</v>
      </c>
      <c r="T215" s="6">
        <v>5</v>
      </c>
      <c r="U215" s="5">
        <v>45016</v>
      </c>
      <c r="V215" s="6">
        <v>1</v>
      </c>
      <c r="W215" t="s">
        <v>86</v>
      </c>
      <c r="X215" s="6">
        <v>114.99999999999999</v>
      </c>
      <c r="Y215">
        <v>7.1348599999999998</v>
      </c>
      <c r="Z215">
        <v>9.909527777777777</v>
      </c>
      <c r="AA215" s="6">
        <v>32.985090106883668</v>
      </c>
      <c r="AB215" s="4">
        <v>70.462275449101796</v>
      </c>
      <c r="AC215" s="6">
        <v>30.316727853695017</v>
      </c>
      <c r="AD215">
        <v>0.38873517800000001</v>
      </c>
      <c r="AE215">
        <v>2.0118064714802828</v>
      </c>
      <c r="AF215">
        <v>13850</v>
      </c>
      <c r="AG215" s="4">
        <v>0</v>
      </c>
      <c r="AH215" s="4">
        <v>11160</v>
      </c>
      <c r="AL215">
        <v>22</v>
      </c>
      <c r="AM215">
        <v>3.6543200000000002</v>
      </c>
      <c r="AN215" t="s">
        <v>81</v>
      </c>
      <c r="AO215" t="s">
        <v>96</v>
      </c>
      <c r="AP215" s="5">
        <v>44907</v>
      </c>
      <c r="AQ215" t="s">
        <v>116</v>
      </c>
      <c r="AR215" s="5">
        <v>45012</v>
      </c>
      <c r="AS215">
        <v>269.14368186621743</v>
      </c>
      <c r="AT215" s="6"/>
      <c r="AU215">
        <v>13.119600104276751</v>
      </c>
      <c r="AV215">
        <v>63.923395833975725</v>
      </c>
      <c r="AW215">
        <v>22.212347544310621</v>
      </c>
      <c r="AX215">
        <v>99.255343482563092</v>
      </c>
      <c r="AY215">
        <v>20.057039661605135</v>
      </c>
      <c r="AZ215">
        <v>32.052666765710896</v>
      </c>
      <c r="BA215">
        <v>4.7775331260879685</v>
      </c>
      <c r="BB215">
        <v>8.3826017609315393</v>
      </c>
      <c r="BC215">
        <v>9.0554012272139914</v>
      </c>
      <c r="BD215">
        <v>74.325242541549514</v>
      </c>
      <c r="BE215">
        <v>95.563095842104829</v>
      </c>
      <c r="BF215">
        <v>27.58102611684042</v>
      </c>
      <c r="BG215">
        <v>6.8927771533008358E-2</v>
      </c>
      <c r="BH215">
        <v>27.649953888373432</v>
      </c>
      <c r="BI215">
        <v>201.23053991248599</v>
      </c>
      <c r="BJ215" s="6">
        <v>191</v>
      </c>
      <c r="BK215">
        <v>67.91314195373144</v>
      </c>
      <c r="BL215" s="4">
        <v>484.55076000000025</v>
      </c>
      <c r="BM215" t="s">
        <v>1259</v>
      </c>
      <c r="BN215" t="s">
        <v>65</v>
      </c>
      <c r="BO215">
        <v>3</v>
      </c>
      <c r="BP215">
        <v>2023</v>
      </c>
      <c r="BQ215" t="str">
        <f t="shared" si="16"/>
        <v>Roiphet13</v>
      </c>
      <c r="BR215">
        <f t="shared" si="17"/>
        <v>-72.993469999999817</v>
      </c>
      <c r="BS215">
        <f t="shared" si="18"/>
        <v>1920.30249</v>
      </c>
      <c r="BT215" s="6">
        <f t="shared" si="19"/>
        <v>-10.230539912485995</v>
      </c>
    </row>
    <row r="216" spans="1:72">
      <c r="A216" s="3" t="s">
        <v>967</v>
      </c>
      <c r="B216" s="3" t="s">
        <v>1174</v>
      </c>
      <c r="C216" s="3" t="s">
        <v>1176</v>
      </c>
      <c r="D216" s="2" t="s">
        <v>1212</v>
      </c>
      <c r="E216" s="4" t="str">
        <f t="shared" si="15"/>
        <v>Roiphet1C5-G10-0065</v>
      </c>
      <c r="F216">
        <v>1.1299999999999999</v>
      </c>
      <c r="G216">
        <v>1.5</v>
      </c>
      <c r="H216" t="s">
        <v>84</v>
      </c>
      <c r="I216" t="s">
        <v>67</v>
      </c>
      <c r="J216" t="s">
        <v>357</v>
      </c>
      <c r="K216" t="s">
        <v>89</v>
      </c>
      <c r="L216" t="s">
        <v>89</v>
      </c>
      <c r="M216">
        <v>0.38551181102362203</v>
      </c>
      <c r="N216" s="5">
        <v>45063</v>
      </c>
      <c r="O216" s="5">
        <v>45125</v>
      </c>
      <c r="P216">
        <v>0.55000000000000004</v>
      </c>
      <c r="Q216" s="4">
        <v>203</v>
      </c>
      <c r="R216">
        <v>0.41</v>
      </c>
      <c r="S216" t="s">
        <v>70</v>
      </c>
      <c r="T216" s="6">
        <v>5</v>
      </c>
      <c r="U216" s="5">
        <v>45227</v>
      </c>
      <c r="V216" s="6">
        <v>2</v>
      </c>
      <c r="W216" t="s">
        <v>71</v>
      </c>
      <c r="X216" s="6">
        <v>102</v>
      </c>
      <c r="Y216">
        <v>7.1273599999999995</v>
      </c>
      <c r="Z216">
        <v>6.3073982300884959</v>
      </c>
      <c r="AA216" s="6">
        <v>43.221613612894537</v>
      </c>
      <c r="AB216" s="4">
        <v>56.010181818181813</v>
      </c>
      <c r="AC216" s="6">
        <v>23.136572571220817</v>
      </c>
      <c r="AD216">
        <v>0.38813725500000001</v>
      </c>
      <c r="AE216">
        <v>2.3001012769003184</v>
      </c>
      <c r="AF216">
        <v>15875</v>
      </c>
      <c r="AG216" s="4">
        <v>0</v>
      </c>
      <c r="AH216" s="4">
        <v>6120</v>
      </c>
      <c r="AL216">
        <v>25</v>
      </c>
      <c r="AM216">
        <v>3.77671</v>
      </c>
      <c r="AN216" t="s">
        <v>81</v>
      </c>
      <c r="AO216" t="s">
        <v>215</v>
      </c>
      <c r="AP216" s="5">
        <v>45128</v>
      </c>
      <c r="AQ216" t="s">
        <v>90</v>
      </c>
      <c r="AR216" s="5">
        <v>45219</v>
      </c>
      <c r="AS216">
        <v>190.755850693665</v>
      </c>
      <c r="AT216" s="6"/>
      <c r="AU216">
        <v>34.725340097876355</v>
      </c>
      <c r="AV216">
        <v>71.251005982579812</v>
      </c>
      <c r="AW216">
        <v>32.729601142639062</v>
      </c>
      <c r="AX216">
        <v>138.70594722309522</v>
      </c>
      <c r="AY216">
        <v>31.354341579490864</v>
      </c>
      <c r="AZ216">
        <v>38.969537107708888</v>
      </c>
      <c r="BA216">
        <v>10.094256498900014</v>
      </c>
      <c r="BB216">
        <v>9.7793558905401152</v>
      </c>
      <c r="BC216">
        <v>17.888623557670726</v>
      </c>
      <c r="BD216">
        <v>108.0861146343106</v>
      </c>
      <c r="BE216">
        <v>-56.03621116374083</v>
      </c>
      <c r="BF216">
        <v>46.634888654424635</v>
      </c>
      <c r="BG216">
        <v>0.13413662281686348</v>
      </c>
      <c r="BH216">
        <v>46.769025277241496</v>
      </c>
      <c r="BI216">
        <v>293.56108713464738</v>
      </c>
      <c r="BJ216" s="6">
        <v>178</v>
      </c>
      <c r="BK216">
        <v>-102.80523644098238</v>
      </c>
      <c r="BL216" s="4">
        <v>-732.72993000000019</v>
      </c>
      <c r="BM216" t="s">
        <v>1213</v>
      </c>
      <c r="BN216" t="s">
        <v>65</v>
      </c>
      <c r="BO216">
        <v>10</v>
      </c>
      <c r="BP216">
        <v>2023</v>
      </c>
      <c r="BQ216" t="str">
        <f t="shared" si="16"/>
        <v>Roiphet110</v>
      </c>
      <c r="BR216">
        <f t="shared" si="17"/>
        <v>-823.64547000000027</v>
      </c>
      <c r="BS216">
        <f t="shared" si="18"/>
        <v>1359.5856200000001</v>
      </c>
      <c r="BT216" s="6">
        <f t="shared" si="19"/>
        <v>-115.56108713464738</v>
      </c>
    </row>
    <row r="217" spans="1:72">
      <c r="A217" s="3" t="s">
        <v>967</v>
      </c>
      <c r="B217" s="3" t="s">
        <v>1174</v>
      </c>
      <c r="C217" s="3" t="s">
        <v>1176</v>
      </c>
      <c r="D217" s="2" t="s">
        <v>1236</v>
      </c>
      <c r="E217" s="4" t="str">
        <f t="shared" si="15"/>
        <v>Roiphet1C5-G09-0058</v>
      </c>
      <c r="F217">
        <v>1.1299999999999999</v>
      </c>
      <c r="G217">
        <v>1.5</v>
      </c>
      <c r="H217" t="s">
        <v>84</v>
      </c>
      <c r="I217" t="s">
        <v>67</v>
      </c>
      <c r="J217" t="s">
        <v>357</v>
      </c>
      <c r="K217" t="s">
        <v>89</v>
      </c>
      <c r="L217" t="s">
        <v>89</v>
      </c>
      <c r="M217">
        <v>0.34237762237762237</v>
      </c>
      <c r="N217" s="5">
        <v>45066</v>
      </c>
      <c r="O217" s="5">
        <v>45125</v>
      </c>
      <c r="P217">
        <v>0.55000000000000004</v>
      </c>
      <c r="Q217" s="4">
        <v>203</v>
      </c>
      <c r="R217">
        <v>1.18</v>
      </c>
      <c r="S217" t="s">
        <v>70</v>
      </c>
      <c r="T217" s="6">
        <v>4</v>
      </c>
      <c r="U217" s="5">
        <v>45226</v>
      </c>
      <c r="V217" s="6">
        <v>2</v>
      </c>
      <c r="W217" t="s">
        <v>71</v>
      </c>
      <c r="X217" s="6">
        <v>101</v>
      </c>
      <c r="Y217">
        <v>8.2558100000000003</v>
      </c>
      <c r="Z217">
        <v>7.3060265486725671</v>
      </c>
      <c r="AA217" s="6">
        <v>35.484464879884591</v>
      </c>
      <c r="AB217" s="4">
        <v>53.264181818181825</v>
      </c>
      <c r="AC217" s="6">
        <v>28.181346495854282</v>
      </c>
      <c r="AD217">
        <v>0.38435643600000002</v>
      </c>
      <c r="AE217">
        <v>2.3498186531562504</v>
      </c>
      <c r="AF217">
        <v>17875</v>
      </c>
      <c r="AG217" s="4">
        <v>0</v>
      </c>
      <c r="AH217" s="4">
        <v>6120</v>
      </c>
      <c r="AL217">
        <v>25</v>
      </c>
      <c r="AM217">
        <v>4.9330600000000002</v>
      </c>
      <c r="AN217" t="s">
        <v>81</v>
      </c>
      <c r="AO217" t="s">
        <v>215</v>
      </c>
      <c r="AP217" s="5">
        <v>45128</v>
      </c>
      <c r="AQ217" t="s">
        <v>90</v>
      </c>
      <c r="AR217" s="5">
        <v>45219</v>
      </c>
      <c r="AS217">
        <v>195.97459122726903</v>
      </c>
      <c r="AT217" s="6"/>
      <c r="AU217">
        <v>36.640862616751122</v>
      </c>
      <c r="AV217">
        <v>69.239604593613464</v>
      </c>
      <c r="AW217">
        <v>34.164831797243394</v>
      </c>
      <c r="AX217">
        <v>140.04529900760798</v>
      </c>
      <c r="AY217">
        <v>26.94637473488368</v>
      </c>
      <c r="AZ217">
        <v>33.165785065305528</v>
      </c>
      <c r="BA217">
        <v>8.6950414314282938</v>
      </c>
      <c r="BB217">
        <v>8.2555158125005281</v>
      </c>
      <c r="BC217">
        <v>15.373529671831111</v>
      </c>
      <c r="BD217">
        <v>92.436246715949153</v>
      </c>
      <c r="BE217">
        <v>-36.506954496288103</v>
      </c>
      <c r="BF217">
        <v>39.926711007157387</v>
      </c>
      <c r="BG217">
        <v>0.11510923822132536</v>
      </c>
      <c r="BH217">
        <v>40.041820245378716</v>
      </c>
      <c r="BI217">
        <v>272.52336596893582</v>
      </c>
      <c r="BJ217" s="6">
        <v>187</v>
      </c>
      <c r="BK217">
        <v>-76.548774741666804</v>
      </c>
      <c r="BL217" s="4">
        <v>-631.97214000000008</v>
      </c>
      <c r="BM217" t="s">
        <v>1237</v>
      </c>
      <c r="BN217" t="s">
        <v>65</v>
      </c>
      <c r="BO217">
        <v>10</v>
      </c>
      <c r="BP217">
        <v>2023</v>
      </c>
      <c r="BQ217" t="str">
        <f t="shared" si="16"/>
        <v>Roiphet110</v>
      </c>
      <c r="BR217">
        <f t="shared" si="17"/>
        <v>-706.06466000000012</v>
      </c>
      <c r="BS217">
        <f t="shared" si="18"/>
        <v>1617.9289899999999</v>
      </c>
      <c r="BT217" s="6">
        <f t="shared" si="19"/>
        <v>-85.523365968935821</v>
      </c>
    </row>
    <row r="218" spans="1:72">
      <c r="A218" s="3" t="s">
        <v>967</v>
      </c>
      <c r="B218" s="3" t="s">
        <v>1174</v>
      </c>
      <c r="C218" s="3" t="s">
        <v>1176</v>
      </c>
      <c r="D218" s="2" t="s">
        <v>1252</v>
      </c>
      <c r="E218" s="4" t="str">
        <f t="shared" si="15"/>
        <v>Roiphet1C5-I10-0066</v>
      </c>
      <c r="F218">
        <v>0.72</v>
      </c>
      <c r="G218">
        <v>1.3</v>
      </c>
      <c r="H218" t="s">
        <v>84</v>
      </c>
      <c r="I218" t="s">
        <v>67</v>
      </c>
      <c r="J218" t="s">
        <v>357</v>
      </c>
      <c r="K218" t="s">
        <v>89</v>
      </c>
      <c r="L218" t="s">
        <v>89</v>
      </c>
      <c r="M218">
        <v>0.33575129533678755</v>
      </c>
      <c r="N218" s="5">
        <v>45063</v>
      </c>
      <c r="O218" s="5">
        <v>45125</v>
      </c>
      <c r="P218">
        <v>0.25</v>
      </c>
      <c r="Q218" s="4">
        <v>167</v>
      </c>
      <c r="R218">
        <v>1.18</v>
      </c>
      <c r="S218" t="s">
        <v>70</v>
      </c>
      <c r="T218" s="6">
        <v>4</v>
      </c>
      <c r="U218" s="5">
        <v>45227</v>
      </c>
      <c r="V218" s="6">
        <v>2</v>
      </c>
      <c r="W218" t="s">
        <v>71</v>
      </c>
      <c r="X218" s="6">
        <v>102</v>
      </c>
      <c r="Y218">
        <v>4.37934</v>
      </c>
      <c r="Z218">
        <v>6.082416666666667</v>
      </c>
      <c r="AA218" s="6">
        <v>33.257979512894636</v>
      </c>
      <c r="AB218" s="4">
        <v>58.2592</v>
      </c>
      <c r="AC218" s="6">
        <v>30.067972097110843</v>
      </c>
      <c r="AD218">
        <v>0.380588235</v>
      </c>
      <c r="AE218">
        <v>2.3626828324772178</v>
      </c>
      <c r="AF218">
        <v>9650</v>
      </c>
      <c r="AG218" s="4">
        <v>0</v>
      </c>
      <c r="AH218" s="4">
        <v>3240</v>
      </c>
      <c r="AL218">
        <v>25</v>
      </c>
      <c r="AM218">
        <v>2.48909</v>
      </c>
      <c r="AN218" t="s">
        <v>81</v>
      </c>
      <c r="AO218" t="s">
        <v>215</v>
      </c>
      <c r="AP218" s="5">
        <v>45128</v>
      </c>
      <c r="AQ218" t="s">
        <v>90</v>
      </c>
      <c r="AR218" s="5">
        <v>45219</v>
      </c>
      <c r="AS218">
        <v>198.68749628939517</v>
      </c>
      <c r="AT218" s="6"/>
      <c r="AU218">
        <v>31.397425182790101</v>
      </c>
      <c r="AV218">
        <v>70.800490484867609</v>
      </c>
      <c r="AW218">
        <v>34.903485456712644</v>
      </c>
      <c r="AX218">
        <v>137.10140112437037</v>
      </c>
      <c r="AY218">
        <v>32.514102581667558</v>
      </c>
      <c r="AZ218">
        <v>44.620104855982866</v>
      </c>
      <c r="BA218">
        <v>10.467638959295236</v>
      </c>
      <c r="BB218">
        <v>10.141080619454073</v>
      </c>
      <c r="BC218">
        <v>18.550302100316486</v>
      </c>
      <c r="BD218">
        <v>116.29322911671622</v>
      </c>
      <c r="BE218">
        <v>-54.707133951691418</v>
      </c>
      <c r="BF218">
        <v>48.35984874433133</v>
      </c>
      <c r="BG218">
        <v>0.13910543597893749</v>
      </c>
      <c r="BH218">
        <v>48.498954180310271</v>
      </c>
      <c r="BI218">
        <v>301.89358442139684</v>
      </c>
      <c r="BJ218" s="6">
        <v>191</v>
      </c>
      <c r="BK218">
        <v>-103.20608813200168</v>
      </c>
      <c r="BL218" s="4">
        <v>-451.97455000000031</v>
      </c>
      <c r="BM218" t="s">
        <v>1253</v>
      </c>
      <c r="BN218" t="s">
        <v>65</v>
      </c>
      <c r="BO218">
        <v>10</v>
      </c>
      <c r="BP218">
        <v>2023</v>
      </c>
      <c r="BQ218" t="str">
        <f t="shared" si="16"/>
        <v>Roiphet110</v>
      </c>
      <c r="BR218">
        <f t="shared" si="17"/>
        <v>-485.64071000000001</v>
      </c>
      <c r="BS218">
        <f t="shared" si="18"/>
        <v>870.12009999999987</v>
      </c>
      <c r="BT218" s="6">
        <f t="shared" si="19"/>
        <v>-110.89358442139684</v>
      </c>
    </row>
    <row r="219" spans="1:72">
      <c r="A219" s="3" t="s">
        <v>967</v>
      </c>
      <c r="B219" s="3" t="s">
        <v>1174</v>
      </c>
      <c r="C219" s="3" t="s">
        <v>1176</v>
      </c>
      <c r="D219" s="2" t="s">
        <v>1456</v>
      </c>
      <c r="E219" s="4" t="str">
        <f t="shared" si="15"/>
        <v>Roiphet1D2-G04-0080</v>
      </c>
      <c r="F219">
        <v>1.1299999999999999</v>
      </c>
      <c r="G219">
        <v>1.5</v>
      </c>
      <c r="H219" t="s">
        <v>72</v>
      </c>
      <c r="I219" t="s">
        <v>67</v>
      </c>
      <c r="J219" t="s">
        <v>357</v>
      </c>
      <c r="K219" t="s">
        <v>89</v>
      </c>
      <c r="L219" t="s">
        <v>89</v>
      </c>
      <c r="M219">
        <v>0.33243967828418231</v>
      </c>
      <c r="N219" s="5">
        <v>45048</v>
      </c>
      <c r="O219" s="5">
        <v>45081</v>
      </c>
      <c r="P219">
        <v>0.5</v>
      </c>
      <c r="Q219" s="4">
        <v>184</v>
      </c>
      <c r="R219">
        <v>1.1599999999999999</v>
      </c>
      <c r="S219" t="s">
        <v>70</v>
      </c>
      <c r="T219" s="6">
        <v>6</v>
      </c>
      <c r="U219" s="5">
        <v>45198</v>
      </c>
      <c r="V219" s="6">
        <v>1</v>
      </c>
      <c r="W219" t="s">
        <v>86</v>
      </c>
      <c r="X219" s="6">
        <v>117</v>
      </c>
      <c r="Y219">
        <v>12.795339999999999</v>
      </c>
      <c r="Z219">
        <v>11.323309734513275</v>
      </c>
      <c r="AA219" s="6">
        <v>34.643002843222611</v>
      </c>
      <c r="AB219" s="4">
        <v>88.653800000000004</v>
      </c>
      <c r="AC219" s="6">
        <v>28.865857977887018</v>
      </c>
      <c r="AD219">
        <v>0.37858585900000002</v>
      </c>
      <c r="AE219">
        <v>2.2901532008114387</v>
      </c>
      <c r="AF219">
        <v>27975</v>
      </c>
      <c r="AG219" s="4"/>
      <c r="AH219" s="4">
        <v>9300</v>
      </c>
      <c r="AL219">
        <v>22</v>
      </c>
      <c r="AM219">
        <v>5.9983399999999998</v>
      </c>
      <c r="AN219" t="s">
        <v>81</v>
      </c>
      <c r="AO219" t="s">
        <v>176</v>
      </c>
      <c r="AP219" s="5">
        <v>45089</v>
      </c>
      <c r="AQ219" t="s">
        <v>438</v>
      </c>
      <c r="AR219" s="5">
        <v>45195</v>
      </c>
      <c r="AS219">
        <v>187.07966259591385</v>
      </c>
      <c r="AT219" s="6"/>
      <c r="AU219">
        <v>21.492199503881881</v>
      </c>
      <c r="AV219">
        <v>70.270714963416395</v>
      </c>
      <c r="AW219">
        <v>15.249146173528803</v>
      </c>
      <c r="AX219">
        <v>107.01206064082709</v>
      </c>
      <c r="AY219">
        <v>16.704581511706603</v>
      </c>
      <c r="AZ219">
        <v>21.725532107782989</v>
      </c>
      <c r="BA219">
        <v>7.0988359824748688</v>
      </c>
      <c r="BB219">
        <v>2.2241464470658849</v>
      </c>
      <c r="BC219">
        <v>9.9338923389296419</v>
      </c>
      <c r="BD219">
        <v>57.686988387959985</v>
      </c>
      <c r="BE219">
        <v>22.380613567126773</v>
      </c>
      <c r="BF219">
        <v>19.989270312473138</v>
      </c>
      <c r="BG219">
        <v>7.0032527467030967E-2</v>
      </c>
      <c r="BH219">
        <v>20.05930283994017</v>
      </c>
      <c r="BI219">
        <v>184.75835186872723</v>
      </c>
      <c r="BJ219" s="6">
        <v>189</v>
      </c>
      <c r="BK219">
        <v>2.3213107271866136</v>
      </c>
      <c r="BL219" s="4">
        <v>29.701959999999964</v>
      </c>
      <c r="BM219" t="s">
        <v>1457</v>
      </c>
      <c r="BN219" t="s">
        <v>65</v>
      </c>
      <c r="BO219">
        <v>9</v>
      </c>
      <c r="BP219">
        <v>2023</v>
      </c>
      <c r="BQ219" t="str">
        <f t="shared" si="16"/>
        <v>Roiphet19</v>
      </c>
      <c r="BR219">
        <f t="shared" si="17"/>
        <v>54.273329999999703</v>
      </c>
      <c r="BS219">
        <f t="shared" si="18"/>
        <v>2393.7478900000001</v>
      </c>
      <c r="BT219" s="6">
        <f t="shared" si="19"/>
        <v>4.2416481312727683</v>
      </c>
    </row>
    <row r="220" spans="1:72">
      <c r="A220" s="3" t="s">
        <v>967</v>
      </c>
      <c r="B220" s="3" t="s">
        <v>1174</v>
      </c>
      <c r="C220" s="3" t="s">
        <v>1176</v>
      </c>
      <c r="D220" s="2" t="s">
        <v>1224</v>
      </c>
      <c r="E220" s="4" t="str">
        <f t="shared" si="15"/>
        <v>Roiphet1C4-G08-0060</v>
      </c>
      <c r="F220">
        <v>1.1299999999999999</v>
      </c>
      <c r="G220">
        <v>1.5</v>
      </c>
      <c r="H220" t="s">
        <v>84</v>
      </c>
      <c r="I220" t="s">
        <v>67</v>
      </c>
      <c r="J220" t="s">
        <v>357</v>
      </c>
      <c r="K220" t="s">
        <v>89</v>
      </c>
      <c r="L220" t="s">
        <v>89</v>
      </c>
      <c r="M220">
        <v>0.44852459016393442</v>
      </c>
      <c r="N220" s="5">
        <v>44844</v>
      </c>
      <c r="O220" s="5">
        <v>44869</v>
      </c>
      <c r="P220">
        <v>0.45</v>
      </c>
      <c r="Q220" s="4">
        <v>166</v>
      </c>
      <c r="R220">
        <v>0.3</v>
      </c>
      <c r="S220" t="s">
        <v>70</v>
      </c>
      <c r="T220" s="6">
        <v>4</v>
      </c>
      <c r="U220" s="5">
        <v>44954</v>
      </c>
      <c r="V220" s="6">
        <v>2</v>
      </c>
      <c r="W220" t="s">
        <v>71</v>
      </c>
      <c r="X220" s="6">
        <v>85</v>
      </c>
      <c r="Y220">
        <v>8.1445600000000002</v>
      </c>
      <c r="Z220">
        <v>7.2075752212389386</v>
      </c>
      <c r="AA220" s="6">
        <v>37.818249236300055</v>
      </c>
      <c r="AB220" s="4">
        <v>68.447333333333333</v>
      </c>
      <c r="AC220" s="6">
        <v>26.442260553937661</v>
      </c>
      <c r="AD220">
        <v>0.37597723</v>
      </c>
      <c r="AE220">
        <v>1.9039747501735425</v>
      </c>
      <c r="AF220">
        <v>15250</v>
      </c>
      <c r="AG220" s="4">
        <v>0</v>
      </c>
      <c r="AH220" s="4">
        <v>6840</v>
      </c>
      <c r="AL220">
        <v>31.000000000000004</v>
      </c>
      <c r="AM220">
        <v>4.3857700000000008</v>
      </c>
      <c r="AN220" t="s">
        <v>77</v>
      </c>
      <c r="AO220" t="s">
        <v>90</v>
      </c>
      <c r="AP220" s="5">
        <v>44872</v>
      </c>
      <c r="AQ220" t="s">
        <v>97</v>
      </c>
      <c r="AR220" s="5">
        <v>44946</v>
      </c>
      <c r="AS220">
        <v>250.48537060320018</v>
      </c>
      <c r="AT220" s="6"/>
      <c r="AU220">
        <v>22.100641409726247</v>
      </c>
      <c r="AV220">
        <v>62.505835797145579</v>
      </c>
      <c r="AW220">
        <v>24.065813254491346</v>
      </c>
      <c r="AX220">
        <v>108.67229046136318</v>
      </c>
      <c r="AY220">
        <v>25.142238500299587</v>
      </c>
      <c r="AZ220">
        <v>30.817965611401963</v>
      </c>
      <c r="BA220">
        <v>9.6554497726089537</v>
      </c>
      <c r="BB220">
        <v>9.596550335438625</v>
      </c>
      <c r="BC220">
        <v>12.640924739949119</v>
      </c>
      <c r="BD220">
        <v>87.853128959698253</v>
      </c>
      <c r="BE220">
        <v>53.959951182138767</v>
      </c>
      <c r="BF220">
        <v>33.550573634425923</v>
      </c>
      <c r="BG220">
        <v>8.3886667910850921E-2</v>
      </c>
      <c r="BH220">
        <v>33.634460302336777</v>
      </c>
      <c r="BI220">
        <v>230.15987972339821</v>
      </c>
      <c r="BJ220" s="6">
        <v>185</v>
      </c>
      <c r="BK220">
        <v>20.325490879801968</v>
      </c>
      <c r="BL220" s="4">
        <v>165.54217999999995</v>
      </c>
      <c r="BM220" t="s">
        <v>1225</v>
      </c>
      <c r="BN220" t="s">
        <v>65</v>
      </c>
      <c r="BO220">
        <v>1</v>
      </c>
      <c r="BP220">
        <v>2023</v>
      </c>
      <c r="BQ220" t="str">
        <f t="shared" si="16"/>
        <v>Roiphet11</v>
      </c>
      <c r="BR220">
        <f t="shared" si="17"/>
        <v>-367.8073500000001</v>
      </c>
      <c r="BS220">
        <f t="shared" si="18"/>
        <v>2040.0931300000002</v>
      </c>
      <c r="BT220" s="6">
        <f t="shared" si="19"/>
        <v>-45.159879723398205</v>
      </c>
    </row>
    <row r="221" spans="1:72">
      <c r="A221" s="3" t="s">
        <v>967</v>
      </c>
      <c r="B221" s="3" t="s">
        <v>1174</v>
      </c>
      <c r="C221" s="3" t="s">
        <v>1176</v>
      </c>
      <c r="D221" s="2" t="s">
        <v>1432</v>
      </c>
      <c r="E221" s="4" t="str">
        <f t="shared" si="15"/>
        <v>Roiphet1D5-I10-0075</v>
      </c>
      <c r="F221">
        <v>0.72</v>
      </c>
      <c r="G221">
        <v>1.3</v>
      </c>
      <c r="H221" t="s">
        <v>72</v>
      </c>
      <c r="I221" t="s">
        <v>67</v>
      </c>
      <c r="J221" t="s">
        <v>357</v>
      </c>
      <c r="K221" t="s">
        <v>89</v>
      </c>
      <c r="L221" t="s">
        <v>89</v>
      </c>
      <c r="M221">
        <v>0.22372881355932203</v>
      </c>
      <c r="N221" s="5">
        <v>45050</v>
      </c>
      <c r="O221" s="5">
        <v>45096</v>
      </c>
      <c r="P221">
        <v>0.25</v>
      </c>
      <c r="Q221" s="4">
        <v>167</v>
      </c>
      <c r="R221">
        <v>0.95</v>
      </c>
      <c r="S221" t="s">
        <v>70</v>
      </c>
      <c r="T221" s="6">
        <v>4</v>
      </c>
      <c r="U221" s="5">
        <v>45210</v>
      </c>
      <c r="V221" s="6">
        <v>2</v>
      </c>
      <c r="W221" t="s">
        <v>71</v>
      </c>
      <c r="X221" s="6">
        <v>114</v>
      </c>
      <c r="Y221">
        <v>4.9868300000000003</v>
      </c>
      <c r="Z221">
        <v>6.9261527777777783</v>
      </c>
      <c r="AA221" s="6">
        <v>36.314652795463253</v>
      </c>
      <c r="AB221" s="4">
        <v>72.438000000000002</v>
      </c>
      <c r="AC221" s="6">
        <v>27.537093790551918</v>
      </c>
      <c r="AD221">
        <v>0.37305492000000001</v>
      </c>
      <c r="AE221">
        <v>2.4845295922213166</v>
      </c>
      <c r="AF221">
        <v>11800</v>
      </c>
      <c r="AG221" s="4">
        <v>0</v>
      </c>
      <c r="AH221" s="4">
        <v>2640</v>
      </c>
      <c r="AL221">
        <v>23.000000000000004</v>
      </c>
      <c r="AM221">
        <v>2.9490599999999998</v>
      </c>
      <c r="AN221" t="s">
        <v>81</v>
      </c>
      <c r="AO221" t="s">
        <v>94</v>
      </c>
      <c r="AP221" s="5">
        <v>45103</v>
      </c>
      <c r="AQ221" t="s">
        <v>92</v>
      </c>
      <c r="AR221" s="5">
        <v>45208</v>
      </c>
      <c r="AS221">
        <v>189.94089231034548</v>
      </c>
      <c r="AT221" s="6"/>
      <c r="AU221">
        <v>27.572626297668062</v>
      </c>
      <c r="AV221">
        <v>76.231644150692929</v>
      </c>
      <c r="AW221">
        <v>34.301040941840832</v>
      </c>
      <c r="AX221">
        <v>138.10531139020182</v>
      </c>
      <c r="AY221">
        <v>29.221786184810789</v>
      </c>
      <c r="AZ221">
        <v>39.899158383181302</v>
      </c>
      <c r="BA221">
        <v>11.979870980161746</v>
      </c>
      <c r="BB221">
        <v>4.0087991770323024</v>
      </c>
      <c r="BC221">
        <v>16.948183515379508</v>
      </c>
      <c r="BD221">
        <v>102.05779824056566</v>
      </c>
      <c r="BE221">
        <v>-50.222217320422004</v>
      </c>
      <c r="BF221">
        <v>34.631300846429497</v>
      </c>
      <c r="BG221">
        <v>0.12212567903858763</v>
      </c>
      <c r="BH221">
        <v>34.753426525468079</v>
      </c>
      <c r="BI221">
        <v>274.91653615623545</v>
      </c>
      <c r="BJ221" s="6">
        <v>186</v>
      </c>
      <c r="BK221">
        <v>-84.975643845889977</v>
      </c>
      <c r="BL221" s="4">
        <v>-423.7590899999995</v>
      </c>
      <c r="BM221" t="s">
        <v>1433</v>
      </c>
      <c r="BN221" t="s">
        <v>65</v>
      </c>
      <c r="BO221">
        <v>10</v>
      </c>
      <c r="BP221">
        <v>2023</v>
      </c>
      <c r="BQ221" t="str">
        <f t="shared" si="16"/>
        <v>Roiphet110</v>
      </c>
      <c r="BR221">
        <f t="shared" si="17"/>
        <v>-443.41164999999967</v>
      </c>
      <c r="BS221">
        <f t="shared" si="18"/>
        <v>947.20294000000024</v>
      </c>
      <c r="BT221" s="6">
        <f t="shared" si="19"/>
        <v>-88.916536156235452</v>
      </c>
    </row>
    <row r="222" spans="1:72">
      <c r="A222" s="3" t="s">
        <v>967</v>
      </c>
      <c r="B222" s="3" t="s">
        <v>1174</v>
      </c>
      <c r="C222" s="3" t="s">
        <v>1176</v>
      </c>
      <c r="D222" s="2" t="s">
        <v>1246</v>
      </c>
      <c r="E222" s="4" t="str">
        <f t="shared" si="15"/>
        <v>Roiphet1C2-I03-0058</v>
      </c>
      <c r="F222">
        <v>0.72</v>
      </c>
      <c r="G222">
        <v>1.3</v>
      </c>
      <c r="H222" t="s">
        <v>84</v>
      </c>
      <c r="I222" t="s">
        <v>67</v>
      </c>
      <c r="J222" t="s">
        <v>357</v>
      </c>
      <c r="K222" t="s">
        <v>89</v>
      </c>
      <c r="L222" t="s">
        <v>89</v>
      </c>
      <c r="M222">
        <v>0.82820037105751387</v>
      </c>
      <c r="N222" s="5">
        <v>44880</v>
      </c>
      <c r="O222" s="5">
        <v>44900</v>
      </c>
      <c r="P222">
        <v>0.33400000000000002</v>
      </c>
      <c r="Q222" s="4">
        <v>223</v>
      </c>
      <c r="R222">
        <v>0.75</v>
      </c>
      <c r="S222" t="s">
        <v>70</v>
      </c>
      <c r="T222" s="6">
        <v>4</v>
      </c>
      <c r="U222" s="5">
        <v>45015</v>
      </c>
      <c r="V222" s="6">
        <v>1</v>
      </c>
      <c r="W222" t="s">
        <v>86</v>
      </c>
      <c r="X222" s="6">
        <v>115</v>
      </c>
      <c r="Y222">
        <v>6.69719</v>
      </c>
      <c r="Z222">
        <v>9.3016527777777789</v>
      </c>
      <c r="AA222" s="6">
        <v>33.912431930406633</v>
      </c>
      <c r="AB222" s="4">
        <v>67.999401197604797</v>
      </c>
      <c r="AC222" s="6">
        <v>29.487711233807975</v>
      </c>
      <c r="AD222">
        <v>0.37155009500000002</v>
      </c>
      <c r="AE222">
        <v>2.0902199423269927</v>
      </c>
      <c r="AF222">
        <v>13475</v>
      </c>
      <c r="AG222" s="4">
        <v>0</v>
      </c>
      <c r="AH222" s="4">
        <v>11160</v>
      </c>
      <c r="AL222">
        <v>23</v>
      </c>
      <c r="AM222">
        <v>4.2350699999999994</v>
      </c>
      <c r="AN222" t="s">
        <v>81</v>
      </c>
      <c r="AO222" t="s">
        <v>96</v>
      </c>
      <c r="AP222" s="5">
        <v>44907</v>
      </c>
      <c r="AQ222" t="s">
        <v>116</v>
      </c>
      <c r="AR222" s="5">
        <v>45012</v>
      </c>
      <c r="AS222">
        <v>261.15150085334295</v>
      </c>
      <c r="AT222" s="6"/>
      <c r="AU222">
        <v>13.976982883866219</v>
      </c>
      <c r="AV222">
        <v>66.258045538501975</v>
      </c>
      <c r="AW222">
        <v>21.689299542046733</v>
      </c>
      <c r="AX222">
        <v>101.92432796441493</v>
      </c>
      <c r="AY222">
        <v>21.237983393034991</v>
      </c>
      <c r="AZ222">
        <v>33.873397648864689</v>
      </c>
      <c r="BA222">
        <v>5.0456684071976454</v>
      </c>
      <c r="BB222">
        <v>8.8948723270505994</v>
      </c>
      <c r="BC222">
        <v>9.5597989604595366</v>
      </c>
      <c r="BD222">
        <v>78.611720736607467</v>
      </c>
      <c r="BE222">
        <v>80.615452152320543</v>
      </c>
      <c r="BF222">
        <v>29.175622910504259</v>
      </c>
      <c r="BG222">
        <v>7.2905203525657783E-2</v>
      </c>
      <c r="BH222">
        <v>29.248528114029916</v>
      </c>
      <c r="BI222">
        <v>209.78457681505228</v>
      </c>
      <c r="BJ222" s="6">
        <v>189</v>
      </c>
      <c r="BK222">
        <v>51.366924038290662</v>
      </c>
      <c r="BL222" s="4">
        <v>344.01404999999983</v>
      </c>
      <c r="BM222" t="s">
        <v>1247</v>
      </c>
      <c r="BN222" t="s">
        <v>65</v>
      </c>
      <c r="BO222">
        <v>3</v>
      </c>
      <c r="BP222">
        <v>2023</v>
      </c>
      <c r="BQ222" t="str">
        <f t="shared" si="16"/>
        <v>Roiphet13</v>
      </c>
      <c r="BR222">
        <f t="shared" si="17"/>
        <v>-139.19825999999995</v>
      </c>
      <c r="BS222">
        <f t="shared" si="18"/>
        <v>1748.9812199999999</v>
      </c>
      <c r="BT222" s="6">
        <f t="shared" si="19"/>
        <v>-20.784576815052276</v>
      </c>
    </row>
    <row r="223" spans="1:72">
      <c r="A223" s="3" t="s">
        <v>967</v>
      </c>
      <c r="B223" s="3" t="s">
        <v>1174</v>
      </c>
      <c r="C223" s="3" t="s">
        <v>1176</v>
      </c>
      <c r="D223" s="2" t="s">
        <v>1415</v>
      </c>
      <c r="E223" s="4" t="str">
        <f t="shared" si="15"/>
        <v>Roiphet1D5-I09-0083</v>
      </c>
      <c r="F223">
        <v>0.72</v>
      </c>
      <c r="G223">
        <v>1.3</v>
      </c>
      <c r="H223" t="s">
        <v>72</v>
      </c>
      <c r="I223" t="s">
        <v>67</v>
      </c>
      <c r="J223" t="s">
        <v>357</v>
      </c>
      <c r="K223" t="s">
        <v>89</v>
      </c>
      <c r="L223" t="s">
        <v>89</v>
      </c>
      <c r="M223">
        <v>0.41958041958041958</v>
      </c>
      <c r="N223" s="5">
        <v>45061</v>
      </c>
      <c r="O223" s="5">
        <v>45096</v>
      </c>
      <c r="P223">
        <v>0.25</v>
      </c>
      <c r="Q223" s="4">
        <v>167</v>
      </c>
      <c r="R223">
        <v>0.8</v>
      </c>
      <c r="S223" t="s">
        <v>70</v>
      </c>
      <c r="T223" s="6">
        <v>5</v>
      </c>
      <c r="U223" s="5">
        <v>45204</v>
      </c>
      <c r="V223" s="6">
        <v>2</v>
      </c>
      <c r="W223" t="s">
        <v>71</v>
      </c>
      <c r="X223" s="6">
        <v>108</v>
      </c>
      <c r="Y223">
        <v>5.1848999999999998</v>
      </c>
      <c r="Z223">
        <v>7.2012499999999999</v>
      </c>
      <c r="AA223" s="6">
        <v>38.301220852861199</v>
      </c>
      <c r="AB223" s="4">
        <v>79.435199999999995</v>
      </c>
      <c r="AC223" s="6">
        <v>26.108828327995646</v>
      </c>
      <c r="AD223">
        <v>0.36296296300000003</v>
      </c>
      <c r="AE223">
        <v>2.1514975225180044</v>
      </c>
      <c r="AF223">
        <v>10725</v>
      </c>
      <c r="AG223" s="4">
        <v>0</v>
      </c>
      <c r="AH223" s="4">
        <v>4500</v>
      </c>
      <c r="AL223">
        <v>25</v>
      </c>
      <c r="AM223">
        <v>2.7128299999999999</v>
      </c>
      <c r="AN223" t="s">
        <v>81</v>
      </c>
      <c r="AO223" t="s">
        <v>96</v>
      </c>
      <c r="AP223" s="5">
        <v>45110</v>
      </c>
      <c r="AQ223" t="s">
        <v>215</v>
      </c>
      <c r="AR223" s="5">
        <v>45201</v>
      </c>
      <c r="AS223">
        <v>187.25773688981465</v>
      </c>
      <c r="AT223" s="6"/>
      <c r="AU223">
        <v>24.108468822928121</v>
      </c>
      <c r="AV223">
        <v>67.152496673031294</v>
      </c>
      <c r="AW223">
        <v>33.490649771451729</v>
      </c>
      <c r="AX223">
        <v>124.75161526741113</v>
      </c>
      <c r="AY223">
        <v>25.403861212366685</v>
      </c>
      <c r="AZ223">
        <v>35.632282204092661</v>
      </c>
      <c r="BA223">
        <v>10.572153754170763</v>
      </c>
      <c r="BB223">
        <v>3.3513298231402726</v>
      </c>
      <c r="BC223">
        <v>15.232394067387993</v>
      </c>
      <c r="BD223">
        <v>90.192021061158371</v>
      </c>
      <c r="BE223">
        <v>-27.685899438754845</v>
      </c>
      <c r="BF223">
        <v>29.720904935485738</v>
      </c>
      <c r="BG223">
        <v>0.1058843950703003</v>
      </c>
      <c r="BH223">
        <v>29.826789330556036</v>
      </c>
      <c r="BI223">
        <v>244.77042565912558</v>
      </c>
      <c r="BJ223" s="6">
        <v>184</v>
      </c>
      <c r="BK223">
        <v>-57.512688769310941</v>
      </c>
      <c r="BL223" s="4">
        <v>-298.19754000000029</v>
      </c>
      <c r="BM223" t="s">
        <v>1416</v>
      </c>
      <c r="BN223" t="s">
        <v>65</v>
      </c>
      <c r="BO223">
        <v>10</v>
      </c>
      <c r="BP223">
        <v>2023</v>
      </c>
      <c r="BQ223" t="str">
        <f t="shared" si="16"/>
        <v>Roiphet110</v>
      </c>
      <c r="BR223">
        <f t="shared" si="17"/>
        <v>-315.08858000000021</v>
      </c>
      <c r="BS223">
        <f t="shared" si="18"/>
        <v>970.91264000000001</v>
      </c>
      <c r="BT223" s="6">
        <f t="shared" si="19"/>
        <v>-60.770425659125578</v>
      </c>
    </row>
    <row r="224" spans="1:72">
      <c r="A224" s="3" t="s">
        <v>967</v>
      </c>
      <c r="B224" s="3" t="s">
        <v>1174</v>
      </c>
      <c r="C224" s="3" t="s">
        <v>1176</v>
      </c>
      <c r="D224" s="2" t="s">
        <v>1260</v>
      </c>
      <c r="E224" s="4" t="str">
        <f t="shared" si="15"/>
        <v>Roiphet1C1-G02-0073</v>
      </c>
      <c r="F224">
        <v>1.1299999999999999</v>
      </c>
      <c r="G224">
        <v>1.5</v>
      </c>
      <c r="H224" t="s">
        <v>84</v>
      </c>
      <c r="I224" t="s">
        <v>67</v>
      </c>
      <c r="J224" t="s">
        <v>357</v>
      </c>
      <c r="K224" t="s">
        <v>89</v>
      </c>
      <c r="L224" t="s">
        <v>89</v>
      </c>
      <c r="M224">
        <v>0.61158301158301154</v>
      </c>
      <c r="N224" s="5">
        <v>44920</v>
      </c>
      <c r="O224" s="5">
        <v>44951</v>
      </c>
      <c r="P224">
        <v>0.42</v>
      </c>
      <c r="Q224" s="4">
        <v>155</v>
      </c>
      <c r="R224">
        <v>0.75</v>
      </c>
      <c r="S224" t="s">
        <v>70</v>
      </c>
      <c r="T224" s="6">
        <v>3</v>
      </c>
      <c r="U224" s="5">
        <v>45060</v>
      </c>
      <c r="V224" s="6">
        <v>2</v>
      </c>
      <c r="W224" t="s">
        <v>71</v>
      </c>
      <c r="X224" s="6">
        <v>109</v>
      </c>
      <c r="Y224">
        <v>8.1731700000000007</v>
      </c>
      <c r="Z224">
        <v>7.232893805309736</v>
      </c>
      <c r="AA224" s="6">
        <v>32.655750461571216</v>
      </c>
      <c r="AB224" s="4">
        <v>63.547857142857147</v>
      </c>
      <c r="AC224" s="6">
        <v>30.622477997459729</v>
      </c>
      <c r="AD224">
        <v>0.36009174300000002</v>
      </c>
      <c r="AE224">
        <v>2.4719495760463315</v>
      </c>
      <c r="AF224">
        <v>19425</v>
      </c>
      <c r="AG224" s="4">
        <v>0</v>
      </c>
      <c r="AH224" s="4">
        <v>11880</v>
      </c>
      <c r="AL224">
        <v>25</v>
      </c>
      <c r="AM224">
        <v>5.7807599999999999</v>
      </c>
      <c r="AN224" t="s">
        <v>81</v>
      </c>
      <c r="AO224" t="s">
        <v>131</v>
      </c>
      <c r="AP224" s="5">
        <v>44956</v>
      </c>
      <c r="AQ224" t="s">
        <v>116</v>
      </c>
      <c r="AR224" s="5">
        <v>45058</v>
      </c>
      <c r="AS224">
        <v>239.24773863751759</v>
      </c>
      <c r="AT224" s="6"/>
      <c r="AU224">
        <v>25.693825039733664</v>
      </c>
      <c r="AV224">
        <v>72.965411217434621</v>
      </c>
      <c r="AW224">
        <v>21.713052585471733</v>
      </c>
      <c r="AX224">
        <v>120.37228884264</v>
      </c>
      <c r="AY224">
        <v>24.099951426435521</v>
      </c>
      <c r="AZ224">
        <v>43.899176207028603</v>
      </c>
      <c r="BA224">
        <v>6.096980730854737</v>
      </c>
      <c r="BB224">
        <v>7.7569547678562909</v>
      </c>
      <c r="BC224">
        <v>11.852671607222167</v>
      </c>
      <c r="BD224">
        <v>93.705734739397329</v>
      </c>
      <c r="BE224">
        <v>25.169715055480253</v>
      </c>
      <c r="BF224">
        <v>36.977570514255795</v>
      </c>
      <c r="BG224">
        <v>9.3271031925189374E-2</v>
      </c>
      <c r="BH224">
        <v>37.070841546180986</v>
      </c>
      <c r="BI224">
        <v>251.14886512821829</v>
      </c>
      <c r="BJ224" s="6">
        <v>192</v>
      </c>
      <c r="BK224">
        <v>-11.90112649070069</v>
      </c>
      <c r="BL224" s="4">
        <v>-97.269930000000173</v>
      </c>
      <c r="BM224" t="s">
        <v>1261</v>
      </c>
      <c r="BN224" t="s">
        <v>65</v>
      </c>
      <c r="BO224">
        <v>5</v>
      </c>
      <c r="BP224">
        <v>2023</v>
      </c>
      <c r="BQ224" t="str">
        <f t="shared" si="16"/>
        <v>Roiphet15</v>
      </c>
      <c r="BR224">
        <f t="shared" si="17"/>
        <v>-483.43372999999991</v>
      </c>
      <c r="BS224">
        <f t="shared" si="18"/>
        <v>1955.4124399999998</v>
      </c>
      <c r="BT224" s="6">
        <f t="shared" si="19"/>
        <v>-59.14886512821829</v>
      </c>
    </row>
    <row r="225" spans="1:72">
      <c r="A225" s="3" t="s">
        <v>967</v>
      </c>
      <c r="B225" s="3" t="s">
        <v>1174</v>
      </c>
      <c r="C225" s="3" t="s">
        <v>1176</v>
      </c>
      <c r="D225" s="2" t="s">
        <v>1480</v>
      </c>
      <c r="E225" s="4" t="str">
        <f t="shared" si="15"/>
        <v>Roiphet1D2-I04-0092</v>
      </c>
      <c r="F225">
        <v>0.72</v>
      </c>
      <c r="G225">
        <v>1.3</v>
      </c>
      <c r="H225" t="s">
        <v>72</v>
      </c>
      <c r="I225" t="s">
        <v>67</v>
      </c>
      <c r="J225" t="s">
        <v>357</v>
      </c>
      <c r="K225" t="s">
        <v>89</v>
      </c>
      <c r="L225" t="s">
        <v>89</v>
      </c>
      <c r="M225">
        <v>0.29936575052854125</v>
      </c>
      <c r="N225" s="5">
        <v>45048</v>
      </c>
      <c r="O225" s="5">
        <v>45081</v>
      </c>
      <c r="P225">
        <v>0.15</v>
      </c>
      <c r="Q225" s="4">
        <v>100</v>
      </c>
      <c r="R225">
        <v>1.0669999999999999</v>
      </c>
      <c r="S225" t="s">
        <v>70</v>
      </c>
      <c r="T225" s="6">
        <v>4</v>
      </c>
      <c r="U225" s="5">
        <v>45199</v>
      </c>
      <c r="V225" s="6">
        <v>2</v>
      </c>
      <c r="W225" t="s">
        <v>71</v>
      </c>
      <c r="X225" s="6">
        <v>118</v>
      </c>
      <c r="Y225">
        <v>4.6467999999999998</v>
      </c>
      <c r="Z225">
        <v>6.4538888888888888</v>
      </c>
      <c r="AA225" s="6">
        <v>29.647929758113108</v>
      </c>
      <c r="AB225" s="4">
        <v>91.845333333333329</v>
      </c>
      <c r="AC225" s="6">
        <v>33.729167876429941</v>
      </c>
      <c r="AD225">
        <v>0.35941746499999999</v>
      </c>
      <c r="AE225">
        <v>2.6355086030132835</v>
      </c>
      <c r="AF225">
        <v>11825</v>
      </c>
      <c r="AG225" s="4"/>
      <c r="AH225" s="4">
        <v>3540</v>
      </c>
      <c r="AL225">
        <v>23</v>
      </c>
      <c r="AM225">
        <v>2.5119799999999999</v>
      </c>
      <c r="AN225" t="s">
        <v>81</v>
      </c>
      <c r="AO225" t="s">
        <v>170</v>
      </c>
      <c r="AP225" s="5">
        <v>45089</v>
      </c>
      <c r="AQ225" t="s">
        <v>438</v>
      </c>
      <c r="AR225" s="5">
        <v>45184</v>
      </c>
      <c r="AS225">
        <v>193.05016355341309</v>
      </c>
      <c r="AT225" s="6"/>
      <c r="AU225">
        <v>17.754153395885339</v>
      </c>
      <c r="AV225">
        <v>81.86738400619781</v>
      </c>
      <c r="AW225">
        <v>20.700079624687955</v>
      </c>
      <c r="AX225">
        <v>120.32161702677111</v>
      </c>
      <c r="AY225">
        <v>29.519409055694243</v>
      </c>
      <c r="AZ225">
        <v>41.890989498149253</v>
      </c>
      <c r="BA225">
        <v>12.534671171558921</v>
      </c>
      <c r="BB225">
        <v>3.9200073168632179</v>
      </c>
      <c r="BC225">
        <v>17.539097873805627</v>
      </c>
      <c r="BD225">
        <v>105.40417491607127</v>
      </c>
      <c r="BE225">
        <v>-32.675628389429292</v>
      </c>
      <c r="BF225">
        <v>35.291514590686056</v>
      </c>
      <c r="BG225">
        <v>0.12369157269518807</v>
      </c>
      <c r="BH225">
        <v>35.415206163381242</v>
      </c>
      <c r="BI225">
        <v>261.14099810622355</v>
      </c>
      <c r="BJ225" s="6">
        <v>200</v>
      </c>
      <c r="BK225">
        <v>-68.090834552810477</v>
      </c>
      <c r="BL225" s="4">
        <v>-316.40448999999978</v>
      </c>
      <c r="BM225" t="s">
        <v>1481</v>
      </c>
      <c r="BN225" t="s">
        <v>65</v>
      </c>
      <c r="BO225">
        <v>9</v>
      </c>
      <c r="BP225">
        <v>2023</v>
      </c>
      <c r="BQ225" t="str">
        <f t="shared" si="16"/>
        <v>Roiphet19</v>
      </c>
      <c r="BR225">
        <f t="shared" si="17"/>
        <v>-284.10998999999958</v>
      </c>
      <c r="BS225">
        <f t="shared" si="18"/>
        <v>897.06549999999993</v>
      </c>
      <c r="BT225" s="6">
        <f t="shared" si="19"/>
        <v>-61.140998106223549</v>
      </c>
    </row>
    <row r="226" spans="1:72">
      <c r="A226" s="3" t="s">
        <v>967</v>
      </c>
      <c r="B226" s="3" t="s">
        <v>1174</v>
      </c>
      <c r="C226" s="3" t="s">
        <v>1176</v>
      </c>
      <c r="D226" s="2" t="s">
        <v>1220</v>
      </c>
      <c r="E226" s="4" t="str">
        <f t="shared" si="15"/>
        <v>Roiphet1C4-G07-0056</v>
      </c>
      <c r="F226">
        <v>1.1299999999999999</v>
      </c>
      <c r="G226">
        <v>1.5</v>
      </c>
      <c r="H226" t="s">
        <v>84</v>
      </c>
      <c r="I226" t="s">
        <v>67</v>
      </c>
      <c r="J226" t="s">
        <v>357</v>
      </c>
      <c r="K226" t="s">
        <v>89</v>
      </c>
      <c r="L226" t="s">
        <v>89</v>
      </c>
      <c r="M226">
        <v>0.49836065573770494</v>
      </c>
      <c r="N226" s="5">
        <v>44844</v>
      </c>
      <c r="O226" s="5">
        <v>44868</v>
      </c>
      <c r="P226">
        <v>0.45</v>
      </c>
      <c r="Q226" s="4">
        <v>166</v>
      </c>
      <c r="R226">
        <v>0.4</v>
      </c>
      <c r="S226" t="s">
        <v>70</v>
      </c>
      <c r="T226" s="6">
        <v>4</v>
      </c>
      <c r="U226" s="5">
        <v>44954</v>
      </c>
      <c r="V226" s="6">
        <v>2</v>
      </c>
      <c r="W226" t="s">
        <v>71</v>
      </c>
      <c r="X226" s="6">
        <v>86</v>
      </c>
      <c r="Y226">
        <v>7.5995900000000001</v>
      </c>
      <c r="Z226">
        <v>6.725300884955753</v>
      </c>
      <c r="AA226" s="6">
        <v>38.73301059662429</v>
      </c>
      <c r="AB226" s="4">
        <v>65.412222222222226</v>
      </c>
      <c r="AC226" s="6">
        <v>25.817771058755586</v>
      </c>
      <c r="AD226">
        <v>0.35872092999999999</v>
      </c>
      <c r="AE226">
        <v>1.8498326726948524</v>
      </c>
      <c r="AF226">
        <v>13725</v>
      </c>
      <c r="AG226" s="4">
        <v>0</v>
      </c>
      <c r="AH226" s="4">
        <v>6840</v>
      </c>
      <c r="AL226">
        <v>32</v>
      </c>
      <c r="AM226">
        <v>4.3406499999999992</v>
      </c>
      <c r="AN226" t="s">
        <v>77</v>
      </c>
      <c r="AO226" t="s">
        <v>102</v>
      </c>
      <c r="AP226" s="5">
        <v>44869</v>
      </c>
      <c r="AQ226" t="s">
        <v>96</v>
      </c>
      <c r="AR226" s="5">
        <v>44946</v>
      </c>
      <c r="AS226">
        <v>252.94432068045774</v>
      </c>
      <c r="AT226" s="6"/>
      <c r="AU226">
        <v>23.685488296079129</v>
      </c>
      <c r="AV226">
        <v>60.201125323866151</v>
      </c>
      <c r="AW226">
        <v>27.737774011492721</v>
      </c>
      <c r="AX226">
        <v>111.624387631438</v>
      </c>
      <c r="AY226">
        <v>26.945198359385181</v>
      </c>
      <c r="AZ226">
        <v>33.027935717584761</v>
      </c>
      <c r="BA226">
        <v>10.347845081116217</v>
      </c>
      <c r="BB226">
        <v>10.284724570667628</v>
      </c>
      <c r="BC226">
        <v>13.547409794475755</v>
      </c>
      <c r="BD226">
        <v>94.15311352322955</v>
      </c>
      <c r="BE226">
        <v>47.166819525790189</v>
      </c>
      <c r="BF226">
        <v>35.956500284883795</v>
      </c>
      <c r="BG226">
        <v>8.9902218409151025E-2</v>
      </c>
      <c r="BH226">
        <v>36.046402503292938</v>
      </c>
      <c r="BI226">
        <v>241.8239036579605</v>
      </c>
      <c r="BJ226" s="6">
        <v>184</v>
      </c>
      <c r="BK226">
        <v>11.120417022497248</v>
      </c>
      <c r="BL226" s="4">
        <v>84.510609999999872</v>
      </c>
      <c r="BM226" t="s">
        <v>1221</v>
      </c>
      <c r="BN226" t="s">
        <v>65</v>
      </c>
      <c r="BO226">
        <v>1</v>
      </c>
      <c r="BP226">
        <v>2023</v>
      </c>
      <c r="BQ226" t="str">
        <f t="shared" si="16"/>
        <v>Roiphet11</v>
      </c>
      <c r="BR226">
        <f t="shared" si="17"/>
        <v>-439.43796000000003</v>
      </c>
      <c r="BS226">
        <f t="shared" si="18"/>
        <v>1922.2731299999998</v>
      </c>
      <c r="BT226" s="6">
        <f t="shared" si="19"/>
        <v>-57.8239036579605</v>
      </c>
    </row>
    <row r="227" spans="1:72">
      <c r="A227" s="3" t="s">
        <v>967</v>
      </c>
      <c r="B227" s="3" t="s">
        <v>1174</v>
      </c>
      <c r="C227" s="3" t="s">
        <v>1176</v>
      </c>
      <c r="D227" s="2" t="s">
        <v>1405</v>
      </c>
      <c r="E227" s="4" t="str">
        <f t="shared" si="15"/>
        <v>Roiphet1D3-G05-0081</v>
      </c>
      <c r="F227">
        <v>1.1299999999999999</v>
      </c>
      <c r="G227">
        <v>1.5</v>
      </c>
      <c r="H227" t="s">
        <v>72</v>
      </c>
      <c r="I227" t="s">
        <v>67</v>
      </c>
      <c r="J227" t="s">
        <v>357</v>
      </c>
      <c r="K227" t="s">
        <v>89</v>
      </c>
      <c r="L227" t="s">
        <v>89</v>
      </c>
      <c r="M227">
        <v>0.23513513513513515</v>
      </c>
      <c r="N227" s="5">
        <v>45051</v>
      </c>
      <c r="O227" s="5">
        <v>45115</v>
      </c>
      <c r="P227">
        <v>0.55000000000000004</v>
      </c>
      <c r="Q227" s="4">
        <v>203</v>
      </c>
      <c r="R227">
        <v>0.55000000000000004</v>
      </c>
      <c r="S227" t="s">
        <v>70</v>
      </c>
      <c r="T227" s="6">
        <v>4</v>
      </c>
      <c r="U227" s="5">
        <v>45225</v>
      </c>
      <c r="V227" s="6">
        <v>2</v>
      </c>
      <c r="W227" t="s">
        <v>71</v>
      </c>
      <c r="X227" s="6">
        <v>110</v>
      </c>
      <c r="Y227">
        <v>8.6972500000000004</v>
      </c>
      <c r="Z227">
        <v>7.6966814159292047</v>
      </c>
      <c r="AA227" s="6">
        <v>39.373365144154761</v>
      </c>
      <c r="AB227" s="4">
        <v>62.261818181818185</v>
      </c>
      <c r="AC227" s="6">
        <v>25.397879920570027</v>
      </c>
      <c r="AD227">
        <v>0.35863636399999999</v>
      </c>
      <c r="AE227">
        <v>2.6445099615831325</v>
      </c>
      <c r="AF227">
        <v>22200</v>
      </c>
      <c r="AG227" s="4">
        <v>0</v>
      </c>
      <c r="AH227" s="4">
        <v>5220</v>
      </c>
      <c r="AL227">
        <v>25</v>
      </c>
      <c r="AM227">
        <v>4.0740699999999999</v>
      </c>
      <c r="AN227" t="s">
        <v>81</v>
      </c>
      <c r="AO227" t="s">
        <v>438</v>
      </c>
      <c r="AP227" s="5">
        <v>45117</v>
      </c>
      <c r="AQ227" t="s">
        <v>92</v>
      </c>
      <c r="AR227" s="5">
        <v>45222</v>
      </c>
      <c r="AS227">
        <v>191.629874960476</v>
      </c>
      <c r="AT227" s="6"/>
      <c r="AU227">
        <v>28.457270976458076</v>
      </c>
      <c r="AV227">
        <v>82.178658771450728</v>
      </c>
      <c r="AW227">
        <v>21.809118974388461</v>
      </c>
      <c r="AX227">
        <v>132.44504872229726</v>
      </c>
      <c r="AY227">
        <v>28.625741470004886</v>
      </c>
      <c r="AZ227">
        <v>36.217119204346197</v>
      </c>
      <c r="BA227">
        <v>10.750245192445886</v>
      </c>
      <c r="BB227">
        <v>4.1130851705999021</v>
      </c>
      <c r="BC227">
        <v>16.048986748684932</v>
      </c>
      <c r="BD227">
        <v>95.755177786081802</v>
      </c>
      <c r="BE227">
        <v>-36.570351547903059</v>
      </c>
      <c r="BF227">
        <v>33.657903360257549</v>
      </c>
      <c r="BG227">
        <v>0.1193699157779758</v>
      </c>
      <c r="BH227">
        <v>33.777273276035523</v>
      </c>
      <c r="BI227">
        <v>261.97749978441459</v>
      </c>
      <c r="BJ227" s="6">
        <v>183</v>
      </c>
      <c r="BK227">
        <v>-70.34762482393856</v>
      </c>
      <c r="BL227" s="4">
        <v>-611.83087999999964</v>
      </c>
      <c r="BM227" t="s">
        <v>1406</v>
      </c>
      <c r="BN227" t="s">
        <v>65</v>
      </c>
      <c r="BO227">
        <v>10</v>
      </c>
      <c r="BP227">
        <v>2023</v>
      </c>
      <c r="BQ227" t="str">
        <f t="shared" si="16"/>
        <v>Roiphet110</v>
      </c>
      <c r="BR227">
        <f t="shared" si="17"/>
        <v>-686.88705999999979</v>
      </c>
      <c r="BS227">
        <f t="shared" si="18"/>
        <v>1666.65293</v>
      </c>
      <c r="BT227" s="6">
        <f t="shared" si="19"/>
        <v>-78.97749978441459</v>
      </c>
    </row>
    <row r="228" spans="1:72">
      <c r="A228" s="3" t="s">
        <v>967</v>
      </c>
      <c r="B228" s="3" t="s">
        <v>1174</v>
      </c>
      <c r="C228" s="3" t="s">
        <v>1176</v>
      </c>
      <c r="D228" s="2" t="s">
        <v>1226</v>
      </c>
      <c r="E228" s="4" t="str">
        <f t="shared" si="15"/>
        <v>Roiphet1C2-G03-0065</v>
      </c>
      <c r="F228">
        <v>1.1299999999999999</v>
      </c>
      <c r="G228">
        <v>2</v>
      </c>
      <c r="H228" t="s">
        <v>84</v>
      </c>
      <c r="I228" t="s">
        <v>67</v>
      </c>
      <c r="J228" t="s">
        <v>357</v>
      </c>
      <c r="K228" t="s">
        <v>89</v>
      </c>
      <c r="L228" t="s">
        <v>89</v>
      </c>
      <c r="M228">
        <v>0.55234657039711188</v>
      </c>
      <c r="N228" s="5">
        <v>44880</v>
      </c>
      <c r="O228" s="5">
        <v>44900</v>
      </c>
      <c r="P228">
        <v>0.66800000000000004</v>
      </c>
      <c r="Q228" s="4">
        <v>185</v>
      </c>
      <c r="R228">
        <v>0.75</v>
      </c>
      <c r="S228" t="s">
        <v>70</v>
      </c>
      <c r="T228" s="6">
        <v>5</v>
      </c>
      <c r="U228" s="5">
        <v>45025</v>
      </c>
      <c r="V228" s="6">
        <v>1</v>
      </c>
      <c r="W228" t="s">
        <v>86</v>
      </c>
      <c r="X228" s="6">
        <v>125</v>
      </c>
      <c r="Y228">
        <v>11.24343</v>
      </c>
      <c r="Z228">
        <v>9.9499380530973465</v>
      </c>
      <c r="AA228" s="6">
        <v>37.045278887314637</v>
      </c>
      <c r="AB228" s="4">
        <v>62.35269461077845</v>
      </c>
      <c r="AC228" s="6">
        <v>26.993993027878879</v>
      </c>
      <c r="AD228">
        <v>0.35763636400000004</v>
      </c>
      <c r="AE228">
        <v>2.5785599719988865</v>
      </c>
      <c r="AF228">
        <v>27700</v>
      </c>
      <c r="AG228" s="4">
        <v>0</v>
      </c>
      <c r="AH228" s="4">
        <v>15300</v>
      </c>
      <c r="AL228">
        <v>22</v>
      </c>
      <c r="AM228">
        <v>4.4059999999999997</v>
      </c>
      <c r="AN228" t="s">
        <v>81</v>
      </c>
      <c r="AO228" t="s">
        <v>94</v>
      </c>
      <c r="AP228" s="5">
        <v>44907</v>
      </c>
      <c r="AQ228" t="s">
        <v>144</v>
      </c>
      <c r="AR228" s="5">
        <v>45012</v>
      </c>
      <c r="AS228">
        <v>249.65145155882152</v>
      </c>
      <c r="AT228" s="6"/>
      <c r="AU228">
        <v>16.650880558690719</v>
      </c>
      <c r="AV228">
        <v>80.630954255062704</v>
      </c>
      <c r="AW228">
        <v>28.226484266811806</v>
      </c>
      <c r="AX228">
        <v>125.50831908056523</v>
      </c>
      <c r="AY228">
        <v>20.892344240147356</v>
      </c>
      <c r="AZ228">
        <v>33.736396277648375</v>
      </c>
      <c r="BA228">
        <v>4.9786248502458763</v>
      </c>
      <c r="BB228">
        <v>8.5839365745150715</v>
      </c>
      <c r="BC228">
        <v>9.5330215067821822</v>
      </c>
      <c r="BD228">
        <v>77.724323449338854</v>
      </c>
      <c r="BE228">
        <v>46.418809028917437</v>
      </c>
      <c r="BF228">
        <v>29.168035021341357</v>
      </c>
      <c r="BG228">
        <v>7.2973283063976033E-2</v>
      </c>
      <c r="BH228">
        <v>29.24100830440533</v>
      </c>
      <c r="BI228">
        <v>232.47365083430944</v>
      </c>
      <c r="BJ228" s="6">
        <v>185</v>
      </c>
      <c r="BK228">
        <v>17.177800724512078</v>
      </c>
      <c r="BL228" s="4">
        <v>193.13740000000084</v>
      </c>
      <c r="BM228" t="s">
        <v>1227</v>
      </c>
      <c r="BN228" t="s">
        <v>65</v>
      </c>
      <c r="BO228">
        <v>4</v>
      </c>
      <c r="BP228">
        <v>2023</v>
      </c>
      <c r="BQ228" t="str">
        <f t="shared" si="16"/>
        <v>Roiphet14</v>
      </c>
      <c r="BR228">
        <f t="shared" si="17"/>
        <v>-533.76666999999975</v>
      </c>
      <c r="BS228">
        <f t="shared" si="18"/>
        <v>2806.9386200000008</v>
      </c>
      <c r="BT228" s="6">
        <f t="shared" si="19"/>
        <v>-47.473650834309439</v>
      </c>
    </row>
    <row r="229" spans="1:72">
      <c r="A229" s="3" t="s">
        <v>967</v>
      </c>
      <c r="B229" s="3" t="s">
        <v>1174</v>
      </c>
      <c r="C229" s="3" t="s">
        <v>1176</v>
      </c>
      <c r="D229" s="2" t="s">
        <v>1268</v>
      </c>
      <c r="E229" s="4" t="str">
        <f t="shared" si="15"/>
        <v>Roiphet1C1-I01-0079</v>
      </c>
      <c r="F229">
        <v>0.72</v>
      </c>
      <c r="G229">
        <v>1.3</v>
      </c>
      <c r="H229" t="s">
        <v>84</v>
      </c>
      <c r="I229" t="s">
        <v>67</v>
      </c>
      <c r="J229" t="s">
        <v>357</v>
      </c>
      <c r="K229" t="s">
        <v>89</v>
      </c>
      <c r="L229" t="s">
        <v>89</v>
      </c>
      <c r="M229">
        <v>0.68720173535791762</v>
      </c>
      <c r="N229" s="5">
        <v>44920</v>
      </c>
      <c r="O229" s="5">
        <v>44950</v>
      </c>
      <c r="P229">
        <v>0.22500000000000001</v>
      </c>
      <c r="Q229" s="4">
        <v>150</v>
      </c>
      <c r="R229">
        <v>0.7</v>
      </c>
      <c r="S229" t="s">
        <v>70</v>
      </c>
      <c r="T229" s="6">
        <v>3</v>
      </c>
      <c r="U229" s="5">
        <v>45060</v>
      </c>
      <c r="V229" s="6">
        <v>2</v>
      </c>
      <c r="W229" t="s">
        <v>71</v>
      </c>
      <c r="X229" s="6">
        <v>110</v>
      </c>
      <c r="Y229">
        <v>4.7563300000000002</v>
      </c>
      <c r="Z229">
        <v>6.6060138888888895</v>
      </c>
      <c r="AA229" s="6">
        <v>30.888521191759192</v>
      </c>
      <c r="AB229" s="4">
        <v>65.295999999999992</v>
      </c>
      <c r="AC229" s="6">
        <v>32.374486100901194</v>
      </c>
      <c r="AD229">
        <v>0.35727272700000001</v>
      </c>
      <c r="AE229">
        <v>2.5060721966239239</v>
      </c>
      <c r="AF229">
        <v>11525</v>
      </c>
      <c r="AG229" s="4">
        <v>0</v>
      </c>
      <c r="AH229" s="4">
        <v>7920</v>
      </c>
      <c r="AL229">
        <v>25</v>
      </c>
      <c r="AM229">
        <v>3.3492600000000001</v>
      </c>
      <c r="AN229" t="s">
        <v>81</v>
      </c>
      <c r="AO229" t="s">
        <v>136</v>
      </c>
      <c r="AP229" s="5">
        <v>44956</v>
      </c>
      <c r="AQ229" t="s">
        <v>116</v>
      </c>
      <c r="AR229" s="5">
        <v>45058</v>
      </c>
      <c r="AS229">
        <v>242.55098784146602</v>
      </c>
      <c r="AT229" s="6"/>
      <c r="AU229">
        <v>23.65269020442231</v>
      </c>
      <c r="AV229">
        <v>74.368874741660051</v>
      </c>
      <c r="AW229">
        <v>36.311031824957482</v>
      </c>
      <c r="AX229">
        <v>134.33259677103985</v>
      </c>
      <c r="AY229">
        <v>26.386922269901373</v>
      </c>
      <c r="AZ229">
        <v>48.064999695143108</v>
      </c>
      <c r="BA229">
        <v>6.675556574081277</v>
      </c>
      <c r="BB229">
        <v>8.4930545189253088</v>
      </c>
      <c r="BC229">
        <v>12.977436384775658</v>
      </c>
      <c r="BD229">
        <v>102.59796944282672</v>
      </c>
      <c r="BE229">
        <v>5.6204216275994554</v>
      </c>
      <c r="BF229">
        <v>40.486572630578621</v>
      </c>
      <c r="BG229">
        <v>0.10212075276526229</v>
      </c>
      <c r="BH229">
        <v>40.58869338334388</v>
      </c>
      <c r="BI229">
        <v>277.51925959721046</v>
      </c>
      <c r="BJ229" s="6">
        <v>197</v>
      </c>
      <c r="BK229">
        <v>-34.968271755744432</v>
      </c>
      <c r="BL229" s="4">
        <v>-166.32063999999988</v>
      </c>
      <c r="BM229" t="s">
        <v>1269</v>
      </c>
      <c r="BN229" t="s">
        <v>65</v>
      </c>
      <c r="BO229">
        <v>5</v>
      </c>
      <c r="BP229">
        <v>2023</v>
      </c>
      <c r="BQ229" t="str">
        <f t="shared" si="16"/>
        <v>Roiphet15</v>
      </c>
      <c r="BR229">
        <f t="shared" si="17"/>
        <v>-382.97617000000008</v>
      </c>
      <c r="BS229">
        <f t="shared" si="18"/>
        <v>1153.65254</v>
      </c>
      <c r="BT229" s="6">
        <f t="shared" si="19"/>
        <v>-80.519259597210464</v>
      </c>
    </row>
    <row r="230" spans="1:72">
      <c r="A230" s="3" t="s">
        <v>967</v>
      </c>
      <c r="B230" s="3" t="s">
        <v>1174</v>
      </c>
      <c r="C230" s="3" t="s">
        <v>1176</v>
      </c>
      <c r="D230" s="2" t="s">
        <v>1262</v>
      </c>
      <c r="E230" s="4" t="str">
        <f t="shared" si="15"/>
        <v>Roiphet1C1-I01-0080</v>
      </c>
      <c r="F230">
        <v>0.72</v>
      </c>
      <c r="G230">
        <v>1.3</v>
      </c>
      <c r="H230" t="s">
        <v>84</v>
      </c>
      <c r="I230" t="s">
        <v>67</v>
      </c>
      <c r="J230" t="s">
        <v>357</v>
      </c>
      <c r="K230" t="s">
        <v>89</v>
      </c>
      <c r="L230" t="s">
        <v>89</v>
      </c>
      <c r="M230">
        <v>0.64452296819787991</v>
      </c>
      <c r="N230" s="5">
        <v>45061</v>
      </c>
      <c r="O230" s="5">
        <v>45103</v>
      </c>
      <c r="P230">
        <v>0.26124999999999998</v>
      </c>
      <c r="Q230" s="4">
        <v>174</v>
      </c>
      <c r="R230">
        <v>0.61199999999999999</v>
      </c>
      <c r="S230" t="s">
        <v>70</v>
      </c>
      <c r="T230" s="6">
        <v>3</v>
      </c>
      <c r="U230" s="5">
        <v>45198</v>
      </c>
      <c r="V230" s="6">
        <v>2</v>
      </c>
      <c r="W230" t="s">
        <v>71</v>
      </c>
      <c r="X230" s="6">
        <v>95.000000000000014</v>
      </c>
      <c r="Y230">
        <v>3.4765199999999998</v>
      </c>
      <c r="Z230">
        <v>4.8285</v>
      </c>
      <c r="AA230" s="6">
        <v>32.487947717832775</v>
      </c>
      <c r="AB230" s="4">
        <v>43.232535885167465</v>
      </c>
      <c r="AC230" s="6">
        <v>30.780645446898934</v>
      </c>
      <c r="AD230">
        <v>0.356534301</v>
      </c>
      <c r="AE230">
        <v>2.133144390508638</v>
      </c>
      <c r="AF230">
        <v>7075</v>
      </c>
      <c r="AG230" s="4">
        <v>0</v>
      </c>
      <c r="AH230" s="4">
        <v>4560</v>
      </c>
      <c r="AL230">
        <v>29</v>
      </c>
      <c r="AM230">
        <v>2.57775</v>
      </c>
      <c r="AN230" t="s">
        <v>85</v>
      </c>
      <c r="AO230" t="s">
        <v>148</v>
      </c>
      <c r="AP230" s="5">
        <v>45110</v>
      </c>
      <c r="AQ230" t="s">
        <v>92</v>
      </c>
      <c r="AR230" s="5">
        <v>45195</v>
      </c>
      <c r="AS230">
        <v>169.02935694315008</v>
      </c>
      <c r="AT230" s="6"/>
      <c r="AU230">
        <v>37.124049336693012</v>
      </c>
      <c r="AV230">
        <v>66.420072371221806</v>
      </c>
      <c r="AW230">
        <v>31.733566900233573</v>
      </c>
      <c r="AX230">
        <v>135.2776886081484</v>
      </c>
      <c r="AY230">
        <v>33.857676642159397</v>
      </c>
      <c r="AZ230">
        <v>44.264278646462564</v>
      </c>
      <c r="BA230">
        <v>12.565585700643171</v>
      </c>
      <c r="BB230">
        <v>10.533306294800548</v>
      </c>
      <c r="BC230">
        <v>20.625432904168541</v>
      </c>
      <c r="BD230">
        <v>121.84628018823422</v>
      </c>
      <c r="BE230">
        <v>-88.094611853232536</v>
      </c>
      <c r="BF230">
        <v>49.97823398110755</v>
      </c>
      <c r="BG230">
        <v>0.1429043986515251</v>
      </c>
      <c r="BH230">
        <v>50.121138379759074</v>
      </c>
      <c r="BI230">
        <v>307.24510717614169</v>
      </c>
      <c r="BJ230" s="6">
        <v>192</v>
      </c>
      <c r="BK230">
        <v>-138.21575023299161</v>
      </c>
      <c r="BL230" s="4">
        <v>-480.50981999999993</v>
      </c>
      <c r="BM230" t="s">
        <v>1263</v>
      </c>
      <c r="BN230" t="s">
        <v>65</v>
      </c>
      <c r="BO230">
        <v>9</v>
      </c>
      <c r="BP230">
        <v>2023</v>
      </c>
      <c r="BQ230" t="str">
        <f t="shared" si="16"/>
        <v>Roiphet19</v>
      </c>
      <c r="BR230">
        <f t="shared" si="17"/>
        <v>-400.65192000000008</v>
      </c>
      <c r="BS230">
        <f t="shared" si="18"/>
        <v>587.63394000000005</v>
      </c>
      <c r="BT230" s="6">
        <f t="shared" si="19"/>
        <v>-115.24510717614169</v>
      </c>
    </row>
    <row r="231" spans="1:72">
      <c r="A231" s="3" t="s">
        <v>967</v>
      </c>
      <c r="B231" s="3" t="s">
        <v>1174</v>
      </c>
      <c r="C231" s="3" t="s">
        <v>1176</v>
      </c>
      <c r="D231" s="2" t="s">
        <v>1240</v>
      </c>
      <c r="E231" s="4" t="str">
        <f t="shared" si="15"/>
        <v>Roiphet1C1-G01-0073</v>
      </c>
      <c r="F231">
        <v>1.1299999999999999</v>
      </c>
      <c r="G231">
        <v>1.5</v>
      </c>
      <c r="H231" t="s">
        <v>84</v>
      </c>
      <c r="I231" t="s">
        <v>67</v>
      </c>
      <c r="J231" t="s">
        <v>357</v>
      </c>
      <c r="K231" t="s">
        <v>89</v>
      </c>
      <c r="L231" t="s">
        <v>89</v>
      </c>
      <c r="M231">
        <v>0.36449704142011835</v>
      </c>
      <c r="N231" s="5">
        <v>45055</v>
      </c>
      <c r="O231" s="5">
        <v>45103</v>
      </c>
      <c r="P231">
        <v>0.47</v>
      </c>
      <c r="Q231" s="4">
        <v>173</v>
      </c>
      <c r="R231">
        <v>0.62</v>
      </c>
      <c r="S231" t="s">
        <v>70</v>
      </c>
      <c r="T231" s="6">
        <v>3</v>
      </c>
      <c r="U231" s="5">
        <v>45198</v>
      </c>
      <c r="V231" s="6">
        <v>2</v>
      </c>
      <c r="W231" t="s">
        <v>71</v>
      </c>
      <c r="X231" s="6">
        <v>95.000000000000014</v>
      </c>
      <c r="Y231">
        <v>5.7860399999999998</v>
      </c>
      <c r="Z231">
        <v>5.1203893805309741</v>
      </c>
      <c r="AA231" s="6">
        <v>34.854408196279323</v>
      </c>
      <c r="AB231" s="4">
        <v>42.90829787234042</v>
      </c>
      <c r="AC231" s="6">
        <v>28.690775478630822</v>
      </c>
      <c r="AD231">
        <v>0.35645009100000002</v>
      </c>
      <c r="AE231">
        <v>2.3068019262478572</v>
      </c>
      <c r="AF231">
        <v>12675</v>
      </c>
      <c r="AG231" s="4">
        <v>0</v>
      </c>
      <c r="AH231" s="4">
        <v>4620</v>
      </c>
      <c r="AL231">
        <v>29</v>
      </c>
      <c r="AM231">
        <v>3.9067600000000002</v>
      </c>
      <c r="AN231" t="s">
        <v>85</v>
      </c>
      <c r="AO231" t="s">
        <v>148</v>
      </c>
      <c r="AP231" s="5">
        <v>45110</v>
      </c>
      <c r="AQ231" t="s">
        <v>438</v>
      </c>
      <c r="AR231" s="5">
        <v>45195</v>
      </c>
      <c r="AS231">
        <v>166.56201823699803</v>
      </c>
      <c r="AT231" s="6"/>
      <c r="AU231">
        <v>40.614997476685261</v>
      </c>
      <c r="AV231">
        <v>71.403331121112188</v>
      </c>
      <c r="AW231">
        <v>31.98429495820977</v>
      </c>
      <c r="AX231">
        <v>144.00262355600722</v>
      </c>
      <c r="AY231">
        <v>31.742461165149226</v>
      </c>
      <c r="AZ231">
        <v>41.739573179583957</v>
      </c>
      <c r="BA231">
        <v>11.847671291591483</v>
      </c>
      <c r="BB231">
        <v>10.296921556021044</v>
      </c>
      <c r="BC231">
        <v>19.420676317481387</v>
      </c>
      <c r="BD231">
        <v>115.04730350982712</v>
      </c>
      <c r="BE231">
        <v>-92.487908828836311</v>
      </c>
      <c r="BF231">
        <v>47.249986173617877</v>
      </c>
      <c r="BG231">
        <v>0.13429737782663101</v>
      </c>
      <c r="BH231">
        <v>47.384283551444511</v>
      </c>
      <c r="BI231">
        <v>306.43421061727878</v>
      </c>
      <c r="BJ231" s="6">
        <v>189</v>
      </c>
      <c r="BK231">
        <v>-139.87219238028078</v>
      </c>
      <c r="BL231" s="4">
        <v>-809.3060999999999</v>
      </c>
      <c r="BM231" t="s">
        <v>1241</v>
      </c>
      <c r="BN231" t="s">
        <v>65</v>
      </c>
      <c r="BO231">
        <v>9</v>
      </c>
      <c r="BP231">
        <v>2023</v>
      </c>
      <c r="BQ231" t="str">
        <f t="shared" si="16"/>
        <v>Roiphet19</v>
      </c>
      <c r="BR231">
        <f t="shared" si="17"/>
        <v>-679.47903999999971</v>
      </c>
      <c r="BS231">
        <f t="shared" si="18"/>
        <v>963.73450000000003</v>
      </c>
      <c r="BT231" s="6">
        <f t="shared" si="19"/>
        <v>-117.43421061727878</v>
      </c>
    </row>
    <row r="232" spans="1:72">
      <c r="A232" s="3" t="s">
        <v>967</v>
      </c>
      <c r="B232" s="3" t="s">
        <v>1174</v>
      </c>
      <c r="C232" s="3" t="s">
        <v>1176</v>
      </c>
      <c r="D232" s="2" t="s">
        <v>1272</v>
      </c>
      <c r="E232" s="4" t="str">
        <f t="shared" si="15"/>
        <v>Roiphet1C1-G01-0072</v>
      </c>
      <c r="F232">
        <v>1.1299999999999999</v>
      </c>
      <c r="G232">
        <v>1.5</v>
      </c>
      <c r="H232" t="s">
        <v>84</v>
      </c>
      <c r="I232" t="s">
        <v>67</v>
      </c>
      <c r="J232" t="s">
        <v>357</v>
      </c>
      <c r="K232" t="s">
        <v>89</v>
      </c>
      <c r="L232" t="s">
        <v>89</v>
      </c>
      <c r="M232">
        <v>0.62033898305084745</v>
      </c>
      <c r="N232" s="5">
        <v>44920</v>
      </c>
      <c r="O232" s="5">
        <v>44950</v>
      </c>
      <c r="P232">
        <v>0.42</v>
      </c>
      <c r="Q232" s="4">
        <v>155</v>
      </c>
      <c r="R232">
        <v>0.7</v>
      </c>
      <c r="S232" t="s">
        <v>70</v>
      </c>
      <c r="T232" s="6">
        <v>2</v>
      </c>
      <c r="U232" s="5">
        <v>45054</v>
      </c>
      <c r="V232" s="6">
        <v>2</v>
      </c>
      <c r="W232" t="s">
        <v>71</v>
      </c>
      <c r="X232" s="6">
        <v>103.99999999999999</v>
      </c>
      <c r="Y232">
        <v>7.2204300000000003</v>
      </c>
      <c r="Z232">
        <v>6.3897610619469036</v>
      </c>
      <c r="AA232" s="6">
        <v>29.911514965175204</v>
      </c>
      <c r="AB232" s="4">
        <v>51.422380952380955</v>
      </c>
      <c r="AC232" s="6">
        <v>33.431940881772803</v>
      </c>
      <c r="AD232">
        <v>0.34939458699999998</v>
      </c>
      <c r="AE232">
        <v>2.5554289872271863</v>
      </c>
      <c r="AF232">
        <v>17700</v>
      </c>
      <c r="AG232" s="4">
        <v>0</v>
      </c>
      <c r="AH232" s="4">
        <v>10980</v>
      </c>
      <c r="AL232">
        <v>27</v>
      </c>
      <c r="AM232">
        <v>5.81907</v>
      </c>
      <c r="AN232" t="s">
        <v>81</v>
      </c>
      <c r="AO232" t="s">
        <v>136</v>
      </c>
      <c r="AP232" s="5">
        <v>44956</v>
      </c>
      <c r="AQ232" t="s">
        <v>127</v>
      </c>
      <c r="AR232" s="5">
        <v>45051</v>
      </c>
      <c r="AS232">
        <v>244.29228176161254</v>
      </c>
      <c r="AT232" s="6"/>
      <c r="AU232">
        <v>29.084140418229943</v>
      </c>
      <c r="AV232">
        <v>75.516857029290492</v>
      </c>
      <c r="AW232">
        <v>21.620994871496567</v>
      </c>
      <c r="AX232">
        <v>126.22199231901701</v>
      </c>
      <c r="AY232">
        <v>26.300425320929637</v>
      </c>
      <c r="AZ232">
        <v>48.084072555235629</v>
      </c>
      <c r="BA232">
        <v>6.5535736791299142</v>
      </c>
      <c r="BB232">
        <v>8.2893179492080105</v>
      </c>
      <c r="BC232">
        <v>12.649062451959232</v>
      </c>
      <c r="BD232">
        <v>101.87645195646242</v>
      </c>
      <c r="BE232">
        <v>16.19383748613312</v>
      </c>
      <c r="BF232">
        <v>40.144419376685313</v>
      </c>
      <c r="BG232">
        <v>0.10119618914662976</v>
      </c>
      <c r="BH232">
        <v>40.245615565831947</v>
      </c>
      <c r="BI232">
        <v>268.34405984131143</v>
      </c>
      <c r="BJ232" s="6">
        <v>197</v>
      </c>
      <c r="BK232">
        <v>-24.051778079698877</v>
      </c>
      <c r="BL232" s="4">
        <v>-173.66418000000016</v>
      </c>
      <c r="BM232" t="s">
        <v>1177</v>
      </c>
      <c r="BN232" t="s">
        <v>65</v>
      </c>
      <c r="BO232">
        <v>5</v>
      </c>
      <c r="BP232">
        <v>2023</v>
      </c>
      <c r="BQ232" t="str">
        <f t="shared" si="16"/>
        <v>Roiphet15</v>
      </c>
      <c r="BR232">
        <f t="shared" si="17"/>
        <v>-515.13479000000029</v>
      </c>
      <c r="BS232">
        <f t="shared" si="18"/>
        <v>1763.8953200000001</v>
      </c>
      <c r="BT232" s="6">
        <f t="shared" si="19"/>
        <v>-71.344059841311434</v>
      </c>
    </row>
    <row r="233" spans="1:72">
      <c r="A233" s="3" t="s">
        <v>967</v>
      </c>
      <c r="B233" s="3" t="s">
        <v>1174</v>
      </c>
      <c r="C233" s="3" t="s">
        <v>1176</v>
      </c>
      <c r="D233" s="2" t="s">
        <v>1266</v>
      </c>
      <c r="E233" s="4" t="str">
        <f t="shared" si="15"/>
        <v>Roiphet1C6-G12-0059</v>
      </c>
      <c r="F233">
        <v>1.1299999999999999</v>
      </c>
      <c r="G233">
        <v>1.5</v>
      </c>
      <c r="H233" t="s">
        <v>84</v>
      </c>
      <c r="I233" t="s">
        <v>67</v>
      </c>
      <c r="J233" t="s">
        <v>357</v>
      </c>
      <c r="K233" t="s">
        <v>89</v>
      </c>
      <c r="L233" t="s">
        <v>89</v>
      </c>
      <c r="M233">
        <v>0.66335403726708075</v>
      </c>
      <c r="N233" s="5">
        <v>44788</v>
      </c>
      <c r="O233" s="5">
        <v>44863</v>
      </c>
      <c r="P233">
        <v>0.45</v>
      </c>
      <c r="Q233" s="4">
        <v>166</v>
      </c>
      <c r="R233">
        <v>0.25</v>
      </c>
      <c r="S233" t="s">
        <v>70</v>
      </c>
      <c r="T233" s="6">
        <v>5</v>
      </c>
      <c r="U233" s="5">
        <v>44993</v>
      </c>
      <c r="V233" s="6">
        <v>1</v>
      </c>
      <c r="W233" t="s">
        <v>86</v>
      </c>
      <c r="X233" s="6">
        <v>130</v>
      </c>
      <c r="Y233">
        <v>11.25116</v>
      </c>
      <c r="Z233">
        <v>9.9567787610619476</v>
      </c>
      <c r="AA233" s="6">
        <v>31.373742796298338</v>
      </c>
      <c r="AB233" s="4">
        <v>78.442444444444448</v>
      </c>
      <c r="AC233" s="6">
        <v>31.873787150380604</v>
      </c>
      <c r="AD233">
        <v>0.347727273</v>
      </c>
      <c r="AE233">
        <v>2.1681243524804601</v>
      </c>
      <c r="AF233">
        <v>24150</v>
      </c>
      <c r="AG233" s="4">
        <v>0</v>
      </c>
      <c r="AH233" s="4">
        <v>16020</v>
      </c>
      <c r="AL233">
        <v>22</v>
      </c>
      <c r="AM233">
        <v>5.4461400000000006</v>
      </c>
      <c r="AN233" t="s">
        <v>81</v>
      </c>
      <c r="AO233" t="s">
        <v>99</v>
      </c>
      <c r="AP233" s="5">
        <v>44865</v>
      </c>
      <c r="AQ233" t="s">
        <v>123</v>
      </c>
      <c r="AR233" s="5">
        <v>44991</v>
      </c>
      <c r="AS233">
        <v>279.16785735870786</v>
      </c>
      <c r="AT233" s="6"/>
      <c r="AU233">
        <v>15.998350392315103</v>
      </c>
      <c r="AV233">
        <v>71.206859559369903</v>
      </c>
      <c r="AW233">
        <v>29.430382289470597</v>
      </c>
      <c r="AX233">
        <v>116.63559224115559</v>
      </c>
      <c r="AY233">
        <v>38.847839689418691</v>
      </c>
      <c r="AZ233">
        <v>38.617051930645374</v>
      </c>
      <c r="BA233">
        <v>18.523197608068855</v>
      </c>
      <c r="BB233">
        <v>12.690422143139022</v>
      </c>
      <c r="BC233">
        <v>16.411426910647435</v>
      </c>
      <c r="BD233">
        <v>125.08993828191939</v>
      </c>
      <c r="BE233">
        <v>37.442326835632883</v>
      </c>
      <c r="BF233">
        <v>51.859452714209027</v>
      </c>
      <c r="BG233">
        <v>0.13142555967562455</v>
      </c>
      <c r="BH233">
        <v>51.990878273884647</v>
      </c>
      <c r="BI233">
        <v>293.71640879695963</v>
      </c>
      <c r="BJ233" s="6">
        <v>194</v>
      </c>
      <c r="BK233">
        <v>-14.548551438251749</v>
      </c>
      <c r="BL233" s="4">
        <v>-163.68808000000055</v>
      </c>
      <c r="BM233" t="s">
        <v>1267</v>
      </c>
      <c r="BN233" t="s">
        <v>65</v>
      </c>
      <c r="BO233">
        <v>3</v>
      </c>
      <c r="BP233">
        <v>2023</v>
      </c>
      <c r="BQ233" t="str">
        <f t="shared" si="16"/>
        <v>Roiphet13</v>
      </c>
      <c r="BR233">
        <f t="shared" si="17"/>
        <v>-1121.9252700000004</v>
      </c>
      <c r="BS233">
        <f t="shared" si="18"/>
        <v>3140.9622299999996</v>
      </c>
      <c r="BT233" s="6">
        <f t="shared" si="19"/>
        <v>-99.716408796959627</v>
      </c>
    </row>
    <row r="234" spans="1:72">
      <c r="A234" s="3" t="s">
        <v>967</v>
      </c>
      <c r="B234" s="3" t="s">
        <v>1174</v>
      </c>
      <c r="C234" s="3" t="s">
        <v>1176</v>
      </c>
      <c r="D234" s="2" t="s">
        <v>1264</v>
      </c>
      <c r="E234" s="4" t="str">
        <f t="shared" si="15"/>
        <v>Roiphet1C1-I02-0071</v>
      </c>
      <c r="F234">
        <v>0.72</v>
      </c>
      <c r="G234">
        <v>1.3</v>
      </c>
      <c r="H234" t="s">
        <v>84</v>
      </c>
      <c r="I234" t="s">
        <v>67</v>
      </c>
      <c r="J234" t="s">
        <v>357</v>
      </c>
      <c r="K234" t="s">
        <v>89</v>
      </c>
      <c r="L234" t="s">
        <v>89</v>
      </c>
      <c r="M234">
        <v>0.70872483221476512</v>
      </c>
      <c r="N234" s="5">
        <v>44920</v>
      </c>
      <c r="O234" s="5">
        <v>44951</v>
      </c>
      <c r="P234">
        <v>0.22500000000000001</v>
      </c>
      <c r="Q234" s="4">
        <v>150</v>
      </c>
      <c r="R234">
        <v>0.75</v>
      </c>
      <c r="S234" t="s">
        <v>70</v>
      </c>
      <c r="T234" s="6">
        <v>3</v>
      </c>
      <c r="U234" s="5">
        <v>45060</v>
      </c>
      <c r="V234" s="6">
        <v>2</v>
      </c>
      <c r="W234" t="s">
        <v>71</v>
      </c>
      <c r="X234" s="6">
        <v>109</v>
      </c>
      <c r="Y234">
        <v>4.6643599999999994</v>
      </c>
      <c r="Z234">
        <v>6.4782777777777776</v>
      </c>
      <c r="AA234" s="6">
        <v>31.90148273289369</v>
      </c>
      <c r="AB234" s="4">
        <v>66.133333333333326</v>
      </c>
      <c r="AC234" s="6">
        <v>31.346505376344084</v>
      </c>
      <c r="AD234">
        <v>0.34597741700000001</v>
      </c>
      <c r="AE234">
        <v>2.4857583286806464</v>
      </c>
      <c r="AF234">
        <v>11175</v>
      </c>
      <c r="AG234" s="4">
        <v>0</v>
      </c>
      <c r="AH234" s="4">
        <v>7920</v>
      </c>
      <c r="AL234">
        <v>26</v>
      </c>
      <c r="AM234">
        <v>3.3561799999999997</v>
      </c>
      <c r="AN234" t="s">
        <v>81</v>
      </c>
      <c r="AO234" t="s">
        <v>136</v>
      </c>
      <c r="AP234" s="5">
        <v>44956</v>
      </c>
      <c r="AQ234" t="s">
        <v>116</v>
      </c>
      <c r="AR234" s="5">
        <v>45058</v>
      </c>
      <c r="AS234">
        <v>241.13941462494321</v>
      </c>
      <c r="AT234" s="6"/>
      <c r="AU234">
        <v>24.119064566199871</v>
      </c>
      <c r="AV234">
        <v>73.384753749710555</v>
      </c>
      <c r="AW234">
        <v>35.889927021070399</v>
      </c>
      <c r="AX234">
        <v>133.39374533698083</v>
      </c>
      <c r="AY234">
        <v>26.907209134800919</v>
      </c>
      <c r="AZ234">
        <v>49.012728434340403</v>
      </c>
      <c r="BA234">
        <v>6.8071825502319729</v>
      </c>
      <c r="BB234">
        <v>8.6605171985009743</v>
      </c>
      <c r="BC234">
        <v>13.233318182987594</v>
      </c>
      <c r="BD234">
        <v>104.62095550086187</v>
      </c>
      <c r="BE234">
        <v>3.1247137871005179</v>
      </c>
      <c r="BF234">
        <v>41.284870807570599</v>
      </c>
      <c r="BG234">
        <v>0.10413432925417422</v>
      </c>
      <c r="BH234">
        <v>41.389005136824778</v>
      </c>
      <c r="BI234">
        <v>279.40370597466756</v>
      </c>
      <c r="BJ234" s="6">
        <v>192</v>
      </c>
      <c r="BK234">
        <v>-38.264291349724331</v>
      </c>
      <c r="BL234" s="4">
        <v>-178.47843000000017</v>
      </c>
      <c r="BM234" t="s">
        <v>1265</v>
      </c>
      <c r="BN234" t="s">
        <v>65</v>
      </c>
      <c r="BO234">
        <v>5</v>
      </c>
      <c r="BP234">
        <v>2023</v>
      </c>
      <c r="BQ234" t="str">
        <f t="shared" si="16"/>
        <v>Roiphet15</v>
      </c>
      <c r="BR234">
        <f t="shared" si="17"/>
        <v>-407.68235000000033</v>
      </c>
      <c r="BS234">
        <f t="shared" si="18"/>
        <v>1124.7610400000001</v>
      </c>
      <c r="BT234" s="6">
        <f t="shared" si="19"/>
        <v>-87.40370597466756</v>
      </c>
    </row>
    <row r="235" spans="1:72">
      <c r="A235" s="3" t="s">
        <v>967</v>
      </c>
      <c r="B235" s="3" t="s">
        <v>1174</v>
      </c>
      <c r="C235" s="3" t="s">
        <v>1176</v>
      </c>
      <c r="D235" s="2" t="s">
        <v>1417</v>
      </c>
      <c r="E235" s="4" t="str">
        <f t="shared" si="15"/>
        <v>Roiphet1D3-G06-0084</v>
      </c>
      <c r="F235">
        <v>1.1299999999999999</v>
      </c>
      <c r="G235">
        <v>1.5</v>
      </c>
      <c r="H235" t="s">
        <v>72</v>
      </c>
      <c r="I235" t="s">
        <v>67</v>
      </c>
      <c r="J235" t="s">
        <v>357</v>
      </c>
      <c r="K235" t="s">
        <v>89</v>
      </c>
      <c r="L235" t="s">
        <v>89</v>
      </c>
      <c r="M235">
        <v>0.26652360515021462</v>
      </c>
      <c r="N235" s="5">
        <v>45051</v>
      </c>
      <c r="O235" s="5">
        <v>45115</v>
      </c>
      <c r="P235">
        <v>0.55000000000000004</v>
      </c>
      <c r="Q235" s="4">
        <v>203</v>
      </c>
      <c r="R235">
        <v>0.55000000000000004</v>
      </c>
      <c r="S235" t="s">
        <v>70</v>
      </c>
      <c r="T235" s="6">
        <v>5</v>
      </c>
      <c r="U235" s="5">
        <v>45230</v>
      </c>
      <c r="V235" s="6">
        <v>1</v>
      </c>
      <c r="W235" t="s">
        <v>86</v>
      </c>
      <c r="X235" s="6">
        <v>115</v>
      </c>
      <c r="Y235">
        <v>9.0399699999999985</v>
      </c>
      <c r="Z235">
        <v>7.999973451327433</v>
      </c>
      <c r="AA235" s="6">
        <v>38.296144788091112</v>
      </c>
      <c r="AB235" s="4">
        <v>62.944727272727278</v>
      </c>
      <c r="AC235" s="6">
        <v>26.112288992362707</v>
      </c>
      <c r="AD235">
        <v>0.34304347800000001</v>
      </c>
      <c r="AE235">
        <v>2.6666758226351566</v>
      </c>
      <c r="AF235">
        <v>23300</v>
      </c>
      <c r="AG235" s="4">
        <v>0</v>
      </c>
      <c r="AH235" s="4">
        <v>6210</v>
      </c>
      <c r="AL235">
        <v>25</v>
      </c>
      <c r="AM235">
        <v>3.1461100000000002</v>
      </c>
      <c r="AN235" t="s">
        <v>81</v>
      </c>
      <c r="AO235" t="s">
        <v>438</v>
      </c>
      <c r="AP235" s="5">
        <v>45117</v>
      </c>
      <c r="AQ235" t="s">
        <v>215</v>
      </c>
      <c r="AR235" s="5">
        <v>45229</v>
      </c>
      <c r="AS235">
        <v>191.69329212375706</v>
      </c>
      <c r="AT235" s="6"/>
      <c r="AU235">
        <v>27.378409441624253</v>
      </c>
      <c r="AV235">
        <v>82.647228917795076</v>
      </c>
      <c r="AW235">
        <v>20.868757307822921</v>
      </c>
      <c r="AX235">
        <v>130.89439566724226</v>
      </c>
      <c r="AY235">
        <v>28.332419244754135</v>
      </c>
      <c r="AZ235">
        <v>36.517220742989203</v>
      </c>
      <c r="BA235">
        <v>10.412203801561288</v>
      </c>
      <c r="BB235">
        <v>4.1268842706336422</v>
      </c>
      <c r="BC235">
        <v>15.71544817073508</v>
      </c>
      <c r="BD235">
        <v>95.10417623067336</v>
      </c>
      <c r="BE235">
        <v>-34.305279774158564</v>
      </c>
      <c r="BF235">
        <v>33.247930026316467</v>
      </c>
      <c r="BG235">
        <v>0.11807893167787063</v>
      </c>
      <c r="BH235">
        <v>33.366008957994339</v>
      </c>
      <c r="BI235">
        <v>259.36458085590999</v>
      </c>
      <c r="BJ235" s="6">
        <v>184</v>
      </c>
      <c r="BK235">
        <v>-67.671288732152888</v>
      </c>
      <c r="BL235" s="4">
        <v>-611.74642000000017</v>
      </c>
      <c r="BM235" t="s">
        <v>1418</v>
      </c>
      <c r="BN235" t="s">
        <v>65</v>
      </c>
      <c r="BO235">
        <v>10</v>
      </c>
      <c r="BP235">
        <v>2023</v>
      </c>
      <c r="BQ235" t="str">
        <f t="shared" si="16"/>
        <v>Roiphet110</v>
      </c>
      <c r="BR235">
        <f t="shared" si="17"/>
        <v>-681.29355000000055</v>
      </c>
      <c r="BS235">
        <f t="shared" si="18"/>
        <v>1732.9016099999999</v>
      </c>
      <c r="BT235" s="6">
        <f t="shared" si="19"/>
        <v>-75.364580855909992</v>
      </c>
    </row>
    <row r="236" spans="1:72">
      <c r="A236" s="3" t="s">
        <v>967</v>
      </c>
      <c r="B236" s="3" t="s">
        <v>1174</v>
      </c>
      <c r="C236" s="3" t="s">
        <v>1176</v>
      </c>
      <c r="D236" s="2" t="s">
        <v>1242</v>
      </c>
      <c r="E236" s="4" t="str">
        <f t="shared" si="15"/>
        <v>Roiphet1C6-G11-0058</v>
      </c>
      <c r="F236">
        <v>1.1299999999999999</v>
      </c>
      <c r="G236">
        <v>1.5</v>
      </c>
      <c r="H236" t="s">
        <v>84</v>
      </c>
      <c r="I236" t="s">
        <v>67</v>
      </c>
      <c r="J236" t="s">
        <v>357</v>
      </c>
      <c r="K236" t="s">
        <v>89</v>
      </c>
      <c r="L236" t="s">
        <v>89</v>
      </c>
      <c r="M236">
        <v>0.83272214386459797</v>
      </c>
      <c r="N236" s="5">
        <v>44788</v>
      </c>
      <c r="O236" s="5">
        <v>44862</v>
      </c>
      <c r="P236">
        <v>0.45</v>
      </c>
      <c r="Q236" s="4">
        <v>166</v>
      </c>
      <c r="R236">
        <v>0.25</v>
      </c>
      <c r="S236" t="s">
        <v>70</v>
      </c>
      <c r="T236" s="6">
        <v>3</v>
      </c>
      <c r="U236" s="5">
        <v>44984</v>
      </c>
      <c r="V236" s="6">
        <v>2</v>
      </c>
      <c r="W236" t="s">
        <v>71</v>
      </c>
      <c r="X236" s="6">
        <v>122</v>
      </c>
      <c r="Y236">
        <v>6.90266</v>
      </c>
      <c r="Z236">
        <v>6.1085486725663722</v>
      </c>
      <c r="AA236" s="6">
        <v>34.439332083573582</v>
      </c>
      <c r="AB236" s="4">
        <v>52.827333333333335</v>
      </c>
      <c r="AC236" s="6">
        <v>29.036567770051697</v>
      </c>
      <c r="AD236">
        <v>0.33948087399999999</v>
      </c>
      <c r="AE236">
        <v>2.6103950422375908</v>
      </c>
      <c r="AF236">
        <v>17725</v>
      </c>
      <c r="AG236" s="4">
        <v>0</v>
      </c>
      <c r="AH236" s="4">
        <v>14760</v>
      </c>
      <c r="AL236">
        <v>24</v>
      </c>
      <c r="AM236">
        <v>5.1888800000000002</v>
      </c>
      <c r="AN236" t="s">
        <v>81</v>
      </c>
      <c r="AO236" t="s">
        <v>99</v>
      </c>
      <c r="AP236" s="5">
        <v>44865</v>
      </c>
      <c r="AQ236" t="s">
        <v>123</v>
      </c>
      <c r="AR236" s="5">
        <v>44984</v>
      </c>
      <c r="AS236">
        <v>255.77859115181684</v>
      </c>
      <c r="AT236" s="6"/>
      <c r="AU236">
        <v>26.076903686404957</v>
      </c>
      <c r="AV236">
        <v>84.941234248825808</v>
      </c>
      <c r="AW236">
        <v>51.661082828938412</v>
      </c>
      <c r="AX236">
        <v>162.6792207641692</v>
      </c>
      <c r="AY236">
        <v>61.457125224188928</v>
      </c>
      <c r="AZ236">
        <v>59.14803858222772</v>
      </c>
      <c r="BA236">
        <v>29.691391434606363</v>
      </c>
      <c r="BB236">
        <v>20.092981546244495</v>
      </c>
      <c r="BC236">
        <v>25.614174825357182</v>
      </c>
      <c r="BD236">
        <v>196.0037116126247</v>
      </c>
      <c r="BE236">
        <v>-102.90434122497706</v>
      </c>
      <c r="BF236">
        <v>81.671147065044494</v>
      </c>
      <c r="BG236">
        <v>0.206997012745811</v>
      </c>
      <c r="BH236">
        <v>81.878144077790296</v>
      </c>
      <c r="BI236">
        <v>440.56107645458417</v>
      </c>
      <c r="BJ236" s="6">
        <v>189</v>
      </c>
      <c r="BK236">
        <v>-184.78248530276733</v>
      </c>
      <c r="BL236" s="4">
        <v>-1275.4906699999999</v>
      </c>
      <c r="BM236" t="s">
        <v>1243</v>
      </c>
      <c r="BN236" t="s">
        <v>65</v>
      </c>
      <c r="BO236">
        <v>2</v>
      </c>
      <c r="BP236">
        <v>2023</v>
      </c>
      <c r="BQ236" t="str">
        <f t="shared" si="16"/>
        <v>Roiphet12</v>
      </c>
      <c r="BR236">
        <f t="shared" si="17"/>
        <v>-1736.44058</v>
      </c>
      <c r="BS236">
        <f t="shared" si="18"/>
        <v>1765.5526500000001</v>
      </c>
      <c r="BT236" s="6">
        <f t="shared" si="19"/>
        <v>-251.56107645458417</v>
      </c>
    </row>
    <row r="237" spans="1:72">
      <c r="A237" s="3" t="s">
        <v>967</v>
      </c>
      <c r="B237" s="3" t="s">
        <v>1174</v>
      </c>
      <c r="C237" s="3" t="s">
        <v>1176</v>
      </c>
      <c r="D237" s="2" t="s">
        <v>1222</v>
      </c>
      <c r="E237" s="4" t="str">
        <f t="shared" si="15"/>
        <v>Roiphet1C2-G04-0063</v>
      </c>
      <c r="F237">
        <v>1.1299999999999999</v>
      </c>
      <c r="G237">
        <v>2</v>
      </c>
      <c r="H237" t="s">
        <v>84</v>
      </c>
      <c r="I237" t="s">
        <v>67</v>
      </c>
      <c r="J237" t="s">
        <v>357</v>
      </c>
      <c r="K237" t="s">
        <v>89</v>
      </c>
      <c r="L237" t="s">
        <v>89</v>
      </c>
      <c r="M237">
        <v>0.54255319148936165</v>
      </c>
      <c r="N237" s="5">
        <v>44880</v>
      </c>
      <c r="O237" s="5">
        <v>44900</v>
      </c>
      <c r="P237">
        <v>0.66800000000000004</v>
      </c>
      <c r="Q237" s="4">
        <v>185</v>
      </c>
      <c r="R237">
        <v>0.75</v>
      </c>
      <c r="S237" t="s">
        <v>70</v>
      </c>
      <c r="T237" s="6">
        <v>5</v>
      </c>
      <c r="U237" s="5">
        <v>45026</v>
      </c>
      <c r="V237" s="6">
        <v>1</v>
      </c>
      <c r="W237" t="s">
        <v>86</v>
      </c>
      <c r="X237" s="6">
        <v>126</v>
      </c>
      <c r="Y237">
        <v>11.846590000000001</v>
      </c>
      <c r="Z237">
        <v>10.483707964601772</v>
      </c>
      <c r="AA237" s="6">
        <v>38.660661000338493</v>
      </c>
      <c r="AB237" s="4">
        <v>68.562425149700601</v>
      </c>
      <c r="AC237" s="6">
        <v>25.866086459081611</v>
      </c>
      <c r="AD237">
        <v>0.33911318200000001</v>
      </c>
      <c r="AE237">
        <v>2.4855472478734026</v>
      </c>
      <c r="AF237">
        <v>28200</v>
      </c>
      <c r="AG237" s="4">
        <v>0</v>
      </c>
      <c r="AH237" s="4">
        <v>15300</v>
      </c>
      <c r="AL237">
        <v>23</v>
      </c>
      <c r="AM237">
        <v>5.1768599999999996</v>
      </c>
      <c r="AN237" t="s">
        <v>81</v>
      </c>
      <c r="AO237" t="s">
        <v>94</v>
      </c>
      <c r="AP237" s="5">
        <v>44907</v>
      </c>
      <c r="AQ237" t="s">
        <v>123</v>
      </c>
      <c r="AR237" s="5">
        <v>45012</v>
      </c>
      <c r="AS237">
        <v>243.84876829534906</v>
      </c>
      <c r="AT237" s="6"/>
      <c r="AU237">
        <v>15.803113807433194</v>
      </c>
      <c r="AV237">
        <v>77.78220061637991</v>
      </c>
      <c r="AW237">
        <v>28.119225870060493</v>
      </c>
      <c r="AX237">
        <v>121.70454029387359</v>
      </c>
      <c r="AY237">
        <v>19.922990497687518</v>
      </c>
      <c r="AZ237">
        <v>32.203544648713262</v>
      </c>
      <c r="BA237">
        <v>4.746411414592723</v>
      </c>
      <c r="BB237">
        <v>8.1708744879328155</v>
      </c>
      <c r="BC237">
        <v>9.0989896670687518</v>
      </c>
      <c r="BD237">
        <v>74.142810715995068</v>
      </c>
      <c r="BE237">
        <v>48.0014172854804</v>
      </c>
      <c r="BF237">
        <v>27.861479126060754</v>
      </c>
      <c r="BG237">
        <v>6.9712887843674853E-2</v>
      </c>
      <c r="BH237">
        <v>27.931192013904429</v>
      </c>
      <c r="BI237">
        <v>223.77854302377307</v>
      </c>
      <c r="BJ237" s="6">
        <v>184</v>
      </c>
      <c r="BK237">
        <v>20.070225271576</v>
      </c>
      <c r="BL237" s="4">
        <v>237.76372999999953</v>
      </c>
      <c r="BM237" t="s">
        <v>1223</v>
      </c>
      <c r="BN237" t="s">
        <v>65</v>
      </c>
      <c r="BO237">
        <v>4</v>
      </c>
      <c r="BP237">
        <v>2023</v>
      </c>
      <c r="BQ237" t="str">
        <f t="shared" si="16"/>
        <v>Roiphet14</v>
      </c>
      <c r="BR237">
        <f t="shared" si="17"/>
        <v>-471.24008999999984</v>
      </c>
      <c r="BS237">
        <f t="shared" si="18"/>
        <v>2888.7763799999993</v>
      </c>
      <c r="BT237" s="6">
        <f t="shared" si="19"/>
        <v>-39.778543023773068</v>
      </c>
    </row>
    <row r="238" spans="1:72">
      <c r="A238" s="3" t="s">
        <v>967</v>
      </c>
      <c r="B238" s="3" t="s">
        <v>1174</v>
      </c>
      <c r="C238" s="3" t="s">
        <v>1176</v>
      </c>
      <c r="D238" s="2" t="s">
        <v>1232</v>
      </c>
      <c r="E238" s="4" t="str">
        <f t="shared" si="15"/>
        <v>Roiphet1C4-I07-0059</v>
      </c>
      <c r="F238">
        <v>0.72</v>
      </c>
      <c r="G238">
        <v>1.3</v>
      </c>
      <c r="H238" t="s">
        <v>84</v>
      </c>
      <c r="I238" t="s">
        <v>67</v>
      </c>
      <c r="J238" t="s">
        <v>357</v>
      </c>
      <c r="K238" t="s">
        <v>89</v>
      </c>
      <c r="L238" t="s">
        <v>89</v>
      </c>
      <c r="M238">
        <v>0.75102040816326532</v>
      </c>
      <c r="N238" s="5">
        <v>44844</v>
      </c>
      <c r="O238" s="5">
        <v>44868</v>
      </c>
      <c r="P238">
        <v>0.25</v>
      </c>
      <c r="Q238" s="4">
        <v>167</v>
      </c>
      <c r="R238">
        <v>0.4</v>
      </c>
      <c r="S238" t="s">
        <v>70</v>
      </c>
      <c r="T238" s="6">
        <v>3</v>
      </c>
      <c r="U238" s="5">
        <v>44960</v>
      </c>
      <c r="V238" s="6">
        <v>2</v>
      </c>
      <c r="W238" t="s">
        <v>71</v>
      </c>
      <c r="X238" s="6">
        <v>92</v>
      </c>
      <c r="Y238">
        <v>4.1821800000000007</v>
      </c>
      <c r="Z238">
        <v>5.8085833333333348</v>
      </c>
      <c r="AA238" s="6">
        <v>35.553945549928507</v>
      </c>
      <c r="AB238" s="4">
        <v>59.477199999999996</v>
      </c>
      <c r="AC238" s="6">
        <v>28.126273597277613</v>
      </c>
      <c r="AD238">
        <v>0.33532608699999999</v>
      </c>
      <c r="AE238">
        <v>1.8005085518032031</v>
      </c>
      <c r="AF238">
        <v>7350</v>
      </c>
      <c r="AG238" s="4">
        <v>0</v>
      </c>
      <c r="AH238" s="4">
        <v>5520</v>
      </c>
      <c r="AL238">
        <v>32</v>
      </c>
      <c r="AM238">
        <v>2.9367100000000002</v>
      </c>
      <c r="AN238" t="s">
        <v>81</v>
      </c>
      <c r="AO238" t="s">
        <v>102</v>
      </c>
      <c r="AP238" s="5">
        <v>44869</v>
      </c>
      <c r="AQ238" t="s">
        <v>97</v>
      </c>
      <c r="AR238" s="5">
        <v>44946</v>
      </c>
      <c r="AS238">
        <v>255.49407007828449</v>
      </c>
      <c r="AT238" s="6"/>
      <c r="AU238">
        <v>23.910974659149051</v>
      </c>
      <c r="AV238">
        <v>58.631567746964492</v>
      </c>
      <c r="AW238">
        <v>26.334777556202745</v>
      </c>
      <c r="AX238">
        <v>108.87731996231628</v>
      </c>
      <c r="AY238">
        <v>32.606681204539257</v>
      </c>
      <c r="AZ238">
        <v>40.698850838557881</v>
      </c>
      <c r="BA238">
        <v>12.311899535648871</v>
      </c>
      <c r="BB238">
        <v>12.208972354131097</v>
      </c>
      <c r="BC238">
        <v>16.14002505870144</v>
      </c>
      <c r="BD238">
        <v>113.96642899157855</v>
      </c>
      <c r="BE238">
        <v>32.650321124389663</v>
      </c>
      <c r="BF238">
        <v>43.586600768020503</v>
      </c>
      <c r="BG238">
        <v>0.10898383139893547</v>
      </c>
      <c r="BH238">
        <v>43.695584599419441</v>
      </c>
      <c r="BI238">
        <v>266.53933355331435</v>
      </c>
      <c r="BJ238" s="6">
        <v>187</v>
      </c>
      <c r="BK238">
        <v>-11.045263475029831</v>
      </c>
      <c r="BL238" s="4">
        <v>-46.193280000000257</v>
      </c>
      <c r="BM238" t="s">
        <v>1233</v>
      </c>
      <c r="BN238" t="s">
        <v>65</v>
      </c>
      <c r="BO238">
        <v>2</v>
      </c>
      <c r="BP238">
        <v>2023</v>
      </c>
      <c r="BQ238" t="str">
        <f t="shared" si="16"/>
        <v>Roiphet12</v>
      </c>
      <c r="BR238">
        <f t="shared" si="17"/>
        <v>-332.64781000000028</v>
      </c>
      <c r="BS238">
        <f t="shared" si="18"/>
        <v>1068.5221899999999</v>
      </c>
      <c r="BT238" s="6">
        <f t="shared" si="19"/>
        <v>-79.53933355331435</v>
      </c>
    </row>
    <row r="239" spans="1:72">
      <c r="A239" s="3" t="s">
        <v>967</v>
      </c>
      <c r="B239" s="3" t="s">
        <v>1174</v>
      </c>
      <c r="C239" s="3" t="s">
        <v>1176</v>
      </c>
      <c r="D239" s="2" t="s">
        <v>1204</v>
      </c>
      <c r="E239" s="4" t="str">
        <f t="shared" si="15"/>
        <v>Roiphet1C3-G05-0073</v>
      </c>
      <c r="F239">
        <v>1.1299999999999999</v>
      </c>
      <c r="G239">
        <v>1.5</v>
      </c>
      <c r="H239" t="s">
        <v>84</v>
      </c>
      <c r="I239" t="s">
        <v>67</v>
      </c>
      <c r="J239" t="s">
        <v>357</v>
      </c>
      <c r="K239" t="s">
        <v>89</v>
      </c>
      <c r="L239" t="s">
        <v>89</v>
      </c>
      <c r="M239">
        <v>1.0032786885245901</v>
      </c>
      <c r="N239" s="5">
        <v>44910</v>
      </c>
      <c r="O239" s="5">
        <v>44936</v>
      </c>
      <c r="P239">
        <v>0.42</v>
      </c>
      <c r="Q239" s="4">
        <v>155</v>
      </c>
      <c r="R239">
        <v>0.57999999999999996</v>
      </c>
      <c r="S239" t="s">
        <v>70</v>
      </c>
      <c r="T239" s="6">
        <v>2</v>
      </c>
      <c r="U239" s="5">
        <v>44998</v>
      </c>
      <c r="V239" s="6">
        <v>2</v>
      </c>
      <c r="W239" t="s">
        <v>71</v>
      </c>
      <c r="X239" s="6">
        <v>61.999999999999993</v>
      </c>
      <c r="Y239">
        <v>6.6344200000000004</v>
      </c>
      <c r="Z239">
        <v>5.8711681415929213</v>
      </c>
      <c r="AA239" s="6">
        <v>49.231884625935649</v>
      </c>
      <c r="AB239" s="4">
        <v>77.767857142857139</v>
      </c>
      <c r="AC239" s="6">
        <v>20.312039800995027</v>
      </c>
      <c r="AD239">
        <v>0.33381606000000003</v>
      </c>
      <c r="AE239">
        <v>1.9089882049564846</v>
      </c>
      <c r="AF239">
        <v>12200</v>
      </c>
      <c r="AG239" s="4">
        <v>0</v>
      </c>
      <c r="AH239" s="4">
        <v>12240</v>
      </c>
      <c r="AL239">
        <v>47</v>
      </c>
      <c r="AM239">
        <v>4.9890799999999995</v>
      </c>
      <c r="AN239" t="s">
        <v>77</v>
      </c>
      <c r="AO239" t="s">
        <v>108</v>
      </c>
      <c r="AP239" s="5">
        <v>44942</v>
      </c>
      <c r="AQ239" t="s">
        <v>123</v>
      </c>
      <c r="AR239" s="5">
        <v>44995</v>
      </c>
      <c r="AS239">
        <v>197.63405391880531</v>
      </c>
      <c r="AT239" s="6"/>
      <c r="AU239">
        <v>28.487795466672285</v>
      </c>
      <c r="AV239">
        <v>58.969328140214223</v>
      </c>
      <c r="AW239">
        <v>20.842453447324715</v>
      </c>
      <c r="AX239">
        <v>108.29957705421121</v>
      </c>
      <c r="AY239">
        <v>21.308438416621197</v>
      </c>
      <c r="AZ239">
        <v>35.55050931354964</v>
      </c>
      <c r="BA239">
        <v>5.1482390321987452</v>
      </c>
      <c r="BB239">
        <v>8.4322095978246789</v>
      </c>
      <c r="BC239">
        <v>8.7463350225038514</v>
      </c>
      <c r="BD239">
        <v>79.185731382698108</v>
      </c>
      <c r="BE239">
        <v>10.148745481895986</v>
      </c>
      <c r="BF239">
        <v>29.370412183732718</v>
      </c>
      <c r="BG239">
        <v>7.3436713382631788E-2</v>
      </c>
      <c r="BH239">
        <v>29.443848897115348</v>
      </c>
      <c r="BI239">
        <v>216.92915733402469</v>
      </c>
      <c r="BJ239" s="6">
        <v>169</v>
      </c>
      <c r="BK239">
        <v>-19.295103415219391</v>
      </c>
      <c r="BL239" s="4">
        <v>-128.01181999999983</v>
      </c>
      <c r="BM239" t="s">
        <v>1205</v>
      </c>
      <c r="BN239" t="s">
        <v>65</v>
      </c>
      <c r="BO239">
        <v>3</v>
      </c>
      <c r="BP239">
        <v>2023</v>
      </c>
      <c r="BQ239" t="str">
        <f t="shared" si="16"/>
        <v>Roiphet13</v>
      </c>
      <c r="BR239">
        <f t="shared" si="17"/>
        <v>-317.98216000000014</v>
      </c>
      <c r="BS239">
        <f t="shared" si="18"/>
        <v>1311.1873200000005</v>
      </c>
      <c r="BT239" s="6">
        <f t="shared" si="19"/>
        <v>-47.929157334024694</v>
      </c>
    </row>
    <row r="240" spans="1:72">
      <c r="A240" s="3" t="s">
        <v>967</v>
      </c>
      <c r="B240" s="3" t="s">
        <v>1174</v>
      </c>
      <c r="C240" s="3" t="s">
        <v>1176</v>
      </c>
      <c r="D240" s="2" t="s">
        <v>1210</v>
      </c>
      <c r="E240" s="4" t="str">
        <f t="shared" si="15"/>
        <v>Roiphet1C3-I06-0062</v>
      </c>
      <c r="F240">
        <v>0.72</v>
      </c>
      <c r="G240">
        <v>1.3</v>
      </c>
      <c r="H240" t="s">
        <v>84</v>
      </c>
      <c r="I240" t="s">
        <v>67</v>
      </c>
      <c r="J240" t="s">
        <v>357</v>
      </c>
      <c r="K240" t="s">
        <v>89</v>
      </c>
      <c r="L240" t="s">
        <v>89</v>
      </c>
      <c r="M240">
        <v>0.83316062176165806</v>
      </c>
      <c r="N240" s="5">
        <v>44910</v>
      </c>
      <c r="O240" s="5">
        <v>44937</v>
      </c>
      <c r="P240">
        <v>0.22500000000000001</v>
      </c>
      <c r="Q240" s="4">
        <v>150</v>
      </c>
      <c r="R240">
        <v>0.5</v>
      </c>
      <c r="S240" t="s">
        <v>70</v>
      </c>
      <c r="T240" s="6">
        <v>3</v>
      </c>
      <c r="U240" s="5">
        <v>45019</v>
      </c>
      <c r="V240" s="6">
        <v>2</v>
      </c>
      <c r="W240" t="s">
        <v>71</v>
      </c>
      <c r="X240" s="6">
        <v>82</v>
      </c>
      <c r="Y240">
        <v>4.1591199999999997</v>
      </c>
      <c r="Z240">
        <v>5.7765555555555554</v>
      </c>
      <c r="AA240" s="6">
        <v>43.423368404854877</v>
      </c>
      <c r="AB240" s="4">
        <v>80.268000000000001</v>
      </c>
      <c r="AC240" s="6">
        <v>23.02907482156996</v>
      </c>
      <c r="AD240">
        <v>0.33265582700000002</v>
      </c>
      <c r="AE240">
        <v>2.3847062486717312</v>
      </c>
      <c r="AF240">
        <v>9650</v>
      </c>
      <c r="AG240" s="4">
        <v>0</v>
      </c>
      <c r="AH240" s="4">
        <v>8040</v>
      </c>
      <c r="AL240">
        <v>36</v>
      </c>
      <c r="AM240">
        <v>2.0957399999999997</v>
      </c>
      <c r="AN240" t="s">
        <v>81</v>
      </c>
      <c r="AO240" t="s">
        <v>176</v>
      </c>
      <c r="AP240" s="5">
        <v>44942</v>
      </c>
      <c r="AQ240" t="s">
        <v>123</v>
      </c>
      <c r="AR240" s="5">
        <v>45005</v>
      </c>
      <c r="AS240">
        <v>213.86900594356496</v>
      </c>
      <c r="AT240" s="6"/>
      <c r="AU240">
        <v>24.344092019465659</v>
      </c>
      <c r="AV240">
        <v>73.097309046144389</v>
      </c>
      <c r="AW240">
        <v>22.355887783954309</v>
      </c>
      <c r="AX240">
        <v>119.79728884956435</v>
      </c>
      <c r="AY240">
        <v>25.971438669718591</v>
      </c>
      <c r="AZ240">
        <v>45.185067995152821</v>
      </c>
      <c r="BA240">
        <v>6.6583868702994868</v>
      </c>
      <c r="BB240">
        <v>9.7447969762834443</v>
      </c>
      <c r="BC240">
        <v>11.749386889534323</v>
      </c>
      <c r="BD240">
        <v>99.30907740098867</v>
      </c>
      <c r="BE240">
        <v>-5.2373603069880659</v>
      </c>
      <c r="BF240">
        <v>36.858801861932335</v>
      </c>
      <c r="BG240">
        <v>9.2408971128507961E-2</v>
      </c>
      <c r="BH240">
        <v>36.951210833060848</v>
      </c>
      <c r="BI240">
        <v>256.05757708361381</v>
      </c>
      <c r="BJ240" s="6">
        <v>178</v>
      </c>
      <c r="BK240">
        <v>-42.188571140048879</v>
      </c>
      <c r="BL240" s="4">
        <v>-175.46733000000006</v>
      </c>
      <c r="BM240" t="s">
        <v>1211</v>
      </c>
      <c r="BN240" t="s">
        <v>65</v>
      </c>
      <c r="BO240">
        <v>4</v>
      </c>
      <c r="BP240">
        <v>2023</v>
      </c>
      <c r="BQ240" t="str">
        <f t="shared" si="16"/>
        <v>Roiphet14</v>
      </c>
      <c r="BR240">
        <f t="shared" si="17"/>
        <v>-324.65082999999981</v>
      </c>
      <c r="BS240">
        <f t="shared" si="18"/>
        <v>889.50685999999985</v>
      </c>
      <c r="BT240" s="6">
        <f t="shared" si="19"/>
        <v>-78.057577083613808</v>
      </c>
    </row>
    <row r="241" spans="1:72">
      <c r="A241" s="3" t="s">
        <v>967</v>
      </c>
      <c r="B241" s="3" t="s">
        <v>1174</v>
      </c>
      <c r="C241" s="3" t="s">
        <v>1176</v>
      </c>
      <c r="D241" s="2" t="s">
        <v>1256</v>
      </c>
      <c r="E241" s="4" t="str">
        <f t="shared" si="15"/>
        <v>Roiphet1C6-I12-0061</v>
      </c>
      <c r="F241">
        <v>0.72</v>
      </c>
      <c r="G241">
        <v>1.3</v>
      </c>
      <c r="H241" t="s">
        <v>84</v>
      </c>
      <c r="I241" t="s">
        <v>67</v>
      </c>
      <c r="J241" t="s">
        <v>357</v>
      </c>
      <c r="K241" t="s">
        <v>89</v>
      </c>
      <c r="L241" t="s">
        <v>89</v>
      </c>
      <c r="M241">
        <v>1.0178313253012048</v>
      </c>
      <c r="N241" s="5">
        <v>44835</v>
      </c>
      <c r="O241" s="5">
        <v>44863</v>
      </c>
      <c r="P241">
        <v>0.25</v>
      </c>
      <c r="Q241" s="4">
        <v>167</v>
      </c>
      <c r="R241">
        <v>0.25</v>
      </c>
      <c r="S241" t="s">
        <v>70</v>
      </c>
      <c r="T241" s="6">
        <v>5</v>
      </c>
      <c r="U241" s="5">
        <v>44993</v>
      </c>
      <c r="V241" s="6">
        <v>2</v>
      </c>
      <c r="W241" t="s">
        <v>71</v>
      </c>
      <c r="X241" s="6">
        <v>130</v>
      </c>
      <c r="Y241">
        <v>4.7206999999999999</v>
      </c>
      <c r="Z241">
        <v>6.5565277777777782</v>
      </c>
      <c r="AA241" s="6">
        <v>33.100811320355035</v>
      </c>
      <c r="AB241" s="4">
        <v>62.503600000000006</v>
      </c>
      <c r="AC241" s="6">
        <v>30.210739861383981</v>
      </c>
      <c r="AD241">
        <v>0.33252508400000003</v>
      </c>
      <c r="AE241">
        <v>2.2272551629384743</v>
      </c>
      <c r="AF241">
        <v>10375</v>
      </c>
      <c r="AG241" s="4">
        <v>0</v>
      </c>
      <c r="AH241" s="4">
        <v>10560</v>
      </c>
      <c r="AL241">
        <v>23</v>
      </c>
      <c r="AM241">
        <v>2.6393800000000001</v>
      </c>
      <c r="AN241" t="s">
        <v>81</v>
      </c>
      <c r="AO241" t="s">
        <v>99</v>
      </c>
      <c r="AP241" s="5">
        <v>44865</v>
      </c>
      <c r="AQ241" t="s">
        <v>123</v>
      </c>
      <c r="AR241" s="5">
        <v>44991</v>
      </c>
      <c r="AS241">
        <v>270.9743279598365</v>
      </c>
      <c r="AT241" s="6"/>
      <c r="AU241">
        <v>21.183299086999806</v>
      </c>
      <c r="AV241">
        <v>72.405598745948694</v>
      </c>
      <c r="AW241">
        <v>34.203596924184986</v>
      </c>
      <c r="AX241">
        <v>127.79249475713348</v>
      </c>
      <c r="AY241">
        <v>38.510972948927069</v>
      </c>
      <c r="AZ241">
        <v>51.528000084733193</v>
      </c>
      <c r="BA241">
        <v>14.034454635965005</v>
      </c>
      <c r="BB241">
        <v>14.233675090558604</v>
      </c>
      <c r="BC241">
        <v>19.732806575296042</v>
      </c>
      <c r="BD241">
        <v>138.0399093354799</v>
      </c>
      <c r="BE241">
        <v>5.1419238672231131</v>
      </c>
      <c r="BF241">
        <v>52.053712373165006</v>
      </c>
      <c r="BG241">
        <v>0.13043616412820133</v>
      </c>
      <c r="BH241">
        <v>52.184148537293204</v>
      </c>
      <c r="BI241">
        <v>318.01655262990658</v>
      </c>
      <c r="BJ241" s="6">
        <v>191</v>
      </c>
      <c r="BK241">
        <v>-47.042224670070112</v>
      </c>
      <c r="BL241" s="4">
        <v>-222.07222999999999</v>
      </c>
      <c r="BM241" t="s">
        <v>1257</v>
      </c>
      <c r="BN241" t="s">
        <v>65</v>
      </c>
      <c r="BO241">
        <v>3</v>
      </c>
      <c r="BP241">
        <v>2023</v>
      </c>
      <c r="BQ241" t="str">
        <f t="shared" si="16"/>
        <v>Roiphet13</v>
      </c>
      <c r="BR241">
        <f t="shared" si="17"/>
        <v>-599.60703999999998</v>
      </c>
      <c r="BS241">
        <f t="shared" si="18"/>
        <v>1279.1885100000002</v>
      </c>
      <c r="BT241" s="6">
        <f t="shared" si="19"/>
        <v>-127.01655262990658</v>
      </c>
    </row>
    <row r="242" spans="1:72">
      <c r="A242" s="3" t="s">
        <v>967</v>
      </c>
      <c r="B242" s="3" t="s">
        <v>1174</v>
      </c>
      <c r="C242" s="3" t="s">
        <v>1176</v>
      </c>
      <c r="D242" s="2" t="s">
        <v>1254</v>
      </c>
      <c r="E242" s="4" t="str">
        <f t="shared" si="15"/>
        <v>Roiphet1C5-G09-0057</v>
      </c>
      <c r="F242">
        <v>1.1299999999999999</v>
      </c>
      <c r="G242">
        <v>1.5</v>
      </c>
      <c r="H242" t="s">
        <v>84</v>
      </c>
      <c r="I242" t="s">
        <v>67</v>
      </c>
      <c r="J242" t="s">
        <v>357</v>
      </c>
      <c r="K242" t="s">
        <v>89</v>
      </c>
      <c r="L242" t="s">
        <v>89</v>
      </c>
      <c r="M242">
        <v>0.60712589073634204</v>
      </c>
      <c r="N242" s="5">
        <v>44920</v>
      </c>
      <c r="O242" s="5">
        <v>44946</v>
      </c>
      <c r="P242">
        <v>0.42</v>
      </c>
      <c r="Q242" s="4">
        <v>155</v>
      </c>
      <c r="R242">
        <v>0.65</v>
      </c>
      <c r="S242" t="s">
        <v>70</v>
      </c>
      <c r="T242" s="6">
        <v>3</v>
      </c>
      <c r="U242" s="5">
        <v>45065</v>
      </c>
      <c r="V242" s="6">
        <v>1</v>
      </c>
      <c r="W242" t="s">
        <v>86</v>
      </c>
      <c r="X242" s="6">
        <v>119</v>
      </c>
      <c r="Y242">
        <v>9.2931699999999999</v>
      </c>
      <c r="Z242">
        <v>8.2240442477876119</v>
      </c>
      <c r="AA242" s="6">
        <v>33.121529036916357</v>
      </c>
      <c r="AB242" s="4">
        <v>73.286666666666662</v>
      </c>
      <c r="AC242" s="6">
        <v>30.191842861041444</v>
      </c>
      <c r="AD242">
        <v>0.33067226900000002</v>
      </c>
      <c r="AE242">
        <v>2.3336588999985586</v>
      </c>
      <c r="AF242">
        <v>21050</v>
      </c>
      <c r="AG242" s="4">
        <v>0</v>
      </c>
      <c r="AH242" s="4">
        <v>12780</v>
      </c>
      <c r="AL242">
        <v>25</v>
      </c>
      <c r="AM242">
        <v>6.6148100000000003</v>
      </c>
      <c r="AN242" t="s">
        <v>81</v>
      </c>
      <c r="AO242" t="s">
        <v>176</v>
      </c>
      <c r="AP242" s="5">
        <v>44949</v>
      </c>
      <c r="AQ242" t="s">
        <v>116</v>
      </c>
      <c r="AR242" s="5">
        <v>45058</v>
      </c>
      <c r="AS242">
        <v>230.64150015549052</v>
      </c>
      <c r="AT242" s="6"/>
      <c r="AU242">
        <v>22.597240769296157</v>
      </c>
      <c r="AV242">
        <v>69.790899122689041</v>
      </c>
      <c r="AW242">
        <v>24.545906294622828</v>
      </c>
      <c r="AX242">
        <v>116.93404618660803</v>
      </c>
      <c r="AY242">
        <v>21.829671683612805</v>
      </c>
      <c r="AZ242">
        <v>39.649390896755357</v>
      </c>
      <c r="BA242">
        <v>5.5874421752749592</v>
      </c>
      <c r="BB242">
        <v>7.1401168815377325</v>
      </c>
      <c r="BC242">
        <v>10.921185128433031</v>
      </c>
      <c r="BD242">
        <v>85.127806765613883</v>
      </c>
      <c r="BE242">
        <v>28.579647203268607</v>
      </c>
      <c r="BF242">
        <v>33.629785100240284</v>
      </c>
      <c r="BG242">
        <v>8.4864475738633871E-2</v>
      </c>
      <c r="BH242">
        <v>33.714649575978918</v>
      </c>
      <c r="BI242">
        <v>235.77650252820084</v>
      </c>
      <c r="BJ242" s="6">
        <v>191</v>
      </c>
      <c r="BK242">
        <v>-5.1350023727103009</v>
      </c>
      <c r="BL242" s="4">
        <v>-47.720450000000184</v>
      </c>
      <c r="BM242" t="s">
        <v>1255</v>
      </c>
      <c r="BN242" t="s">
        <v>65</v>
      </c>
      <c r="BO242">
        <v>5</v>
      </c>
      <c r="BP242">
        <v>2023</v>
      </c>
      <c r="BQ242" t="str">
        <f t="shared" si="16"/>
        <v>Roiphet15</v>
      </c>
      <c r="BR242">
        <f t="shared" si="17"/>
        <v>-416.11565000000019</v>
      </c>
      <c r="BS242">
        <f t="shared" si="18"/>
        <v>2143.3906699999998</v>
      </c>
      <c r="BT242" s="6">
        <f t="shared" si="19"/>
        <v>-44.776502528200837</v>
      </c>
    </row>
    <row r="243" spans="1:72">
      <c r="A243" s="3" t="s">
        <v>967</v>
      </c>
      <c r="B243" s="3" t="s">
        <v>1174</v>
      </c>
      <c r="C243" s="3" t="s">
        <v>1176</v>
      </c>
      <c r="D243" s="2" t="s">
        <v>1248</v>
      </c>
      <c r="E243" s="4" t="str">
        <f t="shared" si="15"/>
        <v>Roiphet1C5-I09-0064</v>
      </c>
      <c r="F243">
        <v>0.72</v>
      </c>
      <c r="G243">
        <v>1.3</v>
      </c>
      <c r="H243" t="s">
        <v>84</v>
      </c>
      <c r="I243" t="s">
        <v>67</v>
      </c>
      <c r="J243" t="s">
        <v>357</v>
      </c>
      <c r="K243" t="s">
        <v>89</v>
      </c>
      <c r="L243" t="s">
        <v>89</v>
      </c>
      <c r="M243">
        <v>0.79234449760765546</v>
      </c>
      <c r="N243" s="5">
        <v>44920</v>
      </c>
      <c r="O243" s="5">
        <v>44946</v>
      </c>
      <c r="P243">
        <v>0.22500000000000001</v>
      </c>
      <c r="Q243" s="4">
        <v>150</v>
      </c>
      <c r="R243">
        <v>0.65</v>
      </c>
      <c r="S243" t="s">
        <v>70</v>
      </c>
      <c r="T243" s="6">
        <v>3</v>
      </c>
      <c r="U243" s="5">
        <v>45065</v>
      </c>
      <c r="V243" s="6">
        <v>2</v>
      </c>
      <c r="W243" t="s">
        <v>71</v>
      </c>
      <c r="X243" s="6">
        <v>119.00000000000001</v>
      </c>
      <c r="Y243">
        <v>4.8661599999999998</v>
      </c>
      <c r="Z243">
        <v>6.7585555555555556</v>
      </c>
      <c r="AA243" s="6">
        <v>33.765844115277758</v>
      </c>
      <c r="AB243" s="4">
        <v>73.026666666666657</v>
      </c>
      <c r="AC243" s="6">
        <v>29.6157263708843</v>
      </c>
      <c r="AD243">
        <v>0.33067226900000002</v>
      </c>
      <c r="AE243">
        <v>2.2140252674309466</v>
      </c>
      <c r="AF243">
        <v>10450</v>
      </c>
      <c r="AG243" s="4">
        <v>0</v>
      </c>
      <c r="AH243" s="4">
        <v>8280</v>
      </c>
      <c r="AL243">
        <v>25</v>
      </c>
      <c r="AM243">
        <v>3.5545100000000001</v>
      </c>
      <c r="AN243" t="s">
        <v>81</v>
      </c>
      <c r="AO243" t="s">
        <v>176</v>
      </c>
      <c r="AP243" s="5">
        <v>44949</v>
      </c>
      <c r="AQ243" t="s">
        <v>116</v>
      </c>
      <c r="AR243" s="5">
        <v>45058</v>
      </c>
      <c r="AS243">
        <v>230.25753777105564</v>
      </c>
      <c r="AT243" s="6"/>
      <c r="AU243">
        <v>23.11884524964243</v>
      </c>
      <c r="AV243">
        <v>66.112162362108919</v>
      </c>
      <c r="AW243">
        <v>27.334483453071822</v>
      </c>
      <c r="AX243">
        <v>116.56549106482316</v>
      </c>
      <c r="AY243">
        <v>26.563099034968022</v>
      </c>
      <c r="AZ243">
        <v>48.246748976605787</v>
      </c>
      <c r="BA243">
        <v>6.7989914018445763</v>
      </c>
      <c r="BB243">
        <v>8.6883394709586206</v>
      </c>
      <c r="BC243">
        <v>13.289275321814328</v>
      </c>
      <c r="BD243">
        <v>103.58645420619132</v>
      </c>
      <c r="BE243">
        <v>10.105592500041155</v>
      </c>
      <c r="BF243">
        <v>40.921889128183217</v>
      </c>
      <c r="BG243">
        <v>0.10326828546533613</v>
      </c>
      <c r="BH243">
        <v>41.02515741364855</v>
      </c>
      <c r="BI243">
        <v>261.17710268466305</v>
      </c>
      <c r="BJ243" s="6">
        <v>191</v>
      </c>
      <c r="BK243">
        <v>-30.919564913607406</v>
      </c>
      <c r="BL243" s="4">
        <v>-150.45954999999981</v>
      </c>
      <c r="BM243" t="s">
        <v>1249</v>
      </c>
      <c r="BN243" t="s">
        <v>65</v>
      </c>
      <c r="BO243">
        <v>5</v>
      </c>
      <c r="BP243">
        <v>2023</v>
      </c>
      <c r="BQ243" t="str">
        <f t="shared" si="16"/>
        <v>Roiphet15</v>
      </c>
      <c r="BR243">
        <f t="shared" si="17"/>
        <v>-341.49300999999997</v>
      </c>
      <c r="BS243">
        <f t="shared" si="18"/>
        <v>1120.47002</v>
      </c>
      <c r="BT243" s="6">
        <f t="shared" si="19"/>
        <v>-70.177102684663055</v>
      </c>
    </row>
    <row r="244" spans="1:72">
      <c r="A244" s="3" t="s">
        <v>967</v>
      </c>
      <c r="B244" s="3" t="s">
        <v>1174</v>
      </c>
      <c r="C244" s="3" t="s">
        <v>1176</v>
      </c>
      <c r="D244" s="2" t="s">
        <v>1228</v>
      </c>
      <c r="E244" s="4" t="str">
        <f t="shared" si="15"/>
        <v>Roiphet1C1-I02-0072</v>
      </c>
      <c r="F244">
        <v>0.72</v>
      </c>
      <c r="G244">
        <v>1.3</v>
      </c>
      <c r="H244" t="s">
        <v>84</v>
      </c>
      <c r="I244" t="s">
        <v>67</v>
      </c>
      <c r="J244" t="s">
        <v>357</v>
      </c>
      <c r="K244" t="s">
        <v>89</v>
      </c>
      <c r="L244" t="s">
        <v>89</v>
      </c>
      <c r="M244">
        <v>0.53430656934306564</v>
      </c>
      <c r="N244" s="5">
        <v>45061</v>
      </c>
      <c r="O244" s="5">
        <v>45104</v>
      </c>
      <c r="P244">
        <v>0.20874999999999999</v>
      </c>
      <c r="Q244" s="4">
        <v>139</v>
      </c>
      <c r="R244">
        <v>0.55000000000000004</v>
      </c>
      <c r="S244" t="s">
        <v>70</v>
      </c>
      <c r="T244" s="6">
        <v>3</v>
      </c>
      <c r="U244" s="5">
        <v>45197</v>
      </c>
      <c r="V244" s="6">
        <v>2</v>
      </c>
      <c r="W244" t="s">
        <v>71</v>
      </c>
      <c r="X244" s="6">
        <v>93</v>
      </c>
      <c r="Y244">
        <v>3.5259399999999999</v>
      </c>
      <c r="Z244">
        <v>4.8971388888888887</v>
      </c>
      <c r="AA244" s="6">
        <v>35.772304690380437</v>
      </c>
      <c r="AB244" s="4">
        <v>60.422035928143714</v>
      </c>
      <c r="AC244" s="6">
        <v>27.954586897749166</v>
      </c>
      <c r="AD244">
        <v>0.33010752700000001</v>
      </c>
      <c r="AE244">
        <v>2.0081498636803379</v>
      </c>
      <c r="AF244">
        <v>6850</v>
      </c>
      <c r="AG244" s="4">
        <v>0</v>
      </c>
      <c r="AH244" s="4">
        <v>3660</v>
      </c>
      <c r="AL244">
        <v>32</v>
      </c>
      <c r="AM244">
        <v>2.5331399999999999</v>
      </c>
      <c r="AN244" t="s">
        <v>85</v>
      </c>
      <c r="AO244" t="s">
        <v>93</v>
      </c>
      <c r="AP244" s="5">
        <v>45110</v>
      </c>
      <c r="AQ244" t="s">
        <v>92</v>
      </c>
      <c r="AR244" s="5">
        <v>45195</v>
      </c>
      <c r="AS244">
        <v>179.95988587440513</v>
      </c>
      <c r="AT244" s="6"/>
      <c r="AU244">
        <v>26.641831681764295</v>
      </c>
      <c r="AV244">
        <v>63.438827660141691</v>
      </c>
      <c r="AW244">
        <v>29.31903832736802</v>
      </c>
      <c r="AX244">
        <v>119.399697669274</v>
      </c>
      <c r="AY244">
        <v>32.826193866032895</v>
      </c>
      <c r="AZ244">
        <v>42.932281887950452</v>
      </c>
      <c r="BA244">
        <v>12.221728106547472</v>
      </c>
      <c r="BB244">
        <v>10.265183185193168</v>
      </c>
      <c r="BC244">
        <v>20.001664804279141</v>
      </c>
      <c r="BD244">
        <v>118.24705185000312</v>
      </c>
      <c r="BE244">
        <v>-57.686863644871991</v>
      </c>
      <c r="BF244">
        <v>48.505320566997732</v>
      </c>
      <c r="BG244">
        <v>0.13863537099326703</v>
      </c>
      <c r="BH244">
        <v>48.643955937990995</v>
      </c>
      <c r="BI244">
        <v>286.29070545726807</v>
      </c>
      <c r="BJ244" s="6">
        <v>187</v>
      </c>
      <c r="BK244">
        <v>-106.33081958286297</v>
      </c>
      <c r="BL244" s="4">
        <v>-374.91608999999983</v>
      </c>
      <c r="BM244" t="s">
        <v>1229</v>
      </c>
      <c r="BN244" t="s">
        <v>65</v>
      </c>
      <c r="BO244">
        <v>9</v>
      </c>
      <c r="BP244">
        <v>2023</v>
      </c>
      <c r="BQ244" t="str">
        <f t="shared" si="16"/>
        <v>Roiphet19</v>
      </c>
      <c r="BR244">
        <f t="shared" si="17"/>
        <v>-350.09306999999978</v>
      </c>
      <c r="BS244">
        <f t="shared" si="18"/>
        <v>634.52776000000006</v>
      </c>
      <c r="BT244" s="6">
        <f t="shared" si="19"/>
        <v>-99.290705457268075</v>
      </c>
    </row>
    <row r="245" spans="1:72">
      <c r="A245" s="3" t="s">
        <v>967</v>
      </c>
      <c r="B245" s="3" t="s">
        <v>1174</v>
      </c>
      <c r="C245" s="3" t="s">
        <v>1176</v>
      </c>
      <c r="D245" s="2" t="s">
        <v>1250</v>
      </c>
      <c r="E245" s="4" t="str">
        <f t="shared" si="15"/>
        <v>Roiphet1C5-G10-0064</v>
      </c>
      <c r="F245">
        <v>1.1299999999999999</v>
      </c>
      <c r="G245">
        <v>1.5</v>
      </c>
      <c r="H245" t="s">
        <v>84</v>
      </c>
      <c r="I245" t="s">
        <v>67</v>
      </c>
      <c r="J245" t="s">
        <v>357</v>
      </c>
      <c r="K245" t="s">
        <v>89</v>
      </c>
      <c r="L245" t="s">
        <v>89</v>
      </c>
      <c r="M245">
        <v>0.63111111111111107</v>
      </c>
      <c r="N245" s="5">
        <v>44920</v>
      </c>
      <c r="O245" s="5">
        <v>44947</v>
      </c>
      <c r="P245">
        <v>0.42</v>
      </c>
      <c r="Q245" s="4">
        <v>155</v>
      </c>
      <c r="R245">
        <v>0.5</v>
      </c>
      <c r="S245" t="s">
        <v>70</v>
      </c>
      <c r="T245" s="6">
        <v>3</v>
      </c>
      <c r="U245" s="5">
        <v>45062</v>
      </c>
      <c r="V245" s="6">
        <v>2</v>
      </c>
      <c r="W245" t="s">
        <v>71</v>
      </c>
      <c r="X245" s="6">
        <v>115</v>
      </c>
      <c r="Y245">
        <v>8.2597699999999996</v>
      </c>
      <c r="Z245">
        <v>7.3095309734513281</v>
      </c>
      <c r="AA245" s="6">
        <v>33.351776139045029</v>
      </c>
      <c r="AB245" s="4">
        <v>65.59</v>
      </c>
      <c r="AC245" s="6">
        <v>29.983410653482316</v>
      </c>
      <c r="AD245">
        <v>0.330100334</v>
      </c>
      <c r="AE245">
        <v>2.5155998245912614</v>
      </c>
      <c r="AF245">
        <v>20250</v>
      </c>
      <c r="AG245" s="4">
        <v>0</v>
      </c>
      <c r="AH245" s="4">
        <v>12780</v>
      </c>
      <c r="AL245">
        <v>26</v>
      </c>
      <c r="AM245">
        <v>5.8471500000000001</v>
      </c>
      <c r="AN245" t="s">
        <v>81</v>
      </c>
      <c r="AO245" t="s">
        <v>176</v>
      </c>
      <c r="AP245" s="5">
        <v>44949</v>
      </c>
      <c r="AQ245" t="s">
        <v>116</v>
      </c>
      <c r="AR245" s="5">
        <v>45058</v>
      </c>
      <c r="AS245">
        <v>224.1375861555467</v>
      </c>
      <c r="AT245" s="6"/>
      <c r="AU245">
        <v>22.881993082131824</v>
      </c>
      <c r="AV245">
        <v>75.660404587536945</v>
      </c>
      <c r="AW245">
        <v>27.633860264874198</v>
      </c>
      <c r="AX245">
        <v>126.17625793454296</v>
      </c>
      <c r="AY245">
        <v>24.132698610251854</v>
      </c>
      <c r="AZ245">
        <v>43.907356984516511</v>
      </c>
      <c r="BA245">
        <v>6.1344347360761864</v>
      </c>
      <c r="BB245">
        <v>7.818750401040222</v>
      </c>
      <c r="BC245">
        <v>11.952065251211595</v>
      </c>
      <c r="BD245">
        <v>93.945305983096361</v>
      </c>
      <c r="BE245">
        <v>4.0160222379073787</v>
      </c>
      <c r="BF245">
        <v>37.0888426675319</v>
      </c>
      <c r="BG245">
        <v>9.356798070648456E-2</v>
      </c>
      <c r="BH245">
        <v>37.182410648238381</v>
      </c>
      <c r="BI245">
        <v>257.30397456587775</v>
      </c>
      <c r="BJ245" s="6">
        <v>191</v>
      </c>
      <c r="BK245">
        <v>-33.166388410331066</v>
      </c>
      <c r="BL245" s="4">
        <v>-273.9467400000002</v>
      </c>
      <c r="BM245" t="s">
        <v>1251</v>
      </c>
      <c r="BN245" t="s">
        <v>65</v>
      </c>
      <c r="BO245">
        <v>5</v>
      </c>
      <c r="BP245">
        <v>2023</v>
      </c>
      <c r="BQ245" t="str">
        <f t="shared" si="16"/>
        <v>Roiphet15</v>
      </c>
      <c r="BR245">
        <f t="shared" si="17"/>
        <v>-547.6555800000001</v>
      </c>
      <c r="BS245">
        <f t="shared" si="18"/>
        <v>1851.3249099999998</v>
      </c>
      <c r="BT245" s="6">
        <f t="shared" si="19"/>
        <v>-66.303974565877752</v>
      </c>
    </row>
    <row r="246" spans="1:72">
      <c r="A246" s="3" t="s">
        <v>967</v>
      </c>
      <c r="B246" s="3" t="s">
        <v>1174</v>
      </c>
      <c r="C246" s="3" t="s">
        <v>1176</v>
      </c>
      <c r="D246" s="2" t="s">
        <v>1196</v>
      </c>
      <c r="E246" s="4" t="str">
        <f t="shared" si="15"/>
        <v>Roiphet1C3-G05-0075</v>
      </c>
      <c r="F246">
        <v>1.1299999999999999</v>
      </c>
      <c r="G246">
        <v>1.5</v>
      </c>
      <c r="H246" t="s">
        <v>84</v>
      </c>
      <c r="I246" t="s">
        <v>67</v>
      </c>
      <c r="J246" t="s">
        <v>357</v>
      </c>
      <c r="K246" t="s">
        <v>89</v>
      </c>
      <c r="L246" t="s">
        <v>89</v>
      </c>
      <c r="M246">
        <v>0.45473684210526316</v>
      </c>
      <c r="N246" s="5">
        <v>45077</v>
      </c>
      <c r="O246" s="5">
        <v>45134</v>
      </c>
      <c r="P246">
        <v>0.55000000000000004</v>
      </c>
      <c r="Q246" s="4">
        <v>203</v>
      </c>
      <c r="R246">
        <v>1.1000000000000001</v>
      </c>
      <c r="S246" t="s">
        <v>70</v>
      </c>
      <c r="T246" s="6">
        <v>2</v>
      </c>
      <c r="U246" s="5">
        <v>45175</v>
      </c>
      <c r="V246" s="6">
        <v>2</v>
      </c>
      <c r="W246" t="s">
        <v>71</v>
      </c>
      <c r="X246" s="6">
        <v>41</v>
      </c>
      <c r="Y246">
        <v>4.5063300000000002</v>
      </c>
      <c r="Z246">
        <v>3.9879026548672574</v>
      </c>
      <c r="AA246" s="6">
        <v>74.789462822296642</v>
      </c>
      <c r="AB246" s="4">
        <v>61.277454545454546</v>
      </c>
      <c r="AC246" s="6">
        <v>13.370867529508109</v>
      </c>
      <c r="AD246">
        <v>0.32665252700000003</v>
      </c>
      <c r="AE246">
        <v>1.8263002617056234</v>
      </c>
      <c r="AF246">
        <v>7125</v>
      </c>
      <c r="AG246" s="4">
        <v>0</v>
      </c>
      <c r="AH246" s="4">
        <v>3240</v>
      </c>
      <c r="AI246" t="s">
        <v>73</v>
      </c>
      <c r="AJ246" t="s">
        <v>73</v>
      </c>
      <c r="AK246" t="s">
        <v>123</v>
      </c>
      <c r="AL246">
        <v>69</v>
      </c>
      <c r="AM246">
        <v>2.6428099999999999</v>
      </c>
      <c r="AN246" t="s">
        <v>73</v>
      </c>
      <c r="AO246" t="s">
        <v>93</v>
      </c>
      <c r="AP246" s="5">
        <v>45135</v>
      </c>
      <c r="AQ246" t="s">
        <v>215</v>
      </c>
      <c r="AR246" s="5">
        <v>45163</v>
      </c>
      <c r="AS246">
        <v>126.17063109004445</v>
      </c>
      <c r="AT246" s="6"/>
      <c r="AU246">
        <v>67.127795789478355</v>
      </c>
      <c r="AV246">
        <v>52.282819944389338</v>
      </c>
      <c r="AW246">
        <v>46.395359416642812</v>
      </c>
      <c r="AX246">
        <v>165.80597515051051</v>
      </c>
      <c r="AY246">
        <v>31.320129684244161</v>
      </c>
      <c r="AZ246">
        <v>36.016485699005621</v>
      </c>
      <c r="BA246">
        <v>12.418127389694051</v>
      </c>
      <c r="BB246">
        <v>9.0626429933005355</v>
      </c>
      <c r="BC246">
        <v>19.420910141955872</v>
      </c>
      <c r="BD246">
        <v>108.23829590820024</v>
      </c>
      <c r="BE246">
        <v>-147.87363996866628</v>
      </c>
      <c r="BF246">
        <v>46.049315074572874</v>
      </c>
      <c r="BG246">
        <v>0.1334145524184869</v>
      </c>
      <c r="BH246">
        <v>46.18272962699136</v>
      </c>
      <c r="BI246">
        <v>320.22700068570214</v>
      </c>
      <c r="BJ246" s="6">
        <v>150</v>
      </c>
      <c r="BK246">
        <v>-194.05636959565769</v>
      </c>
      <c r="BL246" s="4">
        <v>-874.48203999999998</v>
      </c>
      <c r="BM246" t="s">
        <v>1197</v>
      </c>
      <c r="BN246" t="s">
        <v>65</v>
      </c>
      <c r="BO246">
        <v>9</v>
      </c>
      <c r="BP246">
        <v>2023</v>
      </c>
      <c r="BQ246" t="str">
        <f t="shared" si="16"/>
        <v>Roiphet19</v>
      </c>
      <c r="BR246">
        <f t="shared" si="17"/>
        <v>-767.09904000000017</v>
      </c>
      <c r="BS246">
        <f t="shared" si="18"/>
        <v>568.56650000000002</v>
      </c>
      <c r="BT246" s="6">
        <f t="shared" si="19"/>
        <v>-170.22700068570214</v>
      </c>
    </row>
    <row r="247" spans="1:72">
      <c r="A247" s="3" t="s">
        <v>967</v>
      </c>
      <c r="B247" s="3" t="s">
        <v>1174</v>
      </c>
      <c r="C247" s="3" t="s">
        <v>1176</v>
      </c>
      <c r="D247" s="2" t="s">
        <v>1234</v>
      </c>
      <c r="E247" s="4" t="str">
        <f t="shared" si="15"/>
        <v>Roiphet1C6-I11-0064</v>
      </c>
      <c r="F247">
        <v>0.72</v>
      </c>
      <c r="G247">
        <v>1.3</v>
      </c>
      <c r="H247" t="s">
        <v>84</v>
      </c>
      <c r="I247" t="s">
        <v>67</v>
      </c>
      <c r="J247" t="s">
        <v>357</v>
      </c>
      <c r="K247" t="s">
        <v>89</v>
      </c>
      <c r="L247" t="s">
        <v>89</v>
      </c>
      <c r="M247">
        <v>1.0594005449591282</v>
      </c>
      <c r="N247" s="5">
        <v>44788</v>
      </c>
      <c r="O247" s="5">
        <v>44862</v>
      </c>
      <c r="P247">
        <v>0.25</v>
      </c>
      <c r="Q247" s="4">
        <v>167</v>
      </c>
      <c r="R247">
        <v>0.25</v>
      </c>
      <c r="S247" t="s">
        <v>70</v>
      </c>
      <c r="T247" s="6">
        <v>4</v>
      </c>
      <c r="U247" s="5">
        <v>44984</v>
      </c>
      <c r="V247" s="6">
        <v>2</v>
      </c>
      <c r="W247" t="s">
        <v>71</v>
      </c>
      <c r="X247" s="6">
        <v>121.99999999999999</v>
      </c>
      <c r="Y247">
        <v>4.5570900000000005</v>
      </c>
      <c r="Z247">
        <v>6.3292916666666672</v>
      </c>
      <c r="AA247" s="6">
        <v>35.511477719334046</v>
      </c>
      <c r="AB247" s="4">
        <v>64.7316</v>
      </c>
      <c r="AC247" s="6">
        <v>28.159909534137888</v>
      </c>
      <c r="AD247">
        <v>0.325819672</v>
      </c>
      <c r="AE247">
        <v>2.0413430368509697</v>
      </c>
      <c r="AF247">
        <v>9175</v>
      </c>
      <c r="AG247" s="4">
        <v>0</v>
      </c>
      <c r="AH247" s="4">
        <v>9720</v>
      </c>
      <c r="AL247">
        <v>25</v>
      </c>
      <c r="AM247">
        <v>2.8271199999999999</v>
      </c>
      <c r="AN247" t="s">
        <v>81</v>
      </c>
      <c r="AO247" t="s">
        <v>99</v>
      </c>
      <c r="AP247" s="5">
        <v>44865</v>
      </c>
      <c r="AQ247" t="s">
        <v>123</v>
      </c>
      <c r="AR247" s="5">
        <v>44984</v>
      </c>
      <c r="AS247">
        <v>251.03142575634891</v>
      </c>
      <c r="AT247" s="6"/>
      <c r="AU247">
        <v>21.943828188602815</v>
      </c>
      <c r="AV247">
        <v>66.598811961141877</v>
      </c>
      <c r="AW247">
        <v>42.867242033841762</v>
      </c>
      <c r="AX247">
        <v>131.40988218358646</v>
      </c>
      <c r="AY247">
        <v>59.313722134081182</v>
      </c>
      <c r="AZ247">
        <v>57.085170580348411</v>
      </c>
      <c r="BA247">
        <v>28.655859331283779</v>
      </c>
      <c r="BB247">
        <v>19.392210818746175</v>
      </c>
      <c r="BC247">
        <v>24.720839395315874</v>
      </c>
      <c r="BD247">
        <v>189.16780225977541</v>
      </c>
      <c r="BE247">
        <v>-69.546258687012966</v>
      </c>
      <c r="BF247">
        <v>78.822746533423754</v>
      </c>
      <c r="BG247">
        <v>0.19977880621185889</v>
      </c>
      <c r="BH247">
        <v>79.022525339635607</v>
      </c>
      <c r="BI247">
        <v>399.60020978299747</v>
      </c>
      <c r="BJ247" s="6">
        <v>187</v>
      </c>
      <c r="BK247">
        <v>-148.56878402664859</v>
      </c>
      <c r="BL247" s="4">
        <v>-677.04132000000004</v>
      </c>
      <c r="BM247" t="s">
        <v>1235</v>
      </c>
      <c r="BN247" t="s">
        <v>65</v>
      </c>
      <c r="BO247">
        <v>2</v>
      </c>
      <c r="BP247">
        <v>2023</v>
      </c>
      <c r="BQ247" t="str">
        <f t="shared" si="16"/>
        <v>Roiphet12</v>
      </c>
      <c r="BR247">
        <f t="shared" si="17"/>
        <v>-968.83829000000003</v>
      </c>
      <c r="BS247">
        <f t="shared" si="18"/>
        <v>1143.9728000000002</v>
      </c>
      <c r="BT247" s="6">
        <f t="shared" si="19"/>
        <v>-212.60020978299747</v>
      </c>
    </row>
    <row r="248" spans="1:72">
      <c r="A248" s="3" t="s">
        <v>967</v>
      </c>
      <c r="B248" s="3" t="s">
        <v>1174</v>
      </c>
      <c r="C248" s="3" t="s">
        <v>1176</v>
      </c>
      <c r="D248" s="2" t="s">
        <v>1208</v>
      </c>
      <c r="E248" s="4" t="str">
        <f t="shared" si="15"/>
        <v>Roiphet1C3-I05-0065</v>
      </c>
      <c r="F248">
        <v>0.72</v>
      </c>
      <c r="G248">
        <v>1.3</v>
      </c>
      <c r="H248" t="s">
        <v>84</v>
      </c>
      <c r="I248" t="s">
        <v>67</v>
      </c>
      <c r="J248" t="s">
        <v>357</v>
      </c>
      <c r="K248" t="s">
        <v>89</v>
      </c>
      <c r="L248" t="s">
        <v>89</v>
      </c>
      <c r="M248">
        <v>0.89832402234636877</v>
      </c>
      <c r="N248" s="5">
        <v>44910</v>
      </c>
      <c r="O248" s="5">
        <v>44936</v>
      </c>
      <c r="P248">
        <v>0.22500000000000001</v>
      </c>
      <c r="Q248" s="4">
        <v>150</v>
      </c>
      <c r="R248">
        <v>0.57999999999999996</v>
      </c>
      <c r="S248" t="s">
        <v>70</v>
      </c>
      <c r="T248" s="6">
        <v>3</v>
      </c>
      <c r="U248" s="5">
        <v>45019</v>
      </c>
      <c r="V248" s="6">
        <v>2</v>
      </c>
      <c r="W248" t="s">
        <v>71</v>
      </c>
      <c r="X248" s="6">
        <v>83</v>
      </c>
      <c r="Y248">
        <v>3.7279800000000001</v>
      </c>
      <c r="Z248">
        <v>5.1777500000000005</v>
      </c>
      <c r="AA248" s="6">
        <v>43.471531499632512</v>
      </c>
      <c r="AB248" s="4">
        <v>72.027111111111111</v>
      </c>
      <c r="AC248" s="6">
        <v>23.003560387755225</v>
      </c>
      <c r="AD248">
        <v>0.31863888000000001</v>
      </c>
      <c r="AE248">
        <v>2.487852607936667</v>
      </c>
      <c r="AF248">
        <v>8950</v>
      </c>
      <c r="AG248" s="4">
        <v>0</v>
      </c>
      <c r="AH248" s="4">
        <v>8040</v>
      </c>
      <c r="AL248">
        <v>37</v>
      </c>
      <c r="AM248">
        <v>1.61209</v>
      </c>
      <c r="AN248" t="s">
        <v>81</v>
      </c>
      <c r="AO248" t="s">
        <v>176</v>
      </c>
      <c r="AP248" s="5">
        <v>44942</v>
      </c>
      <c r="AQ248" t="s">
        <v>116</v>
      </c>
      <c r="AR248" s="5">
        <v>45005</v>
      </c>
      <c r="AS248">
        <v>211.77295479052995</v>
      </c>
      <c r="AT248" s="6"/>
      <c r="AU248">
        <v>27.159480469315817</v>
      </c>
      <c r="AV248">
        <v>76.003245725567197</v>
      </c>
      <c r="AW248">
        <v>25.052009399192052</v>
      </c>
      <c r="AX248">
        <v>128.21473559407508</v>
      </c>
      <c r="AY248">
        <v>28.975032054893003</v>
      </c>
      <c r="AZ248">
        <v>50.410710357888185</v>
      </c>
      <c r="BA248">
        <v>7.4284277276165644</v>
      </c>
      <c r="BB248">
        <v>10.871777745588764</v>
      </c>
      <c r="BC248">
        <v>13.10820068777193</v>
      </c>
      <c r="BD248">
        <v>110.79414857375843</v>
      </c>
      <c r="BE248">
        <v>-27.235929377303563</v>
      </c>
      <c r="BF248">
        <v>41.12151620985091</v>
      </c>
      <c r="BG248">
        <v>0.10309872907043491</v>
      </c>
      <c r="BH248">
        <v>41.224614938921349</v>
      </c>
      <c r="BI248">
        <v>280.23349910675483</v>
      </c>
      <c r="BJ248" s="6">
        <v>178</v>
      </c>
      <c r="BK248">
        <v>-68.460544316224883</v>
      </c>
      <c r="BL248" s="4">
        <v>-255.21954000000002</v>
      </c>
      <c r="BM248" t="s">
        <v>1209</v>
      </c>
      <c r="BN248" t="s">
        <v>65</v>
      </c>
      <c r="BO248">
        <v>4</v>
      </c>
      <c r="BP248">
        <v>2023</v>
      </c>
      <c r="BQ248" t="str">
        <f t="shared" si="16"/>
        <v>Roiphet14</v>
      </c>
      <c r="BR248">
        <f t="shared" si="17"/>
        <v>-381.12443999999988</v>
      </c>
      <c r="BS248">
        <f t="shared" si="18"/>
        <v>789.48533999999984</v>
      </c>
      <c r="BT248" s="6">
        <f t="shared" si="19"/>
        <v>-102.23349910675483</v>
      </c>
    </row>
    <row r="249" spans="1:72">
      <c r="A249" s="3" t="s">
        <v>967</v>
      </c>
      <c r="B249" s="3" t="s">
        <v>1174</v>
      </c>
      <c r="C249" s="3" t="s">
        <v>1176</v>
      </c>
      <c r="D249" s="2" t="s">
        <v>1194</v>
      </c>
      <c r="E249" s="4" t="str">
        <f t="shared" si="15"/>
        <v>Roiphet1C3-G06-0079</v>
      </c>
      <c r="F249">
        <v>1.1299999999999999</v>
      </c>
      <c r="G249">
        <v>1.5</v>
      </c>
      <c r="H249" t="s">
        <v>84</v>
      </c>
      <c r="I249" t="s">
        <v>67</v>
      </c>
      <c r="J249" t="s">
        <v>357</v>
      </c>
      <c r="K249" t="s">
        <v>89</v>
      </c>
      <c r="L249" t="s">
        <v>89</v>
      </c>
      <c r="M249">
        <v>0.41941747572815535</v>
      </c>
      <c r="N249" s="5">
        <v>45076</v>
      </c>
      <c r="O249" s="5">
        <v>45134</v>
      </c>
      <c r="P249">
        <v>0.55000000000000004</v>
      </c>
      <c r="Q249" s="4">
        <v>203</v>
      </c>
      <c r="R249">
        <v>1.1000000000000001</v>
      </c>
      <c r="S249" t="s">
        <v>70</v>
      </c>
      <c r="T249" s="6">
        <v>2</v>
      </c>
      <c r="U249" s="5">
        <v>45175</v>
      </c>
      <c r="V249" s="6">
        <v>2</v>
      </c>
      <c r="W249" t="s">
        <v>71</v>
      </c>
      <c r="X249" s="6">
        <v>41</v>
      </c>
      <c r="Y249">
        <v>4.1028199999999995</v>
      </c>
      <c r="Z249">
        <v>3.6308141592920351</v>
      </c>
      <c r="AA249" s="6">
        <v>76.988997811261527</v>
      </c>
      <c r="AB249" s="4">
        <v>57.431272727272727</v>
      </c>
      <c r="AC249" s="6">
        <v>12.988868908925134</v>
      </c>
      <c r="AD249">
        <v>0.31669529400000002</v>
      </c>
      <c r="AE249">
        <v>2.2085184486337206</v>
      </c>
      <c r="AF249">
        <v>7725</v>
      </c>
      <c r="AG249" s="4">
        <v>0</v>
      </c>
      <c r="AH249" s="4">
        <v>3240</v>
      </c>
      <c r="AL249">
        <v>71</v>
      </c>
      <c r="AM249">
        <v>1.8689</v>
      </c>
      <c r="AN249" t="s">
        <v>73</v>
      </c>
      <c r="AO249" t="s">
        <v>93</v>
      </c>
      <c r="AP249" s="5">
        <v>45135</v>
      </c>
      <c r="AQ249" t="s">
        <v>438</v>
      </c>
      <c r="AR249" s="5">
        <v>45166</v>
      </c>
      <c r="AS249">
        <v>118.3172135263063</v>
      </c>
      <c r="AT249" s="6"/>
      <c r="AU249">
        <v>73.729776105215436</v>
      </c>
      <c r="AV249">
        <v>62.277818671060395</v>
      </c>
      <c r="AW249">
        <v>58.580203372314656</v>
      </c>
      <c r="AX249">
        <v>194.58779814859048</v>
      </c>
      <c r="AY249">
        <v>34.356927674136323</v>
      </c>
      <c r="AZ249">
        <v>39.709165890777562</v>
      </c>
      <c r="BA249">
        <v>13.639062888452333</v>
      </c>
      <c r="BB249">
        <v>10.039519159992397</v>
      </c>
      <c r="BC249">
        <v>21.324130719846352</v>
      </c>
      <c r="BD249">
        <v>119.06880633320498</v>
      </c>
      <c r="BE249">
        <v>-195.33939095548914</v>
      </c>
      <c r="BF249">
        <v>50.606629099009957</v>
      </c>
      <c r="BG249">
        <v>0.14642855401894309</v>
      </c>
      <c r="BH249">
        <v>50.753057653028897</v>
      </c>
      <c r="BI249">
        <v>364.40966213482437</v>
      </c>
      <c r="BJ249" s="6">
        <v>150</v>
      </c>
      <c r="BK249">
        <v>-246.09244860851805</v>
      </c>
      <c r="BL249" s="4">
        <v>-1009.6730200000001</v>
      </c>
      <c r="BM249" t="s">
        <v>1195</v>
      </c>
      <c r="BN249" t="s">
        <v>65</v>
      </c>
      <c r="BO249">
        <v>9</v>
      </c>
      <c r="BP249">
        <v>2023</v>
      </c>
      <c r="BQ249" t="str">
        <f t="shared" si="16"/>
        <v>Roiphet19</v>
      </c>
      <c r="BR249">
        <f t="shared" si="17"/>
        <v>-879.68425000000002</v>
      </c>
      <c r="BS249">
        <f t="shared" si="18"/>
        <v>485.43422999999996</v>
      </c>
      <c r="BT249" s="6">
        <f t="shared" si="19"/>
        <v>-214.40966213482437</v>
      </c>
    </row>
    <row r="250" spans="1:72">
      <c r="A250" s="3" t="s">
        <v>967</v>
      </c>
      <c r="B250" s="3" t="s">
        <v>1174</v>
      </c>
      <c r="C250" s="3" t="s">
        <v>1176</v>
      </c>
      <c r="D250" s="2" t="s">
        <v>2788</v>
      </c>
      <c r="E250" s="4" t="str">
        <f t="shared" si="15"/>
        <v>Roiphet1C4-G08-0062</v>
      </c>
      <c r="F250">
        <v>1.1299999999999999</v>
      </c>
      <c r="G250">
        <v>1.5</v>
      </c>
      <c r="H250" t="s">
        <v>84</v>
      </c>
      <c r="I250" t="s">
        <v>67</v>
      </c>
      <c r="J250" t="s">
        <v>357</v>
      </c>
      <c r="K250" t="s">
        <v>89</v>
      </c>
      <c r="L250" t="s">
        <v>89</v>
      </c>
      <c r="M250">
        <v>0.42957198443579764</v>
      </c>
      <c r="N250" s="5">
        <v>45099</v>
      </c>
      <c r="O250" s="5">
        <v>45157</v>
      </c>
      <c r="P250">
        <v>0.55000000000000004</v>
      </c>
      <c r="Q250" s="4">
        <v>203</v>
      </c>
      <c r="R250">
        <v>0.53</v>
      </c>
      <c r="S250" t="s">
        <v>70</v>
      </c>
      <c r="T250" s="6">
        <v>5</v>
      </c>
      <c r="U250" s="5">
        <v>45261</v>
      </c>
      <c r="V250" s="6">
        <v>2</v>
      </c>
      <c r="W250" t="s">
        <v>71</v>
      </c>
      <c r="X250" s="6">
        <v>104</v>
      </c>
      <c r="Y250">
        <v>8.2813700000000008</v>
      </c>
      <c r="Z250">
        <v>7.3286460176991168</v>
      </c>
      <c r="AA250" s="6">
        <v>48.646057355244359</v>
      </c>
      <c r="AB250" s="4">
        <v>73.246545454545455</v>
      </c>
      <c r="AC250" s="6">
        <v>20.556650515320612</v>
      </c>
      <c r="AD250">
        <v>0.31541666699999998</v>
      </c>
      <c r="AE250">
        <v>2.4124357778932017</v>
      </c>
      <c r="AF250">
        <v>19275</v>
      </c>
      <c r="AG250" s="4">
        <v>0</v>
      </c>
      <c r="AH250" s="4">
        <v>8280</v>
      </c>
      <c r="AL250">
        <v>30.000000000000004</v>
      </c>
      <c r="AM250">
        <v>4.8956499999999998</v>
      </c>
      <c r="AN250" t="s">
        <v>81</v>
      </c>
      <c r="AO250" t="s">
        <v>92</v>
      </c>
      <c r="AP250" s="5">
        <v>45159</v>
      </c>
      <c r="AQ250" t="s">
        <v>215</v>
      </c>
      <c r="AR250" s="5">
        <v>45257</v>
      </c>
      <c r="AS250">
        <v>192.53583283925241</v>
      </c>
      <c r="AT250" s="6"/>
      <c r="AU250">
        <v>29.886359382565928</v>
      </c>
      <c r="AV250">
        <v>71.433802619614838</v>
      </c>
      <c r="AW250">
        <v>49.57115187462945</v>
      </c>
      <c r="AX250">
        <v>150.89131387681019</v>
      </c>
      <c r="AY250">
        <v>30.006618470132352</v>
      </c>
      <c r="AZ250">
        <v>36.648689769929369</v>
      </c>
      <c r="BA250">
        <v>10.965621630237509</v>
      </c>
      <c r="BB250">
        <v>9.8329841560031728</v>
      </c>
      <c r="BC250">
        <v>17.669706823870929</v>
      </c>
      <c r="BD250">
        <v>105.12362085017332</v>
      </c>
      <c r="BE250">
        <v>-63.479101887731105</v>
      </c>
      <c r="BF250">
        <v>39.801971171436605</v>
      </c>
      <c r="BG250">
        <v>0.12775060165165905</v>
      </c>
      <c r="BH250">
        <v>39.929721773088261</v>
      </c>
      <c r="BI250">
        <v>295.94465650007191</v>
      </c>
      <c r="BJ250" s="6">
        <v>170</v>
      </c>
      <c r="BK250">
        <v>-103.40882366081948</v>
      </c>
      <c r="BL250" s="4">
        <v>-856.36673000000064</v>
      </c>
      <c r="BM250" t="s">
        <v>2789</v>
      </c>
      <c r="BN250" t="s">
        <v>65</v>
      </c>
      <c r="BO250">
        <v>12</v>
      </c>
      <c r="BP250">
        <v>2023</v>
      </c>
      <c r="BQ250" t="str">
        <f t="shared" si="16"/>
        <v>Roiphet112</v>
      </c>
      <c r="BR250">
        <f t="shared" si="17"/>
        <v>-1042.9943000000007</v>
      </c>
      <c r="BS250">
        <f t="shared" si="18"/>
        <v>1594.4604699999998</v>
      </c>
      <c r="BT250" s="6">
        <f t="shared" si="19"/>
        <v>-125.94465650007191</v>
      </c>
    </row>
    <row r="251" spans="1:72">
      <c r="A251" s="3" t="s">
        <v>967</v>
      </c>
      <c r="B251" s="3" t="s">
        <v>1174</v>
      </c>
      <c r="C251" s="3" t="s">
        <v>1176</v>
      </c>
      <c r="D251" s="2" t="s">
        <v>2790</v>
      </c>
      <c r="E251" s="4" t="str">
        <f t="shared" si="15"/>
        <v>Roiphet1C4-I07-0061</v>
      </c>
      <c r="F251">
        <v>0.72</v>
      </c>
      <c r="G251">
        <v>1.3</v>
      </c>
      <c r="H251" t="s">
        <v>84</v>
      </c>
      <c r="I251" t="s">
        <v>67</v>
      </c>
      <c r="J251" t="s">
        <v>357</v>
      </c>
      <c r="K251" t="s">
        <v>89</v>
      </c>
      <c r="L251" t="s">
        <v>89</v>
      </c>
      <c r="M251">
        <v>0.70512129380053912</v>
      </c>
      <c r="N251" s="5">
        <v>45140</v>
      </c>
      <c r="O251" s="5">
        <v>45157</v>
      </c>
      <c r="P251">
        <v>0.25</v>
      </c>
      <c r="Q251" s="4">
        <v>167</v>
      </c>
      <c r="R251">
        <v>0.53</v>
      </c>
      <c r="S251" t="s">
        <v>70</v>
      </c>
      <c r="T251" s="6">
        <v>4</v>
      </c>
      <c r="U251" s="5">
        <v>45262</v>
      </c>
      <c r="V251" s="6">
        <v>2</v>
      </c>
      <c r="W251" t="s">
        <v>71</v>
      </c>
      <c r="X251" s="6">
        <v>105</v>
      </c>
      <c r="Y251">
        <v>4.5364599999999999</v>
      </c>
      <c r="Z251">
        <v>6.3006388888888889</v>
      </c>
      <c r="AA251" s="6">
        <v>46.481176952954506</v>
      </c>
      <c r="AB251" s="4">
        <v>84.343999999999994</v>
      </c>
      <c r="AC251" s="6">
        <v>21.514085174997629</v>
      </c>
      <c r="AD251">
        <v>0.31241269799999999</v>
      </c>
      <c r="AE251">
        <v>2.1060638744763223</v>
      </c>
      <c r="AF251">
        <v>9275</v>
      </c>
      <c r="AG251" s="4">
        <v>0</v>
      </c>
      <c r="AH251" s="4">
        <v>6540</v>
      </c>
      <c r="AL251">
        <v>30</v>
      </c>
      <c r="AM251">
        <v>2.87242</v>
      </c>
      <c r="AN251" t="s">
        <v>81</v>
      </c>
      <c r="AO251" t="s">
        <v>92</v>
      </c>
      <c r="AP251" s="5">
        <v>45159</v>
      </c>
      <c r="AQ251" t="s">
        <v>92</v>
      </c>
      <c r="AR251" s="5">
        <v>45257</v>
      </c>
      <c r="AS251">
        <v>197.16862928362644</v>
      </c>
      <c r="AT251" s="6"/>
      <c r="AU251">
        <v>24.799072404473971</v>
      </c>
      <c r="AV251">
        <v>62.725259343188299</v>
      </c>
      <c r="AW251">
        <v>39.130213867200418</v>
      </c>
      <c r="AX251">
        <v>126.6545456148627</v>
      </c>
      <c r="AY251">
        <v>27.167908457255219</v>
      </c>
      <c r="AZ251">
        <v>42.352446621374376</v>
      </c>
      <c r="BA251">
        <v>13.621427280302264</v>
      </c>
      <c r="BB251">
        <v>8.7719477301684563</v>
      </c>
      <c r="BC251">
        <v>15.828141326056002</v>
      </c>
      <c r="BD251">
        <v>107.7418714151563</v>
      </c>
      <c r="BE251">
        <v>-37.227787746392551</v>
      </c>
      <c r="BF251">
        <v>33.070823946425193</v>
      </c>
      <c r="BG251">
        <v>0.11520436640023278</v>
      </c>
      <c r="BH251">
        <v>33.186028312825421</v>
      </c>
      <c r="BI251">
        <v>267.58244534284444</v>
      </c>
      <c r="BJ251" s="6">
        <v>174</v>
      </c>
      <c r="BK251">
        <v>-70.413816059217993</v>
      </c>
      <c r="BL251" s="4">
        <v>-319.42946000000006</v>
      </c>
      <c r="BM251" t="s">
        <v>2791</v>
      </c>
      <c r="BN251" t="s">
        <v>65</v>
      </c>
      <c r="BO251">
        <v>12</v>
      </c>
      <c r="BP251">
        <v>2023</v>
      </c>
      <c r="BQ251" t="str">
        <f t="shared" si="16"/>
        <v>Roiphet112</v>
      </c>
      <c r="BR251">
        <f t="shared" si="17"/>
        <v>-424.53302000000008</v>
      </c>
      <c r="BS251">
        <f t="shared" si="18"/>
        <v>894.44759999999997</v>
      </c>
      <c r="BT251" s="6">
        <f t="shared" si="19"/>
        <v>-93.582445342844437</v>
      </c>
    </row>
    <row r="252" spans="1:72">
      <c r="A252" s="3" t="s">
        <v>967</v>
      </c>
      <c r="B252" s="3" t="s">
        <v>1174</v>
      </c>
      <c r="C252" s="3" t="s">
        <v>1176</v>
      </c>
      <c r="D252" s="2" t="s">
        <v>1206</v>
      </c>
      <c r="E252" s="4" t="str">
        <f t="shared" si="15"/>
        <v>Roiphet1C3-G06-0077</v>
      </c>
      <c r="F252">
        <v>1.1299999999999999</v>
      </c>
      <c r="G252">
        <v>1.5</v>
      </c>
      <c r="H252" t="s">
        <v>84</v>
      </c>
      <c r="I252" t="s">
        <v>67</v>
      </c>
      <c r="J252" t="s">
        <v>357</v>
      </c>
      <c r="K252" t="s">
        <v>89</v>
      </c>
      <c r="L252" t="s">
        <v>89</v>
      </c>
      <c r="M252">
        <v>1.0303664921465969</v>
      </c>
      <c r="N252" s="5">
        <v>44910</v>
      </c>
      <c r="O252" s="5">
        <v>44937</v>
      </c>
      <c r="P252">
        <v>0.42</v>
      </c>
      <c r="Q252" s="4">
        <v>155</v>
      </c>
      <c r="R252">
        <v>0.5</v>
      </c>
      <c r="S252" t="s">
        <v>70</v>
      </c>
      <c r="T252" s="6">
        <v>3</v>
      </c>
      <c r="U252" s="5">
        <v>45014</v>
      </c>
      <c r="V252" s="6">
        <v>2</v>
      </c>
      <c r="W252" t="s">
        <v>71</v>
      </c>
      <c r="X252" s="6">
        <v>77</v>
      </c>
      <c r="Y252">
        <v>7.8546899999999997</v>
      </c>
      <c r="Z252">
        <v>6.9510530973451328</v>
      </c>
      <c r="AA252" s="6">
        <v>48.377848139137257</v>
      </c>
      <c r="AB252" s="4">
        <v>90.474523809523816</v>
      </c>
      <c r="AC252" s="6">
        <v>20.670617616640307</v>
      </c>
      <c r="AD252">
        <v>0.30272108800000003</v>
      </c>
      <c r="AE252">
        <v>1.8738496917468204</v>
      </c>
      <c r="AF252">
        <v>14325</v>
      </c>
      <c r="AG252" s="4">
        <v>0</v>
      </c>
      <c r="AH252" s="4">
        <v>14760</v>
      </c>
      <c r="AL252">
        <v>42</v>
      </c>
      <c r="AM252">
        <v>4.3348800000000001</v>
      </c>
      <c r="AN252" t="s">
        <v>77</v>
      </c>
      <c r="AO252" t="s">
        <v>108</v>
      </c>
      <c r="AP252" s="5">
        <v>44942</v>
      </c>
      <c r="AQ252" t="s">
        <v>123</v>
      </c>
      <c r="AR252" s="5">
        <v>45005</v>
      </c>
      <c r="AS252">
        <v>194.04683443904219</v>
      </c>
      <c r="AT252" s="6"/>
      <c r="AU252">
        <v>24.062057191308632</v>
      </c>
      <c r="AV252">
        <v>57.906523363748292</v>
      </c>
      <c r="AW252">
        <v>20.417237344822013</v>
      </c>
      <c r="AX252">
        <v>102.38581789987894</v>
      </c>
      <c r="AY252">
        <v>20.777363587869161</v>
      </c>
      <c r="AZ252">
        <v>35.893037153598669</v>
      </c>
      <c r="BA252">
        <v>5.2922203167788933</v>
      </c>
      <c r="BB252">
        <v>7.8832200888895683</v>
      </c>
      <c r="BC252">
        <v>9.2584825117222973</v>
      </c>
      <c r="BD252">
        <v>79.10432365885859</v>
      </c>
      <c r="BE252">
        <v>12.556692880304652</v>
      </c>
      <c r="BF252">
        <v>29.257963076836898</v>
      </c>
      <c r="BG252">
        <v>7.3307794451467845E-2</v>
      </c>
      <c r="BH252">
        <v>29.331270871288368</v>
      </c>
      <c r="BI252">
        <v>210.82141243002593</v>
      </c>
      <c r="BJ252" s="6">
        <v>170</v>
      </c>
      <c r="BK252">
        <v>-16.774577990983744</v>
      </c>
      <c r="BL252" s="4">
        <v>-131.75911000000011</v>
      </c>
      <c r="BM252" t="s">
        <v>1207</v>
      </c>
      <c r="BN252" t="s">
        <v>65</v>
      </c>
      <c r="BO252">
        <v>3</v>
      </c>
      <c r="BP252">
        <v>2023</v>
      </c>
      <c r="BQ252" t="str">
        <f t="shared" si="16"/>
        <v>Roiphet13</v>
      </c>
      <c r="BR252">
        <f t="shared" si="17"/>
        <v>-320.63954000000035</v>
      </c>
      <c r="BS252">
        <f t="shared" si="18"/>
        <v>1524.1777300000001</v>
      </c>
      <c r="BT252" s="6">
        <f t="shared" si="19"/>
        <v>-40.82141243002593</v>
      </c>
    </row>
    <row r="253" spans="1:72">
      <c r="A253" s="3" t="s">
        <v>967</v>
      </c>
      <c r="B253" s="3" t="s">
        <v>1174</v>
      </c>
      <c r="C253" s="3" t="s">
        <v>1176</v>
      </c>
      <c r="D253" s="2" t="s">
        <v>1214</v>
      </c>
      <c r="E253" s="4" t="str">
        <f t="shared" si="15"/>
        <v>Roiphet1C1-G02-0074</v>
      </c>
      <c r="F253">
        <v>1.1299999999999999</v>
      </c>
      <c r="G253">
        <v>1.5</v>
      </c>
      <c r="H253" t="s">
        <v>84</v>
      </c>
      <c r="I253" t="s">
        <v>67</v>
      </c>
      <c r="J253" t="s">
        <v>357</v>
      </c>
      <c r="K253" t="s">
        <v>89</v>
      </c>
      <c r="L253" t="s">
        <v>89</v>
      </c>
      <c r="M253">
        <v>0.35470249520153552</v>
      </c>
      <c r="N253" s="5">
        <v>45061</v>
      </c>
      <c r="O253" s="5">
        <v>45104</v>
      </c>
      <c r="P253">
        <v>0.48</v>
      </c>
      <c r="Q253" s="4">
        <v>177</v>
      </c>
      <c r="R253">
        <v>0.55000000000000004</v>
      </c>
      <c r="S253" t="s">
        <v>70</v>
      </c>
      <c r="T253" s="6">
        <v>3</v>
      </c>
      <c r="U253" s="5">
        <v>45196</v>
      </c>
      <c r="V253" s="6">
        <v>2</v>
      </c>
      <c r="W253" t="s">
        <v>71</v>
      </c>
      <c r="X253" s="6">
        <v>92</v>
      </c>
      <c r="Y253">
        <v>6.64682</v>
      </c>
      <c r="Z253">
        <v>5.8821415929203544</v>
      </c>
      <c r="AA253" s="6">
        <v>42.36522126370204</v>
      </c>
      <c r="AB253" s="4">
        <v>58.665416666666673</v>
      </c>
      <c r="AC253" s="6">
        <v>23.604267136373647</v>
      </c>
      <c r="AD253">
        <v>0.29595410599999999</v>
      </c>
      <c r="AE253">
        <v>2.0406500625903803</v>
      </c>
      <c r="AF253">
        <v>13025</v>
      </c>
      <c r="AG253" s="4">
        <v>0</v>
      </c>
      <c r="AH253" s="4">
        <v>4620</v>
      </c>
      <c r="AL253">
        <v>36</v>
      </c>
      <c r="AM253">
        <v>4.9802299999999997</v>
      </c>
      <c r="AN253" t="s">
        <v>85</v>
      </c>
      <c r="AO253" t="s">
        <v>93</v>
      </c>
      <c r="AP253" s="5">
        <v>45110</v>
      </c>
      <c r="AQ253" t="s">
        <v>438</v>
      </c>
      <c r="AR253" s="5">
        <v>45195</v>
      </c>
      <c r="AS253">
        <v>177.33287195982439</v>
      </c>
      <c r="AT253" s="6"/>
      <c r="AU253">
        <v>32.496742803325496</v>
      </c>
      <c r="AV253">
        <v>63.842132027044499</v>
      </c>
      <c r="AW253">
        <v>26.083919829331919</v>
      </c>
      <c r="AX253">
        <v>122.42279465970191</v>
      </c>
      <c r="AY253">
        <v>27.069773214860643</v>
      </c>
      <c r="AZ253">
        <v>33.301500567188526</v>
      </c>
      <c r="BA253">
        <v>10.098695315955599</v>
      </c>
      <c r="BB253">
        <v>8.4820109465879927</v>
      </c>
      <c r="BC253">
        <v>16.516799010654719</v>
      </c>
      <c r="BD253">
        <v>95.468779055247481</v>
      </c>
      <c r="BE253">
        <v>-40.558701755125</v>
      </c>
      <c r="BF253">
        <v>40.032222927655631</v>
      </c>
      <c r="BG253">
        <v>0.11439304810420622</v>
      </c>
      <c r="BH253">
        <v>40.146615975759829</v>
      </c>
      <c r="BI253">
        <v>258.03818969070926</v>
      </c>
      <c r="BJ253" s="6">
        <v>180</v>
      </c>
      <c r="BK253">
        <v>-80.705317730884843</v>
      </c>
      <c r="BL253" s="4">
        <v>-536.43371999999999</v>
      </c>
      <c r="BM253" t="s">
        <v>1215</v>
      </c>
      <c r="BN253" t="s">
        <v>65</v>
      </c>
      <c r="BO253">
        <v>9</v>
      </c>
      <c r="BP253">
        <v>2023</v>
      </c>
      <c r="BQ253" t="str">
        <f t="shared" si="16"/>
        <v>Roiphet19</v>
      </c>
      <c r="BR253">
        <f t="shared" si="17"/>
        <v>-518.70580000000007</v>
      </c>
      <c r="BS253">
        <f t="shared" si="18"/>
        <v>1178.6996799999999</v>
      </c>
      <c r="BT253" s="6">
        <f t="shared" si="19"/>
        <v>-78.03818969070926</v>
      </c>
    </row>
    <row r="254" spans="1:72">
      <c r="A254" s="3" t="s">
        <v>967</v>
      </c>
      <c r="B254" s="3" t="s">
        <v>1174</v>
      </c>
      <c r="C254" s="3" t="s">
        <v>1176</v>
      </c>
      <c r="D254" s="2" t="s">
        <v>1230</v>
      </c>
      <c r="E254" s="4" t="str">
        <f t="shared" si="15"/>
        <v>Roiphet1C5-I10-0065</v>
      </c>
      <c r="F254">
        <v>0.72</v>
      </c>
      <c r="G254">
        <v>1.3</v>
      </c>
      <c r="H254" t="s">
        <v>84</v>
      </c>
      <c r="I254" t="s">
        <v>67</v>
      </c>
      <c r="J254" t="s">
        <v>357</v>
      </c>
      <c r="K254" t="s">
        <v>89</v>
      </c>
      <c r="L254" t="s">
        <v>89</v>
      </c>
      <c r="M254">
        <v>0.76844547563805099</v>
      </c>
      <c r="N254" s="5">
        <v>44920</v>
      </c>
      <c r="O254" s="5">
        <v>44947</v>
      </c>
      <c r="P254">
        <v>0.22500000000000001</v>
      </c>
      <c r="Q254" s="4">
        <v>150</v>
      </c>
      <c r="R254">
        <v>0.5</v>
      </c>
      <c r="S254" t="s">
        <v>70</v>
      </c>
      <c r="T254" s="6">
        <v>3</v>
      </c>
      <c r="U254" s="5">
        <v>45062</v>
      </c>
      <c r="V254" s="6">
        <v>2</v>
      </c>
      <c r="W254" t="s">
        <v>71</v>
      </c>
      <c r="X254" s="6">
        <v>115</v>
      </c>
      <c r="Y254">
        <v>4.5705400000000003</v>
      </c>
      <c r="Z254">
        <v>6.3479722222222232</v>
      </c>
      <c r="AA254" s="6">
        <v>35.616798015114185</v>
      </c>
      <c r="AB254" s="4">
        <v>72.350222222222229</v>
      </c>
      <c r="AC254" s="6">
        <v>28.076639555741213</v>
      </c>
      <c r="AD254">
        <v>0.29550224899999999</v>
      </c>
      <c r="AE254">
        <v>2.4169814537330305</v>
      </c>
      <c r="AF254">
        <v>10775</v>
      </c>
      <c r="AG254" s="4">
        <v>0</v>
      </c>
      <c r="AH254" s="4">
        <v>8280</v>
      </c>
      <c r="AL254">
        <v>29</v>
      </c>
      <c r="AM254">
        <v>3.3151199999999998</v>
      </c>
      <c r="AN254" t="s">
        <v>81</v>
      </c>
      <c r="AO254" t="s">
        <v>176</v>
      </c>
      <c r="AP254" s="5">
        <v>44949</v>
      </c>
      <c r="AQ254" t="s">
        <v>116</v>
      </c>
      <c r="AR254" s="5">
        <v>45058</v>
      </c>
      <c r="AS254">
        <v>206.19846232611462</v>
      </c>
      <c r="AT254" s="6"/>
      <c r="AU254">
        <v>22.152743439506054</v>
      </c>
      <c r="AV254">
        <v>72.739800986316723</v>
      </c>
      <c r="AW254">
        <v>30.958527876355962</v>
      </c>
      <c r="AX254">
        <v>125.85107230217874</v>
      </c>
      <c r="AY254">
        <v>27.788195705540268</v>
      </c>
      <c r="AZ254">
        <v>50.558218503721662</v>
      </c>
      <c r="BA254">
        <v>7.0636489342615967</v>
      </c>
      <c r="BB254">
        <v>9.0030959142683358</v>
      </c>
      <c r="BC254">
        <v>13.762502899000994</v>
      </c>
      <c r="BD254">
        <v>108.17566195679287</v>
      </c>
      <c r="BE254">
        <v>-27.828271932856978</v>
      </c>
      <c r="BF254">
        <v>42.706874898808451</v>
      </c>
      <c r="BG254">
        <v>0.10774219238864555</v>
      </c>
      <c r="BH254">
        <v>42.8146170911971</v>
      </c>
      <c r="BI254">
        <v>276.84135135016868</v>
      </c>
      <c r="BJ254" s="6">
        <v>187</v>
      </c>
      <c r="BK254">
        <v>-70.642889024054057</v>
      </c>
      <c r="BL254" s="4">
        <v>-322.87615</v>
      </c>
      <c r="BM254" t="s">
        <v>1231</v>
      </c>
      <c r="BN254" t="s">
        <v>65</v>
      </c>
      <c r="BO254">
        <v>5</v>
      </c>
      <c r="BP254">
        <v>2023</v>
      </c>
      <c r="BQ254" t="str">
        <f t="shared" si="16"/>
        <v>Roiphet15</v>
      </c>
      <c r="BR254">
        <f t="shared" si="17"/>
        <v>-410.62349</v>
      </c>
      <c r="BS254">
        <f t="shared" si="18"/>
        <v>942.43831999999998</v>
      </c>
      <c r="BT254" s="6">
        <f t="shared" si="19"/>
        <v>-89.841351350168679</v>
      </c>
    </row>
    <row r="255" spans="1:72">
      <c r="A255" s="3" t="s">
        <v>967</v>
      </c>
      <c r="B255" s="3" t="s">
        <v>1174</v>
      </c>
      <c r="C255" s="3" t="s">
        <v>1176</v>
      </c>
      <c r="D255" s="2" t="s">
        <v>1218</v>
      </c>
      <c r="E255" s="4" t="str">
        <f t="shared" si="15"/>
        <v>Roiphet1C4-I08-0063</v>
      </c>
      <c r="F255">
        <v>0.72</v>
      </c>
      <c r="G255">
        <v>1.3</v>
      </c>
      <c r="H255" t="s">
        <v>84</v>
      </c>
      <c r="I255" t="s">
        <v>67</v>
      </c>
      <c r="J255" t="s">
        <v>357</v>
      </c>
      <c r="K255" t="s">
        <v>89</v>
      </c>
      <c r="L255" t="s">
        <v>89</v>
      </c>
      <c r="M255">
        <v>0.71456310679611645</v>
      </c>
      <c r="N255" s="5">
        <v>44844</v>
      </c>
      <c r="O255" s="5">
        <v>44869</v>
      </c>
      <c r="P255">
        <v>0.25</v>
      </c>
      <c r="Q255" s="4">
        <v>167</v>
      </c>
      <c r="R255">
        <v>0.35</v>
      </c>
      <c r="S255" t="s">
        <v>70</v>
      </c>
      <c r="T255" s="6">
        <v>3</v>
      </c>
      <c r="U255" s="5">
        <v>44961</v>
      </c>
      <c r="V255" s="6">
        <v>2</v>
      </c>
      <c r="W255" t="s">
        <v>71</v>
      </c>
      <c r="X255" s="6">
        <v>92</v>
      </c>
      <c r="Y255">
        <v>4.8045900000000001</v>
      </c>
      <c r="Z255">
        <v>6.6730416666666672</v>
      </c>
      <c r="AA255" s="6">
        <v>40.516672598494353</v>
      </c>
      <c r="AB255" s="4">
        <v>77.866399999999999</v>
      </c>
      <c r="AC255" s="6">
        <v>24.681197538347735</v>
      </c>
      <c r="AD255">
        <v>0.28996768499999998</v>
      </c>
      <c r="AE255">
        <v>1.6376622027563603</v>
      </c>
      <c r="AF255">
        <v>7725</v>
      </c>
      <c r="AG255" s="4">
        <v>0</v>
      </c>
      <c r="AH255" s="4">
        <v>5520</v>
      </c>
      <c r="AL255">
        <v>37</v>
      </c>
      <c r="AM255">
        <v>3.4531100000000001</v>
      </c>
      <c r="AN255" t="s">
        <v>81</v>
      </c>
      <c r="AO255" t="s">
        <v>102</v>
      </c>
      <c r="AP255" s="5">
        <v>44872</v>
      </c>
      <c r="AQ255" t="s">
        <v>97</v>
      </c>
      <c r="AR255" s="5">
        <v>44946</v>
      </c>
      <c r="AS255">
        <v>238.47600523665909</v>
      </c>
      <c r="AT255" s="6"/>
      <c r="AU255">
        <v>20.81343049042686</v>
      </c>
      <c r="AV255">
        <v>53.775431410380492</v>
      </c>
      <c r="AW255">
        <v>22.39825042303298</v>
      </c>
      <c r="AX255">
        <v>96.987112323840336</v>
      </c>
      <c r="AY255">
        <v>28.602448908231505</v>
      </c>
      <c r="AZ255">
        <v>35.827785513436105</v>
      </c>
      <c r="BA255">
        <v>10.73118621984394</v>
      </c>
      <c r="BB255">
        <v>10.724958841441204</v>
      </c>
      <c r="BC255">
        <v>14.142815515996165</v>
      </c>
      <c r="BD255">
        <v>100.02919499894892</v>
      </c>
      <c r="BE255">
        <v>41.459697913869832</v>
      </c>
      <c r="BF255">
        <v>38.234413342241488</v>
      </c>
      <c r="BG255">
        <v>9.560441161472677E-2</v>
      </c>
      <c r="BH255">
        <v>38.330017753856211</v>
      </c>
      <c r="BI255">
        <v>235.34632507664543</v>
      </c>
      <c r="BJ255" s="6">
        <v>182</v>
      </c>
      <c r="BK255">
        <v>3.129680160013669</v>
      </c>
      <c r="BL255" s="4">
        <v>15.036830000000075</v>
      </c>
      <c r="BM255" t="s">
        <v>1219</v>
      </c>
      <c r="BN255" t="s">
        <v>65</v>
      </c>
      <c r="BO255">
        <v>2</v>
      </c>
      <c r="BP255">
        <v>2023</v>
      </c>
      <c r="BQ255" t="str">
        <f t="shared" si="16"/>
        <v>Roiphet12</v>
      </c>
      <c r="BR255">
        <f t="shared" si="17"/>
        <v>-256.30721999999986</v>
      </c>
      <c r="BS255">
        <f t="shared" si="18"/>
        <v>1145.77943</v>
      </c>
      <c r="BT255" s="6">
        <f t="shared" si="19"/>
        <v>-53.346325076645428</v>
      </c>
    </row>
    <row r="256" spans="1:72">
      <c r="A256" s="3" t="s">
        <v>967</v>
      </c>
      <c r="B256" s="3" t="s">
        <v>1174</v>
      </c>
      <c r="C256" s="3" t="s">
        <v>1176</v>
      </c>
      <c r="D256" s="2" t="s">
        <v>2786</v>
      </c>
      <c r="E256" s="4" t="str">
        <f t="shared" si="15"/>
        <v>Roiphet1C4-G07-0058</v>
      </c>
      <c r="F256">
        <v>1.1299999999999999</v>
      </c>
      <c r="G256">
        <v>1.5</v>
      </c>
      <c r="H256" t="s">
        <v>84</v>
      </c>
      <c r="I256" t="s">
        <v>67</v>
      </c>
      <c r="J256" t="s">
        <v>357</v>
      </c>
      <c r="K256" t="s">
        <v>89</v>
      </c>
      <c r="L256" t="s">
        <v>89</v>
      </c>
      <c r="M256">
        <v>0.41142857142857142</v>
      </c>
      <c r="N256" s="5">
        <v>45100</v>
      </c>
      <c r="O256" s="5">
        <v>45157</v>
      </c>
      <c r="P256">
        <v>0.55000000000000004</v>
      </c>
      <c r="Q256" s="4">
        <v>203</v>
      </c>
      <c r="R256">
        <v>0.53</v>
      </c>
      <c r="S256" t="s">
        <v>70</v>
      </c>
      <c r="T256" s="6">
        <v>5</v>
      </c>
      <c r="U256" s="5">
        <v>45260</v>
      </c>
      <c r="V256" s="6">
        <v>2</v>
      </c>
      <c r="W256" t="s">
        <v>71</v>
      </c>
      <c r="X256" s="6">
        <v>103</v>
      </c>
      <c r="Y256">
        <v>8.2258500000000012</v>
      </c>
      <c r="Z256">
        <v>7.2795132743362849</v>
      </c>
      <c r="AA256" s="6">
        <v>55.050602673279961</v>
      </c>
      <c r="AB256" s="4">
        <v>82.334181818181818</v>
      </c>
      <c r="AC256" s="6">
        <v>18.165105401931818</v>
      </c>
      <c r="AD256">
        <v>0.289058547</v>
      </c>
      <c r="AE256">
        <v>2.5364460515254597</v>
      </c>
      <c r="AF256">
        <v>20125</v>
      </c>
      <c r="AG256" s="4">
        <v>0</v>
      </c>
      <c r="AH256" s="4">
        <v>8280</v>
      </c>
      <c r="AL256">
        <v>33</v>
      </c>
      <c r="AM256">
        <v>4.6630699999999994</v>
      </c>
      <c r="AN256" t="s">
        <v>81</v>
      </c>
      <c r="AO256" t="s">
        <v>92</v>
      </c>
      <c r="AP256" s="5">
        <v>45159</v>
      </c>
      <c r="AQ256" t="s">
        <v>215</v>
      </c>
      <c r="AR256" s="5">
        <v>45257</v>
      </c>
      <c r="AS256">
        <v>186.39918184746867</v>
      </c>
      <c r="AT256" s="6"/>
      <c r="AU256">
        <v>30.088076004303506</v>
      </c>
      <c r="AV256">
        <v>74.869046967790553</v>
      </c>
      <c r="AW256">
        <v>42.273417336810169</v>
      </c>
      <c r="AX256">
        <v>147.23054030890421</v>
      </c>
      <c r="AY256">
        <v>29.863137548095331</v>
      </c>
      <c r="AZ256">
        <v>36.515774053745197</v>
      </c>
      <c r="BA256">
        <v>10.879116443893336</v>
      </c>
      <c r="BB256">
        <v>9.788852215880425</v>
      </c>
      <c r="BC256">
        <v>17.528403751587984</v>
      </c>
      <c r="BD256">
        <v>104.57528401320228</v>
      </c>
      <c r="BE256">
        <v>-65.40664247463782</v>
      </c>
      <c r="BF256">
        <v>39.71196897585051</v>
      </c>
      <c r="BG256">
        <v>0.12716011111313724</v>
      </c>
      <c r="BH256">
        <v>39.839129086963652</v>
      </c>
      <c r="BI256">
        <v>291.64495340907024</v>
      </c>
      <c r="BJ256" s="6">
        <v>165</v>
      </c>
      <c r="BK256">
        <v>-105.24577156160159</v>
      </c>
      <c r="BL256" s="4">
        <v>-865.73593000000039</v>
      </c>
      <c r="BM256" t="s">
        <v>2787</v>
      </c>
      <c r="BN256" t="s">
        <v>65</v>
      </c>
      <c r="BO256">
        <v>11</v>
      </c>
      <c r="BP256">
        <v>2023</v>
      </c>
      <c r="BQ256" t="str">
        <f t="shared" si="16"/>
        <v>Roiphet111</v>
      </c>
      <c r="BR256">
        <f t="shared" si="17"/>
        <v>-1041.7623900000006</v>
      </c>
      <c r="BS256">
        <f t="shared" si="18"/>
        <v>1533.2917100000004</v>
      </c>
      <c r="BT256" s="6">
        <f t="shared" si="19"/>
        <v>-126.64495340907024</v>
      </c>
    </row>
    <row r="257" spans="1:72">
      <c r="A257" s="3" t="s">
        <v>967</v>
      </c>
      <c r="B257" s="3" t="s">
        <v>1174</v>
      </c>
      <c r="C257" s="3" t="s">
        <v>1176</v>
      </c>
      <c r="D257" s="2" t="s">
        <v>2792</v>
      </c>
      <c r="E257" s="4" t="str">
        <f t="shared" si="15"/>
        <v>Roiphet1C4-I08-0065</v>
      </c>
      <c r="F257">
        <v>0.72</v>
      </c>
      <c r="G257">
        <v>1.3</v>
      </c>
      <c r="H257" t="s">
        <v>84</v>
      </c>
      <c r="I257" t="s">
        <v>67</v>
      </c>
      <c r="J257" t="s">
        <v>357</v>
      </c>
      <c r="K257" t="s">
        <v>89</v>
      </c>
      <c r="L257" t="s">
        <v>89</v>
      </c>
      <c r="M257">
        <v>0.76800000000000002</v>
      </c>
      <c r="N257" s="5">
        <v>45140</v>
      </c>
      <c r="O257" s="5">
        <v>45157</v>
      </c>
      <c r="P257">
        <v>0.25</v>
      </c>
      <c r="Q257" s="4">
        <v>167</v>
      </c>
      <c r="R257">
        <v>0.53</v>
      </c>
      <c r="S257" t="s">
        <v>70</v>
      </c>
      <c r="T257" s="6">
        <v>4</v>
      </c>
      <c r="U257" s="5">
        <v>45262</v>
      </c>
      <c r="V257" s="6">
        <v>2</v>
      </c>
      <c r="W257" t="s">
        <v>71</v>
      </c>
      <c r="X257" s="6">
        <v>105</v>
      </c>
      <c r="Y257">
        <v>4.7821699999999998</v>
      </c>
      <c r="Z257">
        <v>6.6419027777777782</v>
      </c>
      <c r="AA257" s="6">
        <v>45.637022523247815</v>
      </c>
      <c r="AB257" s="4">
        <v>87.297600000000003</v>
      </c>
      <c r="AC257" s="6">
        <v>21.912034236909147</v>
      </c>
      <c r="AD257">
        <v>0.28355267000000001</v>
      </c>
      <c r="AE257">
        <v>2.0162764589238784</v>
      </c>
      <c r="AF257">
        <v>9375</v>
      </c>
      <c r="AG257" s="4">
        <v>0</v>
      </c>
      <c r="AH257" s="4">
        <v>7200</v>
      </c>
      <c r="AL257">
        <v>33</v>
      </c>
      <c r="AM257">
        <v>3.3378699999999997</v>
      </c>
      <c r="AN257" t="s">
        <v>81</v>
      </c>
      <c r="AO257" t="s">
        <v>92</v>
      </c>
      <c r="AP257" s="5">
        <v>45159</v>
      </c>
      <c r="AQ257" t="s">
        <v>215</v>
      </c>
      <c r="AR257" s="5">
        <v>45257</v>
      </c>
      <c r="AS257">
        <v>198.05177774943172</v>
      </c>
      <c r="AT257" s="6"/>
      <c r="AU257">
        <v>23.524885146282962</v>
      </c>
      <c r="AV257">
        <v>60.127573883822649</v>
      </c>
      <c r="AW257">
        <v>35.553897080195789</v>
      </c>
      <c r="AX257">
        <v>119.2063561103014</v>
      </c>
      <c r="AY257">
        <v>25.772009359767633</v>
      </c>
      <c r="AZ257">
        <v>40.176359267863759</v>
      </c>
      <c r="BA257">
        <v>12.921552349665527</v>
      </c>
      <c r="BB257">
        <v>8.3212411938513267</v>
      </c>
      <c r="BC257">
        <v>15.014884456219669</v>
      </c>
      <c r="BD257">
        <v>102.2060466273679</v>
      </c>
      <c r="BE257">
        <v>-23.360624988237575</v>
      </c>
      <c r="BF257">
        <v>31.371630452284215</v>
      </c>
      <c r="BG257">
        <v>0.10928511533467027</v>
      </c>
      <c r="BH257">
        <v>31.480915567618883</v>
      </c>
      <c r="BI257">
        <v>252.8933183052882</v>
      </c>
      <c r="BJ257" s="6">
        <v>175</v>
      </c>
      <c r="BK257">
        <v>-54.841540555856476</v>
      </c>
      <c r="BL257" s="4">
        <v>-262.26157000000018</v>
      </c>
      <c r="BM257" t="s">
        <v>2793</v>
      </c>
      <c r="BN257" t="s">
        <v>65</v>
      </c>
      <c r="BO257">
        <v>12</v>
      </c>
      <c r="BP257">
        <v>2023</v>
      </c>
      <c r="BQ257" t="str">
        <f t="shared" si="16"/>
        <v>Roiphet112</v>
      </c>
      <c r="BR257">
        <f t="shared" si="17"/>
        <v>-372.49909000000008</v>
      </c>
      <c r="BS257">
        <f t="shared" si="18"/>
        <v>947.11726999999985</v>
      </c>
      <c r="BT257" s="6">
        <f t="shared" si="19"/>
        <v>-77.893318305288204</v>
      </c>
    </row>
    <row r="258" spans="1:72">
      <c r="A258" s="3" t="s">
        <v>967</v>
      </c>
      <c r="B258" s="3" t="s">
        <v>1174</v>
      </c>
      <c r="C258" s="3" t="s">
        <v>1176</v>
      </c>
      <c r="D258" s="2" t="s">
        <v>1188</v>
      </c>
      <c r="E258" s="4" t="str">
        <f t="shared" si="15"/>
        <v>Roiphet1C3-I05-0066</v>
      </c>
      <c r="F258">
        <v>0.72</v>
      </c>
      <c r="G258">
        <v>1.3</v>
      </c>
      <c r="H258" t="s">
        <v>84</v>
      </c>
      <c r="I258" t="s">
        <v>67</v>
      </c>
      <c r="J258" t="s">
        <v>357</v>
      </c>
      <c r="K258" t="s">
        <v>89</v>
      </c>
      <c r="L258" t="s">
        <v>89</v>
      </c>
      <c r="M258">
        <v>0.71489361702127663</v>
      </c>
      <c r="N258" s="5">
        <v>45020</v>
      </c>
      <c r="O258" s="5">
        <v>45049</v>
      </c>
      <c r="P258">
        <v>0.25</v>
      </c>
      <c r="Q258" s="4">
        <v>167</v>
      </c>
      <c r="R258">
        <v>0.45</v>
      </c>
      <c r="S258" t="s">
        <v>70</v>
      </c>
      <c r="T258" s="6">
        <v>1</v>
      </c>
      <c r="U258" s="5">
        <v>45076</v>
      </c>
      <c r="V258" s="6">
        <v>2</v>
      </c>
      <c r="W258" t="s">
        <v>71</v>
      </c>
      <c r="X258" s="6">
        <v>27.000000000000004</v>
      </c>
      <c r="Y258">
        <v>1.71689</v>
      </c>
      <c r="Z258">
        <v>2.3845694444444447</v>
      </c>
      <c r="AA258" s="6">
        <v>123.99979031854107</v>
      </c>
      <c r="AB258" s="4">
        <v>85.157600000000002</v>
      </c>
      <c r="AC258" s="6">
        <v>8.0645297659868298</v>
      </c>
      <c r="AD258">
        <v>0.28201911600000001</v>
      </c>
      <c r="AE258">
        <v>1.4647311439238588</v>
      </c>
      <c r="AF258">
        <v>2350</v>
      </c>
      <c r="AG258" s="4">
        <v>0</v>
      </c>
      <c r="AH258" s="4">
        <v>1680</v>
      </c>
      <c r="AI258" t="s">
        <v>73</v>
      </c>
      <c r="AJ258" t="s">
        <v>73</v>
      </c>
      <c r="AK258" t="s">
        <v>148</v>
      </c>
      <c r="AL258">
        <v>124</v>
      </c>
      <c r="AM258">
        <v>1.71689</v>
      </c>
      <c r="AN258" t="s">
        <v>73</v>
      </c>
      <c r="AO258" t="s">
        <v>127</v>
      </c>
      <c r="AP258" s="5">
        <v>45051</v>
      </c>
      <c r="AQ258" t="s">
        <v>123</v>
      </c>
      <c r="AR258" s="5">
        <v>45065</v>
      </c>
      <c r="AS258">
        <v>89.552201946542866</v>
      </c>
      <c r="AT258" s="6"/>
      <c r="AU258">
        <v>54.984448625130319</v>
      </c>
      <c r="AV258">
        <v>41.220340266411938</v>
      </c>
      <c r="AW258">
        <v>28.908549761487336</v>
      </c>
      <c r="AX258">
        <v>125.11333865302959</v>
      </c>
      <c r="AY258">
        <v>23.887878664329104</v>
      </c>
      <c r="AZ258">
        <v>42.759215791343657</v>
      </c>
      <c r="BA258">
        <v>7.0307824030660084</v>
      </c>
      <c r="BB258">
        <v>9.2082894070091843</v>
      </c>
      <c r="BC258">
        <v>16.03496438327441</v>
      </c>
      <c r="BD258">
        <v>98.921130649022359</v>
      </c>
      <c r="BE258">
        <v>-134.48226735550907</v>
      </c>
      <c r="BF258">
        <v>43.368020082824181</v>
      </c>
      <c r="BG258">
        <v>0.11071181030817349</v>
      </c>
      <c r="BH258">
        <v>43.478731893132355</v>
      </c>
      <c r="BI258">
        <v>267.51320119518431</v>
      </c>
      <c r="BJ258" s="6">
        <v>150</v>
      </c>
      <c r="BK258">
        <v>-177.9609992486414</v>
      </c>
      <c r="BL258" s="4">
        <v>-305.53945999999996</v>
      </c>
      <c r="BM258" t="s">
        <v>1189</v>
      </c>
      <c r="BN258" t="s">
        <v>65</v>
      </c>
      <c r="BO258">
        <v>5</v>
      </c>
      <c r="BP258">
        <v>2023</v>
      </c>
      <c r="BQ258" t="str">
        <f t="shared" si="16"/>
        <v>Roiphet15</v>
      </c>
      <c r="BR258">
        <f t="shared" si="17"/>
        <v>-201.75724</v>
      </c>
      <c r="BS258">
        <f t="shared" si="18"/>
        <v>153.75127999999998</v>
      </c>
      <c r="BT258" s="6">
        <f t="shared" si="19"/>
        <v>-117.51320119518431</v>
      </c>
    </row>
    <row r="259" spans="1:72">
      <c r="A259" s="3" t="s">
        <v>967</v>
      </c>
      <c r="B259" s="3" t="s">
        <v>1174</v>
      </c>
      <c r="C259" s="3" t="s">
        <v>1176</v>
      </c>
      <c r="D259" s="2" t="s">
        <v>1184</v>
      </c>
      <c r="E259" s="4" t="str">
        <f t="shared" si="15"/>
        <v>Roiphet1C3-I06-0063</v>
      </c>
      <c r="F259">
        <v>0.72</v>
      </c>
      <c r="G259">
        <v>1.3</v>
      </c>
      <c r="H259" t="s">
        <v>84</v>
      </c>
      <c r="I259" t="s">
        <v>67</v>
      </c>
      <c r="J259" t="s">
        <v>357</v>
      </c>
      <c r="K259" t="s">
        <v>89</v>
      </c>
      <c r="L259" t="s">
        <v>89</v>
      </c>
      <c r="M259">
        <v>0.75505617977528094</v>
      </c>
      <c r="N259" s="5">
        <v>45020</v>
      </c>
      <c r="O259" s="5">
        <v>45049</v>
      </c>
      <c r="P259">
        <v>0.25</v>
      </c>
      <c r="Q259" s="4">
        <v>167</v>
      </c>
      <c r="R259">
        <v>0.45</v>
      </c>
      <c r="S259" t="s">
        <v>70</v>
      </c>
      <c r="T259" s="6">
        <v>1</v>
      </c>
      <c r="U259" s="5">
        <v>45075</v>
      </c>
      <c r="V259" s="6">
        <v>2</v>
      </c>
      <c r="W259" t="s">
        <v>71</v>
      </c>
      <c r="X259" s="6">
        <v>26.000000000000004</v>
      </c>
      <c r="Y259">
        <v>1.5203599999999999</v>
      </c>
      <c r="Z259">
        <v>2.1116111111111109</v>
      </c>
      <c r="AA259" s="6">
        <v>131.00055250072353</v>
      </c>
      <c r="AB259" s="4">
        <v>79.667200000000008</v>
      </c>
      <c r="AC259" s="6">
        <v>7.6335555912596389</v>
      </c>
      <c r="AD259">
        <v>0.27629183800000001</v>
      </c>
      <c r="AE259">
        <v>1.5804128251388634</v>
      </c>
      <c r="AF259">
        <v>2225</v>
      </c>
      <c r="AG259" s="4">
        <v>0</v>
      </c>
      <c r="AH259" s="4">
        <v>1680</v>
      </c>
      <c r="AI259" t="s">
        <v>73</v>
      </c>
      <c r="AJ259" t="s">
        <v>73</v>
      </c>
      <c r="AK259" t="s">
        <v>148</v>
      </c>
      <c r="AL259">
        <v>131</v>
      </c>
      <c r="AM259">
        <v>1.5203599999999999</v>
      </c>
      <c r="AN259" t="s">
        <v>73</v>
      </c>
      <c r="AO259" t="s">
        <v>127</v>
      </c>
      <c r="AP259" s="5">
        <v>45051</v>
      </c>
      <c r="AQ259" t="s">
        <v>123</v>
      </c>
      <c r="AR259" s="5">
        <v>45065</v>
      </c>
      <c r="AS259">
        <v>86.129127311952431</v>
      </c>
      <c r="AT259" s="6"/>
      <c r="AU259">
        <v>81.114999079165472</v>
      </c>
      <c r="AV259">
        <v>44.176734457628456</v>
      </c>
      <c r="AW259">
        <v>27.716968349601419</v>
      </c>
      <c r="AX259">
        <v>153.00870188639533</v>
      </c>
      <c r="AY259">
        <v>26.481747743955378</v>
      </c>
      <c r="AZ259">
        <v>47.475722855113268</v>
      </c>
      <c r="BA259">
        <v>7.7641545423452341</v>
      </c>
      <c r="BB259">
        <v>10.150885316635534</v>
      </c>
      <c r="BC259">
        <v>17.720618800810335</v>
      </c>
      <c r="BD259">
        <v>109.59312925885973</v>
      </c>
      <c r="BE259">
        <v>-176.47270383330263</v>
      </c>
      <c r="BF259">
        <v>48.110401483859086</v>
      </c>
      <c r="BG259">
        <v>0.1228130179694283</v>
      </c>
      <c r="BH259">
        <v>48.233214501828513</v>
      </c>
      <c r="BI259">
        <v>310.83504564708358</v>
      </c>
      <c r="BJ259" s="6">
        <v>150</v>
      </c>
      <c r="BK259">
        <v>-224.70591833513117</v>
      </c>
      <c r="BL259" s="4">
        <v>-341.63389000000001</v>
      </c>
      <c r="BM259" t="s">
        <v>1185</v>
      </c>
      <c r="BN259" t="s">
        <v>65</v>
      </c>
      <c r="BO259">
        <v>5</v>
      </c>
      <c r="BP259">
        <v>2023</v>
      </c>
      <c r="BQ259" t="str">
        <f t="shared" si="16"/>
        <v>Roiphet15</v>
      </c>
      <c r="BR259">
        <f t="shared" si="17"/>
        <v>-244.52716999999998</v>
      </c>
      <c r="BS259">
        <f t="shared" si="18"/>
        <v>130.94727999999998</v>
      </c>
      <c r="BT259" s="6">
        <f t="shared" si="19"/>
        <v>-160.83504564708358</v>
      </c>
    </row>
    <row r="260" spans="1:72">
      <c r="A260" s="3" t="s">
        <v>967</v>
      </c>
      <c r="B260" s="3" t="s">
        <v>1174</v>
      </c>
      <c r="C260" s="3" t="s">
        <v>1176</v>
      </c>
      <c r="D260" s="2" t="s">
        <v>1192</v>
      </c>
      <c r="E260" s="4" t="str">
        <f t="shared" ref="E260:E323" si="20">B260&amp;D260</f>
        <v>Roiphet1C2-I04-0067</v>
      </c>
      <c r="F260">
        <v>0.72</v>
      </c>
      <c r="G260">
        <v>1.7</v>
      </c>
      <c r="H260" t="s">
        <v>84</v>
      </c>
      <c r="I260" t="s">
        <v>67</v>
      </c>
      <c r="J260" t="s">
        <v>357</v>
      </c>
      <c r="K260" t="s">
        <v>89</v>
      </c>
      <c r="L260" t="s">
        <v>89</v>
      </c>
      <c r="M260">
        <v>0.19834710743801653</v>
      </c>
      <c r="N260" s="5">
        <v>45027</v>
      </c>
      <c r="O260" s="5">
        <v>45057</v>
      </c>
      <c r="P260">
        <v>0.28499999999999998</v>
      </c>
      <c r="Q260" s="4">
        <v>146</v>
      </c>
      <c r="R260">
        <v>0.7</v>
      </c>
      <c r="S260" t="s">
        <v>70</v>
      </c>
      <c r="T260" s="6">
        <v>1</v>
      </c>
      <c r="U260" s="5">
        <v>45094</v>
      </c>
      <c r="V260" s="6">
        <v>2</v>
      </c>
      <c r="W260" t="s">
        <v>71</v>
      </c>
      <c r="X260" s="6">
        <v>37</v>
      </c>
      <c r="Y260">
        <v>2.6721900000000001</v>
      </c>
      <c r="Z260">
        <v>3.7113750000000003</v>
      </c>
      <c r="AA260" s="6">
        <v>91.999820372054387</v>
      </c>
      <c r="AB260" s="4">
        <v>86.26</v>
      </c>
      <c r="AC260" s="6">
        <v>10.869586440016107</v>
      </c>
      <c r="AD260">
        <v>0.27485311400000001</v>
      </c>
      <c r="AE260">
        <v>1.2233640286489613</v>
      </c>
      <c r="AF260">
        <v>3025</v>
      </c>
      <c r="AG260" s="4">
        <v>0</v>
      </c>
      <c r="AH260" s="4">
        <v>600</v>
      </c>
      <c r="AI260" t="s">
        <v>73</v>
      </c>
      <c r="AJ260" t="s">
        <v>73</v>
      </c>
      <c r="AK260" t="s">
        <v>170</v>
      </c>
      <c r="AL260">
        <v>92</v>
      </c>
      <c r="AM260">
        <v>2.6721900000000001</v>
      </c>
      <c r="AN260" t="s">
        <v>73</v>
      </c>
      <c r="AO260" t="s">
        <v>144</v>
      </c>
      <c r="AP260" s="5">
        <v>45058</v>
      </c>
      <c r="AQ260" t="s">
        <v>123</v>
      </c>
      <c r="AR260" s="5">
        <v>45072</v>
      </c>
      <c r="AS260">
        <v>86.380384628338547</v>
      </c>
      <c r="AT260" s="6"/>
      <c r="AU260">
        <v>52.612037317705699</v>
      </c>
      <c r="AV260">
        <v>33.276982549893539</v>
      </c>
      <c r="AW260">
        <v>10.301131281832506</v>
      </c>
      <c r="AX260">
        <v>96.190151149431742</v>
      </c>
      <c r="AY260">
        <v>19.222600189357792</v>
      </c>
      <c r="AZ260">
        <v>29.76661839165628</v>
      </c>
      <c r="BA260">
        <v>5.8996029473952074</v>
      </c>
      <c r="BB260">
        <v>6.6396326608512117</v>
      </c>
      <c r="BC260">
        <v>13.358690811656356</v>
      </c>
      <c r="BD260">
        <v>74.887145000916831</v>
      </c>
      <c r="BE260">
        <v>-84.696911522010026</v>
      </c>
      <c r="BF260">
        <v>32.734341495178114</v>
      </c>
      <c r="BG260">
        <v>8.6464660072824162E-2</v>
      </c>
      <c r="BH260">
        <v>32.820806155250942</v>
      </c>
      <c r="BI260">
        <v>203.89810230559951</v>
      </c>
      <c r="BJ260" s="6">
        <v>150</v>
      </c>
      <c r="BK260">
        <v>-117.51771767726096</v>
      </c>
      <c r="BL260" s="4">
        <v>-314.02967000000001</v>
      </c>
      <c r="BM260" t="s">
        <v>1193</v>
      </c>
      <c r="BN260" t="s">
        <v>65</v>
      </c>
      <c r="BO260">
        <v>6</v>
      </c>
      <c r="BP260">
        <v>2023</v>
      </c>
      <c r="BQ260" t="str">
        <f t="shared" ref="BQ260:BQ323" si="21">B260&amp;BO260</f>
        <v>Roiphet16</v>
      </c>
      <c r="BR260">
        <f t="shared" ref="BR260:BR323" si="22">BT260*Y260</f>
        <v>-144.02596999999994</v>
      </c>
      <c r="BS260">
        <f t="shared" ref="BS260:BS323" si="23">Y260*AS260</f>
        <v>230.82479999999998</v>
      </c>
      <c r="BT260" s="6">
        <f t="shared" ref="BT260:BT323" si="24">BJ260-BI260</f>
        <v>-53.898102305599508</v>
      </c>
    </row>
    <row r="261" spans="1:72">
      <c r="A261" s="3" t="s">
        <v>967</v>
      </c>
      <c r="B261" s="3" t="s">
        <v>1174</v>
      </c>
      <c r="C261" s="3" t="s">
        <v>1176</v>
      </c>
      <c r="D261" s="2" t="s">
        <v>1186</v>
      </c>
      <c r="E261" s="4" t="str">
        <f t="shared" si="20"/>
        <v>Roiphet1C3-G05-0074</v>
      </c>
      <c r="F261">
        <v>1.1299999999999999</v>
      </c>
      <c r="G261">
        <v>1.5</v>
      </c>
      <c r="H261" t="s">
        <v>84</v>
      </c>
      <c r="I261" t="s">
        <v>67</v>
      </c>
      <c r="J261" t="s">
        <v>357</v>
      </c>
      <c r="K261" t="s">
        <v>89</v>
      </c>
      <c r="L261" t="s">
        <v>89</v>
      </c>
      <c r="M261">
        <v>0.63529411764705879</v>
      </c>
      <c r="N261" s="5">
        <v>45020</v>
      </c>
      <c r="O261" s="5">
        <v>45049</v>
      </c>
      <c r="P261">
        <v>0.45</v>
      </c>
      <c r="Q261" s="4">
        <v>166</v>
      </c>
      <c r="R261">
        <v>0.45</v>
      </c>
      <c r="S261" t="s">
        <v>70</v>
      </c>
      <c r="T261" s="6">
        <v>1</v>
      </c>
      <c r="U261" s="5">
        <v>45076</v>
      </c>
      <c r="V261" s="6">
        <v>2</v>
      </c>
      <c r="W261" t="s">
        <v>71</v>
      </c>
      <c r="X261" s="6">
        <v>27</v>
      </c>
      <c r="Y261">
        <v>3.4846500000000002</v>
      </c>
      <c r="Z261">
        <v>3.0837610619469031</v>
      </c>
      <c r="AA261" s="6">
        <v>129.00004304593</v>
      </c>
      <c r="AB261" s="4">
        <v>99.893333333333331</v>
      </c>
      <c r="AC261" s="6">
        <v>7.7519353977576086</v>
      </c>
      <c r="AD261">
        <v>0.27044214799999999</v>
      </c>
      <c r="AE261">
        <v>1.2948829273494509</v>
      </c>
      <c r="AF261">
        <v>4250</v>
      </c>
      <c r="AG261" s="4">
        <v>0</v>
      </c>
      <c r="AH261" s="4">
        <v>2700</v>
      </c>
      <c r="AI261" t="s">
        <v>73</v>
      </c>
      <c r="AJ261" t="s">
        <v>73</v>
      </c>
      <c r="AK261" t="s">
        <v>92</v>
      </c>
      <c r="AL261">
        <v>129</v>
      </c>
      <c r="AM261">
        <v>3.4846500000000002</v>
      </c>
      <c r="AN261" t="s">
        <v>73</v>
      </c>
      <c r="AO261" t="s">
        <v>127</v>
      </c>
      <c r="AP261" s="5">
        <v>45051</v>
      </c>
      <c r="AQ261" t="s">
        <v>123</v>
      </c>
      <c r="AR261" s="5">
        <v>45065</v>
      </c>
      <c r="AS261">
        <v>88.039223451422671</v>
      </c>
      <c r="AT261" s="6"/>
      <c r="AU261">
        <v>48.763591752399812</v>
      </c>
      <c r="AV261">
        <v>36.788687529594078</v>
      </c>
      <c r="AW261">
        <v>22.652461509764251</v>
      </c>
      <c r="AX261">
        <v>108.20474079175814</v>
      </c>
      <c r="AY261">
        <v>18.471700170748854</v>
      </c>
      <c r="AZ261">
        <v>33.064276182686932</v>
      </c>
      <c r="BA261">
        <v>5.4366693929089003</v>
      </c>
      <c r="BB261">
        <v>7.1204626002611446</v>
      </c>
      <c r="BC261">
        <v>12.39930265593388</v>
      </c>
      <c r="BD261">
        <v>76.492411002539697</v>
      </c>
      <c r="BE261">
        <v>-96.657928342875167</v>
      </c>
      <c r="BF261">
        <v>33.53504656134762</v>
      </c>
      <c r="BG261">
        <v>8.5609745598553652E-2</v>
      </c>
      <c r="BH261">
        <v>33.620656306946181</v>
      </c>
      <c r="BI261">
        <v>218.31780810124403</v>
      </c>
      <c r="BJ261" s="6">
        <v>150</v>
      </c>
      <c r="BK261">
        <v>-130.27858464982137</v>
      </c>
      <c r="BL261" s="4">
        <v>-453.97527000000002</v>
      </c>
      <c r="BM261" t="s">
        <v>1187</v>
      </c>
      <c r="BN261" t="s">
        <v>65</v>
      </c>
      <c r="BO261">
        <v>5</v>
      </c>
      <c r="BP261">
        <v>2023</v>
      </c>
      <c r="BQ261" t="str">
        <f t="shared" si="21"/>
        <v>Roiphet15</v>
      </c>
      <c r="BR261">
        <f t="shared" si="22"/>
        <v>-238.06365000000002</v>
      </c>
      <c r="BS261">
        <f t="shared" si="23"/>
        <v>306.78588000000002</v>
      </c>
      <c r="BT261" s="6">
        <f t="shared" si="24"/>
        <v>-68.317808101244026</v>
      </c>
    </row>
    <row r="262" spans="1:72">
      <c r="A262" s="3" t="s">
        <v>967</v>
      </c>
      <c r="B262" s="3" t="s">
        <v>1174</v>
      </c>
      <c r="C262" s="3" t="s">
        <v>1176</v>
      </c>
      <c r="D262" s="2" t="s">
        <v>1190</v>
      </c>
      <c r="E262" s="4" t="str">
        <f t="shared" si="20"/>
        <v>Roiphet1C2-I03-0059</v>
      </c>
      <c r="F262">
        <v>0.72</v>
      </c>
      <c r="G262">
        <v>1.7</v>
      </c>
      <c r="H262" t="s">
        <v>84</v>
      </c>
      <c r="I262" t="s">
        <v>67</v>
      </c>
      <c r="J262" t="s">
        <v>357</v>
      </c>
      <c r="K262" t="s">
        <v>89</v>
      </c>
      <c r="L262" t="s">
        <v>89</v>
      </c>
      <c r="M262">
        <v>0.192</v>
      </c>
      <c r="N262" s="5">
        <v>45027</v>
      </c>
      <c r="O262" s="5">
        <v>45055</v>
      </c>
      <c r="P262">
        <v>0.3</v>
      </c>
      <c r="Q262" s="4">
        <v>153</v>
      </c>
      <c r="R262">
        <v>0.75</v>
      </c>
      <c r="S262" t="s">
        <v>70</v>
      </c>
      <c r="T262" s="6">
        <v>1</v>
      </c>
      <c r="U262" s="5">
        <v>45094</v>
      </c>
      <c r="V262" s="6">
        <v>2</v>
      </c>
      <c r="W262" t="s">
        <v>71</v>
      </c>
      <c r="X262" s="6">
        <v>39</v>
      </c>
      <c r="Y262">
        <v>2.2828900000000001</v>
      </c>
      <c r="Z262">
        <v>3.1706805555555557</v>
      </c>
      <c r="AA262" s="6">
        <v>92.000052564950579</v>
      </c>
      <c r="AB262" s="4">
        <v>70.00866666666667</v>
      </c>
      <c r="AC262" s="6">
        <v>10.869559006980086</v>
      </c>
      <c r="AD262">
        <v>0.259476031</v>
      </c>
      <c r="AE262">
        <v>1.5185456948622134</v>
      </c>
      <c r="AF262">
        <v>3125</v>
      </c>
      <c r="AG262" s="4">
        <v>0</v>
      </c>
      <c r="AH262" s="4">
        <v>600</v>
      </c>
      <c r="AI262" t="s">
        <v>73</v>
      </c>
      <c r="AJ262" t="s">
        <v>73</v>
      </c>
      <c r="AK262" t="s">
        <v>116</v>
      </c>
      <c r="AL262">
        <v>92</v>
      </c>
      <c r="AM262">
        <v>2.2828900000000001</v>
      </c>
      <c r="AN262" t="s">
        <v>73</v>
      </c>
      <c r="AO262" t="s">
        <v>144</v>
      </c>
      <c r="AP262" s="5">
        <v>45058</v>
      </c>
      <c r="AQ262" t="s">
        <v>116</v>
      </c>
      <c r="AR262" s="5">
        <v>45072</v>
      </c>
      <c r="AS262">
        <v>98.99250511413166</v>
      </c>
      <c r="AT262" s="6"/>
      <c r="AU262">
        <v>64.825199637301836</v>
      </c>
      <c r="AV262">
        <v>40.333336253608373</v>
      </c>
      <c r="AW262">
        <v>34.504365081103337</v>
      </c>
      <c r="AX262">
        <v>139.66290097201355</v>
      </c>
      <c r="AY262">
        <v>22.500619828375434</v>
      </c>
      <c r="AZ262">
        <v>34.842703765840668</v>
      </c>
      <c r="BA262">
        <v>6.9056590549697967</v>
      </c>
      <c r="BB262">
        <v>7.7718900166017635</v>
      </c>
      <c r="BC262">
        <v>15.636741148281345</v>
      </c>
      <c r="BD262">
        <v>87.657613814069009</v>
      </c>
      <c r="BE262">
        <v>-128.32800967195089</v>
      </c>
      <c r="BF262">
        <v>38.316511089014369</v>
      </c>
      <c r="BG262">
        <v>0.10120943190429675</v>
      </c>
      <c r="BH262">
        <v>38.417720520918664</v>
      </c>
      <c r="BI262">
        <v>265.73823530700122</v>
      </c>
      <c r="BJ262" s="6">
        <v>150</v>
      </c>
      <c r="BK262">
        <v>-166.74573019286959</v>
      </c>
      <c r="BL262" s="4">
        <v>-380.66216000000003</v>
      </c>
      <c r="BM262" t="s">
        <v>1191</v>
      </c>
      <c r="BN262" t="s">
        <v>65</v>
      </c>
      <c r="BO262">
        <v>6</v>
      </c>
      <c r="BP262">
        <v>2023</v>
      </c>
      <c r="BQ262" t="str">
        <f t="shared" si="21"/>
        <v>Roiphet16</v>
      </c>
      <c r="BR262">
        <f t="shared" si="22"/>
        <v>-264.21766000000002</v>
      </c>
      <c r="BS262">
        <f t="shared" si="23"/>
        <v>225.98900000000003</v>
      </c>
      <c r="BT262" s="6">
        <f t="shared" si="24"/>
        <v>-115.73823530700122</v>
      </c>
    </row>
    <row r="263" spans="1:72">
      <c r="A263" s="3" t="s">
        <v>967</v>
      </c>
      <c r="B263" s="3" t="s">
        <v>1174</v>
      </c>
      <c r="C263" s="3" t="s">
        <v>1176</v>
      </c>
      <c r="D263" s="2" t="s">
        <v>1178</v>
      </c>
      <c r="E263" s="4" t="str">
        <f t="shared" si="20"/>
        <v>Roiphet1C3-G06-0078</v>
      </c>
      <c r="F263">
        <v>1.1299999999999999</v>
      </c>
      <c r="G263">
        <v>1.5</v>
      </c>
      <c r="H263" t="s">
        <v>84</v>
      </c>
      <c r="I263" t="s">
        <v>67</v>
      </c>
      <c r="J263" t="s">
        <v>357</v>
      </c>
      <c r="K263" t="s">
        <v>89</v>
      </c>
      <c r="L263" t="s">
        <v>89</v>
      </c>
      <c r="M263">
        <v>0.66666666666666663</v>
      </c>
      <c r="N263" s="5">
        <v>45020</v>
      </c>
      <c r="O263" s="5">
        <v>45049</v>
      </c>
      <c r="P263">
        <v>0.45</v>
      </c>
      <c r="Q263" s="4">
        <v>166</v>
      </c>
      <c r="R263">
        <v>0.45</v>
      </c>
      <c r="S263" t="s">
        <v>70</v>
      </c>
      <c r="T263" s="6">
        <v>1</v>
      </c>
      <c r="U263" s="5">
        <v>45075</v>
      </c>
      <c r="V263" s="6">
        <v>2</v>
      </c>
      <c r="W263" t="s">
        <v>71</v>
      </c>
      <c r="X263" s="6">
        <v>26</v>
      </c>
      <c r="Y263">
        <v>3.2585700000000002</v>
      </c>
      <c r="Z263">
        <v>2.883690265486726</v>
      </c>
      <c r="AA263" s="6">
        <v>148.99971459873501</v>
      </c>
      <c r="AB263" s="4">
        <v>107.89466666666667</v>
      </c>
      <c r="AC263" s="6">
        <v>6.7114222513315465</v>
      </c>
      <c r="AD263">
        <v>0.240823438</v>
      </c>
      <c r="AE263">
        <v>1.325231424672864</v>
      </c>
      <c r="AF263">
        <v>4050</v>
      </c>
      <c r="AG263" s="4">
        <v>0</v>
      </c>
      <c r="AH263" s="4">
        <v>2700</v>
      </c>
      <c r="AI263" t="s">
        <v>73</v>
      </c>
      <c r="AJ263" t="s">
        <v>73</v>
      </c>
      <c r="AK263" t="s">
        <v>148</v>
      </c>
      <c r="AL263">
        <v>149</v>
      </c>
      <c r="AM263">
        <v>3.2585700000000002</v>
      </c>
      <c r="AN263" t="s">
        <v>73</v>
      </c>
      <c r="AO263" t="s">
        <v>127</v>
      </c>
      <c r="AP263" s="5">
        <v>45051</v>
      </c>
      <c r="AQ263" t="s">
        <v>123</v>
      </c>
      <c r="AR263" s="5">
        <v>45065</v>
      </c>
      <c r="AS263">
        <v>88.501802938098592</v>
      </c>
      <c r="AT263" s="6"/>
      <c r="AU263">
        <v>52.146708525518854</v>
      </c>
      <c r="AV263">
        <v>37.621023946086773</v>
      </c>
      <c r="AW263">
        <v>24.290262292968997</v>
      </c>
      <c r="AX263">
        <v>114.05799476457463</v>
      </c>
      <c r="AY263">
        <v>19.39152450307957</v>
      </c>
      <c r="AZ263">
        <v>34.764577713536923</v>
      </c>
      <c r="BA263">
        <v>5.6853803969225769</v>
      </c>
      <c r="BB263">
        <v>7.4330887475180836</v>
      </c>
      <c r="BC263">
        <v>12.976099945681694</v>
      </c>
      <c r="BD263">
        <v>80.250671306738838</v>
      </c>
      <c r="BE263">
        <v>-105.80686313321488</v>
      </c>
      <c r="BF263">
        <v>35.229330657312872</v>
      </c>
      <c r="BG263">
        <v>8.9932086774259873E-2</v>
      </c>
      <c r="BH263">
        <v>35.319262744087133</v>
      </c>
      <c r="BI263">
        <v>229.62792881540062</v>
      </c>
      <c r="BJ263" s="6">
        <v>150</v>
      </c>
      <c r="BK263">
        <v>-141.12612587730203</v>
      </c>
      <c r="BL263" s="4">
        <v>-459.86936000000009</v>
      </c>
      <c r="BM263" t="s">
        <v>1179</v>
      </c>
      <c r="BN263" t="s">
        <v>65</v>
      </c>
      <c r="BO263">
        <v>5</v>
      </c>
      <c r="BP263">
        <v>2023</v>
      </c>
      <c r="BQ263" t="str">
        <f t="shared" si="21"/>
        <v>Roiphet15</v>
      </c>
      <c r="BR263">
        <f t="shared" si="22"/>
        <v>-259.47318000000001</v>
      </c>
      <c r="BS263">
        <f t="shared" si="23"/>
        <v>288.38931999999994</v>
      </c>
      <c r="BT263" s="6">
        <f t="shared" si="24"/>
        <v>-79.627928815400622</v>
      </c>
    </row>
    <row r="264" spans="1:72">
      <c r="A264" s="3" t="s">
        <v>967</v>
      </c>
      <c r="B264" s="3" t="s">
        <v>1174</v>
      </c>
      <c r="C264" s="3" t="s">
        <v>1176</v>
      </c>
      <c r="D264" s="2" t="s">
        <v>1182</v>
      </c>
      <c r="E264" s="4" t="str">
        <f t="shared" si="20"/>
        <v>Roiphet1C2-G03-0066</v>
      </c>
      <c r="F264">
        <v>1.1299999999999999</v>
      </c>
      <c r="G264">
        <v>2.1</v>
      </c>
      <c r="H264" t="s">
        <v>84</v>
      </c>
      <c r="I264" t="s">
        <v>67</v>
      </c>
      <c r="J264" t="s">
        <v>357</v>
      </c>
      <c r="K264" t="s">
        <v>89</v>
      </c>
      <c r="L264" t="s">
        <v>89</v>
      </c>
      <c r="M264">
        <v>8.1818181818181818E-2</v>
      </c>
      <c r="N264" s="5">
        <v>45026</v>
      </c>
      <c r="O264" s="5">
        <v>45055</v>
      </c>
      <c r="P264">
        <v>0.6</v>
      </c>
      <c r="Q264" s="4">
        <v>158</v>
      </c>
      <c r="R264">
        <v>0.75</v>
      </c>
      <c r="S264" t="s">
        <v>70</v>
      </c>
      <c r="T264" s="6">
        <v>1</v>
      </c>
      <c r="U264" s="5">
        <v>45087</v>
      </c>
      <c r="V264" s="6">
        <v>2</v>
      </c>
      <c r="W264" t="s">
        <v>71</v>
      </c>
      <c r="X264" s="6">
        <v>32</v>
      </c>
      <c r="Y264">
        <v>3.7253099999999999</v>
      </c>
      <c r="Z264">
        <v>3.2967345132743366</v>
      </c>
      <c r="AA264" s="6">
        <v>136.00022548459054</v>
      </c>
      <c r="AB264" s="4">
        <v>84.4405</v>
      </c>
      <c r="AC264" s="6">
        <v>7.3529289854986644</v>
      </c>
      <c r="AD264">
        <v>0.20634191199999999</v>
      </c>
      <c r="AE264">
        <v>1.3433842903419828</v>
      </c>
      <c r="AF264">
        <v>4400</v>
      </c>
      <c r="AG264" s="4">
        <v>0</v>
      </c>
      <c r="AH264" s="4">
        <v>360</v>
      </c>
      <c r="AI264" t="s">
        <v>73</v>
      </c>
      <c r="AJ264" t="s">
        <v>73</v>
      </c>
      <c r="AK264" t="s">
        <v>97</v>
      </c>
      <c r="AL264">
        <v>136</v>
      </c>
      <c r="AM264">
        <v>3.7253099999999999</v>
      </c>
      <c r="AN264" t="s">
        <v>73</v>
      </c>
      <c r="AO264" t="s">
        <v>144</v>
      </c>
      <c r="AP264" s="5">
        <v>45058</v>
      </c>
      <c r="AQ264" t="s">
        <v>116</v>
      </c>
      <c r="AR264" s="5">
        <v>45072</v>
      </c>
      <c r="AS264">
        <v>86.114964929093148</v>
      </c>
      <c r="AT264" s="6"/>
      <c r="AU264">
        <v>79.450461840759573</v>
      </c>
      <c r="AV264">
        <v>34.943593955939242</v>
      </c>
      <c r="AW264">
        <v>25.933653843572749</v>
      </c>
      <c r="AX264">
        <v>140.32770964027156</v>
      </c>
      <c r="AY264">
        <v>19.389916543858096</v>
      </c>
      <c r="AZ264">
        <v>31.623019292354194</v>
      </c>
      <c r="BA264">
        <v>5.9196281651728304</v>
      </c>
      <c r="BB264">
        <v>7.1000265749695997</v>
      </c>
      <c r="BC264">
        <v>13.413876965943773</v>
      </c>
      <c r="BD264">
        <v>77.446467542298493</v>
      </c>
      <c r="BE264">
        <v>-131.65921225347691</v>
      </c>
      <c r="BF264">
        <v>33.765893308207914</v>
      </c>
      <c r="BG264">
        <v>8.8046363926760463E-2</v>
      </c>
      <c r="BH264">
        <v>33.853939672134672</v>
      </c>
      <c r="BI264">
        <v>251.6281168547047</v>
      </c>
      <c r="BJ264" s="6">
        <v>150</v>
      </c>
      <c r="BK264">
        <v>-165.51315192561157</v>
      </c>
      <c r="BL264" s="4">
        <v>-616.58780000000002</v>
      </c>
      <c r="BM264" t="s">
        <v>1183</v>
      </c>
      <c r="BN264" t="s">
        <v>65</v>
      </c>
      <c r="BO264">
        <v>6</v>
      </c>
      <c r="BP264">
        <v>2023</v>
      </c>
      <c r="BQ264" t="str">
        <f t="shared" si="21"/>
        <v>Roiphet16</v>
      </c>
      <c r="BR264">
        <f t="shared" si="22"/>
        <v>-378.59623999999997</v>
      </c>
      <c r="BS264">
        <f t="shared" si="23"/>
        <v>320.80493999999999</v>
      </c>
      <c r="BT264" s="6">
        <f t="shared" si="24"/>
        <v>-101.6281168547047</v>
      </c>
    </row>
    <row r="265" spans="1:72">
      <c r="A265" s="3" t="s">
        <v>967</v>
      </c>
      <c r="B265" s="3" t="s">
        <v>1174</v>
      </c>
      <c r="C265" s="3" t="s">
        <v>1176</v>
      </c>
      <c r="D265" s="2" t="s">
        <v>1180</v>
      </c>
      <c r="E265" s="4" t="str">
        <f t="shared" si="20"/>
        <v>Roiphet1C2-G04-0064</v>
      </c>
      <c r="F265">
        <v>1.1299999999999999</v>
      </c>
      <c r="G265">
        <v>2</v>
      </c>
      <c r="H265" t="s">
        <v>84</v>
      </c>
      <c r="I265" t="s">
        <v>67</v>
      </c>
      <c r="J265" t="s">
        <v>357</v>
      </c>
      <c r="K265" t="s">
        <v>89</v>
      </c>
      <c r="L265" t="s">
        <v>89</v>
      </c>
      <c r="M265">
        <v>8.2758620689655171E-2</v>
      </c>
      <c r="N265" s="5">
        <v>45027</v>
      </c>
      <c r="O265" s="5">
        <v>45055</v>
      </c>
      <c r="P265">
        <v>0.5</v>
      </c>
      <c r="Q265" s="4">
        <v>138</v>
      </c>
      <c r="R265">
        <v>0.75</v>
      </c>
      <c r="S265" t="s">
        <v>70</v>
      </c>
      <c r="T265" s="6">
        <v>1</v>
      </c>
      <c r="U265" s="5">
        <v>45087</v>
      </c>
      <c r="V265" s="6">
        <v>2</v>
      </c>
      <c r="W265" t="s">
        <v>71</v>
      </c>
      <c r="X265" s="6">
        <v>32</v>
      </c>
      <c r="Y265">
        <v>3.5879099999999999</v>
      </c>
      <c r="Z265">
        <v>3.1751415929203541</v>
      </c>
      <c r="AA265" s="6">
        <v>148.00008918841331</v>
      </c>
      <c r="AB265" s="4">
        <v>106.2022</v>
      </c>
      <c r="AC265" s="6">
        <v>6.7567526849726276</v>
      </c>
      <c r="AD265">
        <v>0.18771114899999999</v>
      </c>
      <c r="AE265">
        <v>1.3539128080151639</v>
      </c>
      <c r="AF265">
        <v>4350</v>
      </c>
      <c r="AG265" s="4">
        <v>0</v>
      </c>
      <c r="AH265" s="4">
        <v>360</v>
      </c>
      <c r="AI265" t="s">
        <v>73</v>
      </c>
      <c r="AJ265" t="s">
        <v>73</v>
      </c>
      <c r="AK265" t="s">
        <v>97</v>
      </c>
      <c r="AL265">
        <v>148</v>
      </c>
      <c r="AM265">
        <v>3.5879099999999999</v>
      </c>
      <c r="AN265" t="s">
        <v>73</v>
      </c>
      <c r="AO265" t="s">
        <v>144</v>
      </c>
      <c r="AP265" s="5">
        <v>45058</v>
      </c>
      <c r="AQ265" t="s">
        <v>123</v>
      </c>
      <c r="AR265" s="5">
        <v>45072</v>
      </c>
      <c r="AS265">
        <v>81.465906335443194</v>
      </c>
      <c r="AT265" s="6"/>
      <c r="AU265">
        <v>68.744199269212444</v>
      </c>
      <c r="AV265">
        <v>35.878748352104708</v>
      </c>
      <c r="AW265">
        <v>23.996429676329679</v>
      </c>
      <c r="AX265">
        <v>128.61937729764682</v>
      </c>
      <c r="AY265">
        <v>19.820887368969679</v>
      </c>
      <c r="AZ265">
        <v>32.223821110340005</v>
      </c>
      <c r="BA265">
        <v>6.0760916522432273</v>
      </c>
      <c r="BB265">
        <v>7.292738669587588</v>
      </c>
      <c r="BC265">
        <v>13.758068067482185</v>
      </c>
      <c r="BD265">
        <v>79.171606868622675</v>
      </c>
      <c r="BE265">
        <v>-126.3250778308263</v>
      </c>
      <c r="BF265">
        <v>34.469554698975173</v>
      </c>
      <c r="BG265">
        <v>8.9915856306317613E-2</v>
      </c>
      <c r="BH265">
        <v>34.559470555281493</v>
      </c>
      <c r="BI265">
        <v>242.35045472155099</v>
      </c>
      <c r="BJ265" s="6">
        <v>150</v>
      </c>
      <c r="BK265">
        <v>-160.88454838610781</v>
      </c>
      <c r="BL265" s="4">
        <v>-577.23928000000001</v>
      </c>
      <c r="BM265" t="s">
        <v>1181</v>
      </c>
      <c r="BN265" t="s">
        <v>65</v>
      </c>
      <c r="BO265">
        <v>6</v>
      </c>
      <c r="BP265">
        <v>2023</v>
      </c>
      <c r="BQ265" t="str">
        <f t="shared" si="21"/>
        <v>Roiphet16</v>
      </c>
      <c r="BR265">
        <f t="shared" si="22"/>
        <v>-331.34512000000001</v>
      </c>
      <c r="BS265">
        <f t="shared" si="23"/>
        <v>292.29233999999997</v>
      </c>
      <c r="BT265" s="6">
        <f t="shared" si="24"/>
        <v>-92.350454721550989</v>
      </c>
    </row>
    <row r="266" spans="1:72">
      <c r="A266" s="3" t="s">
        <v>967</v>
      </c>
      <c r="B266" s="3" t="s">
        <v>1174</v>
      </c>
      <c r="C266" s="3" t="s">
        <v>1285</v>
      </c>
      <c r="D266" s="2" t="s">
        <v>1315</v>
      </c>
      <c r="E266" s="4" t="str">
        <f t="shared" si="20"/>
        <v>Roiphet1B3-I06-0095</v>
      </c>
      <c r="F266">
        <v>0.72</v>
      </c>
      <c r="G266">
        <v>1.3</v>
      </c>
      <c r="H266" t="s">
        <v>72</v>
      </c>
      <c r="I266" t="s">
        <v>67</v>
      </c>
      <c r="J266" t="s">
        <v>357</v>
      </c>
      <c r="K266" t="s">
        <v>69</v>
      </c>
      <c r="L266" t="s">
        <v>69</v>
      </c>
      <c r="M266">
        <v>0.506649778340722</v>
      </c>
      <c r="N266" s="5">
        <v>45082</v>
      </c>
      <c r="O266" s="5">
        <v>45113</v>
      </c>
      <c r="P266">
        <v>0.25</v>
      </c>
      <c r="Q266" s="4">
        <v>167</v>
      </c>
      <c r="R266">
        <v>1.07</v>
      </c>
      <c r="S266" t="s">
        <v>70</v>
      </c>
      <c r="T266" s="6">
        <v>1</v>
      </c>
      <c r="U266" s="5">
        <v>45160</v>
      </c>
      <c r="V266" s="6">
        <v>2</v>
      </c>
      <c r="W266" t="s">
        <v>71</v>
      </c>
      <c r="X266" s="6">
        <v>47</v>
      </c>
      <c r="Y266">
        <v>1.9955000000000001</v>
      </c>
      <c r="Z266">
        <v>2.771527777777778</v>
      </c>
      <c r="AA266" s="6">
        <v>45.000250563768482</v>
      </c>
      <c r="AB266" s="4">
        <v>35.919200000000004</v>
      </c>
      <c r="AC266" s="6">
        <v>22.222098487716874</v>
      </c>
      <c r="AD266">
        <v>0.45004728100000002</v>
      </c>
      <c r="AE266">
        <v>1.8275462962962963</v>
      </c>
      <c r="AF266">
        <v>3158</v>
      </c>
      <c r="AG266" s="4">
        <v>2100</v>
      </c>
      <c r="AH266" s="4">
        <v>1600</v>
      </c>
      <c r="AL266">
        <v>45</v>
      </c>
      <c r="AM266">
        <v>1.9955000000000001</v>
      </c>
      <c r="AN266" t="s">
        <v>73</v>
      </c>
      <c r="AO266" t="s">
        <v>93</v>
      </c>
      <c r="AP266" s="5">
        <v>45117</v>
      </c>
      <c r="AQ266" t="s">
        <v>438</v>
      </c>
      <c r="AR266" s="5">
        <v>45156</v>
      </c>
      <c r="AS266">
        <v>131.64695565021299</v>
      </c>
      <c r="AT266" s="6"/>
      <c r="AU266">
        <v>68.90503633174643</v>
      </c>
      <c r="AV266">
        <v>51.937910298170884</v>
      </c>
      <c r="AW266">
        <v>40.241954397394146</v>
      </c>
      <c r="AX266">
        <v>161.08490102731147</v>
      </c>
      <c r="AY266">
        <v>35.910137810072669</v>
      </c>
      <c r="AZ266">
        <v>39.193284891004758</v>
      </c>
      <c r="BA266">
        <v>11.788469055374593</v>
      </c>
      <c r="BB266">
        <v>8.5427060886995747</v>
      </c>
      <c r="BC266">
        <v>21.216351791530947</v>
      </c>
      <c r="BD266">
        <v>116.65094963668255</v>
      </c>
      <c r="BE266">
        <v>-146.08889501378104</v>
      </c>
      <c r="BF266">
        <v>48.703292407917814</v>
      </c>
      <c r="BG266">
        <v>0.15058882485592584</v>
      </c>
      <c r="BH266">
        <v>48.853881232773738</v>
      </c>
      <c r="BI266">
        <v>326.58973189676777</v>
      </c>
      <c r="BJ266" s="6">
        <v>175</v>
      </c>
      <c r="BK266">
        <v>-194.94277624655479</v>
      </c>
      <c r="BL266" s="4">
        <v>-389.00831000000005</v>
      </c>
      <c r="BM266" t="s">
        <v>1316</v>
      </c>
      <c r="BN266" t="s">
        <v>65</v>
      </c>
      <c r="BO266">
        <v>8</v>
      </c>
      <c r="BP266">
        <v>2023</v>
      </c>
      <c r="BQ266" t="str">
        <f t="shared" si="21"/>
        <v>Roiphet18</v>
      </c>
      <c r="BR266">
        <f t="shared" si="22"/>
        <v>-302.49731000000008</v>
      </c>
      <c r="BS266">
        <f t="shared" si="23"/>
        <v>262.70150000000001</v>
      </c>
      <c r="BT266" s="6">
        <f t="shared" si="24"/>
        <v>-151.58973189676777</v>
      </c>
    </row>
    <row r="267" spans="1:72">
      <c r="A267" s="3" t="s">
        <v>967</v>
      </c>
      <c r="B267" s="3" t="s">
        <v>1174</v>
      </c>
      <c r="C267" s="3" t="s">
        <v>1285</v>
      </c>
      <c r="D267" s="2" t="s">
        <v>1354</v>
      </c>
      <c r="E267" s="4" t="str">
        <f t="shared" si="20"/>
        <v>Roiphet1B6-G12-0087</v>
      </c>
      <c r="F267">
        <v>1.1299999999999999</v>
      </c>
      <c r="G267">
        <v>1.5</v>
      </c>
      <c r="H267" t="s">
        <v>84</v>
      </c>
      <c r="I267" t="s">
        <v>67</v>
      </c>
      <c r="J267" t="s">
        <v>357</v>
      </c>
      <c r="K267" t="s">
        <v>89</v>
      </c>
      <c r="L267" t="s">
        <v>89</v>
      </c>
      <c r="M267">
        <v>0.89333191534616607</v>
      </c>
      <c r="N267" s="5">
        <v>44960</v>
      </c>
      <c r="O267" s="5">
        <v>44982</v>
      </c>
      <c r="P267">
        <v>0.4</v>
      </c>
      <c r="Q267" s="4">
        <v>147</v>
      </c>
      <c r="R267">
        <v>1.091</v>
      </c>
      <c r="S267" t="s">
        <v>70</v>
      </c>
      <c r="T267" s="6">
        <v>3</v>
      </c>
      <c r="U267" s="5">
        <v>45082</v>
      </c>
      <c r="V267" s="6">
        <v>2</v>
      </c>
      <c r="W267" t="s">
        <v>71</v>
      </c>
      <c r="X267" s="6">
        <v>100</v>
      </c>
      <c r="Y267">
        <v>8.5318799999999992</v>
      </c>
      <c r="Z267">
        <v>7.5503362831858407</v>
      </c>
      <c r="AA267" s="6">
        <v>32.082846922366471</v>
      </c>
      <c r="AB267" s="4">
        <v>68.431750000000008</v>
      </c>
      <c r="AC267" s="6">
        <v>31.169303722321871</v>
      </c>
      <c r="AD267">
        <v>0.42387260900000001</v>
      </c>
      <c r="AE267">
        <v>2.3230247002030766</v>
      </c>
      <c r="AF267">
        <v>18806</v>
      </c>
      <c r="AG267" s="4">
        <v>1200</v>
      </c>
      <c r="AH267" s="4">
        <v>16800</v>
      </c>
      <c r="AL267">
        <v>23</v>
      </c>
      <c r="AM267">
        <v>5.91228</v>
      </c>
      <c r="AN267" t="s">
        <v>81</v>
      </c>
      <c r="AO267" t="s">
        <v>123</v>
      </c>
      <c r="AP267" s="5">
        <v>44984</v>
      </c>
      <c r="AQ267" t="s">
        <v>123</v>
      </c>
      <c r="AR267" s="5">
        <v>45079</v>
      </c>
      <c r="AS267">
        <v>241.9965259708294</v>
      </c>
      <c r="AT267" s="6"/>
      <c r="AU267">
        <v>25.434019231400349</v>
      </c>
      <c r="AV267">
        <v>57.864594907570208</v>
      </c>
      <c r="AW267">
        <v>19.762718181690317</v>
      </c>
      <c r="AX267">
        <v>103.0613323206609</v>
      </c>
      <c r="AY267">
        <v>20.399067966263004</v>
      </c>
      <c r="AZ267">
        <v>34.056962826481382</v>
      </c>
      <c r="BA267">
        <v>3.4596513312423527</v>
      </c>
      <c r="BB267">
        <v>4.1798993891147092</v>
      </c>
      <c r="BC267">
        <v>10.828441093873803</v>
      </c>
      <c r="BD267">
        <v>72.924022606975242</v>
      </c>
      <c r="BE267">
        <v>66.011171043193272</v>
      </c>
      <c r="BF267">
        <v>30.226383868502605</v>
      </c>
      <c r="BG267">
        <v>7.793475763841029E-2</v>
      </c>
      <c r="BH267">
        <v>30.304318626141015</v>
      </c>
      <c r="BI267">
        <v>206.28967355377713</v>
      </c>
      <c r="BJ267" s="6">
        <v>192</v>
      </c>
      <c r="BK267">
        <v>35.706852417052239</v>
      </c>
      <c r="BL267" s="4">
        <v>304.64657999999963</v>
      </c>
      <c r="BM267" t="s">
        <v>1355</v>
      </c>
      <c r="BN267" t="s">
        <v>65</v>
      </c>
      <c r="BO267">
        <v>6</v>
      </c>
      <c r="BP267">
        <v>2023</v>
      </c>
      <c r="BQ267" t="str">
        <f t="shared" si="21"/>
        <v>Roiphet16</v>
      </c>
      <c r="BR267">
        <f t="shared" si="22"/>
        <v>-121.91778000000005</v>
      </c>
      <c r="BS267">
        <f t="shared" si="23"/>
        <v>2064.6853199999996</v>
      </c>
      <c r="BT267" s="6">
        <f t="shared" si="24"/>
        <v>-14.289673553777135</v>
      </c>
    </row>
    <row r="268" spans="1:72">
      <c r="A268" s="3" t="s">
        <v>967</v>
      </c>
      <c r="B268" s="3" t="s">
        <v>1174</v>
      </c>
      <c r="C268" s="3" t="s">
        <v>1285</v>
      </c>
      <c r="D268" s="2" t="s">
        <v>1360</v>
      </c>
      <c r="E268" s="4" t="str">
        <f t="shared" si="20"/>
        <v>Roiphet1B6-G11-0082</v>
      </c>
      <c r="F268">
        <v>1.1299999999999999</v>
      </c>
      <c r="G268">
        <v>1.5</v>
      </c>
      <c r="H268" t="s">
        <v>84</v>
      </c>
      <c r="I268" t="s">
        <v>67</v>
      </c>
      <c r="J268" t="s">
        <v>357</v>
      </c>
      <c r="K268" t="s">
        <v>89</v>
      </c>
      <c r="L268" t="s">
        <v>89</v>
      </c>
      <c r="M268">
        <v>1.0184904516520157</v>
      </c>
      <c r="N268" s="5">
        <v>44960</v>
      </c>
      <c r="O268" s="5">
        <v>44982</v>
      </c>
      <c r="P268">
        <v>0.42</v>
      </c>
      <c r="Q268" s="4">
        <v>155</v>
      </c>
      <c r="R268">
        <v>1.1599999999999999</v>
      </c>
      <c r="S268" t="s">
        <v>70</v>
      </c>
      <c r="T268" s="6">
        <v>3</v>
      </c>
      <c r="U268" s="5">
        <v>45082</v>
      </c>
      <c r="V268" s="6">
        <v>2</v>
      </c>
      <c r="W268" t="s">
        <v>71</v>
      </c>
      <c r="X268" s="6">
        <v>100</v>
      </c>
      <c r="Y268">
        <v>7.6309399999999998</v>
      </c>
      <c r="Z268">
        <v>6.7530442477876109</v>
      </c>
      <c r="AA268" s="6">
        <v>30.644062199414492</v>
      </c>
      <c r="AB268" s="4">
        <v>55.676904761904765</v>
      </c>
      <c r="AC268" s="6">
        <v>32.632749323263894</v>
      </c>
      <c r="AD268">
        <v>0.42318260899999999</v>
      </c>
      <c r="AE268">
        <v>2.3090146057947241</v>
      </c>
      <c r="AF268">
        <v>16495</v>
      </c>
      <c r="AG268" s="4">
        <v>1200</v>
      </c>
      <c r="AH268" s="4">
        <v>16800</v>
      </c>
      <c r="AL268">
        <v>23</v>
      </c>
      <c r="AM268">
        <v>5.74376</v>
      </c>
      <c r="AN268" t="s">
        <v>81</v>
      </c>
      <c r="AO268" t="s">
        <v>123</v>
      </c>
      <c r="AP268" s="5">
        <v>44984</v>
      </c>
      <c r="AQ268" t="s">
        <v>123</v>
      </c>
      <c r="AR268" s="5">
        <v>45079</v>
      </c>
      <c r="AS268">
        <v>246.57420710947804</v>
      </c>
      <c r="AT268" s="6"/>
      <c r="AU268">
        <v>30.271499972480459</v>
      </c>
      <c r="AV268">
        <v>57.318342170165145</v>
      </c>
      <c r="AW268">
        <v>21.34197621787094</v>
      </c>
      <c r="AX268">
        <v>108.93181836051656</v>
      </c>
      <c r="AY268">
        <v>22.807465397447764</v>
      </c>
      <c r="AZ268">
        <v>38.07786720902012</v>
      </c>
      <c r="BA268">
        <v>3.8681119233017167</v>
      </c>
      <c r="BB268">
        <v>4.6733954139332772</v>
      </c>
      <c r="BC268">
        <v>12.106891156266464</v>
      </c>
      <c r="BD268">
        <v>81.533731099969344</v>
      </c>
      <c r="BE268">
        <v>56.108657648992136</v>
      </c>
      <c r="BF268">
        <v>33.795034425640878</v>
      </c>
      <c r="BG268">
        <v>8.7136054011694497E-2</v>
      </c>
      <c r="BH268">
        <v>33.882170479652572</v>
      </c>
      <c r="BI268">
        <v>224.34771994013846</v>
      </c>
      <c r="BJ268" s="6">
        <v>197</v>
      </c>
      <c r="BK268">
        <v>22.226487169339588</v>
      </c>
      <c r="BL268" s="4">
        <v>169.60899000000023</v>
      </c>
      <c r="BM268" t="s">
        <v>1361</v>
      </c>
      <c r="BN268" t="s">
        <v>65</v>
      </c>
      <c r="BO268">
        <v>6</v>
      </c>
      <c r="BP268">
        <v>2023</v>
      </c>
      <c r="BQ268" t="str">
        <f t="shared" si="21"/>
        <v>Roiphet16</v>
      </c>
      <c r="BR268">
        <f t="shared" si="22"/>
        <v>-208.68881000000019</v>
      </c>
      <c r="BS268">
        <f t="shared" si="23"/>
        <v>1881.5929800000004</v>
      </c>
      <c r="BT268" s="6">
        <f t="shared" si="24"/>
        <v>-27.347719940138461</v>
      </c>
    </row>
    <row r="269" spans="1:72">
      <c r="A269" s="3" t="s">
        <v>967</v>
      </c>
      <c r="B269" s="3" t="s">
        <v>1174</v>
      </c>
      <c r="C269" s="3" t="s">
        <v>1285</v>
      </c>
      <c r="D269" s="2" t="s">
        <v>2769</v>
      </c>
      <c r="E269" s="4" t="str">
        <f t="shared" si="20"/>
        <v>Roiphet1B1-I02-0096</v>
      </c>
      <c r="F269">
        <v>0.72</v>
      </c>
      <c r="G269">
        <v>1.3</v>
      </c>
      <c r="H269" t="s">
        <v>72</v>
      </c>
      <c r="I269" t="s">
        <v>67</v>
      </c>
      <c r="J269" t="s">
        <v>357</v>
      </c>
      <c r="K269" t="s">
        <v>69</v>
      </c>
      <c r="L269" t="s">
        <v>69</v>
      </c>
      <c r="N269" s="5">
        <v>45100</v>
      </c>
      <c r="O269" s="5">
        <v>45183</v>
      </c>
      <c r="P269">
        <v>0.25</v>
      </c>
      <c r="Q269" s="4">
        <v>167</v>
      </c>
      <c r="R269">
        <v>2</v>
      </c>
      <c r="S269" t="s">
        <v>70</v>
      </c>
      <c r="T269" s="6">
        <v>4</v>
      </c>
      <c r="U269" s="5">
        <v>45273</v>
      </c>
      <c r="V269" s="6">
        <v>2</v>
      </c>
      <c r="W269" t="s">
        <v>71</v>
      </c>
      <c r="X269" s="6">
        <v>90</v>
      </c>
      <c r="Y269">
        <v>4.5922499999999999</v>
      </c>
      <c r="Z269">
        <v>6.3781249999999998</v>
      </c>
      <c r="AA269" s="6">
        <v>40.820948336871901</v>
      </c>
      <c r="AB269" s="4">
        <v>74.983999999999995</v>
      </c>
      <c r="AC269" s="6">
        <v>24.49722607489598</v>
      </c>
      <c r="AD269">
        <v>0.40512820499999996</v>
      </c>
      <c r="AE269">
        <v>2.0355550125236728</v>
      </c>
      <c r="AF269">
        <v>8330</v>
      </c>
      <c r="AG269" s="4">
        <v>0</v>
      </c>
      <c r="AH269" s="4"/>
      <c r="AL269">
        <v>26</v>
      </c>
      <c r="AM269">
        <v>1.9879899999999999</v>
      </c>
      <c r="AN269" t="s">
        <v>81</v>
      </c>
      <c r="AO269" t="s">
        <v>92</v>
      </c>
      <c r="AP269" s="5">
        <v>45191</v>
      </c>
      <c r="AQ269" t="s">
        <v>215</v>
      </c>
      <c r="AR269" s="5">
        <v>45268</v>
      </c>
      <c r="AS269">
        <v>206.46526865915399</v>
      </c>
      <c r="AT269" s="6"/>
      <c r="AU269">
        <v>54.439544885404764</v>
      </c>
      <c r="AV269">
        <v>56.103983885894714</v>
      </c>
      <c r="AW269">
        <v>29.14666448908487</v>
      </c>
      <c r="AX269">
        <v>139.69019326038435</v>
      </c>
      <c r="AY269">
        <v>39.295828842070883</v>
      </c>
      <c r="AZ269">
        <v>49.406828896510426</v>
      </c>
      <c r="BA269">
        <v>24.109656486471774</v>
      </c>
      <c r="BB269">
        <v>11.275962763351298</v>
      </c>
      <c r="BC269">
        <v>23.972355599107189</v>
      </c>
      <c r="BD269">
        <v>148.06063258751155</v>
      </c>
      <c r="BE269">
        <v>-81.285557188741905</v>
      </c>
      <c r="BF269">
        <v>50.129087048832275</v>
      </c>
      <c r="BG269">
        <v>0.17429800206870272</v>
      </c>
      <c r="BH269">
        <v>50.303385050900978</v>
      </c>
      <c r="BI269">
        <v>338.05421089879695</v>
      </c>
      <c r="BJ269" s="6">
        <v>182</v>
      </c>
      <c r="BK269">
        <v>-131.58894223964293</v>
      </c>
      <c r="BL269" s="4">
        <v>-604.28932000000032</v>
      </c>
      <c r="BM269" t="s">
        <v>2770</v>
      </c>
      <c r="BN269" t="s">
        <v>65</v>
      </c>
      <c r="BO269">
        <v>12</v>
      </c>
      <c r="BP269">
        <v>2023</v>
      </c>
      <c r="BQ269" t="str">
        <f t="shared" si="21"/>
        <v>Roiphet112</v>
      </c>
      <c r="BR269">
        <f t="shared" si="22"/>
        <v>-716.63995000000034</v>
      </c>
      <c r="BS269">
        <f t="shared" si="23"/>
        <v>948.14012999999989</v>
      </c>
      <c r="BT269" s="6">
        <f t="shared" si="24"/>
        <v>-156.05421089879695</v>
      </c>
    </row>
    <row r="270" spans="1:72">
      <c r="A270" s="3" t="s">
        <v>967</v>
      </c>
      <c r="B270" s="3" t="s">
        <v>1174</v>
      </c>
      <c r="C270" s="3" t="s">
        <v>1285</v>
      </c>
      <c r="D270" s="2" t="s">
        <v>1309</v>
      </c>
      <c r="E270" s="4" t="str">
        <f t="shared" si="20"/>
        <v>Roiphet1B5-I10-0091</v>
      </c>
      <c r="F270">
        <v>0.72</v>
      </c>
      <c r="G270">
        <v>1.3</v>
      </c>
      <c r="H270" t="s">
        <v>72</v>
      </c>
      <c r="I270" t="s">
        <v>67</v>
      </c>
      <c r="J270" t="s">
        <v>357</v>
      </c>
      <c r="K270" t="s">
        <v>69</v>
      </c>
      <c r="L270" t="s">
        <v>69</v>
      </c>
      <c r="M270">
        <v>0.8</v>
      </c>
      <c r="N270" s="5">
        <v>45051</v>
      </c>
      <c r="O270" s="5">
        <v>45080</v>
      </c>
      <c r="P270">
        <v>0.2</v>
      </c>
      <c r="Q270" s="4">
        <v>134</v>
      </c>
      <c r="R270">
        <v>0.61</v>
      </c>
      <c r="S270" t="s">
        <v>70</v>
      </c>
      <c r="T270" s="6">
        <v>2</v>
      </c>
      <c r="U270" s="5">
        <v>45136</v>
      </c>
      <c r="V270" s="6">
        <v>2</v>
      </c>
      <c r="W270" t="s">
        <v>71</v>
      </c>
      <c r="X270" s="6">
        <v>56</v>
      </c>
      <c r="Y270">
        <v>2.5470199999999998</v>
      </c>
      <c r="Z270">
        <v>3.5375277777777776</v>
      </c>
      <c r="AA270" s="6">
        <v>48.070293912101199</v>
      </c>
      <c r="AB270" s="4">
        <v>61.217999999999996</v>
      </c>
      <c r="AC270" s="6">
        <v>20.802868437387698</v>
      </c>
      <c r="AD270">
        <v>0.40438953500000002</v>
      </c>
      <c r="AE270">
        <v>1.9072007653545127</v>
      </c>
      <c r="AF270">
        <v>4625</v>
      </c>
      <c r="AG270" s="4">
        <v>1200</v>
      </c>
      <c r="AH270" s="4">
        <v>3700</v>
      </c>
      <c r="AL270">
        <v>43</v>
      </c>
      <c r="AM270">
        <v>1.96</v>
      </c>
      <c r="AN270" t="s">
        <v>77</v>
      </c>
      <c r="AO270" t="s">
        <v>198</v>
      </c>
      <c r="AP270" s="5">
        <v>45089</v>
      </c>
      <c r="AQ270" t="s">
        <v>93</v>
      </c>
      <c r="AR270" s="5">
        <v>45135</v>
      </c>
      <c r="AS270">
        <v>159.39283162283769</v>
      </c>
      <c r="AT270" s="6"/>
      <c r="AU270">
        <v>39.261568421135287</v>
      </c>
      <c r="AV270">
        <v>56.013851481338996</v>
      </c>
      <c r="AW270">
        <v>37.01533164246846</v>
      </c>
      <c r="AX270">
        <v>132.29075154494274</v>
      </c>
      <c r="AY270">
        <v>29.357818156119698</v>
      </c>
      <c r="AZ270">
        <v>40.720913067035205</v>
      </c>
      <c r="BA270">
        <v>8.8492552080470528</v>
      </c>
      <c r="BB270">
        <v>6.7798446812353266</v>
      </c>
      <c r="BC270">
        <v>19.164070168275085</v>
      </c>
      <c r="BD270">
        <v>104.87190128071236</v>
      </c>
      <c r="BE270">
        <v>-77.769821202817411</v>
      </c>
      <c r="BF270">
        <v>43.395713421959783</v>
      </c>
      <c r="BG270">
        <v>0.12097274461920204</v>
      </c>
      <c r="BH270">
        <v>43.516686166578978</v>
      </c>
      <c r="BI270">
        <v>280.67933899223414</v>
      </c>
      <c r="BJ270" s="6">
        <v>170</v>
      </c>
      <c r="BK270">
        <v>-121.28650736939643</v>
      </c>
      <c r="BL270" s="4">
        <v>-308.91916000000009</v>
      </c>
      <c r="BM270" t="s">
        <v>1310</v>
      </c>
      <c r="BN270" t="s">
        <v>65</v>
      </c>
      <c r="BO270">
        <v>7</v>
      </c>
      <c r="BP270">
        <v>2023</v>
      </c>
      <c r="BQ270" t="str">
        <f t="shared" si="21"/>
        <v>Roiphet17</v>
      </c>
      <c r="BR270">
        <f t="shared" si="22"/>
        <v>-281.90249000000017</v>
      </c>
      <c r="BS270">
        <f t="shared" si="23"/>
        <v>405.97673000000003</v>
      </c>
      <c r="BT270" s="6">
        <f t="shared" si="24"/>
        <v>-110.67933899223414</v>
      </c>
    </row>
    <row r="271" spans="1:72">
      <c r="A271" s="3" t="s">
        <v>967</v>
      </c>
      <c r="B271" s="3" t="s">
        <v>1174</v>
      </c>
      <c r="C271" s="3" t="s">
        <v>1285</v>
      </c>
      <c r="D271" s="2" t="s">
        <v>1350</v>
      </c>
      <c r="E271" s="4" t="str">
        <f t="shared" si="20"/>
        <v>Roiphet1B5-G10-0083</v>
      </c>
      <c r="F271">
        <v>1.1299999999999999</v>
      </c>
      <c r="G271">
        <v>1.5</v>
      </c>
      <c r="H271" t="s">
        <v>84</v>
      </c>
      <c r="I271" t="s">
        <v>67</v>
      </c>
      <c r="J271" t="s">
        <v>357</v>
      </c>
      <c r="K271" t="s">
        <v>89</v>
      </c>
      <c r="L271" t="s">
        <v>89</v>
      </c>
      <c r="M271">
        <v>0.86880466472303208</v>
      </c>
      <c r="N271" s="5">
        <v>44911</v>
      </c>
      <c r="O271" s="5">
        <v>44941</v>
      </c>
      <c r="P271">
        <v>0.42</v>
      </c>
      <c r="Q271" s="4">
        <v>155</v>
      </c>
      <c r="R271">
        <v>0.62</v>
      </c>
      <c r="S271" t="s">
        <v>70</v>
      </c>
      <c r="T271" s="6">
        <v>4</v>
      </c>
      <c r="U271" s="5">
        <v>45050</v>
      </c>
      <c r="V271" s="6">
        <v>2</v>
      </c>
      <c r="W271" t="s">
        <v>71</v>
      </c>
      <c r="X271" s="6">
        <v>109</v>
      </c>
      <c r="Y271">
        <v>8.6575199999999999</v>
      </c>
      <c r="Z271">
        <v>7.661522123893806</v>
      </c>
      <c r="AA271" s="6">
        <v>32.475466415324476</v>
      </c>
      <c r="AB271" s="4">
        <v>66.942142857142855</v>
      </c>
      <c r="AC271" s="6">
        <v>30.792475378525172</v>
      </c>
      <c r="AD271">
        <v>0.39319505399999999</v>
      </c>
      <c r="AE271">
        <v>2.0423669067489802</v>
      </c>
      <c r="AF271">
        <v>17150</v>
      </c>
      <c r="AG271" s="4">
        <v>2200</v>
      </c>
      <c r="AH271" s="4">
        <v>14900</v>
      </c>
      <c r="AL271">
        <v>23</v>
      </c>
      <c r="AM271">
        <v>4.4008199999999995</v>
      </c>
      <c r="AN271" t="s">
        <v>81</v>
      </c>
      <c r="AO271" t="s">
        <v>176</v>
      </c>
      <c r="AP271" s="5">
        <v>44942</v>
      </c>
      <c r="AQ271" t="s">
        <v>127</v>
      </c>
      <c r="AR271" s="5">
        <v>45047</v>
      </c>
      <c r="AS271">
        <v>241.84160128997678</v>
      </c>
      <c r="AT271" s="6"/>
      <c r="AU271">
        <v>24.256369029468022</v>
      </c>
      <c r="AV271">
        <v>61.21495185688282</v>
      </c>
      <c r="AW271">
        <v>15.973892061467946</v>
      </c>
      <c r="AX271">
        <v>101.44521294781879</v>
      </c>
      <c r="AY271">
        <v>24.794906624529887</v>
      </c>
      <c r="AZ271">
        <v>40.179964932220784</v>
      </c>
      <c r="BA271">
        <v>3.6511680019220285</v>
      </c>
      <c r="BB271">
        <v>4.9815859507110583</v>
      </c>
      <c r="BC271">
        <v>10.698954203975271</v>
      </c>
      <c r="BD271">
        <v>84.306579713359042</v>
      </c>
      <c r="BE271">
        <v>56.089808628798949</v>
      </c>
      <c r="BF271">
        <v>34.517584712481167</v>
      </c>
      <c r="BG271">
        <v>8.9522172631423313E-2</v>
      </c>
      <c r="BH271">
        <v>34.607106885112593</v>
      </c>
      <c r="BI271">
        <v>220.35889954629039</v>
      </c>
      <c r="BJ271" s="6">
        <v>192</v>
      </c>
      <c r="BK271">
        <v>21.482701743686377</v>
      </c>
      <c r="BL271" s="4">
        <v>185.98691999999969</v>
      </c>
      <c r="BM271" t="s">
        <v>1351</v>
      </c>
      <c r="BN271" t="s">
        <v>65</v>
      </c>
      <c r="BO271">
        <v>5</v>
      </c>
      <c r="BP271">
        <v>2023</v>
      </c>
      <c r="BQ271" t="str">
        <f t="shared" si="21"/>
        <v>Roiphet15</v>
      </c>
      <c r="BR271">
        <f t="shared" si="22"/>
        <v>-245.51773999999995</v>
      </c>
      <c r="BS271">
        <f t="shared" si="23"/>
        <v>2093.7484999999997</v>
      </c>
      <c r="BT271" s="6">
        <f t="shared" si="24"/>
        <v>-28.358899546290388</v>
      </c>
    </row>
    <row r="272" spans="1:72">
      <c r="A272" s="3" t="s">
        <v>967</v>
      </c>
      <c r="B272" s="3" t="s">
        <v>1174</v>
      </c>
      <c r="C272" s="3" t="s">
        <v>1285</v>
      </c>
      <c r="D272" s="2" t="s">
        <v>1348</v>
      </c>
      <c r="E272" s="4" t="str">
        <f t="shared" si="20"/>
        <v>Roiphet1B1-I01-0095</v>
      </c>
      <c r="F272">
        <v>0.72</v>
      </c>
      <c r="G272">
        <v>1.3</v>
      </c>
      <c r="H272" t="s">
        <v>72</v>
      </c>
      <c r="I272" t="s">
        <v>67</v>
      </c>
      <c r="J272" t="s">
        <v>357</v>
      </c>
      <c r="K272" t="s">
        <v>69</v>
      </c>
      <c r="L272" t="s">
        <v>69</v>
      </c>
      <c r="M272">
        <v>0.66775956284153004</v>
      </c>
      <c r="N272" s="5">
        <v>44977</v>
      </c>
      <c r="O272" s="5">
        <v>44999</v>
      </c>
      <c r="P272">
        <v>0.2</v>
      </c>
      <c r="Q272" s="4">
        <v>134</v>
      </c>
      <c r="R272">
        <v>0.7</v>
      </c>
      <c r="S272" t="s">
        <v>70</v>
      </c>
      <c r="T272" s="6">
        <v>4</v>
      </c>
      <c r="U272" s="5">
        <v>45099</v>
      </c>
      <c r="V272" s="6">
        <v>2</v>
      </c>
      <c r="W272" t="s">
        <v>71</v>
      </c>
      <c r="X272" s="6">
        <v>100</v>
      </c>
      <c r="Y272">
        <v>4.7992400000000002</v>
      </c>
      <c r="Z272">
        <v>6.6656111111111116</v>
      </c>
      <c r="AA272" s="6">
        <v>34.196872838199383</v>
      </c>
      <c r="AB272" s="4">
        <v>82.0595</v>
      </c>
      <c r="AC272" s="6">
        <v>29.242439936875073</v>
      </c>
      <c r="AD272">
        <v>0.39300000000000002</v>
      </c>
      <c r="AE272">
        <v>1.9638395961573134</v>
      </c>
      <c r="AF272">
        <v>9150</v>
      </c>
      <c r="AG272" s="4">
        <v>700</v>
      </c>
      <c r="AH272" s="4">
        <v>6110</v>
      </c>
      <c r="AL272">
        <v>25</v>
      </c>
      <c r="AM272">
        <v>2.6900500000000003</v>
      </c>
      <c r="AN272" t="s">
        <v>77</v>
      </c>
      <c r="AO272" t="s">
        <v>127</v>
      </c>
      <c r="AP272" s="5">
        <v>45005</v>
      </c>
      <c r="AQ272" t="s">
        <v>176</v>
      </c>
      <c r="AR272" s="5">
        <v>45096</v>
      </c>
      <c r="AS272">
        <v>186.57235937356751</v>
      </c>
      <c r="AT272" s="6"/>
      <c r="AU272">
        <v>20.836632466807245</v>
      </c>
      <c r="AV272">
        <v>56.341037330910737</v>
      </c>
      <c r="AW272">
        <v>15.109415240746459</v>
      </c>
      <c r="AX272">
        <v>92.28708503846444</v>
      </c>
      <c r="AY272">
        <v>22.251600253373454</v>
      </c>
      <c r="AZ272">
        <v>36.572223935456449</v>
      </c>
      <c r="BA272">
        <v>4.3233866195480948</v>
      </c>
      <c r="BB272">
        <v>3.8073715838341076</v>
      </c>
      <c r="BC272">
        <v>13.065385352680842</v>
      </c>
      <c r="BD272">
        <v>80.019967744892938</v>
      </c>
      <c r="BE272">
        <v>14.26530659021013</v>
      </c>
      <c r="BF272">
        <v>32.901874046724068</v>
      </c>
      <c r="BG272">
        <v>8.7647210808377993E-2</v>
      </c>
      <c r="BH272">
        <v>32.989521257532445</v>
      </c>
      <c r="BI272">
        <v>205.29657404088982</v>
      </c>
      <c r="BJ272" s="6">
        <v>189</v>
      </c>
      <c r="BK272">
        <v>-18.724214667322325</v>
      </c>
      <c r="BL272" s="4">
        <v>-89.861999999999995</v>
      </c>
      <c r="BM272" t="s">
        <v>1349</v>
      </c>
      <c r="BN272" t="s">
        <v>65</v>
      </c>
      <c r="BO272">
        <v>6</v>
      </c>
      <c r="BP272">
        <v>2023</v>
      </c>
      <c r="BQ272" t="str">
        <f t="shared" si="21"/>
        <v>Roiphet16</v>
      </c>
      <c r="BR272">
        <f t="shared" si="22"/>
        <v>-78.211170000000081</v>
      </c>
      <c r="BS272">
        <f t="shared" si="23"/>
        <v>895.40553000000011</v>
      </c>
      <c r="BT272" s="6">
        <f t="shared" si="24"/>
        <v>-16.296574040889823</v>
      </c>
    </row>
    <row r="273" spans="1:72">
      <c r="A273" s="3" t="s">
        <v>967</v>
      </c>
      <c r="B273" s="3" t="s">
        <v>1174</v>
      </c>
      <c r="C273" s="3" t="s">
        <v>1285</v>
      </c>
      <c r="D273" s="2" t="s">
        <v>1336</v>
      </c>
      <c r="E273" s="4" t="str">
        <f t="shared" si="20"/>
        <v>Roiphet1B6-I12-0086</v>
      </c>
      <c r="F273">
        <v>0.72</v>
      </c>
      <c r="G273">
        <v>1.3</v>
      </c>
      <c r="H273" t="s">
        <v>72</v>
      </c>
      <c r="I273" t="s">
        <v>67</v>
      </c>
      <c r="J273" t="s">
        <v>357</v>
      </c>
      <c r="K273" t="s">
        <v>89</v>
      </c>
      <c r="L273" t="s">
        <v>89</v>
      </c>
      <c r="M273">
        <v>0.74120122417750578</v>
      </c>
      <c r="N273" s="5">
        <v>44960</v>
      </c>
      <c r="O273" s="5">
        <v>44985</v>
      </c>
      <c r="P273">
        <v>0.22</v>
      </c>
      <c r="Q273" s="4">
        <v>147</v>
      </c>
      <c r="R273">
        <v>0.41</v>
      </c>
      <c r="S273" t="s">
        <v>70</v>
      </c>
      <c r="T273" s="6">
        <v>3</v>
      </c>
      <c r="U273" s="5">
        <v>45086</v>
      </c>
      <c r="V273" s="6">
        <v>2</v>
      </c>
      <c r="W273" t="s">
        <v>71</v>
      </c>
      <c r="X273" s="6">
        <v>101</v>
      </c>
      <c r="Y273">
        <v>4.4846300000000001</v>
      </c>
      <c r="Z273">
        <v>6.2286527777777785</v>
      </c>
      <c r="AA273" s="6">
        <v>37.031148612037114</v>
      </c>
      <c r="AB273" s="4">
        <v>75.48681818181818</v>
      </c>
      <c r="AC273" s="6">
        <v>27.004293344412932</v>
      </c>
      <c r="AD273">
        <v>0.391980198</v>
      </c>
      <c r="AE273">
        <v>2.3793757097052404</v>
      </c>
      <c r="AF273">
        <v>10456</v>
      </c>
      <c r="AG273" s="4">
        <v>1400</v>
      </c>
      <c r="AH273" s="4">
        <v>7750</v>
      </c>
      <c r="AL273">
        <v>25</v>
      </c>
      <c r="AM273">
        <v>3.03973</v>
      </c>
      <c r="AN273" t="s">
        <v>81</v>
      </c>
      <c r="AO273" t="s">
        <v>116</v>
      </c>
      <c r="AP273" s="5">
        <v>44991</v>
      </c>
      <c r="AQ273" t="s">
        <v>144</v>
      </c>
      <c r="AR273" s="5">
        <v>45079</v>
      </c>
      <c r="AS273">
        <v>182.26949826407085</v>
      </c>
      <c r="AT273" s="6"/>
      <c r="AU273">
        <v>22.075399754271814</v>
      </c>
      <c r="AV273">
        <v>63.065818138843113</v>
      </c>
      <c r="AW273">
        <v>25.933049103270509</v>
      </c>
      <c r="AX273">
        <v>111.07426699638543</v>
      </c>
      <c r="AY273">
        <v>25.570689220738391</v>
      </c>
      <c r="AZ273">
        <v>42.22630183537995</v>
      </c>
      <c r="BA273">
        <v>4.4275023803524487</v>
      </c>
      <c r="BB273">
        <v>5.198620621991112</v>
      </c>
      <c r="BC273">
        <v>13.673618559390629</v>
      </c>
      <c r="BD273">
        <v>91.096732617852552</v>
      </c>
      <c r="BE273">
        <v>-19.901501350167138</v>
      </c>
      <c r="BF273">
        <v>37.636641149883047</v>
      </c>
      <c r="BG273">
        <v>9.7617863681061762E-2</v>
      </c>
      <c r="BH273">
        <v>37.734259013564106</v>
      </c>
      <c r="BI273">
        <v>239.90525862780203</v>
      </c>
      <c r="BJ273" s="6">
        <v>185</v>
      </c>
      <c r="BK273">
        <v>-57.635760363731166</v>
      </c>
      <c r="BL273" s="4">
        <v>-258.4750599999997</v>
      </c>
      <c r="BM273" t="s">
        <v>1337</v>
      </c>
      <c r="BN273" t="s">
        <v>65</v>
      </c>
      <c r="BO273">
        <v>6</v>
      </c>
      <c r="BP273">
        <v>2023</v>
      </c>
      <c r="BQ273" t="str">
        <f t="shared" si="21"/>
        <v>Roiphet16</v>
      </c>
      <c r="BR273">
        <f t="shared" si="22"/>
        <v>-246.2297699999998</v>
      </c>
      <c r="BS273">
        <f t="shared" si="23"/>
        <v>817.41126000000008</v>
      </c>
      <c r="BT273" s="6">
        <f t="shared" si="24"/>
        <v>-54.905258627802027</v>
      </c>
    </row>
    <row r="274" spans="1:72">
      <c r="A274" s="3" t="s">
        <v>967</v>
      </c>
      <c r="B274" s="3" t="s">
        <v>1174</v>
      </c>
      <c r="C274" s="3" t="s">
        <v>1285</v>
      </c>
      <c r="D274" s="2" t="s">
        <v>1324</v>
      </c>
      <c r="E274" s="4" t="str">
        <f t="shared" si="20"/>
        <v>Roiphet1B2-G04-0092</v>
      </c>
      <c r="F274">
        <v>1.1299999999999999</v>
      </c>
      <c r="G274">
        <v>1.5</v>
      </c>
      <c r="H274" t="s">
        <v>84</v>
      </c>
      <c r="I274" t="s">
        <v>67</v>
      </c>
      <c r="J274" t="s">
        <v>357</v>
      </c>
      <c r="K274" t="s">
        <v>89</v>
      </c>
      <c r="L274" t="s">
        <v>89</v>
      </c>
      <c r="M274">
        <v>0.96</v>
      </c>
      <c r="N274" s="5">
        <v>44995</v>
      </c>
      <c r="O274" s="5">
        <v>45020</v>
      </c>
      <c r="P274">
        <v>0.4</v>
      </c>
      <c r="Q274" s="4">
        <v>147</v>
      </c>
      <c r="R274">
        <v>0.43</v>
      </c>
      <c r="S274" t="s">
        <v>70</v>
      </c>
      <c r="T274" s="6">
        <v>3</v>
      </c>
      <c r="U274" s="5">
        <v>45104</v>
      </c>
      <c r="V274" s="6">
        <v>2</v>
      </c>
      <c r="W274" t="s">
        <v>71</v>
      </c>
      <c r="X274" s="6">
        <v>84</v>
      </c>
      <c r="Y274">
        <v>5.9431700000000003</v>
      </c>
      <c r="Z274">
        <v>5.2594424778761066</v>
      </c>
      <c r="AA274" s="6">
        <v>39.692790211284553</v>
      </c>
      <c r="AB274" s="4">
        <v>58.975250000000003</v>
      </c>
      <c r="AC274" s="6">
        <v>25.193492185281112</v>
      </c>
      <c r="AD274">
        <v>0.39170634900000001</v>
      </c>
      <c r="AE274">
        <v>2.1659386224976909</v>
      </c>
      <c r="AF274">
        <v>12500</v>
      </c>
      <c r="AG274" s="4">
        <v>600</v>
      </c>
      <c r="AH274" s="4">
        <v>12000</v>
      </c>
      <c r="AL274">
        <v>30</v>
      </c>
      <c r="AM274">
        <v>3.3457800000000004</v>
      </c>
      <c r="AN274" t="s">
        <v>77</v>
      </c>
      <c r="AO274" t="s">
        <v>144</v>
      </c>
      <c r="AP274" s="5">
        <v>45026</v>
      </c>
      <c r="AQ274" t="s">
        <v>176</v>
      </c>
      <c r="AR274" s="5">
        <v>45096</v>
      </c>
      <c r="AS274">
        <v>165.42085620973319</v>
      </c>
      <c r="AT274" s="6"/>
      <c r="AU274">
        <v>30.286867109640141</v>
      </c>
      <c r="AV274">
        <v>61.814220357149466</v>
      </c>
      <c r="AW274">
        <v>22.488436305877162</v>
      </c>
      <c r="AX274">
        <v>114.58952377266678</v>
      </c>
      <c r="AY274">
        <v>24.646927481461915</v>
      </c>
      <c r="AZ274">
        <v>40.613717931676192</v>
      </c>
      <c r="BA274">
        <v>5.0853601697410644</v>
      </c>
      <c r="BB274">
        <v>3.7330666967291868</v>
      </c>
      <c r="BC274">
        <v>15.111154484896106</v>
      </c>
      <c r="BD274">
        <v>89.190226764504473</v>
      </c>
      <c r="BE274">
        <v>-38.358894327438065</v>
      </c>
      <c r="BF274">
        <v>36.284215326164315</v>
      </c>
      <c r="BG274">
        <v>9.8434000710058769E-2</v>
      </c>
      <c r="BH274">
        <v>36.382649326874379</v>
      </c>
      <c r="BI274">
        <v>240.16239986404557</v>
      </c>
      <c r="BJ274" s="6">
        <v>183</v>
      </c>
      <c r="BK274">
        <v>-74.74154365431238</v>
      </c>
      <c r="BL274" s="4">
        <v>-444.20169999999973</v>
      </c>
      <c r="BM274" t="s">
        <v>1325</v>
      </c>
      <c r="BN274" t="s">
        <v>65</v>
      </c>
      <c r="BO274">
        <v>6</v>
      </c>
      <c r="BP274">
        <v>2023</v>
      </c>
      <c r="BQ274" t="str">
        <f t="shared" si="21"/>
        <v>Roiphet16</v>
      </c>
      <c r="BR274">
        <f t="shared" si="22"/>
        <v>-339.72585999999973</v>
      </c>
      <c r="BS274">
        <f t="shared" si="23"/>
        <v>983.12427000000002</v>
      </c>
      <c r="BT274" s="6">
        <f t="shared" si="24"/>
        <v>-57.162399864045568</v>
      </c>
    </row>
    <row r="275" spans="1:72">
      <c r="A275" s="3" t="s">
        <v>967</v>
      </c>
      <c r="B275" s="3" t="s">
        <v>1174</v>
      </c>
      <c r="C275" s="3" t="s">
        <v>1285</v>
      </c>
      <c r="D275" s="2" t="s">
        <v>1362</v>
      </c>
      <c r="E275" s="4" t="str">
        <f t="shared" si="20"/>
        <v>Roiphet1B5-I10-0090</v>
      </c>
      <c r="F275">
        <v>0.72</v>
      </c>
      <c r="G275">
        <v>1.3</v>
      </c>
      <c r="H275" t="s">
        <v>72</v>
      </c>
      <c r="I275" t="s">
        <v>67</v>
      </c>
      <c r="J275" t="s">
        <v>357</v>
      </c>
      <c r="K275" t="s">
        <v>69</v>
      </c>
      <c r="L275" t="s">
        <v>69</v>
      </c>
      <c r="M275">
        <v>0.76070528967254403</v>
      </c>
      <c r="N275" s="5">
        <v>44910</v>
      </c>
      <c r="O275" s="5">
        <v>44939</v>
      </c>
      <c r="P275">
        <v>0.22</v>
      </c>
      <c r="Q275" s="4">
        <v>147</v>
      </c>
      <c r="R275">
        <v>0.53</v>
      </c>
      <c r="S275" t="s">
        <v>70</v>
      </c>
      <c r="T275" s="6">
        <v>4</v>
      </c>
      <c r="U275" s="5">
        <v>45050</v>
      </c>
      <c r="V275" s="6">
        <v>2</v>
      </c>
      <c r="W275" t="s">
        <v>71</v>
      </c>
      <c r="X275" s="6">
        <v>111</v>
      </c>
      <c r="Y275">
        <v>4.8887499999999999</v>
      </c>
      <c r="Z275">
        <v>6.7899305555555554</v>
      </c>
      <c r="AA275" s="6">
        <v>29.751572487854769</v>
      </c>
      <c r="AB275" s="4">
        <v>66.11272727272727</v>
      </c>
      <c r="AC275" s="6">
        <v>33.611668775094877</v>
      </c>
      <c r="AD275">
        <v>0.38692126900000001</v>
      </c>
      <c r="AE275">
        <v>2.0797753633058478</v>
      </c>
      <c r="AF275">
        <v>9925</v>
      </c>
      <c r="AG275" s="4">
        <v>1400</v>
      </c>
      <c r="AH275" s="4">
        <v>7550</v>
      </c>
      <c r="AL275">
        <v>23</v>
      </c>
      <c r="AM275">
        <v>2.68282</v>
      </c>
      <c r="AN275" t="s">
        <v>81</v>
      </c>
      <c r="AO275" t="s">
        <v>176</v>
      </c>
      <c r="AP275" s="5">
        <v>44942</v>
      </c>
      <c r="AQ275" t="s">
        <v>127</v>
      </c>
      <c r="AR275" s="5">
        <v>45047</v>
      </c>
      <c r="AS275">
        <v>247.70744464331372</v>
      </c>
      <c r="AT275" s="6"/>
      <c r="AU275">
        <v>20.250575300434672</v>
      </c>
      <c r="AV275">
        <v>63.208370237790852</v>
      </c>
      <c r="AW275">
        <v>19.100590130401429</v>
      </c>
      <c r="AX275">
        <v>102.55953566862696</v>
      </c>
      <c r="AY275">
        <v>28.233239580669906</v>
      </c>
      <c r="AZ275">
        <v>45.673435949884947</v>
      </c>
      <c r="BA275">
        <v>4.1603436461263117</v>
      </c>
      <c r="BB275">
        <v>5.712077729480951</v>
      </c>
      <c r="BC275">
        <v>12.181218102787012</v>
      </c>
      <c r="BD275">
        <v>95.960315008949109</v>
      </c>
      <c r="BE275">
        <v>49.187593965737634</v>
      </c>
      <c r="BF275">
        <v>39.248775249296855</v>
      </c>
      <c r="BG275">
        <v>0.10181334697008437</v>
      </c>
      <c r="BH275">
        <v>39.350588596266938</v>
      </c>
      <c r="BI275">
        <v>237.87043927384292</v>
      </c>
      <c r="BJ275" s="6">
        <v>200</v>
      </c>
      <c r="BK275">
        <v>9.837005369470802</v>
      </c>
      <c r="BL275" s="4">
        <v>48.090660000000383</v>
      </c>
      <c r="BM275" t="s">
        <v>1363</v>
      </c>
      <c r="BN275" t="s">
        <v>65</v>
      </c>
      <c r="BO275">
        <v>5</v>
      </c>
      <c r="BP275">
        <v>2023</v>
      </c>
      <c r="BQ275" t="str">
        <f t="shared" si="21"/>
        <v>Roiphet15</v>
      </c>
      <c r="BR275">
        <f t="shared" si="22"/>
        <v>-185.13910999999956</v>
      </c>
      <c r="BS275">
        <f t="shared" si="23"/>
        <v>1210.9797699999999</v>
      </c>
      <c r="BT275" s="6">
        <f t="shared" si="24"/>
        <v>-37.870439273842919</v>
      </c>
    </row>
    <row r="276" spans="1:72">
      <c r="A276" s="3" t="s">
        <v>967</v>
      </c>
      <c r="B276" s="3" t="s">
        <v>1174</v>
      </c>
      <c r="C276" s="3" t="s">
        <v>1285</v>
      </c>
      <c r="D276" s="2" t="s">
        <v>1358</v>
      </c>
      <c r="E276" s="4" t="str">
        <f t="shared" si="20"/>
        <v>Roiphet1B5-I09-0093</v>
      </c>
      <c r="F276">
        <v>0.72</v>
      </c>
      <c r="G276">
        <v>1.3</v>
      </c>
      <c r="H276" t="s">
        <v>72</v>
      </c>
      <c r="I276" t="s">
        <v>67</v>
      </c>
      <c r="J276" t="s">
        <v>357</v>
      </c>
      <c r="K276" t="s">
        <v>69</v>
      </c>
      <c r="L276" t="s">
        <v>69</v>
      </c>
      <c r="M276">
        <v>0.78036175710594313</v>
      </c>
      <c r="N276" s="5">
        <v>44910</v>
      </c>
      <c r="O276" s="5">
        <v>44939</v>
      </c>
      <c r="P276">
        <v>0.22</v>
      </c>
      <c r="Q276" s="4">
        <v>147</v>
      </c>
      <c r="R276">
        <v>0.53</v>
      </c>
      <c r="S276" t="s">
        <v>70</v>
      </c>
      <c r="T276" s="6">
        <v>4</v>
      </c>
      <c r="U276" s="5">
        <v>45051</v>
      </c>
      <c r="V276" s="6">
        <v>2</v>
      </c>
      <c r="W276" t="s">
        <v>71</v>
      </c>
      <c r="X276" s="6">
        <v>112</v>
      </c>
      <c r="Y276">
        <v>5.0091000000000001</v>
      </c>
      <c r="Z276">
        <v>6.9570833333333342</v>
      </c>
      <c r="AA276" s="6">
        <v>31.974206943363075</v>
      </c>
      <c r="AB276" s="4">
        <v>72.800909090909087</v>
      </c>
      <c r="AC276" s="6">
        <v>31.275208851038329</v>
      </c>
      <c r="AD276">
        <v>0.38346661500000001</v>
      </c>
      <c r="AE276">
        <v>1.9775166070516097</v>
      </c>
      <c r="AF276">
        <v>9675</v>
      </c>
      <c r="AG276" s="4">
        <v>1400</v>
      </c>
      <c r="AH276" s="4">
        <v>7550</v>
      </c>
      <c r="AL276">
        <v>23</v>
      </c>
      <c r="AM276">
        <v>2.6734800000000001</v>
      </c>
      <c r="AN276" t="s">
        <v>81</v>
      </c>
      <c r="AO276" t="s">
        <v>176</v>
      </c>
      <c r="AP276" s="5">
        <v>44942</v>
      </c>
      <c r="AQ276" t="s">
        <v>127</v>
      </c>
      <c r="AR276" s="5">
        <v>45047</v>
      </c>
      <c r="AS276">
        <v>246.93425166197525</v>
      </c>
      <c r="AT276" s="6"/>
      <c r="AU276">
        <v>19.764029466371202</v>
      </c>
      <c r="AV276">
        <v>60.001457347627309</v>
      </c>
      <c r="AW276">
        <v>18.985791858816953</v>
      </c>
      <c r="AX276">
        <v>98.751278672815474</v>
      </c>
      <c r="AY276">
        <v>27.725064382823259</v>
      </c>
      <c r="AZ276">
        <v>44.877129624084169</v>
      </c>
      <c r="BA276">
        <v>4.1051266694615789</v>
      </c>
      <c r="BB276">
        <v>5.6086263001337562</v>
      </c>
      <c r="BC276">
        <v>11.99710526841149</v>
      </c>
      <c r="BD276">
        <v>94.313052244914246</v>
      </c>
      <c r="BE276">
        <v>53.869920744245547</v>
      </c>
      <c r="BF276">
        <v>38.560338184504204</v>
      </c>
      <c r="BG276">
        <v>0.10003393823241701</v>
      </c>
      <c r="BH276">
        <v>38.660372122736618</v>
      </c>
      <c r="BI276">
        <v>231.72470304046638</v>
      </c>
      <c r="BJ276" s="6">
        <v>192</v>
      </c>
      <c r="BK276">
        <v>15.209548621508882</v>
      </c>
      <c r="BL276" s="4">
        <v>76.18615000000014</v>
      </c>
      <c r="BM276" t="s">
        <v>1359</v>
      </c>
      <c r="BN276" t="s">
        <v>65</v>
      </c>
      <c r="BO276">
        <v>5</v>
      </c>
      <c r="BP276">
        <v>2023</v>
      </c>
      <c r="BQ276" t="str">
        <f t="shared" si="21"/>
        <v>Roiphet15</v>
      </c>
      <c r="BR276">
        <f t="shared" si="22"/>
        <v>-198.98501000000016</v>
      </c>
      <c r="BS276">
        <f t="shared" si="23"/>
        <v>1236.9183600000003</v>
      </c>
      <c r="BT276" s="6">
        <f t="shared" si="24"/>
        <v>-39.72470304046638</v>
      </c>
    </row>
    <row r="277" spans="1:72">
      <c r="A277" s="3" t="s">
        <v>967</v>
      </c>
      <c r="B277" s="3" t="s">
        <v>1174</v>
      </c>
      <c r="C277" s="3" t="s">
        <v>1285</v>
      </c>
      <c r="D277" s="2" t="s">
        <v>1328</v>
      </c>
      <c r="E277" s="4" t="str">
        <f t="shared" si="20"/>
        <v>Roiphet1B4-G07-0076</v>
      </c>
      <c r="F277">
        <v>1.1299999999999999</v>
      </c>
      <c r="G277">
        <v>1.5</v>
      </c>
      <c r="H277" t="s">
        <v>84</v>
      </c>
      <c r="I277" t="s">
        <v>67</v>
      </c>
      <c r="J277" t="s">
        <v>357</v>
      </c>
      <c r="K277" t="s">
        <v>89</v>
      </c>
      <c r="L277" t="s">
        <v>89</v>
      </c>
      <c r="M277">
        <v>0.77721857679811424</v>
      </c>
      <c r="N277" s="5">
        <v>44849</v>
      </c>
      <c r="O277" s="5">
        <v>44878</v>
      </c>
      <c r="P277">
        <v>0.47</v>
      </c>
      <c r="Q277" s="4">
        <v>173</v>
      </c>
      <c r="R277">
        <v>0.45</v>
      </c>
      <c r="S277" t="s">
        <v>70</v>
      </c>
      <c r="T277" s="6">
        <v>4</v>
      </c>
      <c r="U277" s="5">
        <v>44998</v>
      </c>
      <c r="V277" s="6">
        <v>2</v>
      </c>
      <c r="W277" t="s">
        <v>71</v>
      </c>
      <c r="X277" s="6">
        <v>120.00000000000001</v>
      </c>
      <c r="Y277">
        <v>7.8161800000000001</v>
      </c>
      <c r="Z277">
        <v>6.9169734513274346</v>
      </c>
      <c r="AA277" s="6">
        <v>38.632170702312379</v>
      </c>
      <c r="AB277" s="4">
        <v>64.245957446808504</v>
      </c>
      <c r="AC277" s="6">
        <v>25.885162076593943</v>
      </c>
      <c r="AD277">
        <v>0.37503787900000002</v>
      </c>
      <c r="AE277">
        <v>2.06412367121299</v>
      </c>
      <c r="AF277">
        <v>15697</v>
      </c>
      <c r="AG277" s="4">
        <v>0</v>
      </c>
      <c r="AH277" s="4">
        <v>12200</v>
      </c>
      <c r="AL277">
        <v>22</v>
      </c>
      <c r="AM277">
        <v>3.9163200000000002</v>
      </c>
      <c r="AN277" t="s">
        <v>81</v>
      </c>
      <c r="AO277" t="s">
        <v>215</v>
      </c>
      <c r="AP277" s="5">
        <v>44900</v>
      </c>
      <c r="AQ277" t="s">
        <v>198</v>
      </c>
      <c r="AR277" s="5">
        <v>44984</v>
      </c>
      <c r="AS277">
        <v>268.08439160817687</v>
      </c>
      <c r="AT277" s="6"/>
      <c r="AU277">
        <v>24.052670230214758</v>
      </c>
      <c r="AV277">
        <v>65.34059988383072</v>
      </c>
      <c r="AW277">
        <v>20.173202254809894</v>
      </c>
      <c r="AX277">
        <v>109.56647236885537</v>
      </c>
      <c r="AY277">
        <v>34.887576795826085</v>
      </c>
      <c r="AZ277">
        <v>46.072534153512329</v>
      </c>
      <c r="BA277">
        <v>7.0721029966044791</v>
      </c>
      <c r="BB277">
        <v>10.084171551832222</v>
      </c>
      <c r="BC277">
        <v>14.638906729374199</v>
      </c>
      <c r="BD277">
        <v>112.75529222714933</v>
      </c>
      <c r="BE277">
        <v>45.76262701217216</v>
      </c>
      <c r="BF277">
        <v>42.856475925580021</v>
      </c>
      <c r="BG277">
        <v>0.11284156710822932</v>
      </c>
      <c r="BH277">
        <v>42.969317492688248</v>
      </c>
      <c r="BI277">
        <v>265.29108208869292</v>
      </c>
      <c r="BJ277" s="6">
        <v>184</v>
      </c>
      <c r="BK277">
        <v>2.7933095194839432</v>
      </c>
      <c r="BL277" s="4">
        <v>21.833010000000009</v>
      </c>
      <c r="BM277" t="s">
        <v>1329</v>
      </c>
      <c r="BN277" t="s">
        <v>65</v>
      </c>
      <c r="BO277">
        <v>3</v>
      </c>
      <c r="BP277">
        <v>2023</v>
      </c>
      <c r="BQ277" t="str">
        <f t="shared" si="21"/>
        <v>Roiphet13</v>
      </c>
      <c r="BR277">
        <f t="shared" si="22"/>
        <v>-635.38572999999985</v>
      </c>
      <c r="BS277">
        <f t="shared" si="23"/>
        <v>2095.3958600000001</v>
      </c>
      <c r="BT277" s="6">
        <f t="shared" si="24"/>
        <v>-81.291082088692917</v>
      </c>
    </row>
    <row r="278" spans="1:72">
      <c r="A278" s="3" t="s">
        <v>967</v>
      </c>
      <c r="B278" s="3" t="s">
        <v>1174</v>
      </c>
      <c r="C278" s="3" t="s">
        <v>1285</v>
      </c>
      <c r="D278" s="2" t="s">
        <v>2775</v>
      </c>
      <c r="E278" s="4" t="str">
        <f t="shared" si="20"/>
        <v>Roiphet1B1-G02-0089</v>
      </c>
      <c r="F278">
        <v>1.1299999999999999</v>
      </c>
      <c r="G278">
        <v>1.5</v>
      </c>
      <c r="H278" t="s">
        <v>84</v>
      </c>
      <c r="I278" t="s">
        <v>67</v>
      </c>
      <c r="J278" t="s">
        <v>357</v>
      </c>
      <c r="K278" t="s">
        <v>69</v>
      </c>
      <c r="L278" t="s">
        <v>69</v>
      </c>
      <c r="N278" s="5">
        <v>45100</v>
      </c>
      <c r="O278" s="5">
        <v>45182</v>
      </c>
      <c r="P278">
        <v>0.5</v>
      </c>
      <c r="Q278" s="4">
        <v>184</v>
      </c>
      <c r="R278">
        <v>1.95</v>
      </c>
      <c r="S278" t="s">
        <v>70</v>
      </c>
      <c r="T278" s="6">
        <v>5</v>
      </c>
      <c r="U278" s="5">
        <v>45280</v>
      </c>
      <c r="V278" s="6">
        <v>1</v>
      </c>
      <c r="W278" t="s">
        <v>86</v>
      </c>
      <c r="X278" s="6">
        <v>98.000000000000014</v>
      </c>
      <c r="Y278">
        <v>10.75098</v>
      </c>
      <c r="Z278">
        <v>9.514141592920355</v>
      </c>
      <c r="AA278" s="6">
        <v>37.599456049588042</v>
      </c>
      <c r="AB278" s="4">
        <v>80.846199999999996</v>
      </c>
      <c r="AC278" s="6">
        <v>26.596129440839515</v>
      </c>
      <c r="AD278">
        <v>0.37256671899999999</v>
      </c>
      <c r="AE278">
        <v>2.1036254165822763</v>
      </c>
      <c r="AF278">
        <v>20565</v>
      </c>
      <c r="AG278" s="4">
        <v>0</v>
      </c>
      <c r="AH278" s="4"/>
      <c r="AL278">
        <v>26.000000000000004</v>
      </c>
      <c r="AM278">
        <v>5.1779399999999995</v>
      </c>
      <c r="AN278" t="s">
        <v>81</v>
      </c>
      <c r="AO278" t="s">
        <v>92</v>
      </c>
      <c r="AP278" s="5">
        <v>45191</v>
      </c>
      <c r="AQ278" t="s">
        <v>438</v>
      </c>
      <c r="AR278" s="5">
        <v>45271</v>
      </c>
      <c r="AS278">
        <v>219.11112475327835</v>
      </c>
      <c r="AT278" s="6"/>
      <c r="AU278">
        <v>46.507388163683693</v>
      </c>
      <c r="AV278">
        <v>58.312734280967888</v>
      </c>
      <c r="AW278">
        <v>25.235250181843888</v>
      </c>
      <c r="AX278">
        <v>130.05537262649545</v>
      </c>
      <c r="AY278">
        <v>27.951108643119046</v>
      </c>
      <c r="AZ278">
        <v>27.696929024144783</v>
      </c>
      <c r="BA278">
        <v>17.758945696113283</v>
      </c>
      <c r="BB278">
        <v>8.3895012361663763</v>
      </c>
      <c r="BC278">
        <v>17.314872690675639</v>
      </c>
      <c r="BD278">
        <v>99.111357290219132</v>
      </c>
      <c r="BE278">
        <v>-10.05560516343624</v>
      </c>
      <c r="BF278">
        <v>35.282771431069541</v>
      </c>
      <c r="BG278">
        <v>0.12412077782676557</v>
      </c>
      <c r="BH278">
        <v>35.406892208896302</v>
      </c>
      <c r="BI278">
        <v>264.573622125611</v>
      </c>
      <c r="BJ278" s="6">
        <v>185</v>
      </c>
      <c r="BK278">
        <v>-45.462497372332649</v>
      </c>
      <c r="BL278" s="4">
        <v>-488.76640000000083</v>
      </c>
      <c r="BM278" t="s">
        <v>2776</v>
      </c>
      <c r="BN278" t="s">
        <v>65</v>
      </c>
      <c r="BO278">
        <v>12</v>
      </c>
      <c r="BP278">
        <v>2023</v>
      </c>
      <c r="BQ278" t="str">
        <f t="shared" si="21"/>
        <v>Roiphet112</v>
      </c>
      <c r="BR278">
        <f t="shared" si="22"/>
        <v>-855.49442000000136</v>
      </c>
      <c r="BS278">
        <f t="shared" si="23"/>
        <v>2355.6593200000007</v>
      </c>
      <c r="BT278" s="6">
        <f t="shared" si="24"/>
        <v>-79.573622125610996</v>
      </c>
    </row>
    <row r="279" spans="1:72">
      <c r="A279" s="3" t="s">
        <v>967</v>
      </c>
      <c r="B279" s="3" t="s">
        <v>1174</v>
      </c>
      <c r="C279" s="3" t="s">
        <v>1285</v>
      </c>
      <c r="D279" s="2" t="s">
        <v>1334</v>
      </c>
      <c r="E279" s="4" t="str">
        <f t="shared" si="20"/>
        <v>Roiphet1B4-I08-0089</v>
      </c>
      <c r="F279">
        <v>0.72</v>
      </c>
      <c r="G279">
        <v>1.3</v>
      </c>
      <c r="H279" t="s">
        <v>72</v>
      </c>
      <c r="I279" t="s">
        <v>67</v>
      </c>
      <c r="J279" t="s">
        <v>357</v>
      </c>
      <c r="K279" t="s">
        <v>89</v>
      </c>
      <c r="L279" t="s">
        <v>89</v>
      </c>
      <c r="M279">
        <v>0.89350573877669626</v>
      </c>
      <c r="N279" s="5">
        <v>45002</v>
      </c>
      <c r="O279" s="5">
        <v>45026</v>
      </c>
      <c r="P279">
        <v>0.2</v>
      </c>
      <c r="Q279" s="4">
        <v>134</v>
      </c>
      <c r="R279">
        <v>0.5</v>
      </c>
      <c r="S279" t="s">
        <v>70</v>
      </c>
      <c r="T279" s="6">
        <v>3</v>
      </c>
      <c r="U279" s="5">
        <v>45133</v>
      </c>
      <c r="V279" s="6">
        <v>2</v>
      </c>
      <c r="W279" t="s">
        <v>71</v>
      </c>
      <c r="X279" s="6">
        <v>107.00000000000001</v>
      </c>
      <c r="Y279">
        <v>3.5112100000000002</v>
      </c>
      <c r="Z279">
        <v>4.8766805555555557</v>
      </c>
      <c r="AA279" s="6">
        <v>37.159554683428219</v>
      </c>
      <c r="AB279" s="4">
        <v>65.237499999999997</v>
      </c>
      <c r="AC279" s="6">
        <v>26.910979114772946</v>
      </c>
      <c r="AD279">
        <v>0.369158879</v>
      </c>
      <c r="AE279">
        <v>2.0177590942803287</v>
      </c>
      <c r="AF279">
        <v>6883</v>
      </c>
      <c r="AG279" s="4">
        <v>100</v>
      </c>
      <c r="AH279" s="4">
        <v>6150</v>
      </c>
      <c r="AL279">
        <v>25</v>
      </c>
      <c r="AM279">
        <v>1.9448299999999998</v>
      </c>
      <c r="AN279" t="s">
        <v>77</v>
      </c>
      <c r="AO279" t="s">
        <v>117</v>
      </c>
      <c r="AP279" s="5">
        <v>45030</v>
      </c>
      <c r="AQ279" t="s">
        <v>189</v>
      </c>
      <c r="AR279" s="5">
        <v>45110</v>
      </c>
      <c r="AS279">
        <v>182.70024293619579</v>
      </c>
      <c r="AT279" s="6"/>
      <c r="AU279">
        <v>25.632189473144589</v>
      </c>
      <c r="AV279">
        <v>57.175517841427876</v>
      </c>
      <c r="AW279">
        <v>29.556047630304096</v>
      </c>
      <c r="AX279">
        <v>112.36375494487655</v>
      </c>
      <c r="AY279">
        <v>31.947479643769526</v>
      </c>
      <c r="AZ279">
        <v>50.216110685490186</v>
      </c>
      <c r="BA279">
        <v>7.6507984427020883</v>
      </c>
      <c r="BB279">
        <v>6.0331082447361455</v>
      </c>
      <c r="BC279">
        <v>19.872488401434268</v>
      </c>
      <c r="BD279">
        <v>115.71998541813223</v>
      </c>
      <c r="BE279">
        <v>-45.38349742681298</v>
      </c>
      <c r="BF279">
        <v>48.434627948769794</v>
      </c>
      <c r="BG279">
        <v>0.13163838107091289</v>
      </c>
      <c r="BH279">
        <v>48.566266329840708</v>
      </c>
      <c r="BI279">
        <v>276.6500066928495</v>
      </c>
      <c r="BJ279" s="6">
        <v>185</v>
      </c>
      <c r="BK279">
        <v>-93.949763756653681</v>
      </c>
      <c r="BL279" s="4">
        <v>-329.87734999999998</v>
      </c>
      <c r="BM279" t="s">
        <v>1335</v>
      </c>
      <c r="BN279" t="s">
        <v>65</v>
      </c>
      <c r="BO279">
        <v>7</v>
      </c>
      <c r="BP279">
        <v>2023</v>
      </c>
      <c r="BQ279" t="str">
        <f t="shared" si="21"/>
        <v>Roiphet17</v>
      </c>
      <c r="BR279">
        <f t="shared" si="22"/>
        <v>-321.8024200000001</v>
      </c>
      <c r="BS279">
        <f t="shared" si="23"/>
        <v>641.49892000000011</v>
      </c>
      <c r="BT279" s="6">
        <f t="shared" si="24"/>
        <v>-91.650006692849502</v>
      </c>
    </row>
    <row r="280" spans="1:72">
      <c r="A280" s="3" t="s">
        <v>967</v>
      </c>
      <c r="B280" s="3" t="s">
        <v>1174</v>
      </c>
      <c r="C280" s="3" t="s">
        <v>1285</v>
      </c>
      <c r="D280" s="2" t="s">
        <v>1320</v>
      </c>
      <c r="E280" s="4" t="str">
        <f t="shared" si="20"/>
        <v>Roiphet1B2-I04-0098</v>
      </c>
      <c r="F280">
        <v>0.72</v>
      </c>
      <c r="G280">
        <v>1.3</v>
      </c>
      <c r="H280" t="s">
        <v>72</v>
      </c>
      <c r="I280" t="s">
        <v>67</v>
      </c>
      <c r="J280" t="s">
        <v>357</v>
      </c>
      <c r="K280" t="s">
        <v>89</v>
      </c>
      <c r="L280" t="s">
        <v>89</v>
      </c>
      <c r="M280">
        <v>0.86064981949458486</v>
      </c>
      <c r="N280" s="5">
        <v>44995</v>
      </c>
      <c r="O280" s="5">
        <v>45020</v>
      </c>
      <c r="P280">
        <v>0.2</v>
      </c>
      <c r="Q280" s="4">
        <v>134</v>
      </c>
      <c r="R280">
        <v>0.43</v>
      </c>
      <c r="S280" t="s">
        <v>70</v>
      </c>
      <c r="T280" s="6">
        <v>3</v>
      </c>
      <c r="U280" s="5">
        <v>45104</v>
      </c>
      <c r="V280" s="6">
        <v>2</v>
      </c>
      <c r="W280" t="s">
        <v>71</v>
      </c>
      <c r="X280" s="6">
        <v>83.999999999999986</v>
      </c>
      <c r="Y280">
        <v>3.4246300000000001</v>
      </c>
      <c r="Z280">
        <v>4.7564305555555562</v>
      </c>
      <c r="AA280" s="6">
        <v>41.471341429585095</v>
      </c>
      <c r="AB280" s="4">
        <v>71.012</v>
      </c>
      <c r="AC280" s="6">
        <v>24.113037233143693</v>
      </c>
      <c r="AD280">
        <v>0.366904762</v>
      </c>
      <c r="AE280">
        <v>2.0742040897014644</v>
      </c>
      <c r="AF280">
        <v>6925</v>
      </c>
      <c r="AG280" s="4">
        <v>300</v>
      </c>
      <c r="AH280" s="4">
        <v>5960</v>
      </c>
      <c r="AL280">
        <v>32</v>
      </c>
      <c r="AM280">
        <v>2.0444499999999999</v>
      </c>
      <c r="AN280" t="s">
        <v>77</v>
      </c>
      <c r="AO280" t="s">
        <v>127</v>
      </c>
      <c r="AP280" s="5">
        <v>45026</v>
      </c>
      <c r="AQ280" t="s">
        <v>198</v>
      </c>
      <c r="AR280" s="5">
        <v>45096</v>
      </c>
      <c r="AS280">
        <v>161.43070638287929</v>
      </c>
      <c r="AT280" s="6"/>
      <c r="AU280">
        <v>26.280211292898795</v>
      </c>
      <c r="AV280">
        <v>57.823633502013358</v>
      </c>
      <c r="AW280">
        <v>22.237324908092262</v>
      </c>
      <c r="AX280">
        <v>106.34116970300443</v>
      </c>
      <c r="AY280">
        <v>27.253437597638282</v>
      </c>
      <c r="AZ280">
        <v>44.908784306625826</v>
      </c>
      <c r="BA280">
        <v>5.6231563701772158</v>
      </c>
      <c r="BB280">
        <v>4.1278532279399531</v>
      </c>
      <c r="BC280">
        <v>16.709218222114504</v>
      </c>
      <c r="BD280">
        <v>98.622449724495766</v>
      </c>
      <c r="BE280">
        <v>-43.532913044620898</v>
      </c>
      <c r="BF280">
        <v>40.121417496196671</v>
      </c>
      <c r="BG280">
        <v>0.10884095508127885</v>
      </c>
      <c r="BH280">
        <v>40.230258451277948</v>
      </c>
      <c r="BI280">
        <v>245.19387787877815</v>
      </c>
      <c r="BJ280" s="6">
        <v>181</v>
      </c>
      <c r="BK280">
        <v>-83.76317149589886</v>
      </c>
      <c r="BL280" s="4">
        <v>-286.8578700000001</v>
      </c>
      <c r="BM280" t="s">
        <v>1321</v>
      </c>
      <c r="BN280" t="s">
        <v>65</v>
      </c>
      <c r="BO280">
        <v>6</v>
      </c>
      <c r="BP280">
        <v>2023</v>
      </c>
      <c r="BQ280" t="str">
        <f t="shared" si="21"/>
        <v>Roiphet16</v>
      </c>
      <c r="BR280">
        <f t="shared" si="22"/>
        <v>-219.84028000000004</v>
      </c>
      <c r="BS280">
        <f t="shared" si="23"/>
        <v>552.84043999999994</v>
      </c>
      <c r="BT280" s="6">
        <f t="shared" si="24"/>
        <v>-64.193877878778153</v>
      </c>
    </row>
    <row r="281" spans="1:72">
      <c r="A281" s="3" t="s">
        <v>967</v>
      </c>
      <c r="B281" s="3" t="s">
        <v>1174</v>
      </c>
      <c r="C281" s="3" t="s">
        <v>1285</v>
      </c>
      <c r="D281" s="2" t="s">
        <v>1340</v>
      </c>
      <c r="E281" s="4" t="str">
        <f t="shared" si="20"/>
        <v>Roiphet1B4-I08-0088</v>
      </c>
      <c r="F281">
        <v>0.72</v>
      </c>
      <c r="G281">
        <v>1.3</v>
      </c>
      <c r="H281" t="s">
        <v>72</v>
      </c>
      <c r="I281" t="s">
        <v>67</v>
      </c>
      <c r="J281" t="s">
        <v>357</v>
      </c>
      <c r="K281" t="s">
        <v>89</v>
      </c>
      <c r="L281" t="s">
        <v>89</v>
      </c>
      <c r="M281">
        <v>0.79752410427330078</v>
      </c>
      <c r="N281" s="5">
        <v>44849</v>
      </c>
      <c r="O281" s="5">
        <v>44878</v>
      </c>
      <c r="P281">
        <v>0.26</v>
      </c>
      <c r="Q281" s="4">
        <v>174</v>
      </c>
      <c r="R281">
        <v>0.45</v>
      </c>
      <c r="S281" t="s">
        <v>70</v>
      </c>
      <c r="T281" s="6">
        <v>4</v>
      </c>
      <c r="U281" s="5">
        <v>45001</v>
      </c>
      <c r="V281" s="6">
        <v>2</v>
      </c>
      <c r="W281" t="s">
        <v>71</v>
      </c>
      <c r="X281" s="6">
        <v>123</v>
      </c>
      <c r="Y281">
        <v>4.2096200000000001</v>
      </c>
      <c r="Z281">
        <v>5.8466944444444451</v>
      </c>
      <c r="AA281" s="6">
        <v>36.605916923617812</v>
      </c>
      <c r="AB281" s="4">
        <v>59.268076923076919</v>
      </c>
      <c r="AC281" s="6">
        <v>27.317988020532518</v>
      </c>
      <c r="AD281">
        <v>0.36589061299999998</v>
      </c>
      <c r="AE281">
        <v>2.052719284956825</v>
      </c>
      <c r="AF281">
        <v>8401</v>
      </c>
      <c r="AG281" s="4">
        <v>0</v>
      </c>
      <c r="AH281" s="4">
        <v>6700</v>
      </c>
      <c r="AL281">
        <v>22</v>
      </c>
      <c r="AM281">
        <v>2.3820999999999999</v>
      </c>
      <c r="AN281" t="s">
        <v>81</v>
      </c>
      <c r="AO281" t="s">
        <v>438</v>
      </c>
      <c r="AP281" s="5">
        <v>44900</v>
      </c>
      <c r="AQ281" t="s">
        <v>170</v>
      </c>
      <c r="AR281" s="5">
        <v>44984</v>
      </c>
      <c r="AS281">
        <v>264.6342686513272</v>
      </c>
      <c r="AT281" s="6"/>
      <c r="AU281">
        <v>24.705317819660678</v>
      </c>
      <c r="AV281">
        <v>64.894615190919836</v>
      </c>
      <c r="AW281">
        <v>24.028765066680592</v>
      </c>
      <c r="AX281">
        <v>113.62869807726109</v>
      </c>
      <c r="AY281">
        <v>41.868235137613361</v>
      </c>
      <c r="AZ281">
        <v>55.488386125113436</v>
      </c>
      <c r="BA281">
        <v>8.4832098859279466</v>
      </c>
      <c r="BB281">
        <v>12.024310982939079</v>
      </c>
      <c r="BC281">
        <v>17.71915517315102</v>
      </c>
      <c r="BD281">
        <v>135.58329730474486</v>
      </c>
      <c r="BE281">
        <v>15.422273269321238</v>
      </c>
      <c r="BF281">
        <v>51.702462455043445</v>
      </c>
      <c r="BG281">
        <v>0.13605266033513716</v>
      </c>
      <c r="BH281">
        <v>51.838515115378584</v>
      </c>
      <c r="BI281">
        <v>301.05051049738461</v>
      </c>
      <c r="BJ281" s="6">
        <v>186</v>
      </c>
      <c r="BK281">
        <v>-36.416241846057432</v>
      </c>
      <c r="BL281" s="4">
        <v>-153.29854000000026</v>
      </c>
      <c r="BM281" t="s">
        <v>1341</v>
      </c>
      <c r="BN281" t="s">
        <v>65</v>
      </c>
      <c r="BO281">
        <v>3</v>
      </c>
      <c r="BP281">
        <v>2023</v>
      </c>
      <c r="BQ281" t="str">
        <f t="shared" si="21"/>
        <v>Roiphet13</v>
      </c>
      <c r="BR281">
        <f t="shared" si="22"/>
        <v>-484.31893000000019</v>
      </c>
      <c r="BS281">
        <f t="shared" si="23"/>
        <v>1114.00971</v>
      </c>
      <c r="BT281" s="6">
        <f t="shared" si="24"/>
        <v>-115.05051049738461</v>
      </c>
    </row>
    <row r="282" spans="1:72">
      <c r="A282" s="3" t="s">
        <v>967</v>
      </c>
      <c r="B282" s="3" t="s">
        <v>1174</v>
      </c>
      <c r="C282" s="3" t="s">
        <v>1285</v>
      </c>
      <c r="D282" s="2" t="s">
        <v>2771</v>
      </c>
      <c r="E282" s="4" t="str">
        <f t="shared" si="20"/>
        <v>Roiphet1B1-I01-0096</v>
      </c>
      <c r="F282">
        <v>0.72</v>
      </c>
      <c r="G282">
        <v>1.3</v>
      </c>
      <c r="H282" t="s">
        <v>72</v>
      </c>
      <c r="I282" t="s">
        <v>67</v>
      </c>
      <c r="J282" t="s">
        <v>357</v>
      </c>
      <c r="K282" t="s">
        <v>69</v>
      </c>
      <c r="L282" t="s">
        <v>69</v>
      </c>
      <c r="N282" s="5">
        <v>45100</v>
      </c>
      <c r="O282" s="5">
        <v>45183</v>
      </c>
      <c r="P282">
        <v>0.25</v>
      </c>
      <c r="Q282" s="4">
        <v>167</v>
      </c>
      <c r="R282">
        <v>2</v>
      </c>
      <c r="S282" t="s">
        <v>70</v>
      </c>
      <c r="T282" s="6">
        <v>5</v>
      </c>
      <c r="U282" s="5">
        <v>45280</v>
      </c>
      <c r="V282" s="6">
        <v>2</v>
      </c>
      <c r="W282" t="s">
        <v>71</v>
      </c>
      <c r="X282" s="6">
        <v>97</v>
      </c>
      <c r="Y282">
        <v>5.07796</v>
      </c>
      <c r="Z282">
        <v>7.0527222222222221</v>
      </c>
      <c r="AA282" s="6">
        <v>39.834697398167769</v>
      </c>
      <c r="AB282" s="4">
        <v>80.911599999999993</v>
      </c>
      <c r="AC282" s="6">
        <v>25.103742850221721</v>
      </c>
      <c r="AD282">
        <v>0.36120656699999998</v>
      </c>
      <c r="AE282">
        <v>2.1144789382170224</v>
      </c>
      <c r="AF282">
        <v>9680</v>
      </c>
      <c r="AG282" s="4">
        <v>0</v>
      </c>
      <c r="AH282" s="4"/>
      <c r="AL282">
        <v>27</v>
      </c>
      <c r="AM282">
        <v>2.22546</v>
      </c>
      <c r="AN282" t="s">
        <v>81</v>
      </c>
      <c r="AO282" t="s">
        <v>92</v>
      </c>
      <c r="AP282" s="5">
        <v>45191</v>
      </c>
      <c r="AQ282" t="s">
        <v>92</v>
      </c>
      <c r="AR282" s="5">
        <v>45268</v>
      </c>
      <c r="AS282">
        <v>215.82372054919691</v>
      </c>
      <c r="AT282" s="6"/>
      <c r="AU282">
        <v>49.23236890404808</v>
      </c>
      <c r="AV282">
        <v>58.54382468550363</v>
      </c>
      <c r="AW282">
        <v>28.696945229974236</v>
      </c>
      <c r="AX282">
        <v>136.47313881952593</v>
      </c>
      <c r="AY282">
        <v>37.706122143537954</v>
      </c>
      <c r="AZ282">
        <v>47.16679532725739</v>
      </c>
      <c r="BA282">
        <v>24.266520413709443</v>
      </c>
      <c r="BB282">
        <v>11.317460161167084</v>
      </c>
      <c r="BC282">
        <v>23.357809041426083</v>
      </c>
      <c r="BD282">
        <v>143.81470708709796</v>
      </c>
      <c r="BE282">
        <v>-64.46412535742698</v>
      </c>
      <c r="BF282">
        <v>47.59655452189461</v>
      </c>
      <c r="BG282">
        <v>0.1674373173479114</v>
      </c>
      <c r="BH282">
        <v>47.763991839242522</v>
      </c>
      <c r="BI282">
        <v>328.05183774586641</v>
      </c>
      <c r="BJ282" s="6">
        <v>183</v>
      </c>
      <c r="BK282">
        <v>-112.2281171966695</v>
      </c>
      <c r="BL282" s="4">
        <v>-569.88988999999992</v>
      </c>
      <c r="BM282" t="s">
        <v>2772</v>
      </c>
      <c r="BN282" t="s">
        <v>65</v>
      </c>
      <c r="BO282">
        <v>12</v>
      </c>
      <c r="BP282">
        <v>2023</v>
      </c>
      <c r="BQ282" t="str">
        <f t="shared" si="21"/>
        <v>Roiphet112</v>
      </c>
      <c r="BR282">
        <f t="shared" si="22"/>
        <v>-736.56742999999983</v>
      </c>
      <c r="BS282">
        <f t="shared" si="23"/>
        <v>1095.9442199999999</v>
      </c>
      <c r="BT282" s="6">
        <f t="shared" si="24"/>
        <v>-145.05183774586641</v>
      </c>
    </row>
    <row r="283" spans="1:72">
      <c r="A283" s="3" t="s">
        <v>967</v>
      </c>
      <c r="B283" s="3" t="s">
        <v>1174</v>
      </c>
      <c r="C283" s="3" t="s">
        <v>1285</v>
      </c>
      <c r="D283" s="2" t="s">
        <v>1344</v>
      </c>
      <c r="E283" s="4" t="str">
        <f t="shared" si="20"/>
        <v>Roiphet1B4-I07-0088</v>
      </c>
      <c r="F283">
        <v>0.72</v>
      </c>
      <c r="G283">
        <v>1.3</v>
      </c>
      <c r="H283" t="s">
        <v>72</v>
      </c>
      <c r="I283" t="s">
        <v>67</v>
      </c>
      <c r="J283" t="s">
        <v>357</v>
      </c>
      <c r="K283" t="s">
        <v>89</v>
      </c>
      <c r="L283" t="s">
        <v>89</v>
      </c>
      <c r="M283">
        <v>0.83419037824248654</v>
      </c>
      <c r="N283" s="5">
        <v>44849</v>
      </c>
      <c r="O283" s="5">
        <v>44878</v>
      </c>
      <c r="P283">
        <v>0.26</v>
      </c>
      <c r="Q283" s="4">
        <v>174</v>
      </c>
      <c r="R283">
        <v>0.45</v>
      </c>
      <c r="S283" t="s">
        <v>70</v>
      </c>
      <c r="T283" s="6">
        <v>4</v>
      </c>
      <c r="U283" s="5">
        <v>44999</v>
      </c>
      <c r="V283" s="6">
        <v>2</v>
      </c>
      <c r="W283" t="s">
        <v>71</v>
      </c>
      <c r="X283" s="6">
        <v>121</v>
      </c>
      <c r="Y283">
        <v>4.6932900000000002</v>
      </c>
      <c r="Z283">
        <v>6.5184583333333341</v>
      </c>
      <c r="AA283" s="6">
        <v>36.274127531007032</v>
      </c>
      <c r="AB283" s="4">
        <v>65.478846153846149</v>
      </c>
      <c r="AC283" s="6">
        <v>27.5678580868748</v>
      </c>
      <c r="AD283">
        <v>0.35560546199999998</v>
      </c>
      <c r="AE283">
        <v>1.9122476940928133</v>
      </c>
      <c r="AF283">
        <v>8751</v>
      </c>
      <c r="AG283" s="4">
        <v>0</v>
      </c>
      <c r="AH283" s="4">
        <v>7300</v>
      </c>
      <c r="AL283">
        <v>23</v>
      </c>
      <c r="AM283">
        <v>2.7629299999999999</v>
      </c>
      <c r="AN283" t="s">
        <v>81</v>
      </c>
      <c r="AO283" t="s">
        <v>106</v>
      </c>
      <c r="AP283" s="5">
        <v>44879</v>
      </c>
      <c r="AQ283" t="s">
        <v>123</v>
      </c>
      <c r="AR283" s="5">
        <v>44984</v>
      </c>
      <c r="AS283">
        <v>263.46025282903895</v>
      </c>
      <c r="AT283" s="6"/>
      <c r="AU283">
        <v>22.159295504859063</v>
      </c>
      <c r="AV283">
        <v>60.495179287876958</v>
      </c>
      <c r="AW283">
        <v>20.794229634222475</v>
      </c>
      <c r="AX283">
        <v>103.44870442695849</v>
      </c>
      <c r="AY283">
        <v>37.19814245444028</v>
      </c>
      <c r="AZ283">
        <v>49.182829102825522</v>
      </c>
      <c r="BA283">
        <v>7.5392997236480159</v>
      </c>
      <c r="BB283">
        <v>10.728836274766742</v>
      </c>
      <c r="BC283">
        <v>15.653616120035197</v>
      </c>
      <c r="BD283">
        <v>120.30272367571574</v>
      </c>
      <c r="BE283">
        <v>39.708824726364711</v>
      </c>
      <c r="BF283">
        <v>45.775788412819153</v>
      </c>
      <c r="BG283">
        <v>0.12050608421810712</v>
      </c>
      <c r="BH283">
        <v>45.896294497037267</v>
      </c>
      <c r="BI283">
        <v>269.64772259971147</v>
      </c>
      <c r="BJ283" s="6">
        <v>186</v>
      </c>
      <c r="BK283">
        <v>-6.1874697706725668</v>
      </c>
      <c r="BL283" s="4">
        <v>-29.039589999999851</v>
      </c>
      <c r="BM283" t="s">
        <v>1345</v>
      </c>
      <c r="BN283" t="s">
        <v>65</v>
      </c>
      <c r="BO283">
        <v>3</v>
      </c>
      <c r="BP283">
        <v>2023</v>
      </c>
      <c r="BQ283" t="str">
        <f t="shared" si="21"/>
        <v>Roiphet13</v>
      </c>
      <c r="BR283">
        <f t="shared" si="22"/>
        <v>-392.58301999999986</v>
      </c>
      <c r="BS283">
        <f t="shared" si="23"/>
        <v>1236.4953700000003</v>
      </c>
      <c r="BT283" s="6">
        <f t="shared" si="24"/>
        <v>-83.647722599711472</v>
      </c>
    </row>
    <row r="284" spans="1:72">
      <c r="A284" s="3" t="s">
        <v>967</v>
      </c>
      <c r="B284" s="3" t="s">
        <v>1174</v>
      </c>
      <c r="C284" s="3" t="s">
        <v>1285</v>
      </c>
      <c r="D284" s="2" t="s">
        <v>1346</v>
      </c>
      <c r="E284" s="4" t="str">
        <f t="shared" si="20"/>
        <v>Roiphet1B5-G09-0084</v>
      </c>
      <c r="F284">
        <v>1.1299999999999999</v>
      </c>
      <c r="G284">
        <v>1.5</v>
      </c>
      <c r="H284" t="s">
        <v>84</v>
      </c>
      <c r="I284" t="s">
        <v>67</v>
      </c>
      <c r="J284" t="s">
        <v>357</v>
      </c>
      <c r="K284" t="s">
        <v>89</v>
      </c>
      <c r="L284" t="s">
        <v>89</v>
      </c>
      <c r="M284">
        <v>0.78887484197218716</v>
      </c>
      <c r="N284" s="5">
        <v>44911</v>
      </c>
      <c r="O284" s="5">
        <v>44939</v>
      </c>
      <c r="P284">
        <v>0.57499999999999996</v>
      </c>
      <c r="Q284" s="4">
        <v>212</v>
      </c>
      <c r="R284">
        <v>0.51600000000000001</v>
      </c>
      <c r="S284" t="s">
        <v>70</v>
      </c>
      <c r="T284" s="6">
        <v>4</v>
      </c>
      <c r="U284" s="5">
        <v>45055</v>
      </c>
      <c r="V284" s="6">
        <v>1</v>
      </c>
      <c r="W284" t="s">
        <v>86</v>
      </c>
      <c r="X284" s="6">
        <v>116</v>
      </c>
      <c r="Y284">
        <v>10.769600000000001</v>
      </c>
      <c r="Z284">
        <v>9.5306194690265507</v>
      </c>
      <c r="AA284" s="6">
        <v>35.175029713266973</v>
      </c>
      <c r="AB284" s="4">
        <v>65.881913043478264</v>
      </c>
      <c r="AC284" s="6">
        <v>28.429258145667742</v>
      </c>
      <c r="AD284">
        <v>0.35474712600000002</v>
      </c>
      <c r="AE284">
        <v>1.8882067049241376</v>
      </c>
      <c r="AF284">
        <v>19775</v>
      </c>
      <c r="AG284" s="4">
        <v>2200</v>
      </c>
      <c r="AH284" s="4">
        <v>15600</v>
      </c>
      <c r="AL284">
        <v>24</v>
      </c>
      <c r="AM284">
        <v>6.0921799999999999</v>
      </c>
      <c r="AN284" t="s">
        <v>81</v>
      </c>
      <c r="AO284" t="s">
        <v>176</v>
      </c>
      <c r="AP284" s="5">
        <v>44942</v>
      </c>
      <c r="AQ284" t="s">
        <v>127</v>
      </c>
      <c r="AR284" s="5">
        <v>45051</v>
      </c>
      <c r="AS284">
        <v>238.953962078443</v>
      </c>
      <c r="AT284" s="6"/>
      <c r="AU284">
        <v>23.863467538255833</v>
      </c>
      <c r="AV284">
        <v>56.694664611499022</v>
      </c>
      <c r="AW284">
        <v>13.026614730352106</v>
      </c>
      <c r="AX284">
        <v>93.584746880106962</v>
      </c>
      <c r="AY284">
        <v>20.553326028821868</v>
      </c>
      <c r="AZ284">
        <v>33.398890395186442</v>
      </c>
      <c r="BA284">
        <v>3.0984140543752785</v>
      </c>
      <c r="BB284">
        <v>4.1279471846679545</v>
      </c>
      <c r="BC284">
        <v>8.9969451047392663</v>
      </c>
      <c r="BD284">
        <v>70.17552276779081</v>
      </c>
      <c r="BE284">
        <v>75.193692430545227</v>
      </c>
      <c r="BF284">
        <v>28.677300921111268</v>
      </c>
      <c r="BG284">
        <v>7.4393663645817856E-2</v>
      </c>
      <c r="BH284">
        <v>28.751694584757086</v>
      </c>
      <c r="BI284">
        <v>192.51196423265489</v>
      </c>
      <c r="BJ284" s="6">
        <v>187</v>
      </c>
      <c r="BK284">
        <v>46.441997845788123</v>
      </c>
      <c r="BL284" s="4">
        <v>500.16173999999978</v>
      </c>
      <c r="BM284" t="s">
        <v>1347</v>
      </c>
      <c r="BN284" t="s">
        <v>65</v>
      </c>
      <c r="BO284">
        <v>5</v>
      </c>
      <c r="BP284">
        <v>2023</v>
      </c>
      <c r="BQ284" t="str">
        <f t="shared" si="21"/>
        <v>Roiphet15</v>
      </c>
      <c r="BR284">
        <f t="shared" si="22"/>
        <v>-59.361650000000104</v>
      </c>
      <c r="BS284">
        <f t="shared" si="23"/>
        <v>2573.4385899999997</v>
      </c>
      <c r="BT284" s="6">
        <f t="shared" si="24"/>
        <v>-5.5119642326548899</v>
      </c>
    </row>
    <row r="285" spans="1:72">
      <c r="A285" s="3" t="s">
        <v>967</v>
      </c>
      <c r="B285" s="3" t="s">
        <v>1174</v>
      </c>
      <c r="C285" s="3" t="s">
        <v>1285</v>
      </c>
      <c r="D285" s="2" t="s">
        <v>2773</v>
      </c>
      <c r="E285" s="4" t="str">
        <f t="shared" si="20"/>
        <v>Roiphet1B1-G01-0085</v>
      </c>
      <c r="F285">
        <v>1.1299999999999999</v>
      </c>
      <c r="G285">
        <v>1.5</v>
      </c>
      <c r="H285" t="s">
        <v>84</v>
      </c>
      <c r="I285" t="s">
        <v>67</v>
      </c>
      <c r="J285" t="s">
        <v>357</v>
      </c>
      <c r="K285" t="s">
        <v>69</v>
      </c>
      <c r="L285" t="s">
        <v>69</v>
      </c>
      <c r="N285" s="5">
        <v>45100</v>
      </c>
      <c r="O285" s="5">
        <v>45182</v>
      </c>
      <c r="P285">
        <v>0.5</v>
      </c>
      <c r="Q285" s="4">
        <v>184</v>
      </c>
      <c r="R285">
        <v>1.95</v>
      </c>
      <c r="S285" t="s">
        <v>70</v>
      </c>
      <c r="T285" s="6">
        <v>5</v>
      </c>
      <c r="U285" s="5">
        <v>45281</v>
      </c>
      <c r="V285" s="6">
        <v>1</v>
      </c>
      <c r="W285" t="s">
        <v>86</v>
      </c>
      <c r="X285" s="6">
        <v>99</v>
      </c>
      <c r="Y285">
        <v>11.09661</v>
      </c>
      <c r="Z285">
        <v>9.8200088495575226</v>
      </c>
      <c r="AA285" s="6">
        <v>38.290522961517077</v>
      </c>
      <c r="AB285" s="4">
        <v>84.978999999999999</v>
      </c>
      <c r="AC285" s="6">
        <v>26.116122806811095</v>
      </c>
      <c r="AD285">
        <v>0.35441451600000001</v>
      </c>
      <c r="AE285">
        <v>2.0387072807586932</v>
      </c>
      <c r="AF285">
        <v>20635</v>
      </c>
      <c r="AG285" s="4">
        <v>0</v>
      </c>
      <c r="AH285" s="4"/>
      <c r="AL285">
        <v>27</v>
      </c>
      <c r="AM285">
        <v>5.48712</v>
      </c>
      <c r="AN285" t="s">
        <v>81</v>
      </c>
      <c r="AO285" t="s">
        <v>92</v>
      </c>
      <c r="AP285" s="5">
        <v>45191</v>
      </c>
      <c r="AQ285" t="s">
        <v>93</v>
      </c>
      <c r="AR285" s="5">
        <v>45271</v>
      </c>
      <c r="AS285">
        <v>218.92614320950273</v>
      </c>
      <c r="AT285" s="6"/>
      <c r="AU285">
        <v>45.058806248034315</v>
      </c>
      <c r="AV285">
        <v>56.632682413818287</v>
      </c>
      <c r="AW285">
        <v>22.940303389954238</v>
      </c>
      <c r="AX285">
        <v>124.63179205180684</v>
      </c>
      <c r="AY285">
        <v>27.303041199068904</v>
      </c>
      <c r="AZ285">
        <v>27.276896277331545</v>
      </c>
      <c r="BA285">
        <v>17.478710164635867</v>
      </c>
      <c r="BB285">
        <v>8.2431075797022686</v>
      </c>
      <c r="BC285">
        <v>16.947766029445027</v>
      </c>
      <c r="BD285">
        <v>97.249521250183605</v>
      </c>
      <c r="BE285">
        <v>-2.9551700924877196</v>
      </c>
      <c r="BF285">
        <v>34.41592342165761</v>
      </c>
      <c r="BG285">
        <v>0.12126135819858498</v>
      </c>
      <c r="BH285">
        <v>34.537184779856197</v>
      </c>
      <c r="BI285">
        <v>256.41849808184656</v>
      </c>
      <c r="BJ285" s="6">
        <v>184</v>
      </c>
      <c r="BK285">
        <v>-37.492354872343853</v>
      </c>
      <c r="BL285" s="4">
        <v>-416.03803999999957</v>
      </c>
      <c r="BM285" t="s">
        <v>2774</v>
      </c>
      <c r="BN285" t="s">
        <v>65</v>
      </c>
      <c r="BO285">
        <v>12</v>
      </c>
      <c r="BP285">
        <v>2023</v>
      </c>
      <c r="BQ285" t="str">
        <f t="shared" si="21"/>
        <v>Roiphet112</v>
      </c>
      <c r="BR285">
        <f t="shared" si="22"/>
        <v>-803.59982999999943</v>
      </c>
      <c r="BS285">
        <f t="shared" si="23"/>
        <v>2429.3380299999999</v>
      </c>
      <c r="BT285" s="6">
        <f t="shared" si="24"/>
        <v>-72.418498081846565</v>
      </c>
    </row>
    <row r="286" spans="1:72">
      <c r="A286" s="3" t="s">
        <v>967</v>
      </c>
      <c r="B286" s="3" t="s">
        <v>1174</v>
      </c>
      <c r="C286" s="3" t="s">
        <v>1285</v>
      </c>
      <c r="D286" s="2" t="s">
        <v>1330</v>
      </c>
      <c r="E286" s="4" t="str">
        <f t="shared" si="20"/>
        <v>Roiphet1B6-I11-0083</v>
      </c>
      <c r="F286">
        <v>0.72</v>
      </c>
      <c r="G286">
        <v>1.3</v>
      </c>
      <c r="H286" t="s">
        <v>72</v>
      </c>
      <c r="I286" t="s">
        <v>67</v>
      </c>
      <c r="J286" t="s">
        <v>357</v>
      </c>
      <c r="K286" t="s">
        <v>89</v>
      </c>
      <c r="L286" t="s">
        <v>89</v>
      </c>
      <c r="M286">
        <v>0.81381917462984354</v>
      </c>
      <c r="N286" s="5">
        <v>44960</v>
      </c>
      <c r="O286" s="5">
        <v>44985</v>
      </c>
      <c r="P286">
        <v>0.22</v>
      </c>
      <c r="Q286" s="4">
        <v>147</v>
      </c>
      <c r="R286">
        <v>0.41</v>
      </c>
      <c r="S286" t="s">
        <v>70</v>
      </c>
      <c r="T286" s="6">
        <v>3</v>
      </c>
      <c r="U286" s="5">
        <v>45086</v>
      </c>
      <c r="V286" s="6">
        <v>2</v>
      </c>
      <c r="W286" t="s">
        <v>71</v>
      </c>
      <c r="X286" s="6">
        <v>101</v>
      </c>
      <c r="Y286">
        <v>4.4131</v>
      </c>
      <c r="Z286">
        <v>6.1293055555555558</v>
      </c>
      <c r="AA286" s="6">
        <v>38.101334662708751</v>
      </c>
      <c r="AB286" s="4">
        <v>76.429545454545462</v>
      </c>
      <c r="AC286" s="6">
        <v>26.245799756162835</v>
      </c>
      <c r="AD286">
        <v>0.34954738299999999</v>
      </c>
      <c r="AE286">
        <v>2.2029193365564779</v>
      </c>
      <c r="AF286">
        <v>9523</v>
      </c>
      <c r="AG286" s="4">
        <v>1400</v>
      </c>
      <c r="AH286" s="4">
        <v>7750</v>
      </c>
      <c r="AL286">
        <v>28</v>
      </c>
      <c r="AM286">
        <v>2.9946599999999997</v>
      </c>
      <c r="AN286" t="s">
        <v>81</v>
      </c>
      <c r="AO286" t="s">
        <v>116</v>
      </c>
      <c r="AP286" s="5">
        <v>44991</v>
      </c>
      <c r="AQ286" t="s">
        <v>123</v>
      </c>
      <c r="AR286" s="5">
        <v>45079</v>
      </c>
      <c r="AS286">
        <v>171.54109582832928</v>
      </c>
      <c r="AT286" s="6"/>
      <c r="AU286">
        <v>22.43321021504158</v>
      </c>
      <c r="AV286">
        <v>58.897752147016831</v>
      </c>
      <c r="AW286">
        <v>25.095454442455416</v>
      </c>
      <c r="AX286">
        <v>106.42641680451383</v>
      </c>
      <c r="AY286">
        <v>25.985148761641472</v>
      </c>
      <c r="AZ286">
        <v>42.910747547075744</v>
      </c>
      <c r="BA286">
        <v>4.4992658222111439</v>
      </c>
      <c r="BB286">
        <v>5.2828759828691849</v>
      </c>
      <c r="BC286">
        <v>13.895245972219072</v>
      </c>
      <c r="BD286">
        <v>92.573284086016614</v>
      </c>
      <c r="BE286">
        <v>-27.458605062201173</v>
      </c>
      <c r="BF286">
        <v>38.246647481362309</v>
      </c>
      <c r="BG286">
        <v>9.9193310824590417E-2</v>
      </c>
      <c r="BH286">
        <v>38.345840792186898</v>
      </c>
      <c r="BI286">
        <v>237.34554168271731</v>
      </c>
      <c r="BJ286" s="6">
        <v>184</v>
      </c>
      <c r="BK286">
        <v>-65.804445854388035</v>
      </c>
      <c r="BL286" s="4">
        <v>-290.40159999999986</v>
      </c>
      <c r="BM286" t="s">
        <v>1331</v>
      </c>
      <c r="BN286" t="s">
        <v>65</v>
      </c>
      <c r="BO286">
        <v>6</v>
      </c>
      <c r="BP286">
        <v>2023</v>
      </c>
      <c r="BQ286" t="str">
        <f t="shared" si="21"/>
        <v>Roiphet16</v>
      </c>
      <c r="BR286">
        <f t="shared" si="22"/>
        <v>-235.41920999999977</v>
      </c>
      <c r="BS286">
        <f t="shared" si="23"/>
        <v>757.02800999999988</v>
      </c>
      <c r="BT286" s="6">
        <f t="shared" si="24"/>
        <v>-53.345541682717311</v>
      </c>
    </row>
    <row r="287" spans="1:72">
      <c r="A287" s="3" t="s">
        <v>967</v>
      </c>
      <c r="B287" s="3" t="s">
        <v>1174</v>
      </c>
      <c r="C287" s="3" t="s">
        <v>1285</v>
      </c>
      <c r="D287" s="2" t="s">
        <v>1303</v>
      </c>
      <c r="E287" s="4" t="str">
        <f t="shared" si="20"/>
        <v>Roiphet1B5-I09-0094</v>
      </c>
      <c r="F287">
        <v>0.72</v>
      </c>
      <c r="G287">
        <v>1.3</v>
      </c>
      <c r="H287" t="s">
        <v>72</v>
      </c>
      <c r="I287" t="s">
        <v>67</v>
      </c>
      <c r="J287" t="s">
        <v>357</v>
      </c>
      <c r="K287" t="s">
        <v>69</v>
      </c>
      <c r="L287" t="s">
        <v>69</v>
      </c>
      <c r="M287">
        <v>0.76470588235294112</v>
      </c>
      <c r="N287" s="5">
        <v>45052</v>
      </c>
      <c r="O287" s="5">
        <v>45080</v>
      </c>
      <c r="P287">
        <v>0.25</v>
      </c>
      <c r="Q287" s="4">
        <v>167</v>
      </c>
      <c r="R287">
        <v>0.63</v>
      </c>
      <c r="S287" t="s">
        <v>70</v>
      </c>
      <c r="T287" s="6">
        <v>2</v>
      </c>
      <c r="U287" s="5">
        <v>45138</v>
      </c>
      <c r="V287" s="6">
        <v>2</v>
      </c>
      <c r="W287" t="s">
        <v>71</v>
      </c>
      <c r="X287" s="6">
        <v>58</v>
      </c>
      <c r="Y287">
        <v>2.7890300000000003</v>
      </c>
      <c r="Z287">
        <v>3.8736527777777785</v>
      </c>
      <c r="AA287" s="6">
        <v>57.289810435886309</v>
      </c>
      <c r="AB287" s="4">
        <v>63.913200000000003</v>
      </c>
      <c r="AC287" s="6">
        <v>17.455110994286002</v>
      </c>
      <c r="AD287">
        <v>0.34833333300000002</v>
      </c>
      <c r="AE287">
        <v>1.9380360474704827</v>
      </c>
      <c r="AF287">
        <v>5100</v>
      </c>
      <c r="AG287" s="4">
        <v>1200</v>
      </c>
      <c r="AH287" s="4">
        <v>3900</v>
      </c>
      <c r="AL287">
        <v>48</v>
      </c>
      <c r="AM287">
        <v>2.1413099999999998</v>
      </c>
      <c r="AN287" t="s">
        <v>77</v>
      </c>
      <c r="AO287" t="s">
        <v>176</v>
      </c>
      <c r="AP287" s="5">
        <v>45089</v>
      </c>
      <c r="AQ287" t="s">
        <v>94</v>
      </c>
      <c r="AR287" s="5">
        <v>45135</v>
      </c>
      <c r="AS287">
        <v>147.46080895508473</v>
      </c>
      <c r="AT287" s="6"/>
      <c r="AU287">
        <v>44.818449425068927</v>
      </c>
      <c r="AV287">
        <v>56.802852604668999</v>
      </c>
      <c r="AW287">
        <v>32.965342789428583</v>
      </c>
      <c r="AX287">
        <v>134.58664481916651</v>
      </c>
      <c r="AY287">
        <v>27.104186760271489</v>
      </c>
      <c r="AZ287">
        <v>37.44822393448618</v>
      </c>
      <c r="BA287">
        <v>8.2219696453605735</v>
      </c>
      <c r="BB287">
        <v>6.3425778855014103</v>
      </c>
      <c r="BC287">
        <v>17.708698006116819</v>
      </c>
      <c r="BD287">
        <v>96.825656231736488</v>
      </c>
      <c r="BE287">
        <v>-83.951492095818267</v>
      </c>
      <c r="BF287">
        <v>40.263679487133523</v>
      </c>
      <c r="BG287">
        <v>0.11216085879320049</v>
      </c>
      <c r="BH287">
        <v>40.375840345926726</v>
      </c>
      <c r="BI287">
        <v>271.7881413968297</v>
      </c>
      <c r="BJ287" s="6">
        <v>164</v>
      </c>
      <c r="BK287">
        <v>-124.32733244174499</v>
      </c>
      <c r="BL287" s="4">
        <v>-346.75266000000005</v>
      </c>
      <c r="BM287" t="s">
        <v>1304</v>
      </c>
      <c r="BN287" t="s">
        <v>65</v>
      </c>
      <c r="BO287">
        <v>7</v>
      </c>
      <c r="BP287">
        <v>2023</v>
      </c>
      <c r="BQ287" t="str">
        <f t="shared" si="21"/>
        <v>Roiphet17</v>
      </c>
      <c r="BR287">
        <f t="shared" si="22"/>
        <v>-300.62435999999997</v>
      </c>
      <c r="BS287">
        <f t="shared" si="23"/>
        <v>411.27262000000002</v>
      </c>
      <c r="BT287" s="6">
        <f t="shared" si="24"/>
        <v>-107.7881413968297</v>
      </c>
    </row>
    <row r="288" spans="1:72">
      <c r="A288" s="3" t="s">
        <v>967</v>
      </c>
      <c r="B288" s="3" t="s">
        <v>1174</v>
      </c>
      <c r="C288" s="3" t="s">
        <v>1285</v>
      </c>
      <c r="D288" s="2" t="s">
        <v>1305</v>
      </c>
      <c r="E288" s="4" t="str">
        <f t="shared" si="20"/>
        <v>Roiphet1B5-G09-0085</v>
      </c>
      <c r="F288">
        <v>1.1299999999999999</v>
      </c>
      <c r="G288">
        <v>1.5</v>
      </c>
      <c r="H288" t="s">
        <v>84</v>
      </c>
      <c r="I288" t="s">
        <v>67</v>
      </c>
      <c r="J288" t="s">
        <v>357</v>
      </c>
      <c r="K288" t="s">
        <v>89</v>
      </c>
      <c r="L288" t="s">
        <v>89</v>
      </c>
      <c r="M288">
        <v>0.85416666666666663</v>
      </c>
      <c r="N288" s="5">
        <v>45056</v>
      </c>
      <c r="O288" s="5">
        <v>45080</v>
      </c>
      <c r="P288">
        <v>0.5</v>
      </c>
      <c r="Q288" s="4">
        <v>184</v>
      </c>
      <c r="R288">
        <v>0.63</v>
      </c>
      <c r="S288" t="s">
        <v>70</v>
      </c>
      <c r="T288" s="6">
        <v>2</v>
      </c>
      <c r="U288" s="5">
        <v>45136</v>
      </c>
      <c r="V288" s="6">
        <v>2</v>
      </c>
      <c r="W288" t="s">
        <v>71</v>
      </c>
      <c r="X288" s="6">
        <v>56</v>
      </c>
      <c r="Y288">
        <v>5.8769999999999998</v>
      </c>
      <c r="Z288">
        <v>5.2008849557522128</v>
      </c>
      <c r="AA288" s="6">
        <v>55.421984005444955</v>
      </c>
      <c r="AB288" s="4">
        <v>65.143000000000001</v>
      </c>
      <c r="AC288" s="6">
        <v>18.043381483812535</v>
      </c>
      <c r="AD288">
        <v>0.345892857</v>
      </c>
      <c r="AE288">
        <v>1.7259978425026969</v>
      </c>
      <c r="AF288">
        <v>9600</v>
      </c>
      <c r="AG288" s="4">
        <v>2600</v>
      </c>
      <c r="AH288" s="4">
        <v>8200</v>
      </c>
      <c r="AL288">
        <v>50</v>
      </c>
      <c r="AM288">
        <v>4.5492799999999995</v>
      </c>
      <c r="AN288" t="s">
        <v>77</v>
      </c>
      <c r="AO288" t="s">
        <v>176</v>
      </c>
      <c r="AP288" s="5">
        <v>45089</v>
      </c>
      <c r="AQ288" t="s">
        <v>93</v>
      </c>
      <c r="AR288" s="5">
        <v>45135</v>
      </c>
      <c r="AS288">
        <v>117.05795473881234</v>
      </c>
      <c r="AT288" s="6"/>
      <c r="AU288">
        <v>42.538710226305938</v>
      </c>
      <c r="AV288">
        <v>50.634817083546025</v>
      </c>
      <c r="AW288">
        <v>30.898172537008687</v>
      </c>
      <c r="AX288">
        <v>124.07169984686067</v>
      </c>
      <c r="AY288">
        <v>18.830428790199083</v>
      </c>
      <c r="AZ288">
        <v>25.683884635017865</v>
      </c>
      <c r="BA288">
        <v>5.7198315467075034</v>
      </c>
      <c r="BB288">
        <v>4.3855130168453282</v>
      </c>
      <c r="BC288">
        <v>12.308912710566615</v>
      </c>
      <c r="BD288">
        <v>66.92857069933639</v>
      </c>
      <c r="BE288">
        <v>-73.942315807384716</v>
      </c>
      <c r="BF288">
        <v>27.81417730134422</v>
      </c>
      <c r="BG288">
        <v>7.7832227326867454E-2</v>
      </c>
      <c r="BH288">
        <v>27.892009528671089</v>
      </c>
      <c r="BI288">
        <v>218.89228007486813</v>
      </c>
      <c r="BJ288" s="6">
        <v>165</v>
      </c>
      <c r="BK288">
        <v>-101.83432533605578</v>
      </c>
      <c r="BL288" s="4">
        <v>-598.48032999999987</v>
      </c>
      <c r="BM288" t="s">
        <v>1306</v>
      </c>
      <c r="BN288" t="s">
        <v>65</v>
      </c>
      <c r="BO288">
        <v>7</v>
      </c>
      <c r="BP288">
        <v>2023</v>
      </c>
      <c r="BQ288" t="str">
        <f t="shared" si="21"/>
        <v>Roiphet17</v>
      </c>
      <c r="BR288">
        <f t="shared" si="22"/>
        <v>-316.72492999999997</v>
      </c>
      <c r="BS288">
        <f t="shared" si="23"/>
        <v>687.94960000000015</v>
      </c>
      <c r="BT288" s="6">
        <f t="shared" si="24"/>
        <v>-53.892280074868125</v>
      </c>
    </row>
    <row r="289" spans="1:72">
      <c r="A289" s="3" t="s">
        <v>967</v>
      </c>
      <c r="B289" s="3" t="s">
        <v>1174</v>
      </c>
      <c r="C289" s="3" t="s">
        <v>1285</v>
      </c>
      <c r="D289" s="2" t="s">
        <v>1318</v>
      </c>
      <c r="E289" s="4" t="str">
        <f t="shared" si="20"/>
        <v>Roiphet1B2-I03-0095</v>
      </c>
      <c r="F289">
        <v>0.72</v>
      </c>
      <c r="G289">
        <v>1.3</v>
      </c>
      <c r="H289" t="s">
        <v>72</v>
      </c>
      <c r="I289" t="s">
        <v>67</v>
      </c>
      <c r="J289" t="s">
        <v>357</v>
      </c>
      <c r="K289" t="s">
        <v>89</v>
      </c>
      <c r="L289" t="s">
        <v>89</v>
      </c>
      <c r="M289">
        <v>0.8</v>
      </c>
      <c r="N289" s="5">
        <v>44995</v>
      </c>
      <c r="O289" s="5">
        <v>45020</v>
      </c>
      <c r="P289">
        <v>0.2</v>
      </c>
      <c r="Q289" s="4">
        <v>134</v>
      </c>
      <c r="R289">
        <v>0.43</v>
      </c>
      <c r="S289" t="s">
        <v>70</v>
      </c>
      <c r="T289" s="6">
        <v>3</v>
      </c>
      <c r="U289" s="5">
        <v>45102</v>
      </c>
      <c r="V289" s="6">
        <v>2</v>
      </c>
      <c r="W289" t="s">
        <v>71</v>
      </c>
      <c r="X289" s="6">
        <v>82</v>
      </c>
      <c r="Y289">
        <v>3.2833999999999999</v>
      </c>
      <c r="Z289">
        <v>4.5602777777777774</v>
      </c>
      <c r="AA289" s="6">
        <v>41.780471462508373</v>
      </c>
      <c r="AB289" s="4">
        <v>68.591000000000008</v>
      </c>
      <c r="AC289" s="6">
        <v>23.934626991879401</v>
      </c>
      <c r="AD289">
        <v>0.343188153</v>
      </c>
      <c r="AE289">
        <v>2.095452555201101</v>
      </c>
      <c r="AF289">
        <v>6700</v>
      </c>
      <c r="AG289" s="4">
        <v>300</v>
      </c>
      <c r="AH289" s="4">
        <v>5360</v>
      </c>
      <c r="AL289">
        <v>35</v>
      </c>
      <c r="AM289">
        <v>1.94191</v>
      </c>
      <c r="AN289" t="s">
        <v>77</v>
      </c>
      <c r="AO289" t="s">
        <v>127</v>
      </c>
      <c r="AP289" s="5">
        <v>45026</v>
      </c>
      <c r="AQ289" t="s">
        <v>136</v>
      </c>
      <c r="AR289" s="5">
        <v>45096</v>
      </c>
      <c r="AS289">
        <v>144.8891636718036</v>
      </c>
      <c r="AT289" s="6"/>
      <c r="AU289">
        <v>27.410610952061887</v>
      </c>
      <c r="AV289">
        <v>59.98077297922886</v>
      </c>
      <c r="AW289">
        <v>22.979588231711027</v>
      </c>
      <c r="AX289">
        <v>110.37097216300178</v>
      </c>
      <c r="AY289">
        <v>27.849954315648411</v>
      </c>
      <c r="AZ289">
        <v>46.196692452945115</v>
      </c>
      <c r="BA289">
        <v>5.7054059816044331</v>
      </c>
      <c r="BB289">
        <v>4.215423037095694</v>
      </c>
      <c r="BC289">
        <v>17.054071998538102</v>
      </c>
      <c r="BD289">
        <v>101.02154778583176</v>
      </c>
      <c r="BE289">
        <v>-66.503356277029937</v>
      </c>
      <c r="BF289">
        <v>41.166729609551076</v>
      </c>
      <c r="BG289">
        <v>0.11137540354510568</v>
      </c>
      <c r="BH289">
        <v>41.27810501309618</v>
      </c>
      <c r="BI289">
        <v>252.67062496192969</v>
      </c>
      <c r="BJ289" s="6">
        <v>181</v>
      </c>
      <c r="BK289">
        <v>-107.78146129012609</v>
      </c>
      <c r="BL289" s="4">
        <v>-353.88965000000002</v>
      </c>
      <c r="BM289" t="s">
        <v>1319</v>
      </c>
      <c r="BN289" t="s">
        <v>65</v>
      </c>
      <c r="BO289">
        <v>6</v>
      </c>
      <c r="BP289">
        <v>2023</v>
      </c>
      <c r="BQ289" t="str">
        <f t="shared" si="21"/>
        <v>Roiphet16</v>
      </c>
      <c r="BR289">
        <f t="shared" si="22"/>
        <v>-235.32332999999994</v>
      </c>
      <c r="BS289">
        <f t="shared" si="23"/>
        <v>475.72907999999995</v>
      </c>
      <c r="BT289" s="6">
        <f t="shared" si="24"/>
        <v>-71.67062496192969</v>
      </c>
    </row>
    <row r="290" spans="1:72">
      <c r="A290" s="3" t="s">
        <v>967</v>
      </c>
      <c r="B290" s="3" t="s">
        <v>1174</v>
      </c>
      <c r="C290" s="3" t="s">
        <v>1285</v>
      </c>
      <c r="D290" s="2" t="s">
        <v>1356</v>
      </c>
      <c r="E290" s="4" t="str">
        <f t="shared" si="20"/>
        <v>Roiphet1B3-G05-0092</v>
      </c>
      <c r="F290">
        <v>1.1299999999999999</v>
      </c>
      <c r="G290">
        <v>1.5</v>
      </c>
      <c r="H290" t="s">
        <v>84</v>
      </c>
      <c r="I290" t="s">
        <v>67</v>
      </c>
      <c r="J290" t="s">
        <v>357</v>
      </c>
      <c r="K290" t="s">
        <v>89</v>
      </c>
      <c r="L290" t="s">
        <v>89</v>
      </c>
      <c r="M290">
        <v>0.66221868153754238</v>
      </c>
      <c r="N290" s="5">
        <v>44926</v>
      </c>
      <c r="O290" s="5">
        <v>44953</v>
      </c>
      <c r="P290">
        <v>0.38500000000000001</v>
      </c>
      <c r="Q290" s="4">
        <v>142</v>
      </c>
      <c r="R290">
        <v>0.3</v>
      </c>
      <c r="S290" t="s">
        <v>70</v>
      </c>
      <c r="T290" s="6">
        <v>4</v>
      </c>
      <c r="U290" s="5">
        <v>45074</v>
      </c>
      <c r="V290" s="6">
        <v>2</v>
      </c>
      <c r="W290" t="s">
        <v>71</v>
      </c>
      <c r="X290" s="6">
        <v>121</v>
      </c>
      <c r="Y290">
        <v>8.7758299999999991</v>
      </c>
      <c r="Z290">
        <v>7.7662212389380532</v>
      </c>
      <c r="AA290" s="6">
        <v>32.013610108673483</v>
      </c>
      <c r="AB290" s="4">
        <v>72.972987012987005</v>
      </c>
      <c r="AC290" s="6">
        <v>31.236714528770651</v>
      </c>
      <c r="AD290">
        <v>0.341873278</v>
      </c>
      <c r="AE290">
        <v>2.3190802198068665</v>
      </c>
      <c r="AF290">
        <v>20084</v>
      </c>
      <c r="AG290" s="4">
        <v>1900</v>
      </c>
      <c r="AH290" s="4">
        <v>13300</v>
      </c>
      <c r="AL290">
        <v>24</v>
      </c>
      <c r="AM290">
        <v>5.6643400000000002</v>
      </c>
      <c r="AN290" t="s">
        <v>81</v>
      </c>
      <c r="AO290" t="s">
        <v>176</v>
      </c>
      <c r="AP290" s="5">
        <v>44956</v>
      </c>
      <c r="AQ290" t="s">
        <v>144</v>
      </c>
      <c r="AR290" s="5">
        <v>45072</v>
      </c>
      <c r="AS290">
        <v>225.80439457008623</v>
      </c>
      <c r="AT290" s="6"/>
      <c r="AU290">
        <v>17.548197720329586</v>
      </c>
      <c r="AV290">
        <v>61.225603732068663</v>
      </c>
      <c r="AW290">
        <v>16.911094449186002</v>
      </c>
      <c r="AX290">
        <v>95.684895901584255</v>
      </c>
      <c r="AY290">
        <v>24.767986617790005</v>
      </c>
      <c r="AZ290">
        <v>41.707651583952746</v>
      </c>
      <c r="BA290">
        <v>4.0327980373366392</v>
      </c>
      <c r="BB290">
        <v>4.4471212409538472</v>
      </c>
      <c r="BC290">
        <v>11.460631074211783</v>
      </c>
      <c r="BD290">
        <v>86.416188554245011</v>
      </c>
      <c r="BE290">
        <v>43.703310114256979</v>
      </c>
      <c r="BF290">
        <v>35.586628273337112</v>
      </c>
      <c r="BG290">
        <v>9.210980613799491E-2</v>
      </c>
      <c r="BH290">
        <v>35.67873807947511</v>
      </c>
      <c r="BI290">
        <v>217.77982253530436</v>
      </c>
      <c r="BJ290" s="6">
        <v>192</v>
      </c>
      <c r="BK290">
        <v>8.0245720347818459</v>
      </c>
      <c r="BL290" s="4">
        <v>70.42227999999956</v>
      </c>
      <c r="BM290" t="s">
        <v>1357</v>
      </c>
      <c r="BN290" t="s">
        <v>65</v>
      </c>
      <c r="BO290">
        <v>5</v>
      </c>
      <c r="BP290">
        <v>2023</v>
      </c>
      <c r="BQ290" t="str">
        <f t="shared" si="21"/>
        <v>Roiphet15</v>
      </c>
      <c r="BR290">
        <f t="shared" si="22"/>
        <v>-226.23934000000006</v>
      </c>
      <c r="BS290">
        <f t="shared" si="23"/>
        <v>1981.6209799999997</v>
      </c>
      <c r="BT290" s="6">
        <f t="shared" si="24"/>
        <v>-25.779822535304362</v>
      </c>
    </row>
    <row r="291" spans="1:72">
      <c r="A291" s="3" t="s">
        <v>967</v>
      </c>
      <c r="B291" s="3" t="s">
        <v>1174</v>
      </c>
      <c r="C291" s="3" t="s">
        <v>1285</v>
      </c>
      <c r="D291" s="2" t="s">
        <v>1338</v>
      </c>
      <c r="E291" s="4" t="str">
        <f t="shared" si="20"/>
        <v>Roiphet1B3-G06-0081</v>
      </c>
      <c r="F291">
        <v>1.1299999999999999</v>
      </c>
      <c r="G291">
        <v>1.5</v>
      </c>
      <c r="H291" t="s">
        <v>84</v>
      </c>
      <c r="I291" t="s">
        <v>67</v>
      </c>
      <c r="J291" t="s">
        <v>357</v>
      </c>
      <c r="K291" t="s">
        <v>89</v>
      </c>
      <c r="L291" t="s">
        <v>89</v>
      </c>
      <c r="M291">
        <v>0.72959416324669402</v>
      </c>
      <c r="N291" s="5">
        <v>44926</v>
      </c>
      <c r="O291" s="5">
        <v>44953</v>
      </c>
      <c r="P291">
        <v>0.42</v>
      </c>
      <c r="Q291" s="4">
        <v>155</v>
      </c>
      <c r="R291">
        <v>0.3</v>
      </c>
      <c r="S291" t="s">
        <v>70</v>
      </c>
      <c r="T291" s="6">
        <v>4</v>
      </c>
      <c r="U291" s="5">
        <v>45083</v>
      </c>
      <c r="V291" s="6">
        <v>1</v>
      </c>
      <c r="W291" t="s">
        <v>86</v>
      </c>
      <c r="X291" s="6">
        <v>130</v>
      </c>
      <c r="Y291">
        <v>10.119969999999999</v>
      </c>
      <c r="Z291">
        <v>8.9557256637168141</v>
      </c>
      <c r="AA291" s="6">
        <v>36.776492420432078</v>
      </c>
      <c r="AB291" s="4">
        <v>88.613571428571419</v>
      </c>
      <c r="AC291" s="6">
        <v>27.191282642398644</v>
      </c>
      <c r="AD291">
        <v>0.33214046800000002</v>
      </c>
      <c r="AE291">
        <v>2.1943231768756561</v>
      </c>
      <c r="AF291">
        <v>21930</v>
      </c>
      <c r="AG291" s="4">
        <v>1900</v>
      </c>
      <c r="AH291" s="4">
        <v>16000</v>
      </c>
      <c r="AL291">
        <v>23</v>
      </c>
      <c r="AM291">
        <v>6.4955500000000006</v>
      </c>
      <c r="AN291" t="s">
        <v>81</v>
      </c>
      <c r="AO291" t="s">
        <v>198</v>
      </c>
      <c r="AP291" s="5">
        <v>44956</v>
      </c>
      <c r="AQ291" t="s">
        <v>123</v>
      </c>
      <c r="AR291" s="5">
        <v>45075</v>
      </c>
      <c r="AS291">
        <v>235.53241165734681</v>
      </c>
      <c r="AT291" s="6"/>
      <c r="AU291">
        <v>16.600839725809465</v>
      </c>
      <c r="AV291">
        <v>58.654066168180321</v>
      </c>
      <c r="AW291">
        <v>15.272845670491115</v>
      </c>
      <c r="AX291">
        <v>90.527751564480909</v>
      </c>
      <c r="AY291">
        <v>22.739965632309183</v>
      </c>
      <c r="AZ291">
        <v>37.923026451659446</v>
      </c>
      <c r="BA291">
        <v>3.8393809467814637</v>
      </c>
      <c r="BB291">
        <v>4.0759952845710021</v>
      </c>
      <c r="BC291">
        <v>10.751678117622879</v>
      </c>
      <c r="BD291">
        <v>79.330046432943973</v>
      </c>
      <c r="BE291">
        <v>65.674613659921917</v>
      </c>
      <c r="BF291">
        <v>32.51722287714292</v>
      </c>
      <c r="BG291">
        <v>8.467515219906778E-2</v>
      </c>
      <c r="BH291">
        <v>32.601898029341982</v>
      </c>
      <c r="BI291">
        <v>202.45969602676686</v>
      </c>
      <c r="BJ291" s="6">
        <v>186</v>
      </c>
      <c r="BK291">
        <v>33.07271563057995</v>
      </c>
      <c r="BL291" s="4">
        <v>334.69489000000016</v>
      </c>
      <c r="BM291" t="s">
        <v>1339</v>
      </c>
      <c r="BN291" t="s">
        <v>65</v>
      </c>
      <c r="BO291">
        <v>6</v>
      </c>
      <c r="BP291">
        <v>2023</v>
      </c>
      <c r="BQ291" t="str">
        <f t="shared" si="21"/>
        <v>Roiphet16</v>
      </c>
      <c r="BR291">
        <f t="shared" si="22"/>
        <v>-166.57162999999983</v>
      </c>
      <c r="BS291">
        <f t="shared" si="23"/>
        <v>2383.5809399999998</v>
      </c>
      <c r="BT291" s="6">
        <f t="shared" si="24"/>
        <v>-16.459696026766863</v>
      </c>
    </row>
    <row r="292" spans="1:72">
      <c r="A292" s="3" t="s">
        <v>967</v>
      </c>
      <c r="B292" s="3" t="s">
        <v>1174</v>
      </c>
      <c r="C292" s="3" t="s">
        <v>1285</v>
      </c>
      <c r="D292" s="2" t="s">
        <v>1322</v>
      </c>
      <c r="E292" s="4" t="str">
        <f t="shared" si="20"/>
        <v>Roiphet1B4-G08-0080</v>
      </c>
      <c r="F292">
        <v>1.1299999999999999</v>
      </c>
      <c r="G292">
        <v>1.5</v>
      </c>
      <c r="H292" t="s">
        <v>84</v>
      </c>
      <c r="I292" t="s">
        <v>67</v>
      </c>
      <c r="J292" t="s">
        <v>357</v>
      </c>
      <c r="K292" t="s">
        <v>89</v>
      </c>
      <c r="L292" t="s">
        <v>89</v>
      </c>
      <c r="M292">
        <v>0.87851750171585452</v>
      </c>
      <c r="N292" s="5">
        <v>45001</v>
      </c>
      <c r="O292" s="5">
        <v>45026</v>
      </c>
      <c r="P292">
        <v>0.4</v>
      </c>
      <c r="Q292" s="4">
        <v>147</v>
      </c>
      <c r="R292">
        <v>0.5</v>
      </c>
      <c r="S292" t="s">
        <v>70</v>
      </c>
      <c r="T292" s="6">
        <v>3</v>
      </c>
      <c r="U292" s="5">
        <v>45133</v>
      </c>
      <c r="V292" s="6">
        <v>2</v>
      </c>
      <c r="W292" t="s">
        <v>71</v>
      </c>
      <c r="X292" s="6">
        <v>107</v>
      </c>
      <c r="Y292">
        <v>7.56135</v>
      </c>
      <c r="Z292">
        <v>6.6914601769911508</v>
      </c>
      <c r="AA292" s="6">
        <v>40.382339132562308</v>
      </c>
      <c r="AB292" s="4">
        <v>76.336250000000007</v>
      </c>
      <c r="AC292" s="6">
        <v>24.76330052890992</v>
      </c>
      <c r="AD292">
        <v>0.32910547400000001</v>
      </c>
      <c r="AE292">
        <v>1.9792565222411649</v>
      </c>
      <c r="AF292">
        <v>14570</v>
      </c>
      <c r="AG292" s="4">
        <v>100</v>
      </c>
      <c r="AH292" s="4">
        <v>12800</v>
      </c>
      <c r="AL292">
        <v>28.000000000000004</v>
      </c>
      <c r="AM292">
        <v>4.7908100000000005</v>
      </c>
      <c r="AN292" t="s">
        <v>77</v>
      </c>
      <c r="AO292" t="s">
        <v>117</v>
      </c>
      <c r="AP292" s="5">
        <v>45030</v>
      </c>
      <c r="AQ292" t="s">
        <v>108</v>
      </c>
      <c r="AR292" s="5">
        <v>45110</v>
      </c>
      <c r="AS292">
        <v>168.51371778849014</v>
      </c>
      <c r="AT292" s="6"/>
      <c r="AU292">
        <v>23.805272867940246</v>
      </c>
      <c r="AV292">
        <v>56.194331700027092</v>
      </c>
      <c r="AW292">
        <v>19.907979395213818</v>
      </c>
      <c r="AX292">
        <v>99.907583963181168</v>
      </c>
      <c r="AY292">
        <v>23.456128865877123</v>
      </c>
      <c r="AZ292">
        <v>36.883079079793951</v>
      </c>
      <c r="BA292">
        <v>5.6097707419971305</v>
      </c>
      <c r="BB292">
        <v>4.4243038610830077</v>
      </c>
      <c r="BC292">
        <v>14.599547699815508</v>
      </c>
      <c r="BD292">
        <v>84.972830248566723</v>
      </c>
      <c r="BE292">
        <v>-16.36669642325775</v>
      </c>
      <c r="BF292">
        <v>35.590237193093827</v>
      </c>
      <c r="BG292">
        <v>9.6681148207661355E-2</v>
      </c>
      <c r="BH292">
        <v>35.686918341301492</v>
      </c>
      <c r="BI292">
        <v>220.5673325530494</v>
      </c>
      <c r="BJ292" s="6">
        <v>182</v>
      </c>
      <c r="BK292">
        <v>-52.053614764559249</v>
      </c>
      <c r="BL292" s="4">
        <v>-393.5956000000001</v>
      </c>
      <c r="BM292" t="s">
        <v>1323</v>
      </c>
      <c r="BN292" t="s">
        <v>65</v>
      </c>
      <c r="BO292">
        <v>7</v>
      </c>
      <c r="BP292">
        <v>2023</v>
      </c>
      <c r="BQ292" t="str">
        <f t="shared" si="21"/>
        <v>Roiphet17</v>
      </c>
      <c r="BR292">
        <f t="shared" si="22"/>
        <v>-291.62110000000007</v>
      </c>
      <c r="BS292">
        <f t="shared" si="23"/>
        <v>1274.1912</v>
      </c>
      <c r="BT292" s="6">
        <f t="shared" si="24"/>
        <v>-38.567332553049397</v>
      </c>
    </row>
    <row r="293" spans="1:72">
      <c r="A293" s="3" t="s">
        <v>967</v>
      </c>
      <c r="B293" s="3" t="s">
        <v>1174</v>
      </c>
      <c r="C293" s="3" t="s">
        <v>1285</v>
      </c>
      <c r="D293" s="2" t="s">
        <v>1332</v>
      </c>
      <c r="E293" s="4" t="str">
        <f t="shared" si="20"/>
        <v>Roiphet1B4-I07-0089</v>
      </c>
      <c r="F293">
        <v>0.72</v>
      </c>
      <c r="G293">
        <v>1.3</v>
      </c>
      <c r="H293" t="s">
        <v>72</v>
      </c>
      <c r="I293" t="s">
        <v>67</v>
      </c>
      <c r="J293" t="s">
        <v>357</v>
      </c>
      <c r="K293" t="s">
        <v>89</v>
      </c>
      <c r="L293" t="s">
        <v>89</v>
      </c>
      <c r="M293">
        <v>0.80293788123988552</v>
      </c>
      <c r="N293" s="5">
        <v>45000</v>
      </c>
      <c r="O293" s="5">
        <v>45026</v>
      </c>
      <c r="P293">
        <v>0.2</v>
      </c>
      <c r="Q293" s="4">
        <v>134</v>
      </c>
      <c r="R293">
        <v>0.5</v>
      </c>
      <c r="S293" t="s">
        <v>70</v>
      </c>
      <c r="T293" s="6">
        <v>3</v>
      </c>
      <c r="U293" s="5">
        <v>45133</v>
      </c>
      <c r="V293" s="6">
        <v>2</v>
      </c>
      <c r="W293" t="s">
        <v>71</v>
      </c>
      <c r="X293" s="6">
        <v>107</v>
      </c>
      <c r="Y293">
        <v>3.6663899999999998</v>
      </c>
      <c r="Z293">
        <v>5.0922083333333337</v>
      </c>
      <c r="AA293" s="6">
        <v>37.575926183521119</v>
      </c>
      <c r="AB293" s="4">
        <v>68.884</v>
      </c>
      <c r="AC293" s="6">
        <v>26.61278381046397</v>
      </c>
      <c r="AD293">
        <v>0.32910547400000001</v>
      </c>
      <c r="AE293">
        <v>2.2524177109065469</v>
      </c>
      <c r="AF293">
        <v>8033</v>
      </c>
      <c r="AG293" s="4">
        <v>100</v>
      </c>
      <c r="AH293" s="4">
        <v>6450</v>
      </c>
      <c r="AL293">
        <v>28</v>
      </c>
      <c r="AM293">
        <v>2.2904499999999999</v>
      </c>
      <c r="AN293" t="s">
        <v>77</v>
      </c>
      <c r="AO293" t="s">
        <v>117</v>
      </c>
      <c r="AP293" s="5">
        <v>45030</v>
      </c>
      <c r="AQ293" t="s">
        <v>189</v>
      </c>
      <c r="AR293" s="5">
        <v>45110</v>
      </c>
      <c r="AS293">
        <v>176.31921863195129</v>
      </c>
      <c r="AT293" s="6"/>
      <c r="AU293">
        <v>24.5473067513276</v>
      </c>
      <c r="AV293">
        <v>63.895758498141234</v>
      </c>
      <c r="AW293">
        <v>25.928250949844404</v>
      </c>
      <c r="AX293">
        <v>114.37131619931323</v>
      </c>
      <c r="AY293">
        <v>31.05015833012855</v>
      </c>
      <c r="AZ293">
        <v>48.84233810369328</v>
      </c>
      <c r="BA293">
        <v>7.4161586737908411</v>
      </c>
      <c r="BB293">
        <v>5.8498304872094904</v>
      </c>
      <c r="BC293">
        <v>19.337940044567002</v>
      </c>
      <c r="BD293">
        <v>112.49642563938916</v>
      </c>
      <c r="BE293">
        <v>-50.548523206751099</v>
      </c>
      <c r="BF293">
        <v>47.150690461189342</v>
      </c>
      <c r="BG293">
        <v>0.1280196596652293</v>
      </c>
      <c r="BH293">
        <v>47.278710120854569</v>
      </c>
      <c r="BI293">
        <v>274.14645195955694</v>
      </c>
      <c r="BJ293" s="6">
        <v>185</v>
      </c>
      <c r="BK293">
        <v>-97.82723332760564</v>
      </c>
      <c r="BL293" s="4">
        <v>-358.67279000000002</v>
      </c>
      <c r="BM293" t="s">
        <v>1333</v>
      </c>
      <c r="BN293" t="s">
        <v>65</v>
      </c>
      <c r="BO293">
        <v>7</v>
      </c>
      <c r="BP293">
        <v>2023</v>
      </c>
      <c r="BQ293" t="str">
        <f t="shared" si="21"/>
        <v>Roiphet17</v>
      </c>
      <c r="BR293">
        <f t="shared" si="22"/>
        <v>-326.84565999999995</v>
      </c>
      <c r="BS293">
        <f t="shared" si="23"/>
        <v>646.45501999999988</v>
      </c>
      <c r="BT293" s="6">
        <f t="shared" si="24"/>
        <v>-89.146451959556941</v>
      </c>
    </row>
    <row r="294" spans="1:72">
      <c r="A294" s="3" t="s">
        <v>967</v>
      </c>
      <c r="B294" s="3" t="s">
        <v>1174</v>
      </c>
      <c r="C294" s="3" t="s">
        <v>1285</v>
      </c>
      <c r="D294" s="2" t="s">
        <v>1352</v>
      </c>
      <c r="E294" s="4" t="str">
        <f t="shared" si="20"/>
        <v>Roiphet1B3-I05-0092</v>
      </c>
      <c r="F294">
        <v>0.72</v>
      </c>
      <c r="G294">
        <v>1.3</v>
      </c>
      <c r="H294" t="s">
        <v>72</v>
      </c>
      <c r="I294" t="s">
        <v>67</v>
      </c>
      <c r="J294" t="s">
        <v>357</v>
      </c>
      <c r="K294" t="s">
        <v>69</v>
      </c>
      <c r="L294" t="s">
        <v>69</v>
      </c>
      <c r="M294">
        <v>0.68840933502587642</v>
      </c>
      <c r="N294" s="5">
        <v>44926</v>
      </c>
      <c r="O294" s="5">
        <v>44953</v>
      </c>
      <c r="P294">
        <v>0.22</v>
      </c>
      <c r="Q294" s="4">
        <v>147</v>
      </c>
      <c r="R294">
        <v>0.3</v>
      </c>
      <c r="S294" t="s">
        <v>70</v>
      </c>
      <c r="T294" s="6">
        <v>4</v>
      </c>
      <c r="U294" s="5">
        <v>45074</v>
      </c>
      <c r="V294" s="6">
        <v>2</v>
      </c>
      <c r="W294" t="s">
        <v>71</v>
      </c>
      <c r="X294" s="6">
        <v>121</v>
      </c>
      <c r="Y294">
        <v>4.4723600000000001</v>
      </c>
      <c r="Z294">
        <v>6.2116111111111119</v>
      </c>
      <c r="AA294" s="6">
        <v>32.16400289779893</v>
      </c>
      <c r="AB294" s="4">
        <v>65.385909090909095</v>
      </c>
      <c r="AC294" s="6">
        <v>31.090657564529465</v>
      </c>
      <c r="AD294">
        <v>0.31538461499999998</v>
      </c>
      <c r="AE294">
        <v>2.3241405604626042</v>
      </c>
      <c r="AF294">
        <v>10241</v>
      </c>
      <c r="AG294" s="4">
        <v>1100</v>
      </c>
      <c r="AH294" s="4">
        <v>7050</v>
      </c>
      <c r="AL294">
        <v>25.999999999999996</v>
      </c>
      <c r="AM294">
        <v>2.9205399999999999</v>
      </c>
      <c r="AN294" t="s">
        <v>81</v>
      </c>
      <c r="AO294" t="s">
        <v>198</v>
      </c>
      <c r="AP294" s="5">
        <v>44956</v>
      </c>
      <c r="AQ294" t="s">
        <v>144</v>
      </c>
      <c r="AR294" s="5">
        <v>45072</v>
      </c>
      <c r="AS294">
        <v>213.1842472430663</v>
      </c>
      <c r="AT294" s="6"/>
      <c r="AU294">
        <v>19.676412453380316</v>
      </c>
      <c r="AV294">
        <v>62.084241876772019</v>
      </c>
      <c r="AW294">
        <v>21.454028745449833</v>
      </c>
      <c r="AX294">
        <v>103.21468307560217</v>
      </c>
      <c r="AY294">
        <v>30.966789346117036</v>
      </c>
      <c r="AZ294">
        <v>52.146028047831571</v>
      </c>
      <c r="BA294">
        <v>5.0421075226502339</v>
      </c>
      <c r="BB294">
        <v>5.5601226198248801</v>
      </c>
      <c r="BC294">
        <v>14.328938189233426</v>
      </c>
      <c r="BD294">
        <v>108.04398572565714</v>
      </c>
      <c r="BE294">
        <v>1.9255784418069908</v>
      </c>
      <c r="BF294">
        <v>44.493064064610188</v>
      </c>
      <c r="BG294">
        <v>0.11516514770725075</v>
      </c>
      <c r="BH294">
        <v>44.60822921231744</v>
      </c>
      <c r="BI294">
        <v>255.86689801357673</v>
      </c>
      <c r="BJ294" s="6">
        <v>192</v>
      </c>
      <c r="BK294">
        <v>-42.682650770510413</v>
      </c>
      <c r="BL294" s="4">
        <v>-190.89217999999994</v>
      </c>
      <c r="BM294" t="s">
        <v>1353</v>
      </c>
      <c r="BN294" t="s">
        <v>65</v>
      </c>
      <c r="BO294">
        <v>5</v>
      </c>
      <c r="BP294">
        <v>2023</v>
      </c>
      <c r="BQ294" t="str">
        <f t="shared" si="21"/>
        <v>Roiphet15</v>
      </c>
      <c r="BR294">
        <f t="shared" si="22"/>
        <v>-285.63576</v>
      </c>
      <c r="BS294">
        <f t="shared" si="23"/>
        <v>953.43669999999997</v>
      </c>
      <c r="BT294" s="6">
        <f t="shared" si="24"/>
        <v>-63.86689801357673</v>
      </c>
    </row>
    <row r="295" spans="1:72">
      <c r="A295" s="3" t="s">
        <v>967</v>
      </c>
      <c r="B295" s="3" t="s">
        <v>1174</v>
      </c>
      <c r="C295" s="3" t="s">
        <v>1285</v>
      </c>
      <c r="D295" s="2" t="s">
        <v>1313</v>
      </c>
      <c r="E295" s="4" t="str">
        <f t="shared" si="20"/>
        <v>Roiphet1B4-G07-0077</v>
      </c>
      <c r="F295">
        <v>1.1299999999999999</v>
      </c>
      <c r="G295">
        <v>1.5</v>
      </c>
      <c r="H295" t="s">
        <v>84</v>
      </c>
      <c r="I295" t="s">
        <v>67</v>
      </c>
      <c r="J295" t="s">
        <v>357</v>
      </c>
      <c r="K295" t="s">
        <v>89</v>
      </c>
      <c r="L295" t="s">
        <v>89</v>
      </c>
      <c r="M295">
        <v>0.902970297029703</v>
      </c>
      <c r="N295" s="5">
        <v>44999</v>
      </c>
      <c r="O295" s="5">
        <v>45026</v>
      </c>
      <c r="P295">
        <v>0.4</v>
      </c>
      <c r="Q295" s="4">
        <v>147</v>
      </c>
      <c r="R295">
        <v>0.5</v>
      </c>
      <c r="S295" t="s">
        <v>70</v>
      </c>
      <c r="T295" s="6">
        <v>4</v>
      </c>
      <c r="U295" s="5">
        <v>45119</v>
      </c>
      <c r="V295" s="6">
        <v>2</v>
      </c>
      <c r="W295" t="s">
        <v>71</v>
      </c>
      <c r="X295" s="6">
        <v>93.000000000000014</v>
      </c>
      <c r="Y295">
        <v>6.3746700000000001</v>
      </c>
      <c r="Z295">
        <v>5.6413008849557524</v>
      </c>
      <c r="AA295" s="6">
        <v>46.221216157071659</v>
      </c>
      <c r="AB295" s="4">
        <v>73.661249999999995</v>
      </c>
      <c r="AC295" s="6">
        <v>21.635086290281524</v>
      </c>
      <c r="AD295">
        <v>0.31087919000000003</v>
      </c>
      <c r="AE295">
        <v>2.0446436813627287</v>
      </c>
      <c r="AF295">
        <v>12625</v>
      </c>
      <c r="AG295" s="4">
        <v>100</v>
      </c>
      <c r="AH295" s="4">
        <v>11400</v>
      </c>
      <c r="AL295">
        <v>34</v>
      </c>
      <c r="AM295">
        <v>1.5963000000000001</v>
      </c>
      <c r="AN295" t="s">
        <v>81</v>
      </c>
      <c r="AO295" t="s">
        <v>117</v>
      </c>
      <c r="AP295" s="5">
        <v>45030</v>
      </c>
      <c r="AQ295" t="s">
        <v>176</v>
      </c>
      <c r="AR295" s="5">
        <v>45110</v>
      </c>
      <c r="AS295">
        <v>157.52220899277924</v>
      </c>
      <c r="AT295" s="6"/>
      <c r="AU295">
        <v>28.236755785005339</v>
      </c>
      <c r="AV295">
        <v>58.01853429275554</v>
      </c>
      <c r="AW295">
        <v>22.09692893906665</v>
      </c>
      <c r="AX295">
        <v>108.35221901682752</v>
      </c>
      <c r="AY295">
        <v>25.352027634371662</v>
      </c>
      <c r="AZ295">
        <v>40.575256444647323</v>
      </c>
      <c r="BA295">
        <v>5.6725995227988255</v>
      </c>
      <c r="BB295">
        <v>4.2953235226294071</v>
      </c>
      <c r="BC295">
        <v>15.659384721091445</v>
      </c>
      <c r="BD295">
        <v>91.554591845538667</v>
      </c>
      <c r="BE295">
        <v>-42.384601869586945</v>
      </c>
      <c r="BF295">
        <v>37.664450081337542</v>
      </c>
      <c r="BG295">
        <v>0.10259354601885273</v>
      </c>
      <c r="BH295">
        <v>37.767043627356394</v>
      </c>
      <c r="BI295">
        <v>237.6738544897226</v>
      </c>
      <c r="BJ295" s="6">
        <v>174</v>
      </c>
      <c r="BK295">
        <v>-80.151645496943345</v>
      </c>
      <c r="BL295" s="4">
        <v>-510.94028999999978</v>
      </c>
      <c r="BM295" t="s">
        <v>1314</v>
      </c>
      <c r="BN295" t="s">
        <v>65</v>
      </c>
      <c r="BO295">
        <v>7</v>
      </c>
      <c r="BP295">
        <v>2023</v>
      </c>
      <c r="BQ295" t="str">
        <f t="shared" si="21"/>
        <v>Roiphet17</v>
      </c>
      <c r="BR295">
        <f t="shared" si="22"/>
        <v>-405.89981</v>
      </c>
      <c r="BS295">
        <f t="shared" si="23"/>
        <v>1004.1521</v>
      </c>
      <c r="BT295" s="6">
        <f t="shared" si="24"/>
        <v>-63.673854489722601</v>
      </c>
    </row>
    <row r="296" spans="1:72">
      <c r="A296" s="3" t="s">
        <v>967</v>
      </c>
      <c r="B296" s="3" t="s">
        <v>1174</v>
      </c>
      <c r="C296" s="3" t="s">
        <v>1285</v>
      </c>
      <c r="D296" s="2" t="s">
        <v>1295</v>
      </c>
      <c r="E296" s="4" t="str">
        <f t="shared" si="20"/>
        <v>Roiphet1B6-I12-0087</v>
      </c>
      <c r="F296">
        <v>0.72</v>
      </c>
      <c r="G296">
        <v>1.3</v>
      </c>
      <c r="H296" t="s">
        <v>72</v>
      </c>
      <c r="I296" t="s">
        <v>67</v>
      </c>
      <c r="J296" t="s">
        <v>357</v>
      </c>
      <c r="K296" t="s">
        <v>89</v>
      </c>
      <c r="L296" t="s">
        <v>89</v>
      </c>
      <c r="M296">
        <v>0</v>
      </c>
      <c r="N296" s="5">
        <v>45087</v>
      </c>
      <c r="O296" s="5">
        <v>45121</v>
      </c>
      <c r="P296">
        <v>0.25</v>
      </c>
      <c r="Q296" s="4">
        <v>167</v>
      </c>
      <c r="R296">
        <v>0.82</v>
      </c>
      <c r="S296" t="s">
        <v>70</v>
      </c>
      <c r="T296" s="6">
        <v>1</v>
      </c>
      <c r="U296" s="5">
        <v>45162</v>
      </c>
      <c r="V296" s="6">
        <v>2</v>
      </c>
      <c r="W296" t="s">
        <v>71</v>
      </c>
      <c r="X296" s="6">
        <v>41</v>
      </c>
      <c r="Y296">
        <v>2.3836999999999997</v>
      </c>
      <c r="Z296">
        <v>3.3106944444444442</v>
      </c>
      <c r="AA296" s="6">
        <v>74.999790242060669</v>
      </c>
      <c r="AB296" s="4">
        <v>71.510800000000003</v>
      </c>
      <c r="AC296" s="6">
        <v>13.333370623737952</v>
      </c>
      <c r="AD296">
        <v>0.30520325199999998</v>
      </c>
      <c r="AE296">
        <v>1.4113662024840046</v>
      </c>
      <c r="AF296">
        <v>3075</v>
      </c>
      <c r="AG296" s="4">
        <v>0</v>
      </c>
      <c r="AH296" s="4">
        <v>0</v>
      </c>
      <c r="AL296">
        <v>75</v>
      </c>
      <c r="AM296">
        <v>2.3836999999999997</v>
      </c>
      <c r="AN296" t="s">
        <v>73</v>
      </c>
      <c r="AO296" t="s">
        <v>93</v>
      </c>
      <c r="AP296" s="5">
        <v>45124</v>
      </c>
      <c r="AQ296" t="s">
        <v>438</v>
      </c>
      <c r="AR296" s="5">
        <v>45156</v>
      </c>
      <c r="AS296">
        <v>119.09938331165836</v>
      </c>
      <c r="AT296" s="6"/>
      <c r="AU296">
        <v>57.683433317951092</v>
      </c>
      <c r="AV296">
        <v>42.367718253135884</v>
      </c>
      <c r="AW296">
        <v>42.668838360531943</v>
      </c>
      <c r="AX296">
        <v>142.7199899316189</v>
      </c>
      <c r="AY296">
        <v>28.925162562402992</v>
      </c>
      <c r="AZ296">
        <v>31.236183244535809</v>
      </c>
      <c r="BA296">
        <v>9.6050216050677548</v>
      </c>
      <c r="BB296">
        <v>7.0035742752863195</v>
      </c>
      <c r="BC296">
        <v>16.832428577421656</v>
      </c>
      <c r="BD296">
        <v>93.602370264714523</v>
      </c>
      <c r="BE296">
        <v>-117.22297688467506</v>
      </c>
      <c r="BF296">
        <v>39.267172882493604</v>
      </c>
      <c r="BG296">
        <v>0.12203716910685072</v>
      </c>
      <c r="BH296">
        <v>39.389210051600458</v>
      </c>
      <c r="BI296">
        <v>275.71157024793393</v>
      </c>
      <c r="BJ296" s="6">
        <v>150</v>
      </c>
      <c r="BK296">
        <v>-156.61218693627555</v>
      </c>
      <c r="BL296" s="4">
        <v>-373.31647000000004</v>
      </c>
      <c r="BM296" t="s">
        <v>1296</v>
      </c>
      <c r="BN296" t="s">
        <v>65</v>
      </c>
      <c r="BO296">
        <v>8</v>
      </c>
      <c r="BP296">
        <v>2023</v>
      </c>
      <c r="BQ296" t="str">
        <f t="shared" si="21"/>
        <v>Roiphet18</v>
      </c>
      <c r="BR296">
        <f t="shared" si="22"/>
        <v>-299.65867000000009</v>
      </c>
      <c r="BS296">
        <f t="shared" si="23"/>
        <v>283.8972</v>
      </c>
      <c r="BT296" s="6">
        <f t="shared" si="24"/>
        <v>-125.71157024793393</v>
      </c>
    </row>
    <row r="297" spans="1:72">
      <c r="A297" s="3" t="s">
        <v>967</v>
      </c>
      <c r="B297" s="3" t="s">
        <v>1174</v>
      </c>
      <c r="C297" s="3" t="s">
        <v>1285</v>
      </c>
      <c r="D297" s="2" t="s">
        <v>1326</v>
      </c>
      <c r="E297" s="4" t="str">
        <f t="shared" si="20"/>
        <v>Roiphet1B1-I02-0095</v>
      </c>
      <c r="F297">
        <v>0.72</v>
      </c>
      <c r="G297">
        <v>1.3</v>
      </c>
      <c r="H297" t="s">
        <v>72</v>
      </c>
      <c r="I297" t="s">
        <v>67</v>
      </c>
      <c r="J297" t="s">
        <v>357</v>
      </c>
      <c r="K297" t="s">
        <v>69</v>
      </c>
      <c r="L297" t="s">
        <v>69</v>
      </c>
      <c r="M297">
        <v>0.7</v>
      </c>
      <c r="N297" s="5">
        <v>44977</v>
      </c>
      <c r="O297" s="5">
        <v>45001</v>
      </c>
      <c r="P297">
        <v>0.2</v>
      </c>
      <c r="Q297" s="4">
        <v>134</v>
      </c>
      <c r="R297">
        <v>0.5</v>
      </c>
      <c r="S297" t="s">
        <v>70</v>
      </c>
      <c r="T297" s="6">
        <v>4</v>
      </c>
      <c r="U297" s="5">
        <v>45099</v>
      </c>
      <c r="V297" s="6">
        <v>2</v>
      </c>
      <c r="W297" t="s">
        <v>71</v>
      </c>
      <c r="X297" s="6">
        <v>98</v>
      </c>
      <c r="Y297">
        <v>5.6502700000000008</v>
      </c>
      <c r="Z297">
        <v>7.8475972222222232</v>
      </c>
      <c r="AA297" s="6">
        <v>39.288387988538595</v>
      </c>
      <c r="AB297" s="4">
        <v>110.995</v>
      </c>
      <c r="AC297" s="6">
        <v>25.452813189783328</v>
      </c>
      <c r="AD297">
        <v>0.30411255399999998</v>
      </c>
      <c r="AE297">
        <v>1.6755941602840942</v>
      </c>
      <c r="AF297">
        <v>9300</v>
      </c>
      <c r="AG297" s="4">
        <v>700</v>
      </c>
      <c r="AH297" s="4">
        <v>6510</v>
      </c>
      <c r="AL297">
        <v>33</v>
      </c>
      <c r="AM297">
        <v>3.9824600000000001</v>
      </c>
      <c r="AN297" t="s">
        <v>77</v>
      </c>
      <c r="AO297" t="s">
        <v>144</v>
      </c>
      <c r="AP297" s="5">
        <v>45005</v>
      </c>
      <c r="AQ297" t="s">
        <v>176</v>
      </c>
      <c r="AR297" s="5">
        <v>45096</v>
      </c>
      <c r="AS297">
        <v>154.64896190801502</v>
      </c>
      <c r="AT297" s="6"/>
      <c r="AU297">
        <v>15.928442357621847</v>
      </c>
      <c r="AV297">
        <v>48.628262012257807</v>
      </c>
      <c r="AW297">
        <v>12.330205459208145</v>
      </c>
      <c r="AX297">
        <v>76.886909829087799</v>
      </c>
      <c r="AY297">
        <v>18.900118047456139</v>
      </c>
      <c r="AZ297">
        <v>31.063804030603841</v>
      </c>
      <c r="BA297">
        <v>3.6722085847225001</v>
      </c>
      <c r="BB297">
        <v>3.2339127156755336</v>
      </c>
      <c r="BC297">
        <v>11.097508614632575</v>
      </c>
      <c r="BD297">
        <v>67.967551993090581</v>
      </c>
      <c r="BE297">
        <v>9.7945000858366456</v>
      </c>
      <c r="BF297">
        <v>27.946273363927745</v>
      </c>
      <c r="BG297">
        <v>7.4447769752595899E-2</v>
      </c>
      <c r="BH297">
        <v>28.020721133680336</v>
      </c>
      <c r="BI297">
        <v>172.87518295585872</v>
      </c>
      <c r="BJ297" s="6">
        <v>183</v>
      </c>
      <c r="BK297">
        <v>-18.226221047843701</v>
      </c>
      <c r="BL297" s="4">
        <v>-102.98306999999983</v>
      </c>
      <c r="BM297" t="s">
        <v>1327</v>
      </c>
      <c r="BN297" t="s">
        <v>65</v>
      </c>
      <c r="BO297">
        <v>6</v>
      </c>
      <c r="BP297">
        <v>2023</v>
      </c>
      <c r="BQ297" t="str">
        <f t="shared" si="21"/>
        <v>Roiphet16</v>
      </c>
      <c r="BR297">
        <f t="shared" si="22"/>
        <v>57.207950000000167</v>
      </c>
      <c r="BS297">
        <f t="shared" si="23"/>
        <v>873.80839000000014</v>
      </c>
      <c r="BT297" s="6">
        <f t="shared" si="24"/>
        <v>10.124817044141281</v>
      </c>
    </row>
    <row r="298" spans="1:72">
      <c r="A298" s="3" t="s">
        <v>967</v>
      </c>
      <c r="B298" s="3" t="s">
        <v>1174</v>
      </c>
      <c r="C298" s="3" t="s">
        <v>1285</v>
      </c>
      <c r="D298" s="2" t="s">
        <v>1317</v>
      </c>
      <c r="E298" s="4" t="str">
        <f t="shared" si="20"/>
        <v>Roiphet1B1-G01-0084</v>
      </c>
      <c r="F298">
        <v>1.1299999999999999</v>
      </c>
      <c r="G298">
        <v>1.5</v>
      </c>
      <c r="H298" t="s">
        <v>84</v>
      </c>
      <c r="I298" t="s">
        <v>67</v>
      </c>
      <c r="J298" t="s">
        <v>357</v>
      </c>
      <c r="K298" t="s">
        <v>69</v>
      </c>
      <c r="L298" t="s">
        <v>69</v>
      </c>
      <c r="M298">
        <v>0.61952861952861948</v>
      </c>
      <c r="N298" s="5">
        <v>44977</v>
      </c>
      <c r="O298" s="5">
        <v>44999</v>
      </c>
      <c r="P298">
        <v>0.4</v>
      </c>
      <c r="Q298" s="4">
        <v>147</v>
      </c>
      <c r="R298">
        <v>0.7</v>
      </c>
      <c r="S298" t="s">
        <v>70</v>
      </c>
      <c r="T298" s="6">
        <v>3</v>
      </c>
      <c r="U298" s="5">
        <v>45087</v>
      </c>
      <c r="V298" s="6">
        <v>2</v>
      </c>
      <c r="W298" t="s">
        <v>71</v>
      </c>
      <c r="X298" s="6">
        <v>88</v>
      </c>
      <c r="Y298">
        <v>7.9303999999999997</v>
      </c>
      <c r="Z298">
        <v>7.0180530973451329</v>
      </c>
      <c r="AA298" s="6">
        <v>43.589478462624839</v>
      </c>
      <c r="AB298" s="4">
        <v>86.420500000000004</v>
      </c>
      <c r="AC298" s="6">
        <v>22.941316007197365</v>
      </c>
      <c r="AD298">
        <v>0.29917076199999998</v>
      </c>
      <c r="AE298">
        <v>1.9410749764718185</v>
      </c>
      <c r="AF298">
        <v>14850</v>
      </c>
      <c r="AG298" s="4">
        <v>1000</v>
      </c>
      <c r="AH298" s="4">
        <v>9200</v>
      </c>
      <c r="AL298">
        <v>37</v>
      </c>
      <c r="AM298">
        <v>5.2177100000000003</v>
      </c>
      <c r="AN298" t="s">
        <v>77</v>
      </c>
      <c r="AO298" t="s">
        <v>144</v>
      </c>
      <c r="AP298" s="5">
        <v>45005</v>
      </c>
      <c r="AQ298" t="s">
        <v>198</v>
      </c>
      <c r="AR298" s="5">
        <v>45082</v>
      </c>
      <c r="AS298">
        <v>153.84083400585092</v>
      </c>
      <c r="AT298" s="6"/>
      <c r="AU298">
        <v>25.219408857056393</v>
      </c>
      <c r="AV298">
        <v>55.453444971249858</v>
      </c>
      <c r="AW298">
        <v>15.431415817613239</v>
      </c>
      <c r="AX298">
        <v>96.104269645919501</v>
      </c>
      <c r="AY298">
        <v>18.889457026127303</v>
      </c>
      <c r="AZ298">
        <v>32.225687228891353</v>
      </c>
      <c r="BA298">
        <v>3.4839415414102692</v>
      </c>
      <c r="BB298">
        <v>3.2653422273781905</v>
      </c>
      <c r="BC298">
        <v>10.951643044487039</v>
      </c>
      <c r="BD298">
        <v>68.816071068294164</v>
      </c>
      <c r="BE298">
        <v>-11.079506708362743</v>
      </c>
      <c r="BF298">
        <v>28.596676081912644</v>
      </c>
      <c r="BG298">
        <v>7.4880207807928992E-2</v>
      </c>
      <c r="BH298">
        <v>28.67155628972057</v>
      </c>
      <c r="BI298">
        <v>193.59189700393426</v>
      </c>
      <c r="BJ298" s="6">
        <v>178</v>
      </c>
      <c r="BK298">
        <v>-39.751062998083334</v>
      </c>
      <c r="BL298" s="4">
        <v>-315.24183000000005</v>
      </c>
      <c r="BM298" t="s">
        <v>1286</v>
      </c>
      <c r="BN298" t="s">
        <v>65</v>
      </c>
      <c r="BO298">
        <v>6</v>
      </c>
      <c r="BP298">
        <v>2023</v>
      </c>
      <c r="BQ298" t="str">
        <f t="shared" si="21"/>
        <v>Roiphet16</v>
      </c>
      <c r="BR298">
        <f t="shared" si="22"/>
        <v>-123.64998000000028</v>
      </c>
      <c r="BS298">
        <f t="shared" si="23"/>
        <v>1220.01935</v>
      </c>
      <c r="BT298" s="6">
        <f t="shared" si="24"/>
        <v>-15.591897003934264</v>
      </c>
    </row>
    <row r="299" spans="1:72">
      <c r="A299" s="3" t="s">
        <v>967</v>
      </c>
      <c r="B299" s="3" t="s">
        <v>1174</v>
      </c>
      <c r="C299" s="3" t="s">
        <v>1285</v>
      </c>
      <c r="D299" s="2" t="s">
        <v>1299</v>
      </c>
      <c r="E299" s="4" t="str">
        <f t="shared" si="20"/>
        <v>Roiphet1B3-I05-0093</v>
      </c>
      <c r="F299">
        <v>0.72</v>
      </c>
      <c r="G299">
        <v>1.3</v>
      </c>
      <c r="H299" t="s">
        <v>72</v>
      </c>
      <c r="I299" t="s">
        <v>67</v>
      </c>
      <c r="J299" t="s">
        <v>357</v>
      </c>
      <c r="K299" t="s">
        <v>69</v>
      </c>
      <c r="L299" t="s">
        <v>69</v>
      </c>
      <c r="M299">
        <v>0.50409577819785756</v>
      </c>
      <c r="N299" s="5">
        <v>45075</v>
      </c>
      <c r="O299" s="5">
        <v>45112</v>
      </c>
      <c r="P299">
        <v>0.25</v>
      </c>
      <c r="Q299" s="4">
        <v>167</v>
      </c>
      <c r="R299">
        <v>0.98</v>
      </c>
      <c r="S299" t="s">
        <v>70</v>
      </c>
      <c r="T299" s="6">
        <v>2</v>
      </c>
      <c r="U299" s="5">
        <v>45162</v>
      </c>
      <c r="V299" s="6">
        <v>2</v>
      </c>
      <c r="W299" t="s">
        <v>71</v>
      </c>
      <c r="X299" s="6">
        <v>50</v>
      </c>
      <c r="Y299">
        <v>2.0990500000000001</v>
      </c>
      <c r="Z299">
        <v>2.9153472222222225</v>
      </c>
      <c r="AA299" s="6">
        <v>71.305590624330051</v>
      </c>
      <c r="AB299" s="4">
        <v>59.869599999999998</v>
      </c>
      <c r="AC299" s="6">
        <v>14.024145810227562</v>
      </c>
      <c r="AD299">
        <v>0.29289999999999999</v>
      </c>
      <c r="AE299">
        <v>1.711881775524513</v>
      </c>
      <c r="AF299">
        <v>3174</v>
      </c>
      <c r="AG299" s="4">
        <v>2100</v>
      </c>
      <c r="AH299" s="4">
        <v>1600</v>
      </c>
      <c r="AL299">
        <v>64</v>
      </c>
      <c r="AM299">
        <v>1.50925</v>
      </c>
      <c r="AN299" t="s">
        <v>73</v>
      </c>
      <c r="AO299" t="s">
        <v>93</v>
      </c>
      <c r="AP299" s="5">
        <v>45117</v>
      </c>
      <c r="AQ299" t="s">
        <v>438</v>
      </c>
      <c r="AR299" s="5">
        <v>45156</v>
      </c>
      <c r="AS299">
        <v>124.19009551940162</v>
      </c>
      <c r="AT299" s="6"/>
      <c r="AU299">
        <v>65.505824063266701</v>
      </c>
      <c r="AV299">
        <v>49.681679807531978</v>
      </c>
      <c r="AW299">
        <v>39.291231747695377</v>
      </c>
      <c r="AX299">
        <v>154.47873561849406</v>
      </c>
      <c r="AY299">
        <v>36.767685381482089</v>
      </c>
      <c r="AZ299">
        <v>40.648402848907836</v>
      </c>
      <c r="BA299">
        <v>11.976903837450273</v>
      </c>
      <c r="BB299">
        <v>8.6174793358900441</v>
      </c>
      <c r="BC299">
        <v>21.646683023272427</v>
      </c>
      <c r="BD299">
        <v>119.65715442700267</v>
      </c>
      <c r="BE299">
        <v>-149.94579452609509</v>
      </c>
      <c r="BF299">
        <v>49.607770181748883</v>
      </c>
      <c r="BG299">
        <v>0.15341702198613658</v>
      </c>
      <c r="BH299">
        <v>49.76118720373502</v>
      </c>
      <c r="BI299">
        <v>323.89707724923176</v>
      </c>
      <c r="BJ299" s="6">
        <v>150</v>
      </c>
      <c r="BK299">
        <v>-199.70698172983018</v>
      </c>
      <c r="BL299" s="4">
        <v>-419.19494000000009</v>
      </c>
      <c r="BM299" t="s">
        <v>1300</v>
      </c>
      <c r="BN299" t="s">
        <v>65</v>
      </c>
      <c r="BO299">
        <v>8</v>
      </c>
      <c r="BP299">
        <v>2023</v>
      </c>
      <c r="BQ299" t="str">
        <f t="shared" si="21"/>
        <v>Roiphet18</v>
      </c>
      <c r="BR299">
        <f t="shared" si="22"/>
        <v>-365.01865999999995</v>
      </c>
      <c r="BS299">
        <f t="shared" si="23"/>
        <v>260.68122</v>
      </c>
      <c r="BT299" s="6">
        <f t="shared" si="24"/>
        <v>-173.89707724923176</v>
      </c>
    </row>
    <row r="300" spans="1:72">
      <c r="A300" s="3" t="s">
        <v>967</v>
      </c>
      <c r="B300" s="3" t="s">
        <v>1174</v>
      </c>
      <c r="C300" s="3" t="s">
        <v>1285</v>
      </c>
      <c r="D300" s="2" t="s">
        <v>1301</v>
      </c>
      <c r="E300" s="4" t="str">
        <f t="shared" si="20"/>
        <v>Roiphet1B5-G10-0084</v>
      </c>
      <c r="F300">
        <v>1.1299999999999999</v>
      </c>
      <c r="G300">
        <v>1.5</v>
      </c>
      <c r="H300" t="s">
        <v>84</v>
      </c>
      <c r="I300" t="s">
        <v>67</v>
      </c>
      <c r="J300" t="s">
        <v>357</v>
      </c>
      <c r="K300" t="s">
        <v>89</v>
      </c>
      <c r="L300" t="s">
        <v>89</v>
      </c>
      <c r="M300">
        <v>0.84280936454849498</v>
      </c>
      <c r="N300" s="5">
        <v>45051</v>
      </c>
      <c r="O300" s="5">
        <v>45080</v>
      </c>
      <c r="P300">
        <v>0.45</v>
      </c>
      <c r="Q300" s="4">
        <v>166</v>
      </c>
      <c r="R300">
        <v>0.61</v>
      </c>
      <c r="S300" t="s">
        <v>70</v>
      </c>
      <c r="T300" s="6">
        <v>2</v>
      </c>
      <c r="U300" s="5">
        <v>45136</v>
      </c>
      <c r="V300" s="6">
        <v>2</v>
      </c>
      <c r="W300" t="s">
        <v>71</v>
      </c>
      <c r="X300" s="6">
        <v>56.000000000000007</v>
      </c>
      <c r="Y300">
        <v>2.7991700000000002</v>
      </c>
      <c r="Z300">
        <v>2.4771415929203542</v>
      </c>
      <c r="AA300" s="6">
        <v>61.280308091327072</v>
      </c>
      <c r="AB300" s="4">
        <v>38.11866666666667</v>
      </c>
      <c r="AC300" s="6">
        <v>16.318455816339618</v>
      </c>
      <c r="AD300">
        <v>0.29177058099999997</v>
      </c>
      <c r="AE300">
        <v>2.9607829934209224</v>
      </c>
      <c r="AF300">
        <v>7475</v>
      </c>
      <c r="AG300" s="4">
        <v>2600</v>
      </c>
      <c r="AH300" s="4">
        <v>6300</v>
      </c>
      <c r="AL300">
        <v>59.000000000000007</v>
      </c>
      <c r="AM300">
        <v>1.5225299999999999</v>
      </c>
      <c r="AN300" t="s">
        <v>77</v>
      </c>
      <c r="AO300" t="s">
        <v>189</v>
      </c>
      <c r="AP300" s="5">
        <v>45096</v>
      </c>
      <c r="AQ300" t="s">
        <v>148</v>
      </c>
      <c r="AR300" s="5">
        <v>45135</v>
      </c>
      <c r="AS300">
        <v>109.90872294287236</v>
      </c>
      <c r="AT300" s="6"/>
      <c r="AU300">
        <v>80.380970073271726</v>
      </c>
      <c r="AV300">
        <v>82.032259562656066</v>
      </c>
      <c r="AW300">
        <v>51.208826187762796</v>
      </c>
      <c r="AX300">
        <v>213.62205582369057</v>
      </c>
      <c r="AY300">
        <v>41.924974188777391</v>
      </c>
      <c r="AZ300">
        <v>58.152245129806339</v>
      </c>
      <c r="BA300">
        <v>12.637342497954753</v>
      </c>
      <c r="BB300">
        <v>9.6820879046288724</v>
      </c>
      <c r="BC300">
        <v>27.367605397314197</v>
      </c>
      <c r="BD300">
        <v>149.76425511848154</v>
      </c>
      <c r="BE300">
        <v>-253.47758799929977</v>
      </c>
      <c r="BF300">
        <v>61.9720452848523</v>
      </c>
      <c r="BG300">
        <v>0.17275120839391678</v>
      </c>
      <c r="BH300">
        <v>62.144796493246211</v>
      </c>
      <c r="BI300">
        <v>425.53110743541839</v>
      </c>
      <c r="BJ300" s="6">
        <v>161</v>
      </c>
      <c r="BK300">
        <v>-315.62238449254608</v>
      </c>
      <c r="BL300" s="4">
        <v>-883.48071000000016</v>
      </c>
      <c r="BM300" t="s">
        <v>1302</v>
      </c>
      <c r="BN300" t="s">
        <v>65</v>
      </c>
      <c r="BO300">
        <v>7</v>
      </c>
      <c r="BP300">
        <v>2023</v>
      </c>
      <c r="BQ300" t="str">
        <f t="shared" si="21"/>
        <v>Roiphet17</v>
      </c>
      <c r="BR300">
        <f t="shared" si="22"/>
        <v>-740.4675400000001</v>
      </c>
      <c r="BS300">
        <f t="shared" si="23"/>
        <v>307.65320000000003</v>
      </c>
      <c r="BT300" s="6">
        <f t="shared" si="24"/>
        <v>-264.53110743541839</v>
      </c>
    </row>
    <row r="301" spans="1:72">
      <c r="A301" s="3" t="s">
        <v>967</v>
      </c>
      <c r="B301" s="3" t="s">
        <v>1174</v>
      </c>
      <c r="C301" s="3" t="s">
        <v>1285</v>
      </c>
      <c r="D301" s="2" t="s">
        <v>1293</v>
      </c>
      <c r="E301" s="4" t="str">
        <f t="shared" si="20"/>
        <v>Roiphet1B6-I11-0084</v>
      </c>
      <c r="F301">
        <v>0.72</v>
      </c>
      <c r="G301">
        <v>1.3</v>
      </c>
      <c r="H301" t="s">
        <v>72</v>
      </c>
      <c r="I301" t="s">
        <v>67</v>
      </c>
      <c r="J301" t="s">
        <v>357</v>
      </c>
      <c r="K301" t="s">
        <v>89</v>
      </c>
      <c r="L301" t="s">
        <v>89</v>
      </c>
      <c r="M301">
        <v>0.19834710743801653</v>
      </c>
      <c r="N301" s="5">
        <v>45087</v>
      </c>
      <c r="O301" s="5">
        <v>45121</v>
      </c>
      <c r="P301">
        <v>0.25</v>
      </c>
      <c r="Q301" s="4">
        <v>167</v>
      </c>
      <c r="R301">
        <v>0.82</v>
      </c>
      <c r="S301" t="s">
        <v>70</v>
      </c>
      <c r="T301" s="6">
        <v>1</v>
      </c>
      <c r="U301" s="5">
        <v>45163</v>
      </c>
      <c r="V301" s="6">
        <v>2</v>
      </c>
      <c r="W301" t="s">
        <v>71</v>
      </c>
      <c r="X301" s="6">
        <v>42</v>
      </c>
      <c r="Y301">
        <v>1.92544</v>
      </c>
      <c r="Z301">
        <v>2.6742222222222223</v>
      </c>
      <c r="AA301" s="6">
        <v>77.999833804221367</v>
      </c>
      <c r="AB301" s="4">
        <v>60.073600000000006</v>
      </c>
      <c r="AC301" s="6">
        <v>12.820540137431419</v>
      </c>
      <c r="AD301">
        <v>0.285726496</v>
      </c>
      <c r="AE301">
        <v>1.7582302613224217</v>
      </c>
      <c r="AF301">
        <v>3025</v>
      </c>
      <c r="AG301" s="4">
        <v>1000</v>
      </c>
      <c r="AH301" s="4">
        <v>600</v>
      </c>
      <c r="AL301">
        <v>78</v>
      </c>
      <c r="AM301">
        <v>1.92544</v>
      </c>
      <c r="AN301" t="s">
        <v>73</v>
      </c>
      <c r="AO301" t="s">
        <v>93</v>
      </c>
      <c r="AP301" s="5">
        <v>45124</v>
      </c>
      <c r="AQ301" t="s">
        <v>215</v>
      </c>
      <c r="AR301" s="5">
        <v>45156</v>
      </c>
      <c r="AS301">
        <v>114.80661563071298</v>
      </c>
      <c r="AT301" s="6"/>
      <c r="AU301">
        <v>71.412248628884825</v>
      </c>
      <c r="AV301">
        <v>51.615059414990853</v>
      </c>
      <c r="AW301">
        <v>43.842571048695348</v>
      </c>
      <c r="AX301">
        <v>166.86987909257104</v>
      </c>
      <c r="AY301">
        <v>36.333025178660456</v>
      </c>
      <c r="AZ301">
        <v>39.068270109689216</v>
      </c>
      <c r="BA301">
        <v>12.068114301146752</v>
      </c>
      <c r="BB301">
        <v>8.7706809872029261</v>
      </c>
      <c r="BC301">
        <v>21.060682233671265</v>
      </c>
      <c r="BD301">
        <v>117.3007728103706</v>
      </c>
      <c r="BE301">
        <v>-169.36403627222865</v>
      </c>
      <c r="BF301">
        <v>49.132063320591662</v>
      </c>
      <c r="BG301">
        <v>0.15317018447731426</v>
      </c>
      <c r="BH301">
        <v>49.285233505068973</v>
      </c>
      <c r="BI301">
        <v>333.45588540801066</v>
      </c>
      <c r="BJ301" s="6">
        <v>150</v>
      </c>
      <c r="BK301">
        <v>-218.64926977729766</v>
      </c>
      <c r="BL301" s="4">
        <v>-420.99605000000003</v>
      </c>
      <c r="BM301" t="s">
        <v>1294</v>
      </c>
      <c r="BN301" t="s">
        <v>65</v>
      </c>
      <c r="BO301">
        <v>8</v>
      </c>
      <c r="BP301">
        <v>2023</v>
      </c>
      <c r="BQ301" t="str">
        <f t="shared" si="21"/>
        <v>Roiphet18</v>
      </c>
      <c r="BR301">
        <f t="shared" si="22"/>
        <v>-353.23330000000004</v>
      </c>
      <c r="BS301">
        <f t="shared" si="23"/>
        <v>221.05325000000002</v>
      </c>
      <c r="BT301" s="6">
        <f t="shared" si="24"/>
        <v>-183.45588540801066</v>
      </c>
    </row>
    <row r="302" spans="1:72">
      <c r="A302" s="3" t="s">
        <v>967</v>
      </c>
      <c r="B302" s="3" t="s">
        <v>1174</v>
      </c>
      <c r="C302" s="3" t="s">
        <v>1285</v>
      </c>
      <c r="D302" s="2" t="s">
        <v>1297</v>
      </c>
      <c r="E302" s="4" t="str">
        <f t="shared" si="20"/>
        <v>Roiphet1B3-G06-0082</v>
      </c>
      <c r="F302">
        <v>1.1299999999999999</v>
      </c>
      <c r="G302">
        <v>1.5</v>
      </c>
      <c r="H302" t="s">
        <v>84</v>
      </c>
      <c r="I302" t="s">
        <v>67</v>
      </c>
      <c r="J302" t="s">
        <v>357</v>
      </c>
      <c r="K302" t="s">
        <v>89</v>
      </c>
      <c r="L302" t="s">
        <v>89</v>
      </c>
      <c r="M302">
        <v>0.54131507721700367</v>
      </c>
      <c r="N302" s="5">
        <v>45084</v>
      </c>
      <c r="O302" s="5">
        <v>45113</v>
      </c>
      <c r="P302">
        <v>0.55000000000000004</v>
      </c>
      <c r="Q302" s="4">
        <v>203</v>
      </c>
      <c r="R302">
        <v>0.93</v>
      </c>
      <c r="S302" t="s">
        <v>70</v>
      </c>
      <c r="T302" s="6">
        <v>2</v>
      </c>
      <c r="U302" s="5">
        <v>45162</v>
      </c>
      <c r="V302" s="6">
        <v>2</v>
      </c>
      <c r="W302" t="s">
        <v>71</v>
      </c>
      <c r="X302" s="6">
        <v>49</v>
      </c>
      <c r="Y302">
        <v>4.5875300000000001</v>
      </c>
      <c r="Z302">
        <v>4.0597610619469036</v>
      </c>
      <c r="AA302" s="6">
        <v>72.369880959906538</v>
      </c>
      <c r="AB302" s="4">
        <v>60.363454545454545</v>
      </c>
      <c r="AC302" s="6">
        <v>13.817903065973088</v>
      </c>
      <c r="AD302">
        <v>0.28114045599999998</v>
      </c>
      <c r="AE302">
        <v>1.5409261748918088</v>
      </c>
      <c r="AF302">
        <v>6281</v>
      </c>
      <c r="AG302" s="4">
        <v>3900</v>
      </c>
      <c r="AH302" s="4">
        <v>3400</v>
      </c>
      <c r="AL302">
        <v>68</v>
      </c>
      <c r="AM302">
        <v>3.1556700000000002</v>
      </c>
      <c r="AN302" t="s">
        <v>73</v>
      </c>
      <c r="AO302" t="s">
        <v>93</v>
      </c>
      <c r="AP302" s="5">
        <v>45117</v>
      </c>
      <c r="AQ302" t="s">
        <v>215</v>
      </c>
      <c r="AR302" s="5">
        <v>45156</v>
      </c>
      <c r="AS302">
        <v>123.61631422573805</v>
      </c>
      <c r="AT302" s="6"/>
      <c r="AU302">
        <v>65.939623283117498</v>
      </c>
      <c r="AV302">
        <v>44.955200292968122</v>
      </c>
      <c r="AW302">
        <v>30.777069577746627</v>
      </c>
      <c r="AX302">
        <v>141.67189315383226</v>
      </c>
      <c r="AY302">
        <v>24.558278637959862</v>
      </c>
      <c r="AZ302">
        <v>26.557498261591753</v>
      </c>
      <c r="BA302">
        <v>8.1017519231481874</v>
      </c>
      <c r="BB302">
        <v>5.8629567545062375</v>
      </c>
      <c r="BC302">
        <v>14.356632000226705</v>
      </c>
      <c r="BD302">
        <v>79.437117577432744</v>
      </c>
      <c r="BE302">
        <v>-97.492696505526951</v>
      </c>
      <c r="BF302">
        <v>33.168508979777798</v>
      </c>
      <c r="BG302">
        <v>0.10313829010382493</v>
      </c>
      <c r="BH302">
        <v>33.271647269881619</v>
      </c>
      <c r="BI302">
        <v>254.38065800114663</v>
      </c>
      <c r="BJ302" s="6">
        <v>150</v>
      </c>
      <c r="BK302">
        <v>-130.76434377540858</v>
      </c>
      <c r="BL302" s="4">
        <v>-599.88535000000013</v>
      </c>
      <c r="BM302" t="s">
        <v>1298</v>
      </c>
      <c r="BN302" t="s">
        <v>65</v>
      </c>
      <c r="BO302">
        <v>8</v>
      </c>
      <c r="BP302">
        <v>2023</v>
      </c>
      <c r="BQ302" t="str">
        <f t="shared" si="21"/>
        <v>Roiphet18</v>
      </c>
      <c r="BR302">
        <f t="shared" si="22"/>
        <v>-478.84940000000023</v>
      </c>
      <c r="BS302">
        <f t="shared" si="23"/>
        <v>567.09355000000005</v>
      </c>
      <c r="BT302" s="6">
        <f t="shared" si="24"/>
        <v>-104.38065800114663</v>
      </c>
    </row>
    <row r="303" spans="1:72">
      <c r="A303" s="3" t="s">
        <v>967</v>
      </c>
      <c r="B303" s="3" t="s">
        <v>1174</v>
      </c>
      <c r="C303" s="3" t="s">
        <v>1285</v>
      </c>
      <c r="D303" s="2" t="s">
        <v>1307</v>
      </c>
      <c r="E303" s="4" t="str">
        <f t="shared" si="20"/>
        <v>Roiphet1B2-G03-0080</v>
      </c>
      <c r="F303">
        <v>1.1299999999999999</v>
      </c>
      <c r="G303">
        <v>1.5</v>
      </c>
      <c r="H303" t="s">
        <v>84</v>
      </c>
      <c r="I303" t="s">
        <v>67</v>
      </c>
      <c r="J303" t="s">
        <v>357</v>
      </c>
      <c r="K303" t="s">
        <v>89</v>
      </c>
      <c r="L303" t="s">
        <v>89</v>
      </c>
      <c r="M303">
        <v>0.93442622950819676</v>
      </c>
      <c r="N303" s="5">
        <v>44995</v>
      </c>
      <c r="O303" s="5">
        <v>45020</v>
      </c>
      <c r="P303">
        <v>0.4</v>
      </c>
      <c r="Q303" s="4">
        <v>147</v>
      </c>
      <c r="R303">
        <v>0.43</v>
      </c>
      <c r="S303" t="s">
        <v>70</v>
      </c>
      <c r="T303" s="6">
        <v>3</v>
      </c>
      <c r="U303" s="5">
        <v>45102</v>
      </c>
      <c r="V303" s="6">
        <v>2</v>
      </c>
      <c r="W303" t="s">
        <v>71</v>
      </c>
      <c r="X303" s="6">
        <v>82</v>
      </c>
      <c r="Y303">
        <v>5.79826</v>
      </c>
      <c r="Z303">
        <v>5.1312035398230096</v>
      </c>
      <c r="AA303" s="6">
        <v>50.440132039611882</v>
      </c>
      <c r="AB303" s="4">
        <v>73.116250000000008</v>
      </c>
      <c r="AC303" s="6">
        <v>19.825483391175013</v>
      </c>
      <c r="AD303">
        <v>0.27836358500000002</v>
      </c>
      <c r="AE303">
        <v>2.1684031665795751</v>
      </c>
      <c r="AF303">
        <v>12200</v>
      </c>
      <c r="AG303" s="4">
        <v>600</v>
      </c>
      <c r="AH303" s="4">
        <v>11400</v>
      </c>
      <c r="AL303">
        <v>43</v>
      </c>
      <c r="AM303">
        <v>2.9501999999999997</v>
      </c>
      <c r="AN303" t="s">
        <v>77</v>
      </c>
      <c r="AO303" t="s">
        <v>127</v>
      </c>
      <c r="AP303" s="5">
        <v>45026</v>
      </c>
      <c r="AQ303" t="s">
        <v>176</v>
      </c>
      <c r="AR303" s="5">
        <v>45096</v>
      </c>
      <c r="AS303">
        <v>141.82733613187403</v>
      </c>
      <c r="AT303" s="6"/>
      <c r="AU303">
        <v>31.043795897389902</v>
      </c>
      <c r="AV303">
        <v>61.827042940468367</v>
      </c>
      <c r="AW303">
        <v>24.121569229389507</v>
      </c>
      <c r="AX303">
        <v>116.99240806724778</v>
      </c>
      <c r="AY303">
        <v>24.751220193644297</v>
      </c>
      <c r="AZ303">
        <v>41.056594564576265</v>
      </c>
      <c r="BA303">
        <v>5.0705918672153372</v>
      </c>
      <c r="BB303">
        <v>3.7463928833822555</v>
      </c>
      <c r="BC303">
        <v>15.156545239433898</v>
      </c>
      <c r="BD303">
        <v>89.781344748252053</v>
      </c>
      <c r="BE303">
        <v>-64.946416683625799</v>
      </c>
      <c r="BF303">
        <v>36.586294853973428</v>
      </c>
      <c r="BG303">
        <v>9.8986592529482983E-2</v>
      </c>
      <c r="BH303">
        <v>36.685281446502913</v>
      </c>
      <c r="BI303">
        <v>243.45903426200275</v>
      </c>
      <c r="BJ303" s="6">
        <v>167</v>
      </c>
      <c r="BK303">
        <v>-101.63169813012871</v>
      </c>
      <c r="BL303" s="4">
        <v>-589.28701000000012</v>
      </c>
      <c r="BM303" t="s">
        <v>1308</v>
      </c>
      <c r="BN303" t="s">
        <v>65</v>
      </c>
      <c r="BO303">
        <v>6</v>
      </c>
      <c r="BP303">
        <v>2023</v>
      </c>
      <c r="BQ303" t="str">
        <f t="shared" si="21"/>
        <v>Roiphet16</v>
      </c>
      <c r="BR303">
        <f t="shared" si="22"/>
        <v>-443.32936000000007</v>
      </c>
      <c r="BS303">
        <f t="shared" si="23"/>
        <v>822.35176999999999</v>
      </c>
      <c r="BT303" s="6">
        <f t="shared" si="24"/>
        <v>-76.459034262002746</v>
      </c>
    </row>
    <row r="304" spans="1:72">
      <c r="A304" s="3" t="s">
        <v>967</v>
      </c>
      <c r="B304" s="3" t="s">
        <v>1174</v>
      </c>
      <c r="C304" s="3" t="s">
        <v>1285</v>
      </c>
      <c r="D304" s="2" t="s">
        <v>1342</v>
      </c>
      <c r="E304" s="4" t="str">
        <f t="shared" si="20"/>
        <v>Roiphet1B3-I06-0094</v>
      </c>
      <c r="F304">
        <v>0.72</v>
      </c>
      <c r="G304">
        <v>1.3</v>
      </c>
      <c r="H304" t="s">
        <v>72</v>
      </c>
      <c r="I304" t="s">
        <v>67</v>
      </c>
      <c r="J304" t="s">
        <v>357</v>
      </c>
      <c r="K304" t="s">
        <v>69</v>
      </c>
      <c r="L304" t="s">
        <v>69</v>
      </c>
      <c r="M304">
        <v>0.7240284005979073</v>
      </c>
      <c r="N304" s="5">
        <v>44926</v>
      </c>
      <c r="O304" s="5">
        <v>44953</v>
      </c>
      <c r="P304">
        <v>0.22</v>
      </c>
      <c r="Q304" s="4">
        <v>147</v>
      </c>
      <c r="R304">
        <v>0.3</v>
      </c>
      <c r="S304" t="s">
        <v>70</v>
      </c>
      <c r="T304" s="6">
        <v>4</v>
      </c>
      <c r="U304" s="5">
        <v>45081</v>
      </c>
      <c r="V304" s="6">
        <v>2</v>
      </c>
      <c r="W304" t="s">
        <v>71</v>
      </c>
      <c r="X304" s="6">
        <v>128</v>
      </c>
      <c r="Y304">
        <v>5.0403700000000002</v>
      </c>
      <c r="Z304">
        <v>7.0005138888888894</v>
      </c>
      <c r="AA304" s="6">
        <v>36.285233028527671</v>
      </c>
      <c r="AB304" s="4">
        <v>83.132272727272721</v>
      </c>
      <c r="AC304" s="6">
        <v>27.559420638522397</v>
      </c>
      <c r="AD304">
        <v>0.276674107</v>
      </c>
      <c r="AE304">
        <v>2.1518302820256636</v>
      </c>
      <c r="AF304">
        <v>10704</v>
      </c>
      <c r="AG304" s="4">
        <v>1100</v>
      </c>
      <c r="AH304" s="4">
        <v>7750</v>
      </c>
      <c r="AL304">
        <v>28</v>
      </c>
      <c r="AM304">
        <v>3.1776399999999998</v>
      </c>
      <c r="AN304" t="s">
        <v>81</v>
      </c>
      <c r="AO304" t="s">
        <v>198</v>
      </c>
      <c r="AP304" s="5">
        <v>44956</v>
      </c>
      <c r="AQ304" t="s">
        <v>123</v>
      </c>
      <c r="AR304" s="5">
        <v>45075</v>
      </c>
      <c r="AS304">
        <v>206.30195005525385</v>
      </c>
      <c r="AT304" s="6"/>
      <c r="AU304">
        <v>17.459035745391709</v>
      </c>
      <c r="AV304">
        <v>57.557758656606545</v>
      </c>
      <c r="AW304">
        <v>18.496743294639085</v>
      </c>
      <c r="AX304">
        <v>93.513537696637329</v>
      </c>
      <c r="AY304">
        <v>28.716084335078577</v>
      </c>
      <c r="AZ304">
        <v>48.09538982257255</v>
      </c>
      <c r="BA304">
        <v>4.8077224489472004</v>
      </c>
      <c r="BB304">
        <v>5.1557841983822614</v>
      </c>
      <c r="BC304">
        <v>13.511027960248951</v>
      </c>
      <c r="BD304">
        <v>100.28600876522954</v>
      </c>
      <c r="BE304">
        <v>12.502403593386987</v>
      </c>
      <c r="BF304">
        <v>41.155877445504991</v>
      </c>
      <c r="BG304">
        <v>0.1069266740338507</v>
      </c>
      <c r="BH304">
        <v>41.262804119538842</v>
      </c>
      <c r="BI304">
        <v>235.06235058140578</v>
      </c>
      <c r="BJ304" s="6">
        <v>186</v>
      </c>
      <c r="BK304">
        <v>-28.76040052615193</v>
      </c>
      <c r="BL304" s="4">
        <v>-144.96306000000041</v>
      </c>
      <c r="BM304" t="s">
        <v>1343</v>
      </c>
      <c r="BN304" t="s">
        <v>65</v>
      </c>
      <c r="BO304">
        <v>6</v>
      </c>
      <c r="BP304">
        <v>2023</v>
      </c>
      <c r="BQ304" t="str">
        <f t="shared" si="21"/>
        <v>Roiphet16</v>
      </c>
      <c r="BR304">
        <f t="shared" si="22"/>
        <v>-247.29240000000027</v>
      </c>
      <c r="BS304">
        <f t="shared" si="23"/>
        <v>1039.83816</v>
      </c>
      <c r="BT304" s="6">
        <f t="shared" si="24"/>
        <v>-49.062350581405781</v>
      </c>
    </row>
    <row r="305" spans="1:72">
      <c r="A305" s="3" t="s">
        <v>967</v>
      </c>
      <c r="B305" s="3" t="s">
        <v>1174</v>
      </c>
      <c r="C305" s="3" t="s">
        <v>1285</v>
      </c>
      <c r="D305" s="2" t="s">
        <v>2767</v>
      </c>
      <c r="E305" s="4" t="str">
        <f t="shared" si="20"/>
        <v>Roiphet1B5-I09-0095</v>
      </c>
      <c r="F305">
        <v>0.72</v>
      </c>
      <c r="G305">
        <v>1.3</v>
      </c>
      <c r="H305" t="s">
        <v>72</v>
      </c>
      <c r="I305" t="s">
        <v>67</v>
      </c>
      <c r="J305" t="s">
        <v>357</v>
      </c>
      <c r="K305" t="s">
        <v>69</v>
      </c>
      <c r="N305" s="5">
        <v>45139</v>
      </c>
      <c r="O305" s="5">
        <v>45203</v>
      </c>
      <c r="P305">
        <v>0.25</v>
      </c>
      <c r="Q305" s="4">
        <v>167</v>
      </c>
      <c r="R305">
        <v>0.6</v>
      </c>
      <c r="S305" t="s">
        <v>70</v>
      </c>
      <c r="T305" s="6">
        <v>3</v>
      </c>
      <c r="U305" s="5">
        <v>45260</v>
      </c>
      <c r="V305" s="6">
        <v>2</v>
      </c>
      <c r="W305" t="s">
        <v>71</v>
      </c>
      <c r="X305" s="6">
        <v>57</v>
      </c>
      <c r="Y305">
        <v>2.7030500000000002</v>
      </c>
      <c r="Z305">
        <v>3.7542361111111116</v>
      </c>
      <c r="AA305" s="6">
        <v>70.751188472281314</v>
      </c>
      <c r="AB305" s="4">
        <v>76.497600000000006</v>
      </c>
      <c r="AC305" s="6">
        <v>14.134038192047855</v>
      </c>
      <c r="AD305">
        <v>0.24747162</v>
      </c>
      <c r="AE305">
        <v>2.0074029102446094</v>
      </c>
      <c r="AF305">
        <v>5125</v>
      </c>
      <c r="AG305" s="4"/>
      <c r="AH305" s="4"/>
      <c r="AI305" t="s">
        <v>73</v>
      </c>
      <c r="AJ305" t="s">
        <v>73</v>
      </c>
      <c r="AK305" t="s">
        <v>123</v>
      </c>
      <c r="AL305">
        <v>68</v>
      </c>
      <c r="AM305">
        <v>1.7276400000000001</v>
      </c>
      <c r="AN305" t="s">
        <v>73</v>
      </c>
      <c r="AO305" t="s">
        <v>105</v>
      </c>
      <c r="AP305" s="5">
        <v>45205</v>
      </c>
      <c r="AQ305" t="s">
        <v>105</v>
      </c>
      <c r="AR305" s="5">
        <v>45233</v>
      </c>
      <c r="AS305">
        <v>144.08781191616876</v>
      </c>
      <c r="AT305" s="6"/>
      <c r="AU305">
        <v>41.619651874734096</v>
      </c>
      <c r="AV305">
        <v>56.576123268160025</v>
      </c>
      <c r="AW305">
        <v>26.547929191098948</v>
      </c>
      <c r="AX305">
        <v>124.74370433399307</v>
      </c>
      <c r="AY305">
        <v>46.974569467823379</v>
      </c>
      <c r="AZ305">
        <v>35.06204842677716</v>
      </c>
      <c r="BA305">
        <v>26.822448715340077</v>
      </c>
      <c r="BB305">
        <v>11.530763396903497</v>
      </c>
      <c r="BC305">
        <v>26.669961709920276</v>
      </c>
      <c r="BD305">
        <v>147.05979171676438</v>
      </c>
      <c r="BE305">
        <v>-127.71568413458868</v>
      </c>
      <c r="BF305">
        <v>56.685636595697453</v>
      </c>
      <c r="BG305">
        <v>0.20608941750984994</v>
      </c>
      <c r="BH305">
        <v>56.891726013207304</v>
      </c>
      <c r="BI305">
        <v>328.69522206396482</v>
      </c>
      <c r="BJ305" s="6">
        <v>150</v>
      </c>
      <c r="BK305">
        <v>-184.60741014779603</v>
      </c>
      <c r="BL305" s="4">
        <v>-499.00306000000012</v>
      </c>
      <c r="BM305" t="s">
        <v>2768</v>
      </c>
      <c r="BN305" t="s">
        <v>65</v>
      </c>
      <c r="BO305">
        <v>11</v>
      </c>
      <c r="BP305">
        <v>2023</v>
      </c>
      <c r="BQ305" t="str">
        <f t="shared" si="21"/>
        <v>Roiphet111</v>
      </c>
      <c r="BR305">
        <f t="shared" si="22"/>
        <v>-483.02212000000014</v>
      </c>
      <c r="BS305">
        <f t="shared" si="23"/>
        <v>389.47656000000001</v>
      </c>
      <c r="BT305" s="6">
        <f t="shared" si="24"/>
        <v>-178.69522206396482</v>
      </c>
    </row>
    <row r="306" spans="1:72">
      <c r="A306" s="3" t="s">
        <v>967</v>
      </c>
      <c r="B306" s="3" t="s">
        <v>1174</v>
      </c>
      <c r="C306" s="3" t="s">
        <v>1285</v>
      </c>
      <c r="D306" s="2" t="s">
        <v>1311</v>
      </c>
      <c r="E306" s="4" t="str">
        <f t="shared" si="20"/>
        <v>Roiphet1B1-G02-0088</v>
      </c>
      <c r="F306">
        <v>1.1299999999999999</v>
      </c>
      <c r="G306">
        <v>1.5</v>
      </c>
      <c r="H306" t="s">
        <v>84</v>
      </c>
      <c r="I306" t="s">
        <v>67</v>
      </c>
      <c r="J306" t="s">
        <v>357</v>
      </c>
      <c r="K306" t="s">
        <v>69</v>
      </c>
      <c r="L306" t="s">
        <v>69</v>
      </c>
      <c r="M306">
        <v>0.69565217391304346</v>
      </c>
      <c r="N306" s="5">
        <v>44977</v>
      </c>
      <c r="O306" s="5">
        <v>45001</v>
      </c>
      <c r="P306">
        <v>0.4</v>
      </c>
      <c r="Q306" s="4">
        <v>147</v>
      </c>
      <c r="R306">
        <v>0.5</v>
      </c>
      <c r="S306" t="s">
        <v>70</v>
      </c>
      <c r="T306" s="6">
        <v>4</v>
      </c>
      <c r="U306" s="5">
        <v>45099</v>
      </c>
      <c r="V306" s="6">
        <v>2</v>
      </c>
      <c r="W306" t="s">
        <v>71</v>
      </c>
      <c r="X306" s="6">
        <v>98</v>
      </c>
      <c r="Y306">
        <v>8.9217099999999991</v>
      </c>
      <c r="Z306">
        <v>7.8953185840707967</v>
      </c>
      <c r="AA306" s="6">
        <v>47.462650097346817</v>
      </c>
      <c r="AB306" s="4">
        <v>105.86199999999999</v>
      </c>
      <c r="AC306" s="6">
        <v>21.06919857928246</v>
      </c>
      <c r="AD306">
        <v>0.24377799899999997</v>
      </c>
      <c r="AE306">
        <v>1.9118957176975617</v>
      </c>
      <c r="AF306">
        <v>16675</v>
      </c>
      <c r="AG306" s="4">
        <v>1000</v>
      </c>
      <c r="AH306" s="4">
        <v>11600</v>
      </c>
      <c r="AL306">
        <v>41</v>
      </c>
      <c r="AM306">
        <v>4.7809799999999996</v>
      </c>
      <c r="AN306" t="s">
        <v>77</v>
      </c>
      <c r="AO306" t="s">
        <v>144</v>
      </c>
      <c r="AP306" s="5">
        <v>45005</v>
      </c>
      <c r="AQ306" t="s">
        <v>131</v>
      </c>
      <c r="AR306" s="5">
        <v>45089</v>
      </c>
      <c r="AS306">
        <v>134.26682328836065</v>
      </c>
      <c r="AT306" s="6"/>
      <c r="AU306">
        <v>20.175504471676398</v>
      </c>
      <c r="AV306">
        <v>55.183583640355948</v>
      </c>
      <c r="AW306">
        <v>14.105643424859132</v>
      </c>
      <c r="AX306">
        <v>89.464731536891463</v>
      </c>
      <c r="AY306">
        <v>18.785880733626179</v>
      </c>
      <c r="AZ306">
        <v>30.876046183971454</v>
      </c>
      <c r="BA306">
        <v>3.6500110404843924</v>
      </c>
      <c r="BB306">
        <v>3.2143680975956408</v>
      </c>
      <c r="BC306">
        <v>11.030433627634165</v>
      </c>
      <c r="BD306">
        <v>67.556739683311832</v>
      </c>
      <c r="BE306">
        <v>-22.754647931842641</v>
      </c>
      <c r="BF306">
        <v>27.777358824709616</v>
      </c>
      <c r="BG306">
        <v>7.3998146095311329E-2</v>
      </c>
      <c r="BH306">
        <v>27.851356970804929</v>
      </c>
      <c r="BI306">
        <v>184.87282819100821</v>
      </c>
      <c r="BJ306" s="6">
        <v>172</v>
      </c>
      <c r="BK306">
        <v>-50.606004902647577</v>
      </c>
      <c r="BL306" s="4">
        <v>-451.49209999999988</v>
      </c>
      <c r="BM306" t="s">
        <v>1312</v>
      </c>
      <c r="BN306" t="s">
        <v>65</v>
      </c>
      <c r="BO306">
        <v>6</v>
      </c>
      <c r="BP306">
        <v>2023</v>
      </c>
      <c r="BQ306" t="str">
        <f t="shared" si="21"/>
        <v>Roiphet16</v>
      </c>
      <c r="BR306">
        <f t="shared" si="22"/>
        <v>-114.84763999999984</v>
      </c>
      <c r="BS306">
        <f t="shared" si="23"/>
        <v>1197.88966</v>
      </c>
      <c r="BT306" s="6">
        <f t="shared" si="24"/>
        <v>-12.87282819100821</v>
      </c>
    </row>
    <row r="307" spans="1:72">
      <c r="A307" s="3" t="s">
        <v>967</v>
      </c>
      <c r="B307" s="3" t="s">
        <v>1174</v>
      </c>
      <c r="C307" s="3" t="s">
        <v>1285</v>
      </c>
      <c r="D307" s="2" t="s">
        <v>1289</v>
      </c>
      <c r="E307" s="4" t="str">
        <f t="shared" si="20"/>
        <v>Roiphet1B6-G12-0088</v>
      </c>
      <c r="F307">
        <v>1.1299999999999999</v>
      </c>
      <c r="G307">
        <v>1.5</v>
      </c>
      <c r="H307" t="s">
        <v>84</v>
      </c>
      <c r="I307" t="s">
        <v>67</v>
      </c>
      <c r="J307" t="s">
        <v>357</v>
      </c>
      <c r="K307" t="s">
        <v>89</v>
      </c>
      <c r="L307" t="s">
        <v>89</v>
      </c>
      <c r="M307">
        <v>0.24761904761904763</v>
      </c>
      <c r="N307" s="5">
        <v>45083</v>
      </c>
      <c r="O307" s="5">
        <v>45121</v>
      </c>
      <c r="P307">
        <v>0.55000000000000004</v>
      </c>
      <c r="Q307" s="4">
        <v>203</v>
      </c>
      <c r="R307">
        <v>0.7</v>
      </c>
      <c r="S307" t="s">
        <v>70</v>
      </c>
      <c r="T307" s="6">
        <v>1</v>
      </c>
      <c r="U307" s="5">
        <v>45159</v>
      </c>
      <c r="V307" s="6">
        <v>2</v>
      </c>
      <c r="W307" t="s">
        <v>71</v>
      </c>
      <c r="X307" s="6">
        <v>38</v>
      </c>
      <c r="Y307">
        <v>3.40062</v>
      </c>
      <c r="Z307">
        <v>3.0093982300884958</v>
      </c>
      <c r="AA307" s="6">
        <v>101.99992942463433</v>
      </c>
      <c r="AB307" s="4">
        <v>63.066000000000003</v>
      </c>
      <c r="AC307" s="6">
        <v>9.8039283521159657</v>
      </c>
      <c r="AD307">
        <v>0.23957688299999999</v>
      </c>
      <c r="AE307">
        <v>1.7409355290122761</v>
      </c>
      <c r="AF307">
        <v>5250</v>
      </c>
      <c r="AG307" s="4">
        <v>1400</v>
      </c>
      <c r="AH307" s="4">
        <v>1300</v>
      </c>
      <c r="AL307">
        <v>102</v>
      </c>
      <c r="AM307">
        <v>3.40062</v>
      </c>
      <c r="AN307" t="s">
        <v>73</v>
      </c>
      <c r="AO307" t="s">
        <v>438</v>
      </c>
      <c r="AP307" s="5">
        <v>45124</v>
      </c>
      <c r="AQ307" t="s">
        <v>438</v>
      </c>
      <c r="AR307" s="5">
        <v>45156</v>
      </c>
      <c r="AS307">
        <v>86.545600508142641</v>
      </c>
      <c r="AT307" s="6"/>
      <c r="AU307">
        <v>80.867606495286154</v>
      </c>
      <c r="AV307">
        <v>50.609682940169733</v>
      </c>
      <c r="AW307">
        <v>52.906090654057195</v>
      </c>
      <c r="AX307">
        <v>184.38338008951311</v>
      </c>
      <c r="AY307">
        <v>32.170216019431756</v>
      </c>
      <c r="AZ307">
        <v>35.254088960248431</v>
      </c>
      <c r="BA307">
        <v>10.578400409337123</v>
      </c>
      <c r="BB307">
        <v>7.7102087266439643</v>
      </c>
      <c r="BC307">
        <v>19.058759873199595</v>
      </c>
      <c r="BD307">
        <v>104.77167398886085</v>
      </c>
      <c r="BE307">
        <v>-202.60945357023132</v>
      </c>
      <c r="BF307">
        <v>43.876763648981658</v>
      </c>
      <c r="BG307">
        <v>0.13520181613940987</v>
      </c>
      <c r="BH307">
        <v>44.011965465121065</v>
      </c>
      <c r="BI307">
        <v>333.16701954349509</v>
      </c>
      <c r="BJ307" s="6">
        <v>150</v>
      </c>
      <c r="BK307">
        <v>-246.62141903535246</v>
      </c>
      <c r="BL307" s="4">
        <v>-838.66573000000017</v>
      </c>
      <c r="BM307" t="s">
        <v>1290</v>
      </c>
      <c r="BN307" t="s">
        <v>65</v>
      </c>
      <c r="BO307">
        <v>8</v>
      </c>
      <c r="BP307">
        <v>2023</v>
      </c>
      <c r="BQ307" t="str">
        <f t="shared" si="21"/>
        <v>Roiphet18</v>
      </c>
      <c r="BR307">
        <f t="shared" si="22"/>
        <v>-622.88143000000025</v>
      </c>
      <c r="BS307">
        <f t="shared" si="23"/>
        <v>294.30870000000004</v>
      </c>
      <c r="BT307" s="6">
        <f t="shared" si="24"/>
        <v>-183.16701954349509</v>
      </c>
    </row>
    <row r="308" spans="1:72">
      <c r="A308" s="3" t="s">
        <v>967</v>
      </c>
      <c r="B308" s="3" t="s">
        <v>1174</v>
      </c>
      <c r="C308" s="3" t="s">
        <v>1285</v>
      </c>
      <c r="D308" s="2" t="s">
        <v>1291</v>
      </c>
      <c r="E308" s="4" t="str">
        <f t="shared" si="20"/>
        <v>Roiphet1B6-G11-0083</v>
      </c>
      <c r="F308">
        <v>1.1299999999999999</v>
      </c>
      <c r="G308">
        <v>1.5</v>
      </c>
      <c r="H308" t="s">
        <v>84</v>
      </c>
      <c r="I308" t="s">
        <v>67</v>
      </c>
      <c r="J308" t="s">
        <v>357</v>
      </c>
      <c r="K308" t="s">
        <v>89</v>
      </c>
      <c r="L308" t="s">
        <v>89</v>
      </c>
      <c r="M308">
        <v>0.20967741935483872</v>
      </c>
      <c r="N308" s="5">
        <v>45083</v>
      </c>
      <c r="O308" s="5">
        <v>45121</v>
      </c>
      <c r="P308">
        <v>0.55000000000000004</v>
      </c>
      <c r="Q308" s="4">
        <v>203</v>
      </c>
      <c r="R308">
        <v>0.81799999999999995</v>
      </c>
      <c r="S308" t="s">
        <v>70</v>
      </c>
      <c r="T308" s="6">
        <v>1</v>
      </c>
      <c r="U308" s="5">
        <v>45163</v>
      </c>
      <c r="V308" s="6">
        <v>2</v>
      </c>
      <c r="W308" t="s">
        <v>71</v>
      </c>
      <c r="X308" s="6">
        <v>42</v>
      </c>
      <c r="Y308">
        <v>3.8971</v>
      </c>
      <c r="Z308">
        <v>3.4487610619469029</v>
      </c>
      <c r="AA308" s="6">
        <v>91.999948679787536</v>
      </c>
      <c r="AB308" s="4">
        <v>65.187818181818187</v>
      </c>
      <c r="AC308" s="6">
        <v>10.86957128074682</v>
      </c>
      <c r="AD308">
        <v>0.23932298099999999</v>
      </c>
      <c r="AE308">
        <v>1.7986968151461875</v>
      </c>
      <c r="AF308">
        <v>6200</v>
      </c>
      <c r="AG308" s="4">
        <v>1400</v>
      </c>
      <c r="AH308" s="4">
        <v>1300</v>
      </c>
      <c r="AL308">
        <v>92</v>
      </c>
      <c r="AM308">
        <v>3.8971</v>
      </c>
      <c r="AN308" t="s">
        <v>73</v>
      </c>
      <c r="AO308" t="s">
        <v>438</v>
      </c>
      <c r="AP308" s="5">
        <v>45124</v>
      </c>
      <c r="AQ308" t="s">
        <v>438</v>
      </c>
      <c r="AR308" s="5">
        <v>45156</v>
      </c>
      <c r="AS308">
        <v>104.57887916655976</v>
      </c>
      <c r="AT308" s="6"/>
      <c r="AU308">
        <v>77.621821354340412</v>
      </c>
      <c r="AV308">
        <v>52.266185112006362</v>
      </c>
      <c r="AW308">
        <v>40.779841420543484</v>
      </c>
      <c r="AX308">
        <v>170.66784788689023</v>
      </c>
      <c r="AY308">
        <v>29.695794308588436</v>
      </c>
      <c r="AZ308">
        <v>31.996643658104745</v>
      </c>
      <c r="BA308">
        <v>9.7799363629365441</v>
      </c>
      <c r="BB308">
        <v>7.0388930230171152</v>
      </c>
      <c r="BC308">
        <v>17.319496548715712</v>
      </c>
      <c r="BD308">
        <v>95.830763901362559</v>
      </c>
      <c r="BE308">
        <v>-161.91973262169302</v>
      </c>
      <c r="BF308">
        <v>39.897254368633085</v>
      </c>
      <c r="BG308">
        <v>0.12444894921864977</v>
      </c>
      <c r="BH308">
        <v>40.021703317851731</v>
      </c>
      <c r="BI308">
        <v>306.52031510610448</v>
      </c>
      <c r="BJ308" s="6">
        <v>150</v>
      </c>
      <c r="BK308">
        <v>-201.94143593954473</v>
      </c>
      <c r="BL308" s="4">
        <v>-786.98596999999972</v>
      </c>
      <c r="BM308" t="s">
        <v>1292</v>
      </c>
      <c r="BN308" t="s">
        <v>65</v>
      </c>
      <c r="BO308">
        <v>8</v>
      </c>
      <c r="BP308">
        <v>2023</v>
      </c>
      <c r="BQ308" t="str">
        <f t="shared" si="21"/>
        <v>Roiphet18</v>
      </c>
      <c r="BR308">
        <f t="shared" si="22"/>
        <v>-609.97531999999978</v>
      </c>
      <c r="BS308">
        <f t="shared" si="23"/>
        <v>407.55435000000006</v>
      </c>
      <c r="BT308" s="6">
        <f t="shared" si="24"/>
        <v>-156.52031510610448</v>
      </c>
    </row>
    <row r="309" spans="1:72">
      <c r="A309" s="3" t="s">
        <v>967</v>
      </c>
      <c r="B309" s="3" t="s">
        <v>1174</v>
      </c>
      <c r="C309" s="3" t="s">
        <v>1285</v>
      </c>
      <c r="D309" s="2" t="s">
        <v>2765</v>
      </c>
      <c r="E309" s="4" t="str">
        <f t="shared" si="20"/>
        <v>Roiphet1B5-G09-0086</v>
      </c>
      <c r="F309">
        <v>1.1299999999999999</v>
      </c>
      <c r="G309">
        <v>1.5</v>
      </c>
      <c r="H309" t="s">
        <v>84</v>
      </c>
      <c r="I309" t="s">
        <v>67</v>
      </c>
      <c r="J309" t="s">
        <v>357</v>
      </c>
      <c r="K309" t="s">
        <v>89</v>
      </c>
      <c r="N309" s="5">
        <v>45137</v>
      </c>
      <c r="O309" s="5">
        <v>45203</v>
      </c>
      <c r="P309">
        <v>0.55000000000000004</v>
      </c>
      <c r="Q309" s="4">
        <v>203</v>
      </c>
      <c r="R309">
        <v>0.6</v>
      </c>
      <c r="S309" t="s">
        <v>70</v>
      </c>
      <c r="T309" s="6">
        <v>2</v>
      </c>
      <c r="U309" s="5">
        <v>45259</v>
      </c>
      <c r="V309" s="6">
        <v>2</v>
      </c>
      <c r="W309" t="s">
        <v>71</v>
      </c>
      <c r="X309" s="6">
        <v>56</v>
      </c>
      <c r="Y309">
        <v>5.4632399999999999</v>
      </c>
      <c r="Z309">
        <v>4.8347256637168146</v>
      </c>
      <c r="AA309" s="6">
        <v>78.768825824968332</v>
      </c>
      <c r="AB309" s="4">
        <v>78.242363636363635</v>
      </c>
      <c r="AC309" s="6">
        <v>12.695377765590834</v>
      </c>
      <c r="AD309">
        <v>0.227380952</v>
      </c>
      <c r="AE309">
        <v>1.8652936546898256</v>
      </c>
      <c r="AF309">
        <v>9575</v>
      </c>
      <c r="AG309" s="4"/>
      <c r="AH309" s="4"/>
      <c r="AI309" t="s">
        <v>73</v>
      </c>
      <c r="AL309">
        <v>75</v>
      </c>
      <c r="AM309">
        <v>4.2519900000000002</v>
      </c>
      <c r="AN309" t="s">
        <v>73</v>
      </c>
      <c r="AO309" t="s">
        <v>105</v>
      </c>
      <c r="AP309" s="5">
        <v>45205</v>
      </c>
      <c r="AQ309" t="s">
        <v>106</v>
      </c>
      <c r="AR309" s="5">
        <v>45236</v>
      </c>
      <c r="AS309">
        <v>129.28348013266853</v>
      </c>
      <c r="AT309" s="6"/>
      <c r="AU309">
        <v>45.302787356953026</v>
      </c>
      <c r="AV309">
        <v>52.281171978532889</v>
      </c>
      <c r="AW309">
        <v>32.39994581969674</v>
      </c>
      <c r="AX309">
        <v>129.98390515518264</v>
      </c>
      <c r="AY309">
        <v>36.633173721088589</v>
      </c>
      <c r="AZ309">
        <v>24.074424700360961</v>
      </c>
      <c r="BA309">
        <v>20.763636596598356</v>
      </c>
      <c r="BB309">
        <v>8.9713741296373577</v>
      </c>
      <c r="BC309">
        <v>20.723087398686495</v>
      </c>
      <c r="BD309">
        <v>111.16569654637178</v>
      </c>
      <c r="BE309">
        <v>-111.86612156888589</v>
      </c>
      <c r="BF309">
        <v>44.546552961246441</v>
      </c>
      <c r="BG309">
        <v>0.16083679281891336</v>
      </c>
      <c r="BH309">
        <v>44.70738975406536</v>
      </c>
      <c r="BI309">
        <v>285.85699145561978</v>
      </c>
      <c r="BJ309" s="6">
        <v>150</v>
      </c>
      <c r="BK309">
        <v>-156.57351132295125</v>
      </c>
      <c r="BL309" s="4">
        <v>-855.39867000000015</v>
      </c>
      <c r="BM309" t="s">
        <v>2766</v>
      </c>
      <c r="BN309" t="s">
        <v>65</v>
      </c>
      <c r="BO309">
        <v>11</v>
      </c>
      <c r="BP309">
        <v>2023</v>
      </c>
      <c r="BQ309" t="str">
        <f t="shared" si="21"/>
        <v>Roiphet111</v>
      </c>
      <c r="BR309">
        <f t="shared" si="22"/>
        <v>-742.21935000000019</v>
      </c>
      <c r="BS309">
        <f t="shared" si="23"/>
        <v>706.30668000000003</v>
      </c>
      <c r="BT309" s="6">
        <f t="shared" si="24"/>
        <v>-135.85699145561978</v>
      </c>
    </row>
    <row r="310" spans="1:72">
      <c r="A310" s="3" t="s">
        <v>967</v>
      </c>
      <c r="B310" s="3" t="s">
        <v>1174</v>
      </c>
      <c r="C310" s="3" t="s">
        <v>1285</v>
      </c>
      <c r="D310" s="2" t="s">
        <v>2763</v>
      </c>
      <c r="E310" s="4" t="str">
        <f t="shared" si="20"/>
        <v>Roiphet1B5-G10-0085</v>
      </c>
      <c r="F310">
        <v>1.1299999999999999</v>
      </c>
      <c r="G310">
        <v>1.5</v>
      </c>
      <c r="H310" t="s">
        <v>84</v>
      </c>
      <c r="I310" t="s">
        <v>67</v>
      </c>
      <c r="J310" t="s">
        <v>357</v>
      </c>
      <c r="K310" t="s">
        <v>89</v>
      </c>
      <c r="N310" s="5">
        <v>45137</v>
      </c>
      <c r="O310" s="5">
        <v>45203</v>
      </c>
      <c r="P310">
        <v>0.55000000000000004</v>
      </c>
      <c r="Q310" s="4">
        <v>203</v>
      </c>
      <c r="R310">
        <v>0.6</v>
      </c>
      <c r="S310" t="s">
        <v>70</v>
      </c>
      <c r="T310" s="6">
        <v>2</v>
      </c>
      <c r="U310" s="5">
        <v>45252</v>
      </c>
      <c r="V310" s="6">
        <v>2</v>
      </c>
      <c r="W310" t="s">
        <v>71</v>
      </c>
      <c r="X310" s="6">
        <v>49</v>
      </c>
      <c r="Y310">
        <v>5.0816699999999999</v>
      </c>
      <c r="Z310">
        <v>4.497053097345133</v>
      </c>
      <c r="AA310" s="6">
        <v>85.758815507500486</v>
      </c>
      <c r="AB310" s="4">
        <v>79.23599999999999</v>
      </c>
      <c r="AC310" s="6">
        <v>11.660608814175374</v>
      </c>
      <c r="AD310">
        <v>0.225059326</v>
      </c>
      <c r="AE310">
        <v>1.8256739209583157</v>
      </c>
      <c r="AF310">
        <v>8675</v>
      </c>
      <c r="AG310" s="4"/>
      <c r="AH310" s="4"/>
      <c r="AI310" t="s">
        <v>73</v>
      </c>
      <c r="AL310">
        <v>86</v>
      </c>
      <c r="AM310">
        <v>3.8561799999999997</v>
      </c>
      <c r="AN310" t="s">
        <v>73</v>
      </c>
      <c r="AO310" t="s">
        <v>105</v>
      </c>
      <c r="AP310" s="5">
        <v>45205</v>
      </c>
      <c r="AQ310" t="s">
        <v>106</v>
      </c>
      <c r="AR310" s="5">
        <v>45236</v>
      </c>
      <c r="AS310">
        <v>140.82944976749769</v>
      </c>
      <c r="AT310" s="6"/>
      <c r="AU310">
        <v>48.704461328657707</v>
      </c>
      <c r="AV310">
        <v>51.017500152508923</v>
      </c>
      <c r="AW310">
        <v>30.650107149814918</v>
      </c>
      <c r="AX310">
        <v>130.37206863098157</v>
      </c>
      <c r="AY310">
        <v>36.949062020949803</v>
      </c>
      <c r="AZ310">
        <v>22.780637074032747</v>
      </c>
      <c r="BA310">
        <v>21.616858237547891</v>
      </c>
      <c r="BB310">
        <v>8.5006110196057598</v>
      </c>
      <c r="BC310">
        <v>19.953511345679669</v>
      </c>
      <c r="BD310">
        <v>109.80067969781587</v>
      </c>
      <c r="BE310">
        <v>-99.343298561299747</v>
      </c>
      <c r="BF310">
        <v>45.298329092601442</v>
      </c>
      <c r="BG310">
        <v>0.16160632233104474</v>
      </c>
      <c r="BH310">
        <v>45.459935414932488</v>
      </c>
      <c r="BI310">
        <v>285.6326837437299</v>
      </c>
      <c r="BJ310" s="6">
        <v>150</v>
      </c>
      <c r="BK310">
        <v>-144.80323397623221</v>
      </c>
      <c r="BL310" s="4">
        <v>-735.84225000000004</v>
      </c>
      <c r="BM310" t="s">
        <v>2764</v>
      </c>
      <c r="BN310" t="s">
        <v>65</v>
      </c>
      <c r="BO310">
        <v>11</v>
      </c>
      <c r="BP310">
        <v>2023</v>
      </c>
      <c r="BQ310" t="str">
        <f t="shared" si="21"/>
        <v>Roiphet111</v>
      </c>
      <c r="BR310">
        <f t="shared" si="22"/>
        <v>-689.2405399999999</v>
      </c>
      <c r="BS310">
        <f t="shared" si="23"/>
        <v>715.64878999999996</v>
      </c>
      <c r="BT310" s="6">
        <f t="shared" si="24"/>
        <v>-135.6326837437299</v>
      </c>
    </row>
    <row r="311" spans="1:72">
      <c r="A311" s="3" t="s">
        <v>967</v>
      </c>
      <c r="B311" s="3" t="s">
        <v>1174</v>
      </c>
      <c r="C311" s="3" t="s">
        <v>1285</v>
      </c>
      <c r="D311" s="2" t="s">
        <v>1287</v>
      </c>
      <c r="E311" s="4" t="str">
        <f t="shared" si="20"/>
        <v>Roiphet1B3-G05-0093</v>
      </c>
      <c r="F311">
        <v>1.1299999999999999</v>
      </c>
      <c r="G311">
        <v>1.5</v>
      </c>
      <c r="H311" t="s">
        <v>84</v>
      </c>
      <c r="I311" t="s">
        <v>67</v>
      </c>
      <c r="J311" t="s">
        <v>357</v>
      </c>
      <c r="K311" t="s">
        <v>89</v>
      </c>
      <c r="L311" t="s">
        <v>89</v>
      </c>
      <c r="M311">
        <v>0.70877631853241607</v>
      </c>
      <c r="N311" s="5">
        <v>45075</v>
      </c>
      <c r="O311" s="5">
        <v>45112</v>
      </c>
      <c r="P311">
        <v>0.55000000000000004</v>
      </c>
      <c r="Q311" s="4">
        <v>203</v>
      </c>
      <c r="R311">
        <v>0.83</v>
      </c>
      <c r="S311" t="s">
        <v>70</v>
      </c>
      <c r="T311" s="6">
        <v>1</v>
      </c>
      <c r="U311" s="5">
        <v>45153</v>
      </c>
      <c r="V311" s="6">
        <v>2</v>
      </c>
      <c r="W311" t="s">
        <v>71</v>
      </c>
      <c r="X311" s="6">
        <v>41</v>
      </c>
      <c r="Y311">
        <v>2.4975900000000002</v>
      </c>
      <c r="Z311">
        <v>2.210256637168142</v>
      </c>
      <c r="AA311" s="6">
        <v>115.99982383017228</v>
      </c>
      <c r="AB311" s="4">
        <v>52.676363636363632</v>
      </c>
      <c r="AC311" s="6">
        <v>8.6207027474803262</v>
      </c>
      <c r="AD311">
        <v>0.190016821</v>
      </c>
      <c r="AE311">
        <v>2.3500536441263358</v>
      </c>
      <c r="AF311">
        <v>4797</v>
      </c>
      <c r="AG311" s="4">
        <v>3900</v>
      </c>
      <c r="AH311" s="4">
        <v>3400</v>
      </c>
      <c r="AI311" t="s">
        <v>73</v>
      </c>
      <c r="AJ311" t="s">
        <v>73</v>
      </c>
      <c r="AK311" t="s">
        <v>116</v>
      </c>
      <c r="AL311">
        <v>116</v>
      </c>
      <c r="AM311">
        <v>2.4975900000000002</v>
      </c>
      <c r="AN311" t="s">
        <v>73</v>
      </c>
      <c r="AO311" t="s">
        <v>93</v>
      </c>
      <c r="AP311" s="5">
        <v>45117</v>
      </c>
      <c r="AQ311" t="s">
        <v>215</v>
      </c>
      <c r="AR311" s="5">
        <v>45152</v>
      </c>
      <c r="AS311">
        <v>70.877517927281886</v>
      </c>
      <c r="AT311" s="6"/>
      <c r="AU311">
        <v>121.11675655331739</v>
      </c>
      <c r="AV311">
        <v>62.579514652124637</v>
      </c>
      <c r="AW311">
        <v>54.309810657473797</v>
      </c>
      <c r="AX311">
        <v>238.00608186291583</v>
      </c>
      <c r="AY311">
        <v>42.795482845463027</v>
      </c>
      <c r="AZ311">
        <v>49.28388566578181</v>
      </c>
      <c r="BA311">
        <v>13.869538234858402</v>
      </c>
      <c r="BB311">
        <v>10.274872977550357</v>
      </c>
      <c r="BC311">
        <v>26.13403721187224</v>
      </c>
      <c r="BD311">
        <v>142.35781693552582</v>
      </c>
      <c r="BE311">
        <v>-309.48638087115978</v>
      </c>
      <c r="BF311">
        <v>59.779763692199275</v>
      </c>
      <c r="BG311">
        <v>0.17964918181126605</v>
      </c>
      <c r="BH311">
        <v>59.959412874010539</v>
      </c>
      <c r="BI311">
        <v>440.32331167245218</v>
      </c>
      <c r="BJ311" s="6">
        <v>150</v>
      </c>
      <c r="BK311">
        <v>-369.44579374517025</v>
      </c>
      <c r="BL311" s="4">
        <v>-922.72411999999986</v>
      </c>
      <c r="BM311" t="s">
        <v>1288</v>
      </c>
      <c r="BN311" t="s">
        <v>65</v>
      </c>
      <c r="BO311">
        <v>8</v>
      </c>
      <c r="BP311">
        <v>2023</v>
      </c>
      <c r="BQ311" t="str">
        <f t="shared" si="21"/>
        <v>Roiphet18</v>
      </c>
      <c r="BR311">
        <f t="shared" si="22"/>
        <v>-725.10859999999991</v>
      </c>
      <c r="BS311">
        <f t="shared" si="23"/>
        <v>177.02297999999999</v>
      </c>
      <c r="BT311" s="6">
        <f t="shared" si="24"/>
        <v>-290.32331167245218</v>
      </c>
    </row>
    <row r="312" spans="1:72">
      <c r="A312" s="3" t="s">
        <v>967</v>
      </c>
      <c r="B312" s="3" t="s">
        <v>1174</v>
      </c>
      <c r="C312" s="3" t="s">
        <v>1285</v>
      </c>
      <c r="D312" s="2" t="s">
        <v>2761</v>
      </c>
      <c r="E312" s="4" t="str">
        <f t="shared" si="20"/>
        <v>Roiphet1B5-I10-0092</v>
      </c>
      <c r="F312">
        <v>0.72</v>
      </c>
      <c r="G312">
        <v>1.3</v>
      </c>
      <c r="H312" t="s">
        <v>72</v>
      </c>
      <c r="I312" t="s">
        <v>67</v>
      </c>
      <c r="J312" t="s">
        <v>357</v>
      </c>
      <c r="K312" t="s">
        <v>69</v>
      </c>
      <c r="N312" s="5">
        <v>45137</v>
      </c>
      <c r="O312" s="5">
        <v>45203</v>
      </c>
      <c r="P312">
        <v>0.25</v>
      </c>
      <c r="Q312" s="4">
        <v>167</v>
      </c>
      <c r="R312">
        <v>0.6</v>
      </c>
      <c r="S312" t="s">
        <v>70</v>
      </c>
      <c r="T312" s="6">
        <v>1</v>
      </c>
      <c r="U312" s="5">
        <v>45247</v>
      </c>
      <c r="V312" s="6">
        <v>2</v>
      </c>
      <c r="W312" t="s">
        <v>71</v>
      </c>
      <c r="X312" s="6">
        <v>44</v>
      </c>
      <c r="Y312">
        <v>1.2371300000000001</v>
      </c>
      <c r="Z312">
        <v>1.7182361111111113</v>
      </c>
      <c r="AA312" s="6">
        <v>136.00025866319626</v>
      </c>
      <c r="AB312" s="4">
        <v>67.300000000000011</v>
      </c>
      <c r="AC312" s="6">
        <v>7.3529271916790497</v>
      </c>
      <c r="AD312">
        <v>0.15347593600000001</v>
      </c>
      <c r="AE312">
        <v>2.8975375530065399</v>
      </c>
      <c r="AF312">
        <v>3150</v>
      </c>
      <c r="AG312" s="4"/>
      <c r="AH312" s="4"/>
      <c r="AI312" t="s">
        <v>73</v>
      </c>
      <c r="AJ312" t="s">
        <v>73</v>
      </c>
      <c r="AK312" t="s">
        <v>123</v>
      </c>
      <c r="AL312">
        <v>136</v>
      </c>
      <c r="AM312">
        <v>1.2371300000000001</v>
      </c>
      <c r="AN312" t="s">
        <v>73</v>
      </c>
      <c r="AO312" t="s">
        <v>105</v>
      </c>
      <c r="AP312" s="5">
        <v>45205</v>
      </c>
      <c r="AQ312" t="s">
        <v>105</v>
      </c>
      <c r="AR312" s="5">
        <v>45233</v>
      </c>
      <c r="AS312">
        <v>95</v>
      </c>
      <c r="AT312" s="6"/>
      <c r="AU312">
        <v>90.936279938244155</v>
      </c>
      <c r="AV312">
        <v>76.054472852489226</v>
      </c>
      <c r="AW312">
        <v>63.520729430213464</v>
      </c>
      <c r="AX312">
        <v>230.51148222094685</v>
      </c>
      <c r="AY312">
        <v>92.153144778640879</v>
      </c>
      <c r="AZ312">
        <v>65.869455918133099</v>
      </c>
      <c r="BA312">
        <v>50.273043253336347</v>
      </c>
      <c r="BB312">
        <v>20.108808290155437</v>
      </c>
      <c r="BC312">
        <v>47.875647668393782</v>
      </c>
      <c r="BD312">
        <v>276.28009990865957</v>
      </c>
      <c r="BE312">
        <v>-411.79158212960641</v>
      </c>
      <c r="BF312">
        <v>113.70931106674318</v>
      </c>
      <c r="BG312">
        <v>0.40182519217867158</v>
      </c>
      <c r="BH312">
        <v>114.11113625892185</v>
      </c>
      <c r="BI312">
        <v>620.90271838852823</v>
      </c>
      <c r="BJ312" s="6">
        <v>150</v>
      </c>
      <c r="BK312">
        <v>-525.90271838852823</v>
      </c>
      <c r="BL312" s="4">
        <v>-650.61003000000005</v>
      </c>
      <c r="BM312" t="s">
        <v>2762</v>
      </c>
      <c r="BN312" t="s">
        <v>65</v>
      </c>
      <c r="BO312">
        <v>11</v>
      </c>
      <c r="BP312">
        <v>2023</v>
      </c>
      <c r="BQ312" t="str">
        <f t="shared" si="21"/>
        <v>Roiphet111</v>
      </c>
      <c r="BR312">
        <f t="shared" si="22"/>
        <v>-582.56787999999995</v>
      </c>
      <c r="BS312">
        <f t="shared" si="23"/>
        <v>117.52735000000001</v>
      </c>
      <c r="BT312" s="6">
        <f t="shared" si="24"/>
        <v>-470.90271838852823</v>
      </c>
    </row>
    <row r="313" spans="1:72">
      <c r="A313" s="3" t="s">
        <v>967</v>
      </c>
      <c r="B313" s="3" t="s">
        <v>1771</v>
      </c>
      <c r="C313" s="3" t="s">
        <v>1773</v>
      </c>
      <c r="D313" s="2" t="s">
        <v>992</v>
      </c>
      <c r="E313" s="4" t="str">
        <f t="shared" si="20"/>
        <v>ChoknavyA1-003-0037</v>
      </c>
      <c r="F313">
        <v>5.5</v>
      </c>
      <c r="G313">
        <v>1.6</v>
      </c>
      <c r="H313" t="s">
        <v>72</v>
      </c>
      <c r="I313" t="s">
        <v>75</v>
      </c>
      <c r="J313" t="s">
        <v>95</v>
      </c>
      <c r="K313" t="s">
        <v>79</v>
      </c>
      <c r="L313" t="s">
        <v>79</v>
      </c>
      <c r="M313">
        <v>3.2002929329915784</v>
      </c>
      <c r="N313" s="5">
        <v>45111</v>
      </c>
      <c r="O313" s="5">
        <v>45133</v>
      </c>
      <c r="P313">
        <v>1.18</v>
      </c>
      <c r="Q313" s="4">
        <v>84</v>
      </c>
      <c r="R313">
        <v>0.75</v>
      </c>
      <c r="S313" t="s">
        <v>70</v>
      </c>
      <c r="T313" s="6">
        <v>6</v>
      </c>
      <c r="U313" s="5">
        <v>45236</v>
      </c>
      <c r="V313" s="6">
        <v>1</v>
      </c>
      <c r="W313" t="s">
        <v>86</v>
      </c>
      <c r="X313" s="6">
        <v>103</v>
      </c>
      <c r="Y313">
        <v>36.386360000000003</v>
      </c>
      <c r="Z313">
        <v>6.6157018181818188</v>
      </c>
      <c r="AA313" s="6">
        <v>29.479535738117249</v>
      </c>
      <c r="AB313" s="4">
        <v>90.902796610169489</v>
      </c>
      <c r="AC313" s="6">
        <v>33.921836791581249</v>
      </c>
      <c r="AD313">
        <v>0.41483748399999998</v>
      </c>
      <c r="AE313">
        <v>1.9231657604103054</v>
      </c>
      <c r="AF313">
        <v>68275</v>
      </c>
      <c r="AG313" s="4">
        <v>12000</v>
      </c>
      <c r="AH313" s="4">
        <v>218500</v>
      </c>
      <c r="AL313">
        <v>23</v>
      </c>
      <c r="AM313">
        <v>5.8971099999999996</v>
      </c>
      <c r="AN313" t="s">
        <v>81</v>
      </c>
      <c r="AO313" t="s">
        <v>92</v>
      </c>
      <c r="AP313" s="5">
        <v>45134</v>
      </c>
      <c r="AQ313" t="s">
        <v>109</v>
      </c>
      <c r="AR313" s="5">
        <v>45235</v>
      </c>
      <c r="AS313">
        <v>206.54279323350843</v>
      </c>
      <c r="AT313" s="6"/>
      <c r="AU313">
        <v>16.214867329405852</v>
      </c>
      <c r="AV313">
        <v>56.390205835373472</v>
      </c>
      <c r="AW313">
        <v>35.359544895394862</v>
      </c>
      <c r="AX313">
        <v>107.96461806017417</v>
      </c>
      <c r="AY313">
        <v>10.276092744643876</v>
      </c>
      <c r="AZ313">
        <v>34.078437084665779</v>
      </c>
      <c r="BA313">
        <v>2.3979656112895054</v>
      </c>
      <c r="BB313">
        <v>10.587678734558773</v>
      </c>
      <c r="BC313">
        <v>14.877056402454105</v>
      </c>
      <c r="BD313">
        <v>72.217230577612028</v>
      </c>
      <c r="BE313">
        <v>26.360944595722231</v>
      </c>
      <c r="BF313">
        <v>7.2322886927958727</v>
      </c>
      <c r="BG313">
        <v>1.3446354622996091</v>
      </c>
      <c r="BH313">
        <v>8.5769241550954813</v>
      </c>
      <c r="BI313">
        <v>188.7587727928817</v>
      </c>
      <c r="BJ313" s="6">
        <v>200</v>
      </c>
      <c r="BK313">
        <v>17.784020440626744</v>
      </c>
      <c r="BL313" s="4">
        <v>647.09577000000331</v>
      </c>
      <c r="BM313" t="s">
        <v>1900</v>
      </c>
      <c r="BN313" t="s">
        <v>65</v>
      </c>
      <c r="BO313">
        <v>11</v>
      </c>
      <c r="BP313">
        <v>2023</v>
      </c>
      <c r="BQ313" t="str">
        <f t="shared" si="21"/>
        <v>Choknavy11</v>
      </c>
      <c r="BR313">
        <f t="shared" si="22"/>
        <v>409.02734000000106</v>
      </c>
      <c r="BS313">
        <f t="shared" si="23"/>
        <v>7515.3404300000029</v>
      </c>
      <c r="BT313" s="6">
        <f t="shared" si="24"/>
        <v>11.2412272071183</v>
      </c>
    </row>
    <row r="314" spans="1:72">
      <c r="A314" s="3" t="s">
        <v>967</v>
      </c>
      <c r="B314" s="3" t="s">
        <v>1771</v>
      </c>
      <c r="C314" s="3" t="s">
        <v>1773</v>
      </c>
      <c r="D314" s="2" t="s">
        <v>1776</v>
      </c>
      <c r="E314" s="4" t="str">
        <f t="shared" si="20"/>
        <v>ChoknavyA1-006-0032</v>
      </c>
      <c r="F314">
        <v>5.5</v>
      </c>
      <c r="G314">
        <v>2</v>
      </c>
      <c r="H314" t="s">
        <v>72</v>
      </c>
      <c r="I314" t="s">
        <v>75</v>
      </c>
      <c r="J314" t="s">
        <v>95</v>
      </c>
      <c r="K314" t="s">
        <v>79</v>
      </c>
      <c r="L314" t="s">
        <v>79</v>
      </c>
      <c r="M314">
        <v>3.8051187172371259</v>
      </c>
      <c r="N314" s="5">
        <v>44999</v>
      </c>
      <c r="O314" s="5">
        <v>45021</v>
      </c>
      <c r="P314">
        <v>2</v>
      </c>
      <c r="Q314" s="4">
        <v>114</v>
      </c>
      <c r="R314">
        <v>0.64500000000000002</v>
      </c>
      <c r="S314" t="s">
        <v>70</v>
      </c>
      <c r="T314" s="6">
        <v>4</v>
      </c>
      <c r="U314" s="5">
        <v>45122</v>
      </c>
      <c r="V314" s="6">
        <v>1</v>
      </c>
      <c r="W314" t="s">
        <v>86</v>
      </c>
      <c r="X314" s="6">
        <v>101</v>
      </c>
      <c r="Y314">
        <v>34.892120000000006</v>
      </c>
      <c r="Z314">
        <v>6.3440218181818189</v>
      </c>
      <c r="AA314" s="6">
        <v>32.753125920694984</v>
      </c>
      <c r="AB314" s="4">
        <v>57.141299999999994</v>
      </c>
      <c r="AC314" s="6">
        <v>30.531436981657755</v>
      </c>
      <c r="AD314">
        <v>0.374421173</v>
      </c>
      <c r="AE314">
        <v>2.4127927566518084</v>
      </c>
      <c r="AF314">
        <v>81075</v>
      </c>
      <c r="AG314" s="4">
        <v>0</v>
      </c>
      <c r="AH314" s="4">
        <v>308500</v>
      </c>
      <c r="AL314">
        <v>26</v>
      </c>
      <c r="AM314">
        <v>15.26132</v>
      </c>
      <c r="AN314" t="s">
        <v>77</v>
      </c>
      <c r="AO314" t="s">
        <v>93</v>
      </c>
      <c r="AP314" s="5">
        <v>45022</v>
      </c>
      <c r="AQ314" t="s">
        <v>215</v>
      </c>
      <c r="AR314" s="5">
        <v>45121</v>
      </c>
      <c r="AS314">
        <v>183.83893755954062</v>
      </c>
      <c r="AT314" s="6"/>
      <c r="AU314">
        <v>28.65976615923595</v>
      </c>
      <c r="AV314">
        <v>72.549707785024268</v>
      </c>
      <c r="AW314">
        <v>40.969202215285286</v>
      </c>
      <c r="AX314">
        <v>142.17867615954552</v>
      </c>
      <c r="AY314">
        <v>9.1889194465684518</v>
      </c>
      <c r="AZ314">
        <v>34.151530202234767</v>
      </c>
      <c r="BA314">
        <v>3.6089286062297159</v>
      </c>
      <c r="BB314">
        <v>9.1423951883691785</v>
      </c>
      <c r="BC314">
        <v>14.598111264090573</v>
      </c>
      <c r="BD314">
        <v>70.689884707492681</v>
      </c>
      <c r="BE314">
        <v>-29.029623307497573</v>
      </c>
      <c r="BF314">
        <v>7.9792758364925938</v>
      </c>
      <c r="BG314">
        <v>1.2092713197134479</v>
      </c>
      <c r="BH314">
        <v>9.1885471562060417</v>
      </c>
      <c r="BI314">
        <v>222.05710802324418</v>
      </c>
      <c r="BJ314" s="6">
        <v>192</v>
      </c>
      <c r="BK314">
        <v>-38.218170463703558</v>
      </c>
      <c r="BL314" s="4">
        <v>-1333.5129900000002</v>
      </c>
      <c r="BM314" t="s">
        <v>1777</v>
      </c>
      <c r="BN314" t="s">
        <v>65</v>
      </c>
      <c r="BO314">
        <v>7</v>
      </c>
      <c r="BP314">
        <v>2023</v>
      </c>
      <c r="BQ314" t="str">
        <f t="shared" si="21"/>
        <v>Choknavy7</v>
      </c>
      <c r="BR314">
        <f t="shared" si="22"/>
        <v>-1048.7562199999991</v>
      </c>
      <c r="BS314">
        <f t="shared" si="23"/>
        <v>6414.5302699999993</v>
      </c>
      <c r="BT314" s="6">
        <f t="shared" si="24"/>
        <v>-30.057108023244183</v>
      </c>
    </row>
    <row r="315" spans="1:72">
      <c r="A315" s="3" t="s">
        <v>967</v>
      </c>
      <c r="B315" s="3" t="s">
        <v>1771</v>
      </c>
      <c r="C315" s="3" t="s">
        <v>1773</v>
      </c>
      <c r="D315" s="2" t="s">
        <v>1783</v>
      </c>
      <c r="E315" s="4" t="str">
        <f t="shared" si="20"/>
        <v>ChoknavyA1-003-0036</v>
      </c>
      <c r="F315">
        <v>5.5</v>
      </c>
      <c r="G315">
        <v>1.6</v>
      </c>
      <c r="H315" t="s">
        <v>72</v>
      </c>
      <c r="I315" t="s">
        <v>75</v>
      </c>
      <c r="J315" t="s">
        <v>95</v>
      </c>
      <c r="K315" t="s">
        <v>79</v>
      </c>
      <c r="L315" t="s">
        <v>79</v>
      </c>
      <c r="M315">
        <v>3.5258764607679467</v>
      </c>
      <c r="N315" s="5">
        <v>44958</v>
      </c>
      <c r="O315" s="5">
        <v>44979</v>
      </c>
      <c r="P315">
        <v>1.7</v>
      </c>
      <c r="Q315" s="4">
        <v>121</v>
      </c>
      <c r="R315">
        <v>0.67200000000000004</v>
      </c>
      <c r="S315" t="s">
        <v>70</v>
      </c>
      <c r="T315" s="6">
        <v>5</v>
      </c>
      <c r="U315" s="5">
        <v>45110</v>
      </c>
      <c r="V315" s="6">
        <v>1</v>
      </c>
      <c r="W315" t="s">
        <v>86</v>
      </c>
      <c r="X315" s="6">
        <v>131</v>
      </c>
      <c r="Y315">
        <v>30.78059</v>
      </c>
      <c r="Z315">
        <v>5.5964709090909093</v>
      </c>
      <c r="AA315" s="6">
        <v>28.453060841263927</v>
      </c>
      <c r="AB315" s="4">
        <v>51.51776470588235</v>
      </c>
      <c r="AC315" s="6">
        <v>35.145603686678037</v>
      </c>
      <c r="AD315">
        <v>0.358374409</v>
      </c>
      <c r="AE315">
        <v>2.5263115985622546</v>
      </c>
      <c r="AF315">
        <v>74875</v>
      </c>
      <c r="AG315" s="4">
        <v>13200</v>
      </c>
      <c r="AH315" s="4">
        <v>264000</v>
      </c>
      <c r="AL315">
        <v>21</v>
      </c>
      <c r="AM315">
        <v>2.3570199999999999</v>
      </c>
      <c r="AN315" t="s">
        <v>81</v>
      </c>
      <c r="AO315" t="s">
        <v>94</v>
      </c>
      <c r="AP315" s="5">
        <v>44979</v>
      </c>
      <c r="AQ315" t="s">
        <v>97</v>
      </c>
      <c r="AR315" s="5">
        <v>45108</v>
      </c>
      <c r="AS315">
        <v>225.27481929358726</v>
      </c>
      <c r="AT315" s="6"/>
      <c r="AU315">
        <v>27.614805304251803</v>
      </c>
      <c r="AV315">
        <v>77.693245321158557</v>
      </c>
      <c r="AW315">
        <v>57.797339492192954</v>
      </c>
      <c r="AX315">
        <v>163.10539011760329</v>
      </c>
      <c r="AY315">
        <v>13.154611071457694</v>
      </c>
      <c r="AZ315">
        <v>48.251210259452471</v>
      </c>
      <c r="BA315">
        <v>5.4065649813730028</v>
      </c>
      <c r="BB315">
        <v>10.355688113840575</v>
      </c>
      <c r="BC315">
        <v>19.59983385633609</v>
      </c>
      <c r="BD315">
        <v>96.767908282459842</v>
      </c>
      <c r="BE315">
        <v>-34.598479106475878</v>
      </c>
      <c r="BF315">
        <v>12.449916327139928</v>
      </c>
      <c r="BG315">
        <v>1.7380800692904201</v>
      </c>
      <c r="BH315">
        <v>14.187996396430346</v>
      </c>
      <c r="BI315">
        <v>274.06129479649348</v>
      </c>
      <c r="BJ315" s="6">
        <v>204</v>
      </c>
      <c r="BK315">
        <v>-48.786475502906242</v>
      </c>
      <c r="BL315" s="4">
        <v>-1501.6765000000009</v>
      </c>
      <c r="BM315" t="s">
        <v>1784</v>
      </c>
      <c r="BN315" t="s">
        <v>65</v>
      </c>
      <c r="BO315">
        <v>7</v>
      </c>
      <c r="BP315">
        <v>2023</v>
      </c>
      <c r="BQ315" t="str">
        <f t="shared" si="21"/>
        <v>Choknavy7</v>
      </c>
      <c r="BR315">
        <f t="shared" si="22"/>
        <v>-2156.5279899999996</v>
      </c>
      <c r="BS315">
        <f t="shared" si="23"/>
        <v>6934.0918499999989</v>
      </c>
      <c r="BT315" s="6">
        <f t="shared" si="24"/>
        <v>-70.061294796493485</v>
      </c>
    </row>
    <row r="316" spans="1:72">
      <c r="A316" s="3" t="s">
        <v>967</v>
      </c>
      <c r="B316" s="3" t="s">
        <v>1771</v>
      </c>
      <c r="C316" s="3" t="s">
        <v>1773</v>
      </c>
      <c r="D316" s="2" t="s">
        <v>1778</v>
      </c>
      <c r="E316" s="4" t="str">
        <f t="shared" si="20"/>
        <v>ChoknavyA1-005-0006</v>
      </c>
      <c r="F316">
        <v>5.5</v>
      </c>
      <c r="G316">
        <v>1.5</v>
      </c>
      <c r="H316" t="s">
        <v>72</v>
      </c>
      <c r="I316" t="s">
        <v>75</v>
      </c>
      <c r="J316" t="s">
        <v>95</v>
      </c>
      <c r="K316" t="s">
        <v>79</v>
      </c>
      <c r="L316" t="s">
        <v>79</v>
      </c>
      <c r="M316">
        <v>3.459807073954984</v>
      </c>
      <c r="N316" s="5">
        <v>45047</v>
      </c>
      <c r="O316" s="5">
        <v>45062</v>
      </c>
      <c r="P316">
        <v>1.6</v>
      </c>
      <c r="Q316" s="4">
        <v>121</v>
      </c>
      <c r="R316">
        <v>0.36</v>
      </c>
      <c r="S316" t="s">
        <v>70</v>
      </c>
      <c r="T316" s="6">
        <v>6</v>
      </c>
      <c r="U316" s="5">
        <v>45169</v>
      </c>
      <c r="V316" s="6">
        <v>1</v>
      </c>
      <c r="W316" t="s">
        <v>86</v>
      </c>
      <c r="X316" s="6">
        <v>107</v>
      </c>
      <c r="Y316">
        <v>37.014600000000002</v>
      </c>
      <c r="Z316">
        <v>6.7299272727272728</v>
      </c>
      <c r="AA316" s="6">
        <v>30.169014388916807</v>
      </c>
      <c r="AB316" s="4">
        <v>69.793374999999997</v>
      </c>
      <c r="AC316" s="6">
        <v>33.146591635667427</v>
      </c>
      <c r="AD316">
        <v>0.356089145</v>
      </c>
      <c r="AE316">
        <v>2.133721638654309</v>
      </c>
      <c r="AF316">
        <v>77750</v>
      </c>
      <c r="AG316" s="4">
        <v>14080</v>
      </c>
      <c r="AH316" s="4">
        <v>269000</v>
      </c>
      <c r="AL316">
        <v>26</v>
      </c>
      <c r="AM316">
        <v>12.400259999999999</v>
      </c>
      <c r="AN316" t="s">
        <v>81</v>
      </c>
      <c r="AO316" t="s">
        <v>108</v>
      </c>
      <c r="AP316" s="5">
        <v>45063</v>
      </c>
      <c r="AQ316" t="s">
        <v>106</v>
      </c>
      <c r="AR316" s="5">
        <v>45168</v>
      </c>
      <c r="AS316">
        <v>195.75833400874248</v>
      </c>
      <c r="AT316" s="6"/>
      <c r="AU316">
        <v>17.290474569494194</v>
      </c>
      <c r="AV316">
        <v>63.879441625736874</v>
      </c>
      <c r="AW316">
        <v>40.106378023806812</v>
      </c>
      <c r="AX316">
        <v>121.27629421903788</v>
      </c>
      <c r="AY316">
        <v>8.6544493254013286</v>
      </c>
      <c r="AZ316">
        <v>31.320720742625877</v>
      </c>
      <c r="BA316">
        <v>2.0224292576442813</v>
      </c>
      <c r="BB316">
        <v>7.4623832217557418</v>
      </c>
      <c r="BC316">
        <v>13.784884883262281</v>
      </c>
      <c r="BD316">
        <v>63.24486743068951</v>
      </c>
      <c r="BE316">
        <v>11.237172359015091</v>
      </c>
      <c r="BF316">
        <v>6.055960620944167</v>
      </c>
      <c r="BG316">
        <v>1.1253146055880654</v>
      </c>
      <c r="BH316">
        <v>7.1812752265322324</v>
      </c>
      <c r="BI316">
        <v>191.70243687625972</v>
      </c>
      <c r="BJ316" s="6">
        <v>197</v>
      </c>
      <c r="BK316">
        <v>4.0558971324827366</v>
      </c>
      <c r="BL316" s="4">
        <v>150.12740999999548</v>
      </c>
      <c r="BM316" t="s">
        <v>1779</v>
      </c>
      <c r="BN316" t="s">
        <v>65</v>
      </c>
      <c r="BO316">
        <v>8</v>
      </c>
      <c r="BP316">
        <v>2023</v>
      </c>
      <c r="BQ316" t="str">
        <f t="shared" si="21"/>
        <v>Choknavy8</v>
      </c>
      <c r="BR316">
        <f t="shared" si="22"/>
        <v>196.08717999999681</v>
      </c>
      <c r="BS316">
        <f t="shared" si="23"/>
        <v>7245.9164299999993</v>
      </c>
      <c r="BT316" s="6">
        <f t="shared" si="24"/>
        <v>5.2975631237402752</v>
      </c>
    </row>
    <row r="317" spans="1:72">
      <c r="A317" s="3" t="s">
        <v>967</v>
      </c>
      <c r="B317" s="3" t="s">
        <v>1771</v>
      </c>
      <c r="C317" s="3" t="s">
        <v>1773</v>
      </c>
      <c r="D317" s="2" t="s">
        <v>1780</v>
      </c>
      <c r="E317" s="4" t="str">
        <f t="shared" si="20"/>
        <v>ChoknavyA1-001-0041</v>
      </c>
      <c r="F317">
        <v>5</v>
      </c>
      <c r="G317">
        <v>1.6</v>
      </c>
      <c r="H317" t="s">
        <v>72</v>
      </c>
      <c r="I317" t="s">
        <v>75</v>
      </c>
      <c r="J317" t="s">
        <v>95</v>
      </c>
      <c r="K317" t="s">
        <v>79</v>
      </c>
      <c r="L317" t="s">
        <v>79</v>
      </c>
      <c r="M317">
        <v>3.5587410408226861</v>
      </c>
      <c r="N317" s="5">
        <v>45046</v>
      </c>
      <c r="O317" s="5">
        <v>45072</v>
      </c>
      <c r="P317">
        <v>1.2</v>
      </c>
      <c r="Q317" s="4">
        <v>94</v>
      </c>
      <c r="R317">
        <v>0.372</v>
      </c>
      <c r="S317" t="s">
        <v>70</v>
      </c>
      <c r="T317" s="6">
        <v>5</v>
      </c>
      <c r="U317" s="5">
        <v>45195</v>
      </c>
      <c r="V317" s="6">
        <v>1</v>
      </c>
      <c r="W317" t="s">
        <v>86</v>
      </c>
      <c r="X317" s="6">
        <v>123</v>
      </c>
      <c r="Y317">
        <v>40.227599999999995</v>
      </c>
      <c r="Z317">
        <v>8.0455199999999998</v>
      </c>
      <c r="AA317" s="6">
        <v>29.754223468464438</v>
      </c>
      <c r="AB317" s="4">
        <v>99.745083333333326</v>
      </c>
      <c r="AC317" s="6">
        <v>33.60867411175655</v>
      </c>
      <c r="AD317">
        <v>0.350457405</v>
      </c>
      <c r="AE317">
        <v>2.01668399083474</v>
      </c>
      <c r="AF317">
        <v>80225</v>
      </c>
      <c r="AG317" s="4">
        <v>0</v>
      </c>
      <c r="AH317" s="4">
        <v>285500</v>
      </c>
      <c r="AL317">
        <v>23</v>
      </c>
      <c r="AM317">
        <v>15.76816</v>
      </c>
      <c r="AN317" t="s">
        <v>81</v>
      </c>
      <c r="AO317" t="s">
        <v>97</v>
      </c>
      <c r="AP317" s="5">
        <v>45073</v>
      </c>
      <c r="AQ317" t="s">
        <v>92</v>
      </c>
      <c r="AR317" s="5">
        <v>45194</v>
      </c>
      <c r="AS317">
        <v>193.306272310553</v>
      </c>
      <c r="AT317" s="6"/>
      <c r="AU317">
        <v>11.932106315067269</v>
      </c>
      <c r="AV317">
        <v>60.292541439210886</v>
      </c>
      <c r="AW317">
        <v>39.361812536666385</v>
      </c>
      <c r="AX317">
        <v>111.58646029094453</v>
      </c>
      <c r="AY317">
        <v>9.0948741659954848</v>
      </c>
      <c r="AZ317">
        <v>33.331406298163444</v>
      </c>
      <c r="BA317">
        <v>2.2849737493661073</v>
      </c>
      <c r="BB317">
        <v>9.4183227435889787</v>
      </c>
      <c r="BC317">
        <v>14.440263152661355</v>
      </c>
      <c r="BD317">
        <v>68.56984010977537</v>
      </c>
      <c r="BE317">
        <v>13.149971909833098</v>
      </c>
      <c r="BF317">
        <v>6.3130266284839252</v>
      </c>
      <c r="BG317">
        <v>1.1817928486909486</v>
      </c>
      <c r="BH317">
        <v>7.4948194771748744</v>
      </c>
      <c r="BI317">
        <v>187.65111987789479</v>
      </c>
      <c r="BJ317" s="6">
        <v>200</v>
      </c>
      <c r="BK317">
        <v>5.6551524326581974</v>
      </c>
      <c r="BL317" s="4">
        <v>227.49321000000089</v>
      </c>
      <c r="BM317" t="s">
        <v>1781</v>
      </c>
      <c r="BN317" t="s">
        <v>65</v>
      </c>
      <c r="BO317">
        <v>9</v>
      </c>
      <c r="BP317">
        <v>2023</v>
      </c>
      <c r="BQ317" t="str">
        <f t="shared" si="21"/>
        <v>Choknavy9</v>
      </c>
      <c r="BR317">
        <f t="shared" si="22"/>
        <v>496.76580999999965</v>
      </c>
      <c r="BS317">
        <f t="shared" si="23"/>
        <v>7776.2474000000011</v>
      </c>
      <c r="BT317" s="6">
        <f t="shared" si="24"/>
        <v>12.348880122105214</v>
      </c>
    </row>
    <row r="318" spans="1:72">
      <c r="A318" s="3" t="s">
        <v>967</v>
      </c>
      <c r="B318" s="3" t="s">
        <v>1771</v>
      </c>
      <c r="C318" s="3" t="s">
        <v>1773</v>
      </c>
      <c r="D318" s="2" t="s">
        <v>603</v>
      </c>
      <c r="E318" s="4" t="str">
        <f t="shared" si="20"/>
        <v>ChoknavyA1-002-0037</v>
      </c>
      <c r="F318">
        <v>5.5</v>
      </c>
      <c r="G318">
        <v>2</v>
      </c>
      <c r="H318" t="s">
        <v>72</v>
      </c>
      <c r="I318" t="s">
        <v>75</v>
      </c>
      <c r="J318" t="s">
        <v>95</v>
      </c>
      <c r="K318" t="s">
        <v>79</v>
      </c>
      <c r="L318" t="s">
        <v>79</v>
      </c>
      <c r="M318">
        <v>3.5021097046413501</v>
      </c>
      <c r="N318" s="5">
        <v>45042</v>
      </c>
      <c r="O318" s="5">
        <v>45078</v>
      </c>
      <c r="P318">
        <v>1.75</v>
      </c>
      <c r="Q318" s="4">
        <v>99</v>
      </c>
      <c r="R318">
        <v>0.41599999999999998</v>
      </c>
      <c r="S318" t="s">
        <v>70</v>
      </c>
      <c r="T318" s="6">
        <v>6</v>
      </c>
      <c r="U318" s="5">
        <v>45203</v>
      </c>
      <c r="V318" s="6">
        <v>1</v>
      </c>
      <c r="W318" t="s">
        <v>86</v>
      </c>
      <c r="X318" s="6">
        <v>124.99999999999999</v>
      </c>
      <c r="Y318">
        <v>40.70194</v>
      </c>
      <c r="Z318">
        <v>7.4003527272727272</v>
      </c>
      <c r="AA318" s="6">
        <v>29.715758020379372</v>
      </c>
      <c r="AB318" s="4">
        <v>69.11365714285715</v>
      </c>
      <c r="AC318" s="6">
        <v>33.652178730025653</v>
      </c>
      <c r="AD318">
        <v>0.34449808700000001</v>
      </c>
      <c r="AE318">
        <v>2.3715865914296663</v>
      </c>
      <c r="AF318">
        <v>94800</v>
      </c>
      <c r="AG318" s="4">
        <v>0</v>
      </c>
      <c r="AH318" s="4">
        <v>332000</v>
      </c>
      <c r="AL318">
        <v>22.999999999999996</v>
      </c>
      <c r="AM318">
        <v>14.357419999999999</v>
      </c>
      <c r="AN318" t="s">
        <v>81</v>
      </c>
      <c r="AO318" t="s">
        <v>97</v>
      </c>
      <c r="AP318" s="5">
        <v>45079</v>
      </c>
      <c r="AQ318" t="s">
        <v>99</v>
      </c>
      <c r="AR318" s="5">
        <v>45202</v>
      </c>
      <c r="AS318">
        <v>195.23645408548097</v>
      </c>
      <c r="AT318" s="6"/>
      <c r="AU318">
        <v>18.230089278299761</v>
      </c>
      <c r="AV318">
        <v>70.345574682680947</v>
      </c>
      <c r="AW318">
        <v>45.325696760400106</v>
      </c>
      <c r="AX318">
        <v>133.9013607213808</v>
      </c>
      <c r="AY318">
        <v>10.765970123291419</v>
      </c>
      <c r="AZ318">
        <v>40.043719783381341</v>
      </c>
      <c r="BA318">
        <v>2.7656615384917771</v>
      </c>
      <c r="BB318">
        <v>11.524496375357048</v>
      </c>
      <c r="BC318">
        <v>17.019317015356023</v>
      </c>
      <c r="BD318">
        <v>82.119164835877598</v>
      </c>
      <c r="BE318">
        <v>-20.784071471777423</v>
      </c>
      <c r="BF318">
        <v>7.5601253896005929</v>
      </c>
      <c r="BG318">
        <v>1.4003671569463274</v>
      </c>
      <c r="BH318">
        <v>8.9604925465469201</v>
      </c>
      <c r="BI318">
        <v>224.98101810380535</v>
      </c>
      <c r="BJ318" s="6">
        <v>200</v>
      </c>
      <c r="BK318">
        <v>-29.744564018324407</v>
      </c>
      <c r="BL318" s="4">
        <v>-1210.6614599999991</v>
      </c>
      <c r="BM318" t="s">
        <v>1782</v>
      </c>
      <c r="BN318" t="s">
        <v>65</v>
      </c>
      <c r="BO318">
        <v>10</v>
      </c>
      <c r="BP318">
        <v>2023</v>
      </c>
      <c r="BQ318" t="str">
        <f t="shared" si="21"/>
        <v>Choknavy10</v>
      </c>
      <c r="BR318">
        <f t="shared" si="22"/>
        <v>-1016.7758999999993</v>
      </c>
      <c r="BS318">
        <f t="shared" si="23"/>
        <v>7946.5024400000011</v>
      </c>
      <c r="BT318" s="6">
        <f t="shared" si="24"/>
        <v>-24.981018103805354</v>
      </c>
    </row>
    <row r="319" spans="1:72">
      <c r="A319" s="3" t="s">
        <v>967</v>
      </c>
      <c r="B319" s="3" t="s">
        <v>1771</v>
      </c>
      <c r="C319" s="3" t="s">
        <v>1773</v>
      </c>
      <c r="D319" s="2" t="s">
        <v>1774</v>
      </c>
      <c r="E319" s="4" t="str">
        <f t="shared" si="20"/>
        <v>ChoknavyG1-G01-0001</v>
      </c>
      <c r="F319">
        <v>0.75</v>
      </c>
      <c r="G319">
        <v>2</v>
      </c>
      <c r="H319" t="s">
        <v>72</v>
      </c>
      <c r="I319" t="s">
        <v>67</v>
      </c>
      <c r="J319" t="s">
        <v>95</v>
      </c>
      <c r="K319" t="s">
        <v>79</v>
      </c>
      <c r="L319" t="s">
        <v>79</v>
      </c>
      <c r="M319">
        <v>3.310580204778157</v>
      </c>
      <c r="N319" s="5">
        <v>44958</v>
      </c>
      <c r="O319" s="5">
        <v>44974</v>
      </c>
      <c r="P319">
        <v>0.4</v>
      </c>
      <c r="Q319" s="4">
        <v>167</v>
      </c>
      <c r="R319">
        <v>0.85</v>
      </c>
      <c r="S319" t="s">
        <v>70</v>
      </c>
      <c r="T319" s="6">
        <v>3</v>
      </c>
      <c r="U319" s="5">
        <v>45066</v>
      </c>
      <c r="V319" s="6">
        <v>2</v>
      </c>
      <c r="W319" t="s">
        <v>71</v>
      </c>
      <c r="X319" s="6">
        <v>92</v>
      </c>
      <c r="Y319">
        <v>5.5235900000000004</v>
      </c>
      <c r="Z319">
        <v>7.3647866666666673</v>
      </c>
      <c r="AA319" s="6">
        <v>34.562304588139234</v>
      </c>
      <c r="AB319" s="4">
        <v>47.727000000000004</v>
      </c>
      <c r="AC319" s="6">
        <v>28.933255809080816</v>
      </c>
      <c r="AD319">
        <v>0.34139200600000003</v>
      </c>
      <c r="AE319">
        <v>2.826226611286772</v>
      </c>
      <c r="AF319">
        <v>14650</v>
      </c>
      <c r="AG319" s="4">
        <v>1800</v>
      </c>
      <c r="AH319" s="4">
        <v>48500</v>
      </c>
      <c r="AL319">
        <v>31</v>
      </c>
      <c r="AM319">
        <v>3.0188699999999997</v>
      </c>
      <c r="AN319" t="s">
        <v>77</v>
      </c>
      <c r="AO319" t="s">
        <v>148</v>
      </c>
      <c r="AP319" s="5">
        <v>44974</v>
      </c>
      <c r="AQ319" t="s">
        <v>108</v>
      </c>
      <c r="AR319" s="5">
        <v>45066</v>
      </c>
      <c r="AS319">
        <v>184.13211516423198</v>
      </c>
      <c r="AT319" s="6"/>
      <c r="AU319">
        <v>39.829169073012295</v>
      </c>
      <c r="AV319">
        <v>85.952603288803132</v>
      </c>
      <c r="AW319">
        <v>8.4948194923953455</v>
      </c>
      <c r="AX319">
        <v>134.27659185421078</v>
      </c>
      <c r="AY319">
        <v>3.7290168169614328</v>
      </c>
      <c r="AZ319">
        <v>0.10449363547982379</v>
      </c>
      <c r="BA319">
        <v>1.4702883450799207</v>
      </c>
      <c r="BB319">
        <v>3.6167945122646681</v>
      </c>
      <c r="BC319">
        <v>6.6775539096855487</v>
      </c>
      <c r="BD319">
        <v>15.598147219471393</v>
      </c>
      <c r="BE319">
        <v>34.257376090549805</v>
      </c>
      <c r="BF319">
        <v>1.9234827349604153</v>
      </c>
      <c r="BG319">
        <v>0.98164780514122163</v>
      </c>
      <c r="BH319">
        <v>2.9051305401016365</v>
      </c>
      <c r="BI319">
        <v>152.77986961378377</v>
      </c>
      <c r="BJ319" s="6">
        <v>189</v>
      </c>
      <c r="BK319">
        <v>31.352245550448181</v>
      </c>
      <c r="BL319" s="4">
        <v>173.17695000000006</v>
      </c>
      <c r="BM319" t="s">
        <v>1775</v>
      </c>
      <c r="BN319" t="s">
        <v>65</v>
      </c>
      <c r="BO319">
        <v>5</v>
      </c>
      <c r="BP319">
        <v>2023</v>
      </c>
      <c r="BQ319" t="str">
        <f t="shared" si="21"/>
        <v>Choknavy5</v>
      </c>
      <c r="BR319">
        <f t="shared" si="22"/>
        <v>200.0651500000001</v>
      </c>
      <c r="BS319">
        <f t="shared" si="23"/>
        <v>1017.0703100000002</v>
      </c>
      <c r="BT319" s="6">
        <f t="shared" si="24"/>
        <v>36.220130386216226</v>
      </c>
    </row>
    <row r="320" spans="1:72">
      <c r="A320" s="3" t="s">
        <v>967</v>
      </c>
      <c r="B320" s="3" t="s">
        <v>1771</v>
      </c>
      <c r="C320" s="3" t="s">
        <v>1773</v>
      </c>
      <c r="D320" s="2" t="s">
        <v>1788</v>
      </c>
      <c r="E320" s="4" t="str">
        <f t="shared" si="20"/>
        <v>ChoknavyA1-002-0036</v>
      </c>
      <c r="F320">
        <v>5.5</v>
      </c>
      <c r="G320">
        <v>1.6</v>
      </c>
      <c r="H320" t="s">
        <v>72</v>
      </c>
      <c r="I320" t="s">
        <v>75</v>
      </c>
      <c r="J320" t="s">
        <v>95</v>
      </c>
      <c r="K320" t="s">
        <v>79</v>
      </c>
      <c r="L320" t="s">
        <v>79</v>
      </c>
      <c r="M320">
        <v>3.5682467161621929</v>
      </c>
      <c r="N320" s="5">
        <v>44866</v>
      </c>
      <c r="O320" s="5">
        <v>44897</v>
      </c>
      <c r="P320">
        <v>1.5</v>
      </c>
      <c r="Q320" s="4">
        <v>107</v>
      </c>
      <c r="R320">
        <v>0.215</v>
      </c>
      <c r="S320" t="s">
        <v>70</v>
      </c>
      <c r="T320" s="6">
        <v>2</v>
      </c>
      <c r="U320" s="5">
        <v>45041</v>
      </c>
      <c r="V320" s="6">
        <v>1</v>
      </c>
      <c r="W320" t="s">
        <v>86</v>
      </c>
      <c r="X320" s="6">
        <v>144</v>
      </c>
      <c r="Y320">
        <v>20.536580000000001</v>
      </c>
      <c r="Z320">
        <v>3.7339236363636363</v>
      </c>
      <c r="AA320" s="6">
        <v>25.488810697789017</v>
      </c>
      <c r="AB320" s="4">
        <v>34.896866666666668</v>
      </c>
      <c r="AC320" s="6">
        <v>39.232901521244507</v>
      </c>
      <c r="AD320">
        <v>0.27628472199999998</v>
      </c>
      <c r="AE320">
        <v>2.1655161769376359</v>
      </c>
      <c r="AF320">
        <v>43775</v>
      </c>
      <c r="AG320" s="4">
        <v>13200</v>
      </c>
      <c r="AH320" s="4">
        <v>156200</v>
      </c>
      <c r="AL320">
        <v>25</v>
      </c>
      <c r="AM320">
        <v>10.49874</v>
      </c>
      <c r="AN320" t="s">
        <v>85</v>
      </c>
      <c r="AO320" t="s">
        <v>101</v>
      </c>
      <c r="AP320" s="5">
        <v>44897</v>
      </c>
      <c r="AQ320" t="s">
        <v>94</v>
      </c>
      <c r="AR320" s="5">
        <v>45040</v>
      </c>
      <c r="AS320">
        <v>269.6968404671079</v>
      </c>
      <c r="AT320" s="6"/>
      <c r="AU320">
        <v>21.912119739508718</v>
      </c>
      <c r="AV320">
        <v>69.304346195909943</v>
      </c>
      <c r="AW320">
        <v>94.67305607847068</v>
      </c>
      <c r="AX320">
        <v>185.88952201388935</v>
      </c>
      <c r="AY320">
        <v>23.611898378405748</v>
      </c>
      <c r="AZ320">
        <v>72.81471452403467</v>
      </c>
      <c r="BA320">
        <v>18.433237179705674</v>
      </c>
      <c r="BB320">
        <v>25.889730422494882</v>
      </c>
      <c r="BC320">
        <v>31.507371724016359</v>
      </c>
      <c r="BD320">
        <v>172.25695222865733</v>
      </c>
      <c r="BE320">
        <v>-88.44963377543877</v>
      </c>
      <c r="BF320">
        <v>25.789695752652097</v>
      </c>
      <c r="BG320">
        <v>3.3571505089941946</v>
      </c>
      <c r="BH320">
        <v>29.146846261646292</v>
      </c>
      <c r="BI320">
        <v>387.29332050419293</v>
      </c>
      <c r="BJ320" s="6">
        <v>214</v>
      </c>
      <c r="BK320">
        <v>-117.59648003708506</v>
      </c>
      <c r="BL320" s="4">
        <v>-2415.0295200000005</v>
      </c>
      <c r="BM320" t="s">
        <v>1789</v>
      </c>
      <c r="BN320" t="s">
        <v>65</v>
      </c>
      <c r="BO320">
        <v>4</v>
      </c>
      <c r="BP320">
        <v>2023</v>
      </c>
      <c r="BQ320" t="str">
        <f t="shared" si="21"/>
        <v>Choknavy4</v>
      </c>
      <c r="BR320">
        <f t="shared" si="22"/>
        <v>-3558.8521399999986</v>
      </c>
      <c r="BS320">
        <f t="shared" si="23"/>
        <v>5538.6507399999991</v>
      </c>
      <c r="BT320" s="6">
        <f t="shared" si="24"/>
        <v>-173.29332050419293</v>
      </c>
    </row>
    <row r="321" spans="1:72">
      <c r="A321" s="3" t="s">
        <v>967</v>
      </c>
      <c r="B321" s="3" t="s">
        <v>1771</v>
      </c>
      <c r="C321" s="3" t="s">
        <v>1773</v>
      </c>
      <c r="D321" s="2" t="s">
        <v>1785</v>
      </c>
      <c r="E321" s="4" t="str">
        <f t="shared" si="20"/>
        <v>ChoknavyA1-001-0040</v>
      </c>
      <c r="F321">
        <v>5</v>
      </c>
      <c r="G321">
        <v>1.6</v>
      </c>
      <c r="H321" t="s">
        <v>72</v>
      </c>
      <c r="I321" t="s">
        <v>75</v>
      </c>
      <c r="J321" t="s">
        <v>95</v>
      </c>
      <c r="K321" t="s">
        <v>79</v>
      </c>
      <c r="L321" t="s">
        <v>79</v>
      </c>
      <c r="M321">
        <v>3.6659663865546217</v>
      </c>
      <c r="N321" s="5">
        <v>44869</v>
      </c>
      <c r="O321" s="5">
        <v>44903</v>
      </c>
      <c r="P321">
        <v>1.2</v>
      </c>
      <c r="Q321" s="4">
        <v>94</v>
      </c>
      <c r="R321">
        <v>0.1</v>
      </c>
      <c r="S321" t="s">
        <v>70</v>
      </c>
      <c r="T321" s="6">
        <v>3</v>
      </c>
      <c r="U321" s="5">
        <v>45045</v>
      </c>
      <c r="V321" s="6">
        <v>1</v>
      </c>
      <c r="W321" t="s">
        <v>86</v>
      </c>
      <c r="X321" s="6">
        <v>142</v>
      </c>
      <c r="Y321">
        <v>21.450299999999999</v>
      </c>
      <c r="Z321">
        <v>4.2900599999999995</v>
      </c>
      <c r="AA321" s="6">
        <v>27.486888295268599</v>
      </c>
      <c r="AB321" s="4">
        <v>49.133500000000005</v>
      </c>
      <c r="AC321" s="6">
        <v>36.380982425432748</v>
      </c>
      <c r="AD321">
        <v>0.27015167899999998</v>
      </c>
      <c r="AE321">
        <v>2.2315673009756076</v>
      </c>
      <c r="AF321">
        <v>47600</v>
      </c>
      <c r="AG321" s="4">
        <v>12000</v>
      </c>
      <c r="AH321" s="4">
        <v>174500</v>
      </c>
      <c r="AL321">
        <v>26</v>
      </c>
      <c r="AM321">
        <v>7.9827599999999999</v>
      </c>
      <c r="AN321" t="s">
        <v>85</v>
      </c>
      <c r="AO321" t="s">
        <v>109</v>
      </c>
      <c r="AP321" s="5">
        <v>44903</v>
      </c>
      <c r="AQ321" t="s">
        <v>148</v>
      </c>
      <c r="AR321" s="5">
        <v>45043</v>
      </c>
      <c r="AS321">
        <v>256.01429537116036</v>
      </c>
      <c r="AT321" s="6"/>
      <c r="AU321">
        <v>22.377309408260025</v>
      </c>
      <c r="AV321">
        <v>71.889467746371835</v>
      </c>
      <c r="AW321">
        <v>82.492886346577919</v>
      </c>
      <c r="AX321">
        <v>176.75966350120976</v>
      </c>
      <c r="AY321">
        <v>20.705271254947483</v>
      </c>
      <c r="AZ321">
        <v>64.840828799597205</v>
      </c>
      <c r="BA321">
        <v>15.964703523960038</v>
      </c>
      <c r="BB321">
        <v>22.52151298583237</v>
      </c>
      <c r="BC321">
        <v>27.349199311897738</v>
      </c>
      <c r="BD321">
        <v>151.38151587623483</v>
      </c>
      <c r="BE321">
        <v>-72.126884006284229</v>
      </c>
      <c r="BF321">
        <v>22.634659655109719</v>
      </c>
      <c r="BG321">
        <v>2.9375169578047857</v>
      </c>
      <c r="BH321">
        <v>25.572176612914504</v>
      </c>
      <c r="BI321">
        <v>353.71335599035916</v>
      </c>
      <c r="BJ321" s="6">
        <v>207</v>
      </c>
      <c r="BK321">
        <v>-97.699060619198804</v>
      </c>
      <c r="BL321" s="4">
        <v>-2095.67416</v>
      </c>
      <c r="BM321" t="s">
        <v>1772</v>
      </c>
      <c r="BN321" t="s">
        <v>65</v>
      </c>
      <c r="BO321">
        <v>4</v>
      </c>
      <c r="BP321">
        <v>2023</v>
      </c>
      <c r="BQ321" t="str">
        <f t="shared" si="21"/>
        <v>Choknavy4</v>
      </c>
      <c r="BR321">
        <f t="shared" si="22"/>
        <v>-3147.0455000000011</v>
      </c>
      <c r="BS321">
        <f t="shared" si="23"/>
        <v>5491.5834400000003</v>
      </c>
      <c r="BT321" s="6">
        <f t="shared" si="24"/>
        <v>-146.71335599035916</v>
      </c>
    </row>
    <row r="322" spans="1:72">
      <c r="A322" s="3" t="s">
        <v>967</v>
      </c>
      <c r="B322" s="3" t="s">
        <v>1771</v>
      </c>
      <c r="C322" s="3" t="s">
        <v>1773</v>
      </c>
      <c r="D322" s="2" t="s">
        <v>1786</v>
      </c>
      <c r="E322" s="4" t="str">
        <f t="shared" si="20"/>
        <v>ChoknavyA1-006-0031</v>
      </c>
      <c r="F322">
        <v>5.5</v>
      </c>
      <c r="G322">
        <v>1.6</v>
      </c>
      <c r="H322" t="s">
        <v>72</v>
      </c>
      <c r="I322" t="s">
        <v>75</v>
      </c>
      <c r="J322" t="s">
        <v>95</v>
      </c>
      <c r="K322" t="s">
        <v>79</v>
      </c>
      <c r="L322" t="s">
        <v>79</v>
      </c>
      <c r="M322">
        <v>4.2114263505635448</v>
      </c>
      <c r="N322" s="5">
        <v>44820</v>
      </c>
      <c r="O322" s="5">
        <v>44856</v>
      </c>
      <c r="P322">
        <v>1.3</v>
      </c>
      <c r="Q322" s="4">
        <v>92</v>
      </c>
      <c r="R322">
        <v>0.86699999999999999</v>
      </c>
      <c r="S322" t="s">
        <v>70</v>
      </c>
      <c r="T322" s="6">
        <v>3</v>
      </c>
      <c r="U322" s="5">
        <v>44998</v>
      </c>
      <c r="V322" s="6">
        <v>1</v>
      </c>
      <c r="W322" t="s">
        <v>86</v>
      </c>
      <c r="X322" s="6">
        <v>142</v>
      </c>
      <c r="Y322">
        <v>31.495159999999998</v>
      </c>
      <c r="Z322">
        <v>5.7263927272727271</v>
      </c>
      <c r="AA322" s="6">
        <v>26.50496139724326</v>
      </c>
      <c r="AB322" s="4">
        <v>64.213692307692298</v>
      </c>
      <c r="AC322" s="6">
        <v>37.728785377669269</v>
      </c>
      <c r="AD322">
        <v>0.26475027099999998</v>
      </c>
      <c r="AE322">
        <v>2.1181836143308748</v>
      </c>
      <c r="AF322">
        <v>64325</v>
      </c>
      <c r="AG322" s="4">
        <v>25520</v>
      </c>
      <c r="AH322" s="4">
        <v>270900</v>
      </c>
      <c r="AL322">
        <v>26</v>
      </c>
      <c r="AM322">
        <v>11.77727</v>
      </c>
      <c r="AN322" t="s">
        <v>81</v>
      </c>
      <c r="AO322" t="s">
        <v>105</v>
      </c>
      <c r="AP322" s="5">
        <v>44857</v>
      </c>
      <c r="AQ322" t="s">
        <v>96</v>
      </c>
      <c r="AR322" s="5">
        <v>44996</v>
      </c>
      <c r="AS322">
        <v>276.70805736500472</v>
      </c>
      <c r="AT322" s="6"/>
      <c r="AU322">
        <v>22.701900863497755</v>
      </c>
      <c r="AV322">
        <v>66.182179738093097</v>
      </c>
      <c r="AW322">
        <v>60.30819306839529</v>
      </c>
      <c r="AX322">
        <v>149.19227366998615</v>
      </c>
      <c r="AY322">
        <v>15.189848217948407</v>
      </c>
      <c r="AZ322">
        <v>41.779430871283076</v>
      </c>
      <c r="BA322">
        <v>11.691847255260807</v>
      </c>
      <c r="BB322">
        <v>23.845568652453274</v>
      </c>
      <c r="BC322">
        <v>22.323804673479984</v>
      </c>
      <c r="BD322">
        <v>114.83049967042555</v>
      </c>
      <c r="BE322">
        <v>12.685284024593017</v>
      </c>
      <c r="BF322">
        <v>16.401806817301452</v>
      </c>
      <c r="BG322">
        <v>2.2311933008119351</v>
      </c>
      <c r="BH322">
        <v>18.633000118113383</v>
      </c>
      <c r="BI322">
        <v>282.65577345852512</v>
      </c>
      <c r="BJ322" s="6">
        <v>210</v>
      </c>
      <c r="BK322">
        <v>-5.9477160935203868</v>
      </c>
      <c r="BL322" s="4">
        <v>-187.32426999999956</v>
      </c>
      <c r="BM322" t="s">
        <v>1787</v>
      </c>
      <c r="BN322" t="s">
        <v>65</v>
      </c>
      <c r="BO322">
        <v>3</v>
      </c>
      <c r="BP322">
        <v>2023</v>
      </c>
      <c r="BQ322" t="str">
        <f t="shared" si="21"/>
        <v>Choknavy3</v>
      </c>
      <c r="BR322">
        <f t="shared" si="22"/>
        <v>-2288.3052100000018</v>
      </c>
      <c r="BS322">
        <f t="shared" si="23"/>
        <v>8714.9645400000009</v>
      </c>
      <c r="BT322" s="6">
        <f t="shared" si="24"/>
        <v>-72.655773458525118</v>
      </c>
    </row>
    <row r="323" spans="1:72">
      <c r="A323" s="3" t="s">
        <v>967</v>
      </c>
      <c r="B323" s="3" t="s">
        <v>1771</v>
      </c>
      <c r="C323" s="3" t="s">
        <v>1773</v>
      </c>
      <c r="D323" s="2" t="s">
        <v>1790</v>
      </c>
      <c r="E323" s="4" t="str">
        <f t="shared" si="20"/>
        <v>ChoknavyA1-003-0035</v>
      </c>
      <c r="F323">
        <v>5.5</v>
      </c>
      <c r="G323">
        <v>1.6</v>
      </c>
      <c r="H323" t="s">
        <v>72</v>
      </c>
      <c r="I323" t="s">
        <v>75</v>
      </c>
      <c r="J323" t="s">
        <v>95</v>
      </c>
      <c r="K323" t="s">
        <v>79</v>
      </c>
      <c r="L323" t="s">
        <v>79</v>
      </c>
      <c r="M323">
        <v>3.650485436893204</v>
      </c>
      <c r="N323" s="5">
        <v>44871</v>
      </c>
      <c r="O323" s="5">
        <v>44904</v>
      </c>
      <c r="P323">
        <v>1.4</v>
      </c>
      <c r="Q323" s="4">
        <v>99</v>
      </c>
      <c r="R323">
        <v>0.186</v>
      </c>
      <c r="S323" t="s">
        <v>70</v>
      </c>
      <c r="T323" s="6"/>
      <c r="U323" s="5">
        <v>44944</v>
      </c>
      <c r="V323" s="6">
        <v>3</v>
      </c>
      <c r="W323" t="s">
        <v>2831</v>
      </c>
      <c r="X323" s="6"/>
      <c r="AA323" s="6"/>
      <c r="AB323" s="4"/>
      <c r="AC323" s="6"/>
      <c r="AF323">
        <v>2575</v>
      </c>
      <c r="AG323" s="4">
        <v>12000</v>
      </c>
      <c r="AH323" s="4">
        <v>9400</v>
      </c>
      <c r="AN323" t="s">
        <v>85</v>
      </c>
      <c r="AO323" t="s">
        <v>101</v>
      </c>
      <c r="AP323" s="5">
        <v>44904</v>
      </c>
      <c r="AQ323" t="s">
        <v>105</v>
      </c>
      <c r="AR323" s="5">
        <v>44944</v>
      </c>
      <c r="AT323" s="6"/>
      <c r="BJ323" s="6"/>
      <c r="BL323" s="4">
        <v>-3104.5258199999998</v>
      </c>
      <c r="BM323" t="s">
        <v>2848</v>
      </c>
      <c r="BN323" t="s">
        <v>65</v>
      </c>
      <c r="BO323">
        <v>1</v>
      </c>
      <c r="BP323">
        <v>2023</v>
      </c>
      <c r="BQ323" t="str">
        <f t="shared" si="21"/>
        <v>Choknavy1</v>
      </c>
      <c r="BR323">
        <f t="shared" si="22"/>
        <v>0</v>
      </c>
      <c r="BS323">
        <f t="shared" si="23"/>
        <v>0</v>
      </c>
      <c r="BT323" s="6">
        <f t="shared" si="24"/>
        <v>0</v>
      </c>
    </row>
    <row r="324" spans="1:72">
      <c r="A324" s="3" t="s">
        <v>967</v>
      </c>
      <c r="B324" s="3" t="s">
        <v>1600</v>
      </c>
      <c r="C324" s="3" t="s">
        <v>1631</v>
      </c>
      <c r="D324" s="2" t="s">
        <v>1643</v>
      </c>
      <c r="E324" s="4" t="str">
        <f t="shared" ref="E324:E387" si="25">B324&amp;D324</f>
        <v>Maeklong1A1-017-0031</v>
      </c>
      <c r="F324">
        <v>2.89</v>
      </c>
      <c r="G324">
        <v>1.8</v>
      </c>
      <c r="H324" t="s">
        <v>72</v>
      </c>
      <c r="I324" t="s">
        <v>75</v>
      </c>
      <c r="J324" t="s">
        <v>68</v>
      </c>
      <c r="K324" t="s">
        <v>79</v>
      </c>
      <c r="L324" t="s">
        <v>79</v>
      </c>
      <c r="M324">
        <v>2.5013927576601671</v>
      </c>
      <c r="N324" s="5">
        <v>45001</v>
      </c>
      <c r="O324" s="5">
        <v>45058</v>
      </c>
      <c r="P324">
        <v>1.4</v>
      </c>
      <c r="Q324" s="4">
        <v>168</v>
      </c>
      <c r="R324">
        <v>0.41</v>
      </c>
      <c r="S324" t="s">
        <v>70</v>
      </c>
      <c r="T324" s="6">
        <v>6</v>
      </c>
      <c r="U324" s="5">
        <v>45161</v>
      </c>
      <c r="V324" s="6">
        <v>1</v>
      </c>
      <c r="W324" t="s">
        <v>86</v>
      </c>
      <c r="X324" s="6">
        <v>103</v>
      </c>
      <c r="Y324">
        <v>36.068080000000002</v>
      </c>
      <c r="Z324">
        <v>12.480304498269897</v>
      </c>
      <c r="AA324" s="6">
        <v>34.78410827523949</v>
      </c>
      <c r="AB324" s="4">
        <v>89.614000000000004</v>
      </c>
      <c r="AC324" s="6">
        <v>28.748760557183349</v>
      </c>
      <c r="AD324">
        <v>0.41813845500000002</v>
      </c>
      <c r="AE324">
        <v>1.7700134783039876</v>
      </c>
      <c r="AF324">
        <v>62825</v>
      </c>
      <c r="AG324" s="4">
        <v>8000</v>
      </c>
      <c r="AH324" s="4">
        <v>157150</v>
      </c>
      <c r="AL324">
        <v>23</v>
      </c>
      <c r="AM324">
        <v>5.3504499999999995</v>
      </c>
      <c r="AN324" t="s">
        <v>81</v>
      </c>
      <c r="AO324" t="s">
        <v>136</v>
      </c>
      <c r="AP324" s="5">
        <v>45058</v>
      </c>
      <c r="AQ324" t="s">
        <v>170</v>
      </c>
      <c r="AR324" s="5">
        <v>45160</v>
      </c>
      <c r="AS324">
        <v>176.21931053718407</v>
      </c>
      <c r="AT324" s="6"/>
      <c r="AU324">
        <v>17.466968022694857</v>
      </c>
      <c r="AV324">
        <v>51.469560619805655</v>
      </c>
      <c r="AW324">
        <v>35.092894881013905</v>
      </c>
      <c r="AX324">
        <v>104.02942352351442</v>
      </c>
      <c r="AY324">
        <v>7.8248309862903707</v>
      </c>
      <c r="AZ324">
        <v>24.583007745352671</v>
      </c>
      <c r="BA324">
        <v>2.2094996462245833</v>
      </c>
      <c r="BB324">
        <v>4.0306484293036942</v>
      </c>
      <c r="BC324">
        <v>7.0563146139190094</v>
      </c>
      <c r="BD324">
        <v>45.704301421090328</v>
      </c>
      <c r="BE324">
        <v>26.485585592579319</v>
      </c>
      <c r="BF324">
        <v>7.9047562276672316</v>
      </c>
      <c r="BH324">
        <v>7.9047562276672316</v>
      </c>
      <c r="BI324">
        <v>157.63848117227198</v>
      </c>
      <c r="BJ324" s="6">
        <v>189</v>
      </c>
      <c r="BK324">
        <v>18.580829364912102</v>
      </c>
      <c r="BL324" s="4">
        <v>670.17483999999888</v>
      </c>
      <c r="BM324" t="s">
        <v>1644</v>
      </c>
      <c r="BN324" t="s">
        <v>65</v>
      </c>
      <c r="BO324">
        <v>8</v>
      </c>
      <c r="BP324">
        <v>2023</v>
      </c>
      <c r="BQ324" t="str">
        <f t="shared" ref="BQ324:BQ387" si="26">B324&amp;BO324</f>
        <v>Maeklong18</v>
      </c>
      <c r="BR324">
        <f t="shared" ref="BR324:BR387" si="27">BT324*Y324</f>
        <v>1131.1497700000004</v>
      </c>
      <c r="BS324">
        <f t="shared" ref="BS324:BS387" si="28">Y324*AS324</f>
        <v>6355.8921899999987</v>
      </c>
      <c r="BT324" s="6">
        <f t="shared" ref="BT324:BT387" si="29">BJ324-BI324</f>
        <v>31.36151882772802</v>
      </c>
    </row>
    <row r="325" spans="1:72">
      <c r="A325" s="3" t="s">
        <v>967</v>
      </c>
      <c r="B325" s="3" t="s">
        <v>1600</v>
      </c>
      <c r="C325" s="3" t="s">
        <v>1631</v>
      </c>
      <c r="D325" s="2" t="s">
        <v>1645</v>
      </c>
      <c r="E325" s="4" t="str">
        <f t="shared" si="25"/>
        <v>Maeklong1A1-015-0036</v>
      </c>
      <c r="F325">
        <v>2.4300000000000002</v>
      </c>
      <c r="G325">
        <v>1.8</v>
      </c>
      <c r="H325" t="s">
        <v>72</v>
      </c>
      <c r="I325" t="s">
        <v>75</v>
      </c>
      <c r="J325" t="s">
        <v>68</v>
      </c>
      <c r="K325" t="s">
        <v>79</v>
      </c>
      <c r="L325" t="s">
        <v>79</v>
      </c>
      <c r="M325">
        <v>2.0020898641588296</v>
      </c>
      <c r="N325" s="5">
        <v>44997</v>
      </c>
      <c r="O325" s="5">
        <v>45020</v>
      </c>
      <c r="P325">
        <v>1.2</v>
      </c>
      <c r="Q325" s="4">
        <v>171</v>
      </c>
      <c r="R325">
        <v>0.65</v>
      </c>
      <c r="S325" t="s">
        <v>70</v>
      </c>
      <c r="T325" s="6">
        <v>4</v>
      </c>
      <c r="U325" s="5">
        <v>45105</v>
      </c>
      <c r="V325" s="6">
        <v>1</v>
      </c>
      <c r="W325" t="s">
        <v>86</v>
      </c>
      <c r="X325" s="6">
        <v>85</v>
      </c>
      <c r="Y325">
        <v>27.471409999999999</v>
      </c>
      <c r="Z325">
        <v>11.305106995884772</v>
      </c>
      <c r="AA325" s="6">
        <v>34.123221196145373</v>
      </c>
      <c r="AB325" s="4">
        <v>78.117750000000001</v>
      </c>
      <c r="AC325" s="6">
        <v>29.305556889012635</v>
      </c>
      <c r="AD325">
        <v>0.39803245399999998</v>
      </c>
      <c r="AE325">
        <v>1.7927109160921375</v>
      </c>
      <c r="AF325">
        <v>47850</v>
      </c>
      <c r="AG325" s="4">
        <v>0</v>
      </c>
      <c r="AH325" s="4">
        <v>95800</v>
      </c>
      <c r="AL325">
        <v>28.999999999999996</v>
      </c>
      <c r="AM325">
        <v>5.9521600000000001</v>
      </c>
      <c r="AN325" t="s">
        <v>81</v>
      </c>
      <c r="AO325" t="s">
        <v>176</v>
      </c>
      <c r="AP325" s="5">
        <v>45020</v>
      </c>
      <c r="AQ325" t="s">
        <v>170</v>
      </c>
      <c r="AR325" s="5">
        <v>45103</v>
      </c>
      <c r="AS325">
        <v>170.27619841864691</v>
      </c>
      <c r="AT325" s="6"/>
      <c r="AU325">
        <v>21.840888399976556</v>
      </c>
      <c r="AV325">
        <v>50.795480100948595</v>
      </c>
      <c r="AW325">
        <v>29.317235627876393</v>
      </c>
      <c r="AX325">
        <v>101.95360412880153</v>
      </c>
      <c r="AY325">
        <v>6.1597402535945553</v>
      </c>
      <c r="AZ325">
        <v>17.064526356674083</v>
      </c>
      <c r="BA325">
        <v>1.9613787570423213</v>
      </c>
      <c r="BB325">
        <v>3.4116479641925914</v>
      </c>
      <c r="BC325">
        <v>4.5700653879797217</v>
      </c>
      <c r="BD325">
        <v>33.167358719483275</v>
      </c>
      <c r="BE325">
        <v>35.155235570362109</v>
      </c>
      <c r="BF325">
        <v>5.8449406128043675</v>
      </c>
      <c r="BH325">
        <v>5.8449406128043675</v>
      </c>
      <c r="BI325">
        <v>140.96590346108917</v>
      </c>
      <c r="BJ325" s="6">
        <v>189</v>
      </c>
      <c r="BK325">
        <v>29.310294957557723</v>
      </c>
      <c r="BL325" s="4">
        <v>805.19513000000086</v>
      </c>
      <c r="BM325" t="s">
        <v>1646</v>
      </c>
      <c r="BN325" t="s">
        <v>65</v>
      </c>
      <c r="BO325">
        <v>6</v>
      </c>
      <c r="BP325">
        <v>2023</v>
      </c>
      <c r="BQ325" t="str">
        <f t="shared" si="26"/>
        <v>Maeklong16</v>
      </c>
      <c r="BR325">
        <f t="shared" si="27"/>
        <v>1319.5643600000003</v>
      </c>
      <c r="BS325">
        <f t="shared" si="28"/>
        <v>4677.7272600000006</v>
      </c>
      <c r="BT325" s="6">
        <f t="shared" si="29"/>
        <v>48.034096538910831</v>
      </c>
    </row>
    <row r="326" spans="1:72">
      <c r="A326" s="3" t="s">
        <v>967</v>
      </c>
      <c r="B326" s="3" t="s">
        <v>1600</v>
      </c>
      <c r="C326" s="3" t="s">
        <v>1631</v>
      </c>
      <c r="D326" s="2" t="s">
        <v>1655</v>
      </c>
      <c r="E326" s="4" t="str">
        <f t="shared" si="25"/>
        <v>Maeklong1A1-021-0025</v>
      </c>
      <c r="F326">
        <v>3.82</v>
      </c>
      <c r="G326">
        <v>1.8</v>
      </c>
      <c r="H326" t="s">
        <v>72</v>
      </c>
      <c r="I326" t="s">
        <v>75</v>
      </c>
      <c r="J326" t="s">
        <v>68</v>
      </c>
      <c r="K326" t="s">
        <v>79</v>
      </c>
      <c r="L326" t="s">
        <v>79</v>
      </c>
      <c r="M326">
        <v>2.3814496314496316</v>
      </c>
      <c r="N326" s="5">
        <v>45007</v>
      </c>
      <c r="O326" s="5">
        <v>45035</v>
      </c>
      <c r="P326">
        <v>1.58</v>
      </c>
      <c r="Q326" s="4">
        <v>144</v>
      </c>
      <c r="R326">
        <v>0.69</v>
      </c>
      <c r="S326" t="s">
        <v>70</v>
      </c>
      <c r="T326" s="6">
        <v>5</v>
      </c>
      <c r="U326" s="5">
        <v>45147</v>
      </c>
      <c r="V326" s="6">
        <v>1</v>
      </c>
      <c r="W326" t="s">
        <v>86</v>
      </c>
      <c r="X326" s="6">
        <v>111.99999999999999</v>
      </c>
      <c r="Y326">
        <v>42.30377</v>
      </c>
      <c r="Z326">
        <v>11.074285340314137</v>
      </c>
      <c r="AA326" s="6">
        <v>31.019764905113661</v>
      </c>
      <c r="AB326" s="4">
        <v>83.053987341772157</v>
      </c>
      <c r="AC326" s="6">
        <v>32.23751060199519</v>
      </c>
      <c r="AD326">
        <v>0.38203804299999999</v>
      </c>
      <c r="AE326">
        <v>1.9750776261313931</v>
      </c>
      <c r="AF326">
        <v>81400</v>
      </c>
      <c r="AG326" s="4">
        <v>9000</v>
      </c>
      <c r="AH326" s="4">
        <v>193850</v>
      </c>
      <c r="AL326">
        <v>23</v>
      </c>
      <c r="AM326">
        <v>16.39387</v>
      </c>
      <c r="AN326" t="s">
        <v>81</v>
      </c>
      <c r="AO326" t="s">
        <v>131</v>
      </c>
      <c r="AP326" s="5">
        <v>45035</v>
      </c>
      <c r="AQ326" t="s">
        <v>116</v>
      </c>
      <c r="AR326" s="5">
        <v>45146</v>
      </c>
      <c r="AS326">
        <v>194.38219123260177</v>
      </c>
      <c r="AT326" s="6"/>
      <c r="AU326">
        <v>18.674458564804034</v>
      </c>
      <c r="AV326">
        <v>56.488833973898757</v>
      </c>
      <c r="AW326">
        <v>34.485667589437057</v>
      </c>
      <c r="AX326">
        <v>109.64896012813986</v>
      </c>
      <c r="AY326">
        <v>7.7603582375755167</v>
      </c>
      <c r="AZ326">
        <v>24.072928488406589</v>
      </c>
      <c r="BA326">
        <v>2.3094970022766295</v>
      </c>
      <c r="BB326">
        <v>4.0916114568512452</v>
      </c>
      <c r="BC326">
        <v>6.6352641856742336</v>
      </c>
      <c r="BD326">
        <v>44.869659370784213</v>
      </c>
      <c r="BE326">
        <v>39.863571733677695</v>
      </c>
      <c r="BF326">
        <v>7.777481061380584</v>
      </c>
      <c r="BH326">
        <v>7.777481061380584</v>
      </c>
      <c r="BI326">
        <v>162.29610056030481</v>
      </c>
      <c r="BJ326" s="6">
        <v>194</v>
      </c>
      <c r="BK326">
        <v>32.08609067229694</v>
      </c>
      <c r="BL326" s="4">
        <v>1357.3625999999949</v>
      </c>
      <c r="BM326" t="s">
        <v>1656</v>
      </c>
      <c r="BN326" t="s">
        <v>65</v>
      </c>
      <c r="BO326">
        <v>8</v>
      </c>
      <c r="BP326">
        <v>2023</v>
      </c>
      <c r="BQ326" t="str">
        <f t="shared" si="26"/>
        <v>Maeklong18</v>
      </c>
      <c r="BR326">
        <f t="shared" si="27"/>
        <v>1341.1944699999942</v>
      </c>
      <c r="BS326">
        <f t="shared" si="28"/>
        <v>8223.0995100000018</v>
      </c>
      <c r="BT326" s="6">
        <f t="shared" si="29"/>
        <v>31.703899439695192</v>
      </c>
    </row>
    <row r="327" spans="1:72">
      <c r="A327" s="3" t="s">
        <v>967</v>
      </c>
      <c r="B327" s="3" t="s">
        <v>1600</v>
      </c>
      <c r="C327" s="3" t="s">
        <v>1631</v>
      </c>
      <c r="D327" s="2" t="s">
        <v>1649</v>
      </c>
      <c r="E327" s="4" t="str">
        <f t="shared" si="25"/>
        <v>Maeklong1A1-024-0012</v>
      </c>
      <c r="F327">
        <v>3.92</v>
      </c>
      <c r="G327">
        <v>1.7</v>
      </c>
      <c r="H327" t="s">
        <v>72</v>
      </c>
      <c r="I327" t="s">
        <v>75</v>
      </c>
      <c r="J327" t="s">
        <v>68</v>
      </c>
      <c r="K327" t="s">
        <v>79</v>
      </c>
      <c r="L327" t="s">
        <v>79</v>
      </c>
      <c r="M327">
        <v>2.4454545454545453</v>
      </c>
      <c r="N327" s="5">
        <v>45057</v>
      </c>
      <c r="O327" s="5">
        <v>45085</v>
      </c>
      <c r="P327">
        <v>1.5</v>
      </c>
      <c r="Q327" s="4">
        <v>141</v>
      </c>
      <c r="R327">
        <v>0.22</v>
      </c>
      <c r="S327" t="s">
        <v>70</v>
      </c>
      <c r="T327" s="6">
        <v>6</v>
      </c>
      <c r="U327" s="5">
        <v>45207</v>
      </c>
      <c r="V327" s="6">
        <v>1</v>
      </c>
      <c r="W327" t="s">
        <v>86</v>
      </c>
      <c r="X327" s="6">
        <v>122</v>
      </c>
      <c r="Y327">
        <v>42.80471</v>
      </c>
      <c r="Z327">
        <v>10.91956887755102</v>
      </c>
      <c r="AA327" s="6">
        <v>32.593843060728595</v>
      </c>
      <c r="AB327" s="4">
        <v>93.01133333333334</v>
      </c>
      <c r="AC327" s="6">
        <v>30.680641068830322</v>
      </c>
      <c r="AD327">
        <v>0.35457590900000002</v>
      </c>
      <c r="AE327">
        <v>2.2013099088846046</v>
      </c>
      <c r="AF327">
        <v>93500</v>
      </c>
      <c r="AG327" s="4">
        <v>8500</v>
      </c>
      <c r="AH327" s="4">
        <v>228650</v>
      </c>
      <c r="AL327">
        <v>23</v>
      </c>
      <c r="AM327">
        <v>3.8242099999999999</v>
      </c>
      <c r="AN327" t="s">
        <v>81</v>
      </c>
      <c r="AO327" t="s">
        <v>116</v>
      </c>
      <c r="AP327" s="5">
        <v>45085</v>
      </c>
      <c r="AQ327" t="s">
        <v>108</v>
      </c>
      <c r="AR327" s="5">
        <v>45205</v>
      </c>
      <c r="AS327">
        <v>187.84051124280478</v>
      </c>
      <c r="AT327" s="6"/>
      <c r="AU327">
        <v>14.017149047382871</v>
      </c>
      <c r="AV327">
        <v>65.228290998817627</v>
      </c>
      <c r="AW327">
        <v>36.900528469881003</v>
      </c>
      <c r="AX327">
        <v>116.14596851608148</v>
      </c>
      <c r="AY327">
        <v>8.7733856858275647</v>
      </c>
      <c r="AZ327">
        <v>26.085616279143117</v>
      </c>
      <c r="BA327">
        <v>2.2660973523708017</v>
      </c>
      <c r="BB327">
        <v>4.2150938529895425</v>
      </c>
      <c r="BC327">
        <v>8.4486802970981447</v>
      </c>
      <c r="BD327">
        <v>49.78887346742917</v>
      </c>
      <c r="BE327">
        <v>21.905669259294129</v>
      </c>
      <c r="BF327">
        <v>8.5759057823309615</v>
      </c>
      <c r="BH327">
        <v>8.5759057823309615</v>
      </c>
      <c r="BI327">
        <v>174.51074776584164</v>
      </c>
      <c r="BJ327" s="6">
        <v>192</v>
      </c>
      <c r="BK327">
        <v>13.329763476963148</v>
      </c>
      <c r="BL327" s="4">
        <v>570.57665999999926</v>
      </c>
      <c r="BM327" t="s">
        <v>1650</v>
      </c>
      <c r="BN327" t="s">
        <v>65</v>
      </c>
      <c r="BO327">
        <v>10</v>
      </c>
      <c r="BP327">
        <v>2023</v>
      </c>
      <c r="BQ327" t="str">
        <f t="shared" si="26"/>
        <v>Maeklong110</v>
      </c>
      <c r="BR327">
        <f t="shared" si="27"/>
        <v>748.62237000000061</v>
      </c>
      <c r="BS327">
        <f t="shared" si="28"/>
        <v>8040.4586099999979</v>
      </c>
      <c r="BT327" s="6">
        <f t="shared" si="29"/>
        <v>17.489252234158357</v>
      </c>
    </row>
    <row r="328" spans="1:72">
      <c r="A328" s="3" t="s">
        <v>967</v>
      </c>
      <c r="B328" s="3" t="s">
        <v>1600</v>
      </c>
      <c r="C328" s="3" t="s">
        <v>1631</v>
      </c>
      <c r="D328" s="2" t="s">
        <v>1651</v>
      </c>
      <c r="E328" s="4" t="str">
        <f t="shared" si="25"/>
        <v>Maeklong1A1-019-0024</v>
      </c>
      <c r="F328">
        <v>5.24</v>
      </c>
      <c r="G328">
        <v>1.8</v>
      </c>
      <c r="H328" t="s">
        <v>72</v>
      </c>
      <c r="I328" t="s">
        <v>75</v>
      </c>
      <c r="J328" t="s">
        <v>68</v>
      </c>
      <c r="K328" t="s">
        <v>79</v>
      </c>
      <c r="L328" t="s">
        <v>79</v>
      </c>
      <c r="M328">
        <v>2.4577328457732848</v>
      </c>
      <c r="N328" s="5">
        <v>45067</v>
      </c>
      <c r="O328" s="5">
        <v>45097</v>
      </c>
      <c r="P328">
        <v>2</v>
      </c>
      <c r="Q328" s="4">
        <v>133</v>
      </c>
      <c r="R328">
        <v>0.53</v>
      </c>
      <c r="S328" t="s">
        <v>70</v>
      </c>
      <c r="T328" s="6">
        <v>6</v>
      </c>
      <c r="U328" s="5">
        <v>45214</v>
      </c>
      <c r="V328" s="6">
        <v>1</v>
      </c>
      <c r="W328" t="s">
        <v>86</v>
      </c>
      <c r="X328" s="6">
        <v>117</v>
      </c>
      <c r="Y328">
        <v>58.341449999999995</v>
      </c>
      <c r="Z328">
        <v>11.133864503816792</v>
      </c>
      <c r="AA328" s="6">
        <v>31.961461362376152</v>
      </c>
      <c r="AB328" s="4">
        <v>93.233900000000006</v>
      </c>
      <c r="AC328" s="6">
        <v>31.287680768475841</v>
      </c>
      <c r="AD328">
        <v>0.35159544199999998</v>
      </c>
      <c r="AE328">
        <v>2.0290163744109133</v>
      </c>
      <c r="AF328">
        <v>116225</v>
      </c>
      <c r="AG328" s="4">
        <v>10000</v>
      </c>
      <c r="AH328" s="4">
        <v>285650</v>
      </c>
      <c r="AL328">
        <v>24</v>
      </c>
      <c r="AM328">
        <v>21.87801</v>
      </c>
      <c r="AN328" t="s">
        <v>81</v>
      </c>
      <c r="AO328" t="s">
        <v>123</v>
      </c>
      <c r="AP328" s="5">
        <v>45097</v>
      </c>
      <c r="AQ328" t="s">
        <v>189</v>
      </c>
      <c r="AR328" s="5">
        <v>45212</v>
      </c>
      <c r="AS328">
        <v>184.33065890546095</v>
      </c>
      <c r="AT328" s="6"/>
      <c r="AU328">
        <v>15.426424951728144</v>
      </c>
      <c r="AV328">
        <v>59.472817353699654</v>
      </c>
      <c r="AW328">
        <v>38.352751945657829</v>
      </c>
      <c r="AX328">
        <v>113.25199425108562</v>
      </c>
      <c r="AY328">
        <v>8.5016999063273211</v>
      </c>
      <c r="AZ328">
        <v>24.94853110438633</v>
      </c>
      <c r="BA328">
        <v>2.4613068410195504</v>
      </c>
      <c r="BB328">
        <v>3.8928055439143181</v>
      </c>
      <c r="BC328">
        <v>8.2271811893602234</v>
      </c>
      <c r="BD328">
        <v>48.031524585007745</v>
      </c>
      <c r="BE328">
        <v>23.047140069367586</v>
      </c>
      <c r="BF328">
        <v>8.2395024463738906</v>
      </c>
      <c r="BH328">
        <v>8.2395024463738906</v>
      </c>
      <c r="BI328">
        <v>169.52302128246734</v>
      </c>
      <c r="BJ328" s="6">
        <v>192</v>
      </c>
      <c r="BK328">
        <v>14.807637622993614</v>
      </c>
      <c r="BL328" s="4">
        <v>863.89905000000078</v>
      </c>
      <c r="BM328" t="s">
        <v>1652</v>
      </c>
      <c r="BN328" t="s">
        <v>65</v>
      </c>
      <c r="BO328">
        <v>10</v>
      </c>
      <c r="BP328">
        <v>2023</v>
      </c>
      <c r="BQ328" t="str">
        <f t="shared" si="26"/>
        <v>Maeklong110</v>
      </c>
      <c r="BR328">
        <f t="shared" si="27"/>
        <v>1311.3395299999956</v>
      </c>
      <c r="BS328">
        <f t="shared" si="28"/>
        <v>10754.117920000004</v>
      </c>
      <c r="BT328" s="6">
        <f t="shared" si="29"/>
        <v>22.47697871753266</v>
      </c>
    </row>
    <row r="329" spans="1:72">
      <c r="A329" s="3" t="s">
        <v>967</v>
      </c>
      <c r="B329" s="3" t="s">
        <v>1600</v>
      </c>
      <c r="C329" s="3" t="s">
        <v>1631</v>
      </c>
      <c r="D329" s="2" t="s">
        <v>1638</v>
      </c>
      <c r="E329" s="4" t="str">
        <f t="shared" si="25"/>
        <v>Maeklong1A1-015-0037</v>
      </c>
      <c r="F329">
        <v>2.4300000000000002</v>
      </c>
      <c r="G329">
        <v>2</v>
      </c>
      <c r="H329" t="s">
        <v>72</v>
      </c>
      <c r="I329" t="s">
        <v>75</v>
      </c>
      <c r="J329" t="s">
        <v>68</v>
      </c>
      <c r="K329" t="s">
        <v>79</v>
      </c>
      <c r="L329" t="s">
        <v>79</v>
      </c>
      <c r="M329">
        <v>1.9520144534778681</v>
      </c>
      <c r="N329" s="5">
        <v>45106</v>
      </c>
      <c r="O329" s="5">
        <v>45128</v>
      </c>
      <c r="P329">
        <v>1.6</v>
      </c>
      <c r="Q329" s="4">
        <v>206</v>
      </c>
      <c r="R329">
        <v>0.59799999999999998</v>
      </c>
      <c r="S329" t="s">
        <v>70</v>
      </c>
      <c r="T329" s="6">
        <v>5</v>
      </c>
      <c r="U329" s="5">
        <v>45216</v>
      </c>
      <c r="V329" s="6">
        <v>1</v>
      </c>
      <c r="W329" t="s">
        <v>86</v>
      </c>
      <c r="X329" s="6">
        <v>88</v>
      </c>
      <c r="Y329">
        <v>26.824380000000001</v>
      </c>
      <c r="Z329">
        <v>11.03883950617284</v>
      </c>
      <c r="AA329" s="6">
        <v>41.372288940135803</v>
      </c>
      <c r="AB329" s="4">
        <v>69.361625000000004</v>
      </c>
      <c r="AC329" s="6">
        <v>24.170768057985953</v>
      </c>
      <c r="AD329">
        <v>0.34831818199999998</v>
      </c>
      <c r="AE329">
        <v>2.1396778615437069</v>
      </c>
      <c r="AF329">
        <v>55350</v>
      </c>
      <c r="AG329" s="4">
        <v>8500</v>
      </c>
      <c r="AH329" s="4">
        <v>108044</v>
      </c>
      <c r="AL329">
        <v>32</v>
      </c>
      <c r="AM329">
        <v>5.0821000000000005</v>
      </c>
      <c r="AN329" t="s">
        <v>81</v>
      </c>
      <c r="AO329" t="s">
        <v>116</v>
      </c>
      <c r="AP329" s="5">
        <v>45128</v>
      </c>
      <c r="AQ329" t="s">
        <v>189</v>
      </c>
      <c r="AR329" s="5">
        <v>45215</v>
      </c>
      <c r="AS329">
        <v>174.70806930113577</v>
      </c>
      <c r="AT329" s="6"/>
      <c r="AU329">
        <v>27.586844504886976</v>
      </c>
      <c r="AV329">
        <v>61.906729251524148</v>
      </c>
      <c r="AW329">
        <v>37.105157323300688</v>
      </c>
      <c r="AX329">
        <v>126.5987310797118</v>
      </c>
      <c r="AY329">
        <v>5.9256430157938418</v>
      </c>
      <c r="AZ329">
        <v>21.206752588503441</v>
      </c>
      <c r="BA329">
        <v>2.0085045768066214</v>
      </c>
      <c r="BB329">
        <v>3.2054026970986835</v>
      </c>
      <c r="BC329">
        <v>6.7646625942519449</v>
      </c>
      <c r="BD329">
        <v>39.110965472454531</v>
      </c>
      <c r="BE329">
        <v>8.9983727489694374</v>
      </c>
      <c r="BF329">
        <v>6.2046820839847934</v>
      </c>
      <c r="BH329">
        <v>6.2046820839847934</v>
      </c>
      <c r="BI329">
        <v>171.91437863615113</v>
      </c>
      <c r="BJ329" s="6">
        <v>181</v>
      </c>
      <c r="BK329">
        <v>2.7936906649846325</v>
      </c>
      <c r="BL329" s="4">
        <v>74.939020000000482</v>
      </c>
      <c r="BM329" t="s">
        <v>1639</v>
      </c>
      <c r="BN329" t="s">
        <v>65</v>
      </c>
      <c r="BO329">
        <v>10</v>
      </c>
      <c r="BP329">
        <v>2023</v>
      </c>
      <c r="BQ329" t="str">
        <f t="shared" si="26"/>
        <v>Maeklong110</v>
      </c>
      <c r="BR329">
        <f t="shared" si="27"/>
        <v>243.71616000000043</v>
      </c>
      <c r="BS329">
        <f t="shared" si="28"/>
        <v>4686.4356400000006</v>
      </c>
      <c r="BT329" s="6">
        <f t="shared" si="29"/>
        <v>9.0856213638488725</v>
      </c>
    </row>
    <row r="330" spans="1:72">
      <c r="A330" s="3" t="s">
        <v>967</v>
      </c>
      <c r="B330" s="3" t="s">
        <v>1600</v>
      </c>
      <c r="C330" s="3" t="s">
        <v>1631</v>
      </c>
      <c r="D330" s="2" t="s">
        <v>1006</v>
      </c>
      <c r="E330" s="4" t="str">
        <f t="shared" si="25"/>
        <v>Maeklong1A1-023-0016</v>
      </c>
      <c r="F330">
        <v>3.91</v>
      </c>
      <c r="G330">
        <v>1.6</v>
      </c>
      <c r="H330" t="s">
        <v>72</v>
      </c>
      <c r="I330" t="s">
        <v>75</v>
      </c>
      <c r="J330" t="s">
        <v>68</v>
      </c>
      <c r="K330" t="s">
        <v>79</v>
      </c>
      <c r="L330" t="s">
        <v>79</v>
      </c>
      <c r="M330">
        <v>2.8966346153846154</v>
      </c>
      <c r="N330" s="5">
        <v>44844</v>
      </c>
      <c r="O330" s="5">
        <v>44893</v>
      </c>
      <c r="P330">
        <v>1.2</v>
      </c>
      <c r="Q330" s="4">
        <v>120</v>
      </c>
      <c r="R330">
        <v>0.34</v>
      </c>
      <c r="S330" t="s">
        <v>70</v>
      </c>
      <c r="T330" s="6">
        <v>1</v>
      </c>
      <c r="U330" s="5">
        <v>45000</v>
      </c>
      <c r="V330" s="6">
        <v>1</v>
      </c>
      <c r="W330" t="s">
        <v>86</v>
      </c>
      <c r="X330" s="6">
        <v>107</v>
      </c>
      <c r="Y330">
        <v>23.567790000000002</v>
      </c>
      <c r="Z330">
        <v>6.0275677749360614</v>
      </c>
      <c r="AA330" s="6">
        <v>27.00253184537031</v>
      </c>
      <c r="AB330" s="4">
        <v>53.032500000000006</v>
      </c>
      <c r="AC330" s="6">
        <v>37.033564323763734</v>
      </c>
      <c r="AD330">
        <v>0.34296296300000001</v>
      </c>
      <c r="AE330">
        <v>1.7962166323615196</v>
      </c>
      <c r="AF330">
        <v>41600</v>
      </c>
      <c r="AG330" s="4">
        <v>11000</v>
      </c>
      <c r="AH330" s="4">
        <v>120500</v>
      </c>
      <c r="AL330">
        <v>27</v>
      </c>
      <c r="AM330">
        <v>23.542470000000002</v>
      </c>
      <c r="AN330" t="s">
        <v>81</v>
      </c>
      <c r="AO330" t="s">
        <v>108</v>
      </c>
      <c r="AP330" s="5">
        <v>44893</v>
      </c>
      <c r="AQ330" t="s">
        <v>123</v>
      </c>
      <c r="AR330" s="5">
        <v>44999</v>
      </c>
      <c r="AS330">
        <v>264.53945193842952</v>
      </c>
      <c r="AT330" s="6"/>
      <c r="AU330">
        <v>20.366780253897378</v>
      </c>
      <c r="AV330">
        <v>53.504342579427295</v>
      </c>
      <c r="AW330">
        <v>50.992704025281967</v>
      </c>
      <c r="AX330">
        <v>124.86382685860664</v>
      </c>
      <c r="AY330">
        <v>14.792107787790028</v>
      </c>
      <c r="AZ330">
        <v>47.330704745756805</v>
      </c>
      <c r="BA330">
        <v>5.5143761888577592</v>
      </c>
      <c r="BB330">
        <v>12.103470456924471</v>
      </c>
      <c r="BC330">
        <v>14.427343420829871</v>
      </c>
      <c r="BD330">
        <v>94.168002600158943</v>
      </c>
      <c r="BE330">
        <v>45.507622479663937</v>
      </c>
      <c r="BF330">
        <v>16.658266218427777</v>
      </c>
      <c r="BH330">
        <v>16.658266218427777</v>
      </c>
      <c r="BI330">
        <v>235.69009567719326</v>
      </c>
      <c r="BJ330" s="6">
        <v>207</v>
      </c>
      <c r="BK330">
        <v>28.849356261236256</v>
      </c>
      <c r="BL330" s="4">
        <v>679.91557000000125</v>
      </c>
      <c r="BM330" t="s">
        <v>1659</v>
      </c>
      <c r="BN330" t="s">
        <v>65</v>
      </c>
      <c r="BO330">
        <v>3</v>
      </c>
      <c r="BP330">
        <v>2023</v>
      </c>
      <c r="BQ330" t="str">
        <f t="shared" si="26"/>
        <v>Maeklong13</v>
      </c>
      <c r="BR330">
        <f t="shared" si="27"/>
        <v>-676.16214999999852</v>
      </c>
      <c r="BS330">
        <f t="shared" si="28"/>
        <v>6234.6102500000006</v>
      </c>
      <c r="BT330" s="6">
        <f t="shared" si="29"/>
        <v>-28.690095677193256</v>
      </c>
    </row>
    <row r="331" spans="1:72">
      <c r="A331" s="3" t="s">
        <v>967</v>
      </c>
      <c r="B331" s="3" t="s">
        <v>1600</v>
      </c>
      <c r="C331" s="3" t="s">
        <v>1631</v>
      </c>
      <c r="D331" s="2" t="s">
        <v>2696</v>
      </c>
      <c r="E331" s="4" t="str">
        <f t="shared" si="25"/>
        <v>Maeklong1A1-021-0026</v>
      </c>
      <c r="F331">
        <v>3.82</v>
      </c>
      <c r="G331">
        <v>1.8</v>
      </c>
      <c r="H331" t="s">
        <v>72</v>
      </c>
      <c r="I331" t="s">
        <v>75</v>
      </c>
      <c r="J331" t="s">
        <v>68</v>
      </c>
      <c r="K331" t="s">
        <v>79</v>
      </c>
      <c r="L331" t="s">
        <v>79</v>
      </c>
      <c r="M331">
        <v>3.2355154251316778</v>
      </c>
      <c r="N331" s="5">
        <v>45148</v>
      </c>
      <c r="O331" s="5">
        <v>45171</v>
      </c>
      <c r="P331">
        <v>1.6</v>
      </c>
      <c r="Q331" s="4">
        <v>145</v>
      </c>
      <c r="R331">
        <v>0.34</v>
      </c>
      <c r="S331" t="s">
        <v>70</v>
      </c>
      <c r="T331" s="6">
        <v>5</v>
      </c>
      <c r="U331" s="5">
        <v>45275</v>
      </c>
      <c r="V331" s="6">
        <v>1</v>
      </c>
      <c r="W331" t="s">
        <v>86</v>
      </c>
      <c r="X331" s="6">
        <v>104</v>
      </c>
      <c r="Y331">
        <v>29.49521</v>
      </c>
      <c r="Z331">
        <v>7.7212591623036655</v>
      </c>
      <c r="AA331" s="6">
        <v>33.229768494613197</v>
      </c>
      <c r="AB331" s="4">
        <v>61.257437500000002</v>
      </c>
      <c r="AC331" s="6">
        <v>30.093498850649766</v>
      </c>
      <c r="AD331">
        <v>0.34013736300000003</v>
      </c>
      <c r="AE331">
        <v>2.2952408552181414</v>
      </c>
      <c r="AF331">
        <v>66450</v>
      </c>
      <c r="AG331" s="4">
        <v>7000</v>
      </c>
      <c r="AH331" s="4">
        <v>215000</v>
      </c>
      <c r="AL331">
        <v>28</v>
      </c>
      <c r="AM331">
        <v>7.3140400000000003</v>
      </c>
      <c r="AN331" t="s">
        <v>81</v>
      </c>
      <c r="AO331" t="s">
        <v>136</v>
      </c>
      <c r="AP331" s="5">
        <v>45171</v>
      </c>
      <c r="AQ331" t="s">
        <v>123</v>
      </c>
      <c r="AR331" s="5">
        <v>45274</v>
      </c>
      <c r="AS331">
        <v>221.90442549824186</v>
      </c>
      <c r="AT331" s="6"/>
      <c r="AU331">
        <v>21.698438492216191</v>
      </c>
      <c r="AV331">
        <v>67.072713162577941</v>
      </c>
      <c r="AW331">
        <v>53.86910756017673</v>
      </c>
      <c r="AX331">
        <v>142.64025921497085</v>
      </c>
      <c r="AY331">
        <v>10.527280870351493</v>
      </c>
      <c r="AZ331">
        <v>51.713342268117422</v>
      </c>
      <c r="BA331">
        <v>6.8841991631861577</v>
      </c>
      <c r="BB331">
        <v>7.2842319142667566</v>
      </c>
      <c r="BC331">
        <v>11.230950042396714</v>
      </c>
      <c r="BD331">
        <v>87.640004258318541</v>
      </c>
      <c r="BE331">
        <v>-8.3758379750475314</v>
      </c>
      <c r="BF331">
        <v>10.512048905568058</v>
      </c>
      <c r="BH331">
        <v>10.512048905568058</v>
      </c>
      <c r="BI331">
        <v>240.7923123788575</v>
      </c>
      <c r="BJ331" s="6">
        <v>191</v>
      </c>
      <c r="BK331">
        <v>-18.887886880615639</v>
      </c>
      <c r="BL331" s="4">
        <v>-557.10219000000325</v>
      </c>
      <c r="BM331" t="s">
        <v>2697</v>
      </c>
      <c r="BN331" t="s">
        <v>65</v>
      </c>
      <c r="BO331">
        <v>12</v>
      </c>
      <c r="BP331">
        <v>2023</v>
      </c>
      <c r="BQ331" t="str">
        <f t="shared" si="26"/>
        <v>Maeklong112</v>
      </c>
      <c r="BR331">
        <f t="shared" si="27"/>
        <v>-1468.6347100000016</v>
      </c>
      <c r="BS331">
        <f t="shared" si="28"/>
        <v>6545.1176299999988</v>
      </c>
      <c r="BT331" s="6">
        <f t="shared" si="29"/>
        <v>-49.792312378857503</v>
      </c>
    </row>
    <row r="332" spans="1:72">
      <c r="A332" s="3" t="s">
        <v>967</v>
      </c>
      <c r="B332" s="3" t="s">
        <v>1600</v>
      </c>
      <c r="C332" s="3" t="s">
        <v>1631</v>
      </c>
      <c r="D332" s="2" t="s">
        <v>1653</v>
      </c>
      <c r="E332" s="4" t="str">
        <f t="shared" si="25"/>
        <v>Maeklong1A1-023-0017</v>
      </c>
      <c r="F332">
        <v>3.91</v>
      </c>
      <c r="G332">
        <v>1.7</v>
      </c>
      <c r="H332" t="s">
        <v>72</v>
      </c>
      <c r="I332" t="s">
        <v>75</v>
      </c>
      <c r="J332" t="s">
        <v>68</v>
      </c>
      <c r="K332" t="s">
        <v>79</v>
      </c>
      <c r="L332" t="s">
        <v>79</v>
      </c>
      <c r="M332">
        <v>2.6150612699591536</v>
      </c>
      <c r="N332" s="5">
        <v>45001</v>
      </c>
      <c r="O332" s="5">
        <v>45024</v>
      </c>
      <c r="P332">
        <v>1.2</v>
      </c>
      <c r="Q332" s="4">
        <v>113</v>
      </c>
      <c r="R332">
        <v>0.62</v>
      </c>
      <c r="S332" t="s">
        <v>70</v>
      </c>
      <c r="T332" s="6">
        <v>6</v>
      </c>
      <c r="U332" s="5">
        <v>45139</v>
      </c>
      <c r="V332" s="6">
        <v>1</v>
      </c>
      <c r="W332" t="s">
        <v>86</v>
      </c>
      <c r="X332" s="6">
        <v>115</v>
      </c>
      <c r="Y332">
        <v>34.391959999999997</v>
      </c>
      <c r="Z332">
        <v>8.7958976982097177</v>
      </c>
      <c r="AA332" s="6">
        <v>31.896321116912208</v>
      </c>
      <c r="AB332" s="4">
        <v>91.414749999999998</v>
      </c>
      <c r="AC332" s="6">
        <v>31.351578018499932</v>
      </c>
      <c r="AD332">
        <v>0.32905685600000001</v>
      </c>
      <c r="AE332">
        <v>2.0008642425870691</v>
      </c>
      <c r="AF332">
        <v>67325</v>
      </c>
      <c r="AG332" s="4">
        <v>20000</v>
      </c>
      <c r="AH332" s="4">
        <v>176059</v>
      </c>
      <c r="AL332">
        <v>26</v>
      </c>
      <c r="AM332">
        <v>4.8805100000000001</v>
      </c>
      <c r="AN332" t="s">
        <v>81</v>
      </c>
      <c r="AO332" t="s">
        <v>176</v>
      </c>
      <c r="AP332" s="5">
        <v>45024</v>
      </c>
      <c r="AQ332" t="s">
        <v>116</v>
      </c>
      <c r="AR332" s="5">
        <v>45137</v>
      </c>
      <c r="AS332">
        <v>192.5565417033516</v>
      </c>
      <c r="AT332" s="6"/>
      <c r="AU332">
        <v>17.445937945961791</v>
      </c>
      <c r="AV332">
        <v>56.221487522083628</v>
      </c>
      <c r="AW332">
        <v>37.187238238239409</v>
      </c>
      <c r="AX332">
        <v>110.85466370628484</v>
      </c>
      <c r="AY332">
        <v>9.6319959664991455</v>
      </c>
      <c r="AZ332">
        <v>29.723642967716874</v>
      </c>
      <c r="BA332">
        <v>3.0014654587874618</v>
      </c>
      <c r="BB332">
        <v>5.5140003652016345</v>
      </c>
      <c r="BC332">
        <v>7.8873387849950971</v>
      </c>
      <c r="BD332">
        <v>55.758443543200215</v>
      </c>
      <c r="BE332">
        <v>25.943434453866544</v>
      </c>
      <c r="BF332">
        <v>9.6354595667126848</v>
      </c>
      <c r="BH332">
        <v>9.6354595667126848</v>
      </c>
      <c r="BI332">
        <v>176.24856681619775</v>
      </c>
      <c r="BJ332" s="6">
        <v>194</v>
      </c>
      <c r="BK332">
        <v>16.307974887153851</v>
      </c>
      <c r="BL332" s="4">
        <v>560.86321999999973</v>
      </c>
      <c r="BM332" t="s">
        <v>1654</v>
      </c>
      <c r="BN332" t="s">
        <v>65</v>
      </c>
      <c r="BO332">
        <v>8</v>
      </c>
      <c r="BP332">
        <v>2023</v>
      </c>
      <c r="BQ332" t="str">
        <f t="shared" si="26"/>
        <v>Maeklong18</v>
      </c>
      <c r="BR332">
        <f t="shared" si="27"/>
        <v>610.50657999999953</v>
      </c>
      <c r="BS332">
        <f t="shared" si="28"/>
        <v>6622.3968799999993</v>
      </c>
      <c r="BT332" s="6">
        <f t="shared" si="29"/>
        <v>17.751433183802249</v>
      </c>
    </row>
    <row r="333" spans="1:72">
      <c r="A333" s="3" t="s">
        <v>967</v>
      </c>
      <c r="B333" s="3" t="s">
        <v>1600</v>
      </c>
      <c r="C333" s="3" t="s">
        <v>1631</v>
      </c>
      <c r="D333" s="2" t="s">
        <v>1657</v>
      </c>
      <c r="E333" s="4" t="str">
        <f t="shared" si="25"/>
        <v>Maeklong1A1-024-0011</v>
      </c>
      <c r="F333">
        <v>3.92</v>
      </c>
      <c r="G333">
        <v>1.6</v>
      </c>
      <c r="H333" t="s">
        <v>72</v>
      </c>
      <c r="I333" t="s">
        <v>75</v>
      </c>
      <c r="J333" t="s">
        <v>68</v>
      </c>
      <c r="K333" t="s">
        <v>79</v>
      </c>
      <c r="L333" t="s">
        <v>79</v>
      </c>
      <c r="M333">
        <v>3.5350203417412529</v>
      </c>
      <c r="N333" s="5">
        <v>44895</v>
      </c>
      <c r="O333" s="5">
        <v>44921</v>
      </c>
      <c r="P333">
        <v>1.6</v>
      </c>
      <c r="Q333" s="4">
        <v>159</v>
      </c>
      <c r="R333">
        <v>0.61299999999999999</v>
      </c>
      <c r="S333" t="s">
        <v>70</v>
      </c>
      <c r="T333" s="6">
        <v>3</v>
      </c>
      <c r="U333" s="5">
        <v>45056</v>
      </c>
      <c r="V333" s="6">
        <v>1</v>
      </c>
      <c r="W333" t="s">
        <v>86</v>
      </c>
      <c r="X333" s="6">
        <v>135</v>
      </c>
      <c r="Y333">
        <v>29.701130000000003</v>
      </c>
      <c r="Z333">
        <v>7.5768188775510215</v>
      </c>
      <c r="AA333" s="6">
        <v>30.513956876388203</v>
      </c>
      <c r="AB333" s="4">
        <v>56.643687499999999</v>
      </c>
      <c r="AC333" s="6">
        <v>32.77188874753255</v>
      </c>
      <c r="AD333">
        <v>0.29175555600000003</v>
      </c>
      <c r="AE333">
        <v>2.1395397743751725</v>
      </c>
      <c r="AF333">
        <v>61450</v>
      </c>
      <c r="AG333" s="4">
        <v>10000</v>
      </c>
      <c r="AH333" s="4">
        <v>217227</v>
      </c>
      <c r="AL333">
        <v>25</v>
      </c>
      <c r="AM333">
        <v>14.997879999999999</v>
      </c>
      <c r="AN333" t="s">
        <v>81</v>
      </c>
      <c r="AO333" t="s">
        <v>198</v>
      </c>
      <c r="AP333" s="5">
        <v>44921</v>
      </c>
      <c r="AQ333" t="s">
        <v>136</v>
      </c>
      <c r="AR333" s="5">
        <v>45055</v>
      </c>
      <c r="AS333">
        <v>241.07202722590014</v>
      </c>
      <c r="AT333" s="6"/>
      <c r="AU333">
        <v>26.935002136282357</v>
      </c>
      <c r="AV333">
        <v>62.446261472206615</v>
      </c>
      <c r="AW333">
        <v>56.404931731553624</v>
      </c>
      <c r="AX333">
        <v>145.78619534004258</v>
      </c>
      <c r="AY333">
        <v>11.81904796214824</v>
      </c>
      <c r="AZ333">
        <v>37.62068985254097</v>
      </c>
      <c r="BA333">
        <v>4.4062242749686629</v>
      </c>
      <c r="BB333">
        <v>8.888962473818335</v>
      </c>
      <c r="BC333">
        <v>10.837283631969559</v>
      </c>
      <c r="BD333">
        <v>73.572208195445768</v>
      </c>
      <c r="BE333">
        <v>21.713623690411794</v>
      </c>
      <c r="BF333">
        <v>12.938600652567764</v>
      </c>
      <c r="BH333">
        <v>12.938600652567764</v>
      </c>
      <c r="BI333">
        <v>232.29700418805609</v>
      </c>
      <c r="BJ333" s="6">
        <v>197</v>
      </c>
      <c r="BK333">
        <v>8.7750230378440648</v>
      </c>
      <c r="BL333" s="4">
        <v>260.6281000000015</v>
      </c>
      <c r="BM333" t="s">
        <v>1658</v>
      </c>
      <c r="BN333" t="s">
        <v>65</v>
      </c>
      <c r="BO333">
        <v>5</v>
      </c>
      <c r="BP333">
        <v>2023</v>
      </c>
      <c r="BQ333" t="str">
        <f t="shared" si="26"/>
        <v>Maeklong15</v>
      </c>
      <c r="BR333">
        <f t="shared" si="27"/>
        <v>-1048.3609099999985</v>
      </c>
      <c r="BS333">
        <f t="shared" si="28"/>
        <v>7160.1116200000006</v>
      </c>
      <c r="BT333" s="6">
        <f t="shared" si="29"/>
        <v>-35.297004188056093</v>
      </c>
    </row>
    <row r="334" spans="1:72">
      <c r="A334" s="3" t="s">
        <v>967</v>
      </c>
      <c r="B334" s="3" t="s">
        <v>1600</v>
      </c>
      <c r="C334" s="3" t="s">
        <v>1631</v>
      </c>
      <c r="D334" s="2" t="s">
        <v>1641</v>
      </c>
      <c r="E334" s="4" t="str">
        <f t="shared" si="25"/>
        <v>Maeklong1A1-021-0024</v>
      </c>
      <c r="F334">
        <v>3.82</v>
      </c>
      <c r="G334">
        <v>1.6</v>
      </c>
      <c r="H334" t="s">
        <v>72</v>
      </c>
      <c r="I334" t="s">
        <v>75</v>
      </c>
      <c r="J334" t="s">
        <v>68</v>
      </c>
      <c r="K334" t="s">
        <v>79</v>
      </c>
      <c r="L334" t="s">
        <v>79</v>
      </c>
      <c r="M334">
        <v>2.6294461954074739</v>
      </c>
      <c r="N334" s="5">
        <v>44879</v>
      </c>
      <c r="O334" s="5">
        <v>44901</v>
      </c>
      <c r="P334">
        <v>1.35</v>
      </c>
      <c r="Q334" s="4">
        <v>138</v>
      </c>
      <c r="R334">
        <v>0.45</v>
      </c>
      <c r="S334" t="s">
        <v>70</v>
      </c>
      <c r="T334" s="6">
        <v>3</v>
      </c>
      <c r="U334" s="5">
        <v>45006</v>
      </c>
      <c r="V334" s="6">
        <v>1</v>
      </c>
      <c r="W334" t="s">
        <v>86</v>
      </c>
      <c r="X334" s="6">
        <v>105</v>
      </c>
      <c r="Y334">
        <v>33.005379999999995</v>
      </c>
      <c r="Z334">
        <v>8.6401518324607327</v>
      </c>
      <c r="AA334" s="6">
        <v>34.954452880106217</v>
      </c>
      <c r="AB334" s="4">
        <v>85.458148148148155</v>
      </c>
      <c r="AC334" s="6">
        <v>28.608658342615183</v>
      </c>
      <c r="AD334">
        <v>0.28431457399999999</v>
      </c>
      <c r="AE334">
        <v>1.7138731588788971</v>
      </c>
      <c r="AF334">
        <v>55525</v>
      </c>
      <c r="AG334" s="4">
        <v>10000</v>
      </c>
      <c r="AH334" s="4">
        <v>146000</v>
      </c>
      <c r="AL334">
        <v>33</v>
      </c>
      <c r="AM334">
        <v>14.17535</v>
      </c>
      <c r="AN334" t="s">
        <v>81</v>
      </c>
      <c r="AO334" t="s">
        <v>176</v>
      </c>
      <c r="AP334" s="5">
        <v>44901</v>
      </c>
      <c r="AQ334" t="s">
        <v>198</v>
      </c>
      <c r="AR334" s="5">
        <v>45006</v>
      </c>
      <c r="AS334">
        <v>235.65901437886797</v>
      </c>
      <c r="AT334" s="6"/>
      <c r="AU334">
        <v>18.406090158634747</v>
      </c>
      <c r="AV334">
        <v>51.106126940516987</v>
      </c>
      <c r="AW334">
        <v>35.360278233427394</v>
      </c>
      <c r="AX334">
        <v>104.87249533257913</v>
      </c>
      <c r="AY334">
        <v>8.0980918868378424</v>
      </c>
      <c r="AZ334">
        <v>26.421828501898784</v>
      </c>
      <c r="BA334">
        <v>2.7985867758529066</v>
      </c>
      <c r="BB334">
        <v>6.8152213366426935</v>
      </c>
      <c r="BC334">
        <v>7.8083257941584074</v>
      </c>
      <c r="BD334">
        <v>51.942054295390633</v>
      </c>
      <c r="BE334">
        <v>78.844464750898211</v>
      </c>
      <c r="BF334">
        <v>9.1053413110226273</v>
      </c>
      <c r="BH334">
        <v>9.1053413110226273</v>
      </c>
      <c r="BI334">
        <v>165.91989093899241</v>
      </c>
      <c r="BJ334" s="6">
        <v>187</v>
      </c>
      <c r="BK334">
        <v>69.739123439875556</v>
      </c>
      <c r="BL334" s="4">
        <v>2301.7662699999996</v>
      </c>
      <c r="BM334" t="s">
        <v>1642</v>
      </c>
      <c r="BN334" t="s">
        <v>65</v>
      </c>
      <c r="BO334">
        <v>3</v>
      </c>
      <c r="BP334">
        <v>2023</v>
      </c>
      <c r="BQ334" t="str">
        <f t="shared" si="26"/>
        <v>Maeklong13</v>
      </c>
      <c r="BR334">
        <f t="shared" si="27"/>
        <v>695.75700999999856</v>
      </c>
      <c r="BS334">
        <f t="shared" si="28"/>
        <v>7778.0153200000004</v>
      </c>
      <c r="BT334" s="6">
        <f t="shared" si="29"/>
        <v>21.08010906100759</v>
      </c>
    </row>
    <row r="335" spans="1:72">
      <c r="A335" s="3" t="s">
        <v>967</v>
      </c>
      <c r="B335" s="3" t="s">
        <v>1600</v>
      </c>
      <c r="C335" s="3" t="s">
        <v>1631</v>
      </c>
      <c r="D335" s="2" t="s">
        <v>1633</v>
      </c>
      <c r="E335" s="4" t="str">
        <f t="shared" si="25"/>
        <v>Maeklong1A1-023-0018</v>
      </c>
      <c r="F335">
        <v>3.91</v>
      </c>
      <c r="G335">
        <v>1.7</v>
      </c>
      <c r="H335" t="s">
        <v>72</v>
      </c>
      <c r="I335" t="s">
        <v>75</v>
      </c>
      <c r="J335" t="s">
        <v>68</v>
      </c>
      <c r="K335" t="s">
        <v>79</v>
      </c>
      <c r="L335" t="s">
        <v>79</v>
      </c>
      <c r="M335">
        <v>1.313995157384988</v>
      </c>
      <c r="N335" s="5">
        <v>45140</v>
      </c>
      <c r="O335" s="5">
        <v>45167</v>
      </c>
      <c r="P335">
        <v>1.6</v>
      </c>
      <c r="Q335" s="4">
        <v>150</v>
      </c>
      <c r="R335">
        <v>0.51</v>
      </c>
      <c r="S335" t="s">
        <v>70</v>
      </c>
      <c r="T335" s="6">
        <v>1</v>
      </c>
      <c r="U335" s="5">
        <v>45215</v>
      </c>
      <c r="V335" s="6">
        <v>2</v>
      </c>
      <c r="W335" t="s">
        <v>71</v>
      </c>
      <c r="X335" s="6">
        <v>48</v>
      </c>
      <c r="Y335">
        <v>11.57438</v>
      </c>
      <c r="Z335">
        <v>2.9601994884910483</v>
      </c>
      <c r="AA335" s="6">
        <v>71.000088125670672</v>
      </c>
      <c r="AB335" s="4">
        <v>51.361374999999995</v>
      </c>
      <c r="AC335" s="6">
        <v>14.08448956049171</v>
      </c>
      <c r="AD335">
        <v>0.28280222999999999</v>
      </c>
      <c r="AE335">
        <v>2.8791509502360024</v>
      </c>
      <c r="AF335">
        <v>30975</v>
      </c>
      <c r="AG335" s="4">
        <v>8500</v>
      </c>
      <c r="AH335" s="4">
        <v>40701</v>
      </c>
      <c r="AI335" t="s">
        <v>100</v>
      </c>
      <c r="AJ335" t="s">
        <v>100</v>
      </c>
      <c r="AK335" t="s">
        <v>841</v>
      </c>
      <c r="AL335">
        <v>71</v>
      </c>
      <c r="AM335">
        <v>11.56132</v>
      </c>
      <c r="AN335" t="s">
        <v>100</v>
      </c>
      <c r="AO335" t="s">
        <v>136</v>
      </c>
      <c r="AP335" s="5">
        <v>45167</v>
      </c>
      <c r="AQ335" t="s">
        <v>136</v>
      </c>
      <c r="AR335" s="5">
        <v>45214</v>
      </c>
      <c r="AS335">
        <v>141.95071010283056</v>
      </c>
      <c r="AT335" s="6"/>
      <c r="AU335">
        <v>62.20635576160452</v>
      </c>
      <c r="AV335">
        <v>79.656779887993977</v>
      </c>
      <c r="AW335">
        <v>50.940801148744058</v>
      </c>
      <c r="AX335">
        <v>192.80393679834259</v>
      </c>
      <c r="AY335">
        <v>16.095423685761141</v>
      </c>
      <c r="AZ335">
        <v>42.411140812726046</v>
      </c>
      <c r="BA335">
        <v>4.1935481641349259</v>
      </c>
      <c r="BB335">
        <v>7.6988305205116827</v>
      </c>
      <c r="BC335">
        <v>18.296086701836298</v>
      </c>
      <c r="BD335">
        <v>88.695029884970097</v>
      </c>
      <c r="BE335">
        <v>-139.54825658048213</v>
      </c>
      <c r="BF335">
        <v>15.799786252049785</v>
      </c>
      <c r="BH335">
        <v>15.799786252049785</v>
      </c>
      <c r="BI335">
        <v>297.29875293536247</v>
      </c>
      <c r="BJ335" s="6">
        <v>150</v>
      </c>
      <c r="BK335">
        <v>-155.34804283253189</v>
      </c>
      <c r="BL335" s="4">
        <v>-1798.0572800000002</v>
      </c>
      <c r="BM335" t="s">
        <v>1634</v>
      </c>
      <c r="BN335" t="s">
        <v>65</v>
      </c>
      <c r="BO335">
        <v>10</v>
      </c>
      <c r="BP335">
        <v>2023</v>
      </c>
      <c r="BQ335" t="str">
        <f t="shared" si="26"/>
        <v>Maeklong110</v>
      </c>
      <c r="BR335">
        <f t="shared" si="27"/>
        <v>-1704.8917400000007</v>
      </c>
      <c r="BS335">
        <f t="shared" si="28"/>
        <v>1642.99146</v>
      </c>
      <c r="BT335" s="6">
        <f t="shared" si="29"/>
        <v>-147.29875293536247</v>
      </c>
    </row>
    <row r="336" spans="1:72">
      <c r="A336" s="3" t="s">
        <v>967</v>
      </c>
      <c r="B336" s="3" t="s">
        <v>1600</v>
      </c>
      <c r="C336" s="3" t="s">
        <v>1631</v>
      </c>
      <c r="D336" s="2" t="s">
        <v>1647</v>
      </c>
      <c r="E336" s="4" t="str">
        <f t="shared" si="25"/>
        <v>Maeklong1A1-019-0023</v>
      </c>
      <c r="F336">
        <v>5.24</v>
      </c>
      <c r="G336">
        <v>1.8</v>
      </c>
      <c r="H336" t="s">
        <v>72</v>
      </c>
      <c r="I336" t="s">
        <v>75</v>
      </c>
      <c r="J336" t="s">
        <v>68</v>
      </c>
      <c r="K336" t="s">
        <v>79</v>
      </c>
      <c r="L336" t="s">
        <v>79</v>
      </c>
      <c r="M336">
        <v>3.2802874743326487</v>
      </c>
      <c r="N336" s="5">
        <v>44923</v>
      </c>
      <c r="O336" s="5">
        <v>44945</v>
      </c>
      <c r="P336">
        <v>2</v>
      </c>
      <c r="Q336" s="4">
        <v>133</v>
      </c>
      <c r="R336">
        <v>0.41799999999999998</v>
      </c>
      <c r="S336" t="s">
        <v>70</v>
      </c>
      <c r="T336" s="6">
        <v>5</v>
      </c>
      <c r="U336" s="5">
        <v>45066</v>
      </c>
      <c r="V336" s="6">
        <v>1</v>
      </c>
      <c r="W336" t="s">
        <v>86</v>
      </c>
      <c r="X336" s="6">
        <v>121</v>
      </c>
      <c r="Y336">
        <v>51.633900000000004</v>
      </c>
      <c r="Z336">
        <v>9.8537977099236649</v>
      </c>
      <c r="AA336" s="6">
        <v>33.68937848971315</v>
      </c>
      <c r="AB336" s="4">
        <v>86.975700000000003</v>
      </c>
      <c r="AC336" s="6">
        <v>29.682945926275963</v>
      </c>
      <c r="AD336">
        <v>0.28152693099999998</v>
      </c>
      <c r="AE336">
        <v>1.9173643523777089</v>
      </c>
      <c r="AF336">
        <v>97400</v>
      </c>
      <c r="AG336" s="4">
        <v>15000</v>
      </c>
      <c r="AH336" s="4">
        <v>319500</v>
      </c>
      <c r="AL336">
        <v>29</v>
      </c>
      <c r="AM336">
        <v>16.407400000000003</v>
      </c>
      <c r="AN336" t="s">
        <v>81</v>
      </c>
      <c r="AO336" t="s">
        <v>123</v>
      </c>
      <c r="AP336" s="5">
        <v>44945</v>
      </c>
      <c r="AQ336" t="s">
        <v>198</v>
      </c>
      <c r="AR336" s="5">
        <v>45065</v>
      </c>
      <c r="AS336">
        <v>201.06345947139377</v>
      </c>
      <c r="AT336" s="6"/>
      <c r="AU336">
        <v>17.430409091701382</v>
      </c>
      <c r="AV336">
        <v>56.629682049971052</v>
      </c>
      <c r="AW336">
        <v>48.145376196646012</v>
      </c>
      <c r="AX336">
        <v>122.20546733831844</v>
      </c>
      <c r="AY336">
        <v>8.194368428493684</v>
      </c>
      <c r="AZ336">
        <v>26.556747795537429</v>
      </c>
      <c r="BA336">
        <v>2.8819577835491788</v>
      </c>
      <c r="BB336">
        <v>5.0662359418908895</v>
      </c>
      <c r="BC336">
        <v>6.7806336534718481</v>
      </c>
      <c r="BD336">
        <v>49.479943602943038</v>
      </c>
      <c r="BE336">
        <v>29.37804853013229</v>
      </c>
      <c r="BF336">
        <v>8.8163193173477108</v>
      </c>
      <c r="BH336">
        <v>8.8163193173477108</v>
      </c>
      <c r="BI336">
        <v>180.50173025860914</v>
      </c>
      <c r="BJ336" s="6">
        <v>191</v>
      </c>
      <c r="BK336">
        <v>20.561729212784616</v>
      </c>
      <c r="BL336" s="4">
        <v>1061.6822699999996</v>
      </c>
      <c r="BM336" t="s">
        <v>1648</v>
      </c>
      <c r="BN336" t="s">
        <v>65</v>
      </c>
      <c r="BO336">
        <v>5</v>
      </c>
      <c r="BP336">
        <v>2023</v>
      </c>
      <c r="BQ336" t="str">
        <f t="shared" si="26"/>
        <v>Maeklong15</v>
      </c>
      <c r="BR336">
        <f t="shared" si="27"/>
        <v>542.06661000000145</v>
      </c>
      <c r="BS336">
        <f t="shared" si="28"/>
        <v>10381.690559999999</v>
      </c>
      <c r="BT336" s="6">
        <f t="shared" si="29"/>
        <v>10.498269741390857</v>
      </c>
    </row>
    <row r="337" spans="1:72">
      <c r="A337" s="3" t="s">
        <v>967</v>
      </c>
      <c r="B337" s="3" t="s">
        <v>1600</v>
      </c>
      <c r="C337" s="3" t="s">
        <v>1631</v>
      </c>
      <c r="D337" s="2" t="s">
        <v>1640</v>
      </c>
      <c r="E337" s="4" t="str">
        <f t="shared" si="25"/>
        <v>Maeklong1A1-015-0035</v>
      </c>
      <c r="F337">
        <v>2.4300000000000002</v>
      </c>
      <c r="G337">
        <v>1.8</v>
      </c>
      <c r="H337" t="s">
        <v>72</v>
      </c>
      <c r="I337" t="s">
        <v>75</v>
      </c>
      <c r="J337" t="s">
        <v>68</v>
      </c>
      <c r="K337" t="s">
        <v>79</v>
      </c>
      <c r="L337" t="s">
        <v>79</v>
      </c>
      <c r="M337">
        <v>2.8883374689826304</v>
      </c>
      <c r="N337" s="5">
        <v>44847</v>
      </c>
      <c r="O337" s="5">
        <v>44889</v>
      </c>
      <c r="P337">
        <v>1.2</v>
      </c>
      <c r="Q337" s="4">
        <v>171</v>
      </c>
      <c r="R337">
        <v>0.34</v>
      </c>
      <c r="S337" t="s">
        <v>70</v>
      </c>
      <c r="T337" s="6">
        <v>4</v>
      </c>
      <c r="U337" s="5">
        <v>44996</v>
      </c>
      <c r="V337" s="6">
        <v>1</v>
      </c>
      <c r="W337" t="s">
        <v>86</v>
      </c>
      <c r="X337" s="6">
        <v>107</v>
      </c>
      <c r="Y337">
        <v>28.619599999999998</v>
      </c>
      <c r="Z337">
        <v>11.777613168724278</v>
      </c>
      <c r="AA337" s="6">
        <v>37.709541712672433</v>
      </c>
      <c r="AB337" s="4">
        <v>89.936000000000007</v>
      </c>
      <c r="AC337" s="6">
        <v>26.518487220542017</v>
      </c>
      <c r="AD337">
        <v>0.271698736</v>
      </c>
      <c r="AE337">
        <v>1.7856130102511025</v>
      </c>
      <c r="AF337">
        <v>50375</v>
      </c>
      <c r="AG337" s="4">
        <v>8500</v>
      </c>
      <c r="AH337" s="4">
        <v>145500</v>
      </c>
      <c r="AL337">
        <v>34</v>
      </c>
      <c r="AM337">
        <v>12.830620000000001</v>
      </c>
      <c r="AN337" t="s">
        <v>81</v>
      </c>
      <c r="AO337" t="s">
        <v>108</v>
      </c>
      <c r="AP337" s="5">
        <v>44890</v>
      </c>
      <c r="AQ337" t="s">
        <v>123</v>
      </c>
      <c r="AR337" s="5">
        <v>44995</v>
      </c>
      <c r="AS337">
        <v>244.35243958685652</v>
      </c>
      <c r="AT337" s="6"/>
      <c r="AU337">
        <v>16.77172287523236</v>
      </c>
      <c r="AV337">
        <v>52.850425233057059</v>
      </c>
      <c r="AW337">
        <v>34.806110847111768</v>
      </c>
      <c r="AX337">
        <v>104.4282589554012</v>
      </c>
      <c r="AY337">
        <v>7.1951075486729366</v>
      </c>
      <c r="AZ337">
        <v>23.039278326741119</v>
      </c>
      <c r="BA337">
        <v>2.6403429817327986</v>
      </c>
      <c r="BB337">
        <v>5.8820965352415824</v>
      </c>
      <c r="BC337">
        <v>7.066989405861718</v>
      </c>
      <c r="BD337">
        <v>45.823814798250147</v>
      </c>
      <c r="BE337">
        <v>94.100365833205188</v>
      </c>
      <c r="BF337">
        <v>8.1236016576052776</v>
      </c>
      <c r="BH337">
        <v>8.1236016576052776</v>
      </c>
      <c r="BI337">
        <v>158.37567541125665</v>
      </c>
      <c r="BJ337" s="6">
        <v>185</v>
      </c>
      <c r="BK337">
        <v>85.976764175599868</v>
      </c>
      <c r="BL337" s="4">
        <v>2460.6205999999979</v>
      </c>
      <c r="BM337" t="s">
        <v>1632</v>
      </c>
      <c r="BN337" t="s">
        <v>65</v>
      </c>
      <c r="BO337">
        <v>3</v>
      </c>
      <c r="BP337">
        <v>2023</v>
      </c>
      <c r="BQ337" t="str">
        <f t="shared" si="26"/>
        <v>Maeklong13</v>
      </c>
      <c r="BR337">
        <f t="shared" si="27"/>
        <v>761.97751999999912</v>
      </c>
      <c r="BS337">
        <f t="shared" si="28"/>
        <v>6993.2690799999982</v>
      </c>
      <c r="BT337" s="6">
        <f t="shared" si="29"/>
        <v>26.624324588743349</v>
      </c>
    </row>
    <row r="338" spans="1:72">
      <c r="A338" s="3" t="s">
        <v>967</v>
      </c>
      <c r="B338" s="3" t="s">
        <v>1600</v>
      </c>
      <c r="C338" s="3" t="s">
        <v>1631</v>
      </c>
      <c r="D338" s="2" t="s">
        <v>1635</v>
      </c>
      <c r="E338" s="4" t="str">
        <f t="shared" si="25"/>
        <v>Maeklong1A1-017-0029</v>
      </c>
      <c r="F338">
        <v>2.89</v>
      </c>
      <c r="G338">
        <v>1.8</v>
      </c>
      <c r="H338" t="s">
        <v>72</v>
      </c>
      <c r="I338" t="s">
        <v>75</v>
      </c>
      <c r="J338" t="s">
        <v>68</v>
      </c>
      <c r="K338" t="s">
        <v>79</v>
      </c>
      <c r="L338" t="s">
        <v>79</v>
      </c>
      <c r="M338">
        <v>3.1353919239904986</v>
      </c>
      <c r="N338" s="5">
        <v>44853</v>
      </c>
      <c r="O338" s="5">
        <v>44890</v>
      </c>
      <c r="P338">
        <v>1.2</v>
      </c>
      <c r="Q338" s="4">
        <v>144</v>
      </c>
      <c r="R338">
        <v>0.30499999999999999</v>
      </c>
      <c r="S338" t="s">
        <v>70</v>
      </c>
      <c r="T338" s="6">
        <v>2</v>
      </c>
      <c r="U338" s="5">
        <v>44970</v>
      </c>
      <c r="V338" s="6">
        <v>1</v>
      </c>
      <c r="W338" t="s">
        <v>86</v>
      </c>
      <c r="X338" s="6">
        <v>80</v>
      </c>
      <c r="Y338">
        <v>17.668240000000001</v>
      </c>
      <c r="Z338">
        <v>6.1135778546712807</v>
      </c>
      <c r="AA338" s="6">
        <v>51.433759106736147</v>
      </c>
      <c r="AB338" s="4">
        <v>75.728666666666669</v>
      </c>
      <c r="AC338" s="6">
        <v>19.442483251608817</v>
      </c>
      <c r="AD338">
        <v>0.2461875</v>
      </c>
      <c r="AE338">
        <v>1.8249082199761417</v>
      </c>
      <c r="AF338">
        <v>31575</v>
      </c>
      <c r="AG338" s="4">
        <v>9000</v>
      </c>
      <c r="AH338" s="4">
        <v>99000</v>
      </c>
      <c r="AI338" t="s">
        <v>100</v>
      </c>
      <c r="AJ338" t="s">
        <v>100</v>
      </c>
      <c r="AK338" t="s">
        <v>1636</v>
      </c>
      <c r="AL338">
        <v>50</v>
      </c>
      <c r="AM338">
        <v>14.049329999999999</v>
      </c>
      <c r="AN338" t="s">
        <v>100</v>
      </c>
      <c r="AO338" t="s">
        <v>97</v>
      </c>
      <c r="AP338" s="5">
        <v>44890</v>
      </c>
      <c r="AQ338" t="s">
        <v>123</v>
      </c>
      <c r="AR338" s="5">
        <v>44969</v>
      </c>
      <c r="AS338">
        <v>219.3046143815117</v>
      </c>
      <c r="AT338" s="6"/>
      <c r="AU338">
        <v>27.167391885100045</v>
      </c>
      <c r="AV338">
        <v>52.443838775112859</v>
      </c>
      <c r="AW338">
        <v>39.969300847169819</v>
      </c>
      <c r="AX338">
        <v>119.58053150738272</v>
      </c>
      <c r="AY338">
        <v>10.669122108370724</v>
      </c>
      <c r="AZ338">
        <v>33.631953720347923</v>
      </c>
      <c r="BA338">
        <v>3.4465023114922593</v>
      </c>
      <c r="BB338">
        <v>9.0757500464109597</v>
      </c>
      <c r="BC338">
        <v>10.737998804634758</v>
      </c>
      <c r="BD338">
        <v>67.561326991256635</v>
      </c>
      <c r="BE338">
        <v>32.162755882872347</v>
      </c>
      <c r="BF338">
        <v>12.29982273276795</v>
      </c>
      <c r="BH338">
        <v>12.29982273276795</v>
      </c>
      <c r="BI338">
        <v>199.44168123140733</v>
      </c>
      <c r="BJ338" s="6">
        <v>167</v>
      </c>
      <c r="BK338">
        <v>19.862933150104357</v>
      </c>
      <c r="BL338" s="4">
        <v>350.94306999999981</v>
      </c>
      <c r="BM338" t="s">
        <v>1637</v>
      </c>
      <c r="BN338" t="s">
        <v>65</v>
      </c>
      <c r="BO338">
        <v>2</v>
      </c>
      <c r="BP338">
        <v>2023</v>
      </c>
      <c r="BQ338" t="str">
        <f t="shared" si="26"/>
        <v>Maeklong12</v>
      </c>
      <c r="BR338">
        <f t="shared" si="27"/>
        <v>-573.18741000000023</v>
      </c>
      <c r="BS338">
        <f t="shared" si="28"/>
        <v>3874.7265600000005</v>
      </c>
      <c r="BT338" s="6">
        <f t="shared" si="29"/>
        <v>-32.44168123140733</v>
      </c>
    </row>
    <row r="339" spans="1:72">
      <c r="A339" s="3" t="s">
        <v>967</v>
      </c>
      <c r="B339" s="3" t="s">
        <v>1600</v>
      </c>
      <c r="C339" s="3" t="s">
        <v>1631</v>
      </c>
      <c r="D339" s="2" t="s">
        <v>2849</v>
      </c>
      <c r="E339" s="4" t="str">
        <f t="shared" si="25"/>
        <v>Maeklong1A1-017-0030</v>
      </c>
      <c r="F339">
        <v>2.89</v>
      </c>
      <c r="G339">
        <v>1.8</v>
      </c>
      <c r="H339" t="s">
        <v>72</v>
      </c>
      <c r="I339" t="s">
        <v>75</v>
      </c>
      <c r="J339" t="s">
        <v>68</v>
      </c>
      <c r="K339" t="s">
        <v>79</v>
      </c>
      <c r="L339" t="s">
        <v>79</v>
      </c>
      <c r="M339">
        <v>3</v>
      </c>
      <c r="N339" s="5">
        <v>44971</v>
      </c>
      <c r="O339" s="5">
        <v>44992</v>
      </c>
      <c r="P339">
        <v>2</v>
      </c>
      <c r="Q339" s="4">
        <v>240</v>
      </c>
      <c r="R339">
        <v>0.41</v>
      </c>
      <c r="S339" t="s">
        <v>70</v>
      </c>
      <c r="T339" s="6"/>
      <c r="U339" s="5">
        <v>45000</v>
      </c>
      <c r="V339" s="6">
        <v>3</v>
      </c>
      <c r="W339" t="s">
        <v>2831</v>
      </c>
      <c r="X339" s="6"/>
      <c r="AA339" s="6"/>
      <c r="AB339" s="4"/>
      <c r="AC339" s="6"/>
      <c r="AF339">
        <v>2000</v>
      </c>
      <c r="AG339" s="4">
        <v>8206</v>
      </c>
      <c r="AH339" s="4">
        <v>6000</v>
      </c>
      <c r="AI339" t="s">
        <v>100</v>
      </c>
      <c r="AJ339" t="s">
        <v>100</v>
      </c>
      <c r="AK339" t="s">
        <v>101</v>
      </c>
      <c r="AN339" t="s">
        <v>100</v>
      </c>
      <c r="AO339" t="s">
        <v>123</v>
      </c>
      <c r="AP339" s="5">
        <v>44992</v>
      </c>
      <c r="AQ339" t="s">
        <v>123</v>
      </c>
      <c r="AR339" s="5">
        <v>45000</v>
      </c>
      <c r="AT339" s="6"/>
      <c r="BJ339" s="6"/>
      <c r="BL339" s="4">
        <v>-1483.9418899999998</v>
      </c>
      <c r="BM339" t="s">
        <v>2850</v>
      </c>
      <c r="BN339" t="s">
        <v>65</v>
      </c>
      <c r="BO339">
        <v>3</v>
      </c>
      <c r="BP339">
        <v>2023</v>
      </c>
      <c r="BQ339" t="str">
        <f t="shared" si="26"/>
        <v>Maeklong13</v>
      </c>
      <c r="BR339">
        <f t="shared" si="27"/>
        <v>0</v>
      </c>
      <c r="BS339">
        <f t="shared" si="28"/>
        <v>0</v>
      </c>
      <c r="BT339" s="6">
        <f t="shared" si="29"/>
        <v>0</v>
      </c>
    </row>
    <row r="340" spans="1:72">
      <c r="A340" s="3" t="s">
        <v>967</v>
      </c>
      <c r="B340" s="3" t="s">
        <v>1600</v>
      </c>
      <c r="C340" s="3" t="s">
        <v>1631</v>
      </c>
      <c r="D340" s="2" t="s">
        <v>2851</v>
      </c>
      <c r="E340" s="4" t="str">
        <f t="shared" si="25"/>
        <v>Maeklong1A1-017-0032</v>
      </c>
      <c r="F340">
        <v>2.89</v>
      </c>
      <c r="G340">
        <v>1.8</v>
      </c>
      <c r="H340" t="s">
        <v>72</v>
      </c>
      <c r="I340" t="s">
        <v>75</v>
      </c>
      <c r="J340" t="s">
        <v>68</v>
      </c>
      <c r="K340" t="s">
        <v>79</v>
      </c>
      <c r="L340" t="s">
        <v>79</v>
      </c>
      <c r="M340">
        <v>1.4285714285714286</v>
      </c>
      <c r="N340" s="5">
        <v>45162</v>
      </c>
      <c r="O340" s="5">
        <v>45191</v>
      </c>
      <c r="P340">
        <v>1.2</v>
      </c>
      <c r="Q340" s="4">
        <v>144</v>
      </c>
      <c r="R340">
        <v>0.61499999999999999</v>
      </c>
      <c r="S340" t="s">
        <v>70</v>
      </c>
      <c r="T340" s="6"/>
      <c r="U340" s="5">
        <v>45216</v>
      </c>
      <c r="V340" s="6">
        <v>3</v>
      </c>
      <c r="W340" t="s">
        <v>2831</v>
      </c>
      <c r="X340" s="6"/>
      <c r="AA340" s="6"/>
      <c r="AB340" s="4"/>
      <c r="AC340" s="6"/>
      <c r="AF340">
        <v>7350</v>
      </c>
      <c r="AG340" s="4">
        <v>6500</v>
      </c>
      <c r="AH340" s="4">
        <v>10500</v>
      </c>
      <c r="AI340" t="s">
        <v>100</v>
      </c>
      <c r="AJ340" t="s">
        <v>100</v>
      </c>
      <c r="AK340" t="s">
        <v>96</v>
      </c>
      <c r="AN340" t="s">
        <v>100</v>
      </c>
      <c r="AO340" t="s">
        <v>136</v>
      </c>
      <c r="AP340" s="5">
        <v>45191</v>
      </c>
      <c r="AQ340" t="s">
        <v>189</v>
      </c>
      <c r="AR340" s="5">
        <v>45212</v>
      </c>
      <c r="AT340" s="6"/>
      <c r="BJ340" s="6"/>
      <c r="BL340" s="4">
        <v>-1690.0554</v>
      </c>
      <c r="BM340" t="s">
        <v>2852</v>
      </c>
      <c r="BN340" t="s">
        <v>65</v>
      </c>
      <c r="BO340">
        <v>10</v>
      </c>
      <c r="BP340">
        <v>2023</v>
      </c>
      <c r="BQ340" t="str">
        <f t="shared" si="26"/>
        <v>Maeklong110</v>
      </c>
      <c r="BR340">
        <f t="shared" si="27"/>
        <v>0</v>
      </c>
      <c r="BS340">
        <f t="shared" si="28"/>
        <v>0</v>
      </c>
      <c r="BT340" s="6">
        <f t="shared" si="29"/>
        <v>0</v>
      </c>
    </row>
    <row r="341" spans="1:72">
      <c r="A341" s="3" t="s">
        <v>967</v>
      </c>
      <c r="B341" s="3" t="s">
        <v>1600</v>
      </c>
      <c r="C341" s="3" t="s">
        <v>1602</v>
      </c>
      <c r="D341" s="2" t="s">
        <v>1619</v>
      </c>
      <c r="E341" s="4" t="str">
        <f t="shared" si="25"/>
        <v>Maeklong1A1-029-0014</v>
      </c>
      <c r="F341">
        <v>1.3</v>
      </c>
      <c r="G341">
        <v>2.2000000000000002</v>
      </c>
      <c r="H341" t="s">
        <v>72</v>
      </c>
      <c r="I341" t="s">
        <v>75</v>
      </c>
      <c r="J341" t="s">
        <v>95</v>
      </c>
      <c r="K341" t="s">
        <v>79</v>
      </c>
      <c r="L341" t="s">
        <v>79</v>
      </c>
      <c r="M341">
        <v>2.5565081839438815</v>
      </c>
      <c r="N341" s="5">
        <v>45074</v>
      </c>
      <c r="O341" s="5">
        <v>45099</v>
      </c>
      <c r="P341">
        <v>0.8</v>
      </c>
      <c r="Q341" s="4">
        <v>175</v>
      </c>
      <c r="R341">
        <v>0.93</v>
      </c>
      <c r="S341" t="s">
        <v>70</v>
      </c>
      <c r="T341" s="6">
        <v>5</v>
      </c>
      <c r="U341" s="5">
        <v>45186</v>
      </c>
      <c r="V341" s="6">
        <v>1</v>
      </c>
      <c r="W341" t="s">
        <v>86</v>
      </c>
      <c r="X341" s="6">
        <v>87</v>
      </c>
      <c r="Y341">
        <v>18.648479999999999</v>
      </c>
      <c r="Z341">
        <v>14.344984615384615</v>
      </c>
      <c r="AA341" s="6">
        <v>34.725350269834323</v>
      </c>
      <c r="AB341" s="4">
        <v>80.946874999999991</v>
      </c>
      <c r="AC341" s="6">
        <v>28.797405705902793</v>
      </c>
      <c r="AD341">
        <v>0.44908046000000007</v>
      </c>
      <c r="AE341">
        <v>1.7914510781659116</v>
      </c>
      <c r="AF341">
        <v>32075</v>
      </c>
      <c r="AG341" s="4">
        <v>3500</v>
      </c>
      <c r="AH341" s="4">
        <v>82000</v>
      </c>
      <c r="AL341">
        <v>25</v>
      </c>
      <c r="AM341">
        <v>4.2488199999999994</v>
      </c>
      <c r="AN341" t="s">
        <v>81</v>
      </c>
      <c r="AO341" t="s">
        <v>123</v>
      </c>
      <c r="AP341" s="5">
        <v>45099</v>
      </c>
      <c r="AQ341" t="s">
        <v>170</v>
      </c>
      <c r="AR341" s="5">
        <v>45186</v>
      </c>
      <c r="AS341">
        <v>186.36122729573665</v>
      </c>
      <c r="AT341" s="6"/>
      <c r="AU341">
        <v>23.594416274141377</v>
      </c>
      <c r="AV341">
        <v>51.208526378557401</v>
      </c>
      <c r="AW341">
        <v>14.389070851887121</v>
      </c>
      <c r="AX341">
        <v>89.192013504585901</v>
      </c>
      <c r="AY341">
        <v>5.7956128327885166</v>
      </c>
      <c r="AZ341">
        <v>16.665123913584377</v>
      </c>
      <c r="BA341">
        <v>1.9532390843650529</v>
      </c>
      <c r="BB341">
        <v>3.8255831038240116</v>
      </c>
      <c r="BC341">
        <v>5.2065149545700251</v>
      </c>
      <c r="BD341">
        <v>33.446073889131981</v>
      </c>
      <c r="BE341">
        <v>63.723139902018772</v>
      </c>
      <c r="BF341">
        <v>3.6281402023113949</v>
      </c>
      <c r="BH341">
        <v>3.6281402023113949</v>
      </c>
      <c r="BI341">
        <v>126.26622759602928</v>
      </c>
      <c r="BJ341" s="6">
        <v>189</v>
      </c>
      <c r="BK341">
        <v>60.094999699707373</v>
      </c>
      <c r="BL341" s="4">
        <v>1120.6803999999991</v>
      </c>
      <c r="BM341" t="s">
        <v>1620</v>
      </c>
      <c r="BN341" t="s">
        <v>65</v>
      </c>
      <c r="BO341">
        <v>9</v>
      </c>
      <c r="BP341">
        <v>2023</v>
      </c>
      <c r="BQ341" t="str">
        <f t="shared" si="26"/>
        <v>Maeklong19</v>
      </c>
      <c r="BR341">
        <f t="shared" si="27"/>
        <v>1169.8894999999998</v>
      </c>
      <c r="BS341">
        <f t="shared" si="28"/>
        <v>3475.353619999999</v>
      </c>
      <c r="BT341" s="6">
        <f t="shared" si="29"/>
        <v>62.733772403970718</v>
      </c>
    </row>
    <row r="342" spans="1:72">
      <c r="A342" s="3" t="s">
        <v>967</v>
      </c>
      <c r="B342" s="3" t="s">
        <v>1600</v>
      </c>
      <c r="C342" s="3" t="s">
        <v>1602</v>
      </c>
      <c r="D342" s="2" t="s">
        <v>1626</v>
      </c>
      <c r="E342" s="4" t="str">
        <f t="shared" si="25"/>
        <v>Maeklong1A1-002-0034</v>
      </c>
      <c r="F342">
        <v>3.61</v>
      </c>
      <c r="G342">
        <v>1.8</v>
      </c>
      <c r="H342" t="s">
        <v>72</v>
      </c>
      <c r="I342" t="s">
        <v>75</v>
      </c>
      <c r="J342" t="s">
        <v>95</v>
      </c>
      <c r="K342" t="s">
        <v>79</v>
      </c>
      <c r="L342" t="s">
        <v>79</v>
      </c>
      <c r="M342">
        <v>2.3823626192826586</v>
      </c>
      <c r="N342" s="5">
        <v>44971</v>
      </c>
      <c r="O342" s="5">
        <v>45019</v>
      </c>
      <c r="P342">
        <v>1.6</v>
      </c>
      <c r="Q342" s="4">
        <v>154</v>
      </c>
      <c r="R342">
        <v>0.72799999999999998</v>
      </c>
      <c r="S342" t="s">
        <v>70</v>
      </c>
      <c r="T342" s="6">
        <v>4</v>
      </c>
      <c r="U342" s="5">
        <v>45130</v>
      </c>
      <c r="V342" s="6">
        <v>1</v>
      </c>
      <c r="W342" t="s">
        <v>86</v>
      </c>
      <c r="X342" s="6">
        <v>111.00000000000001</v>
      </c>
      <c r="Y342">
        <v>38.771920000000001</v>
      </c>
      <c r="Z342">
        <v>10.74014404432133</v>
      </c>
      <c r="AA342" s="6">
        <v>26.856420832396232</v>
      </c>
      <c r="AB342" s="4">
        <v>65.079687500000006</v>
      </c>
      <c r="AC342" s="6">
        <v>37.235043576384719</v>
      </c>
      <c r="AD342">
        <v>0.42244187</v>
      </c>
      <c r="AE342">
        <v>2.0201861735506776</v>
      </c>
      <c r="AF342">
        <v>75975</v>
      </c>
      <c r="AG342" s="4">
        <v>8500</v>
      </c>
      <c r="AH342" s="4">
        <v>181000</v>
      </c>
      <c r="AL342">
        <v>21</v>
      </c>
      <c r="AM342">
        <v>19.00938</v>
      </c>
      <c r="AN342" t="s">
        <v>81</v>
      </c>
      <c r="AO342" t="s">
        <v>131</v>
      </c>
      <c r="AP342" s="5">
        <v>45019</v>
      </c>
      <c r="AQ342" t="s">
        <v>123</v>
      </c>
      <c r="AR342" s="5">
        <v>45129</v>
      </c>
      <c r="AS342">
        <v>219.32163070593356</v>
      </c>
      <c r="AT342" s="6"/>
      <c r="AU342">
        <v>20.63348939129143</v>
      </c>
      <c r="AV342">
        <v>57.368869016545993</v>
      </c>
      <c r="AW342">
        <v>21.553582334844393</v>
      </c>
      <c r="AX342">
        <v>99.555940742681813</v>
      </c>
      <c r="AY342">
        <v>10.936858427439242</v>
      </c>
      <c r="AZ342">
        <v>28.063839758258037</v>
      </c>
      <c r="BA342">
        <v>4.1265898103575998</v>
      </c>
      <c r="BB342">
        <v>5.9453571038008945</v>
      </c>
      <c r="BC342">
        <v>7.7698574122715609</v>
      </c>
      <c r="BD342">
        <v>56.842502512127332</v>
      </c>
      <c r="BE342">
        <v>62.923187451124413</v>
      </c>
      <c r="BF342">
        <v>6.8971000146497774</v>
      </c>
      <c r="BH342">
        <v>6.8971000146497774</v>
      </c>
      <c r="BI342">
        <v>163.29554326945888</v>
      </c>
      <c r="BJ342" s="6">
        <v>210</v>
      </c>
      <c r="BK342">
        <v>56.026087436474683</v>
      </c>
      <c r="BL342" s="4">
        <v>2172.2389800000014</v>
      </c>
      <c r="BM342" t="s">
        <v>1627</v>
      </c>
      <c r="BN342" t="s">
        <v>65</v>
      </c>
      <c r="BO342">
        <v>7</v>
      </c>
      <c r="BP342">
        <v>2023</v>
      </c>
      <c r="BQ342" t="str">
        <f t="shared" si="26"/>
        <v>Maeklong17</v>
      </c>
      <c r="BR342">
        <f t="shared" si="27"/>
        <v>1810.8214600000022</v>
      </c>
      <c r="BS342">
        <f t="shared" si="28"/>
        <v>8503.5207200000004</v>
      </c>
      <c r="BT342" s="6">
        <f t="shared" si="29"/>
        <v>46.704456730541125</v>
      </c>
    </row>
    <row r="343" spans="1:72">
      <c r="A343" s="3" t="s">
        <v>967</v>
      </c>
      <c r="B343" s="3" t="s">
        <v>1600</v>
      </c>
      <c r="C343" s="3" t="s">
        <v>1602</v>
      </c>
      <c r="D343" s="2" t="s">
        <v>1628</v>
      </c>
      <c r="E343" s="4" t="str">
        <f t="shared" si="25"/>
        <v>Maeklong1A1-005-0044</v>
      </c>
      <c r="F343">
        <v>3.42</v>
      </c>
      <c r="G343">
        <v>1.8</v>
      </c>
      <c r="H343" t="s">
        <v>72</v>
      </c>
      <c r="I343" t="s">
        <v>75</v>
      </c>
      <c r="J343" t="s">
        <v>95</v>
      </c>
      <c r="K343" t="s">
        <v>79</v>
      </c>
      <c r="L343" t="s">
        <v>79</v>
      </c>
      <c r="M343">
        <v>2.6253330104141437</v>
      </c>
      <c r="N343" s="5">
        <v>45000</v>
      </c>
      <c r="O343" s="5">
        <v>45056</v>
      </c>
      <c r="P343">
        <v>1.6</v>
      </c>
      <c r="Q343" s="4">
        <v>162</v>
      </c>
      <c r="R343">
        <v>0.43</v>
      </c>
      <c r="S343" t="s">
        <v>70</v>
      </c>
      <c r="T343" s="6">
        <v>6</v>
      </c>
      <c r="U343" s="5">
        <v>45197</v>
      </c>
      <c r="V343" s="6">
        <v>1</v>
      </c>
      <c r="W343" t="s">
        <v>86</v>
      </c>
      <c r="X343" s="6">
        <v>141</v>
      </c>
      <c r="Y343">
        <v>46.207589999999996</v>
      </c>
      <c r="Z343">
        <v>13.510991228070175</v>
      </c>
      <c r="AA343" s="6">
        <v>25.674007235607831</v>
      </c>
      <c r="AB343" s="4">
        <v>74.145875000000004</v>
      </c>
      <c r="AC343" s="6">
        <v>38.9498994381009</v>
      </c>
      <c r="AD343">
        <v>0.41413850600000002</v>
      </c>
      <c r="AE343">
        <v>2.2677199051215431</v>
      </c>
      <c r="AF343">
        <v>103225</v>
      </c>
      <c r="AG343" s="4">
        <v>8500</v>
      </c>
      <c r="AH343" s="4">
        <v>271000</v>
      </c>
      <c r="AL343">
        <v>17</v>
      </c>
      <c r="AM343">
        <v>7.9915900000000004</v>
      </c>
      <c r="AN343" t="s">
        <v>81</v>
      </c>
      <c r="AO343" t="s">
        <v>131</v>
      </c>
      <c r="AP343" s="5">
        <v>45056</v>
      </c>
      <c r="AQ343" t="s">
        <v>170</v>
      </c>
      <c r="AR343" s="5">
        <v>45196</v>
      </c>
      <c r="AS343">
        <v>205.59024004497968</v>
      </c>
      <c r="AT343" s="6"/>
      <c r="AU343">
        <v>15.581855708120678</v>
      </c>
      <c r="AV343">
        <v>66.288243338377981</v>
      </c>
      <c r="AW343">
        <v>23.483671838327858</v>
      </c>
      <c r="AX343">
        <v>105.35377088482652</v>
      </c>
      <c r="AY343">
        <v>11.004051282484117</v>
      </c>
      <c r="AZ343">
        <v>28.833244062285001</v>
      </c>
      <c r="BA343">
        <v>3.2711851018414952</v>
      </c>
      <c r="BB343">
        <v>7.4509272178012296</v>
      </c>
      <c r="BC343">
        <v>9.6030299351253774</v>
      </c>
      <c r="BD343">
        <v>60.16243759953722</v>
      </c>
      <c r="BE343">
        <v>40.074031560615943</v>
      </c>
      <c r="BF343">
        <v>6.6848273194944809</v>
      </c>
      <c r="BH343">
        <v>6.6848273194944809</v>
      </c>
      <c r="BI343">
        <v>172.20103580385822</v>
      </c>
      <c r="BJ343" s="6">
        <v>214</v>
      </c>
      <c r="BK343">
        <v>33.389204241121455</v>
      </c>
      <c r="BL343" s="4">
        <v>1542.8346600000011</v>
      </c>
      <c r="BM343" t="s">
        <v>1629</v>
      </c>
      <c r="BN343" t="s">
        <v>65</v>
      </c>
      <c r="BO343">
        <v>9</v>
      </c>
      <c r="BP343">
        <v>2023</v>
      </c>
      <c r="BQ343" t="str">
        <f t="shared" si="26"/>
        <v>Maeklong19</v>
      </c>
      <c r="BR343">
        <f t="shared" si="27"/>
        <v>1931.4293999999989</v>
      </c>
      <c r="BS343">
        <f t="shared" si="28"/>
        <v>9499.8295200000011</v>
      </c>
      <c r="BT343" s="6">
        <f t="shared" si="29"/>
        <v>41.798964196141782</v>
      </c>
    </row>
    <row r="344" spans="1:72">
      <c r="A344" s="3" t="s">
        <v>967</v>
      </c>
      <c r="B344" s="3" t="s">
        <v>1600</v>
      </c>
      <c r="C344" s="3" t="s">
        <v>1602</v>
      </c>
      <c r="D344" s="2" t="s">
        <v>1624</v>
      </c>
      <c r="E344" s="4" t="str">
        <f t="shared" si="25"/>
        <v>Maeklong1A1-006-0042</v>
      </c>
      <c r="F344">
        <v>3.42</v>
      </c>
      <c r="G344">
        <v>1.8</v>
      </c>
      <c r="H344" t="s">
        <v>72</v>
      </c>
      <c r="I344" t="s">
        <v>75</v>
      </c>
      <c r="J344" t="s">
        <v>95</v>
      </c>
      <c r="K344" t="s">
        <v>79</v>
      </c>
      <c r="L344" t="s">
        <v>79</v>
      </c>
      <c r="M344">
        <v>2.6399749765405067</v>
      </c>
      <c r="N344" s="5">
        <v>45004</v>
      </c>
      <c r="O344" s="5">
        <v>45051</v>
      </c>
      <c r="P344">
        <v>1.6</v>
      </c>
      <c r="Q344" s="4">
        <v>162</v>
      </c>
      <c r="R344">
        <v>0.42599999999999999</v>
      </c>
      <c r="S344" t="s">
        <v>70</v>
      </c>
      <c r="T344" s="6">
        <v>6</v>
      </c>
      <c r="U344" s="5">
        <v>45177</v>
      </c>
      <c r="V344" s="6">
        <v>1</v>
      </c>
      <c r="W344" t="s">
        <v>86</v>
      </c>
      <c r="X344" s="6">
        <v>126</v>
      </c>
      <c r="Y344">
        <v>37.212919999999997</v>
      </c>
      <c r="Z344">
        <v>10.880970760233918</v>
      </c>
      <c r="AA344" s="6">
        <v>27.085189767424865</v>
      </c>
      <c r="AB344" s="4">
        <v>62.994937500000006</v>
      </c>
      <c r="AC344" s="6">
        <v>36.920546194684292</v>
      </c>
      <c r="AD344">
        <v>0.37454799700000002</v>
      </c>
      <c r="AE344">
        <v>2.1878127402008984</v>
      </c>
      <c r="AF344">
        <v>79925</v>
      </c>
      <c r="AG344" s="4">
        <v>8500</v>
      </c>
      <c r="AH344" s="4">
        <v>211000</v>
      </c>
      <c r="AL344">
        <v>21</v>
      </c>
      <c r="AM344">
        <v>10.500219999999999</v>
      </c>
      <c r="AN344" t="s">
        <v>81</v>
      </c>
      <c r="AO344" t="s">
        <v>131</v>
      </c>
      <c r="AP344" s="5">
        <v>45051</v>
      </c>
      <c r="AQ344" t="s">
        <v>131</v>
      </c>
      <c r="AR344" s="5">
        <v>45176</v>
      </c>
      <c r="AS344">
        <v>203.82228591575179</v>
      </c>
      <c r="AT344" s="6"/>
      <c r="AU344">
        <v>19.348118879141975</v>
      </c>
      <c r="AV344">
        <v>63.537942736017506</v>
      </c>
      <c r="AW344">
        <v>25.882833703993143</v>
      </c>
      <c r="AX344">
        <v>108.76889531915262</v>
      </c>
      <c r="AY344">
        <v>11.910693114111982</v>
      </c>
      <c r="AZ344">
        <v>30.612148683844215</v>
      </c>
      <c r="BA344">
        <v>3.986178187575713</v>
      </c>
      <c r="BB344">
        <v>8.0197533544801107</v>
      </c>
      <c r="BC344">
        <v>9.4235789612854859</v>
      </c>
      <c r="BD344">
        <v>63.952352301297495</v>
      </c>
      <c r="BE344">
        <v>31.101038295301677</v>
      </c>
      <c r="BF344">
        <v>7.2919367789466678</v>
      </c>
      <c r="BH344">
        <v>7.2919367789466678</v>
      </c>
      <c r="BI344">
        <v>180.01318439939678</v>
      </c>
      <c r="BJ344" s="6">
        <v>207</v>
      </c>
      <c r="BK344">
        <v>23.80910151635501</v>
      </c>
      <c r="BL344" s="4">
        <v>886.00618999999756</v>
      </c>
      <c r="BM344" t="s">
        <v>1625</v>
      </c>
      <c r="BN344" t="s">
        <v>65</v>
      </c>
      <c r="BO344">
        <v>9</v>
      </c>
      <c r="BP344">
        <v>2023</v>
      </c>
      <c r="BQ344" t="str">
        <f t="shared" si="26"/>
        <v>Maeklong19</v>
      </c>
      <c r="BR344">
        <f t="shared" si="27"/>
        <v>1004.2582099999996</v>
      </c>
      <c r="BS344">
        <f t="shared" si="28"/>
        <v>7584.8224199999977</v>
      </c>
      <c r="BT344" s="6">
        <f t="shared" si="29"/>
        <v>26.986815600603222</v>
      </c>
    </row>
    <row r="345" spans="1:72">
      <c r="A345" s="3" t="s">
        <v>967</v>
      </c>
      <c r="B345" s="3" t="s">
        <v>1600</v>
      </c>
      <c r="C345" s="3" t="s">
        <v>1602</v>
      </c>
      <c r="D345" s="2" t="s">
        <v>1621</v>
      </c>
      <c r="E345" s="4" t="str">
        <f t="shared" si="25"/>
        <v>Maeklong1A1-030-0007</v>
      </c>
      <c r="F345">
        <v>1.3</v>
      </c>
      <c r="G345">
        <v>1.8</v>
      </c>
      <c r="H345" t="s">
        <v>72</v>
      </c>
      <c r="I345" t="s">
        <v>75</v>
      </c>
      <c r="J345" t="s">
        <v>95</v>
      </c>
      <c r="K345" t="s">
        <v>79</v>
      </c>
      <c r="L345" t="s">
        <v>79</v>
      </c>
      <c r="M345">
        <v>2.7522935779816513</v>
      </c>
      <c r="N345" s="5">
        <v>45012</v>
      </c>
      <c r="O345" s="5">
        <v>45054</v>
      </c>
      <c r="P345">
        <v>0.75</v>
      </c>
      <c r="Q345" s="4">
        <v>200</v>
      </c>
      <c r="R345">
        <v>0.45700000000000002</v>
      </c>
      <c r="S345" t="s">
        <v>70</v>
      </c>
      <c r="T345" s="6">
        <v>3</v>
      </c>
      <c r="U345" s="5">
        <v>45158</v>
      </c>
      <c r="V345" s="6">
        <v>1</v>
      </c>
      <c r="W345" t="s">
        <v>86</v>
      </c>
      <c r="X345" s="6">
        <v>104</v>
      </c>
      <c r="Y345">
        <v>14.47578</v>
      </c>
      <c r="Z345">
        <v>11.135215384615384</v>
      </c>
      <c r="AA345" s="6">
        <v>32.381812931669309</v>
      </c>
      <c r="AB345" s="4">
        <v>62.500266666666668</v>
      </c>
      <c r="AC345" s="6">
        <v>30.881532238795785</v>
      </c>
      <c r="AD345">
        <v>0.36542825400000001</v>
      </c>
      <c r="AE345">
        <v>1.9280733134842016</v>
      </c>
      <c r="AF345">
        <v>27250</v>
      </c>
      <c r="AG345" s="4">
        <v>3200</v>
      </c>
      <c r="AH345" s="4">
        <v>75000</v>
      </c>
      <c r="AL345">
        <v>26</v>
      </c>
      <c r="AM345">
        <v>8.6927700000000012</v>
      </c>
      <c r="AN345" t="s">
        <v>81</v>
      </c>
      <c r="AO345" t="s">
        <v>198</v>
      </c>
      <c r="AP345" s="5">
        <v>45054</v>
      </c>
      <c r="AQ345" t="s">
        <v>170</v>
      </c>
      <c r="AR345" s="5">
        <v>45158</v>
      </c>
      <c r="AS345">
        <v>189.59173391692883</v>
      </c>
      <c r="AT345" s="6"/>
      <c r="AU345">
        <v>23.314805834297008</v>
      </c>
      <c r="AV345">
        <v>55.439759377387595</v>
      </c>
      <c r="AW345">
        <v>21.036015330434701</v>
      </c>
      <c r="AX345">
        <v>99.790580542119301</v>
      </c>
      <c r="AY345">
        <v>9.728899582613165</v>
      </c>
      <c r="AZ345">
        <v>25.598914877125786</v>
      </c>
      <c r="BA345">
        <v>3.446030542050238</v>
      </c>
      <c r="BB345">
        <v>6.0260407383919894</v>
      </c>
      <c r="BC345">
        <v>7.1504616676959731</v>
      </c>
      <c r="BD345">
        <v>51.950347407877153</v>
      </c>
      <c r="BE345">
        <v>37.850805966932377</v>
      </c>
      <c r="BF345">
        <v>5.9979075393519379</v>
      </c>
      <c r="BH345">
        <v>5.9979075393519379</v>
      </c>
      <c r="BI345">
        <v>157.73883548934842</v>
      </c>
      <c r="BJ345" s="6">
        <v>192</v>
      </c>
      <c r="BK345">
        <v>31.852898427580399</v>
      </c>
      <c r="BL345" s="4">
        <v>461.09554999999983</v>
      </c>
      <c r="BM345" t="s">
        <v>1622</v>
      </c>
      <c r="BN345" t="s">
        <v>65</v>
      </c>
      <c r="BO345">
        <v>8</v>
      </c>
      <c r="BP345">
        <v>2023</v>
      </c>
      <c r="BQ345" t="str">
        <f t="shared" si="26"/>
        <v>Maeklong18</v>
      </c>
      <c r="BR345">
        <f t="shared" si="27"/>
        <v>495.95707999999996</v>
      </c>
      <c r="BS345">
        <f t="shared" si="28"/>
        <v>2744.4882299999999</v>
      </c>
      <c r="BT345" s="6">
        <f t="shared" si="29"/>
        <v>34.261164510651582</v>
      </c>
    </row>
    <row r="346" spans="1:72">
      <c r="A346" s="3" t="s">
        <v>967</v>
      </c>
      <c r="B346" s="3" t="s">
        <v>1600</v>
      </c>
      <c r="C346" s="3" t="s">
        <v>1602</v>
      </c>
      <c r="D346" s="2" t="s">
        <v>141</v>
      </c>
      <c r="E346" s="4" t="str">
        <f t="shared" si="25"/>
        <v>Maeklong1A1-009-0043</v>
      </c>
      <c r="F346">
        <v>3.65</v>
      </c>
      <c r="G346">
        <v>1.8</v>
      </c>
      <c r="H346" t="s">
        <v>72</v>
      </c>
      <c r="I346" t="s">
        <v>75</v>
      </c>
      <c r="J346" t="s">
        <v>95</v>
      </c>
      <c r="K346" t="s">
        <v>79</v>
      </c>
      <c r="L346" t="s">
        <v>79</v>
      </c>
      <c r="M346">
        <v>2.6379201014584654</v>
      </c>
      <c r="N346" s="5">
        <v>45029</v>
      </c>
      <c r="O346" s="5">
        <v>45062</v>
      </c>
      <c r="P346">
        <v>1.5</v>
      </c>
      <c r="Q346" s="4">
        <v>143</v>
      </c>
      <c r="R346">
        <v>0.39</v>
      </c>
      <c r="S346" t="s">
        <v>70</v>
      </c>
      <c r="T346" s="6">
        <v>5</v>
      </c>
      <c r="U346" s="5">
        <v>45201</v>
      </c>
      <c r="V346" s="6">
        <v>1</v>
      </c>
      <c r="W346" t="s">
        <v>86</v>
      </c>
      <c r="X346" s="6">
        <v>139</v>
      </c>
      <c r="Y346">
        <v>35.246629999999996</v>
      </c>
      <c r="Z346">
        <v>9.6566109589041087</v>
      </c>
      <c r="AA346" s="6">
        <v>32.095579066707941</v>
      </c>
      <c r="AB346" s="4">
        <v>75.417400000000001</v>
      </c>
      <c r="AC346" s="6">
        <v>31.156939026449241</v>
      </c>
      <c r="AD346">
        <v>0.356906475</v>
      </c>
      <c r="AE346">
        <v>2.274849740188214</v>
      </c>
      <c r="AF346">
        <v>78850</v>
      </c>
      <c r="AG346" s="4">
        <v>0</v>
      </c>
      <c r="AH346" s="4">
        <v>208000</v>
      </c>
      <c r="AL346">
        <v>20</v>
      </c>
      <c r="AM346">
        <v>7.7340799999999996</v>
      </c>
      <c r="AN346" t="s">
        <v>81</v>
      </c>
      <c r="AO346" t="s">
        <v>131</v>
      </c>
      <c r="AP346" s="5">
        <v>45062</v>
      </c>
      <c r="AQ346" t="s">
        <v>189</v>
      </c>
      <c r="AR346" s="5">
        <v>45200</v>
      </c>
      <c r="AS346">
        <v>184.62411668860258</v>
      </c>
      <c r="AT346" s="6"/>
      <c r="AU346">
        <v>17.022904033662225</v>
      </c>
      <c r="AV346">
        <v>66.54940514880434</v>
      </c>
      <c r="AW346">
        <v>28.295504563131292</v>
      </c>
      <c r="AX346">
        <v>111.86781374559786</v>
      </c>
      <c r="AY346">
        <v>13.435058614114313</v>
      </c>
      <c r="AZ346">
        <v>35.940206198436563</v>
      </c>
      <c r="BA346">
        <v>3.8575931940159958</v>
      </c>
      <c r="BB346">
        <v>9.021584191169481</v>
      </c>
      <c r="BC346">
        <v>12.284147165275096</v>
      </c>
      <c r="BD346">
        <v>74.538589363011454</v>
      </c>
      <c r="BE346">
        <v>-1.7822864200067272</v>
      </c>
      <c r="BF346">
        <v>8.1427095299607366</v>
      </c>
      <c r="BH346">
        <v>8.1427095299607366</v>
      </c>
      <c r="BI346">
        <v>194.54911263857002</v>
      </c>
      <c r="BJ346" s="6">
        <v>192</v>
      </c>
      <c r="BK346">
        <v>-9.9249959499674461</v>
      </c>
      <c r="BL346" s="4">
        <v>-349.82266000000106</v>
      </c>
      <c r="BM346" t="s">
        <v>1623</v>
      </c>
      <c r="BN346" t="s">
        <v>65</v>
      </c>
      <c r="BO346">
        <v>10</v>
      </c>
      <c r="BP346">
        <v>2023</v>
      </c>
      <c r="BQ346" t="str">
        <f t="shared" si="26"/>
        <v>Maeklong110</v>
      </c>
      <c r="BR346">
        <f t="shared" si="27"/>
        <v>-89.847630000001303</v>
      </c>
      <c r="BS346">
        <f t="shared" si="28"/>
        <v>6507.3779299999997</v>
      </c>
      <c r="BT346" s="6">
        <f t="shared" si="29"/>
        <v>-2.5491126385700227</v>
      </c>
    </row>
    <row r="347" spans="1:72">
      <c r="A347" s="3" t="s">
        <v>967</v>
      </c>
      <c r="B347" s="3" t="s">
        <v>1600</v>
      </c>
      <c r="C347" s="3" t="s">
        <v>1602</v>
      </c>
      <c r="D347" s="2" t="s">
        <v>1617</v>
      </c>
      <c r="E347" s="4" t="str">
        <f t="shared" si="25"/>
        <v>Maeklong1A1-029-0013</v>
      </c>
      <c r="F347">
        <v>1.3</v>
      </c>
      <c r="G347">
        <v>2.2000000000000002</v>
      </c>
      <c r="H347" t="s">
        <v>72</v>
      </c>
      <c r="I347" t="s">
        <v>75</v>
      </c>
      <c r="J347" t="s">
        <v>95</v>
      </c>
      <c r="K347" t="s">
        <v>79</v>
      </c>
      <c r="L347" t="s">
        <v>79</v>
      </c>
      <c r="M347">
        <v>2.0327868852459017</v>
      </c>
      <c r="N347" s="5">
        <v>44952</v>
      </c>
      <c r="O347" s="5">
        <v>44977</v>
      </c>
      <c r="P347">
        <v>0.8</v>
      </c>
      <c r="Q347" s="4">
        <v>175</v>
      </c>
      <c r="R347">
        <v>0.61</v>
      </c>
      <c r="S347" t="s">
        <v>70</v>
      </c>
      <c r="T347" s="6">
        <v>3</v>
      </c>
      <c r="U347" s="5">
        <v>45073</v>
      </c>
      <c r="V347" s="6">
        <v>1</v>
      </c>
      <c r="W347" t="s">
        <v>86</v>
      </c>
      <c r="X347" s="6">
        <v>96</v>
      </c>
      <c r="Y347">
        <v>15.02492</v>
      </c>
      <c r="Z347">
        <v>11.557630769230769</v>
      </c>
      <c r="AA347" s="6">
        <v>35.67925819238971</v>
      </c>
      <c r="AB347" s="4">
        <v>67.009749999999997</v>
      </c>
      <c r="AC347" s="6">
        <v>28.027488537115868</v>
      </c>
      <c r="AD347">
        <v>0.352841236</v>
      </c>
      <c r="AE347">
        <v>2.0981060637328954</v>
      </c>
      <c r="AF347">
        <v>30500</v>
      </c>
      <c r="AG347" s="4">
        <v>0</v>
      </c>
      <c r="AH347" s="4">
        <v>62000</v>
      </c>
      <c r="AL347">
        <v>29.000000000000004</v>
      </c>
      <c r="AM347">
        <v>9.7956599999999998</v>
      </c>
      <c r="AN347" t="s">
        <v>81</v>
      </c>
      <c r="AO347" t="s">
        <v>123</v>
      </c>
      <c r="AP347" s="5">
        <v>44977</v>
      </c>
      <c r="AQ347" t="s">
        <v>198</v>
      </c>
      <c r="AR347" s="5">
        <v>45072</v>
      </c>
      <c r="AS347">
        <v>192.87569318172743</v>
      </c>
      <c r="AT347" s="6"/>
      <c r="AU347">
        <v>26.622437923130374</v>
      </c>
      <c r="AV347">
        <v>60.587790816856263</v>
      </c>
      <c r="AW347">
        <v>15.34226005862261</v>
      </c>
      <c r="AX347">
        <v>102.55248879860925</v>
      </c>
      <c r="AY347">
        <v>8.0705494604962951</v>
      </c>
      <c r="AZ347">
        <v>18.274410113331719</v>
      </c>
      <c r="BA347">
        <v>3.0173471805507108</v>
      </c>
      <c r="BB347">
        <v>4.7602869100134972</v>
      </c>
      <c r="BC347">
        <v>5.7748547080450354</v>
      </c>
      <c r="BD347">
        <v>39.897448372437253</v>
      </c>
      <c r="BE347">
        <v>50.425756010680928</v>
      </c>
      <c r="BF347">
        <v>4.932585331569153</v>
      </c>
      <c r="BH347">
        <v>4.932585331569153</v>
      </c>
      <c r="BI347">
        <v>147.38252250261564</v>
      </c>
      <c r="BJ347" s="6">
        <v>187</v>
      </c>
      <c r="BK347">
        <v>45.49317067911177</v>
      </c>
      <c r="BL347" s="4">
        <v>683.53125</v>
      </c>
      <c r="BM347" t="s">
        <v>1618</v>
      </c>
      <c r="BN347" t="s">
        <v>65</v>
      </c>
      <c r="BO347">
        <v>5</v>
      </c>
      <c r="BP347">
        <v>2023</v>
      </c>
      <c r="BQ347" t="str">
        <f t="shared" si="26"/>
        <v>Maeklong15</v>
      </c>
      <c r="BR347">
        <f t="shared" si="27"/>
        <v>595.24943000000019</v>
      </c>
      <c r="BS347">
        <f t="shared" si="28"/>
        <v>2897.9418599999999</v>
      </c>
      <c r="BT347" s="6">
        <f t="shared" si="29"/>
        <v>39.617477497384357</v>
      </c>
    </row>
    <row r="348" spans="1:72">
      <c r="A348" s="3" t="s">
        <v>967</v>
      </c>
      <c r="B348" s="3" t="s">
        <v>1600</v>
      </c>
      <c r="C348" s="3" t="s">
        <v>1602</v>
      </c>
      <c r="D348" s="2" t="s">
        <v>2694</v>
      </c>
      <c r="E348" s="4" t="str">
        <f t="shared" si="25"/>
        <v>Maeklong1A1-030-0008</v>
      </c>
      <c r="F348">
        <v>1.3</v>
      </c>
      <c r="G348">
        <v>2.2000000000000002</v>
      </c>
      <c r="H348" t="s">
        <v>72</v>
      </c>
      <c r="I348" t="s">
        <v>75</v>
      </c>
      <c r="J348" t="s">
        <v>95</v>
      </c>
      <c r="K348" t="s">
        <v>79</v>
      </c>
      <c r="L348" t="s">
        <v>79</v>
      </c>
      <c r="M348">
        <v>2.7514231499051234</v>
      </c>
      <c r="N348" s="5">
        <v>45159</v>
      </c>
      <c r="O348" s="5">
        <v>45185</v>
      </c>
      <c r="P348">
        <v>0.8</v>
      </c>
      <c r="Q348" s="4">
        <v>175</v>
      </c>
      <c r="R348">
        <v>0.67</v>
      </c>
      <c r="S348" t="s">
        <v>70</v>
      </c>
      <c r="T348" s="6">
        <v>3</v>
      </c>
      <c r="U348" s="5">
        <v>45270</v>
      </c>
      <c r="V348" s="6">
        <v>1</v>
      </c>
      <c r="W348" t="s">
        <v>86</v>
      </c>
      <c r="X348" s="6">
        <v>85</v>
      </c>
      <c r="Y348">
        <v>15.3969</v>
      </c>
      <c r="Z348">
        <v>11.843769230769231</v>
      </c>
      <c r="AA348" s="6">
        <v>40.941098532821542</v>
      </c>
      <c r="AB348" s="4">
        <v>78.795749999999998</v>
      </c>
      <c r="AC348" s="6">
        <v>24.425333853665965</v>
      </c>
      <c r="AD348">
        <v>0.338138408</v>
      </c>
      <c r="AE348">
        <v>1.7731093002442653</v>
      </c>
      <c r="AF348">
        <v>26350</v>
      </c>
      <c r="AG348" s="4">
        <v>4000</v>
      </c>
      <c r="AH348" s="4">
        <v>72500</v>
      </c>
      <c r="AL348">
        <v>34</v>
      </c>
      <c r="AM348">
        <v>7.70967</v>
      </c>
      <c r="AN348" t="s">
        <v>81</v>
      </c>
      <c r="AO348" t="s">
        <v>198</v>
      </c>
      <c r="AP348" s="5">
        <v>45185</v>
      </c>
      <c r="AQ348" t="s">
        <v>170</v>
      </c>
      <c r="AR348" s="5">
        <v>45268</v>
      </c>
      <c r="AS348">
        <v>204.77618351746131</v>
      </c>
      <c r="AT348" s="6"/>
      <c r="AU348">
        <v>25.979255564431803</v>
      </c>
      <c r="AV348">
        <v>50.839727477609109</v>
      </c>
      <c r="AW348">
        <v>15.649194967818199</v>
      </c>
      <c r="AX348">
        <v>92.468178009859116</v>
      </c>
      <c r="AY348">
        <v>8.7115971396839615</v>
      </c>
      <c r="AZ348">
        <v>16.799428456377584</v>
      </c>
      <c r="BA348">
        <v>2.3209892900518931</v>
      </c>
      <c r="BB348">
        <v>6.9253518565425516</v>
      </c>
      <c r="BC348">
        <v>10.237994011781595</v>
      </c>
      <c r="BD348">
        <v>44.995360754437577</v>
      </c>
      <c r="BE348">
        <v>67.312644753164619</v>
      </c>
      <c r="BF348">
        <v>4.7870253102897342</v>
      </c>
      <c r="BH348">
        <v>4.7870253102897342</v>
      </c>
      <c r="BI348">
        <v>142.25056407458644</v>
      </c>
      <c r="BJ348" s="6">
        <v>181</v>
      </c>
      <c r="BK348">
        <v>62.525619442874863</v>
      </c>
      <c r="BL348" s="4">
        <v>962.70070999999996</v>
      </c>
      <c r="BM348" t="s">
        <v>2695</v>
      </c>
      <c r="BN348" t="s">
        <v>65</v>
      </c>
      <c r="BO348">
        <v>12</v>
      </c>
      <c r="BP348">
        <v>2023</v>
      </c>
      <c r="BQ348" t="str">
        <f t="shared" si="26"/>
        <v>Maeklong112</v>
      </c>
      <c r="BR348">
        <f t="shared" si="27"/>
        <v>596.62119000000018</v>
      </c>
      <c r="BS348">
        <f t="shared" si="28"/>
        <v>3152.91842</v>
      </c>
      <c r="BT348" s="6">
        <f t="shared" si="29"/>
        <v>38.749435925413565</v>
      </c>
    </row>
    <row r="349" spans="1:72">
      <c r="A349" s="3" t="s">
        <v>967</v>
      </c>
      <c r="B349" s="3" t="s">
        <v>1600</v>
      </c>
      <c r="C349" s="3" t="s">
        <v>1602</v>
      </c>
      <c r="D349" s="2" t="s">
        <v>1609</v>
      </c>
      <c r="E349" s="4" t="str">
        <f t="shared" si="25"/>
        <v>Maeklong1A1-002-0035</v>
      </c>
      <c r="F349">
        <v>3.61</v>
      </c>
      <c r="G349">
        <v>1.8</v>
      </c>
      <c r="H349" t="s">
        <v>72</v>
      </c>
      <c r="I349" t="s">
        <v>75</v>
      </c>
      <c r="J349" t="s">
        <v>95</v>
      </c>
      <c r="K349" t="s">
        <v>79</v>
      </c>
      <c r="L349" t="s">
        <v>79</v>
      </c>
      <c r="M349">
        <v>1.5208690680388794</v>
      </c>
      <c r="N349" s="5">
        <v>45131</v>
      </c>
      <c r="O349" s="5">
        <v>45157</v>
      </c>
      <c r="P349">
        <v>1.6</v>
      </c>
      <c r="Q349" s="4">
        <v>154</v>
      </c>
      <c r="R349">
        <v>0.42</v>
      </c>
      <c r="S349" t="s">
        <v>70</v>
      </c>
      <c r="T349" s="6">
        <v>2</v>
      </c>
      <c r="U349" s="5">
        <v>45215</v>
      </c>
      <c r="V349" s="6">
        <v>2</v>
      </c>
      <c r="W349" t="s">
        <v>71</v>
      </c>
      <c r="X349" s="6">
        <v>58</v>
      </c>
      <c r="Y349">
        <v>5.1885699999999995</v>
      </c>
      <c r="Z349">
        <v>1.4372770083102493</v>
      </c>
      <c r="AA349" s="6">
        <v>45.206097248374796</v>
      </c>
      <c r="AB349" s="4">
        <v>14.659687499999999</v>
      </c>
      <c r="AC349" s="6">
        <v>22.120909807934172</v>
      </c>
      <c r="AD349">
        <v>0.33082488199999999</v>
      </c>
      <c r="AE349">
        <v>9.6810190033587435</v>
      </c>
      <c r="AF349">
        <v>43725</v>
      </c>
      <c r="AG349" s="4">
        <v>8500</v>
      </c>
      <c r="AH349" s="4">
        <v>66500</v>
      </c>
      <c r="AI349" t="s">
        <v>100</v>
      </c>
      <c r="AJ349" t="s">
        <v>100</v>
      </c>
      <c r="AK349" t="s">
        <v>218</v>
      </c>
      <c r="AL349">
        <v>51</v>
      </c>
      <c r="AM349">
        <v>0.17832000000000001</v>
      </c>
      <c r="AN349" t="s">
        <v>100</v>
      </c>
      <c r="AO349" t="s">
        <v>123</v>
      </c>
      <c r="AP349" s="5">
        <v>45157</v>
      </c>
      <c r="AQ349" t="s">
        <v>189</v>
      </c>
      <c r="AR349" s="5">
        <v>45215</v>
      </c>
      <c r="AS349">
        <v>178.05295486039506</v>
      </c>
      <c r="AT349" s="6"/>
      <c r="AU349">
        <v>138.76655803044</v>
      </c>
      <c r="AV349">
        <v>251.69884765937439</v>
      </c>
      <c r="AW349">
        <v>103.63274081297932</v>
      </c>
      <c r="AX349">
        <v>494.09814650279372</v>
      </c>
      <c r="AY349">
        <v>47.604178029784705</v>
      </c>
      <c r="AZ349">
        <v>122.16165725816553</v>
      </c>
      <c r="BA349">
        <v>9.0487263350017475</v>
      </c>
      <c r="BB349">
        <v>40.497693969629395</v>
      </c>
      <c r="BC349">
        <v>53.750224050171823</v>
      </c>
      <c r="BD349">
        <v>273.0624796427532</v>
      </c>
      <c r="BE349">
        <v>-589.10767128515181</v>
      </c>
      <c r="BF349">
        <v>26.758758193490696</v>
      </c>
      <c r="BH349">
        <v>26.758758193490696</v>
      </c>
      <c r="BI349">
        <v>793.91938433903749</v>
      </c>
      <c r="BJ349" s="6">
        <v>175</v>
      </c>
      <c r="BK349">
        <v>-615.86642947864254</v>
      </c>
      <c r="BL349" s="4">
        <v>-3195.4660800000001</v>
      </c>
      <c r="BM349" t="s">
        <v>1610</v>
      </c>
      <c r="BN349" t="s">
        <v>65</v>
      </c>
      <c r="BO349">
        <v>10</v>
      </c>
      <c r="BP349">
        <v>2023</v>
      </c>
      <c r="BQ349" t="str">
        <f t="shared" si="26"/>
        <v>Maeklong110</v>
      </c>
      <c r="BR349">
        <f t="shared" si="27"/>
        <v>-3211.3065499999993</v>
      </c>
      <c r="BS349">
        <f t="shared" si="28"/>
        <v>923.84021999999993</v>
      </c>
      <c r="BT349" s="6">
        <f t="shared" si="29"/>
        <v>-618.91938433903749</v>
      </c>
    </row>
    <row r="350" spans="1:72">
      <c r="A350" s="3" t="s">
        <v>967</v>
      </c>
      <c r="B350" s="3" t="s">
        <v>1600</v>
      </c>
      <c r="C350" s="3" t="s">
        <v>1602</v>
      </c>
      <c r="D350" s="2" t="s">
        <v>1611</v>
      </c>
      <c r="E350" s="4" t="str">
        <f t="shared" si="25"/>
        <v>Maeklong1A1-029-0012</v>
      </c>
      <c r="F350">
        <v>1.3</v>
      </c>
      <c r="G350">
        <v>2.2000000000000002</v>
      </c>
      <c r="H350" t="s">
        <v>72</v>
      </c>
      <c r="I350" t="s">
        <v>75</v>
      </c>
      <c r="J350" t="s">
        <v>95</v>
      </c>
      <c r="K350" t="s">
        <v>79</v>
      </c>
      <c r="L350" t="s">
        <v>79</v>
      </c>
      <c r="M350">
        <v>3.0390143737166326</v>
      </c>
      <c r="N350" s="5">
        <v>44821</v>
      </c>
      <c r="O350" s="5">
        <v>44838</v>
      </c>
      <c r="P350">
        <v>0.75</v>
      </c>
      <c r="Q350" s="4">
        <v>164</v>
      </c>
      <c r="R350">
        <v>0.22</v>
      </c>
      <c r="S350" t="s">
        <v>70</v>
      </c>
      <c r="T350" s="6">
        <v>5</v>
      </c>
      <c r="U350" s="5">
        <v>44951</v>
      </c>
      <c r="V350" s="6">
        <v>1</v>
      </c>
      <c r="W350" t="s">
        <v>86</v>
      </c>
      <c r="X350" s="6">
        <v>113</v>
      </c>
      <c r="Y350">
        <v>18.047930000000001</v>
      </c>
      <c r="Z350">
        <v>13.883023076923077</v>
      </c>
      <c r="AA350" s="6">
        <v>43.937171742133309</v>
      </c>
      <c r="AB350" s="4">
        <v>105.72999999999999</v>
      </c>
      <c r="AC350" s="6">
        <v>22.759771745641412</v>
      </c>
      <c r="AD350">
        <v>0.31410872299999998</v>
      </c>
      <c r="AE350">
        <v>2.0424505380270457</v>
      </c>
      <c r="AF350">
        <v>36525</v>
      </c>
      <c r="AG350" s="4">
        <v>4000</v>
      </c>
      <c r="AH350" s="4">
        <v>111000</v>
      </c>
      <c r="AL350">
        <v>28</v>
      </c>
      <c r="AM350">
        <v>2.8287300000000002</v>
      </c>
      <c r="AN350" t="s">
        <v>81</v>
      </c>
      <c r="AO350" t="s">
        <v>96</v>
      </c>
      <c r="AP350" s="5">
        <v>44839</v>
      </c>
      <c r="AQ350" t="s">
        <v>123</v>
      </c>
      <c r="AR350" s="5">
        <v>44950</v>
      </c>
      <c r="AS350">
        <v>230.99020330863428</v>
      </c>
      <c r="AT350" s="6"/>
      <c r="AU350">
        <v>16.622404896295581</v>
      </c>
      <c r="AV350">
        <v>58.141393500528856</v>
      </c>
      <c r="AW350">
        <v>14.65810372713103</v>
      </c>
      <c r="AX350">
        <v>89.421902123955476</v>
      </c>
      <c r="AY350">
        <v>6.7636183207714122</v>
      </c>
      <c r="AZ350">
        <v>14.765282777581694</v>
      </c>
      <c r="BA350">
        <v>2.242393448999414</v>
      </c>
      <c r="BB350">
        <v>4.451196342184395</v>
      </c>
      <c r="BC350">
        <v>5.4496698513347512</v>
      </c>
      <c r="BD350">
        <v>33.672160740871661</v>
      </c>
      <c r="BE350">
        <v>107.89614044380714</v>
      </c>
      <c r="BF350">
        <v>4.8374616922827158</v>
      </c>
      <c r="BH350">
        <v>4.8374616922827158</v>
      </c>
      <c r="BI350">
        <v>127.93152455710985</v>
      </c>
      <c r="BJ350" s="6">
        <v>177</v>
      </c>
      <c r="BK350">
        <v>103.05867875152443</v>
      </c>
      <c r="BL350" s="4">
        <v>1859.9958200000003</v>
      </c>
      <c r="BM350" t="s">
        <v>1612</v>
      </c>
      <c r="BN350" t="s">
        <v>65</v>
      </c>
      <c r="BO350">
        <v>1</v>
      </c>
      <c r="BP350">
        <v>2023</v>
      </c>
      <c r="BQ350" t="str">
        <f t="shared" si="26"/>
        <v>Maeklong11</v>
      </c>
      <c r="BR350">
        <f t="shared" si="27"/>
        <v>885.58441000000039</v>
      </c>
      <c r="BS350">
        <f t="shared" si="28"/>
        <v>4168.8950199999999</v>
      </c>
      <c r="BT350" s="6">
        <f t="shared" si="29"/>
        <v>49.068475442890147</v>
      </c>
    </row>
    <row r="351" spans="1:72">
      <c r="A351" s="3" t="s">
        <v>967</v>
      </c>
      <c r="B351" s="3" t="s">
        <v>1600</v>
      </c>
      <c r="C351" s="3" t="s">
        <v>1602</v>
      </c>
      <c r="D351" s="2" t="s">
        <v>2690</v>
      </c>
      <c r="E351" s="4" t="str">
        <f t="shared" si="25"/>
        <v>Maeklong1A1-029-0015</v>
      </c>
      <c r="F351">
        <v>1.3</v>
      </c>
      <c r="G351">
        <v>2.2000000000000002</v>
      </c>
      <c r="H351" t="s">
        <v>72</v>
      </c>
      <c r="I351" t="s">
        <v>75</v>
      </c>
      <c r="J351" t="s">
        <v>95</v>
      </c>
      <c r="K351" t="s">
        <v>79</v>
      </c>
      <c r="L351" t="s">
        <v>79</v>
      </c>
      <c r="M351">
        <v>2.6002844950213371</v>
      </c>
      <c r="N351" s="5">
        <v>45187</v>
      </c>
      <c r="O351" s="5">
        <v>45227</v>
      </c>
      <c r="P351">
        <v>0.9</v>
      </c>
      <c r="Q351" s="4">
        <v>197</v>
      </c>
      <c r="R351">
        <v>1</v>
      </c>
      <c r="S351" t="s">
        <v>70</v>
      </c>
      <c r="T351" s="6">
        <v>2</v>
      </c>
      <c r="U351" s="5">
        <v>45278</v>
      </c>
      <c r="V351" s="6">
        <v>2</v>
      </c>
      <c r="W351" t="s">
        <v>71</v>
      </c>
      <c r="X351" s="6">
        <v>51</v>
      </c>
      <c r="Y351">
        <v>10.911520000000001</v>
      </c>
      <c r="Z351">
        <v>8.3934769230769231</v>
      </c>
      <c r="AA351" s="6">
        <v>64.302865228675742</v>
      </c>
      <c r="AB351" s="4">
        <v>77.960222222222214</v>
      </c>
      <c r="AC351" s="6">
        <v>15.551406557760227</v>
      </c>
      <c r="AD351">
        <v>0.30718954199999998</v>
      </c>
      <c r="AE351">
        <v>1.7554776897014639</v>
      </c>
      <c r="AF351">
        <v>17575</v>
      </c>
      <c r="AG351" s="4">
        <v>3500</v>
      </c>
      <c r="AH351" s="4">
        <v>45700</v>
      </c>
      <c r="AI351" t="s">
        <v>100</v>
      </c>
      <c r="AJ351" t="s">
        <v>100</v>
      </c>
      <c r="AK351" t="s">
        <v>82</v>
      </c>
      <c r="AL351">
        <v>60</v>
      </c>
      <c r="AM351">
        <v>7.2959399999999999</v>
      </c>
      <c r="AN351" t="s">
        <v>100</v>
      </c>
      <c r="AO351" t="s">
        <v>96</v>
      </c>
      <c r="AP351" s="5">
        <v>45227</v>
      </c>
      <c r="AQ351" t="s">
        <v>170</v>
      </c>
      <c r="AR351" s="5">
        <v>45278</v>
      </c>
      <c r="AS351">
        <v>118.90825659486488</v>
      </c>
      <c r="AT351" s="6"/>
      <c r="AU351">
        <v>45.364898749211839</v>
      </c>
      <c r="AV351">
        <v>48.563082870214224</v>
      </c>
      <c r="AW351">
        <v>17.72977825270906</v>
      </c>
      <c r="AX351">
        <v>111.65775987213512</v>
      </c>
      <c r="AY351">
        <v>10.695804067627607</v>
      </c>
      <c r="AZ351">
        <v>12.80403921726762</v>
      </c>
      <c r="BA351">
        <v>4.564375998944235</v>
      </c>
      <c r="BB351">
        <v>8.8240364312213142</v>
      </c>
      <c r="BC351">
        <v>11.553933824068508</v>
      </c>
      <c r="BD351">
        <v>48.442189539129281</v>
      </c>
      <c r="BE351">
        <v>-41.191692816399517</v>
      </c>
      <c r="BF351">
        <v>5.7506681012361245</v>
      </c>
      <c r="BH351">
        <v>5.7506681012361245</v>
      </c>
      <c r="BI351">
        <v>165.85061751250055</v>
      </c>
      <c r="BJ351" s="6">
        <v>156</v>
      </c>
      <c r="BK351">
        <v>-46.942360917635675</v>
      </c>
      <c r="BL351" s="4">
        <v>-512.21251000000007</v>
      </c>
      <c r="BM351" t="s">
        <v>2691</v>
      </c>
      <c r="BN351" t="s">
        <v>65</v>
      </c>
      <c r="BO351">
        <v>12</v>
      </c>
      <c r="BP351">
        <v>2023</v>
      </c>
      <c r="BQ351" t="str">
        <f t="shared" si="26"/>
        <v>Maeklong112</v>
      </c>
      <c r="BR351">
        <f t="shared" si="27"/>
        <v>-107.48521</v>
      </c>
      <c r="BS351">
        <f t="shared" si="28"/>
        <v>1297.4698200000003</v>
      </c>
      <c r="BT351" s="6">
        <f t="shared" si="29"/>
        <v>-9.8506175125005484</v>
      </c>
    </row>
    <row r="352" spans="1:72">
      <c r="A352" s="3" t="s">
        <v>967</v>
      </c>
      <c r="B352" s="3" t="s">
        <v>1600</v>
      </c>
      <c r="C352" s="3" t="s">
        <v>1602</v>
      </c>
      <c r="D352" s="2" t="s">
        <v>2692</v>
      </c>
      <c r="E352" s="4" t="str">
        <f t="shared" si="25"/>
        <v>Maeklong1A1-006-0043</v>
      </c>
      <c r="F352">
        <v>3.42</v>
      </c>
      <c r="G352">
        <v>1.8</v>
      </c>
      <c r="H352" t="s">
        <v>72</v>
      </c>
      <c r="I352" t="s">
        <v>75</v>
      </c>
      <c r="J352" t="s">
        <v>95</v>
      </c>
      <c r="K352" t="s">
        <v>79</v>
      </c>
      <c r="L352" t="s">
        <v>79</v>
      </c>
      <c r="M352">
        <v>2.5784753363228701</v>
      </c>
      <c r="N352" s="5">
        <v>45178</v>
      </c>
      <c r="O352" s="5">
        <v>45199</v>
      </c>
      <c r="P352">
        <v>1.8</v>
      </c>
      <c r="Q352" s="4">
        <v>183</v>
      </c>
      <c r="R352">
        <v>0.45500000000000002</v>
      </c>
      <c r="S352" t="s">
        <v>70</v>
      </c>
      <c r="T352" s="6">
        <v>3</v>
      </c>
      <c r="U352" s="5">
        <v>45263</v>
      </c>
      <c r="V352" s="6">
        <v>1</v>
      </c>
      <c r="W352" t="s">
        <v>86</v>
      </c>
      <c r="X352" s="6">
        <v>64</v>
      </c>
      <c r="Y352">
        <v>19.13007</v>
      </c>
      <c r="Z352">
        <v>5.5935877192982453</v>
      </c>
      <c r="AA352" s="6">
        <v>51.859663869499691</v>
      </c>
      <c r="AB352" s="4">
        <v>55.115499999999997</v>
      </c>
      <c r="AC352" s="6">
        <v>19.282809131127664</v>
      </c>
      <c r="AD352">
        <v>0.30539062500000003</v>
      </c>
      <c r="AE352">
        <v>2.4356850801182017</v>
      </c>
      <c r="AF352">
        <v>44600</v>
      </c>
      <c r="AG352" s="4">
        <v>8500</v>
      </c>
      <c r="AH352" s="4">
        <v>115000</v>
      </c>
      <c r="AL352">
        <v>50</v>
      </c>
      <c r="AM352">
        <v>11.5426</v>
      </c>
      <c r="AN352" t="s">
        <v>81</v>
      </c>
      <c r="AO352" t="s">
        <v>176</v>
      </c>
      <c r="AP352" s="5">
        <v>45199</v>
      </c>
      <c r="AQ352" t="s">
        <v>131</v>
      </c>
      <c r="AR352" s="5">
        <v>45263</v>
      </c>
      <c r="AS352">
        <v>160.54791017492357</v>
      </c>
      <c r="AT352" s="6"/>
      <c r="AU352">
        <v>42.341716470457236</v>
      </c>
      <c r="AV352">
        <v>69.471830996959241</v>
      </c>
      <c r="AW352">
        <v>23.062037932950584</v>
      </c>
      <c r="AX352">
        <v>134.87558540036704</v>
      </c>
      <c r="AY352">
        <v>14.359087551692181</v>
      </c>
      <c r="AZ352">
        <v>21.303894862904311</v>
      </c>
      <c r="BA352">
        <v>5.4057063042633926</v>
      </c>
      <c r="BB352">
        <v>9.9619112737172451</v>
      </c>
      <c r="BC352">
        <v>17.375730982688509</v>
      </c>
      <c r="BD352">
        <v>68.406330975265632</v>
      </c>
      <c r="BE352">
        <v>-42.734006200709103</v>
      </c>
      <c r="BF352">
        <v>7.9083176381476905</v>
      </c>
      <c r="BH352">
        <v>7.9083176381476905</v>
      </c>
      <c r="BI352">
        <v>211.19023401378041</v>
      </c>
      <c r="BJ352" s="6">
        <v>167</v>
      </c>
      <c r="BK352">
        <v>-50.642323838856846</v>
      </c>
      <c r="BL352" s="4">
        <v>-968.79120000000023</v>
      </c>
      <c r="BM352" t="s">
        <v>2693</v>
      </c>
      <c r="BN352" t="s">
        <v>65</v>
      </c>
      <c r="BO352">
        <v>12</v>
      </c>
      <c r="BP352">
        <v>2023</v>
      </c>
      <c r="BQ352" t="str">
        <f t="shared" si="26"/>
        <v>Maeklong112</v>
      </c>
      <c r="BR352">
        <f t="shared" si="27"/>
        <v>-845.36227000000019</v>
      </c>
      <c r="BS352">
        <f t="shared" si="28"/>
        <v>3071.2927600000003</v>
      </c>
      <c r="BT352" s="6">
        <f t="shared" si="29"/>
        <v>-44.190234013780412</v>
      </c>
    </row>
    <row r="353" spans="1:72">
      <c r="A353" s="3" t="s">
        <v>967</v>
      </c>
      <c r="B353" s="3" t="s">
        <v>1600</v>
      </c>
      <c r="C353" s="3" t="s">
        <v>1602</v>
      </c>
      <c r="D353" s="2" t="s">
        <v>2688</v>
      </c>
      <c r="E353" s="4" t="str">
        <f t="shared" si="25"/>
        <v>Maeklong1A1-009-0044</v>
      </c>
      <c r="F353">
        <v>3.65</v>
      </c>
      <c r="G353">
        <v>1.8</v>
      </c>
      <c r="H353" t="s">
        <v>72</v>
      </c>
      <c r="I353" t="s">
        <v>75</v>
      </c>
      <c r="J353" t="s">
        <v>95</v>
      </c>
      <c r="K353" t="s">
        <v>79</v>
      </c>
      <c r="L353" t="s">
        <v>79</v>
      </c>
      <c r="M353">
        <v>2.5844930417495031</v>
      </c>
      <c r="N353" s="5">
        <v>45202</v>
      </c>
      <c r="O353" s="5">
        <v>45239</v>
      </c>
      <c r="P353">
        <v>1.1000000000000001</v>
      </c>
      <c r="Q353" s="4">
        <v>105</v>
      </c>
      <c r="R353">
        <v>1.25</v>
      </c>
      <c r="S353" t="s">
        <v>70</v>
      </c>
      <c r="T353" s="6">
        <v>1</v>
      </c>
      <c r="U353" s="5">
        <v>45275</v>
      </c>
      <c r="V353" s="6">
        <v>2</v>
      </c>
      <c r="W353" t="s">
        <v>71</v>
      </c>
      <c r="X353" s="6">
        <v>36</v>
      </c>
      <c r="Y353">
        <v>2.1665399999999999</v>
      </c>
      <c r="Z353">
        <v>0.59357260273972601</v>
      </c>
      <c r="AA353" s="6">
        <v>83.999833836439677</v>
      </c>
      <c r="AB353" s="4">
        <v>16.544454545454546</v>
      </c>
      <c r="AC353" s="6">
        <v>11.904785454065903</v>
      </c>
      <c r="AD353">
        <v>0.29596560799999999</v>
      </c>
      <c r="AE353">
        <v>15.886752406700863</v>
      </c>
      <c r="AF353">
        <v>12575</v>
      </c>
      <c r="AG353" s="4">
        <v>8000</v>
      </c>
      <c r="AH353" s="4">
        <v>32500</v>
      </c>
      <c r="AI353" t="s">
        <v>100</v>
      </c>
      <c r="AJ353" t="s">
        <v>100</v>
      </c>
      <c r="AK353" t="s">
        <v>134</v>
      </c>
      <c r="AL353">
        <v>84</v>
      </c>
      <c r="AM353">
        <v>2.1609799999999999</v>
      </c>
      <c r="AN353" t="s">
        <v>100</v>
      </c>
      <c r="AO353" t="s">
        <v>108</v>
      </c>
      <c r="AP353" s="5">
        <v>45239</v>
      </c>
      <c r="AQ353" t="s">
        <v>170</v>
      </c>
      <c r="AR353" s="5">
        <v>45274</v>
      </c>
      <c r="AS353">
        <v>122.55924192491254</v>
      </c>
      <c r="AT353" s="6"/>
      <c r="AU353">
        <v>330.01929343561625</v>
      </c>
      <c r="AV353">
        <v>175.61688221772962</v>
      </c>
      <c r="AW353">
        <v>197.40496367479949</v>
      </c>
      <c r="AX353">
        <v>703.04113932814539</v>
      </c>
      <c r="AY353">
        <v>125.219109732569</v>
      </c>
      <c r="AZ353">
        <v>72.730745797446616</v>
      </c>
      <c r="BA353">
        <v>40.850942055073993</v>
      </c>
      <c r="BB353">
        <v>102.79068468618165</v>
      </c>
      <c r="BC353">
        <v>129.8172431619079</v>
      </c>
      <c r="BD353">
        <v>471.40872543317914</v>
      </c>
      <c r="BE353">
        <v>-1051.8906228364121</v>
      </c>
      <c r="BF353">
        <v>67.138575793661786</v>
      </c>
      <c r="BH353">
        <v>67.138575793661786</v>
      </c>
      <c r="BI353">
        <v>1241.5884405549864</v>
      </c>
      <c r="BJ353" s="6">
        <v>150</v>
      </c>
      <c r="BK353">
        <v>-1119.0291986300738</v>
      </c>
      <c r="BL353" s="4">
        <v>-2424.4215199999999</v>
      </c>
      <c r="BM353" t="s">
        <v>2689</v>
      </c>
      <c r="BN353" t="s">
        <v>65</v>
      </c>
      <c r="BO353">
        <v>12</v>
      </c>
      <c r="BP353">
        <v>2023</v>
      </c>
      <c r="BQ353" t="str">
        <f t="shared" si="26"/>
        <v>Maeklong112</v>
      </c>
      <c r="BR353">
        <f t="shared" si="27"/>
        <v>-2364.9700200000002</v>
      </c>
      <c r="BS353">
        <f t="shared" si="28"/>
        <v>265.52949999999998</v>
      </c>
      <c r="BT353" s="6">
        <f t="shared" si="29"/>
        <v>-1091.5884405549864</v>
      </c>
    </row>
    <row r="354" spans="1:72">
      <c r="A354" s="3" t="s">
        <v>967</v>
      </c>
      <c r="B354" s="3" t="s">
        <v>1600</v>
      </c>
      <c r="C354" s="3" t="s">
        <v>1602</v>
      </c>
      <c r="D354" s="2" t="s">
        <v>1613</v>
      </c>
      <c r="E354" s="4" t="str">
        <f t="shared" si="25"/>
        <v>Maeklong1A1-006-0041</v>
      </c>
      <c r="F354">
        <v>3.42</v>
      </c>
      <c r="G354">
        <v>1.8</v>
      </c>
      <c r="H354" t="s">
        <v>72</v>
      </c>
      <c r="I354" t="s">
        <v>75</v>
      </c>
      <c r="J354" t="s">
        <v>95</v>
      </c>
      <c r="K354" t="s">
        <v>79</v>
      </c>
      <c r="L354" t="s">
        <v>79</v>
      </c>
      <c r="M354">
        <v>2.3784722222222223</v>
      </c>
      <c r="N354" s="5">
        <v>44891</v>
      </c>
      <c r="O354" s="5">
        <v>44915</v>
      </c>
      <c r="P354">
        <v>1.2</v>
      </c>
      <c r="Q354" s="4">
        <v>122</v>
      </c>
      <c r="R354">
        <v>0.61</v>
      </c>
      <c r="S354" t="s">
        <v>70</v>
      </c>
      <c r="T354" s="6">
        <v>3</v>
      </c>
      <c r="U354" s="5">
        <v>45003</v>
      </c>
      <c r="V354" s="6">
        <v>1</v>
      </c>
      <c r="W354" t="s">
        <v>86</v>
      </c>
      <c r="X354" s="6">
        <v>88</v>
      </c>
      <c r="Y354">
        <v>23.152080000000002</v>
      </c>
      <c r="Z354">
        <v>6.7696140350877201</v>
      </c>
      <c r="AA354" s="6">
        <v>41.64684123413533</v>
      </c>
      <c r="AB354" s="4">
        <v>80.350916666666677</v>
      </c>
      <c r="AC354" s="6">
        <v>24.011424885217036</v>
      </c>
      <c r="AD354">
        <v>0.27715909100000002</v>
      </c>
      <c r="AE354">
        <v>2.5691255338963996</v>
      </c>
      <c r="AF354">
        <v>57600</v>
      </c>
      <c r="AG354" s="4">
        <v>5000</v>
      </c>
      <c r="AH354" s="4">
        <v>137000</v>
      </c>
      <c r="AL354">
        <v>40</v>
      </c>
      <c r="AM354">
        <v>4.3940600000000005</v>
      </c>
      <c r="AN354" t="s">
        <v>81</v>
      </c>
      <c r="AO354" t="s">
        <v>136</v>
      </c>
      <c r="AP354" s="5">
        <v>44915</v>
      </c>
      <c r="AQ354" t="s">
        <v>123</v>
      </c>
      <c r="AR354" s="5">
        <v>45002</v>
      </c>
      <c r="AS354">
        <v>219.35925843379948</v>
      </c>
      <c r="AT354" s="6"/>
      <c r="AU354">
        <v>25.915598080172497</v>
      </c>
      <c r="AV354">
        <v>75.669246564455534</v>
      </c>
      <c r="AW354">
        <v>21.556524079046024</v>
      </c>
      <c r="AX354">
        <v>123.14136872367403</v>
      </c>
      <c r="AY354">
        <v>12.233240382721553</v>
      </c>
      <c r="AZ354">
        <v>28.599166899907051</v>
      </c>
      <c r="BA354">
        <v>4.5579684417123651</v>
      </c>
      <c r="BB354">
        <v>6.647476598214932</v>
      </c>
      <c r="BC354">
        <v>9.2720524462596874</v>
      </c>
      <c r="BD354">
        <v>61.309904768815585</v>
      </c>
      <c r="BE354">
        <v>34.907984941309863</v>
      </c>
      <c r="BF354">
        <v>8.3944578629652273</v>
      </c>
      <c r="BH354">
        <v>8.3944578629652273</v>
      </c>
      <c r="BI354">
        <v>192.84573135545492</v>
      </c>
      <c r="BJ354" s="6">
        <v>181</v>
      </c>
      <c r="BK354">
        <v>26.51352707834457</v>
      </c>
      <c r="BL354" s="4">
        <v>613.84329999999977</v>
      </c>
      <c r="BM354" t="s">
        <v>1614</v>
      </c>
      <c r="BN354" t="s">
        <v>65</v>
      </c>
      <c r="BO354">
        <v>3</v>
      </c>
      <c r="BP354">
        <v>2023</v>
      </c>
      <c r="BQ354" t="str">
        <f t="shared" si="26"/>
        <v>Maeklong13</v>
      </c>
      <c r="BR354">
        <f t="shared" si="27"/>
        <v>-274.25332000000066</v>
      </c>
      <c r="BS354">
        <f t="shared" si="28"/>
        <v>5078.6231000000007</v>
      </c>
      <c r="BT354" s="6">
        <f t="shared" si="29"/>
        <v>-11.845731355454916</v>
      </c>
    </row>
    <row r="355" spans="1:72">
      <c r="A355" s="3" t="s">
        <v>967</v>
      </c>
      <c r="B355" s="3" t="s">
        <v>1600</v>
      </c>
      <c r="C355" s="3" t="s">
        <v>1602</v>
      </c>
      <c r="D355" s="2" t="s">
        <v>1615</v>
      </c>
      <c r="E355" s="4" t="str">
        <f t="shared" si="25"/>
        <v>Maeklong1A1-030-0006</v>
      </c>
      <c r="F355">
        <v>1.3</v>
      </c>
      <c r="G355">
        <v>2.2000000000000002</v>
      </c>
      <c r="H355" t="s">
        <v>72</v>
      </c>
      <c r="I355" t="s">
        <v>75</v>
      </c>
      <c r="J355" t="s">
        <v>95</v>
      </c>
      <c r="K355" t="s">
        <v>79</v>
      </c>
      <c r="L355" t="s">
        <v>79</v>
      </c>
      <c r="M355">
        <v>2.5910931174089069</v>
      </c>
      <c r="N355" s="5">
        <v>44877</v>
      </c>
      <c r="O355" s="5">
        <v>44892</v>
      </c>
      <c r="P355">
        <v>0.9</v>
      </c>
      <c r="Q355" s="4">
        <v>197</v>
      </c>
      <c r="R355">
        <v>0.48099999999999998</v>
      </c>
      <c r="S355" t="s">
        <v>70</v>
      </c>
      <c r="T355" s="6">
        <v>3</v>
      </c>
      <c r="U355" s="5">
        <v>45011</v>
      </c>
      <c r="V355" s="6">
        <v>1</v>
      </c>
      <c r="W355" t="s">
        <v>86</v>
      </c>
      <c r="X355" s="6">
        <v>118.99999999999999</v>
      </c>
      <c r="Y355">
        <v>14.99893</v>
      </c>
      <c r="Z355">
        <v>11.53763846153846</v>
      </c>
      <c r="AA355" s="6">
        <v>39.914313887723992</v>
      </c>
      <c r="AB355" s="4">
        <v>66.519111111111101</v>
      </c>
      <c r="AC355" s="6">
        <v>25.053668786915036</v>
      </c>
      <c r="AD355">
        <v>0.24311567000000003</v>
      </c>
      <c r="AE355">
        <v>2.1196724136392251</v>
      </c>
      <c r="AF355">
        <v>30875</v>
      </c>
      <c r="AG355" s="4">
        <v>3500</v>
      </c>
      <c r="AH355" s="4">
        <v>80000</v>
      </c>
      <c r="AL355">
        <v>34</v>
      </c>
      <c r="AM355">
        <v>6.6980500000000003</v>
      </c>
      <c r="AN355" t="s">
        <v>81</v>
      </c>
      <c r="AO355" t="s">
        <v>136</v>
      </c>
      <c r="AP355" s="5">
        <v>44892</v>
      </c>
      <c r="AQ355" t="s">
        <v>131</v>
      </c>
      <c r="AR355" s="5">
        <v>45010</v>
      </c>
      <c r="AS355">
        <v>225.40944254023452</v>
      </c>
      <c r="AT355" s="6"/>
      <c r="AU355">
        <v>27.001926137397799</v>
      </c>
      <c r="AV355">
        <v>61.998845917675467</v>
      </c>
      <c r="AW355">
        <v>16.481345669324416</v>
      </c>
      <c r="AX355">
        <v>105.48211772439768</v>
      </c>
      <c r="AY355">
        <v>8.6251145915075274</v>
      </c>
      <c r="AZ355">
        <v>19.931418441182139</v>
      </c>
      <c r="BA355">
        <v>2.9181094918104153</v>
      </c>
      <c r="BB355">
        <v>4.7878542002662856</v>
      </c>
      <c r="BC355">
        <v>6.5765084576033104</v>
      </c>
      <c r="BD355">
        <v>42.839005182369675</v>
      </c>
      <c r="BE355">
        <v>77.088319633467165</v>
      </c>
      <c r="BF355">
        <v>5.8888220693076105</v>
      </c>
      <c r="BH355">
        <v>5.8888220693076105</v>
      </c>
      <c r="BI355">
        <v>154.20994497607495</v>
      </c>
      <c r="BJ355" s="6">
        <v>182</v>
      </c>
      <c r="BK355">
        <v>71.199497564159557</v>
      </c>
      <c r="BL355" s="4">
        <v>1067.9162799999997</v>
      </c>
      <c r="BM355" t="s">
        <v>1616</v>
      </c>
      <c r="BN355" t="s">
        <v>65</v>
      </c>
      <c r="BO355">
        <v>3</v>
      </c>
      <c r="BP355">
        <v>2023</v>
      </c>
      <c r="BQ355" t="str">
        <f t="shared" si="26"/>
        <v>Maeklong13</v>
      </c>
      <c r="BR355">
        <f t="shared" si="27"/>
        <v>416.82109000000014</v>
      </c>
      <c r="BS355">
        <f t="shared" si="28"/>
        <v>3380.9004499999996</v>
      </c>
      <c r="BT355" s="6">
        <f t="shared" si="29"/>
        <v>27.790055023925049</v>
      </c>
    </row>
    <row r="356" spans="1:72">
      <c r="A356" s="3" t="s">
        <v>967</v>
      </c>
      <c r="B356" s="3" t="s">
        <v>1600</v>
      </c>
      <c r="C356" s="3" t="s">
        <v>1602</v>
      </c>
      <c r="D356" s="2" t="s">
        <v>1603</v>
      </c>
      <c r="E356" s="4" t="str">
        <f t="shared" si="25"/>
        <v>Maeklong1A1-005-0042</v>
      </c>
      <c r="F356">
        <v>3.42</v>
      </c>
      <c r="G356">
        <v>1.6</v>
      </c>
      <c r="H356" t="s">
        <v>72</v>
      </c>
      <c r="I356" t="s">
        <v>75</v>
      </c>
      <c r="J356" t="s">
        <v>95</v>
      </c>
      <c r="K356" t="s">
        <v>79</v>
      </c>
      <c r="L356" t="s">
        <v>79</v>
      </c>
      <c r="M356">
        <v>1.6223067173637515</v>
      </c>
      <c r="N356" s="5">
        <v>44849</v>
      </c>
      <c r="O356" s="5">
        <v>44884</v>
      </c>
      <c r="P356">
        <v>1.1000000000000001</v>
      </c>
      <c r="Q356" s="4">
        <v>126</v>
      </c>
      <c r="R356">
        <v>0.45</v>
      </c>
      <c r="S356" t="s">
        <v>70</v>
      </c>
      <c r="T356" s="6">
        <v>1</v>
      </c>
      <c r="U356" s="5">
        <v>44937</v>
      </c>
      <c r="V356" s="6">
        <v>2</v>
      </c>
      <c r="W356" t="s">
        <v>71</v>
      </c>
      <c r="X356" s="6">
        <v>53</v>
      </c>
      <c r="Y356">
        <v>14.958639999999999</v>
      </c>
      <c r="Z356">
        <v>4.3738713450292392</v>
      </c>
      <c r="AA356" s="6">
        <v>78.000005348079782</v>
      </c>
      <c r="AB356" s="4">
        <v>106.07036363636364</v>
      </c>
      <c r="AC356" s="6">
        <v>12.820511941472811</v>
      </c>
      <c r="AD356">
        <v>0.233405902</v>
      </c>
      <c r="AE356">
        <v>1.3637645848486273</v>
      </c>
      <c r="AF356">
        <v>19725</v>
      </c>
      <c r="AG356" s="4">
        <v>8200</v>
      </c>
      <c r="AH356" s="4">
        <v>32000</v>
      </c>
      <c r="AI356" t="s">
        <v>100</v>
      </c>
      <c r="AJ356" t="s">
        <v>100</v>
      </c>
      <c r="AK356" t="s">
        <v>80</v>
      </c>
      <c r="AL356">
        <v>78</v>
      </c>
      <c r="AM356">
        <v>14.958639999999999</v>
      </c>
      <c r="AN356" t="s">
        <v>100</v>
      </c>
      <c r="AO356" t="s">
        <v>96</v>
      </c>
      <c r="AP356" s="5">
        <v>44884</v>
      </c>
      <c r="AQ356" t="s">
        <v>123</v>
      </c>
      <c r="AR356" s="5">
        <v>44936</v>
      </c>
      <c r="AS356">
        <v>172.51658506388284</v>
      </c>
      <c r="AT356" s="6"/>
      <c r="AU356">
        <v>33.091243588989371</v>
      </c>
      <c r="AV356">
        <v>38.003186118524141</v>
      </c>
      <c r="AW356">
        <v>28.150101212409687</v>
      </c>
      <c r="AX356">
        <v>99.244530919923207</v>
      </c>
      <c r="AY356">
        <v>14.579525946209014</v>
      </c>
      <c r="AZ356">
        <v>30.644839370424052</v>
      </c>
      <c r="BA356">
        <v>4.2767076418711865</v>
      </c>
      <c r="BB356">
        <v>10.077428830428437</v>
      </c>
      <c r="BC356">
        <v>12.970078830695838</v>
      </c>
      <c r="BD356">
        <v>72.548580619628538</v>
      </c>
      <c r="BE356">
        <v>0.72347352433109791</v>
      </c>
      <c r="BF356">
        <v>10.381144275148008</v>
      </c>
      <c r="BH356">
        <v>10.381144275148008</v>
      </c>
      <c r="BI356">
        <v>182.17425581469973</v>
      </c>
      <c r="BJ356" s="6">
        <v>150</v>
      </c>
      <c r="BK356">
        <v>-9.6576707508168962</v>
      </c>
      <c r="BL356" s="4">
        <v>-144.46561999999966</v>
      </c>
      <c r="BM356" t="s">
        <v>1604</v>
      </c>
      <c r="BN356" t="s">
        <v>65</v>
      </c>
      <c r="BO356">
        <v>1</v>
      </c>
      <c r="BP356">
        <v>2023</v>
      </c>
      <c r="BQ356" t="str">
        <f t="shared" si="26"/>
        <v>Maeklong11</v>
      </c>
      <c r="BR356">
        <f t="shared" si="27"/>
        <v>-481.28311000000002</v>
      </c>
      <c r="BS356">
        <f t="shared" si="28"/>
        <v>2580.6134900000002</v>
      </c>
      <c r="BT356" s="6">
        <f t="shared" si="29"/>
        <v>-32.174255814699734</v>
      </c>
    </row>
    <row r="357" spans="1:72">
      <c r="A357" s="3" t="s">
        <v>967</v>
      </c>
      <c r="B357" s="3" t="s">
        <v>1600</v>
      </c>
      <c r="C357" s="3" t="s">
        <v>1602</v>
      </c>
      <c r="D357" s="2" t="s">
        <v>154</v>
      </c>
      <c r="E357" s="4" t="str">
        <f t="shared" si="25"/>
        <v>Maeklong1A1-009-0042</v>
      </c>
      <c r="F357">
        <v>3.65</v>
      </c>
      <c r="G357">
        <v>1.8</v>
      </c>
      <c r="H357" t="s">
        <v>72</v>
      </c>
      <c r="I357" t="s">
        <v>75</v>
      </c>
      <c r="J357" t="s">
        <v>95</v>
      </c>
      <c r="K357" t="s">
        <v>79</v>
      </c>
      <c r="L357" t="s">
        <v>79</v>
      </c>
      <c r="M357">
        <v>2.7794561933534743</v>
      </c>
      <c r="N357" s="5">
        <v>44917</v>
      </c>
      <c r="O357" s="5">
        <v>44947</v>
      </c>
      <c r="P357">
        <v>1.3</v>
      </c>
      <c r="Q357" s="4">
        <v>124</v>
      </c>
      <c r="R357">
        <v>0.11</v>
      </c>
      <c r="S357" t="s">
        <v>70</v>
      </c>
      <c r="T357" s="6">
        <v>1</v>
      </c>
      <c r="U357" s="5">
        <v>45028</v>
      </c>
      <c r="V357" s="6">
        <v>2</v>
      </c>
      <c r="W357" t="s">
        <v>71</v>
      </c>
      <c r="X357" s="6">
        <v>81</v>
      </c>
      <c r="Y357">
        <v>15.83165</v>
      </c>
      <c r="Z357">
        <v>4.3374383561643839</v>
      </c>
      <c r="AA357" s="6">
        <v>67.000028424074557</v>
      </c>
      <c r="AB357" s="4">
        <v>81.593923076923076</v>
      </c>
      <c r="AC357" s="6">
        <v>14.925366802391958</v>
      </c>
      <c r="AD357">
        <v>0.18290584100000001</v>
      </c>
      <c r="AE357">
        <v>1.5823541222476121</v>
      </c>
      <c r="AF357">
        <v>24825</v>
      </c>
      <c r="AG357" s="4">
        <v>8500</v>
      </c>
      <c r="AH357" s="4">
        <v>69000</v>
      </c>
      <c r="AI357" t="s">
        <v>100</v>
      </c>
      <c r="AJ357" t="s">
        <v>100</v>
      </c>
      <c r="AK357" t="s">
        <v>1607</v>
      </c>
      <c r="AL357">
        <v>67</v>
      </c>
      <c r="AM357">
        <v>15.83165</v>
      </c>
      <c r="AN357" t="s">
        <v>100</v>
      </c>
      <c r="AO357" t="s">
        <v>123</v>
      </c>
      <c r="AP357" s="5">
        <v>44947</v>
      </c>
      <c r="AQ357" t="s">
        <v>131</v>
      </c>
      <c r="AR357" s="5">
        <v>45027</v>
      </c>
      <c r="AS357">
        <v>85.20016106975585</v>
      </c>
      <c r="AT357" s="6"/>
      <c r="AU357">
        <v>32.845597268762262</v>
      </c>
      <c r="AV357">
        <v>47.729054141545582</v>
      </c>
      <c r="AW357">
        <v>36.335505143178381</v>
      </c>
      <c r="AX357">
        <v>116.91015655348623</v>
      </c>
      <c r="AY357">
        <v>19.273290528782535</v>
      </c>
      <c r="AZ357">
        <v>45.849130065406946</v>
      </c>
      <c r="BA357">
        <v>7.4246638853183349</v>
      </c>
      <c r="BB357">
        <v>9.1467377057981967</v>
      </c>
      <c r="BC357">
        <v>13.002209498062427</v>
      </c>
      <c r="BD357">
        <v>94.696031683368446</v>
      </c>
      <c r="BE357">
        <v>-126.40602716709883</v>
      </c>
      <c r="BF357">
        <v>12.707256666235041</v>
      </c>
      <c r="BH357">
        <v>12.707256666235041</v>
      </c>
      <c r="BI357">
        <v>224.3134449030897</v>
      </c>
      <c r="BJ357" s="6">
        <v>151</v>
      </c>
      <c r="BK357">
        <v>-139.1132838333339</v>
      </c>
      <c r="BL357" s="4">
        <v>-2202.3928200000005</v>
      </c>
      <c r="BM357" t="s">
        <v>1608</v>
      </c>
      <c r="BN357" t="s">
        <v>65</v>
      </c>
      <c r="BO357">
        <v>4</v>
      </c>
      <c r="BP357">
        <v>2023</v>
      </c>
      <c r="BQ357" t="str">
        <f t="shared" si="26"/>
        <v>Maeklong14</v>
      </c>
      <c r="BR357">
        <f t="shared" si="27"/>
        <v>-1160.6728000000001</v>
      </c>
      <c r="BS357">
        <f t="shared" si="28"/>
        <v>1348.8591300000003</v>
      </c>
      <c r="BT357" s="6">
        <f t="shared" si="29"/>
        <v>-73.313444903089703</v>
      </c>
    </row>
    <row r="358" spans="1:72">
      <c r="A358" s="3" t="s">
        <v>967</v>
      </c>
      <c r="B358" s="3" t="s">
        <v>1600</v>
      </c>
      <c r="C358" s="3" t="s">
        <v>1602</v>
      </c>
      <c r="D358" s="2" t="s">
        <v>1605</v>
      </c>
      <c r="E358" s="4" t="str">
        <f t="shared" si="25"/>
        <v>Maeklong1A1-002-0033</v>
      </c>
      <c r="F358">
        <v>3.61</v>
      </c>
      <c r="G358">
        <v>2</v>
      </c>
      <c r="H358" t="s">
        <v>72</v>
      </c>
      <c r="I358" t="s">
        <v>75</v>
      </c>
      <c r="J358" t="s">
        <v>95</v>
      </c>
      <c r="K358" t="s">
        <v>79</v>
      </c>
      <c r="L358" t="s">
        <v>79</v>
      </c>
      <c r="M358">
        <v>2.4778761061946901</v>
      </c>
      <c r="N358" s="5">
        <v>44854</v>
      </c>
      <c r="O358" s="5">
        <v>44898</v>
      </c>
      <c r="P358">
        <v>1.25</v>
      </c>
      <c r="Q358" s="4">
        <v>108</v>
      </c>
      <c r="R358">
        <v>0.45500000000000002</v>
      </c>
      <c r="S358" t="s">
        <v>70</v>
      </c>
      <c r="T358" s="6">
        <v>2</v>
      </c>
      <c r="U358" s="5">
        <v>44970</v>
      </c>
      <c r="V358" s="6">
        <v>2</v>
      </c>
      <c r="W358" t="s">
        <v>71</v>
      </c>
      <c r="X358" s="6">
        <v>72</v>
      </c>
      <c r="Y358">
        <v>13.604340000000001</v>
      </c>
      <c r="Z358">
        <v>3.7685152354570639</v>
      </c>
      <c r="AA358" s="6">
        <v>73.997489036586856</v>
      </c>
      <c r="AB358" s="4">
        <v>80.534959999999998</v>
      </c>
      <c r="AC358" s="6">
        <v>13.513972068776093</v>
      </c>
      <c r="AD358">
        <v>0.18136824300000001</v>
      </c>
      <c r="AE358">
        <v>1.5170007648292099</v>
      </c>
      <c r="AF358">
        <v>19775</v>
      </c>
      <c r="AG358" s="4">
        <v>17200</v>
      </c>
      <c r="AH358" s="4">
        <v>49000</v>
      </c>
      <c r="AI358" t="s">
        <v>73</v>
      </c>
      <c r="AJ358" t="s">
        <v>73</v>
      </c>
      <c r="AK358" t="s">
        <v>1606</v>
      </c>
      <c r="AL358">
        <v>74</v>
      </c>
      <c r="AM358">
        <v>6.0441400000000005</v>
      </c>
      <c r="AN358" t="s">
        <v>73</v>
      </c>
      <c r="AO358" t="s">
        <v>108</v>
      </c>
      <c r="AP358" s="5">
        <v>44898</v>
      </c>
      <c r="AQ358" t="s">
        <v>116</v>
      </c>
      <c r="AR358" s="5">
        <v>44968</v>
      </c>
      <c r="AS358">
        <v>180.07541563942092</v>
      </c>
      <c r="AT358" s="6"/>
      <c r="AU358">
        <v>41.347099528532809</v>
      </c>
      <c r="AV358">
        <v>42.735359451469172</v>
      </c>
      <c r="AW358">
        <v>41.740837115214696</v>
      </c>
      <c r="AX358">
        <v>125.82329609521666</v>
      </c>
      <c r="AY358">
        <v>22.455063604702616</v>
      </c>
      <c r="AZ358">
        <v>49.662577530405734</v>
      </c>
      <c r="BA358">
        <v>7.3523824014983452</v>
      </c>
      <c r="BB358">
        <v>12.239773484049943</v>
      </c>
      <c r="BC358">
        <v>17.736906016756414</v>
      </c>
      <c r="BD358">
        <v>109.44670303741306</v>
      </c>
      <c r="BE358">
        <v>-55.194583493208796</v>
      </c>
      <c r="BF358">
        <v>15.832590188131141</v>
      </c>
      <c r="BH358">
        <v>15.832590188131141</v>
      </c>
      <c r="BI358">
        <v>251.1025893207609</v>
      </c>
      <c r="BJ358" s="6">
        <v>150</v>
      </c>
      <c r="BK358">
        <v>-71.027173681339974</v>
      </c>
      <c r="BL358" s="4">
        <v>-966.27782000000082</v>
      </c>
      <c r="BM358" t="s">
        <v>1601</v>
      </c>
      <c r="BN358" t="s">
        <v>65</v>
      </c>
      <c r="BO358">
        <v>2</v>
      </c>
      <c r="BP358">
        <v>2023</v>
      </c>
      <c r="BQ358" t="str">
        <f t="shared" si="26"/>
        <v>Maeklong12</v>
      </c>
      <c r="BR358">
        <f t="shared" si="27"/>
        <v>-1375.4340000000004</v>
      </c>
      <c r="BS358">
        <f t="shared" si="28"/>
        <v>2449.8071799999998</v>
      </c>
      <c r="BT358" s="6">
        <f t="shared" si="29"/>
        <v>-101.1025893207609</v>
      </c>
    </row>
    <row r="359" spans="1:72">
      <c r="A359" s="3" t="s">
        <v>967</v>
      </c>
      <c r="B359" s="3" t="s">
        <v>1600</v>
      </c>
      <c r="C359" s="3" t="s">
        <v>1602</v>
      </c>
      <c r="D359" s="2" t="s">
        <v>1630</v>
      </c>
      <c r="E359" s="4" t="str">
        <f t="shared" si="25"/>
        <v>Maeklong1A1-005-0043</v>
      </c>
      <c r="F359">
        <v>3.42</v>
      </c>
      <c r="G359">
        <v>1.8</v>
      </c>
      <c r="H359" t="s">
        <v>72</v>
      </c>
      <c r="I359" t="s">
        <v>75</v>
      </c>
      <c r="J359" t="s">
        <v>95</v>
      </c>
      <c r="K359" t="s">
        <v>79</v>
      </c>
      <c r="L359" t="s">
        <v>79</v>
      </c>
      <c r="M359">
        <v>1.6304347826086956</v>
      </c>
      <c r="N359" s="5">
        <v>44938</v>
      </c>
      <c r="O359" s="5">
        <v>44968</v>
      </c>
      <c r="P359">
        <v>1.5</v>
      </c>
      <c r="Q359" s="4">
        <v>152</v>
      </c>
      <c r="R359">
        <v>0.61299999999999999</v>
      </c>
      <c r="S359" t="s">
        <v>70</v>
      </c>
      <c r="T359" s="6"/>
      <c r="U359" s="5">
        <v>44999</v>
      </c>
      <c r="V359" s="6">
        <v>3</v>
      </c>
      <c r="W359" t="s">
        <v>2831</v>
      </c>
      <c r="X359" s="6"/>
      <c r="AA359" s="6"/>
      <c r="AB359" s="4"/>
      <c r="AC359" s="6"/>
      <c r="AF359">
        <v>9200</v>
      </c>
      <c r="AG359" s="4">
        <v>8500</v>
      </c>
      <c r="AH359" s="4">
        <v>15000</v>
      </c>
      <c r="AI359" t="s">
        <v>100</v>
      </c>
      <c r="AJ359" t="s">
        <v>100</v>
      </c>
      <c r="AK359" t="s">
        <v>116</v>
      </c>
      <c r="AN359" t="s">
        <v>100</v>
      </c>
      <c r="AO359" t="s">
        <v>123</v>
      </c>
      <c r="AP359" s="5">
        <v>44968</v>
      </c>
      <c r="AQ359" t="s">
        <v>123</v>
      </c>
      <c r="AR359" s="5">
        <v>44999</v>
      </c>
      <c r="AT359" s="6"/>
      <c r="BJ359" s="6"/>
      <c r="BL359" s="4">
        <v>-2223.5787999999998</v>
      </c>
      <c r="BM359" t="s">
        <v>2853</v>
      </c>
      <c r="BN359" t="s">
        <v>65</v>
      </c>
      <c r="BO359">
        <v>3</v>
      </c>
      <c r="BP359">
        <v>2023</v>
      </c>
      <c r="BQ359" t="str">
        <f t="shared" si="26"/>
        <v>Maeklong13</v>
      </c>
      <c r="BR359">
        <f t="shared" si="27"/>
        <v>0</v>
      </c>
      <c r="BS359">
        <f t="shared" si="28"/>
        <v>0</v>
      </c>
      <c r="BT359" s="6">
        <f t="shared" si="29"/>
        <v>0</v>
      </c>
    </row>
    <row r="360" spans="1:72">
      <c r="A360" s="3" t="s">
        <v>967</v>
      </c>
      <c r="B360" s="3" t="s">
        <v>1574</v>
      </c>
      <c r="C360" s="3" t="s">
        <v>1576</v>
      </c>
      <c r="D360" s="2" t="s">
        <v>1589</v>
      </c>
      <c r="E360" s="4" t="str">
        <f t="shared" si="25"/>
        <v>PB5A1-009-0048</v>
      </c>
      <c r="F360">
        <v>4.62</v>
      </c>
      <c r="G360">
        <v>1.9</v>
      </c>
      <c r="H360" t="s">
        <v>72</v>
      </c>
      <c r="I360" t="s">
        <v>75</v>
      </c>
      <c r="J360" t="s">
        <v>641</v>
      </c>
      <c r="K360" t="s">
        <v>79</v>
      </c>
      <c r="L360" t="s">
        <v>79</v>
      </c>
      <c r="M360">
        <v>4.3742953776775648</v>
      </c>
      <c r="N360" s="5">
        <v>45008</v>
      </c>
      <c r="O360" s="5">
        <v>45035</v>
      </c>
      <c r="P360">
        <v>1.4</v>
      </c>
      <c r="Q360" s="4">
        <v>100</v>
      </c>
      <c r="R360">
        <v>0.40500000000000003</v>
      </c>
      <c r="S360" t="s">
        <v>70</v>
      </c>
      <c r="T360" s="6">
        <v>4</v>
      </c>
      <c r="U360" s="5">
        <v>45168</v>
      </c>
      <c r="V360" s="6">
        <v>1</v>
      </c>
      <c r="W360" t="s">
        <v>86</v>
      </c>
      <c r="X360" s="6">
        <v>133</v>
      </c>
      <c r="Y360">
        <v>30.779799999999998</v>
      </c>
      <c r="Z360">
        <v>6.6622943722943715</v>
      </c>
      <c r="AA360" s="6">
        <v>29.179396877172692</v>
      </c>
      <c r="AB360" s="4">
        <v>64.15257142857142</v>
      </c>
      <c r="AC360" s="6">
        <v>34.270756321982418</v>
      </c>
      <c r="AD360">
        <v>0.39268104500000001</v>
      </c>
      <c r="AE360">
        <v>2.2018849657843127</v>
      </c>
      <c r="AF360">
        <v>66525</v>
      </c>
      <c r="AG360" s="4">
        <v>28000</v>
      </c>
      <c r="AH360" s="4">
        <v>291000</v>
      </c>
      <c r="AL360">
        <v>19</v>
      </c>
      <c r="AM360">
        <v>12.090059999999999</v>
      </c>
      <c r="AN360" t="s">
        <v>81</v>
      </c>
      <c r="AO360" t="s">
        <v>198</v>
      </c>
      <c r="AP360" s="5">
        <v>45037</v>
      </c>
      <c r="AQ360" t="s">
        <v>189</v>
      </c>
      <c r="AR360" s="5">
        <v>45166</v>
      </c>
      <c r="AS360">
        <v>202.83684526865025</v>
      </c>
      <c r="AT360" s="6"/>
      <c r="AU360">
        <v>19.330859849641655</v>
      </c>
      <c r="AV360">
        <v>65.962893845963919</v>
      </c>
      <c r="AW360">
        <v>49.186766320768832</v>
      </c>
      <c r="AX360">
        <v>134.48052001637441</v>
      </c>
      <c r="AY360">
        <v>16.056332724709062</v>
      </c>
      <c r="AZ360">
        <v>28.73908797328118</v>
      </c>
      <c r="BA360">
        <v>6.0857802844722819</v>
      </c>
      <c r="BB360">
        <v>11.913702493193584</v>
      </c>
      <c r="BC360">
        <v>16.158547813825951</v>
      </c>
      <c r="BD360">
        <v>78.953451289482061</v>
      </c>
      <c r="BE360">
        <v>-10.597126037206223</v>
      </c>
      <c r="BF360">
        <v>10.03533518736314</v>
      </c>
      <c r="BG360">
        <v>1.5402384031085323</v>
      </c>
      <c r="BH360">
        <v>11.575573590471672</v>
      </c>
      <c r="BI360">
        <v>225.00954489632815</v>
      </c>
      <c r="BJ360" s="6">
        <v>200</v>
      </c>
      <c r="BK360">
        <v>-22.172699627677886</v>
      </c>
      <c r="BL360" s="4">
        <v>-682.4712599999998</v>
      </c>
      <c r="BM360" t="s">
        <v>1590</v>
      </c>
      <c r="BN360" t="s">
        <v>65</v>
      </c>
      <c r="BO360">
        <v>8</v>
      </c>
      <c r="BP360">
        <v>2023</v>
      </c>
      <c r="BQ360" t="str">
        <f t="shared" si="26"/>
        <v>PB58</v>
      </c>
      <c r="BR360">
        <f t="shared" si="27"/>
        <v>-769.7887900000012</v>
      </c>
      <c r="BS360">
        <f t="shared" si="28"/>
        <v>6243.2775300000003</v>
      </c>
      <c r="BT360" s="6">
        <f t="shared" si="29"/>
        <v>-25.009544896328151</v>
      </c>
    </row>
    <row r="361" spans="1:72">
      <c r="A361" s="3" t="s">
        <v>967</v>
      </c>
      <c r="B361" s="3" t="s">
        <v>1574</v>
      </c>
      <c r="C361" s="3" t="s">
        <v>1576</v>
      </c>
      <c r="D361" s="2" t="s">
        <v>998</v>
      </c>
      <c r="E361" s="4" t="str">
        <f t="shared" si="25"/>
        <v>PB5A1-011-0047</v>
      </c>
      <c r="F361">
        <v>2.35</v>
      </c>
      <c r="G361">
        <v>2</v>
      </c>
      <c r="H361" t="s">
        <v>72</v>
      </c>
      <c r="I361" t="s">
        <v>75</v>
      </c>
      <c r="J361" t="s">
        <v>641</v>
      </c>
      <c r="K361" t="s">
        <v>79</v>
      </c>
      <c r="L361" t="s">
        <v>79</v>
      </c>
      <c r="M361">
        <v>4.1071428571428568</v>
      </c>
      <c r="N361" s="5">
        <v>45027</v>
      </c>
      <c r="O361" s="5">
        <v>45036</v>
      </c>
      <c r="P361">
        <v>1</v>
      </c>
      <c r="Q361" s="4">
        <v>133</v>
      </c>
      <c r="R361">
        <v>0.45</v>
      </c>
      <c r="S361" t="s">
        <v>70</v>
      </c>
      <c r="T361" s="6">
        <v>3</v>
      </c>
      <c r="U361" s="5">
        <v>45169</v>
      </c>
      <c r="V361" s="6">
        <v>1</v>
      </c>
      <c r="W361" t="s">
        <v>86</v>
      </c>
      <c r="X361" s="6">
        <v>133</v>
      </c>
      <c r="Y361">
        <v>16.53847</v>
      </c>
      <c r="Z361">
        <v>7.0376468085106385</v>
      </c>
      <c r="AA361" s="6">
        <v>31.625597772949973</v>
      </c>
      <c r="AB361" s="4">
        <v>52.303900000000006</v>
      </c>
      <c r="AC361" s="6">
        <v>31.619955682081073</v>
      </c>
      <c r="AD361">
        <v>0.35465449300000002</v>
      </c>
      <c r="AE361">
        <v>2.6105652060139963</v>
      </c>
      <c r="AF361">
        <v>42000</v>
      </c>
      <c r="AG361" s="4">
        <v>0</v>
      </c>
      <c r="AH361" s="4">
        <v>172500</v>
      </c>
      <c r="AL361">
        <v>21</v>
      </c>
      <c r="AM361">
        <v>8.1527499999999993</v>
      </c>
      <c r="AN361" t="s">
        <v>81</v>
      </c>
      <c r="AO361" t="s">
        <v>170</v>
      </c>
      <c r="AP361" s="5">
        <v>45037</v>
      </c>
      <c r="AQ361" t="s">
        <v>189</v>
      </c>
      <c r="AR361" s="5">
        <v>45166</v>
      </c>
      <c r="AS361">
        <v>187.23293327617364</v>
      </c>
      <c r="AT361" s="6"/>
      <c r="AU361">
        <v>27.209288404550115</v>
      </c>
      <c r="AV361">
        <v>77.700559362504521</v>
      </c>
      <c r="AW361">
        <v>44.84634914837951</v>
      </c>
      <c r="AX361">
        <v>149.75619691543417</v>
      </c>
      <c r="AY361">
        <v>13.712464333157779</v>
      </c>
      <c r="AZ361">
        <v>24.512055831041202</v>
      </c>
      <c r="BA361">
        <v>5.467244551642322</v>
      </c>
      <c r="BB361">
        <v>10.151788526991917</v>
      </c>
      <c r="BC361">
        <v>13.85458630695584</v>
      </c>
      <c r="BD361">
        <v>67.698139549789062</v>
      </c>
      <c r="BE361">
        <v>-30.221403189049596</v>
      </c>
      <c r="BF361">
        <v>8.7412245510013911</v>
      </c>
      <c r="BG361">
        <v>1.3218127190725624</v>
      </c>
      <c r="BH361">
        <v>10.063037270073954</v>
      </c>
      <c r="BI361">
        <v>227.51737373529716</v>
      </c>
      <c r="BJ361" s="6">
        <v>194</v>
      </c>
      <c r="BK361">
        <v>-40.284440459123523</v>
      </c>
      <c r="BL361" s="4">
        <v>-666.24301000000071</v>
      </c>
      <c r="BM361" t="s">
        <v>1586</v>
      </c>
      <c r="BN361" t="s">
        <v>65</v>
      </c>
      <c r="BO361">
        <v>8</v>
      </c>
      <c r="BP361">
        <v>2023</v>
      </c>
      <c r="BQ361" t="str">
        <f t="shared" si="26"/>
        <v>PB58</v>
      </c>
      <c r="BR361">
        <f t="shared" si="27"/>
        <v>-554.32607999999993</v>
      </c>
      <c r="BS361">
        <f t="shared" si="28"/>
        <v>3096.5462499999994</v>
      </c>
      <c r="BT361" s="6">
        <f t="shared" si="29"/>
        <v>-33.517373735297156</v>
      </c>
    </row>
    <row r="362" spans="1:72">
      <c r="A362" s="3" t="s">
        <v>967</v>
      </c>
      <c r="B362" s="3" t="s">
        <v>1574</v>
      </c>
      <c r="C362" s="3" t="s">
        <v>1576</v>
      </c>
      <c r="D362" s="2" t="s">
        <v>2732</v>
      </c>
      <c r="E362" s="4" t="str">
        <f t="shared" si="25"/>
        <v>PB5B1-021-0048</v>
      </c>
      <c r="F362">
        <v>5.72</v>
      </c>
      <c r="G362">
        <v>1.9</v>
      </c>
      <c r="H362" t="s">
        <v>72</v>
      </c>
      <c r="I362" t="s">
        <v>75</v>
      </c>
      <c r="J362" t="s">
        <v>112</v>
      </c>
      <c r="K362" t="s">
        <v>79</v>
      </c>
      <c r="L362" t="s">
        <v>79</v>
      </c>
      <c r="N362" s="5">
        <v>45135</v>
      </c>
      <c r="O362" s="5">
        <v>45169</v>
      </c>
      <c r="P362">
        <v>0.8</v>
      </c>
      <c r="Q362" s="4">
        <v>46</v>
      </c>
      <c r="R362">
        <v>0.66</v>
      </c>
      <c r="S362" t="s">
        <v>70</v>
      </c>
      <c r="T362" s="6">
        <v>4</v>
      </c>
      <c r="U362" s="5">
        <v>45248</v>
      </c>
      <c r="V362" s="6">
        <v>1</v>
      </c>
      <c r="W362" t="s">
        <v>86</v>
      </c>
      <c r="X362" s="6">
        <v>79</v>
      </c>
      <c r="Y362">
        <v>17.783470000000001</v>
      </c>
      <c r="Z362">
        <v>3.1089982517482522</v>
      </c>
      <c r="AA362" s="6">
        <v>35.933538280211906</v>
      </c>
      <c r="AB362" s="4">
        <v>79.877875000000003</v>
      </c>
      <c r="AC362" s="6">
        <v>27.829154819153615</v>
      </c>
      <c r="AD362">
        <v>0.34326300999999998</v>
      </c>
      <c r="AE362">
        <v>1.9028748564947811</v>
      </c>
      <c r="AF362">
        <v>32835</v>
      </c>
      <c r="AG362" s="4">
        <v>0</v>
      </c>
      <c r="AH362" s="4"/>
      <c r="AL362">
        <v>36</v>
      </c>
      <c r="AM362">
        <v>5.3342000000000001</v>
      </c>
      <c r="AN362" t="s">
        <v>81</v>
      </c>
      <c r="AO362" t="s">
        <v>189</v>
      </c>
      <c r="AP362" s="5">
        <v>45170</v>
      </c>
      <c r="AQ362" t="s">
        <v>101</v>
      </c>
      <c r="AR362" s="5">
        <v>45243</v>
      </c>
      <c r="AS362">
        <v>201.87184784521804</v>
      </c>
      <c r="AT362" s="6"/>
      <c r="AU362">
        <v>22.492798087212449</v>
      </c>
      <c r="AV362">
        <v>54.692287275767896</v>
      </c>
      <c r="AW362">
        <v>37.776342862219792</v>
      </c>
      <c r="AX362">
        <v>114.96142822520012</v>
      </c>
      <c r="AY362">
        <v>26.109390349577449</v>
      </c>
      <c r="AZ362">
        <v>40.501571403106368</v>
      </c>
      <c r="BA362">
        <v>8.9271092761986264</v>
      </c>
      <c r="BB362">
        <v>20.70253105833676</v>
      </c>
      <c r="BC362">
        <v>30.984026177118405</v>
      </c>
      <c r="BD362">
        <v>127.22462826433762</v>
      </c>
      <c r="BE362">
        <v>-40.314208644319706</v>
      </c>
      <c r="BF362">
        <v>15.812600128096486</v>
      </c>
      <c r="BG362">
        <v>2.8843988265507239</v>
      </c>
      <c r="BH362">
        <v>18.69699895464721</v>
      </c>
      <c r="BI362">
        <v>260.88305544418489</v>
      </c>
      <c r="BJ362" s="6">
        <v>186</v>
      </c>
      <c r="BK362">
        <v>-59.011207598966877</v>
      </c>
      <c r="BL362" s="4">
        <v>-1049.4240399999996</v>
      </c>
      <c r="BM362" t="s">
        <v>2733</v>
      </c>
      <c r="BN362" t="s">
        <v>65</v>
      </c>
      <c r="BO362">
        <v>11</v>
      </c>
      <c r="BP362">
        <v>2023</v>
      </c>
      <c r="BQ362" t="str">
        <f t="shared" si="26"/>
        <v>PB511</v>
      </c>
      <c r="BR362">
        <f t="shared" si="27"/>
        <v>-1331.6805699999989</v>
      </c>
      <c r="BS362">
        <f t="shared" si="28"/>
        <v>3589.9819499999999</v>
      </c>
      <c r="BT362" s="6">
        <f t="shared" si="29"/>
        <v>-74.88305544418489</v>
      </c>
    </row>
    <row r="363" spans="1:72">
      <c r="A363" s="3" t="s">
        <v>967</v>
      </c>
      <c r="B363" s="3" t="s">
        <v>1574</v>
      </c>
      <c r="C363" s="3" t="s">
        <v>1576</v>
      </c>
      <c r="D363" s="2" t="s">
        <v>2730</v>
      </c>
      <c r="E363" s="4" t="str">
        <f t="shared" si="25"/>
        <v>PB5B1-023-0050</v>
      </c>
      <c r="F363">
        <v>5.9</v>
      </c>
      <c r="G363">
        <v>1.9</v>
      </c>
      <c r="H363" t="s">
        <v>72</v>
      </c>
      <c r="I363" t="s">
        <v>75</v>
      </c>
      <c r="J363" t="s">
        <v>112</v>
      </c>
      <c r="K363" t="s">
        <v>79</v>
      </c>
      <c r="L363" t="s">
        <v>79</v>
      </c>
      <c r="M363">
        <v>0.24154589371980675</v>
      </c>
      <c r="N363" s="5">
        <v>45117</v>
      </c>
      <c r="O363" s="5">
        <v>45131</v>
      </c>
      <c r="P363">
        <v>1</v>
      </c>
      <c r="Q363" s="4">
        <v>56</v>
      </c>
      <c r="R363">
        <v>0.65600000000000003</v>
      </c>
      <c r="S363" t="s">
        <v>70</v>
      </c>
      <c r="T363" s="6">
        <v>5</v>
      </c>
      <c r="U363" s="5">
        <v>45238</v>
      </c>
      <c r="V363" s="6">
        <v>1</v>
      </c>
      <c r="W363" t="s">
        <v>86</v>
      </c>
      <c r="X363" s="6">
        <v>107.00000000000001</v>
      </c>
      <c r="Y363">
        <v>23.595299999999998</v>
      </c>
      <c r="Z363">
        <v>3.9992033898305079</v>
      </c>
      <c r="AA363" s="6">
        <v>36.333930909969361</v>
      </c>
      <c r="AB363" s="4">
        <v>85.730999999999995</v>
      </c>
      <c r="AC363" s="6">
        <v>27.522483115792419</v>
      </c>
      <c r="AD363">
        <v>0.34000969199999997</v>
      </c>
      <c r="AE363">
        <v>1.8047685122822343</v>
      </c>
      <c r="AF363">
        <v>41400</v>
      </c>
      <c r="AG363" s="4">
        <v>0</v>
      </c>
      <c r="AH363" s="4">
        <v>10000</v>
      </c>
      <c r="AL363">
        <v>27</v>
      </c>
      <c r="AM363">
        <v>7.5047100000000002</v>
      </c>
      <c r="AN363" t="s">
        <v>81</v>
      </c>
      <c r="AO363" t="s">
        <v>96</v>
      </c>
      <c r="AP363" s="5">
        <v>45131</v>
      </c>
      <c r="AQ363" t="s">
        <v>105</v>
      </c>
      <c r="AR363" s="5">
        <v>45236</v>
      </c>
      <c r="AS363">
        <v>186.92364072505964</v>
      </c>
      <c r="AT363" s="6"/>
      <c r="AU363">
        <v>19.919221200832371</v>
      </c>
      <c r="AV363">
        <v>52.413448864816303</v>
      </c>
      <c r="AW363">
        <v>33.44212110038864</v>
      </c>
      <c r="AX363">
        <v>105.77479116603732</v>
      </c>
      <c r="AY363">
        <v>19.68433162536607</v>
      </c>
      <c r="AZ363">
        <v>33.816508796243319</v>
      </c>
      <c r="BA363">
        <v>7.253202544574556</v>
      </c>
      <c r="BB363">
        <v>16.541711696820979</v>
      </c>
      <c r="BC363">
        <v>24.104514034574681</v>
      </c>
      <c r="BD363">
        <v>101.40026869757959</v>
      </c>
      <c r="BE363">
        <v>-20.251419138557267</v>
      </c>
      <c r="BF363">
        <v>12.121098693383853</v>
      </c>
      <c r="BG363">
        <v>2.1750272299991948</v>
      </c>
      <c r="BH363">
        <v>14.296125923383046</v>
      </c>
      <c r="BI363">
        <v>221.47118578699994</v>
      </c>
      <c r="BJ363" s="6">
        <v>186</v>
      </c>
      <c r="BK363">
        <v>-34.547545061940284</v>
      </c>
      <c r="BL363" s="4">
        <v>-815.1596899999995</v>
      </c>
      <c r="BM363" t="s">
        <v>2731</v>
      </c>
      <c r="BN363" t="s">
        <v>65</v>
      </c>
      <c r="BO363">
        <v>11</v>
      </c>
      <c r="BP363">
        <v>2023</v>
      </c>
      <c r="BQ363" t="str">
        <f t="shared" si="26"/>
        <v>PB511</v>
      </c>
      <c r="BR363">
        <f t="shared" si="27"/>
        <v>-836.95326999999963</v>
      </c>
      <c r="BS363">
        <f t="shared" si="28"/>
        <v>4410.5193799999997</v>
      </c>
      <c r="BT363" s="6">
        <f t="shared" si="29"/>
        <v>-35.471185786999939</v>
      </c>
    </row>
    <row r="364" spans="1:72">
      <c r="A364" s="3" t="s">
        <v>967</v>
      </c>
      <c r="B364" s="3" t="s">
        <v>1574</v>
      </c>
      <c r="C364" s="3" t="s">
        <v>1576</v>
      </c>
      <c r="D364" s="2" t="s">
        <v>1593</v>
      </c>
      <c r="E364" s="4" t="str">
        <f t="shared" si="25"/>
        <v>PB5B1-021-0047</v>
      </c>
      <c r="F364">
        <v>5.72</v>
      </c>
      <c r="G364">
        <v>1.9</v>
      </c>
      <c r="H364" t="s">
        <v>72</v>
      </c>
      <c r="I364" t="s">
        <v>75</v>
      </c>
      <c r="J364" t="s">
        <v>112</v>
      </c>
      <c r="K364" t="s">
        <v>79</v>
      </c>
      <c r="L364" t="s">
        <v>79</v>
      </c>
      <c r="M364">
        <v>4.7829398324447832</v>
      </c>
      <c r="N364" s="5">
        <v>44959</v>
      </c>
      <c r="O364" s="5">
        <v>44986</v>
      </c>
      <c r="P364">
        <v>1.5</v>
      </c>
      <c r="Q364" s="4">
        <v>86</v>
      </c>
      <c r="R364">
        <v>0.27500000000000002</v>
      </c>
      <c r="S364" t="s">
        <v>70</v>
      </c>
      <c r="T364" s="6">
        <v>4</v>
      </c>
      <c r="U364" s="5">
        <v>45134</v>
      </c>
      <c r="V364" s="6">
        <v>1</v>
      </c>
      <c r="W364" t="s">
        <v>86</v>
      </c>
      <c r="X364" s="6">
        <v>147.99999999999997</v>
      </c>
      <c r="Y364">
        <v>28.821549999999998</v>
      </c>
      <c r="Z364">
        <v>5.0387325174825177</v>
      </c>
      <c r="AA364" s="6">
        <v>28.591036915086107</v>
      </c>
      <c r="AB364" s="4">
        <v>54.935866666666669</v>
      </c>
      <c r="AC364" s="6">
        <v>34.975996252600005</v>
      </c>
      <c r="AD364">
        <v>0.31989221400000001</v>
      </c>
      <c r="AE364">
        <v>2.3108833276719918</v>
      </c>
      <c r="AF364">
        <v>65650</v>
      </c>
      <c r="AG364" s="4">
        <v>0</v>
      </c>
      <c r="AH364" s="4">
        <v>314000</v>
      </c>
      <c r="AL364">
        <v>21</v>
      </c>
      <c r="AM364">
        <v>16.422639999999998</v>
      </c>
      <c r="AN364" t="s">
        <v>81</v>
      </c>
      <c r="AO364" t="s">
        <v>189</v>
      </c>
      <c r="AP364" s="5">
        <v>44987</v>
      </c>
      <c r="AQ364" t="s">
        <v>97</v>
      </c>
      <c r="AR364" s="5">
        <v>45131</v>
      </c>
      <c r="AS364">
        <v>202.95911774349395</v>
      </c>
      <c r="AT364" s="6"/>
      <c r="AU364">
        <v>20.817756158152495</v>
      </c>
      <c r="AV364">
        <v>71.391593096138124</v>
      </c>
      <c r="AW364">
        <v>39.991214906901263</v>
      </c>
      <c r="AX364">
        <v>132.20056416119189</v>
      </c>
      <c r="AY364">
        <v>23.184068171212171</v>
      </c>
      <c r="AZ364">
        <v>42.115600306021015</v>
      </c>
      <c r="BA364">
        <v>6.870645055522691</v>
      </c>
      <c r="BB364">
        <v>14.510281369322614</v>
      </c>
      <c r="BC364">
        <v>21.975077676252663</v>
      </c>
      <c r="BD364">
        <v>108.65567257833115</v>
      </c>
      <c r="BE364">
        <v>-37.897118996029093</v>
      </c>
      <c r="BF364">
        <v>13.248725346138567</v>
      </c>
      <c r="BG364">
        <v>2.1248558804089304</v>
      </c>
      <c r="BH364">
        <v>15.373581226547497</v>
      </c>
      <c r="BI364">
        <v>256.22981796607053</v>
      </c>
      <c r="BJ364" s="6">
        <v>204</v>
      </c>
      <c r="BK364">
        <v>-53.270700222576586</v>
      </c>
      <c r="BL364" s="4">
        <v>-1535.3441500000022</v>
      </c>
      <c r="BM364" t="s">
        <v>1594</v>
      </c>
      <c r="BN364" t="s">
        <v>65</v>
      </c>
      <c r="BO364">
        <v>7</v>
      </c>
      <c r="BP364">
        <v>2023</v>
      </c>
      <c r="BQ364" t="str">
        <f t="shared" si="26"/>
        <v>PB57</v>
      </c>
      <c r="BR364">
        <f t="shared" si="27"/>
        <v>-1505.34431</v>
      </c>
      <c r="BS364">
        <f t="shared" si="28"/>
        <v>5849.5963599999977</v>
      </c>
      <c r="BT364" s="6">
        <f t="shared" si="29"/>
        <v>-52.229817966070527</v>
      </c>
    </row>
    <row r="365" spans="1:72">
      <c r="A365" s="3" t="s">
        <v>967</v>
      </c>
      <c r="B365" s="3" t="s">
        <v>1574</v>
      </c>
      <c r="C365" s="3" t="s">
        <v>1576</v>
      </c>
      <c r="D365" s="2" t="s">
        <v>1898</v>
      </c>
      <c r="E365" s="4" t="str">
        <f t="shared" si="25"/>
        <v>PB5B1-022-0051</v>
      </c>
      <c r="F365">
        <v>5.72</v>
      </c>
      <c r="G365">
        <v>1.9</v>
      </c>
      <c r="H365" t="s">
        <v>72</v>
      </c>
      <c r="I365" t="s">
        <v>75</v>
      </c>
      <c r="J365" t="s">
        <v>112</v>
      </c>
      <c r="K365" t="s">
        <v>79</v>
      </c>
      <c r="L365" t="s">
        <v>79</v>
      </c>
      <c r="M365">
        <v>0.62124663491406085</v>
      </c>
      <c r="N365" s="5">
        <v>45088</v>
      </c>
      <c r="O365" s="5">
        <v>45119</v>
      </c>
      <c r="P365">
        <v>1</v>
      </c>
      <c r="Q365" s="4">
        <v>58</v>
      </c>
      <c r="R365">
        <v>0.47</v>
      </c>
      <c r="S365" t="s">
        <v>70</v>
      </c>
      <c r="T365" s="6">
        <v>5</v>
      </c>
      <c r="U365" s="5">
        <v>45234</v>
      </c>
      <c r="V365" s="6">
        <v>1</v>
      </c>
      <c r="W365" t="s">
        <v>86</v>
      </c>
      <c r="X365" s="6">
        <v>114.99999999999999</v>
      </c>
      <c r="Y365">
        <v>22.26144</v>
      </c>
      <c r="Z365">
        <v>3.8918601398601402</v>
      </c>
      <c r="AA365" s="6">
        <v>35.176520476662787</v>
      </c>
      <c r="AB365" s="4">
        <v>78.307999999999993</v>
      </c>
      <c r="AC365" s="6">
        <v>28.428053327884761</v>
      </c>
      <c r="AD365">
        <v>0.31797423499999999</v>
      </c>
      <c r="AE365">
        <v>2.2160077535032108</v>
      </c>
      <c r="AF365">
        <v>48290</v>
      </c>
      <c r="AG365" s="4">
        <v>0</v>
      </c>
      <c r="AH365" s="4">
        <v>30000</v>
      </c>
      <c r="AL365">
        <v>27</v>
      </c>
      <c r="AM365">
        <v>4.4608500000000006</v>
      </c>
      <c r="AN365" t="s">
        <v>81</v>
      </c>
      <c r="AO365" t="s">
        <v>94</v>
      </c>
      <c r="AP365" s="5">
        <v>45121</v>
      </c>
      <c r="AQ365" t="s">
        <v>90</v>
      </c>
      <c r="AR365" s="5">
        <v>45229</v>
      </c>
      <c r="AS365">
        <v>188.85883887116017</v>
      </c>
      <c r="AT365" s="6"/>
      <c r="AU365">
        <v>20.214325757902454</v>
      </c>
      <c r="AV365">
        <v>64.858589561142509</v>
      </c>
      <c r="AW365">
        <v>37.620613940517771</v>
      </c>
      <c r="AX365">
        <v>122.69352925956274</v>
      </c>
      <c r="AY365">
        <v>24.828537147641839</v>
      </c>
      <c r="AZ365">
        <v>43.158665836531682</v>
      </c>
      <c r="BA365">
        <v>10.612764044015124</v>
      </c>
      <c r="BB365">
        <v>20.322218149409924</v>
      </c>
      <c r="BC365">
        <v>29.096918258657126</v>
      </c>
      <c r="BD365">
        <v>128.0191034362557</v>
      </c>
      <c r="BE365">
        <v>-61.853793824658268</v>
      </c>
      <c r="BF365">
        <v>15.792354402949677</v>
      </c>
      <c r="BG365">
        <v>2.6348848052956146</v>
      </c>
      <c r="BH365">
        <v>18.427239208245293</v>
      </c>
      <c r="BI365">
        <v>269.13987190406368</v>
      </c>
      <c r="BJ365" s="6">
        <v>187</v>
      </c>
      <c r="BK365">
        <v>-80.281033032903466</v>
      </c>
      <c r="BL365" s="4">
        <v>-1787.1713999999986</v>
      </c>
      <c r="BM365" t="s">
        <v>1899</v>
      </c>
      <c r="BN365" t="s">
        <v>65</v>
      </c>
      <c r="BO365">
        <v>11</v>
      </c>
      <c r="BP365">
        <v>2023</v>
      </c>
      <c r="BQ365" t="str">
        <f t="shared" si="26"/>
        <v>PB511</v>
      </c>
      <c r="BR365">
        <f t="shared" si="27"/>
        <v>-1828.5518299999994</v>
      </c>
      <c r="BS365">
        <f t="shared" si="28"/>
        <v>4204.2697099999996</v>
      </c>
      <c r="BT365" s="6">
        <f t="shared" si="29"/>
        <v>-82.139871904063682</v>
      </c>
    </row>
    <row r="366" spans="1:72">
      <c r="A366" s="3" t="s">
        <v>967</v>
      </c>
      <c r="B366" s="3" t="s">
        <v>1574</v>
      </c>
      <c r="C366" s="3" t="s">
        <v>1576</v>
      </c>
      <c r="D366" s="2" t="s">
        <v>1580</v>
      </c>
      <c r="E366" s="4" t="str">
        <f t="shared" si="25"/>
        <v>PB5B1-022-0050</v>
      </c>
      <c r="F366">
        <v>5.72</v>
      </c>
      <c r="G366">
        <v>1.9</v>
      </c>
      <c r="H366" t="s">
        <v>72</v>
      </c>
      <c r="I366" t="s">
        <v>75</v>
      </c>
      <c r="J366" t="s">
        <v>112</v>
      </c>
      <c r="K366" t="s">
        <v>79</v>
      </c>
      <c r="L366" t="s">
        <v>79</v>
      </c>
      <c r="M366">
        <v>4.7238542890716806</v>
      </c>
      <c r="N366" s="5">
        <v>44999</v>
      </c>
      <c r="O366" s="5">
        <v>45010</v>
      </c>
      <c r="P366">
        <v>1.2</v>
      </c>
      <c r="Q366" s="4">
        <v>69</v>
      </c>
      <c r="R366">
        <v>0.27500000000000002</v>
      </c>
      <c r="S366" t="s">
        <v>70</v>
      </c>
      <c r="T366" s="6">
        <v>3</v>
      </c>
      <c r="U366" s="5">
        <v>45087</v>
      </c>
      <c r="V366" s="6">
        <v>1</v>
      </c>
      <c r="W366" t="s">
        <v>86</v>
      </c>
      <c r="X366" s="6">
        <v>77</v>
      </c>
      <c r="Y366">
        <v>25.295080000000002</v>
      </c>
      <c r="Z366">
        <v>4.4222167832167836</v>
      </c>
      <c r="AA366" s="6">
        <v>42.856871771111216</v>
      </c>
      <c r="AB366" s="4">
        <v>90.338999999999999</v>
      </c>
      <c r="AC366" s="6">
        <v>23.333480925550798</v>
      </c>
      <c r="AD366">
        <v>0.313184986</v>
      </c>
      <c r="AE366">
        <v>1.7043806789323326</v>
      </c>
      <c r="AF366">
        <v>42550</v>
      </c>
      <c r="AG366" s="4">
        <v>0</v>
      </c>
      <c r="AH366" s="4">
        <v>201000</v>
      </c>
      <c r="AL366">
        <v>41</v>
      </c>
      <c r="AM366">
        <v>4.7027700000000001</v>
      </c>
      <c r="AN366" t="s">
        <v>81</v>
      </c>
      <c r="AO366" t="s">
        <v>108</v>
      </c>
      <c r="AP366" s="5">
        <v>45011</v>
      </c>
      <c r="AQ366" t="s">
        <v>116</v>
      </c>
      <c r="AR366" s="5">
        <v>45084</v>
      </c>
      <c r="AS366">
        <v>157.65691786703186</v>
      </c>
      <c r="AT366" s="6"/>
      <c r="AU366">
        <v>18.976022214596675</v>
      </c>
      <c r="AV366">
        <v>53.396122091726916</v>
      </c>
      <c r="AW366">
        <v>21.233530789386712</v>
      </c>
      <c r="AX366">
        <v>93.605675095710311</v>
      </c>
      <c r="AY366">
        <v>12.410105838763901</v>
      </c>
      <c r="AZ366">
        <v>23.195560164269093</v>
      </c>
      <c r="BA366">
        <v>3.8934073345488529</v>
      </c>
      <c r="BB366">
        <v>8.135711766873241</v>
      </c>
      <c r="BC366">
        <v>11.069339175839726</v>
      </c>
      <c r="BD366">
        <v>58.704124280294799</v>
      </c>
      <c r="BE366">
        <v>5.3471184910267553</v>
      </c>
      <c r="BF366">
        <v>6.9730338864316694</v>
      </c>
      <c r="BG366">
        <v>1.1103649405338902</v>
      </c>
      <c r="BH366">
        <v>8.0833988269655599</v>
      </c>
      <c r="BI366">
        <v>160.39319820297069</v>
      </c>
      <c r="BJ366" s="6">
        <v>180</v>
      </c>
      <c r="BK366">
        <v>-2.7362803359388348</v>
      </c>
      <c r="BL366" s="4">
        <v>-69.214429999999709</v>
      </c>
      <c r="BM366" t="s">
        <v>1581</v>
      </c>
      <c r="BN366" t="s">
        <v>65</v>
      </c>
      <c r="BO366">
        <v>6</v>
      </c>
      <c r="BP366">
        <v>2023</v>
      </c>
      <c r="BQ366" t="str">
        <f t="shared" si="26"/>
        <v>PB56</v>
      </c>
      <c r="BR366">
        <f t="shared" si="27"/>
        <v>495.95562000000007</v>
      </c>
      <c r="BS366">
        <f t="shared" si="28"/>
        <v>3987.9443500000007</v>
      </c>
      <c r="BT366" s="6">
        <f t="shared" si="29"/>
        <v>19.606801797029306</v>
      </c>
    </row>
    <row r="367" spans="1:72">
      <c r="A367" s="3" t="s">
        <v>967</v>
      </c>
      <c r="B367" s="3" t="s">
        <v>1574</v>
      </c>
      <c r="C367" s="3" t="s">
        <v>1576</v>
      </c>
      <c r="D367" s="2" t="s">
        <v>1587</v>
      </c>
      <c r="E367" s="4" t="str">
        <f t="shared" si="25"/>
        <v>PB5B1-021-0046</v>
      </c>
      <c r="F367">
        <v>5.72</v>
      </c>
      <c r="G367">
        <v>1.9</v>
      </c>
      <c r="H367" t="s">
        <v>72</v>
      </c>
      <c r="I367" t="s">
        <v>75</v>
      </c>
      <c r="J367" t="s">
        <v>112</v>
      </c>
      <c r="K367" t="s">
        <v>79</v>
      </c>
      <c r="L367" t="s">
        <v>79</v>
      </c>
      <c r="M367">
        <v>4.8982939632545932</v>
      </c>
      <c r="N367" s="5">
        <v>44757</v>
      </c>
      <c r="O367" s="5">
        <v>44834</v>
      </c>
      <c r="P367">
        <v>1.5</v>
      </c>
      <c r="Q367" s="4">
        <v>86</v>
      </c>
      <c r="R367">
        <v>0.53600000000000003</v>
      </c>
      <c r="S367" t="s">
        <v>70</v>
      </c>
      <c r="T367" s="6">
        <v>4</v>
      </c>
      <c r="U367" s="5">
        <v>44958</v>
      </c>
      <c r="V367" s="6">
        <v>2</v>
      </c>
      <c r="W367" t="s">
        <v>71</v>
      </c>
      <c r="X367" s="6">
        <v>124</v>
      </c>
      <c r="Y367">
        <v>15.107379999999999</v>
      </c>
      <c r="Z367">
        <v>2.6411503496503497</v>
      </c>
      <c r="AA367" s="6">
        <v>31.341370906139915</v>
      </c>
      <c r="AB367" s="4">
        <v>31.565733333333334</v>
      </c>
      <c r="AC367" s="6">
        <v>31.906708962883801</v>
      </c>
      <c r="AD367">
        <v>0.29436320199999999</v>
      </c>
      <c r="AE367">
        <v>2.130870993518601</v>
      </c>
      <c r="AF367">
        <v>30480</v>
      </c>
      <c r="AG367" s="4">
        <v>0</v>
      </c>
      <c r="AH367" s="4">
        <v>149300</v>
      </c>
      <c r="AL367">
        <v>27.000000000000004</v>
      </c>
      <c r="AM367">
        <v>2.7552800000000004</v>
      </c>
      <c r="AN367" t="s">
        <v>81</v>
      </c>
      <c r="AO367" t="s">
        <v>194</v>
      </c>
      <c r="AP367" s="5">
        <v>44841</v>
      </c>
      <c r="AQ367" t="s">
        <v>148</v>
      </c>
      <c r="AR367" s="5">
        <v>44956</v>
      </c>
      <c r="AS367">
        <v>270.7732459235155</v>
      </c>
      <c r="AT367" s="6"/>
      <c r="AU367">
        <v>47.327862276582714</v>
      </c>
      <c r="AV367">
        <v>61.374393839302378</v>
      </c>
      <c r="AW367">
        <v>90.717746558304626</v>
      </c>
      <c r="AX367">
        <v>199.4200026741897</v>
      </c>
      <c r="AY367">
        <v>38.058554163594216</v>
      </c>
      <c r="AZ367">
        <v>48.421635650920287</v>
      </c>
      <c r="BA367">
        <v>13.89676171513525</v>
      </c>
      <c r="BB367">
        <v>12.726538949837762</v>
      </c>
      <c r="BC367">
        <v>45.044654334504067</v>
      </c>
      <c r="BD367">
        <v>158.14814481399159</v>
      </c>
      <c r="BE367">
        <v>-86.794901564665793</v>
      </c>
      <c r="BF367">
        <v>18.531166886647455</v>
      </c>
      <c r="BG367">
        <v>4.0578545055462945</v>
      </c>
      <c r="BH367">
        <v>22.58902139219375</v>
      </c>
      <c r="BI367">
        <v>380.15716888037514</v>
      </c>
      <c r="BJ367" s="6">
        <v>194</v>
      </c>
      <c r="BK367">
        <v>-109.38392295685961</v>
      </c>
      <c r="BL367" s="4">
        <v>-1652.5044900000016</v>
      </c>
      <c r="BM367" t="s">
        <v>1588</v>
      </c>
      <c r="BN367" t="s">
        <v>65</v>
      </c>
      <c r="BO367">
        <v>2</v>
      </c>
      <c r="BP367">
        <v>2023</v>
      </c>
      <c r="BQ367" t="str">
        <f t="shared" si="26"/>
        <v>PB52</v>
      </c>
      <c r="BR367">
        <f t="shared" si="27"/>
        <v>-2812.3470900000016</v>
      </c>
      <c r="BS367">
        <f t="shared" si="28"/>
        <v>4090.6743199999996</v>
      </c>
      <c r="BT367" s="6">
        <f t="shared" si="29"/>
        <v>-186.15716888037514</v>
      </c>
    </row>
    <row r="368" spans="1:72">
      <c r="A368" s="3" t="s">
        <v>967</v>
      </c>
      <c r="B368" s="3" t="s">
        <v>1574</v>
      </c>
      <c r="C368" s="3" t="s">
        <v>1576</v>
      </c>
      <c r="D368" s="2" t="s">
        <v>2725</v>
      </c>
      <c r="E368" s="4" t="str">
        <f t="shared" si="25"/>
        <v>PB5A1-009-0049</v>
      </c>
      <c r="F368">
        <v>4.62</v>
      </c>
      <c r="G368">
        <v>1.9</v>
      </c>
      <c r="H368" t="s">
        <v>72</v>
      </c>
      <c r="I368" t="s">
        <v>75</v>
      </c>
      <c r="J368" t="s">
        <v>641</v>
      </c>
      <c r="K368" t="s">
        <v>79</v>
      </c>
      <c r="N368" s="5">
        <v>45169</v>
      </c>
      <c r="O368" s="5">
        <v>45195</v>
      </c>
      <c r="P368">
        <v>1</v>
      </c>
      <c r="Q368" s="4">
        <v>71</v>
      </c>
      <c r="R368">
        <v>0.55000000000000004</v>
      </c>
      <c r="S368" t="s">
        <v>70</v>
      </c>
      <c r="T368" s="6">
        <v>2</v>
      </c>
      <c r="U368" s="5">
        <v>45252</v>
      </c>
      <c r="V368" s="6">
        <v>2</v>
      </c>
      <c r="W368" t="s">
        <v>71</v>
      </c>
      <c r="X368" s="6">
        <v>57</v>
      </c>
      <c r="Y368">
        <v>9.7808600000000006</v>
      </c>
      <c r="Z368">
        <v>2.1170692640692641</v>
      </c>
      <c r="AA368" s="6">
        <v>59.99789384573544</v>
      </c>
      <c r="AB368" s="4">
        <v>58.683099999999996</v>
      </c>
      <c r="AC368" s="6">
        <v>16.667251730055163</v>
      </c>
      <c r="AD368">
        <v>0.28274853799999999</v>
      </c>
      <c r="AE368">
        <v>2.0474643399960781</v>
      </c>
      <c r="AF368">
        <v>18900</v>
      </c>
      <c r="AG368" s="4"/>
      <c r="AH368" s="4"/>
      <c r="AI368" t="s">
        <v>98</v>
      </c>
      <c r="AJ368" t="s">
        <v>98</v>
      </c>
      <c r="AK368" t="s">
        <v>90</v>
      </c>
      <c r="AL368">
        <v>60.000000000000007</v>
      </c>
      <c r="AM368">
        <v>3.8563400000000003</v>
      </c>
      <c r="AN368" t="s">
        <v>2726</v>
      </c>
      <c r="AO368" t="s">
        <v>438</v>
      </c>
      <c r="AP368" s="5">
        <v>45201</v>
      </c>
      <c r="AQ368" t="s">
        <v>101</v>
      </c>
      <c r="AR368" s="5">
        <v>45243</v>
      </c>
      <c r="AS368">
        <v>153.71919442666595</v>
      </c>
      <c r="AT368" s="6"/>
      <c r="AU368">
        <v>46.00822422568158</v>
      </c>
      <c r="AV368">
        <v>57.213924951384641</v>
      </c>
      <c r="AW368">
        <v>69.280339356661884</v>
      </c>
      <c r="AX368">
        <v>172.5024885337281</v>
      </c>
      <c r="AY368">
        <v>32.066447122236696</v>
      </c>
      <c r="AZ368">
        <v>38.974551317573294</v>
      </c>
      <c r="BA368">
        <v>9.1488274037252353</v>
      </c>
      <c r="BB368">
        <v>21.682765114724063</v>
      </c>
      <c r="BC368">
        <v>37.552588422694939</v>
      </c>
      <c r="BD368">
        <v>139.42517938095421</v>
      </c>
      <c r="BE368">
        <v>-158.20847348801635</v>
      </c>
      <c r="BF368">
        <v>19.176694073936236</v>
      </c>
      <c r="BG368">
        <v>3.5271295162184102</v>
      </c>
      <c r="BH368">
        <v>22.703823590154645</v>
      </c>
      <c r="BI368">
        <v>334.63149150483702</v>
      </c>
      <c r="BJ368" s="6">
        <v>162</v>
      </c>
      <c r="BK368">
        <v>-180.91229707817109</v>
      </c>
      <c r="BL368" s="4">
        <v>-1769.4778500000007</v>
      </c>
      <c r="BM368" t="s">
        <v>2727</v>
      </c>
      <c r="BN368" t="s">
        <v>65</v>
      </c>
      <c r="BO368">
        <v>11</v>
      </c>
      <c r="BP368">
        <v>2023</v>
      </c>
      <c r="BQ368" t="str">
        <f t="shared" si="26"/>
        <v>PB511</v>
      </c>
      <c r="BR368">
        <f t="shared" si="27"/>
        <v>-1688.4844500000002</v>
      </c>
      <c r="BS368">
        <f t="shared" si="28"/>
        <v>1503.5059200000001</v>
      </c>
      <c r="BT368" s="6">
        <f t="shared" si="29"/>
        <v>-172.63149150483702</v>
      </c>
    </row>
    <row r="369" spans="1:72">
      <c r="A369" s="3" t="s">
        <v>967</v>
      </c>
      <c r="B369" s="3" t="s">
        <v>1574</v>
      </c>
      <c r="C369" s="3" t="s">
        <v>1576</v>
      </c>
      <c r="D369" s="2" t="s">
        <v>988</v>
      </c>
      <c r="E369" s="4" t="str">
        <f t="shared" si="25"/>
        <v>PB5A1-011-0046</v>
      </c>
      <c r="F369">
        <v>2.35</v>
      </c>
      <c r="G369">
        <v>2</v>
      </c>
      <c r="H369" t="s">
        <v>72</v>
      </c>
      <c r="I369" t="s">
        <v>75</v>
      </c>
      <c r="J369" t="s">
        <v>641</v>
      </c>
      <c r="K369" t="s">
        <v>79</v>
      </c>
      <c r="L369" t="s">
        <v>79</v>
      </c>
      <c r="M369">
        <v>4.7004219409282699</v>
      </c>
      <c r="N369" s="5">
        <v>44821</v>
      </c>
      <c r="O369" s="5">
        <v>44890</v>
      </c>
      <c r="P369">
        <v>1</v>
      </c>
      <c r="Q369" s="4">
        <v>133</v>
      </c>
      <c r="R369">
        <v>0.31</v>
      </c>
      <c r="S369" t="s">
        <v>70</v>
      </c>
      <c r="T369" s="6">
        <v>3</v>
      </c>
      <c r="U369" s="5">
        <v>45026</v>
      </c>
      <c r="V369" s="6">
        <v>1</v>
      </c>
      <c r="W369" t="s">
        <v>86</v>
      </c>
      <c r="X369" s="6">
        <v>136</v>
      </c>
      <c r="Y369">
        <v>19.045529999999999</v>
      </c>
      <c r="Z369">
        <v>8.1044808510638298</v>
      </c>
      <c r="AA369" s="6">
        <v>33.944447857318757</v>
      </c>
      <c r="AB369" s="4">
        <v>64.649000000000001</v>
      </c>
      <c r="AC369" s="6">
        <v>29.459898838342429</v>
      </c>
      <c r="AD369">
        <v>0.28052601799999999</v>
      </c>
      <c r="AE369">
        <v>1.8974643364772708</v>
      </c>
      <c r="AF369">
        <v>35550</v>
      </c>
      <c r="AG369" s="4">
        <v>0</v>
      </c>
      <c r="AH369" s="4">
        <v>167100</v>
      </c>
      <c r="AI369" t="s">
        <v>98</v>
      </c>
      <c r="AJ369" t="s">
        <v>98</v>
      </c>
      <c r="AK369" t="s">
        <v>90</v>
      </c>
      <c r="AL369">
        <v>26</v>
      </c>
      <c r="AM369">
        <v>6.3630000000000004</v>
      </c>
      <c r="AN369" t="s">
        <v>81</v>
      </c>
      <c r="AO369" t="s">
        <v>194</v>
      </c>
      <c r="AP369" s="5">
        <v>44896</v>
      </c>
      <c r="AQ369" t="s">
        <v>136</v>
      </c>
      <c r="AR369" s="5">
        <v>45022</v>
      </c>
      <c r="AS369">
        <v>235.29341583038118</v>
      </c>
      <c r="AT369" s="6"/>
      <c r="AU369">
        <v>21.002303427628426</v>
      </c>
      <c r="AV369">
        <v>60.375474980218456</v>
      </c>
      <c r="AW369">
        <v>35.127145844720516</v>
      </c>
      <c r="AX369">
        <v>116.50492425256739</v>
      </c>
      <c r="AY369">
        <v>14.070387119707354</v>
      </c>
      <c r="AZ369">
        <v>24.520564667929957</v>
      </c>
      <c r="BA369">
        <v>3.2444531604003677</v>
      </c>
      <c r="BB369">
        <v>11.992699074270973</v>
      </c>
      <c r="BC369">
        <v>14.258432293561798</v>
      </c>
      <c r="BD369">
        <v>68.086536315870447</v>
      </c>
      <c r="BE369">
        <v>50.70195526194334</v>
      </c>
      <c r="BF369">
        <v>8.1015587384546404</v>
      </c>
      <c r="BG369">
        <v>1.3226069319152578</v>
      </c>
      <c r="BH369">
        <v>9.4241656703698986</v>
      </c>
      <c r="BI369">
        <v>194.01562623880776</v>
      </c>
      <c r="BJ369" s="6">
        <v>189</v>
      </c>
      <c r="BK369">
        <v>41.277789591573431</v>
      </c>
      <c r="BL369" s="4">
        <v>786.15737999999942</v>
      </c>
      <c r="BM369" t="s">
        <v>1585</v>
      </c>
      <c r="BN369" t="s">
        <v>65</v>
      </c>
      <c r="BO369">
        <v>4</v>
      </c>
      <c r="BP369">
        <v>2023</v>
      </c>
      <c r="BQ369" t="str">
        <f t="shared" si="26"/>
        <v>PB54</v>
      </c>
      <c r="BR369">
        <f t="shared" si="27"/>
        <v>-95.525260000000259</v>
      </c>
      <c r="BS369">
        <f t="shared" si="28"/>
        <v>4481.2878099999998</v>
      </c>
      <c r="BT369" s="6">
        <f t="shared" si="29"/>
        <v>-5.015626238807755</v>
      </c>
    </row>
    <row r="370" spans="1:72">
      <c r="A370" s="3" t="s">
        <v>967</v>
      </c>
      <c r="B370" s="3" t="s">
        <v>1574</v>
      </c>
      <c r="C370" s="3" t="s">
        <v>1576</v>
      </c>
      <c r="D370" s="2" t="s">
        <v>2728</v>
      </c>
      <c r="E370" s="4" t="str">
        <f t="shared" si="25"/>
        <v>PB5A1-005-0053</v>
      </c>
      <c r="F370">
        <v>4.37</v>
      </c>
      <c r="G370">
        <v>1.9</v>
      </c>
      <c r="H370" t="s">
        <v>72</v>
      </c>
      <c r="I370" t="s">
        <v>75</v>
      </c>
      <c r="J370" t="s">
        <v>641</v>
      </c>
      <c r="K370" t="s">
        <v>79</v>
      </c>
      <c r="L370" t="s">
        <v>79</v>
      </c>
      <c r="M370">
        <v>7.9628400796284013E-2</v>
      </c>
      <c r="N370" s="5">
        <v>45139</v>
      </c>
      <c r="O370" s="5">
        <v>45147</v>
      </c>
      <c r="P370">
        <v>0.8</v>
      </c>
      <c r="Q370" s="4">
        <v>60</v>
      </c>
      <c r="R370">
        <v>0.62</v>
      </c>
      <c r="S370" t="s">
        <v>70</v>
      </c>
      <c r="T370" s="6">
        <v>4</v>
      </c>
      <c r="U370" s="5">
        <v>45245</v>
      </c>
      <c r="V370" s="6">
        <v>1</v>
      </c>
      <c r="W370" t="s">
        <v>86</v>
      </c>
      <c r="X370" s="6">
        <v>98</v>
      </c>
      <c r="Y370">
        <v>17.32227</v>
      </c>
      <c r="Z370">
        <v>3.9639061784897023</v>
      </c>
      <c r="AA370" s="6">
        <v>40.68600708798558</v>
      </c>
      <c r="AB370" s="4">
        <v>88.09675</v>
      </c>
      <c r="AC370" s="6">
        <v>24.578474801851375</v>
      </c>
      <c r="AD370">
        <v>0.27712018100000002</v>
      </c>
      <c r="AE370">
        <v>2.2390583296238558</v>
      </c>
      <c r="AF370">
        <v>37675</v>
      </c>
      <c r="AG370" s="4">
        <v>0</v>
      </c>
      <c r="AH370" s="4">
        <v>3000</v>
      </c>
      <c r="AL370">
        <v>36</v>
      </c>
      <c r="AM370">
        <v>2.6689400000000001</v>
      </c>
      <c r="AN370" t="s">
        <v>81</v>
      </c>
      <c r="AO370" t="s">
        <v>94</v>
      </c>
      <c r="AP370" s="5">
        <v>45149</v>
      </c>
      <c r="AQ370" t="s">
        <v>101</v>
      </c>
      <c r="AR370" s="5">
        <v>45243</v>
      </c>
      <c r="AS370">
        <v>190.65979170166497</v>
      </c>
      <c r="AT370" s="6"/>
      <c r="AU370">
        <v>23.091661774120823</v>
      </c>
      <c r="AV370">
        <v>64.686310743337927</v>
      </c>
      <c r="AW370">
        <v>57.391183141701433</v>
      </c>
      <c r="AX370">
        <v>145.16915565916017</v>
      </c>
      <c r="AY370">
        <v>18.556122263421592</v>
      </c>
      <c r="AZ370">
        <v>35.994473588045913</v>
      </c>
      <c r="BA370">
        <v>6.5840920387455002</v>
      </c>
      <c r="BB370">
        <v>15.172957701271251</v>
      </c>
      <c r="BC370">
        <v>22.14402615823446</v>
      </c>
      <c r="BD370">
        <v>98.451671749718727</v>
      </c>
      <c r="BE370">
        <v>-52.961035707213924</v>
      </c>
      <c r="BF370">
        <v>11.184881658119863</v>
      </c>
      <c r="BG370">
        <v>2.0552704697479025</v>
      </c>
      <c r="BH370">
        <v>13.240152127867766</v>
      </c>
      <c r="BI370">
        <v>256.86097953674658</v>
      </c>
      <c r="BJ370" s="6">
        <v>182</v>
      </c>
      <c r="BK370">
        <v>-66.201187835081612</v>
      </c>
      <c r="BL370" s="4">
        <v>-1146.7548499999991</v>
      </c>
      <c r="BM370" t="s">
        <v>2729</v>
      </c>
      <c r="BN370" t="s">
        <v>65</v>
      </c>
      <c r="BO370">
        <v>11</v>
      </c>
      <c r="BP370">
        <v>2023</v>
      </c>
      <c r="BQ370" t="str">
        <f t="shared" si="26"/>
        <v>PB511</v>
      </c>
      <c r="BR370">
        <f t="shared" si="27"/>
        <v>-1296.7620999999992</v>
      </c>
      <c r="BS370">
        <f t="shared" si="28"/>
        <v>3302.66039</v>
      </c>
      <c r="BT370" s="6">
        <f t="shared" si="29"/>
        <v>-74.860979536746584</v>
      </c>
    </row>
    <row r="371" spans="1:72">
      <c r="A371" s="3" t="s">
        <v>967</v>
      </c>
      <c r="B371" s="3" t="s">
        <v>1574</v>
      </c>
      <c r="C371" s="3" t="s">
        <v>1576</v>
      </c>
      <c r="D371" s="2" t="s">
        <v>1122</v>
      </c>
      <c r="E371" s="4" t="str">
        <f t="shared" si="25"/>
        <v>PB5A1-007-0050</v>
      </c>
      <c r="F371">
        <v>4.5199999999999996</v>
      </c>
      <c r="G371">
        <v>1.9</v>
      </c>
      <c r="H371" t="s">
        <v>72</v>
      </c>
      <c r="I371" t="s">
        <v>75</v>
      </c>
      <c r="J371" t="s">
        <v>641</v>
      </c>
      <c r="K371" t="s">
        <v>79</v>
      </c>
      <c r="L371" t="s">
        <v>79</v>
      </c>
      <c r="M371">
        <v>5.260416666666667</v>
      </c>
      <c r="N371" s="5">
        <v>44775</v>
      </c>
      <c r="O371" s="5">
        <v>44862</v>
      </c>
      <c r="P371">
        <v>1.1000000000000001</v>
      </c>
      <c r="Q371" s="4">
        <v>80</v>
      </c>
      <c r="R371">
        <v>0.39</v>
      </c>
      <c r="S371" t="s">
        <v>70</v>
      </c>
      <c r="T371" s="6">
        <v>1</v>
      </c>
      <c r="U371" s="5">
        <v>45000</v>
      </c>
      <c r="V371" s="6">
        <v>2</v>
      </c>
      <c r="W371" t="s">
        <v>71</v>
      </c>
      <c r="X371" s="6">
        <v>138</v>
      </c>
      <c r="Y371">
        <v>7.1732200000000006</v>
      </c>
      <c r="Z371">
        <v>1.5869955752212392</v>
      </c>
      <c r="AA371" s="6">
        <v>26.003524219248817</v>
      </c>
      <c r="AB371" s="4">
        <v>16.957181818181819</v>
      </c>
      <c r="AC371" s="6">
        <v>38.456325826010968</v>
      </c>
      <c r="AD371">
        <v>0.275880713</v>
      </c>
      <c r="AE371">
        <v>3.1315843711401961</v>
      </c>
      <c r="AF371">
        <v>21120</v>
      </c>
      <c r="AG371" s="4">
        <v>0</v>
      </c>
      <c r="AH371" s="4">
        <v>111100</v>
      </c>
      <c r="AL371">
        <v>26</v>
      </c>
      <c r="AM371">
        <v>7.1675000000000004</v>
      </c>
      <c r="AN371" t="s">
        <v>85</v>
      </c>
      <c r="AO371" t="s">
        <v>197</v>
      </c>
      <c r="AP371" s="5">
        <v>44865</v>
      </c>
      <c r="AQ371" t="s">
        <v>108</v>
      </c>
      <c r="AR371" s="5">
        <v>44998</v>
      </c>
      <c r="AS371">
        <v>273.16610671358188</v>
      </c>
      <c r="AT371" s="6"/>
      <c r="AU371">
        <v>61.339259077513304</v>
      </c>
      <c r="AV371">
        <v>93.416704074320904</v>
      </c>
      <c r="AW371">
        <v>172.22371821859633</v>
      </c>
      <c r="AX371">
        <v>326.97968137043057</v>
      </c>
      <c r="AY371">
        <v>79.351766710068844</v>
      </c>
      <c r="AZ371">
        <v>111.10669685301718</v>
      </c>
      <c r="BA371">
        <v>21.216439757877215</v>
      </c>
      <c r="BB371">
        <v>60.727815402287952</v>
      </c>
      <c r="BC371">
        <v>72.37030789519909</v>
      </c>
      <c r="BD371">
        <v>344.77302661845027</v>
      </c>
      <c r="BE371">
        <v>-398.58660127529896</v>
      </c>
      <c r="BF371">
        <v>49.036351875447842</v>
      </c>
      <c r="BG371">
        <v>7.4075673128664672</v>
      </c>
      <c r="BH371">
        <v>56.443919188314304</v>
      </c>
      <c r="BI371">
        <v>728.19662717719518</v>
      </c>
      <c r="BJ371" s="6">
        <v>210</v>
      </c>
      <c r="BK371">
        <v>-455.0305204636133</v>
      </c>
      <c r="BL371" s="4">
        <v>-3264.0340300000003</v>
      </c>
      <c r="BM371" t="s">
        <v>1599</v>
      </c>
      <c r="BN371" t="s">
        <v>65</v>
      </c>
      <c r="BO371">
        <v>3</v>
      </c>
      <c r="BP371">
        <v>2023</v>
      </c>
      <c r="BQ371" t="str">
        <f t="shared" si="26"/>
        <v>PB53</v>
      </c>
      <c r="BR371">
        <f t="shared" si="27"/>
        <v>-3717.1384100000005</v>
      </c>
      <c r="BS371">
        <f t="shared" si="28"/>
        <v>1959.4805799999999</v>
      </c>
      <c r="BT371" s="6">
        <f t="shared" si="29"/>
        <v>-518.19662717719518</v>
      </c>
    </row>
    <row r="372" spans="1:72">
      <c r="A372" s="3" t="s">
        <v>967</v>
      </c>
      <c r="B372" s="3" t="s">
        <v>1574</v>
      </c>
      <c r="C372" s="3" t="s">
        <v>1576</v>
      </c>
      <c r="D372" s="2" t="s">
        <v>1582</v>
      </c>
      <c r="E372" s="4" t="str">
        <f t="shared" si="25"/>
        <v>PB5A1-005-0052</v>
      </c>
      <c r="F372">
        <v>4.37</v>
      </c>
      <c r="G372">
        <v>1.9</v>
      </c>
      <c r="H372" t="s">
        <v>72</v>
      </c>
      <c r="I372" t="s">
        <v>75</v>
      </c>
      <c r="J372" t="s">
        <v>641</v>
      </c>
      <c r="K372" t="s">
        <v>79</v>
      </c>
      <c r="L372" t="s">
        <v>79</v>
      </c>
      <c r="M372">
        <v>4.7422680412371134</v>
      </c>
      <c r="N372" s="5">
        <v>44986</v>
      </c>
      <c r="O372" s="5">
        <v>45005</v>
      </c>
      <c r="P372">
        <v>1.2</v>
      </c>
      <c r="Q372" s="4">
        <v>90</v>
      </c>
      <c r="R372">
        <v>0.45</v>
      </c>
      <c r="S372" t="s">
        <v>70</v>
      </c>
      <c r="T372" s="6">
        <v>2</v>
      </c>
      <c r="U372" s="5">
        <v>45108</v>
      </c>
      <c r="V372" s="6">
        <v>2</v>
      </c>
      <c r="W372" t="s">
        <v>71</v>
      </c>
      <c r="X372" s="6">
        <v>103</v>
      </c>
      <c r="Y372">
        <v>11.146030000000001</v>
      </c>
      <c r="Z372">
        <v>2.5505789473684213</v>
      </c>
      <c r="AA372" s="6">
        <v>35.000892694528901</v>
      </c>
      <c r="AB372" s="4">
        <v>32.510083333333334</v>
      </c>
      <c r="AC372" s="6">
        <v>28.570699859787094</v>
      </c>
      <c r="AD372">
        <v>0.27302357799999999</v>
      </c>
      <c r="AE372">
        <v>3.429685091264981</v>
      </c>
      <c r="AF372">
        <v>36375</v>
      </c>
      <c r="AG372" s="4">
        <v>0</v>
      </c>
      <c r="AH372" s="4">
        <v>172500</v>
      </c>
      <c r="AI372" t="s">
        <v>73</v>
      </c>
      <c r="AJ372" t="s">
        <v>73</v>
      </c>
      <c r="AK372" t="s">
        <v>1583</v>
      </c>
      <c r="AL372">
        <v>35</v>
      </c>
      <c r="AM372">
        <v>4.5947700000000005</v>
      </c>
      <c r="AN372" t="s">
        <v>73</v>
      </c>
      <c r="AO372" t="s">
        <v>176</v>
      </c>
      <c r="AP372" s="5">
        <v>45006</v>
      </c>
      <c r="AQ372" t="s">
        <v>116</v>
      </c>
      <c r="AR372" s="5">
        <v>45106</v>
      </c>
      <c r="AS372">
        <v>154.16059260561829</v>
      </c>
      <c r="AT372" s="6"/>
      <c r="AU372">
        <v>48.447743277202733</v>
      </c>
      <c r="AV372">
        <v>102.16990174977097</v>
      </c>
      <c r="AW372">
        <v>54.067235598684036</v>
      </c>
      <c r="AX372">
        <v>204.68488062565777</v>
      </c>
      <c r="AY372">
        <v>31.64730670920498</v>
      </c>
      <c r="AZ372">
        <v>56.565402210473145</v>
      </c>
      <c r="BA372">
        <v>9.9415791990511408</v>
      </c>
      <c r="BB372">
        <v>20.397302896188151</v>
      </c>
      <c r="BC372">
        <v>28.023201085947193</v>
      </c>
      <c r="BD372">
        <v>146.57479210086461</v>
      </c>
      <c r="BE372">
        <v>-197.09908012090409</v>
      </c>
      <c r="BF372">
        <v>18.471549062760463</v>
      </c>
      <c r="BG372">
        <v>2.8266216760586502</v>
      </c>
      <c r="BH372">
        <v>21.29817073881911</v>
      </c>
      <c r="BI372">
        <v>372.55784346534148</v>
      </c>
      <c r="BJ372" s="6">
        <v>187</v>
      </c>
      <c r="BK372">
        <v>-218.39725085972319</v>
      </c>
      <c r="BL372" s="4">
        <v>-2434.2623100000005</v>
      </c>
      <c r="BM372" t="s">
        <v>1584</v>
      </c>
      <c r="BN372" t="s">
        <v>65</v>
      </c>
      <c r="BO372">
        <v>7</v>
      </c>
      <c r="BP372">
        <v>2023</v>
      </c>
      <c r="BQ372" t="str">
        <f t="shared" si="26"/>
        <v>PB57</v>
      </c>
      <c r="BR372">
        <f t="shared" si="27"/>
        <v>-2068.2332900000001</v>
      </c>
      <c r="BS372">
        <f t="shared" si="28"/>
        <v>1718.2785899999999</v>
      </c>
      <c r="BT372" s="6">
        <f t="shared" si="29"/>
        <v>-185.55784346534148</v>
      </c>
    </row>
    <row r="373" spans="1:72">
      <c r="A373" s="3" t="s">
        <v>967</v>
      </c>
      <c r="B373" s="3" t="s">
        <v>1574</v>
      </c>
      <c r="C373" s="3" t="s">
        <v>1576</v>
      </c>
      <c r="D373" s="2" t="s">
        <v>1591</v>
      </c>
      <c r="E373" s="4" t="str">
        <f t="shared" si="25"/>
        <v>PB5B1-023-0048</v>
      </c>
      <c r="F373">
        <v>5.9</v>
      </c>
      <c r="G373">
        <v>1.9</v>
      </c>
      <c r="H373" t="s">
        <v>72</v>
      </c>
      <c r="I373" t="s">
        <v>75</v>
      </c>
      <c r="J373" t="s">
        <v>112</v>
      </c>
      <c r="K373" t="s">
        <v>79</v>
      </c>
      <c r="L373" t="s">
        <v>79</v>
      </c>
      <c r="M373">
        <v>4.7670850767085078</v>
      </c>
      <c r="N373" s="5">
        <v>44866</v>
      </c>
      <c r="O373" s="5">
        <v>44895</v>
      </c>
      <c r="P373">
        <v>1.5</v>
      </c>
      <c r="Q373" s="4">
        <v>84</v>
      </c>
      <c r="R373">
        <v>0.08</v>
      </c>
      <c r="S373" t="s">
        <v>70</v>
      </c>
      <c r="T373" s="6">
        <v>1</v>
      </c>
      <c r="U373" s="5">
        <v>45025</v>
      </c>
      <c r="V373" s="6">
        <v>1</v>
      </c>
      <c r="W373" t="s">
        <v>86</v>
      </c>
      <c r="X373" s="6">
        <v>130</v>
      </c>
      <c r="Y373">
        <v>18.860229999999998</v>
      </c>
      <c r="Z373">
        <v>3.1966491525423724</v>
      </c>
      <c r="AA373" s="6">
        <v>29.000017497135506</v>
      </c>
      <c r="AB373" s="4">
        <v>36.463133333333332</v>
      </c>
      <c r="AC373" s="6">
        <v>34.482737815547026</v>
      </c>
      <c r="AD373">
        <v>0.26463660500000002</v>
      </c>
      <c r="AE373">
        <v>1.9129967988653287</v>
      </c>
      <c r="AF373">
        <v>35850</v>
      </c>
      <c r="AG373" s="4">
        <v>0</v>
      </c>
      <c r="AH373" s="4">
        <v>170900</v>
      </c>
      <c r="AI373" t="s">
        <v>98</v>
      </c>
      <c r="AJ373" t="s">
        <v>98</v>
      </c>
      <c r="AK373" t="s">
        <v>157</v>
      </c>
      <c r="AL373">
        <v>29.000000000000004</v>
      </c>
      <c r="AM373">
        <v>18.860229999999998</v>
      </c>
      <c r="AN373" t="s">
        <v>81</v>
      </c>
      <c r="AO373" t="s">
        <v>109</v>
      </c>
      <c r="AP373" s="5">
        <v>44896</v>
      </c>
      <c r="AQ373" t="s">
        <v>176</v>
      </c>
      <c r="AR373" s="5">
        <v>45022</v>
      </c>
      <c r="AS373">
        <v>223.83415366620662</v>
      </c>
      <c r="AT373" s="6"/>
      <c r="AU373">
        <v>31.812973648783711</v>
      </c>
      <c r="AV373">
        <v>61.996502693763546</v>
      </c>
      <c r="AW373">
        <v>68.9655507912682</v>
      </c>
      <c r="AX373">
        <v>162.77502713381546</v>
      </c>
      <c r="AY373">
        <v>26.050687610914604</v>
      </c>
      <c r="AZ373">
        <v>57.348987790710922</v>
      </c>
      <c r="BA373">
        <v>5.7408796181170647</v>
      </c>
      <c r="BB373">
        <v>13.669029486915061</v>
      </c>
      <c r="BC373">
        <v>27.563137353043945</v>
      </c>
      <c r="BD373">
        <v>130.37272185970161</v>
      </c>
      <c r="BE373">
        <v>-69.313595327310452</v>
      </c>
      <c r="BF373">
        <v>11.162878713568178</v>
      </c>
      <c r="BG373">
        <v>2.6718078199470527</v>
      </c>
      <c r="BH373">
        <v>13.834686533515232</v>
      </c>
      <c r="BI373">
        <v>306.98243552703235</v>
      </c>
      <c r="BJ373" s="6">
        <v>200</v>
      </c>
      <c r="BK373">
        <v>-83.148281860825705</v>
      </c>
      <c r="BL373" s="4">
        <v>-1568.1957200000006</v>
      </c>
      <c r="BM373" t="s">
        <v>1592</v>
      </c>
      <c r="BN373" t="s">
        <v>65</v>
      </c>
      <c r="BO373">
        <v>4</v>
      </c>
      <c r="BP373">
        <v>2023</v>
      </c>
      <c r="BQ373" t="str">
        <f t="shared" si="26"/>
        <v>PB54</v>
      </c>
      <c r="BR373">
        <f t="shared" si="27"/>
        <v>-2017.7133400000012</v>
      </c>
      <c r="BS373">
        <f t="shared" si="28"/>
        <v>4221.5636199999999</v>
      </c>
      <c r="BT373" s="6">
        <f t="shared" si="29"/>
        <v>-106.98243552703235</v>
      </c>
    </row>
    <row r="374" spans="1:72">
      <c r="A374" s="3" t="s">
        <v>967</v>
      </c>
      <c r="B374" s="3" t="s">
        <v>1574</v>
      </c>
      <c r="C374" s="3" t="s">
        <v>1576</v>
      </c>
      <c r="D374" s="2" t="s">
        <v>913</v>
      </c>
      <c r="E374" s="4" t="str">
        <f t="shared" si="25"/>
        <v>PB5A1-009-0047</v>
      </c>
      <c r="F374">
        <v>4.62</v>
      </c>
      <c r="G374">
        <v>1.9</v>
      </c>
      <c r="H374" t="s">
        <v>72</v>
      </c>
      <c r="I374" t="s">
        <v>75</v>
      </c>
      <c r="J374" t="s">
        <v>641</v>
      </c>
      <c r="K374" t="s">
        <v>79</v>
      </c>
      <c r="L374" t="s">
        <v>79</v>
      </c>
      <c r="M374">
        <v>4.9544401544401548</v>
      </c>
      <c r="N374" s="5">
        <v>44807</v>
      </c>
      <c r="O374" s="5">
        <v>44875</v>
      </c>
      <c r="P374">
        <v>1.5</v>
      </c>
      <c r="Q374" s="4">
        <v>107</v>
      </c>
      <c r="R374">
        <v>1.1499999999999999</v>
      </c>
      <c r="S374" t="s">
        <v>70</v>
      </c>
      <c r="T374" s="6">
        <v>1</v>
      </c>
      <c r="U374" s="5">
        <v>45007</v>
      </c>
      <c r="V374" s="6">
        <v>1</v>
      </c>
      <c r="W374" t="s">
        <v>86</v>
      </c>
      <c r="X374" s="6">
        <v>132</v>
      </c>
      <c r="Y374">
        <v>14.59615</v>
      </c>
      <c r="Z374">
        <v>3.1593398268398265</v>
      </c>
      <c r="AA374" s="6">
        <v>28.000191831407598</v>
      </c>
      <c r="AB374" s="4">
        <v>27.246333333333332</v>
      </c>
      <c r="AC374" s="6">
        <v>35.714041033044204</v>
      </c>
      <c r="AD374">
        <v>0.26185064899999999</v>
      </c>
      <c r="AE374">
        <v>2.5153152593202628</v>
      </c>
      <c r="AF374">
        <v>32375</v>
      </c>
      <c r="AG374" s="4">
        <v>0</v>
      </c>
      <c r="AH374" s="4">
        <v>160400</v>
      </c>
      <c r="AL374">
        <v>28</v>
      </c>
      <c r="AM374">
        <v>14.59125</v>
      </c>
      <c r="AN374" t="s">
        <v>81</v>
      </c>
      <c r="AO374" t="s">
        <v>110</v>
      </c>
      <c r="AP374" s="5">
        <v>44882</v>
      </c>
      <c r="AQ374" t="s">
        <v>189</v>
      </c>
      <c r="AR374" s="5">
        <v>45005</v>
      </c>
      <c r="AS374">
        <v>256.26597972753092</v>
      </c>
      <c r="AT374" s="6"/>
      <c r="AU374">
        <v>56.521754024177611</v>
      </c>
      <c r="AV374">
        <v>71.438059351267285</v>
      </c>
      <c r="AW374">
        <v>80.07701825481378</v>
      </c>
      <c r="AX374">
        <v>208.03683163025866</v>
      </c>
      <c r="AY374">
        <v>35.145571263655143</v>
      </c>
      <c r="AZ374">
        <v>57.173849268471486</v>
      </c>
      <c r="BA374">
        <v>8.8267604813598108</v>
      </c>
      <c r="BB374">
        <v>30.604224401640156</v>
      </c>
      <c r="BC374">
        <v>34.706741161196618</v>
      </c>
      <c r="BD374">
        <v>166.45714657632323</v>
      </c>
      <c r="BE374">
        <v>-118.22799847905097</v>
      </c>
      <c r="BF374">
        <v>20.849891238443014</v>
      </c>
      <c r="BG374">
        <v>3.3035862196538122</v>
      </c>
      <c r="BH374">
        <v>24.15347745809683</v>
      </c>
      <c r="BI374">
        <v>398.64745566467883</v>
      </c>
      <c r="BJ374" s="6">
        <v>204</v>
      </c>
      <c r="BK374">
        <v>-142.38147593714791</v>
      </c>
      <c r="BL374" s="4">
        <v>-2078.2213800000013</v>
      </c>
      <c r="BM374" t="s">
        <v>1597</v>
      </c>
      <c r="BN374" t="s">
        <v>65</v>
      </c>
      <c r="BO374">
        <v>3</v>
      </c>
      <c r="BP374">
        <v>2023</v>
      </c>
      <c r="BQ374" t="str">
        <f t="shared" si="26"/>
        <v>PB53</v>
      </c>
      <c r="BR374">
        <f t="shared" si="27"/>
        <v>-2841.1034600000016</v>
      </c>
      <c r="BS374">
        <f t="shared" si="28"/>
        <v>3740.4966800000002</v>
      </c>
      <c r="BT374" s="6">
        <f t="shared" si="29"/>
        <v>-194.64745566467883</v>
      </c>
    </row>
    <row r="375" spans="1:72">
      <c r="A375" s="3" t="s">
        <v>967</v>
      </c>
      <c r="B375" s="3" t="s">
        <v>1574</v>
      </c>
      <c r="C375" s="3" t="s">
        <v>1576</v>
      </c>
      <c r="D375" s="2" t="s">
        <v>1598</v>
      </c>
      <c r="E375" s="4" t="str">
        <f t="shared" si="25"/>
        <v>PB5A1-005-0051</v>
      </c>
      <c r="F375">
        <v>4.37</v>
      </c>
      <c r="G375">
        <v>1.9</v>
      </c>
      <c r="H375" t="s">
        <v>72</v>
      </c>
      <c r="I375" t="s">
        <v>75</v>
      </c>
      <c r="J375" t="s">
        <v>641</v>
      </c>
      <c r="K375" t="s">
        <v>79</v>
      </c>
      <c r="L375" t="s">
        <v>79</v>
      </c>
      <c r="M375">
        <v>5.1861908456167569</v>
      </c>
      <c r="N375" s="5">
        <v>44841</v>
      </c>
      <c r="O375" s="5">
        <v>44841</v>
      </c>
      <c r="P375">
        <v>1.1000000000000001</v>
      </c>
      <c r="Q375" s="4">
        <v>83</v>
      </c>
      <c r="R375">
        <v>0.4</v>
      </c>
      <c r="S375" t="s">
        <v>70</v>
      </c>
      <c r="T375" s="6">
        <v>1</v>
      </c>
      <c r="U375" s="5">
        <v>44985</v>
      </c>
      <c r="V375" s="6">
        <v>2</v>
      </c>
      <c r="W375" t="s">
        <v>71</v>
      </c>
      <c r="X375" s="6">
        <v>144</v>
      </c>
      <c r="Y375">
        <v>11.56061</v>
      </c>
      <c r="Z375">
        <v>2.6454485125858125</v>
      </c>
      <c r="AA375" s="6">
        <v>26.999959344705857</v>
      </c>
      <c r="AB375" s="4">
        <v>28.376000000000001</v>
      </c>
      <c r="AC375" s="6">
        <v>37.037092805700084</v>
      </c>
      <c r="AD375">
        <v>0.254423868</v>
      </c>
      <c r="AE375">
        <v>2.3182181552990349</v>
      </c>
      <c r="AF375">
        <v>25780</v>
      </c>
      <c r="AG375" s="4"/>
      <c r="AH375" s="4">
        <v>133700</v>
      </c>
      <c r="AL375">
        <v>27</v>
      </c>
      <c r="AM375">
        <v>11.56061</v>
      </c>
      <c r="AN375" t="s">
        <v>81</v>
      </c>
      <c r="AO375" t="s">
        <v>109</v>
      </c>
      <c r="AP375" s="5">
        <v>44847</v>
      </c>
      <c r="AQ375" t="s">
        <v>108</v>
      </c>
      <c r="AR375" s="5">
        <v>44984</v>
      </c>
      <c r="AS375">
        <v>262.47920568205308</v>
      </c>
      <c r="AT375" s="6"/>
      <c r="AU375">
        <v>38.06027536609227</v>
      </c>
      <c r="AV375">
        <v>69.922578479855318</v>
      </c>
      <c r="AW375">
        <v>96.291069415887165</v>
      </c>
      <c r="AX375">
        <v>204.27392326183471</v>
      </c>
      <c r="AY375">
        <v>30.041378439373005</v>
      </c>
      <c r="AZ375">
        <v>56.949101301747916</v>
      </c>
      <c r="BA375">
        <v>6.4218929623955816</v>
      </c>
      <c r="BB375">
        <v>27.328365025720956</v>
      </c>
      <c r="BC375">
        <v>32.478671108185466</v>
      </c>
      <c r="BD375">
        <v>153.21940883742292</v>
      </c>
      <c r="BE375">
        <v>-95.014126417204551</v>
      </c>
      <c r="BF375">
        <v>17.582922527444488</v>
      </c>
      <c r="BG375">
        <v>2.8292745798015848</v>
      </c>
      <c r="BH375">
        <v>20.412197107246072</v>
      </c>
      <c r="BI375">
        <v>377.90552920650384</v>
      </c>
      <c r="BJ375" s="6">
        <v>207</v>
      </c>
      <c r="BK375">
        <v>-115.42632352445077</v>
      </c>
      <c r="BL375" s="4">
        <v>-1334.3987100000008</v>
      </c>
      <c r="BM375" t="s">
        <v>1575</v>
      </c>
      <c r="BN375" t="s">
        <v>65</v>
      </c>
      <c r="BO375">
        <v>2</v>
      </c>
      <c r="BP375">
        <v>2023</v>
      </c>
      <c r="BQ375" t="str">
        <f t="shared" si="26"/>
        <v>PB52</v>
      </c>
      <c r="BR375">
        <f t="shared" si="27"/>
        <v>-1975.7721700000004</v>
      </c>
      <c r="BS375">
        <f t="shared" si="28"/>
        <v>3034.4197299999996</v>
      </c>
      <c r="BT375" s="6">
        <f t="shared" si="29"/>
        <v>-170.90552920650384</v>
      </c>
    </row>
    <row r="376" spans="1:72">
      <c r="A376" s="3" t="s">
        <v>967</v>
      </c>
      <c r="B376" s="3" t="s">
        <v>1574</v>
      </c>
      <c r="C376" s="3" t="s">
        <v>1576</v>
      </c>
      <c r="D376" s="2" t="s">
        <v>1129</v>
      </c>
      <c r="E376" s="4" t="str">
        <f t="shared" si="25"/>
        <v>PB5A1-007-0051</v>
      </c>
      <c r="F376">
        <v>4.5199999999999996</v>
      </c>
      <c r="G376">
        <v>1.9</v>
      </c>
      <c r="H376" t="s">
        <v>72</v>
      </c>
      <c r="I376" t="s">
        <v>75</v>
      </c>
      <c r="J376" t="s">
        <v>641</v>
      </c>
      <c r="K376" t="s">
        <v>79</v>
      </c>
      <c r="L376" t="s">
        <v>79</v>
      </c>
      <c r="M376">
        <v>4.7911547911547911</v>
      </c>
      <c r="N376" s="5">
        <v>45001</v>
      </c>
      <c r="O376" s="5">
        <v>45013</v>
      </c>
      <c r="P376">
        <v>1</v>
      </c>
      <c r="Q376" s="4">
        <v>73</v>
      </c>
      <c r="R376">
        <v>0.35</v>
      </c>
      <c r="S376" t="s">
        <v>70</v>
      </c>
      <c r="T376" s="6">
        <v>1</v>
      </c>
      <c r="U376" s="5">
        <v>45078</v>
      </c>
      <c r="V376" s="6">
        <v>2</v>
      </c>
      <c r="W376" t="s">
        <v>71</v>
      </c>
      <c r="X376" s="6">
        <v>65</v>
      </c>
      <c r="Y376">
        <v>11.24901</v>
      </c>
      <c r="Z376">
        <v>2.4887190265486727</v>
      </c>
      <c r="AA376" s="6">
        <v>60.000035558684722</v>
      </c>
      <c r="AB376" s="4">
        <v>67.494100000000003</v>
      </c>
      <c r="AC376" s="6">
        <v>16.666656789260099</v>
      </c>
      <c r="AD376">
        <v>0.25102564100000002</v>
      </c>
      <c r="AE376">
        <v>1.8671420615266892</v>
      </c>
      <c r="AF376">
        <v>20350</v>
      </c>
      <c r="AG376" s="4">
        <v>0</v>
      </c>
      <c r="AH376" s="4">
        <v>97500</v>
      </c>
      <c r="AL376">
        <v>60</v>
      </c>
      <c r="AM376">
        <v>11.24901</v>
      </c>
      <c r="AN376" t="s">
        <v>978</v>
      </c>
      <c r="AO376" t="s">
        <v>176</v>
      </c>
      <c r="AP376" s="5">
        <v>45014</v>
      </c>
      <c r="AQ376" t="s">
        <v>127</v>
      </c>
      <c r="AR376" s="5">
        <v>45076</v>
      </c>
      <c r="AS376">
        <v>90.636548460708994</v>
      </c>
      <c r="AT376" s="6"/>
      <c r="AU376">
        <v>35.558684719810898</v>
      </c>
      <c r="AV376">
        <v>57.42992672244047</v>
      </c>
      <c r="AW376">
        <v>34.828860495279152</v>
      </c>
      <c r="AX376">
        <v>127.81747193753053</v>
      </c>
      <c r="AY376">
        <v>18.41774698395681</v>
      </c>
      <c r="AZ376">
        <v>35.548722065319524</v>
      </c>
      <c r="BA376">
        <v>5.6663359708987731</v>
      </c>
      <c r="BB376">
        <v>12.153381497571788</v>
      </c>
      <c r="BC376">
        <v>16.518126484019483</v>
      </c>
      <c r="BD376">
        <v>88.304313001766388</v>
      </c>
      <c r="BE376">
        <v>-125.48523647858792</v>
      </c>
      <c r="BF376">
        <v>9.949641790699804</v>
      </c>
      <c r="BG376">
        <v>1.6544415908599959</v>
      </c>
      <c r="BH376">
        <v>11.604083381559798</v>
      </c>
      <c r="BI376">
        <v>227.72586832085665</v>
      </c>
      <c r="BJ376" s="6">
        <v>162</v>
      </c>
      <c r="BK376">
        <v>-137.08931986014767</v>
      </c>
      <c r="BL376" s="4">
        <v>-1542.1191299999998</v>
      </c>
      <c r="BM376" t="s">
        <v>1579</v>
      </c>
      <c r="BN376" t="s">
        <v>65</v>
      </c>
      <c r="BO376">
        <v>6</v>
      </c>
      <c r="BP376">
        <v>2023</v>
      </c>
      <c r="BQ376" t="str">
        <f t="shared" si="26"/>
        <v>PB56</v>
      </c>
      <c r="BR376">
        <f t="shared" si="27"/>
        <v>-739.35094999999967</v>
      </c>
      <c r="BS376">
        <f t="shared" si="28"/>
        <v>1019.5714400000001</v>
      </c>
      <c r="BT376" s="6">
        <f t="shared" si="29"/>
        <v>-65.725868320856648</v>
      </c>
    </row>
    <row r="377" spans="1:72">
      <c r="A377" s="3" t="s">
        <v>967</v>
      </c>
      <c r="B377" s="3" t="s">
        <v>1574</v>
      </c>
      <c r="C377" s="3" t="s">
        <v>1576</v>
      </c>
      <c r="D377" s="2" t="s">
        <v>1595</v>
      </c>
      <c r="E377" s="4" t="str">
        <f t="shared" si="25"/>
        <v>PB5B1-022-0049</v>
      </c>
      <c r="F377">
        <v>5.72</v>
      </c>
      <c r="G377">
        <v>1.9</v>
      </c>
      <c r="H377" t="s">
        <v>72</v>
      </c>
      <c r="I377" t="s">
        <v>75</v>
      </c>
      <c r="J377" t="s">
        <v>112</v>
      </c>
      <c r="K377" t="s">
        <v>79</v>
      </c>
      <c r="L377" t="s">
        <v>79</v>
      </c>
      <c r="M377">
        <v>5.1613796924781825</v>
      </c>
      <c r="N377" s="5">
        <v>44848</v>
      </c>
      <c r="O377" s="5">
        <v>44855</v>
      </c>
      <c r="P377">
        <v>0.99999000000000005</v>
      </c>
      <c r="Q377" s="4">
        <v>58</v>
      </c>
      <c r="R377">
        <v>0.85</v>
      </c>
      <c r="S377" t="s">
        <v>70</v>
      </c>
      <c r="T377" s="6">
        <v>1</v>
      </c>
      <c r="U377" s="5">
        <v>44998</v>
      </c>
      <c r="V377" s="6">
        <v>2</v>
      </c>
      <c r="W377" t="s">
        <v>71</v>
      </c>
      <c r="X377" s="6">
        <v>143</v>
      </c>
      <c r="Y377">
        <v>14.657719999999999</v>
      </c>
      <c r="Z377">
        <v>2.5625384615384617</v>
      </c>
      <c r="AA377" s="6">
        <v>28.001421776374499</v>
      </c>
      <c r="AB377" s="4">
        <v>41.044110441104408</v>
      </c>
      <c r="AC377" s="6">
        <v>35.712472316092359</v>
      </c>
      <c r="AD377">
        <v>0.24380619400000003</v>
      </c>
      <c r="AE377">
        <v>2.6141078537663942</v>
      </c>
      <c r="AF377">
        <v>36095</v>
      </c>
      <c r="AG377" s="4">
        <v>0</v>
      </c>
      <c r="AH377" s="4">
        <v>186300</v>
      </c>
      <c r="AL377">
        <v>28</v>
      </c>
      <c r="AM377">
        <v>14.649299999999998</v>
      </c>
      <c r="AN377" t="s">
        <v>81</v>
      </c>
      <c r="AO377" t="s">
        <v>101</v>
      </c>
      <c r="AP377" s="5">
        <v>44861</v>
      </c>
      <c r="AQ377" t="s">
        <v>189</v>
      </c>
      <c r="AR377" s="5">
        <v>44996</v>
      </c>
      <c r="AS377">
        <v>252.23865990072127</v>
      </c>
      <c r="AT377" s="6"/>
      <c r="AU377">
        <v>37.52220672792221</v>
      </c>
      <c r="AV377">
        <v>77.886906012667765</v>
      </c>
      <c r="AW377">
        <v>86.19373681582131</v>
      </c>
      <c r="AX377">
        <v>201.60284955641131</v>
      </c>
      <c r="AY377">
        <v>30.152877118678759</v>
      </c>
      <c r="AZ377">
        <v>63.794509650887036</v>
      </c>
      <c r="BA377">
        <v>6.9820429098113479</v>
      </c>
      <c r="BB377">
        <v>13.69987760715855</v>
      </c>
      <c r="BC377">
        <v>33.477171074355354</v>
      </c>
      <c r="BD377">
        <v>148.10647836089103</v>
      </c>
      <c r="BE377">
        <v>-97.470668016581072</v>
      </c>
      <c r="BF377">
        <v>12.969951670519018</v>
      </c>
      <c r="BG377">
        <v>3.1530551818427424</v>
      </c>
      <c r="BH377">
        <v>16.123006852361762</v>
      </c>
      <c r="BI377">
        <v>365.8323347696641</v>
      </c>
      <c r="BJ377" s="6">
        <v>204</v>
      </c>
      <c r="BK377">
        <v>-113.59367486894284</v>
      </c>
      <c r="BL377" s="4">
        <v>-1665.0242800000008</v>
      </c>
      <c r="BM377" t="s">
        <v>1596</v>
      </c>
      <c r="BN377" t="s">
        <v>65</v>
      </c>
      <c r="BO377">
        <v>3</v>
      </c>
      <c r="BP377">
        <v>2023</v>
      </c>
      <c r="BQ377" t="str">
        <f t="shared" si="26"/>
        <v>PB53</v>
      </c>
      <c r="BR377">
        <f t="shared" si="27"/>
        <v>-2372.0930500000009</v>
      </c>
      <c r="BS377">
        <f t="shared" si="28"/>
        <v>3697.2436499999999</v>
      </c>
      <c r="BT377" s="6">
        <f t="shared" si="29"/>
        <v>-161.8323347696641</v>
      </c>
    </row>
    <row r="378" spans="1:72">
      <c r="A378" s="3" t="s">
        <v>967</v>
      </c>
      <c r="B378" s="3" t="s">
        <v>1574</v>
      </c>
      <c r="C378" s="3" t="s">
        <v>1576</v>
      </c>
      <c r="D378" s="2" t="s">
        <v>1577</v>
      </c>
      <c r="E378" s="4" t="str">
        <f t="shared" si="25"/>
        <v>PB5B1-023-0049</v>
      </c>
      <c r="F378">
        <v>5.9</v>
      </c>
      <c r="G378">
        <v>1.9</v>
      </c>
      <c r="H378" t="s">
        <v>72</v>
      </c>
      <c r="I378" t="s">
        <v>75</v>
      </c>
      <c r="J378" t="s">
        <v>112</v>
      </c>
      <c r="K378" t="s">
        <v>79</v>
      </c>
      <c r="L378" t="s">
        <v>79</v>
      </c>
      <c r="M378">
        <v>4.8648648648648649</v>
      </c>
      <c r="N378" s="5">
        <v>45026</v>
      </c>
      <c r="O378" s="5">
        <v>45043</v>
      </c>
      <c r="P378">
        <v>1.5</v>
      </c>
      <c r="Q378" s="4">
        <v>84</v>
      </c>
      <c r="R378">
        <v>0.32</v>
      </c>
      <c r="S378" t="s">
        <v>70</v>
      </c>
      <c r="T378" s="6">
        <v>1</v>
      </c>
      <c r="U378" s="5">
        <v>45081</v>
      </c>
      <c r="V378" s="6">
        <v>2</v>
      </c>
      <c r="W378" t="s">
        <v>71</v>
      </c>
      <c r="X378" s="6">
        <v>38</v>
      </c>
      <c r="Y378">
        <v>7.8761000000000001</v>
      </c>
      <c r="Z378">
        <v>1.3349322033898305</v>
      </c>
      <c r="AA378" s="6">
        <v>170.9999873033608</v>
      </c>
      <c r="AB378" s="4">
        <v>89.787533333333329</v>
      </c>
      <c r="AC378" s="6">
        <v>5.8479536505810383</v>
      </c>
      <c r="AD378">
        <v>0.145472453</v>
      </c>
      <c r="AE378">
        <v>1.7509227836292098</v>
      </c>
      <c r="AF378">
        <v>12950</v>
      </c>
      <c r="AG378" s="4">
        <v>36000</v>
      </c>
      <c r="AH378" s="4">
        <v>63000</v>
      </c>
      <c r="AI378" t="s">
        <v>73</v>
      </c>
      <c r="AJ378" t="s">
        <v>73</v>
      </c>
      <c r="AK378" t="s">
        <v>127</v>
      </c>
      <c r="AL378">
        <v>171</v>
      </c>
      <c r="AM378">
        <v>7.8761000000000001</v>
      </c>
      <c r="AN378" t="s">
        <v>73</v>
      </c>
      <c r="AO378" t="s">
        <v>123</v>
      </c>
      <c r="AP378" s="5">
        <v>45044</v>
      </c>
      <c r="AQ378" t="s">
        <v>123</v>
      </c>
      <c r="AR378" s="5">
        <v>45076</v>
      </c>
      <c r="AS378">
        <v>46.719061464430361</v>
      </c>
      <c r="AT378" s="6"/>
      <c r="AU378">
        <v>76.179835197623177</v>
      </c>
      <c r="AV378">
        <v>52.239313873617647</v>
      </c>
      <c r="AW378">
        <v>39.989112631886336</v>
      </c>
      <c r="AX378">
        <v>168.40826170312715</v>
      </c>
      <c r="AY378">
        <v>25.515435304274959</v>
      </c>
      <c r="AZ378">
        <v>49.494013534617388</v>
      </c>
      <c r="BA378">
        <v>8.9970366044108125</v>
      </c>
      <c r="BB378">
        <v>16.249902870710123</v>
      </c>
      <c r="BC378">
        <v>22.212697908863522</v>
      </c>
      <c r="BD378">
        <v>122.4690862228768</v>
      </c>
      <c r="BE378">
        <v>-244.1582864615736</v>
      </c>
      <c r="BF378">
        <v>14.611628851842916</v>
      </c>
      <c r="BG378">
        <v>2.2479539365929839</v>
      </c>
      <c r="BH378">
        <v>16.859582788435901</v>
      </c>
      <c r="BI378">
        <v>307.73693071443984</v>
      </c>
      <c r="BJ378" s="6">
        <v>150</v>
      </c>
      <c r="BK378">
        <v>-261.01786925000948</v>
      </c>
      <c r="BL378" s="4">
        <v>-2055.8028399999998</v>
      </c>
      <c r="BM378" t="s">
        <v>1578</v>
      </c>
      <c r="BN378" t="s">
        <v>65</v>
      </c>
      <c r="BO378">
        <v>6</v>
      </c>
      <c r="BP378">
        <v>2023</v>
      </c>
      <c r="BQ378" t="str">
        <f t="shared" si="26"/>
        <v>PB56</v>
      </c>
      <c r="BR378">
        <f t="shared" si="27"/>
        <v>-1242.3518399999996</v>
      </c>
      <c r="BS378">
        <f t="shared" si="28"/>
        <v>367.96399999999994</v>
      </c>
      <c r="BT378" s="6">
        <f t="shared" si="29"/>
        <v>-157.73693071443984</v>
      </c>
    </row>
    <row r="379" spans="1:72">
      <c r="A379" s="3" t="s">
        <v>967</v>
      </c>
      <c r="B379" s="3" t="s">
        <v>1574</v>
      </c>
      <c r="C379" s="3" t="s">
        <v>1576</v>
      </c>
      <c r="D379" s="2" t="s">
        <v>2854</v>
      </c>
      <c r="E379" s="4" t="str">
        <f t="shared" si="25"/>
        <v>PB5A1-011-0048</v>
      </c>
      <c r="F379">
        <v>2.35</v>
      </c>
      <c r="G379">
        <v>2</v>
      </c>
      <c r="H379" t="s">
        <v>72</v>
      </c>
      <c r="I379" t="s">
        <v>75</v>
      </c>
      <c r="J379" t="s">
        <v>641</v>
      </c>
      <c r="K379" t="s">
        <v>79</v>
      </c>
      <c r="N379" s="5">
        <v>45170</v>
      </c>
      <c r="O379" s="5">
        <v>45198</v>
      </c>
      <c r="P379">
        <v>1</v>
      </c>
      <c r="Q379" s="4">
        <v>133</v>
      </c>
      <c r="R379">
        <v>0.43</v>
      </c>
      <c r="S379" t="s">
        <v>70</v>
      </c>
      <c r="T379" s="6"/>
      <c r="U379" s="5">
        <v>45210</v>
      </c>
      <c r="V379" s="6">
        <v>3</v>
      </c>
      <c r="W379" t="s">
        <v>2831</v>
      </c>
      <c r="X379" s="6"/>
      <c r="AA379" s="6"/>
      <c r="AB379" s="4"/>
      <c r="AC379" s="6"/>
      <c r="AF379">
        <v>1500</v>
      </c>
      <c r="AG379" s="4"/>
      <c r="AH379" s="4"/>
      <c r="AI379" t="s">
        <v>978</v>
      </c>
      <c r="AJ379" t="s">
        <v>978</v>
      </c>
      <c r="AK379" t="s">
        <v>106</v>
      </c>
      <c r="AN379" t="s">
        <v>978</v>
      </c>
      <c r="AO379" t="s">
        <v>215</v>
      </c>
      <c r="AP379" s="5">
        <v>45201</v>
      </c>
      <c r="AQ379" t="s">
        <v>438</v>
      </c>
      <c r="AR379" s="5">
        <v>45210</v>
      </c>
      <c r="AT379" s="6"/>
      <c r="BJ379" s="6"/>
      <c r="BL379" s="4">
        <v>-906.14682999999991</v>
      </c>
      <c r="BM379" t="s">
        <v>2855</v>
      </c>
      <c r="BN379" t="s">
        <v>65</v>
      </c>
      <c r="BO379">
        <v>10</v>
      </c>
      <c r="BP379">
        <v>2023</v>
      </c>
      <c r="BQ379" t="str">
        <f t="shared" si="26"/>
        <v>PB510</v>
      </c>
      <c r="BR379">
        <f t="shared" si="27"/>
        <v>0</v>
      </c>
      <c r="BS379">
        <f t="shared" si="28"/>
        <v>0</v>
      </c>
      <c r="BT379" s="6">
        <f t="shared" si="29"/>
        <v>0</v>
      </c>
    </row>
    <row r="380" spans="1:72">
      <c r="A380" s="3" t="s">
        <v>967</v>
      </c>
      <c r="B380" s="3" t="s">
        <v>1123</v>
      </c>
      <c r="C380" s="3" t="s">
        <v>1130</v>
      </c>
      <c r="D380" s="2" t="s">
        <v>1122</v>
      </c>
      <c r="E380" s="4" t="str">
        <f t="shared" si="25"/>
        <v>Roiphet2A1-007-0050</v>
      </c>
      <c r="F380">
        <v>4.7</v>
      </c>
      <c r="G380">
        <v>1.7</v>
      </c>
      <c r="H380" t="s">
        <v>72</v>
      </c>
      <c r="I380" t="s">
        <v>75</v>
      </c>
      <c r="J380" t="s">
        <v>95</v>
      </c>
      <c r="K380" t="s">
        <v>69</v>
      </c>
      <c r="L380" t="s">
        <v>69</v>
      </c>
      <c r="M380">
        <v>4.5432447710570942</v>
      </c>
      <c r="N380" s="5">
        <v>44920</v>
      </c>
      <c r="O380" s="5">
        <v>44938</v>
      </c>
      <c r="P380">
        <v>1.3</v>
      </c>
      <c r="Q380" s="4">
        <v>102</v>
      </c>
      <c r="R380">
        <v>0.35</v>
      </c>
      <c r="S380" t="s">
        <v>70</v>
      </c>
      <c r="T380" s="6">
        <v>5</v>
      </c>
      <c r="U380" s="5">
        <v>45045</v>
      </c>
      <c r="V380" s="6">
        <v>1</v>
      </c>
      <c r="W380" t="s">
        <v>86</v>
      </c>
      <c r="X380" s="6">
        <v>106.99999999999999</v>
      </c>
      <c r="Y380">
        <v>22.53106</v>
      </c>
      <c r="Z380">
        <v>4.7938425531914888</v>
      </c>
      <c r="AA380" s="6">
        <v>39.163226230812043</v>
      </c>
      <c r="AB380" s="4">
        <v>67.876076923076923</v>
      </c>
      <c r="AC380" s="6">
        <v>25.534157837416377</v>
      </c>
      <c r="AD380">
        <v>0.34286950500000002</v>
      </c>
      <c r="AE380">
        <v>2.0032849796885701</v>
      </c>
      <c r="AF380">
        <v>44225</v>
      </c>
      <c r="AG380" s="4">
        <v>10000</v>
      </c>
      <c r="AH380" s="4">
        <v>200925</v>
      </c>
      <c r="AL380">
        <v>27</v>
      </c>
      <c r="AM380">
        <v>5.5193199999999996</v>
      </c>
      <c r="AN380" t="s">
        <v>81</v>
      </c>
      <c r="AO380" t="s">
        <v>105</v>
      </c>
      <c r="AP380" s="5">
        <v>44942</v>
      </c>
      <c r="AQ380" t="s">
        <v>136</v>
      </c>
      <c r="AR380" s="5">
        <v>45042</v>
      </c>
      <c r="AS380">
        <v>233.8909159178485</v>
      </c>
      <c r="AT380" s="6"/>
      <c r="AU380">
        <v>23.079251486614478</v>
      </c>
      <c r="AV380">
        <v>71.643591113778029</v>
      </c>
      <c r="AW380">
        <v>33.651679503760576</v>
      </c>
      <c r="AX380">
        <v>128.37452210415307</v>
      </c>
      <c r="AY380">
        <v>13.170126483174782</v>
      </c>
      <c r="AZ380">
        <v>23.544545174527965</v>
      </c>
      <c r="BA380">
        <v>4.4639080451607693</v>
      </c>
      <c r="BB380">
        <v>14.198707916982158</v>
      </c>
      <c r="BC380">
        <v>10.982806845305992</v>
      </c>
      <c r="BD380">
        <v>66.360094465151676</v>
      </c>
      <c r="BE380">
        <v>39.156299348543754</v>
      </c>
      <c r="BF380">
        <v>7.7448233682747283</v>
      </c>
      <c r="BH380">
        <v>7.7448233682747283</v>
      </c>
      <c r="BI380">
        <v>202.47943993757949</v>
      </c>
      <c r="BJ380" s="6">
        <v>183</v>
      </c>
      <c r="BK380">
        <v>31.411475980268996</v>
      </c>
      <c r="BL380" s="4">
        <v>707.73384999999962</v>
      </c>
      <c r="BM380" t="s">
        <v>1137</v>
      </c>
      <c r="BN380" t="s">
        <v>65</v>
      </c>
      <c r="BO380">
        <v>4</v>
      </c>
      <c r="BP380">
        <v>2023</v>
      </c>
      <c r="BQ380" t="str">
        <f t="shared" si="26"/>
        <v>Roiphet24</v>
      </c>
      <c r="BR380">
        <f t="shared" si="27"/>
        <v>-438.89242999999965</v>
      </c>
      <c r="BS380">
        <f t="shared" si="28"/>
        <v>5269.8102599999993</v>
      </c>
      <c r="BT380" s="6">
        <f t="shared" si="29"/>
        <v>-19.479439937579485</v>
      </c>
    </row>
    <row r="381" spans="1:72">
      <c r="A381" s="3" t="s">
        <v>967</v>
      </c>
      <c r="B381" s="3" t="s">
        <v>1123</v>
      </c>
      <c r="C381" s="3" t="s">
        <v>1130</v>
      </c>
      <c r="D381" s="2" t="s">
        <v>1141</v>
      </c>
      <c r="E381" s="4" t="str">
        <f t="shared" si="25"/>
        <v>Roiphet2A1-006-0045</v>
      </c>
      <c r="F381">
        <v>5.3</v>
      </c>
      <c r="G381">
        <v>1.8</v>
      </c>
      <c r="H381" t="s">
        <v>72</v>
      </c>
      <c r="I381" t="s">
        <v>75</v>
      </c>
      <c r="J381" t="s">
        <v>95</v>
      </c>
      <c r="K381" t="s">
        <v>69</v>
      </c>
      <c r="L381" t="s">
        <v>69</v>
      </c>
      <c r="M381">
        <v>4.2672697368421053</v>
      </c>
      <c r="N381" s="5">
        <v>44896</v>
      </c>
      <c r="O381" s="5">
        <v>44923</v>
      </c>
      <c r="P381">
        <v>1.5</v>
      </c>
      <c r="Q381" s="4">
        <v>98</v>
      </c>
      <c r="R381">
        <v>0.34200000000000003</v>
      </c>
      <c r="S381" t="s">
        <v>70</v>
      </c>
      <c r="T381" s="6">
        <v>5</v>
      </c>
      <c r="U381" s="5">
        <v>45062</v>
      </c>
      <c r="V381" s="6">
        <v>1</v>
      </c>
      <c r="W381" t="s">
        <v>86</v>
      </c>
      <c r="X381" s="6">
        <v>139</v>
      </c>
      <c r="Y381">
        <v>30.169650000000001</v>
      </c>
      <c r="Z381">
        <v>5.6923867924528304</v>
      </c>
      <c r="AA381" s="6">
        <v>32.459640731662446</v>
      </c>
      <c r="AB381" s="4">
        <v>65.2864</v>
      </c>
      <c r="AC381" s="6">
        <v>30.807488236447409</v>
      </c>
      <c r="AD381">
        <v>0.324550687</v>
      </c>
      <c r="AE381">
        <v>2.0501096707517124</v>
      </c>
      <c r="AF381">
        <v>60800</v>
      </c>
      <c r="AG381" s="4">
        <v>46000</v>
      </c>
      <c r="AH381" s="4">
        <v>259450</v>
      </c>
      <c r="AL381">
        <v>22</v>
      </c>
      <c r="AM381">
        <v>13.9979</v>
      </c>
      <c r="AN381" t="s">
        <v>81</v>
      </c>
      <c r="AO381" t="s">
        <v>104</v>
      </c>
      <c r="AP381" s="5">
        <v>44928</v>
      </c>
      <c r="AQ381" t="s">
        <v>170</v>
      </c>
      <c r="AR381" s="5">
        <v>45056</v>
      </c>
      <c r="AS381">
        <v>251.59050104989618</v>
      </c>
      <c r="AT381" s="6"/>
      <c r="AU381">
        <v>19.887535984010427</v>
      </c>
      <c r="AV381">
        <v>73.982918263884386</v>
      </c>
      <c r="AW381">
        <v>32.614331289889016</v>
      </c>
      <c r="AX381">
        <v>126.48478553778382</v>
      </c>
      <c r="AY381">
        <v>15.846625996655584</v>
      </c>
      <c r="AZ381">
        <v>24.242414810910965</v>
      </c>
      <c r="BA381">
        <v>6.8982089616551745</v>
      </c>
      <c r="BB381">
        <v>16.844800652311179</v>
      </c>
      <c r="BC381">
        <v>13.38424973441853</v>
      </c>
      <c r="BD381">
        <v>77.21630015595143</v>
      </c>
      <c r="BE381">
        <v>47.889415356160924</v>
      </c>
      <c r="BF381">
        <v>9.4035028580046482</v>
      </c>
      <c r="BH381">
        <v>9.4035028580046482</v>
      </c>
      <c r="BI381">
        <v>213.10458855173988</v>
      </c>
      <c r="BJ381" s="6">
        <v>192</v>
      </c>
      <c r="BK381">
        <v>38.485912498156281</v>
      </c>
      <c r="BL381" s="4">
        <v>1161.1065100000008</v>
      </c>
      <c r="BM381" t="s">
        <v>1142</v>
      </c>
      <c r="BN381" t="s">
        <v>65</v>
      </c>
      <c r="BO381">
        <v>5</v>
      </c>
      <c r="BP381">
        <v>2023</v>
      </c>
      <c r="BQ381" t="str">
        <f t="shared" si="26"/>
        <v>Roiphet25</v>
      </c>
      <c r="BR381">
        <f t="shared" si="27"/>
        <v>-636.71804999999904</v>
      </c>
      <c r="BS381">
        <f t="shared" si="28"/>
        <v>7590.3973599999999</v>
      </c>
      <c r="BT381" s="6">
        <f t="shared" si="29"/>
        <v>-21.10458855173988</v>
      </c>
    </row>
    <row r="382" spans="1:72">
      <c r="A382" s="3" t="s">
        <v>967</v>
      </c>
      <c r="B382" s="3" t="s">
        <v>1123</v>
      </c>
      <c r="C382" s="3" t="s">
        <v>1130</v>
      </c>
      <c r="D382" s="2" t="s">
        <v>997</v>
      </c>
      <c r="E382" s="4" t="str">
        <f t="shared" si="25"/>
        <v>Roiphet2A1-002-0048</v>
      </c>
      <c r="F382">
        <v>5.2</v>
      </c>
      <c r="G382">
        <v>1.7</v>
      </c>
      <c r="H382" t="s">
        <v>72</v>
      </c>
      <c r="I382" t="s">
        <v>75</v>
      </c>
      <c r="J382" t="s">
        <v>68</v>
      </c>
      <c r="K382" t="s">
        <v>69</v>
      </c>
      <c r="L382" t="s">
        <v>69</v>
      </c>
      <c r="M382">
        <v>4.5797842135150484</v>
      </c>
      <c r="N382" s="5">
        <v>44920</v>
      </c>
      <c r="O382" s="5">
        <v>44950</v>
      </c>
      <c r="P382">
        <v>1.5</v>
      </c>
      <c r="Q382" s="4">
        <v>106</v>
      </c>
      <c r="R382">
        <v>0.35</v>
      </c>
      <c r="S382" t="s">
        <v>70</v>
      </c>
      <c r="T382" s="6">
        <v>5</v>
      </c>
      <c r="U382" s="5">
        <v>45068</v>
      </c>
      <c r="V382" s="6">
        <v>1</v>
      </c>
      <c r="W382" t="s">
        <v>86</v>
      </c>
      <c r="X382" s="6">
        <v>118</v>
      </c>
      <c r="Y382">
        <v>19.021750000000001</v>
      </c>
      <c r="Z382">
        <v>3.6580288461538464</v>
      </c>
      <c r="AA382" s="6">
        <v>34.215884448066028</v>
      </c>
      <c r="AB382" s="4">
        <v>43.389733333333339</v>
      </c>
      <c r="AC382" s="6">
        <v>29.22619175657529</v>
      </c>
      <c r="AD382">
        <v>0.32297914</v>
      </c>
      <c r="AE382">
        <v>2.380122128242764</v>
      </c>
      <c r="AF382">
        <v>44025</v>
      </c>
      <c r="AG382" s="4">
        <v>27144</v>
      </c>
      <c r="AH382" s="4">
        <v>201625</v>
      </c>
      <c r="AL382">
        <v>26</v>
      </c>
      <c r="AM382">
        <v>2.6957399999999998</v>
      </c>
      <c r="AN382" t="s">
        <v>81</v>
      </c>
      <c r="AO382" t="s">
        <v>99</v>
      </c>
      <c r="AP382" s="5">
        <v>44956</v>
      </c>
      <c r="AQ382" t="s">
        <v>189</v>
      </c>
      <c r="AR382" s="5">
        <v>45063</v>
      </c>
      <c r="AS382">
        <v>231.69024301128974</v>
      </c>
      <c r="AT382" s="6"/>
      <c r="AU382">
        <v>31.542839118377653</v>
      </c>
      <c r="AV382">
        <v>85.454386688921943</v>
      </c>
      <c r="AW382">
        <v>42.715876825213222</v>
      </c>
      <c r="AX382">
        <v>159.7131026325128</v>
      </c>
      <c r="AY382">
        <v>21.860990182291328</v>
      </c>
      <c r="AZ382">
        <v>35.988520509416837</v>
      </c>
      <c r="BA382">
        <v>7.1388568349389523</v>
      </c>
      <c r="BB382">
        <v>23.664194934745751</v>
      </c>
      <c r="BC382">
        <v>16.642687449892886</v>
      </c>
      <c r="BD382">
        <v>105.29524991128577</v>
      </c>
      <c r="BE382">
        <v>-33.318109532508828</v>
      </c>
      <c r="BF382">
        <v>12.766548293400975</v>
      </c>
      <c r="BH382">
        <v>12.766548293400975</v>
      </c>
      <c r="BI382">
        <v>277.77490083719948</v>
      </c>
      <c r="BJ382" s="6">
        <v>189</v>
      </c>
      <c r="BK382">
        <v>-46.084657825909758</v>
      </c>
      <c r="BL382" s="4">
        <v>-876.61083999999892</v>
      </c>
      <c r="BM382" t="s">
        <v>1140</v>
      </c>
      <c r="BN382" t="s">
        <v>65</v>
      </c>
      <c r="BO382">
        <v>5</v>
      </c>
      <c r="BP382">
        <v>2023</v>
      </c>
      <c r="BQ382" t="str">
        <f t="shared" si="26"/>
        <v>Roiphet25</v>
      </c>
      <c r="BR382">
        <f t="shared" si="27"/>
        <v>-1688.6539699999994</v>
      </c>
      <c r="BS382">
        <f t="shared" si="28"/>
        <v>4407.1538800000008</v>
      </c>
      <c r="BT382" s="6">
        <f t="shared" si="29"/>
        <v>-88.774900837199482</v>
      </c>
    </row>
    <row r="383" spans="1:72">
      <c r="A383" s="3" t="s">
        <v>967</v>
      </c>
      <c r="B383" s="3" t="s">
        <v>1123</v>
      </c>
      <c r="C383" s="3" t="s">
        <v>1130</v>
      </c>
      <c r="D383" s="2" t="s">
        <v>1131</v>
      </c>
      <c r="E383" s="4" t="str">
        <f t="shared" si="25"/>
        <v>Roiphet2B1-013-0036</v>
      </c>
      <c r="F383">
        <v>4.5</v>
      </c>
      <c r="G383">
        <v>1.8</v>
      </c>
      <c r="H383" t="s">
        <v>72</v>
      </c>
      <c r="I383" t="s">
        <v>75</v>
      </c>
      <c r="J383" t="s">
        <v>95</v>
      </c>
      <c r="K383" t="s">
        <v>69</v>
      </c>
      <c r="L383" t="s">
        <v>69</v>
      </c>
      <c r="M383">
        <v>2.5347222222222223</v>
      </c>
      <c r="N383" s="5">
        <v>45012</v>
      </c>
      <c r="O383" s="5">
        <v>45039</v>
      </c>
      <c r="P383">
        <v>3.5</v>
      </c>
      <c r="Q383" s="4">
        <v>270</v>
      </c>
      <c r="R383">
        <v>0.9</v>
      </c>
      <c r="S383" t="s">
        <v>70</v>
      </c>
      <c r="T383" s="6">
        <v>2</v>
      </c>
      <c r="U383" s="5">
        <v>45074</v>
      </c>
      <c r="V383" s="6">
        <v>2</v>
      </c>
      <c r="W383" t="s">
        <v>71</v>
      </c>
      <c r="X383" s="6">
        <v>35</v>
      </c>
      <c r="Y383">
        <v>24.274290000000001</v>
      </c>
      <c r="Z383">
        <v>5.3942866666666669</v>
      </c>
      <c r="AA383" s="6">
        <v>86.000867584592584</v>
      </c>
      <c r="AB383" s="4">
        <v>59.646000000000001</v>
      </c>
      <c r="AC383" s="6">
        <v>11.62778967335853</v>
      </c>
      <c r="AD383">
        <v>0.30651162799999998</v>
      </c>
      <c r="AE383">
        <v>1.3632690813885842</v>
      </c>
      <c r="AF383">
        <v>28800</v>
      </c>
      <c r="AG383" s="4">
        <v>15000</v>
      </c>
      <c r="AH383" s="4">
        <v>73000</v>
      </c>
      <c r="AI383" t="s">
        <v>73</v>
      </c>
      <c r="AJ383" t="s">
        <v>73</v>
      </c>
      <c r="AK383" t="s">
        <v>123</v>
      </c>
      <c r="AL383">
        <v>86</v>
      </c>
      <c r="AM383">
        <v>17.48471</v>
      </c>
      <c r="AN383" t="s">
        <v>73</v>
      </c>
      <c r="AO383" t="s">
        <v>136</v>
      </c>
      <c r="AP383" s="5">
        <v>45042</v>
      </c>
      <c r="AQ383" t="s">
        <v>189</v>
      </c>
      <c r="AR383" s="5">
        <v>45070</v>
      </c>
      <c r="AS383">
        <v>107.97269703871876</v>
      </c>
      <c r="AT383" s="6"/>
      <c r="AU383">
        <v>79.302010481048043</v>
      </c>
      <c r="AV383">
        <v>40.898532150682883</v>
      </c>
      <c r="AW383">
        <v>17.445616741004578</v>
      </c>
      <c r="AX383">
        <v>137.64615937273553</v>
      </c>
      <c r="AY383">
        <v>6.9705593860829707</v>
      </c>
      <c r="AZ383">
        <v>15.719690256646023</v>
      </c>
      <c r="BA383">
        <v>3.2112749744688722</v>
      </c>
      <c r="BB383">
        <v>14.096191072941783</v>
      </c>
      <c r="BC383">
        <v>4.3578531030155778</v>
      </c>
      <c r="BD383">
        <v>44.355568793155221</v>
      </c>
      <c r="BE383">
        <v>-74.029031127171976</v>
      </c>
      <c r="BF383">
        <v>2.3999346633825338</v>
      </c>
      <c r="BH383">
        <v>2.3999346633825338</v>
      </c>
      <c r="BI383">
        <v>184.40166282927328</v>
      </c>
      <c r="BJ383" s="6">
        <v>150</v>
      </c>
      <c r="BK383">
        <v>-76.428965790554528</v>
      </c>
      <c r="BL383" s="4">
        <v>-1855.2588799999999</v>
      </c>
      <c r="BM383" t="s">
        <v>1132</v>
      </c>
      <c r="BN383" t="s">
        <v>65</v>
      </c>
      <c r="BO383">
        <v>5</v>
      </c>
      <c r="BP383">
        <v>2023</v>
      </c>
      <c r="BQ383" t="str">
        <f t="shared" si="26"/>
        <v>Roiphet25</v>
      </c>
      <c r="BR383">
        <f t="shared" si="27"/>
        <v>-835.07594000000006</v>
      </c>
      <c r="BS383">
        <f t="shared" si="28"/>
        <v>2620.9605600000004</v>
      </c>
      <c r="BT383" s="6">
        <f t="shared" si="29"/>
        <v>-34.401662829273278</v>
      </c>
    </row>
    <row r="384" spans="1:72">
      <c r="A384" s="3" t="s">
        <v>967</v>
      </c>
      <c r="B384" s="3" t="s">
        <v>1123</v>
      </c>
      <c r="C384" s="3" t="s">
        <v>1130</v>
      </c>
      <c r="D384" s="2" t="s">
        <v>1145</v>
      </c>
      <c r="E384" s="4" t="str">
        <f t="shared" si="25"/>
        <v>Roiphet2A1-001-0031</v>
      </c>
      <c r="F384">
        <v>4.2</v>
      </c>
      <c r="G384">
        <v>2.5</v>
      </c>
      <c r="H384" t="s">
        <v>72</v>
      </c>
      <c r="I384" t="s">
        <v>75</v>
      </c>
      <c r="J384" t="s">
        <v>95</v>
      </c>
      <c r="K384" t="s">
        <v>69</v>
      </c>
      <c r="L384" t="s">
        <v>69</v>
      </c>
      <c r="M384">
        <v>4.1372013651877131</v>
      </c>
      <c r="N384" s="5">
        <v>44889</v>
      </c>
      <c r="O384" s="5">
        <v>44919</v>
      </c>
      <c r="P384">
        <v>1.7</v>
      </c>
      <c r="Q384" s="4">
        <v>101</v>
      </c>
      <c r="R384">
        <v>0.32900000000000001</v>
      </c>
      <c r="S384" t="s">
        <v>70</v>
      </c>
      <c r="T384" s="6">
        <v>2</v>
      </c>
      <c r="U384" s="5">
        <v>45058</v>
      </c>
      <c r="V384" s="6">
        <v>1</v>
      </c>
      <c r="W384" t="s">
        <v>86</v>
      </c>
      <c r="X384" s="6">
        <v>139</v>
      </c>
      <c r="Y384">
        <v>13.199969999999999</v>
      </c>
      <c r="Z384">
        <v>3.1428499999999997</v>
      </c>
      <c r="AA384" s="6">
        <v>27.911881617912769</v>
      </c>
      <c r="AB384" s="4">
        <v>21.67270588235294</v>
      </c>
      <c r="AC384" s="6">
        <v>35.827036445949908</v>
      </c>
      <c r="AD384">
        <v>0.29739328500000001</v>
      </c>
      <c r="AE384">
        <v>2.8975543454612631</v>
      </c>
      <c r="AF384">
        <v>36625</v>
      </c>
      <c r="AG384" s="4">
        <v>25000</v>
      </c>
      <c r="AH384" s="4">
        <v>151525</v>
      </c>
      <c r="AL384">
        <v>24</v>
      </c>
      <c r="AM384">
        <v>9.2279300000000006</v>
      </c>
      <c r="AN384" t="s">
        <v>85</v>
      </c>
      <c r="AO384" t="s">
        <v>104</v>
      </c>
      <c r="AP384" s="5">
        <v>44921</v>
      </c>
      <c r="AQ384" t="s">
        <v>170</v>
      </c>
      <c r="AR384" s="5">
        <v>45056</v>
      </c>
      <c r="AS384">
        <v>259.99993030287192</v>
      </c>
      <c r="AT384" s="6"/>
      <c r="AU384">
        <v>51.515268595307418</v>
      </c>
      <c r="AV384">
        <v>101.46002301520379</v>
      </c>
      <c r="AW384">
        <v>52.85459436650234</v>
      </c>
      <c r="AX384">
        <v>205.82988597701353</v>
      </c>
      <c r="AY384">
        <v>38.19053528151958</v>
      </c>
      <c r="AZ384">
        <v>45.904078569875544</v>
      </c>
      <c r="BA384">
        <v>20.230859615590035</v>
      </c>
      <c r="BB384">
        <v>49.530627721123594</v>
      </c>
      <c r="BC384">
        <v>27.701693261424087</v>
      </c>
      <c r="BD384">
        <v>181.55779444953285</v>
      </c>
      <c r="BE384">
        <v>-127.38775012367446</v>
      </c>
      <c r="BF384">
        <v>23.002739400165304</v>
      </c>
      <c r="BH384">
        <v>23.002739400165304</v>
      </c>
      <c r="BI384">
        <v>410.39041982671171</v>
      </c>
      <c r="BJ384" s="6">
        <v>204</v>
      </c>
      <c r="BK384">
        <v>-150.39048952383979</v>
      </c>
      <c r="BL384" s="4">
        <v>-1985.1499499999993</v>
      </c>
      <c r="BM384" t="s">
        <v>1124</v>
      </c>
      <c r="BN384" t="s">
        <v>65</v>
      </c>
      <c r="BO384">
        <v>5</v>
      </c>
      <c r="BP384">
        <v>2023</v>
      </c>
      <c r="BQ384" t="str">
        <f t="shared" si="26"/>
        <v>Roiphet25</v>
      </c>
      <c r="BR384">
        <f t="shared" si="27"/>
        <v>-2724.3473499999996</v>
      </c>
      <c r="BS384">
        <f t="shared" si="28"/>
        <v>3431.9912799999997</v>
      </c>
      <c r="BT384" s="6">
        <f t="shared" si="29"/>
        <v>-206.39041982671171</v>
      </c>
    </row>
    <row r="385" spans="1:72">
      <c r="A385" s="3" t="s">
        <v>967</v>
      </c>
      <c r="B385" s="3" t="s">
        <v>1123</v>
      </c>
      <c r="C385" s="3" t="s">
        <v>1130</v>
      </c>
      <c r="D385" s="2" t="s">
        <v>1143</v>
      </c>
      <c r="E385" s="4" t="str">
        <f t="shared" si="25"/>
        <v>Roiphet2B1-009-0042</v>
      </c>
      <c r="F385">
        <v>4.9000000000000004</v>
      </c>
      <c r="G385">
        <v>1.5</v>
      </c>
      <c r="H385" t="s">
        <v>72</v>
      </c>
      <c r="I385" t="s">
        <v>75</v>
      </c>
      <c r="J385" t="s">
        <v>95</v>
      </c>
      <c r="K385" t="s">
        <v>69</v>
      </c>
      <c r="L385" t="s">
        <v>69</v>
      </c>
      <c r="M385">
        <v>4.403614457831325</v>
      </c>
      <c r="N385" s="5">
        <v>44889</v>
      </c>
      <c r="O385" s="5">
        <v>44892</v>
      </c>
      <c r="P385">
        <v>1.5</v>
      </c>
      <c r="Q385" s="4">
        <v>128</v>
      </c>
      <c r="R385">
        <v>0.434</v>
      </c>
      <c r="S385" t="s">
        <v>70</v>
      </c>
      <c r="T385" s="6">
        <v>2</v>
      </c>
      <c r="U385" s="5">
        <v>45015</v>
      </c>
      <c r="V385" s="6">
        <v>1</v>
      </c>
      <c r="W385" t="s">
        <v>86</v>
      </c>
      <c r="X385" s="6">
        <v>123.00000000000001</v>
      </c>
      <c r="Y385">
        <v>18.048959999999997</v>
      </c>
      <c r="Z385">
        <v>3.6834612244897951</v>
      </c>
      <c r="AA385" s="6">
        <v>30.642097938052942</v>
      </c>
      <c r="AB385" s="4">
        <v>36.870533333333334</v>
      </c>
      <c r="AC385" s="6">
        <v>32.634841192063035</v>
      </c>
      <c r="AD385">
        <v>0.276819176</v>
      </c>
      <c r="AE385">
        <v>1.9082148649937984</v>
      </c>
      <c r="AF385">
        <v>33200</v>
      </c>
      <c r="AG385" s="4"/>
      <c r="AH385" s="4">
        <v>146200</v>
      </c>
      <c r="AL385">
        <v>29</v>
      </c>
      <c r="AM385">
        <v>13.09782</v>
      </c>
      <c r="AN385" t="s">
        <v>85</v>
      </c>
      <c r="AO385" t="s">
        <v>97</v>
      </c>
      <c r="AP385" s="5">
        <v>44893</v>
      </c>
      <c r="AQ385" t="s">
        <v>189</v>
      </c>
      <c r="AR385" s="5">
        <v>45006</v>
      </c>
      <c r="AS385">
        <v>234.53123614878643</v>
      </c>
      <c r="AT385" s="6"/>
      <c r="AU385">
        <v>34.628033969824308</v>
      </c>
      <c r="AV385">
        <v>67.268775597042705</v>
      </c>
      <c r="AW385">
        <v>36.799395089800178</v>
      </c>
      <c r="AX385">
        <v>138.69620465666719</v>
      </c>
      <c r="AY385">
        <v>17.360816357285959</v>
      </c>
      <c r="AZ385">
        <v>36.227093971065365</v>
      </c>
      <c r="BA385">
        <v>6.4800514821906638</v>
      </c>
      <c r="BB385">
        <v>29.642552811907169</v>
      </c>
      <c r="BC385">
        <v>18.526277968370476</v>
      </c>
      <c r="BD385">
        <v>108.23679259081963</v>
      </c>
      <c r="BE385">
        <v>-12.401761098700391</v>
      </c>
      <c r="BF385">
        <v>8.4502713729766139</v>
      </c>
      <c r="BH385">
        <v>8.4502713729766139</v>
      </c>
      <c r="BI385">
        <v>255.38326862046353</v>
      </c>
      <c r="BJ385" s="6">
        <v>197</v>
      </c>
      <c r="BK385">
        <v>-20.852032471677092</v>
      </c>
      <c r="BL385" s="4">
        <v>-376.35750000000093</v>
      </c>
      <c r="BM385" t="s">
        <v>1144</v>
      </c>
      <c r="BN385" t="s">
        <v>65</v>
      </c>
      <c r="BO385">
        <v>3</v>
      </c>
      <c r="BP385">
        <v>2023</v>
      </c>
      <c r="BQ385" t="str">
        <f t="shared" si="26"/>
        <v>Roiphet23</v>
      </c>
      <c r="BR385">
        <f t="shared" si="27"/>
        <v>-1053.7572800000012</v>
      </c>
      <c r="BS385">
        <f t="shared" si="28"/>
        <v>4233.0448999999999</v>
      </c>
      <c r="BT385" s="6">
        <f t="shared" si="29"/>
        <v>-58.383268620463525</v>
      </c>
    </row>
    <row r="386" spans="1:72">
      <c r="A386" s="3" t="s">
        <v>967</v>
      </c>
      <c r="B386" s="3" t="s">
        <v>1123</v>
      </c>
      <c r="C386" s="3" t="s">
        <v>1130</v>
      </c>
      <c r="D386" s="2" t="s">
        <v>1138</v>
      </c>
      <c r="E386" s="4" t="str">
        <f t="shared" si="25"/>
        <v>Roiphet2B1-014-0044</v>
      </c>
      <c r="F386">
        <v>4.5</v>
      </c>
      <c r="G386">
        <v>1.5</v>
      </c>
      <c r="H386" t="s">
        <v>72</v>
      </c>
      <c r="I386" t="s">
        <v>75</v>
      </c>
      <c r="J386" t="s">
        <v>68</v>
      </c>
      <c r="K386" t="s">
        <v>69</v>
      </c>
      <c r="L386" t="s">
        <v>69</v>
      </c>
      <c r="M386">
        <v>2.8385885885885886</v>
      </c>
      <c r="N386" s="5">
        <v>44920</v>
      </c>
      <c r="O386" s="5">
        <v>44933</v>
      </c>
      <c r="P386">
        <v>1.1000000000000001</v>
      </c>
      <c r="Q386" s="4">
        <v>102</v>
      </c>
      <c r="R386">
        <v>0.25</v>
      </c>
      <c r="S386" t="s">
        <v>70</v>
      </c>
      <c r="T386" s="6">
        <v>3</v>
      </c>
      <c r="U386" s="5">
        <v>45064</v>
      </c>
      <c r="V386" s="6">
        <v>1</v>
      </c>
      <c r="W386" t="s">
        <v>86</v>
      </c>
      <c r="X386" s="6">
        <v>131</v>
      </c>
      <c r="Y386">
        <v>14.757100000000001</v>
      </c>
      <c r="Z386">
        <v>3.279355555555556</v>
      </c>
      <c r="AA386" s="6">
        <v>39.019522805971363</v>
      </c>
      <c r="AB386" s="4">
        <v>52.346818181818179</v>
      </c>
      <c r="AC386" s="6">
        <v>25.628196556185582</v>
      </c>
      <c r="AD386">
        <v>0.26131876799999998</v>
      </c>
      <c r="AE386">
        <v>2.2993902817961485</v>
      </c>
      <c r="AF386">
        <v>33300</v>
      </c>
      <c r="AG386" s="4">
        <v>11000</v>
      </c>
      <c r="AH386" s="4">
        <v>94525</v>
      </c>
      <c r="AL386">
        <v>29.000000000000004</v>
      </c>
      <c r="AM386">
        <v>6.7858499999999999</v>
      </c>
      <c r="AN386" t="s">
        <v>81</v>
      </c>
      <c r="AO386" t="s">
        <v>105</v>
      </c>
      <c r="AP386" s="5">
        <v>44935</v>
      </c>
      <c r="AQ386" t="s">
        <v>189</v>
      </c>
      <c r="AR386" s="5">
        <v>45063</v>
      </c>
      <c r="AS386">
        <v>211.46229204925089</v>
      </c>
      <c r="AT386" s="6"/>
      <c r="AU386">
        <v>29.816156290870154</v>
      </c>
      <c r="AV386">
        <v>82.60195295823705</v>
      </c>
      <c r="AW386">
        <v>61.776724424175463</v>
      </c>
      <c r="AX386">
        <v>174.19483367328266</v>
      </c>
      <c r="AY386">
        <v>19.508425097071907</v>
      </c>
      <c r="AZ386">
        <v>54.142343685412442</v>
      </c>
      <c r="BA386">
        <v>8.7740850167038236</v>
      </c>
      <c r="BB386">
        <v>37.832132329522743</v>
      </c>
      <c r="BC386">
        <v>17.583403243184637</v>
      </c>
      <c r="BD386">
        <v>137.84038937189555</v>
      </c>
      <c r="BE386">
        <v>-100.57293099592732</v>
      </c>
      <c r="BF386">
        <v>8.2541895087788255</v>
      </c>
      <c r="BH386">
        <v>8.2541895087788255</v>
      </c>
      <c r="BI386">
        <v>320.28941255395705</v>
      </c>
      <c r="BJ386" s="6">
        <v>183</v>
      </c>
      <c r="BK386">
        <v>-108.82712050470616</v>
      </c>
      <c r="BL386" s="4">
        <v>-1605.9726999999993</v>
      </c>
      <c r="BM386" t="s">
        <v>1139</v>
      </c>
      <c r="BN386" t="s">
        <v>65</v>
      </c>
      <c r="BO386">
        <v>5</v>
      </c>
      <c r="BP386">
        <v>2023</v>
      </c>
      <c r="BQ386" t="str">
        <f t="shared" si="26"/>
        <v>Roiphet25</v>
      </c>
      <c r="BR386">
        <f t="shared" si="27"/>
        <v>-2025.9935899999998</v>
      </c>
      <c r="BS386">
        <f t="shared" si="28"/>
        <v>3120.5701900000004</v>
      </c>
      <c r="BT386" s="6">
        <f t="shared" si="29"/>
        <v>-137.28941255395705</v>
      </c>
    </row>
    <row r="387" spans="1:72">
      <c r="A387" s="3" t="s">
        <v>967</v>
      </c>
      <c r="B387" s="3" t="s">
        <v>1123</v>
      </c>
      <c r="C387" s="3" t="s">
        <v>1130</v>
      </c>
      <c r="D387" s="2" t="s">
        <v>1135</v>
      </c>
      <c r="E387" s="4" t="str">
        <f t="shared" si="25"/>
        <v>Roiphet2A1-008-0034</v>
      </c>
      <c r="F387">
        <v>4.5</v>
      </c>
      <c r="G387">
        <v>2</v>
      </c>
      <c r="H387" t="s">
        <v>72</v>
      </c>
      <c r="I387" t="s">
        <v>75</v>
      </c>
      <c r="J387" t="s">
        <v>95</v>
      </c>
      <c r="K387" t="s">
        <v>69</v>
      </c>
      <c r="L387" t="s">
        <v>69</v>
      </c>
      <c r="M387">
        <v>4.4583134826107669</v>
      </c>
      <c r="N387" s="5">
        <v>44889</v>
      </c>
      <c r="O387" s="5">
        <v>44918</v>
      </c>
      <c r="P387">
        <v>1.5</v>
      </c>
      <c r="Q387" s="4">
        <v>104</v>
      </c>
      <c r="R387">
        <v>0.3</v>
      </c>
      <c r="S387" t="s">
        <v>70</v>
      </c>
      <c r="T387" s="6">
        <v>6</v>
      </c>
      <c r="U387" s="5">
        <v>45065</v>
      </c>
      <c r="V387" s="6">
        <v>1</v>
      </c>
      <c r="W387" t="s">
        <v>86</v>
      </c>
      <c r="X387" s="6">
        <v>147</v>
      </c>
      <c r="Y387">
        <v>20.774380000000001</v>
      </c>
      <c r="Z387">
        <v>4.6165288888888893</v>
      </c>
      <c r="AA387" s="6">
        <v>39.360308225805049</v>
      </c>
      <c r="AB387" s="4">
        <v>54.512400000000007</v>
      </c>
      <c r="AC387" s="6">
        <v>25.406305109785421</v>
      </c>
      <c r="AD387">
        <v>0.25960230200000001</v>
      </c>
      <c r="AE387">
        <v>2.5818745762478361</v>
      </c>
      <c r="AF387">
        <v>52475</v>
      </c>
      <c r="AG387" s="4">
        <v>11000</v>
      </c>
      <c r="AH387" s="4">
        <v>233950</v>
      </c>
      <c r="AL387">
        <v>26</v>
      </c>
      <c r="AM387">
        <v>3.0759600000000002</v>
      </c>
      <c r="AN387" t="s">
        <v>81</v>
      </c>
      <c r="AO387" t="s">
        <v>104</v>
      </c>
      <c r="AP387" s="5">
        <v>44921</v>
      </c>
      <c r="AQ387" t="s">
        <v>189</v>
      </c>
      <c r="AR387" s="5">
        <v>45063</v>
      </c>
      <c r="AS387">
        <v>228.60785881455908</v>
      </c>
      <c r="AT387" s="6"/>
      <c r="AU387">
        <v>28.881728359642977</v>
      </c>
      <c r="AV387">
        <v>92.571488535397918</v>
      </c>
      <c r="AW387">
        <v>42.40477742296035</v>
      </c>
      <c r="AX387">
        <v>163.85799431800123</v>
      </c>
      <c r="AY387">
        <v>27.131220281904913</v>
      </c>
      <c r="AZ387">
        <v>32.467738628060133</v>
      </c>
      <c r="BA387">
        <v>14.103521260321603</v>
      </c>
      <c r="BB387">
        <v>35.003790245485064</v>
      </c>
      <c r="BC387">
        <v>19.394958598042393</v>
      </c>
      <c r="BD387">
        <v>128.10122901381411</v>
      </c>
      <c r="BE387">
        <v>-63.351364517256258</v>
      </c>
      <c r="BF387">
        <v>16.306047641373659</v>
      </c>
      <c r="BH387">
        <v>16.306047641373659</v>
      </c>
      <c r="BI387">
        <v>308.26527097318905</v>
      </c>
      <c r="BJ387" s="6">
        <v>183</v>
      </c>
      <c r="BK387">
        <v>-79.657412158629981</v>
      </c>
      <c r="BL387" s="4">
        <v>-1654.8333499999997</v>
      </c>
      <c r="BM387" t="s">
        <v>1136</v>
      </c>
      <c r="BN387" t="s">
        <v>65</v>
      </c>
      <c r="BO387">
        <v>5</v>
      </c>
      <c r="BP387">
        <v>2023</v>
      </c>
      <c r="BQ387" t="str">
        <f t="shared" si="26"/>
        <v>Roiphet25</v>
      </c>
      <c r="BR387">
        <f t="shared" si="27"/>
        <v>-2602.3083399999991</v>
      </c>
      <c r="BS387">
        <f t="shared" si="28"/>
        <v>4749.1865299999999</v>
      </c>
      <c r="BT387" s="6">
        <f t="shared" si="29"/>
        <v>-125.26527097318905</v>
      </c>
    </row>
    <row r="388" spans="1:72">
      <c r="A388" s="3" t="s">
        <v>967</v>
      </c>
      <c r="B388" s="3" t="s">
        <v>1123</v>
      </c>
      <c r="C388" s="3" t="s">
        <v>1130</v>
      </c>
      <c r="D388" s="2" t="s">
        <v>1133</v>
      </c>
      <c r="E388" s="4" t="str">
        <f t="shared" ref="E388:E451" si="30">B388&amp;D388</f>
        <v>Roiphet2B1-013-0035</v>
      </c>
      <c r="F388">
        <v>4.5</v>
      </c>
      <c r="G388">
        <v>1.5</v>
      </c>
      <c r="H388" t="s">
        <v>72</v>
      </c>
      <c r="I388" t="s">
        <v>75</v>
      </c>
      <c r="J388" t="s">
        <v>95</v>
      </c>
      <c r="K388" t="s">
        <v>69</v>
      </c>
      <c r="L388" t="s">
        <v>69</v>
      </c>
      <c r="M388">
        <v>4.6488651535380505</v>
      </c>
      <c r="N388" s="5">
        <v>44889</v>
      </c>
      <c r="O388" s="5">
        <v>44893</v>
      </c>
      <c r="P388">
        <v>1.5</v>
      </c>
      <c r="Q388" s="4">
        <v>139</v>
      </c>
      <c r="R388">
        <v>0.36699999999999999</v>
      </c>
      <c r="S388" t="s">
        <v>70</v>
      </c>
      <c r="T388" s="6">
        <v>2</v>
      </c>
      <c r="U388" s="5">
        <v>44988</v>
      </c>
      <c r="V388" s="6">
        <v>2</v>
      </c>
      <c r="W388" t="s">
        <v>71</v>
      </c>
      <c r="X388" s="6">
        <v>95</v>
      </c>
      <c r="Y388">
        <v>12.92991</v>
      </c>
      <c r="Z388">
        <v>2.8733133333333334</v>
      </c>
      <c r="AA388" s="6">
        <v>50.000116010088234</v>
      </c>
      <c r="AB388" s="4">
        <v>43.099800000000002</v>
      </c>
      <c r="AC388" s="6">
        <v>19.999953596072373</v>
      </c>
      <c r="AD388">
        <v>0.20666315799999999</v>
      </c>
      <c r="AE388">
        <v>1.512531189645159</v>
      </c>
      <c r="AF388">
        <v>18725</v>
      </c>
      <c r="AG388" s="4">
        <v>3500</v>
      </c>
      <c r="AH388" s="4">
        <v>87050</v>
      </c>
      <c r="AL388">
        <v>50</v>
      </c>
      <c r="AM388">
        <v>6.92272</v>
      </c>
      <c r="AN388" t="s">
        <v>85</v>
      </c>
      <c r="AO388" t="s">
        <v>96</v>
      </c>
      <c r="AP388" s="5">
        <v>44893</v>
      </c>
      <c r="AQ388" t="s">
        <v>148</v>
      </c>
      <c r="AR388" s="5">
        <v>44984</v>
      </c>
      <c r="AS388">
        <v>198.00462648231891</v>
      </c>
      <c r="AT388" s="6"/>
      <c r="AU388">
        <v>48.337536765530459</v>
      </c>
      <c r="AV388">
        <v>52.039956967991273</v>
      </c>
      <c r="AW388">
        <v>37.831404085565943</v>
      </c>
      <c r="AX388">
        <v>138.20889781908767</v>
      </c>
      <c r="AY388">
        <v>18.395117212726159</v>
      </c>
      <c r="AZ388">
        <v>30.436260577219802</v>
      </c>
      <c r="BA388">
        <v>6.8806349000109064</v>
      </c>
      <c r="BB388">
        <v>26.63539344048025</v>
      </c>
      <c r="BC388">
        <v>18.564901070463751</v>
      </c>
      <c r="BD388">
        <v>100.91230720090088</v>
      </c>
      <c r="BE388">
        <v>-41.116578537669639</v>
      </c>
      <c r="BF388">
        <v>8.9831769904044183</v>
      </c>
      <c r="BH388">
        <v>8.9831769904044183</v>
      </c>
      <c r="BI388">
        <v>248.10438201039292</v>
      </c>
      <c r="BJ388" s="6">
        <v>167</v>
      </c>
      <c r="BK388">
        <v>-50.099755528074027</v>
      </c>
      <c r="BL388" s="4">
        <v>-647.78532999999959</v>
      </c>
      <c r="BM388" t="s">
        <v>1134</v>
      </c>
      <c r="BN388" t="s">
        <v>65</v>
      </c>
      <c r="BO388">
        <v>3</v>
      </c>
      <c r="BP388">
        <v>2023</v>
      </c>
      <c r="BQ388" t="str">
        <f t="shared" ref="BQ388:BQ451" si="31">B388&amp;BO388</f>
        <v>Roiphet23</v>
      </c>
      <c r="BR388">
        <f t="shared" ref="BR388:BR451" si="32">BT388*Y388</f>
        <v>-1048.6723599999996</v>
      </c>
      <c r="BS388">
        <f t="shared" ref="BS388:BS451" si="33">Y388*AS388</f>
        <v>2560.1820000000002</v>
      </c>
      <c r="BT388" s="6">
        <f t="shared" ref="BT388:BT451" si="34">BJ388-BI388</f>
        <v>-81.104382010392925</v>
      </c>
    </row>
    <row r="389" spans="1:72">
      <c r="A389" s="3" t="s">
        <v>967</v>
      </c>
      <c r="B389" s="3" t="s">
        <v>1123</v>
      </c>
      <c r="C389" s="3" t="s">
        <v>498</v>
      </c>
      <c r="D389" s="2" t="s">
        <v>1127</v>
      </c>
      <c r="E389" s="4" t="str">
        <f t="shared" si="30"/>
        <v>Roiphet2B1-009-0044</v>
      </c>
      <c r="F389">
        <v>4.9000000000000004</v>
      </c>
      <c r="G389">
        <v>1.5</v>
      </c>
      <c r="H389" t="s">
        <v>72</v>
      </c>
      <c r="I389" t="s">
        <v>75</v>
      </c>
      <c r="J389" t="s">
        <v>95</v>
      </c>
      <c r="K389" t="s">
        <v>69</v>
      </c>
      <c r="L389" t="s">
        <v>69</v>
      </c>
      <c r="M389">
        <v>0.1519756838905775</v>
      </c>
      <c r="N389" s="5">
        <v>45108</v>
      </c>
      <c r="O389" s="5">
        <v>45134</v>
      </c>
      <c r="P389">
        <v>1.9</v>
      </c>
      <c r="Q389" s="4">
        <v>162</v>
      </c>
      <c r="R389">
        <v>0.67400000000000004</v>
      </c>
      <c r="S389" t="s">
        <v>70</v>
      </c>
      <c r="T389" s="6">
        <v>5</v>
      </c>
      <c r="U389" s="5">
        <v>45196</v>
      </c>
      <c r="V389" s="6">
        <v>2</v>
      </c>
      <c r="W389" t="s">
        <v>71</v>
      </c>
      <c r="X389" s="6">
        <v>62</v>
      </c>
      <c r="Y389">
        <v>24.02553</v>
      </c>
      <c r="Z389">
        <v>4.9031693877551019</v>
      </c>
      <c r="AA389" s="6">
        <v>61.315775343977847</v>
      </c>
      <c r="AB389" s="4">
        <v>77.5338947368421</v>
      </c>
      <c r="AC389" s="6">
        <v>16.309016633811765</v>
      </c>
      <c r="AD389">
        <v>0.26721579499999998</v>
      </c>
      <c r="AE389">
        <v>1.4464380473877725</v>
      </c>
      <c r="AF389">
        <v>32900</v>
      </c>
      <c r="AG389" s="4">
        <v>15000</v>
      </c>
      <c r="AH389" s="4">
        <v>5000</v>
      </c>
      <c r="AI389" t="s">
        <v>73</v>
      </c>
      <c r="AJ389" t="s">
        <v>73</v>
      </c>
      <c r="AK389" t="s">
        <v>218</v>
      </c>
      <c r="AL389">
        <v>58</v>
      </c>
      <c r="AM389">
        <v>6.5144099999999998</v>
      </c>
      <c r="AN389" t="s">
        <v>73</v>
      </c>
      <c r="AO389" t="s">
        <v>102</v>
      </c>
      <c r="AP389" s="5">
        <v>45140</v>
      </c>
      <c r="AQ389" t="s">
        <v>106</v>
      </c>
      <c r="AR389" s="5">
        <v>45194</v>
      </c>
      <c r="AS389">
        <v>138.99840711110221</v>
      </c>
      <c r="AT389" s="6"/>
      <c r="AU389">
        <v>37.043927855077499</v>
      </c>
      <c r="AV389">
        <v>43.024018616862982</v>
      </c>
      <c r="AW389">
        <v>42.525235863683342</v>
      </c>
      <c r="AX389">
        <v>122.59318233562382</v>
      </c>
      <c r="AY389">
        <v>19.889487973834502</v>
      </c>
      <c r="AZ389">
        <v>18.618991131517181</v>
      </c>
      <c r="BA389">
        <v>29.239946839882407</v>
      </c>
      <c r="BB389">
        <v>41.702289606098184</v>
      </c>
      <c r="BC389">
        <v>17.93200774342959</v>
      </c>
      <c r="BD389">
        <v>127.38272329476187</v>
      </c>
      <c r="BE389">
        <v>-110.97749851928349</v>
      </c>
      <c r="BF389">
        <v>15.296005956996581</v>
      </c>
      <c r="BH389">
        <v>15.296005956996581</v>
      </c>
      <c r="BI389">
        <v>265.27191158738225</v>
      </c>
      <c r="BJ389" s="6">
        <v>161</v>
      </c>
      <c r="BK389">
        <v>-126.27350447628004</v>
      </c>
      <c r="BL389" s="4">
        <v>-3033.7878700000001</v>
      </c>
      <c r="BM389" t="s">
        <v>1128</v>
      </c>
      <c r="BN389" t="s">
        <v>65</v>
      </c>
      <c r="BO389">
        <v>9</v>
      </c>
      <c r="BP389">
        <v>2023</v>
      </c>
      <c r="BQ389" t="str">
        <f t="shared" si="31"/>
        <v>Roiphet29</v>
      </c>
      <c r="BR389">
        <f t="shared" si="32"/>
        <v>-2505.1879399999998</v>
      </c>
      <c r="BS389">
        <f t="shared" si="33"/>
        <v>3339.5103999999997</v>
      </c>
      <c r="BT389" s="6">
        <f t="shared" si="34"/>
        <v>-104.27191158738225</v>
      </c>
    </row>
    <row r="390" spans="1:72">
      <c r="A390" s="3" t="s">
        <v>967</v>
      </c>
      <c r="B390" s="3" t="s">
        <v>1123</v>
      </c>
      <c r="C390" s="3" t="s">
        <v>498</v>
      </c>
      <c r="D390" s="2" t="s">
        <v>1125</v>
      </c>
      <c r="E390" s="4" t="str">
        <f t="shared" si="30"/>
        <v>Roiphet2B1-014-0046</v>
      </c>
      <c r="F390">
        <v>4.5</v>
      </c>
      <c r="G390">
        <v>1.5</v>
      </c>
      <c r="H390" t="s">
        <v>72</v>
      </c>
      <c r="I390" t="s">
        <v>75</v>
      </c>
      <c r="J390" t="s">
        <v>68</v>
      </c>
      <c r="K390" t="s">
        <v>69</v>
      </c>
      <c r="L390" t="s">
        <v>69</v>
      </c>
      <c r="N390" s="5">
        <v>45127</v>
      </c>
      <c r="O390" s="5">
        <v>45168</v>
      </c>
      <c r="P390">
        <v>1.25</v>
      </c>
      <c r="Q390" s="4">
        <v>116</v>
      </c>
      <c r="R390">
        <v>0.69799999999999995</v>
      </c>
      <c r="S390" t="s">
        <v>70</v>
      </c>
      <c r="T390" s="6">
        <v>3</v>
      </c>
      <c r="U390" s="5">
        <v>45227</v>
      </c>
      <c r="V390" s="6">
        <v>2</v>
      </c>
      <c r="W390" t="s">
        <v>71</v>
      </c>
      <c r="X390" s="6">
        <v>59</v>
      </c>
      <c r="Y390">
        <v>17.961389999999998</v>
      </c>
      <c r="Z390">
        <v>3.9914199999999997</v>
      </c>
      <c r="AA390" s="6">
        <v>64.312672905604742</v>
      </c>
      <c r="AB390" s="4">
        <v>92.411600000000007</v>
      </c>
      <c r="AC390" s="6">
        <v>15.549034969635848</v>
      </c>
      <c r="AD390">
        <v>0.25720365899999997</v>
      </c>
      <c r="AE390">
        <v>1.433713569777084</v>
      </c>
      <c r="AF390">
        <v>24500</v>
      </c>
      <c r="AG390" s="4">
        <v>0</v>
      </c>
      <c r="AH390" s="4"/>
      <c r="AI390" t="s">
        <v>73</v>
      </c>
      <c r="AL390">
        <v>63</v>
      </c>
      <c r="AM390">
        <v>9.0709999999999997</v>
      </c>
      <c r="AN390" t="s">
        <v>73</v>
      </c>
      <c r="AO390" t="s">
        <v>438</v>
      </c>
      <c r="AP390" s="5">
        <v>45168</v>
      </c>
      <c r="AQ390" t="s">
        <v>105</v>
      </c>
      <c r="AR390" s="5">
        <v>45224</v>
      </c>
      <c r="AS390">
        <v>145.33552247348339</v>
      </c>
      <c r="AT390" s="6"/>
      <c r="AU390">
        <v>34.79686149011853</v>
      </c>
      <c r="AV390">
        <v>40.718664869478374</v>
      </c>
      <c r="AW390">
        <v>101.33798831827608</v>
      </c>
      <c r="AX390">
        <v>176.85351467787299</v>
      </c>
      <c r="AY390">
        <v>38.971366915366801</v>
      </c>
      <c r="AZ390">
        <v>42.569450359910903</v>
      </c>
      <c r="BA390">
        <v>47.48704860815338</v>
      </c>
      <c r="BB390">
        <v>73.670687513605571</v>
      </c>
      <c r="BC390">
        <v>33.639022369649574</v>
      </c>
      <c r="BD390">
        <v>236.33757576668623</v>
      </c>
      <c r="BE390">
        <v>-267.85556797107586</v>
      </c>
      <c r="BF390">
        <v>26.162199028026226</v>
      </c>
      <c r="BH390">
        <v>26.162199028026226</v>
      </c>
      <c r="BI390">
        <v>439.35328947258546</v>
      </c>
      <c r="BJ390" s="6">
        <v>156</v>
      </c>
      <c r="BK390">
        <v>-294.01776699910204</v>
      </c>
      <c r="BL390" s="4">
        <v>-5280.9677800000009</v>
      </c>
      <c r="BM390" t="s">
        <v>1126</v>
      </c>
      <c r="BN390" t="s">
        <v>65</v>
      </c>
      <c r="BO390">
        <v>10</v>
      </c>
      <c r="BP390">
        <v>2023</v>
      </c>
      <c r="BQ390" t="str">
        <f t="shared" si="31"/>
        <v>Roiphet210</v>
      </c>
      <c r="BR390">
        <f t="shared" si="32"/>
        <v>-5089.4189400000014</v>
      </c>
      <c r="BS390">
        <f t="shared" si="33"/>
        <v>2610.4279999999994</v>
      </c>
      <c r="BT390" s="6">
        <f t="shared" si="34"/>
        <v>-283.35328947258546</v>
      </c>
    </row>
    <row r="391" spans="1:72">
      <c r="A391" s="3" t="s">
        <v>967</v>
      </c>
      <c r="B391" s="3" t="s">
        <v>1146</v>
      </c>
      <c r="C391" s="3" t="s">
        <v>1148</v>
      </c>
      <c r="D391" s="2" t="s">
        <v>1165</v>
      </c>
      <c r="E391" s="4" t="str">
        <f t="shared" si="30"/>
        <v>LamlaungA1-003-0044</v>
      </c>
      <c r="F391">
        <v>5</v>
      </c>
      <c r="G391">
        <v>1.8</v>
      </c>
      <c r="H391" t="s">
        <v>72</v>
      </c>
      <c r="I391" t="s">
        <v>75</v>
      </c>
      <c r="J391" t="s">
        <v>95</v>
      </c>
      <c r="K391" t="s">
        <v>79</v>
      </c>
      <c r="L391" t="s">
        <v>79</v>
      </c>
      <c r="M391">
        <v>4.1973171787105148</v>
      </c>
      <c r="N391" s="5">
        <v>45022</v>
      </c>
      <c r="O391" s="5">
        <v>45040</v>
      </c>
      <c r="P391">
        <v>2.17</v>
      </c>
      <c r="Q391" s="4">
        <v>151</v>
      </c>
      <c r="R391">
        <v>0.72799999999999998</v>
      </c>
      <c r="S391" t="s">
        <v>70</v>
      </c>
      <c r="T391" s="6">
        <v>6</v>
      </c>
      <c r="U391" s="5">
        <v>45141</v>
      </c>
      <c r="V391" s="6">
        <v>1</v>
      </c>
      <c r="W391" t="s">
        <v>86</v>
      </c>
      <c r="X391" s="6">
        <v>101.00000000000001</v>
      </c>
      <c r="Y391">
        <v>44.647239999999996</v>
      </c>
      <c r="Z391">
        <v>8.9294479999999989</v>
      </c>
      <c r="AA391" s="6">
        <v>32.366995137885347</v>
      </c>
      <c r="AB391" s="4">
        <v>66.594331797235014</v>
      </c>
      <c r="AC391" s="6">
        <v>30.895669979247064</v>
      </c>
      <c r="AD391">
        <v>0.40533333300000002</v>
      </c>
      <c r="AE391">
        <v>1.8780961536005649</v>
      </c>
      <c r="AF391">
        <v>80885</v>
      </c>
      <c r="AG391" s="4">
        <v>0</v>
      </c>
      <c r="AH391" s="4">
        <v>339500</v>
      </c>
      <c r="AL391">
        <v>24</v>
      </c>
      <c r="AM391">
        <v>18.279160000000001</v>
      </c>
      <c r="AN391" t="s">
        <v>81</v>
      </c>
      <c r="AO391" t="s">
        <v>134</v>
      </c>
      <c r="AP391" s="5">
        <v>45041</v>
      </c>
      <c r="AQ391" t="s">
        <v>74</v>
      </c>
      <c r="AR391" s="5">
        <v>45140</v>
      </c>
      <c r="AS391">
        <v>195.50175285191204</v>
      </c>
      <c r="AT391" s="6"/>
      <c r="AU391">
        <v>24.491995473852359</v>
      </c>
      <c r="AV391">
        <v>55.347289552500889</v>
      </c>
      <c r="AW391">
        <v>28.699785697839321</v>
      </c>
      <c r="AX391">
        <v>108.53907072419257</v>
      </c>
      <c r="AY391">
        <v>7.9605408979368031</v>
      </c>
      <c r="AZ391">
        <v>22.478155200635026</v>
      </c>
      <c r="BA391">
        <v>2.5668724427310621</v>
      </c>
      <c r="BB391">
        <v>2.0869623743819323</v>
      </c>
      <c r="BC391">
        <v>8.3169006639604142</v>
      </c>
      <c r="BD391">
        <v>43.409431579645236</v>
      </c>
      <c r="BE391">
        <v>43.553250548074239</v>
      </c>
      <c r="BF391">
        <v>7.8077193573443733</v>
      </c>
      <c r="BG391">
        <v>1.9229300624181922</v>
      </c>
      <c r="BH391">
        <v>9.7306494197625657</v>
      </c>
      <c r="BI391">
        <v>161.67915172360043</v>
      </c>
      <c r="BJ391" s="6">
        <v>192</v>
      </c>
      <c r="BK391">
        <v>33.822601128311632</v>
      </c>
      <c r="BL391" s="4">
        <v>1510.0857900000001</v>
      </c>
      <c r="BM391" t="s">
        <v>1166</v>
      </c>
      <c r="BN391" t="s">
        <v>65</v>
      </c>
      <c r="BO391">
        <v>8</v>
      </c>
      <c r="BP391">
        <v>2023</v>
      </c>
      <c r="BQ391" t="str">
        <f t="shared" si="31"/>
        <v>Lamlaung8</v>
      </c>
      <c r="BR391">
        <f t="shared" si="32"/>
        <v>1353.7421899999979</v>
      </c>
      <c r="BS391">
        <f t="shared" si="33"/>
        <v>8728.6136800000004</v>
      </c>
      <c r="BT391" s="6">
        <f t="shared" si="34"/>
        <v>30.320848276399573</v>
      </c>
    </row>
    <row r="392" spans="1:72">
      <c r="A392" s="3" t="s">
        <v>967</v>
      </c>
      <c r="B392" s="3" t="s">
        <v>1146</v>
      </c>
      <c r="C392" s="3" t="s">
        <v>1148</v>
      </c>
      <c r="D392" s="2" t="s">
        <v>1172</v>
      </c>
      <c r="E392" s="4" t="str">
        <f t="shared" si="30"/>
        <v>LamlaungA1-004-0046</v>
      </c>
      <c r="F392">
        <v>5</v>
      </c>
      <c r="G392">
        <v>2</v>
      </c>
      <c r="H392" t="s">
        <v>72</v>
      </c>
      <c r="I392" t="s">
        <v>75</v>
      </c>
      <c r="J392" t="s">
        <v>641</v>
      </c>
      <c r="K392" t="s">
        <v>79</v>
      </c>
      <c r="L392" t="s">
        <v>79</v>
      </c>
      <c r="M392">
        <v>3.6894492368944922</v>
      </c>
      <c r="N392" s="5">
        <v>45039</v>
      </c>
      <c r="O392" s="5">
        <v>45059</v>
      </c>
      <c r="P392">
        <v>1.1000000000000001</v>
      </c>
      <c r="Q392" s="4">
        <v>69</v>
      </c>
      <c r="R392">
        <v>1.33</v>
      </c>
      <c r="S392" t="s">
        <v>70</v>
      </c>
      <c r="T392" s="6">
        <v>5</v>
      </c>
      <c r="U392" s="5">
        <v>45185</v>
      </c>
      <c r="V392" s="6">
        <v>1</v>
      </c>
      <c r="W392" t="s">
        <v>86</v>
      </c>
      <c r="X392" s="6">
        <v>126.00000000000001</v>
      </c>
      <c r="Y392">
        <v>38.171030000000002</v>
      </c>
      <c r="Z392">
        <v>7.6342060000000007</v>
      </c>
      <c r="AA392" s="6">
        <v>24.799723769570797</v>
      </c>
      <c r="AB392" s="4">
        <v>86.057363636363633</v>
      </c>
      <c r="AC392" s="6">
        <v>40.323029776121849</v>
      </c>
      <c r="AD392">
        <v>0.36737339400000002</v>
      </c>
      <c r="AE392">
        <v>2.0526843854055912</v>
      </c>
      <c r="AF392">
        <v>75350</v>
      </c>
      <c r="AG392" s="4">
        <v>0</v>
      </c>
      <c r="AH392" s="4">
        <v>278000</v>
      </c>
      <c r="AL392">
        <v>21</v>
      </c>
      <c r="AM392">
        <v>14.098799999999999</v>
      </c>
      <c r="AN392" t="s">
        <v>81</v>
      </c>
      <c r="AO392" t="s">
        <v>144</v>
      </c>
      <c r="AP392" s="5">
        <v>45061</v>
      </c>
      <c r="AQ392" t="s">
        <v>117</v>
      </c>
      <c r="AR392" s="5">
        <v>45184</v>
      </c>
      <c r="AS392">
        <v>208.05085636934609</v>
      </c>
      <c r="AT392" s="6"/>
      <c r="AU392">
        <v>18.731483012116783</v>
      </c>
      <c r="AV392">
        <v>59.606353299871657</v>
      </c>
      <c r="AW392">
        <v>40.489116484412399</v>
      </c>
      <c r="AX392">
        <v>118.82695279640083</v>
      </c>
      <c r="AY392">
        <v>11.444042510773222</v>
      </c>
      <c r="AZ392">
        <v>32.305223359181035</v>
      </c>
      <c r="BA392">
        <v>4.3543498826204061</v>
      </c>
      <c r="BB392">
        <v>3.8295110192205986</v>
      </c>
      <c r="BC392">
        <v>12.04587851048295</v>
      </c>
      <c r="BD392">
        <v>63.979005282278216</v>
      </c>
      <c r="BE392">
        <v>25.244898290667045</v>
      </c>
      <c r="BF392">
        <v>10.25695376834212</v>
      </c>
      <c r="BG392">
        <v>2.7483727842816923</v>
      </c>
      <c r="BH392">
        <v>13.005326552623812</v>
      </c>
      <c r="BI392">
        <v>195.81128463130284</v>
      </c>
      <c r="BJ392" s="6">
        <v>219</v>
      </c>
      <c r="BK392">
        <v>12.239571738043262</v>
      </c>
      <c r="BL392" s="4">
        <v>467.19706000000144</v>
      </c>
      <c r="BM392" t="s">
        <v>1173</v>
      </c>
      <c r="BN392" t="s">
        <v>65</v>
      </c>
      <c r="BO392">
        <v>9</v>
      </c>
      <c r="BP392">
        <v>2023</v>
      </c>
      <c r="BQ392" t="str">
        <f t="shared" si="31"/>
        <v>Lamlaung9</v>
      </c>
      <c r="BR392">
        <f t="shared" si="32"/>
        <v>885.13715000000036</v>
      </c>
      <c r="BS392">
        <f t="shared" si="33"/>
        <v>7941.5154800000009</v>
      </c>
      <c r="BT392" s="6">
        <f t="shared" si="34"/>
        <v>23.18871536869716</v>
      </c>
    </row>
    <row r="393" spans="1:72">
      <c r="A393" s="3" t="s">
        <v>967</v>
      </c>
      <c r="B393" s="3" t="s">
        <v>1146</v>
      </c>
      <c r="C393" s="3" t="s">
        <v>1148</v>
      </c>
      <c r="D393" s="2" t="s">
        <v>1170</v>
      </c>
      <c r="E393" s="4" t="str">
        <f t="shared" si="30"/>
        <v>LamlaungB1-111-0008</v>
      </c>
      <c r="F393">
        <v>5</v>
      </c>
      <c r="G393">
        <v>2</v>
      </c>
      <c r="H393" t="s">
        <v>72</v>
      </c>
      <c r="I393" t="s">
        <v>75</v>
      </c>
      <c r="J393" t="s">
        <v>641</v>
      </c>
      <c r="K393" t="s">
        <v>79</v>
      </c>
      <c r="L393" t="s">
        <v>79</v>
      </c>
      <c r="M393">
        <v>4.0383267118485628</v>
      </c>
      <c r="N393" s="5">
        <v>45022</v>
      </c>
      <c r="O393" s="5">
        <v>45054</v>
      </c>
      <c r="P393">
        <v>1.3</v>
      </c>
      <c r="Q393" s="4">
        <v>81</v>
      </c>
      <c r="R393">
        <v>0.80500000000000005</v>
      </c>
      <c r="S393" t="s">
        <v>70</v>
      </c>
      <c r="T393" s="6">
        <v>6</v>
      </c>
      <c r="U393" s="5">
        <v>45178</v>
      </c>
      <c r="V393" s="6">
        <v>1</v>
      </c>
      <c r="W393" t="s">
        <v>86</v>
      </c>
      <c r="X393" s="6">
        <v>124</v>
      </c>
      <c r="Y393">
        <v>58.027730000000005</v>
      </c>
      <c r="Z393">
        <v>11.605546</v>
      </c>
      <c r="AA393" s="6">
        <v>26.250139373020449</v>
      </c>
      <c r="AB393" s="4">
        <v>117.17200000000001</v>
      </c>
      <c r="AC393" s="6">
        <v>38.095035831611128</v>
      </c>
      <c r="AD393">
        <v>0.36007697900000002</v>
      </c>
      <c r="AE393">
        <v>1.8773890752189379</v>
      </c>
      <c r="AF393">
        <v>106975</v>
      </c>
      <c r="AG393" s="4">
        <v>0</v>
      </c>
      <c r="AH393" s="4">
        <v>432000</v>
      </c>
      <c r="AL393">
        <v>22.000000000000004</v>
      </c>
      <c r="AM393">
        <v>25.732220000000002</v>
      </c>
      <c r="AN393" t="s">
        <v>81</v>
      </c>
      <c r="AO393" t="s">
        <v>134</v>
      </c>
      <c r="AP393" s="5">
        <v>45055</v>
      </c>
      <c r="AQ393" t="s">
        <v>117</v>
      </c>
      <c r="AR393" s="5">
        <v>45177</v>
      </c>
      <c r="AS393">
        <v>198.24582609038811</v>
      </c>
      <c r="AT393" s="6"/>
      <c r="AU393">
        <v>12.149363761084571</v>
      </c>
      <c r="AV393">
        <v>55.543218216531976</v>
      </c>
      <c r="AW393">
        <v>45.531286162667413</v>
      </c>
      <c r="AX393">
        <v>113.22386814028397</v>
      </c>
      <c r="AY393">
        <v>8.0546697242852687</v>
      </c>
      <c r="AZ393">
        <v>23.253429351794392</v>
      </c>
      <c r="BA393">
        <v>4.9993377304264692</v>
      </c>
      <c r="BB393">
        <v>2.5451288547733979</v>
      </c>
      <c r="BC393">
        <v>8.1616270359016276</v>
      </c>
      <c r="BD393">
        <v>47.014192697181151</v>
      </c>
      <c r="BE393">
        <v>38.007765252922987</v>
      </c>
      <c r="BF393">
        <v>7.4325561244598042</v>
      </c>
      <c r="BG393">
        <v>1.9441060334429758</v>
      </c>
      <c r="BH393">
        <v>9.3766621579027802</v>
      </c>
      <c r="BI393">
        <v>169.61472299536791</v>
      </c>
      <c r="BJ393" s="6">
        <v>210</v>
      </c>
      <c r="BK393">
        <v>28.631103095020194</v>
      </c>
      <c r="BL393" s="4">
        <v>1661.3979199999962</v>
      </c>
      <c r="BM393" t="s">
        <v>1171</v>
      </c>
      <c r="BN393" t="s">
        <v>65</v>
      </c>
      <c r="BO393">
        <v>9</v>
      </c>
      <c r="BP393">
        <v>2023</v>
      </c>
      <c r="BQ393" t="str">
        <f t="shared" si="31"/>
        <v>Lamlaung9</v>
      </c>
      <c r="BR393">
        <f t="shared" si="32"/>
        <v>2343.4659499999998</v>
      </c>
      <c r="BS393">
        <f t="shared" si="33"/>
        <v>11503.755269999998</v>
      </c>
      <c r="BT393" s="6">
        <f t="shared" si="34"/>
        <v>40.385277004632087</v>
      </c>
    </row>
    <row r="394" spans="1:72">
      <c r="A394" s="3" t="s">
        <v>967</v>
      </c>
      <c r="B394" s="3" t="s">
        <v>1146</v>
      </c>
      <c r="C394" s="3" t="s">
        <v>1148</v>
      </c>
      <c r="D394" s="2" t="s">
        <v>980</v>
      </c>
      <c r="E394" s="4" t="str">
        <f t="shared" si="30"/>
        <v>LamlaungA1-002-0046</v>
      </c>
      <c r="F394">
        <v>5</v>
      </c>
      <c r="G394">
        <v>2</v>
      </c>
      <c r="H394" t="s">
        <v>72</v>
      </c>
      <c r="I394" t="s">
        <v>75</v>
      </c>
      <c r="J394" t="s">
        <v>1153</v>
      </c>
      <c r="K394" t="s">
        <v>79</v>
      </c>
      <c r="L394" t="s">
        <v>79</v>
      </c>
      <c r="M394">
        <v>3.6152120611403831</v>
      </c>
      <c r="N394" s="5">
        <v>45044</v>
      </c>
      <c r="O394" s="5">
        <v>45075</v>
      </c>
      <c r="P394">
        <v>1.7</v>
      </c>
      <c r="Q394" s="4">
        <v>106</v>
      </c>
      <c r="R394">
        <v>0.21</v>
      </c>
      <c r="S394" t="s">
        <v>70</v>
      </c>
      <c r="T394" s="6">
        <v>6</v>
      </c>
      <c r="U394" s="5">
        <v>45208</v>
      </c>
      <c r="V394" s="6">
        <v>1</v>
      </c>
      <c r="W394" t="s">
        <v>86</v>
      </c>
      <c r="X394" s="6">
        <v>133</v>
      </c>
      <c r="Y394">
        <v>47.50488</v>
      </c>
      <c r="Z394">
        <v>9.5009759999999996</v>
      </c>
      <c r="AA394" s="6">
        <v>29.272697878617947</v>
      </c>
      <c r="AB394" s="4">
        <v>81.799764705882353</v>
      </c>
      <c r="AC394" s="6">
        <v>34.1615249864087</v>
      </c>
      <c r="AD394">
        <v>0.356459005</v>
      </c>
      <c r="AE394">
        <v>2.0328591656719244</v>
      </c>
      <c r="AF394">
        <v>95845</v>
      </c>
      <c r="AG394" s="4">
        <v>0</v>
      </c>
      <c r="AH394" s="4">
        <v>346500</v>
      </c>
      <c r="AL394">
        <v>21</v>
      </c>
      <c r="AM394">
        <v>9.5227199999999996</v>
      </c>
      <c r="AN394" t="s">
        <v>81</v>
      </c>
      <c r="AO394" t="s">
        <v>103</v>
      </c>
      <c r="AP394" s="5">
        <v>45076</v>
      </c>
      <c r="AQ394" t="s">
        <v>97</v>
      </c>
      <c r="AR394" s="5">
        <v>45204</v>
      </c>
      <c r="AS394">
        <v>195.25099463465651</v>
      </c>
      <c r="AT394" s="6"/>
      <c r="AU394">
        <v>14.31431886576706</v>
      </c>
      <c r="AV394">
        <v>60.47963598687123</v>
      </c>
      <c r="AW394">
        <v>37.951471511979406</v>
      </c>
      <c r="AX394">
        <v>112.74542636461769</v>
      </c>
      <c r="AY394">
        <v>10.750158931040348</v>
      </c>
      <c r="AZ394">
        <v>29.801098750275766</v>
      </c>
      <c r="BA394">
        <v>3.9527901133525658</v>
      </c>
      <c r="BB394">
        <v>4.080518885638698</v>
      </c>
      <c r="BC394">
        <v>11.585985692417285</v>
      </c>
      <c r="BD394">
        <v>60.170552372724657</v>
      </c>
      <c r="BE394">
        <v>22.335015897314165</v>
      </c>
      <c r="BF394">
        <v>9.152292774973855</v>
      </c>
      <c r="BG394">
        <v>2.5464798563852802</v>
      </c>
      <c r="BH394">
        <v>11.698772631359136</v>
      </c>
      <c r="BI394">
        <v>184.61475136870149</v>
      </c>
      <c r="BJ394" s="6">
        <v>200</v>
      </c>
      <c r="BK394">
        <v>10.636243265955011</v>
      </c>
      <c r="BL394" s="4">
        <v>505.27346000000091</v>
      </c>
      <c r="BM394" t="s">
        <v>1169</v>
      </c>
      <c r="BN394" t="s">
        <v>65</v>
      </c>
      <c r="BO394">
        <v>10</v>
      </c>
      <c r="BP394">
        <v>2023</v>
      </c>
      <c r="BQ394" t="str">
        <f t="shared" si="31"/>
        <v>Lamlaung10</v>
      </c>
      <c r="BR394">
        <f t="shared" si="32"/>
        <v>730.87438999999995</v>
      </c>
      <c r="BS394">
        <f t="shared" si="33"/>
        <v>9275.3750700000019</v>
      </c>
      <c r="BT394" s="6">
        <f t="shared" si="34"/>
        <v>15.385248631298509</v>
      </c>
    </row>
    <row r="395" spans="1:72">
      <c r="A395" s="3" t="s">
        <v>967</v>
      </c>
      <c r="B395" s="3" t="s">
        <v>1146</v>
      </c>
      <c r="C395" s="3" t="s">
        <v>1148</v>
      </c>
      <c r="D395" s="2" t="s">
        <v>1163</v>
      </c>
      <c r="E395" s="4" t="str">
        <f t="shared" si="30"/>
        <v>LamlaungB1-112-0006</v>
      </c>
      <c r="F395">
        <v>5</v>
      </c>
      <c r="G395">
        <v>1.8</v>
      </c>
      <c r="H395" t="s">
        <v>72</v>
      </c>
      <c r="I395" t="s">
        <v>75</v>
      </c>
      <c r="J395" t="s">
        <v>1153</v>
      </c>
      <c r="K395" t="s">
        <v>79</v>
      </c>
      <c r="L395" t="s">
        <v>79</v>
      </c>
      <c r="M395">
        <v>4.3847346275928247</v>
      </c>
      <c r="N395" s="5">
        <v>44979</v>
      </c>
      <c r="O395" s="5">
        <v>44989</v>
      </c>
      <c r="P395">
        <v>3.2</v>
      </c>
      <c r="Q395" s="4">
        <v>222</v>
      </c>
      <c r="R395">
        <v>0.82</v>
      </c>
      <c r="S395" t="s">
        <v>70</v>
      </c>
      <c r="T395" s="6">
        <v>6</v>
      </c>
      <c r="U395" s="5">
        <v>45122</v>
      </c>
      <c r="V395" s="6">
        <v>1</v>
      </c>
      <c r="W395" t="s">
        <v>86</v>
      </c>
      <c r="X395" s="6">
        <v>133</v>
      </c>
      <c r="Y395">
        <v>57.047040000000003</v>
      </c>
      <c r="Z395">
        <v>11.409408000000001</v>
      </c>
      <c r="AA395" s="6">
        <v>32.435723220696467</v>
      </c>
      <c r="AB395" s="4">
        <v>57.823812500000003</v>
      </c>
      <c r="AC395" s="6">
        <v>30.830205116620419</v>
      </c>
      <c r="AD395">
        <v>0.33559808600000002</v>
      </c>
      <c r="AE395">
        <v>2.4892031022155323</v>
      </c>
      <c r="AF395">
        <v>135470</v>
      </c>
      <c r="AG395" s="4">
        <v>0</v>
      </c>
      <c r="AH395" s="4">
        <v>594000</v>
      </c>
      <c r="AL395">
        <v>22</v>
      </c>
      <c r="AM395">
        <v>4.8954399999999998</v>
      </c>
      <c r="AN395" t="s">
        <v>81</v>
      </c>
      <c r="AO395" t="s">
        <v>123</v>
      </c>
      <c r="AP395" s="5">
        <v>44991</v>
      </c>
      <c r="AQ395" t="s">
        <v>74</v>
      </c>
      <c r="AR395" s="5">
        <v>45120</v>
      </c>
      <c r="AS395">
        <v>207.40473370748069</v>
      </c>
      <c r="AT395" s="6"/>
      <c r="AU395">
        <v>30.851732184527016</v>
      </c>
      <c r="AV395">
        <v>74.980793744951541</v>
      </c>
      <c r="AW395">
        <v>48.596459167732455</v>
      </c>
      <c r="AX395">
        <v>154.42898509721101</v>
      </c>
      <c r="AY395">
        <v>8.5487914885680301</v>
      </c>
      <c r="AZ395">
        <v>21.92335202667833</v>
      </c>
      <c r="BA395">
        <v>2.3876166055241432</v>
      </c>
      <c r="BB395">
        <v>5.6556280571261883</v>
      </c>
      <c r="BC395">
        <v>8.572766264472266</v>
      </c>
      <c r="BD395">
        <v>47.088154442368953</v>
      </c>
      <c r="BE395">
        <v>5.8875941679007227</v>
      </c>
      <c r="BF395">
        <v>8.1027122529056737</v>
      </c>
      <c r="BG395">
        <v>1.9970850371903606</v>
      </c>
      <c r="BH395">
        <v>10.099797290096035</v>
      </c>
      <c r="BI395">
        <v>211.61693682967598</v>
      </c>
      <c r="BJ395" s="6">
        <v>192</v>
      </c>
      <c r="BK395">
        <v>-4.2122031221953087</v>
      </c>
      <c r="BL395" s="4">
        <v>-240.29372000000066</v>
      </c>
      <c r="BM395" t="s">
        <v>1164</v>
      </c>
      <c r="BN395" t="s">
        <v>65</v>
      </c>
      <c r="BO395">
        <v>7</v>
      </c>
      <c r="BP395">
        <v>2023</v>
      </c>
      <c r="BQ395" t="str">
        <f t="shared" si="31"/>
        <v>Lamlaung7</v>
      </c>
      <c r="BR395">
        <f t="shared" si="32"/>
        <v>-1119.0881799999988</v>
      </c>
      <c r="BS395">
        <f t="shared" si="33"/>
        <v>11831.826139999999</v>
      </c>
      <c r="BT395" s="6">
        <f t="shared" si="34"/>
        <v>-19.616936829675979</v>
      </c>
    </row>
    <row r="396" spans="1:72">
      <c r="A396" s="3" t="s">
        <v>967</v>
      </c>
      <c r="B396" s="3" t="s">
        <v>1146</v>
      </c>
      <c r="C396" s="3" t="s">
        <v>1148</v>
      </c>
      <c r="D396" s="2" t="s">
        <v>1167</v>
      </c>
      <c r="E396" s="4" t="str">
        <f t="shared" si="30"/>
        <v>LamlaungA1-005-0008</v>
      </c>
      <c r="F396">
        <v>5</v>
      </c>
      <c r="G396">
        <v>2</v>
      </c>
      <c r="H396" t="s">
        <v>72</v>
      </c>
      <c r="I396" t="s">
        <v>75</v>
      </c>
      <c r="J396" t="s">
        <v>641</v>
      </c>
      <c r="K396" t="s">
        <v>79</v>
      </c>
      <c r="L396" t="s">
        <v>79</v>
      </c>
      <c r="M396">
        <v>4.0351522959418427</v>
      </c>
      <c r="N396" s="5">
        <v>45033</v>
      </c>
      <c r="O396" s="5">
        <v>45062</v>
      </c>
      <c r="P396">
        <v>1.89</v>
      </c>
      <c r="Q396" s="4">
        <v>118</v>
      </c>
      <c r="R396">
        <v>0.15</v>
      </c>
      <c r="S396" t="s">
        <v>70</v>
      </c>
      <c r="T396" s="6">
        <v>6</v>
      </c>
      <c r="U396" s="5">
        <v>45197</v>
      </c>
      <c r="V396" s="6">
        <v>1</v>
      </c>
      <c r="W396" t="s">
        <v>86</v>
      </c>
      <c r="X396" s="6">
        <v>135</v>
      </c>
      <c r="Y396">
        <v>62.622500000000002</v>
      </c>
      <c r="Z396">
        <v>12.5245</v>
      </c>
      <c r="AA396" s="6">
        <v>30.83781388478582</v>
      </c>
      <c r="AB396" s="4">
        <v>102.17677248677248</v>
      </c>
      <c r="AC396" s="6">
        <v>32.427720192362962</v>
      </c>
      <c r="AD396">
        <v>0.33558922600000002</v>
      </c>
      <c r="AE396">
        <v>1.7432105102744671</v>
      </c>
      <c r="AF396">
        <v>108670</v>
      </c>
      <c r="AG396" s="4">
        <v>0</v>
      </c>
      <c r="AH396" s="4">
        <v>438500</v>
      </c>
      <c r="AL396">
        <v>22</v>
      </c>
      <c r="AM396">
        <v>21.418020000000002</v>
      </c>
      <c r="AN396" t="s">
        <v>81</v>
      </c>
      <c r="AO396" t="s">
        <v>144</v>
      </c>
      <c r="AP396" s="5">
        <v>45070</v>
      </c>
      <c r="AQ396" t="s">
        <v>94</v>
      </c>
      <c r="AR396" s="5">
        <v>45195</v>
      </c>
      <c r="AS396">
        <v>199.12982394506767</v>
      </c>
      <c r="AT396" s="6"/>
      <c r="AU396">
        <v>9.0542536628208712</v>
      </c>
      <c r="AV396">
        <v>52.011252185715989</v>
      </c>
      <c r="AW396">
        <v>29.097814044472845</v>
      </c>
      <c r="AX396">
        <v>90.1633198930097</v>
      </c>
      <c r="AY396">
        <v>7.9733931095053698</v>
      </c>
      <c r="AZ396">
        <v>23.021622260369679</v>
      </c>
      <c r="BA396">
        <v>2.8120091021597671</v>
      </c>
      <c r="BB396">
        <v>2.5618146832208866</v>
      </c>
      <c r="BC396">
        <v>8.352064353866421</v>
      </c>
      <c r="BD396">
        <v>44.720903509122124</v>
      </c>
      <c r="BE396">
        <v>64.245600542935847</v>
      </c>
      <c r="BF396">
        <v>7.0554305561100268</v>
      </c>
      <c r="BG396">
        <v>1.9107582737833844</v>
      </c>
      <c r="BH396">
        <v>8.9661888298934116</v>
      </c>
      <c r="BI396">
        <v>143.85041223202526</v>
      </c>
      <c r="BJ396" s="6">
        <v>197</v>
      </c>
      <c r="BK396">
        <v>55.279411713042421</v>
      </c>
      <c r="BL396" s="4">
        <v>3461.7349599999989</v>
      </c>
      <c r="BM396" t="s">
        <v>1168</v>
      </c>
      <c r="BN396" t="s">
        <v>65</v>
      </c>
      <c r="BO396">
        <v>9</v>
      </c>
      <c r="BP396">
        <v>2023</v>
      </c>
      <c r="BQ396" t="str">
        <f t="shared" si="31"/>
        <v>Lamlaung9</v>
      </c>
      <c r="BR396">
        <f t="shared" si="32"/>
        <v>3328.3600599999982</v>
      </c>
      <c r="BS396">
        <f t="shared" si="33"/>
        <v>12470.0074</v>
      </c>
      <c r="BT396" s="6">
        <f t="shared" si="34"/>
        <v>53.149587767974737</v>
      </c>
    </row>
    <row r="397" spans="1:72">
      <c r="A397" s="3" t="s">
        <v>967</v>
      </c>
      <c r="B397" s="3" t="s">
        <v>1146</v>
      </c>
      <c r="C397" s="3" t="s">
        <v>1148</v>
      </c>
      <c r="D397" s="2" t="s">
        <v>1161</v>
      </c>
      <c r="E397" s="4" t="str">
        <f t="shared" si="30"/>
        <v>LamlaungB1-111-0007</v>
      </c>
      <c r="F397">
        <v>5</v>
      </c>
      <c r="G397">
        <v>1.6</v>
      </c>
      <c r="H397" t="s">
        <v>72</v>
      </c>
      <c r="I397" t="s">
        <v>75</v>
      </c>
      <c r="J397" t="s">
        <v>641</v>
      </c>
      <c r="K397" t="s">
        <v>79</v>
      </c>
      <c r="L397" t="s">
        <v>79</v>
      </c>
      <c r="M397">
        <v>3.6512763800571375</v>
      </c>
      <c r="N397" s="5">
        <v>44895</v>
      </c>
      <c r="O397" s="5">
        <v>44901</v>
      </c>
      <c r="P397">
        <v>1.5</v>
      </c>
      <c r="Q397" s="4">
        <v>117</v>
      </c>
      <c r="R397">
        <v>2.0489999999999999</v>
      </c>
      <c r="S397" t="s">
        <v>70</v>
      </c>
      <c r="T397" s="6">
        <v>5</v>
      </c>
      <c r="U397" s="5">
        <v>45021</v>
      </c>
      <c r="V397" s="6">
        <v>1</v>
      </c>
      <c r="W397" t="s">
        <v>86</v>
      </c>
      <c r="X397" s="6">
        <v>120</v>
      </c>
      <c r="Y397">
        <v>31.89798</v>
      </c>
      <c r="Z397">
        <v>6.3795960000000003</v>
      </c>
      <c r="AA397" s="6">
        <v>34.775963869812443</v>
      </c>
      <c r="AB397" s="4">
        <v>73.952200000000005</v>
      </c>
      <c r="AC397" s="6">
        <v>28.755493413312927</v>
      </c>
      <c r="AD397">
        <v>0.28054404799999999</v>
      </c>
      <c r="AE397">
        <v>1.8822869013925212</v>
      </c>
      <c r="AF397">
        <v>54255</v>
      </c>
      <c r="AG397" s="4">
        <v>12800</v>
      </c>
      <c r="AH397" s="4">
        <v>198100</v>
      </c>
      <c r="AL397">
        <v>28</v>
      </c>
      <c r="AM397">
        <v>7.1246999999999998</v>
      </c>
      <c r="AN397" t="s">
        <v>81</v>
      </c>
      <c r="AO397" t="s">
        <v>438</v>
      </c>
      <c r="AP397" s="5">
        <v>44902</v>
      </c>
      <c r="AQ397" t="s">
        <v>116</v>
      </c>
      <c r="AR397" s="5">
        <v>45020</v>
      </c>
      <c r="AS397">
        <v>240.01102922504811</v>
      </c>
      <c r="AT397" s="6"/>
      <c r="AU397">
        <v>56.429905592767938</v>
      </c>
      <c r="AV397">
        <v>54.521894803370003</v>
      </c>
      <c r="AW397">
        <v>61.055708543299602</v>
      </c>
      <c r="AX397">
        <v>172.00750893943754</v>
      </c>
      <c r="AY397">
        <v>15.861395925384617</v>
      </c>
      <c r="AZ397">
        <v>36.044644519809715</v>
      </c>
      <c r="BA397">
        <v>5.3273025439228432</v>
      </c>
      <c r="BB397">
        <v>16.542573542274464</v>
      </c>
      <c r="BC397">
        <v>14.844222110616407</v>
      </c>
      <c r="BD397">
        <v>88.620138642008058</v>
      </c>
      <c r="BE397">
        <v>-20.616618356397495</v>
      </c>
      <c r="BF397">
        <v>15.647949493980498</v>
      </c>
      <c r="BG397">
        <v>3.8696218381226646</v>
      </c>
      <c r="BH397">
        <v>19.517571332103163</v>
      </c>
      <c r="BI397">
        <v>280.14521891354877</v>
      </c>
      <c r="BJ397" s="6">
        <v>189</v>
      </c>
      <c r="BK397">
        <v>-40.134189688500655</v>
      </c>
      <c r="BL397" s="4">
        <v>-1280.19958</v>
      </c>
      <c r="BM397" t="s">
        <v>1162</v>
      </c>
      <c r="BN397" t="s">
        <v>65</v>
      </c>
      <c r="BO397">
        <v>4</v>
      </c>
      <c r="BP397">
        <v>2023</v>
      </c>
      <c r="BQ397" t="str">
        <f t="shared" si="31"/>
        <v>Lamlaung4</v>
      </c>
      <c r="BR397">
        <f t="shared" si="32"/>
        <v>-2907.3483700000006</v>
      </c>
      <c r="BS397">
        <f t="shared" si="33"/>
        <v>7655.8670099999999</v>
      </c>
      <c r="BT397" s="6">
        <f t="shared" si="34"/>
        <v>-91.145218913548774</v>
      </c>
    </row>
    <row r="398" spans="1:72">
      <c r="A398" s="3" t="s">
        <v>967</v>
      </c>
      <c r="B398" s="3" t="s">
        <v>1146</v>
      </c>
      <c r="C398" s="3" t="s">
        <v>1148</v>
      </c>
      <c r="D398" s="2" t="s">
        <v>1155</v>
      </c>
      <c r="E398" s="4" t="str">
        <f t="shared" si="30"/>
        <v>LamlaungA1-003-0045</v>
      </c>
      <c r="F398">
        <v>5</v>
      </c>
      <c r="G398">
        <v>2</v>
      </c>
      <c r="H398" t="s">
        <v>72</v>
      </c>
      <c r="I398" t="s">
        <v>75</v>
      </c>
      <c r="J398" t="s">
        <v>95</v>
      </c>
      <c r="K398" t="s">
        <v>79</v>
      </c>
      <c r="L398" t="s">
        <v>79</v>
      </c>
      <c r="M398">
        <v>1.214574898785425</v>
      </c>
      <c r="N398" s="5">
        <v>45142</v>
      </c>
      <c r="O398" s="5">
        <v>45165</v>
      </c>
      <c r="P398">
        <v>2</v>
      </c>
      <c r="Q398" s="4">
        <v>125</v>
      </c>
      <c r="R398">
        <v>0.45200000000000001</v>
      </c>
      <c r="S398" t="s">
        <v>70</v>
      </c>
      <c r="T398" s="6">
        <v>2</v>
      </c>
      <c r="U398" s="5">
        <v>45216</v>
      </c>
      <c r="V398" s="6">
        <v>2</v>
      </c>
      <c r="W398" t="s">
        <v>71</v>
      </c>
      <c r="X398" s="6">
        <v>51</v>
      </c>
      <c r="Y398">
        <v>26.346820000000001</v>
      </c>
      <c r="Z398">
        <v>5.2693640000000004</v>
      </c>
      <c r="AA398" s="6">
        <v>68.288810566132838</v>
      </c>
      <c r="AB398" s="4">
        <v>89.959649999999996</v>
      </c>
      <c r="AC398" s="6">
        <v>14.643687475440379</v>
      </c>
      <c r="AD398">
        <v>0.27948788899999999</v>
      </c>
      <c r="AE398">
        <v>1.4562065054109568</v>
      </c>
      <c r="AF398">
        <v>37050</v>
      </c>
      <c r="AG398" s="4">
        <v>0</v>
      </c>
      <c r="AH398" s="4">
        <v>45000</v>
      </c>
      <c r="AI398" t="s">
        <v>73</v>
      </c>
      <c r="AJ398" t="s">
        <v>73</v>
      </c>
      <c r="AK398" t="s">
        <v>78</v>
      </c>
      <c r="AL398">
        <v>68</v>
      </c>
      <c r="AM398">
        <v>22.5334</v>
      </c>
      <c r="AN398" t="s">
        <v>73</v>
      </c>
      <c r="AO398" t="s">
        <v>157</v>
      </c>
      <c r="AP398" s="5">
        <v>45166</v>
      </c>
      <c r="AQ398" t="s">
        <v>108</v>
      </c>
      <c r="AR398" s="5">
        <v>45215</v>
      </c>
      <c r="AS398">
        <v>148.41665142131004</v>
      </c>
      <c r="AT398" s="6"/>
      <c r="AU398">
        <v>34.159720224300315</v>
      </c>
      <c r="AV398">
        <v>41.909642226272481</v>
      </c>
      <c r="AW398">
        <v>45.285547553746525</v>
      </c>
      <c r="AX398">
        <v>121.35491000431932</v>
      </c>
      <c r="AY398">
        <v>9.9032539790380767</v>
      </c>
      <c r="AZ398">
        <v>26.694921815991453</v>
      </c>
      <c r="BA398">
        <v>3.675620814959832</v>
      </c>
      <c r="BB398">
        <v>5.5201390528344607</v>
      </c>
      <c r="BC398">
        <v>10.380549910767218</v>
      </c>
      <c r="BD398">
        <v>56.174485573591049</v>
      </c>
      <c r="BE398">
        <v>-29.112744156600336</v>
      </c>
      <c r="BF398">
        <v>6.8595466170110848</v>
      </c>
      <c r="BG398">
        <v>2.2705514365680561</v>
      </c>
      <c r="BH398">
        <v>9.1300980535791414</v>
      </c>
      <c r="BI398">
        <v>186.65949363148951</v>
      </c>
      <c r="BJ398" s="6">
        <v>149</v>
      </c>
      <c r="BK398">
        <v>-38.242842210179454</v>
      </c>
      <c r="BL398" s="4">
        <v>-1007.5772800000003</v>
      </c>
      <c r="BM398" t="s">
        <v>1156</v>
      </c>
      <c r="BN398" t="s">
        <v>65</v>
      </c>
      <c r="BO398">
        <v>10</v>
      </c>
      <c r="BP398">
        <v>2023</v>
      </c>
      <c r="BQ398" t="str">
        <f t="shared" si="31"/>
        <v>Lamlaung10</v>
      </c>
      <c r="BR398">
        <f t="shared" si="32"/>
        <v>-992.20790000000056</v>
      </c>
      <c r="BS398">
        <f t="shared" si="33"/>
        <v>3910.3067999999998</v>
      </c>
      <c r="BT398" s="6">
        <f t="shared" si="34"/>
        <v>-37.659493631489511</v>
      </c>
    </row>
    <row r="399" spans="1:72">
      <c r="A399" s="3" t="s">
        <v>967</v>
      </c>
      <c r="B399" s="3" t="s">
        <v>1146</v>
      </c>
      <c r="C399" s="3" t="s">
        <v>1148</v>
      </c>
      <c r="D399" s="2" t="s">
        <v>1152</v>
      </c>
      <c r="E399" s="4" t="str">
        <f t="shared" si="30"/>
        <v>LamlaungB1-112-0007</v>
      </c>
      <c r="F399">
        <v>5</v>
      </c>
      <c r="G399">
        <v>2</v>
      </c>
      <c r="H399" t="s">
        <v>72</v>
      </c>
      <c r="I399" t="s">
        <v>75</v>
      </c>
      <c r="J399" t="s">
        <v>1153</v>
      </c>
      <c r="K399" t="s">
        <v>79</v>
      </c>
      <c r="L399" t="s">
        <v>79</v>
      </c>
      <c r="M399">
        <v>3.7659414853713429</v>
      </c>
      <c r="N399" s="5">
        <v>45123</v>
      </c>
      <c r="O399" s="5">
        <v>45153</v>
      </c>
      <c r="P399">
        <v>2.5</v>
      </c>
      <c r="Q399" s="4">
        <v>156</v>
      </c>
      <c r="R399">
        <v>1.085</v>
      </c>
      <c r="S399" t="s">
        <v>70</v>
      </c>
      <c r="T399" s="6">
        <v>1</v>
      </c>
      <c r="U399" s="5">
        <v>45196</v>
      </c>
      <c r="V399" s="6">
        <v>2</v>
      </c>
      <c r="W399" t="s">
        <v>71</v>
      </c>
      <c r="X399" s="6">
        <v>42.999999999999993</v>
      </c>
      <c r="Y399">
        <v>24.722900000000003</v>
      </c>
      <c r="Z399">
        <v>4.9445800000000002</v>
      </c>
      <c r="AA399" s="6">
        <v>78.999995955167066</v>
      </c>
      <c r="AB399" s="4">
        <v>78.12436000000001</v>
      </c>
      <c r="AC399" s="6">
        <v>12.658228496207842</v>
      </c>
      <c r="AD399">
        <v>0.269144834</v>
      </c>
      <c r="AE399">
        <v>1.5141003290811308</v>
      </c>
      <c r="AF399">
        <v>33325</v>
      </c>
      <c r="AG399" s="4">
        <v>0</v>
      </c>
      <c r="AH399" s="4">
        <v>125500</v>
      </c>
      <c r="AI399" t="s">
        <v>73</v>
      </c>
      <c r="AJ399" t="s">
        <v>73</v>
      </c>
      <c r="AK399" t="s">
        <v>977</v>
      </c>
      <c r="AL399">
        <v>79</v>
      </c>
      <c r="AM399">
        <v>24.711200000000002</v>
      </c>
      <c r="AN399" t="s">
        <v>73</v>
      </c>
      <c r="AO399" t="s">
        <v>157</v>
      </c>
      <c r="AP399" s="5">
        <v>45153</v>
      </c>
      <c r="AQ399" t="s">
        <v>117</v>
      </c>
      <c r="AR399" s="5">
        <v>45195</v>
      </c>
      <c r="AS399">
        <v>110.85042207831603</v>
      </c>
      <c r="AT399" s="6"/>
      <c r="AU399">
        <v>55.616452762418646</v>
      </c>
      <c r="AV399">
        <v>40.419426928070735</v>
      </c>
      <c r="AW399">
        <v>58.623045031124981</v>
      </c>
      <c r="AX399">
        <v>154.65892472161437</v>
      </c>
      <c r="AY399">
        <v>9.1793296902871404</v>
      </c>
      <c r="AZ399">
        <v>28.384377641781505</v>
      </c>
      <c r="BA399">
        <v>3.6594145508819755</v>
      </c>
      <c r="BB399">
        <v>3.5189006953067801</v>
      </c>
      <c r="BC399">
        <v>9.2036621917331694</v>
      </c>
      <c r="BD399">
        <v>53.945684769990571</v>
      </c>
      <c r="BE399">
        <v>-97.754187413288918</v>
      </c>
      <c r="BF399">
        <v>7.4029676939194013</v>
      </c>
      <c r="BG399">
        <v>2.2029486832046401</v>
      </c>
      <c r="BH399">
        <v>9.605916377124041</v>
      </c>
      <c r="BI399">
        <v>218.21052586872898</v>
      </c>
      <c r="BJ399" s="6">
        <v>150</v>
      </c>
      <c r="BK399">
        <v>-107.36010379041295</v>
      </c>
      <c r="BL399" s="4">
        <v>-2654.2531100000006</v>
      </c>
      <c r="BM399" t="s">
        <v>1154</v>
      </c>
      <c r="BN399" t="s">
        <v>65</v>
      </c>
      <c r="BO399">
        <v>9</v>
      </c>
      <c r="BP399">
        <v>2023</v>
      </c>
      <c r="BQ399" t="str">
        <f t="shared" si="31"/>
        <v>Lamlaung9</v>
      </c>
      <c r="BR399">
        <f t="shared" si="32"/>
        <v>-1686.3620099999998</v>
      </c>
      <c r="BS399">
        <f t="shared" si="33"/>
        <v>2740.5438999999997</v>
      </c>
      <c r="BT399" s="6">
        <f t="shared" si="34"/>
        <v>-68.210525868728979</v>
      </c>
    </row>
    <row r="400" spans="1:72">
      <c r="A400" s="3" t="s">
        <v>967</v>
      </c>
      <c r="B400" s="3" t="s">
        <v>1146</v>
      </c>
      <c r="C400" s="3" t="s">
        <v>1148</v>
      </c>
      <c r="D400" s="2" t="s">
        <v>1157</v>
      </c>
      <c r="E400" s="4" t="str">
        <f t="shared" si="30"/>
        <v>LamlaungA1-002-0045</v>
      </c>
      <c r="F400">
        <v>5</v>
      </c>
      <c r="G400">
        <v>1.6</v>
      </c>
      <c r="H400" t="s">
        <v>72</v>
      </c>
      <c r="I400" t="s">
        <v>75</v>
      </c>
      <c r="J400" t="s">
        <v>1153</v>
      </c>
      <c r="K400" t="s">
        <v>79</v>
      </c>
      <c r="L400" t="s">
        <v>79</v>
      </c>
      <c r="M400">
        <v>3.3853006681514475</v>
      </c>
      <c r="N400" s="5">
        <v>44936</v>
      </c>
      <c r="O400" s="5">
        <v>44944</v>
      </c>
      <c r="P400">
        <v>2.4</v>
      </c>
      <c r="Q400" s="4">
        <v>188</v>
      </c>
      <c r="R400">
        <v>0.39700000000000002</v>
      </c>
      <c r="S400" t="s">
        <v>70</v>
      </c>
      <c r="T400" s="6">
        <v>5</v>
      </c>
      <c r="U400" s="5">
        <v>45043</v>
      </c>
      <c r="V400" s="6">
        <v>1</v>
      </c>
      <c r="W400" t="s">
        <v>86</v>
      </c>
      <c r="X400" s="6">
        <v>99</v>
      </c>
      <c r="Y400">
        <v>35.19041</v>
      </c>
      <c r="Z400">
        <v>7.0380820000000002</v>
      </c>
      <c r="AA400" s="6">
        <v>58.471413092373737</v>
      </c>
      <c r="AB400" s="4">
        <v>85.73470833333333</v>
      </c>
      <c r="AC400" s="6">
        <v>17.102374427315272</v>
      </c>
      <c r="AD400">
        <v>0.20642760900000001</v>
      </c>
      <c r="AE400">
        <v>1.6393346856931719</v>
      </c>
      <c r="AF400">
        <v>56125</v>
      </c>
      <c r="AG400" s="4">
        <v>12800</v>
      </c>
      <c r="AH400" s="4">
        <v>190000</v>
      </c>
      <c r="AL400">
        <v>48</v>
      </c>
      <c r="AM400">
        <v>17.76774</v>
      </c>
      <c r="AN400" t="s">
        <v>544</v>
      </c>
      <c r="AO400" t="s">
        <v>136</v>
      </c>
      <c r="AP400" s="5">
        <v>44945</v>
      </c>
      <c r="AQ400" t="s">
        <v>116</v>
      </c>
      <c r="AR400" s="5">
        <v>45042</v>
      </c>
      <c r="AS400">
        <v>159.85786781114513</v>
      </c>
      <c r="AT400" s="6"/>
      <c r="AU400">
        <v>28.558917045865616</v>
      </c>
      <c r="AV400">
        <v>51.813124371099981</v>
      </c>
      <c r="AW400">
        <v>43.061098179873433</v>
      </c>
      <c r="AX400">
        <v>123.43313959683901</v>
      </c>
      <c r="AY400">
        <v>12.748486022186155</v>
      </c>
      <c r="AZ400">
        <v>27.849107754072765</v>
      </c>
      <c r="BA400">
        <v>3.2270007652653088</v>
      </c>
      <c r="BB400">
        <v>7.9763986836186325</v>
      </c>
      <c r="BC400">
        <v>9.7003393822351001</v>
      </c>
      <c r="BD400">
        <v>61.501332607377954</v>
      </c>
      <c r="BE400">
        <v>-25.07660439307184</v>
      </c>
      <c r="BF400">
        <v>11.941077981188625</v>
      </c>
      <c r="BG400">
        <v>2.8597626455616743</v>
      </c>
      <c r="BH400">
        <v>14.800840626750299</v>
      </c>
      <c r="BI400">
        <v>199.7353128309673</v>
      </c>
      <c r="BJ400" s="6">
        <v>163</v>
      </c>
      <c r="BK400">
        <v>-39.877445019822176</v>
      </c>
      <c r="BL400" s="4">
        <v>-1403.3036400000005</v>
      </c>
      <c r="BM400" t="s">
        <v>1158</v>
      </c>
      <c r="BN400" t="s">
        <v>65</v>
      </c>
      <c r="BO400">
        <v>4</v>
      </c>
      <c r="BP400">
        <v>2023</v>
      </c>
      <c r="BQ400" t="str">
        <f t="shared" si="31"/>
        <v>Lamlaung4</v>
      </c>
      <c r="BR400">
        <f t="shared" si="32"/>
        <v>-1292.73072</v>
      </c>
      <c r="BS400">
        <f t="shared" si="33"/>
        <v>5625.4639099999995</v>
      </c>
      <c r="BT400" s="6">
        <f t="shared" si="34"/>
        <v>-36.735312830967302</v>
      </c>
    </row>
    <row r="401" spans="1:72">
      <c r="A401" s="3" t="s">
        <v>967</v>
      </c>
      <c r="B401" s="3" t="s">
        <v>1146</v>
      </c>
      <c r="C401" s="3" t="s">
        <v>1148</v>
      </c>
      <c r="D401" s="2" t="s">
        <v>1150</v>
      </c>
      <c r="E401" s="4" t="str">
        <f t="shared" si="30"/>
        <v>LamlaungB1-110-0005</v>
      </c>
      <c r="F401">
        <v>5</v>
      </c>
      <c r="G401">
        <v>1.6</v>
      </c>
      <c r="H401" t="s">
        <v>72</v>
      </c>
      <c r="I401" t="s">
        <v>75</v>
      </c>
      <c r="J401" t="s">
        <v>641</v>
      </c>
      <c r="K401" t="s">
        <v>79</v>
      </c>
      <c r="L401" t="s">
        <v>79</v>
      </c>
      <c r="M401">
        <v>3.5502068446784505</v>
      </c>
      <c r="N401" s="5">
        <v>44812</v>
      </c>
      <c r="O401" s="5">
        <v>44892</v>
      </c>
      <c r="P401">
        <v>2.4</v>
      </c>
      <c r="Q401" s="4">
        <v>188</v>
      </c>
      <c r="R401">
        <v>4.0000000000000001E-3</v>
      </c>
      <c r="S401" t="s">
        <v>70</v>
      </c>
      <c r="T401" s="6">
        <v>1</v>
      </c>
      <c r="U401" s="5">
        <v>44953</v>
      </c>
      <c r="V401" s="6">
        <v>2</v>
      </c>
      <c r="W401" t="s">
        <v>71</v>
      </c>
      <c r="X401" s="6">
        <v>60.999999999999993</v>
      </c>
      <c r="Y401">
        <v>9.8045200000000001</v>
      </c>
      <c r="Z401">
        <v>1.960904</v>
      </c>
      <c r="AA401" s="6">
        <v>86.011553854752705</v>
      </c>
      <c r="AB401" s="4">
        <v>35.137583333333332</v>
      </c>
      <c r="AC401" s="6">
        <v>11.626345010447029</v>
      </c>
      <c r="AD401">
        <v>0.19055585200000003</v>
      </c>
      <c r="AE401">
        <v>1.3573916843296046</v>
      </c>
      <c r="AF401">
        <v>13295</v>
      </c>
      <c r="AG401" s="4">
        <v>12800</v>
      </c>
      <c r="AH401" s="4">
        <v>47200</v>
      </c>
      <c r="AI401" t="s">
        <v>73</v>
      </c>
      <c r="AJ401" t="s">
        <v>73</v>
      </c>
      <c r="AK401" t="s">
        <v>218</v>
      </c>
      <c r="AL401">
        <v>86</v>
      </c>
      <c r="AM401">
        <v>9.8035200000000007</v>
      </c>
      <c r="AN401" t="s">
        <v>73</v>
      </c>
      <c r="AO401" t="s">
        <v>438</v>
      </c>
      <c r="AP401" s="5">
        <v>44896</v>
      </c>
      <c r="AQ401" t="s">
        <v>198</v>
      </c>
      <c r="AR401" s="5">
        <v>44950</v>
      </c>
      <c r="AS401">
        <v>160.44333123906114</v>
      </c>
      <c r="AT401" s="6"/>
      <c r="AU401">
        <v>48.957011664008036</v>
      </c>
      <c r="AV401">
        <v>41.89861716840803</v>
      </c>
      <c r="AW401">
        <v>263.14060963718765</v>
      </c>
      <c r="AX401">
        <v>353.99623846960372</v>
      </c>
      <c r="AY401">
        <v>69.577225606149</v>
      </c>
      <c r="AZ401">
        <v>102.11994671845231</v>
      </c>
      <c r="BA401">
        <v>41.988749066756959</v>
      </c>
      <c r="BB401">
        <v>72.695353775605525</v>
      </c>
      <c r="BC401">
        <v>156.86655338558134</v>
      </c>
      <c r="BD401">
        <v>443.24782855254506</v>
      </c>
      <c r="BE401">
        <v>-636.8007357830877</v>
      </c>
      <c r="BF401">
        <v>82.896592591988181</v>
      </c>
      <c r="BG401">
        <v>22.251916463019096</v>
      </c>
      <c r="BH401">
        <v>105.14850905500728</v>
      </c>
      <c r="BI401">
        <v>902.39257607715626</v>
      </c>
      <c r="BJ401" s="6">
        <v>150</v>
      </c>
      <c r="BK401">
        <v>-741.94924483809518</v>
      </c>
      <c r="BL401" s="4">
        <v>-7274.4562100000012</v>
      </c>
      <c r="BM401" t="s">
        <v>1151</v>
      </c>
      <c r="BN401" t="s">
        <v>65</v>
      </c>
      <c r="BO401">
        <v>1</v>
      </c>
      <c r="BP401">
        <v>2023</v>
      </c>
      <c r="BQ401" t="str">
        <f t="shared" si="31"/>
        <v>Lamlaung1</v>
      </c>
      <c r="BR401">
        <f t="shared" si="32"/>
        <v>-7376.8480600000003</v>
      </c>
      <c r="BS401">
        <f t="shared" si="33"/>
        <v>1573.0698499999996</v>
      </c>
      <c r="BT401" s="6">
        <f t="shared" si="34"/>
        <v>-752.39257607715626</v>
      </c>
    </row>
    <row r="402" spans="1:72">
      <c r="A402" s="3" t="s">
        <v>967</v>
      </c>
      <c r="B402" s="3" t="s">
        <v>1146</v>
      </c>
      <c r="C402" s="3" t="s">
        <v>1148</v>
      </c>
      <c r="D402" s="2" t="s">
        <v>1159</v>
      </c>
      <c r="E402" s="4" t="str">
        <f t="shared" si="30"/>
        <v>LamlaungA1-004-0045</v>
      </c>
      <c r="F402">
        <v>5</v>
      </c>
      <c r="G402">
        <v>1.6</v>
      </c>
      <c r="H402" t="s">
        <v>72</v>
      </c>
      <c r="I402" t="s">
        <v>75</v>
      </c>
      <c r="J402" t="s">
        <v>641</v>
      </c>
      <c r="K402" t="s">
        <v>79</v>
      </c>
      <c r="L402" t="s">
        <v>79</v>
      </c>
      <c r="M402">
        <v>3.354888524273719</v>
      </c>
      <c r="N402" s="5">
        <v>44895</v>
      </c>
      <c r="O402" s="5">
        <v>44923</v>
      </c>
      <c r="P402">
        <v>2.95</v>
      </c>
      <c r="Q402" s="4">
        <v>230</v>
      </c>
      <c r="R402">
        <v>0.66600000000000004</v>
      </c>
      <c r="S402" t="s">
        <v>70</v>
      </c>
      <c r="T402" s="6">
        <v>3</v>
      </c>
      <c r="U402" s="5">
        <v>45038</v>
      </c>
      <c r="V402" s="6">
        <v>1</v>
      </c>
      <c r="W402" t="s">
        <v>86</v>
      </c>
      <c r="X402" s="6">
        <v>115</v>
      </c>
      <c r="Y402">
        <v>26.450320000000001</v>
      </c>
      <c r="Z402">
        <v>5.2900640000000001</v>
      </c>
      <c r="AA402" s="6">
        <v>56.618218607563158</v>
      </c>
      <c r="AB402" s="4">
        <v>50.765084745762714</v>
      </c>
      <c r="AC402" s="6">
        <v>17.662159364837706</v>
      </c>
      <c r="AD402">
        <v>0.16812173899999999</v>
      </c>
      <c r="AE402">
        <v>2.1158439360374315</v>
      </c>
      <c r="AF402">
        <v>51805</v>
      </c>
      <c r="AG402" s="4">
        <v>25600</v>
      </c>
      <c r="AH402" s="4">
        <v>173800</v>
      </c>
      <c r="AL402">
        <v>50</v>
      </c>
      <c r="AM402">
        <v>13.52679</v>
      </c>
      <c r="AN402" t="s">
        <v>53</v>
      </c>
      <c r="AO402" t="s">
        <v>131</v>
      </c>
      <c r="AP402" s="5">
        <v>44929</v>
      </c>
      <c r="AQ402" t="s">
        <v>116</v>
      </c>
      <c r="AR402" s="5">
        <v>45037</v>
      </c>
      <c r="AS402">
        <v>177.21516866336592</v>
      </c>
      <c r="AT402" s="6"/>
      <c r="AU402">
        <v>59.829143844006431</v>
      </c>
      <c r="AV402">
        <v>63.399513503050265</v>
      </c>
      <c r="AW402">
        <v>78.017983147273853</v>
      </c>
      <c r="AX402">
        <v>201.24664049433053</v>
      </c>
      <c r="AY402">
        <v>39.670942733396039</v>
      </c>
      <c r="AZ402">
        <v>47.225050207332075</v>
      </c>
      <c r="BA402">
        <v>26.265014185083583</v>
      </c>
      <c r="BB402">
        <v>49.701507202937435</v>
      </c>
      <c r="BC402">
        <v>34.773736196764347</v>
      </c>
      <c r="BD402">
        <v>197.63625052551347</v>
      </c>
      <c r="BE402">
        <v>-221.66772235647809</v>
      </c>
      <c r="BF402">
        <v>32.272424303373263</v>
      </c>
      <c r="BG402">
        <v>7.9252632860396384</v>
      </c>
      <c r="BH402">
        <v>40.197687589412908</v>
      </c>
      <c r="BI402">
        <v>439.08057860925692</v>
      </c>
      <c r="BJ402" s="6">
        <v>165</v>
      </c>
      <c r="BK402">
        <v>-261.86540994589103</v>
      </c>
      <c r="BL402" s="4">
        <v>-6926.42389</v>
      </c>
      <c r="BM402" t="s">
        <v>1160</v>
      </c>
      <c r="BN402" t="s">
        <v>65</v>
      </c>
      <c r="BO402">
        <v>4</v>
      </c>
      <c r="BP402">
        <v>2023</v>
      </c>
      <c r="BQ402" t="str">
        <f t="shared" si="31"/>
        <v>Lamlaung4</v>
      </c>
      <c r="BR402">
        <f t="shared" si="32"/>
        <v>-7249.5190100000009</v>
      </c>
      <c r="BS402">
        <f t="shared" si="33"/>
        <v>4687.3979200000012</v>
      </c>
      <c r="BT402" s="6">
        <f t="shared" si="34"/>
        <v>-274.08057860925692</v>
      </c>
    </row>
    <row r="403" spans="1:72">
      <c r="A403" s="3" t="s">
        <v>967</v>
      </c>
      <c r="B403" s="3" t="s">
        <v>1146</v>
      </c>
      <c r="C403" s="3" t="s">
        <v>1148</v>
      </c>
      <c r="D403" s="2" t="s">
        <v>1149</v>
      </c>
      <c r="E403" s="4" t="str">
        <f t="shared" si="30"/>
        <v>LamlaungA1-001-0019</v>
      </c>
      <c r="F403">
        <v>5</v>
      </c>
      <c r="G403">
        <v>1.8</v>
      </c>
      <c r="H403" t="s">
        <v>72</v>
      </c>
      <c r="I403" t="s">
        <v>75</v>
      </c>
      <c r="K403" t="s">
        <v>79</v>
      </c>
      <c r="L403" t="s">
        <v>79</v>
      </c>
      <c r="M403">
        <v>6.4861250417920431</v>
      </c>
      <c r="N403" s="5">
        <v>44936</v>
      </c>
      <c r="O403" s="5">
        <v>44951</v>
      </c>
      <c r="P403">
        <v>3.28</v>
      </c>
      <c r="Q403" s="4">
        <v>228</v>
      </c>
      <c r="R403">
        <v>0.41</v>
      </c>
      <c r="S403" t="s">
        <v>70</v>
      </c>
      <c r="T403" s="6">
        <v>1</v>
      </c>
      <c r="U403" s="5">
        <v>44994</v>
      </c>
      <c r="V403" s="6">
        <v>2</v>
      </c>
      <c r="W403" t="s">
        <v>71</v>
      </c>
      <c r="X403" s="6">
        <v>43</v>
      </c>
      <c r="Y403">
        <v>13.585360000000001</v>
      </c>
      <c r="Z403">
        <v>2.7170720000000004</v>
      </c>
      <c r="AA403" s="6">
        <v>147.99997938957819</v>
      </c>
      <c r="AB403" s="4">
        <v>61.299786585365858</v>
      </c>
      <c r="AC403" s="6">
        <v>6.7567576977001771</v>
      </c>
      <c r="AD403">
        <v>0.14759899400000001</v>
      </c>
      <c r="AE403">
        <v>1.2217578280732253</v>
      </c>
      <c r="AF403">
        <v>14955</v>
      </c>
      <c r="AG403" s="4">
        <v>12800</v>
      </c>
      <c r="AH403" s="4">
        <v>97000</v>
      </c>
      <c r="AI403" t="s">
        <v>73</v>
      </c>
      <c r="AJ403" t="s">
        <v>73</v>
      </c>
      <c r="AK403" t="s">
        <v>103</v>
      </c>
      <c r="AL403">
        <v>148</v>
      </c>
      <c r="AM403">
        <v>13.585360000000001</v>
      </c>
      <c r="AN403" t="s">
        <v>73</v>
      </c>
      <c r="AO403" t="s">
        <v>131</v>
      </c>
      <c r="AP403" s="5">
        <v>44955</v>
      </c>
      <c r="AQ403" t="s">
        <v>123</v>
      </c>
      <c r="AR403" s="5">
        <v>44991</v>
      </c>
      <c r="AS403">
        <v>109.74813475682646</v>
      </c>
      <c r="AT403" s="6"/>
      <c r="AU403">
        <v>108.64636638263542</v>
      </c>
      <c r="AV403">
        <v>36.262821154536944</v>
      </c>
      <c r="AW403">
        <v>53.110424015263469</v>
      </c>
      <c r="AX403">
        <v>198.01961155243583</v>
      </c>
      <c r="AY403">
        <v>19.343098747475221</v>
      </c>
      <c r="AZ403">
        <v>38.6189876455243</v>
      </c>
      <c r="BA403">
        <v>4.8185016812215498</v>
      </c>
      <c r="BB403">
        <v>6.7217239734537761</v>
      </c>
      <c r="BC403">
        <v>12.844746845133288</v>
      </c>
      <c r="BD403">
        <v>82.347058892808136</v>
      </c>
      <c r="BE403">
        <v>-170.61853568841752</v>
      </c>
      <c r="BF403">
        <v>17.57102351354694</v>
      </c>
      <c r="BG403">
        <v>4.201893803329467</v>
      </c>
      <c r="BH403">
        <v>21.772917316876406</v>
      </c>
      <c r="BI403">
        <v>302.13958776212041</v>
      </c>
      <c r="BJ403" s="6">
        <v>150</v>
      </c>
      <c r="BK403">
        <v>-192.39145300529395</v>
      </c>
      <c r="BL403" s="4">
        <v>-2613.7071500000002</v>
      </c>
      <c r="BM403" t="s">
        <v>1147</v>
      </c>
      <c r="BN403" t="s">
        <v>65</v>
      </c>
      <c r="BO403">
        <v>3</v>
      </c>
      <c r="BP403">
        <v>2023</v>
      </c>
      <c r="BQ403" t="str">
        <f t="shared" si="31"/>
        <v>Lamlaung3</v>
      </c>
      <c r="BR403">
        <f t="shared" si="32"/>
        <v>-2066.8710700000006</v>
      </c>
      <c r="BS403">
        <f t="shared" si="33"/>
        <v>1490.96792</v>
      </c>
      <c r="BT403" s="6">
        <f t="shared" si="34"/>
        <v>-152.13958776212041</v>
      </c>
    </row>
    <row r="404" spans="1:72">
      <c r="A404" s="3" t="s">
        <v>967</v>
      </c>
      <c r="B404" s="3" t="s">
        <v>970</v>
      </c>
      <c r="C404" s="3" t="s">
        <v>982</v>
      </c>
      <c r="D404" s="2" t="s">
        <v>988</v>
      </c>
      <c r="E404" s="4" t="str">
        <f t="shared" si="30"/>
        <v>CS4A1-011-0046</v>
      </c>
      <c r="F404">
        <v>2.65</v>
      </c>
      <c r="G404">
        <v>1.5</v>
      </c>
      <c r="H404" t="s">
        <v>72</v>
      </c>
      <c r="I404" t="s">
        <v>75</v>
      </c>
      <c r="J404" t="s">
        <v>95</v>
      </c>
      <c r="K404" t="s">
        <v>79</v>
      </c>
      <c r="N404" s="5">
        <v>45092</v>
      </c>
      <c r="O404" s="5">
        <v>45122</v>
      </c>
      <c r="P404">
        <v>0.9</v>
      </c>
      <c r="Q404" s="4">
        <v>142</v>
      </c>
      <c r="R404">
        <v>0.59</v>
      </c>
      <c r="S404" t="s">
        <v>70</v>
      </c>
      <c r="T404" s="6">
        <v>2</v>
      </c>
      <c r="U404" s="5">
        <v>45173</v>
      </c>
      <c r="V404" s="6">
        <v>1</v>
      </c>
      <c r="W404" t="s">
        <v>86</v>
      </c>
      <c r="X404" s="6">
        <v>51</v>
      </c>
      <c r="Y404">
        <v>16.842130000000001</v>
      </c>
      <c r="Z404">
        <v>6.3555207547169816</v>
      </c>
      <c r="AA404" s="6">
        <v>46.409628710857831</v>
      </c>
      <c r="AB404" s="4">
        <v>86.848555555555549</v>
      </c>
      <c r="AC404" s="6">
        <v>21.547252752876336</v>
      </c>
      <c r="AD404">
        <v>0.41468883200000001</v>
      </c>
      <c r="AE404">
        <v>1.1755740541150304</v>
      </c>
      <c r="AF404">
        <v>19175</v>
      </c>
      <c r="AG404" s="4"/>
      <c r="AH404" s="4"/>
      <c r="AI404" t="s">
        <v>73</v>
      </c>
      <c r="AL404">
        <v>46</v>
      </c>
      <c r="AM404">
        <v>9.9440300000000015</v>
      </c>
      <c r="AN404" t="s">
        <v>916</v>
      </c>
      <c r="AO404" t="s">
        <v>131</v>
      </c>
      <c r="AP404" s="5">
        <v>45122</v>
      </c>
      <c r="AQ404" t="s">
        <v>94</v>
      </c>
      <c r="AR404" s="5">
        <v>45169</v>
      </c>
      <c r="AS404">
        <v>153.86035258010713</v>
      </c>
      <c r="AT404" s="6"/>
      <c r="AU404">
        <v>26.718710756893572</v>
      </c>
      <c r="AV404">
        <v>34.799010576453206</v>
      </c>
      <c r="AW404">
        <v>37.366262462052006</v>
      </c>
      <c r="AX404">
        <v>98.883983795398777</v>
      </c>
      <c r="AY404">
        <v>36.062179783673436</v>
      </c>
      <c r="AZ404">
        <v>22.049551333471481</v>
      </c>
      <c r="BA404">
        <v>10.163590947225797</v>
      </c>
      <c r="BB404">
        <v>22.98626480142357</v>
      </c>
      <c r="BC404">
        <v>51.67999237626119</v>
      </c>
      <c r="BD404">
        <v>142.94157924205547</v>
      </c>
      <c r="BE404">
        <v>-87.965210457347112</v>
      </c>
      <c r="BF404">
        <v>23.96195611837695</v>
      </c>
      <c r="BG404">
        <v>10.349881517361521</v>
      </c>
      <c r="BH404">
        <v>34.311837635738463</v>
      </c>
      <c r="BI404">
        <v>276.13740067319276</v>
      </c>
      <c r="BJ404" s="6">
        <v>174</v>
      </c>
      <c r="BK404">
        <v>-122.2770480930856</v>
      </c>
      <c r="BL404" s="4">
        <v>-2059.4059400000001</v>
      </c>
      <c r="BM404" t="s">
        <v>989</v>
      </c>
      <c r="BN404" t="s">
        <v>65</v>
      </c>
      <c r="BO404">
        <v>9</v>
      </c>
      <c r="BP404">
        <v>2023</v>
      </c>
      <c r="BQ404" t="str">
        <f t="shared" si="31"/>
        <v>CS49</v>
      </c>
      <c r="BR404">
        <f t="shared" si="32"/>
        <v>-1720.21138</v>
      </c>
      <c r="BS404">
        <f t="shared" si="33"/>
        <v>2591.3360600000001</v>
      </c>
      <c r="BT404" s="6">
        <f t="shared" si="34"/>
        <v>-102.13740067319276</v>
      </c>
    </row>
    <row r="405" spans="1:72">
      <c r="A405" s="3" t="s">
        <v>967</v>
      </c>
      <c r="B405" s="3" t="s">
        <v>970</v>
      </c>
      <c r="C405" s="3" t="s">
        <v>982</v>
      </c>
      <c r="D405" s="2" t="s">
        <v>990</v>
      </c>
      <c r="E405" s="4" t="str">
        <f t="shared" si="30"/>
        <v>CS4A1-011-0045</v>
      </c>
      <c r="F405">
        <v>2.65</v>
      </c>
      <c r="G405">
        <v>1.5</v>
      </c>
      <c r="H405" t="s">
        <v>72</v>
      </c>
      <c r="I405" t="s">
        <v>75</v>
      </c>
      <c r="J405" t="s">
        <v>95</v>
      </c>
      <c r="K405" t="s">
        <v>79</v>
      </c>
      <c r="L405" t="s">
        <v>79</v>
      </c>
      <c r="M405">
        <v>0.33669064748201438</v>
      </c>
      <c r="N405" s="5">
        <v>44954</v>
      </c>
      <c r="O405" s="5">
        <v>44982</v>
      </c>
      <c r="P405">
        <v>0.8</v>
      </c>
      <c r="Q405" s="4">
        <v>126</v>
      </c>
      <c r="R405">
        <v>0.42</v>
      </c>
      <c r="S405" t="s">
        <v>70</v>
      </c>
      <c r="T405" s="6">
        <v>2</v>
      </c>
      <c r="U405" s="5">
        <v>45052</v>
      </c>
      <c r="V405" s="6">
        <v>1</v>
      </c>
      <c r="W405" t="s">
        <v>86</v>
      </c>
      <c r="X405" s="6">
        <v>70</v>
      </c>
      <c r="Y405">
        <v>11.37185</v>
      </c>
      <c r="Z405">
        <v>4.2912641509433964</v>
      </c>
      <c r="AA405" s="6">
        <v>40.487783430136695</v>
      </c>
      <c r="AB405" s="4">
        <v>57.552624999999999</v>
      </c>
      <c r="AC405" s="6">
        <v>24.698808264610001</v>
      </c>
      <c r="AD405">
        <v>0.36993985000000001</v>
      </c>
      <c r="AE405">
        <v>1.8892971542744781</v>
      </c>
      <c r="AF405">
        <v>20850</v>
      </c>
      <c r="AG405" s="4">
        <v>0</v>
      </c>
      <c r="AH405" s="4">
        <v>7020</v>
      </c>
      <c r="AI405" t="s">
        <v>645</v>
      </c>
      <c r="AJ405" t="s">
        <v>642</v>
      </c>
      <c r="AK405" t="s">
        <v>105</v>
      </c>
      <c r="AL405">
        <v>38</v>
      </c>
      <c r="AM405">
        <v>7.3304099999999996</v>
      </c>
      <c r="AN405" t="s">
        <v>73</v>
      </c>
      <c r="AO405" t="s">
        <v>144</v>
      </c>
      <c r="AP405" s="5">
        <v>44992</v>
      </c>
      <c r="AQ405" t="s">
        <v>198</v>
      </c>
      <c r="AR405" s="5">
        <v>45051</v>
      </c>
      <c r="AS405">
        <v>189.38195808069923</v>
      </c>
      <c r="AT405" s="6"/>
      <c r="AU405">
        <v>31.657118234939784</v>
      </c>
      <c r="AV405">
        <v>59.193526998685329</v>
      </c>
      <c r="AW405">
        <v>36.349675734379197</v>
      </c>
      <c r="AX405">
        <v>127.20032096800431</v>
      </c>
      <c r="AY405">
        <v>25.145450388459221</v>
      </c>
      <c r="AZ405">
        <v>45.346959377761756</v>
      </c>
      <c r="BA405">
        <v>7.7748712830366209</v>
      </c>
      <c r="BB405">
        <v>11.056529060794857</v>
      </c>
      <c r="BC405">
        <v>40.684992327545658</v>
      </c>
      <c r="BD405">
        <v>130.00880243759812</v>
      </c>
      <c r="BE405">
        <v>-67.827165324903191</v>
      </c>
      <c r="BF405">
        <v>19.718333428597809</v>
      </c>
      <c r="BG405">
        <v>6.8575983678996817</v>
      </c>
      <c r="BH405">
        <v>26.575931796497493</v>
      </c>
      <c r="BI405">
        <v>283.7850552020999</v>
      </c>
      <c r="BJ405" s="6">
        <v>182</v>
      </c>
      <c r="BK405">
        <v>-94.403097121400677</v>
      </c>
      <c r="BL405" s="4">
        <v>-1073.5378600000004</v>
      </c>
      <c r="BM405" t="s">
        <v>991</v>
      </c>
      <c r="BN405" t="s">
        <v>65</v>
      </c>
      <c r="BO405">
        <v>5</v>
      </c>
      <c r="BP405">
        <v>2023</v>
      </c>
      <c r="BQ405" t="str">
        <f t="shared" si="31"/>
        <v>CS45</v>
      </c>
      <c r="BR405">
        <f t="shared" si="32"/>
        <v>-1157.4843799999996</v>
      </c>
      <c r="BS405">
        <f t="shared" si="33"/>
        <v>2153.6232199999995</v>
      </c>
      <c r="BT405" s="6">
        <f t="shared" si="34"/>
        <v>-101.7850552020999</v>
      </c>
    </row>
    <row r="406" spans="1:72">
      <c r="A406" s="3" t="s">
        <v>967</v>
      </c>
      <c r="B406" s="3" t="s">
        <v>970</v>
      </c>
      <c r="C406" s="3" t="s">
        <v>982</v>
      </c>
      <c r="D406" s="2" t="s">
        <v>995</v>
      </c>
      <c r="E406" s="4" t="str">
        <f t="shared" si="30"/>
        <v>CS4A1-025-0017</v>
      </c>
      <c r="F406">
        <v>2</v>
      </c>
      <c r="G406">
        <v>1.8</v>
      </c>
      <c r="H406" t="s">
        <v>72</v>
      </c>
      <c r="I406" t="s">
        <v>75</v>
      </c>
      <c r="J406" t="s">
        <v>95</v>
      </c>
      <c r="K406" t="s">
        <v>79</v>
      </c>
      <c r="L406" t="s">
        <v>79</v>
      </c>
      <c r="M406">
        <v>1.2167960479887086</v>
      </c>
      <c r="N406" s="5">
        <v>44931</v>
      </c>
      <c r="O406" s="5">
        <v>44950</v>
      </c>
      <c r="P406">
        <v>0.8</v>
      </c>
      <c r="Q406" s="4">
        <v>139</v>
      </c>
      <c r="R406">
        <v>0.28799999999999998</v>
      </c>
      <c r="S406" t="s">
        <v>70</v>
      </c>
      <c r="T406" s="6">
        <v>3</v>
      </c>
      <c r="U406" s="5">
        <v>45059</v>
      </c>
      <c r="V406" s="6">
        <v>1</v>
      </c>
      <c r="W406" t="s">
        <v>86</v>
      </c>
      <c r="X406" s="6">
        <v>109</v>
      </c>
      <c r="Y406">
        <v>15.90166</v>
      </c>
      <c r="Z406">
        <v>7.9508299999999998</v>
      </c>
      <c r="AA406" s="6">
        <v>30.475434640157065</v>
      </c>
      <c r="AB406" s="4">
        <v>60.576250000000002</v>
      </c>
      <c r="AC406" s="6">
        <v>32.813313798724749</v>
      </c>
      <c r="AD406">
        <v>0.35021594900000003</v>
      </c>
      <c r="AE406">
        <v>2.2604930267698529</v>
      </c>
      <c r="AF406">
        <v>35425</v>
      </c>
      <c r="AG406" s="4">
        <v>5760</v>
      </c>
      <c r="AH406" s="4">
        <v>43105</v>
      </c>
      <c r="AL406">
        <v>26.000000000000004</v>
      </c>
      <c r="AM406">
        <v>5.2139199999999999</v>
      </c>
      <c r="AN406" t="s">
        <v>81</v>
      </c>
      <c r="AO406" t="s">
        <v>123</v>
      </c>
      <c r="AP406" s="5">
        <v>44952</v>
      </c>
      <c r="AQ406" t="s">
        <v>123</v>
      </c>
      <c r="AR406" s="5">
        <v>45055</v>
      </c>
      <c r="AS406">
        <v>243.50213499722668</v>
      </c>
      <c r="AT406" s="6"/>
      <c r="AU406">
        <v>20.123685200161493</v>
      </c>
      <c r="AV406">
        <v>72.731789637056778</v>
      </c>
      <c r="AW406">
        <v>27.609623775127883</v>
      </c>
      <c r="AX406">
        <v>120.46509861234615</v>
      </c>
      <c r="AY406">
        <v>20.456624654281377</v>
      </c>
      <c r="AZ406">
        <v>32.772698573608039</v>
      </c>
      <c r="BA406">
        <v>7.0764366739070006</v>
      </c>
      <c r="BB406">
        <v>8.5338216261698463</v>
      </c>
      <c r="BC406">
        <v>30.816844908015888</v>
      </c>
      <c r="BD406">
        <v>99.656426435982169</v>
      </c>
      <c r="BE406">
        <v>23.380609948898353</v>
      </c>
      <c r="BF406">
        <v>15.990310445576123</v>
      </c>
      <c r="BG406">
        <v>5.5863431868119431</v>
      </c>
      <c r="BH406">
        <v>21.576653632388066</v>
      </c>
      <c r="BI406">
        <v>241.69817868071635</v>
      </c>
      <c r="BJ406" s="6">
        <v>197</v>
      </c>
      <c r="BK406">
        <v>1.8039563165103458</v>
      </c>
      <c r="BL406" s="4">
        <v>28.685899999999908</v>
      </c>
      <c r="BM406" t="s">
        <v>996</v>
      </c>
      <c r="BN406" t="s">
        <v>65</v>
      </c>
      <c r="BO406">
        <v>5</v>
      </c>
      <c r="BP406">
        <v>2023</v>
      </c>
      <c r="BQ406" t="str">
        <f t="shared" si="31"/>
        <v>CS45</v>
      </c>
      <c r="BR406">
        <f t="shared" si="32"/>
        <v>-710.77523999999994</v>
      </c>
      <c r="BS406">
        <f t="shared" si="33"/>
        <v>3872.0881599999993</v>
      </c>
      <c r="BT406" s="6">
        <f t="shared" si="34"/>
        <v>-44.698178680716353</v>
      </c>
    </row>
    <row r="407" spans="1:72">
      <c r="A407" s="3" t="s">
        <v>967</v>
      </c>
      <c r="B407" s="3" t="s">
        <v>970</v>
      </c>
      <c r="C407" s="3" t="s">
        <v>982</v>
      </c>
      <c r="D407" s="2" t="s">
        <v>599</v>
      </c>
      <c r="E407" s="4" t="str">
        <f t="shared" si="30"/>
        <v>CS4A1-026-0015</v>
      </c>
      <c r="F407">
        <v>2</v>
      </c>
      <c r="G407">
        <v>1.5</v>
      </c>
      <c r="H407" t="s">
        <v>72</v>
      </c>
      <c r="I407" t="s">
        <v>75</v>
      </c>
      <c r="J407" t="s">
        <v>95</v>
      </c>
      <c r="K407" t="s">
        <v>79</v>
      </c>
      <c r="N407" s="5">
        <v>45026</v>
      </c>
      <c r="O407" s="5">
        <v>45055</v>
      </c>
      <c r="P407">
        <v>0.7</v>
      </c>
      <c r="Q407" s="4">
        <v>146</v>
      </c>
      <c r="R407">
        <v>0.76500000000000001</v>
      </c>
      <c r="S407" t="s">
        <v>70</v>
      </c>
      <c r="T407" s="6">
        <v>1</v>
      </c>
      <c r="U407" s="5">
        <v>45083</v>
      </c>
      <c r="V407" s="6">
        <v>2</v>
      </c>
      <c r="W407" t="s">
        <v>71</v>
      </c>
      <c r="X407" s="6">
        <v>28</v>
      </c>
      <c r="Y407">
        <v>5.4647899999999998</v>
      </c>
      <c r="Z407">
        <v>2.7323949999999999</v>
      </c>
      <c r="AA407" s="6">
        <v>126.00008417523821</v>
      </c>
      <c r="AB407" s="4">
        <v>98.366285714285723</v>
      </c>
      <c r="AC407" s="6">
        <v>7.9365026344682548</v>
      </c>
      <c r="AD407">
        <v>0.25612528299999998</v>
      </c>
      <c r="AE407">
        <v>1.2019986651221575</v>
      </c>
      <c r="AF407">
        <v>5925</v>
      </c>
      <c r="AG407" s="4"/>
      <c r="AH407" s="4"/>
      <c r="AI407" t="s">
        <v>73</v>
      </c>
      <c r="AL407">
        <v>126.00000000000001</v>
      </c>
      <c r="AM407">
        <v>5.4647899999999998</v>
      </c>
      <c r="AN407" t="s">
        <v>73</v>
      </c>
      <c r="AO407" t="s">
        <v>116</v>
      </c>
      <c r="AP407" s="5">
        <v>45055</v>
      </c>
      <c r="AQ407" t="s">
        <v>170</v>
      </c>
      <c r="AR407" s="5">
        <v>45078</v>
      </c>
      <c r="AS407">
        <v>89.721065219340545</v>
      </c>
      <c r="AT407" s="6"/>
      <c r="AU407">
        <v>64.046376896458966</v>
      </c>
      <c r="AV407">
        <v>34.273739704544909</v>
      </c>
      <c r="AW407">
        <v>75.71888581262958</v>
      </c>
      <c r="AX407">
        <v>174.03900241363348</v>
      </c>
      <c r="AY407">
        <v>54.313517994287061</v>
      </c>
      <c r="AZ407">
        <v>58.379751097480408</v>
      </c>
      <c r="BA407">
        <v>12.741162972410651</v>
      </c>
      <c r="BB407">
        <v>23.526323975852687</v>
      </c>
      <c r="BC407">
        <v>106.4151852129725</v>
      </c>
      <c r="BD407">
        <v>255.37594125300333</v>
      </c>
      <c r="BE407">
        <v>-339.69387844729624</v>
      </c>
      <c r="BF407">
        <v>35.72719903235074</v>
      </c>
      <c r="BG407">
        <v>13.574431954384341</v>
      </c>
      <c r="BH407">
        <v>49.301630986735077</v>
      </c>
      <c r="BI407">
        <v>478.71657465337194</v>
      </c>
      <c r="BJ407" s="6">
        <v>150</v>
      </c>
      <c r="BK407">
        <v>-388.99550943403142</v>
      </c>
      <c r="BL407" s="4">
        <v>-2125.7787700000003</v>
      </c>
      <c r="BM407" t="s">
        <v>985</v>
      </c>
      <c r="BN407" t="s">
        <v>65</v>
      </c>
      <c r="BO407">
        <v>6</v>
      </c>
      <c r="BP407">
        <v>2023</v>
      </c>
      <c r="BQ407" t="str">
        <f t="shared" si="31"/>
        <v>CS46</v>
      </c>
      <c r="BR407">
        <f t="shared" si="32"/>
        <v>-1796.3670500000003</v>
      </c>
      <c r="BS407">
        <f t="shared" si="33"/>
        <v>490.30678</v>
      </c>
      <c r="BT407" s="6">
        <f t="shared" si="34"/>
        <v>-328.71657465337194</v>
      </c>
    </row>
    <row r="408" spans="1:72">
      <c r="A408" s="3" t="s">
        <v>967</v>
      </c>
      <c r="B408" s="3" t="s">
        <v>970</v>
      </c>
      <c r="C408" s="3" t="s">
        <v>982</v>
      </c>
      <c r="D408" s="2" t="s">
        <v>986</v>
      </c>
      <c r="E408" s="4" t="str">
        <f t="shared" si="30"/>
        <v>CS4A1-023-0009</v>
      </c>
      <c r="F408">
        <v>1.1200000000000001</v>
      </c>
      <c r="G408">
        <v>1.8</v>
      </c>
      <c r="H408" t="s">
        <v>72</v>
      </c>
      <c r="I408" t="s">
        <v>75</v>
      </c>
      <c r="J408" t="s">
        <v>95</v>
      </c>
      <c r="K408" t="s">
        <v>79</v>
      </c>
      <c r="L408" t="s">
        <v>79</v>
      </c>
      <c r="N408" s="5">
        <v>44999</v>
      </c>
      <c r="O408" s="5">
        <v>45029</v>
      </c>
      <c r="P408">
        <v>0.7</v>
      </c>
      <c r="Q408" s="4">
        <v>217</v>
      </c>
      <c r="R408">
        <v>0.28599999999999998</v>
      </c>
      <c r="S408" t="s">
        <v>70</v>
      </c>
      <c r="T408" s="6">
        <v>1</v>
      </c>
      <c r="U408" s="5">
        <v>45064</v>
      </c>
      <c r="V408" s="6">
        <v>2</v>
      </c>
      <c r="W408" t="s">
        <v>71</v>
      </c>
      <c r="X408" s="6">
        <v>35</v>
      </c>
      <c r="Y408">
        <v>6.2078999999999995</v>
      </c>
      <c r="Z408">
        <v>5.5427678571428558</v>
      </c>
      <c r="AA408" s="6">
        <v>110.00016108506904</v>
      </c>
      <c r="AB408" s="4">
        <v>97.552857142857135</v>
      </c>
      <c r="AC408" s="6">
        <v>9.090895778112964</v>
      </c>
      <c r="AD408">
        <v>0.25156883099999999</v>
      </c>
      <c r="AE408">
        <v>1.1984220775978296</v>
      </c>
      <c r="AF408">
        <v>7200</v>
      </c>
      <c r="AG408" s="4">
        <v>0</v>
      </c>
      <c r="AH408" s="4"/>
      <c r="AI408" t="s">
        <v>73</v>
      </c>
      <c r="AL408">
        <v>110</v>
      </c>
      <c r="AM408">
        <v>6.2078999999999995</v>
      </c>
      <c r="AN408" t="s">
        <v>916</v>
      </c>
      <c r="AO408" t="s">
        <v>116</v>
      </c>
      <c r="AP408" s="5">
        <v>45031</v>
      </c>
      <c r="AQ408" t="s">
        <v>170</v>
      </c>
      <c r="AR408" s="5">
        <v>45062</v>
      </c>
      <c r="AS408">
        <v>102.15869778830202</v>
      </c>
      <c r="AT408" s="6"/>
      <c r="AU408">
        <v>45.103819326986581</v>
      </c>
      <c r="AV408">
        <v>36.81981024178868</v>
      </c>
      <c r="AW408">
        <v>27.468928301035778</v>
      </c>
      <c r="AX408">
        <v>109.39255786981104</v>
      </c>
      <c r="AY408">
        <v>17.293079785434688</v>
      </c>
      <c r="AZ408">
        <v>27.837518323426597</v>
      </c>
      <c r="BA408">
        <v>5.3270639024468824</v>
      </c>
      <c r="BB408">
        <v>8.6179867588073265</v>
      </c>
      <c r="BC408">
        <v>36.106562605712078</v>
      </c>
      <c r="BD408">
        <v>95.182211375827563</v>
      </c>
      <c r="BE408">
        <v>-102.41607145733659</v>
      </c>
      <c r="BF408">
        <v>13.044195299537686</v>
      </c>
      <c r="BG408">
        <v>4.5562799014159374</v>
      </c>
      <c r="BH408">
        <v>17.600475200953625</v>
      </c>
      <c r="BI408">
        <v>222.17524444659225</v>
      </c>
      <c r="BJ408" s="6">
        <v>150</v>
      </c>
      <c r="BK408">
        <v>-120.01654665829022</v>
      </c>
      <c r="BL408" s="4">
        <v>-745.05071999999984</v>
      </c>
      <c r="BM408" t="s">
        <v>987</v>
      </c>
      <c r="BN408" t="s">
        <v>65</v>
      </c>
      <c r="BO408">
        <v>5</v>
      </c>
      <c r="BP408">
        <v>2023</v>
      </c>
      <c r="BQ408" t="str">
        <f t="shared" si="31"/>
        <v>CS45</v>
      </c>
      <c r="BR408">
        <f t="shared" si="32"/>
        <v>-448.05669999999998</v>
      </c>
      <c r="BS408">
        <f t="shared" si="33"/>
        <v>634.19098000000008</v>
      </c>
      <c r="BT408" s="6">
        <f t="shared" si="34"/>
        <v>-72.175244446592245</v>
      </c>
    </row>
    <row r="409" spans="1:72">
      <c r="A409" s="3" t="s">
        <v>967</v>
      </c>
      <c r="B409" s="3" t="s">
        <v>970</v>
      </c>
      <c r="C409" s="3" t="s">
        <v>982</v>
      </c>
      <c r="D409" s="2" t="s">
        <v>992</v>
      </c>
      <c r="E409" s="4" t="str">
        <f t="shared" si="30"/>
        <v>CS4A1-003-0037</v>
      </c>
      <c r="F409">
        <v>2</v>
      </c>
      <c r="G409">
        <v>2</v>
      </c>
      <c r="H409" t="s">
        <v>72</v>
      </c>
      <c r="I409" t="s">
        <v>75</v>
      </c>
      <c r="J409" t="s">
        <v>95</v>
      </c>
      <c r="K409" t="s">
        <v>79</v>
      </c>
      <c r="L409" t="s">
        <v>79</v>
      </c>
      <c r="M409">
        <v>1.9347096774193548</v>
      </c>
      <c r="N409" s="5">
        <v>44888</v>
      </c>
      <c r="O409" s="5">
        <v>44918</v>
      </c>
      <c r="P409">
        <v>1</v>
      </c>
      <c r="Q409" s="4">
        <v>156</v>
      </c>
      <c r="R409">
        <v>0.217</v>
      </c>
      <c r="S409" t="s">
        <v>70</v>
      </c>
      <c r="T409" s="6">
        <v>4</v>
      </c>
      <c r="U409" s="5">
        <v>45043</v>
      </c>
      <c r="V409" s="6">
        <v>1</v>
      </c>
      <c r="W409" t="s">
        <v>86</v>
      </c>
      <c r="X409" s="6">
        <v>125</v>
      </c>
      <c r="Y409">
        <v>14.11758</v>
      </c>
      <c r="Z409">
        <v>7.0587900000000001</v>
      </c>
      <c r="AA409" s="6">
        <v>34.436921908712399</v>
      </c>
      <c r="AB409" s="4">
        <v>48.616599999999998</v>
      </c>
      <c r="AC409" s="6">
        <v>29.03859998436748</v>
      </c>
      <c r="AD409">
        <v>0.23355811800000001</v>
      </c>
      <c r="AE409">
        <v>2.7876454431528952</v>
      </c>
      <c r="AF409">
        <v>38750</v>
      </c>
      <c r="AG409" s="4"/>
      <c r="AH409" s="4">
        <v>74970</v>
      </c>
      <c r="AL409">
        <v>34</v>
      </c>
      <c r="AM409">
        <v>8.4233999999999991</v>
      </c>
      <c r="AN409" t="s">
        <v>993</v>
      </c>
      <c r="AO409" t="s">
        <v>131</v>
      </c>
      <c r="AP409" s="5">
        <v>44922</v>
      </c>
      <c r="AQ409" t="s">
        <v>116</v>
      </c>
      <c r="AR409" s="5">
        <v>45037</v>
      </c>
      <c r="AS409">
        <v>210.02884417867654</v>
      </c>
      <c r="AT409" s="6"/>
      <c r="AU409">
        <v>28.333467917305946</v>
      </c>
      <c r="AV409">
        <v>89.641505130482685</v>
      </c>
      <c r="AW409">
        <v>39.396063631302248</v>
      </c>
      <c r="AX409">
        <v>157.37103667909088</v>
      </c>
      <c r="AY409">
        <v>42.946218827872769</v>
      </c>
      <c r="AZ409">
        <v>43.363329975817379</v>
      </c>
      <c r="BA409">
        <v>15.537729554215382</v>
      </c>
      <c r="BB409">
        <v>35.139597579755169</v>
      </c>
      <c r="BC409">
        <v>53.74738375840618</v>
      </c>
      <c r="BD409">
        <v>190.73425969606689</v>
      </c>
      <c r="BE409">
        <v>-138.07645219648123</v>
      </c>
      <c r="BF409">
        <v>41.619798152374557</v>
      </c>
      <c r="BG409">
        <v>11.6511342595544</v>
      </c>
      <c r="BH409">
        <v>53.270932411928953</v>
      </c>
      <c r="BI409">
        <v>401.37622878708669</v>
      </c>
      <c r="BJ409" s="6">
        <v>189</v>
      </c>
      <c r="BK409">
        <v>-191.34738460841018</v>
      </c>
      <c r="BL409" s="4">
        <v>-2701.3620099999994</v>
      </c>
      <c r="BM409" t="s">
        <v>994</v>
      </c>
      <c r="BN409" t="s">
        <v>65</v>
      </c>
      <c r="BO409">
        <v>4</v>
      </c>
      <c r="BP409">
        <v>2023</v>
      </c>
      <c r="BQ409" t="str">
        <f t="shared" si="31"/>
        <v>CS44</v>
      </c>
      <c r="BR409">
        <f t="shared" si="32"/>
        <v>-2998.2383999999993</v>
      </c>
      <c r="BS409">
        <f t="shared" si="33"/>
        <v>2965.0990100000004</v>
      </c>
      <c r="BT409" s="6">
        <f t="shared" si="34"/>
        <v>-212.37622878708669</v>
      </c>
    </row>
    <row r="410" spans="1:72">
      <c r="A410" s="3" t="s">
        <v>967</v>
      </c>
      <c r="B410" s="3" t="s">
        <v>970</v>
      </c>
      <c r="C410" s="3" t="s">
        <v>982</v>
      </c>
      <c r="D410" s="2" t="s">
        <v>984</v>
      </c>
      <c r="E410" s="4" t="str">
        <f t="shared" si="30"/>
        <v>CS4A1-002-0047</v>
      </c>
      <c r="F410">
        <v>2</v>
      </c>
      <c r="G410">
        <v>2</v>
      </c>
      <c r="H410" t="s">
        <v>72</v>
      </c>
      <c r="I410" t="s">
        <v>75</v>
      </c>
      <c r="J410" t="s">
        <v>95</v>
      </c>
      <c r="K410" t="s">
        <v>79</v>
      </c>
      <c r="L410" t="s">
        <v>79</v>
      </c>
      <c r="N410" s="5">
        <v>44985</v>
      </c>
      <c r="O410" s="5">
        <v>45015</v>
      </c>
      <c r="P410">
        <v>1</v>
      </c>
      <c r="Q410" s="4">
        <v>156</v>
      </c>
      <c r="R410">
        <v>0.16800000000000001</v>
      </c>
      <c r="S410" t="s">
        <v>70</v>
      </c>
      <c r="T410" s="6">
        <v>1</v>
      </c>
      <c r="U410" s="5">
        <v>45056</v>
      </c>
      <c r="V410" s="6">
        <v>2</v>
      </c>
      <c r="W410" t="s">
        <v>71</v>
      </c>
      <c r="X410" s="6">
        <v>41</v>
      </c>
      <c r="Y410">
        <v>4.3715200000000003</v>
      </c>
      <c r="Z410">
        <v>2.1857600000000001</v>
      </c>
      <c r="AA410" s="6">
        <v>183.00019215284385</v>
      </c>
      <c r="AB410" s="4">
        <v>79.998899999999992</v>
      </c>
      <c r="AC410" s="6">
        <v>5.4644751365331272</v>
      </c>
      <c r="AD410">
        <v>0.12918246</v>
      </c>
      <c r="AE410">
        <v>1.4987439098660169</v>
      </c>
      <c r="AF410">
        <v>6300</v>
      </c>
      <c r="AG410" s="4">
        <v>0</v>
      </c>
      <c r="AH410" s="4"/>
      <c r="AI410" t="s">
        <v>73</v>
      </c>
      <c r="AJ410" t="s">
        <v>73</v>
      </c>
      <c r="AK410" t="s">
        <v>136</v>
      </c>
      <c r="AL410">
        <v>183</v>
      </c>
      <c r="AM410">
        <v>4.3715200000000003</v>
      </c>
      <c r="AN410" t="s">
        <v>73</v>
      </c>
      <c r="AO410" t="s">
        <v>116</v>
      </c>
      <c r="AP410" s="5">
        <v>45016</v>
      </c>
      <c r="AQ410" t="s">
        <v>198</v>
      </c>
      <c r="AR410" s="5">
        <v>45051</v>
      </c>
      <c r="AS410">
        <v>70.008230546812086</v>
      </c>
      <c r="AT410" s="6"/>
      <c r="AU410">
        <v>68.626015665031829</v>
      </c>
      <c r="AV410">
        <v>46.173758784129994</v>
      </c>
      <c r="AW410">
        <v>60.772278292218743</v>
      </c>
      <c r="AX410">
        <v>175.57205274138059</v>
      </c>
      <c r="AY410">
        <v>39.174060738598925</v>
      </c>
      <c r="AZ410">
        <v>70.204821206353856</v>
      </c>
      <c r="BA410">
        <v>12.544407894736841</v>
      </c>
      <c r="BB410">
        <v>20.264825506917504</v>
      </c>
      <c r="BC410">
        <v>75.383742954395728</v>
      </c>
      <c r="BD410">
        <v>217.57185830100283</v>
      </c>
      <c r="BE410">
        <v>-323.13568049557136</v>
      </c>
      <c r="BF410">
        <v>30.662124386940924</v>
      </c>
      <c r="BG410">
        <v>10.64717306566137</v>
      </c>
      <c r="BH410">
        <v>41.309297452602287</v>
      </c>
      <c r="BI410">
        <v>434.45320849498569</v>
      </c>
      <c r="BJ410" s="6">
        <v>150</v>
      </c>
      <c r="BK410">
        <v>-364.44497794817363</v>
      </c>
      <c r="BL410" s="4">
        <v>-1593.1785100000002</v>
      </c>
      <c r="BM410" t="s">
        <v>983</v>
      </c>
      <c r="BN410" t="s">
        <v>65</v>
      </c>
      <c r="BO410">
        <v>5</v>
      </c>
      <c r="BP410">
        <v>2023</v>
      </c>
      <c r="BQ410" t="str">
        <f t="shared" si="31"/>
        <v>CS45</v>
      </c>
      <c r="BR410">
        <f t="shared" si="32"/>
        <v>-1243.49289</v>
      </c>
      <c r="BS410">
        <f t="shared" si="33"/>
        <v>306.04237999999998</v>
      </c>
      <c r="BT410" s="6">
        <f t="shared" si="34"/>
        <v>-284.45320849498569</v>
      </c>
    </row>
    <row r="411" spans="1:72">
      <c r="A411" s="3" t="s">
        <v>967</v>
      </c>
      <c r="B411" s="3" t="s">
        <v>970</v>
      </c>
      <c r="C411" s="3" t="s">
        <v>982</v>
      </c>
      <c r="D411" s="2" t="s">
        <v>997</v>
      </c>
      <c r="E411" s="4" t="str">
        <f t="shared" si="30"/>
        <v>CS4A1-002-0048</v>
      </c>
      <c r="F411">
        <v>2</v>
      </c>
      <c r="G411">
        <v>2</v>
      </c>
      <c r="H411" t="s">
        <v>72</v>
      </c>
      <c r="I411" t="s">
        <v>75</v>
      </c>
      <c r="J411" t="s">
        <v>95</v>
      </c>
      <c r="K411" t="s">
        <v>79</v>
      </c>
      <c r="N411" s="5">
        <v>45108</v>
      </c>
      <c r="O411" s="5">
        <v>45150</v>
      </c>
      <c r="P411">
        <v>1</v>
      </c>
      <c r="Q411" s="4">
        <v>156</v>
      </c>
      <c r="R411">
        <v>4.0000000000000001E-3</v>
      </c>
      <c r="S411" t="s">
        <v>70</v>
      </c>
      <c r="T411" s="6"/>
      <c r="U411" s="5">
        <v>45181</v>
      </c>
      <c r="V411" s="6">
        <v>3</v>
      </c>
      <c r="W411" t="s">
        <v>2831</v>
      </c>
      <c r="X411" s="6"/>
      <c r="AA411" s="6"/>
      <c r="AB411" s="4"/>
      <c r="AC411" s="6"/>
      <c r="AF411">
        <v>2065</v>
      </c>
      <c r="AG411" s="4"/>
      <c r="AH411" s="4"/>
      <c r="AI411" t="s">
        <v>73</v>
      </c>
      <c r="AJ411" t="s">
        <v>73</v>
      </c>
      <c r="AK411" t="s">
        <v>131</v>
      </c>
      <c r="AN411" t="s">
        <v>73</v>
      </c>
      <c r="AO411" t="s">
        <v>189</v>
      </c>
      <c r="AP411" s="5">
        <v>45156</v>
      </c>
      <c r="AQ411" t="s">
        <v>96</v>
      </c>
      <c r="AR411" s="5">
        <v>45177</v>
      </c>
      <c r="AT411" s="6"/>
      <c r="BJ411" s="6"/>
      <c r="BL411" s="4">
        <v>-2243.7483299999999</v>
      </c>
      <c r="BM411" t="s">
        <v>2856</v>
      </c>
      <c r="BN411" t="s">
        <v>65</v>
      </c>
      <c r="BO411">
        <v>9</v>
      </c>
      <c r="BP411">
        <v>2023</v>
      </c>
      <c r="BQ411" t="str">
        <f t="shared" si="31"/>
        <v>CS49</v>
      </c>
      <c r="BR411">
        <f t="shared" si="32"/>
        <v>0</v>
      </c>
      <c r="BS411">
        <f t="shared" si="33"/>
        <v>0</v>
      </c>
      <c r="BT411" s="6">
        <f t="shared" si="34"/>
        <v>0</v>
      </c>
    </row>
    <row r="412" spans="1:72">
      <c r="A412" s="3" t="s">
        <v>967</v>
      </c>
      <c r="B412" s="3" t="s">
        <v>970</v>
      </c>
      <c r="C412" s="3" t="s">
        <v>972</v>
      </c>
      <c r="D412" s="2" t="s">
        <v>980</v>
      </c>
      <c r="E412" s="4" t="str">
        <f t="shared" si="30"/>
        <v>CS4A1-002-0046</v>
      </c>
      <c r="F412">
        <v>2</v>
      </c>
      <c r="G412">
        <v>2</v>
      </c>
      <c r="H412" t="s">
        <v>72</v>
      </c>
      <c r="I412" t="s">
        <v>75</v>
      </c>
      <c r="J412" t="s">
        <v>95</v>
      </c>
      <c r="K412" t="s">
        <v>79</v>
      </c>
      <c r="L412" t="s">
        <v>79</v>
      </c>
      <c r="M412">
        <v>2.3598937583001329</v>
      </c>
      <c r="N412" s="5">
        <v>44888</v>
      </c>
      <c r="O412" s="5">
        <v>44915</v>
      </c>
      <c r="P412">
        <v>1</v>
      </c>
      <c r="Q412" s="4">
        <v>156</v>
      </c>
      <c r="R412">
        <v>0.28999999999999998</v>
      </c>
      <c r="S412" t="s">
        <v>70</v>
      </c>
      <c r="T412" s="6">
        <v>1</v>
      </c>
      <c r="U412" s="5">
        <v>44984</v>
      </c>
      <c r="V412" s="6">
        <v>1</v>
      </c>
      <c r="W412" t="s">
        <v>86</v>
      </c>
      <c r="X412" s="6">
        <v>69</v>
      </c>
      <c r="Y412">
        <v>12.698040000000001</v>
      </c>
      <c r="Z412">
        <v>6.3490200000000003</v>
      </c>
      <c r="AA412" s="6">
        <v>53.000069302034014</v>
      </c>
      <c r="AB412" s="4">
        <v>67.299700000000001</v>
      </c>
      <c r="AC412" s="6">
        <v>18.867899856908725</v>
      </c>
      <c r="AD412">
        <v>0.269245283</v>
      </c>
      <c r="AE412">
        <v>1.517156562497985</v>
      </c>
      <c r="AF412">
        <v>18825</v>
      </c>
      <c r="AG412" s="4"/>
      <c r="AH412" s="4">
        <v>44425</v>
      </c>
      <c r="AI412" t="s">
        <v>100</v>
      </c>
      <c r="AJ412" t="s">
        <v>100</v>
      </c>
      <c r="AK412" t="s">
        <v>981</v>
      </c>
      <c r="AL412">
        <v>52.999999999999993</v>
      </c>
      <c r="AM412">
        <v>12.698040000000001</v>
      </c>
      <c r="AN412" t="s">
        <v>100</v>
      </c>
      <c r="AO412" t="s">
        <v>136</v>
      </c>
      <c r="AP412" s="5">
        <v>44916</v>
      </c>
      <c r="AQ412" t="s">
        <v>116</v>
      </c>
      <c r="AR412" s="5">
        <v>44981</v>
      </c>
      <c r="AS412">
        <v>168.97918418905593</v>
      </c>
      <c r="AT412" s="6"/>
      <c r="AU412">
        <v>31.500924552135604</v>
      </c>
      <c r="AV412">
        <v>48.021085931372077</v>
      </c>
      <c r="AW412">
        <v>30.558331049516305</v>
      </c>
      <c r="AX412">
        <v>110.080341533024</v>
      </c>
      <c r="AY412">
        <v>38.925853123789182</v>
      </c>
      <c r="AZ412">
        <v>29.773203581025101</v>
      </c>
      <c r="BA412">
        <v>14.286616674699401</v>
      </c>
      <c r="BB412">
        <v>34.347924561585877</v>
      </c>
      <c r="BC412">
        <v>44.203562124548348</v>
      </c>
      <c r="BD412">
        <v>161.5371600656479</v>
      </c>
      <c r="BE412">
        <v>-102.63831740961596</v>
      </c>
      <c r="BF412">
        <v>38.96980872638612</v>
      </c>
      <c r="BG412">
        <v>10.437457276871076</v>
      </c>
      <c r="BH412">
        <v>49.407266003257185</v>
      </c>
      <c r="BI412">
        <v>321.02476760192911</v>
      </c>
      <c r="BJ412" s="6">
        <v>166</v>
      </c>
      <c r="BK412">
        <v>-152.04558341287319</v>
      </c>
      <c r="BL412" s="4">
        <v>-1930.6809000000003</v>
      </c>
      <c r="BM412" t="s">
        <v>971</v>
      </c>
      <c r="BN412" t="s">
        <v>65</v>
      </c>
      <c r="BO412">
        <v>2</v>
      </c>
      <c r="BP412">
        <v>2023</v>
      </c>
      <c r="BQ412" t="str">
        <f t="shared" si="31"/>
        <v>CS42</v>
      </c>
      <c r="BR412">
        <f t="shared" si="32"/>
        <v>-1968.5107</v>
      </c>
      <c r="BS412">
        <f t="shared" si="33"/>
        <v>2145.70444</v>
      </c>
      <c r="BT412" s="6">
        <f t="shared" si="34"/>
        <v>-155.02476760192911</v>
      </c>
    </row>
    <row r="413" spans="1:72">
      <c r="A413" s="3" t="s">
        <v>967</v>
      </c>
      <c r="B413" s="3" t="s">
        <v>970</v>
      </c>
      <c r="C413" s="3" t="s">
        <v>972</v>
      </c>
      <c r="D413" s="2" t="s">
        <v>975</v>
      </c>
      <c r="E413" s="4" t="str">
        <f t="shared" si="30"/>
        <v>CS4A1-023-0008</v>
      </c>
      <c r="F413">
        <v>1.1200000000000001</v>
      </c>
      <c r="G413">
        <v>1.8</v>
      </c>
      <c r="H413" t="s">
        <v>72</v>
      </c>
      <c r="I413" t="s">
        <v>75</v>
      </c>
      <c r="J413" t="s">
        <v>95</v>
      </c>
      <c r="K413" t="s">
        <v>79</v>
      </c>
      <c r="L413" t="s">
        <v>79</v>
      </c>
      <c r="M413">
        <v>3.1885245901639343</v>
      </c>
      <c r="N413" s="5">
        <v>44931</v>
      </c>
      <c r="O413" s="5">
        <v>44950</v>
      </c>
      <c r="P413">
        <v>0.5</v>
      </c>
      <c r="Q413" s="4">
        <v>155</v>
      </c>
      <c r="R413">
        <v>0.28799999999999998</v>
      </c>
      <c r="S413" t="s">
        <v>70</v>
      </c>
      <c r="T413" s="6">
        <v>1</v>
      </c>
      <c r="U413" s="5">
        <v>44998</v>
      </c>
      <c r="V413" s="6">
        <v>2</v>
      </c>
      <c r="W413" t="s">
        <v>71</v>
      </c>
      <c r="X413" s="6">
        <v>48</v>
      </c>
      <c r="Y413">
        <v>3.3946499999999999</v>
      </c>
      <c r="Z413">
        <v>3.0309374999999998</v>
      </c>
      <c r="AA413" s="6">
        <v>87.000132561530648</v>
      </c>
      <c r="AB413" s="4">
        <v>59.067</v>
      </c>
      <c r="AC413" s="6">
        <v>11.494235359845598</v>
      </c>
      <c r="AD413">
        <v>0.23346360199999996</v>
      </c>
      <c r="AE413">
        <v>1.8765477673696029</v>
      </c>
      <c r="AF413">
        <v>6100</v>
      </c>
      <c r="AG413" s="4">
        <v>3225</v>
      </c>
      <c r="AH413" s="4">
        <v>19450</v>
      </c>
      <c r="AI413" t="s">
        <v>976</v>
      </c>
      <c r="AJ413" t="s">
        <v>976</v>
      </c>
      <c r="AK413" t="s">
        <v>977</v>
      </c>
      <c r="AL413">
        <v>87</v>
      </c>
      <c r="AM413">
        <v>3.3946499999999999</v>
      </c>
      <c r="AN413" t="s">
        <v>978</v>
      </c>
      <c r="AO413" t="s">
        <v>123</v>
      </c>
      <c r="AP413" s="5">
        <v>44952</v>
      </c>
      <c r="AQ413" t="s">
        <v>127</v>
      </c>
      <c r="AR413" s="5">
        <v>44996</v>
      </c>
      <c r="AS413">
        <v>150.14225030562798</v>
      </c>
      <c r="AT413" s="6"/>
      <c r="AU413">
        <v>58.916235841692071</v>
      </c>
      <c r="AV413">
        <v>60.822656238492911</v>
      </c>
      <c r="AW413">
        <v>32.793999381379535</v>
      </c>
      <c r="AX413">
        <v>152.53289146156453</v>
      </c>
      <c r="AY413">
        <v>26.674985639167513</v>
      </c>
      <c r="AZ413">
        <v>39.825260336117125</v>
      </c>
      <c r="BA413">
        <v>10.066825740503438</v>
      </c>
      <c r="BB413">
        <v>8.7933454111616811</v>
      </c>
      <c r="BC413">
        <v>25.026677271589119</v>
      </c>
      <c r="BD413">
        <v>110.38709439853888</v>
      </c>
      <c r="BE413">
        <v>-112.77773555447543</v>
      </c>
      <c r="BF413">
        <v>21.181232233072627</v>
      </c>
      <c r="BG413">
        <v>7.4206766529686421</v>
      </c>
      <c r="BH413">
        <v>28.601908886041269</v>
      </c>
      <c r="BI413">
        <v>291.52189474614465</v>
      </c>
      <c r="BJ413" s="6">
        <v>150</v>
      </c>
      <c r="BK413">
        <v>-141.3796444405167</v>
      </c>
      <c r="BL413" s="4">
        <v>-479.93441000000001</v>
      </c>
      <c r="BM413" t="s">
        <v>979</v>
      </c>
      <c r="BN413" t="s">
        <v>65</v>
      </c>
      <c r="BO413">
        <v>3</v>
      </c>
      <c r="BP413">
        <v>2023</v>
      </c>
      <c r="BQ413" t="str">
        <f t="shared" si="31"/>
        <v>CS43</v>
      </c>
      <c r="BR413">
        <f t="shared" si="32"/>
        <v>-480.41729999999995</v>
      </c>
      <c r="BS413">
        <f t="shared" si="33"/>
        <v>509.68039000000005</v>
      </c>
      <c r="BT413" s="6">
        <f t="shared" si="34"/>
        <v>-141.52189474614465</v>
      </c>
    </row>
    <row r="414" spans="1:72">
      <c r="A414" s="3" t="s">
        <v>967</v>
      </c>
      <c r="B414" s="3" t="s">
        <v>970</v>
      </c>
      <c r="C414" s="3" t="s">
        <v>972</v>
      </c>
      <c r="D414" s="2" t="s">
        <v>973</v>
      </c>
      <c r="E414" s="4" t="str">
        <f t="shared" si="30"/>
        <v>CS4A1-026-0014</v>
      </c>
      <c r="F414">
        <v>2</v>
      </c>
      <c r="G414">
        <v>1.5</v>
      </c>
      <c r="H414" t="s">
        <v>72</v>
      </c>
      <c r="I414" t="s">
        <v>75</v>
      </c>
      <c r="J414" t="s">
        <v>95</v>
      </c>
      <c r="K414" t="s">
        <v>79</v>
      </c>
      <c r="L414" t="s">
        <v>79</v>
      </c>
      <c r="M414">
        <v>1.9587044534412956</v>
      </c>
      <c r="N414" s="5">
        <v>44954</v>
      </c>
      <c r="O414" s="5">
        <v>44982</v>
      </c>
      <c r="P414">
        <v>0.6</v>
      </c>
      <c r="Q414" s="4">
        <v>125</v>
      </c>
      <c r="R414">
        <v>0.48599999999999999</v>
      </c>
      <c r="S414" t="s">
        <v>70</v>
      </c>
      <c r="T414" s="6">
        <v>1</v>
      </c>
      <c r="U414" s="5">
        <v>45025</v>
      </c>
      <c r="V414" s="6">
        <v>2</v>
      </c>
      <c r="W414" t="s">
        <v>71</v>
      </c>
      <c r="X414" s="6">
        <v>43</v>
      </c>
      <c r="Y414">
        <v>4.7935100000000004</v>
      </c>
      <c r="Z414">
        <v>2.3967550000000002</v>
      </c>
      <c r="AA414" s="6">
        <v>99.000106393853358</v>
      </c>
      <c r="AB414" s="4">
        <v>79.093000000000004</v>
      </c>
      <c r="AC414" s="6">
        <v>10.100999245613814</v>
      </c>
      <c r="AD414">
        <v>0.223604886</v>
      </c>
      <c r="AE414">
        <v>1.371640037228643</v>
      </c>
      <c r="AF414">
        <v>6175</v>
      </c>
      <c r="AG414" s="4">
        <v>0</v>
      </c>
      <c r="AH414" s="4">
        <v>12095</v>
      </c>
      <c r="AL414">
        <v>99</v>
      </c>
      <c r="AM414">
        <v>4.7935100000000004</v>
      </c>
      <c r="AN414" t="s">
        <v>126</v>
      </c>
      <c r="AO414" t="s">
        <v>144</v>
      </c>
      <c r="AP414" s="5">
        <v>44992</v>
      </c>
      <c r="AQ414" t="s">
        <v>116</v>
      </c>
      <c r="AR414" s="5">
        <v>45020</v>
      </c>
      <c r="AS414">
        <v>121.62579195620746</v>
      </c>
      <c r="AT414" s="6"/>
      <c r="AU414">
        <v>56.326157659001439</v>
      </c>
      <c r="AV414">
        <v>43.050451548030566</v>
      </c>
      <c r="AW414">
        <v>43.409956378520121</v>
      </c>
      <c r="AX414">
        <v>142.78656558555215</v>
      </c>
      <c r="AY414">
        <v>30.477670850796176</v>
      </c>
      <c r="AZ414">
        <v>54.011496794624399</v>
      </c>
      <c r="BA414">
        <v>9.2287947662568754</v>
      </c>
      <c r="BB414">
        <v>12.916341052798471</v>
      </c>
      <c r="BC414">
        <v>37.912961483338925</v>
      </c>
      <c r="BD414">
        <v>144.54726494781485</v>
      </c>
      <c r="BE414">
        <v>-165.70803857715953</v>
      </c>
      <c r="BF414">
        <v>23.819775070877082</v>
      </c>
      <c r="BG414">
        <v>8.2795529789235864</v>
      </c>
      <c r="BH414">
        <v>32.099328049800668</v>
      </c>
      <c r="BI414">
        <v>319.43315858316765</v>
      </c>
      <c r="BJ414" s="6">
        <v>150</v>
      </c>
      <c r="BK414">
        <v>-197.80736662696017</v>
      </c>
      <c r="BL414" s="4">
        <v>-948.19159000000002</v>
      </c>
      <c r="BM414" t="s">
        <v>974</v>
      </c>
      <c r="BN414" t="s">
        <v>65</v>
      </c>
      <c r="BO414">
        <v>4</v>
      </c>
      <c r="BP414">
        <v>2023</v>
      </c>
      <c r="BQ414" t="str">
        <f t="shared" si="31"/>
        <v>CS44</v>
      </c>
      <c r="BR414">
        <f t="shared" si="32"/>
        <v>-812.17954000000009</v>
      </c>
      <c r="BS414">
        <f t="shared" si="33"/>
        <v>583.01445000000012</v>
      </c>
      <c r="BT414" s="6">
        <f t="shared" si="34"/>
        <v>-169.43315858316765</v>
      </c>
    </row>
    <row r="415" spans="1:72">
      <c r="A415" s="3" t="s">
        <v>967</v>
      </c>
      <c r="B415" s="3" t="s">
        <v>1066</v>
      </c>
      <c r="C415" s="3" t="s">
        <v>1020</v>
      </c>
      <c r="D415" s="2" t="s">
        <v>1122</v>
      </c>
      <c r="E415" s="4" t="str">
        <f t="shared" si="30"/>
        <v>CS1A1-007-0050</v>
      </c>
      <c r="F415">
        <v>3.1</v>
      </c>
      <c r="G415">
        <v>1.5</v>
      </c>
      <c r="H415" t="s">
        <v>72</v>
      </c>
      <c r="I415" t="s">
        <v>75</v>
      </c>
      <c r="J415" t="s">
        <v>95</v>
      </c>
      <c r="K415" t="s">
        <v>79</v>
      </c>
      <c r="N415" s="5">
        <v>45092</v>
      </c>
      <c r="O415" s="5">
        <v>45107</v>
      </c>
      <c r="P415">
        <v>1.9</v>
      </c>
      <c r="Q415" s="4">
        <v>175</v>
      </c>
      <c r="R415">
        <v>1.022</v>
      </c>
      <c r="S415" t="s">
        <v>70</v>
      </c>
      <c r="T415" s="6">
        <v>4</v>
      </c>
      <c r="U415" s="5">
        <v>45217</v>
      </c>
      <c r="V415" s="6">
        <v>1</v>
      </c>
      <c r="W415" t="s">
        <v>86</v>
      </c>
      <c r="X415" s="6">
        <v>110</v>
      </c>
      <c r="Y415">
        <v>23.235900000000001</v>
      </c>
      <c r="Z415">
        <v>7.495451612903226</v>
      </c>
      <c r="AA415" s="6">
        <v>26.206602713903916</v>
      </c>
      <c r="AB415" s="4">
        <v>32.049157894736844</v>
      </c>
      <c r="AC415" s="6">
        <v>38.15832257683099</v>
      </c>
      <c r="AD415">
        <v>0.38596600800000003</v>
      </c>
      <c r="AE415">
        <v>3.3188865229288909</v>
      </c>
      <c r="AF415">
        <v>72710</v>
      </c>
      <c r="AG415" s="4"/>
      <c r="AH415" s="4"/>
      <c r="AL415">
        <v>23</v>
      </c>
      <c r="AM415">
        <v>7.2451400000000001</v>
      </c>
      <c r="AN415" t="s">
        <v>81</v>
      </c>
      <c r="AO415" t="s">
        <v>123</v>
      </c>
      <c r="AP415" s="5">
        <v>45107</v>
      </c>
      <c r="AQ415" t="s">
        <v>105</v>
      </c>
      <c r="AR415" s="5">
        <v>45211</v>
      </c>
      <c r="AS415">
        <v>208.66617174286347</v>
      </c>
      <c r="AT415" s="6"/>
      <c r="AU415">
        <v>30.771349506582485</v>
      </c>
      <c r="AV415">
        <v>94.519169905189813</v>
      </c>
      <c r="AW415">
        <v>78.654687358785296</v>
      </c>
      <c r="AX415">
        <v>203.9452067705576</v>
      </c>
      <c r="AY415">
        <v>34.96369238979338</v>
      </c>
      <c r="AZ415">
        <v>47.305037893948594</v>
      </c>
      <c r="BA415">
        <v>24.333064353005479</v>
      </c>
      <c r="BB415">
        <v>33.987036008934446</v>
      </c>
      <c r="BC415">
        <v>45.090835302269333</v>
      </c>
      <c r="BD415">
        <v>185.67966594795124</v>
      </c>
      <c r="BE415">
        <v>-180.95870097564537</v>
      </c>
      <c r="BF415">
        <v>20.700935190803879</v>
      </c>
      <c r="BG415">
        <v>26.136407025335792</v>
      </c>
      <c r="BH415">
        <v>46.837342216139668</v>
      </c>
      <c r="BI415">
        <v>436.46221493464839</v>
      </c>
      <c r="BJ415" s="6">
        <v>210</v>
      </c>
      <c r="BK415">
        <v>-227.79604319178492</v>
      </c>
      <c r="BL415" s="4">
        <v>-5293.0460799999955</v>
      </c>
      <c r="BM415" t="s">
        <v>1119</v>
      </c>
      <c r="BN415" t="s">
        <v>65</v>
      </c>
      <c r="BO415">
        <v>10</v>
      </c>
      <c r="BP415">
        <v>2023</v>
      </c>
      <c r="BQ415" t="str">
        <f t="shared" si="31"/>
        <v>CS110</v>
      </c>
      <c r="BR415">
        <f t="shared" si="32"/>
        <v>-5262.0533799999967</v>
      </c>
      <c r="BS415">
        <f t="shared" si="33"/>
        <v>4848.5463000000018</v>
      </c>
      <c r="BT415" s="6">
        <f t="shared" si="34"/>
        <v>-226.46221493464839</v>
      </c>
    </row>
    <row r="416" spans="1:72">
      <c r="A416" s="3" t="s">
        <v>967</v>
      </c>
      <c r="B416" s="3" t="s">
        <v>1066</v>
      </c>
      <c r="C416" s="3" t="s">
        <v>1020</v>
      </c>
      <c r="D416" s="2" t="s">
        <v>1120</v>
      </c>
      <c r="E416" s="4" t="str">
        <f t="shared" si="30"/>
        <v>CS1A1-010-0051</v>
      </c>
      <c r="F416">
        <v>3.1</v>
      </c>
      <c r="G416">
        <v>1.5</v>
      </c>
      <c r="H416" t="s">
        <v>72</v>
      </c>
      <c r="I416" t="s">
        <v>75</v>
      </c>
      <c r="J416" t="s">
        <v>95</v>
      </c>
      <c r="K416" t="s">
        <v>79</v>
      </c>
      <c r="N416" s="5">
        <v>45092</v>
      </c>
      <c r="O416" s="5">
        <v>45107</v>
      </c>
      <c r="P416">
        <v>2</v>
      </c>
      <c r="Q416" s="4">
        <v>269</v>
      </c>
      <c r="R416">
        <v>0.73699999999999999</v>
      </c>
      <c r="S416" t="s">
        <v>70</v>
      </c>
      <c r="T416" s="6">
        <v>6</v>
      </c>
      <c r="U416" s="5">
        <v>45215</v>
      </c>
      <c r="V416" s="6">
        <v>1</v>
      </c>
      <c r="W416" t="s">
        <v>86</v>
      </c>
      <c r="X416" s="6">
        <v>108</v>
      </c>
      <c r="Y416">
        <v>36.309580000000004</v>
      </c>
      <c r="Z416">
        <v>11.712767741935485</v>
      </c>
      <c r="AA416" s="6">
        <v>32.074840854672509</v>
      </c>
      <c r="AB416" s="4">
        <v>58.231200000000008</v>
      </c>
      <c r="AC416" s="6">
        <v>31.177083762656451</v>
      </c>
      <c r="AD416">
        <v>0.34930128199999999</v>
      </c>
      <c r="AE416">
        <v>2.4232338797462831</v>
      </c>
      <c r="AF416">
        <v>84415</v>
      </c>
      <c r="AG416" s="4"/>
      <c r="AH416" s="4"/>
      <c r="AL416">
        <v>26</v>
      </c>
      <c r="AM416">
        <v>6.5741199999999997</v>
      </c>
      <c r="AN416" t="s">
        <v>81</v>
      </c>
      <c r="AO416" t="s">
        <v>123</v>
      </c>
      <c r="AP416" s="5">
        <v>45107</v>
      </c>
      <c r="AQ416" t="s">
        <v>105</v>
      </c>
      <c r="AR416" s="5">
        <v>45208</v>
      </c>
      <c r="AS416">
        <v>194.5085622031431</v>
      </c>
      <c r="AT416" s="6"/>
      <c r="AU416">
        <v>27.540940985822473</v>
      </c>
      <c r="AV416">
        <v>70.261531254286069</v>
      </c>
      <c r="AW416">
        <v>48.892921096856526</v>
      </c>
      <c r="AX416">
        <v>146.69539333696505</v>
      </c>
      <c r="AY416">
        <v>22.016565600593559</v>
      </c>
      <c r="AZ416">
        <v>30.065985891326747</v>
      </c>
      <c r="BA416">
        <v>15.536774592270142</v>
      </c>
      <c r="BB416">
        <v>21.291552257007648</v>
      </c>
      <c r="BC416">
        <v>28.116345603556969</v>
      </c>
      <c r="BD416">
        <v>117.02722394475506</v>
      </c>
      <c r="BE416">
        <v>-69.214055078577019</v>
      </c>
      <c r="BF416">
        <v>12.963672948020877</v>
      </c>
      <c r="BG416">
        <v>16.276272267539309</v>
      </c>
      <c r="BH416">
        <v>29.239945215560187</v>
      </c>
      <c r="BI416">
        <v>292.96256249728037</v>
      </c>
      <c r="BJ416" s="6">
        <v>192</v>
      </c>
      <c r="BK416">
        <v>-98.454000294137259</v>
      </c>
      <c r="BL416" s="4">
        <v>-3574.8234000000002</v>
      </c>
      <c r="BM416" t="s">
        <v>1121</v>
      </c>
      <c r="BN416" t="s">
        <v>65</v>
      </c>
      <c r="BO416">
        <v>10</v>
      </c>
      <c r="BP416">
        <v>2023</v>
      </c>
      <c r="BQ416" t="str">
        <f t="shared" si="31"/>
        <v>CS110</v>
      </c>
      <c r="BR416">
        <f t="shared" si="32"/>
        <v>-3665.908240000002</v>
      </c>
      <c r="BS416">
        <f t="shared" si="33"/>
        <v>7062.5242000000017</v>
      </c>
      <c r="BT416" s="6">
        <f t="shared" si="34"/>
        <v>-100.96256249728037</v>
      </c>
    </row>
    <row r="417" spans="1:72">
      <c r="A417" s="3" t="s">
        <v>967</v>
      </c>
      <c r="B417" s="3" t="s">
        <v>1066</v>
      </c>
      <c r="C417" s="3" t="s">
        <v>982</v>
      </c>
      <c r="D417" s="2" t="s">
        <v>1118</v>
      </c>
      <c r="E417" s="4" t="str">
        <f t="shared" si="30"/>
        <v>CS1A1-004-0040</v>
      </c>
      <c r="F417">
        <v>4.25</v>
      </c>
      <c r="G417">
        <v>1.5</v>
      </c>
      <c r="H417" t="s">
        <v>968</v>
      </c>
      <c r="I417" t="s">
        <v>75</v>
      </c>
      <c r="J417" t="s">
        <v>95</v>
      </c>
      <c r="K417" t="s">
        <v>79</v>
      </c>
      <c r="L417" t="s">
        <v>79</v>
      </c>
      <c r="M417">
        <v>4.0666099290780142</v>
      </c>
      <c r="N417" s="5">
        <v>44778</v>
      </c>
      <c r="O417" s="5">
        <v>44860</v>
      </c>
      <c r="P417">
        <v>1.5</v>
      </c>
      <c r="Q417" s="4">
        <v>147</v>
      </c>
      <c r="R417">
        <v>0.65700000000000003</v>
      </c>
      <c r="S417" t="s">
        <v>70</v>
      </c>
      <c r="T417" s="6">
        <v>1</v>
      </c>
      <c r="U417" s="5">
        <v>44977</v>
      </c>
      <c r="V417" s="6">
        <v>2</v>
      </c>
      <c r="W417" t="s">
        <v>71</v>
      </c>
      <c r="X417" s="6">
        <v>117</v>
      </c>
      <c r="Y417">
        <v>11.816360000000001</v>
      </c>
      <c r="Z417">
        <v>2.7803200000000001</v>
      </c>
      <c r="AA417" s="6">
        <v>23.999945837804535</v>
      </c>
      <c r="AB417" s="4">
        <v>18.906133333333333</v>
      </c>
      <c r="AC417" s="6">
        <v>41.666760698468224</v>
      </c>
      <c r="AD417">
        <v>0.350509972</v>
      </c>
      <c r="AE417">
        <v>3.2546102361877569</v>
      </c>
      <c r="AF417">
        <v>35250</v>
      </c>
      <c r="AG417" s="4">
        <v>0</v>
      </c>
      <c r="AH417" s="4">
        <v>143348</v>
      </c>
      <c r="AL417">
        <v>24</v>
      </c>
      <c r="AM417">
        <v>11.816360000000001</v>
      </c>
      <c r="AN417" t="s">
        <v>81</v>
      </c>
      <c r="AO417" t="s">
        <v>105</v>
      </c>
      <c r="AP417" s="5">
        <v>44861</v>
      </c>
      <c r="AQ417" t="s">
        <v>189</v>
      </c>
      <c r="AR417" s="5">
        <v>44974</v>
      </c>
      <c r="AS417">
        <v>300.47425941660543</v>
      </c>
      <c r="AT417" s="6"/>
      <c r="AU417">
        <v>60.932469897667296</v>
      </c>
      <c r="AV417">
        <v>92.436059835685441</v>
      </c>
      <c r="AW417">
        <v>97.546377226150909</v>
      </c>
      <c r="AX417">
        <v>250.91490695950364</v>
      </c>
      <c r="AY417">
        <v>47.800622188220409</v>
      </c>
      <c r="AZ417">
        <v>90.419813715898968</v>
      </c>
      <c r="BA417">
        <v>29.875446414970426</v>
      </c>
      <c r="BB417">
        <v>52.017995389443108</v>
      </c>
      <c r="BC417">
        <v>60.4604920635458</v>
      </c>
      <c r="BD417">
        <v>280.57436977207874</v>
      </c>
      <c r="BE417">
        <v>-231.01501731497694</v>
      </c>
      <c r="BF417">
        <v>28.379357094739834</v>
      </c>
      <c r="BG417">
        <v>29.73623433950895</v>
      </c>
      <c r="BH417">
        <v>58.115591434248785</v>
      </c>
      <c r="BI417">
        <v>589.60486816583102</v>
      </c>
      <c r="BJ417" s="6">
        <v>219</v>
      </c>
      <c r="BK417">
        <v>-289.13060874922564</v>
      </c>
      <c r="BL417" s="4">
        <v>-3416.47136</v>
      </c>
      <c r="BM417" t="s">
        <v>1067</v>
      </c>
      <c r="BN417" t="s">
        <v>65</v>
      </c>
      <c r="BO417">
        <v>2</v>
      </c>
      <c r="BP417">
        <v>2023</v>
      </c>
      <c r="BQ417" t="str">
        <f t="shared" si="31"/>
        <v>CS12</v>
      </c>
      <c r="BR417">
        <f t="shared" si="32"/>
        <v>-4379.2005399999998</v>
      </c>
      <c r="BS417">
        <f t="shared" si="33"/>
        <v>3550.5120200000001</v>
      </c>
      <c r="BT417" s="6">
        <f t="shared" si="34"/>
        <v>-370.60486816583102</v>
      </c>
    </row>
    <row r="418" spans="1:72">
      <c r="A418" s="3" t="s">
        <v>967</v>
      </c>
      <c r="B418" s="3" t="s">
        <v>1066</v>
      </c>
      <c r="C418" s="3" t="s">
        <v>982</v>
      </c>
      <c r="D418" s="2" t="s">
        <v>1106</v>
      </c>
      <c r="E418" s="4" t="str">
        <f t="shared" si="30"/>
        <v>CS1A1-096-0028</v>
      </c>
      <c r="F418">
        <v>2.79</v>
      </c>
      <c r="G418">
        <v>2</v>
      </c>
      <c r="H418" t="s">
        <v>72</v>
      </c>
      <c r="I418" t="s">
        <v>75</v>
      </c>
      <c r="J418" t="s">
        <v>95</v>
      </c>
      <c r="K418" t="s">
        <v>79</v>
      </c>
      <c r="L418" t="s">
        <v>79</v>
      </c>
      <c r="M418">
        <v>1.3518072289156626</v>
      </c>
      <c r="N418" s="5">
        <v>44986</v>
      </c>
      <c r="O418" s="5">
        <v>45000</v>
      </c>
      <c r="P418">
        <v>1.2</v>
      </c>
      <c r="Q418" s="4">
        <v>134</v>
      </c>
      <c r="R418">
        <v>0.45</v>
      </c>
      <c r="S418" t="s">
        <v>70</v>
      </c>
      <c r="T418" s="6">
        <v>3</v>
      </c>
      <c r="U418" s="5">
        <v>45061</v>
      </c>
      <c r="V418" s="6">
        <v>1</v>
      </c>
      <c r="W418" t="s">
        <v>86</v>
      </c>
      <c r="X418" s="6">
        <v>61</v>
      </c>
      <c r="Y418">
        <v>10.000870000000001</v>
      </c>
      <c r="Z418">
        <v>3.5845412186379932</v>
      </c>
      <c r="AA418" s="6">
        <v>45.066879181511204</v>
      </c>
      <c r="AB418" s="4">
        <v>37.558999999999997</v>
      </c>
      <c r="AC418" s="6">
        <v>22.189244477577503</v>
      </c>
      <c r="AD418">
        <v>0.34900213800000002</v>
      </c>
      <c r="AE418">
        <v>2.4125688229518003</v>
      </c>
      <c r="AF418">
        <v>22825</v>
      </c>
      <c r="AG418" s="4">
        <v>0</v>
      </c>
      <c r="AH418" s="4">
        <v>30855</v>
      </c>
      <c r="AI418" t="s">
        <v>73</v>
      </c>
      <c r="AJ418" t="s">
        <v>73</v>
      </c>
      <c r="AK418" t="s">
        <v>333</v>
      </c>
      <c r="AL418">
        <v>46</v>
      </c>
      <c r="AM418">
        <v>1.5778299999999998</v>
      </c>
      <c r="AN418" t="s">
        <v>73</v>
      </c>
      <c r="AO418" t="s">
        <v>176</v>
      </c>
      <c r="AP418" s="5">
        <v>45001</v>
      </c>
      <c r="AQ418" t="s">
        <v>116</v>
      </c>
      <c r="AR418" s="5">
        <v>45055</v>
      </c>
      <c r="AS418">
        <v>178.20339330478248</v>
      </c>
      <c r="AT418" s="6"/>
      <c r="AU418">
        <v>53.995302408690442</v>
      </c>
      <c r="AV418">
        <v>73.09006016476566</v>
      </c>
      <c r="AW418">
        <v>49.003916659250635</v>
      </c>
      <c r="AX418">
        <v>176.08927923270673</v>
      </c>
      <c r="AY418">
        <v>32.013278844740505</v>
      </c>
      <c r="AZ418">
        <v>50.475527629096256</v>
      </c>
      <c r="BA418">
        <v>12.593774341632276</v>
      </c>
      <c r="BB418">
        <v>35.89704595700173</v>
      </c>
      <c r="BC418">
        <v>36.018897355930022</v>
      </c>
      <c r="BD418">
        <v>166.99852412840079</v>
      </c>
      <c r="BE418">
        <v>-164.88441005632504</v>
      </c>
      <c r="BF418">
        <v>19.243262836133255</v>
      </c>
      <c r="BG418">
        <v>21.219562898027874</v>
      </c>
      <c r="BH418">
        <v>40.462825734161129</v>
      </c>
      <c r="BI418">
        <v>383.55062909526868</v>
      </c>
      <c r="BJ418" s="6">
        <v>175</v>
      </c>
      <c r="BK418">
        <v>-205.3472357904862</v>
      </c>
      <c r="BL418" s="4">
        <v>-2053.6510099999996</v>
      </c>
      <c r="BM418" t="s">
        <v>1107</v>
      </c>
      <c r="BN418" t="s">
        <v>65</v>
      </c>
      <c r="BO418">
        <v>5</v>
      </c>
      <c r="BP418">
        <v>2023</v>
      </c>
      <c r="BQ418" t="str">
        <f t="shared" si="31"/>
        <v>CS15</v>
      </c>
      <c r="BR418">
        <f t="shared" si="32"/>
        <v>-2085.6877299999996</v>
      </c>
      <c r="BS418">
        <f t="shared" si="33"/>
        <v>1782.1889700000002</v>
      </c>
      <c r="BT418" s="6">
        <f t="shared" si="34"/>
        <v>-208.55062909526868</v>
      </c>
    </row>
    <row r="419" spans="1:72">
      <c r="A419" s="3" t="s">
        <v>967</v>
      </c>
      <c r="B419" s="3" t="s">
        <v>1066</v>
      </c>
      <c r="C419" s="3" t="s">
        <v>982</v>
      </c>
      <c r="D419" s="2" t="s">
        <v>1108</v>
      </c>
      <c r="E419" s="4" t="str">
        <f t="shared" si="30"/>
        <v>CS1A1-014-0045</v>
      </c>
      <c r="F419">
        <v>2.86</v>
      </c>
      <c r="G419">
        <v>1.8</v>
      </c>
      <c r="H419" t="s">
        <v>72</v>
      </c>
      <c r="I419" t="s">
        <v>75</v>
      </c>
      <c r="J419" t="s">
        <v>95</v>
      </c>
      <c r="K419" t="s">
        <v>79</v>
      </c>
      <c r="L419" t="s">
        <v>79</v>
      </c>
      <c r="M419">
        <v>2.1791436726926738</v>
      </c>
      <c r="N419" s="5">
        <v>44927</v>
      </c>
      <c r="O419" s="5">
        <v>44942</v>
      </c>
      <c r="P419">
        <v>1</v>
      </c>
      <c r="Q419" s="4">
        <v>121</v>
      </c>
      <c r="R419">
        <v>0.3</v>
      </c>
      <c r="S419" t="s">
        <v>70</v>
      </c>
      <c r="T419" s="6">
        <v>3</v>
      </c>
      <c r="U419" s="5">
        <v>45014</v>
      </c>
      <c r="V419" s="6">
        <v>1</v>
      </c>
      <c r="W419" t="s">
        <v>86</v>
      </c>
      <c r="X419" s="6">
        <v>72</v>
      </c>
      <c r="Y419">
        <v>19.255689999999998</v>
      </c>
      <c r="Z419">
        <v>6.7327587412587411</v>
      </c>
      <c r="AA419" s="6">
        <v>42.00005297135548</v>
      </c>
      <c r="AB419" s="4">
        <v>80.873999999999995</v>
      </c>
      <c r="AC419" s="6">
        <v>23.809493780448598</v>
      </c>
      <c r="AD419">
        <v>0.32652116399999997</v>
      </c>
      <c r="AE419">
        <v>1.3861273316877414</v>
      </c>
      <c r="AF419">
        <v>26275</v>
      </c>
      <c r="AG419" s="4">
        <v>0</v>
      </c>
      <c r="AH419" s="4">
        <v>57257</v>
      </c>
      <c r="AL419">
        <v>42</v>
      </c>
      <c r="AM419">
        <v>5.4136000000000006</v>
      </c>
      <c r="AN419" t="s">
        <v>81</v>
      </c>
      <c r="AO419" t="s">
        <v>215</v>
      </c>
      <c r="AP419" s="5">
        <v>44943</v>
      </c>
      <c r="AQ419" t="s">
        <v>131</v>
      </c>
      <c r="AR419" s="5">
        <v>45008</v>
      </c>
      <c r="AS419">
        <v>221.56724999208029</v>
      </c>
      <c r="AT419" s="6"/>
      <c r="AU419">
        <v>20.773080580337552</v>
      </c>
      <c r="AV419">
        <v>44.385030087210595</v>
      </c>
      <c r="AW419">
        <v>20.864652993478806</v>
      </c>
      <c r="AX419">
        <v>86.022763661026957</v>
      </c>
      <c r="AY419">
        <v>10.699935966979114</v>
      </c>
      <c r="AZ419">
        <v>23.352601231116623</v>
      </c>
      <c r="BA419">
        <v>5.477638557745788</v>
      </c>
      <c r="BB419">
        <v>6.3912334483988884</v>
      </c>
      <c r="BC419">
        <v>12.490143432928138</v>
      </c>
      <c r="BD419">
        <v>58.411552637168548</v>
      </c>
      <c r="BE419">
        <v>77.132933693884809</v>
      </c>
      <c r="BF419">
        <v>6.572589193116424</v>
      </c>
      <c r="BG419">
        <v>6.8379606235871062</v>
      </c>
      <c r="BH419">
        <v>13.410549816703531</v>
      </c>
      <c r="BI419">
        <v>157.84486611489908</v>
      </c>
      <c r="BJ419" s="6">
        <v>180</v>
      </c>
      <c r="BK419">
        <v>63.72238387718123</v>
      </c>
      <c r="BL419" s="4">
        <v>1227.0184699999998</v>
      </c>
      <c r="BM419" t="s">
        <v>1109</v>
      </c>
      <c r="BN419" t="s">
        <v>65</v>
      </c>
      <c r="BO419">
        <v>3</v>
      </c>
      <c r="BP419">
        <v>2023</v>
      </c>
      <c r="BQ419" t="str">
        <f t="shared" si="31"/>
        <v>CS13</v>
      </c>
      <c r="BR419">
        <f t="shared" si="32"/>
        <v>426.61238999999892</v>
      </c>
      <c r="BS419">
        <f t="shared" si="33"/>
        <v>4266.4302800000005</v>
      </c>
      <c r="BT419" s="6">
        <f t="shared" si="34"/>
        <v>22.155133885100923</v>
      </c>
    </row>
    <row r="420" spans="1:72">
      <c r="A420" s="3" t="s">
        <v>967</v>
      </c>
      <c r="B420" s="3" t="s">
        <v>1066</v>
      </c>
      <c r="C420" s="3" t="s">
        <v>982</v>
      </c>
      <c r="D420" s="2" t="s">
        <v>1114</v>
      </c>
      <c r="E420" s="4" t="str">
        <f t="shared" si="30"/>
        <v>CS1A1-096-0027</v>
      </c>
      <c r="F420">
        <v>2.79</v>
      </c>
      <c r="G420">
        <v>1.5</v>
      </c>
      <c r="H420" t="s">
        <v>72</v>
      </c>
      <c r="I420" t="s">
        <v>75</v>
      </c>
      <c r="J420" t="s">
        <v>95</v>
      </c>
      <c r="K420" t="s">
        <v>79</v>
      </c>
      <c r="L420" t="s">
        <v>79</v>
      </c>
      <c r="M420">
        <v>3.5988184438040345</v>
      </c>
      <c r="N420" s="5">
        <v>44754</v>
      </c>
      <c r="O420" s="5">
        <v>44832</v>
      </c>
      <c r="P420">
        <v>0.8</v>
      </c>
      <c r="Q420" s="4">
        <v>119</v>
      </c>
      <c r="R420">
        <v>0.32500000000000001</v>
      </c>
      <c r="S420" t="s">
        <v>70</v>
      </c>
      <c r="T420" s="6">
        <v>2</v>
      </c>
      <c r="U420" s="5">
        <v>44970</v>
      </c>
      <c r="V420" s="6">
        <v>1</v>
      </c>
      <c r="W420" t="s">
        <v>86</v>
      </c>
      <c r="X420" s="6">
        <v>138</v>
      </c>
      <c r="Y420">
        <v>13.088659999999999</v>
      </c>
      <c r="Z420">
        <v>4.6912759856630819</v>
      </c>
      <c r="AA420" s="6">
        <v>26.128572367224759</v>
      </c>
      <c r="AB420" s="4">
        <v>42.7485</v>
      </c>
      <c r="AC420" s="6">
        <v>38.27227855948162</v>
      </c>
      <c r="AD420">
        <v>0.29957729500000002</v>
      </c>
      <c r="AE420">
        <v>2.7048811021572012</v>
      </c>
      <c r="AF420">
        <v>34700</v>
      </c>
      <c r="AG420" s="4">
        <v>0</v>
      </c>
      <c r="AH420" s="4">
        <v>124879</v>
      </c>
      <c r="AL420">
        <v>24</v>
      </c>
      <c r="AM420">
        <v>9.9932199999999991</v>
      </c>
      <c r="AN420" t="s">
        <v>81</v>
      </c>
      <c r="AO420" t="s">
        <v>109</v>
      </c>
      <c r="AP420" s="5">
        <v>44838</v>
      </c>
      <c r="AQ420" t="s">
        <v>189</v>
      </c>
      <c r="AR420" s="5">
        <v>44967</v>
      </c>
      <c r="AS420">
        <v>286.750629170595</v>
      </c>
      <c r="AT420" s="6"/>
      <c r="AU420">
        <v>24.44864485745676</v>
      </c>
      <c r="AV420">
        <v>82.211667198934023</v>
      </c>
      <c r="AW420">
        <v>60.620778597656312</v>
      </c>
      <c r="AX420">
        <v>167.28109065404712</v>
      </c>
      <c r="AY420">
        <v>29.5781019600173</v>
      </c>
      <c r="AZ420">
        <v>55.397888706712529</v>
      </c>
      <c r="BA420">
        <v>17.634301754343074</v>
      </c>
      <c r="BB420">
        <v>32.237792104004534</v>
      </c>
      <c r="BC420">
        <v>37.783111487348592</v>
      </c>
      <c r="BD420">
        <v>172.63119601242602</v>
      </c>
      <c r="BE420">
        <v>-53.161657495878131</v>
      </c>
      <c r="BF420">
        <v>17.574088562159915</v>
      </c>
      <c r="BG420">
        <v>18.647777541780442</v>
      </c>
      <c r="BH420">
        <v>36.221866103940357</v>
      </c>
      <c r="BI420">
        <v>376.13415277041344</v>
      </c>
      <c r="BJ420" s="6">
        <v>210</v>
      </c>
      <c r="BK420">
        <v>-89.383523599818389</v>
      </c>
      <c r="BL420" s="4">
        <v>-1169.9105499999989</v>
      </c>
      <c r="BM420" t="s">
        <v>1115</v>
      </c>
      <c r="BN420" t="s">
        <v>65</v>
      </c>
      <c r="BO420">
        <v>2</v>
      </c>
      <c r="BP420">
        <v>2023</v>
      </c>
      <c r="BQ420" t="str">
        <f t="shared" si="31"/>
        <v>CS12</v>
      </c>
      <c r="BR420">
        <f t="shared" si="32"/>
        <v>-2174.4734399999993</v>
      </c>
      <c r="BS420">
        <f t="shared" si="33"/>
        <v>3753.1814899999999</v>
      </c>
      <c r="BT420" s="6">
        <f t="shared" si="34"/>
        <v>-166.13415277041344</v>
      </c>
    </row>
    <row r="421" spans="1:72">
      <c r="A421" s="3" t="s">
        <v>967</v>
      </c>
      <c r="B421" s="3" t="s">
        <v>1066</v>
      </c>
      <c r="C421" s="3" t="s">
        <v>982</v>
      </c>
      <c r="D421" s="2" t="s">
        <v>1116</v>
      </c>
      <c r="E421" s="4" t="str">
        <f t="shared" si="30"/>
        <v>CS1A1-010-0049</v>
      </c>
      <c r="F421">
        <v>3.1</v>
      </c>
      <c r="G421">
        <v>1.5</v>
      </c>
      <c r="H421" t="s">
        <v>72</v>
      </c>
      <c r="I421" t="s">
        <v>75</v>
      </c>
      <c r="J421" t="s">
        <v>95</v>
      </c>
      <c r="K421" t="s">
        <v>79</v>
      </c>
      <c r="L421" t="s">
        <v>79</v>
      </c>
      <c r="M421">
        <v>3.9958444869343532</v>
      </c>
      <c r="N421" s="5">
        <v>44776</v>
      </c>
      <c r="O421" s="5">
        <v>44833</v>
      </c>
      <c r="P421">
        <v>0.8</v>
      </c>
      <c r="Q421" s="4">
        <v>108</v>
      </c>
      <c r="R421">
        <v>0.35799999999999998</v>
      </c>
      <c r="S421" t="s">
        <v>70</v>
      </c>
      <c r="T421" s="6">
        <v>4</v>
      </c>
      <c r="U421" s="5">
        <v>44979</v>
      </c>
      <c r="V421" s="6">
        <v>1</v>
      </c>
      <c r="W421" t="s">
        <v>86</v>
      </c>
      <c r="X421" s="6">
        <v>146</v>
      </c>
      <c r="Y421">
        <v>17.605779999999999</v>
      </c>
      <c r="Z421">
        <v>5.6792838709677413</v>
      </c>
      <c r="AA421" s="6">
        <v>25.526900824615556</v>
      </c>
      <c r="AB421" s="4">
        <v>56.177624999999999</v>
      </c>
      <c r="AC421" s="6">
        <v>39.174359898625113</v>
      </c>
      <c r="AD421">
        <v>0.295344253</v>
      </c>
      <c r="AE421">
        <v>2.2647516307943869</v>
      </c>
      <c r="AF421">
        <v>39225</v>
      </c>
      <c r="AG421" s="4">
        <v>0</v>
      </c>
      <c r="AH421" s="4">
        <v>156737</v>
      </c>
      <c r="AL421">
        <v>23</v>
      </c>
      <c r="AM421">
        <v>13.163320000000001</v>
      </c>
      <c r="AN421" t="s">
        <v>81</v>
      </c>
      <c r="AO421" t="s">
        <v>101</v>
      </c>
      <c r="AP421" s="5">
        <v>44838</v>
      </c>
      <c r="AQ421" t="s">
        <v>189</v>
      </c>
      <c r="AR421" s="5">
        <v>44978</v>
      </c>
      <c r="AS421">
        <v>292.02794252796531</v>
      </c>
      <c r="AT421" s="6"/>
      <c r="AU421">
        <v>18.175849067749343</v>
      </c>
      <c r="AV421">
        <v>69.290168342442058</v>
      </c>
      <c r="AW421">
        <v>48.536064860517406</v>
      </c>
      <c r="AX421">
        <v>136.0020822707088</v>
      </c>
      <c r="AY421">
        <v>23.960447080447448</v>
      </c>
      <c r="AZ421">
        <v>45.022557932678929</v>
      </c>
      <c r="BA421">
        <v>15.1107454483698</v>
      </c>
      <c r="BB421">
        <v>25.983378186027544</v>
      </c>
      <c r="BC421">
        <v>30.13375436930372</v>
      </c>
      <c r="BD421">
        <v>140.21088301682744</v>
      </c>
      <c r="BE421">
        <v>15.814977240429073</v>
      </c>
      <c r="BF421">
        <v>14.223983260043008</v>
      </c>
      <c r="BG421">
        <v>14.905933733126279</v>
      </c>
      <c r="BH421">
        <v>29.129916993169285</v>
      </c>
      <c r="BI421">
        <v>305.34288228070557</v>
      </c>
      <c r="BJ421" s="6">
        <v>214</v>
      </c>
      <c r="BK421">
        <v>-13.314939752740262</v>
      </c>
      <c r="BL421" s="4">
        <v>-234.41989999999944</v>
      </c>
      <c r="BM421" t="s">
        <v>1117</v>
      </c>
      <c r="BN421" t="s">
        <v>65</v>
      </c>
      <c r="BO421">
        <v>2</v>
      </c>
      <c r="BP421">
        <v>2023</v>
      </c>
      <c r="BQ421" t="str">
        <f t="shared" si="31"/>
        <v>CS12</v>
      </c>
      <c r="BR421">
        <f t="shared" si="32"/>
        <v>-1608.1626900000003</v>
      </c>
      <c r="BS421">
        <f t="shared" si="33"/>
        <v>5141.3797100000011</v>
      </c>
      <c r="BT421" s="6">
        <f t="shared" si="34"/>
        <v>-91.342882280705567</v>
      </c>
    </row>
    <row r="422" spans="1:72">
      <c r="A422" s="3" t="s">
        <v>967</v>
      </c>
      <c r="B422" s="3" t="s">
        <v>1066</v>
      </c>
      <c r="C422" s="3" t="s">
        <v>982</v>
      </c>
      <c r="D422" s="2" t="s">
        <v>1112</v>
      </c>
      <c r="E422" s="4" t="str">
        <f t="shared" si="30"/>
        <v>CS1A1-007-0048</v>
      </c>
      <c r="F422">
        <v>3.1</v>
      </c>
      <c r="G422">
        <v>1.5</v>
      </c>
      <c r="H422" t="s">
        <v>72</v>
      </c>
      <c r="I422" t="s">
        <v>75</v>
      </c>
      <c r="J422" t="s">
        <v>95</v>
      </c>
      <c r="K422" t="s">
        <v>79</v>
      </c>
      <c r="L422" t="s">
        <v>79</v>
      </c>
      <c r="M422">
        <v>4.2334806629834256</v>
      </c>
      <c r="N422" s="5">
        <v>44775</v>
      </c>
      <c r="O422" s="5">
        <v>44838</v>
      </c>
      <c r="P422">
        <v>0.9</v>
      </c>
      <c r="Q422" s="4">
        <v>121</v>
      </c>
      <c r="R422">
        <v>0.35</v>
      </c>
      <c r="S422" t="s">
        <v>70</v>
      </c>
      <c r="T422" s="6">
        <v>4</v>
      </c>
      <c r="U422" s="5">
        <v>44968</v>
      </c>
      <c r="V422" s="6">
        <v>1</v>
      </c>
      <c r="W422" t="s">
        <v>86</v>
      </c>
      <c r="X422" s="6">
        <v>130</v>
      </c>
      <c r="Y422">
        <v>17.96584</v>
      </c>
      <c r="Z422">
        <v>5.7954322580645163</v>
      </c>
      <c r="AA422" s="6">
        <v>28.769876610278171</v>
      </c>
      <c r="AB422" s="4">
        <v>57.43055555555555</v>
      </c>
      <c r="AC422" s="6">
        <v>34.758577992744861</v>
      </c>
      <c r="AD422">
        <v>0.29316567999999998</v>
      </c>
      <c r="AE422">
        <v>2.050893895134736</v>
      </c>
      <c r="AF422">
        <v>36200</v>
      </c>
      <c r="AG422" s="4">
        <v>0</v>
      </c>
      <c r="AH422" s="4">
        <v>153252</v>
      </c>
      <c r="AL422">
        <v>26</v>
      </c>
      <c r="AM422">
        <v>4.04819</v>
      </c>
      <c r="AN422" t="s">
        <v>81</v>
      </c>
      <c r="AO422" t="s">
        <v>101</v>
      </c>
      <c r="AP422" s="5">
        <v>44838</v>
      </c>
      <c r="AQ422" t="s">
        <v>97</v>
      </c>
      <c r="AR422" s="5">
        <v>44964</v>
      </c>
      <c r="AS422">
        <v>283.94278864778937</v>
      </c>
      <c r="AT422" s="6"/>
      <c r="AU422">
        <v>20.038027723724571</v>
      </c>
      <c r="AV422">
        <v>62.306594626246273</v>
      </c>
      <c r="AW422">
        <v>44.309395497232522</v>
      </c>
      <c r="AX422">
        <v>126.65401784720335</v>
      </c>
      <c r="AY422">
        <v>21.683738138600816</v>
      </c>
      <c r="AZ422">
        <v>40.558430888842395</v>
      </c>
      <c r="BA422">
        <v>13.011895352513438</v>
      </c>
      <c r="BB422">
        <v>24.131958205127063</v>
      </c>
      <c r="BC422">
        <v>27.753658609895218</v>
      </c>
      <c r="BD422">
        <v>127.13968119497893</v>
      </c>
      <c r="BE422">
        <v>30.149089605607074</v>
      </c>
      <c r="BF422">
        <v>12.921719218249745</v>
      </c>
      <c r="BG422">
        <v>13.516191839624533</v>
      </c>
      <c r="BH422">
        <v>26.437911057874278</v>
      </c>
      <c r="BI422">
        <v>280.23161010005651</v>
      </c>
      <c r="BJ422" s="6">
        <v>204</v>
      </c>
      <c r="BK422">
        <v>3.7111785477328314</v>
      </c>
      <c r="BL422" s="4">
        <v>66.674440000000416</v>
      </c>
      <c r="BM422" t="s">
        <v>1113</v>
      </c>
      <c r="BN422" t="s">
        <v>65</v>
      </c>
      <c r="BO422">
        <v>2</v>
      </c>
      <c r="BP422">
        <v>2023</v>
      </c>
      <c r="BQ422" t="str">
        <f t="shared" si="31"/>
        <v>CS12</v>
      </c>
      <c r="BR422">
        <f t="shared" si="32"/>
        <v>-1369.5649099999994</v>
      </c>
      <c r="BS422">
        <f t="shared" si="33"/>
        <v>5101.2707099999998</v>
      </c>
      <c r="BT422" s="6">
        <f t="shared" si="34"/>
        <v>-76.231610100056514</v>
      </c>
    </row>
    <row r="423" spans="1:72">
      <c r="A423" s="3" t="s">
        <v>967</v>
      </c>
      <c r="B423" s="3" t="s">
        <v>1066</v>
      </c>
      <c r="C423" s="3" t="s">
        <v>982</v>
      </c>
      <c r="D423" s="2" t="s">
        <v>1110</v>
      </c>
      <c r="E423" s="4" t="str">
        <f t="shared" si="30"/>
        <v>CS1A1-008-0030</v>
      </c>
      <c r="F423">
        <v>3.45</v>
      </c>
      <c r="G423">
        <v>1.5</v>
      </c>
      <c r="H423" t="s">
        <v>72</v>
      </c>
      <c r="I423" t="s">
        <v>75</v>
      </c>
      <c r="J423" t="s">
        <v>95</v>
      </c>
      <c r="K423" t="s">
        <v>79</v>
      </c>
      <c r="L423" t="s">
        <v>79</v>
      </c>
      <c r="M423">
        <v>4.0524680851063826</v>
      </c>
      <c r="N423" s="5">
        <v>44846</v>
      </c>
      <c r="O423" s="5">
        <v>44850</v>
      </c>
      <c r="P423">
        <v>0.9</v>
      </c>
      <c r="Q423" s="4">
        <v>109</v>
      </c>
      <c r="R423">
        <v>0.47299999999999998</v>
      </c>
      <c r="S423" t="s">
        <v>70</v>
      </c>
      <c r="T423" s="6">
        <v>3</v>
      </c>
      <c r="U423" s="5">
        <v>44986</v>
      </c>
      <c r="V423" s="6">
        <v>1</v>
      </c>
      <c r="W423" t="s">
        <v>86</v>
      </c>
      <c r="X423" s="6">
        <v>136</v>
      </c>
      <c r="Y423">
        <v>17.111729999999998</v>
      </c>
      <c r="Z423">
        <v>4.9599217391304338</v>
      </c>
      <c r="AA423" s="6">
        <v>29.357581027751142</v>
      </c>
      <c r="AB423" s="4">
        <v>55.817666666666668</v>
      </c>
      <c r="AC423" s="6">
        <v>34.062751936364229</v>
      </c>
      <c r="AD423">
        <v>0.27932748899999998</v>
      </c>
      <c r="AE423">
        <v>2.8167764809951494</v>
      </c>
      <c r="AF423">
        <v>47000</v>
      </c>
      <c r="AG423" s="4"/>
      <c r="AH423" s="4">
        <v>190466</v>
      </c>
      <c r="AL423">
        <v>26</v>
      </c>
      <c r="AM423">
        <v>11.333270000000001</v>
      </c>
      <c r="AN423" t="s">
        <v>81</v>
      </c>
      <c r="AO423" t="s">
        <v>101</v>
      </c>
      <c r="AP423" s="5">
        <v>44852</v>
      </c>
      <c r="AQ423" t="s">
        <v>136</v>
      </c>
      <c r="AR423" s="5">
        <v>44985</v>
      </c>
      <c r="AS423">
        <v>268.73907372311265</v>
      </c>
      <c r="AT423" s="6"/>
      <c r="AU423">
        <v>23.66797512583474</v>
      </c>
      <c r="AV423">
        <v>85.4419038869828</v>
      </c>
      <c r="AW423">
        <v>46.690618657494007</v>
      </c>
      <c r="AX423">
        <v>155.80049767031153</v>
      </c>
      <c r="AY423">
        <v>20.768741091637139</v>
      </c>
      <c r="AZ423">
        <v>48.385860459462606</v>
      </c>
      <c r="BA423">
        <v>10.165832443592787</v>
      </c>
      <c r="BB423">
        <v>23.309859961558534</v>
      </c>
      <c r="BC423">
        <v>28.523529765838987</v>
      </c>
      <c r="BD423">
        <v>131.15382372209004</v>
      </c>
      <c r="BE423">
        <v>-18.215247669288914</v>
      </c>
      <c r="BF423">
        <v>11.914266996966409</v>
      </c>
      <c r="BG423">
        <v>12.545951812002643</v>
      </c>
      <c r="BH423">
        <v>24.460218808969053</v>
      </c>
      <c r="BI423">
        <v>311.41454020137058</v>
      </c>
      <c r="BJ423" s="6">
        <v>200</v>
      </c>
      <c r="BK423">
        <v>-42.675466478257931</v>
      </c>
      <c r="BL423" s="4">
        <v>-730.25106000000051</v>
      </c>
      <c r="BM423" t="s">
        <v>1111</v>
      </c>
      <c r="BN423" t="s">
        <v>65</v>
      </c>
      <c r="BO423">
        <v>3</v>
      </c>
      <c r="BP423">
        <v>2023</v>
      </c>
      <c r="BQ423" t="str">
        <f t="shared" si="31"/>
        <v>CS13</v>
      </c>
      <c r="BR423">
        <f t="shared" si="32"/>
        <v>-1906.4955299999988</v>
      </c>
      <c r="BS423">
        <f t="shared" si="33"/>
        <v>4598.5904699999983</v>
      </c>
      <c r="BT423" s="6">
        <f t="shared" si="34"/>
        <v>-111.41454020137058</v>
      </c>
    </row>
    <row r="424" spans="1:72">
      <c r="A424" s="3" t="s">
        <v>967</v>
      </c>
      <c r="B424" s="3" t="s">
        <v>1066</v>
      </c>
      <c r="C424" s="3" t="s">
        <v>982</v>
      </c>
      <c r="D424" s="2" t="s">
        <v>1102</v>
      </c>
      <c r="E424" s="4" t="str">
        <f t="shared" si="30"/>
        <v>CS1A1-007-0049</v>
      </c>
      <c r="F424">
        <v>3.1</v>
      </c>
      <c r="G424">
        <v>1.5</v>
      </c>
      <c r="H424" t="s">
        <v>72</v>
      </c>
      <c r="I424" t="s">
        <v>75</v>
      </c>
      <c r="J424" t="s">
        <v>95</v>
      </c>
      <c r="K424" t="s">
        <v>79</v>
      </c>
      <c r="L424" t="s">
        <v>79</v>
      </c>
      <c r="M424">
        <v>2.9709677419354841</v>
      </c>
      <c r="N424" s="5">
        <v>44986</v>
      </c>
      <c r="O424" s="5">
        <v>44996</v>
      </c>
      <c r="P424">
        <v>1.2</v>
      </c>
      <c r="Q424" s="4">
        <v>161</v>
      </c>
      <c r="R424">
        <v>0.34699999999999998</v>
      </c>
      <c r="S424" t="s">
        <v>70</v>
      </c>
      <c r="T424" s="6">
        <v>1</v>
      </c>
      <c r="U424" s="5">
        <v>45033</v>
      </c>
      <c r="V424" s="6">
        <v>2</v>
      </c>
      <c r="W424" t="s">
        <v>71</v>
      </c>
      <c r="X424" s="6">
        <v>37</v>
      </c>
      <c r="Y424">
        <v>8.9996399999999994</v>
      </c>
      <c r="Z424">
        <v>2.9031096774193546</v>
      </c>
      <c r="AA424" s="6">
        <v>104.99997777688885</v>
      </c>
      <c r="AB424" s="4">
        <v>78.746833333333328</v>
      </c>
      <c r="AC424" s="6">
        <v>9.5238115395116409</v>
      </c>
      <c r="AD424">
        <v>0.248021879</v>
      </c>
      <c r="AE424">
        <v>1.4446153129223172</v>
      </c>
      <c r="AF424">
        <v>12400</v>
      </c>
      <c r="AG424" s="4">
        <v>0</v>
      </c>
      <c r="AH424" s="4">
        <v>36840</v>
      </c>
      <c r="AI424" t="s">
        <v>73</v>
      </c>
      <c r="AJ424" t="s">
        <v>73</v>
      </c>
      <c r="AK424" t="s">
        <v>123</v>
      </c>
      <c r="AL424">
        <v>105</v>
      </c>
      <c r="AM424">
        <v>8.9996399999999994</v>
      </c>
      <c r="AN424" t="s">
        <v>73</v>
      </c>
      <c r="AO424" t="s">
        <v>136</v>
      </c>
      <c r="AP424" s="5">
        <v>44999</v>
      </c>
      <c r="AQ424" t="s">
        <v>198</v>
      </c>
      <c r="AR424" s="5">
        <v>45029</v>
      </c>
      <c r="AS424">
        <v>117.40668515629517</v>
      </c>
      <c r="AT424" s="6"/>
      <c r="AU424">
        <v>53.33546675200342</v>
      </c>
      <c r="AV424">
        <v>44.785448084590051</v>
      </c>
      <c r="AW424">
        <v>30.226226826850858</v>
      </c>
      <c r="AX424">
        <v>128.34714166344432</v>
      </c>
      <c r="AY424">
        <v>12.54081496593197</v>
      </c>
      <c r="AZ424">
        <v>29.280105648670389</v>
      </c>
      <c r="BA424">
        <v>5.9793080612113378</v>
      </c>
      <c r="BB424">
        <v>9.295652937228601</v>
      </c>
      <c r="BC424">
        <v>21.539874928330466</v>
      </c>
      <c r="BD424">
        <v>78.635756541372771</v>
      </c>
      <c r="BE424">
        <v>-89.576213048521922</v>
      </c>
      <c r="BF424">
        <v>9.3719615451284728</v>
      </c>
      <c r="BG424">
        <v>9.3588499095519389</v>
      </c>
      <c r="BH424">
        <v>18.73081145468041</v>
      </c>
      <c r="BI424">
        <v>225.71370965949748</v>
      </c>
      <c r="BJ424" s="6">
        <v>150</v>
      </c>
      <c r="BK424">
        <v>-108.30702450320233</v>
      </c>
      <c r="BL424" s="4">
        <v>-974.72422999999969</v>
      </c>
      <c r="BM424" t="s">
        <v>1103</v>
      </c>
      <c r="BN424" t="s">
        <v>65</v>
      </c>
      <c r="BO424">
        <v>4</v>
      </c>
      <c r="BP424">
        <v>2023</v>
      </c>
      <c r="BQ424" t="str">
        <f t="shared" si="31"/>
        <v>CS14</v>
      </c>
      <c r="BR424">
        <f t="shared" si="32"/>
        <v>-681.39612999999986</v>
      </c>
      <c r="BS424">
        <f t="shared" si="33"/>
        <v>1056.6179000000002</v>
      </c>
      <c r="BT424" s="6">
        <f t="shared" si="34"/>
        <v>-75.713709659497482</v>
      </c>
    </row>
    <row r="425" spans="1:72">
      <c r="A425" s="3" t="s">
        <v>967</v>
      </c>
      <c r="B425" s="3" t="s">
        <v>1066</v>
      </c>
      <c r="C425" s="3" t="s">
        <v>982</v>
      </c>
      <c r="D425" s="2" t="s">
        <v>1104</v>
      </c>
      <c r="E425" s="4" t="str">
        <f t="shared" si="30"/>
        <v>CS1A1-008-0031</v>
      </c>
      <c r="F425">
        <v>3.45</v>
      </c>
      <c r="G425">
        <v>1.5</v>
      </c>
      <c r="H425" t="s">
        <v>72</v>
      </c>
      <c r="I425" t="s">
        <v>75</v>
      </c>
      <c r="J425" t="s">
        <v>95</v>
      </c>
      <c r="K425" t="s">
        <v>79</v>
      </c>
      <c r="L425" t="s">
        <v>79</v>
      </c>
      <c r="M425">
        <v>0.76327433628318586</v>
      </c>
      <c r="N425" s="5">
        <v>44987</v>
      </c>
      <c r="O425" s="5">
        <v>45012</v>
      </c>
      <c r="P425">
        <v>1.6</v>
      </c>
      <c r="Q425" s="4">
        <v>193</v>
      </c>
      <c r="R425">
        <v>0.375</v>
      </c>
      <c r="S425" t="s">
        <v>70</v>
      </c>
      <c r="T425" s="6">
        <v>1</v>
      </c>
      <c r="U425" s="5">
        <v>45062</v>
      </c>
      <c r="V425" s="6">
        <v>2</v>
      </c>
      <c r="W425" t="s">
        <v>71</v>
      </c>
      <c r="X425" s="6">
        <v>50</v>
      </c>
      <c r="Y425">
        <v>4.2311800000000002</v>
      </c>
      <c r="Z425">
        <v>1.2264289855072463</v>
      </c>
      <c r="AA425" s="6">
        <v>79.999905463724062</v>
      </c>
      <c r="AB425" s="4">
        <v>21.155874999999998</v>
      </c>
      <c r="AC425" s="6">
        <v>12.500014771310571</v>
      </c>
      <c r="AD425">
        <v>0.24249999999999999</v>
      </c>
      <c r="AE425">
        <v>3.1119360648604584</v>
      </c>
      <c r="AF425">
        <v>11300</v>
      </c>
      <c r="AG425" s="4">
        <v>0</v>
      </c>
      <c r="AH425" s="4">
        <v>8625</v>
      </c>
      <c r="AI425" t="s">
        <v>73</v>
      </c>
      <c r="AJ425" t="s">
        <v>73</v>
      </c>
      <c r="AK425" t="s">
        <v>74</v>
      </c>
      <c r="AL425">
        <v>80</v>
      </c>
      <c r="AM425">
        <v>4.2311800000000002</v>
      </c>
      <c r="AN425" t="s">
        <v>73</v>
      </c>
      <c r="AO425" t="s">
        <v>131</v>
      </c>
      <c r="AP425" s="5">
        <v>45012</v>
      </c>
      <c r="AQ425" t="s">
        <v>123</v>
      </c>
      <c r="AR425" s="5">
        <v>45061</v>
      </c>
      <c r="AS425">
        <v>125.51190211713988</v>
      </c>
      <c r="AT425" s="6"/>
      <c r="AU425">
        <v>151.25804149197148</v>
      </c>
      <c r="AV425">
        <v>85.92745522525631</v>
      </c>
      <c r="AW425">
        <v>145.3384682287211</v>
      </c>
      <c r="AX425">
        <v>382.52396494594888</v>
      </c>
      <c r="AY425">
        <v>96.907059023723875</v>
      </c>
      <c r="AZ425">
        <v>150.02774639698615</v>
      </c>
      <c r="BA425">
        <v>37.765788739784171</v>
      </c>
      <c r="BB425">
        <v>109.85179311681375</v>
      </c>
      <c r="BC425">
        <v>107.00787959859896</v>
      </c>
      <c r="BD425">
        <v>501.5602668759069</v>
      </c>
      <c r="BE425">
        <v>-758.57232970471591</v>
      </c>
      <c r="BF425">
        <v>57.721325965806223</v>
      </c>
      <c r="BG425">
        <v>63.908838669118303</v>
      </c>
      <c r="BH425">
        <v>121.63016463492453</v>
      </c>
      <c r="BI425">
        <v>1005.7143964567803</v>
      </c>
      <c r="BJ425" s="6">
        <v>150</v>
      </c>
      <c r="BK425">
        <v>-880.20249433964034</v>
      </c>
      <c r="BL425" s="4">
        <v>-3724.2951899999994</v>
      </c>
      <c r="BM425" t="s">
        <v>1105</v>
      </c>
      <c r="BN425" t="s">
        <v>65</v>
      </c>
      <c r="BO425">
        <v>5</v>
      </c>
      <c r="BP425">
        <v>2023</v>
      </c>
      <c r="BQ425" t="str">
        <f t="shared" si="31"/>
        <v>CS15</v>
      </c>
      <c r="BR425">
        <f t="shared" si="32"/>
        <v>-3620.6816399999998</v>
      </c>
      <c r="BS425">
        <f t="shared" si="33"/>
        <v>531.06344999999999</v>
      </c>
      <c r="BT425" s="6">
        <f t="shared" si="34"/>
        <v>-855.71439645678026</v>
      </c>
    </row>
    <row r="426" spans="1:72">
      <c r="A426" s="3" t="s">
        <v>967</v>
      </c>
      <c r="B426" s="3" t="s">
        <v>1066</v>
      </c>
      <c r="C426" s="3" t="s">
        <v>982</v>
      </c>
      <c r="D426" s="2" t="s">
        <v>1100</v>
      </c>
      <c r="E426" s="4" t="str">
        <f t="shared" si="30"/>
        <v>CS1A1-010-0050</v>
      </c>
      <c r="F426">
        <v>3.1</v>
      </c>
      <c r="G426">
        <v>1.5</v>
      </c>
      <c r="H426" t="s">
        <v>72</v>
      </c>
      <c r="I426" t="s">
        <v>75</v>
      </c>
      <c r="J426" t="s">
        <v>95</v>
      </c>
      <c r="K426" t="s">
        <v>79</v>
      </c>
      <c r="L426" t="s">
        <v>79</v>
      </c>
      <c r="M426">
        <v>2.13</v>
      </c>
      <c r="N426" s="5">
        <v>44986</v>
      </c>
      <c r="O426" s="5">
        <v>45006</v>
      </c>
      <c r="P426">
        <v>2</v>
      </c>
      <c r="Q426" s="4">
        <v>269</v>
      </c>
      <c r="R426">
        <v>0.48199999999999998</v>
      </c>
      <c r="S426" t="s">
        <v>70</v>
      </c>
      <c r="T426" s="6">
        <v>1</v>
      </c>
      <c r="U426" s="5">
        <v>45045</v>
      </c>
      <c r="V426" s="6">
        <v>2</v>
      </c>
      <c r="W426" t="s">
        <v>71</v>
      </c>
      <c r="X426" s="6">
        <v>39</v>
      </c>
      <c r="Y426">
        <v>7.9363400000000004</v>
      </c>
      <c r="Z426">
        <v>2.560109677419355</v>
      </c>
      <c r="AA426" s="6">
        <v>141.00000756015996</v>
      </c>
      <c r="AB426" s="4">
        <v>55.9512</v>
      </c>
      <c r="AC426" s="6">
        <v>7.0921982012896958</v>
      </c>
      <c r="AD426">
        <v>0.169492271</v>
      </c>
      <c r="AE426">
        <v>1.7210469702402296</v>
      </c>
      <c r="AF426">
        <v>12000</v>
      </c>
      <c r="AG426" s="4">
        <v>0</v>
      </c>
      <c r="AH426" s="4">
        <v>25560</v>
      </c>
      <c r="AI426" t="s">
        <v>73</v>
      </c>
      <c r="AJ426" t="s">
        <v>73</v>
      </c>
      <c r="AK426" t="s">
        <v>198</v>
      </c>
      <c r="AL426">
        <v>141</v>
      </c>
      <c r="AM426">
        <v>7.9363400000000004</v>
      </c>
      <c r="AN426" t="s">
        <v>73</v>
      </c>
      <c r="AO426" t="s">
        <v>131</v>
      </c>
      <c r="AP426" s="5">
        <v>45008</v>
      </c>
      <c r="AQ426" t="s">
        <v>116</v>
      </c>
      <c r="AR426" s="5">
        <v>45041</v>
      </c>
      <c r="AS426">
        <v>61.22134888374238</v>
      </c>
      <c r="AT426" s="6"/>
      <c r="AU426">
        <v>113.40239959477542</v>
      </c>
      <c r="AV426">
        <v>48.772902874624826</v>
      </c>
      <c r="AW426">
        <v>42.584341144658623</v>
      </c>
      <c r="AX426">
        <v>204.75964361405889</v>
      </c>
      <c r="AY426">
        <v>17.369084489827802</v>
      </c>
      <c r="AZ426">
        <v>43.308695191990267</v>
      </c>
      <c r="BA426">
        <v>9.2069681994471004</v>
      </c>
      <c r="BB426">
        <v>13.8533858176439</v>
      </c>
      <c r="BC426">
        <v>30.355056612997934</v>
      </c>
      <c r="BD426">
        <v>114.09319031190701</v>
      </c>
      <c r="BE426">
        <v>-257.63148504222352</v>
      </c>
      <c r="BF426">
        <v>13.466799557478636</v>
      </c>
      <c r="BG426">
        <v>13.505609638699955</v>
      </c>
      <c r="BH426">
        <v>26.972409196178589</v>
      </c>
      <c r="BI426">
        <v>345.82524312214446</v>
      </c>
      <c r="BJ426" s="6">
        <v>150</v>
      </c>
      <c r="BK426">
        <v>-284.60389423840206</v>
      </c>
      <c r="BL426" s="4">
        <v>-2258.7132700000002</v>
      </c>
      <c r="BM426" t="s">
        <v>1101</v>
      </c>
      <c r="BN426" t="s">
        <v>65</v>
      </c>
      <c r="BO426">
        <v>4</v>
      </c>
      <c r="BP426">
        <v>2023</v>
      </c>
      <c r="BQ426" t="str">
        <f t="shared" si="31"/>
        <v>CS14</v>
      </c>
      <c r="BR426">
        <f t="shared" si="32"/>
        <v>-1554.13571</v>
      </c>
      <c r="BS426">
        <f t="shared" si="33"/>
        <v>485.87344000000002</v>
      </c>
      <c r="BT426" s="6">
        <f t="shared" si="34"/>
        <v>-195.82524312214446</v>
      </c>
    </row>
    <row r="427" spans="1:72">
      <c r="A427" s="3" t="s">
        <v>967</v>
      </c>
      <c r="B427" s="3" t="s">
        <v>1066</v>
      </c>
      <c r="C427" s="3" t="s">
        <v>1072</v>
      </c>
      <c r="D427" s="2" t="s">
        <v>1098</v>
      </c>
      <c r="E427" s="4" t="str">
        <f t="shared" si="30"/>
        <v>CS1C1-080-0017</v>
      </c>
      <c r="F427">
        <v>2.25</v>
      </c>
      <c r="G427">
        <v>1.5</v>
      </c>
      <c r="H427" t="s">
        <v>72</v>
      </c>
      <c r="I427" t="s">
        <v>75</v>
      </c>
      <c r="J427" t="s">
        <v>95</v>
      </c>
      <c r="K427" t="s">
        <v>79</v>
      </c>
      <c r="L427" t="s">
        <v>79</v>
      </c>
      <c r="M427">
        <v>0</v>
      </c>
      <c r="N427" s="5">
        <v>44776</v>
      </c>
      <c r="O427" s="5">
        <v>44841</v>
      </c>
      <c r="P427">
        <v>0.54</v>
      </c>
      <c r="Q427" s="4">
        <v>100</v>
      </c>
      <c r="R427">
        <v>0.371</v>
      </c>
      <c r="S427" t="s">
        <v>70</v>
      </c>
      <c r="T427" s="6">
        <v>2</v>
      </c>
      <c r="U427" s="5">
        <v>44985</v>
      </c>
      <c r="V427" s="6">
        <v>1</v>
      </c>
      <c r="W427" t="s">
        <v>86</v>
      </c>
      <c r="X427" s="6">
        <v>144</v>
      </c>
      <c r="Y427">
        <v>15.335100000000001</v>
      </c>
      <c r="Z427">
        <v>6.8155999999999999</v>
      </c>
      <c r="AA427" s="6">
        <v>23.151854242880709</v>
      </c>
      <c r="AB427" s="4">
        <v>65.747407407407408</v>
      </c>
      <c r="AC427" s="6">
        <v>43.193084644937422</v>
      </c>
      <c r="AD427">
        <v>0.31308017700000002</v>
      </c>
      <c r="AE427">
        <v>2.3472456781607374</v>
      </c>
      <c r="AF427">
        <v>35525</v>
      </c>
      <c r="AG427" s="4">
        <v>0</v>
      </c>
      <c r="AH427" s="4">
        <v>0</v>
      </c>
      <c r="AL427">
        <v>22</v>
      </c>
      <c r="AM427">
        <v>12.39132</v>
      </c>
      <c r="AN427" t="s">
        <v>81</v>
      </c>
      <c r="AO427" t="s">
        <v>104</v>
      </c>
      <c r="AP427" s="5">
        <v>44847</v>
      </c>
      <c r="AQ427" t="s">
        <v>198</v>
      </c>
      <c r="AR427" s="5">
        <v>44980</v>
      </c>
      <c r="AS427">
        <v>307.72058219379073</v>
      </c>
      <c r="AT427" s="6"/>
      <c r="AU427">
        <v>14.085333646340747</v>
      </c>
      <c r="AV427">
        <v>71.847940998102416</v>
      </c>
      <c r="AW427">
        <v>32.035933251168892</v>
      </c>
      <c r="AX427">
        <v>117.96920789561206</v>
      </c>
      <c r="AY427">
        <v>20.309907336763374</v>
      </c>
      <c r="AZ427">
        <v>48.008086024871048</v>
      </c>
      <c r="BA427">
        <v>5.8048235746750922</v>
      </c>
      <c r="BB427">
        <v>13.937613709724749</v>
      </c>
      <c r="BC427">
        <v>25.640645316952615</v>
      </c>
      <c r="BD427">
        <v>113.70107596298688</v>
      </c>
      <c r="BE427">
        <v>76.050298335191812</v>
      </c>
      <c r="BF427">
        <v>20.771773252212242</v>
      </c>
      <c r="BG427">
        <v>15.730192173510442</v>
      </c>
      <c r="BH427">
        <v>36.50196542572268</v>
      </c>
      <c r="BI427">
        <v>268.17224928432159</v>
      </c>
      <c r="BJ427" s="6">
        <v>223</v>
      </c>
      <c r="BK427">
        <v>39.548332909469167</v>
      </c>
      <c r="BL427" s="4">
        <v>606.47764000000063</v>
      </c>
      <c r="BM427" t="s">
        <v>1099</v>
      </c>
      <c r="BN427" t="s">
        <v>65</v>
      </c>
      <c r="BO427">
        <v>2</v>
      </c>
      <c r="BP427">
        <v>2023</v>
      </c>
      <c r="BQ427" t="str">
        <f t="shared" si="31"/>
        <v>CS12</v>
      </c>
      <c r="BR427">
        <f t="shared" si="32"/>
        <v>-692.7209600000001</v>
      </c>
      <c r="BS427">
        <f t="shared" si="33"/>
        <v>4718.9259000000002</v>
      </c>
      <c r="BT427" s="6">
        <f t="shared" si="34"/>
        <v>-45.172249284321595</v>
      </c>
    </row>
    <row r="428" spans="1:72">
      <c r="A428" s="3" t="s">
        <v>967</v>
      </c>
      <c r="B428" s="3" t="s">
        <v>1066</v>
      </c>
      <c r="C428" s="3" t="s">
        <v>1072</v>
      </c>
      <c r="D428" s="2" t="s">
        <v>1094</v>
      </c>
      <c r="E428" s="4" t="str">
        <f t="shared" si="30"/>
        <v>CS1C1-084-0018</v>
      </c>
      <c r="F428">
        <v>2.25</v>
      </c>
      <c r="G428">
        <v>1.5</v>
      </c>
      <c r="H428" t="s">
        <v>72</v>
      </c>
      <c r="I428" t="s">
        <v>75</v>
      </c>
      <c r="J428" t="s">
        <v>95</v>
      </c>
      <c r="K428" t="s">
        <v>79</v>
      </c>
      <c r="L428" t="s">
        <v>79</v>
      </c>
      <c r="M428">
        <v>0</v>
      </c>
      <c r="N428" s="5">
        <v>44777</v>
      </c>
      <c r="O428" s="5">
        <v>44844</v>
      </c>
      <c r="P428">
        <v>0.54</v>
      </c>
      <c r="Q428" s="4">
        <v>100</v>
      </c>
      <c r="R428">
        <v>0.46700000000000003</v>
      </c>
      <c r="S428" t="s">
        <v>70</v>
      </c>
      <c r="T428" s="6">
        <v>2</v>
      </c>
      <c r="U428" s="5">
        <v>44984</v>
      </c>
      <c r="V428" s="6">
        <v>1</v>
      </c>
      <c r="W428" t="s">
        <v>86</v>
      </c>
      <c r="X428" s="6">
        <v>140</v>
      </c>
      <c r="Y428">
        <v>11.42601</v>
      </c>
      <c r="Z428">
        <v>5.0782266666666667</v>
      </c>
      <c r="AA428" s="6">
        <v>24.162765479813164</v>
      </c>
      <c r="AB428" s="4">
        <v>51.126666666666665</v>
      </c>
      <c r="AC428" s="6">
        <v>41.38599122006346</v>
      </c>
      <c r="AD428">
        <v>0.30722329199999998</v>
      </c>
      <c r="AE428">
        <v>2.8861617270791773</v>
      </c>
      <c r="AF428">
        <v>32250</v>
      </c>
      <c r="AG428" s="4">
        <v>0</v>
      </c>
      <c r="AH428" s="4">
        <v>0</v>
      </c>
      <c r="AL428">
        <v>23</v>
      </c>
      <c r="AM428">
        <v>8.1043199999999995</v>
      </c>
      <c r="AN428" t="s">
        <v>81</v>
      </c>
      <c r="AO428" t="s">
        <v>104</v>
      </c>
      <c r="AP428" s="5">
        <v>44847</v>
      </c>
      <c r="AQ428" t="s">
        <v>198</v>
      </c>
      <c r="AR428" s="5">
        <v>44980</v>
      </c>
      <c r="AS428">
        <v>303.72568551926702</v>
      </c>
      <c r="AT428" s="6"/>
      <c r="AU428">
        <v>21.267266526110163</v>
      </c>
      <c r="AV428">
        <v>87.56693631460152</v>
      </c>
      <c r="AW428">
        <v>42.79987764757778</v>
      </c>
      <c r="AX428">
        <v>151.63408048828944</v>
      </c>
      <c r="AY428">
        <v>26.972122376927729</v>
      </c>
      <c r="AZ428">
        <v>63.740911306746639</v>
      </c>
      <c r="BA428">
        <v>7.7079365412773138</v>
      </c>
      <c r="BB428">
        <v>18.582056203346575</v>
      </c>
      <c r="BC428">
        <v>34.093276655630447</v>
      </c>
      <c r="BD428">
        <v>151.09630308392872</v>
      </c>
      <c r="BE428">
        <v>0.99530194704885844</v>
      </c>
      <c r="BF428">
        <v>27.614175902174072</v>
      </c>
      <c r="BG428">
        <v>20.902151319664519</v>
      </c>
      <c r="BH428">
        <v>48.516327221838594</v>
      </c>
      <c r="BI428">
        <v>351.24671079405675</v>
      </c>
      <c r="BJ428" s="6">
        <v>219</v>
      </c>
      <c r="BK428">
        <v>-47.521025274789707</v>
      </c>
      <c r="BL428" s="4">
        <v>-542.97570999999994</v>
      </c>
      <c r="BM428" t="s">
        <v>1095</v>
      </c>
      <c r="BN428" t="s">
        <v>65</v>
      </c>
      <c r="BO428">
        <v>2</v>
      </c>
      <c r="BP428">
        <v>2023</v>
      </c>
      <c r="BQ428" t="str">
        <f t="shared" si="31"/>
        <v>CS12</v>
      </c>
      <c r="BR428">
        <f t="shared" si="32"/>
        <v>-1511.0522400000004</v>
      </c>
      <c r="BS428">
        <f t="shared" si="33"/>
        <v>3470.3727199999998</v>
      </c>
      <c r="BT428" s="6">
        <f t="shared" si="34"/>
        <v>-132.24671079405675</v>
      </c>
    </row>
    <row r="429" spans="1:72">
      <c r="A429" s="3" t="s">
        <v>967</v>
      </c>
      <c r="B429" s="3" t="s">
        <v>1066</v>
      </c>
      <c r="C429" s="3" t="s">
        <v>1072</v>
      </c>
      <c r="D429" s="2" t="s">
        <v>1092</v>
      </c>
      <c r="E429" s="4" t="str">
        <f t="shared" si="30"/>
        <v>CS1C1-085-0019</v>
      </c>
      <c r="F429">
        <v>2.6</v>
      </c>
      <c r="G429">
        <v>1.8</v>
      </c>
      <c r="H429" t="s">
        <v>72</v>
      </c>
      <c r="I429" t="s">
        <v>75</v>
      </c>
      <c r="J429" t="s">
        <v>95</v>
      </c>
      <c r="K429" t="s">
        <v>79</v>
      </c>
      <c r="L429" t="s">
        <v>79</v>
      </c>
      <c r="N429" s="5">
        <v>44862</v>
      </c>
      <c r="O429" s="5">
        <v>44891</v>
      </c>
      <c r="P429">
        <v>1</v>
      </c>
      <c r="Q429" s="4">
        <v>134</v>
      </c>
      <c r="R429">
        <v>0.41799999999999998</v>
      </c>
      <c r="S429" t="s">
        <v>70</v>
      </c>
      <c r="T429" s="6">
        <v>2</v>
      </c>
      <c r="U429" s="5">
        <v>45015</v>
      </c>
      <c r="V429" s="6">
        <v>1</v>
      </c>
      <c r="W429" t="s">
        <v>86</v>
      </c>
      <c r="X429" s="6">
        <v>124</v>
      </c>
      <c r="Y429">
        <v>16.422139999999999</v>
      </c>
      <c r="Z429">
        <v>6.3162076923076915</v>
      </c>
      <c r="AA429" s="6">
        <v>26.999952503145145</v>
      </c>
      <c r="AB429" s="4">
        <v>44.339700000000001</v>
      </c>
      <c r="AC429" s="6">
        <v>37.037102190587667</v>
      </c>
      <c r="AD429">
        <v>0.29531481500000001</v>
      </c>
      <c r="AE429">
        <v>2.3369595780975652</v>
      </c>
      <c r="AF429">
        <v>37400</v>
      </c>
      <c r="AG429" s="4">
        <v>0</v>
      </c>
      <c r="AH429" s="4"/>
      <c r="AL429">
        <v>27</v>
      </c>
      <c r="AM429">
        <v>16.36796</v>
      </c>
      <c r="AN429" t="s">
        <v>81</v>
      </c>
      <c r="AO429" t="s">
        <v>106</v>
      </c>
      <c r="AP429" s="5">
        <v>44894</v>
      </c>
      <c r="AQ429" t="s">
        <v>198</v>
      </c>
      <c r="AR429" s="5">
        <v>45013</v>
      </c>
      <c r="AS429">
        <v>248.27807155462082</v>
      </c>
      <c r="AT429" s="6"/>
      <c r="AU429">
        <v>27.402031647519749</v>
      </c>
      <c r="AV429">
        <v>72.910333245240878</v>
      </c>
      <c r="AW429">
        <v>29.060169990025678</v>
      </c>
      <c r="AX429">
        <v>129.37253488278631</v>
      </c>
      <c r="AY429">
        <v>17.496218519632645</v>
      </c>
      <c r="AZ429">
        <v>40.589175344991581</v>
      </c>
      <c r="BA429">
        <v>7.362889976580397</v>
      </c>
      <c r="BB429">
        <v>11.374136988236613</v>
      </c>
      <c r="BC429">
        <v>21.5171013034842</v>
      </c>
      <c r="BD429">
        <v>98.339522132925424</v>
      </c>
      <c r="BE429">
        <v>20.566014538909087</v>
      </c>
      <c r="BF429">
        <v>16.797827201570563</v>
      </c>
      <c r="BG429">
        <v>13.422215375097279</v>
      </c>
      <c r="BH429">
        <v>30.220042576667844</v>
      </c>
      <c r="BI429">
        <v>257.93209959237953</v>
      </c>
      <c r="BJ429" s="6">
        <v>207</v>
      </c>
      <c r="BK429">
        <v>-9.6540280377587422</v>
      </c>
      <c r="BL429" s="4">
        <v>-158.53979999999936</v>
      </c>
      <c r="BM429" t="s">
        <v>1093</v>
      </c>
      <c r="BN429" t="s">
        <v>65</v>
      </c>
      <c r="BO429">
        <v>3</v>
      </c>
      <c r="BP429">
        <v>2023</v>
      </c>
      <c r="BQ429" t="str">
        <f t="shared" si="31"/>
        <v>CS13</v>
      </c>
      <c r="BR429">
        <f t="shared" si="32"/>
        <v>-836.41406999999947</v>
      </c>
      <c r="BS429">
        <f t="shared" si="33"/>
        <v>4077.2572500000006</v>
      </c>
      <c r="BT429" s="6">
        <f t="shared" si="34"/>
        <v>-50.932099592379529</v>
      </c>
    </row>
    <row r="430" spans="1:72">
      <c r="A430" s="3" t="s">
        <v>967</v>
      </c>
      <c r="B430" s="3" t="s">
        <v>1066</v>
      </c>
      <c r="C430" s="3" t="s">
        <v>1072</v>
      </c>
      <c r="D430" s="2" t="s">
        <v>1096</v>
      </c>
      <c r="E430" s="4" t="str">
        <f t="shared" si="30"/>
        <v>CS1C1-083-0019</v>
      </c>
      <c r="F430">
        <v>2.7</v>
      </c>
      <c r="G430">
        <v>1.5</v>
      </c>
      <c r="H430" t="s">
        <v>72</v>
      </c>
      <c r="I430" t="s">
        <v>75</v>
      </c>
      <c r="J430" t="s">
        <v>95</v>
      </c>
      <c r="K430" t="s">
        <v>79</v>
      </c>
      <c r="L430" t="s">
        <v>79</v>
      </c>
      <c r="M430">
        <v>0</v>
      </c>
      <c r="N430" s="5">
        <v>44781</v>
      </c>
      <c r="O430" s="5">
        <v>44831</v>
      </c>
      <c r="P430">
        <v>0.65</v>
      </c>
      <c r="Q430" s="4">
        <v>100</v>
      </c>
      <c r="R430">
        <v>0.38700000000000001</v>
      </c>
      <c r="S430" t="s">
        <v>70</v>
      </c>
      <c r="T430" s="6">
        <v>1</v>
      </c>
      <c r="U430" s="5">
        <v>44976</v>
      </c>
      <c r="V430" s="6">
        <v>1</v>
      </c>
      <c r="W430" t="s">
        <v>86</v>
      </c>
      <c r="X430" s="6">
        <v>145</v>
      </c>
      <c r="Y430">
        <v>14.17102</v>
      </c>
      <c r="Z430">
        <v>5.248525925925926</v>
      </c>
      <c r="AA430" s="6">
        <v>24.000036694606315</v>
      </c>
      <c r="AB430" s="4">
        <v>52.323846153846155</v>
      </c>
      <c r="AC430" s="6">
        <v>41.666602960850327</v>
      </c>
      <c r="AD430">
        <v>0.284687356</v>
      </c>
      <c r="AE430">
        <v>2.2953460153296064</v>
      </c>
      <c r="AF430">
        <v>31950</v>
      </c>
      <c r="AG430" s="4">
        <v>0</v>
      </c>
      <c r="AH430" s="4">
        <v>0</v>
      </c>
      <c r="AL430">
        <v>23.999999999999996</v>
      </c>
      <c r="AM430">
        <v>14.17102</v>
      </c>
      <c r="AN430" t="s">
        <v>81</v>
      </c>
      <c r="AO430" t="s">
        <v>194</v>
      </c>
      <c r="AP430" s="5">
        <v>44833</v>
      </c>
      <c r="AQ430" t="s">
        <v>131</v>
      </c>
      <c r="AR430" s="5">
        <v>44973</v>
      </c>
      <c r="AS430">
        <v>300.45658040141075</v>
      </c>
      <c r="AT430" s="6"/>
      <c r="AU430">
        <v>18.347303158135407</v>
      </c>
      <c r="AV430">
        <v>69.845074666467198</v>
      </c>
      <c r="AW430">
        <v>38.061910857510597</v>
      </c>
      <c r="AX430">
        <v>126.25428868211321</v>
      </c>
      <c r="AY430">
        <v>24.320079288576263</v>
      </c>
      <c r="AZ430">
        <v>57.078636541335769</v>
      </c>
      <c r="BA430">
        <v>6.8144262022070388</v>
      </c>
      <c r="BB430">
        <v>17.399103240274872</v>
      </c>
      <c r="BC430">
        <v>31.04233357937537</v>
      </c>
      <c r="BD430">
        <v>136.65457885176932</v>
      </c>
      <c r="BE430">
        <v>37.547712867528219</v>
      </c>
      <c r="BF430">
        <v>25.142828815427539</v>
      </c>
      <c r="BG430">
        <v>18.928202768749181</v>
      </c>
      <c r="BH430">
        <v>44.071031584176716</v>
      </c>
      <c r="BI430">
        <v>306.97989911805922</v>
      </c>
      <c r="BJ430" s="6">
        <v>219</v>
      </c>
      <c r="BK430">
        <v>-6.5233187166484887</v>
      </c>
      <c r="BL430" s="4">
        <v>-92.442080000000075</v>
      </c>
      <c r="BM430" t="s">
        <v>1097</v>
      </c>
      <c r="BN430" t="s">
        <v>65</v>
      </c>
      <c r="BO430">
        <v>2</v>
      </c>
      <c r="BP430">
        <v>2023</v>
      </c>
      <c r="BQ430" t="str">
        <f t="shared" si="31"/>
        <v>CS12</v>
      </c>
      <c r="BR430">
        <f t="shared" si="32"/>
        <v>-1246.7649099999996</v>
      </c>
      <c r="BS430">
        <f t="shared" si="33"/>
        <v>4257.77621</v>
      </c>
      <c r="BT430" s="6">
        <f t="shared" si="34"/>
        <v>-87.979899118059222</v>
      </c>
    </row>
    <row r="431" spans="1:72">
      <c r="A431" s="3" t="s">
        <v>967</v>
      </c>
      <c r="B431" s="3" t="s">
        <v>1066</v>
      </c>
      <c r="C431" s="3" t="s">
        <v>1072</v>
      </c>
      <c r="D431" s="2" t="s">
        <v>1088</v>
      </c>
      <c r="E431" s="4" t="str">
        <f t="shared" si="30"/>
        <v>CS1C1-080-0018</v>
      </c>
      <c r="F431">
        <v>2.25</v>
      </c>
      <c r="G431">
        <v>1.7</v>
      </c>
      <c r="H431" t="s">
        <v>72</v>
      </c>
      <c r="I431" t="s">
        <v>75</v>
      </c>
      <c r="J431" t="s">
        <v>95</v>
      </c>
      <c r="K431" t="s">
        <v>79</v>
      </c>
      <c r="N431" s="5">
        <v>44986</v>
      </c>
      <c r="O431" s="5">
        <v>45013</v>
      </c>
      <c r="P431">
        <v>0.8</v>
      </c>
      <c r="Q431" s="4">
        <v>131</v>
      </c>
      <c r="R431">
        <v>0.31</v>
      </c>
      <c r="S431" t="s">
        <v>70</v>
      </c>
      <c r="T431" s="6">
        <v>2</v>
      </c>
      <c r="U431" s="5">
        <v>45071</v>
      </c>
      <c r="V431" s="6">
        <v>2</v>
      </c>
      <c r="W431" t="s">
        <v>71</v>
      </c>
      <c r="X431" s="6">
        <v>58</v>
      </c>
      <c r="Y431">
        <v>8.2412500000000009</v>
      </c>
      <c r="Z431">
        <v>3.6627777777777784</v>
      </c>
      <c r="AA431" s="6">
        <v>61.336933110875172</v>
      </c>
      <c r="AB431" s="4">
        <v>63.186624999999999</v>
      </c>
      <c r="AC431" s="6">
        <v>16.303390947055647</v>
      </c>
      <c r="AD431">
        <v>0.27730073500000002</v>
      </c>
      <c r="AE431">
        <v>1.9203703124511307</v>
      </c>
      <c r="AF431">
        <v>15350</v>
      </c>
      <c r="AG431" s="4"/>
      <c r="AH431" s="4"/>
      <c r="AI431" t="s">
        <v>73</v>
      </c>
      <c r="AJ431" t="s">
        <v>73</v>
      </c>
      <c r="AK431" t="s">
        <v>130</v>
      </c>
      <c r="AL431">
        <v>61</v>
      </c>
      <c r="AM431">
        <v>5.4650400000000001</v>
      </c>
      <c r="AN431" t="s">
        <v>73</v>
      </c>
      <c r="AO431" t="s">
        <v>123</v>
      </c>
      <c r="AP431" s="5">
        <v>45016</v>
      </c>
      <c r="AQ431" t="s">
        <v>131</v>
      </c>
      <c r="AR431" s="5">
        <v>45068</v>
      </c>
      <c r="AS431">
        <v>128.66271742757471</v>
      </c>
      <c r="AT431" s="6"/>
      <c r="AU431">
        <v>38.82906112543607</v>
      </c>
      <c r="AV431">
        <v>59.120916123160931</v>
      </c>
      <c r="AW431">
        <v>45.658801759441829</v>
      </c>
      <c r="AX431">
        <v>143.60877900803885</v>
      </c>
      <c r="AY431">
        <v>25.078068254209008</v>
      </c>
      <c r="AZ431">
        <v>32.372564841498551</v>
      </c>
      <c r="BA431">
        <v>9.0181926285454264</v>
      </c>
      <c r="BB431">
        <v>22.663103291369637</v>
      </c>
      <c r="BC431">
        <v>29.417459730016681</v>
      </c>
      <c r="BD431">
        <v>118.54938874563932</v>
      </c>
      <c r="BE431">
        <v>-133.49545032610348</v>
      </c>
      <c r="BF431">
        <v>19.883596541786744</v>
      </c>
      <c r="BG431">
        <v>16.781517366904293</v>
      </c>
      <c r="BH431">
        <v>36.665113908691033</v>
      </c>
      <c r="BI431">
        <v>298.82328166236914</v>
      </c>
      <c r="BJ431" s="6">
        <v>161</v>
      </c>
      <c r="BK431">
        <v>-170.16056423479444</v>
      </c>
      <c r="BL431" s="4">
        <v>-1402.3357499999995</v>
      </c>
      <c r="BM431" t="s">
        <v>1089</v>
      </c>
      <c r="BN431" t="s">
        <v>65</v>
      </c>
      <c r="BO431">
        <v>5</v>
      </c>
      <c r="BP431">
        <v>2023</v>
      </c>
      <c r="BQ431" t="str">
        <f t="shared" si="31"/>
        <v>CS15</v>
      </c>
      <c r="BR431">
        <f t="shared" si="32"/>
        <v>-1135.8361199999997</v>
      </c>
      <c r="BS431">
        <f t="shared" si="33"/>
        <v>1060.3416200000001</v>
      </c>
      <c r="BT431" s="6">
        <f t="shared" si="34"/>
        <v>-137.82328166236914</v>
      </c>
    </row>
    <row r="432" spans="1:72">
      <c r="A432" s="3" t="s">
        <v>967</v>
      </c>
      <c r="B432" s="3" t="s">
        <v>1066</v>
      </c>
      <c r="C432" s="3" t="s">
        <v>1072</v>
      </c>
      <c r="D432" s="2" t="s">
        <v>1083</v>
      </c>
      <c r="E432" s="4" t="str">
        <f t="shared" si="30"/>
        <v>CS1C1-062-0020</v>
      </c>
      <c r="F432">
        <v>3.5</v>
      </c>
      <c r="G432">
        <v>1.5</v>
      </c>
      <c r="H432" t="s">
        <v>968</v>
      </c>
      <c r="I432" t="s">
        <v>75</v>
      </c>
      <c r="J432" t="s">
        <v>95</v>
      </c>
      <c r="K432" t="s">
        <v>79</v>
      </c>
      <c r="N432" s="5">
        <v>45000</v>
      </c>
      <c r="O432" s="5">
        <v>45016</v>
      </c>
      <c r="P432">
        <v>1.1000000000000001</v>
      </c>
      <c r="Q432" s="4">
        <v>131</v>
      </c>
      <c r="R432">
        <v>0.47699999999999998</v>
      </c>
      <c r="S432" t="s">
        <v>70</v>
      </c>
      <c r="T432" s="6">
        <v>1</v>
      </c>
      <c r="U432" s="5">
        <v>45067</v>
      </c>
      <c r="V432" s="6">
        <v>2</v>
      </c>
      <c r="W432" t="s">
        <v>71</v>
      </c>
      <c r="X432" s="6">
        <v>51</v>
      </c>
      <c r="Y432">
        <v>11.64682</v>
      </c>
      <c r="Z432">
        <v>3.3276628571428573</v>
      </c>
      <c r="AA432" s="6">
        <v>70.000051516207861</v>
      </c>
      <c r="AB432" s="4">
        <v>74.116181818181815</v>
      </c>
      <c r="AC432" s="6">
        <v>14.285703772210214</v>
      </c>
      <c r="AD432">
        <v>0.27075910399999997</v>
      </c>
      <c r="AE432">
        <v>1.3846654594302013</v>
      </c>
      <c r="AF432">
        <v>15400</v>
      </c>
      <c r="AG432" s="4"/>
      <c r="AH432" s="4"/>
      <c r="AI432" t="s">
        <v>73</v>
      </c>
      <c r="AJ432" t="s">
        <v>73</v>
      </c>
      <c r="AK432" t="s">
        <v>1084</v>
      </c>
      <c r="AL432">
        <v>70</v>
      </c>
      <c r="AM432">
        <v>11.64682</v>
      </c>
      <c r="AN432" t="s">
        <v>73</v>
      </c>
      <c r="AO432" t="s">
        <v>123</v>
      </c>
      <c r="AP432" s="5">
        <v>45016</v>
      </c>
      <c r="AQ432" t="s">
        <v>131</v>
      </c>
      <c r="AR432" s="5">
        <v>45064</v>
      </c>
      <c r="AS432">
        <v>136.91003552901137</v>
      </c>
      <c r="AT432" s="6"/>
      <c r="AU432">
        <v>42.50087148251626</v>
      </c>
      <c r="AV432">
        <v>41.268631265873438</v>
      </c>
      <c r="AW432">
        <v>33.717688605129993</v>
      </c>
      <c r="AX432">
        <v>117.48719135351969</v>
      </c>
      <c r="AY432">
        <v>21.958141363908776</v>
      </c>
      <c r="AZ432">
        <v>27.767835340462032</v>
      </c>
      <c r="BA432">
        <v>6.8547242938415813</v>
      </c>
      <c r="BB432">
        <v>20.085401852179395</v>
      </c>
      <c r="BC432">
        <v>27.797861562211832</v>
      </c>
      <c r="BD432">
        <v>104.46396441260362</v>
      </c>
      <c r="BE432">
        <v>-85.04112023711194</v>
      </c>
      <c r="BF432">
        <v>17.245691098514445</v>
      </c>
      <c r="BG432">
        <v>14.560323762194317</v>
      </c>
      <c r="BH432">
        <v>31.80601486070876</v>
      </c>
      <c r="BI432">
        <v>253.75717062683208</v>
      </c>
      <c r="BJ432" s="6">
        <v>150</v>
      </c>
      <c r="BK432">
        <v>-116.84713509782073</v>
      </c>
      <c r="BL432" s="4">
        <v>-1360.8975500000004</v>
      </c>
      <c r="BM432" t="s">
        <v>1085</v>
      </c>
      <c r="BN432" t="s">
        <v>65</v>
      </c>
      <c r="BO432">
        <v>5</v>
      </c>
      <c r="BP432">
        <v>2023</v>
      </c>
      <c r="BQ432" t="str">
        <f t="shared" si="31"/>
        <v>CS15</v>
      </c>
      <c r="BR432">
        <f t="shared" si="32"/>
        <v>-1208.4410900000005</v>
      </c>
      <c r="BS432">
        <f t="shared" si="33"/>
        <v>1594.5665400000003</v>
      </c>
      <c r="BT432" s="6">
        <f t="shared" si="34"/>
        <v>-103.75717062683208</v>
      </c>
    </row>
    <row r="433" spans="1:72">
      <c r="A433" s="3" t="s">
        <v>967</v>
      </c>
      <c r="B433" s="3" t="s">
        <v>1066</v>
      </c>
      <c r="C433" s="3" t="s">
        <v>1072</v>
      </c>
      <c r="D433" s="2" t="s">
        <v>1086</v>
      </c>
      <c r="E433" s="4" t="str">
        <f t="shared" si="30"/>
        <v>CS1C1-084-0019</v>
      </c>
      <c r="F433">
        <v>2.25</v>
      </c>
      <c r="G433">
        <v>1.7</v>
      </c>
      <c r="H433" t="s">
        <v>72</v>
      </c>
      <c r="I433" t="s">
        <v>75</v>
      </c>
      <c r="J433" t="s">
        <v>95</v>
      </c>
      <c r="K433" t="s">
        <v>79</v>
      </c>
      <c r="N433" s="5">
        <v>44990</v>
      </c>
      <c r="O433" s="5">
        <v>45014</v>
      </c>
      <c r="P433">
        <v>1</v>
      </c>
      <c r="Q433" s="4">
        <v>163</v>
      </c>
      <c r="R433">
        <v>0.32500000000000001</v>
      </c>
      <c r="S433" t="s">
        <v>70</v>
      </c>
      <c r="T433" s="6">
        <v>2</v>
      </c>
      <c r="U433" s="5">
        <v>45070</v>
      </c>
      <c r="V433" s="6">
        <v>2</v>
      </c>
      <c r="W433" t="s">
        <v>71</v>
      </c>
      <c r="X433" s="6">
        <v>56.000000000000007</v>
      </c>
      <c r="Y433">
        <v>11.31587</v>
      </c>
      <c r="Z433">
        <v>5.0292755555555555</v>
      </c>
      <c r="AA433" s="6">
        <v>66.999974372275389</v>
      </c>
      <c r="AB433" s="4">
        <v>75.816299999999998</v>
      </c>
      <c r="AC433" s="6">
        <v>14.925378843335801</v>
      </c>
      <c r="AD433">
        <v>0.26072094899999998</v>
      </c>
      <c r="AE433">
        <v>1.3898303542588859</v>
      </c>
      <c r="AF433">
        <v>15275</v>
      </c>
      <c r="AG433" s="4"/>
      <c r="AH433" s="4"/>
      <c r="AI433" t="s">
        <v>73</v>
      </c>
      <c r="AJ433" t="s">
        <v>73</v>
      </c>
      <c r="AK433" t="s">
        <v>80</v>
      </c>
      <c r="AL433">
        <v>67</v>
      </c>
      <c r="AM433">
        <v>5.4125899999999998</v>
      </c>
      <c r="AN433" t="s">
        <v>73</v>
      </c>
      <c r="AO433" t="s">
        <v>123</v>
      </c>
      <c r="AP433" s="5">
        <v>45016</v>
      </c>
      <c r="AQ433" t="s">
        <v>131</v>
      </c>
      <c r="AR433" s="5">
        <v>45064</v>
      </c>
      <c r="AS433">
        <v>137.64258691554429</v>
      </c>
      <c r="AT433" s="6"/>
      <c r="AU433">
        <v>35.348585658902053</v>
      </c>
      <c r="AV433">
        <v>42.826153888300233</v>
      </c>
      <c r="AW433">
        <v>28.881066148692057</v>
      </c>
      <c r="AX433">
        <v>107.05580569589435</v>
      </c>
      <c r="AY433">
        <v>17.253277918533882</v>
      </c>
      <c r="AZ433">
        <v>22.149279728381469</v>
      </c>
      <c r="BA433">
        <v>5.9951157091765808</v>
      </c>
      <c r="BB433">
        <v>15.646483213398527</v>
      </c>
      <c r="BC433">
        <v>20.59413814404018</v>
      </c>
      <c r="BD433">
        <v>81.638294713530627</v>
      </c>
      <c r="BE433">
        <v>-51.051513493880691</v>
      </c>
      <c r="BF433">
        <v>13.639707773242357</v>
      </c>
      <c r="BG433">
        <v>11.513112115992849</v>
      </c>
      <c r="BH433">
        <v>25.152819889235207</v>
      </c>
      <c r="BI433">
        <v>213.84692029866019</v>
      </c>
      <c r="BJ433" s="6">
        <v>151</v>
      </c>
      <c r="BK433">
        <v>-76.204333383115923</v>
      </c>
      <c r="BL433" s="4">
        <v>-862.31833000000006</v>
      </c>
      <c r="BM433" t="s">
        <v>1087</v>
      </c>
      <c r="BN433" t="s">
        <v>65</v>
      </c>
      <c r="BO433">
        <v>5</v>
      </c>
      <c r="BP433">
        <v>2023</v>
      </c>
      <c r="BQ433" t="str">
        <f t="shared" si="31"/>
        <v>CS15</v>
      </c>
      <c r="BR433">
        <f t="shared" si="32"/>
        <v>-711.16757999999993</v>
      </c>
      <c r="BS433">
        <f t="shared" si="33"/>
        <v>1557.5456200000001</v>
      </c>
      <c r="BT433" s="6">
        <f t="shared" si="34"/>
        <v>-62.846920298660194</v>
      </c>
    </row>
    <row r="434" spans="1:72">
      <c r="A434" s="3" t="s">
        <v>967</v>
      </c>
      <c r="B434" s="3" t="s">
        <v>1066</v>
      </c>
      <c r="C434" s="3" t="s">
        <v>1072</v>
      </c>
      <c r="D434" s="2" t="s">
        <v>1090</v>
      </c>
      <c r="E434" s="4" t="str">
        <f t="shared" si="30"/>
        <v>CS1C1-062-0019</v>
      </c>
      <c r="F434">
        <v>3.5</v>
      </c>
      <c r="G434">
        <v>1.5</v>
      </c>
      <c r="H434" t="s">
        <v>968</v>
      </c>
      <c r="I434" t="s">
        <v>75</v>
      </c>
      <c r="J434" t="s">
        <v>95</v>
      </c>
      <c r="K434" t="s">
        <v>79</v>
      </c>
      <c r="N434" s="5">
        <v>44866</v>
      </c>
      <c r="O434" s="5">
        <v>44893</v>
      </c>
      <c r="P434">
        <v>1</v>
      </c>
      <c r="Q434" s="4">
        <v>119</v>
      </c>
      <c r="R434">
        <v>0.57999999999999996</v>
      </c>
      <c r="S434" t="s">
        <v>70</v>
      </c>
      <c r="T434" s="6">
        <v>2</v>
      </c>
      <c r="U434" s="5">
        <v>44982</v>
      </c>
      <c r="V434" s="6">
        <v>2</v>
      </c>
      <c r="W434" t="s">
        <v>71</v>
      </c>
      <c r="X434" s="6">
        <v>89</v>
      </c>
      <c r="Y434">
        <v>9.4836399999999994</v>
      </c>
      <c r="Z434">
        <v>2.7096114285714283</v>
      </c>
      <c r="AA434" s="6">
        <v>54.999978911051038</v>
      </c>
      <c r="AB434" s="4">
        <v>52.16</v>
      </c>
      <c r="AC434" s="6">
        <v>18.181825153374231</v>
      </c>
      <c r="AD434">
        <v>0.19777323799999999</v>
      </c>
      <c r="AE434">
        <v>1.9514490702678906</v>
      </c>
      <c r="AF434">
        <v>17375</v>
      </c>
      <c r="AG434" s="4"/>
      <c r="AH434" s="4"/>
      <c r="AL434">
        <v>55</v>
      </c>
      <c r="AM434">
        <v>5.8877499999999996</v>
      </c>
      <c r="AN434" t="s">
        <v>111</v>
      </c>
      <c r="AO434" t="s">
        <v>106</v>
      </c>
      <c r="AP434" s="5">
        <v>44896</v>
      </c>
      <c r="AQ434" t="s">
        <v>198</v>
      </c>
      <c r="AR434" s="5">
        <v>44980</v>
      </c>
      <c r="AS434">
        <v>204.8452018423306</v>
      </c>
      <c r="AT434" s="6"/>
      <c r="AU434">
        <v>47.450135180162889</v>
      </c>
      <c r="AV434">
        <v>57.427181968105074</v>
      </c>
      <c r="AW434">
        <v>49.386108076645662</v>
      </c>
      <c r="AX434">
        <v>154.26342522491362</v>
      </c>
      <c r="AY434">
        <v>30.309326376792033</v>
      </c>
      <c r="AZ434">
        <v>75.172580359440047</v>
      </c>
      <c r="BA434">
        <v>9.1568870180647934</v>
      </c>
      <c r="BB434">
        <v>19.570305283625277</v>
      </c>
      <c r="BC434">
        <v>39.198684260473833</v>
      </c>
      <c r="BD434">
        <v>173.40778329839597</v>
      </c>
      <c r="BE434">
        <v>-122.82600668097899</v>
      </c>
      <c r="BF434">
        <v>29.077374299319668</v>
      </c>
      <c r="BG434">
        <v>22.925909250034795</v>
      </c>
      <c r="BH434">
        <v>52.003283549354464</v>
      </c>
      <c r="BI434">
        <v>379.67449207266412</v>
      </c>
      <c r="BJ434" s="6">
        <v>165</v>
      </c>
      <c r="BK434">
        <v>-174.82929023033353</v>
      </c>
      <c r="BL434" s="4">
        <v>-1658.0180500000001</v>
      </c>
      <c r="BM434" t="s">
        <v>1091</v>
      </c>
      <c r="BN434" t="s">
        <v>65</v>
      </c>
      <c r="BO434">
        <v>2</v>
      </c>
      <c r="BP434">
        <v>2023</v>
      </c>
      <c r="BQ434" t="str">
        <f t="shared" si="31"/>
        <v>CS12</v>
      </c>
      <c r="BR434">
        <f t="shared" si="32"/>
        <v>-2035.8956000000003</v>
      </c>
      <c r="BS434">
        <f t="shared" si="33"/>
        <v>1942.67815</v>
      </c>
      <c r="BT434" s="6">
        <f t="shared" si="34"/>
        <v>-214.67449207266412</v>
      </c>
    </row>
    <row r="435" spans="1:72">
      <c r="A435" s="3" t="s">
        <v>967</v>
      </c>
      <c r="B435" s="3" t="s">
        <v>1066</v>
      </c>
      <c r="C435" s="3" t="s">
        <v>1072</v>
      </c>
      <c r="D435" s="2" t="s">
        <v>1079</v>
      </c>
      <c r="E435" s="4" t="str">
        <f t="shared" si="30"/>
        <v>CS1C1-0B4-0017</v>
      </c>
      <c r="F435">
        <v>2.25</v>
      </c>
      <c r="G435">
        <v>1.5</v>
      </c>
      <c r="H435" t="s">
        <v>72</v>
      </c>
      <c r="I435" t="s">
        <v>75</v>
      </c>
      <c r="J435" t="s">
        <v>95</v>
      </c>
      <c r="K435" t="s">
        <v>79</v>
      </c>
      <c r="N435" s="5">
        <v>44936</v>
      </c>
      <c r="O435" s="5">
        <v>44955</v>
      </c>
      <c r="P435">
        <v>1</v>
      </c>
      <c r="Q435" s="4">
        <v>185</v>
      </c>
      <c r="R435">
        <v>0.38400000000000001</v>
      </c>
      <c r="S435" t="s">
        <v>70</v>
      </c>
      <c r="T435" s="6">
        <v>1</v>
      </c>
      <c r="U435" s="5">
        <v>44999</v>
      </c>
      <c r="V435" s="6">
        <v>2</v>
      </c>
      <c r="W435" t="s">
        <v>71</v>
      </c>
      <c r="X435" s="6">
        <v>44</v>
      </c>
      <c r="Y435">
        <v>5.1308299999999996</v>
      </c>
      <c r="Z435">
        <v>2.2803688888888889</v>
      </c>
      <c r="AA435" s="6">
        <v>112.00000779600961</v>
      </c>
      <c r="AB435" s="4">
        <v>57.465299999999999</v>
      </c>
      <c r="AC435" s="6">
        <v>8.9285708070783585</v>
      </c>
      <c r="AD435">
        <v>0.194194805</v>
      </c>
      <c r="AE435">
        <v>1.2587347766825439</v>
      </c>
      <c r="AF435">
        <v>5975</v>
      </c>
      <c r="AG435" s="4"/>
      <c r="AH435" s="4"/>
      <c r="AI435" t="s">
        <v>73</v>
      </c>
      <c r="AJ435" t="s">
        <v>73</v>
      </c>
      <c r="AK435" t="s">
        <v>157</v>
      </c>
      <c r="AL435">
        <v>112</v>
      </c>
      <c r="AM435">
        <v>5.1308299999999996</v>
      </c>
      <c r="AN435" t="s">
        <v>73</v>
      </c>
      <c r="AO435" t="s">
        <v>136</v>
      </c>
      <c r="AP435" s="5">
        <v>44960</v>
      </c>
      <c r="AQ435" t="s">
        <v>198</v>
      </c>
      <c r="AR435" s="5">
        <v>44995</v>
      </c>
      <c r="AS435">
        <v>130.77524299187462</v>
      </c>
      <c r="AT435" s="6"/>
      <c r="AU435">
        <v>77.960096124798525</v>
      </c>
      <c r="AV435">
        <v>37.82408304309439</v>
      </c>
      <c r="AW435">
        <v>58.323099771382026</v>
      </c>
      <c r="AX435">
        <v>174.10727893927492</v>
      </c>
      <c r="AY435">
        <v>21.803129318258449</v>
      </c>
      <c r="AZ435">
        <v>57.812285731548307</v>
      </c>
      <c r="BA435">
        <v>9.7004929027077491</v>
      </c>
      <c r="BB435">
        <v>5.7989974331638354</v>
      </c>
      <c r="BC435">
        <v>26.506699695760723</v>
      </c>
      <c r="BD435">
        <v>121.62160508143907</v>
      </c>
      <c r="BE435">
        <v>-164.95364102883937</v>
      </c>
      <c r="BF435">
        <v>19.1350580705266</v>
      </c>
      <c r="BG435">
        <v>16.584170592282344</v>
      </c>
      <c r="BH435">
        <v>35.719228662808945</v>
      </c>
      <c r="BI435">
        <v>331.44811268352294</v>
      </c>
      <c r="BJ435" s="6">
        <v>150</v>
      </c>
      <c r="BK435">
        <v>-200.67286969164832</v>
      </c>
      <c r="BL435" s="4">
        <v>-1029.6183799999999</v>
      </c>
      <c r="BM435" t="s">
        <v>1080</v>
      </c>
      <c r="BN435" t="s">
        <v>65</v>
      </c>
      <c r="BO435">
        <v>3</v>
      </c>
      <c r="BP435">
        <v>2023</v>
      </c>
      <c r="BQ435" t="str">
        <f t="shared" si="31"/>
        <v>CS13</v>
      </c>
      <c r="BR435">
        <f t="shared" si="32"/>
        <v>-930.97941999999989</v>
      </c>
      <c r="BS435">
        <f t="shared" si="33"/>
        <v>670.98554000000001</v>
      </c>
      <c r="BT435" s="6">
        <f t="shared" si="34"/>
        <v>-181.44811268352294</v>
      </c>
    </row>
    <row r="436" spans="1:72">
      <c r="A436" s="3" t="s">
        <v>967</v>
      </c>
      <c r="B436" s="3" t="s">
        <v>1066</v>
      </c>
      <c r="C436" s="3" t="s">
        <v>1072</v>
      </c>
      <c r="D436" s="2" t="s">
        <v>1077</v>
      </c>
      <c r="E436" s="4" t="str">
        <f t="shared" si="30"/>
        <v>CS1C1-083-0020</v>
      </c>
      <c r="F436">
        <v>2.7</v>
      </c>
      <c r="G436">
        <v>1.5</v>
      </c>
      <c r="H436" t="s">
        <v>72</v>
      </c>
      <c r="I436" t="s">
        <v>75</v>
      </c>
      <c r="J436" t="s">
        <v>95</v>
      </c>
      <c r="K436" t="s">
        <v>79</v>
      </c>
      <c r="N436" s="5">
        <v>44990</v>
      </c>
      <c r="O436" s="5">
        <v>45012</v>
      </c>
      <c r="P436">
        <v>0.9</v>
      </c>
      <c r="Q436" s="4">
        <v>139</v>
      </c>
      <c r="R436">
        <v>0.46</v>
      </c>
      <c r="S436" t="s">
        <v>70</v>
      </c>
      <c r="T436" s="6">
        <v>1</v>
      </c>
      <c r="U436" s="5">
        <v>45052</v>
      </c>
      <c r="V436" s="6">
        <v>2</v>
      </c>
      <c r="W436" t="s">
        <v>71</v>
      </c>
      <c r="X436" s="6">
        <v>40</v>
      </c>
      <c r="Y436">
        <v>5.2756499999999997</v>
      </c>
      <c r="Z436">
        <v>1.9539444444444443</v>
      </c>
      <c r="AA436" s="6">
        <v>146.00001895501029</v>
      </c>
      <c r="AB436" s="4">
        <v>85.582777777777778</v>
      </c>
      <c r="AC436" s="6">
        <v>6.8493141792546526</v>
      </c>
      <c r="AD436">
        <v>0.159732877</v>
      </c>
      <c r="AE436">
        <v>1.3112832063188424</v>
      </c>
      <c r="AF436">
        <v>6375</v>
      </c>
      <c r="AG436" s="4"/>
      <c r="AH436" s="4"/>
      <c r="AI436" t="s">
        <v>73</v>
      </c>
      <c r="AJ436" t="s">
        <v>73</v>
      </c>
      <c r="AK436" t="s">
        <v>198</v>
      </c>
      <c r="AL436">
        <v>146</v>
      </c>
      <c r="AM436">
        <v>5.2756499999999997</v>
      </c>
      <c r="AN436" t="s">
        <v>73</v>
      </c>
      <c r="AO436" t="s">
        <v>123</v>
      </c>
      <c r="AP436" s="5">
        <v>45013</v>
      </c>
      <c r="AQ436" t="s">
        <v>116</v>
      </c>
      <c r="AR436" s="5">
        <v>45047</v>
      </c>
      <c r="AS436">
        <v>62.916969472955941</v>
      </c>
      <c r="AT436" s="6"/>
      <c r="AU436">
        <v>76.767791646526973</v>
      </c>
      <c r="AV436">
        <v>38.720474254357285</v>
      </c>
      <c r="AW436">
        <v>55.796574829641848</v>
      </c>
      <c r="AX436">
        <v>171.28484073052613</v>
      </c>
      <c r="AY436">
        <v>26.123165865817484</v>
      </c>
      <c r="AZ436">
        <v>37.736275150929274</v>
      </c>
      <c r="BA436">
        <v>12.860062741084038</v>
      </c>
      <c r="BB436">
        <v>20.845594381734951</v>
      </c>
      <c r="BC436">
        <v>41.370379005430614</v>
      </c>
      <c r="BD436">
        <v>138.93547714499636</v>
      </c>
      <c r="BE436">
        <v>-247.30334840256654</v>
      </c>
      <c r="BF436">
        <v>23.470232104100919</v>
      </c>
      <c r="BG436">
        <v>19.686813947096567</v>
      </c>
      <c r="BH436">
        <v>43.157046051197483</v>
      </c>
      <c r="BI436">
        <v>353.37736392671997</v>
      </c>
      <c r="BJ436" s="6">
        <v>150</v>
      </c>
      <c r="BK436">
        <v>-290.46039445376402</v>
      </c>
      <c r="BL436" s="4">
        <v>-1532.3673800000001</v>
      </c>
      <c r="BM436" t="s">
        <v>1078</v>
      </c>
      <c r="BN436" t="s">
        <v>65</v>
      </c>
      <c r="BO436">
        <v>5</v>
      </c>
      <c r="BP436">
        <v>2023</v>
      </c>
      <c r="BQ436" t="str">
        <f t="shared" si="31"/>
        <v>CS15</v>
      </c>
      <c r="BR436">
        <f t="shared" si="32"/>
        <v>-1072.9477900000002</v>
      </c>
      <c r="BS436">
        <f t="shared" si="33"/>
        <v>331.92791</v>
      </c>
      <c r="BT436" s="6">
        <f t="shared" si="34"/>
        <v>-203.37736392671997</v>
      </c>
    </row>
    <row r="437" spans="1:72">
      <c r="A437" s="3" t="s">
        <v>967</v>
      </c>
      <c r="B437" s="3" t="s">
        <v>1066</v>
      </c>
      <c r="C437" s="3" t="s">
        <v>1072</v>
      </c>
      <c r="D437" s="2" t="s">
        <v>1081</v>
      </c>
      <c r="E437" s="4" t="str">
        <f t="shared" si="30"/>
        <v>CS1C1-063-0019</v>
      </c>
      <c r="F437">
        <v>3.46</v>
      </c>
      <c r="G437">
        <v>1.5</v>
      </c>
      <c r="H437" t="s">
        <v>72</v>
      </c>
      <c r="I437" t="s">
        <v>75</v>
      </c>
      <c r="J437" t="s">
        <v>95</v>
      </c>
      <c r="K437" t="s">
        <v>79</v>
      </c>
      <c r="L437" t="s">
        <v>79</v>
      </c>
      <c r="N437" s="5">
        <v>44860</v>
      </c>
      <c r="O437" s="5">
        <v>44890</v>
      </c>
      <c r="P437">
        <v>1</v>
      </c>
      <c r="Q437" s="4">
        <v>120</v>
      </c>
      <c r="R437">
        <v>0.41399999999999998</v>
      </c>
      <c r="S437" t="s">
        <v>70</v>
      </c>
      <c r="T437" s="6">
        <v>2</v>
      </c>
      <c r="U437" s="5">
        <v>44973</v>
      </c>
      <c r="V437" s="6">
        <v>2</v>
      </c>
      <c r="W437" t="s">
        <v>71</v>
      </c>
      <c r="X437" s="6">
        <v>83</v>
      </c>
      <c r="Y437">
        <v>9.5232600000000005</v>
      </c>
      <c r="Z437">
        <v>2.7523872832369944</v>
      </c>
      <c r="AA437" s="6">
        <v>79.000048302787064</v>
      </c>
      <c r="AB437" s="4">
        <v>75.233800000000002</v>
      </c>
      <c r="AC437" s="6">
        <v>12.658220108515057</v>
      </c>
      <c r="AD437">
        <v>0.147520817</v>
      </c>
      <c r="AE437">
        <v>1.6878429202811205</v>
      </c>
      <c r="AF437">
        <v>15375</v>
      </c>
      <c r="AG437" s="4">
        <v>0</v>
      </c>
      <c r="AH437" s="4"/>
      <c r="AL437">
        <v>79</v>
      </c>
      <c r="AM437">
        <v>6.1481899999999996</v>
      </c>
      <c r="AN437" t="s">
        <v>111</v>
      </c>
      <c r="AO437" t="s">
        <v>106</v>
      </c>
      <c r="AP437" s="5">
        <v>44894</v>
      </c>
      <c r="AQ437" t="s">
        <v>131</v>
      </c>
      <c r="AR437" s="5">
        <v>44970</v>
      </c>
      <c r="AS437">
        <v>170.82332310574321</v>
      </c>
      <c r="AT437" s="6"/>
      <c r="AU437">
        <v>42.002423539838247</v>
      </c>
      <c r="AV437">
        <v>50.188292664486731</v>
      </c>
      <c r="AW437">
        <v>42.887861929633345</v>
      </c>
      <c r="AX437">
        <v>135.07857813395833</v>
      </c>
      <c r="AY437">
        <v>28.278043443106665</v>
      </c>
      <c r="AZ437">
        <v>68.91163740147806</v>
      </c>
      <c r="BA437">
        <v>8.2504898532645328</v>
      </c>
      <c r="BB437">
        <v>20.066838456578942</v>
      </c>
      <c r="BC437">
        <v>38.201583281355333</v>
      </c>
      <c r="BD437">
        <v>163.70859243578352</v>
      </c>
      <c r="BE437">
        <v>-127.96384746399863</v>
      </c>
      <c r="BF437">
        <v>27.825016853472444</v>
      </c>
      <c r="BG437">
        <v>21.63790655720835</v>
      </c>
      <c r="BH437">
        <v>49.462923410680801</v>
      </c>
      <c r="BI437">
        <v>348.25009398042266</v>
      </c>
      <c r="BJ437" s="6">
        <v>150</v>
      </c>
      <c r="BK437">
        <v>-177.42677087467945</v>
      </c>
      <c r="BL437" s="4">
        <v>-1689.6812699999998</v>
      </c>
      <c r="BM437" t="s">
        <v>1082</v>
      </c>
      <c r="BN437" t="s">
        <v>65</v>
      </c>
      <c r="BO437">
        <v>2</v>
      </c>
      <c r="BP437">
        <v>2023</v>
      </c>
      <c r="BQ437" t="str">
        <f t="shared" si="31"/>
        <v>CS12</v>
      </c>
      <c r="BR437">
        <f t="shared" si="32"/>
        <v>-1887.9871900000001</v>
      </c>
      <c r="BS437">
        <f t="shared" si="33"/>
        <v>1626.7949200000003</v>
      </c>
      <c r="BT437" s="6">
        <f t="shared" si="34"/>
        <v>-198.25009398042266</v>
      </c>
    </row>
    <row r="438" spans="1:72">
      <c r="A438" s="3" t="s">
        <v>967</v>
      </c>
      <c r="B438" s="3" t="s">
        <v>1066</v>
      </c>
      <c r="C438" s="3" t="s">
        <v>1072</v>
      </c>
      <c r="D438" s="2" t="s">
        <v>1076</v>
      </c>
      <c r="E438" s="4" t="str">
        <f t="shared" si="30"/>
        <v>CS1C1-056-0019</v>
      </c>
      <c r="F438">
        <v>4.2</v>
      </c>
      <c r="G438">
        <v>1.5</v>
      </c>
      <c r="H438" t="s">
        <v>72</v>
      </c>
      <c r="I438" t="s">
        <v>75</v>
      </c>
      <c r="J438" t="s">
        <v>112</v>
      </c>
      <c r="K438" t="s">
        <v>79</v>
      </c>
      <c r="N438" s="5">
        <v>45000</v>
      </c>
      <c r="O438" s="5">
        <v>45024</v>
      </c>
      <c r="P438">
        <v>1</v>
      </c>
      <c r="Q438" s="4">
        <v>99</v>
      </c>
      <c r="R438">
        <v>4.0000000000000001E-3</v>
      </c>
      <c r="S438" t="s">
        <v>70</v>
      </c>
      <c r="T438" s="6">
        <v>1</v>
      </c>
      <c r="U438" s="5">
        <v>45066</v>
      </c>
      <c r="V438" s="6">
        <v>2</v>
      </c>
      <c r="W438" t="s">
        <v>71</v>
      </c>
      <c r="X438" s="6">
        <v>42</v>
      </c>
      <c r="Y438">
        <v>5.0719599999999998</v>
      </c>
      <c r="Z438">
        <v>1.2076095238095237</v>
      </c>
      <c r="AA438" s="6">
        <v>166.99993690801978</v>
      </c>
      <c r="AB438" s="4">
        <v>84.701700000000002</v>
      </c>
      <c r="AC438" s="6">
        <v>5.9880262143498895</v>
      </c>
      <c r="AD438">
        <v>0.14247676100000001</v>
      </c>
      <c r="AE438">
        <v>1.4848242086528256</v>
      </c>
      <c r="AF438">
        <v>7525</v>
      </c>
      <c r="AG438" s="4"/>
      <c r="AH438" s="4"/>
      <c r="AI438" t="s">
        <v>73</v>
      </c>
      <c r="AJ438" t="s">
        <v>73</v>
      </c>
      <c r="AK438" t="s">
        <v>74</v>
      </c>
      <c r="AL438">
        <v>167</v>
      </c>
      <c r="AM438">
        <v>5.0719599999999998</v>
      </c>
      <c r="AN438" t="s">
        <v>73</v>
      </c>
      <c r="AO438" t="s">
        <v>123</v>
      </c>
      <c r="AP438" s="5">
        <v>45027</v>
      </c>
      <c r="AQ438" t="s">
        <v>170</v>
      </c>
      <c r="AR438" s="5">
        <v>45061</v>
      </c>
      <c r="AS438">
        <v>52.782001435342551</v>
      </c>
      <c r="AT438" s="6"/>
      <c r="AU438">
        <v>39.432489609539509</v>
      </c>
      <c r="AV438">
        <v>43.588165127485233</v>
      </c>
      <c r="AW438">
        <v>89.14397787048793</v>
      </c>
      <c r="AX438">
        <v>172.16463260751269</v>
      </c>
      <c r="AY438">
        <v>58.863721322723364</v>
      </c>
      <c r="AZ438">
        <v>74.783909967744222</v>
      </c>
      <c r="BA438">
        <v>18.657639255830095</v>
      </c>
      <c r="BB438">
        <v>53.600598190837474</v>
      </c>
      <c r="BC438">
        <v>75.553127390594568</v>
      </c>
      <c r="BD438">
        <v>281.45899612772973</v>
      </c>
      <c r="BE438">
        <v>-400.84162729989987</v>
      </c>
      <c r="BF438">
        <v>46.475788452590322</v>
      </c>
      <c r="BG438">
        <v>39.227984842151756</v>
      </c>
      <c r="BH438">
        <v>85.703773294742078</v>
      </c>
      <c r="BI438">
        <v>539.32740202998446</v>
      </c>
      <c r="BJ438" s="6">
        <v>150</v>
      </c>
      <c r="BK438">
        <v>-486.54540059464182</v>
      </c>
      <c r="BL438" s="4">
        <v>-2467.7388099999994</v>
      </c>
      <c r="BM438" t="s">
        <v>1073</v>
      </c>
      <c r="BN438" t="s">
        <v>65</v>
      </c>
      <c r="BO438">
        <v>5</v>
      </c>
      <c r="BP438">
        <v>2023</v>
      </c>
      <c r="BQ438" t="str">
        <f t="shared" si="31"/>
        <v>CS15</v>
      </c>
      <c r="BR438">
        <f t="shared" si="32"/>
        <v>-1974.6530099999998</v>
      </c>
      <c r="BS438">
        <f t="shared" si="33"/>
        <v>267.70819999999998</v>
      </c>
      <c r="BT438" s="6">
        <f t="shared" si="34"/>
        <v>-389.32740202998446</v>
      </c>
    </row>
    <row r="439" spans="1:72">
      <c r="A439" s="3" t="s">
        <v>967</v>
      </c>
      <c r="B439" s="3" t="s">
        <v>1066</v>
      </c>
      <c r="C439" s="3" t="s">
        <v>1072</v>
      </c>
      <c r="D439" s="2" t="s">
        <v>1074</v>
      </c>
      <c r="E439" s="4" t="str">
        <f t="shared" si="30"/>
        <v>CS1C1-063-0020</v>
      </c>
      <c r="F439">
        <v>3.46</v>
      </c>
      <c r="G439">
        <v>1.5</v>
      </c>
      <c r="H439" t="s">
        <v>72</v>
      </c>
      <c r="I439" t="s">
        <v>75</v>
      </c>
      <c r="J439" t="s">
        <v>95</v>
      </c>
      <c r="K439" t="s">
        <v>79</v>
      </c>
      <c r="N439" s="5">
        <v>45000</v>
      </c>
      <c r="O439" s="5">
        <v>45016</v>
      </c>
      <c r="P439">
        <v>1.1000000000000001</v>
      </c>
      <c r="Q439" s="4">
        <v>132</v>
      </c>
      <c r="R439">
        <v>0.34899999999999998</v>
      </c>
      <c r="S439" t="s">
        <v>70</v>
      </c>
      <c r="T439" s="6">
        <v>1</v>
      </c>
      <c r="U439" s="5">
        <v>45052</v>
      </c>
      <c r="V439" s="6">
        <v>2</v>
      </c>
      <c r="W439" t="s">
        <v>71</v>
      </c>
      <c r="X439" s="6">
        <v>36</v>
      </c>
      <c r="Y439">
        <v>2.6555200000000001</v>
      </c>
      <c r="Z439">
        <v>0.76749132947976884</v>
      </c>
      <c r="AA439" s="6">
        <v>207.99993974814726</v>
      </c>
      <c r="AB439" s="4">
        <v>50.213454545454553</v>
      </c>
      <c r="AC439" s="6">
        <v>4.8076937003483309</v>
      </c>
      <c r="AD439">
        <v>0.123852564</v>
      </c>
      <c r="AE439">
        <v>2.8064908079171658</v>
      </c>
      <c r="AF439">
        <v>6375</v>
      </c>
      <c r="AG439" s="4"/>
      <c r="AH439" s="4"/>
      <c r="AI439" t="s">
        <v>645</v>
      </c>
      <c r="AJ439" t="s">
        <v>642</v>
      </c>
      <c r="AK439" t="s">
        <v>438</v>
      </c>
      <c r="AL439">
        <v>208</v>
      </c>
      <c r="AM439">
        <v>2.6555200000000001</v>
      </c>
      <c r="AN439" t="s">
        <v>73</v>
      </c>
      <c r="AO439" t="s">
        <v>123</v>
      </c>
      <c r="AP439" s="5">
        <v>45016</v>
      </c>
      <c r="AQ439" t="s">
        <v>170</v>
      </c>
      <c r="AR439" s="5">
        <v>45047</v>
      </c>
      <c r="AS439">
        <v>67.165647406157746</v>
      </c>
      <c r="AT439" s="6"/>
      <c r="AU439">
        <v>165.69259504729771</v>
      </c>
      <c r="AV439">
        <v>76.83024417063325</v>
      </c>
      <c r="AW439">
        <v>98.87383262035307</v>
      </c>
      <c r="AX439">
        <v>341.39667183828402</v>
      </c>
      <c r="AY439">
        <v>56.412009700548296</v>
      </c>
      <c r="AZ439">
        <v>79.503780803759724</v>
      </c>
      <c r="BA439">
        <v>24.266298126167381</v>
      </c>
      <c r="BB439">
        <v>45.86978068325601</v>
      </c>
      <c r="BC439">
        <v>95.836182743869387</v>
      </c>
      <c r="BD439">
        <v>301.88805205760076</v>
      </c>
      <c r="BE439">
        <v>-576.11907648972704</v>
      </c>
      <c r="BF439">
        <v>50.084281044767124</v>
      </c>
      <c r="BG439">
        <v>42.027124630957402</v>
      </c>
      <c r="BH439">
        <v>92.111405675724527</v>
      </c>
      <c r="BI439">
        <v>735.39612957160932</v>
      </c>
      <c r="BJ439" s="6">
        <v>150</v>
      </c>
      <c r="BK439">
        <v>-668.23048216545169</v>
      </c>
      <c r="BL439" s="4">
        <v>-1774.4994100000001</v>
      </c>
      <c r="BM439" t="s">
        <v>1075</v>
      </c>
      <c r="BN439" t="s">
        <v>65</v>
      </c>
      <c r="BO439">
        <v>5</v>
      </c>
      <c r="BP439">
        <v>2023</v>
      </c>
      <c r="BQ439" t="str">
        <f t="shared" si="31"/>
        <v>CS15</v>
      </c>
      <c r="BR439">
        <f t="shared" si="32"/>
        <v>-1554.5311300000001</v>
      </c>
      <c r="BS439">
        <f t="shared" si="33"/>
        <v>178.35972000000001</v>
      </c>
      <c r="BT439" s="6">
        <f t="shared" si="34"/>
        <v>-585.39612957160932</v>
      </c>
    </row>
    <row r="440" spans="1:72">
      <c r="A440" s="3" t="s">
        <v>967</v>
      </c>
      <c r="B440" s="3" t="s">
        <v>1066</v>
      </c>
      <c r="C440" s="3" t="s">
        <v>120</v>
      </c>
      <c r="D440" s="2" t="s">
        <v>1070</v>
      </c>
      <c r="E440" s="4" t="str">
        <f t="shared" si="30"/>
        <v>CS1C1-085-0020</v>
      </c>
      <c r="F440">
        <v>2.6</v>
      </c>
      <c r="G440">
        <v>1.5</v>
      </c>
      <c r="H440" t="s">
        <v>72</v>
      </c>
      <c r="I440" t="s">
        <v>75</v>
      </c>
      <c r="J440" t="s">
        <v>95</v>
      </c>
      <c r="K440" t="s">
        <v>79</v>
      </c>
      <c r="N440" s="5">
        <v>45097</v>
      </c>
      <c r="O440" s="5">
        <v>45127</v>
      </c>
      <c r="P440">
        <v>1.5</v>
      </c>
      <c r="Q440" s="4">
        <v>240</v>
      </c>
      <c r="R440">
        <v>0.41599999999999998</v>
      </c>
      <c r="S440" t="s">
        <v>70</v>
      </c>
      <c r="T440" s="6">
        <v>1</v>
      </c>
      <c r="U440" s="5">
        <v>45172</v>
      </c>
      <c r="V440" s="6">
        <v>2</v>
      </c>
      <c r="W440" t="s">
        <v>71</v>
      </c>
      <c r="X440" s="6">
        <v>45</v>
      </c>
      <c r="Y440">
        <v>9.356819999999999</v>
      </c>
      <c r="Z440">
        <v>3.5987769230769224</v>
      </c>
      <c r="AA440" s="6">
        <v>73.000014962348317</v>
      </c>
      <c r="AB440" s="4">
        <v>45.536533333333331</v>
      </c>
      <c r="AC440" s="6">
        <v>13.698627329265294</v>
      </c>
      <c r="AD440">
        <v>0.29516955900000003</v>
      </c>
      <c r="AE440">
        <v>1.9295027264961375</v>
      </c>
      <c r="AF440">
        <v>16850</v>
      </c>
      <c r="AG440" s="4"/>
      <c r="AH440" s="4"/>
      <c r="AI440" t="s">
        <v>73</v>
      </c>
      <c r="AJ440" t="s">
        <v>73</v>
      </c>
      <c r="AK440" t="s">
        <v>131</v>
      </c>
      <c r="AL440">
        <v>73</v>
      </c>
      <c r="AM440">
        <v>9.356819999999999</v>
      </c>
      <c r="AN440" t="s">
        <v>73</v>
      </c>
      <c r="AO440" t="s">
        <v>176</v>
      </c>
      <c r="AP440" s="5">
        <v>45127</v>
      </c>
      <c r="AQ440" t="s">
        <v>194</v>
      </c>
      <c r="AR440" s="5">
        <v>45168</v>
      </c>
      <c r="AS440">
        <v>148.6707022257562</v>
      </c>
      <c r="AT440" s="6"/>
      <c r="AU440">
        <v>57.236881761111142</v>
      </c>
      <c r="AV440">
        <v>54.214180672493427</v>
      </c>
      <c r="AW440">
        <v>78.773133393610209</v>
      </c>
      <c r="AX440">
        <v>190.2241958272148</v>
      </c>
      <c r="AY440">
        <v>55.354160922193657</v>
      </c>
      <c r="AZ440">
        <v>62.630488777170029</v>
      </c>
      <c r="BA440">
        <v>44.631271094239288</v>
      </c>
      <c r="BB440">
        <v>60.606069155973941</v>
      </c>
      <c r="BC440">
        <v>107.02432664088867</v>
      </c>
      <c r="BD440">
        <v>330.24631659046554</v>
      </c>
      <c r="BE440">
        <v>-371.79981019192417</v>
      </c>
      <c r="BF440">
        <v>65.373014549815011</v>
      </c>
      <c r="BG440">
        <v>55.43842779918819</v>
      </c>
      <c r="BH440">
        <v>120.81144234900319</v>
      </c>
      <c r="BI440">
        <v>641.28195476668361</v>
      </c>
      <c r="BJ440" s="6">
        <v>150</v>
      </c>
      <c r="BK440">
        <v>-492.61125254092741</v>
      </c>
      <c r="BL440" s="4">
        <v>-4609.2748200000005</v>
      </c>
      <c r="BM440" t="s">
        <v>1071</v>
      </c>
      <c r="BN440" t="s">
        <v>65</v>
      </c>
      <c r="BO440">
        <v>9</v>
      </c>
      <c r="BP440">
        <v>2023</v>
      </c>
      <c r="BQ440" t="str">
        <f t="shared" si="31"/>
        <v>CS19</v>
      </c>
      <c r="BR440">
        <f t="shared" si="32"/>
        <v>-4596.8368200000004</v>
      </c>
      <c r="BS440">
        <f t="shared" si="33"/>
        <v>1391.085</v>
      </c>
      <c r="BT440" s="6">
        <f t="shared" si="34"/>
        <v>-491.28195476668361</v>
      </c>
    </row>
    <row r="441" spans="1:72">
      <c r="A441" s="3" t="s">
        <v>967</v>
      </c>
      <c r="B441" s="3" t="s">
        <v>1066</v>
      </c>
      <c r="C441" s="3" t="s">
        <v>120</v>
      </c>
      <c r="D441" s="2" t="s">
        <v>1069</v>
      </c>
      <c r="E441" s="4" t="str">
        <f t="shared" si="30"/>
        <v>CS1C1-084-0020</v>
      </c>
      <c r="F441">
        <v>2.25</v>
      </c>
      <c r="G441">
        <v>1.5</v>
      </c>
      <c r="H441" t="s">
        <v>72</v>
      </c>
      <c r="I441" t="s">
        <v>75</v>
      </c>
      <c r="J441" t="s">
        <v>95</v>
      </c>
      <c r="K441" t="s">
        <v>79</v>
      </c>
      <c r="N441" s="5">
        <v>45097</v>
      </c>
      <c r="O441" s="5">
        <v>45128</v>
      </c>
      <c r="P441">
        <v>1.5</v>
      </c>
      <c r="Q441" s="4">
        <v>278</v>
      </c>
      <c r="R441">
        <v>0.42</v>
      </c>
      <c r="S441" t="s">
        <v>70</v>
      </c>
      <c r="T441" s="6">
        <v>1</v>
      </c>
      <c r="U441" s="5">
        <v>45167</v>
      </c>
      <c r="V441" s="6">
        <v>2</v>
      </c>
      <c r="W441" t="s">
        <v>71</v>
      </c>
      <c r="X441" s="6">
        <v>39</v>
      </c>
      <c r="Y441">
        <v>5.8761800000000006</v>
      </c>
      <c r="Z441">
        <v>2.6116355555555559</v>
      </c>
      <c r="AA441" s="6">
        <v>167.9999591571395</v>
      </c>
      <c r="AB441" s="4">
        <v>65.813200000000009</v>
      </c>
      <c r="AC441" s="6">
        <v>5.9523823994781191</v>
      </c>
      <c r="AD441">
        <v>0.141855922</v>
      </c>
      <c r="AE441">
        <v>2.0064817462586979</v>
      </c>
      <c r="AF441">
        <v>10525</v>
      </c>
      <c r="AG441" s="4"/>
      <c r="AH441" s="4"/>
      <c r="AI441" t="s">
        <v>73</v>
      </c>
      <c r="AJ441" t="s">
        <v>73</v>
      </c>
      <c r="AK441" t="s">
        <v>136</v>
      </c>
      <c r="AL441">
        <v>168</v>
      </c>
      <c r="AM441">
        <v>5.8761800000000006</v>
      </c>
      <c r="AN441" t="s">
        <v>73</v>
      </c>
      <c r="AO441" t="s">
        <v>189</v>
      </c>
      <c r="AP441" s="5">
        <v>45130</v>
      </c>
      <c r="AQ441" t="s">
        <v>105</v>
      </c>
      <c r="AR441" s="5">
        <v>45161</v>
      </c>
      <c r="AS441">
        <v>64.633336623452649</v>
      </c>
      <c r="AT441" s="6"/>
      <c r="AU441">
        <v>88.398381261295597</v>
      </c>
      <c r="AV441">
        <v>53.799173953146429</v>
      </c>
      <c r="AW441">
        <v>104.01065828480408</v>
      </c>
      <c r="AX441">
        <v>246.20821349924611</v>
      </c>
      <c r="AY441">
        <v>70.36719093016211</v>
      </c>
      <c r="AZ441">
        <v>65.474406842540546</v>
      </c>
      <c r="BA441">
        <v>57.533438390246729</v>
      </c>
      <c r="BB441">
        <v>76.79776657624511</v>
      </c>
      <c r="BC441">
        <v>140.02793311300877</v>
      </c>
      <c r="BD441">
        <v>410.20073585220325</v>
      </c>
      <c r="BE441">
        <v>-591.77561272799676</v>
      </c>
      <c r="BF441">
        <v>84.858140832990145</v>
      </c>
      <c r="BG441">
        <v>71.117043725685733</v>
      </c>
      <c r="BH441">
        <v>155.97518455867586</v>
      </c>
      <c r="BI441">
        <v>812.38413391012534</v>
      </c>
      <c r="BJ441" s="6">
        <v>150</v>
      </c>
      <c r="BK441">
        <v>-747.75079728667265</v>
      </c>
      <c r="BL441" s="4">
        <v>-4393.9182799999999</v>
      </c>
      <c r="BM441" t="s">
        <v>1068</v>
      </c>
      <c r="BN441" t="s">
        <v>65</v>
      </c>
      <c r="BO441">
        <v>8</v>
      </c>
      <c r="BP441">
        <v>2023</v>
      </c>
      <c r="BQ441" t="str">
        <f t="shared" si="31"/>
        <v>CS18</v>
      </c>
      <c r="BR441">
        <f t="shared" si="32"/>
        <v>-3892.2884000000008</v>
      </c>
      <c r="BS441">
        <f t="shared" si="33"/>
        <v>379.79712000000001</v>
      </c>
      <c r="BT441" s="6">
        <f t="shared" si="34"/>
        <v>-662.38413391012534</v>
      </c>
    </row>
    <row r="442" spans="1:72">
      <c r="A442" s="3" t="s">
        <v>967</v>
      </c>
      <c r="B442" s="3" t="s">
        <v>999</v>
      </c>
      <c r="C442" s="3" t="s">
        <v>1020</v>
      </c>
      <c r="D442" s="2" t="s">
        <v>1024</v>
      </c>
      <c r="E442" s="4" t="str">
        <f t="shared" si="30"/>
        <v>Roiphet3A1-008-0023</v>
      </c>
      <c r="F442">
        <v>4.4000000000000004</v>
      </c>
      <c r="G442">
        <v>1.5</v>
      </c>
      <c r="H442" t="s">
        <v>72</v>
      </c>
      <c r="I442" t="s">
        <v>75</v>
      </c>
      <c r="J442" t="s">
        <v>68</v>
      </c>
      <c r="K442" t="s">
        <v>79</v>
      </c>
      <c r="L442" t="s">
        <v>79</v>
      </c>
      <c r="M442">
        <v>2.5304099142040037</v>
      </c>
      <c r="N442" s="5">
        <v>45075</v>
      </c>
      <c r="O442" s="5">
        <v>45132</v>
      </c>
      <c r="P442">
        <v>1</v>
      </c>
      <c r="Q442" s="4">
        <v>95</v>
      </c>
      <c r="R442">
        <v>1.383</v>
      </c>
      <c r="S442" t="s">
        <v>70</v>
      </c>
      <c r="T442" s="6">
        <v>3</v>
      </c>
      <c r="U442" s="5">
        <v>45194</v>
      </c>
      <c r="V442" s="6">
        <v>1</v>
      </c>
      <c r="W442" t="s">
        <v>86</v>
      </c>
      <c r="X442" s="6">
        <v>61.999999999999993</v>
      </c>
      <c r="Y442">
        <v>20.467929999999999</v>
      </c>
      <c r="Z442">
        <v>4.6518022727272719</v>
      </c>
      <c r="AA442" s="6">
        <v>34.000262850224715</v>
      </c>
      <c r="AB442" s="4">
        <v>69.591499999999996</v>
      </c>
      <c r="AC442" s="6">
        <v>29.411537328553059</v>
      </c>
      <c r="AD442">
        <v>0.45207684999999997</v>
      </c>
      <c r="AE442">
        <v>1.3741352379624967</v>
      </c>
      <c r="AF442">
        <v>26225</v>
      </c>
      <c r="AG442" s="4">
        <v>10800</v>
      </c>
      <c r="AH442" s="4">
        <v>66360</v>
      </c>
      <c r="AI442" t="s">
        <v>73</v>
      </c>
      <c r="AL442">
        <v>34</v>
      </c>
      <c r="AM442">
        <v>8.7156599999999997</v>
      </c>
      <c r="AN442" t="s">
        <v>73</v>
      </c>
      <c r="AO442" t="s">
        <v>92</v>
      </c>
      <c r="AP442" s="5">
        <v>45133</v>
      </c>
      <c r="AQ442" t="s">
        <v>90</v>
      </c>
      <c r="AR442" s="5">
        <v>45187</v>
      </c>
      <c r="AS442">
        <v>187.35623045417881</v>
      </c>
      <c r="AT442" s="6"/>
      <c r="AU442">
        <v>31.756997410094723</v>
      </c>
      <c r="AV442">
        <v>39.345459457795691</v>
      </c>
      <c r="AW442">
        <v>58.712925049089016</v>
      </c>
      <c r="AX442">
        <v>129.81538191697942</v>
      </c>
      <c r="AY442">
        <v>46.891303126403102</v>
      </c>
      <c r="AZ442">
        <v>32.021130617507481</v>
      </c>
      <c r="BA442">
        <v>12.812073326418448</v>
      </c>
      <c r="BB442">
        <v>23.127892268539124</v>
      </c>
      <c r="BC442">
        <v>25.588656009669766</v>
      </c>
      <c r="BD442">
        <v>140.44105534853796</v>
      </c>
      <c r="BE442">
        <v>-82.900206811338563</v>
      </c>
      <c r="BF442">
        <v>15.848493228186731</v>
      </c>
      <c r="BH442">
        <v>15.848493228186731</v>
      </c>
      <c r="BI442">
        <v>286.10493049370399</v>
      </c>
      <c r="BJ442" s="6">
        <v>189</v>
      </c>
      <c r="BK442">
        <v>-98.748700039525175</v>
      </c>
      <c r="BL442" s="4">
        <v>-2021.1814799999986</v>
      </c>
      <c r="BM442" t="s">
        <v>1021</v>
      </c>
      <c r="BN442" t="s">
        <v>65</v>
      </c>
      <c r="BO442">
        <v>9</v>
      </c>
      <c r="BP442">
        <v>2023</v>
      </c>
      <c r="BQ442" t="str">
        <f t="shared" si="31"/>
        <v>Roiphet39</v>
      </c>
      <c r="BR442">
        <f t="shared" si="32"/>
        <v>-1987.5369199999986</v>
      </c>
      <c r="BS442">
        <f t="shared" si="33"/>
        <v>3834.79421</v>
      </c>
      <c r="BT442" s="6">
        <f t="shared" si="34"/>
        <v>-97.104930493703989</v>
      </c>
    </row>
    <row r="443" spans="1:72">
      <c r="A443" s="3" t="s">
        <v>967</v>
      </c>
      <c r="B443" s="3" t="s">
        <v>999</v>
      </c>
      <c r="C443" s="3" t="s">
        <v>1020</v>
      </c>
      <c r="D443" s="2" t="s">
        <v>1022</v>
      </c>
      <c r="E443" s="4" t="str">
        <f t="shared" si="30"/>
        <v>Roiphet3A1-016-0031</v>
      </c>
      <c r="F443">
        <v>4.5</v>
      </c>
      <c r="G443">
        <v>1.5</v>
      </c>
      <c r="H443" t="s">
        <v>72</v>
      </c>
      <c r="I443" t="s">
        <v>75</v>
      </c>
      <c r="J443" t="s">
        <v>68</v>
      </c>
      <c r="K443" t="s">
        <v>79</v>
      </c>
      <c r="N443" s="5">
        <v>45170</v>
      </c>
      <c r="O443" s="5">
        <v>45182</v>
      </c>
      <c r="P443">
        <v>1.5</v>
      </c>
      <c r="Q443" s="4">
        <v>139</v>
      </c>
      <c r="R443">
        <v>1.377</v>
      </c>
      <c r="S443" t="s">
        <v>70</v>
      </c>
      <c r="T443" s="6">
        <v>1</v>
      </c>
      <c r="U443" s="5">
        <v>45217</v>
      </c>
      <c r="V443" s="6">
        <v>2</v>
      </c>
      <c r="W443" t="s">
        <v>71</v>
      </c>
      <c r="X443" s="6">
        <v>35</v>
      </c>
      <c r="Y443">
        <v>12.61149</v>
      </c>
      <c r="Z443">
        <v>2.8025533333333335</v>
      </c>
      <c r="AA443" s="6">
        <v>96.000155413832942</v>
      </c>
      <c r="AB443" s="4">
        <v>80.713666666666654</v>
      </c>
      <c r="AC443" s="6">
        <v>10.416649803213829</v>
      </c>
      <c r="AD443">
        <v>0.25827619000000002</v>
      </c>
      <c r="AE443">
        <v>1.3630127179753644</v>
      </c>
      <c r="AF443">
        <v>14375</v>
      </c>
      <c r="AG443" s="4"/>
      <c r="AH443" s="4"/>
      <c r="AI443" t="s">
        <v>73</v>
      </c>
      <c r="AJ443" t="s">
        <v>73</v>
      </c>
      <c r="AK443" t="s">
        <v>198</v>
      </c>
      <c r="AL443">
        <v>96</v>
      </c>
      <c r="AM443">
        <v>12.61149</v>
      </c>
      <c r="AN443" t="s">
        <v>73</v>
      </c>
      <c r="AO443" t="s">
        <v>92</v>
      </c>
      <c r="AP443" s="5">
        <v>45182</v>
      </c>
      <c r="AQ443" t="s">
        <v>105</v>
      </c>
      <c r="AR443" s="5">
        <v>45215</v>
      </c>
      <c r="AS443">
        <v>100.83597893666807</v>
      </c>
      <c r="AT443" s="6"/>
      <c r="AU443">
        <v>77.310452611071341</v>
      </c>
      <c r="AV443">
        <v>33.946758868301842</v>
      </c>
      <c r="AW443">
        <v>73.553407250055272</v>
      </c>
      <c r="AX443">
        <v>184.81061872942846</v>
      </c>
      <c r="AY443">
        <v>46.382345781505599</v>
      </c>
      <c r="AZ443">
        <v>36.495754268528138</v>
      </c>
      <c r="BA443">
        <v>19.731077771143617</v>
      </c>
      <c r="BB443">
        <v>39.273624290230572</v>
      </c>
      <c r="BC443">
        <v>26.962481832043643</v>
      </c>
      <c r="BD443">
        <v>168.84528394345156</v>
      </c>
      <c r="BE443">
        <v>-252.81992373621193</v>
      </c>
      <c r="BF443">
        <v>20.23164114628803</v>
      </c>
      <c r="BH443">
        <v>20.23164114628803</v>
      </c>
      <c r="BI443">
        <v>373.88754381916812</v>
      </c>
      <c r="BJ443" s="6">
        <v>150</v>
      </c>
      <c r="BK443">
        <v>-273.05156488250003</v>
      </c>
      <c r="BL443" s="4">
        <v>-3443.5870800000007</v>
      </c>
      <c r="BM443" t="s">
        <v>1023</v>
      </c>
      <c r="BN443" t="s">
        <v>65</v>
      </c>
      <c r="BO443">
        <v>10</v>
      </c>
      <c r="BP443">
        <v>2023</v>
      </c>
      <c r="BQ443" t="str">
        <f t="shared" si="31"/>
        <v>Roiphet310</v>
      </c>
      <c r="BR443">
        <f t="shared" si="32"/>
        <v>-2823.5555200000003</v>
      </c>
      <c r="BS443">
        <f t="shared" si="33"/>
        <v>1271.6919399999999</v>
      </c>
      <c r="BT443" s="6">
        <f t="shared" si="34"/>
        <v>-223.88754381916812</v>
      </c>
    </row>
    <row r="444" spans="1:72">
      <c r="A444" s="3" t="s">
        <v>967</v>
      </c>
      <c r="B444" s="3" t="s">
        <v>999</v>
      </c>
      <c r="C444" s="3" t="s">
        <v>1001</v>
      </c>
      <c r="D444" s="2" t="s">
        <v>1016</v>
      </c>
      <c r="E444" s="4" t="str">
        <f t="shared" si="30"/>
        <v>Roiphet3A1-016-0029</v>
      </c>
      <c r="F444">
        <v>4.5</v>
      </c>
      <c r="G444">
        <v>1.5</v>
      </c>
      <c r="H444" t="s">
        <v>72</v>
      </c>
      <c r="I444" t="s">
        <v>75</v>
      </c>
      <c r="J444" t="s">
        <v>68</v>
      </c>
      <c r="K444" t="s">
        <v>79</v>
      </c>
      <c r="L444" t="s">
        <v>79</v>
      </c>
      <c r="M444">
        <v>4.6227046585255538</v>
      </c>
      <c r="N444" s="5">
        <v>44844</v>
      </c>
      <c r="O444" s="5">
        <v>44879</v>
      </c>
      <c r="P444">
        <v>1.4</v>
      </c>
      <c r="Q444" s="4">
        <v>130</v>
      </c>
      <c r="R444">
        <v>0.5</v>
      </c>
      <c r="S444" t="s">
        <v>70</v>
      </c>
      <c r="T444" s="6">
        <v>6</v>
      </c>
      <c r="U444" s="5">
        <v>45009</v>
      </c>
      <c r="V444" s="6">
        <v>1</v>
      </c>
      <c r="W444" t="s">
        <v>86</v>
      </c>
      <c r="X444" s="6">
        <v>130</v>
      </c>
      <c r="Y444">
        <v>27.682099999999998</v>
      </c>
      <c r="Z444">
        <v>6.1515777777777778</v>
      </c>
      <c r="AA444" s="6">
        <v>29.162093916285254</v>
      </c>
      <c r="AB444" s="4">
        <v>57.661999999999999</v>
      </c>
      <c r="AC444" s="6">
        <v>34.291090443322418</v>
      </c>
      <c r="AD444">
        <v>0.33060200700000003</v>
      </c>
      <c r="AE444">
        <v>2.0485803551243231</v>
      </c>
      <c r="AF444">
        <v>55275</v>
      </c>
      <c r="AG444" s="4">
        <v>12240</v>
      </c>
      <c r="AH444" s="4">
        <v>255520</v>
      </c>
      <c r="AL444">
        <v>23</v>
      </c>
      <c r="AM444">
        <v>5.3489199999999997</v>
      </c>
      <c r="AN444" t="s">
        <v>81</v>
      </c>
      <c r="AO444" t="s">
        <v>92</v>
      </c>
      <c r="AP444" s="5">
        <v>44879</v>
      </c>
      <c r="AQ444" t="s">
        <v>116</v>
      </c>
      <c r="AR444" s="5">
        <v>45005</v>
      </c>
      <c r="AS444">
        <v>280.89299619609784</v>
      </c>
      <c r="AT444" s="6"/>
      <c r="AU444">
        <v>22.758388995054567</v>
      </c>
      <c r="AV444">
        <v>70.736937587827526</v>
      </c>
      <c r="AW444">
        <v>39.06350096271597</v>
      </c>
      <c r="AX444">
        <v>132.55882754559806</v>
      </c>
      <c r="AY444">
        <v>24.04050559747996</v>
      </c>
      <c r="AZ444">
        <v>28.956673807261737</v>
      </c>
      <c r="BA444">
        <v>3.926561568667116</v>
      </c>
      <c r="BB444">
        <v>9.3954176164380616</v>
      </c>
      <c r="BC444">
        <v>16.069910158550105</v>
      </c>
      <c r="BD444">
        <v>82.389068748396966</v>
      </c>
      <c r="BE444">
        <v>65.945099902102811</v>
      </c>
      <c r="BF444">
        <v>6.3054374487484681</v>
      </c>
      <c r="BH444">
        <v>6.3054374487484681</v>
      </c>
      <c r="BI444">
        <v>221.25333374274348</v>
      </c>
      <c r="BJ444" s="6">
        <v>200</v>
      </c>
      <c r="BK444">
        <v>59.639662453354354</v>
      </c>
      <c r="BL444" s="4">
        <v>1650.9511000000005</v>
      </c>
      <c r="BM444" t="s">
        <v>1017</v>
      </c>
      <c r="BN444" t="s">
        <v>65</v>
      </c>
      <c r="BO444">
        <v>3</v>
      </c>
      <c r="BP444">
        <v>2023</v>
      </c>
      <c r="BQ444" t="str">
        <f t="shared" si="31"/>
        <v>Roiphet33</v>
      </c>
      <c r="BR444">
        <f t="shared" si="32"/>
        <v>-588.33690999999919</v>
      </c>
      <c r="BS444">
        <f t="shared" si="33"/>
        <v>7775.7080099999994</v>
      </c>
      <c r="BT444" s="6">
        <f t="shared" si="34"/>
        <v>-21.253333742743479</v>
      </c>
    </row>
    <row r="445" spans="1:72">
      <c r="A445" s="3" t="s">
        <v>967</v>
      </c>
      <c r="B445" s="3" t="s">
        <v>999</v>
      </c>
      <c r="C445" s="3" t="s">
        <v>1001</v>
      </c>
      <c r="D445" s="2" t="s">
        <v>1018</v>
      </c>
      <c r="E445" s="4" t="str">
        <f t="shared" si="30"/>
        <v>Roiphet3A1-008-0022</v>
      </c>
      <c r="F445">
        <v>4.4000000000000004</v>
      </c>
      <c r="G445">
        <v>1.5</v>
      </c>
      <c r="H445" t="s">
        <v>72</v>
      </c>
      <c r="I445" t="s">
        <v>75</v>
      </c>
      <c r="J445" t="s">
        <v>68</v>
      </c>
      <c r="K445" t="s">
        <v>79</v>
      </c>
      <c r="L445" t="s">
        <v>79</v>
      </c>
      <c r="M445">
        <v>3.5600180913613748</v>
      </c>
      <c r="N445" s="5">
        <v>44836</v>
      </c>
      <c r="O445" s="5">
        <v>44864</v>
      </c>
      <c r="P445">
        <v>1.4</v>
      </c>
      <c r="Q445" s="4">
        <v>133</v>
      </c>
      <c r="R445">
        <v>0.33</v>
      </c>
      <c r="S445" t="s">
        <v>70</v>
      </c>
      <c r="T445" s="6">
        <v>4</v>
      </c>
      <c r="U445" s="5">
        <v>44995</v>
      </c>
      <c r="V445" s="6">
        <v>1</v>
      </c>
      <c r="W445" t="s">
        <v>86</v>
      </c>
      <c r="X445" s="6">
        <v>131</v>
      </c>
      <c r="Y445">
        <v>29.321249999999999</v>
      </c>
      <c r="Z445">
        <v>6.6639204545454538</v>
      </c>
      <c r="AA445" s="6">
        <v>28.256708018928251</v>
      </c>
      <c r="AB445" s="4">
        <v>59.180142857142862</v>
      </c>
      <c r="AC445" s="6">
        <v>35.389826703455071</v>
      </c>
      <c r="AD445">
        <v>0.31554707399999998</v>
      </c>
      <c r="AE445">
        <v>1.9153244668797</v>
      </c>
      <c r="AF445">
        <v>55275</v>
      </c>
      <c r="AG445" s="4">
        <v>10880</v>
      </c>
      <c r="AH445" s="4">
        <v>196780</v>
      </c>
      <c r="AL445">
        <v>24</v>
      </c>
      <c r="AM445">
        <v>16.43131</v>
      </c>
      <c r="AN445" t="s">
        <v>81</v>
      </c>
      <c r="AO445" t="s">
        <v>105</v>
      </c>
      <c r="AP445" s="5">
        <v>44865</v>
      </c>
      <c r="AQ445" t="s">
        <v>116</v>
      </c>
      <c r="AR445" s="5">
        <v>44991</v>
      </c>
      <c r="AS445">
        <v>279.87642580040074</v>
      </c>
      <c r="AT445" s="6"/>
      <c r="AU445">
        <v>19.098776484631454</v>
      </c>
      <c r="AV445">
        <v>65.637017180372609</v>
      </c>
      <c r="AW445">
        <v>32.604400903781375</v>
      </c>
      <c r="AX445">
        <v>117.34019456878545</v>
      </c>
      <c r="AY445">
        <v>21.061968367651446</v>
      </c>
      <c r="AZ445">
        <v>25.768416080487697</v>
      </c>
      <c r="BA445">
        <v>3.8256622756533232</v>
      </c>
      <c r="BB445">
        <v>8.3646212218101219</v>
      </c>
      <c r="BC445">
        <v>14.000683122308908</v>
      </c>
      <c r="BD445">
        <v>73.021351067911496</v>
      </c>
      <c r="BE445">
        <v>89.514880163703793</v>
      </c>
      <c r="BF445">
        <v>5.5588431598243595</v>
      </c>
      <c r="BH445">
        <v>5.5588431598243595</v>
      </c>
      <c r="BI445">
        <v>195.92038879652122</v>
      </c>
      <c r="BJ445" s="6">
        <v>204</v>
      </c>
      <c r="BK445">
        <v>83.956037003879516</v>
      </c>
      <c r="BL445" s="4">
        <v>2461.6959500000021</v>
      </c>
      <c r="BM445" t="s">
        <v>1019</v>
      </c>
      <c r="BN445" t="s">
        <v>65</v>
      </c>
      <c r="BO445">
        <v>3</v>
      </c>
      <c r="BP445">
        <v>2023</v>
      </c>
      <c r="BQ445" t="str">
        <f t="shared" si="31"/>
        <v>Roiphet33</v>
      </c>
      <c r="BR445">
        <f t="shared" si="32"/>
        <v>236.90430000000208</v>
      </c>
      <c r="BS445">
        <f t="shared" si="33"/>
        <v>8206.3266499999991</v>
      </c>
      <c r="BT445" s="6">
        <f t="shared" si="34"/>
        <v>8.0796112034787768</v>
      </c>
    </row>
    <row r="446" spans="1:72">
      <c r="A446" s="3" t="s">
        <v>967</v>
      </c>
      <c r="B446" s="3" t="s">
        <v>999</v>
      </c>
      <c r="C446" s="3" t="s">
        <v>1001</v>
      </c>
      <c r="D446" s="2" t="s">
        <v>1015</v>
      </c>
      <c r="E446" s="4" t="str">
        <f t="shared" si="30"/>
        <v>Roiphet3A1-006-0011</v>
      </c>
      <c r="F446">
        <v>4.5</v>
      </c>
      <c r="G446">
        <v>1.8</v>
      </c>
      <c r="H446" t="s">
        <v>72</v>
      </c>
      <c r="I446" t="s">
        <v>75</v>
      </c>
      <c r="J446" t="s">
        <v>68</v>
      </c>
      <c r="K446" t="s">
        <v>79</v>
      </c>
      <c r="L446" t="s">
        <v>79</v>
      </c>
      <c r="M446">
        <v>3.2165725047080977</v>
      </c>
      <c r="N446" s="5">
        <v>44880</v>
      </c>
      <c r="O446" s="5">
        <v>44902</v>
      </c>
      <c r="P446">
        <v>2.2000000000000002</v>
      </c>
      <c r="Q446" s="4">
        <v>170</v>
      </c>
      <c r="R446">
        <v>0.64900000000000002</v>
      </c>
      <c r="S446" t="s">
        <v>70</v>
      </c>
      <c r="T446" s="6">
        <v>4</v>
      </c>
      <c r="U446" s="5">
        <v>44993</v>
      </c>
      <c r="V446" s="6">
        <v>1</v>
      </c>
      <c r="W446" t="s">
        <v>86</v>
      </c>
      <c r="X446" s="6">
        <v>91</v>
      </c>
      <c r="Y446">
        <v>31.498709999999999</v>
      </c>
      <c r="Z446">
        <v>6.9997133333333332</v>
      </c>
      <c r="AA446" s="6">
        <v>39.035662095368352</v>
      </c>
      <c r="AB446" s="4">
        <v>55.889681818181813</v>
      </c>
      <c r="AC446" s="6">
        <v>25.617600581665343</v>
      </c>
      <c r="AD446">
        <v>0.28986842899999998</v>
      </c>
      <c r="AE446">
        <v>1.7658238266499728</v>
      </c>
      <c r="AF446">
        <v>53100</v>
      </c>
      <c r="AG446" s="4">
        <v>12240</v>
      </c>
      <c r="AH446" s="4">
        <v>170800</v>
      </c>
      <c r="AI446" t="s">
        <v>73</v>
      </c>
      <c r="AJ446" t="s">
        <v>73</v>
      </c>
      <c r="AK446" t="s">
        <v>156</v>
      </c>
      <c r="AL446">
        <v>37</v>
      </c>
      <c r="AM446">
        <v>8.5503799999999988</v>
      </c>
      <c r="AN446" t="s">
        <v>73</v>
      </c>
      <c r="AO446" t="s">
        <v>97</v>
      </c>
      <c r="AP446" s="5">
        <v>44907</v>
      </c>
      <c r="AQ446" t="s">
        <v>116</v>
      </c>
      <c r="AR446" s="5">
        <v>44991</v>
      </c>
      <c r="AS446">
        <v>229.10729963227061</v>
      </c>
      <c r="AT446" s="6"/>
      <c r="AU446">
        <v>34.922065062347002</v>
      </c>
      <c r="AV446">
        <v>60.895599851549477</v>
      </c>
      <c r="AW446">
        <v>27.19948213752247</v>
      </c>
      <c r="AX446">
        <v>123.01714705141895</v>
      </c>
      <c r="AY446">
        <v>14.764740524294488</v>
      </c>
      <c r="AZ446">
        <v>18.557861575918505</v>
      </c>
      <c r="BA446">
        <v>2.7056609619886016</v>
      </c>
      <c r="BB446">
        <v>4.0910491255038703</v>
      </c>
      <c r="BC446">
        <v>10.047122247228538</v>
      </c>
      <c r="BD446">
        <v>50.166434434934011</v>
      </c>
      <c r="BE446">
        <v>55.923718145917654</v>
      </c>
      <c r="BF446">
        <v>3.8875814279378424</v>
      </c>
      <c r="BH446">
        <v>3.8875814279378424</v>
      </c>
      <c r="BI446">
        <v>177.07116291429077</v>
      </c>
      <c r="BJ446" s="6">
        <v>183</v>
      </c>
      <c r="BK446">
        <v>52.036136717979844</v>
      </c>
      <c r="BL446" s="4">
        <v>1639.0711799999988</v>
      </c>
      <c r="BM446" t="s">
        <v>1000</v>
      </c>
      <c r="BN446" t="s">
        <v>65</v>
      </c>
      <c r="BO446">
        <v>3</v>
      </c>
      <c r="BP446">
        <v>2023</v>
      </c>
      <c r="BQ446" t="str">
        <f t="shared" si="31"/>
        <v>Roiphet33</v>
      </c>
      <c r="BR446">
        <f t="shared" si="32"/>
        <v>186.75072000000029</v>
      </c>
      <c r="BS446">
        <f t="shared" si="33"/>
        <v>7216.5843899999982</v>
      </c>
      <c r="BT446" s="6">
        <f t="shared" si="34"/>
        <v>5.9288370857092332</v>
      </c>
    </row>
    <row r="447" spans="1:72">
      <c r="A447" s="3" t="s">
        <v>967</v>
      </c>
      <c r="B447" s="3" t="s">
        <v>999</v>
      </c>
      <c r="C447" s="3" t="s">
        <v>1001</v>
      </c>
      <c r="D447" s="2" t="s">
        <v>1013</v>
      </c>
      <c r="E447" s="4" t="str">
        <f t="shared" si="30"/>
        <v>Roiphet3A1-027-0027</v>
      </c>
      <c r="F447">
        <v>4.9000000000000004</v>
      </c>
      <c r="G447">
        <v>1.8</v>
      </c>
      <c r="H447" t="s">
        <v>72</v>
      </c>
      <c r="I447" t="s">
        <v>75</v>
      </c>
      <c r="J447" t="s">
        <v>68</v>
      </c>
      <c r="K447" t="s">
        <v>79</v>
      </c>
      <c r="L447" t="s">
        <v>79</v>
      </c>
      <c r="M447">
        <v>2.9200240529164163</v>
      </c>
      <c r="N447" s="5">
        <v>44977</v>
      </c>
      <c r="O447" s="5">
        <v>45002</v>
      </c>
      <c r="P447">
        <v>2.6</v>
      </c>
      <c r="Q447" s="4">
        <v>184</v>
      </c>
      <c r="R447">
        <v>0.42</v>
      </c>
      <c r="S447" t="s">
        <v>70</v>
      </c>
      <c r="T447" s="6">
        <v>2</v>
      </c>
      <c r="U447" s="5">
        <v>45058</v>
      </c>
      <c r="V447" s="6">
        <v>2</v>
      </c>
      <c r="W447" t="s">
        <v>71</v>
      </c>
      <c r="X447" s="6">
        <v>56</v>
      </c>
      <c r="Y447">
        <v>29.72588</v>
      </c>
      <c r="Z447">
        <v>6.0665061224489794</v>
      </c>
      <c r="AA447" s="6">
        <v>64.999959631136235</v>
      </c>
      <c r="AB447" s="4">
        <v>74.314653846153846</v>
      </c>
      <c r="AC447" s="6">
        <v>15.384624939381974</v>
      </c>
      <c r="AD447">
        <v>0.26722527499999998</v>
      </c>
      <c r="AE447">
        <v>1.4519330703381685</v>
      </c>
      <c r="AF447">
        <v>41575</v>
      </c>
      <c r="AG447" s="4">
        <v>0</v>
      </c>
      <c r="AH447" s="4">
        <v>121400</v>
      </c>
      <c r="AL447">
        <v>65</v>
      </c>
      <c r="AM447">
        <v>21.871980000000001</v>
      </c>
      <c r="AN447" t="s">
        <v>73</v>
      </c>
      <c r="AO447" t="s">
        <v>144</v>
      </c>
      <c r="AP447" s="5">
        <v>45005</v>
      </c>
      <c r="AQ447" t="s">
        <v>116</v>
      </c>
      <c r="AR447" s="5">
        <v>45054</v>
      </c>
      <c r="AS447">
        <v>144.7056648953706</v>
      </c>
      <c r="AT447" s="6"/>
      <c r="AU447">
        <v>39.359642170391588</v>
      </c>
      <c r="AV447">
        <v>44.172344098812225</v>
      </c>
      <c r="AW447">
        <v>29.058877987800514</v>
      </c>
      <c r="AX447">
        <v>112.59086425700433</v>
      </c>
      <c r="AY447">
        <v>20.910349500166177</v>
      </c>
      <c r="AZ447">
        <v>18.106630989561957</v>
      </c>
      <c r="BA447">
        <v>6.1918496609688241</v>
      </c>
      <c r="BB447">
        <v>20.676459704473004</v>
      </c>
      <c r="BC447">
        <v>13.038714413164557</v>
      </c>
      <c r="BD447">
        <v>78.924004268334528</v>
      </c>
      <c r="BE447">
        <v>-46.809203629968252</v>
      </c>
      <c r="BF447">
        <v>5.0743789586717023</v>
      </c>
      <c r="BH447">
        <v>5.0743789586717023</v>
      </c>
      <c r="BI447">
        <v>196.5892474840106</v>
      </c>
      <c r="BJ447" s="6">
        <v>155</v>
      </c>
      <c r="BK447">
        <v>-51.883582588639975</v>
      </c>
      <c r="BL447" s="4">
        <v>-1542.2851500000013</v>
      </c>
      <c r="BM447" t="s">
        <v>1014</v>
      </c>
      <c r="BN447" t="s">
        <v>65</v>
      </c>
      <c r="BO447">
        <v>5</v>
      </c>
      <c r="BP447">
        <v>2023</v>
      </c>
      <c r="BQ447" t="str">
        <f t="shared" si="31"/>
        <v>Roiphet35</v>
      </c>
      <c r="BR447">
        <f t="shared" si="32"/>
        <v>-1236.276980000001</v>
      </c>
      <c r="BS447">
        <f t="shared" si="33"/>
        <v>4301.5032299999993</v>
      </c>
      <c r="BT447" s="6">
        <f t="shared" si="34"/>
        <v>-41.589247484010599</v>
      </c>
    </row>
    <row r="448" spans="1:72">
      <c r="A448" s="3" t="s">
        <v>967</v>
      </c>
      <c r="B448" s="3" t="s">
        <v>999</v>
      </c>
      <c r="C448" s="3" t="s">
        <v>1001</v>
      </c>
      <c r="D448" s="2" t="s">
        <v>1004</v>
      </c>
      <c r="E448" s="4" t="str">
        <f t="shared" si="30"/>
        <v>Roiphet3A1-006-0012</v>
      </c>
      <c r="F448">
        <v>4.5</v>
      </c>
      <c r="G448">
        <v>1.8</v>
      </c>
      <c r="H448" t="s">
        <v>72</v>
      </c>
      <c r="I448" t="s">
        <v>75</v>
      </c>
      <c r="J448" t="s">
        <v>68</v>
      </c>
      <c r="K448" t="s">
        <v>79</v>
      </c>
      <c r="L448" t="s">
        <v>79</v>
      </c>
      <c r="M448">
        <v>3.1468438538205978</v>
      </c>
      <c r="N448" s="5">
        <v>45074</v>
      </c>
      <c r="O448" s="5">
        <v>45122</v>
      </c>
      <c r="P448">
        <v>1.5</v>
      </c>
      <c r="Q448" s="4">
        <v>116</v>
      </c>
      <c r="R448">
        <v>0.64700000000000002</v>
      </c>
      <c r="S448" t="s">
        <v>70</v>
      </c>
      <c r="T448" s="6">
        <v>1</v>
      </c>
      <c r="U448" s="5">
        <v>45163</v>
      </c>
      <c r="V448" s="6">
        <v>2</v>
      </c>
      <c r="W448" t="s">
        <v>71</v>
      </c>
      <c r="X448" s="6">
        <v>41</v>
      </c>
      <c r="Y448">
        <v>13.359669999999999</v>
      </c>
      <c r="Z448">
        <v>2.9688155555555555</v>
      </c>
      <c r="AA448" s="6">
        <v>93.00147383879991</v>
      </c>
      <c r="AB448" s="4">
        <v>82.831266666666664</v>
      </c>
      <c r="AC448" s="6">
        <v>10.752517769055002</v>
      </c>
      <c r="AD448">
        <v>0.24648019899999998</v>
      </c>
      <c r="AE448">
        <v>1.2147706424239881</v>
      </c>
      <c r="AF448">
        <v>15050</v>
      </c>
      <c r="AG448" s="4">
        <v>10500</v>
      </c>
      <c r="AH448" s="4">
        <v>47360</v>
      </c>
      <c r="AI448" t="s">
        <v>73</v>
      </c>
      <c r="AJ448" t="s">
        <v>73</v>
      </c>
      <c r="AK448" t="s">
        <v>127</v>
      </c>
      <c r="AL448">
        <v>93</v>
      </c>
      <c r="AM448">
        <v>13.34835</v>
      </c>
      <c r="AN448" t="s">
        <v>73</v>
      </c>
      <c r="AO448" t="s">
        <v>438</v>
      </c>
      <c r="AP448" s="5">
        <v>45124</v>
      </c>
      <c r="AQ448" t="s">
        <v>215</v>
      </c>
      <c r="AR448" s="5">
        <v>45159</v>
      </c>
      <c r="AS448">
        <v>97.025176520078716</v>
      </c>
      <c r="AT448" s="6"/>
      <c r="AU448">
        <v>56.139111220561588</v>
      </c>
      <c r="AV448">
        <v>34.915729205886073</v>
      </c>
      <c r="AW448">
        <v>45.326830677703867</v>
      </c>
      <c r="AX448">
        <v>136.38167110415154</v>
      </c>
      <c r="AY448">
        <v>52.187679036982203</v>
      </c>
      <c r="AZ448">
        <v>24.372831065437992</v>
      </c>
      <c r="BA448">
        <v>11.547241062092102</v>
      </c>
      <c r="BB448">
        <v>24.182116773842466</v>
      </c>
      <c r="BC448">
        <v>24.344147722211698</v>
      </c>
      <c r="BD448">
        <v>136.63401566056646</v>
      </c>
      <c r="BE448">
        <v>-175.99051024463927</v>
      </c>
      <c r="BF448">
        <v>15.348211445342585</v>
      </c>
      <c r="BH448">
        <v>15.348211445342585</v>
      </c>
      <c r="BI448">
        <v>288.3638982100606</v>
      </c>
      <c r="BJ448" s="6">
        <v>150</v>
      </c>
      <c r="BK448">
        <v>-191.33872168998192</v>
      </c>
      <c r="BL448" s="4">
        <v>-2556.2221800000007</v>
      </c>
      <c r="BM448" t="s">
        <v>1005</v>
      </c>
      <c r="BN448" t="s">
        <v>65</v>
      </c>
      <c r="BO448">
        <v>8</v>
      </c>
      <c r="BP448">
        <v>2023</v>
      </c>
      <c r="BQ448" t="str">
        <f t="shared" si="31"/>
        <v>Roiphet38</v>
      </c>
      <c r="BR448">
        <f t="shared" si="32"/>
        <v>-1848.4960200000003</v>
      </c>
      <c r="BS448">
        <f t="shared" si="33"/>
        <v>1296.22434</v>
      </c>
      <c r="BT448" s="6">
        <f t="shared" si="34"/>
        <v>-138.3638982100606</v>
      </c>
    </row>
    <row r="449" spans="1:72">
      <c r="A449" s="3" t="s">
        <v>967</v>
      </c>
      <c r="B449" s="3" t="s">
        <v>999</v>
      </c>
      <c r="C449" s="3" t="s">
        <v>1001</v>
      </c>
      <c r="D449" s="2" t="s">
        <v>1002</v>
      </c>
      <c r="E449" s="4" t="str">
        <f t="shared" si="30"/>
        <v>Roiphet3A1-026-0022</v>
      </c>
      <c r="F449">
        <v>4.9000000000000004</v>
      </c>
      <c r="G449">
        <v>1.8</v>
      </c>
      <c r="H449" t="s">
        <v>72</v>
      </c>
      <c r="I449" t="s">
        <v>75</v>
      </c>
      <c r="J449" t="s">
        <v>112</v>
      </c>
      <c r="K449" t="s">
        <v>79</v>
      </c>
      <c r="L449" t="s">
        <v>79</v>
      </c>
      <c r="M449">
        <v>3.3598811292719168</v>
      </c>
      <c r="N449" s="5">
        <v>44995</v>
      </c>
      <c r="O449" s="5">
        <v>45016</v>
      </c>
      <c r="P449">
        <v>4</v>
      </c>
      <c r="Q449" s="4">
        <v>283</v>
      </c>
      <c r="R449">
        <v>0.42899999999999999</v>
      </c>
      <c r="S449" t="s">
        <v>70</v>
      </c>
      <c r="T449" s="6">
        <v>3</v>
      </c>
      <c r="U449" s="5">
        <v>45060</v>
      </c>
      <c r="V449" s="6">
        <v>2</v>
      </c>
      <c r="W449" t="s">
        <v>71</v>
      </c>
      <c r="X449" s="6">
        <v>44</v>
      </c>
      <c r="Y449">
        <v>27.213570000000001</v>
      </c>
      <c r="Z449">
        <v>5.5537897959183669</v>
      </c>
      <c r="AA449" s="6">
        <v>100</v>
      </c>
      <c r="AB449" s="4">
        <v>68.033924999999996</v>
      </c>
      <c r="AC449" s="6">
        <v>10</v>
      </c>
      <c r="AD449">
        <v>0.217522727</v>
      </c>
      <c r="AE449">
        <v>1.319653901645979</v>
      </c>
      <c r="AF449">
        <v>33650</v>
      </c>
      <c r="AG449" s="4">
        <v>10192</v>
      </c>
      <c r="AH449" s="4">
        <v>113060</v>
      </c>
      <c r="AL449">
        <v>100</v>
      </c>
      <c r="AM449">
        <v>8.6098300000000005</v>
      </c>
      <c r="AN449" t="s">
        <v>73</v>
      </c>
      <c r="AO449" t="s">
        <v>127</v>
      </c>
      <c r="AP449" s="5">
        <v>45026</v>
      </c>
      <c r="AQ449" t="s">
        <v>116</v>
      </c>
      <c r="AR449" s="5">
        <v>45054</v>
      </c>
      <c r="AS449">
        <v>105.93945888025716</v>
      </c>
      <c r="AT449" s="6"/>
      <c r="AU449">
        <v>66.143471804691558</v>
      </c>
      <c r="AV449">
        <v>39.397416068527583</v>
      </c>
      <c r="AW449">
        <v>27.2492083912548</v>
      </c>
      <c r="AX449">
        <v>132.79009626447393</v>
      </c>
      <c r="AY449">
        <v>21.144104944702217</v>
      </c>
      <c r="AZ449">
        <v>17.118993208167836</v>
      </c>
      <c r="BA449">
        <v>6.8737971534054516</v>
      </c>
      <c r="BB449">
        <v>23.508459566311952</v>
      </c>
      <c r="BC449">
        <v>12.579692410808283</v>
      </c>
      <c r="BD449">
        <v>81.225047283395739</v>
      </c>
      <c r="BE449">
        <v>-108.07568466761251</v>
      </c>
      <c r="BF449">
        <v>5.0651461752353706</v>
      </c>
      <c r="BH449">
        <v>5.0651461752353706</v>
      </c>
      <c r="BI449">
        <v>219.08028972310504</v>
      </c>
      <c r="BJ449" s="6">
        <v>150</v>
      </c>
      <c r="BK449">
        <v>-113.14083084284789</v>
      </c>
      <c r="BL449" s="4">
        <v>-3078.9659200000001</v>
      </c>
      <c r="BM449" t="s">
        <v>1003</v>
      </c>
      <c r="BN449" t="s">
        <v>65</v>
      </c>
      <c r="BO449">
        <v>5</v>
      </c>
      <c r="BP449">
        <v>2023</v>
      </c>
      <c r="BQ449" t="str">
        <f t="shared" si="31"/>
        <v>Roiphet35</v>
      </c>
      <c r="BR449">
        <f t="shared" si="32"/>
        <v>-1879.9212999999997</v>
      </c>
      <c r="BS449">
        <f t="shared" si="33"/>
        <v>2882.9908799999998</v>
      </c>
      <c r="BT449" s="6">
        <f t="shared" si="34"/>
        <v>-69.080289723105039</v>
      </c>
    </row>
    <row r="450" spans="1:72">
      <c r="A450" s="3" t="s">
        <v>967</v>
      </c>
      <c r="B450" s="3" t="s">
        <v>999</v>
      </c>
      <c r="C450" s="3" t="s">
        <v>1001</v>
      </c>
      <c r="D450" s="2" t="s">
        <v>1008</v>
      </c>
      <c r="E450" s="4" t="str">
        <f t="shared" si="30"/>
        <v>Roiphet3A1-024-0032</v>
      </c>
      <c r="F450">
        <v>4.5</v>
      </c>
      <c r="G450">
        <v>1.8</v>
      </c>
      <c r="H450" t="s">
        <v>72</v>
      </c>
      <c r="I450" t="s">
        <v>75</v>
      </c>
      <c r="J450" t="s">
        <v>68</v>
      </c>
      <c r="K450" t="s">
        <v>79</v>
      </c>
      <c r="L450" t="s">
        <v>79</v>
      </c>
      <c r="M450">
        <v>4.1569620253164556</v>
      </c>
      <c r="N450" s="5">
        <v>44964</v>
      </c>
      <c r="O450" s="5">
        <v>44999</v>
      </c>
      <c r="P450">
        <v>2</v>
      </c>
      <c r="Q450" s="4">
        <v>154</v>
      </c>
      <c r="R450">
        <v>0.45</v>
      </c>
      <c r="S450" t="s">
        <v>70</v>
      </c>
      <c r="T450" s="6">
        <v>1</v>
      </c>
      <c r="U450" s="5">
        <v>45053</v>
      </c>
      <c r="V450" s="6">
        <v>2</v>
      </c>
      <c r="W450" t="s">
        <v>71</v>
      </c>
      <c r="X450" s="6">
        <v>53.999999999999993</v>
      </c>
      <c r="Y450">
        <v>14.10173</v>
      </c>
      <c r="Z450">
        <v>3.1337177777777776</v>
      </c>
      <c r="AA450" s="6">
        <v>86.000015600922723</v>
      </c>
      <c r="AB450" s="4">
        <v>60.637450000000001</v>
      </c>
      <c r="AC450" s="6">
        <v>11.627904867371567</v>
      </c>
      <c r="AD450">
        <v>0.20699827700000001</v>
      </c>
      <c r="AE450">
        <v>1.7952274219852489</v>
      </c>
      <c r="AF450">
        <v>23700</v>
      </c>
      <c r="AG450" s="4">
        <v>24480</v>
      </c>
      <c r="AH450" s="4">
        <v>98520</v>
      </c>
      <c r="AL450">
        <v>86</v>
      </c>
      <c r="AM450">
        <v>14.10173</v>
      </c>
      <c r="AN450" t="s">
        <v>73</v>
      </c>
      <c r="AO450" t="s">
        <v>144</v>
      </c>
      <c r="AP450" s="5">
        <v>45005</v>
      </c>
      <c r="AQ450" t="s">
        <v>127</v>
      </c>
      <c r="AR450" s="5">
        <v>45047</v>
      </c>
      <c r="AS450">
        <v>120.08119925711244</v>
      </c>
      <c r="AT450" s="6"/>
      <c r="AU450">
        <v>63.821956596814708</v>
      </c>
      <c r="AV450">
        <v>55.500583970902859</v>
      </c>
      <c r="AW450">
        <v>44.280501044907247</v>
      </c>
      <c r="AX450">
        <v>163.60304161262482</v>
      </c>
      <c r="AY450">
        <v>37.839391337091264</v>
      </c>
      <c r="AZ450">
        <v>36.515447395461415</v>
      </c>
      <c r="BA450">
        <v>10.529340017146833</v>
      </c>
      <c r="BB450">
        <v>31.110145350960487</v>
      </c>
      <c r="BC450">
        <v>24.912692272508409</v>
      </c>
      <c r="BD450">
        <v>140.9070163731684</v>
      </c>
      <c r="BE450">
        <v>-184.42885872868078</v>
      </c>
      <c r="BF450">
        <v>9.3430103965967284</v>
      </c>
      <c r="BH450">
        <v>9.3430103965967284</v>
      </c>
      <c r="BI450">
        <v>313.85306838238995</v>
      </c>
      <c r="BJ450" s="6">
        <v>150</v>
      </c>
      <c r="BK450">
        <v>-193.77186912527748</v>
      </c>
      <c r="BL450" s="4">
        <v>-2732.518579999999</v>
      </c>
      <c r="BM450" t="s">
        <v>1009</v>
      </c>
      <c r="BN450" t="s">
        <v>65</v>
      </c>
      <c r="BO450">
        <v>5</v>
      </c>
      <c r="BP450">
        <v>2023</v>
      </c>
      <c r="BQ450" t="str">
        <f t="shared" si="31"/>
        <v>Roiphet35</v>
      </c>
      <c r="BR450">
        <f t="shared" si="32"/>
        <v>-2310.6117299999996</v>
      </c>
      <c r="BS450">
        <f t="shared" si="33"/>
        <v>1693.3526500000003</v>
      </c>
      <c r="BT450" s="6">
        <f t="shared" si="34"/>
        <v>-163.85306838238995</v>
      </c>
    </row>
    <row r="451" spans="1:72">
      <c r="A451" s="3" t="s">
        <v>967</v>
      </c>
      <c r="B451" s="3" t="s">
        <v>999</v>
      </c>
      <c r="C451" s="3" t="s">
        <v>1001</v>
      </c>
      <c r="D451" s="2" t="s">
        <v>1010</v>
      </c>
      <c r="E451" s="4" t="str">
        <f t="shared" si="30"/>
        <v>Roiphet3A1-007-0012</v>
      </c>
      <c r="F451">
        <v>4.5</v>
      </c>
      <c r="G451">
        <v>1.8</v>
      </c>
      <c r="H451" t="s">
        <v>72</v>
      </c>
      <c r="I451" t="s">
        <v>75</v>
      </c>
      <c r="J451" t="s">
        <v>68</v>
      </c>
      <c r="K451" t="s">
        <v>79</v>
      </c>
      <c r="L451" t="s">
        <v>79</v>
      </c>
      <c r="M451">
        <v>3.3410169491525425</v>
      </c>
      <c r="N451" s="5">
        <v>44870</v>
      </c>
      <c r="O451" s="5">
        <v>44895</v>
      </c>
      <c r="P451">
        <v>1.4</v>
      </c>
      <c r="Q451" s="4">
        <v>108</v>
      </c>
      <c r="R451">
        <v>0.4</v>
      </c>
      <c r="S451" t="s">
        <v>70</v>
      </c>
      <c r="T451" s="6">
        <v>2</v>
      </c>
      <c r="U451" s="5">
        <v>44960</v>
      </c>
      <c r="V451" s="6">
        <v>2</v>
      </c>
      <c r="W451" t="s">
        <v>71</v>
      </c>
      <c r="X451" s="6">
        <v>65</v>
      </c>
      <c r="Y451">
        <v>19.343360000000001</v>
      </c>
      <c r="Z451">
        <v>4.2985244444444444</v>
      </c>
      <c r="AA451" s="6">
        <v>75.000051697326626</v>
      </c>
      <c r="AB451" s="4">
        <v>103.62521428571429</v>
      </c>
      <c r="AC451" s="6">
        <v>13.333324142703823</v>
      </c>
      <c r="AD451">
        <v>0.19897435899999999</v>
      </c>
      <c r="AE451">
        <v>1.17790427271798</v>
      </c>
      <c r="AF451">
        <v>22125</v>
      </c>
      <c r="AG451" s="4">
        <v>10080</v>
      </c>
      <c r="AH451" s="4">
        <v>73920</v>
      </c>
      <c r="AI451" t="s">
        <v>73</v>
      </c>
      <c r="AJ451" t="s">
        <v>73</v>
      </c>
      <c r="AK451" t="s">
        <v>1011</v>
      </c>
      <c r="AL451">
        <v>75</v>
      </c>
      <c r="AM451">
        <v>10.98752</v>
      </c>
      <c r="AN451" t="s">
        <v>73</v>
      </c>
      <c r="AO451" t="s">
        <v>94</v>
      </c>
      <c r="AP451" s="5">
        <v>44900</v>
      </c>
      <c r="AQ451" t="s">
        <v>198</v>
      </c>
      <c r="AR451" s="5">
        <v>44956</v>
      </c>
      <c r="AS451">
        <v>179.27360189749868</v>
      </c>
      <c r="AT451" s="6"/>
      <c r="AU451">
        <v>26.479063099688993</v>
      </c>
      <c r="AV451">
        <v>39.869717050191895</v>
      </c>
      <c r="AW451">
        <v>23.64897928798306</v>
      </c>
      <c r="AX451">
        <v>89.997759437863948</v>
      </c>
      <c r="AY451">
        <v>18.228280919137109</v>
      </c>
      <c r="AZ451">
        <v>24.048787284111967</v>
      </c>
      <c r="BA451">
        <v>2.6674538446267868</v>
      </c>
      <c r="BB451">
        <v>4.9603166151072005</v>
      </c>
      <c r="BC451">
        <v>10.868278830565115</v>
      </c>
      <c r="BD451">
        <v>60.77311749354817</v>
      </c>
      <c r="BE451">
        <v>28.502724966086561</v>
      </c>
      <c r="BF451">
        <v>4.7990695515153519</v>
      </c>
      <c r="BH451">
        <v>4.7990695515153519</v>
      </c>
      <c r="BI451">
        <v>155.56994648292743</v>
      </c>
      <c r="BJ451" s="6">
        <v>150</v>
      </c>
      <c r="BK451">
        <v>23.703655414571241</v>
      </c>
      <c r="BL451" s="4">
        <v>458.50834000000077</v>
      </c>
      <c r="BM451" t="s">
        <v>1012</v>
      </c>
      <c r="BN451" t="s">
        <v>65</v>
      </c>
      <c r="BO451">
        <v>2</v>
      </c>
      <c r="BP451">
        <v>2023</v>
      </c>
      <c r="BQ451" t="str">
        <f t="shared" si="31"/>
        <v>Roiphet32</v>
      </c>
      <c r="BR451">
        <f t="shared" si="32"/>
        <v>-107.74147999999923</v>
      </c>
      <c r="BS451">
        <f t="shared" si="33"/>
        <v>3467.7538200000004</v>
      </c>
      <c r="BT451" s="6">
        <f t="shared" si="34"/>
        <v>-5.5699464829274348</v>
      </c>
    </row>
    <row r="452" spans="1:72">
      <c r="A452" s="3" t="s">
        <v>967</v>
      </c>
      <c r="B452" s="3" t="s">
        <v>999</v>
      </c>
      <c r="C452" s="3" t="s">
        <v>1001</v>
      </c>
      <c r="D452" s="2" t="s">
        <v>1006</v>
      </c>
      <c r="E452" s="4" t="str">
        <f t="shared" ref="E452:E515" si="35">B452&amp;D452</f>
        <v>Roiphet3A1-023-0016</v>
      </c>
      <c r="F452">
        <v>4.5</v>
      </c>
      <c r="G452">
        <v>1.8</v>
      </c>
      <c r="H452" t="s">
        <v>72</v>
      </c>
      <c r="I452" t="s">
        <v>75</v>
      </c>
      <c r="J452" t="s">
        <v>68</v>
      </c>
      <c r="K452" t="s">
        <v>79</v>
      </c>
      <c r="L452" t="s">
        <v>79</v>
      </c>
      <c r="M452">
        <v>3.0371451743714517</v>
      </c>
      <c r="N452" s="5">
        <v>44960</v>
      </c>
      <c r="O452" s="5">
        <v>44982</v>
      </c>
      <c r="P452">
        <v>2.2999999999999998</v>
      </c>
      <c r="Q452" s="4">
        <v>177</v>
      </c>
      <c r="R452">
        <v>0.23</v>
      </c>
      <c r="S452" t="s">
        <v>70</v>
      </c>
      <c r="T452" s="6">
        <v>2</v>
      </c>
      <c r="U452" s="5">
        <v>45042</v>
      </c>
      <c r="V452" s="6">
        <v>2</v>
      </c>
      <c r="W452" t="s">
        <v>71</v>
      </c>
      <c r="X452" s="6">
        <v>60</v>
      </c>
      <c r="Y452">
        <v>17.079470000000001</v>
      </c>
      <c r="Z452">
        <v>3.7954377777777779</v>
      </c>
      <c r="AA452" s="6">
        <v>89.999982435052132</v>
      </c>
      <c r="AB452" s="4">
        <v>66.832695652173911</v>
      </c>
      <c r="AC452" s="6">
        <v>11.111113279623616</v>
      </c>
      <c r="AD452">
        <v>0.18135185200000001</v>
      </c>
      <c r="AE452">
        <v>1.8624848720308245</v>
      </c>
      <c r="AF452">
        <v>30825</v>
      </c>
      <c r="AG452" s="4"/>
      <c r="AH452" s="4">
        <v>93620</v>
      </c>
      <c r="AI452" t="s">
        <v>73</v>
      </c>
      <c r="AJ452" t="s">
        <v>73</v>
      </c>
      <c r="AK452" t="s">
        <v>80</v>
      </c>
      <c r="AL452">
        <v>90</v>
      </c>
      <c r="AM452">
        <v>6.9800699999999996</v>
      </c>
      <c r="AN452" t="s">
        <v>73</v>
      </c>
      <c r="AO452" t="s">
        <v>116</v>
      </c>
      <c r="AP452" s="5">
        <v>44984</v>
      </c>
      <c r="AQ452" t="s">
        <v>127</v>
      </c>
      <c r="AR452" s="5">
        <v>45040</v>
      </c>
      <c r="AS452">
        <v>125.77731978802622</v>
      </c>
      <c r="AT452" s="6"/>
      <c r="AU452">
        <v>53.86584009925366</v>
      </c>
      <c r="AV452">
        <v>61.312616843496883</v>
      </c>
      <c r="AW452">
        <v>34.107723483222834</v>
      </c>
      <c r="AX452">
        <v>149.28618042597338</v>
      </c>
      <c r="AY452">
        <v>23.7960504629242</v>
      </c>
      <c r="AZ452">
        <v>26.023660570263598</v>
      </c>
      <c r="BA452">
        <v>5.5143151397555075</v>
      </c>
      <c r="BB452">
        <v>14.566812084918325</v>
      </c>
      <c r="BC452">
        <v>16.629106172498322</v>
      </c>
      <c r="BD452">
        <v>86.529944430359947</v>
      </c>
      <c r="BE452">
        <v>-110.03880506830711</v>
      </c>
      <c r="BF452">
        <v>6.0245341336704223</v>
      </c>
      <c r="BH452">
        <v>6.0245341336704223</v>
      </c>
      <c r="BI452">
        <v>241.84065899000379</v>
      </c>
      <c r="BJ452" s="6">
        <v>150</v>
      </c>
      <c r="BK452">
        <v>-116.06333920197756</v>
      </c>
      <c r="BL452" s="4">
        <v>-1982.3003199999998</v>
      </c>
      <c r="BM452" t="s">
        <v>1007</v>
      </c>
      <c r="BN452" t="s">
        <v>65</v>
      </c>
      <c r="BO452">
        <v>4</v>
      </c>
      <c r="BP452">
        <v>2023</v>
      </c>
      <c r="BQ452" t="str">
        <f t="shared" ref="BQ452:BQ515" si="36">B452&amp;BO452</f>
        <v>Roiphet34</v>
      </c>
      <c r="BR452">
        <f t="shared" ref="BR452:BR515" si="37">BT452*Y452</f>
        <v>-1568.58978</v>
      </c>
      <c r="BS452">
        <f t="shared" ref="BS452:BS515" si="38">Y452*AS452</f>
        <v>2148.2099600000001</v>
      </c>
      <c r="BT452" s="6">
        <f t="shared" ref="BT452:BT515" si="39">BJ452-BI452</f>
        <v>-91.840658990003789</v>
      </c>
    </row>
    <row r="453" spans="1:72">
      <c r="A453" s="3" t="s">
        <v>967</v>
      </c>
      <c r="B453" s="3" t="s">
        <v>999</v>
      </c>
      <c r="C453" s="3" t="s">
        <v>1025</v>
      </c>
      <c r="D453" s="2" t="s">
        <v>1064</v>
      </c>
      <c r="E453" s="4" t="str">
        <f t="shared" si="35"/>
        <v>Roiphet3C1-046-0004</v>
      </c>
      <c r="F453">
        <v>4.5</v>
      </c>
      <c r="G453">
        <v>1.5</v>
      </c>
      <c r="H453" t="s">
        <v>72</v>
      </c>
      <c r="I453" t="s">
        <v>75</v>
      </c>
      <c r="J453" t="s">
        <v>95</v>
      </c>
      <c r="K453" t="s">
        <v>79</v>
      </c>
      <c r="L453" t="s">
        <v>79</v>
      </c>
      <c r="M453">
        <v>1.3568783068783068</v>
      </c>
      <c r="N453" s="5">
        <v>44890</v>
      </c>
      <c r="O453" s="5">
        <v>44911</v>
      </c>
      <c r="P453">
        <v>1.2</v>
      </c>
      <c r="Q453" s="4">
        <v>111</v>
      </c>
      <c r="R453">
        <v>0.63100000000000001</v>
      </c>
      <c r="S453" t="s">
        <v>70</v>
      </c>
      <c r="T453" s="6">
        <v>6</v>
      </c>
      <c r="U453" s="5">
        <v>45039</v>
      </c>
      <c r="V453" s="6">
        <v>1</v>
      </c>
      <c r="W453" t="s">
        <v>86</v>
      </c>
      <c r="X453" s="6">
        <v>128</v>
      </c>
      <c r="Y453">
        <v>22.319830000000003</v>
      </c>
      <c r="Z453">
        <v>4.9599622222222228</v>
      </c>
      <c r="AA453" s="6">
        <v>31.740340316212084</v>
      </c>
      <c r="AB453" s="4">
        <v>59.03658333333334</v>
      </c>
      <c r="AC453" s="6">
        <v>31.505648333872077</v>
      </c>
      <c r="AD453">
        <v>0.33474422599999998</v>
      </c>
      <c r="AE453">
        <v>1.7530451042737196</v>
      </c>
      <c r="AF453">
        <v>37800</v>
      </c>
      <c r="AG453" s="4">
        <v>0</v>
      </c>
      <c r="AH453" s="4">
        <v>51290</v>
      </c>
      <c r="AL453">
        <v>23</v>
      </c>
      <c r="AM453">
        <v>9.5167099999999998</v>
      </c>
      <c r="AN453" t="s">
        <v>81</v>
      </c>
      <c r="AO453" t="s">
        <v>109</v>
      </c>
      <c r="AP453" s="5">
        <v>44911</v>
      </c>
      <c r="AQ453" t="s">
        <v>97</v>
      </c>
      <c r="AR453" s="5">
        <v>45026</v>
      </c>
      <c r="AS453">
        <v>263.29501747997182</v>
      </c>
      <c r="AT453" s="6"/>
      <c r="AU453">
        <v>26.881925175953398</v>
      </c>
      <c r="AV453">
        <v>61.627884710591417</v>
      </c>
      <c r="AW453">
        <v>27.950319962114399</v>
      </c>
      <c r="AX453">
        <v>116.46012984865922</v>
      </c>
      <c r="AY453">
        <v>8.5859005198516289</v>
      </c>
      <c r="AZ453">
        <v>29.05387003395635</v>
      </c>
      <c r="BA453">
        <v>7.3104692105629843</v>
      </c>
      <c r="BB453">
        <v>10.590577526800157</v>
      </c>
      <c r="BC453">
        <v>12.899732659254125</v>
      </c>
      <c r="BD453">
        <v>68.44054995042525</v>
      </c>
      <c r="BE453">
        <v>78.394337680887347</v>
      </c>
      <c r="BF453">
        <v>5.2850563825978947</v>
      </c>
      <c r="BH453">
        <v>5.2850563825978947</v>
      </c>
      <c r="BI453">
        <v>190.18573618168236</v>
      </c>
      <c r="BJ453" s="6">
        <v>194</v>
      </c>
      <c r="BK453">
        <v>73.109281298289432</v>
      </c>
      <c r="BL453" s="4">
        <v>1631.7867299999996</v>
      </c>
      <c r="BM453" t="s">
        <v>1065</v>
      </c>
      <c r="BN453" t="s">
        <v>65</v>
      </c>
      <c r="BO453">
        <v>4</v>
      </c>
      <c r="BP453">
        <v>2023</v>
      </c>
      <c r="BQ453" t="str">
        <f t="shared" si="36"/>
        <v>Roiphet34</v>
      </c>
      <c r="BR453">
        <f t="shared" si="37"/>
        <v>85.133720000000665</v>
      </c>
      <c r="BS453">
        <f t="shared" si="38"/>
        <v>5876.70003</v>
      </c>
      <c r="BT453" s="6">
        <f t="shared" si="39"/>
        <v>3.8142638183176416</v>
      </c>
    </row>
    <row r="454" spans="1:72">
      <c r="A454" s="3" t="s">
        <v>967</v>
      </c>
      <c r="B454" s="3" t="s">
        <v>999</v>
      </c>
      <c r="C454" s="3" t="s">
        <v>1025</v>
      </c>
      <c r="D454" s="2" t="s">
        <v>1051</v>
      </c>
      <c r="E454" s="4" t="str">
        <f t="shared" si="35"/>
        <v>Roiphet3C1-054-0007</v>
      </c>
      <c r="F454">
        <v>4.5</v>
      </c>
      <c r="G454">
        <v>1.5</v>
      </c>
      <c r="H454" t="s">
        <v>72</v>
      </c>
      <c r="I454" t="s">
        <v>75</v>
      </c>
      <c r="J454" t="s">
        <v>95</v>
      </c>
      <c r="K454" t="s">
        <v>79</v>
      </c>
      <c r="L454" t="s">
        <v>79</v>
      </c>
      <c r="M454">
        <v>1.0816326530612246</v>
      </c>
      <c r="N454" s="5">
        <v>44905</v>
      </c>
      <c r="O454" s="5">
        <v>44924</v>
      </c>
      <c r="P454">
        <v>1.2</v>
      </c>
      <c r="Q454" s="4">
        <v>111</v>
      </c>
      <c r="R454">
        <v>0.32</v>
      </c>
      <c r="S454" t="s">
        <v>70</v>
      </c>
      <c r="T454" s="6">
        <v>6</v>
      </c>
      <c r="U454" s="5">
        <v>45036</v>
      </c>
      <c r="V454" s="6">
        <v>1</v>
      </c>
      <c r="W454" t="s">
        <v>86</v>
      </c>
      <c r="X454" s="6">
        <v>112</v>
      </c>
      <c r="Y454">
        <v>25.766689999999997</v>
      </c>
      <c r="Z454">
        <v>5.7259311111111106</v>
      </c>
      <c r="AA454" s="6">
        <v>38.145178911222203</v>
      </c>
      <c r="AB454" s="4">
        <v>81.90625</v>
      </c>
      <c r="AC454" s="6">
        <v>26.215632710161515</v>
      </c>
      <c r="AD454">
        <v>0.32783068799999993</v>
      </c>
      <c r="AE454">
        <v>1.5443467846463566</v>
      </c>
      <c r="AF454">
        <v>39200</v>
      </c>
      <c r="AG454" s="4">
        <v>0</v>
      </c>
      <c r="AH454" s="4">
        <v>42400</v>
      </c>
      <c r="AL454">
        <v>27</v>
      </c>
      <c r="AM454">
        <v>8.4721100000000007</v>
      </c>
      <c r="AN454" t="s">
        <v>81</v>
      </c>
      <c r="AO454" t="s">
        <v>109</v>
      </c>
      <c r="AP454" s="5">
        <v>44928</v>
      </c>
      <c r="AQ454" t="s">
        <v>97</v>
      </c>
      <c r="AR454" s="5">
        <v>45026</v>
      </c>
      <c r="AS454">
        <v>237.41925330727389</v>
      </c>
      <c r="AT454" s="6"/>
      <c r="AU454">
        <v>18.628702406090969</v>
      </c>
      <c r="AV454">
        <v>54.974566775942108</v>
      </c>
      <c r="AW454">
        <v>20.946136659384653</v>
      </c>
      <c r="AX454">
        <v>94.549405841417723</v>
      </c>
      <c r="AY454">
        <v>6.037844208937976</v>
      </c>
      <c r="AZ454">
        <v>23.3234590861302</v>
      </c>
      <c r="BA454">
        <v>4.6611574866620433</v>
      </c>
      <c r="BB454">
        <v>7.2664040278359394</v>
      </c>
      <c r="BC454">
        <v>9.12011360403684</v>
      </c>
      <c r="BD454">
        <v>50.408978413602995</v>
      </c>
      <c r="BE454">
        <v>92.460869052253173</v>
      </c>
      <c r="BF454">
        <v>3.8142850323421436</v>
      </c>
      <c r="BH454">
        <v>3.8142850323421436</v>
      </c>
      <c r="BI454">
        <v>148.77266928736293</v>
      </c>
      <c r="BJ454" s="6">
        <v>184</v>
      </c>
      <c r="BK454">
        <v>88.646584019910961</v>
      </c>
      <c r="BL454" s="4">
        <v>2284.1290499999996</v>
      </c>
      <c r="BM454" t="s">
        <v>1052</v>
      </c>
      <c r="BN454" t="s">
        <v>65</v>
      </c>
      <c r="BO454">
        <v>4</v>
      </c>
      <c r="BP454">
        <v>2023</v>
      </c>
      <c r="BQ454" t="str">
        <f t="shared" si="36"/>
        <v>Roiphet34</v>
      </c>
      <c r="BR454">
        <f t="shared" si="37"/>
        <v>907.69170999999835</v>
      </c>
      <c r="BS454">
        <f t="shared" si="38"/>
        <v>6117.5083000000004</v>
      </c>
      <c r="BT454" s="6">
        <f t="shared" si="39"/>
        <v>35.22733071263707</v>
      </c>
    </row>
    <row r="455" spans="1:72">
      <c r="A455" s="3" t="s">
        <v>967</v>
      </c>
      <c r="B455" s="3" t="s">
        <v>999</v>
      </c>
      <c r="C455" s="3" t="s">
        <v>1025</v>
      </c>
      <c r="D455" s="2" t="s">
        <v>1053</v>
      </c>
      <c r="E455" s="4" t="str">
        <f t="shared" si="35"/>
        <v>Roiphet3C1-047-0011</v>
      </c>
      <c r="F455">
        <v>4.5</v>
      </c>
      <c r="G455">
        <v>1.5</v>
      </c>
      <c r="H455" t="s">
        <v>72</v>
      </c>
      <c r="I455" t="s">
        <v>75</v>
      </c>
      <c r="J455" t="s">
        <v>95</v>
      </c>
      <c r="K455" t="s">
        <v>79</v>
      </c>
      <c r="L455" t="s">
        <v>79</v>
      </c>
      <c r="M455">
        <v>1.526628895184136</v>
      </c>
      <c r="N455" s="5">
        <v>44890</v>
      </c>
      <c r="O455" s="5">
        <v>44912</v>
      </c>
      <c r="P455">
        <v>1.4</v>
      </c>
      <c r="Q455" s="4">
        <v>130</v>
      </c>
      <c r="R455">
        <v>0.75</v>
      </c>
      <c r="S455" t="s">
        <v>70</v>
      </c>
      <c r="T455" s="6">
        <v>6</v>
      </c>
      <c r="U455" s="5">
        <v>45034</v>
      </c>
      <c r="V455" s="6">
        <v>1</v>
      </c>
      <c r="W455" t="s">
        <v>86</v>
      </c>
      <c r="X455" s="6">
        <v>122.00000000000001</v>
      </c>
      <c r="Y455">
        <v>18.506709999999998</v>
      </c>
      <c r="Z455">
        <v>4.1126022222222218</v>
      </c>
      <c r="AA455" s="6">
        <v>35.295954818549596</v>
      </c>
      <c r="AB455" s="4">
        <v>46.658000000000001</v>
      </c>
      <c r="AC455" s="6">
        <v>28.331858569652731</v>
      </c>
      <c r="AD455">
        <v>0.32172131100000001</v>
      </c>
      <c r="AE455">
        <v>2.0221450662811034</v>
      </c>
      <c r="AF455">
        <v>35300</v>
      </c>
      <c r="AG455" s="4">
        <v>0</v>
      </c>
      <c r="AH455" s="4">
        <v>53890</v>
      </c>
      <c r="AL455">
        <v>24.999999999999996</v>
      </c>
      <c r="AM455">
        <v>2.7265100000000002</v>
      </c>
      <c r="AN455" t="s">
        <v>81</v>
      </c>
      <c r="AO455" t="s">
        <v>194</v>
      </c>
      <c r="AP455" s="5">
        <v>44914</v>
      </c>
      <c r="AQ455" t="s">
        <v>97</v>
      </c>
      <c r="AR455" s="5">
        <v>45026</v>
      </c>
      <c r="AS455">
        <v>248.91819291489406</v>
      </c>
      <c r="AT455" s="6"/>
      <c r="AU455">
        <v>37.824118927675421</v>
      </c>
      <c r="AV455">
        <v>69.576841588807483</v>
      </c>
      <c r="AW455">
        <v>31.861715021200407</v>
      </c>
      <c r="AX455">
        <v>139.26267553768332</v>
      </c>
      <c r="AY455">
        <v>9.8009240972598572</v>
      </c>
      <c r="AZ455">
        <v>33.737080226577277</v>
      </c>
      <c r="BA455">
        <v>8.1421700561580082</v>
      </c>
      <c r="BB455">
        <v>12.12869602430686</v>
      </c>
      <c r="BC455">
        <v>15.082128049772223</v>
      </c>
      <c r="BD455">
        <v>78.890998454074222</v>
      </c>
      <c r="BE455">
        <v>30.764518923136521</v>
      </c>
      <c r="BF455">
        <v>6.0799439770764234</v>
      </c>
      <c r="BH455">
        <v>6.0799439770764234</v>
      </c>
      <c r="BI455">
        <v>224.23361796883404</v>
      </c>
      <c r="BJ455" s="6">
        <v>187</v>
      </c>
      <c r="BK455">
        <v>24.684574946060007</v>
      </c>
      <c r="BL455" s="4">
        <v>456.83026999999817</v>
      </c>
      <c r="BM455" t="s">
        <v>1054</v>
      </c>
      <c r="BN455" t="s">
        <v>65</v>
      </c>
      <c r="BO455">
        <v>4</v>
      </c>
      <c r="BP455">
        <v>2023</v>
      </c>
      <c r="BQ455" t="str">
        <f t="shared" si="36"/>
        <v>Roiphet34</v>
      </c>
      <c r="BR455">
        <f t="shared" si="37"/>
        <v>-689.07177000000058</v>
      </c>
      <c r="BS455">
        <f t="shared" si="38"/>
        <v>4606.6568099999986</v>
      </c>
      <c r="BT455" s="6">
        <f t="shared" si="39"/>
        <v>-37.233617968834039</v>
      </c>
    </row>
    <row r="456" spans="1:72">
      <c r="A456" s="3" t="s">
        <v>967</v>
      </c>
      <c r="B456" s="3" t="s">
        <v>999</v>
      </c>
      <c r="C456" s="3" t="s">
        <v>1025</v>
      </c>
      <c r="D456" s="2" t="s">
        <v>1045</v>
      </c>
      <c r="E456" s="4" t="str">
        <f t="shared" si="35"/>
        <v>Roiphet3C1-048-0021</v>
      </c>
      <c r="F456">
        <v>4.5</v>
      </c>
      <c r="G456">
        <v>1.5</v>
      </c>
      <c r="H456" t="s">
        <v>72</v>
      </c>
      <c r="I456" t="s">
        <v>75</v>
      </c>
      <c r="J456" t="s">
        <v>95</v>
      </c>
      <c r="K456" t="s">
        <v>79</v>
      </c>
      <c r="L456" t="s">
        <v>79</v>
      </c>
      <c r="M456">
        <v>1.1447893569844789</v>
      </c>
      <c r="N456" s="5">
        <v>44896</v>
      </c>
      <c r="O456" s="5">
        <v>44919</v>
      </c>
      <c r="P456">
        <v>1.7</v>
      </c>
      <c r="Q456" s="4">
        <v>157</v>
      </c>
      <c r="R456">
        <v>0.219</v>
      </c>
      <c r="S456" t="s">
        <v>70</v>
      </c>
      <c r="T456" s="6">
        <v>6</v>
      </c>
      <c r="U456" s="5">
        <v>45038</v>
      </c>
      <c r="V456" s="6">
        <v>1</v>
      </c>
      <c r="W456" t="s">
        <v>86</v>
      </c>
      <c r="X456" s="6">
        <v>119</v>
      </c>
      <c r="Y456">
        <v>27.879939999999998</v>
      </c>
      <c r="Z456">
        <v>6.1955422222222216</v>
      </c>
      <c r="AA456" s="6">
        <v>45.205047069685229</v>
      </c>
      <c r="AB456" s="4">
        <v>74.136117647058825</v>
      </c>
      <c r="AC456" s="6">
        <v>22.121423708694817</v>
      </c>
      <c r="AD456">
        <v>0.32136586900000003</v>
      </c>
      <c r="AE456">
        <v>1.6395892083765196</v>
      </c>
      <c r="AF456">
        <v>45100</v>
      </c>
      <c r="AG456" s="4">
        <v>0</v>
      </c>
      <c r="AH456" s="4">
        <v>51630</v>
      </c>
      <c r="AL456">
        <v>25.999999999999996</v>
      </c>
      <c r="AM456">
        <v>6.1359500000000002</v>
      </c>
      <c r="AN456" t="s">
        <v>81</v>
      </c>
      <c r="AO456" t="s">
        <v>194</v>
      </c>
      <c r="AP456" s="5">
        <v>44921</v>
      </c>
      <c r="AQ456" t="s">
        <v>97</v>
      </c>
      <c r="AR456" s="5">
        <v>45026</v>
      </c>
      <c r="AS456">
        <v>228.35085692436928</v>
      </c>
      <c r="AT456" s="6"/>
      <c r="AU456">
        <v>24.390296392316479</v>
      </c>
      <c r="AV456">
        <v>58.240518092937073</v>
      </c>
      <c r="AW456">
        <v>22.024946610358565</v>
      </c>
      <c r="AX456">
        <v>104.65576109561211</v>
      </c>
      <c r="AY456">
        <v>6.0726389655071005</v>
      </c>
      <c r="AZ456">
        <v>22.66845409279934</v>
      </c>
      <c r="BA456">
        <v>5.019882395729689</v>
      </c>
      <c r="BB456">
        <v>8.1992723083335193</v>
      </c>
      <c r="BC456">
        <v>9.6786696814985991</v>
      </c>
      <c r="BD456">
        <v>51.638917443868245</v>
      </c>
      <c r="BE456">
        <v>72.056178384888938</v>
      </c>
      <c r="BF456">
        <v>3.8213242209273042</v>
      </c>
      <c r="BH456">
        <v>3.8213242209273042</v>
      </c>
      <c r="BI456">
        <v>160.11600276040772</v>
      </c>
      <c r="BJ456" s="6">
        <v>175</v>
      </c>
      <c r="BK456">
        <v>68.234854163961543</v>
      </c>
      <c r="BL456" s="4">
        <v>1902.3836399999977</v>
      </c>
      <c r="BM456" t="s">
        <v>1046</v>
      </c>
      <c r="BN456" t="s">
        <v>65</v>
      </c>
      <c r="BO456">
        <v>4</v>
      </c>
      <c r="BP456">
        <v>2023</v>
      </c>
      <c r="BQ456" t="str">
        <f t="shared" si="36"/>
        <v>Roiphet34</v>
      </c>
      <c r="BR456">
        <f t="shared" si="37"/>
        <v>414.96494999999823</v>
      </c>
      <c r="BS456">
        <f t="shared" si="38"/>
        <v>6366.4081899999992</v>
      </c>
      <c r="BT456" s="6">
        <f t="shared" si="39"/>
        <v>14.883997239592276</v>
      </c>
    </row>
    <row r="457" spans="1:72">
      <c r="A457" s="3" t="s">
        <v>967</v>
      </c>
      <c r="B457" s="3" t="s">
        <v>999</v>
      </c>
      <c r="C457" s="3" t="s">
        <v>1025</v>
      </c>
      <c r="D457" s="2" t="s">
        <v>1047</v>
      </c>
      <c r="E457" s="4" t="str">
        <f t="shared" si="35"/>
        <v>Roiphet3C1-057-0017</v>
      </c>
      <c r="F457">
        <v>4.5</v>
      </c>
      <c r="G457">
        <v>1.5</v>
      </c>
      <c r="H457" t="s">
        <v>72</v>
      </c>
      <c r="I457" t="s">
        <v>75</v>
      </c>
      <c r="J457" t="s">
        <v>95</v>
      </c>
      <c r="K457" t="s">
        <v>79</v>
      </c>
      <c r="L457" t="s">
        <v>79</v>
      </c>
      <c r="M457">
        <v>1.0384364820846905</v>
      </c>
      <c r="N457" s="5">
        <v>44905</v>
      </c>
      <c r="O457" s="5">
        <v>44925</v>
      </c>
      <c r="P457">
        <v>1.2</v>
      </c>
      <c r="Q457" s="4">
        <v>111</v>
      </c>
      <c r="R457">
        <v>0.34</v>
      </c>
      <c r="S457" t="s">
        <v>70</v>
      </c>
      <c r="T457" s="6">
        <v>6</v>
      </c>
      <c r="U457" s="5">
        <v>45023</v>
      </c>
      <c r="V457" s="6">
        <v>1</v>
      </c>
      <c r="W457" t="s">
        <v>86</v>
      </c>
      <c r="X457" s="6">
        <v>98</v>
      </c>
      <c r="Y457">
        <v>20.624380000000002</v>
      </c>
      <c r="Z457">
        <v>4.5831955555555561</v>
      </c>
      <c r="AA457" s="6">
        <v>41.10678721008825</v>
      </c>
      <c r="AB457" s="4">
        <v>70.650166666666664</v>
      </c>
      <c r="AC457" s="6">
        <v>24.32688292785344</v>
      </c>
      <c r="AD457">
        <v>0.31540816300000002</v>
      </c>
      <c r="AE457">
        <v>1.8982066584390433</v>
      </c>
      <c r="AF457">
        <v>38375</v>
      </c>
      <c r="AG457" s="4">
        <v>0</v>
      </c>
      <c r="AH457" s="4">
        <v>39850</v>
      </c>
      <c r="AL457">
        <v>32</v>
      </c>
      <c r="AM457">
        <v>4.57681</v>
      </c>
      <c r="AN457" t="s">
        <v>81</v>
      </c>
      <c r="AO457" t="s">
        <v>109</v>
      </c>
      <c r="AP457" s="5">
        <v>44928</v>
      </c>
      <c r="AQ457" t="s">
        <v>93</v>
      </c>
      <c r="AR457" s="5">
        <v>45005</v>
      </c>
      <c r="AS457">
        <v>222.62011173184354</v>
      </c>
      <c r="AT457" s="6"/>
      <c r="AU457">
        <v>23.273426886044572</v>
      </c>
      <c r="AV457">
        <v>67.475363138188882</v>
      </c>
      <c r="AW457">
        <v>24.174748040910806</v>
      </c>
      <c r="AX457">
        <v>114.92353806514427</v>
      </c>
      <c r="AY457">
        <v>6.2507338402415016</v>
      </c>
      <c r="AZ457">
        <v>26.09868417862743</v>
      </c>
      <c r="BA457">
        <v>4.2495822904737004</v>
      </c>
      <c r="BB457">
        <v>7.5757632471860985</v>
      </c>
      <c r="BC457">
        <v>10.284775105966823</v>
      </c>
      <c r="BD457">
        <v>54.459538662495561</v>
      </c>
      <c r="BE457">
        <v>53.237035004203705</v>
      </c>
      <c r="BF457">
        <v>4.0792886864962723</v>
      </c>
      <c r="BH457">
        <v>4.0792886864962723</v>
      </c>
      <c r="BI457">
        <v>173.46236541413609</v>
      </c>
      <c r="BJ457" s="6">
        <v>181</v>
      </c>
      <c r="BK457">
        <v>49.157746317707442</v>
      </c>
      <c r="BL457" s="4">
        <v>1013.8480399999991</v>
      </c>
      <c r="BM457" t="s">
        <v>1048</v>
      </c>
      <c r="BN457" t="s">
        <v>65</v>
      </c>
      <c r="BO457">
        <v>4</v>
      </c>
      <c r="BP457">
        <v>2023</v>
      </c>
      <c r="BQ457" t="str">
        <f t="shared" si="36"/>
        <v>Roiphet34</v>
      </c>
      <c r="BR457">
        <f t="shared" si="37"/>
        <v>155.45903999999999</v>
      </c>
      <c r="BS457">
        <f t="shared" si="38"/>
        <v>4591.4017799999992</v>
      </c>
      <c r="BT457" s="6">
        <f t="shared" si="39"/>
        <v>7.5376345858639127</v>
      </c>
    </row>
    <row r="458" spans="1:72">
      <c r="A458" s="3" t="s">
        <v>967</v>
      </c>
      <c r="B458" s="3" t="s">
        <v>999</v>
      </c>
      <c r="C458" s="3" t="s">
        <v>1025</v>
      </c>
      <c r="D458" s="2" t="s">
        <v>1056</v>
      </c>
      <c r="E458" s="4" t="str">
        <f t="shared" si="35"/>
        <v>Roiphet3C1-045-0025</v>
      </c>
      <c r="F458">
        <v>4.5</v>
      </c>
      <c r="G458">
        <v>1.5</v>
      </c>
      <c r="H458" t="s">
        <v>72</v>
      </c>
      <c r="I458" t="s">
        <v>75</v>
      </c>
      <c r="J458" t="s">
        <v>95</v>
      </c>
      <c r="K458" t="s">
        <v>79</v>
      </c>
      <c r="L458" t="s">
        <v>79</v>
      </c>
      <c r="M458">
        <v>1.8759669421487604</v>
      </c>
      <c r="N458" s="5">
        <v>44890</v>
      </c>
      <c r="O458" s="5">
        <v>44910</v>
      </c>
      <c r="P458">
        <v>1.2</v>
      </c>
      <c r="Q458" s="4">
        <v>111</v>
      </c>
      <c r="R458">
        <v>0.63</v>
      </c>
      <c r="S458" t="s">
        <v>70</v>
      </c>
      <c r="T458" s="6">
        <v>3</v>
      </c>
      <c r="U458" s="5">
        <v>45028</v>
      </c>
      <c r="V458" s="6">
        <v>1</v>
      </c>
      <c r="W458" t="s">
        <v>86</v>
      </c>
      <c r="X458" s="6">
        <v>118</v>
      </c>
      <c r="Y458">
        <v>15.76337</v>
      </c>
      <c r="Z458">
        <v>3.502971111111111</v>
      </c>
      <c r="AA458" s="6">
        <v>34.721636299852122</v>
      </c>
      <c r="AB458" s="4">
        <v>45.610833333333332</v>
      </c>
      <c r="AC458" s="6">
        <v>28.80048599565162</v>
      </c>
      <c r="AD458">
        <v>0.30853421199999997</v>
      </c>
      <c r="AE458">
        <v>2.0156709252296032</v>
      </c>
      <c r="AF458">
        <v>30250</v>
      </c>
      <c r="AG458" s="4">
        <v>0</v>
      </c>
      <c r="AH458" s="4">
        <v>56748</v>
      </c>
      <c r="AL458">
        <v>27</v>
      </c>
      <c r="AM458">
        <v>8.7662600000000008</v>
      </c>
      <c r="AN458" t="s">
        <v>81</v>
      </c>
      <c r="AO458" t="s">
        <v>109</v>
      </c>
      <c r="AP458" s="5">
        <v>44914</v>
      </c>
      <c r="AQ458" t="s">
        <v>97</v>
      </c>
      <c r="AR458" s="5">
        <v>45026</v>
      </c>
      <c r="AS458">
        <v>249.75186270448503</v>
      </c>
      <c r="AT458" s="6"/>
      <c r="AU458">
        <v>38.062926899514508</v>
      </c>
      <c r="AV458">
        <v>70.100486761396837</v>
      </c>
      <c r="AW458">
        <v>36.545315500429169</v>
      </c>
      <c r="AX458">
        <v>144.7087291613405</v>
      </c>
      <c r="AY458">
        <v>10.726088393535139</v>
      </c>
      <c r="AZ458">
        <v>37.772649503247081</v>
      </c>
      <c r="BA458">
        <v>8.6088444285707926</v>
      </c>
      <c r="BB458">
        <v>13.332246213848943</v>
      </c>
      <c r="BC458">
        <v>17.037059968775711</v>
      </c>
      <c r="BD458">
        <v>87.476888507977677</v>
      </c>
      <c r="BE458">
        <v>17.566245035166858</v>
      </c>
      <c r="BF458">
        <v>6.72378939275041</v>
      </c>
      <c r="BH458">
        <v>6.72378939275041</v>
      </c>
      <c r="BI458">
        <v>238.90940706206857</v>
      </c>
      <c r="BJ458" s="6">
        <v>189</v>
      </c>
      <c r="BK458">
        <v>10.842455642416484</v>
      </c>
      <c r="BL458" s="4">
        <v>170.91363999999874</v>
      </c>
      <c r="BM458" t="s">
        <v>1057</v>
      </c>
      <c r="BN458" t="s">
        <v>65</v>
      </c>
      <c r="BO458">
        <v>4</v>
      </c>
      <c r="BP458">
        <v>2023</v>
      </c>
      <c r="BQ458" t="str">
        <f t="shared" si="36"/>
        <v>Roiphet34</v>
      </c>
      <c r="BR458">
        <f t="shared" si="37"/>
        <v>-786.74044999999978</v>
      </c>
      <c r="BS458">
        <f t="shared" si="38"/>
        <v>3936.9310199999982</v>
      </c>
      <c r="BT458" s="6">
        <f t="shared" si="39"/>
        <v>-49.909407062068567</v>
      </c>
    </row>
    <row r="459" spans="1:72">
      <c r="A459" s="3" t="s">
        <v>967</v>
      </c>
      <c r="B459" s="3" t="s">
        <v>999</v>
      </c>
      <c r="C459" s="3" t="s">
        <v>1025</v>
      </c>
      <c r="D459" s="2" t="s">
        <v>1049</v>
      </c>
      <c r="E459" s="4" t="str">
        <f t="shared" si="35"/>
        <v>Roiphet3C1-051-0025</v>
      </c>
      <c r="F459">
        <v>4.5</v>
      </c>
      <c r="G459">
        <v>1.5</v>
      </c>
      <c r="H459" t="s">
        <v>72</v>
      </c>
      <c r="I459" t="s">
        <v>75</v>
      </c>
      <c r="J459" t="s">
        <v>95</v>
      </c>
      <c r="K459" t="s">
        <v>79</v>
      </c>
      <c r="L459" t="s">
        <v>79</v>
      </c>
      <c r="M459">
        <v>0.65380906460945032</v>
      </c>
      <c r="N459" s="5">
        <v>44896</v>
      </c>
      <c r="O459" s="5">
        <v>44922</v>
      </c>
      <c r="P459">
        <v>1.4</v>
      </c>
      <c r="Q459" s="4">
        <v>130</v>
      </c>
      <c r="R459">
        <v>0.35</v>
      </c>
      <c r="S459" t="s">
        <v>70</v>
      </c>
      <c r="T459" s="6">
        <v>6</v>
      </c>
      <c r="U459" s="5">
        <v>45042</v>
      </c>
      <c r="V459" s="6">
        <v>1</v>
      </c>
      <c r="W459" t="s">
        <v>86</v>
      </c>
      <c r="X459" s="6">
        <v>120</v>
      </c>
      <c r="Y459">
        <v>34.16507</v>
      </c>
      <c r="Z459">
        <v>7.5922377777777781</v>
      </c>
      <c r="AA459" s="6">
        <v>40.168101514207351</v>
      </c>
      <c r="AB459" s="4">
        <v>98.024714285714282</v>
      </c>
      <c r="AC459" s="6">
        <v>24.895376238936826</v>
      </c>
      <c r="AD459">
        <v>0.305725309</v>
      </c>
      <c r="AE459">
        <v>1.5397146910162325</v>
      </c>
      <c r="AF459">
        <v>51850</v>
      </c>
      <c r="AG459" s="4">
        <v>0</v>
      </c>
      <c r="AH459" s="4">
        <v>33900</v>
      </c>
      <c r="AL459">
        <v>27</v>
      </c>
      <c r="AM459">
        <v>8.4412500000000001</v>
      </c>
      <c r="AN459" t="s">
        <v>81</v>
      </c>
      <c r="AO459" t="s">
        <v>109</v>
      </c>
      <c r="AP459" s="5">
        <v>44928</v>
      </c>
      <c r="AQ459" t="s">
        <v>96</v>
      </c>
      <c r="AR459" s="5">
        <v>45026</v>
      </c>
      <c r="AS459">
        <v>230.76999988584831</v>
      </c>
      <c r="AT459" s="6"/>
      <c r="AU459">
        <v>16.391009882315476</v>
      </c>
      <c r="AV459">
        <v>54.573080927391629</v>
      </c>
      <c r="AW459">
        <v>17.808334652907192</v>
      </c>
      <c r="AX459">
        <v>88.772425462614294</v>
      </c>
      <c r="AY459">
        <v>5.1955751883429473</v>
      </c>
      <c r="AZ459">
        <v>19.062955234688527</v>
      </c>
      <c r="BA459">
        <v>4.3887207021674479</v>
      </c>
      <c r="BB459">
        <v>6.9699643524804715</v>
      </c>
      <c r="BC459">
        <v>8.1041874054407028</v>
      </c>
      <c r="BD459">
        <v>43.721402883120099</v>
      </c>
      <c r="BE459">
        <v>98.276171540113921</v>
      </c>
      <c r="BF459">
        <v>3.2457632898161775</v>
      </c>
      <c r="BH459">
        <v>3.2457632898161775</v>
      </c>
      <c r="BI459">
        <v>135.73959163555062</v>
      </c>
      <c r="BJ459" s="6">
        <v>182</v>
      </c>
      <c r="BK459">
        <v>95.030408250297683</v>
      </c>
      <c r="BL459" s="4">
        <v>3246.7205499999977</v>
      </c>
      <c r="BM459" t="s">
        <v>1050</v>
      </c>
      <c r="BN459" t="s">
        <v>65</v>
      </c>
      <c r="BO459">
        <v>4</v>
      </c>
      <c r="BP459">
        <v>2023</v>
      </c>
      <c r="BQ459" t="str">
        <f t="shared" si="36"/>
        <v>Roiphet34</v>
      </c>
      <c r="BR459">
        <f t="shared" si="37"/>
        <v>1580.4900899999984</v>
      </c>
      <c r="BS459">
        <f t="shared" si="38"/>
        <v>7884.2731999999996</v>
      </c>
      <c r="BT459" s="6">
        <f t="shared" si="39"/>
        <v>46.260408364449376</v>
      </c>
    </row>
    <row r="460" spans="1:72">
      <c r="A460" s="3" t="s">
        <v>967</v>
      </c>
      <c r="B460" s="3" t="s">
        <v>999</v>
      </c>
      <c r="C460" s="3" t="s">
        <v>1025</v>
      </c>
      <c r="D460" s="2" t="s">
        <v>1060</v>
      </c>
      <c r="E460" s="4" t="str">
        <f t="shared" si="35"/>
        <v>Roiphet3C1-043-0025</v>
      </c>
      <c r="F460">
        <v>4.5</v>
      </c>
      <c r="G460">
        <v>1.5</v>
      </c>
      <c r="H460" t="s">
        <v>72</v>
      </c>
      <c r="I460" t="s">
        <v>75</v>
      </c>
      <c r="J460" t="s">
        <v>95</v>
      </c>
      <c r="K460" t="s">
        <v>79</v>
      </c>
      <c r="L460" t="s">
        <v>79</v>
      </c>
      <c r="M460">
        <v>2.4289336316181953</v>
      </c>
      <c r="N460" s="5">
        <v>44875</v>
      </c>
      <c r="O460" s="5">
        <v>44896</v>
      </c>
      <c r="P460">
        <v>1.2</v>
      </c>
      <c r="Q460" s="4">
        <v>111</v>
      </c>
      <c r="R460">
        <v>0.35</v>
      </c>
      <c r="S460" t="s">
        <v>70</v>
      </c>
      <c r="T460" s="6">
        <v>4</v>
      </c>
      <c r="U460" s="5">
        <v>45026</v>
      </c>
      <c r="V460" s="6">
        <v>1</v>
      </c>
      <c r="W460" t="s">
        <v>86</v>
      </c>
      <c r="X460" s="6">
        <v>130</v>
      </c>
      <c r="Y460">
        <v>17.108080000000001</v>
      </c>
      <c r="Z460">
        <v>3.8017955555555556</v>
      </c>
      <c r="AA460" s="6">
        <v>33.882761829498108</v>
      </c>
      <c r="AB460" s="4">
        <v>48.305749999999996</v>
      </c>
      <c r="AC460" s="6">
        <v>29.513532722985016</v>
      </c>
      <c r="AD460">
        <v>0.29316567999999998</v>
      </c>
      <c r="AE460">
        <v>2.0089189409446742</v>
      </c>
      <c r="AF460">
        <v>33525</v>
      </c>
      <c r="AG460" s="4"/>
      <c r="AH460" s="4">
        <v>81430</v>
      </c>
      <c r="AL460">
        <v>26</v>
      </c>
      <c r="AM460">
        <v>8.9282199999999996</v>
      </c>
      <c r="AN460" t="s">
        <v>81</v>
      </c>
      <c r="AO460" t="s">
        <v>215</v>
      </c>
      <c r="AP460" s="5">
        <v>44900</v>
      </c>
      <c r="AQ460" t="s">
        <v>148</v>
      </c>
      <c r="AR460" s="5">
        <v>45005</v>
      </c>
      <c r="AS460">
        <v>252.30228815857777</v>
      </c>
      <c r="AT460" s="6"/>
      <c r="AU460">
        <v>28.056918134589033</v>
      </c>
      <c r="AV460">
        <v>70.596977568493998</v>
      </c>
      <c r="AW460">
        <v>34.673311090432144</v>
      </c>
      <c r="AX460">
        <v>133.32720679351519</v>
      </c>
      <c r="AY460">
        <v>12.606860617906861</v>
      </c>
      <c r="AZ460">
        <v>35.94362839079546</v>
      </c>
      <c r="BA460">
        <v>10.667773940734435</v>
      </c>
      <c r="BB460">
        <v>12.794943091217716</v>
      </c>
      <c r="BC460">
        <v>17.876927744083499</v>
      </c>
      <c r="BD460">
        <v>89.890133784737969</v>
      </c>
      <c r="BE460">
        <v>29.084947580324609</v>
      </c>
      <c r="BF460">
        <v>7.5782992597649743</v>
      </c>
      <c r="BH460">
        <v>7.5782992597649743</v>
      </c>
      <c r="BI460">
        <v>230.79563983801808</v>
      </c>
      <c r="BJ460" s="6">
        <v>191</v>
      </c>
      <c r="BK460">
        <v>21.506648320559691</v>
      </c>
      <c r="BL460" s="4">
        <v>367.9374600000009</v>
      </c>
      <c r="BM460" t="s">
        <v>1061</v>
      </c>
      <c r="BN460" t="s">
        <v>65</v>
      </c>
      <c r="BO460">
        <v>4</v>
      </c>
      <c r="BP460">
        <v>2023</v>
      </c>
      <c r="BQ460" t="str">
        <f t="shared" si="36"/>
        <v>Roiphet34</v>
      </c>
      <c r="BR460">
        <f t="shared" si="37"/>
        <v>-680.82699000000036</v>
      </c>
      <c r="BS460">
        <f t="shared" si="38"/>
        <v>4316.4077300000017</v>
      </c>
      <c r="BT460" s="6">
        <f t="shared" si="39"/>
        <v>-39.795639838018076</v>
      </c>
    </row>
    <row r="461" spans="1:72">
      <c r="A461" s="3" t="s">
        <v>967</v>
      </c>
      <c r="B461" s="3" t="s">
        <v>999</v>
      </c>
      <c r="C461" s="3" t="s">
        <v>1025</v>
      </c>
      <c r="D461" s="2" t="s">
        <v>1062</v>
      </c>
      <c r="E461" s="4" t="str">
        <f t="shared" si="35"/>
        <v>Roiphet3C1-044-0017</v>
      </c>
      <c r="F461">
        <v>4.5</v>
      </c>
      <c r="G461">
        <v>1.5</v>
      </c>
      <c r="H461" t="s">
        <v>72</v>
      </c>
      <c r="I461" t="s">
        <v>75</v>
      </c>
      <c r="J461" t="s">
        <v>95</v>
      </c>
      <c r="K461" t="s">
        <v>79</v>
      </c>
      <c r="L461" t="s">
        <v>79</v>
      </c>
      <c r="M461">
        <v>2.5816974169741695</v>
      </c>
      <c r="N461" s="5">
        <v>44875</v>
      </c>
      <c r="O461" s="5">
        <v>44894</v>
      </c>
      <c r="P461">
        <v>1.2</v>
      </c>
      <c r="Q461" s="4">
        <v>111</v>
      </c>
      <c r="R461">
        <v>0.38300000000000001</v>
      </c>
      <c r="S461" t="s">
        <v>70</v>
      </c>
      <c r="T461" s="6">
        <v>2</v>
      </c>
      <c r="U461" s="5">
        <v>45015</v>
      </c>
      <c r="V461" s="6">
        <v>1</v>
      </c>
      <c r="W461" t="s">
        <v>86</v>
      </c>
      <c r="X461" s="6">
        <v>121</v>
      </c>
      <c r="Y461">
        <v>15.852259999999999</v>
      </c>
      <c r="Z461">
        <v>3.5227244444444441</v>
      </c>
      <c r="AA461" s="6">
        <v>33.469423287278914</v>
      </c>
      <c r="AB461" s="4">
        <v>44.213833333333334</v>
      </c>
      <c r="AC461" s="6">
        <v>29.878017061025393</v>
      </c>
      <c r="AD461">
        <v>0.29199409700000001</v>
      </c>
      <c r="AE461">
        <v>2.200668483503919</v>
      </c>
      <c r="AF461">
        <v>33875</v>
      </c>
      <c r="AG461" s="4"/>
      <c r="AH461" s="4">
        <v>87455</v>
      </c>
      <c r="AL461">
        <v>28</v>
      </c>
      <c r="AM461">
        <v>10.752000000000001</v>
      </c>
      <c r="AN461" t="s">
        <v>81</v>
      </c>
      <c r="AO461" t="s">
        <v>148</v>
      </c>
      <c r="AP461" s="5">
        <v>44900</v>
      </c>
      <c r="AQ461" t="s">
        <v>94</v>
      </c>
      <c r="AR461" s="5">
        <v>45005</v>
      </c>
      <c r="AS461">
        <v>242.69104846879881</v>
      </c>
      <c r="AT461" s="6"/>
      <c r="AU461">
        <v>27.694780428784284</v>
      </c>
      <c r="AV461">
        <v>76.879503616519045</v>
      </c>
      <c r="AW461">
        <v>36.249413017449868</v>
      </c>
      <c r="AX461">
        <v>140.82369706275321</v>
      </c>
      <c r="AY461">
        <v>12.301540600520054</v>
      </c>
      <c r="AZ461">
        <v>35.336580399261685</v>
      </c>
      <c r="BA461">
        <v>10.052008987992879</v>
      </c>
      <c r="BB461">
        <v>12.309545137412584</v>
      </c>
      <c r="BC461">
        <v>18.080982774695851</v>
      </c>
      <c r="BD461">
        <v>88.080657899883064</v>
      </c>
      <c r="BE461">
        <v>13.786693506162536</v>
      </c>
      <c r="BF461">
        <v>7.4684732650107941</v>
      </c>
      <c r="BH461">
        <v>7.4684732650107941</v>
      </c>
      <c r="BI461">
        <v>236.37282822764706</v>
      </c>
      <c r="BJ461" s="6">
        <v>191</v>
      </c>
      <c r="BK461">
        <v>6.3182202411517538</v>
      </c>
      <c r="BL461" s="4">
        <v>100.15807000000029</v>
      </c>
      <c r="BM461" t="s">
        <v>1063</v>
      </c>
      <c r="BN461" t="s">
        <v>65</v>
      </c>
      <c r="BO461">
        <v>3</v>
      </c>
      <c r="BP461">
        <v>2023</v>
      </c>
      <c r="BQ461" t="str">
        <f t="shared" si="36"/>
        <v>Roiphet33</v>
      </c>
      <c r="BR461">
        <f t="shared" si="37"/>
        <v>-719.26187000000039</v>
      </c>
      <c r="BS461">
        <f t="shared" si="38"/>
        <v>3847.2016000000003</v>
      </c>
      <c r="BT461" s="6">
        <f t="shared" si="39"/>
        <v>-45.372828227647062</v>
      </c>
    </row>
    <row r="462" spans="1:72">
      <c r="A462" s="3" t="s">
        <v>967</v>
      </c>
      <c r="B462" s="3" t="s">
        <v>999</v>
      </c>
      <c r="C462" s="3" t="s">
        <v>1025</v>
      </c>
      <c r="D462" s="2" t="s">
        <v>1058</v>
      </c>
      <c r="E462" s="4" t="str">
        <f t="shared" si="35"/>
        <v>Roiphet3C1-042-0015</v>
      </c>
      <c r="F462">
        <v>3.5</v>
      </c>
      <c r="G462">
        <v>2</v>
      </c>
      <c r="H462" t="s">
        <v>72</v>
      </c>
      <c r="I462" t="s">
        <v>75</v>
      </c>
      <c r="J462" t="s">
        <v>95</v>
      </c>
      <c r="K462" t="s">
        <v>79</v>
      </c>
      <c r="L462" t="s">
        <v>79</v>
      </c>
      <c r="M462">
        <v>2.3718268525311812</v>
      </c>
      <c r="N462" s="5">
        <v>44866</v>
      </c>
      <c r="O462" s="5">
        <v>44888</v>
      </c>
      <c r="P462">
        <v>1.35</v>
      </c>
      <c r="Q462" s="4">
        <v>121</v>
      </c>
      <c r="R462">
        <v>0.5</v>
      </c>
      <c r="S462" t="s">
        <v>70</v>
      </c>
      <c r="T462" s="6">
        <v>3</v>
      </c>
      <c r="U462" s="5">
        <v>45024</v>
      </c>
      <c r="V462" s="6">
        <v>1</v>
      </c>
      <c r="W462" t="s">
        <v>86</v>
      </c>
      <c r="X462" s="6">
        <v>136</v>
      </c>
      <c r="Y462">
        <v>14.26357</v>
      </c>
      <c r="Z462">
        <v>4.0753057142857143</v>
      </c>
      <c r="AA462" s="6">
        <v>34.694329680437647</v>
      </c>
      <c r="AB462" s="4">
        <v>36.656666666666666</v>
      </c>
      <c r="AC462" s="6">
        <v>28.823153789417315</v>
      </c>
      <c r="AD462">
        <v>0.27912895900000001</v>
      </c>
      <c r="AE462">
        <v>2.5076222148467426</v>
      </c>
      <c r="AF462">
        <v>34075</v>
      </c>
      <c r="AG462" s="4"/>
      <c r="AH462" s="4">
        <v>80820</v>
      </c>
      <c r="AL462">
        <v>26</v>
      </c>
      <c r="AM462">
        <v>8.5496100000000013</v>
      </c>
      <c r="AN462" t="s">
        <v>81</v>
      </c>
      <c r="AO462" t="s">
        <v>92</v>
      </c>
      <c r="AP462" s="5">
        <v>44893</v>
      </c>
      <c r="AQ462" t="s">
        <v>94</v>
      </c>
      <c r="AR462" s="5">
        <v>45005</v>
      </c>
      <c r="AS462">
        <v>248.0905755010842</v>
      </c>
      <c r="AT462" s="6"/>
      <c r="AU462">
        <v>42.59102034063001</v>
      </c>
      <c r="AV462">
        <v>85.234603959597777</v>
      </c>
      <c r="AW462">
        <v>35.620676310348671</v>
      </c>
      <c r="AX462">
        <v>163.44630061057646</v>
      </c>
      <c r="AY462">
        <v>13.195935519649012</v>
      </c>
      <c r="AZ462">
        <v>33.958973104208837</v>
      </c>
      <c r="BA462">
        <v>11.374099191156212</v>
      </c>
      <c r="BB462">
        <v>12.118058802950458</v>
      </c>
      <c r="BC462">
        <v>17.820018410538172</v>
      </c>
      <c r="BD462">
        <v>88.46708502850268</v>
      </c>
      <c r="BE462">
        <v>-3.8228101379949351</v>
      </c>
      <c r="BF462">
        <v>7.7963223793201868</v>
      </c>
      <c r="BH462">
        <v>7.7963223793201868</v>
      </c>
      <c r="BI462">
        <v>259.70970801839934</v>
      </c>
      <c r="BJ462" s="6">
        <v>189</v>
      </c>
      <c r="BK462">
        <v>-11.619132517315126</v>
      </c>
      <c r="BL462" s="4">
        <v>-165.73031000000051</v>
      </c>
      <c r="BM462" t="s">
        <v>1059</v>
      </c>
      <c r="BN462" t="s">
        <v>65</v>
      </c>
      <c r="BO462">
        <v>4</v>
      </c>
      <c r="BP462">
        <v>2023</v>
      </c>
      <c r="BQ462" t="str">
        <f t="shared" si="36"/>
        <v>Roiphet34</v>
      </c>
      <c r="BR462">
        <f t="shared" si="37"/>
        <v>-1008.5728700000002</v>
      </c>
      <c r="BS462">
        <f t="shared" si="38"/>
        <v>3538.6572899999996</v>
      </c>
      <c r="BT462" s="6">
        <f t="shared" si="39"/>
        <v>-70.70970801839934</v>
      </c>
    </row>
    <row r="463" spans="1:72">
      <c r="A463" s="3" t="s">
        <v>967</v>
      </c>
      <c r="B463" s="3" t="s">
        <v>999</v>
      </c>
      <c r="C463" s="3" t="s">
        <v>1025</v>
      </c>
      <c r="D463" s="2" t="s">
        <v>1055</v>
      </c>
      <c r="E463" s="4" t="str">
        <f t="shared" si="35"/>
        <v>Roiphet3C1-041-0005</v>
      </c>
      <c r="F463">
        <v>5.8</v>
      </c>
      <c r="G463">
        <v>1.5</v>
      </c>
      <c r="H463" t="s">
        <v>72</v>
      </c>
      <c r="I463" t="s">
        <v>75</v>
      </c>
      <c r="J463" t="s">
        <v>95</v>
      </c>
      <c r="K463" t="s">
        <v>79</v>
      </c>
      <c r="L463" t="s">
        <v>79</v>
      </c>
      <c r="M463">
        <v>2.1757030162412994</v>
      </c>
      <c r="N463" s="5">
        <v>44866</v>
      </c>
      <c r="O463" s="5">
        <v>44890</v>
      </c>
      <c r="P463">
        <v>1.5</v>
      </c>
      <c r="Q463" s="4">
        <v>108</v>
      </c>
      <c r="R463">
        <v>0.23</v>
      </c>
      <c r="S463" t="s">
        <v>70</v>
      </c>
      <c r="T463" s="6">
        <v>3</v>
      </c>
      <c r="U463" s="5">
        <v>45009</v>
      </c>
      <c r="V463" s="6">
        <v>1</v>
      </c>
      <c r="W463" t="s">
        <v>86</v>
      </c>
      <c r="X463" s="6">
        <v>119</v>
      </c>
      <c r="Y463">
        <v>30.185040000000001</v>
      </c>
      <c r="Z463">
        <v>5.2043172413793108</v>
      </c>
      <c r="AA463" s="6">
        <v>35.030697325562599</v>
      </c>
      <c r="AB463" s="4">
        <v>70.493533333333332</v>
      </c>
      <c r="AC463" s="6">
        <v>28.546391489337555</v>
      </c>
      <c r="AD463">
        <v>0.26914339900000001</v>
      </c>
      <c r="AE463">
        <v>1.8054570210746683</v>
      </c>
      <c r="AF463">
        <v>53875</v>
      </c>
      <c r="AG463" s="4"/>
      <c r="AH463" s="4">
        <v>117216</v>
      </c>
      <c r="AL463">
        <v>31</v>
      </c>
      <c r="AM463">
        <v>20.869119999999999</v>
      </c>
      <c r="AN463" t="s">
        <v>81</v>
      </c>
      <c r="AO463" t="s">
        <v>92</v>
      </c>
      <c r="AP463" s="5">
        <v>44893</v>
      </c>
      <c r="AQ463" t="s">
        <v>94</v>
      </c>
      <c r="AR463" s="5">
        <v>45005</v>
      </c>
      <c r="AS463">
        <v>242.16236420425483</v>
      </c>
      <c r="AT463" s="6"/>
      <c r="AU463">
        <v>18.180565273393711</v>
      </c>
      <c r="AV463">
        <v>64.256711602833704</v>
      </c>
      <c r="AW463">
        <v>22.826234783853188</v>
      </c>
      <c r="AX463">
        <v>105.26351166008061</v>
      </c>
      <c r="AY463">
        <v>9.3417345148457631</v>
      </c>
      <c r="AZ463">
        <v>23.211055542745669</v>
      </c>
      <c r="BA463">
        <v>8.0429414703442497</v>
      </c>
      <c r="BB463">
        <v>8.3820379234216666</v>
      </c>
      <c r="BC463">
        <v>12.851420438733889</v>
      </c>
      <c r="BD463">
        <v>61.829189890091243</v>
      </c>
      <c r="BE463">
        <v>75.069662654082975</v>
      </c>
      <c r="BF463">
        <v>5.5298700945899029</v>
      </c>
      <c r="BH463">
        <v>5.5298700945899029</v>
      </c>
      <c r="BI463">
        <v>172.62257164476182</v>
      </c>
      <c r="BJ463" s="6">
        <v>187</v>
      </c>
      <c r="BK463">
        <v>69.539792559493009</v>
      </c>
      <c r="BL463" s="4">
        <v>2099.0614199999991</v>
      </c>
      <c r="BM463" t="s">
        <v>1026</v>
      </c>
      <c r="BN463" t="s">
        <v>65</v>
      </c>
      <c r="BO463">
        <v>3</v>
      </c>
      <c r="BP463">
        <v>2023</v>
      </c>
      <c r="BQ463" t="str">
        <f t="shared" si="36"/>
        <v>Roiphet33</v>
      </c>
      <c r="BR463">
        <f t="shared" si="37"/>
        <v>433.98324999999869</v>
      </c>
      <c r="BS463">
        <f t="shared" si="38"/>
        <v>7309.6806500000002</v>
      </c>
      <c r="BT463" s="6">
        <f t="shared" si="39"/>
        <v>14.37742835523818</v>
      </c>
    </row>
    <row r="464" spans="1:72">
      <c r="A464" s="3" t="s">
        <v>967</v>
      </c>
      <c r="B464" s="3" t="s">
        <v>999</v>
      </c>
      <c r="C464" s="3" t="s">
        <v>1025</v>
      </c>
      <c r="D464" s="2" t="s">
        <v>1031</v>
      </c>
      <c r="E464" s="4" t="str">
        <f t="shared" si="35"/>
        <v>Roiphet3C1-044-0018</v>
      </c>
      <c r="F464">
        <v>4.5</v>
      </c>
      <c r="G464">
        <v>1.5</v>
      </c>
      <c r="H464" t="s">
        <v>72</v>
      </c>
      <c r="I464" t="s">
        <v>75</v>
      </c>
      <c r="J464" t="s">
        <v>95</v>
      </c>
      <c r="K464" t="s">
        <v>79</v>
      </c>
      <c r="N464" s="5">
        <v>45041</v>
      </c>
      <c r="O464" s="5">
        <v>45070</v>
      </c>
      <c r="P464">
        <v>1.5</v>
      </c>
      <c r="Q464" s="4">
        <v>139</v>
      </c>
      <c r="R464">
        <v>0.64</v>
      </c>
      <c r="S464" t="s">
        <v>70</v>
      </c>
      <c r="T464" s="6">
        <v>1</v>
      </c>
      <c r="U464" s="5">
        <v>45110</v>
      </c>
      <c r="V464" s="6">
        <v>2</v>
      </c>
      <c r="W464" t="s">
        <v>71</v>
      </c>
      <c r="X464" s="6">
        <v>40</v>
      </c>
      <c r="Y464">
        <v>10.501340000000001</v>
      </c>
      <c r="Z464">
        <v>2.3336311111111114</v>
      </c>
      <c r="AA464" s="6">
        <v>105.00002856778278</v>
      </c>
      <c r="AB464" s="4">
        <v>73.509399999999999</v>
      </c>
      <c r="AC464" s="6">
        <v>9.5238069326281174</v>
      </c>
      <c r="AD464">
        <v>0.222095238</v>
      </c>
      <c r="AE464">
        <v>1.6611922434375046</v>
      </c>
      <c r="AF464">
        <v>15850</v>
      </c>
      <c r="AG464" s="4"/>
      <c r="AH464" s="4"/>
      <c r="AI464" t="s">
        <v>73</v>
      </c>
      <c r="AJ464" t="s">
        <v>73</v>
      </c>
      <c r="AK464" t="s">
        <v>131</v>
      </c>
      <c r="AL464">
        <v>105</v>
      </c>
      <c r="AM464">
        <v>10.501340000000001</v>
      </c>
      <c r="AN464" t="s">
        <v>73</v>
      </c>
      <c r="AO464" t="s">
        <v>94</v>
      </c>
      <c r="AP464" s="5">
        <v>45082</v>
      </c>
      <c r="AQ464" t="s">
        <v>93</v>
      </c>
      <c r="AR464" s="5">
        <v>45103</v>
      </c>
      <c r="AS464">
        <v>76.599321610384962</v>
      </c>
      <c r="AT464" s="6"/>
      <c r="AU464">
        <v>71.419456945494574</v>
      </c>
      <c r="AV464">
        <v>47.952992665697892</v>
      </c>
      <c r="AW464">
        <v>24.776704687211343</v>
      </c>
      <c r="AX464">
        <v>144.1491542984038</v>
      </c>
      <c r="AY464">
        <v>9.8707288784098033</v>
      </c>
      <c r="AZ464">
        <v>20.984919067471385</v>
      </c>
      <c r="BA464">
        <v>11.49449784503692</v>
      </c>
      <c r="BB464">
        <v>15.924021124923105</v>
      </c>
      <c r="BC464">
        <v>17.754724635141802</v>
      </c>
      <c r="BD464">
        <v>76.028891550983019</v>
      </c>
      <c r="BE464">
        <v>-143.57872423900187</v>
      </c>
      <c r="BF464">
        <v>6.0673799724606567</v>
      </c>
      <c r="BH464">
        <v>6.0673799724606567</v>
      </c>
      <c r="BI464">
        <v>226.2454258218475</v>
      </c>
      <c r="BJ464" s="6">
        <v>150</v>
      </c>
      <c r="BK464">
        <v>-149.64610421146256</v>
      </c>
      <c r="BL464" s="4">
        <v>-1571.4846200000002</v>
      </c>
      <c r="BM464" t="s">
        <v>1032</v>
      </c>
      <c r="BN464" t="s">
        <v>65</v>
      </c>
      <c r="BO464">
        <v>7</v>
      </c>
      <c r="BP464">
        <v>2023</v>
      </c>
      <c r="BQ464" t="str">
        <f t="shared" si="36"/>
        <v>Roiphet37</v>
      </c>
      <c r="BR464">
        <f t="shared" si="37"/>
        <v>-800.67914000000019</v>
      </c>
      <c r="BS464">
        <f t="shared" si="38"/>
        <v>804.39552000000003</v>
      </c>
      <c r="BT464" s="6">
        <f t="shared" si="39"/>
        <v>-76.245425821847505</v>
      </c>
    </row>
    <row r="465" spans="1:72">
      <c r="A465" s="3" t="s">
        <v>967</v>
      </c>
      <c r="B465" s="3" t="s">
        <v>999</v>
      </c>
      <c r="C465" s="3" t="s">
        <v>1025</v>
      </c>
      <c r="D465" s="2" t="s">
        <v>2797</v>
      </c>
      <c r="E465" s="4" t="str">
        <f t="shared" si="35"/>
        <v>Roiphet3C1-043-0028</v>
      </c>
      <c r="F465">
        <v>4.5</v>
      </c>
      <c r="G465">
        <v>1.5</v>
      </c>
      <c r="H465" t="s">
        <v>72</v>
      </c>
      <c r="I465" t="s">
        <v>75</v>
      </c>
      <c r="J465" t="s">
        <v>95</v>
      </c>
      <c r="K465" t="s">
        <v>79</v>
      </c>
      <c r="N465" s="5">
        <v>45189</v>
      </c>
      <c r="O465" s="5">
        <v>45215</v>
      </c>
      <c r="P465">
        <v>1.5</v>
      </c>
      <c r="Q465" s="4">
        <v>139</v>
      </c>
      <c r="R465">
        <v>0.45</v>
      </c>
      <c r="S465" t="s">
        <v>70</v>
      </c>
      <c r="T465" s="6">
        <v>1</v>
      </c>
      <c r="U465" s="5">
        <v>45263</v>
      </c>
      <c r="V465" s="6">
        <v>2</v>
      </c>
      <c r="W465" t="s">
        <v>71</v>
      </c>
      <c r="X465" s="6">
        <v>48</v>
      </c>
      <c r="Y465">
        <v>12.349740000000001</v>
      </c>
      <c r="Z465">
        <v>2.7443866666666668</v>
      </c>
      <c r="AA465" s="6">
        <v>93.00001457520564</v>
      </c>
      <c r="AB465" s="4">
        <v>76.568399999999997</v>
      </c>
      <c r="AC465" s="6">
        <v>10.752686486853584</v>
      </c>
      <c r="AD465">
        <v>0.21463933700000001</v>
      </c>
      <c r="AE465">
        <v>1.5760819288501797</v>
      </c>
      <c r="AF465">
        <v>18400</v>
      </c>
      <c r="AG465" s="4"/>
      <c r="AH465" s="4"/>
      <c r="AI465" t="s">
        <v>73</v>
      </c>
      <c r="AL465">
        <v>93</v>
      </c>
      <c r="AM465">
        <v>12.349740000000001</v>
      </c>
      <c r="AN465" t="s">
        <v>73</v>
      </c>
      <c r="AO465" t="s">
        <v>104</v>
      </c>
      <c r="AP465" s="5">
        <v>45215</v>
      </c>
      <c r="AQ465" t="s">
        <v>104</v>
      </c>
      <c r="AR465" s="5">
        <v>45257</v>
      </c>
      <c r="AS465">
        <v>114.23083400946093</v>
      </c>
      <c r="AT465" s="6"/>
      <c r="AU465">
        <v>54.657021119472958</v>
      </c>
      <c r="AV465">
        <v>44.811109383679316</v>
      </c>
      <c r="AW465">
        <v>40.479794716326005</v>
      </c>
      <c r="AX465">
        <v>139.94792521947829</v>
      </c>
      <c r="AY465">
        <v>22.665073110850912</v>
      </c>
      <c r="AZ465">
        <v>47.629354140249099</v>
      </c>
      <c r="BA465">
        <v>24.009847980605262</v>
      </c>
      <c r="BB465">
        <v>30.318843959467976</v>
      </c>
      <c r="BC465">
        <v>25.179749533188552</v>
      </c>
      <c r="BD465">
        <v>149.80286872436182</v>
      </c>
      <c r="BE465">
        <v>-175.51995993437919</v>
      </c>
      <c r="BF465">
        <v>15.624086013146833</v>
      </c>
      <c r="BH465">
        <v>15.624086013146833</v>
      </c>
      <c r="BI465">
        <v>305.37487995698689</v>
      </c>
      <c r="BJ465" s="6">
        <v>150</v>
      </c>
      <c r="BK465">
        <v>-191.14404594752594</v>
      </c>
      <c r="BL465" s="4">
        <v>-2360.5792699999993</v>
      </c>
      <c r="BM465" t="s">
        <v>2798</v>
      </c>
      <c r="BN465" t="s">
        <v>65</v>
      </c>
      <c r="BO465">
        <v>12</v>
      </c>
      <c r="BP465">
        <v>2023</v>
      </c>
      <c r="BQ465" t="str">
        <f t="shared" si="36"/>
        <v>Roiphet312</v>
      </c>
      <c r="BR465">
        <f t="shared" si="37"/>
        <v>-1918.8393699999992</v>
      </c>
      <c r="BS465">
        <f t="shared" si="38"/>
        <v>1410.7211000000002</v>
      </c>
      <c r="BT465" s="6">
        <f t="shared" si="39"/>
        <v>-155.37487995698689</v>
      </c>
    </row>
    <row r="466" spans="1:72">
      <c r="A466" s="3" t="s">
        <v>967</v>
      </c>
      <c r="B466" s="3" t="s">
        <v>999</v>
      </c>
      <c r="C466" s="3" t="s">
        <v>1025</v>
      </c>
      <c r="D466" s="2" t="s">
        <v>1037</v>
      </c>
      <c r="E466" s="4" t="str">
        <f t="shared" si="35"/>
        <v>Roiphet3C1-043-0026</v>
      </c>
      <c r="F466">
        <v>4.5</v>
      </c>
      <c r="G466">
        <v>1.5</v>
      </c>
      <c r="H466" t="s">
        <v>72</v>
      </c>
      <c r="I466" t="s">
        <v>75</v>
      </c>
      <c r="J466" t="s">
        <v>95</v>
      </c>
      <c r="K466" t="s">
        <v>79</v>
      </c>
      <c r="N466" s="5">
        <v>45031</v>
      </c>
      <c r="O466" s="5">
        <v>45061</v>
      </c>
      <c r="P466">
        <v>1.5</v>
      </c>
      <c r="Q466" s="4">
        <v>139</v>
      </c>
      <c r="R466">
        <v>0.62</v>
      </c>
      <c r="S466" t="s">
        <v>70</v>
      </c>
      <c r="T466" s="6">
        <v>1</v>
      </c>
      <c r="U466" s="5">
        <v>45112</v>
      </c>
      <c r="V466" s="6">
        <v>2</v>
      </c>
      <c r="W466" t="s">
        <v>71</v>
      </c>
      <c r="X466" s="6">
        <v>51</v>
      </c>
      <c r="Y466">
        <v>7.31168</v>
      </c>
      <c r="Z466">
        <v>1.6248177777777777</v>
      </c>
      <c r="AA466" s="6">
        <v>91.997598363166873</v>
      </c>
      <c r="AB466" s="4">
        <v>44.843800000000002</v>
      </c>
      <c r="AC466" s="6">
        <v>10.869848972061542</v>
      </c>
      <c r="AD466">
        <v>0.200971867</v>
      </c>
      <c r="AE466">
        <v>2.4405378428309299</v>
      </c>
      <c r="AF466">
        <v>15575</v>
      </c>
      <c r="AG466" s="4"/>
      <c r="AH466" s="4"/>
      <c r="AL466">
        <v>92</v>
      </c>
      <c r="AM466">
        <v>7.3058199999999998</v>
      </c>
      <c r="AN466" t="s">
        <v>111</v>
      </c>
      <c r="AO466" t="s">
        <v>108</v>
      </c>
      <c r="AP466" s="5">
        <v>45061</v>
      </c>
      <c r="AQ466" t="s">
        <v>438</v>
      </c>
      <c r="AR466" s="5">
        <v>45110</v>
      </c>
      <c r="AS466">
        <v>103.31538852903847</v>
      </c>
      <c r="AT466" s="6"/>
      <c r="AU466">
        <v>102.57560505930236</v>
      </c>
      <c r="AV466">
        <v>68.374695008534289</v>
      </c>
      <c r="AW466">
        <v>41.169285307890924</v>
      </c>
      <c r="AX466">
        <v>212.11958537572755</v>
      </c>
      <c r="AY466">
        <v>18.159669186835309</v>
      </c>
      <c r="AZ466">
        <v>38.66557754168673</v>
      </c>
      <c r="BA466">
        <v>21.175547890498489</v>
      </c>
      <c r="BB466">
        <v>27.81726087574949</v>
      </c>
      <c r="BC466">
        <v>28.679996936408592</v>
      </c>
      <c r="BD466">
        <v>134.49805243117859</v>
      </c>
      <c r="BE466">
        <v>-243.30224927786767</v>
      </c>
      <c r="BF466">
        <v>10.948143244780955</v>
      </c>
      <c r="BH466">
        <v>10.948143244780955</v>
      </c>
      <c r="BI466">
        <v>357.56578105168717</v>
      </c>
      <c r="BJ466" s="6">
        <v>150</v>
      </c>
      <c r="BK466">
        <v>-254.25039252264872</v>
      </c>
      <c r="BL466" s="4">
        <v>-1858.9975100000001</v>
      </c>
      <c r="BM466" t="s">
        <v>1038</v>
      </c>
      <c r="BN466" t="s">
        <v>65</v>
      </c>
      <c r="BO466">
        <v>7</v>
      </c>
      <c r="BP466">
        <v>2023</v>
      </c>
      <c r="BQ466" t="str">
        <f t="shared" si="36"/>
        <v>Roiphet37</v>
      </c>
      <c r="BR466">
        <f t="shared" si="37"/>
        <v>-1517.6545699999999</v>
      </c>
      <c r="BS466">
        <f t="shared" si="38"/>
        <v>755.40906000000007</v>
      </c>
      <c r="BT466" s="6">
        <f t="shared" si="39"/>
        <v>-207.56578105168717</v>
      </c>
    </row>
    <row r="467" spans="1:72">
      <c r="A467" s="3" t="s">
        <v>967</v>
      </c>
      <c r="B467" s="3" t="s">
        <v>999</v>
      </c>
      <c r="C467" s="3" t="s">
        <v>1025</v>
      </c>
      <c r="D467" s="2" t="s">
        <v>1039</v>
      </c>
      <c r="E467" s="4" t="str">
        <f t="shared" si="35"/>
        <v>Roiphet3C1-051-0026</v>
      </c>
      <c r="F467">
        <v>4.5</v>
      </c>
      <c r="G467">
        <v>2</v>
      </c>
      <c r="H467" t="s">
        <v>72</v>
      </c>
      <c r="I467" t="s">
        <v>75</v>
      </c>
      <c r="J467" t="s">
        <v>95</v>
      </c>
      <c r="K467" t="s">
        <v>79</v>
      </c>
      <c r="N467" s="5">
        <v>45046</v>
      </c>
      <c r="O467" s="5">
        <v>45075</v>
      </c>
      <c r="P467">
        <v>2.5</v>
      </c>
      <c r="Q467" s="4">
        <v>174</v>
      </c>
      <c r="R467">
        <v>0.85</v>
      </c>
      <c r="S467" t="s">
        <v>70</v>
      </c>
      <c r="T467" s="6">
        <v>2</v>
      </c>
      <c r="U467" s="5">
        <v>45128</v>
      </c>
      <c r="V467" s="6">
        <v>2</v>
      </c>
      <c r="W467" t="s">
        <v>71</v>
      </c>
      <c r="X467" s="6">
        <v>53</v>
      </c>
      <c r="Y467">
        <v>17.925650000000001</v>
      </c>
      <c r="Z467">
        <v>3.9834777777777779</v>
      </c>
      <c r="AA467" s="6">
        <v>87.516157015226781</v>
      </c>
      <c r="AB467" s="4">
        <v>62.751359999999998</v>
      </c>
      <c r="AC467" s="6">
        <v>11.42646151414089</v>
      </c>
      <c r="AD467">
        <v>0.19837049699999998</v>
      </c>
      <c r="AE467">
        <v>1.9239471294265813</v>
      </c>
      <c r="AF467">
        <v>30400</v>
      </c>
      <c r="AG467" s="4"/>
      <c r="AH467" s="4"/>
      <c r="AL467">
        <v>88</v>
      </c>
      <c r="AM467">
        <v>13.57419</v>
      </c>
      <c r="AN467" t="s">
        <v>111</v>
      </c>
      <c r="AO467" t="s">
        <v>94</v>
      </c>
      <c r="AP467" s="5">
        <v>45082</v>
      </c>
      <c r="AQ467" t="s">
        <v>438</v>
      </c>
      <c r="AR467" s="5">
        <v>45124</v>
      </c>
      <c r="AS467">
        <v>109.67744489042239</v>
      </c>
      <c r="AT467" s="6"/>
      <c r="AU467">
        <v>76.705726152189726</v>
      </c>
      <c r="AV467">
        <v>54.031567056145811</v>
      </c>
      <c r="AW467">
        <v>19.827139880562203</v>
      </c>
      <c r="AX467">
        <v>150.56443308889774</v>
      </c>
      <c r="AY467">
        <v>9.5363783182199793</v>
      </c>
      <c r="AZ467">
        <v>18.032718478827825</v>
      </c>
      <c r="BA467">
        <v>10.633313157402938</v>
      </c>
      <c r="BB467">
        <v>14.855520441378692</v>
      </c>
      <c r="BC467">
        <v>12.748077754502626</v>
      </c>
      <c r="BD467">
        <v>65.806008150332062</v>
      </c>
      <c r="BE467">
        <v>-106.69299634880741</v>
      </c>
      <c r="BF467">
        <v>5.9872099477564271</v>
      </c>
      <c r="BH467">
        <v>5.9872099477564271</v>
      </c>
      <c r="BI467">
        <v>222.35765118698623</v>
      </c>
      <c r="BJ467" s="6">
        <v>150</v>
      </c>
      <c r="BK467">
        <v>-112.68020629656385</v>
      </c>
      <c r="BL467" s="4">
        <v>-2019.8659399999999</v>
      </c>
      <c r="BM467" t="s">
        <v>1040</v>
      </c>
      <c r="BN467" t="s">
        <v>65</v>
      </c>
      <c r="BO467">
        <v>7</v>
      </c>
      <c r="BP467">
        <v>2023</v>
      </c>
      <c r="BQ467" t="str">
        <f t="shared" si="36"/>
        <v>Roiphet37</v>
      </c>
      <c r="BR467">
        <f t="shared" si="37"/>
        <v>-1297.0579299999997</v>
      </c>
      <c r="BS467">
        <f t="shared" si="38"/>
        <v>1966.0394900000003</v>
      </c>
      <c r="BT467" s="6">
        <f t="shared" si="39"/>
        <v>-72.357651186986232</v>
      </c>
    </row>
    <row r="468" spans="1:72">
      <c r="A468" s="3" t="s">
        <v>967</v>
      </c>
      <c r="B468" s="3" t="s">
        <v>999</v>
      </c>
      <c r="C468" s="3" t="s">
        <v>1025</v>
      </c>
      <c r="D468" s="2" t="s">
        <v>1041</v>
      </c>
      <c r="E468" s="4" t="str">
        <f t="shared" si="35"/>
        <v>Roiphet3C1-046-0005</v>
      </c>
      <c r="F468">
        <v>4.5</v>
      </c>
      <c r="G468">
        <v>1.5</v>
      </c>
      <c r="H468" t="s">
        <v>72</v>
      </c>
      <c r="I468" t="s">
        <v>75</v>
      </c>
      <c r="J468" t="s">
        <v>95</v>
      </c>
      <c r="K468" t="s">
        <v>79</v>
      </c>
      <c r="N468" s="5">
        <v>45046</v>
      </c>
      <c r="O468" s="5">
        <v>45075</v>
      </c>
      <c r="P468">
        <v>1.5</v>
      </c>
      <c r="Q468" s="4">
        <v>139</v>
      </c>
      <c r="R468">
        <v>0.65</v>
      </c>
      <c r="S468" t="s">
        <v>70</v>
      </c>
      <c r="T468" s="6">
        <v>2</v>
      </c>
      <c r="U468" s="5">
        <v>45130</v>
      </c>
      <c r="V468" s="6">
        <v>2</v>
      </c>
      <c r="W468" t="s">
        <v>71</v>
      </c>
      <c r="X468" s="6">
        <v>55</v>
      </c>
      <c r="Y468">
        <v>10.36928</v>
      </c>
      <c r="Z468">
        <v>2.3042844444444444</v>
      </c>
      <c r="AA468" s="6">
        <v>87.028800456733734</v>
      </c>
      <c r="AB468" s="4">
        <v>60.161733333333331</v>
      </c>
      <c r="AC468" s="6">
        <v>11.490449078373185</v>
      </c>
      <c r="AD468">
        <v>0.19479338800000001</v>
      </c>
      <c r="AE468">
        <v>2.2034075111713824</v>
      </c>
      <c r="AF468">
        <v>20700</v>
      </c>
      <c r="AG468" s="4"/>
      <c r="AH468" s="4"/>
      <c r="AL468">
        <v>88</v>
      </c>
      <c r="AM468">
        <v>5.3045400000000003</v>
      </c>
      <c r="AN468" t="s">
        <v>111</v>
      </c>
      <c r="AO468" t="s">
        <v>94</v>
      </c>
      <c r="AP468" s="5">
        <v>45082</v>
      </c>
      <c r="AQ468" t="s">
        <v>438</v>
      </c>
      <c r="AR468" s="5">
        <v>45124</v>
      </c>
      <c r="AS468">
        <v>102.305217912912</v>
      </c>
      <c r="AT468" s="6"/>
      <c r="AU468">
        <v>72.32903345266017</v>
      </c>
      <c r="AV468">
        <v>63.753072537341076</v>
      </c>
      <c r="AW468">
        <v>36.94626145691889</v>
      </c>
      <c r="AX468">
        <v>173.02836744692013</v>
      </c>
      <c r="AY468">
        <v>17.316695083940253</v>
      </c>
      <c r="AZ468">
        <v>32.534427655536348</v>
      </c>
      <c r="BA468">
        <v>19.264881457536102</v>
      </c>
      <c r="BB468">
        <v>26.870424947537341</v>
      </c>
      <c r="BC468">
        <v>22.583017335822738</v>
      </c>
      <c r="BD468">
        <v>118.56944648037279</v>
      </c>
      <c r="BE468">
        <v>-189.29259601438093</v>
      </c>
      <c r="BF468">
        <v>10.875848660659177</v>
      </c>
      <c r="BH468">
        <v>10.875848660659177</v>
      </c>
      <c r="BI468">
        <v>302.47366258795216</v>
      </c>
      <c r="BJ468" s="6">
        <v>150</v>
      </c>
      <c r="BK468">
        <v>-200.16844467504015</v>
      </c>
      <c r="BL468" s="4">
        <v>-2075.6026500000003</v>
      </c>
      <c r="BM468" t="s">
        <v>1042</v>
      </c>
      <c r="BN468" t="s">
        <v>65</v>
      </c>
      <c r="BO468">
        <v>7</v>
      </c>
      <c r="BP468">
        <v>2023</v>
      </c>
      <c r="BQ468" t="str">
        <f t="shared" si="36"/>
        <v>Roiphet37</v>
      </c>
      <c r="BR468">
        <f t="shared" si="37"/>
        <v>-1581.0421000000006</v>
      </c>
      <c r="BS468">
        <f t="shared" si="38"/>
        <v>1060.8314500000001</v>
      </c>
      <c r="BT468" s="6">
        <f t="shared" si="39"/>
        <v>-152.47366258795216</v>
      </c>
    </row>
    <row r="469" spans="1:72">
      <c r="A469" s="3" t="s">
        <v>967</v>
      </c>
      <c r="B469" s="3" t="s">
        <v>999</v>
      </c>
      <c r="C469" s="3" t="s">
        <v>1025</v>
      </c>
      <c r="D469" s="2" t="s">
        <v>1043</v>
      </c>
      <c r="E469" s="4" t="str">
        <f t="shared" si="35"/>
        <v>Roiphet3C1-057-0018</v>
      </c>
      <c r="F469">
        <v>4.5</v>
      </c>
      <c r="G469">
        <v>1.5</v>
      </c>
      <c r="H469" t="s">
        <v>72</v>
      </c>
      <c r="I469" t="s">
        <v>75</v>
      </c>
      <c r="J469" t="s">
        <v>95</v>
      </c>
      <c r="K469" t="s">
        <v>79</v>
      </c>
      <c r="N469" s="5">
        <v>45046</v>
      </c>
      <c r="O469" s="5">
        <v>45065</v>
      </c>
      <c r="P469">
        <v>2</v>
      </c>
      <c r="Q469" s="4">
        <v>185</v>
      </c>
      <c r="R469">
        <v>0.45</v>
      </c>
      <c r="S469" t="s">
        <v>70</v>
      </c>
      <c r="T469" s="6">
        <v>2</v>
      </c>
      <c r="U469" s="5">
        <v>45126</v>
      </c>
      <c r="V469" s="6">
        <v>2</v>
      </c>
      <c r="W469" t="s">
        <v>71</v>
      </c>
      <c r="X469" s="6">
        <v>61</v>
      </c>
      <c r="Y469">
        <v>10.657200000000001</v>
      </c>
      <c r="Z469">
        <v>2.368266666666667</v>
      </c>
      <c r="AA469" s="6">
        <v>84.078838719363432</v>
      </c>
      <c r="AB469" s="4">
        <v>44.802250000000001</v>
      </c>
      <c r="AC469" s="6">
        <v>11.893599093795514</v>
      </c>
      <c r="AD469">
        <v>0.18548698200000002</v>
      </c>
      <c r="AE469">
        <v>2.7902357633921064</v>
      </c>
      <c r="AF469">
        <v>27225</v>
      </c>
      <c r="AG469" s="4"/>
      <c r="AH469" s="4"/>
      <c r="AL469">
        <v>85</v>
      </c>
      <c r="AM469">
        <v>5.7483000000000004</v>
      </c>
      <c r="AN469" t="s">
        <v>111</v>
      </c>
      <c r="AO469" t="s">
        <v>108</v>
      </c>
      <c r="AP469" s="5">
        <v>45068</v>
      </c>
      <c r="AQ469" t="s">
        <v>438</v>
      </c>
      <c r="AR469" s="5">
        <v>45124</v>
      </c>
      <c r="AS469">
        <v>110.94801354952521</v>
      </c>
      <c r="AT469" s="6"/>
      <c r="AU469">
        <v>84.449949330030393</v>
      </c>
      <c r="AV469">
        <v>80.99747025485118</v>
      </c>
      <c r="AW469">
        <v>35.989288931426643</v>
      </c>
      <c r="AX469">
        <v>201.43670851630822</v>
      </c>
      <c r="AY469">
        <v>15.231948354164318</v>
      </c>
      <c r="AZ469">
        <v>29.007410952220102</v>
      </c>
      <c r="BA469">
        <v>17.026535112412265</v>
      </c>
      <c r="BB469">
        <v>23.830156138572981</v>
      </c>
      <c r="BC469">
        <v>20.91220677100927</v>
      </c>
      <c r="BD469">
        <v>106.00825732837895</v>
      </c>
      <c r="BE469">
        <v>-196.49695229516195</v>
      </c>
      <c r="BF469">
        <v>9.5592256877979196</v>
      </c>
      <c r="BH469">
        <v>9.5592256877979196</v>
      </c>
      <c r="BI469">
        <v>317.00419153248509</v>
      </c>
      <c r="BJ469" s="6">
        <v>150</v>
      </c>
      <c r="BK469">
        <v>-206.05617798295989</v>
      </c>
      <c r="BL469" s="4">
        <v>-2195.9819000000002</v>
      </c>
      <c r="BM469" t="s">
        <v>1044</v>
      </c>
      <c r="BN469" t="s">
        <v>65</v>
      </c>
      <c r="BO469">
        <v>7</v>
      </c>
      <c r="BP469">
        <v>2023</v>
      </c>
      <c r="BQ469" t="str">
        <f t="shared" si="36"/>
        <v>Roiphet37</v>
      </c>
      <c r="BR469">
        <f t="shared" si="37"/>
        <v>-1779.7970700000003</v>
      </c>
      <c r="BS469">
        <f t="shared" si="38"/>
        <v>1182.3951700000002</v>
      </c>
      <c r="BT469" s="6">
        <f t="shared" si="39"/>
        <v>-167.00419153248509</v>
      </c>
    </row>
    <row r="470" spans="1:72">
      <c r="A470" s="3" t="s">
        <v>967</v>
      </c>
      <c r="B470" s="3" t="s">
        <v>999</v>
      </c>
      <c r="C470" s="3" t="s">
        <v>1025</v>
      </c>
      <c r="D470" s="2" t="s">
        <v>1035</v>
      </c>
      <c r="E470" s="4" t="str">
        <f t="shared" si="35"/>
        <v>Roiphet3C1-054-0008</v>
      </c>
      <c r="F470">
        <v>4.5</v>
      </c>
      <c r="G470">
        <v>1.5</v>
      </c>
      <c r="H470" t="s">
        <v>72</v>
      </c>
      <c r="I470" t="s">
        <v>75</v>
      </c>
      <c r="J470" t="s">
        <v>95</v>
      </c>
      <c r="K470" t="s">
        <v>79</v>
      </c>
      <c r="N470" s="5">
        <v>45046</v>
      </c>
      <c r="O470" s="5">
        <v>45074</v>
      </c>
      <c r="P470">
        <v>2</v>
      </c>
      <c r="Q470" s="4">
        <v>185</v>
      </c>
      <c r="R470">
        <v>0.45</v>
      </c>
      <c r="S470" t="s">
        <v>70</v>
      </c>
      <c r="T470" s="6">
        <v>1</v>
      </c>
      <c r="U470" s="5">
        <v>45129</v>
      </c>
      <c r="V470" s="6">
        <v>2</v>
      </c>
      <c r="W470" t="s">
        <v>71</v>
      </c>
      <c r="X470" s="6">
        <v>55</v>
      </c>
      <c r="Y470">
        <v>8.1713000000000005</v>
      </c>
      <c r="Z470">
        <v>1.8158444444444446</v>
      </c>
      <c r="AA470" s="6">
        <v>97.006351498537569</v>
      </c>
      <c r="AB470" s="4">
        <v>39.633400000000002</v>
      </c>
      <c r="AC470" s="6">
        <v>10.3086033497</v>
      </c>
      <c r="AD470">
        <v>0.17925960599999999</v>
      </c>
      <c r="AE470">
        <v>2.5512309173428691</v>
      </c>
      <c r="AF470">
        <v>18550</v>
      </c>
      <c r="AG470" s="4"/>
      <c r="AH470" s="4"/>
      <c r="AL470">
        <v>97</v>
      </c>
      <c r="AM470">
        <v>8.1614399999999989</v>
      </c>
      <c r="AN470" t="s">
        <v>111</v>
      </c>
      <c r="AO470" t="s">
        <v>96</v>
      </c>
      <c r="AP470" s="5">
        <v>45075</v>
      </c>
      <c r="AQ470" t="s">
        <v>438</v>
      </c>
      <c r="AR470" s="5">
        <v>45124</v>
      </c>
      <c r="AS470">
        <v>85.778984984029478</v>
      </c>
      <c r="AT470" s="6"/>
      <c r="AU470">
        <v>110.14159313695495</v>
      </c>
      <c r="AV470">
        <v>72.294138019654156</v>
      </c>
      <c r="AW470">
        <v>44.650876849460928</v>
      </c>
      <c r="AX470">
        <v>227.08660800607001</v>
      </c>
      <c r="AY470">
        <v>21.447471026642027</v>
      </c>
      <c r="AZ470">
        <v>40.422380771725422</v>
      </c>
      <c r="BA470">
        <v>23.886774442255209</v>
      </c>
      <c r="BB470">
        <v>33.343642994382776</v>
      </c>
      <c r="BC470">
        <v>28.311725184487166</v>
      </c>
      <c r="BD470">
        <v>147.4119944194926</v>
      </c>
      <c r="BE470">
        <v>-288.71961744153316</v>
      </c>
      <c r="BF470">
        <v>13.467828864440174</v>
      </c>
      <c r="BH470">
        <v>13.467828864440174</v>
      </c>
      <c r="BI470">
        <v>387.96643129000279</v>
      </c>
      <c r="BJ470" s="6">
        <v>150</v>
      </c>
      <c r="BK470">
        <v>-302.18744630597325</v>
      </c>
      <c r="BL470" s="4">
        <v>-2469.2642799999994</v>
      </c>
      <c r="BM470" t="s">
        <v>1036</v>
      </c>
      <c r="BN470" t="s">
        <v>65</v>
      </c>
      <c r="BO470">
        <v>7</v>
      </c>
      <c r="BP470">
        <v>2023</v>
      </c>
      <c r="BQ470" t="str">
        <f t="shared" si="36"/>
        <v>Roiphet37</v>
      </c>
      <c r="BR470">
        <f t="shared" si="37"/>
        <v>-1944.4950999999999</v>
      </c>
      <c r="BS470">
        <f t="shared" si="38"/>
        <v>700.92582000000016</v>
      </c>
      <c r="BT470" s="6">
        <f t="shared" si="39"/>
        <v>-237.96643129000279</v>
      </c>
    </row>
    <row r="471" spans="1:72">
      <c r="A471" s="3" t="s">
        <v>967</v>
      </c>
      <c r="B471" s="3" t="s">
        <v>999</v>
      </c>
      <c r="C471" s="3" t="s">
        <v>1025</v>
      </c>
      <c r="D471" s="2" t="s">
        <v>1033</v>
      </c>
      <c r="E471" s="4" t="str">
        <f t="shared" si="35"/>
        <v>Roiphet3C1-042-0016</v>
      </c>
      <c r="F471">
        <v>3.5</v>
      </c>
      <c r="G471">
        <v>2</v>
      </c>
      <c r="H471" t="s">
        <v>72</v>
      </c>
      <c r="I471" t="s">
        <v>75</v>
      </c>
      <c r="J471" t="s">
        <v>95</v>
      </c>
      <c r="K471" t="s">
        <v>79</v>
      </c>
      <c r="N471" s="5">
        <v>45031</v>
      </c>
      <c r="O471" s="5">
        <v>45058</v>
      </c>
      <c r="P471">
        <v>1.5</v>
      </c>
      <c r="Q471" s="4">
        <v>134</v>
      </c>
      <c r="R471">
        <v>0.45</v>
      </c>
      <c r="S471" t="s">
        <v>70</v>
      </c>
      <c r="T471" s="6">
        <v>1</v>
      </c>
      <c r="U471" s="5">
        <v>45113</v>
      </c>
      <c r="V471" s="6">
        <v>2</v>
      </c>
      <c r="W471" t="s">
        <v>71</v>
      </c>
      <c r="X471" s="6">
        <v>55</v>
      </c>
      <c r="Y471">
        <v>5.2323199999999996</v>
      </c>
      <c r="Z471">
        <v>1.4949485714285713</v>
      </c>
      <c r="AA471" s="6">
        <v>100</v>
      </c>
      <c r="AB471" s="4">
        <v>34.882133333333329</v>
      </c>
      <c r="AC471" s="6">
        <v>10</v>
      </c>
      <c r="AD471">
        <v>0.17363636399999999</v>
      </c>
      <c r="AE471">
        <v>3.3407792298982737</v>
      </c>
      <c r="AF471">
        <v>15225</v>
      </c>
      <c r="AG471" s="4"/>
      <c r="AH471" s="4"/>
      <c r="AL471">
        <v>100</v>
      </c>
      <c r="AM471">
        <v>5.2274200000000004</v>
      </c>
      <c r="AN471" t="s">
        <v>111</v>
      </c>
      <c r="AO471" t="s">
        <v>108</v>
      </c>
      <c r="AP471" s="5">
        <v>45061</v>
      </c>
      <c r="AQ471" t="s">
        <v>438</v>
      </c>
      <c r="AR471" s="5">
        <v>45110</v>
      </c>
      <c r="AS471">
        <v>99.534317472937445</v>
      </c>
      <c r="AT471" s="6"/>
      <c r="AU471">
        <v>129.00587120053819</v>
      </c>
      <c r="AV471">
        <v>92.631664347746323</v>
      </c>
      <c r="AW471">
        <v>51.463551541190149</v>
      </c>
      <c r="AX471">
        <v>273.10108708947467</v>
      </c>
      <c r="AY471">
        <v>20.377606874197298</v>
      </c>
      <c r="AZ471">
        <v>43.07327915723809</v>
      </c>
      <c r="BA471">
        <v>23.695467784844965</v>
      </c>
      <c r="BB471">
        <v>31.150378799461809</v>
      </c>
      <c r="BC471">
        <v>31.591569322977193</v>
      </c>
      <c r="BD471">
        <v>149.88830193871937</v>
      </c>
      <c r="BE471">
        <v>-323.45507155525661</v>
      </c>
      <c r="BF471">
        <v>12.304306693780198</v>
      </c>
      <c r="BH471">
        <v>12.304306693780198</v>
      </c>
      <c r="BI471">
        <v>435.29369572197413</v>
      </c>
      <c r="BJ471" s="6">
        <v>150</v>
      </c>
      <c r="BK471">
        <v>-335.75937824903673</v>
      </c>
      <c r="BL471" s="4">
        <v>-1756.8005099999998</v>
      </c>
      <c r="BM471" t="s">
        <v>1034</v>
      </c>
      <c r="BN471" t="s">
        <v>65</v>
      </c>
      <c r="BO471">
        <v>7</v>
      </c>
      <c r="BP471">
        <v>2023</v>
      </c>
      <c r="BQ471" t="str">
        <f t="shared" si="36"/>
        <v>Roiphet37</v>
      </c>
      <c r="BR471">
        <f t="shared" si="37"/>
        <v>-1492.7479099999996</v>
      </c>
      <c r="BS471">
        <f t="shared" si="38"/>
        <v>520.79539999999997</v>
      </c>
      <c r="BT471" s="6">
        <f t="shared" si="39"/>
        <v>-285.29369572197413</v>
      </c>
    </row>
    <row r="472" spans="1:72">
      <c r="A472" s="3" t="s">
        <v>967</v>
      </c>
      <c r="B472" s="3" t="s">
        <v>999</v>
      </c>
      <c r="C472" s="3" t="s">
        <v>1025</v>
      </c>
      <c r="D472" s="2" t="s">
        <v>1029</v>
      </c>
      <c r="E472" s="4" t="str">
        <f t="shared" si="35"/>
        <v>Roiphet3C1-045-0026</v>
      </c>
      <c r="F472">
        <v>4.5</v>
      </c>
      <c r="G472">
        <v>1.5</v>
      </c>
      <c r="H472" t="s">
        <v>72</v>
      </c>
      <c r="I472" t="s">
        <v>75</v>
      </c>
      <c r="J472" t="s">
        <v>95</v>
      </c>
      <c r="K472" t="s">
        <v>79</v>
      </c>
      <c r="N472" s="5">
        <v>45031</v>
      </c>
      <c r="O472" s="5">
        <v>45060</v>
      </c>
      <c r="P472">
        <v>2</v>
      </c>
      <c r="Q472" s="4">
        <v>185</v>
      </c>
      <c r="R472">
        <v>0.45</v>
      </c>
      <c r="S472" t="s">
        <v>70</v>
      </c>
      <c r="T472" s="6">
        <v>1</v>
      </c>
      <c r="U472" s="5">
        <v>45108</v>
      </c>
      <c r="V472" s="6">
        <v>2</v>
      </c>
      <c r="W472" t="s">
        <v>71</v>
      </c>
      <c r="X472" s="6">
        <v>48.000000000000007</v>
      </c>
      <c r="Y472">
        <v>7.0961000000000007</v>
      </c>
      <c r="Z472">
        <v>1.5769111111111114</v>
      </c>
      <c r="AA472" s="6">
        <v>113.99994363100858</v>
      </c>
      <c r="AB472" s="4">
        <v>40.447749999999999</v>
      </c>
      <c r="AC472" s="6">
        <v>8.7719341619744</v>
      </c>
      <c r="AD472">
        <v>0.17337353800000002</v>
      </c>
      <c r="AE472">
        <v>4.3535168669526509</v>
      </c>
      <c r="AF472">
        <v>26975</v>
      </c>
      <c r="AG472" s="4"/>
      <c r="AH472" s="4"/>
      <c r="AI472" t="s">
        <v>73</v>
      </c>
      <c r="AJ472" t="s">
        <v>73</v>
      </c>
      <c r="AK472" t="s">
        <v>123</v>
      </c>
      <c r="AL472">
        <v>114</v>
      </c>
      <c r="AM472">
        <v>7.0961000000000007</v>
      </c>
      <c r="AN472" t="s">
        <v>73</v>
      </c>
      <c r="AO472" t="s">
        <v>108</v>
      </c>
      <c r="AP472" s="5">
        <v>45068</v>
      </c>
      <c r="AQ472" t="s">
        <v>438</v>
      </c>
      <c r="AR472" s="5">
        <v>45103</v>
      </c>
      <c r="AS472">
        <v>76.364355068276936</v>
      </c>
      <c r="AT472" s="6"/>
      <c r="AU472">
        <v>126.83023069009737</v>
      </c>
      <c r="AV472">
        <v>122.36501881315087</v>
      </c>
      <c r="AW472">
        <v>45.138932653147492</v>
      </c>
      <c r="AX472">
        <v>294.33418215639574</v>
      </c>
      <c r="AY472">
        <v>16.283020250560167</v>
      </c>
      <c r="AZ472">
        <v>35.86329814968785</v>
      </c>
      <c r="BA472">
        <v>19.238883330280014</v>
      </c>
      <c r="BB472">
        <v>25.186609546088693</v>
      </c>
      <c r="BC472">
        <v>27.95829399247474</v>
      </c>
      <c r="BD472">
        <v>124.53010526909146</v>
      </c>
      <c r="BE472">
        <v>-342.49993235721024</v>
      </c>
      <c r="BF472">
        <v>9.7446681980242662</v>
      </c>
      <c r="BH472">
        <v>9.7446681980242662</v>
      </c>
      <c r="BI472">
        <v>428.60895562351146</v>
      </c>
      <c r="BJ472" s="6">
        <v>150</v>
      </c>
      <c r="BK472">
        <v>-352.24460055523451</v>
      </c>
      <c r="BL472" s="4">
        <v>-2499.5629099999996</v>
      </c>
      <c r="BM472" t="s">
        <v>1030</v>
      </c>
      <c r="BN472" t="s">
        <v>65</v>
      </c>
      <c r="BO472">
        <v>7</v>
      </c>
      <c r="BP472">
        <v>2023</v>
      </c>
      <c r="BQ472" t="str">
        <f t="shared" si="36"/>
        <v>Roiphet37</v>
      </c>
      <c r="BR472">
        <f t="shared" si="37"/>
        <v>-1977.03701</v>
      </c>
      <c r="BS472">
        <f t="shared" si="38"/>
        <v>541.88909999999998</v>
      </c>
      <c r="BT472" s="6">
        <f t="shared" si="39"/>
        <v>-278.60895562351146</v>
      </c>
    </row>
    <row r="473" spans="1:72">
      <c r="A473" s="3" t="s">
        <v>967</v>
      </c>
      <c r="B473" s="3" t="s">
        <v>999</v>
      </c>
      <c r="C473" s="3" t="s">
        <v>1025</v>
      </c>
      <c r="D473" s="2" t="s">
        <v>1027</v>
      </c>
      <c r="E473" s="4" t="str">
        <f t="shared" si="35"/>
        <v>Roiphet3C1-041-0006</v>
      </c>
      <c r="F473">
        <v>5.8</v>
      </c>
      <c r="G473">
        <v>1.5</v>
      </c>
      <c r="H473" t="s">
        <v>72</v>
      </c>
      <c r="I473" t="s">
        <v>75</v>
      </c>
      <c r="J473" t="s">
        <v>95</v>
      </c>
      <c r="K473" t="s">
        <v>79</v>
      </c>
      <c r="N473" s="5">
        <v>45026</v>
      </c>
      <c r="O473" s="5">
        <v>45046</v>
      </c>
      <c r="P473">
        <v>2.1</v>
      </c>
      <c r="Q473" s="4">
        <v>151</v>
      </c>
      <c r="R473">
        <v>0.63900000000000001</v>
      </c>
      <c r="S473" t="s">
        <v>70</v>
      </c>
      <c r="T473" s="6">
        <v>1</v>
      </c>
      <c r="U473" s="5">
        <v>45082</v>
      </c>
      <c r="V473" s="6">
        <v>2</v>
      </c>
      <c r="W473" t="s">
        <v>71</v>
      </c>
      <c r="X473" s="6">
        <v>36</v>
      </c>
      <c r="Y473">
        <v>11.821999999999999</v>
      </c>
      <c r="Z473">
        <v>2.0382758620689656</v>
      </c>
      <c r="AA473" s="6">
        <v>146</v>
      </c>
      <c r="AB473" s="4">
        <v>82.191047619047623</v>
      </c>
      <c r="AC473" s="6">
        <v>6.8493150684931505</v>
      </c>
      <c r="AD473">
        <v>0.17250875199999999</v>
      </c>
      <c r="AE473">
        <v>1.3120892564223192</v>
      </c>
      <c r="AF473">
        <v>13750</v>
      </c>
      <c r="AG473" s="4"/>
      <c r="AH473" s="4"/>
      <c r="AI473" t="s">
        <v>73</v>
      </c>
      <c r="AJ473" t="s">
        <v>73</v>
      </c>
      <c r="AK473" t="s">
        <v>123</v>
      </c>
      <c r="AL473">
        <v>146</v>
      </c>
      <c r="AM473">
        <v>11.821999999999999</v>
      </c>
      <c r="AN473" t="s">
        <v>73</v>
      </c>
      <c r="AO473" t="s">
        <v>108</v>
      </c>
      <c r="AP473" s="5">
        <v>45047</v>
      </c>
      <c r="AQ473" t="s">
        <v>96</v>
      </c>
      <c r="AR473" s="5">
        <v>45075</v>
      </c>
      <c r="AS473">
        <v>84.367145998984952</v>
      </c>
      <c r="AT473" s="6"/>
      <c r="AU473">
        <v>88.817458974792757</v>
      </c>
      <c r="AV473">
        <v>36.766920994755537</v>
      </c>
      <c r="AW473">
        <v>20.225255455929624</v>
      </c>
      <c r="AX473">
        <v>145.80963542547792</v>
      </c>
      <c r="AY473">
        <v>9.2392082557942796</v>
      </c>
      <c r="AZ473">
        <v>19.318766706141091</v>
      </c>
      <c r="BA473">
        <v>10.101014210793435</v>
      </c>
      <c r="BB473">
        <v>13.810033835222466</v>
      </c>
      <c r="BC473">
        <v>17.044304686178311</v>
      </c>
      <c r="BD473">
        <v>69.5133276941296</v>
      </c>
      <c r="BE473">
        <v>-130.95581712062256</v>
      </c>
      <c r="BF473">
        <v>5.3443782777871771</v>
      </c>
      <c r="BH473">
        <v>5.3443782777871771</v>
      </c>
      <c r="BI473">
        <v>220.66734139739467</v>
      </c>
      <c r="BJ473" s="6">
        <v>150</v>
      </c>
      <c r="BK473">
        <v>-136.30019539840973</v>
      </c>
      <c r="BL473" s="4">
        <v>-1611.3409099999997</v>
      </c>
      <c r="BM473" t="s">
        <v>1028</v>
      </c>
      <c r="BN473" t="s">
        <v>65</v>
      </c>
      <c r="BO473">
        <v>6</v>
      </c>
      <c r="BP473">
        <v>2023</v>
      </c>
      <c r="BQ473" t="str">
        <f t="shared" si="36"/>
        <v>Roiphet36</v>
      </c>
      <c r="BR473">
        <f t="shared" si="37"/>
        <v>-835.42930999999965</v>
      </c>
      <c r="BS473">
        <f t="shared" si="38"/>
        <v>997.38840000000005</v>
      </c>
      <c r="BT473" s="6">
        <f t="shared" si="39"/>
        <v>-70.667341397394665</v>
      </c>
    </row>
    <row r="474" spans="1:72">
      <c r="A474" s="3" t="s">
        <v>967</v>
      </c>
      <c r="B474" s="3" t="s">
        <v>999</v>
      </c>
      <c r="C474" s="3" t="s">
        <v>1025</v>
      </c>
      <c r="D474" s="2" t="s">
        <v>2795</v>
      </c>
      <c r="E474" s="4" t="str">
        <f t="shared" si="35"/>
        <v>Roiphet3C1-044-0020</v>
      </c>
      <c r="F474">
        <v>4.5</v>
      </c>
      <c r="G474">
        <v>1.5</v>
      </c>
      <c r="H474" t="s">
        <v>72</v>
      </c>
      <c r="I474" t="s">
        <v>75</v>
      </c>
      <c r="J474" t="s">
        <v>95</v>
      </c>
      <c r="K474" t="s">
        <v>79</v>
      </c>
      <c r="N474" s="5">
        <v>45215</v>
      </c>
      <c r="O474" s="5">
        <v>45254</v>
      </c>
      <c r="P474">
        <v>1.2</v>
      </c>
      <c r="Q474" s="4">
        <v>111</v>
      </c>
      <c r="R474">
        <v>0.43</v>
      </c>
      <c r="S474" t="s">
        <v>70</v>
      </c>
      <c r="T474" s="6">
        <v>1</v>
      </c>
      <c r="U474" s="5">
        <v>45285</v>
      </c>
      <c r="V474" s="6">
        <v>2</v>
      </c>
      <c r="W474" t="s">
        <v>71</v>
      </c>
      <c r="X474" s="6">
        <v>31</v>
      </c>
      <c r="Y474">
        <v>6.0038400000000003</v>
      </c>
      <c r="Z474">
        <v>1.3341866666666666</v>
      </c>
      <c r="AA474" s="6">
        <v>215.00006662402728</v>
      </c>
      <c r="AB474" s="4">
        <v>107.56883333333333</v>
      </c>
      <c r="AC474" s="6">
        <v>4.6511613493995316</v>
      </c>
      <c r="AD474">
        <v>0.136166542</v>
      </c>
      <c r="AE474">
        <v>1.157103705647395</v>
      </c>
      <c r="AF474">
        <v>6350</v>
      </c>
      <c r="AG474" s="4"/>
      <c r="AH474" s="4"/>
      <c r="AI474" t="s">
        <v>73</v>
      </c>
      <c r="AJ474" t="s">
        <v>73</v>
      </c>
      <c r="AK474" t="s">
        <v>176</v>
      </c>
      <c r="AL474">
        <v>215</v>
      </c>
      <c r="AM474">
        <v>6.0038400000000003</v>
      </c>
      <c r="AN474" t="s">
        <v>73</v>
      </c>
      <c r="AO474" t="s">
        <v>104</v>
      </c>
      <c r="AP474" s="5">
        <v>45254</v>
      </c>
      <c r="AQ474" t="s">
        <v>105</v>
      </c>
      <c r="AR474" s="5">
        <v>45278</v>
      </c>
      <c r="AS474">
        <v>68.290454109370003</v>
      </c>
      <c r="AT474" s="6"/>
      <c r="AU474">
        <v>89.942436840422133</v>
      </c>
      <c r="AV474">
        <v>31.452298862061614</v>
      </c>
      <c r="AW474">
        <v>78.115774237821128</v>
      </c>
      <c r="AX474">
        <v>199.5105099403049</v>
      </c>
      <c r="AY474">
        <v>36.239746562200196</v>
      </c>
      <c r="AZ474">
        <v>42.012143894574137</v>
      </c>
      <c r="BA474">
        <v>41.194298981984865</v>
      </c>
      <c r="BB474">
        <v>70.506675727534372</v>
      </c>
      <c r="BC474">
        <v>46.852271213090297</v>
      </c>
      <c r="BD474">
        <v>236.80513637938384</v>
      </c>
      <c r="BE474">
        <v>-368.02519221031872</v>
      </c>
      <c r="BF474">
        <v>26.622576551007356</v>
      </c>
      <c r="BH474">
        <v>26.622576551007356</v>
      </c>
      <c r="BI474">
        <v>462.93822287069605</v>
      </c>
      <c r="BJ474" s="6">
        <v>150</v>
      </c>
      <c r="BK474">
        <v>-394.64776876132606</v>
      </c>
      <c r="BL474" s="4">
        <v>-2369.4020599999999</v>
      </c>
      <c r="BM474" t="s">
        <v>2796</v>
      </c>
      <c r="BN474" t="s">
        <v>65</v>
      </c>
      <c r="BO474">
        <v>12</v>
      </c>
      <c r="BP474">
        <v>2023</v>
      </c>
      <c r="BQ474" t="str">
        <f t="shared" si="36"/>
        <v>Roiphet312</v>
      </c>
      <c r="BR474">
        <f t="shared" si="37"/>
        <v>-1878.8310199999999</v>
      </c>
      <c r="BS474">
        <f t="shared" si="38"/>
        <v>410.00496000000004</v>
      </c>
      <c r="BT474" s="6">
        <f t="shared" si="39"/>
        <v>-312.93822287069605</v>
      </c>
    </row>
    <row r="475" spans="1:72">
      <c r="A475" s="3" t="s">
        <v>113</v>
      </c>
      <c r="B475" s="3" t="s">
        <v>610</v>
      </c>
      <c r="C475" s="3" t="s">
        <v>611</v>
      </c>
      <c r="D475" s="2" t="s">
        <v>620</v>
      </c>
      <c r="E475" s="4" t="str">
        <f t="shared" si="35"/>
        <v>Bangkachai1BG-045-0013</v>
      </c>
      <c r="F475">
        <v>2.1</v>
      </c>
      <c r="G475">
        <v>2</v>
      </c>
      <c r="H475" t="s">
        <v>84</v>
      </c>
      <c r="I475" t="s">
        <v>67</v>
      </c>
      <c r="J475" t="s">
        <v>357</v>
      </c>
      <c r="K475" t="s">
        <v>89</v>
      </c>
      <c r="L475" t="s">
        <v>89</v>
      </c>
      <c r="M475">
        <v>0.45585874799357945</v>
      </c>
      <c r="N475" s="5">
        <v>45069</v>
      </c>
      <c r="O475" s="5">
        <v>45099</v>
      </c>
      <c r="P475">
        <v>0.8</v>
      </c>
      <c r="Q475" s="4">
        <v>119</v>
      </c>
      <c r="R475">
        <v>0.75</v>
      </c>
      <c r="S475" t="s">
        <v>70</v>
      </c>
      <c r="T475" s="6">
        <v>4</v>
      </c>
      <c r="U475" s="5">
        <v>45205</v>
      </c>
      <c r="V475" s="6">
        <v>2</v>
      </c>
      <c r="W475" t="s">
        <v>71</v>
      </c>
      <c r="X475" s="6">
        <v>106.00000000000001</v>
      </c>
      <c r="Y475">
        <v>15.198450000000001</v>
      </c>
      <c r="Z475">
        <v>7.2373571428571433</v>
      </c>
      <c r="AA475" s="6">
        <v>35.023834667350947</v>
      </c>
      <c r="AB475" s="4">
        <v>66.538499999999999</v>
      </c>
      <c r="AC475" s="6">
        <v>28.551984941049167</v>
      </c>
      <c r="AD475">
        <v>0.403096801</v>
      </c>
      <c r="AE475">
        <v>2.1338101011761643</v>
      </c>
      <c r="AF475">
        <v>31150</v>
      </c>
      <c r="AG475" s="4">
        <v>6720</v>
      </c>
      <c r="AH475" s="4">
        <v>14200</v>
      </c>
      <c r="AL475">
        <v>23</v>
      </c>
      <c r="AM475">
        <v>7.3660100000000002</v>
      </c>
      <c r="AN475" t="s">
        <v>81</v>
      </c>
      <c r="AO475" t="s">
        <v>131</v>
      </c>
      <c r="AP475" s="5">
        <v>45099</v>
      </c>
      <c r="AQ475" t="s">
        <v>94</v>
      </c>
      <c r="AR475" s="5">
        <v>45204</v>
      </c>
      <c r="AS475">
        <v>178.38403653004085</v>
      </c>
      <c r="AT475" s="6"/>
      <c r="AU475">
        <v>26.318473265365874</v>
      </c>
      <c r="AV475">
        <v>64.055069431422268</v>
      </c>
      <c r="AW475">
        <v>37.027992328165055</v>
      </c>
      <c r="AX475">
        <v>127.40153502495319</v>
      </c>
      <c r="AY475">
        <v>36.290566472238943</v>
      </c>
      <c r="AZ475">
        <v>67.580330231043291</v>
      </c>
      <c r="BA475">
        <v>6.4186111083696034</v>
      </c>
      <c r="BB475">
        <v>19.997093124627845</v>
      </c>
      <c r="BC475">
        <v>40.57342492162028</v>
      </c>
      <c r="BD475">
        <v>170.86002585789998</v>
      </c>
      <c r="BE475">
        <v>-119.87752435281233</v>
      </c>
      <c r="BF475">
        <v>23.994013863255795</v>
      </c>
      <c r="BH475">
        <v>23.994013863255795</v>
      </c>
      <c r="BI475">
        <v>322.25557474610889</v>
      </c>
      <c r="BJ475" s="6">
        <v>187</v>
      </c>
      <c r="BK475">
        <v>-143.87153821606807</v>
      </c>
      <c r="BL475" s="4">
        <v>-2186.6243799999997</v>
      </c>
      <c r="BM475" t="s">
        <v>621</v>
      </c>
      <c r="BN475" t="s">
        <v>65</v>
      </c>
      <c r="BO475">
        <v>10</v>
      </c>
      <c r="BP475">
        <v>2023</v>
      </c>
      <c r="BQ475" t="str">
        <f t="shared" si="36"/>
        <v>Bangkachai110</v>
      </c>
      <c r="BR475">
        <f t="shared" si="37"/>
        <v>-2055.6750899999988</v>
      </c>
      <c r="BS475">
        <f t="shared" si="38"/>
        <v>2711.1608599999995</v>
      </c>
      <c r="BT475" s="6">
        <f t="shared" si="39"/>
        <v>-135.25557474610889</v>
      </c>
    </row>
    <row r="476" spans="1:72">
      <c r="A476" s="3" t="s">
        <v>113</v>
      </c>
      <c r="B476" s="3" t="s">
        <v>610</v>
      </c>
      <c r="C476" s="3" t="s">
        <v>611</v>
      </c>
      <c r="D476" s="2" t="s">
        <v>616</v>
      </c>
      <c r="E476" s="4" t="str">
        <f t="shared" si="35"/>
        <v>Bangkachai1BG-044-0010</v>
      </c>
      <c r="F476">
        <v>2.1</v>
      </c>
      <c r="G476">
        <v>2</v>
      </c>
      <c r="H476" t="s">
        <v>84</v>
      </c>
      <c r="I476" t="s">
        <v>67</v>
      </c>
      <c r="J476" t="s">
        <v>357</v>
      </c>
      <c r="K476" t="s">
        <v>89</v>
      </c>
      <c r="L476" t="s">
        <v>89</v>
      </c>
      <c r="M476">
        <v>0.583206106870229</v>
      </c>
      <c r="N476" s="5">
        <v>45017</v>
      </c>
      <c r="O476" s="5">
        <v>45045</v>
      </c>
      <c r="P476">
        <v>1</v>
      </c>
      <c r="Q476" s="4">
        <v>149</v>
      </c>
      <c r="R476">
        <v>0.42</v>
      </c>
      <c r="S476" t="s">
        <v>70</v>
      </c>
      <c r="T476" s="6">
        <v>6</v>
      </c>
      <c r="U476" s="5">
        <v>45168</v>
      </c>
      <c r="V476" s="6">
        <v>1</v>
      </c>
      <c r="W476" t="s">
        <v>86</v>
      </c>
      <c r="X476" s="6">
        <v>123.00000000000001</v>
      </c>
      <c r="Y476">
        <v>18.47861</v>
      </c>
      <c r="Z476">
        <v>8.7993380952380953</v>
      </c>
      <c r="AA476" s="6">
        <v>38.699880564609565</v>
      </c>
      <c r="AB476" s="4">
        <v>71.512</v>
      </c>
      <c r="AC476" s="6">
        <v>25.839873028302943</v>
      </c>
      <c r="AD476">
        <v>0.403089431</v>
      </c>
      <c r="AE476">
        <v>1.8135514098908601</v>
      </c>
      <c r="AF476">
        <v>32750</v>
      </c>
      <c r="AG476" s="4">
        <v>6720</v>
      </c>
      <c r="AH476" s="4">
        <v>19100</v>
      </c>
      <c r="AL476">
        <v>20</v>
      </c>
      <c r="AM476">
        <v>4.4985200000000001</v>
      </c>
      <c r="AN476" t="s">
        <v>81</v>
      </c>
      <c r="AO476" t="s">
        <v>117</v>
      </c>
      <c r="AP476" s="5">
        <v>45045</v>
      </c>
      <c r="AQ476" t="s">
        <v>148</v>
      </c>
      <c r="AR476" s="5">
        <v>45167</v>
      </c>
      <c r="AS476">
        <v>182.20401859230753</v>
      </c>
      <c r="AT476" s="6"/>
      <c r="AU476">
        <v>24.352481057828481</v>
      </c>
      <c r="AV476">
        <v>55.6384408783994</v>
      </c>
      <c r="AW476">
        <v>30.400534996950526</v>
      </c>
      <c r="AX476">
        <v>110.39145693317839</v>
      </c>
      <c r="AY476">
        <v>25.527992635809717</v>
      </c>
      <c r="AZ476">
        <v>54.656000640740835</v>
      </c>
      <c r="BA476">
        <v>4.2984613020135169</v>
      </c>
      <c r="BB476">
        <v>14.843322630868878</v>
      </c>
      <c r="BC476">
        <v>31.958410291683201</v>
      </c>
      <c r="BD476">
        <v>131.28418750111615</v>
      </c>
      <c r="BE476">
        <v>-59.471625841987006</v>
      </c>
      <c r="BF476">
        <v>17.782147574952873</v>
      </c>
      <c r="BH476">
        <v>17.782147574952873</v>
      </c>
      <c r="BI476">
        <v>259.4577920092475</v>
      </c>
      <c r="BJ476" s="6">
        <v>184</v>
      </c>
      <c r="BK476">
        <v>-77.253773416939936</v>
      </c>
      <c r="BL476" s="4">
        <v>-1427.5423500000006</v>
      </c>
      <c r="BM476" t="s">
        <v>617</v>
      </c>
      <c r="BN476" t="s">
        <v>65</v>
      </c>
      <c r="BO476">
        <v>8</v>
      </c>
      <c r="BP476">
        <v>2023</v>
      </c>
      <c r="BQ476" t="str">
        <f t="shared" si="36"/>
        <v>Bangkachai18</v>
      </c>
      <c r="BR476">
        <f t="shared" si="37"/>
        <v>-1394.3551100000009</v>
      </c>
      <c r="BS476">
        <f t="shared" si="38"/>
        <v>3366.877</v>
      </c>
      <c r="BT476" s="6">
        <f t="shared" si="39"/>
        <v>-75.457792009247498</v>
      </c>
    </row>
    <row r="477" spans="1:72">
      <c r="A477" s="3" t="s">
        <v>113</v>
      </c>
      <c r="B477" s="3" t="s">
        <v>610</v>
      </c>
      <c r="C477" s="3" t="s">
        <v>611</v>
      </c>
      <c r="D477" s="2" t="s">
        <v>625</v>
      </c>
      <c r="E477" s="4" t="str">
        <f t="shared" si="35"/>
        <v>Bangkachai1BG-045-0012</v>
      </c>
      <c r="F477">
        <v>2.1</v>
      </c>
      <c r="G477">
        <v>2</v>
      </c>
      <c r="H477" t="s">
        <v>84</v>
      </c>
      <c r="I477" t="s">
        <v>67</v>
      </c>
      <c r="J477" t="s">
        <v>357</v>
      </c>
      <c r="K477" t="s">
        <v>89</v>
      </c>
      <c r="L477" t="s">
        <v>89</v>
      </c>
      <c r="M477">
        <v>0.45454545454545453</v>
      </c>
      <c r="N477" s="5">
        <v>44926</v>
      </c>
      <c r="O477" s="5">
        <v>44954</v>
      </c>
      <c r="P477">
        <v>1.2</v>
      </c>
      <c r="Q477" s="4">
        <v>179</v>
      </c>
      <c r="R477">
        <v>0.21</v>
      </c>
      <c r="S477" t="s">
        <v>70</v>
      </c>
      <c r="T477" s="6">
        <v>5</v>
      </c>
      <c r="U477" s="5">
        <v>45068</v>
      </c>
      <c r="V477" s="6">
        <v>1</v>
      </c>
      <c r="W477" t="s">
        <v>86</v>
      </c>
      <c r="X477" s="6">
        <v>114.00000000000001</v>
      </c>
      <c r="Y477">
        <v>21.377310000000001</v>
      </c>
      <c r="Z477">
        <v>10.179671428571428</v>
      </c>
      <c r="AA477" s="6">
        <v>31.688598799381211</v>
      </c>
      <c r="AB477" s="4">
        <v>56.451416666666667</v>
      </c>
      <c r="AC477" s="6">
        <v>31.557091127031065</v>
      </c>
      <c r="AD477">
        <v>0.39688197799999997</v>
      </c>
      <c r="AE477">
        <v>2.1869501559977107</v>
      </c>
      <c r="AF477">
        <v>46200</v>
      </c>
      <c r="AG477" s="4">
        <v>6720</v>
      </c>
      <c r="AH477" s="4">
        <v>21000</v>
      </c>
      <c r="AL477">
        <v>22</v>
      </c>
      <c r="AM477">
        <v>7.0802200000000006</v>
      </c>
      <c r="AN477" t="s">
        <v>81</v>
      </c>
      <c r="AO477" t="s">
        <v>136</v>
      </c>
      <c r="AP477" s="5">
        <v>44956</v>
      </c>
      <c r="AQ477" t="s">
        <v>74</v>
      </c>
      <c r="AR477" s="5">
        <v>45067</v>
      </c>
      <c r="AS477">
        <v>229.71333156510335</v>
      </c>
      <c r="AT477" s="6"/>
      <c r="AU477">
        <v>22.453713774090378</v>
      </c>
      <c r="AV477">
        <v>70.410256482223446</v>
      </c>
      <c r="AW477">
        <v>24.924199536798589</v>
      </c>
      <c r="AX477">
        <v>117.7881697931124</v>
      </c>
      <c r="AY477">
        <v>21.449792326536873</v>
      </c>
      <c r="AZ477">
        <v>44.237634669656757</v>
      </c>
      <c r="BA477">
        <v>4.9184551283580573</v>
      </c>
      <c r="BB477">
        <v>12.581730348673428</v>
      </c>
      <c r="BC477">
        <v>23.050634527917683</v>
      </c>
      <c r="BD477">
        <v>106.2382470011428</v>
      </c>
      <c r="BE477">
        <v>5.6869147708481478</v>
      </c>
      <c r="BF477">
        <v>17.226163628632417</v>
      </c>
      <c r="BH477">
        <v>17.226163628632417</v>
      </c>
      <c r="BI477">
        <v>241.25258042288763</v>
      </c>
      <c r="BJ477" s="6">
        <v>194</v>
      </c>
      <c r="BK477">
        <v>-11.539248857784283</v>
      </c>
      <c r="BL477" s="4">
        <v>-246.67810000000057</v>
      </c>
      <c r="BM477" t="s">
        <v>626</v>
      </c>
      <c r="BN477" t="s">
        <v>65</v>
      </c>
      <c r="BO477">
        <v>5</v>
      </c>
      <c r="BP477">
        <v>2023</v>
      </c>
      <c r="BQ477" t="str">
        <f t="shared" si="36"/>
        <v>Bangkachai15</v>
      </c>
      <c r="BR477">
        <f t="shared" si="37"/>
        <v>-1010.1330600000001</v>
      </c>
      <c r="BS477">
        <f t="shared" si="38"/>
        <v>4910.6530999999995</v>
      </c>
      <c r="BT477" s="6">
        <f t="shared" si="39"/>
        <v>-47.252580422887632</v>
      </c>
    </row>
    <row r="478" spans="1:72">
      <c r="A478" s="3" t="s">
        <v>113</v>
      </c>
      <c r="B478" s="3" t="s">
        <v>610</v>
      </c>
      <c r="C478" s="3" t="s">
        <v>611</v>
      </c>
      <c r="D478" s="2" t="s">
        <v>614</v>
      </c>
      <c r="E478" s="4" t="str">
        <f t="shared" si="35"/>
        <v>Bangkachai1A1-047-0010</v>
      </c>
      <c r="F478">
        <v>2.1</v>
      </c>
      <c r="G478">
        <v>2</v>
      </c>
      <c r="H478" t="s">
        <v>72</v>
      </c>
      <c r="I478" t="s">
        <v>75</v>
      </c>
      <c r="J478" t="s">
        <v>357</v>
      </c>
      <c r="K478" t="s">
        <v>79</v>
      </c>
      <c r="L478" t="s">
        <v>79</v>
      </c>
      <c r="M478">
        <v>3.1009653605905734</v>
      </c>
      <c r="N478" s="5">
        <v>45012</v>
      </c>
      <c r="O478" s="5">
        <v>45041</v>
      </c>
      <c r="P478">
        <v>1.2</v>
      </c>
      <c r="Q478" s="4">
        <v>179</v>
      </c>
      <c r="R478">
        <v>0.64</v>
      </c>
      <c r="S478" t="s">
        <v>70</v>
      </c>
      <c r="T478" s="6">
        <v>6</v>
      </c>
      <c r="U478" s="5">
        <v>45160</v>
      </c>
      <c r="V478" s="6">
        <v>1</v>
      </c>
      <c r="W478" t="s">
        <v>86</v>
      </c>
      <c r="X478" s="6">
        <v>119</v>
      </c>
      <c r="Y478">
        <v>24.865539999999999</v>
      </c>
      <c r="Z478">
        <v>11.840733333333333</v>
      </c>
      <c r="AA478" s="6">
        <v>38.909671778694531</v>
      </c>
      <c r="AB478" s="4">
        <v>80.625833333333333</v>
      </c>
      <c r="AC478" s="6">
        <v>25.700550898698722</v>
      </c>
      <c r="AD478">
        <v>0.39478191299999998</v>
      </c>
      <c r="AE478">
        <v>1.8269499708268977</v>
      </c>
      <c r="AF478">
        <v>44025</v>
      </c>
      <c r="AG478" s="4">
        <v>0</v>
      </c>
      <c r="AH478" s="4">
        <v>136520</v>
      </c>
      <c r="AL478">
        <v>21</v>
      </c>
      <c r="AM478">
        <v>5.4573</v>
      </c>
      <c r="AN478" t="s">
        <v>81</v>
      </c>
      <c r="AO478" t="s">
        <v>134</v>
      </c>
      <c r="AP478" s="5">
        <v>45041</v>
      </c>
      <c r="AQ478" t="s">
        <v>438</v>
      </c>
      <c r="AR478" s="5">
        <v>45157</v>
      </c>
      <c r="AS478">
        <v>178.66735530376579</v>
      </c>
      <c r="AT478" s="6"/>
      <c r="AU478">
        <v>24.12977960663634</v>
      </c>
      <c r="AV478">
        <v>55.59526195690902</v>
      </c>
      <c r="AW478">
        <v>28.323317329927288</v>
      </c>
      <c r="AX478">
        <v>108.04835889347265</v>
      </c>
      <c r="AY478">
        <v>18.447161815106366</v>
      </c>
      <c r="AZ478">
        <v>31.558413772634736</v>
      </c>
      <c r="BA478">
        <v>5.3349080695613287</v>
      </c>
      <c r="BB478">
        <v>14.461369429338758</v>
      </c>
      <c r="BC478">
        <v>15.483257150256943</v>
      </c>
      <c r="BD478">
        <v>85.285110236898149</v>
      </c>
      <c r="BE478">
        <v>-14.666113826605013</v>
      </c>
      <c r="BF478">
        <v>6.7507293225886107</v>
      </c>
      <c r="BH478">
        <v>6.7507293225886107</v>
      </c>
      <c r="BI478">
        <v>200.08419845295944</v>
      </c>
      <c r="BJ478" s="6">
        <v>183</v>
      </c>
      <c r="BK478">
        <v>-21.416843149193664</v>
      </c>
      <c r="BL478" s="4">
        <v>-532.54137000000105</v>
      </c>
      <c r="BM478" t="s">
        <v>615</v>
      </c>
      <c r="BN478" t="s">
        <v>65</v>
      </c>
      <c r="BO478">
        <v>8</v>
      </c>
      <c r="BP478">
        <v>2023</v>
      </c>
      <c r="BQ478" t="str">
        <f t="shared" si="36"/>
        <v>Bangkachai18</v>
      </c>
      <c r="BR478">
        <f t="shared" si="37"/>
        <v>-424.80782000000107</v>
      </c>
      <c r="BS478">
        <f t="shared" si="38"/>
        <v>4442.6602700000003</v>
      </c>
      <c r="BT478" s="6">
        <f t="shared" si="39"/>
        <v>-17.084198452959441</v>
      </c>
    </row>
    <row r="479" spans="1:72">
      <c r="A479" s="3" t="s">
        <v>113</v>
      </c>
      <c r="B479" s="3" t="s">
        <v>610</v>
      </c>
      <c r="C479" s="3" t="s">
        <v>611</v>
      </c>
      <c r="D479" s="2" t="s">
        <v>629</v>
      </c>
      <c r="E479" s="4" t="str">
        <f t="shared" si="35"/>
        <v>Bangkachai1A1-061-0007</v>
      </c>
      <c r="F479">
        <v>2</v>
      </c>
      <c r="G479">
        <v>2</v>
      </c>
      <c r="H479" t="s">
        <v>72</v>
      </c>
      <c r="I479" t="s">
        <v>75</v>
      </c>
      <c r="J479" t="s">
        <v>357</v>
      </c>
      <c r="K479" t="s">
        <v>79</v>
      </c>
      <c r="L479" t="s">
        <v>79</v>
      </c>
      <c r="M479">
        <v>1.123540258143823</v>
      </c>
      <c r="N479" s="5">
        <v>45078</v>
      </c>
      <c r="O479" s="5">
        <v>45105</v>
      </c>
      <c r="P479">
        <v>0.6</v>
      </c>
      <c r="Q479" s="4">
        <v>94</v>
      </c>
      <c r="R479">
        <v>1</v>
      </c>
      <c r="S479" t="s">
        <v>70</v>
      </c>
      <c r="T479" s="6">
        <v>3</v>
      </c>
      <c r="U479" s="5">
        <v>45212</v>
      </c>
      <c r="V479" s="6">
        <v>1</v>
      </c>
      <c r="W479" t="s">
        <v>86</v>
      </c>
      <c r="X479" s="6">
        <v>107</v>
      </c>
      <c r="Y479">
        <v>18.39669</v>
      </c>
      <c r="Z479">
        <v>9.1983449999999998</v>
      </c>
      <c r="AA479" s="6">
        <v>28.372169123902182</v>
      </c>
      <c r="AB479" s="4">
        <v>86.992333333333335</v>
      </c>
      <c r="AC479" s="6">
        <v>35.245807101775249</v>
      </c>
      <c r="AD479">
        <v>0.35010783600000001</v>
      </c>
      <c r="AE479">
        <v>2.2855373667800025</v>
      </c>
      <c r="AF479">
        <v>40675</v>
      </c>
      <c r="AG479" s="4">
        <v>6000</v>
      </c>
      <c r="AH479" s="4">
        <v>45700</v>
      </c>
      <c r="AL479">
        <v>26</v>
      </c>
      <c r="AM479">
        <v>3.2614399999999999</v>
      </c>
      <c r="AN479" t="s">
        <v>81</v>
      </c>
      <c r="AO479" t="s">
        <v>94</v>
      </c>
      <c r="AP479" s="5">
        <v>45111</v>
      </c>
      <c r="AQ479" t="s">
        <v>90</v>
      </c>
      <c r="AR479" s="5">
        <v>45209</v>
      </c>
      <c r="AS479">
        <v>196.6559071224226</v>
      </c>
      <c r="AT479" s="6"/>
      <c r="AU479">
        <v>17.938009500622123</v>
      </c>
      <c r="AV479">
        <v>69.173880192578153</v>
      </c>
      <c r="AW479">
        <v>41.44014439554072</v>
      </c>
      <c r="AX479">
        <v>128.55203408874098</v>
      </c>
      <c r="AY479">
        <v>20.352742803189056</v>
      </c>
      <c r="AZ479">
        <v>35.842461877652987</v>
      </c>
      <c r="BA479">
        <v>7.4324903012444095</v>
      </c>
      <c r="BB479">
        <v>15.929151928961135</v>
      </c>
      <c r="BC479">
        <v>19.517870334282964</v>
      </c>
      <c r="BD479">
        <v>99.074717245330547</v>
      </c>
      <c r="BE479">
        <v>-30.970844211648924</v>
      </c>
      <c r="BF479">
        <v>8.3744336617076236</v>
      </c>
      <c r="BH479">
        <v>8.3744336617076236</v>
      </c>
      <c r="BI479">
        <v>236.00118499577914</v>
      </c>
      <c r="BJ479" s="6">
        <v>204</v>
      </c>
      <c r="BK479">
        <v>-39.345277873356537</v>
      </c>
      <c r="BL479" s="4">
        <v>-723.82287999999937</v>
      </c>
      <c r="BM479" t="s">
        <v>630</v>
      </c>
      <c r="BN479" t="s">
        <v>65</v>
      </c>
      <c r="BO479">
        <v>10</v>
      </c>
      <c r="BP479">
        <v>2023</v>
      </c>
      <c r="BQ479" t="str">
        <f t="shared" si="36"/>
        <v>Bangkachai110</v>
      </c>
      <c r="BR479">
        <f t="shared" si="37"/>
        <v>-588.7158800000002</v>
      </c>
      <c r="BS479">
        <f t="shared" si="38"/>
        <v>3617.8177600000008</v>
      </c>
      <c r="BT479" s="6">
        <f t="shared" si="39"/>
        <v>-32.001184995779141</v>
      </c>
    </row>
    <row r="480" spans="1:72">
      <c r="A480" s="3" t="s">
        <v>113</v>
      </c>
      <c r="B480" s="3" t="s">
        <v>610</v>
      </c>
      <c r="C480" s="3" t="s">
        <v>611</v>
      </c>
      <c r="D480" s="2" t="s">
        <v>627</v>
      </c>
      <c r="E480" s="4" t="str">
        <f t="shared" si="35"/>
        <v>Bangkachai1A1-060-0006</v>
      </c>
      <c r="F480">
        <v>2</v>
      </c>
      <c r="G480">
        <v>2</v>
      </c>
      <c r="H480" t="s">
        <v>72</v>
      </c>
      <c r="I480" t="s">
        <v>75</v>
      </c>
      <c r="J480" t="s">
        <v>357</v>
      </c>
      <c r="K480" t="s">
        <v>79</v>
      </c>
      <c r="L480" t="s">
        <v>79</v>
      </c>
      <c r="M480">
        <v>1.1755627009646303</v>
      </c>
      <c r="N480" s="5">
        <v>45078</v>
      </c>
      <c r="O480" s="5">
        <v>45106</v>
      </c>
      <c r="P480">
        <v>0.6</v>
      </c>
      <c r="Q480" s="4">
        <v>94</v>
      </c>
      <c r="R480">
        <v>0.7</v>
      </c>
      <c r="S480" t="s">
        <v>70</v>
      </c>
      <c r="T480" s="6">
        <v>4</v>
      </c>
      <c r="U480" s="5">
        <v>45217</v>
      </c>
      <c r="V480" s="6">
        <v>1</v>
      </c>
      <c r="W480" t="s">
        <v>86</v>
      </c>
      <c r="X480" s="6">
        <v>111</v>
      </c>
      <c r="Y480">
        <v>16.19463</v>
      </c>
      <c r="Z480">
        <v>8.097315</v>
      </c>
      <c r="AA480" s="6">
        <v>29.438215013248222</v>
      </c>
      <c r="AB480" s="4">
        <v>79.456833333333336</v>
      </c>
      <c r="AC480" s="6">
        <v>33.969450917793935</v>
      </c>
      <c r="AD480">
        <v>0.34019403999999998</v>
      </c>
      <c r="AE480">
        <v>2.4644001158822744</v>
      </c>
      <c r="AF480">
        <v>38875</v>
      </c>
      <c r="AG480" s="4">
        <v>6000</v>
      </c>
      <c r="AH480" s="4">
        <v>45700</v>
      </c>
      <c r="AL480">
        <v>26</v>
      </c>
      <c r="AM480">
        <v>6.7222799999999996</v>
      </c>
      <c r="AN480" t="s">
        <v>81</v>
      </c>
      <c r="AO480" t="s">
        <v>96</v>
      </c>
      <c r="AP480" s="5">
        <v>45111</v>
      </c>
      <c r="AQ480" t="s">
        <v>90</v>
      </c>
      <c r="AR480" s="5">
        <v>45213</v>
      </c>
      <c r="AS480">
        <v>202.81902025547981</v>
      </c>
      <c r="AT480" s="6"/>
      <c r="AU480">
        <v>18.52465909996091</v>
      </c>
      <c r="AV480">
        <v>75.308199693355121</v>
      </c>
      <c r="AW480">
        <v>46.286725291037811</v>
      </c>
      <c r="AX480">
        <v>140.11958408435385</v>
      </c>
      <c r="AY480">
        <v>24.091778571044848</v>
      </c>
      <c r="AZ480">
        <v>43.229161147861973</v>
      </c>
      <c r="BA480">
        <v>8.9889870901650735</v>
      </c>
      <c r="BB480">
        <v>19.169482723594186</v>
      </c>
      <c r="BC480">
        <v>23.095745935535422</v>
      </c>
      <c r="BD480">
        <v>118.5751554682015</v>
      </c>
      <c r="BE480">
        <v>-55.875719297075534</v>
      </c>
      <c r="BF480">
        <v>9.9066073136589115</v>
      </c>
      <c r="BH480">
        <v>9.9066073136589115</v>
      </c>
      <c r="BI480">
        <v>268.60134686621427</v>
      </c>
      <c r="BJ480" s="6">
        <v>200</v>
      </c>
      <c r="BK480">
        <v>-65.782326610734486</v>
      </c>
      <c r="BL480" s="4">
        <v>-1065.3204399999991</v>
      </c>
      <c r="BM480" t="s">
        <v>628</v>
      </c>
      <c r="BN480" t="s">
        <v>65</v>
      </c>
      <c r="BO480">
        <v>10</v>
      </c>
      <c r="BP480">
        <v>2023</v>
      </c>
      <c r="BQ480" t="str">
        <f t="shared" si="36"/>
        <v>Bangkachai110</v>
      </c>
      <c r="BR480">
        <f t="shared" si="37"/>
        <v>-1110.9734299999996</v>
      </c>
      <c r="BS480">
        <f t="shared" si="38"/>
        <v>3284.5789900000009</v>
      </c>
      <c r="BT480" s="6">
        <f t="shared" si="39"/>
        <v>-68.601346866214271</v>
      </c>
    </row>
    <row r="481" spans="1:72">
      <c r="A481" s="3" t="s">
        <v>113</v>
      </c>
      <c r="B481" s="3" t="s">
        <v>610</v>
      </c>
      <c r="C481" s="3" t="s">
        <v>611</v>
      </c>
      <c r="D481" s="2" t="s">
        <v>622</v>
      </c>
      <c r="E481" s="4" t="str">
        <f t="shared" si="35"/>
        <v>Bangkachai1BG-044-0009</v>
      </c>
      <c r="F481">
        <v>2.1</v>
      </c>
      <c r="G481">
        <v>2</v>
      </c>
      <c r="H481" t="s">
        <v>84</v>
      </c>
      <c r="I481" t="s">
        <v>67</v>
      </c>
      <c r="J481" t="s">
        <v>357</v>
      </c>
      <c r="K481" t="s">
        <v>89</v>
      </c>
      <c r="L481" t="s">
        <v>89</v>
      </c>
      <c r="M481">
        <v>0.4410490307867731</v>
      </c>
      <c r="N481" s="5">
        <v>44885</v>
      </c>
      <c r="O481" s="5">
        <v>44911</v>
      </c>
      <c r="P481">
        <v>1.2</v>
      </c>
      <c r="Q481" s="4">
        <v>179</v>
      </c>
      <c r="R481">
        <v>0.3</v>
      </c>
      <c r="S481" t="s">
        <v>70</v>
      </c>
      <c r="T481" s="6">
        <v>3</v>
      </c>
      <c r="U481" s="5">
        <v>45016</v>
      </c>
      <c r="V481" s="6">
        <v>1</v>
      </c>
      <c r="W481" t="s">
        <v>86</v>
      </c>
      <c r="X481" s="6">
        <v>105</v>
      </c>
      <c r="Y481">
        <v>20.139509999999998</v>
      </c>
      <c r="Z481">
        <v>9.5902428571428562</v>
      </c>
      <c r="AA481" s="6">
        <v>34.506599217160698</v>
      </c>
      <c r="AB481" s="4">
        <v>57.912166666666664</v>
      </c>
      <c r="AC481" s="6">
        <v>28.979963910865013</v>
      </c>
      <c r="AD481">
        <v>0.33727891199999999</v>
      </c>
      <c r="AE481">
        <v>2.2169406623318779</v>
      </c>
      <c r="AF481">
        <v>43850</v>
      </c>
      <c r="AG481" s="4">
        <v>13440</v>
      </c>
      <c r="AH481" s="4">
        <v>19340</v>
      </c>
      <c r="AL481">
        <v>27.999999999999996</v>
      </c>
      <c r="AM481">
        <v>10.880240000000001</v>
      </c>
      <c r="AN481" t="s">
        <v>81</v>
      </c>
      <c r="AO481" t="s">
        <v>93</v>
      </c>
      <c r="AP481" s="5">
        <v>44912</v>
      </c>
      <c r="AQ481" t="s">
        <v>123</v>
      </c>
      <c r="AR481" s="5">
        <v>45015</v>
      </c>
      <c r="AS481">
        <v>228.20478750476059</v>
      </c>
      <c r="AT481" s="6"/>
      <c r="AU481">
        <v>23.833747692967702</v>
      </c>
      <c r="AV481">
        <v>69.308832737241332</v>
      </c>
      <c r="AW481">
        <v>28.697195711315722</v>
      </c>
      <c r="AX481">
        <v>121.83977614152477</v>
      </c>
      <c r="AY481">
        <v>20.673593846126348</v>
      </c>
      <c r="AZ481">
        <v>41.389125654000509</v>
      </c>
      <c r="BA481">
        <v>6.8473205157424371</v>
      </c>
      <c r="BB481">
        <v>15.180888214261419</v>
      </c>
      <c r="BC481">
        <v>27.125689751140918</v>
      </c>
      <c r="BD481">
        <v>111.21661798127163</v>
      </c>
      <c r="BE481">
        <v>-4.8516066180358024</v>
      </c>
      <c r="BF481">
        <v>19.892492915666768</v>
      </c>
      <c r="BH481">
        <v>19.892492915666768</v>
      </c>
      <c r="BI481">
        <v>252.9488870384632</v>
      </c>
      <c r="BJ481" s="6">
        <v>189</v>
      </c>
      <c r="BK481">
        <v>-24.744099533702613</v>
      </c>
      <c r="BL481" s="4">
        <v>-498.33403999999911</v>
      </c>
      <c r="BM481" t="s">
        <v>623</v>
      </c>
      <c r="BN481" t="s">
        <v>65</v>
      </c>
      <c r="BO481">
        <v>3</v>
      </c>
      <c r="BP481">
        <v>2023</v>
      </c>
      <c r="BQ481" t="str">
        <f t="shared" si="36"/>
        <v>Bangkachai13</v>
      </c>
      <c r="BR481">
        <f t="shared" si="37"/>
        <v>-1287.8992499999997</v>
      </c>
      <c r="BS481">
        <f t="shared" si="38"/>
        <v>4595.9326000000001</v>
      </c>
      <c r="BT481" s="6">
        <f t="shared" si="39"/>
        <v>-63.948887038463198</v>
      </c>
    </row>
    <row r="482" spans="1:72">
      <c r="A482" s="3" t="s">
        <v>113</v>
      </c>
      <c r="B482" s="3" t="s">
        <v>610</v>
      </c>
      <c r="C482" s="3" t="s">
        <v>611</v>
      </c>
      <c r="D482" s="2" t="s">
        <v>618</v>
      </c>
      <c r="E482" s="4" t="str">
        <f t="shared" si="35"/>
        <v>Bangkachai1A1-061-0006</v>
      </c>
      <c r="F482">
        <v>2</v>
      </c>
      <c r="G482">
        <v>2</v>
      </c>
      <c r="H482" t="s">
        <v>72</v>
      </c>
      <c r="I482" t="s">
        <v>75</v>
      </c>
      <c r="J482" t="s">
        <v>357</v>
      </c>
      <c r="K482" t="s">
        <v>79</v>
      </c>
      <c r="L482" t="s">
        <v>79</v>
      </c>
      <c r="M482">
        <v>2.6638830897703549</v>
      </c>
      <c r="N482" s="5">
        <v>44927</v>
      </c>
      <c r="O482" s="5">
        <v>44956</v>
      </c>
      <c r="P482">
        <v>1.2</v>
      </c>
      <c r="Q482" s="4">
        <v>188</v>
      </c>
      <c r="R482">
        <v>0.315</v>
      </c>
      <c r="S482" t="s">
        <v>70</v>
      </c>
      <c r="T482" s="6">
        <v>4</v>
      </c>
      <c r="U482" s="5">
        <v>45067</v>
      </c>
      <c r="V482" s="6">
        <v>1</v>
      </c>
      <c r="W482" t="s">
        <v>86</v>
      </c>
      <c r="X482" s="6">
        <v>111</v>
      </c>
      <c r="Y482">
        <v>14.628080000000001</v>
      </c>
      <c r="Z482">
        <v>7.3140400000000003</v>
      </c>
      <c r="AA482" s="6">
        <v>36.62674800794089</v>
      </c>
      <c r="AB482" s="4">
        <v>44.648249999999997</v>
      </c>
      <c r="AC482" s="6">
        <v>27.302451197228709</v>
      </c>
      <c r="AD482">
        <v>0.318912484</v>
      </c>
      <c r="AE482">
        <v>2.5210384783804725</v>
      </c>
      <c r="AF482">
        <v>35925</v>
      </c>
      <c r="AG482" s="4">
        <v>6400</v>
      </c>
      <c r="AH482" s="4">
        <v>95700</v>
      </c>
      <c r="AL482">
        <v>28</v>
      </c>
      <c r="AM482">
        <v>4.4713000000000003</v>
      </c>
      <c r="AN482" t="s">
        <v>81</v>
      </c>
      <c r="AO482" t="s">
        <v>144</v>
      </c>
      <c r="AP482" s="5">
        <v>44957</v>
      </c>
      <c r="AQ482" t="s">
        <v>117</v>
      </c>
      <c r="AR482" s="5">
        <v>45066</v>
      </c>
      <c r="AS482">
        <v>204.32554101426848</v>
      </c>
      <c r="AT482" s="6"/>
      <c r="AU482">
        <v>32.813602331953334</v>
      </c>
      <c r="AV482">
        <v>80.018043379582295</v>
      </c>
      <c r="AW482">
        <v>38.991131440353058</v>
      </c>
      <c r="AX482">
        <v>151.82277715188869</v>
      </c>
      <c r="AY482">
        <v>31.323162711716101</v>
      </c>
      <c r="AZ482">
        <v>53.016480631771223</v>
      </c>
      <c r="BA482">
        <v>4.9369288382344099</v>
      </c>
      <c r="BB482">
        <v>36.699302984397129</v>
      </c>
      <c r="BC482">
        <v>21.286168109553678</v>
      </c>
      <c r="BD482">
        <v>147.26204327567251</v>
      </c>
      <c r="BE482">
        <v>-94.759279413292717</v>
      </c>
      <c r="BF482">
        <v>9.051783966180114</v>
      </c>
      <c r="BH482">
        <v>9.051783966180114</v>
      </c>
      <c r="BI482">
        <v>308.13660439374138</v>
      </c>
      <c r="BJ482" s="6">
        <v>186</v>
      </c>
      <c r="BK482">
        <v>-103.81106337947291</v>
      </c>
      <c r="BL482" s="4">
        <v>-1518.55654</v>
      </c>
      <c r="BM482" t="s">
        <v>619</v>
      </c>
      <c r="BN482" t="s">
        <v>65</v>
      </c>
      <c r="BO482">
        <v>5</v>
      </c>
      <c r="BP482">
        <v>2023</v>
      </c>
      <c r="BQ482" t="str">
        <f t="shared" si="36"/>
        <v>Bangkachai15</v>
      </c>
      <c r="BR482">
        <f t="shared" si="37"/>
        <v>-1786.6240200000004</v>
      </c>
      <c r="BS482">
        <f t="shared" si="38"/>
        <v>2988.8903600000008</v>
      </c>
      <c r="BT482" s="6">
        <f t="shared" si="39"/>
        <v>-122.13660439374138</v>
      </c>
    </row>
    <row r="483" spans="1:72">
      <c r="A483" s="3" t="s">
        <v>113</v>
      </c>
      <c r="B483" s="3" t="s">
        <v>610</v>
      </c>
      <c r="C483" s="3" t="s">
        <v>611</v>
      </c>
      <c r="D483" s="2" t="s">
        <v>612</v>
      </c>
      <c r="E483" s="4" t="str">
        <f t="shared" si="35"/>
        <v>Bangkachai1A1-060-0005</v>
      </c>
      <c r="F483">
        <v>2</v>
      </c>
      <c r="G483">
        <v>2</v>
      </c>
      <c r="H483" t="s">
        <v>72</v>
      </c>
      <c r="I483" t="s">
        <v>75</v>
      </c>
      <c r="J483" t="s">
        <v>357</v>
      </c>
      <c r="K483" t="s">
        <v>79</v>
      </c>
      <c r="L483" t="s">
        <v>79</v>
      </c>
      <c r="M483">
        <v>2.7260188087774293</v>
      </c>
      <c r="N483" s="5">
        <v>44927</v>
      </c>
      <c r="O483" s="5">
        <v>44954</v>
      </c>
      <c r="P483">
        <v>1.2</v>
      </c>
      <c r="Q483" s="4">
        <v>188</v>
      </c>
      <c r="R483">
        <v>0.38</v>
      </c>
      <c r="S483" t="s">
        <v>70</v>
      </c>
      <c r="T483" s="6">
        <v>5</v>
      </c>
      <c r="U483" s="5">
        <v>45067</v>
      </c>
      <c r="V483" s="6">
        <v>1</v>
      </c>
      <c r="W483" t="s">
        <v>86</v>
      </c>
      <c r="X483" s="6">
        <v>113</v>
      </c>
      <c r="Y483">
        <v>18.885000000000002</v>
      </c>
      <c r="Z483">
        <v>9.4425000000000008</v>
      </c>
      <c r="AA483" s="6">
        <v>42.107069102462269</v>
      </c>
      <c r="AB483" s="4">
        <v>66.266000000000005</v>
      </c>
      <c r="AC483" s="6">
        <v>23.748981378082277</v>
      </c>
      <c r="AD483">
        <v>0.28210676600000001</v>
      </c>
      <c r="AE483">
        <v>2.1637070229453328</v>
      </c>
      <c r="AF483">
        <v>39875</v>
      </c>
      <c r="AG483" s="4">
        <v>6400</v>
      </c>
      <c r="AH483" s="4">
        <v>108700</v>
      </c>
      <c r="AL483">
        <v>30.999999999999996</v>
      </c>
      <c r="AM483">
        <v>2.2899600000000002</v>
      </c>
      <c r="AN483" t="s">
        <v>81</v>
      </c>
      <c r="AO483" t="s">
        <v>116</v>
      </c>
      <c r="AP483" s="5">
        <v>44957</v>
      </c>
      <c r="AQ483" t="s">
        <v>117</v>
      </c>
      <c r="AR483" s="5">
        <v>45066</v>
      </c>
      <c r="AS483">
        <v>187.12912364310296</v>
      </c>
      <c r="AT483" s="6"/>
      <c r="AU483">
        <v>25.416997617156472</v>
      </c>
      <c r="AV483">
        <v>68.94147471538254</v>
      </c>
      <c r="AW483">
        <v>32.357950754567128</v>
      </c>
      <c r="AX483">
        <v>126.71642308710614</v>
      </c>
      <c r="AY483">
        <v>24.262522107492721</v>
      </c>
      <c r="AZ483">
        <v>41.065890389197783</v>
      </c>
      <c r="BA483">
        <v>3.8240815462006883</v>
      </c>
      <c r="BB483">
        <v>28.426812284882182</v>
      </c>
      <c r="BC483">
        <v>16.487987291501195</v>
      </c>
      <c r="BD483">
        <v>114.06729361927458</v>
      </c>
      <c r="BE483">
        <v>-53.654593063277758</v>
      </c>
      <c r="BF483">
        <v>7.0113910510987569</v>
      </c>
      <c r="BH483">
        <v>7.0113910510987569</v>
      </c>
      <c r="BI483">
        <v>247.7951077574796</v>
      </c>
      <c r="BJ483" s="6">
        <v>180</v>
      </c>
      <c r="BK483">
        <v>-60.665984114376627</v>
      </c>
      <c r="BL483" s="4">
        <v>-1145.6771100000026</v>
      </c>
      <c r="BM483" t="s">
        <v>613</v>
      </c>
      <c r="BN483" t="s">
        <v>65</v>
      </c>
      <c r="BO483">
        <v>5</v>
      </c>
      <c r="BP483">
        <v>2023</v>
      </c>
      <c r="BQ483" t="str">
        <f t="shared" si="36"/>
        <v>Bangkachai15</v>
      </c>
      <c r="BR483">
        <f t="shared" si="37"/>
        <v>-1280.3106100000023</v>
      </c>
      <c r="BS483">
        <f t="shared" si="38"/>
        <v>3533.9334999999996</v>
      </c>
      <c r="BT483" s="6">
        <f t="shared" si="39"/>
        <v>-67.795107757479599</v>
      </c>
    </row>
    <row r="484" spans="1:72">
      <c r="A484" s="3" t="s">
        <v>113</v>
      </c>
      <c r="B484" s="3" t="s">
        <v>610</v>
      </c>
      <c r="C484" s="3" t="s">
        <v>611</v>
      </c>
      <c r="D484" s="2" t="s">
        <v>624</v>
      </c>
      <c r="E484" s="4" t="str">
        <f t="shared" si="35"/>
        <v>Bangkachai1A1-047-0009</v>
      </c>
      <c r="F484">
        <v>2.1</v>
      </c>
      <c r="G484">
        <v>2</v>
      </c>
      <c r="H484" t="s">
        <v>72</v>
      </c>
      <c r="I484" t="s">
        <v>75</v>
      </c>
      <c r="J484" t="s">
        <v>357</v>
      </c>
      <c r="K484" t="s">
        <v>79</v>
      </c>
      <c r="L484" t="s">
        <v>79</v>
      </c>
      <c r="M484">
        <v>2.1212871287128712</v>
      </c>
      <c r="N484" s="5">
        <v>44832</v>
      </c>
      <c r="O484" s="5">
        <v>44872</v>
      </c>
      <c r="P484">
        <v>1</v>
      </c>
      <c r="Q484" s="4">
        <v>149</v>
      </c>
      <c r="R484">
        <v>0.4</v>
      </c>
      <c r="S484" t="s">
        <v>70</v>
      </c>
      <c r="T484" s="6">
        <v>3</v>
      </c>
      <c r="U484" s="5">
        <v>44998</v>
      </c>
      <c r="V484" s="6">
        <v>1</v>
      </c>
      <c r="W484" t="s">
        <v>86</v>
      </c>
      <c r="X484" s="6">
        <v>125.99999999999999</v>
      </c>
      <c r="Y484">
        <v>20.661339999999999</v>
      </c>
      <c r="Z484">
        <v>9.838733333333332</v>
      </c>
      <c r="AA484" s="6">
        <v>33.899350187354742</v>
      </c>
      <c r="AB484" s="4">
        <v>70.040599999999998</v>
      </c>
      <c r="AC484" s="6">
        <v>29.499090527494054</v>
      </c>
      <c r="AD484">
        <v>0.26137566099999998</v>
      </c>
      <c r="AE484">
        <v>1.9939451191283499</v>
      </c>
      <c r="AF484">
        <v>40400</v>
      </c>
      <c r="AG484" s="4">
        <v>17440</v>
      </c>
      <c r="AH484" s="4">
        <v>85700</v>
      </c>
      <c r="AL484">
        <v>30</v>
      </c>
      <c r="AM484">
        <v>12.602270000000001</v>
      </c>
      <c r="AN484" t="s">
        <v>81</v>
      </c>
      <c r="AO484" t="s">
        <v>92</v>
      </c>
      <c r="AP484" s="5">
        <v>44873</v>
      </c>
      <c r="AQ484" t="s">
        <v>144</v>
      </c>
      <c r="AR484" s="5">
        <v>44997</v>
      </c>
      <c r="AS484">
        <v>249.33593513295844</v>
      </c>
      <c r="AT484" s="6"/>
      <c r="AU484">
        <v>19.359828549358369</v>
      </c>
      <c r="AV484">
        <v>62.824068042053462</v>
      </c>
      <c r="AW484">
        <v>48.148424545552238</v>
      </c>
      <c r="AX484">
        <v>130.33232113696408</v>
      </c>
      <c r="AY484">
        <v>30.614028906160005</v>
      </c>
      <c r="AZ484">
        <v>36.277650917123474</v>
      </c>
      <c r="BA484">
        <v>33.359882756878307</v>
      </c>
      <c r="BB484">
        <v>84.540859402149152</v>
      </c>
      <c r="BC484">
        <v>20.619186364485554</v>
      </c>
      <c r="BD484">
        <v>205.41160834679647</v>
      </c>
      <c r="BE484">
        <v>-86.407994350802113</v>
      </c>
      <c r="BF484">
        <v>9.3985835381441891</v>
      </c>
      <c r="BH484">
        <v>9.3985835381441891</v>
      </c>
      <c r="BI484">
        <v>345.14251302190468</v>
      </c>
      <c r="BJ484" s="6">
        <v>191</v>
      </c>
      <c r="BK484">
        <v>-95.806577888946222</v>
      </c>
      <c r="BL484" s="4">
        <v>-1979.4922800000002</v>
      </c>
      <c r="BM484" t="s">
        <v>114</v>
      </c>
      <c r="BN484" t="s">
        <v>65</v>
      </c>
      <c r="BO484">
        <v>3</v>
      </c>
      <c r="BP484">
        <v>2023</v>
      </c>
      <c r="BQ484" t="str">
        <f t="shared" si="36"/>
        <v>Bangkachai13</v>
      </c>
      <c r="BR484">
        <f t="shared" si="37"/>
        <v>-3184.7908699999998</v>
      </c>
      <c r="BS484">
        <f t="shared" si="38"/>
        <v>5151.6145299999989</v>
      </c>
      <c r="BT484" s="6">
        <f t="shared" si="39"/>
        <v>-154.14251302190468</v>
      </c>
    </row>
    <row r="485" spans="1:72">
      <c r="A485" s="3" t="s">
        <v>113</v>
      </c>
      <c r="B485" s="3" t="s">
        <v>507</v>
      </c>
      <c r="C485" s="3" t="s">
        <v>534</v>
      </c>
      <c r="D485" s="2" t="s">
        <v>536</v>
      </c>
      <c r="E485" s="4" t="str">
        <f t="shared" si="35"/>
        <v>Bo ThongBG-002-0014</v>
      </c>
      <c r="F485">
        <v>1.88</v>
      </c>
      <c r="G485">
        <v>2</v>
      </c>
      <c r="H485" t="s">
        <v>84</v>
      </c>
      <c r="I485" t="s">
        <v>67</v>
      </c>
      <c r="J485" t="s">
        <v>68</v>
      </c>
      <c r="K485" t="s">
        <v>89</v>
      </c>
      <c r="L485" t="s">
        <v>89</v>
      </c>
      <c r="M485">
        <v>1.4661190965092403</v>
      </c>
      <c r="N485" s="5">
        <v>44980</v>
      </c>
      <c r="O485" s="5">
        <v>45014</v>
      </c>
      <c r="P485">
        <v>1.2</v>
      </c>
      <c r="Q485" s="4">
        <v>199</v>
      </c>
      <c r="R485">
        <v>0.5</v>
      </c>
      <c r="S485" t="s">
        <v>70</v>
      </c>
      <c r="T485" s="6">
        <v>3</v>
      </c>
      <c r="U485" s="5">
        <v>45085</v>
      </c>
      <c r="V485" s="6">
        <v>1</v>
      </c>
      <c r="W485" t="s">
        <v>86</v>
      </c>
      <c r="X485" s="6">
        <v>71</v>
      </c>
      <c r="Y485">
        <v>16.392790000000002</v>
      </c>
      <c r="Z485">
        <v>8.7195691489361717</v>
      </c>
      <c r="AA485" s="6">
        <v>45.04028905390723</v>
      </c>
      <c r="AB485" s="4">
        <v>61.528000000000006</v>
      </c>
      <c r="AC485" s="6">
        <v>22.202344190179002</v>
      </c>
      <c r="AD485">
        <v>0.37362009899999998</v>
      </c>
      <c r="AE485">
        <v>1.5418135399722284</v>
      </c>
      <c r="AF485">
        <v>24350</v>
      </c>
      <c r="AG485" s="4"/>
      <c r="AH485" s="4">
        <v>35700</v>
      </c>
      <c r="AL485">
        <v>37</v>
      </c>
      <c r="AM485">
        <v>10.90198</v>
      </c>
      <c r="AN485" t="s">
        <v>85</v>
      </c>
      <c r="AO485" t="s">
        <v>134</v>
      </c>
      <c r="AP485" s="5">
        <v>45015</v>
      </c>
      <c r="AQ485" t="s">
        <v>198</v>
      </c>
      <c r="AR485" s="5">
        <v>45082</v>
      </c>
      <c r="AS485">
        <v>161.14235953733322</v>
      </c>
      <c r="AT485" s="6"/>
      <c r="AU485">
        <v>32.941311393606576</v>
      </c>
      <c r="AV485">
        <v>48.243081257064858</v>
      </c>
      <c r="AW485">
        <v>24.556728293353359</v>
      </c>
      <c r="AX485">
        <v>105.74112094402479</v>
      </c>
      <c r="AY485">
        <v>16.227626901826962</v>
      </c>
      <c r="AZ485">
        <v>37.474371964747917</v>
      </c>
      <c r="BA485">
        <v>50.562878558195393</v>
      </c>
      <c r="BB485">
        <v>21.644662073997168</v>
      </c>
      <c r="BC485">
        <v>18.665501113599333</v>
      </c>
      <c r="BD485">
        <v>144.57504061236676</v>
      </c>
      <c r="BE485">
        <v>-89.173802019058328</v>
      </c>
      <c r="BF485">
        <v>6.1837783562163606</v>
      </c>
      <c r="BH485">
        <v>6.1837783562163606</v>
      </c>
      <c r="BI485">
        <v>256.49993991260789</v>
      </c>
      <c r="BJ485" s="6">
        <v>175</v>
      </c>
      <c r="BK485">
        <v>-95.357580375274651</v>
      </c>
      <c r="BL485" s="4">
        <v>-1563.1767899999986</v>
      </c>
      <c r="BM485" t="s">
        <v>537</v>
      </c>
      <c r="BN485" t="s">
        <v>65</v>
      </c>
      <c r="BO485">
        <v>6</v>
      </c>
      <c r="BP485">
        <v>2023</v>
      </c>
      <c r="BQ485" t="str">
        <f t="shared" si="36"/>
        <v>Bo Thong6</v>
      </c>
      <c r="BR485">
        <f t="shared" si="37"/>
        <v>-1336.0113999999996</v>
      </c>
      <c r="BS485">
        <f t="shared" si="38"/>
        <v>2641.5728600000007</v>
      </c>
      <c r="BT485" s="6">
        <f t="shared" si="39"/>
        <v>-81.499939912607886</v>
      </c>
    </row>
    <row r="486" spans="1:72">
      <c r="A486" s="3" t="s">
        <v>113</v>
      </c>
      <c r="B486" s="3" t="s">
        <v>507</v>
      </c>
      <c r="C486" s="3" t="s">
        <v>534</v>
      </c>
      <c r="D486" s="2" t="s">
        <v>538</v>
      </c>
      <c r="E486" s="4" t="str">
        <f t="shared" si="35"/>
        <v>Bo ThongBG-002-0013</v>
      </c>
      <c r="F486">
        <v>1.88</v>
      </c>
      <c r="G486">
        <v>2</v>
      </c>
      <c r="H486" t="s">
        <v>84</v>
      </c>
      <c r="I486" t="s">
        <v>67</v>
      </c>
      <c r="J486" t="s">
        <v>68</v>
      </c>
      <c r="K486" t="s">
        <v>89</v>
      </c>
      <c r="L486" t="s">
        <v>89</v>
      </c>
      <c r="M486">
        <v>0.51116243264049266</v>
      </c>
      <c r="N486" s="5">
        <v>44826</v>
      </c>
      <c r="O486" s="5">
        <v>44886</v>
      </c>
      <c r="P486">
        <v>1.2</v>
      </c>
      <c r="Q486" s="4">
        <v>199</v>
      </c>
      <c r="R486">
        <v>0.26</v>
      </c>
      <c r="S486" t="s">
        <v>70</v>
      </c>
      <c r="T486" s="6">
        <v>3</v>
      </c>
      <c r="U486" s="5">
        <v>44979</v>
      </c>
      <c r="V486" s="6">
        <v>1</v>
      </c>
      <c r="W486" t="s">
        <v>86</v>
      </c>
      <c r="X486" s="6">
        <v>93</v>
      </c>
      <c r="Y486">
        <v>17.62433</v>
      </c>
      <c r="Z486">
        <v>9.3746436170212775</v>
      </c>
      <c r="AA486" s="6">
        <v>33.68871327307194</v>
      </c>
      <c r="AB486" s="4">
        <v>49.478416666666668</v>
      </c>
      <c r="AC486" s="6">
        <v>29.683532045117317</v>
      </c>
      <c r="AD486">
        <v>0.36798665200000003</v>
      </c>
      <c r="AE486">
        <v>1.8758176918922509</v>
      </c>
      <c r="AF486">
        <v>32475</v>
      </c>
      <c r="AG486" s="4">
        <v>6000</v>
      </c>
      <c r="AH486" s="4">
        <v>16600</v>
      </c>
      <c r="AL486">
        <v>29</v>
      </c>
      <c r="AM486">
        <v>9.167860000000001</v>
      </c>
      <c r="AN486" t="s">
        <v>85</v>
      </c>
      <c r="AO486" t="s">
        <v>92</v>
      </c>
      <c r="AP486" s="5">
        <v>44888</v>
      </c>
      <c r="AQ486" t="s">
        <v>198</v>
      </c>
      <c r="AR486" s="5">
        <v>44977</v>
      </c>
      <c r="AS486">
        <v>236.569161494366</v>
      </c>
      <c r="AT486" s="6"/>
      <c r="AU486">
        <v>25.578910517449454</v>
      </c>
      <c r="AV486">
        <v>57.743402444234754</v>
      </c>
      <c r="AW486">
        <v>32.407944018297442</v>
      </c>
      <c r="AX486">
        <v>115.73025697998165</v>
      </c>
      <c r="AY486">
        <v>38.29768620991549</v>
      </c>
      <c r="AZ486">
        <v>39.385922755645176</v>
      </c>
      <c r="BA486">
        <v>37.056076457941934</v>
      </c>
      <c r="BB486">
        <v>7.5260756011717893</v>
      </c>
      <c r="BC486">
        <v>23.804659808344486</v>
      </c>
      <c r="BD486">
        <v>146.07042083301889</v>
      </c>
      <c r="BE486">
        <v>-25.231516318634533</v>
      </c>
      <c r="BF486">
        <v>16.360451149064957</v>
      </c>
      <c r="BH486">
        <v>16.360451149064957</v>
      </c>
      <c r="BI486">
        <v>278.16112896206545</v>
      </c>
      <c r="BJ486" s="6">
        <v>191</v>
      </c>
      <c r="BK486">
        <v>-41.591967467699455</v>
      </c>
      <c r="BL486" s="4">
        <v>-733.03055999999958</v>
      </c>
      <c r="BM486" t="s">
        <v>535</v>
      </c>
      <c r="BN486" t="s">
        <v>65</v>
      </c>
      <c r="BO486">
        <v>2</v>
      </c>
      <c r="BP486">
        <v>2023</v>
      </c>
      <c r="BQ486" t="str">
        <f t="shared" si="36"/>
        <v>Bo Thong2</v>
      </c>
      <c r="BR486">
        <f t="shared" si="37"/>
        <v>-1536.1564999999989</v>
      </c>
      <c r="BS486">
        <f t="shared" si="38"/>
        <v>4169.3729699999994</v>
      </c>
      <c r="BT486" s="6">
        <f t="shared" si="39"/>
        <v>-87.161128962065447</v>
      </c>
    </row>
    <row r="487" spans="1:72">
      <c r="A487" s="3" t="s">
        <v>113</v>
      </c>
      <c r="B487" s="3" t="s">
        <v>507</v>
      </c>
      <c r="C487" s="3" t="s">
        <v>534</v>
      </c>
      <c r="D487" s="2" t="s">
        <v>539</v>
      </c>
      <c r="E487" s="4" t="str">
        <f t="shared" si="35"/>
        <v>Bo ThongBG-002-0015</v>
      </c>
      <c r="F487">
        <v>1.88</v>
      </c>
      <c r="G487">
        <v>2</v>
      </c>
      <c r="H487" t="s">
        <v>84</v>
      </c>
      <c r="I487" t="s">
        <v>67</v>
      </c>
      <c r="J487" t="s">
        <v>68</v>
      </c>
      <c r="K487" t="s">
        <v>89</v>
      </c>
      <c r="L487" t="s">
        <v>89</v>
      </c>
      <c r="M487">
        <v>1.4054054054054055</v>
      </c>
      <c r="N487" s="5">
        <v>45086</v>
      </c>
      <c r="O487" s="5">
        <v>45115</v>
      </c>
      <c r="P487">
        <v>0.8</v>
      </c>
      <c r="Q487" s="4">
        <v>133</v>
      </c>
      <c r="R487">
        <v>1.218</v>
      </c>
      <c r="S487" t="s">
        <v>70</v>
      </c>
      <c r="T487" s="6"/>
      <c r="U487" s="5">
        <v>45124</v>
      </c>
      <c r="V487" s="6">
        <v>3</v>
      </c>
      <c r="W487" t="s">
        <v>2831</v>
      </c>
      <c r="X487" s="6"/>
      <c r="AA487" s="6"/>
      <c r="AB487" s="4"/>
      <c r="AC487" s="6"/>
      <c r="AF487">
        <v>925</v>
      </c>
      <c r="AG487" s="4">
        <v>6500</v>
      </c>
      <c r="AH487" s="4">
        <v>1300</v>
      </c>
      <c r="AI487" t="s">
        <v>73</v>
      </c>
      <c r="AJ487" t="s">
        <v>73</v>
      </c>
      <c r="AK487" t="s">
        <v>109</v>
      </c>
      <c r="AN487" t="s">
        <v>73</v>
      </c>
      <c r="AO487" t="s">
        <v>148</v>
      </c>
      <c r="AP487" s="5">
        <v>45117</v>
      </c>
      <c r="AQ487" t="s">
        <v>148</v>
      </c>
      <c r="AR487" s="5">
        <v>45120</v>
      </c>
      <c r="AT487" s="6"/>
      <c r="BJ487" s="6"/>
      <c r="BL487" s="4">
        <v>-906.80664999999999</v>
      </c>
      <c r="BM487" t="s">
        <v>2857</v>
      </c>
      <c r="BN487" t="s">
        <v>65</v>
      </c>
      <c r="BO487">
        <v>7</v>
      </c>
      <c r="BP487">
        <v>2023</v>
      </c>
      <c r="BQ487" t="str">
        <f t="shared" si="36"/>
        <v>Bo Thong7</v>
      </c>
      <c r="BR487">
        <f t="shared" si="37"/>
        <v>0</v>
      </c>
      <c r="BS487">
        <f t="shared" si="38"/>
        <v>0</v>
      </c>
      <c r="BT487" s="6">
        <f t="shared" si="39"/>
        <v>0</v>
      </c>
    </row>
    <row r="488" spans="1:72">
      <c r="A488" s="3" t="s">
        <v>113</v>
      </c>
      <c r="B488" s="3" t="s">
        <v>507</v>
      </c>
      <c r="C488" s="3" t="s">
        <v>1879</v>
      </c>
      <c r="D488" s="2" t="s">
        <v>2658</v>
      </c>
      <c r="E488" s="4" t="str">
        <f t="shared" si="35"/>
        <v>Bo ThongBG-002-0016</v>
      </c>
      <c r="F488">
        <v>1.88</v>
      </c>
      <c r="G488">
        <v>2</v>
      </c>
      <c r="H488" t="s">
        <v>84</v>
      </c>
      <c r="I488" t="s">
        <v>67</v>
      </c>
      <c r="J488" t="s">
        <v>68</v>
      </c>
      <c r="K488" t="s">
        <v>89</v>
      </c>
      <c r="L488" t="s">
        <v>89</v>
      </c>
      <c r="M488">
        <v>0.37133550488599348</v>
      </c>
      <c r="N488" s="5">
        <v>45125</v>
      </c>
      <c r="O488" s="5">
        <v>45177</v>
      </c>
      <c r="P488">
        <v>0.9</v>
      </c>
      <c r="Q488" s="4">
        <v>150</v>
      </c>
      <c r="R488">
        <v>0.65</v>
      </c>
      <c r="S488" t="s">
        <v>70</v>
      </c>
      <c r="T488" s="6">
        <v>4</v>
      </c>
      <c r="U488" s="5">
        <v>45262</v>
      </c>
      <c r="V488" s="6">
        <v>1</v>
      </c>
      <c r="W488" t="s">
        <v>86</v>
      </c>
      <c r="X488" s="6">
        <v>85</v>
      </c>
      <c r="Y488">
        <v>16.0489</v>
      </c>
      <c r="Z488">
        <v>8.5366489361702129</v>
      </c>
      <c r="AA488" s="6">
        <v>39.299578164235555</v>
      </c>
      <c r="AB488" s="4">
        <v>70.079444444444448</v>
      </c>
      <c r="AC488" s="6">
        <v>25.445565746811159</v>
      </c>
      <c r="AD488">
        <v>0.41252100800000002</v>
      </c>
      <c r="AE488">
        <v>1.9852547948429935</v>
      </c>
      <c r="AF488">
        <v>30700</v>
      </c>
      <c r="AG488" s="4">
        <v>6000</v>
      </c>
      <c r="AH488" s="4">
        <v>11400</v>
      </c>
      <c r="AL488">
        <v>27.999999999999996</v>
      </c>
      <c r="AM488">
        <v>4.6998699999999998</v>
      </c>
      <c r="AN488" t="s">
        <v>81</v>
      </c>
      <c r="AO488" t="s">
        <v>106</v>
      </c>
      <c r="AP488" s="5">
        <v>45180</v>
      </c>
      <c r="AQ488" t="s">
        <v>99</v>
      </c>
      <c r="AR488" s="5">
        <v>45260</v>
      </c>
      <c r="AS488">
        <v>208.96774794534204</v>
      </c>
      <c r="AT488" s="6"/>
      <c r="AU488">
        <v>28.039304874477374</v>
      </c>
      <c r="AV488">
        <v>56.921299902173985</v>
      </c>
      <c r="AW488">
        <v>46.687787948083681</v>
      </c>
      <c r="AX488">
        <v>131.64839272473503</v>
      </c>
      <c r="AY488">
        <v>35.461943809233027</v>
      </c>
      <c r="AZ488">
        <v>31.925705811613255</v>
      </c>
      <c r="BA488">
        <v>27.770515113185326</v>
      </c>
      <c r="BB488">
        <v>7.9854912174666177</v>
      </c>
      <c r="BC488">
        <v>32.210467384057473</v>
      </c>
      <c r="BD488">
        <v>135.3541233355557</v>
      </c>
      <c r="BE488">
        <v>-58.03476811494869</v>
      </c>
      <c r="BF488">
        <v>5.0077195321797747</v>
      </c>
      <c r="BH488">
        <v>5.0077195321797747</v>
      </c>
      <c r="BI488">
        <v>272.01023559247045</v>
      </c>
      <c r="BJ488" s="6">
        <v>183</v>
      </c>
      <c r="BK488">
        <v>-63.042487647128439</v>
      </c>
      <c r="BL488" s="4">
        <v>-1011.7625799999996</v>
      </c>
      <c r="BM488" t="s">
        <v>2659</v>
      </c>
      <c r="BN488" t="s">
        <v>65</v>
      </c>
      <c r="BO488">
        <v>12</v>
      </c>
      <c r="BP488">
        <v>2023</v>
      </c>
      <c r="BQ488" t="str">
        <f t="shared" si="36"/>
        <v>Bo Thong12</v>
      </c>
      <c r="BR488">
        <f t="shared" si="37"/>
        <v>-1428.5163699999989</v>
      </c>
      <c r="BS488">
        <f t="shared" si="38"/>
        <v>3353.7024899999997</v>
      </c>
      <c r="BT488" s="6">
        <f t="shared" si="39"/>
        <v>-89.010235592470451</v>
      </c>
    </row>
    <row r="489" spans="1:72">
      <c r="A489" s="3" t="s">
        <v>113</v>
      </c>
      <c r="B489" s="3" t="s">
        <v>507</v>
      </c>
      <c r="C489" s="3" t="s">
        <v>1879</v>
      </c>
      <c r="D489" s="2" t="s">
        <v>2660</v>
      </c>
      <c r="E489" s="4" t="str">
        <f t="shared" si="35"/>
        <v>Bo ThongB1-014-0013</v>
      </c>
      <c r="F489">
        <v>2.52</v>
      </c>
      <c r="G489">
        <v>2</v>
      </c>
      <c r="H489" t="s">
        <v>72</v>
      </c>
      <c r="I489" t="s">
        <v>75</v>
      </c>
      <c r="J489" t="s">
        <v>68</v>
      </c>
      <c r="K489" t="s">
        <v>79</v>
      </c>
      <c r="L489" t="s">
        <v>79</v>
      </c>
      <c r="M489">
        <v>3.0306122448979593</v>
      </c>
      <c r="N489" s="5">
        <v>45101</v>
      </c>
      <c r="O489" s="5">
        <v>45144</v>
      </c>
      <c r="P489">
        <v>1.2</v>
      </c>
      <c r="Q489" s="4">
        <v>149</v>
      </c>
      <c r="R489">
        <v>0.66600000000000004</v>
      </c>
      <c r="S489" t="s">
        <v>70</v>
      </c>
      <c r="T489" s="6">
        <v>6</v>
      </c>
      <c r="U489" s="5">
        <v>45245</v>
      </c>
      <c r="V489" s="6">
        <v>1</v>
      </c>
      <c r="W489" t="s">
        <v>86</v>
      </c>
      <c r="X489" s="6">
        <v>101</v>
      </c>
      <c r="Y489">
        <v>24.974820000000001</v>
      </c>
      <c r="Z489">
        <v>9.9106428571428573</v>
      </c>
      <c r="AA489" s="6">
        <v>36.188328884852822</v>
      </c>
      <c r="AB489" s="4">
        <v>75.316416666666669</v>
      </c>
      <c r="AC489" s="6">
        <v>27.63321852141576</v>
      </c>
      <c r="AD489">
        <v>0.40594719499999998</v>
      </c>
      <c r="AE489">
        <v>1.8241668603896024</v>
      </c>
      <c r="AF489">
        <v>44100</v>
      </c>
      <c r="AG489" s="4">
        <v>8000</v>
      </c>
      <c r="AH489" s="4">
        <v>133650</v>
      </c>
      <c r="AL489">
        <v>24</v>
      </c>
      <c r="AM489">
        <v>5.4317099999999998</v>
      </c>
      <c r="AN489" t="s">
        <v>81</v>
      </c>
      <c r="AO489" t="s">
        <v>438</v>
      </c>
      <c r="AP489" s="5">
        <v>45144</v>
      </c>
      <c r="AQ489" t="s">
        <v>101</v>
      </c>
      <c r="AR489" s="5">
        <v>45243</v>
      </c>
      <c r="AS489">
        <v>200.6755123760652</v>
      </c>
      <c r="AT489" s="6"/>
      <c r="AU489">
        <v>24.024197171391027</v>
      </c>
      <c r="AV489">
        <v>53.216975737963281</v>
      </c>
      <c r="AW489">
        <v>110.45998529719134</v>
      </c>
      <c r="AX489">
        <v>187.70115820654567</v>
      </c>
      <c r="AY489">
        <v>22.795381107851835</v>
      </c>
      <c r="AZ489">
        <v>48.711093413285866</v>
      </c>
      <c r="BA489">
        <v>26.670709138244042</v>
      </c>
      <c r="BB489">
        <v>38.498071257370412</v>
      </c>
      <c r="BC489">
        <v>36.917856465031583</v>
      </c>
      <c r="BD489">
        <v>173.59311138178373</v>
      </c>
      <c r="BE489">
        <v>-160.6187572122642</v>
      </c>
      <c r="BF489">
        <v>16.119825087828463</v>
      </c>
      <c r="BH489">
        <v>16.119825087828463</v>
      </c>
      <c r="BI489">
        <v>377.41409467615773</v>
      </c>
      <c r="BJ489" s="6">
        <v>186</v>
      </c>
      <c r="BK489">
        <v>-176.73858230009256</v>
      </c>
      <c r="BL489" s="4">
        <v>-4414.0142799999976</v>
      </c>
      <c r="BM489" t="s">
        <v>2661</v>
      </c>
      <c r="BN489" t="s">
        <v>65</v>
      </c>
      <c r="BO489">
        <v>11</v>
      </c>
      <c r="BP489">
        <v>2023</v>
      </c>
      <c r="BQ489" t="str">
        <f t="shared" si="36"/>
        <v>Bo Thong11</v>
      </c>
      <c r="BR489">
        <f t="shared" si="37"/>
        <v>-4780.5325599999978</v>
      </c>
      <c r="BS489">
        <f t="shared" si="38"/>
        <v>5011.8348000000005</v>
      </c>
      <c r="BT489" s="6">
        <f t="shared" si="39"/>
        <v>-191.41409467615773</v>
      </c>
    </row>
    <row r="490" spans="1:72">
      <c r="A490" s="3" t="s">
        <v>113</v>
      </c>
      <c r="B490" s="3" t="s">
        <v>507</v>
      </c>
      <c r="C490" s="3" t="s">
        <v>1879</v>
      </c>
      <c r="D490" s="2" t="s">
        <v>1880</v>
      </c>
      <c r="E490" s="4" t="str">
        <f t="shared" si="35"/>
        <v>Bo ThongB1-015-0014</v>
      </c>
      <c r="F490">
        <v>2.76</v>
      </c>
      <c r="G490">
        <v>2</v>
      </c>
      <c r="H490" t="s">
        <v>72</v>
      </c>
      <c r="I490" t="s">
        <v>75</v>
      </c>
      <c r="J490" t="s">
        <v>68</v>
      </c>
      <c r="K490" t="s">
        <v>79</v>
      </c>
      <c r="L490" t="s">
        <v>79</v>
      </c>
      <c r="M490">
        <v>0.96423017107309483</v>
      </c>
      <c r="N490" s="5">
        <v>45153</v>
      </c>
      <c r="O490" s="5">
        <v>45187</v>
      </c>
      <c r="P490">
        <v>1</v>
      </c>
      <c r="Q490" s="4">
        <v>113</v>
      </c>
      <c r="R490">
        <v>0.35</v>
      </c>
      <c r="S490" t="s">
        <v>70</v>
      </c>
      <c r="T490" s="6">
        <v>1</v>
      </c>
      <c r="U490" s="5">
        <v>45235</v>
      </c>
      <c r="V490" s="6">
        <v>2</v>
      </c>
      <c r="W490" t="s">
        <v>71</v>
      </c>
      <c r="X490" s="6">
        <v>48</v>
      </c>
      <c r="Y490">
        <v>10.295639999999999</v>
      </c>
      <c r="Z490">
        <v>3.7303043478260869</v>
      </c>
      <c r="AA490" s="6">
        <v>72.000769257666363</v>
      </c>
      <c r="AB490" s="4">
        <v>74.129400000000004</v>
      </c>
      <c r="AC490" s="6">
        <v>13.888740499720756</v>
      </c>
      <c r="AD490">
        <v>0.28206018500000002</v>
      </c>
      <c r="AE490">
        <v>1.616299132477206</v>
      </c>
      <c r="AF490">
        <v>16075</v>
      </c>
      <c r="AG490" s="4">
        <v>14000</v>
      </c>
      <c r="AH490" s="4">
        <v>15500</v>
      </c>
      <c r="AL490">
        <v>72</v>
      </c>
      <c r="AM490">
        <v>10.288120000000001</v>
      </c>
      <c r="AN490" t="s">
        <v>73</v>
      </c>
      <c r="AO490" t="s">
        <v>105</v>
      </c>
      <c r="AP490" s="5">
        <v>45187</v>
      </c>
      <c r="AQ490" t="s">
        <v>109</v>
      </c>
      <c r="AR490" s="5">
        <v>45232</v>
      </c>
      <c r="AS490">
        <v>148.75432124666364</v>
      </c>
      <c r="AT490" s="6"/>
      <c r="AU490">
        <v>38.851397290503556</v>
      </c>
      <c r="AV490">
        <v>46.432657901791437</v>
      </c>
      <c r="AW490">
        <v>110.04449456274698</v>
      </c>
      <c r="AX490">
        <v>195.32854975504196</v>
      </c>
      <c r="AY490">
        <v>17.856148816392182</v>
      </c>
      <c r="AZ490">
        <v>57.370781223896721</v>
      </c>
      <c r="BA490">
        <v>37.1718339025063</v>
      </c>
      <c r="BB490">
        <v>49.496151769098375</v>
      </c>
      <c r="BC490">
        <v>49.108629478109179</v>
      </c>
      <c r="BD490">
        <v>211.00354519000277</v>
      </c>
      <c r="BE490">
        <v>-257.57777369838107</v>
      </c>
      <c r="BF490">
        <v>22.457375160747659</v>
      </c>
      <c r="BH490">
        <v>22.457375160747659</v>
      </c>
      <c r="BI490">
        <v>428.78947010579225</v>
      </c>
      <c r="BJ490" s="6">
        <v>150</v>
      </c>
      <c r="BK490">
        <v>-280.03514885912858</v>
      </c>
      <c r="BL490" s="4">
        <v>-2883.1410799999985</v>
      </c>
      <c r="BM490" t="s">
        <v>1881</v>
      </c>
      <c r="BN490" t="s">
        <v>65</v>
      </c>
      <c r="BO490">
        <v>11</v>
      </c>
      <c r="BP490">
        <v>2023</v>
      </c>
      <c r="BQ490" t="str">
        <f t="shared" si="36"/>
        <v>Bo Thong11</v>
      </c>
      <c r="BR490">
        <f t="shared" si="37"/>
        <v>-2870.3160199999984</v>
      </c>
      <c r="BS490">
        <f t="shared" si="38"/>
        <v>1531.5209399999999</v>
      </c>
      <c r="BT490" s="6">
        <f t="shared" si="39"/>
        <v>-278.78947010579225</v>
      </c>
    </row>
    <row r="491" spans="1:72">
      <c r="A491" s="3" t="s">
        <v>113</v>
      </c>
      <c r="B491" s="3" t="s">
        <v>507</v>
      </c>
      <c r="C491" s="3" t="s">
        <v>512</v>
      </c>
      <c r="D491" s="2" t="s">
        <v>521</v>
      </c>
      <c r="E491" s="4" t="str">
        <f t="shared" si="35"/>
        <v>Bo ThongB1-015-0013</v>
      </c>
      <c r="F491">
        <v>2.76</v>
      </c>
      <c r="G491">
        <v>2</v>
      </c>
      <c r="H491" t="s">
        <v>72</v>
      </c>
      <c r="I491" t="s">
        <v>75</v>
      </c>
      <c r="J491" t="s">
        <v>68</v>
      </c>
      <c r="K491" t="s">
        <v>79</v>
      </c>
      <c r="L491" t="s">
        <v>79</v>
      </c>
      <c r="M491">
        <v>2.8876267748478703</v>
      </c>
      <c r="N491" s="5">
        <v>44993</v>
      </c>
      <c r="O491" s="5">
        <v>45016</v>
      </c>
      <c r="P491">
        <v>2</v>
      </c>
      <c r="Q491" s="4">
        <v>226</v>
      </c>
      <c r="R491">
        <v>0.45</v>
      </c>
      <c r="S491" t="s">
        <v>70</v>
      </c>
      <c r="T491" s="6">
        <v>6</v>
      </c>
      <c r="U491" s="5">
        <v>45108</v>
      </c>
      <c r="V491" s="6">
        <v>1</v>
      </c>
      <c r="W491" t="s">
        <v>86</v>
      </c>
      <c r="X491" s="6">
        <v>92</v>
      </c>
      <c r="Y491">
        <v>27.562060000000002</v>
      </c>
      <c r="Z491">
        <v>9.9862536231884071</v>
      </c>
      <c r="AA491" s="6">
        <v>39.874958548091108</v>
      </c>
      <c r="AB491" s="4">
        <v>54.951799999999992</v>
      </c>
      <c r="AC491" s="6">
        <v>25.078395976109974</v>
      </c>
      <c r="AD491">
        <v>0.38330745300000002</v>
      </c>
      <c r="AE491">
        <v>2.3113662584409407</v>
      </c>
      <c r="AF491">
        <v>61625</v>
      </c>
      <c r="AG491" s="4">
        <v>0</v>
      </c>
      <c r="AH491" s="4">
        <v>177950</v>
      </c>
      <c r="AL491">
        <v>28</v>
      </c>
      <c r="AM491">
        <v>13.869159999999999</v>
      </c>
      <c r="AN491" t="s">
        <v>85</v>
      </c>
      <c r="AO491" t="s">
        <v>134</v>
      </c>
      <c r="AP491" s="5">
        <v>45019</v>
      </c>
      <c r="AQ491" t="s">
        <v>96</v>
      </c>
      <c r="AR491" s="5">
        <v>45106</v>
      </c>
      <c r="AS491">
        <v>169.74059159583865</v>
      </c>
      <c r="AT491" s="6"/>
      <c r="AU491">
        <v>32.653582497099265</v>
      </c>
      <c r="AV491">
        <v>70.951653105754801</v>
      </c>
      <c r="AW491">
        <v>39.0068441908914</v>
      </c>
      <c r="AX491">
        <v>142.61207979374547</v>
      </c>
      <c r="AY491">
        <v>10.05301744499504</v>
      </c>
      <c r="AZ491">
        <v>24.720936316080873</v>
      </c>
      <c r="BA491">
        <v>9.0565041219705655</v>
      </c>
      <c r="BB491">
        <v>8.8573245250899273</v>
      </c>
      <c r="BC491">
        <v>14.680006501691098</v>
      </c>
      <c r="BD491">
        <v>67.36778890982751</v>
      </c>
      <c r="BE491">
        <v>-40.239277107734324</v>
      </c>
      <c r="BF491">
        <v>4.58758996969022</v>
      </c>
      <c r="BH491">
        <v>4.58758996969022</v>
      </c>
      <c r="BI491">
        <v>214.56745867326316</v>
      </c>
      <c r="BJ491" s="6">
        <v>183</v>
      </c>
      <c r="BK491">
        <v>-44.826867077424502</v>
      </c>
      <c r="BL491" s="4">
        <v>-1235.5207999999989</v>
      </c>
      <c r="BM491" t="s">
        <v>522</v>
      </c>
      <c r="BN491" t="s">
        <v>65</v>
      </c>
      <c r="BO491">
        <v>7</v>
      </c>
      <c r="BP491">
        <v>2023</v>
      </c>
      <c r="BQ491" t="str">
        <f t="shared" si="36"/>
        <v>Bo Thong7</v>
      </c>
      <c r="BR491">
        <f t="shared" si="37"/>
        <v>-870.06418999999971</v>
      </c>
      <c r="BS491">
        <f t="shared" si="38"/>
        <v>4678.4003700000012</v>
      </c>
      <c r="BT491" s="6">
        <f t="shared" si="39"/>
        <v>-31.567458673263161</v>
      </c>
    </row>
    <row r="492" spans="1:72">
      <c r="A492" s="3" t="s">
        <v>113</v>
      </c>
      <c r="B492" s="3" t="s">
        <v>507</v>
      </c>
      <c r="C492" s="3" t="s">
        <v>512</v>
      </c>
      <c r="D492" s="2" t="s">
        <v>523</v>
      </c>
      <c r="E492" s="4" t="str">
        <f t="shared" si="35"/>
        <v>Bo ThongB1-014-0012</v>
      </c>
      <c r="F492">
        <v>2.52</v>
      </c>
      <c r="G492">
        <v>2</v>
      </c>
      <c r="H492" t="s">
        <v>72</v>
      </c>
      <c r="I492" t="s">
        <v>75</v>
      </c>
      <c r="J492" t="s">
        <v>68</v>
      </c>
      <c r="K492" t="s">
        <v>79</v>
      </c>
      <c r="L492" t="s">
        <v>79</v>
      </c>
      <c r="M492">
        <v>2.7201322860686235</v>
      </c>
      <c r="N492" s="5">
        <v>44992</v>
      </c>
      <c r="O492" s="5">
        <v>45019</v>
      </c>
      <c r="P492">
        <v>1.8</v>
      </c>
      <c r="Q492" s="4">
        <v>223</v>
      </c>
      <c r="R492">
        <v>0.42</v>
      </c>
      <c r="S492" t="s">
        <v>70</v>
      </c>
      <c r="T492" s="6">
        <v>5</v>
      </c>
      <c r="U492" s="5">
        <v>45100</v>
      </c>
      <c r="V492" s="6">
        <v>1</v>
      </c>
      <c r="W492" t="s">
        <v>86</v>
      </c>
      <c r="X492" s="6">
        <v>81.000000000000014</v>
      </c>
      <c r="Y492">
        <v>30.03856</v>
      </c>
      <c r="Z492">
        <v>11.920063492063493</v>
      </c>
      <c r="AA492" s="6">
        <v>39.462510852717308</v>
      </c>
      <c r="AB492" s="4">
        <v>65.855388888888882</v>
      </c>
      <c r="AC492" s="6">
        <v>25.340506176411782</v>
      </c>
      <c r="AD492">
        <v>0.380617284</v>
      </c>
      <c r="AE492">
        <v>2.0652139763163753</v>
      </c>
      <c r="AF492">
        <v>60475</v>
      </c>
      <c r="AG492" s="4">
        <v>7000</v>
      </c>
      <c r="AH492" s="4">
        <v>164500</v>
      </c>
      <c r="AL492">
        <v>32</v>
      </c>
      <c r="AM492">
        <v>13.80654</v>
      </c>
      <c r="AN492" t="s">
        <v>81</v>
      </c>
      <c r="AO492" t="s">
        <v>134</v>
      </c>
      <c r="AP492" s="5">
        <v>45019</v>
      </c>
      <c r="AQ492" t="s">
        <v>108</v>
      </c>
      <c r="AR492" s="5">
        <v>45099</v>
      </c>
      <c r="AS492">
        <v>161.66420594063095</v>
      </c>
      <c r="AT492" s="6"/>
      <c r="AU492">
        <v>26.965340548947747</v>
      </c>
      <c r="AV492">
        <v>63.726043125902173</v>
      </c>
      <c r="AW492">
        <v>33.643941320755715</v>
      </c>
      <c r="AX492">
        <v>124.33532499560563</v>
      </c>
      <c r="AY492">
        <v>7.8387472635172912</v>
      </c>
      <c r="AZ492">
        <v>19.265579974539392</v>
      </c>
      <c r="BA492">
        <v>7.5811992985016596</v>
      </c>
      <c r="BB492">
        <v>7.4970504578115591</v>
      </c>
      <c r="BC492">
        <v>11.568392426268103</v>
      </c>
      <c r="BD492">
        <v>53.750969420638015</v>
      </c>
      <c r="BE492">
        <v>-16.422088475612696</v>
      </c>
      <c r="BF492">
        <v>3.6348306976100049</v>
      </c>
      <c r="BH492">
        <v>3.6348306976100049</v>
      </c>
      <c r="BI492">
        <v>181.72112511385365</v>
      </c>
      <c r="BJ492" s="6">
        <v>183</v>
      </c>
      <c r="BK492">
        <v>-20.056919173222706</v>
      </c>
      <c r="BL492" s="4">
        <v>-602.48097000000064</v>
      </c>
      <c r="BM492" t="s">
        <v>524</v>
      </c>
      <c r="BN492" t="s">
        <v>65</v>
      </c>
      <c r="BO492">
        <v>6</v>
      </c>
      <c r="BP492">
        <v>2023</v>
      </c>
      <c r="BQ492" t="str">
        <f t="shared" si="36"/>
        <v>Bo Thong6</v>
      </c>
      <c r="BR492">
        <f t="shared" si="37"/>
        <v>38.41556000000044</v>
      </c>
      <c r="BS492">
        <f t="shared" si="38"/>
        <v>4856.1599499999993</v>
      </c>
      <c r="BT492" s="6">
        <f t="shared" si="39"/>
        <v>1.2788748861463546</v>
      </c>
    </row>
    <row r="493" spans="1:72">
      <c r="A493" s="3" t="s">
        <v>113</v>
      </c>
      <c r="B493" s="3" t="s">
        <v>507</v>
      </c>
      <c r="C493" s="3" t="s">
        <v>512</v>
      </c>
      <c r="D493" s="2" t="s">
        <v>518</v>
      </c>
      <c r="E493" s="4" t="str">
        <f t="shared" si="35"/>
        <v>Bo ThongB1-013-0013</v>
      </c>
      <c r="F493">
        <v>2.76</v>
      </c>
      <c r="G493">
        <v>2</v>
      </c>
      <c r="H493" t="s">
        <v>72</v>
      </c>
      <c r="I493" t="s">
        <v>75</v>
      </c>
      <c r="J493" t="s">
        <v>68</v>
      </c>
      <c r="K493" t="s">
        <v>79</v>
      </c>
      <c r="L493" t="s">
        <v>79</v>
      </c>
      <c r="M493">
        <v>3.112239715591671</v>
      </c>
      <c r="N493" s="5">
        <v>45001</v>
      </c>
      <c r="O493" s="5">
        <v>45028</v>
      </c>
      <c r="P493">
        <v>2</v>
      </c>
      <c r="Q493" s="4">
        <v>226</v>
      </c>
      <c r="R493">
        <v>0.62</v>
      </c>
      <c r="S493" t="s">
        <v>70</v>
      </c>
      <c r="T493" s="6">
        <v>6</v>
      </c>
      <c r="U493" s="5">
        <v>45104</v>
      </c>
      <c r="V493" s="6">
        <v>1</v>
      </c>
      <c r="W493" t="s">
        <v>86</v>
      </c>
      <c r="X493" s="6">
        <v>76</v>
      </c>
      <c r="Y493">
        <v>21.590479999999999</v>
      </c>
      <c r="Z493">
        <v>7.8226376811594207</v>
      </c>
      <c r="AA493" s="6">
        <v>45.335722040454868</v>
      </c>
      <c r="AB493" s="4">
        <v>48.941000000000003</v>
      </c>
      <c r="AC493" s="6">
        <v>22.057661265605525</v>
      </c>
      <c r="AD493">
        <v>0.35733918100000001</v>
      </c>
      <c r="AE493">
        <v>2.4188190757727934</v>
      </c>
      <c r="AF493">
        <v>49225</v>
      </c>
      <c r="AG493" s="4">
        <v>7000</v>
      </c>
      <c r="AH493" s="4">
        <v>153200</v>
      </c>
      <c r="AL493">
        <v>36</v>
      </c>
      <c r="AM493">
        <v>2.9925100000000002</v>
      </c>
      <c r="AN493" t="s">
        <v>519</v>
      </c>
      <c r="AO493" t="s">
        <v>134</v>
      </c>
      <c r="AP493" s="5">
        <v>45028</v>
      </c>
      <c r="AQ493" t="s">
        <v>97</v>
      </c>
      <c r="AR493" s="5">
        <v>45099</v>
      </c>
      <c r="AS493">
        <v>164.05527945650121</v>
      </c>
      <c r="AT493" s="6"/>
      <c r="AU493">
        <v>46.316709957351563</v>
      </c>
      <c r="AV493">
        <v>71.964507505159688</v>
      </c>
      <c r="AW493">
        <v>45.000410366050225</v>
      </c>
      <c r="AX493">
        <v>163.28162782856145</v>
      </c>
      <c r="AY493">
        <v>11.608155075755615</v>
      </c>
      <c r="AZ493">
        <v>27.778016051518996</v>
      </c>
      <c r="BA493">
        <v>10.617278541283014</v>
      </c>
      <c r="BB493">
        <v>9.4869382246249252</v>
      </c>
      <c r="BC493">
        <v>17.105226470185006</v>
      </c>
      <c r="BD493">
        <v>76.595614363367559</v>
      </c>
      <c r="BE493">
        <v>-75.821962735427803</v>
      </c>
      <c r="BF493">
        <v>5.2464961408917281</v>
      </c>
      <c r="BH493">
        <v>5.2464961408917281</v>
      </c>
      <c r="BI493">
        <v>245.12373833282072</v>
      </c>
      <c r="BJ493" s="6">
        <v>175</v>
      </c>
      <c r="BK493">
        <v>-81.068458876319497</v>
      </c>
      <c r="BL493" s="4">
        <v>-1750.3069399999986</v>
      </c>
      <c r="BM493" t="s">
        <v>520</v>
      </c>
      <c r="BN493" t="s">
        <v>65</v>
      </c>
      <c r="BO493">
        <v>6</v>
      </c>
      <c r="BP493">
        <v>2023</v>
      </c>
      <c r="BQ493" t="str">
        <f t="shared" si="36"/>
        <v>Bo Thong6</v>
      </c>
      <c r="BR493">
        <f t="shared" si="37"/>
        <v>-1514.005169999999</v>
      </c>
      <c r="BS493">
        <f t="shared" si="38"/>
        <v>3542.0322300000003</v>
      </c>
      <c r="BT493" s="6">
        <f t="shared" si="39"/>
        <v>-70.123738332820722</v>
      </c>
    </row>
    <row r="494" spans="1:72">
      <c r="A494" s="3" t="s">
        <v>113</v>
      </c>
      <c r="B494" s="3" t="s">
        <v>507</v>
      </c>
      <c r="C494" s="3" t="s">
        <v>512</v>
      </c>
      <c r="D494" s="2" t="s">
        <v>532</v>
      </c>
      <c r="E494" s="4" t="str">
        <f t="shared" si="35"/>
        <v>Bo ThongB1-014-0011</v>
      </c>
      <c r="F494">
        <v>2.52</v>
      </c>
      <c r="G494">
        <v>2</v>
      </c>
      <c r="H494" t="s">
        <v>72</v>
      </c>
      <c r="I494" t="s">
        <v>75</v>
      </c>
      <c r="J494" t="s">
        <v>68</v>
      </c>
      <c r="K494" t="s">
        <v>79</v>
      </c>
      <c r="L494" t="s">
        <v>79</v>
      </c>
      <c r="M494">
        <v>3.7822222222222224</v>
      </c>
      <c r="N494" s="5">
        <v>44805</v>
      </c>
      <c r="O494" s="5">
        <v>44861</v>
      </c>
      <c r="P494">
        <v>0.9</v>
      </c>
      <c r="Q494" s="4">
        <v>112</v>
      </c>
      <c r="R494">
        <v>0.28000000000000003</v>
      </c>
      <c r="S494" t="s">
        <v>70</v>
      </c>
      <c r="T494" s="6">
        <v>3</v>
      </c>
      <c r="U494" s="5">
        <v>44991</v>
      </c>
      <c r="V494" s="6">
        <v>1</v>
      </c>
      <c r="W494" t="s">
        <v>86</v>
      </c>
      <c r="X494" s="6">
        <v>130</v>
      </c>
      <c r="Y494">
        <v>23.648599999999998</v>
      </c>
      <c r="Z494">
        <v>9.3843650793650788</v>
      </c>
      <c r="AA494" s="6">
        <v>23.559830180222086</v>
      </c>
      <c r="AB494" s="4">
        <v>61.906333333333329</v>
      </c>
      <c r="AC494" s="6">
        <v>42.445127674964148</v>
      </c>
      <c r="AD494">
        <v>0.34749650399999998</v>
      </c>
      <c r="AE494">
        <v>1.9233563851157862</v>
      </c>
      <c r="AF494">
        <v>45000</v>
      </c>
      <c r="AG494" s="4">
        <v>0</v>
      </c>
      <c r="AH494" s="4">
        <v>170200</v>
      </c>
      <c r="AL494">
        <v>22</v>
      </c>
      <c r="AM494">
        <v>15.36783</v>
      </c>
      <c r="AN494" t="s">
        <v>81</v>
      </c>
      <c r="AO494" t="s">
        <v>101</v>
      </c>
      <c r="AP494" s="5">
        <v>44861</v>
      </c>
      <c r="AQ494" t="s">
        <v>127</v>
      </c>
      <c r="AR494" s="5">
        <v>44987</v>
      </c>
      <c r="AS494">
        <v>300.02827905245971</v>
      </c>
      <c r="AT494" s="6"/>
      <c r="AU494">
        <v>15.222888458513404</v>
      </c>
      <c r="AV494">
        <v>59.487087184865054</v>
      </c>
      <c r="AW494">
        <v>46.736435983525453</v>
      </c>
      <c r="AX494">
        <v>121.4464116269039</v>
      </c>
      <c r="AY494">
        <v>30.759220841825734</v>
      </c>
      <c r="AZ494">
        <v>40.531787505391442</v>
      </c>
      <c r="BA494">
        <v>30.372663075192609</v>
      </c>
      <c r="BB494">
        <v>19.71119093730707</v>
      </c>
      <c r="BC494">
        <v>45.342611401943472</v>
      </c>
      <c r="BD494">
        <v>166.7174737616603</v>
      </c>
      <c r="BE494">
        <v>11.864393663895498</v>
      </c>
      <c r="BF494">
        <v>19.613612645146013</v>
      </c>
      <c r="BH494">
        <v>19.613612645146013</v>
      </c>
      <c r="BI494">
        <v>307.77749803371029</v>
      </c>
      <c r="BJ494" s="6">
        <v>223</v>
      </c>
      <c r="BK494">
        <v>-7.7492189812505821</v>
      </c>
      <c r="BL494" s="4">
        <v>-183.25818000000248</v>
      </c>
      <c r="BM494" t="s">
        <v>533</v>
      </c>
      <c r="BN494" t="s">
        <v>65</v>
      </c>
      <c r="BO494">
        <v>3</v>
      </c>
      <c r="BP494">
        <v>2023</v>
      </c>
      <c r="BQ494" t="str">
        <f t="shared" si="36"/>
        <v>Bo Thong3</v>
      </c>
      <c r="BR494">
        <f t="shared" si="37"/>
        <v>-2004.8691400000009</v>
      </c>
      <c r="BS494">
        <f t="shared" si="38"/>
        <v>7095.2487599999986</v>
      </c>
      <c r="BT494" s="6">
        <f t="shared" si="39"/>
        <v>-84.777498033710287</v>
      </c>
    </row>
    <row r="495" spans="1:72">
      <c r="A495" s="3" t="s">
        <v>113</v>
      </c>
      <c r="B495" s="3" t="s">
        <v>507</v>
      </c>
      <c r="C495" s="3" t="s">
        <v>512</v>
      </c>
      <c r="D495" s="2" t="s">
        <v>527</v>
      </c>
      <c r="E495" s="4" t="str">
        <f t="shared" si="35"/>
        <v>Bo ThongB1-010-0010</v>
      </c>
      <c r="F495">
        <v>4.79</v>
      </c>
      <c r="G495">
        <v>1.8</v>
      </c>
      <c r="H495" t="s">
        <v>72</v>
      </c>
      <c r="I495" t="s">
        <v>75</v>
      </c>
      <c r="J495" t="s">
        <v>68</v>
      </c>
      <c r="K495" t="s">
        <v>79</v>
      </c>
      <c r="L495" t="s">
        <v>79</v>
      </c>
      <c r="M495">
        <v>3.4333733493397358</v>
      </c>
      <c r="N495" s="5">
        <v>44896</v>
      </c>
      <c r="O495" s="5">
        <v>44913</v>
      </c>
      <c r="P495">
        <v>2.7</v>
      </c>
      <c r="Q495" s="4">
        <v>196</v>
      </c>
      <c r="R495">
        <v>0.62</v>
      </c>
      <c r="S495" t="s">
        <v>70</v>
      </c>
      <c r="T495" s="6">
        <v>6</v>
      </c>
      <c r="U495" s="5">
        <v>45023</v>
      </c>
      <c r="V495" s="6">
        <v>1</v>
      </c>
      <c r="W495" t="s">
        <v>86</v>
      </c>
      <c r="X495" s="6">
        <v>110</v>
      </c>
      <c r="Y495">
        <v>56.293169999999996</v>
      </c>
      <c r="Z495">
        <v>11.752227557411272</v>
      </c>
      <c r="AA495" s="6">
        <v>33.138851480561499</v>
      </c>
      <c r="AB495" s="4">
        <v>69.092259259259265</v>
      </c>
      <c r="AC495" s="6">
        <v>30.176060886919313</v>
      </c>
      <c r="AD495">
        <v>0.34401398599999999</v>
      </c>
      <c r="AE495">
        <v>1.9063889341011007</v>
      </c>
      <c r="AF495">
        <v>104125</v>
      </c>
      <c r="AG495" s="4">
        <v>0</v>
      </c>
      <c r="AH495" s="4">
        <v>357500</v>
      </c>
      <c r="AL495">
        <v>26</v>
      </c>
      <c r="AM495">
        <v>9.6062799999999999</v>
      </c>
      <c r="AN495" t="s">
        <v>81</v>
      </c>
      <c r="AO495" t="s">
        <v>94</v>
      </c>
      <c r="AP495" s="5">
        <v>44914</v>
      </c>
      <c r="AQ495" t="s">
        <v>134</v>
      </c>
      <c r="AR495" s="5">
        <v>45022</v>
      </c>
      <c r="AS495">
        <v>250.40500685962431</v>
      </c>
      <c r="AT495" s="6"/>
      <c r="AU495">
        <v>23.981594925281346</v>
      </c>
      <c r="AV495">
        <v>59.887033187152205</v>
      </c>
      <c r="AW495">
        <v>60.956569686873173</v>
      </c>
      <c r="AX495">
        <v>144.82519779930672</v>
      </c>
      <c r="AY495">
        <v>7.6358798056673667</v>
      </c>
      <c r="AZ495">
        <v>30.546352603699532</v>
      </c>
      <c r="BA495">
        <v>6.4440746541720761</v>
      </c>
      <c r="BB495">
        <v>10.058749578323621</v>
      </c>
      <c r="BC495">
        <v>9.7668960550631621</v>
      </c>
      <c r="BD495">
        <v>64.451952696925758</v>
      </c>
      <c r="BE495">
        <v>41.127856363391828</v>
      </c>
      <c r="BF495">
        <v>4.6426824071197261</v>
      </c>
      <c r="BH495">
        <v>4.6426824071197261</v>
      </c>
      <c r="BI495">
        <v>213.91983290335233</v>
      </c>
      <c r="BJ495" s="6">
        <v>191</v>
      </c>
      <c r="BK495">
        <v>36.485173956272</v>
      </c>
      <c r="BL495" s="4">
        <v>2053.866099999992</v>
      </c>
      <c r="BM495" t="s">
        <v>513</v>
      </c>
      <c r="BN495" t="s">
        <v>65</v>
      </c>
      <c r="BO495">
        <v>4</v>
      </c>
      <c r="BP495">
        <v>2023</v>
      </c>
      <c r="BQ495" t="str">
        <f t="shared" si="36"/>
        <v>Bo Thong4</v>
      </c>
      <c r="BR495">
        <f t="shared" si="37"/>
        <v>-1290.2300500000063</v>
      </c>
      <c r="BS495">
        <f t="shared" si="38"/>
        <v>14096.091619999996</v>
      </c>
      <c r="BT495" s="6">
        <f t="shared" si="39"/>
        <v>-22.919832903352329</v>
      </c>
    </row>
    <row r="496" spans="1:72">
      <c r="A496" s="3" t="s">
        <v>113</v>
      </c>
      <c r="B496" s="3" t="s">
        <v>507</v>
      </c>
      <c r="C496" s="3" t="s">
        <v>512</v>
      </c>
      <c r="D496" s="2" t="s">
        <v>530</v>
      </c>
      <c r="E496" s="4" t="str">
        <f t="shared" si="35"/>
        <v>Bo ThongB1-015-0012</v>
      </c>
      <c r="F496">
        <v>2.76</v>
      </c>
      <c r="G496">
        <v>2</v>
      </c>
      <c r="H496" t="s">
        <v>72</v>
      </c>
      <c r="I496" t="s">
        <v>75</v>
      </c>
      <c r="J496" t="s">
        <v>68</v>
      </c>
      <c r="K496" t="s">
        <v>79</v>
      </c>
      <c r="L496" t="s">
        <v>79</v>
      </c>
      <c r="M496">
        <v>3.825588066551922</v>
      </c>
      <c r="N496" s="5">
        <v>44835</v>
      </c>
      <c r="O496" s="5">
        <v>44862</v>
      </c>
      <c r="P496">
        <v>0.9</v>
      </c>
      <c r="Q496" s="4">
        <v>102</v>
      </c>
      <c r="R496">
        <v>0.21099999999999999</v>
      </c>
      <c r="S496" t="s">
        <v>70</v>
      </c>
      <c r="T496" s="6">
        <v>3</v>
      </c>
      <c r="U496" s="5">
        <v>44992</v>
      </c>
      <c r="V496" s="6">
        <v>1</v>
      </c>
      <c r="W496" t="s">
        <v>86</v>
      </c>
      <c r="X496" s="6">
        <v>130</v>
      </c>
      <c r="Y496">
        <v>23.176130000000001</v>
      </c>
      <c r="Z496">
        <v>8.3971485507246388</v>
      </c>
      <c r="AA496" s="6">
        <v>25.154717375161425</v>
      </c>
      <c r="AB496" s="4">
        <v>64.776555555555561</v>
      </c>
      <c r="AC496" s="6">
        <v>39.753974774824229</v>
      </c>
      <c r="AD496">
        <v>0.33282508399999999</v>
      </c>
      <c r="AE496">
        <v>1.895691093057877</v>
      </c>
      <c r="AF496">
        <v>43575</v>
      </c>
      <c r="AG496" s="4">
        <v>0</v>
      </c>
      <c r="AH496" s="4">
        <v>166700</v>
      </c>
      <c r="AL496">
        <v>23</v>
      </c>
      <c r="AM496">
        <v>13.66493</v>
      </c>
      <c r="AN496" t="s">
        <v>81</v>
      </c>
      <c r="AO496" t="s">
        <v>101</v>
      </c>
      <c r="AP496" s="5">
        <v>44865</v>
      </c>
      <c r="AQ496" t="s">
        <v>117</v>
      </c>
      <c r="AR496" s="5">
        <v>44991</v>
      </c>
      <c r="AS496">
        <v>295.73507354333964</v>
      </c>
      <c r="AT496" s="6"/>
      <c r="AU496">
        <v>15.533223191274816</v>
      </c>
      <c r="AV496">
        <v>58.844833455801293</v>
      </c>
      <c r="AW496">
        <v>77.348414510964517</v>
      </c>
      <c r="AX496">
        <v>151.72647115804062</v>
      </c>
      <c r="AY496">
        <v>16.231078268891306</v>
      </c>
      <c r="AZ496">
        <v>42.471087278160766</v>
      </c>
      <c r="BA496">
        <v>10.649957952427778</v>
      </c>
      <c r="BB496">
        <v>18.624406663234975</v>
      </c>
      <c r="BC496">
        <v>17.285086854448949</v>
      </c>
      <c r="BD496">
        <v>105.26161701716377</v>
      </c>
      <c r="BE496">
        <v>38.746985368135242</v>
      </c>
      <c r="BF496">
        <v>10.303781520038074</v>
      </c>
      <c r="BH496">
        <v>10.303781520038074</v>
      </c>
      <c r="BI496">
        <v>267.29186969524244</v>
      </c>
      <c r="BJ496" s="6">
        <v>214</v>
      </c>
      <c r="BK496">
        <v>28.443203848097184</v>
      </c>
      <c r="BL496" s="4">
        <v>659.20339000000058</v>
      </c>
      <c r="BM496" t="s">
        <v>531</v>
      </c>
      <c r="BN496" t="s">
        <v>65</v>
      </c>
      <c r="BO496">
        <v>3</v>
      </c>
      <c r="BP496">
        <v>2023</v>
      </c>
      <c r="BQ496" t="str">
        <f t="shared" si="36"/>
        <v>Bo Thong3</v>
      </c>
      <c r="BR496">
        <f t="shared" si="37"/>
        <v>-1235.0992999999992</v>
      </c>
      <c r="BS496">
        <f t="shared" si="38"/>
        <v>6853.9945100000004</v>
      </c>
      <c r="BT496" s="6">
        <f t="shared" si="39"/>
        <v>-53.29186969524244</v>
      </c>
    </row>
    <row r="497" spans="1:72">
      <c r="A497" s="3" t="s">
        <v>113</v>
      </c>
      <c r="B497" s="3" t="s">
        <v>507</v>
      </c>
      <c r="C497" s="3" t="s">
        <v>512</v>
      </c>
      <c r="D497" s="2" t="s">
        <v>528</v>
      </c>
      <c r="E497" s="4" t="str">
        <f t="shared" si="35"/>
        <v>Bo ThongB1-011-0012</v>
      </c>
      <c r="F497">
        <v>2.89</v>
      </c>
      <c r="G497">
        <v>2</v>
      </c>
      <c r="H497" t="s">
        <v>72</v>
      </c>
      <c r="I497" t="s">
        <v>75</v>
      </c>
      <c r="J497" t="s">
        <v>68</v>
      </c>
      <c r="K497" t="s">
        <v>79</v>
      </c>
      <c r="L497" t="s">
        <v>79</v>
      </c>
      <c r="M497">
        <v>3.8065173116089612</v>
      </c>
      <c r="N497" s="5">
        <v>44835</v>
      </c>
      <c r="O497" s="5">
        <v>44883</v>
      </c>
      <c r="P497">
        <v>1.2</v>
      </c>
      <c r="Q497" s="4">
        <v>130</v>
      </c>
      <c r="R497">
        <v>0.4</v>
      </c>
      <c r="S497" t="s">
        <v>70</v>
      </c>
      <c r="T497" s="6">
        <v>6</v>
      </c>
      <c r="U497" s="5">
        <v>45014</v>
      </c>
      <c r="V497" s="6">
        <v>1</v>
      </c>
      <c r="W497" t="s">
        <v>86</v>
      </c>
      <c r="X497" s="6">
        <v>131</v>
      </c>
      <c r="Y497">
        <v>26.540869999999998</v>
      </c>
      <c r="Z497">
        <v>9.183692041522491</v>
      </c>
      <c r="AA497" s="6">
        <v>32.187641173782168</v>
      </c>
      <c r="AB497" s="4">
        <v>71.190666666666672</v>
      </c>
      <c r="AC497" s="6">
        <v>31.067824902140732</v>
      </c>
      <c r="AD497">
        <v>0.30229007600000002</v>
      </c>
      <c r="AE497">
        <v>1.8840506859517738</v>
      </c>
      <c r="AF497">
        <v>49100</v>
      </c>
      <c r="AG497" s="4">
        <v>7000</v>
      </c>
      <c r="AH497" s="4">
        <v>186900</v>
      </c>
      <c r="AL497">
        <v>25</v>
      </c>
      <c r="AM497">
        <v>3.72112</v>
      </c>
      <c r="AN497" t="s">
        <v>81</v>
      </c>
      <c r="AO497" t="s">
        <v>90</v>
      </c>
      <c r="AP497" s="5">
        <v>44886</v>
      </c>
      <c r="AQ497" t="s">
        <v>134</v>
      </c>
      <c r="AR497" s="5">
        <v>45012</v>
      </c>
      <c r="AS497">
        <v>267.14818617475612</v>
      </c>
      <c r="AT497" s="6"/>
      <c r="AU497">
        <v>16.985547195702324</v>
      </c>
      <c r="AV497">
        <v>58.720522349116663</v>
      </c>
      <c r="AW497">
        <v>76.537881764991099</v>
      </c>
      <c r="AX497">
        <v>152.24395130981009</v>
      </c>
      <c r="AY497">
        <v>16.562595725008258</v>
      </c>
      <c r="AZ497">
        <v>44.741017155805373</v>
      </c>
      <c r="BA497">
        <v>11.809094050044335</v>
      </c>
      <c r="BB497">
        <v>21.170939008404769</v>
      </c>
      <c r="BC497">
        <v>18.183085935012681</v>
      </c>
      <c r="BD497">
        <v>112.4667318742754</v>
      </c>
      <c r="BE497">
        <v>2.4375029906706374</v>
      </c>
      <c r="BF497">
        <v>10.415800235636587</v>
      </c>
      <c r="BH497">
        <v>10.415800235636587</v>
      </c>
      <c r="BI497">
        <v>275.12648341972215</v>
      </c>
      <c r="BJ497" s="6">
        <v>192</v>
      </c>
      <c r="BK497">
        <v>-7.9782972449660488</v>
      </c>
      <c r="BL497" s="4">
        <v>-211.75095000000204</v>
      </c>
      <c r="BM497" t="s">
        <v>529</v>
      </c>
      <c r="BN497" t="s">
        <v>65</v>
      </c>
      <c r="BO497">
        <v>3</v>
      </c>
      <c r="BP497">
        <v>2023</v>
      </c>
      <c r="BQ497" t="str">
        <f t="shared" si="36"/>
        <v>Bo Thong3</v>
      </c>
      <c r="BR497">
        <f t="shared" si="37"/>
        <v>-2206.2491900000009</v>
      </c>
      <c r="BS497">
        <f t="shared" si="38"/>
        <v>7090.3452799999986</v>
      </c>
      <c r="BT497" s="6">
        <f t="shared" si="39"/>
        <v>-83.126483419722149</v>
      </c>
    </row>
    <row r="498" spans="1:72">
      <c r="A498" s="3" t="s">
        <v>113</v>
      </c>
      <c r="B498" s="3" t="s">
        <v>507</v>
      </c>
      <c r="C498" s="3" t="s">
        <v>512</v>
      </c>
      <c r="D498" s="2" t="s">
        <v>514</v>
      </c>
      <c r="E498" s="4" t="str">
        <f t="shared" si="35"/>
        <v>Bo ThongB1-010-0011</v>
      </c>
      <c r="F498">
        <v>4.79</v>
      </c>
      <c r="G498">
        <v>1.8</v>
      </c>
      <c r="H498" t="s">
        <v>72</v>
      </c>
      <c r="I498" t="s">
        <v>75</v>
      </c>
      <c r="J498" t="s">
        <v>68</v>
      </c>
      <c r="K498" t="s">
        <v>79</v>
      </c>
      <c r="L498" t="s">
        <v>79</v>
      </c>
      <c r="M498">
        <v>3.0365944734876775</v>
      </c>
      <c r="N498" s="5">
        <v>45024</v>
      </c>
      <c r="O498" s="5">
        <v>45052</v>
      </c>
      <c r="P498">
        <v>3</v>
      </c>
      <c r="Q498" s="4">
        <v>217</v>
      </c>
      <c r="R498">
        <v>0.45</v>
      </c>
      <c r="S498" t="s">
        <v>70</v>
      </c>
      <c r="T498" s="6">
        <v>4</v>
      </c>
      <c r="U498" s="5">
        <v>45113</v>
      </c>
      <c r="V498" s="6">
        <v>1</v>
      </c>
      <c r="W498" t="s">
        <v>86</v>
      </c>
      <c r="X498" s="6">
        <v>61</v>
      </c>
      <c r="Y498">
        <v>40.960749999999997</v>
      </c>
      <c r="Z498">
        <v>8.5513048016701454</v>
      </c>
      <c r="AA498" s="6">
        <v>56.873226198250762</v>
      </c>
      <c r="AB498" s="4">
        <v>77.652333333333331</v>
      </c>
      <c r="AC498" s="6">
        <v>17.582965955090426</v>
      </c>
      <c r="AD498">
        <v>0.29068554400000002</v>
      </c>
      <c r="AE498">
        <v>1.6902165118122026</v>
      </c>
      <c r="AF498">
        <v>66950</v>
      </c>
      <c r="AG498" s="4">
        <v>15000</v>
      </c>
      <c r="AH498" s="4">
        <v>203300</v>
      </c>
      <c r="AL498">
        <v>55</v>
      </c>
      <c r="AM498">
        <v>21.47805</v>
      </c>
      <c r="AN498" t="s">
        <v>77</v>
      </c>
      <c r="AO498" t="s">
        <v>117</v>
      </c>
      <c r="AP498" s="5">
        <v>45054</v>
      </c>
      <c r="AQ498" t="s">
        <v>94</v>
      </c>
      <c r="AR498" s="5">
        <v>45110</v>
      </c>
      <c r="AS498">
        <v>127.30685497702066</v>
      </c>
      <c r="AT498" s="6"/>
      <c r="AU498">
        <v>32.958380889021804</v>
      </c>
      <c r="AV498">
        <v>53.034108994586298</v>
      </c>
      <c r="AW498">
        <v>45.706885005767717</v>
      </c>
      <c r="AX498">
        <v>131.69937488937583</v>
      </c>
      <c r="AY498">
        <v>11.219721562715526</v>
      </c>
      <c r="AZ498">
        <v>22.034832125876601</v>
      </c>
      <c r="BA498">
        <v>8.1553665399193136</v>
      </c>
      <c r="BB498">
        <v>6.4299315808426361</v>
      </c>
      <c r="BC498">
        <v>15.017867592756483</v>
      </c>
      <c r="BD498">
        <v>62.857719402110561</v>
      </c>
      <c r="BE498">
        <v>-67.25023931446573</v>
      </c>
      <c r="BF498">
        <v>4.6006269416453547</v>
      </c>
      <c r="BH498">
        <v>4.6006269416453547</v>
      </c>
      <c r="BI498">
        <v>199.1577212331317</v>
      </c>
      <c r="BJ498" s="6">
        <v>165</v>
      </c>
      <c r="BK498">
        <v>-71.850866256111033</v>
      </c>
      <c r="BL498" s="4">
        <v>-2943.0653700000003</v>
      </c>
      <c r="BM498" t="s">
        <v>515</v>
      </c>
      <c r="BN498" t="s">
        <v>65</v>
      </c>
      <c r="BO498">
        <v>7</v>
      </c>
      <c r="BP498">
        <v>2023</v>
      </c>
      <c r="BQ498" t="str">
        <f t="shared" si="36"/>
        <v>Bo Thong7</v>
      </c>
      <c r="BR498">
        <f t="shared" si="37"/>
        <v>-1399.1258799999989</v>
      </c>
      <c r="BS498">
        <f t="shared" si="38"/>
        <v>5214.5842599999987</v>
      </c>
      <c r="BT498" s="6">
        <f t="shared" si="39"/>
        <v>-34.157721233131696</v>
      </c>
    </row>
    <row r="499" spans="1:72">
      <c r="A499" s="3" t="s">
        <v>113</v>
      </c>
      <c r="B499" s="3" t="s">
        <v>507</v>
      </c>
      <c r="C499" s="3" t="s">
        <v>512</v>
      </c>
      <c r="D499" s="2" t="s">
        <v>525</v>
      </c>
      <c r="E499" s="4" t="str">
        <f t="shared" si="35"/>
        <v>Bo ThongB1-013-0012</v>
      </c>
      <c r="F499">
        <v>2.76</v>
      </c>
      <c r="G499">
        <v>2</v>
      </c>
      <c r="H499" t="s">
        <v>72</v>
      </c>
      <c r="I499" t="s">
        <v>75</v>
      </c>
      <c r="J499" t="s">
        <v>68</v>
      </c>
      <c r="K499" t="s">
        <v>79</v>
      </c>
      <c r="L499" t="s">
        <v>79</v>
      </c>
      <c r="M499">
        <v>3.7955742887249735</v>
      </c>
      <c r="N499" s="5">
        <v>44835</v>
      </c>
      <c r="O499" s="5">
        <v>44888</v>
      </c>
      <c r="P499">
        <v>1.3</v>
      </c>
      <c r="Q499" s="4">
        <v>147</v>
      </c>
      <c r="R499">
        <v>0.3</v>
      </c>
      <c r="S499" t="s">
        <v>70</v>
      </c>
      <c r="T499" s="6">
        <v>3</v>
      </c>
      <c r="U499" s="5">
        <v>45000</v>
      </c>
      <c r="V499" s="6">
        <v>1</v>
      </c>
      <c r="W499" t="s">
        <v>86</v>
      </c>
      <c r="X499" s="6">
        <v>112</v>
      </c>
      <c r="Y499">
        <v>26.586929999999999</v>
      </c>
      <c r="Z499">
        <v>9.6329456521739125</v>
      </c>
      <c r="AA499" s="6">
        <v>38.407367830734877</v>
      </c>
      <c r="AB499" s="4">
        <v>78.548769230769238</v>
      </c>
      <c r="AC499" s="6">
        <v>26.036670995187702</v>
      </c>
      <c r="AD499">
        <v>0.285339862</v>
      </c>
      <c r="AE499">
        <v>1.8112809401712338</v>
      </c>
      <c r="AF499">
        <v>47450</v>
      </c>
      <c r="AG499" s="4">
        <v>15000</v>
      </c>
      <c r="AH499" s="4">
        <v>180100</v>
      </c>
      <c r="AL499">
        <v>31</v>
      </c>
      <c r="AM499">
        <v>16.197340000000001</v>
      </c>
      <c r="AN499" t="s">
        <v>81</v>
      </c>
      <c r="AO499" t="s">
        <v>92</v>
      </c>
      <c r="AP499" s="5">
        <v>44893</v>
      </c>
      <c r="AQ499" t="s">
        <v>117</v>
      </c>
      <c r="AR499" s="5">
        <v>44994</v>
      </c>
      <c r="AS499">
        <v>233.50258754959674</v>
      </c>
      <c r="AT499" s="6"/>
      <c r="AU499">
        <v>18.369087367364337</v>
      </c>
      <c r="AV499">
        <v>56.308753210694114</v>
      </c>
      <c r="AW499">
        <v>68.944071767594082</v>
      </c>
      <c r="AX499">
        <v>143.62191234565253</v>
      </c>
      <c r="AY499">
        <v>14.745669770823488</v>
      </c>
      <c r="AZ499">
        <v>39.070491403106701</v>
      </c>
      <c r="BA499">
        <v>10.001748603543168</v>
      </c>
      <c r="BB499">
        <v>17.67091837982046</v>
      </c>
      <c r="BC499">
        <v>15.892142492570596</v>
      </c>
      <c r="BD499">
        <v>97.380970649864423</v>
      </c>
      <c r="BE499">
        <v>-7.5002954459202158</v>
      </c>
      <c r="BF499">
        <v>9.3266932285901376</v>
      </c>
      <c r="BH499">
        <v>9.3266932285901376</v>
      </c>
      <c r="BI499">
        <v>250.32957622410711</v>
      </c>
      <c r="BJ499" s="6">
        <v>184</v>
      </c>
      <c r="BK499">
        <v>-16.826988674510361</v>
      </c>
      <c r="BL499" s="4">
        <v>-447.37796999999972</v>
      </c>
      <c r="BM499" t="s">
        <v>526</v>
      </c>
      <c r="BN499" t="s">
        <v>65</v>
      </c>
      <c r="BO499">
        <v>3</v>
      </c>
      <c r="BP499">
        <v>2023</v>
      </c>
      <c r="BQ499" t="str">
        <f t="shared" si="36"/>
        <v>Bo Thong3</v>
      </c>
      <c r="BR499">
        <f t="shared" si="37"/>
        <v>-1763.4998000000001</v>
      </c>
      <c r="BS499">
        <f t="shared" si="38"/>
        <v>6208.1169499999996</v>
      </c>
      <c r="BT499" s="6">
        <f t="shared" si="39"/>
        <v>-66.329576224107115</v>
      </c>
    </row>
    <row r="500" spans="1:72">
      <c r="A500" s="3" t="s">
        <v>113</v>
      </c>
      <c r="B500" s="3" t="s">
        <v>507</v>
      </c>
      <c r="C500" s="3" t="s">
        <v>512</v>
      </c>
      <c r="D500" s="2" t="s">
        <v>516</v>
      </c>
      <c r="E500" s="4" t="str">
        <f t="shared" si="35"/>
        <v>Bo ThongB1-011-0013</v>
      </c>
      <c r="F500">
        <v>2.89</v>
      </c>
      <c r="G500">
        <v>2</v>
      </c>
      <c r="H500" t="s">
        <v>72</v>
      </c>
      <c r="I500" t="s">
        <v>75</v>
      </c>
      <c r="J500" t="s">
        <v>68</v>
      </c>
      <c r="K500" t="s">
        <v>79</v>
      </c>
      <c r="L500" t="s">
        <v>79</v>
      </c>
      <c r="M500">
        <v>3.1872099020113462</v>
      </c>
      <c r="N500" s="5">
        <v>45015</v>
      </c>
      <c r="O500" s="5">
        <v>45044</v>
      </c>
      <c r="P500">
        <v>2</v>
      </c>
      <c r="Q500" s="4">
        <v>216</v>
      </c>
      <c r="R500">
        <v>0.4</v>
      </c>
      <c r="S500" t="s">
        <v>70</v>
      </c>
      <c r="T500" s="6">
        <v>3</v>
      </c>
      <c r="U500" s="5">
        <v>45114</v>
      </c>
      <c r="V500" s="6">
        <v>1</v>
      </c>
      <c r="W500" t="s">
        <v>86</v>
      </c>
      <c r="X500" s="6">
        <v>70</v>
      </c>
      <c r="Y500">
        <v>30.48405</v>
      </c>
      <c r="Z500">
        <v>10.54811418685121</v>
      </c>
      <c r="AA500" s="6">
        <v>52.129851512512282</v>
      </c>
      <c r="AB500" s="4">
        <v>79.456450000000004</v>
      </c>
      <c r="AC500" s="6">
        <v>19.182866840892085</v>
      </c>
      <c r="AD500">
        <v>0.28000000000000003</v>
      </c>
      <c r="AE500">
        <v>1.6330318807575113</v>
      </c>
      <c r="AF500">
        <v>48475</v>
      </c>
      <c r="AG500" s="4">
        <v>7000</v>
      </c>
      <c r="AH500" s="4">
        <v>154500</v>
      </c>
      <c r="AL500">
        <v>50</v>
      </c>
      <c r="AM500">
        <v>24.012540000000001</v>
      </c>
      <c r="AN500" t="s">
        <v>77</v>
      </c>
      <c r="AO500" t="s">
        <v>134</v>
      </c>
      <c r="AP500" s="5">
        <v>45047</v>
      </c>
      <c r="AQ500" t="s">
        <v>94</v>
      </c>
      <c r="AR500" s="5">
        <v>45113</v>
      </c>
      <c r="AS500">
        <v>127.3123623665491</v>
      </c>
      <c r="AT500" s="6"/>
      <c r="AU500">
        <v>26.24323211646746</v>
      </c>
      <c r="AV500">
        <v>52.017702044183764</v>
      </c>
      <c r="AW500">
        <v>43.431607348761062</v>
      </c>
      <c r="AX500">
        <v>121.69254150941229</v>
      </c>
      <c r="AY500">
        <v>10.199650636972448</v>
      </c>
      <c r="AZ500">
        <v>19.476770967112312</v>
      </c>
      <c r="BA500">
        <v>8.0585561957810707</v>
      </c>
      <c r="BB500">
        <v>6.5194493513821161</v>
      </c>
      <c r="BC500">
        <v>13.59454009555817</v>
      </c>
      <c r="BD500">
        <v>57.848967246806119</v>
      </c>
      <c r="BE500">
        <v>-52.229146389669317</v>
      </c>
      <c r="BF500">
        <v>4.2025370644648596</v>
      </c>
      <c r="BH500">
        <v>4.2025370644648596</v>
      </c>
      <c r="BI500">
        <v>183.74404582068328</v>
      </c>
      <c r="BJ500" s="6">
        <v>166</v>
      </c>
      <c r="BK500">
        <v>-56.431683454134173</v>
      </c>
      <c r="BL500" s="4">
        <v>-1720.2662599999987</v>
      </c>
      <c r="BM500" t="s">
        <v>517</v>
      </c>
      <c r="BN500" t="s">
        <v>65</v>
      </c>
      <c r="BO500">
        <v>7</v>
      </c>
      <c r="BP500">
        <v>2023</v>
      </c>
      <c r="BQ500" t="str">
        <f t="shared" si="36"/>
        <v>Bo Thong7</v>
      </c>
      <c r="BR500">
        <f t="shared" si="37"/>
        <v>-540.91038000000026</v>
      </c>
      <c r="BS500">
        <f t="shared" si="38"/>
        <v>3880.9964200000009</v>
      </c>
      <c r="BT500" s="6">
        <f t="shared" si="39"/>
        <v>-17.744045820683283</v>
      </c>
    </row>
    <row r="501" spans="1:72">
      <c r="A501" s="3" t="s">
        <v>113</v>
      </c>
      <c r="B501" s="3" t="s">
        <v>507</v>
      </c>
      <c r="C501" s="3" t="s">
        <v>2657</v>
      </c>
      <c r="D501" s="2" t="s">
        <v>511</v>
      </c>
      <c r="E501" s="4" t="str">
        <f t="shared" si="35"/>
        <v>Bo ThongBG-001-0012</v>
      </c>
      <c r="F501">
        <v>1.92</v>
      </c>
      <c r="G501">
        <v>2</v>
      </c>
      <c r="H501" t="s">
        <v>84</v>
      </c>
      <c r="I501" t="s">
        <v>67</v>
      </c>
      <c r="L501" t="s">
        <v>508</v>
      </c>
      <c r="M501">
        <v>1.1877729257641922</v>
      </c>
      <c r="N501" s="5">
        <v>45051</v>
      </c>
      <c r="O501" s="5">
        <v>45077</v>
      </c>
      <c r="P501">
        <v>1</v>
      </c>
      <c r="Q501" s="4">
        <v>163</v>
      </c>
      <c r="R501">
        <v>0.65</v>
      </c>
      <c r="S501" t="s">
        <v>70</v>
      </c>
      <c r="T501" s="6">
        <v>2</v>
      </c>
      <c r="U501" s="5">
        <v>45124</v>
      </c>
      <c r="V501" s="6">
        <v>2</v>
      </c>
      <c r="W501" t="s">
        <v>71</v>
      </c>
      <c r="X501" s="6">
        <v>47</v>
      </c>
      <c r="Y501">
        <v>8.0410199999999996</v>
      </c>
      <c r="Z501">
        <v>4.1880312499999999</v>
      </c>
      <c r="AA501" s="6">
        <v>70.882922813274931</v>
      </c>
      <c r="AB501" s="4">
        <v>56.997100000000003</v>
      </c>
      <c r="AC501" s="6">
        <v>14.107770395335903</v>
      </c>
      <c r="AD501">
        <v>0.29012158100000002</v>
      </c>
      <c r="AE501">
        <v>2.3237658672280683</v>
      </c>
      <c r="AF501">
        <v>17175</v>
      </c>
      <c r="AG501" s="4">
        <v>6000</v>
      </c>
      <c r="AH501" s="4">
        <v>20400</v>
      </c>
      <c r="AI501" t="s">
        <v>73</v>
      </c>
      <c r="AJ501" t="s">
        <v>73</v>
      </c>
      <c r="AK501" t="s">
        <v>509</v>
      </c>
      <c r="AL501">
        <v>70</v>
      </c>
      <c r="AM501">
        <v>4.49132</v>
      </c>
      <c r="AN501" t="s">
        <v>73</v>
      </c>
      <c r="AO501" t="s">
        <v>198</v>
      </c>
      <c r="AP501" s="5">
        <v>45077</v>
      </c>
      <c r="AQ501" t="s">
        <v>96</v>
      </c>
      <c r="AR501" s="5">
        <v>45120</v>
      </c>
      <c r="AS501">
        <v>128.27956900990171</v>
      </c>
      <c r="AT501" s="6"/>
      <c r="AU501">
        <v>62.181166070971088</v>
      </c>
      <c r="AV501">
        <v>69.09374805683855</v>
      </c>
      <c r="AW501">
        <v>21.683802552412519</v>
      </c>
      <c r="AX501">
        <v>152.95871668022215</v>
      </c>
      <c r="AY501">
        <v>15.035780286580556</v>
      </c>
      <c r="AZ501">
        <v>50.138180230866226</v>
      </c>
      <c r="BA501">
        <v>35.57016149692452</v>
      </c>
      <c r="BB501">
        <v>6.3362832078517402</v>
      </c>
      <c r="BC501">
        <v>18.075486691986832</v>
      </c>
      <c r="BD501">
        <v>125.15589191420987</v>
      </c>
      <c r="BE501">
        <v>-149.83503958453031</v>
      </c>
      <c r="BF501">
        <v>5.212678242312542</v>
      </c>
      <c r="BH501">
        <v>5.212678242312542</v>
      </c>
      <c r="BI501">
        <v>283.32728683674458</v>
      </c>
      <c r="BJ501" s="6">
        <v>150</v>
      </c>
      <c r="BK501">
        <v>-155.04771782684284</v>
      </c>
      <c r="BL501" s="4">
        <v>-1246.7417999999998</v>
      </c>
      <c r="BM501" t="s">
        <v>510</v>
      </c>
      <c r="BN501" t="s">
        <v>65</v>
      </c>
      <c r="BO501">
        <v>7</v>
      </c>
      <c r="BP501">
        <v>2023</v>
      </c>
      <c r="BQ501" t="str">
        <f t="shared" si="36"/>
        <v>Bo Thong7</v>
      </c>
      <c r="BR501">
        <f t="shared" si="37"/>
        <v>-1072.0873799999997</v>
      </c>
      <c r="BS501">
        <f t="shared" si="38"/>
        <v>1031.4985799999997</v>
      </c>
      <c r="BT501" s="6">
        <f t="shared" si="39"/>
        <v>-133.32728683674458</v>
      </c>
    </row>
    <row r="502" spans="1:72">
      <c r="A502" s="3" t="s">
        <v>113</v>
      </c>
      <c r="B502" s="3" t="s">
        <v>408</v>
      </c>
      <c r="C502" s="3" t="s">
        <v>449</v>
      </c>
      <c r="D502" s="2" t="s">
        <v>472</v>
      </c>
      <c r="E502" s="4" t="str">
        <f t="shared" si="35"/>
        <v>BangsakaoDG-005-0025</v>
      </c>
      <c r="F502">
        <v>2</v>
      </c>
      <c r="G502">
        <v>1.5</v>
      </c>
      <c r="H502" t="s">
        <v>72</v>
      </c>
      <c r="I502" t="s">
        <v>67</v>
      </c>
      <c r="J502" t="s">
        <v>68</v>
      </c>
      <c r="K502" t="s">
        <v>89</v>
      </c>
      <c r="L502" t="s">
        <v>89</v>
      </c>
      <c r="M502">
        <v>1.1597211660329532</v>
      </c>
      <c r="N502" s="5">
        <v>44950</v>
      </c>
      <c r="O502" s="5">
        <v>44971</v>
      </c>
      <c r="P502">
        <v>0.9</v>
      </c>
      <c r="Q502" s="4">
        <v>188</v>
      </c>
      <c r="R502">
        <v>0.55000000000000004</v>
      </c>
      <c r="S502" t="s">
        <v>70</v>
      </c>
      <c r="T502" s="6">
        <v>5</v>
      </c>
      <c r="U502" s="5">
        <v>45076</v>
      </c>
      <c r="V502" s="6">
        <v>1</v>
      </c>
      <c r="W502" t="s">
        <v>86</v>
      </c>
      <c r="X502" s="6">
        <v>105</v>
      </c>
      <c r="Y502">
        <v>21.881790000000002</v>
      </c>
      <c r="Z502">
        <v>10.940895000000001</v>
      </c>
      <c r="AA502" s="6">
        <v>27.485731286151633</v>
      </c>
      <c r="AB502" s="4">
        <v>66.826333333333338</v>
      </c>
      <c r="AC502" s="6">
        <v>36.382513879259179</v>
      </c>
      <c r="AD502">
        <v>0.44827664400000006</v>
      </c>
      <c r="AE502">
        <v>1.8445862445767061</v>
      </c>
      <c r="AF502">
        <v>39450</v>
      </c>
      <c r="AG502" s="4">
        <v>10049</v>
      </c>
      <c r="AH502" s="4">
        <v>45751</v>
      </c>
      <c r="AL502">
        <v>21</v>
      </c>
      <c r="AM502">
        <v>10.9908</v>
      </c>
      <c r="AN502" t="s">
        <v>81</v>
      </c>
      <c r="AO502" t="s">
        <v>123</v>
      </c>
      <c r="AP502" s="5">
        <v>44971</v>
      </c>
      <c r="AQ502" t="s">
        <v>144</v>
      </c>
      <c r="AR502" s="5">
        <v>45074</v>
      </c>
      <c r="AS502">
        <v>255.47030613126256</v>
      </c>
      <c r="AT502" s="6"/>
      <c r="AU502">
        <v>18.508540663263837</v>
      </c>
      <c r="AV502">
        <v>64.170475084533763</v>
      </c>
      <c r="AW502">
        <v>23.771274653490412</v>
      </c>
      <c r="AX502">
        <v>106.450290401288</v>
      </c>
      <c r="AY502">
        <v>16.838233069598054</v>
      </c>
      <c r="AZ502">
        <v>28.153651506572359</v>
      </c>
      <c r="BA502">
        <v>3.5039935032737275</v>
      </c>
      <c r="BB502">
        <v>8.5341944146251283</v>
      </c>
      <c r="BC502">
        <v>13.999188823217846</v>
      </c>
      <c r="BD502">
        <v>71.029261317287123</v>
      </c>
      <c r="BE502">
        <v>77.990754412687423</v>
      </c>
      <c r="BF502">
        <v>11.443591223569916</v>
      </c>
      <c r="BH502">
        <v>11.443591223569916</v>
      </c>
      <c r="BI502">
        <v>188.92314294214506</v>
      </c>
      <c r="BJ502" s="6">
        <v>207</v>
      </c>
      <c r="BK502">
        <v>66.547163189117498</v>
      </c>
      <c r="BL502" s="4">
        <v>1456.1710499999992</v>
      </c>
      <c r="BM502" t="s">
        <v>473</v>
      </c>
      <c r="BN502" t="s">
        <v>65</v>
      </c>
      <c r="BO502">
        <v>5</v>
      </c>
      <c r="BP502">
        <v>2023</v>
      </c>
      <c r="BQ502" t="str">
        <f t="shared" si="36"/>
        <v>Bangsakao5</v>
      </c>
      <c r="BR502">
        <f t="shared" si="37"/>
        <v>395.5539899999996</v>
      </c>
      <c r="BS502">
        <f t="shared" si="38"/>
        <v>5590.1475900000005</v>
      </c>
      <c r="BT502" s="6">
        <f t="shared" si="39"/>
        <v>18.076857057854937</v>
      </c>
    </row>
    <row r="503" spans="1:72">
      <c r="A503" s="3" t="s">
        <v>113</v>
      </c>
      <c r="B503" s="3" t="s">
        <v>408</v>
      </c>
      <c r="C503" s="3" t="s">
        <v>449</v>
      </c>
      <c r="D503" s="2" t="s">
        <v>468</v>
      </c>
      <c r="E503" s="4" t="str">
        <f t="shared" si="35"/>
        <v>BangsakaoDG-002-0025</v>
      </c>
      <c r="F503">
        <v>2</v>
      </c>
      <c r="G503">
        <v>1.5</v>
      </c>
      <c r="H503" t="s">
        <v>72</v>
      </c>
      <c r="I503" t="s">
        <v>67</v>
      </c>
      <c r="J503" t="s">
        <v>68</v>
      </c>
      <c r="K503" t="s">
        <v>89</v>
      </c>
      <c r="L503" t="s">
        <v>89</v>
      </c>
      <c r="M503">
        <v>1.1116078900179318</v>
      </c>
      <c r="N503" s="5">
        <v>45000</v>
      </c>
      <c r="O503" s="5">
        <v>45020</v>
      </c>
      <c r="P503">
        <v>0.9</v>
      </c>
      <c r="Q503" s="4">
        <v>188</v>
      </c>
      <c r="R503">
        <v>0.65</v>
      </c>
      <c r="S503" t="s">
        <v>70</v>
      </c>
      <c r="T503" s="6">
        <v>4</v>
      </c>
      <c r="U503" s="5">
        <v>45140</v>
      </c>
      <c r="V503" s="6">
        <v>1</v>
      </c>
      <c r="W503" t="s">
        <v>86</v>
      </c>
      <c r="X503" s="6">
        <v>120.00000000000001</v>
      </c>
      <c r="Y503">
        <v>19.463540000000002</v>
      </c>
      <c r="Z503">
        <v>9.7317700000000009</v>
      </c>
      <c r="AA503" s="6">
        <v>30.04330147547671</v>
      </c>
      <c r="AB503" s="4">
        <v>64.972111111111104</v>
      </c>
      <c r="AC503" s="6">
        <v>33.285289927815185</v>
      </c>
      <c r="AD503">
        <v>0.41125</v>
      </c>
      <c r="AE503">
        <v>2.2154785274708741</v>
      </c>
      <c r="AF503">
        <v>41825</v>
      </c>
      <c r="AG503" s="4">
        <v>11310</v>
      </c>
      <c r="AH503" s="4">
        <v>46493</v>
      </c>
      <c r="AL503">
        <v>20</v>
      </c>
      <c r="AM503">
        <v>8.6562800000000006</v>
      </c>
      <c r="AN503" t="s">
        <v>81</v>
      </c>
      <c r="AO503" t="s">
        <v>127</v>
      </c>
      <c r="AP503" s="5">
        <v>45020</v>
      </c>
      <c r="AQ503" t="s">
        <v>438</v>
      </c>
      <c r="AR503" s="5">
        <v>45139</v>
      </c>
      <c r="AS503">
        <v>213.08117433930315</v>
      </c>
      <c r="AT503" s="6"/>
      <c r="AU503">
        <v>23.120151832605991</v>
      </c>
      <c r="AV503">
        <v>68.345871306041929</v>
      </c>
      <c r="AW503">
        <v>32.311000465485733</v>
      </c>
      <c r="AX503">
        <v>123.77702360413366</v>
      </c>
      <c r="AY503">
        <v>22.639331283004019</v>
      </c>
      <c r="AZ503">
        <v>32.509347734276496</v>
      </c>
      <c r="BA503">
        <v>3.1924850258483293</v>
      </c>
      <c r="BB503">
        <v>12.946862698152547</v>
      </c>
      <c r="BC503">
        <v>16.112473887072955</v>
      </c>
      <c r="BD503">
        <v>87.400500628354351</v>
      </c>
      <c r="BE503">
        <v>1.9036501068151352</v>
      </c>
      <c r="BF503">
        <v>14.960529790572526</v>
      </c>
      <c r="BH503">
        <v>14.960529790572526</v>
      </c>
      <c r="BI503">
        <v>226.13805402306053</v>
      </c>
      <c r="BJ503" s="6">
        <v>197</v>
      </c>
      <c r="BK503">
        <v>-13.056879683757382</v>
      </c>
      <c r="BL503" s="4">
        <v>-254.13309999999916</v>
      </c>
      <c r="BM503" t="s">
        <v>469</v>
      </c>
      <c r="BN503" t="s">
        <v>65</v>
      </c>
      <c r="BO503">
        <v>8</v>
      </c>
      <c r="BP503">
        <v>2023</v>
      </c>
      <c r="BQ503" t="str">
        <f t="shared" si="36"/>
        <v>Bangsakao8</v>
      </c>
      <c r="BR503">
        <f t="shared" si="37"/>
        <v>-567.12967999999967</v>
      </c>
      <c r="BS503">
        <f t="shared" si="38"/>
        <v>4147.3139600000004</v>
      </c>
      <c r="BT503" s="6">
        <f t="shared" si="39"/>
        <v>-29.138054023060533</v>
      </c>
    </row>
    <row r="504" spans="1:72">
      <c r="A504" s="3" t="s">
        <v>113</v>
      </c>
      <c r="B504" s="3" t="s">
        <v>408</v>
      </c>
      <c r="C504" s="3" t="s">
        <v>449</v>
      </c>
      <c r="D504" s="2" t="s">
        <v>466</v>
      </c>
      <c r="E504" s="4" t="str">
        <f t="shared" si="35"/>
        <v>BangsakaoDG-004-0023</v>
      </c>
      <c r="F504">
        <v>2</v>
      </c>
      <c r="G504">
        <v>1.7</v>
      </c>
      <c r="H504" t="s">
        <v>72</v>
      </c>
      <c r="I504" t="s">
        <v>67</v>
      </c>
      <c r="J504" t="s">
        <v>68</v>
      </c>
      <c r="K504" t="s">
        <v>89</v>
      </c>
      <c r="L504" t="s">
        <v>89</v>
      </c>
      <c r="M504">
        <v>1.091043771043771</v>
      </c>
      <c r="N504" s="5">
        <v>44970</v>
      </c>
      <c r="O504" s="5">
        <v>44994</v>
      </c>
      <c r="P504">
        <v>1</v>
      </c>
      <c r="Q504" s="4">
        <v>184</v>
      </c>
      <c r="R504">
        <v>0.59899999999999998</v>
      </c>
      <c r="S504" t="s">
        <v>70</v>
      </c>
      <c r="T504" s="6">
        <v>6</v>
      </c>
      <c r="U504" s="5">
        <v>45106</v>
      </c>
      <c r="V504" s="6">
        <v>1</v>
      </c>
      <c r="W504" t="s">
        <v>86</v>
      </c>
      <c r="X504" s="6">
        <v>111.99999999999999</v>
      </c>
      <c r="Y504">
        <v>22.471979999999999</v>
      </c>
      <c r="Z504">
        <v>11.235989999999999</v>
      </c>
      <c r="AA504" s="6">
        <v>30.684078572515642</v>
      </c>
      <c r="AB504" s="4">
        <v>68.95320000000001</v>
      </c>
      <c r="AC504" s="6">
        <v>32.590191608221225</v>
      </c>
      <c r="AD504">
        <v>0.40049594199999999</v>
      </c>
      <c r="AE504">
        <v>2.0367967564868894</v>
      </c>
      <c r="AF504">
        <v>44550</v>
      </c>
      <c r="AG504" s="4">
        <v>9148</v>
      </c>
      <c r="AH504" s="4">
        <v>48606</v>
      </c>
      <c r="AL504">
        <v>22</v>
      </c>
      <c r="AM504">
        <v>9.9208999999999996</v>
      </c>
      <c r="AN504" t="s">
        <v>81</v>
      </c>
      <c r="AO504" t="s">
        <v>144</v>
      </c>
      <c r="AP504" s="5">
        <v>44994</v>
      </c>
      <c r="AQ504" t="s">
        <v>189</v>
      </c>
      <c r="AR504" s="5">
        <v>45105</v>
      </c>
      <c r="AS504">
        <v>224.03723659419424</v>
      </c>
      <c r="AT504" s="6"/>
      <c r="AU504">
        <v>20.024937722443685</v>
      </c>
      <c r="AV504">
        <v>66.872329007056777</v>
      </c>
      <c r="AW504">
        <v>26.996851634791405</v>
      </c>
      <c r="AX504">
        <v>113.89411836429187</v>
      </c>
      <c r="AY504">
        <v>18.361003347279592</v>
      </c>
      <c r="AZ504">
        <v>28.738854342162998</v>
      </c>
      <c r="BA504">
        <v>3.341837256886131</v>
      </c>
      <c r="BB504">
        <v>10.416913863397884</v>
      </c>
      <c r="BC504">
        <v>14.787934129524862</v>
      </c>
      <c r="BD504">
        <v>75.646542939251475</v>
      </c>
      <c r="BE504">
        <v>34.496575290650895</v>
      </c>
      <c r="BF504">
        <v>12.489631087247316</v>
      </c>
      <c r="BH504">
        <v>12.489631087247316</v>
      </c>
      <c r="BI504">
        <v>202.03029239079063</v>
      </c>
      <c r="BJ504" s="6">
        <v>197</v>
      </c>
      <c r="BK504">
        <v>22.006944203403584</v>
      </c>
      <c r="BL504" s="4">
        <v>494.53961000000129</v>
      </c>
      <c r="BM504" t="s">
        <v>467</v>
      </c>
      <c r="BN504" t="s">
        <v>65</v>
      </c>
      <c r="BO504">
        <v>6</v>
      </c>
      <c r="BP504">
        <v>2023</v>
      </c>
      <c r="BQ504" t="str">
        <f t="shared" si="36"/>
        <v>Bangsakao6</v>
      </c>
      <c r="BR504">
        <f t="shared" si="37"/>
        <v>-113.04062999999933</v>
      </c>
      <c r="BS504">
        <f t="shared" si="38"/>
        <v>5034.560300000001</v>
      </c>
      <c r="BT504" s="6">
        <f t="shared" si="39"/>
        <v>-5.0302923907906347</v>
      </c>
    </row>
    <row r="505" spans="1:72">
      <c r="A505" s="3" t="s">
        <v>113</v>
      </c>
      <c r="B505" s="3" t="s">
        <v>408</v>
      </c>
      <c r="C505" s="3" t="s">
        <v>449</v>
      </c>
      <c r="D505" s="2" t="s">
        <v>462</v>
      </c>
      <c r="E505" s="4" t="str">
        <f t="shared" si="35"/>
        <v>BangsakaoDG-003-0025</v>
      </c>
      <c r="F505">
        <v>1.9</v>
      </c>
      <c r="G505">
        <v>1.5</v>
      </c>
      <c r="H505" t="s">
        <v>72</v>
      </c>
      <c r="I505" t="s">
        <v>67</v>
      </c>
      <c r="J505" t="s">
        <v>68</v>
      </c>
      <c r="K505" t="s">
        <v>89</v>
      </c>
      <c r="L505" t="s">
        <v>89</v>
      </c>
      <c r="M505">
        <v>1.0738461538461539</v>
      </c>
      <c r="N505" s="5">
        <v>44962</v>
      </c>
      <c r="O505" s="5">
        <v>44989</v>
      </c>
      <c r="P505">
        <v>1</v>
      </c>
      <c r="Q505" s="4">
        <v>219</v>
      </c>
      <c r="R505">
        <v>0.55000000000000004</v>
      </c>
      <c r="S505" t="s">
        <v>70</v>
      </c>
      <c r="T505" s="6">
        <v>6</v>
      </c>
      <c r="U505" s="5">
        <v>45113</v>
      </c>
      <c r="V505" s="6">
        <v>1</v>
      </c>
      <c r="W505" t="s">
        <v>86</v>
      </c>
      <c r="X505" s="6">
        <v>123.99999999999999</v>
      </c>
      <c r="Y505">
        <v>21.80368</v>
      </c>
      <c r="Z505">
        <v>11.475621052631579</v>
      </c>
      <c r="AA505" s="6">
        <v>31.736890286410368</v>
      </c>
      <c r="AB505" s="4">
        <v>69.198099999999997</v>
      </c>
      <c r="AC505" s="6">
        <v>31.509073225998979</v>
      </c>
      <c r="AD505">
        <v>0.37958909400000002</v>
      </c>
      <c r="AE505">
        <v>2.1408057334071087</v>
      </c>
      <c r="AF505">
        <v>45500</v>
      </c>
      <c r="AG505" s="4">
        <v>11523</v>
      </c>
      <c r="AH505" s="4">
        <v>48860</v>
      </c>
      <c r="AL505">
        <v>21</v>
      </c>
      <c r="AM505">
        <v>9.5750799999999998</v>
      </c>
      <c r="AN505" t="s">
        <v>81</v>
      </c>
      <c r="AO505" t="s">
        <v>116</v>
      </c>
      <c r="AP505" s="5">
        <v>44989</v>
      </c>
      <c r="AQ505" t="s">
        <v>108</v>
      </c>
      <c r="AR505" s="5">
        <v>45112</v>
      </c>
      <c r="AS505">
        <v>222.16810602613867</v>
      </c>
      <c r="AT505" s="6"/>
      <c r="AU505">
        <v>20.638717867809468</v>
      </c>
      <c r="AV505">
        <v>70.300477717522909</v>
      </c>
      <c r="AW505">
        <v>35.826459570127604</v>
      </c>
      <c r="AX505">
        <v>126.76565515545998</v>
      </c>
      <c r="AY505">
        <v>20.112395705679042</v>
      </c>
      <c r="AZ505">
        <v>30.890012144738868</v>
      </c>
      <c r="BA505">
        <v>3.498498418615573</v>
      </c>
      <c r="BB505">
        <v>11.116918336721136</v>
      </c>
      <c r="BC505">
        <v>15.977171743485499</v>
      </c>
      <c r="BD505">
        <v>81.59499634924012</v>
      </c>
      <c r="BE505">
        <v>13.807454521438572</v>
      </c>
      <c r="BF505">
        <v>13.610569408466828</v>
      </c>
      <c r="BH505">
        <v>13.610569408466828</v>
      </c>
      <c r="BI505">
        <v>221.97122091316695</v>
      </c>
      <c r="BJ505" s="6">
        <v>194</v>
      </c>
      <c r="BK505">
        <v>0.19688511297172617</v>
      </c>
      <c r="BL505" s="4">
        <v>4.2928199999993666</v>
      </c>
      <c r="BM505" t="s">
        <v>463</v>
      </c>
      <c r="BN505" t="s">
        <v>65</v>
      </c>
      <c r="BO505">
        <v>7</v>
      </c>
      <c r="BP505">
        <v>2023</v>
      </c>
      <c r="BQ505" t="str">
        <f t="shared" si="36"/>
        <v>Bangsakao7</v>
      </c>
      <c r="BR505">
        <f t="shared" si="37"/>
        <v>-609.87554999999986</v>
      </c>
      <c r="BS505">
        <f t="shared" si="38"/>
        <v>4844.0822899999994</v>
      </c>
      <c r="BT505" s="6">
        <f t="shared" si="39"/>
        <v>-27.971220913166945</v>
      </c>
    </row>
    <row r="506" spans="1:72">
      <c r="A506" s="3" t="s">
        <v>113</v>
      </c>
      <c r="B506" s="3" t="s">
        <v>408</v>
      </c>
      <c r="C506" s="3" t="s">
        <v>449</v>
      </c>
      <c r="D506" s="2" t="s">
        <v>458</v>
      </c>
      <c r="E506" s="4" t="str">
        <f t="shared" si="35"/>
        <v>BangsakaoDG-005-0024</v>
      </c>
      <c r="F506">
        <v>2</v>
      </c>
      <c r="G506">
        <v>1.5</v>
      </c>
      <c r="H506" t="s">
        <v>72</v>
      </c>
      <c r="I506" t="s">
        <v>67</v>
      </c>
      <c r="J506" t="s">
        <v>68</v>
      </c>
      <c r="K506" t="s">
        <v>89</v>
      </c>
      <c r="L506" t="s">
        <v>89</v>
      </c>
      <c r="M506">
        <v>1.4108346456692913</v>
      </c>
      <c r="N506" s="5">
        <v>44805</v>
      </c>
      <c r="O506" s="5">
        <v>44835</v>
      </c>
      <c r="P506">
        <v>0.8</v>
      </c>
      <c r="Q506" s="4">
        <v>167</v>
      </c>
      <c r="R506">
        <v>0.5</v>
      </c>
      <c r="S506" t="s">
        <v>70</v>
      </c>
      <c r="T506" s="6">
        <v>4</v>
      </c>
      <c r="U506" s="5">
        <v>44949</v>
      </c>
      <c r="V506" s="6">
        <v>1</v>
      </c>
      <c r="W506" t="s">
        <v>86</v>
      </c>
      <c r="X506" s="6">
        <v>114</v>
      </c>
      <c r="Y506">
        <v>18.253799999999998</v>
      </c>
      <c r="Z506">
        <v>9.1268999999999991</v>
      </c>
      <c r="AA506" s="6">
        <v>32.013498559204109</v>
      </c>
      <c r="AB506" s="4">
        <v>73.046000000000006</v>
      </c>
      <c r="AC506" s="6">
        <v>31.236823371574079</v>
      </c>
      <c r="AD506">
        <v>0.37700228800000002</v>
      </c>
      <c r="AE506">
        <v>1.7783329039196138</v>
      </c>
      <c r="AF506">
        <v>31750</v>
      </c>
      <c r="AG506" s="4">
        <v>8018</v>
      </c>
      <c r="AH506" s="4">
        <v>44794</v>
      </c>
      <c r="AL506">
        <v>23</v>
      </c>
      <c r="AM506">
        <v>10.67942</v>
      </c>
      <c r="AN506" t="s">
        <v>81</v>
      </c>
      <c r="AO506" t="s">
        <v>90</v>
      </c>
      <c r="AP506" s="5">
        <v>44835</v>
      </c>
      <c r="AQ506" t="s">
        <v>136</v>
      </c>
      <c r="AR506" s="5">
        <v>44948</v>
      </c>
      <c r="AS506">
        <v>272.19138809453369</v>
      </c>
      <c r="AT506" s="6"/>
      <c r="AU506">
        <v>19.72192091509713</v>
      </c>
      <c r="AV506">
        <v>58.482867129036137</v>
      </c>
      <c r="AW506">
        <v>30.410283886094959</v>
      </c>
      <c r="AX506">
        <v>108.61507193022823</v>
      </c>
      <c r="AY506">
        <v>22.00864313184104</v>
      </c>
      <c r="AZ506">
        <v>31.024876464078709</v>
      </c>
      <c r="BA506">
        <v>3.8640748775597413</v>
      </c>
      <c r="BB506">
        <v>8.9967283524526405</v>
      </c>
      <c r="BC506">
        <v>16.976563783979227</v>
      </c>
      <c r="BD506">
        <v>82.870886609911366</v>
      </c>
      <c r="BE506">
        <v>80.705429554394101</v>
      </c>
      <c r="BF506">
        <v>15.612625316372482</v>
      </c>
      <c r="BH506">
        <v>15.612625316372482</v>
      </c>
      <c r="BI506">
        <v>207.09858385651205</v>
      </c>
      <c r="BJ506" s="6">
        <v>192</v>
      </c>
      <c r="BK506">
        <v>65.092804238021657</v>
      </c>
      <c r="BL506" s="4">
        <v>1188.1910299999997</v>
      </c>
      <c r="BM506" t="s">
        <v>459</v>
      </c>
      <c r="BN506" t="s">
        <v>65</v>
      </c>
      <c r="BO506">
        <v>1</v>
      </c>
      <c r="BP506">
        <v>2023</v>
      </c>
      <c r="BQ506" t="str">
        <f t="shared" si="36"/>
        <v>Bangsakao1</v>
      </c>
      <c r="BR506">
        <f t="shared" si="37"/>
        <v>-275.60652999999962</v>
      </c>
      <c r="BS506">
        <f t="shared" si="38"/>
        <v>4968.5271599999987</v>
      </c>
      <c r="BT506" s="6">
        <f t="shared" si="39"/>
        <v>-15.09858385651205</v>
      </c>
    </row>
    <row r="507" spans="1:72">
      <c r="A507" s="3" t="s">
        <v>113</v>
      </c>
      <c r="B507" s="3" t="s">
        <v>408</v>
      </c>
      <c r="C507" s="3" t="s">
        <v>449</v>
      </c>
      <c r="D507" s="2" t="s">
        <v>451</v>
      </c>
      <c r="E507" s="4" t="str">
        <f t="shared" si="35"/>
        <v>BangsakaoDG-006-0026</v>
      </c>
      <c r="F507">
        <v>2</v>
      </c>
      <c r="G507">
        <v>1.5</v>
      </c>
      <c r="H507" t="s">
        <v>72</v>
      </c>
      <c r="I507" t="s">
        <v>67</v>
      </c>
      <c r="J507" t="s">
        <v>68</v>
      </c>
      <c r="K507" t="s">
        <v>89</v>
      </c>
      <c r="L507" t="s">
        <v>89</v>
      </c>
      <c r="M507">
        <v>1.1660041407867494</v>
      </c>
      <c r="N507" s="5">
        <v>44989</v>
      </c>
      <c r="O507" s="5">
        <v>45008</v>
      </c>
      <c r="P507">
        <v>0.9</v>
      </c>
      <c r="Q507" s="4">
        <v>188</v>
      </c>
      <c r="R507">
        <v>0.45</v>
      </c>
      <c r="S507" t="s">
        <v>70</v>
      </c>
      <c r="T507" s="6">
        <v>2</v>
      </c>
      <c r="U507" s="5">
        <v>45080</v>
      </c>
      <c r="V507" s="6">
        <v>2</v>
      </c>
      <c r="W507" t="s">
        <v>71</v>
      </c>
      <c r="X507" s="6">
        <v>72</v>
      </c>
      <c r="Y507">
        <v>12.182879999999999</v>
      </c>
      <c r="Z507">
        <v>6.0914399999999995</v>
      </c>
      <c r="AA507" s="6">
        <v>41.870969754278136</v>
      </c>
      <c r="AB507" s="4">
        <v>56.678777777777775</v>
      </c>
      <c r="AC507" s="6">
        <v>23.882895616427078</v>
      </c>
      <c r="AD507">
        <v>0.36912537499999998</v>
      </c>
      <c r="AE507">
        <v>2.0504330106979114</v>
      </c>
      <c r="AF507">
        <v>24150</v>
      </c>
      <c r="AG507" s="4">
        <v>9922</v>
      </c>
      <c r="AH507" s="4">
        <v>28159</v>
      </c>
      <c r="AL507">
        <v>37</v>
      </c>
      <c r="AM507">
        <v>9.3469200000000008</v>
      </c>
      <c r="AN507" t="s">
        <v>73</v>
      </c>
      <c r="AO507" t="s">
        <v>127</v>
      </c>
      <c r="AP507" s="5">
        <v>45008</v>
      </c>
      <c r="AQ507" t="s">
        <v>116</v>
      </c>
      <c r="AR507" s="5">
        <v>45080</v>
      </c>
      <c r="AS507">
        <v>158.79617463194253</v>
      </c>
      <c r="AT507" s="6"/>
      <c r="AU507">
        <v>33.243371025570319</v>
      </c>
      <c r="AV507">
        <v>67.674745216237838</v>
      </c>
      <c r="AW507">
        <v>34.159632205192857</v>
      </c>
      <c r="AX507">
        <v>135.077748447001</v>
      </c>
      <c r="AY507">
        <v>21.730990537541206</v>
      </c>
      <c r="AZ507">
        <v>37.31944581248441</v>
      </c>
      <c r="BA507">
        <v>5.008463516015917</v>
      </c>
      <c r="BB507">
        <v>13.15272497143533</v>
      </c>
      <c r="BC507">
        <v>18.183114337496555</v>
      </c>
      <c r="BD507">
        <v>95.394739174973409</v>
      </c>
      <c r="BE507">
        <v>-71.676312990031875</v>
      </c>
      <c r="BF507">
        <v>14.704965492560051</v>
      </c>
      <c r="BH507">
        <v>14.704965492560051</v>
      </c>
      <c r="BI507">
        <v>245.17745311453453</v>
      </c>
      <c r="BJ507" s="6">
        <v>181</v>
      </c>
      <c r="BK507">
        <v>-86.381278482591995</v>
      </c>
      <c r="BL507" s="4">
        <v>-1052.3727500000002</v>
      </c>
      <c r="BM507" t="s">
        <v>452</v>
      </c>
      <c r="BN507" t="s">
        <v>65</v>
      </c>
      <c r="BO507">
        <v>6</v>
      </c>
      <c r="BP507">
        <v>2023</v>
      </c>
      <c r="BQ507" t="str">
        <f t="shared" si="36"/>
        <v>Bangsakao6</v>
      </c>
      <c r="BR507">
        <f t="shared" si="37"/>
        <v>-781.86621000000036</v>
      </c>
      <c r="BS507">
        <f t="shared" si="38"/>
        <v>1934.59474</v>
      </c>
      <c r="BT507" s="6">
        <f t="shared" si="39"/>
        <v>-64.177453114534529</v>
      </c>
    </row>
    <row r="508" spans="1:72">
      <c r="A508" s="3" t="s">
        <v>113</v>
      </c>
      <c r="B508" s="3" t="s">
        <v>408</v>
      </c>
      <c r="C508" s="3" t="s">
        <v>449</v>
      </c>
      <c r="D508" s="2" t="s">
        <v>456</v>
      </c>
      <c r="E508" s="4" t="str">
        <f t="shared" si="35"/>
        <v>BangsakaoDG-004-0022</v>
      </c>
      <c r="F508">
        <v>2</v>
      </c>
      <c r="G508">
        <v>1.5</v>
      </c>
      <c r="H508" t="s">
        <v>72</v>
      </c>
      <c r="I508" t="s">
        <v>67</v>
      </c>
      <c r="J508" t="s">
        <v>68</v>
      </c>
      <c r="K508" t="s">
        <v>89</v>
      </c>
      <c r="L508" t="s">
        <v>89</v>
      </c>
      <c r="M508">
        <v>1.4128220858895706</v>
      </c>
      <c r="N508" s="5">
        <v>44811</v>
      </c>
      <c r="O508" s="5">
        <v>44850</v>
      </c>
      <c r="P508">
        <v>0.8</v>
      </c>
      <c r="Q508" s="4">
        <v>167</v>
      </c>
      <c r="R508">
        <v>0.25</v>
      </c>
      <c r="S508" t="s">
        <v>70</v>
      </c>
      <c r="T508" s="6">
        <v>6</v>
      </c>
      <c r="U508" s="5">
        <v>44969</v>
      </c>
      <c r="V508" s="6">
        <v>1</v>
      </c>
      <c r="W508" t="s">
        <v>86</v>
      </c>
      <c r="X508" s="6">
        <v>119</v>
      </c>
      <c r="Y508">
        <v>19.7485</v>
      </c>
      <c r="Z508">
        <v>9.87425</v>
      </c>
      <c r="AA508" s="6">
        <v>32.083297465630302</v>
      </c>
      <c r="AB508" s="4">
        <v>79.199624999999997</v>
      </c>
      <c r="AC508" s="6">
        <v>31.168866014201456</v>
      </c>
      <c r="AD508">
        <v>0.363262696</v>
      </c>
      <c r="AE508">
        <v>1.667647134051206</v>
      </c>
      <c r="AF508">
        <v>32600</v>
      </c>
      <c r="AG508" s="4">
        <v>13630</v>
      </c>
      <c r="AH508" s="4">
        <v>46058</v>
      </c>
      <c r="AL508">
        <v>23</v>
      </c>
      <c r="AM508">
        <v>10.152040000000001</v>
      </c>
      <c r="AN508" t="s">
        <v>81</v>
      </c>
      <c r="AO508" t="s">
        <v>105</v>
      </c>
      <c r="AP508" s="5">
        <v>44851</v>
      </c>
      <c r="AQ508" t="s">
        <v>131</v>
      </c>
      <c r="AR508" s="5">
        <v>44968</v>
      </c>
      <c r="AS508">
        <v>277.87677545130009</v>
      </c>
      <c r="AT508" s="6"/>
      <c r="AU508">
        <v>16.203762311061595</v>
      </c>
      <c r="AV508">
        <v>56.141372256120711</v>
      </c>
      <c r="AW508">
        <v>29.274833025293074</v>
      </c>
      <c r="AX508">
        <v>101.61996759247539</v>
      </c>
      <c r="AY508">
        <v>22.396959262728821</v>
      </c>
      <c r="AZ508">
        <v>32.509212851608972</v>
      </c>
      <c r="BA508">
        <v>3.7854788971314286</v>
      </c>
      <c r="BB508">
        <v>8.7184940628402146</v>
      </c>
      <c r="BC508">
        <v>17.327747930222547</v>
      </c>
      <c r="BD508">
        <v>84.737893004531998</v>
      </c>
      <c r="BE508">
        <v>91.518914854292689</v>
      </c>
      <c r="BF508">
        <v>15.932111299592373</v>
      </c>
      <c r="BH508">
        <v>15.932111299592373</v>
      </c>
      <c r="BI508">
        <v>202.2899718965997</v>
      </c>
      <c r="BJ508" s="6">
        <v>192</v>
      </c>
      <c r="BK508">
        <v>75.586803554700396</v>
      </c>
      <c r="BL508" s="4">
        <v>1492.7259900000006</v>
      </c>
      <c r="BM508" t="s">
        <v>457</v>
      </c>
      <c r="BN508" t="s">
        <v>65</v>
      </c>
      <c r="BO508">
        <v>2</v>
      </c>
      <c r="BP508">
        <v>2023</v>
      </c>
      <c r="BQ508" t="str">
        <f t="shared" si="36"/>
        <v>Bangsakao2</v>
      </c>
      <c r="BR508">
        <f t="shared" si="37"/>
        <v>-203.21150999999909</v>
      </c>
      <c r="BS508">
        <f t="shared" si="38"/>
        <v>5487.6494999999995</v>
      </c>
      <c r="BT508" s="6">
        <f t="shared" si="39"/>
        <v>-10.289971896599695</v>
      </c>
    </row>
    <row r="509" spans="1:72">
      <c r="A509" s="3" t="s">
        <v>113</v>
      </c>
      <c r="B509" s="3" t="s">
        <v>408</v>
      </c>
      <c r="C509" s="3" t="s">
        <v>449</v>
      </c>
      <c r="D509" s="2" t="s">
        <v>460</v>
      </c>
      <c r="E509" s="4" t="str">
        <f t="shared" si="35"/>
        <v>BangsakaoDG-006-0025</v>
      </c>
      <c r="F509">
        <v>2</v>
      </c>
      <c r="G509">
        <v>1.5</v>
      </c>
      <c r="H509" t="s">
        <v>72</v>
      </c>
      <c r="I509" t="s">
        <v>67</v>
      </c>
      <c r="J509" t="s">
        <v>68</v>
      </c>
      <c r="K509" t="s">
        <v>89</v>
      </c>
      <c r="L509" t="s">
        <v>89</v>
      </c>
      <c r="M509">
        <v>1.1640323584318606</v>
      </c>
      <c r="N509" s="5">
        <v>44839</v>
      </c>
      <c r="O509" s="5">
        <v>44869</v>
      </c>
      <c r="P509">
        <v>0.9</v>
      </c>
      <c r="Q509" s="4">
        <v>188</v>
      </c>
      <c r="R509">
        <v>0.5</v>
      </c>
      <c r="S509" t="s">
        <v>70</v>
      </c>
      <c r="T509" s="6">
        <v>5</v>
      </c>
      <c r="U509" s="5">
        <v>44988</v>
      </c>
      <c r="V509" s="6">
        <v>1</v>
      </c>
      <c r="W509" t="s">
        <v>86</v>
      </c>
      <c r="X509" s="6">
        <v>119</v>
      </c>
      <c r="Y509">
        <v>22.887540000000001</v>
      </c>
      <c r="Z509">
        <v>11.443770000000001</v>
      </c>
      <c r="AA509" s="6">
        <v>31.932920707074679</v>
      </c>
      <c r="AB509" s="4">
        <v>81.207333333333338</v>
      </c>
      <c r="AC509" s="6">
        <v>31.315644728308609</v>
      </c>
      <c r="AD509">
        <v>0.36116185600000006</v>
      </c>
      <c r="AE509">
        <v>1.7905260558866969</v>
      </c>
      <c r="AF509">
        <v>40175</v>
      </c>
      <c r="AG509" s="4">
        <v>10483</v>
      </c>
      <c r="AH509" s="4">
        <v>46765</v>
      </c>
      <c r="AL509">
        <v>23</v>
      </c>
      <c r="AM509">
        <v>12.64738</v>
      </c>
      <c r="AN509" t="s">
        <v>81</v>
      </c>
      <c r="AO509" t="s">
        <v>438</v>
      </c>
      <c r="AP509" s="5">
        <v>44870</v>
      </c>
      <c r="AQ509" t="s">
        <v>123</v>
      </c>
      <c r="AR509" s="5">
        <v>44987</v>
      </c>
      <c r="AS509">
        <v>276.7832742181991</v>
      </c>
      <c r="AT509" s="6"/>
      <c r="AU509">
        <v>17.695217572530726</v>
      </c>
      <c r="AV509">
        <v>60.948924611382417</v>
      </c>
      <c r="AW509">
        <v>24.351392504393225</v>
      </c>
      <c r="AX509">
        <v>102.99553468830636</v>
      </c>
      <c r="AY509">
        <v>18.359351420030286</v>
      </c>
      <c r="AZ509">
        <v>28.464599952637982</v>
      </c>
      <c r="BA509">
        <v>3.3445953562506068</v>
      </c>
      <c r="BB509">
        <v>7.1509598672465469</v>
      </c>
      <c r="BC509">
        <v>14.769368398700783</v>
      </c>
      <c r="BD509">
        <v>72.088874994866217</v>
      </c>
      <c r="BE509">
        <v>101.69886453502653</v>
      </c>
      <c r="BF509">
        <v>13.133075026848667</v>
      </c>
      <c r="BH509">
        <v>13.133075026848667</v>
      </c>
      <c r="BI509">
        <v>188.21748471002124</v>
      </c>
      <c r="BJ509" s="6">
        <v>192</v>
      </c>
      <c r="BK509">
        <v>88.565789508177843</v>
      </c>
      <c r="BL509" s="4">
        <v>2027.0530500000007</v>
      </c>
      <c r="BM509" t="s">
        <v>461</v>
      </c>
      <c r="BN509" t="s">
        <v>65</v>
      </c>
      <c r="BO509">
        <v>3</v>
      </c>
      <c r="BP509">
        <v>2023</v>
      </c>
      <c r="BQ509" t="str">
        <f t="shared" si="36"/>
        <v>Bangsakao3</v>
      </c>
      <c r="BR509">
        <f t="shared" si="37"/>
        <v>86.572470000000493</v>
      </c>
      <c r="BS509">
        <f t="shared" si="38"/>
        <v>6334.8882600000006</v>
      </c>
      <c r="BT509" s="6">
        <f t="shared" si="39"/>
        <v>3.7825152899787611</v>
      </c>
    </row>
    <row r="510" spans="1:72">
      <c r="A510" s="3" t="s">
        <v>113</v>
      </c>
      <c r="B510" s="3" t="s">
        <v>408</v>
      </c>
      <c r="C510" s="3" t="s">
        <v>449</v>
      </c>
      <c r="D510" s="2" t="s">
        <v>453</v>
      </c>
      <c r="E510" s="4" t="str">
        <f t="shared" si="35"/>
        <v>BangsakaoDG-001-0026</v>
      </c>
      <c r="F510">
        <v>2</v>
      </c>
      <c r="G510">
        <v>1.5</v>
      </c>
      <c r="H510" t="s">
        <v>72</v>
      </c>
      <c r="I510" t="s">
        <v>67</v>
      </c>
      <c r="J510" t="s">
        <v>68</v>
      </c>
      <c r="K510" t="s">
        <v>89</v>
      </c>
      <c r="L510" t="s">
        <v>89</v>
      </c>
      <c r="M510">
        <v>1.2696019496344435</v>
      </c>
      <c r="N510" s="5">
        <v>44805</v>
      </c>
      <c r="O510" s="5">
        <v>44828</v>
      </c>
      <c r="P510">
        <v>0.8</v>
      </c>
      <c r="Q510" s="4">
        <v>167</v>
      </c>
      <c r="R510">
        <v>0.32</v>
      </c>
      <c r="S510" t="s">
        <v>70</v>
      </c>
      <c r="T510" s="6">
        <v>6</v>
      </c>
      <c r="U510" s="5">
        <v>44939</v>
      </c>
      <c r="V510" s="6">
        <v>1</v>
      </c>
      <c r="W510" t="s">
        <v>86</v>
      </c>
      <c r="X510" s="6">
        <v>110.99999999999999</v>
      </c>
      <c r="Y510">
        <v>19.64798</v>
      </c>
      <c r="Z510">
        <v>9.8239900000000002</v>
      </c>
      <c r="AA510" s="6">
        <v>33.579635158423415</v>
      </c>
      <c r="AB510" s="4">
        <v>82.471499999999992</v>
      </c>
      <c r="AC510" s="6">
        <v>29.779954287238617</v>
      </c>
      <c r="AD510">
        <v>0.35747747699999999</v>
      </c>
      <c r="AE510">
        <v>1.5869848165130993</v>
      </c>
      <c r="AF510">
        <v>30775</v>
      </c>
      <c r="AG510" s="4">
        <v>4040</v>
      </c>
      <c r="AH510" s="4">
        <v>39072</v>
      </c>
      <c r="AL510">
        <v>25</v>
      </c>
      <c r="AM510">
        <v>5.8703199999999995</v>
      </c>
      <c r="AN510" t="s">
        <v>81</v>
      </c>
      <c r="AO510" t="s">
        <v>105</v>
      </c>
      <c r="AP510" s="5">
        <v>44828</v>
      </c>
      <c r="AQ510" t="s">
        <v>189</v>
      </c>
      <c r="AR510" s="5">
        <v>44938</v>
      </c>
      <c r="AS510">
        <v>269.29875183097698</v>
      </c>
      <c r="AT510" s="6"/>
      <c r="AU510">
        <v>16.286661529582169</v>
      </c>
      <c r="AV510">
        <v>52.516543176448671</v>
      </c>
      <c r="AW510">
        <v>44.133468173318583</v>
      </c>
      <c r="AX510">
        <v>112.93667287934942</v>
      </c>
      <c r="AY510">
        <v>19.078680861849413</v>
      </c>
      <c r="AZ510">
        <v>26.440862114069745</v>
      </c>
      <c r="BA510">
        <v>3.5893221593263025</v>
      </c>
      <c r="BB510">
        <v>8.2161087297523707</v>
      </c>
      <c r="BC510">
        <v>14.867671384030317</v>
      </c>
      <c r="BD510">
        <v>72.192645249028146</v>
      </c>
      <c r="BE510">
        <v>84.169433702599406</v>
      </c>
      <c r="BF510">
        <v>13.468585574700301</v>
      </c>
      <c r="BH510">
        <v>13.468585574700301</v>
      </c>
      <c r="BI510">
        <v>198.59790370307789</v>
      </c>
      <c r="BJ510" s="6">
        <v>191</v>
      </c>
      <c r="BK510">
        <v>70.700848127899107</v>
      </c>
      <c r="BL510" s="4">
        <v>1389.1288499999991</v>
      </c>
      <c r="BM510" t="s">
        <v>450</v>
      </c>
      <c r="BN510" t="s">
        <v>65</v>
      </c>
      <c r="BO510">
        <v>1</v>
      </c>
      <c r="BP510">
        <v>2023</v>
      </c>
      <c r="BQ510" t="str">
        <f t="shared" si="36"/>
        <v>Bangsakao1</v>
      </c>
      <c r="BR510">
        <f t="shared" si="37"/>
        <v>-149.28346000000033</v>
      </c>
      <c r="BS510">
        <f t="shared" si="38"/>
        <v>5291.1764899999989</v>
      </c>
      <c r="BT510" s="6">
        <f t="shared" si="39"/>
        <v>-7.5979037030778898</v>
      </c>
    </row>
    <row r="511" spans="1:72">
      <c r="A511" s="3" t="s">
        <v>113</v>
      </c>
      <c r="B511" s="3" t="s">
        <v>408</v>
      </c>
      <c r="C511" s="3" t="s">
        <v>449</v>
      </c>
      <c r="D511" s="2" t="s">
        <v>454</v>
      </c>
      <c r="E511" s="4" t="str">
        <f t="shared" si="35"/>
        <v>BangsakaoDG-003-0024</v>
      </c>
      <c r="F511">
        <v>1.9</v>
      </c>
      <c r="G511">
        <v>1.5</v>
      </c>
      <c r="H511" t="s">
        <v>72</v>
      </c>
      <c r="I511" t="s">
        <v>67</v>
      </c>
      <c r="J511" t="s">
        <v>68</v>
      </c>
      <c r="K511" t="s">
        <v>89</v>
      </c>
      <c r="L511" t="s">
        <v>89</v>
      </c>
      <c r="M511">
        <v>1.5020205479452056</v>
      </c>
      <c r="N511" s="5">
        <v>44810</v>
      </c>
      <c r="O511" s="5">
        <v>44848</v>
      </c>
      <c r="P511">
        <v>0.8</v>
      </c>
      <c r="Q511" s="4">
        <v>175</v>
      </c>
      <c r="R511">
        <v>0.15</v>
      </c>
      <c r="S511" t="s">
        <v>70</v>
      </c>
      <c r="T511" s="6">
        <v>5</v>
      </c>
      <c r="U511" s="5">
        <v>44961</v>
      </c>
      <c r="V511" s="6">
        <v>1</v>
      </c>
      <c r="W511" t="s">
        <v>86</v>
      </c>
      <c r="X511" s="6">
        <v>113</v>
      </c>
      <c r="Y511">
        <v>18.021429999999999</v>
      </c>
      <c r="Z511">
        <v>9.484963157894736</v>
      </c>
      <c r="AA511" s="6">
        <v>32.183350599813664</v>
      </c>
      <c r="AB511" s="4">
        <v>72.498750000000001</v>
      </c>
      <c r="AC511" s="6">
        <v>31.071966758047555</v>
      </c>
      <c r="AD511">
        <v>0.35265486699999998</v>
      </c>
      <c r="AE511">
        <v>1.6311546060845419</v>
      </c>
      <c r="AF511">
        <v>29200</v>
      </c>
      <c r="AG511" s="4">
        <v>17335</v>
      </c>
      <c r="AH511" s="4">
        <v>43859</v>
      </c>
      <c r="AL511">
        <v>25</v>
      </c>
      <c r="AM511">
        <v>7.1206499999999995</v>
      </c>
      <c r="AN511" t="s">
        <v>81</v>
      </c>
      <c r="AO511" t="s">
        <v>105</v>
      </c>
      <c r="AP511" s="5">
        <v>44850</v>
      </c>
      <c r="AQ511" t="s">
        <v>131</v>
      </c>
      <c r="AR511" s="5">
        <v>44956</v>
      </c>
      <c r="AS511">
        <v>282.50375691607161</v>
      </c>
      <c r="AT511" s="6"/>
      <c r="AU511">
        <v>17.756637514337093</v>
      </c>
      <c r="AV511">
        <v>54.864577339312142</v>
      </c>
      <c r="AW511">
        <v>34.85281800611827</v>
      </c>
      <c r="AX511">
        <v>107.47403285976749</v>
      </c>
      <c r="AY511">
        <v>22.170655713780757</v>
      </c>
      <c r="AZ511">
        <v>32.085367254429862</v>
      </c>
      <c r="BA511">
        <v>3.7620910216336889</v>
      </c>
      <c r="BB511">
        <v>8.6643002247879313</v>
      </c>
      <c r="BC511">
        <v>17.094840975438686</v>
      </c>
      <c r="BD511">
        <v>83.777255190070932</v>
      </c>
      <c r="BE511">
        <v>91.252468866233201</v>
      </c>
      <c r="BF511">
        <v>15.816881901158785</v>
      </c>
      <c r="BH511">
        <v>15.816881901158785</v>
      </c>
      <c r="BI511">
        <v>207.06816995099723</v>
      </c>
      <c r="BJ511" s="6">
        <v>192</v>
      </c>
      <c r="BK511">
        <v>75.435586965074378</v>
      </c>
      <c r="BL511" s="4">
        <v>1359.4571500000004</v>
      </c>
      <c r="BM511" t="s">
        <v>455</v>
      </c>
      <c r="BN511" t="s">
        <v>65</v>
      </c>
      <c r="BO511">
        <v>2</v>
      </c>
      <c r="BP511">
        <v>2023</v>
      </c>
      <c r="BQ511" t="str">
        <f t="shared" si="36"/>
        <v>Bangsakao2</v>
      </c>
      <c r="BR511">
        <f t="shared" si="37"/>
        <v>-271.54996999999997</v>
      </c>
      <c r="BS511">
        <f t="shared" si="38"/>
        <v>5091.1216800000002</v>
      </c>
      <c r="BT511" s="6">
        <f t="shared" si="39"/>
        <v>-15.06816995099723</v>
      </c>
    </row>
    <row r="512" spans="1:72">
      <c r="A512" s="3" t="s">
        <v>113</v>
      </c>
      <c r="B512" s="3" t="s">
        <v>408</v>
      </c>
      <c r="C512" s="3" t="s">
        <v>449</v>
      </c>
      <c r="D512" s="2" t="s">
        <v>464</v>
      </c>
      <c r="E512" s="4" t="str">
        <f t="shared" si="35"/>
        <v>BangsakaoDG-002-0024</v>
      </c>
      <c r="F512">
        <v>2</v>
      </c>
      <c r="G512">
        <v>1.5</v>
      </c>
      <c r="H512" t="s">
        <v>72</v>
      </c>
      <c r="I512" t="s">
        <v>67</v>
      </c>
      <c r="J512" t="s">
        <v>68</v>
      </c>
      <c r="K512" t="s">
        <v>89</v>
      </c>
      <c r="L512" t="s">
        <v>89</v>
      </c>
      <c r="M512">
        <v>1.1655630630630631</v>
      </c>
      <c r="N512" s="5">
        <v>44847</v>
      </c>
      <c r="O512" s="5">
        <v>44875</v>
      </c>
      <c r="P512">
        <v>0.9</v>
      </c>
      <c r="Q512" s="4">
        <v>188</v>
      </c>
      <c r="R512">
        <v>0.4</v>
      </c>
      <c r="S512" t="s">
        <v>70</v>
      </c>
      <c r="T512" s="6">
        <v>5</v>
      </c>
      <c r="U512" s="5">
        <v>44999</v>
      </c>
      <c r="V512" s="6">
        <v>1</v>
      </c>
      <c r="W512" t="s">
        <v>86</v>
      </c>
      <c r="X512" s="6">
        <v>124</v>
      </c>
      <c r="Y512">
        <v>25.500160000000001</v>
      </c>
      <c r="Z512">
        <v>12.750080000000001</v>
      </c>
      <c r="AA512" s="6">
        <v>31.494782777833549</v>
      </c>
      <c r="AB512" s="4">
        <v>89.235777777777784</v>
      </c>
      <c r="AC512" s="6">
        <v>31.751290588478465</v>
      </c>
      <c r="AD512">
        <v>0.34740533000000001</v>
      </c>
      <c r="AE512">
        <v>1.766098545116658</v>
      </c>
      <c r="AF512">
        <v>44400</v>
      </c>
      <c r="AG512" s="4">
        <v>11612</v>
      </c>
      <c r="AH512" s="4">
        <v>51751</v>
      </c>
      <c r="AL512">
        <v>22.999999999999996</v>
      </c>
      <c r="AM512">
        <v>13.00726</v>
      </c>
      <c r="AN512" t="s">
        <v>81</v>
      </c>
      <c r="AO512" t="s">
        <v>94</v>
      </c>
      <c r="AP512" s="5">
        <v>44876</v>
      </c>
      <c r="AQ512" t="s">
        <v>116</v>
      </c>
      <c r="AR512" s="5">
        <v>44998</v>
      </c>
      <c r="AS512">
        <v>267.00593643333997</v>
      </c>
      <c r="AT512" s="6"/>
      <c r="AU512">
        <v>14.117558478064451</v>
      </c>
      <c r="AV512">
        <v>61.140552843589987</v>
      </c>
      <c r="AW512">
        <v>22.451004621147483</v>
      </c>
      <c r="AX512">
        <v>97.709115942801915</v>
      </c>
      <c r="AY512">
        <v>16.932689049794202</v>
      </c>
      <c r="AZ512">
        <v>26.702569709366532</v>
      </c>
      <c r="BA512">
        <v>3.1058342379028212</v>
      </c>
      <c r="BB512">
        <v>6.7951157953518724</v>
      </c>
      <c r="BC512">
        <v>13.957116347505268</v>
      </c>
      <c r="BD512">
        <v>67.493325139920699</v>
      </c>
      <c r="BE512">
        <v>101.80349535061734</v>
      </c>
      <c r="BF512">
        <v>12.040236218125694</v>
      </c>
      <c r="BH512">
        <v>12.040236218125694</v>
      </c>
      <c r="BI512">
        <v>177.24267730084827</v>
      </c>
      <c r="BJ512" s="6">
        <v>194</v>
      </c>
      <c r="BK512">
        <v>89.763259132491712</v>
      </c>
      <c r="BL512" s="4">
        <v>2288.9774699999998</v>
      </c>
      <c r="BM512" t="s">
        <v>465</v>
      </c>
      <c r="BN512" t="s">
        <v>65</v>
      </c>
      <c r="BO512">
        <v>3</v>
      </c>
      <c r="BP512">
        <v>2023</v>
      </c>
      <c r="BQ512" t="str">
        <f t="shared" si="36"/>
        <v>Bangsakao3</v>
      </c>
      <c r="BR512">
        <f t="shared" si="37"/>
        <v>427.31441000000098</v>
      </c>
      <c r="BS512">
        <f t="shared" si="38"/>
        <v>6808.6940999999988</v>
      </c>
      <c r="BT512" s="6">
        <f t="shared" si="39"/>
        <v>16.757322699151729</v>
      </c>
    </row>
    <row r="513" spans="1:72">
      <c r="A513" s="3" t="s">
        <v>113</v>
      </c>
      <c r="B513" s="3" t="s">
        <v>408</v>
      </c>
      <c r="C513" s="3" t="s">
        <v>449</v>
      </c>
      <c r="D513" s="2" t="s">
        <v>470</v>
      </c>
      <c r="E513" s="4" t="str">
        <f t="shared" si="35"/>
        <v>BangsakaoDG-001-0027</v>
      </c>
      <c r="F513">
        <v>2</v>
      </c>
      <c r="G513">
        <v>1.7</v>
      </c>
      <c r="H513" t="s">
        <v>72</v>
      </c>
      <c r="I513" t="s">
        <v>67</v>
      </c>
      <c r="J513" t="s">
        <v>68</v>
      </c>
      <c r="K513" t="s">
        <v>89</v>
      </c>
      <c r="L513" t="s">
        <v>89</v>
      </c>
      <c r="M513">
        <v>1.165561403508772</v>
      </c>
      <c r="N513" s="5">
        <v>44940</v>
      </c>
      <c r="O513" s="5">
        <v>44962</v>
      </c>
      <c r="P513">
        <v>1</v>
      </c>
      <c r="Q513" s="4">
        <v>184</v>
      </c>
      <c r="R513">
        <v>0.48</v>
      </c>
      <c r="S513" t="s">
        <v>70</v>
      </c>
      <c r="T513" s="6">
        <v>5</v>
      </c>
      <c r="U513" s="5">
        <v>45101</v>
      </c>
      <c r="V513" s="6">
        <v>1</v>
      </c>
      <c r="W513" t="s">
        <v>86</v>
      </c>
      <c r="X513" s="6">
        <v>139</v>
      </c>
      <c r="Y513">
        <v>27.859119999999997</v>
      </c>
      <c r="Z513">
        <v>13.929559999999999</v>
      </c>
      <c r="AA513" s="6">
        <v>27.613147866838581</v>
      </c>
      <c r="AB513" s="4">
        <v>76.927800000000005</v>
      </c>
      <c r="AC513" s="6">
        <v>36.214632421569313</v>
      </c>
      <c r="AD513">
        <v>0.33912983899999999</v>
      </c>
      <c r="AE513">
        <v>2.08187845336154</v>
      </c>
      <c r="AF513">
        <v>57000</v>
      </c>
      <c r="AG513" s="4">
        <v>7085</v>
      </c>
      <c r="AH513" s="4">
        <v>66437</v>
      </c>
      <c r="AL513">
        <v>21</v>
      </c>
      <c r="AM513">
        <v>14.06118</v>
      </c>
      <c r="AN513" t="s">
        <v>81</v>
      </c>
      <c r="AO513" t="s">
        <v>170</v>
      </c>
      <c r="AP513" s="5">
        <v>44962</v>
      </c>
      <c r="AQ513" t="s">
        <v>136</v>
      </c>
      <c r="AR513" s="5">
        <v>45100</v>
      </c>
      <c r="AS513">
        <v>215.73107118961403</v>
      </c>
      <c r="AT513" s="6"/>
      <c r="AU513">
        <v>16.152699726337371</v>
      </c>
      <c r="AV513">
        <v>70.61201969049992</v>
      </c>
      <c r="AW513">
        <v>28.687211584572658</v>
      </c>
      <c r="AX513">
        <v>115.45193100140995</v>
      </c>
      <c r="AY513">
        <v>17.254695410336005</v>
      </c>
      <c r="AZ513">
        <v>27.428764440513557</v>
      </c>
      <c r="BA513">
        <v>2.8624102268844096</v>
      </c>
      <c r="BB513">
        <v>8.7082280416610462</v>
      </c>
      <c r="BC513">
        <v>13.714806497836257</v>
      </c>
      <c r="BD513">
        <v>69.968904617231274</v>
      </c>
      <c r="BE513">
        <v>30.310235570972807</v>
      </c>
      <c r="BF513">
        <v>11.845071201100396</v>
      </c>
      <c r="BH513">
        <v>11.845071201100396</v>
      </c>
      <c r="BI513">
        <v>197.26590681974159</v>
      </c>
      <c r="BJ513" s="6">
        <v>207</v>
      </c>
      <c r="BK513">
        <v>18.465164369872433</v>
      </c>
      <c r="BL513" s="4">
        <v>514.42323000000044</v>
      </c>
      <c r="BM513" t="s">
        <v>471</v>
      </c>
      <c r="BN513" t="s">
        <v>65</v>
      </c>
      <c r="BO513">
        <v>6</v>
      </c>
      <c r="BP513">
        <v>2023</v>
      </c>
      <c r="BQ513" t="str">
        <f t="shared" si="36"/>
        <v>Bangsakao6</v>
      </c>
      <c r="BR513">
        <f t="shared" si="37"/>
        <v>271.18327000000073</v>
      </c>
      <c r="BS513">
        <f t="shared" si="38"/>
        <v>6010.0777999999991</v>
      </c>
      <c r="BT513" s="6">
        <f t="shared" si="39"/>
        <v>9.7340931802584123</v>
      </c>
    </row>
    <row r="514" spans="1:72">
      <c r="A514" s="3" t="s">
        <v>113</v>
      </c>
      <c r="B514" s="3" t="s">
        <v>408</v>
      </c>
      <c r="C514" s="3" t="s">
        <v>417</v>
      </c>
      <c r="D514" s="2" t="s">
        <v>443</v>
      </c>
      <c r="E514" s="4" t="str">
        <f t="shared" si="35"/>
        <v>BangsakaoCG-009-0024</v>
      </c>
      <c r="F514">
        <v>3.8</v>
      </c>
      <c r="G514">
        <v>1.5</v>
      </c>
      <c r="H514" t="s">
        <v>72</v>
      </c>
      <c r="I514" t="s">
        <v>67</v>
      </c>
      <c r="J514" t="s">
        <v>68</v>
      </c>
      <c r="K514" t="s">
        <v>89</v>
      </c>
      <c r="L514" t="s">
        <v>89</v>
      </c>
      <c r="M514">
        <v>0.52950391644908612</v>
      </c>
      <c r="N514" s="5">
        <v>44774</v>
      </c>
      <c r="O514" s="5">
        <v>44846</v>
      </c>
      <c r="P514">
        <v>1.6</v>
      </c>
      <c r="Q514" s="4">
        <v>175</v>
      </c>
      <c r="R514">
        <v>0.15</v>
      </c>
      <c r="S514" t="s">
        <v>70</v>
      </c>
      <c r="T514" s="6">
        <v>5</v>
      </c>
      <c r="U514" s="5">
        <v>44952</v>
      </c>
      <c r="V514" s="6">
        <v>2</v>
      </c>
      <c r="W514" t="s">
        <v>71</v>
      </c>
      <c r="X514" s="6">
        <v>106</v>
      </c>
      <c r="Y514">
        <v>27.353369999999998</v>
      </c>
      <c r="Z514">
        <v>7.1982552631578942</v>
      </c>
      <c r="AA514" s="6">
        <v>34.55179380091009</v>
      </c>
      <c r="AB514" s="4">
        <v>59.069249999999997</v>
      </c>
      <c r="AC514" s="6">
        <v>28.942057415660432</v>
      </c>
      <c r="AD514">
        <v>0.408757178</v>
      </c>
      <c r="AE514">
        <v>1.7657340271607698</v>
      </c>
      <c r="AF514">
        <v>47875</v>
      </c>
      <c r="AG514" s="4">
        <v>0</v>
      </c>
      <c r="AH514" s="4">
        <v>25350</v>
      </c>
      <c r="AL514">
        <v>23</v>
      </c>
      <c r="AM514">
        <v>9.8618400000000008</v>
      </c>
      <c r="AN514" t="s">
        <v>81</v>
      </c>
      <c r="AO514" t="s">
        <v>105</v>
      </c>
      <c r="AP514" s="5">
        <v>44846</v>
      </c>
      <c r="AQ514" t="s">
        <v>189</v>
      </c>
      <c r="AR514" s="5">
        <v>44951</v>
      </c>
      <c r="AS514">
        <v>269.92771164942388</v>
      </c>
      <c r="AT514" s="6"/>
      <c r="AU514">
        <v>23.397482650218237</v>
      </c>
      <c r="AV514">
        <v>58.880759847872504</v>
      </c>
      <c r="AW514">
        <v>38.276693877207819</v>
      </c>
      <c r="AX514">
        <v>120.55493637529857</v>
      </c>
      <c r="AY514">
        <v>22.02993561670829</v>
      </c>
      <c r="AZ514">
        <v>26.877671014576997</v>
      </c>
      <c r="BA514">
        <v>9.2971381588447795</v>
      </c>
      <c r="BB514">
        <v>16.147398656911381</v>
      </c>
      <c r="BC514">
        <v>18.147280572741131</v>
      </c>
      <c r="BD514">
        <v>92.499424019782566</v>
      </c>
      <c r="BE514">
        <v>56.873351254342765</v>
      </c>
      <c r="BF514">
        <v>20.037641796970544</v>
      </c>
      <c r="BH514">
        <v>20.037641796970544</v>
      </c>
      <c r="BI514">
        <v>233.09200219205167</v>
      </c>
      <c r="BJ514" s="6">
        <v>189</v>
      </c>
      <c r="BK514">
        <v>36.835709457372197</v>
      </c>
      <c r="BL514" s="4">
        <v>1007.580790000001</v>
      </c>
      <c r="BM514" t="s">
        <v>444</v>
      </c>
      <c r="BN514" t="s">
        <v>65</v>
      </c>
      <c r="BO514">
        <v>1</v>
      </c>
      <c r="BP514">
        <v>2023</v>
      </c>
      <c r="BQ514" t="str">
        <f t="shared" si="36"/>
        <v>Bangsakao1</v>
      </c>
      <c r="BR514">
        <f t="shared" si="37"/>
        <v>-1206.0648500000002</v>
      </c>
      <c r="BS514">
        <f t="shared" si="38"/>
        <v>7383.4325700000009</v>
      </c>
      <c r="BT514" s="6">
        <f t="shared" si="39"/>
        <v>-44.092002192051666</v>
      </c>
    </row>
    <row r="515" spans="1:72">
      <c r="A515" s="3" t="s">
        <v>113</v>
      </c>
      <c r="B515" s="3" t="s">
        <v>408</v>
      </c>
      <c r="C515" s="3" t="s">
        <v>417</v>
      </c>
      <c r="D515" s="2" t="s">
        <v>429</v>
      </c>
      <c r="E515" s="4" t="str">
        <f t="shared" si="35"/>
        <v>BangsakaoCG-008-0029</v>
      </c>
      <c r="F515">
        <v>3.73</v>
      </c>
      <c r="G515">
        <v>1.5</v>
      </c>
      <c r="H515" t="s">
        <v>72</v>
      </c>
      <c r="I515" t="s">
        <v>67</v>
      </c>
      <c r="J515" t="s">
        <v>68</v>
      </c>
      <c r="K515" t="s">
        <v>89</v>
      </c>
      <c r="L515" t="s">
        <v>89</v>
      </c>
      <c r="N515" s="5">
        <v>45021</v>
      </c>
      <c r="O515" s="5">
        <v>45046</v>
      </c>
      <c r="P515">
        <v>1.4</v>
      </c>
      <c r="Q515" s="4">
        <v>156</v>
      </c>
      <c r="R515">
        <v>0.7</v>
      </c>
      <c r="S515" t="s">
        <v>70</v>
      </c>
      <c r="T515" s="6">
        <v>3</v>
      </c>
      <c r="U515" s="5">
        <v>45103</v>
      </c>
      <c r="V515" s="6">
        <v>2</v>
      </c>
      <c r="W515" t="s">
        <v>71</v>
      </c>
      <c r="X515" s="6">
        <v>57</v>
      </c>
      <c r="Y515">
        <v>17.444099999999999</v>
      </c>
      <c r="Z515">
        <v>4.6767024128686323</v>
      </c>
      <c r="AA515" s="6">
        <v>48.619189296094383</v>
      </c>
      <c r="AB515" s="4">
        <v>60.579857142857144</v>
      </c>
      <c r="AC515" s="6">
        <v>20.568010583432965</v>
      </c>
      <c r="AD515">
        <v>0.39571603399999999</v>
      </c>
      <c r="AE515">
        <v>1.6429686408610251</v>
      </c>
      <c r="AF515">
        <v>27050</v>
      </c>
      <c r="AG515" s="4">
        <v>0</v>
      </c>
      <c r="AH515" s="4"/>
      <c r="AI515" t="s">
        <v>73</v>
      </c>
      <c r="AL515">
        <v>43</v>
      </c>
      <c r="AM515">
        <v>10.039639999999999</v>
      </c>
      <c r="AN515" t="s">
        <v>73</v>
      </c>
      <c r="AO515" t="s">
        <v>117</v>
      </c>
      <c r="AP515" s="5">
        <v>45046</v>
      </c>
      <c r="AQ515" t="s">
        <v>123</v>
      </c>
      <c r="AR515" s="5">
        <v>45101</v>
      </c>
      <c r="AS515">
        <v>131.32357530626402</v>
      </c>
      <c r="AT515" s="6"/>
      <c r="AU515">
        <v>40.128180874908999</v>
      </c>
      <c r="AV515">
        <v>48.151935611467479</v>
      </c>
      <c r="AW515">
        <v>21.860697886391389</v>
      </c>
      <c r="AX515">
        <v>110.14081437276786</v>
      </c>
      <c r="AY515">
        <v>22.772876216027203</v>
      </c>
      <c r="AZ515">
        <v>31.960525908473354</v>
      </c>
      <c r="BA515">
        <v>6.3054218904959267</v>
      </c>
      <c r="BB515">
        <v>19.7598248118275</v>
      </c>
      <c r="BC515">
        <v>17.409729937342714</v>
      </c>
      <c r="BD515">
        <v>98.208378764166696</v>
      </c>
      <c r="BE515">
        <v>-77.025617830670541</v>
      </c>
      <c r="BF515">
        <v>18.622900006305862</v>
      </c>
      <c r="BH515">
        <v>18.622900006305862</v>
      </c>
      <c r="BI515">
        <v>226.97209314324041</v>
      </c>
      <c r="BJ515" s="6">
        <v>170</v>
      </c>
      <c r="BK515">
        <v>-95.648517836976382</v>
      </c>
      <c r="BL515" s="4">
        <v>-1668.5023099999996</v>
      </c>
      <c r="BM515" t="s">
        <v>430</v>
      </c>
      <c r="BN515" t="s">
        <v>65</v>
      </c>
      <c r="BO515">
        <v>6</v>
      </c>
      <c r="BP515">
        <v>2023</v>
      </c>
      <c r="BQ515" t="str">
        <f t="shared" si="36"/>
        <v>Bangsakao6</v>
      </c>
      <c r="BR515">
        <f t="shared" si="37"/>
        <v>-993.82689000000005</v>
      </c>
      <c r="BS515">
        <f t="shared" si="38"/>
        <v>2290.8215799999998</v>
      </c>
      <c r="BT515" s="6">
        <f t="shared" si="39"/>
        <v>-56.972093143240414</v>
      </c>
    </row>
    <row r="516" spans="1:72">
      <c r="A516" s="3" t="s">
        <v>113</v>
      </c>
      <c r="B516" s="3" t="s">
        <v>408</v>
      </c>
      <c r="C516" s="3" t="s">
        <v>417</v>
      </c>
      <c r="D516" s="2" t="s">
        <v>431</v>
      </c>
      <c r="E516" s="4" t="str">
        <f t="shared" ref="E516:E579" si="40">B516&amp;D516</f>
        <v>BangsakaoCG-004-0025</v>
      </c>
      <c r="F516">
        <v>4.5999999999999996</v>
      </c>
      <c r="G516">
        <v>1.5</v>
      </c>
      <c r="H516" t="s">
        <v>72</v>
      </c>
      <c r="I516" t="s">
        <v>67</v>
      </c>
      <c r="J516" t="s">
        <v>68</v>
      </c>
      <c r="K516" t="s">
        <v>89</v>
      </c>
      <c r="L516" t="s">
        <v>89</v>
      </c>
      <c r="M516">
        <v>0.44136737343141497</v>
      </c>
      <c r="N516" s="5">
        <v>44936</v>
      </c>
      <c r="O516" s="5">
        <v>44963</v>
      </c>
      <c r="P516">
        <v>1.8</v>
      </c>
      <c r="Q516" s="4">
        <v>163</v>
      </c>
      <c r="R516">
        <v>0.45</v>
      </c>
      <c r="S516" t="s">
        <v>70</v>
      </c>
      <c r="T516" s="6">
        <v>5</v>
      </c>
      <c r="U516" s="5">
        <v>45037</v>
      </c>
      <c r="V516" s="6">
        <v>1</v>
      </c>
      <c r="W516" t="s">
        <v>86</v>
      </c>
      <c r="X516" s="6">
        <v>74</v>
      </c>
      <c r="Y516">
        <v>37.729959999999998</v>
      </c>
      <c r="Z516">
        <v>8.202165217391304</v>
      </c>
      <c r="AA516" s="6">
        <v>42.874628014447936</v>
      </c>
      <c r="AB516" s="4">
        <v>89.869888888888894</v>
      </c>
      <c r="AC516" s="6">
        <v>23.323817518906964</v>
      </c>
      <c r="AD516">
        <v>0.38001930499999997</v>
      </c>
      <c r="AE516">
        <v>1.5648615121261533</v>
      </c>
      <c r="AF516">
        <v>57775</v>
      </c>
      <c r="AG516" s="4">
        <v>11040</v>
      </c>
      <c r="AH516" s="4">
        <v>25500</v>
      </c>
      <c r="AL516">
        <v>35</v>
      </c>
      <c r="AM516">
        <v>13.084440000000001</v>
      </c>
      <c r="AN516" t="s">
        <v>126</v>
      </c>
      <c r="AO516" t="s">
        <v>198</v>
      </c>
      <c r="AP516" s="5">
        <v>44963</v>
      </c>
      <c r="AQ516" t="s">
        <v>117</v>
      </c>
      <c r="AR516" s="5">
        <v>45035</v>
      </c>
      <c r="AS516">
        <v>204.24047653376786</v>
      </c>
      <c r="AT516" s="6"/>
      <c r="AU516">
        <v>21.468350350755735</v>
      </c>
      <c r="AV516">
        <v>55.617231505148695</v>
      </c>
      <c r="AW516">
        <v>21.836714907728499</v>
      </c>
      <c r="AX516">
        <v>98.922296763632929</v>
      </c>
      <c r="AY516">
        <v>12.268146056873636</v>
      </c>
      <c r="AZ516">
        <v>22.452184417900256</v>
      </c>
      <c r="BA516">
        <v>5.2882642865245542</v>
      </c>
      <c r="BB516">
        <v>15.842049660269982</v>
      </c>
      <c r="BC516">
        <v>11.242272454039178</v>
      </c>
      <c r="BD516">
        <v>67.092916875607614</v>
      </c>
      <c r="BE516">
        <v>38.225262894527319</v>
      </c>
      <c r="BF516">
        <v>11.013750080837616</v>
      </c>
      <c r="BH516">
        <v>11.013750080837616</v>
      </c>
      <c r="BI516">
        <v>177.02896372007814</v>
      </c>
      <c r="BJ516" s="6">
        <v>180</v>
      </c>
      <c r="BK516">
        <v>27.211512813689705</v>
      </c>
      <c r="BL516" s="4">
        <v>1026.68929</v>
      </c>
      <c r="BM516" t="s">
        <v>432</v>
      </c>
      <c r="BN516" t="s">
        <v>65</v>
      </c>
      <c r="BO516">
        <v>4</v>
      </c>
      <c r="BP516">
        <v>2023</v>
      </c>
      <c r="BQ516" t="str">
        <f t="shared" ref="BQ516:BQ579" si="41">B516&amp;BO516</f>
        <v>Bangsakao4</v>
      </c>
      <c r="BR516">
        <f t="shared" ref="BR516:BR579" si="42">BT516*Y516</f>
        <v>112.09708000000063</v>
      </c>
      <c r="BS516">
        <f t="shared" ref="BS516:BS579" si="43">Y516*AS516</f>
        <v>7705.9850099999994</v>
      </c>
      <c r="BT516" s="6">
        <f t="shared" ref="BT516:BT579" si="44">BJ516-BI516</f>
        <v>2.9710362799218615</v>
      </c>
    </row>
    <row r="517" spans="1:72">
      <c r="A517" s="3" t="s">
        <v>113</v>
      </c>
      <c r="B517" s="3" t="s">
        <v>408</v>
      </c>
      <c r="C517" s="3" t="s">
        <v>417</v>
      </c>
      <c r="D517" s="2" t="s">
        <v>445</v>
      </c>
      <c r="E517" s="4" t="str">
        <f t="shared" si="40"/>
        <v>BangsakaoCG-009-0025</v>
      </c>
      <c r="F517">
        <v>3.8</v>
      </c>
      <c r="G517">
        <v>1.5</v>
      </c>
      <c r="H517" t="s">
        <v>72</v>
      </c>
      <c r="I517" t="s">
        <v>67</v>
      </c>
      <c r="J517" t="s">
        <v>68</v>
      </c>
      <c r="K517" t="s">
        <v>89</v>
      </c>
      <c r="L517" t="s">
        <v>89</v>
      </c>
      <c r="M517">
        <v>0.10443146684987976</v>
      </c>
      <c r="N517" s="5">
        <v>44953</v>
      </c>
      <c r="O517" s="5">
        <v>44982</v>
      </c>
      <c r="P517">
        <v>1.4</v>
      </c>
      <c r="Q517" s="4">
        <v>154</v>
      </c>
      <c r="R517">
        <v>0.6</v>
      </c>
      <c r="S517" t="s">
        <v>70</v>
      </c>
      <c r="T517" s="6">
        <v>6</v>
      </c>
      <c r="U517" s="5">
        <v>45107</v>
      </c>
      <c r="V517" s="6">
        <v>1</v>
      </c>
      <c r="W517" t="s">
        <v>86</v>
      </c>
      <c r="X517" s="6">
        <v>125</v>
      </c>
      <c r="Y517">
        <v>36.790570000000002</v>
      </c>
      <c r="Z517">
        <v>9.6817289473684216</v>
      </c>
      <c r="AA517" s="6">
        <v>33.758433207205002</v>
      </c>
      <c r="AB517" s="4">
        <v>88.713714285714289</v>
      </c>
      <c r="AC517" s="6">
        <v>29.622227840436974</v>
      </c>
      <c r="AD517">
        <v>0.37615238099999998</v>
      </c>
      <c r="AE517">
        <v>2.0243072641129194</v>
      </c>
      <c r="AF517">
        <v>72775</v>
      </c>
      <c r="AG517" s="4">
        <v>11100</v>
      </c>
      <c r="AH517" s="4">
        <v>7600</v>
      </c>
      <c r="AL517">
        <v>21</v>
      </c>
      <c r="AM517">
        <v>10.497450000000001</v>
      </c>
      <c r="AN517" t="s">
        <v>81</v>
      </c>
      <c r="AO517" t="s">
        <v>123</v>
      </c>
      <c r="AP517" s="5">
        <v>44982</v>
      </c>
      <c r="AQ517" t="s">
        <v>198</v>
      </c>
      <c r="AR517" s="5">
        <v>45106</v>
      </c>
      <c r="AS517">
        <v>211.80751290344239</v>
      </c>
      <c r="AT517" s="6"/>
      <c r="AU517">
        <v>17.123953230406599</v>
      </c>
      <c r="AV517">
        <v>67.885785406423409</v>
      </c>
      <c r="AW517">
        <v>29.524149802517332</v>
      </c>
      <c r="AX517">
        <v>114.53388843934734</v>
      </c>
      <c r="AY517">
        <v>18.482036565348132</v>
      </c>
      <c r="AZ517">
        <v>29.053348724958596</v>
      </c>
      <c r="BA517">
        <v>6.3666784722280729</v>
      </c>
      <c r="BB517">
        <v>19.720250596824126</v>
      </c>
      <c r="BC517">
        <v>15.509104099229779</v>
      </c>
      <c r="BD517">
        <v>89.131418458588712</v>
      </c>
      <c r="BE517">
        <v>8.1422060055063383</v>
      </c>
      <c r="BF517">
        <v>15.5501012895424</v>
      </c>
      <c r="BH517">
        <v>15.5501012895424</v>
      </c>
      <c r="BI517">
        <v>219.21540818747849</v>
      </c>
      <c r="BJ517" s="6">
        <v>191</v>
      </c>
      <c r="BK517">
        <v>-7.4078952840360852</v>
      </c>
      <c r="BL517" s="4">
        <v>-272.54068999999947</v>
      </c>
      <c r="BM517" t="s">
        <v>446</v>
      </c>
      <c r="BN517" t="s">
        <v>65</v>
      </c>
      <c r="BO517">
        <v>6</v>
      </c>
      <c r="BP517">
        <v>2023</v>
      </c>
      <c r="BQ517" t="str">
        <f t="shared" si="41"/>
        <v>Bangsakao6</v>
      </c>
      <c r="BR517">
        <f t="shared" si="42"/>
        <v>-1038.0609500000005</v>
      </c>
      <c r="BS517">
        <f t="shared" si="43"/>
        <v>7792.5191300000006</v>
      </c>
      <c r="BT517" s="6">
        <f t="shared" si="44"/>
        <v>-28.215408187478488</v>
      </c>
    </row>
    <row r="518" spans="1:72">
      <c r="A518" s="3" t="s">
        <v>113</v>
      </c>
      <c r="B518" s="3" t="s">
        <v>408</v>
      </c>
      <c r="C518" s="3" t="s">
        <v>417</v>
      </c>
      <c r="D518" s="2" t="s">
        <v>2653</v>
      </c>
      <c r="E518" s="4" t="str">
        <f t="shared" si="40"/>
        <v>BangsakaoCG-008-0030</v>
      </c>
      <c r="F518">
        <v>3.73</v>
      </c>
      <c r="G518">
        <v>1.5</v>
      </c>
      <c r="H518" t="s">
        <v>72</v>
      </c>
      <c r="I518" t="s">
        <v>67</v>
      </c>
      <c r="J518" t="s">
        <v>68</v>
      </c>
      <c r="K518" t="s">
        <v>89</v>
      </c>
      <c r="N518" s="5">
        <v>45132</v>
      </c>
      <c r="O518" s="5">
        <v>45170</v>
      </c>
      <c r="P518">
        <v>1.4</v>
      </c>
      <c r="Q518" s="4">
        <v>156</v>
      </c>
      <c r="R518">
        <v>0.48</v>
      </c>
      <c r="S518" t="s">
        <v>70</v>
      </c>
      <c r="T518" s="6">
        <v>6</v>
      </c>
      <c r="U518" s="5">
        <v>45272</v>
      </c>
      <c r="V518" s="6">
        <v>1</v>
      </c>
      <c r="W518" t="s">
        <v>86</v>
      </c>
      <c r="X518" s="6">
        <v>102</v>
      </c>
      <c r="Y518">
        <v>32.833769999999994</v>
      </c>
      <c r="Z518">
        <v>8.8026193029490596</v>
      </c>
      <c r="AA518" s="6">
        <v>36.005094754577378</v>
      </c>
      <c r="AB518" s="4">
        <v>84.441642857142867</v>
      </c>
      <c r="AC518" s="6">
        <v>27.773847196246265</v>
      </c>
      <c r="AD518">
        <v>0.37236802400000002</v>
      </c>
      <c r="AE518">
        <v>1.8026093761805577</v>
      </c>
      <c r="AF518">
        <v>57975</v>
      </c>
      <c r="AG518" s="4"/>
      <c r="AH518" s="4"/>
      <c r="AL518">
        <v>26</v>
      </c>
      <c r="AM518">
        <v>9.4299400000000002</v>
      </c>
      <c r="AN518" t="s">
        <v>81</v>
      </c>
      <c r="AO518" t="s">
        <v>106</v>
      </c>
      <c r="AP518" s="5">
        <v>45170</v>
      </c>
      <c r="AQ518" t="s">
        <v>93</v>
      </c>
      <c r="AR518" s="5">
        <v>45271</v>
      </c>
      <c r="AS518">
        <v>219.14965445637219</v>
      </c>
      <c r="AT518" s="6"/>
      <c r="AU518">
        <v>19.187562074047545</v>
      </c>
      <c r="AV518">
        <v>53.086949808078707</v>
      </c>
      <c r="AW518">
        <v>39.195939729126458</v>
      </c>
      <c r="AX518">
        <v>111.4704516112527</v>
      </c>
      <c r="AY518">
        <v>24.384336309841977</v>
      </c>
      <c r="AZ518">
        <v>27.231314588608008</v>
      </c>
      <c r="BA518">
        <v>10.050780035311206</v>
      </c>
      <c r="BB518">
        <v>16.93291084149033</v>
      </c>
      <c r="BC518">
        <v>16.607564711575918</v>
      </c>
      <c r="BD518">
        <v>95.206906486827435</v>
      </c>
      <c r="BE518">
        <v>12.472296358292056</v>
      </c>
      <c r="BF518">
        <v>23.90872080787555</v>
      </c>
      <c r="BH518">
        <v>23.90872080787555</v>
      </c>
      <c r="BI518">
        <v>230.5860789059557</v>
      </c>
      <c r="BJ518" s="6">
        <v>186</v>
      </c>
      <c r="BK518">
        <v>-11.436424449583511</v>
      </c>
      <c r="BL518" s="4">
        <v>-375.50093000000157</v>
      </c>
      <c r="BM518" t="s">
        <v>2654</v>
      </c>
      <c r="BN518" t="s">
        <v>65</v>
      </c>
      <c r="BO518">
        <v>12</v>
      </c>
      <c r="BP518">
        <v>2023</v>
      </c>
      <c r="BQ518" t="str">
        <f t="shared" si="41"/>
        <v>Bangsakao12</v>
      </c>
      <c r="BR518">
        <f t="shared" si="42"/>
        <v>-1463.9290600000008</v>
      </c>
      <c r="BS518">
        <f t="shared" si="43"/>
        <v>7195.5093499999984</v>
      </c>
      <c r="BT518" s="6">
        <f t="shared" si="44"/>
        <v>-44.586078905955702</v>
      </c>
    </row>
    <row r="519" spans="1:72">
      <c r="A519" s="3" t="s">
        <v>113</v>
      </c>
      <c r="B519" s="3" t="s">
        <v>408</v>
      </c>
      <c r="C519" s="3" t="s">
        <v>417</v>
      </c>
      <c r="D519" s="2" t="s">
        <v>433</v>
      </c>
      <c r="E519" s="4" t="str">
        <f t="shared" si="40"/>
        <v>BangsakaoCG-002-0028</v>
      </c>
      <c r="F519">
        <v>3.45</v>
      </c>
      <c r="G519">
        <v>1.5</v>
      </c>
      <c r="H519" t="s">
        <v>72</v>
      </c>
      <c r="I519" t="s">
        <v>67</v>
      </c>
      <c r="J519" t="s">
        <v>68</v>
      </c>
      <c r="K519" t="s">
        <v>89</v>
      </c>
      <c r="L519" t="s">
        <v>89</v>
      </c>
      <c r="M519">
        <v>0</v>
      </c>
      <c r="N519" s="5">
        <v>44997</v>
      </c>
      <c r="O519" s="5">
        <v>45025</v>
      </c>
      <c r="P519">
        <v>1.4</v>
      </c>
      <c r="Q519" s="4">
        <v>169</v>
      </c>
      <c r="R519">
        <v>0.65</v>
      </c>
      <c r="S519" t="s">
        <v>70</v>
      </c>
      <c r="T519" s="6">
        <v>5</v>
      </c>
      <c r="U519" s="5">
        <v>45100</v>
      </c>
      <c r="V519" s="6">
        <v>1</v>
      </c>
      <c r="W519" t="s">
        <v>86</v>
      </c>
      <c r="X519" s="6">
        <v>75</v>
      </c>
      <c r="Y519">
        <v>30.076560000000001</v>
      </c>
      <c r="Z519">
        <v>8.7178434782608694</v>
      </c>
      <c r="AA519" s="6">
        <v>40.716125780341898</v>
      </c>
      <c r="AB519" s="4">
        <v>87.471500000000006</v>
      </c>
      <c r="AC519" s="6">
        <v>24.560293516010521</v>
      </c>
      <c r="AD519">
        <v>0.36170370400000001</v>
      </c>
      <c r="AE519">
        <v>1.5077197996609815</v>
      </c>
      <c r="AF519">
        <v>43975</v>
      </c>
      <c r="AG519" s="4">
        <v>0</v>
      </c>
      <c r="AH519" s="4">
        <v>0</v>
      </c>
      <c r="AL519">
        <v>36</v>
      </c>
      <c r="AM519">
        <v>6.8643799999999997</v>
      </c>
      <c r="AN519" t="s">
        <v>81</v>
      </c>
      <c r="AO519" t="s">
        <v>127</v>
      </c>
      <c r="AP519" s="5">
        <v>45025</v>
      </c>
      <c r="AQ519" t="s">
        <v>136</v>
      </c>
      <c r="AR519" s="5">
        <v>45098</v>
      </c>
      <c r="AS519">
        <v>148.91027830310381</v>
      </c>
      <c r="AT519" s="6"/>
      <c r="AU519">
        <v>23.273938242937355</v>
      </c>
      <c r="AV519">
        <v>47.374680814561245</v>
      </c>
      <c r="AW519">
        <v>26.274280037344685</v>
      </c>
      <c r="AX519">
        <v>96.922899094843274</v>
      </c>
      <c r="AY519">
        <v>14.692904707187257</v>
      </c>
      <c r="AZ519">
        <v>21.492241133959471</v>
      </c>
      <c r="BA519">
        <v>5.165990725003125</v>
      </c>
      <c r="BB519">
        <v>13.841912439454513</v>
      </c>
      <c r="BC519">
        <v>12.108192559255443</v>
      </c>
      <c r="BD519">
        <v>67.301241564859808</v>
      </c>
      <c r="BE519">
        <v>-15.313862356599273</v>
      </c>
      <c r="BF519">
        <v>12.175131398005623</v>
      </c>
      <c r="BH519">
        <v>12.175131398005623</v>
      </c>
      <c r="BI519">
        <v>176.39927205770869</v>
      </c>
      <c r="BJ519" s="6">
        <v>182</v>
      </c>
      <c r="BK519">
        <v>-27.488993754604888</v>
      </c>
      <c r="BL519" s="4">
        <v>-826.77436999999918</v>
      </c>
      <c r="BM519" t="s">
        <v>434</v>
      </c>
      <c r="BN519" t="s">
        <v>65</v>
      </c>
      <c r="BO519">
        <v>6</v>
      </c>
      <c r="BP519">
        <v>2023</v>
      </c>
      <c r="BQ519" t="str">
        <f t="shared" si="41"/>
        <v>Bangsakao6</v>
      </c>
      <c r="BR519">
        <f t="shared" si="42"/>
        <v>168.45063000000127</v>
      </c>
      <c r="BS519">
        <f t="shared" si="43"/>
        <v>4478.70892</v>
      </c>
      <c r="BT519" s="6">
        <f t="shared" si="44"/>
        <v>5.6007279422913143</v>
      </c>
    </row>
    <row r="520" spans="1:72">
      <c r="A520" s="3" t="s">
        <v>113</v>
      </c>
      <c r="B520" s="3" t="s">
        <v>408</v>
      </c>
      <c r="C520" s="3" t="s">
        <v>417</v>
      </c>
      <c r="D520" s="2" t="s">
        <v>435</v>
      </c>
      <c r="E520" s="4" t="str">
        <f t="shared" si="40"/>
        <v>BangsakaoCG-003-0025</v>
      </c>
      <c r="F520">
        <v>4.5599999999999996</v>
      </c>
      <c r="G520">
        <v>1.5</v>
      </c>
      <c r="H520" t="s">
        <v>72</v>
      </c>
      <c r="I520" t="s">
        <v>67</v>
      </c>
      <c r="J520" t="s">
        <v>68</v>
      </c>
      <c r="K520" t="s">
        <v>89</v>
      </c>
      <c r="L520" t="s">
        <v>89</v>
      </c>
      <c r="M520">
        <v>0.54111842105263153</v>
      </c>
      <c r="N520" s="5">
        <v>44774</v>
      </c>
      <c r="O520" s="5">
        <v>44837</v>
      </c>
      <c r="P520">
        <v>1.9152</v>
      </c>
      <c r="Q520" s="4">
        <v>175</v>
      </c>
      <c r="R520">
        <v>0.45</v>
      </c>
      <c r="S520" t="s">
        <v>70</v>
      </c>
      <c r="T520" s="6">
        <v>6</v>
      </c>
      <c r="U520" s="5">
        <v>44946</v>
      </c>
      <c r="V520" s="6">
        <v>2</v>
      </c>
      <c r="W520" t="s">
        <v>71</v>
      </c>
      <c r="X520" s="6">
        <v>109</v>
      </c>
      <c r="Y520">
        <v>35.66328</v>
      </c>
      <c r="Z520">
        <v>7.8208947368421056</v>
      </c>
      <c r="AA520" s="6">
        <v>39.52090217164546</v>
      </c>
      <c r="AB520" s="4">
        <v>73.592575187969928</v>
      </c>
      <c r="AC520" s="6">
        <v>25.303066100486358</v>
      </c>
      <c r="AD520">
        <v>0.348729711</v>
      </c>
      <c r="AE520">
        <v>1.7470601689820962</v>
      </c>
      <c r="AF520">
        <v>60800</v>
      </c>
      <c r="AG520" s="4">
        <v>10944</v>
      </c>
      <c r="AH520" s="4">
        <v>32900</v>
      </c>
      <c r="AL520">
        <v>26</v>
      </c>
      <c r="AM520">
        <v>7.5478800000000001</v>
      </c>
      <c r="AN520" t="s">
        <v>81</v>
      </c>
      <c r="AO520" t="s">
        <v>105</v>
      </c>
      <c r="AP520" s="5">
        <v>44837</v>
      </c>
      <c r="AQ520" t="s">
        <v>189</v>
      </c>
      <c r="AR520" s="5">
        <v>44945</v>
      </c>
      <c r="AS520">
        <v>251.08679207296694</v>
      </c>
      <c r="AT520" s="6"/>
      <c r="AU520">
        <v>24.166032961634482</v>
      </c>
      <c r="AV520">
        <v>57.27451793553481</v>
      </c>
      <c r="AW520">
        <v>36.137682793057728</v>
      </c>
      <c r="AX520">
        <v>117.57823369022704</v>
      </c>
      <c r="AY520">
        <v>19.622720063886437</v>
      </c>
      <c r="AZ520">
        <v>23.430607616573695</v>
      </c>
      <c r="BA520">
        <v>8.4588355305513101</v>
      </c>
      <c r="BB520">
        <v>14.486781922470398</v>
      </c>
      <c r="BC520">
        <v>16.177240848289898</v>
      </c>
      <c r="BD520">
        <v>82.176185981771738</v>
      </c>
      <c r="BE520">
        <v>51.332372400968183</v>
      </c>
      <c r="BF520">
        <v>17.779643936284039</v>
      </c>
      <c r="BH520">
        <v>17.779643936284039</v>
      </c>
      <c r="BI520">
        <v>217.53406360828285</v>
      </c>
      <c r="BJ520" s="6">
        <v>183</v>
      </c>
      <c r="BK520">
        <v>33.552728464684087</v>
      </c>
      <c r="BL520" s="4">
        <v>1196.6003499999988</v>
      </c>
      <c r="BM520" t="s">
        <v>436</v>
      </c>
      <c r="BN520" t="s">
        <v>65</v>
      </c>
      <c r="BO520">
        <v>1</v>
      </c>
      <c r="BP520">
        <v>2023</v>
      </c>
      <c r="BQ520" t="str">
        <f t="shared" si="41"/>
        <v>Bangsakao1</v>
      </c>
      <c r="BR520">
        <f t="shared" si="42"/>
        <v>-1231.5979800000016</v>
      </c>
      <c r="BS520">
        <f t="shared" si="43"/>
        <v>8954.5785700000015</v>
      </c>
      <c r="BT520" s="6">
        <f t="shared" si="44"/>
        <v>-34.53406360828285</v>
      </c>
    </row>
    <row r="521" spans="1:72">
      <c r="A521" s="3" t="s">
        <v>113</v>
      </c>
      <c r="B521" s="3" t="s">
        <v>408</v>
      </c>
      <c r="C521" s="3" t="s">
        <v>417</v>
      </c>
      <c r="D521" s="2" t="s">
        <v>437</v>
      </c>
      <c r="E521" s="4" t="str">
        <f t="shared" si="40"/>
        <v>BangsakaoCG-006-0028</v>
      </c>
      <c r="F521">
        <v>5.36</v>
      </c>
      <c r="G521">
        <v>1.5</v>
      </c>
      <c r="H521" t="s">
        <v>72</v>
      </c>
      <c r="I521" t="s">
        <v>67</v>
      </c>
      <c r="J521" t="s">
        <v>68</v>
      </c>
      <c r="K521" t="s">
        <v>89</v>
      </c>
      <c r="L521" t="s">
        <v>89</v>
      </c>
      <c r="M521">
        <v>0.60349312523225562</v>
      </c>
      <c r="N521" s="5">
        <v>44805</v>
      </c>
      <c r="O521" s="5">
        <v>44870</v>
      </c>
      <c r="P521">
        <v>2</v>
      </c>
      <c r="Q521" s="4">
        <v>155</v>
      </c>
      <c r="R521">
        <v>0.35</v>
      </c>
      <c r="S521" t="s">
        <v>70</v>
      </c>
      <c r="T521" s="6">
        <v>6</v>
      </c>
      <c r="U521" s="5">
        <v>44984</v>
      </c>
      <c r="V521" s="6">
        <v>2</v>
      </c>
      <c r="W521" t="s">
        <v>71</v>
      </c>
      <c r="X521" s="6">
        <v>114.00000000000001</v>
      </c>
      <c r="Y521">
        <v>42.14593</v>
      </c>
      <c r="Z521">
        <v>7.8630466417910441</v>
      </c>
      <c r="AA521" s="6">
        <v>38.750882944094485</v>
      </c>
      <c r="AB521" s="4">
        <v>81.659599999999998</v>
      </c>
      <c r="AC521" s="6">
        <v>25.805863609422527</v>
      </c>
      <c r="AD521">
        <v>0.34780701800000002</v>
      </c>
      <c r="AE521">
        <v>1.6231991898842661</v>
      </c>
      <c r="AF521">
        <v>67275</v>
      </c>
      <c r="AG521" s="4">
        <v>550</v>
      </c>
      <c r="AH521" s="4">
        <v>40600</v>
      </c>
      <c r="AL521">
        <v>25</v>
      </c>
      <c r="AM521">
        <v>18.933400000000002</v>
      </c>
      <c r="AN521" t="s">
        <v>81</v>
      </c>
      <c r="AO521" t="s">
        <v>438</v>
      </c>
      <c r="AP521" s="5">
        <v>44870</v>
      </c>
      <c r="AQ521" t="s">
        <v>170</v>
      </c>
      <c r="AR521" s="5">
        <v>44983</v>
      </c>
      <c r="AS521">
        <v>247.07783883283625</v>
      </c>
      <c r="AT521" s="6"/>
      <c r="AU521">
        <v>18.981666794397462</v>
      </c>
      <c r="AV521">
        <v>55.090748976235631</v>
      </c>
      <c r="AW521">
        <v>27.612183667556977</v>
      </c>
      <c r="AX521">
        <v>101.68459943819006</v>
      </c>
      <c r="AY521">
        <v>18.694973630905761</v>
      </c>
      <c r="AZ521">
        <v>29.4615876313561</v>
      </c>
      <c r="BA521">
        <v>7.5237447601701986</v>
      </c>
      <c r="BB521">
        <v>16.554098580811957</v>
      </c>
      <c r="BC521">
        <v>16.239598224549805</v>
      </c>
      <c r="BD521">
        <v>88.474002827793825</v>
      </c>
      <c r="BE521">
        <v>56.919236566852348</v>
      </c>
      <c r="BF521">
        <v>17.361936965206368</v>
      </c>
      <c r="BH521">
        <v>17.361936965206368</v>
      </c>
      <c r="BI521">
        <v>207.52053923119027</v>
      </c>
      <c r="BJ521" s="6">
        <v>184</v>
      </c>
      <c r="BK521">
        <v>39.557299601645987</v>
      </c>
      <c r="BL521" s="4">
        <v>1667.1791799999996</v>
      </c>
      <c r="BM521" t="s">
        <v>439</v>
      </c>
      <c r="BN521" t="s">
        <v>65</v>
      </c>
      <c r="BO521">
        <v>2</v>
      </c>
      <c r="BP521">
        <v>2023</v>
      </c>
      <c r="BQ521" t="str">
        <f t="shared" si="41"/>
        <v>Bangsakao2</v>
      </c>
      <c r="BR521">
        <f t="shared" si="42"/>
        <v>-991.29499999999894</v>
      </c>
      <c r="BS521">
        <f t="shared" si="43"/>
        <v>10413.325299999999</v>
      </c>
      <c r="BT521" s="6">
        <f t="shared" si="44"/>
        <v>-23.52053923119027</v>
      </c>
    </row>
    <row r="522" spans="1:72">
      <c r="A522" s="3" t="s">
        <v>113</v>
      </c>
      <c r="B522" s="3" t="s">
        <v>408</v>
      </c>
      <c r="C522" s="3" t="s">
        <v>417</v>
      </c>
      <c r="D522" s="2" t="s">
        <v>427</v>
      </c>
      <c r="E522" s="4" t="str">
        <f t="shared" si="40"/>
        <v>BangsakaoCG-003-0026</v>
      </c>
      <c r="F522">
        <v>4.5599999999999996</v>
      </c>
      <c r="G522">
        <v>1.5</v>
      </c>
      <c r="H522" t="s">
        <v>72</v>
      </c>
      <c r="I522" t="s">
        <v>67</v>
      </c>
      <c r="J522" t="s">
        <v>68</v>
      </c>
      <c r="K522" t="s">
        <v>89</v>
      </c>
      <c r="L522" t="s">
        <v>89</v>
      </c>
      <c r="M522">
        <v>0.35897435897435898</v>
      </c>
      <c r="N522" s="5">
        <v>44947</v>
      </c>
      <c r="O522" s="5">
        <v>44976</v>
      </c>
      <c r="P522">
        <v>1.8</v>
      </c>
      <c r="Q522" s="4">
        <v>164</v>
      </c>
      <c r="R522">
        <v>0.45</v>
      </c>
      <c r="S522" t="s">
        <v>70</v>
      </c>
      <c r="T522" s="6">
        <v>3</v>
      </c>
      <c r="U522" s="5">
        <v>45027</v>
      </c>
      <c r="V522" s="6">
        <v>2</v>
      </c>
      <c r="W522" t="s">
        <v>71</v>
      </c>
      <c r="X522" s="6">
        <v>51</v>
      </c>
      <c r="Y522">
        <v>26.844549999999998</v>
      </c>
      <c r="Z522">
        <v>5.8869627192982454</v>
      </c>
      <c r="AA522" s="6">
        <v>55.178015649358997</v>
      </c>
      <c r="AB522" s="4">
        <v>82.290499999999994</v>
      </c>
      <c r="AC522" s="6">
        <v>18.123159889524171</v>
      </c>
      <c r="AD522">
        <v>0.34768270899999998</v>
      </c>
      <c r="AE522">
        <v>1.4979915390365073</v>
      </c>
      <c r="AF522">
        <v>39000</v>
      </c>
      <c r="AG522" s="4">
        <v>10500</v>
      </c>
      <c r="AH522" s="4">
        <v>14000</v>
      </c>
      <c r="AL522">
        <v>55</v>
      </c>
      <c r="AM522">
        <v>9.2600599999999993</v>
      </c>
      <c r="AN522" t="s">
        <v>126</v>
      </c>
      <c r="AO522" t="s">
        <v>116</v>
      </c>
      <c r="AP522" s="5">
        <v>44976</v>
      </c>
      <c r="AQ522" t="s">
        <v>127</v>
      </c>
      <c r="AR522" s="5">
        <v>45025</v>
      </c>
      <c r="AS522">
        <v>145.16771821468419</v>
      </c>
      <c r="AT522" s="6"/>
      <c r="AU522">
        <v>30.173722412929251</v>
      </c>
      <c r="AV522">
        <v>52.898318280619357</v>
      </c>
      <c r="AW522">
        <v>23.826910117696141</v>
      </c>
      <c r="AX522">
        <v>106.89895081124476</v>
      </c>
      <c r="AY522">
        <v>13.521915621606622</v>
      </c>
      <c r="AZ522">
        <v>24.926617507091759</v>
      </c>
      <c r="BA522">
        <v>6.1171098044109522</v>
      </c>
      <c r="BB522">
        <v>18.405663346936343</v>
      </c>
      <c r="BC522">
        <v>12.758412415182971</v>
      </c>
      <c r="BD522">
        <v>75.729718695228655</v>
      </c>
      <c r="BE522">
        <v>-37.460951291789229</v>
      </c>
      <c r="BF522">
        <v>12.013495476735502</v>
      </c>
      <c r="BH522">
        <v>12.013495476735502</v>
      </c>
      <c r="BI522">
        <v>194.64216498320886</v>
      </c>
      <c r="BJ522" s="6">
        <v>165</v>
      </c>
      <c r="BK522">
        <v>-49.474446768524665</v>
      </c>
      <c r="BL522" s="4">
        <v>-1328.1192599999988</v>
      </c>
      <c r="BM522" t="s">
        <v>428</v>
      </c>
      <c r="BN522" t="s">
        <v>65</v>
      </c>
      <c r="BO522">
        <v>4</v>
      </c>
      <c r="BP522">
        <v>2023</v>
      </c>
      <c r="BQ522" t="str">
        <f t="shared" si="41"/>
        <v>Bangsakao4</v>
      </c>
      <c r="BR522">
        <f t="shared" si="42"/>
        <v>-795.73057999999924</v>
      </c>
      <c r="BS522">
        <f t="shared" si="43"/>
        <v>3896.96207</v>
      </c>
      <c r="BT522" s="6">
        <f t="shared" si="44"/>
        <v>-29.642164983208858</v>
      </c>
    </row>
    <row r="523" spans="1:72">
      <c r="A523" s="3" t="s">
        <v>113</v>
      </c>
      <c r="B523" s="3" t="s">
        <v>408</v>
      </c>
      <c r="C523" s="3" t="s">
        <v>417</v>
      </c>
      <c r="D523" s="2" t="s">
        <v>2651</v>
      </c>
      <c r="E523" s="4" t="str">
        <f t="shared" si="40"/>
        <v>BangsakaoDG-001-0028</v>
      </c>
      <c r="F523">
        <v>2</v>
      </c>
      <c r="G523">
        <v>1.5</v>
      </c>
      <c r="H523" t="s">
        <v>72</v>
      </c>
      <c r="I523" t="s">
        <v>67</v>
      </c>
      <c r="J523" t="s">
        <v>68</v>
      </c>
      <c r="K523" t="s">
        <v>89</v>
      </c>
      <c r="L523" t="s">
        <v>89</v>
      </c>
      <c r="M523">
        <v>1.4765925925925927</v>
      </c>
      <c r="N523" s="5">
        <v>45113</v>
      </c>
      <c r="O523" s="5">
        <v>45132</v>
      </c>
      <c r="P523">
        <v>0.8</v>
      </c>
      <c r="Q523" s="4">
        <v>167</v>
      </c>
      <c r="R523">
        <v>0.7</v>
      </c>
      <c r="S523" t="s">
        <v>70</v>
      </c>
      <c r="T523" s="6">
        <v>5</v>
      </c>
      <c r="U523" s="5">
        <v>45244</v>
      </c>
      <c r="V523" s="6">
        <v>2</v>
      </c>
      <c r="W523" t="s">
        <v>71</v>
      </c>
      <c r="X523" s="6">
        <v>112</v>
      </c>
      <c r="Y523">
        <v>14.999700000000001</v>
      </c>
      <c r="Z523">
        <v>7.4998500000000003</v>
      </c>
      <c r="AA523" s="6">
        <v>36.361927238544766</v>
      </c>
      <c r="AB523" s="4">
        <v>68.177250000000001</v>
      </c>
      <c r="AC523" s="6">
        <v>27.501292586603306</v>
      </c>
      <c r="AD523">
        <v>0.337156593</v>
      </c>
      <c r="AE523">
        <v>1.8698449413768983</v>
      </c>
      <c r="AF523">
        <v>27000</v>
      </c>
      <c r="AG523" s="4">
        <v>12331</v>
      </c>
      <c r="AH523" s="4">
        <v>39868</v>
      </c>
      <c r="AL523">
        <v>26</v>
      </c>
      <c r="AM523">
        <v>5.9887199999999998</v>
      </c>
      <c r="AN523" t="s">
        <v>81</v>
      </c>
      <c r="AO523" t="s">
        <v>215</v>
      </c>
      <c r="AP523" s="5">
        <v>45132</v>
      </c>
      <c r="AQ523" t="s">
        <v>106</v>
      </c>
      <c r="AR523" s="5">
        <v>45243</v>
      </c>
      <c r="AS523">
        <v>200.22331113288936</v>
      </c>
      <c r="AT523" s="6"/>
      <c r="AU523">
        <v>26.667200010666875</v>
      </c>
      <c r="AV523">
        <v>53.113265598645292</v>
      </c>
      <c r="AW523">
        <v>32.405218104362078</v>
      </c>
      <c r="AX523">
        <v>112.18568371367424</v>
      </c>
      <c r="AY523">
        <v>28.526415194970564</v>
      </c>
      <c r="AZ523">
        <v>34.98258298499303</v>
      </c>
      <c r="BA523">
        <v>9.6243938212097557</v>
      </c>
      <c r="BB523">
        <v>12.959307186143727</v>
      </c>
      <c r="BC523">
        <v>14.782220311072885</v>
      </c>
      <c r="BD523">
        <v>100.87491949838994</v>
      </c>
      <c r="BE523">
        <v>-12.837292079174816</v>
      </c>
      <c r="BF523">
        <v>16.613962945925582</v>
      </c>
      <c r="BH523">
        <v>16.613962945925582</v>
      </c>
      <c r="BI523">
        <v>229.67456615798983</v>
      </c>
      <c r="BJ523" s="6">
        <v>186</v>
      </c>
      <c r="BK523">
        <v>-29.451255025100483</v>
      </c>
      <c r="BL523" s="4">
        <v>-441.75998999999973</v>
      </c>
      <c r="BM523" t="s">
        <v>2652</v>
      </c>
      <c r="BN523" t="s">
        <v>65</v>
      </c>
      <c r="BO523">
        <v>11</v>
      </c>
      <c r="BP523">
        <v>2023</v>
      </c>
      <c r="BQ523" t="str">
        <f t="shared" si="41"/>
        <v>Bangsakao11</v>
      </c>
      <c r="BR523">
        <f t="shared" si="42"/>
        <v>-655.10539000000006</v>
      </c>
      <c r="BS523">
        <f t="shared" si="43"/>
        <v>3003.2896000000005</v>
      </c>
      <c r="BT523" s="6">
        <f t="shared" si="44"/>
        <v>-43.67456615798983</v>
      </c>
    </row>
    <row r="524" spans="1:72">
      <c r="A524" s="3" t="s">
        <v>113</v>
      </c>
      <c r="B524" s="3" t="s">
        <v>408</v>
      </c>
      <c r="C524" s="3" t="s">
        <v>417</v>
      </c>
      <c r="D524" s="2" t="s">
        <v>1877</v>
      </c>
      <c r="E524" s="4" t="str">
        <f t="shared" si="40"/>
        <v>BangsakaoDG-005-0026</v>
      </c>
      <c r="F524">
        <v>2</v>
      </c>
      <c r="G524">
        <v>1.5</v>
      </c>
      <c r="H524" t="s">
        <v>72</v>
      </c>
      <c r="I524" t="s">
        <v>67</v>
      </c>
      <c r="J524" t="s">
        <v>68</v>
      </c>
      <c r="K524" t="s">
        <v>89</v>
      </c>
      <c r="L524" t="s">
        <v>89</v>
      </c>
      <c r="M524">
        <v>1.3234126333059886</v>
      </c>
      <c r="N524" s="5">
        <v>45094</v>
      </c>
      <c r="O524" s="5">
        <v>45112</v>
      </c>
      <c r="P524">
        <v>0.8</v>
      </c>
      <c r="Q524" s="4">
        <v>167</v>
      </c>
      <c r="R524">
        <v>0.5</v>
      </c>
      <c r="S524" t="s">
        <v>70</v>
      </c>
      <c r="T524" s="6">
        <v>5</v>
      </c>
      <c r="U524" s="5">
        <v>45231</v>
      </c>
      <c r="V524" s="6">
        <v>2</v>
      </c>
      <c r="W524" t="s">
        <v>71</v>
      </c>
      <c r="X524" s="6">
        <v>119</v>
      </c>
      <c r="Y524">
        <v>14.560270000000001</v>
      </c>
      <c r="Z524">
        <v>7.2801350000000005</v>
      </c>
      <c r="AA524" s="6">
        <v>36.02385120605593</v>
      </c>
      <c r="AB524" s="4">
        <v>65.564624999999992</v>
      </c>
      <c r="AC524" s="6">
        <v>27.759386254401669</v>
      </c>
      <c r="AD524">
        <v>0.33193277300000001</v>
      </c>
      <c r="AE524">
        <v>2.1521482288120213</v>
      </c>
      <c r="AF524">
        <v>30475</v>
      </c>
      <c r="AG524" s="4">
        <v>11648</v>
      </c>
      <c r="AH524" s="4">
        <v>40331</v>
      </c>
      <c r="AL524">
        <v>25</v>
      </c>
      <c r="AM524">
        <v>5.7004899999999994</v>
      </c>
      <c r="AN524" t="s">
        <v>81</v>
      </c>
      <c r="AO524" t="s">
        <v>93</v>
      </c>
      <c r="AP524" s="5">
        <v>45112</v>
      </c>
      <c r="AQ524" t="s">
        <v>99</v>
      </c>
      <c r="AR524" s="5">
        <v>45229</v>
      </c>
      <c r="AS524">
        <v>192.43261560396883</v>
      </c>
      <c r="AT524" s="6"/>
      <c r="AU524">
        <v>24.724816229369374</v>
      </c>
      <c r="AV524">
        <v>62.378453833617087</v>
      </c>
      <c r="AW524">
        <v>41.633811048833557</v>
      </c>
      <c r="AX524">
        <v>128.73708111182</v>
      </c>
      <c r="AY524">
        <v>30.955382008712753</v>
      </c>
      <c r="AZ524">
        <v>36.045793793659037</v>
      </c>
      <c r="BA524">
        <v>9.1769259773342124</v>
      </c>
      <c r="BB524">
        <v>14.340722390450175</v>
      </c>
      <c r="BC524">
        <v>16.438947217324955</v>
      </c>
      <c r="BD524">
        <v>106.95777138748112</v>
      </c>
      <c r="BE524">
        <v>-43.262236895332293</v>
      </c>
      <c r="BF524">
        <v>18.378497102045497</v>
      </c>
      <c r="BH524">
        <v>18.378497102045497</v>
      </c>
      <c r="BI524">
        <v>254.07334960134665</v>
      </c>
      <c r="BJ524" s="6">
        <v>186</v>
      </c>
      <c r="BK524">
        <v>-61.640733997377822</v>
      </c>
      <c r="BL524" s="4">
        <v>-897.50573000000043</v>
      </c>
      <c r="BM524" t="s">
        <v>1878</v>
      </c>
      <c r="BN524" t="s">
        <v>65</v>
      </c>
      <c r="BO524">
        <v>11</v>
      </c>
      <c r="BP524">
        <v>2023</v>
      </c>
      <c r="BQ524" t="str">
        <f t="shared" si="41"/>
        <v>Bangsakao11</v>
      </c>
      <c r="BR524">
        <f t="shared" si="42"/>
        <v>-991.16634999999962</v>
      </c>
      <c r="BS524">
        <f t="shared" si="43"/>
        <v>2801.8708399999996</v>
      </c>
      <c r="BT524" s="6">
        <f t="shared" si="44"/>
        <v>-68.073349601346649</v>
      </c>
    </row>
    <row r="525" spans="1:72">
      <c r="A525" s="3" t="s">
        <v>113</v>
      </c>
      <c r="B525" s="3" t="s">
        <v>408</v>
      </c>
      <c r="C525" s="3" t="s">
        <v>417</v>
      </c>
      <c r="D525" s="2" t="s">
        <v>2649</v>
      </c>
      <c r="E525" s="4" t="str">
        <f t="shared" si="40"/>
        <v>BangsakaoDG-002-0026</v>
      </c>
      <c r="F525">
        <v>2</v>
      </c>
      <c r="G525">
        <v>1.5</v>
      </c>
      <c r="H525" t="s">
        <v>72</v>
      </c>
      <c r="I525" t="s">
        <v>67</v>
      </c>
      <c r="J525" t="s">
        <v>68</v>
      </c>
      <c r="K525" t="s">
        <v>89</v>
      </c>
      <c r="L525" t="s">
        <v>89</v>
      </c>
      <c r="M525">
        <v>1.4815247364152473</v>
      </c>
      <c r="N525" s="5">
        <v>45141</v>
      </c>
      <c r="O525" s="5">
        <v>45168</v>
      </c>
      <c r="P525">
        <v>0.8</v>
      </c>
      <c r="Q525" s="4">
        <v>167</v>
      </c>
      <c r="R525">
        <v>0.42</v>
      </c>
      <c r="S525" t="s">
        <v>70</v>
      </c>
      <c r="T525" s="6">
        <v>4</v>
      </c>
      <c r="U525" s="5">
        <v>45279</v>
      </c>
      <c r="V525" s="6">
        <v>2</v>
      </c>
      <c r="W525" t="s">
        <v>71</v>
      </c>
      <c r="X525" s="6">
        <v>111</v>
      </c>
      <c r="Y525">
        <v>13.286569999999999</v>
      </c>
      <c r="Z525">
        <v>6.6432849999999997</v>
      </c>
      <c r="AA525" s="6">
        <v>38.112620488207263</v>
      </c>
      <c r="AB525" s="4">
        <v>63.298250000000003</v>
      </c>
      <c r="AC525" s="6">
        <v>26.238027907564586</v>
      </c>
      <c r="AD525">
        <v>0.32988321700000001</v>
      </c>
      <c r="AE525">
        <v>2.3801894113422879</v>
      </c>
      <c r="AF525">
        <v>30825</v>
      </c>
      <c r="AG525" s="4">
        <v>12721</v>
      </c>
      <c r="AH525" s="4">
        <v>45668</v>
      </c>
      <c r="AL525">
        <v>27</v>
      </c>
      <c r="AM525">
        <v>3.8923800000000002</v>
      </c>
      <c r="AN525" t="s">
        <v>81</v>
      </c>
      <c r="AO525" t="s">
        <v>90</v>
      </c>
      <c r="AP525" s="5">
        <v>45168</v>
      </c>
      <c r="AQ525" t="s">
        <v>93</v>
      </c>
      <c r="AR525" s="5">
        <v>45275</v>
      </c>
      <c r="AS525">
        <v>222.57566926603329</v>
      </c>
      <c r="AT525" s="6"/>
      <c r="AU525">
        <v>27.095029040602657</v>
      </c>
      <c r="AV525">
        <v>70.128139166090293</v>
      </c>
      <c r="AW525">
        <v>61.014885707899019</v>
      </c>
      <c r="AX525">
        <v>158.238053914592</v>
      </c>
      <c r="AY525">
        <v>33.262936935567275</v>
      </c>
      <c r="AZ525">
        <v>41.979592927294249</v>
      </c>
      <c r="BA525">
        <v>15.937962920452756</v>
      </c>
      <c r="BB525">
        <v>14.833872097915421</v>
      </c>
      <c r="BC525">
        <v>17.20300047341037</v>
      </c>
      <c r="BD525">
        <v>123.21736535464005</v>
      </c>
      <c r="BE525">
        <v>-58.879750003198765</v>
      </c>
      <c r="BF525">
        <v>19.526433835068044</v>
      </c>
      <c r="BH525">
        <v>19.526433835068044</v>
      </c>
      <c r="BI525">
        <v>300.98185310430006</v>
      </c>
      <c r="BJ525" s="6">
        <v>184</v>
      </c>
      <c r="BK525">
        <v>-78.406183838266756</v>
      </c>
      <c r="BL525" s="4">
        <v>-1041.7492500000001</v>
      </c>
      <c r="BM525" t="s">
        <v>2650</v>
      </c>
      <c r="BN525" t="s">
        <v>65</v>
      </c>
      <c r="BO525">
        <v>12</v>
      </c>
      <c r="BP525">
        <v>2023</v>
      </c>
      <c r="BQ525" t="str">
        <f t="shared" si="41"/>
        <v>Bangsakao12</v>
      </c>
      <c r="BR525">
        <f t="shared" si="42"/>
        <v>-1554.2875799999999</v>
      </c>
      <c r="BS525">
        <f t="shared" si="43"/>
        <v>2957.2672099999995</v>
      </c>
      <c r="BT525" s="6">
        <f t="shared" si="44"/>
        <v>-116.98185310430006</v>
      </c>
    </row>
    <row r="526" spans="1:72">
      <c r="A526" s="3" t="s">
        <v>113</v>
      </c>
      <c r="B526" s="3" t="s">
        <v>408</v>
      </c>
      <c r="C526" s="3" t="s">
        <v>417</v>
      </c>
      <c r="D526" s="2" t="s">
        <v>2655</v>
      </c>
      <c r="E526" s="4" t="str">
        <f t="shared" si="40"/>
        <v>BangsakaoDG-006-0027</v>
      </c>
      <c r="F526">
        <v>2</v>
      </c>
      <c r="G526">
        <v>1.5</v>
      </c>
      <c r="H526" t="s">
        <v>72</v>
      </c>
      <c r="I526" t="s">
        <v>67</v>
      </c>
      <c r="J526" t="s">
        <v>68</v>
      </c>
      <c r="K526" t="s">
        <v>89</v>
      </c>
      <c r="L526" t="s">
        <v>89</v>
      </c>
      <c r="M526">
        <v>1.2588273615635179</v>
      </c>
      <c r="N526" s="5">
        <v>45094</v>
      </c>
      <c r="O526" s="5">
        <v>45118</v>
      </c>
      <c r="P526">
        <v>0.8</v>
      </c>
      <c r="Q526" s="4">
        <v>167</v>
      </c>
      <c r="R526">
        <v>0.7</v>
      </c>
      <c r="S526" t="s">
        <v>70</v>
      </c>
      <c r="T526" s="6">
        <v>6</v>
      </c>
      <c r="U526" s="5">
        <v>45238</v>
      </c>
      <c r="V526" s="6">
        <v>2</v>
      </c>
      <c r="W526" t="s">
        <v>71</v>
      </c>
      <c r="X526" s="6">
        <v>120</v>
      </c>
      <c r="Y526">
        <v>15.88205</v>
      </c>
      <c r="Z526">
        <v>7.9410249999999998</v>
      </c>
      <c r="AA526" s="6">
        <v>35.399082612131309</v>
      </c>
      <c r="AB526" s="4">
        <v>70.27624999999999</v>
      </c>
      <c r="AC526" s="6">
        <v>28.249319649241382</v>
      </c>
      <c r="AD526">
        <v>0.32750000000000001</v>
      </c>
      <c r="AE526">
        <v>2.0036483368739826</v>
      </c>
      <c r="AF526">
        <v>30700</v>
      </c>
      <c r="AG526" s="4">
        <v>18957</v>
      </c>
      <c r="AH526" s="4">
        <v>38646</v>
      </c>
      <c r="AL526">
        <v>25</v>
      </c>
      <c r="AM526">
        <v>5.1554099999999998</v>
      </c>
      <c r="AN526" t="s">
        <v>81</v>
      </c>
      <c r="AO526" t="s">
        <v>215</v>
      </c>
      <c r="AP526" s="5">
        <v>45118</v>
      </c>
      <c r="AQ526" t="s">
        <v>99</v>
      </c>
      <c r="AR526" s="5">
        <v>45236</v>
      </c>
      <c r="AS526">
        <v>199.41237623606526</v>
      </c>
      <c r="AT526" s="6"/>
      <c r="AU526">
        <v>25.185665578436033</v>
      </c>
      <c r="AV526">
        <v>57.331681363551937</v>
      </c>
      <c r="AW526">
        <v>43.905235785052952</v>
      </c>
      <c r="AX526">
        <v>126.42258272704093</v>
      </c>
      <c r="AY526">
        <v>29.836176060395221</v>
      </c>
      <c r="AZ526">
        <v>33.091897456562606</v>
      </c>
      <c r="BA526">
        <v>8.8846723187497858</v>
      </c>
      <c r="BB526">
        <v>13.878952654096919</v>
      </c>
      <c r="BC526">
        <v>15.928509228972329</v>
      </c>
      <c r="BD526">
        <v>101.62020771877687</v>
      </c>
      <c r="BE526">
        <v>-28.630414209752544</v>
      </c>
      <c r="BF526">
        <v>17.721533429248741</v>
      </c>
      <c r="BH526">
        <v>17.721533429248741</v>
      </c>
      <c r="BI526">
        <v>245.76432387506654</v>
      </c>
      <c r="BJ526" s="6">
        <v>187</v>
      </c>
      <c r="BK526">
        <v>-46.351947639001274</v>
      </c>
      <c r="BL526" s="4">
        <v>-736.16395000000023</v>
      </c>
      <c r="BM526" t="s">
        <v>2656</v>
      </c>
      <c r="BN526" t="s">
        <v>65</v>
      </c>
      <c r="BO526">
        <v>11</v>
      </c>
      <c r="BP526">
        <v>2023</v>
      </c>
      <c r="BQ526" t="str">
        <f t="shared" si="41"/>
        <v>Bangsakao11</v>
      </c>
      <c r="BR526">
        <f t="shared" si="42"/>
        <v>-933.29793000000052</v>
      </c>
      <c r="BS526">
        <f t="shared" si="43"/>
        <v>3167.0773300000001</v>
      </c>
      <c r="BT526" s="6">
        <f t="shared" si="44"/>
        <v>-58.764323875066538</v>
      </c>
    </row>
    <row r="527" spans="1:72">
      <c r="A527" s="3" t="s">
        <v>113</v>
      </c>
      <c r="B527" s="3" t="s">
        <v>408</v>
      </c>
      <c r="C527" s="3" t="s">
        <v>417</v>
      </c>
      <c r="D527" s="2" t="s">
        <v>2858</v>
      </c>
      <c r="E527" s="4" t="str">
        <f t="shared" si="40"/>
        <v>BangsakaoCG-006-0031</v>
      </c>
      <c r="F527">
        <v>5.36</v>
      </c>
      <c r="G527">
        <v>1.5</v>
      </c>
      <c r="H527" t="s">
        <v>72</v>
      </c>
      <c r="I527" t="s">
        <v>67</v>
      </c>
      <c r="J527" t="s">
        <v>68</v>
      </c>
      <c r="K527" t="s">
        <v>89</v>
      </c>
      <c r="N527" s="5">
        <v>45155</v>
      </c>
      <c r="O527" s="5">
        <v>45193</v>
      </c>
      <c r="P527">
        <v>2</v>
      </c>
      <c r="Q527" s="4">
        <v>155</v>
      </c>
      <c r="R527">
        <v>0.3</v>
      </c>
      <c r="S527" t="s">
        <v>70</v>
      </c>
      <c r="T527" s="6">
        <v>6</v>
      </c>
      <c r="U527" s="5">
        <v>45289</v>
      </c>
      <c r="V527" s="6">
        <v>2</v>
      </c>
      <c r="W527" t="s">
        <v>71</v>
      </c>
      <c r="X527" s="6">
        <v>96</v>
      </c>
      <c r="Y527">
        <v>31.556189999999997</v>
      </c>
      <c r="Z527">
        <v>5.8873488805970142</v>
      </c>
      <c r="AA527" s="6">
        <v>44.371484643741844</v>
      </c>
      <c r="AB527" s="4">
        <v>70.009749999999997</v>
      </c>
      <c r="AC527" s="6">
        <v>22.536996632611888</v>
      </c>
      <c r="AD527">
        <v>0.32239583300000002</v>
      </c>
      <c r="AE527">
        <v>2.0916656733273702</v>
      </c>
      <c r="AF527">
        <v>64750</v>
      </c>
      <c r="AG527" s="4"/>
      <c r="AH527" s="4"/>
      <c r="AL527">
        <v>32</v>
      </c>
      <c r="AM527">
        <v>9.4854599999999998</v>
      </c>
      <c r="AN527" t="s">
        <v>81</v>
      </c>
      <c r="AO527" t="s">
        <v>90</v>
      </c>
      <c r="AP527" s="5">
        <v>45194</v>
      </c>
      <c r="AQ527" t="s">
        <v>148</v>
      </c>
      <c r="AR527" s="5">
        <v>45287</v>
      </c>
      <c r="AS527">
        <v>201.17293627652774</v>
      </c>
      <c r="AT527" s="6"/>
      <c r="AU527">
        <v>25.351602966010788</v>
      </c>
      <c r="AV527">
        <v>62.870200743499154</v>
      </c>
      <c r="AW527">
        <v>58.959479265399288</v>
      </c>
      <c r="AX527">
        <v>147.18128297490924</v>
      </c>
      <c r="AY527">
        <v>27.577396700932532</v>
      </c>
      <c r="AZ527">
        <v>27.072786353485643</v>
      </c>
      <c r="BA527">
        <v>10.765807595910664</v>
      </c>
      <c r="BB527">
        <v>17.060666069002632</v>
      </c>
      <c r="BC527">
        <v>19.277829801379703</v>
      </c>
      <c r="BD527">
        <v>101.75448652071118</v>
      </c>
      <c r="BE527">
        <v>-47.762833219092684</v>
      </c>
      <c r="BF527">
        <v>27.027854756863867</v>
      </c>
      <c r="BH527">
        <v>27.027854756863867</v>
      </c>
      <c r="BI527">
        <v>275.96362425248418</v>
      </c>
      <c r="BJ527" s="6">
        <v>177</v>
      </c>
      <c r="BK527">
        <v>-74.790687975956459</v>
      </c>
      <c r="BL527" s="4">
        <v>-2360.1091599999972</v>
      </c>
      <c r="BM527" t="s">
        <v>2859</v>
      </c>
      <c r="BN527" t="s">
        <v>65</v>
      </c>
      <c r="BO527">
        <v>12</v>
      </c>
      <c r="BP527">
        <v>2023</v>
      </c>
      <c r="BQ527" t="str">
        <f t="shared" si="41"/>
        <v>Bangsakao12</v>
      </c>
      <c r="BR527">
        <f t="shared" si="42"/>
        <v>-3122.9149299999985</v>
      </c>
      <c r="BS527">
        <f t="shared" si="43"/>
        <v>6348.251400000001</v>
      </c>
      <c r="BT527" s="6">
        <f t="shared" si="44"/>
        <v>-98.96362425248418</v>
      </c>
    </row>
    <row r="528" spans="1:72">
      <c r="A528" s="3" t="s">
        <v>113</v>
      </c>
      <c r="B528" s="3" t="s">
        <v>408</v>
      </c>
      <c r="C528" s="3" t="s">
        <v>417</v>
      </c>
      <c r="D528" s="2" t="s">
        <v>447</v>
      </c>
      <c r="E528" s="4" t="str">
        <f t="shared" si="40"/>
        <v>BangsakaoCG-008-0028</v>
      </c>
      <c r="F528">
        <v>3.73</v>
      </c>
      <c r="G528">
        <v>1.5</v>
      </c>
      <c r="H528" t="s">
        <v>72</v>
      </c>
      <c r="I528" t="s">
        <v>67</v>
      </c>
      <c r="J528" t="s">
        <v>68</v>
      </c>
      <c r="K528" t="s">
        <v>89</v>
      </c>
      <c r="L528" t="s">
        <v>89</v>
      </c>
      <c r="M528">
        <v>0.57101761956130892</v>
      </c>
      <c r="N528" s="5">
        <v>44819</v>
      </c>
      <c r="O528" s="5">
        <v>44884</v>
      </c>
      <c r="P528">
        <v>1.4</v>
      </c>
      <c r="Q528" s="4">
        <v>156</v>
      </c>
      <c r="R528">
        <v>0.4</v>
      </c>
      <c r="S528" t="s">
        <v>70</v>
      </c>
      <c r="T528" s="6">
        <v>6</v>
      </c>
      <c r="U528" s="5">
        <v>45020</v>
      </c>
      <c r="V528" s="6">
        <v>1</v>
      </c>
      <c r="W528" t="s">
        <v>86</v>
      </c>
      <c r="X528" s="6">
        <v>136</v>
      </c>
      <c r="Y528">
        <v>38.166489999999996</v>
      </c>
      <c r="Z528">
        <v>10.232302949061662</v>
      </c>
      <c r="AA528" s="6">
        <v>33.350722060110847</v>
      </c>
      <c r="AB528" s="4">
        <v>90.92</v>
      </c>
      <c r="AC528" s="6">
        <v>29.984358305574759</v>
      </c>
      <c r="AD528">
        <v>0.31675191800000002</v>
      </c>
      <c r="AE528">
        <v>1.8487500428782373</v>
      </c>
      <c r="AF528">
        <v>69525</v>
      </c>
      <c r="AG528" s="4">
        <v>0</v>
      </c>
      <c r="AH528" s="4">
        <v>39700</v>
      </c>
      <c r="AL528">
        <v>23</v>
      </c>
      <c r="AM528">
        <v>17.722300000000001</v>
      </c>
      <c r="AN528" t="s">
        <v>81</v>
      </c>
      <c r="AO528" t="s">
        <v>97</v>
      </c>
      <c r="AP528" s="5">
        <v>44887</v>
      </c>
      <c r="AQ528" t="s">
        <v>144</v>
      </c>
      <c r="AR528" s="5">
        <v>45019</v>
      </c>
      <c r="AS528">
        <v>254.82530591626326</v>
      </c>
      <c r="AT528" s="6"/>
      <c r="AU528">
        <v>14.672556999608821</v>
      </c>
      <c r="AV528">
        <v>63.772871699755505</v>
      </c>
      <c r="AW528">
        <v>22.968950773309249</v>
      </c>
      <c r="AX528">
        <v>101.41437947267357</v>
      </c>
      <c r="AY528">
        <v>16.963358695022777</v>
      </c>
      <c r="AZ528">
        <v>28.57396999304887</v>
      </c>
      <c r="BA528">
        <v>6.9672904162787832</v>
      </c>
      <c r="BB528">
        <v>16.470033529412845</v>
      </c>
      <c r="BC528">
        <v>15.779404655759542</v>
      </c>
      <c r="BD528">
        <v>84.754057289522819</v>
      </c>
      <c r="BE528">
        <v>68.656869154066868</v>
      </c>
      <c r="BF528">
        <v>15.525040945604383</v>
      </c>
      <c r="BH528">
        <v>15.525040945604383</v>
      </c>
      <c r="BI528">
        <v>201.69347770780078</v>
      </c>
      <c r="BJ528" s="6">
        <v>191</v>
      </c>
      <c r="BK528">
        <v>53.131828208462494</v>
      </c>
      <c r="BL528" s="4">
        <v>2027.8553900000015</v>
      </c>
      <c r="BM528" t="s">
        <v>448</v>
      </c>
      <c r="BN528" t="s">
        <v>65</v>
      </c>
      <c r="BO528">
        <v>4</v>
      </c>
      <c r="BP528">
        <v>2023</v>
      </c>
      <c r="BQ528" t="str">
        <f t="shared" si="41"/>
        <v>Bangsakao4</v>
      </c>
      <c r="BR528">
        <f t="shared" si="42"/>
        <v>-408.13251000000139</v>
      </c>
      <c r="BS528">
        <f t="shared" si="43"/>
        <v>9725.7874900000024</v>
      </c>
      <c r="BT528" s="6">
        <f t="shared" si="44"/>
        <v>-10.693477707800781</v>
      </c>
    </row>
    <row r="529" spans="1:72">
      <c r="A529" s="3" t="s">
        <v>113</v>
      </c>
      <c r="B529" s="3" t="s">
        <v>408</v>
      </c>
      <c r="C529" s="3" t="s">
        <v>417</v>
      </c>
      <c r="D529" s="2" t="s">
        <v>442</v>
      </c>
      <c r="E529" s="4" t="str">
        <f t="shared" si="40"/>
        <v>BangsakaoCG-002-0027</v>
      </c>
      <c r="F529">
        <v>3.45</v>
      </c>
      <c r="G529">
        <v>1.5</v>
      </c>
      <c r="H529" t="s">
        <v>72</v>
      </c>
      <c r="I529" t="s">
        <v>67</v>
      </c>
      <c r="J529" t="s">
        <v>68</v>
      </c>
      <c r="K529" t="s">
        <v>89</v>
      </c>
      <c r="L529" t="s">
        <v>89</v>
      </c>
      <c r="M529">
        <v>0.54240362811791387</v>
      </c>
      <c r="N529" s="5">
        <v>44783</v>
      </c>
      <c r="O529" s="5">
        <v>44873</v>
      </c>
      <c r="P529">
        <v>1.4</v>
      </c>
      <c r="Q529" s="4">
        <v>169</v>
      </c>
      <c r="R529">
        <v>0.35</v>
      </c>
      <c r="S529" t="s">
        <v>70</v>
      </c>
      <c r="T529" s="6">
        <v>5</v>
      </c>
      <c r="U529" s="5">
        <v>44996</v>
      </c>
      <c r="V529" s="6">
        <v>1</v>
      </c>
      <c r="W529" t="s">
        <v>86</v>
      </c>
      <c r="X529" s="6">
        <v>123</v>
      </c>
      <c r="Y529">
        <v>34.349650000000004</v>
      </c>
      <c r="Z529">
        <v>9.9564202898550729</v>
      </c>
      <c r="AA529" s="6">
        <v>35.993496294722071</v>
      </c>
      <c r="AB529" s="4">
        <v>88.311714285714288</v>
      </c>
      <c r="AC529" s="6">
        <v>27.782796975647948</v>
      </c>
      <c r="AD529">
        <v>0.30984990600000001</v>
      </c>
      <c r="AE529">
        <v>1.6280439992734714</v>
      </c>
      <c r="AF529">
        <v>55125</v>
      </c>
      <c r="AG529" s="4">
        <v>8780</v>
      </c>
      <c r="AH529" s="4">
        <v>29900</v>
      </c>
      <c r="AL529">
        <v>26</v>
      </c>
      <c r="AM529">
        <v>18.782720000000001</v>
      </c>
      <c r="AN529" t="s">
        <v>81</v>
      </c>
      <c r="AO529" t="s">
        <v>148</v>
      </c>
      <c r="AP529" s="5">
        <v>44875</v>
      </c>
      <c r="AQ529" t="s">
        <v>116</v>
      </c>
      <c r="AR529" s="5">
        <v>44995</v>
      </c>
      <c r="AS529">
        <v>250.45454174933371</v>
      </c>
      <c r="AT529" s="6"/>
      <c r="AU529">
        <v>16.302931762041244</v>
      </c>
      <c r="AV529">
        <v>56.281896904335262</v>
      </c>
      <c r="AW529">
        <v>27.241468253679443</v>
      </c>
      <c r="AX529">
        <v>99.826296920055952</v>
      </c>
      <c r="AY529">
        <v>18.941574368297786</v>
      </c>
      <c r="AZ529">
        <v>27.053068662999475</v>
      </c>
      <c r="BA529">
        <v>7.7927029824175786</v>
      </c>
      <c r="BB529">
        <v>17.137962104417362</v>
      </c>
      <c r="BC529">
        <v>16.127619640957043</v>
      </c>
      <c r="BD529">
        <v>87.052927759089229</v>
      </c>
      <c r="BE529">
        <v>63.575317070188547</v>
      </c>
      <c r="BF529">
        <v>17.238284524005341</v>
      </c>
      <c r="BH529">
        <v>17.238284524005341</v>
      </c>
      <c r="BI529">
        <v>204.11750920315049</v>
      </c>
      <c r="BJ529" s="6">
        <v>186</v>
      </c>
      <c r="BK529">
        <v>46.337032546183245</v>
      </c>
      <c r="BL529" s="4">
        <v>1591.6608500000034</v>
      </c>
      <c r="BM529" t="s">
        <v>418</v>
      </c>
      <c r="BN529" t="s">
        <v>65</v>
      </c>
      <c r="BO529">
        <v>3</v>
      </c>
      <c r="BP529">
        <v>2023</v>
      </c>
      <c r="BQ529" t="str">
        <f t="shared" si="41"/>
        <v>Bangsakao3</v>
      </c>
      <c r="BR529">
        <f t="shared" si="42"/>
        <v>-622.33009999999831</v>
      </c>
      <c r="BS529">
        <f t="shared" si="43"/>
        <v>8603.0258500000018</v>
      </c>
      <c r="BT529" s="6">
        <f t="shared" si="44"/>
        <v>-18.11750920315049</v>
      </c>
    </row>
    <row r="530" spans="1:72">
      <c r="A530" s="3" t="s">
        <v>113</v>
      </c>
      <c r="B530" s="3" t="s">
        <v>408</v>
      </c>
      <c r="C530" s="3" t="s">
        <v>417</v>
      </c>
      <c r="D530" s="2" t="s">
        <v>440</v>
      </c>
      <c r="E530" s="4" t="str">
        <f t="shared" si="40"/>
        <v>BangsakaoCG-007-0024</v>
      </c>
      <c r="F530">
        <v>3.81</v>
      </c>
      <c r="G530">
        <v>1.5</v>
      </c>
      <c r="H530" t="s">
        <v>72</v>
      </c>
      <c r="I530" t="s">
        <v>67</v>
      </c>
      <c r="J530" t="s">
        <v>68</v>
      </c>
      <c r="K530" t="s">
        <v>89</v>
      </c>
      <c r="L530" t="s">
        <v>89</v>
      </c>
      <c r="M530">
        <v>0.62141779788838614</v>
      </c>
      <c r="N530" s="5">
        <v>44819</v>
      </c>
      <c r="O530" s="5">
        <v>44892</v>
      </c>
      <c r="P530">
        <v>1.4</v>
      </c>
      <c r="Q530" s="4">
        <v>153</v>
      </c>
      <c r="R530">
        <v>0.35</v>
      </c>
      <c r="S530" t="s">
        <v>70</v>
      </c>
      <c r="T530" s="6">
        <v>5</v>
      </c>
      <c r="U530" s="5">
        <v>44992</v>
      </c>
      <c r="V530" s="6">
        <v>1</v>
      </c>
      <c r="W530" t="s">
        <v>86</v>
      </c>
      <c r="X530" s="6">
        <v>100</v>
      </c>
      <c r="Y530">
        <v>32.837980000000002</v>
      </c>
      <c r="Z530">
        <v>8.6188923884514441</v>
      </c>
      <c r="AA530" s="6">
        <v>36.029682702772824</v>
      </c>
      <c r="AB530" s="4">
        <v>84.510142857142853</v>
      </c>
      <c r="AC530" s="6">
        <v>27.754893326413907</v>
      </c>
      <c r="AD530">
        <v>0.309</v>
      </c>
      <c r="AE530">
        <v>1.5371864649688418</v>
      </c>
      <c r="AF530">
        <v>49725</v>
      </c>
      <c r="AG530" s="4">
        <v>0</v>
      </c>
      <c r="AH530" s="4">
        <v>30900</v>
      </c>
      <c r="AL530">
        <v>32</v>
      </c>
      <c r="AM530">
        <v>14.045440000000001</v>
      </c>
      <c r="AN530" t="s">
        <v>81</v>
      </c>
      <c r="AO530" t="s">
        <v>96</v>
      </c>
      <c r="AP530" s="5">
        <v>44895</v>
      </c>
      <c r="AQ530" t="s">
        <v>123</v>
      </c>
      <c r="AR530" s="5">
        <v>44991</v>
      </c>
      <c r="AS530">
        <v>232.62170754717556</v>
      </c>
      <c r="AT530" s="6"/>
      <c r="AU530">
        <v>17.053424114394371</v>
      </c>
      <c r="AV530">
        <v>54.009521596639004</v>
      </c>
      <c r="AW530">
        <v>23.27415602299531</v>
      </c>
      <c r="AX530">
        <v>94.337101734028678</v>
      </c>
      <c r="AY530">
        <v>16.741412839644831</v>
      </c>
      <c r="AZ530">
        <v>28.152896737253627</v>
      </c>
      <c r="BA530">
        <v>6.102403375603493</v>
      </c>
      <c r="BB530">
        <v>15.523830637572711</v>
      </c>
      <c r="BC530">
        <v>15.076457199864302</v>
      </c>
      <c r="BD530">
        <v>81.59700078993896</v>
      </c>
      <c r="BE530">
        <v>56.687605023207908</v>
      </c>
      <c r="BF530">
        <v>15.470006072237085</v>
      </c>
      <c r="BH530">
        <v>15.470006072237085</v>
      </c>
      <c r="BI530">
        <v>191.40410859620471</v>
      </c>
      <c r="BJ530" s="6">
        <v>186</v>
      </c>
      <c r="BK530">
        <v>41.217598950970832</v>
      </c>
      <c r="BL530" s="4">
        <v>1353.5026900000014</v>
      </c>
      <c r="BM530" t="s">
        <v>441</v>
      </c>
      <c r="BN530" t="s">
        <v>65</v>
      </c>
      <c r="BO530">
        <v>3</v>
      </c>
      <c r="BP530">
        <v>2023</v>
      </c>
      <c r="BQ530" t="str">
        <f t="shared" si="41"/>
        <v>Bangsakao3</v>
      </c>
      <c r="BR530">
        <f t="shared" si="42"/>
        <v>-177.46000999999828</v>
      </c>
      <c r="BS530">
        <f t="shared" si="43"/>
        <v>7638.8269800000007</v>
      </c>
      <c r="BT530" s="6">
        <f t="shared" si="44"/>
        <v>-5.4041085962047077</v>
      </c>
    </row>
    <row r="531" spans="1:72">
      <c r="A531" s="3" t="s">
        <v>113</v>
      </c>
      <c r="B531" s="3" t="s">
        <v>408</v>
      </c>
      <c r="C531" s="3" t="s">
        <v>417</v>
      </c>
      <c r="D531" s="2" t="s">
        <v>423</v>
      </c>
      <c r="E531" s="4" t="str">
        <f t="shared" si="40"/>
        <v>BangsakaoCG-007-0025</v>
      </c>
      <c r="F531">
        <v>3.81</v>
      </c>
      <c r="G531">
        <v>1.5</v>
      </c>
      <c r="H531" t="s">
        <v>72</v>
      </c>
      <c r="I531" t="s">
        <v>67</v>
      </c>
      <c r="J531" t="s">
        <v>68</v>
      </c>
      <c r="K531" t="s">
        <v>89</v>
      </c>
      <c r="N531" s="5">
        <v>45026</v>
      </c>
      <c r="O531" s="5">
        <v>45059</v>
      </c>
      <c r="P531">
        <v>1.4</v>
      </c>
      <c r="Q531" s="4">
        <v>153</v>
      </c>
      <c r="R531">
        <v>0.45</v>
      </c>
      <c r="S531" t="s">
        <v>70</v>
      </c>
      <c r="T531" s="6">
        <v>1</v>
      </c>
      <c r="U531" s="5">
        <v>45102</v>
      </c>
      <c r="V531" s="6">
        <v>2</v>
      </c>
      <c r="W531" t="s">
        <v>71</v>
      </c>
      <c r="X531" s="6">
        <v>42.999999999999993</v>
      </c>
      <c r="Y531">
        <v>12.613959999999999</v>
      </c>
      <c r="Z531">
        <v>3.3107506561679787</v>
      </c>
      <c r="AA531" s="6">
        <v>73.001579202724599</v>
      </c>
      <c r="AB531" s="4">
        <v>65.77421428571428</v>
      </c>
      <c r="AC531" s="6">
        <v>13.69833380210873</v>
      </c>
      <c r="AD531">
        <v>0.308107678</v>
      </c>
      <c r="AE531">
        <v>1.5937970420462018</v>
      </c>
      <c r="AF531">
        <v>19100</v>
      </c>
      <c r="AG531" s="4"/>
      <c r="AH531" s="4"/>
      <c r="AI531" t="s">
        <v>73</v>
      </c>
      <c r="AL531">
        <v>73</v>
      </c>
      <c r="AM531">
        <v>12.604940000000001</v>
      </c>
      <c r="AN531" t="s">
        <v>73</v>
      </c>
      <c r="AO531" t="s">
        <v>117</v>
      </c>
      <c r="AP531" s="5">
        <v>45059</v>
      </c>
      <c r="AQ531" t="s">
        <v>170</v>
      </c>
      <c r="AR531" s="5">
        <v>45101</v>
      </c>
      <c r="AS531">
        <v>119.97947432844246</v>
      </c>
      <c r="AT531" s="6"/>
      <c r="AU531">
        <v>49.944664482842832</v>
      </c>
      <c r="AV531">
        <v>48.100041541276504</v>
      </c>
      <c r="AW531">
        <v>37.586267119921111</v>
      </c>
      <c r="AX531">
        <v>135.63097314404044</v>
      </c>
      <c r="AY531">
        <v>30.035772271356496</v>
      </c>
      <c r="AZ531">
        <v>41.83625443556187</v>
      </c>
      <c r="BA531">
        <v>7.9708664051574605</v>
      </c>
      <c r="BB531">
        <v>25.251694154730156</v>
      </c>
      <c r="BC531">
        <v>22.884652400990646</v>
      </c>
      <c r="BD531">
        <v>127.97923966779662</v>
      </c>
      <c r="BE531">
        <v>-143.63073848339459</v>
      </c>
      <c r="BF531">
        <v>24.478470678518086</v>
      </c>
      <c r="BH531">
        <v>24.478470678518086</v>
      </c>
      <c r="BI531">
        <v>288.08868349035515</v>
      </c>
      <c r="BJ531" s="6">
        <v>150</v>
      </c>
      <c r="BK531">
        <v>-168.10920916191267</v>
      </c>
      <c r="BL531" s="4">
        <v>-2120.5228399999996</v>
      </c>
      <c r="BM531" t="s">
        <v>424</v>
      </c>
      <c r="BN531" t="s">
        <v>65</v>
      </c>
      <c r="BO531">
        <v>6</v>
      </c>
      <c r="BP531">
        <v>2023</v>
      </c>
      <c r="BQ531" t="str">
        <f t="shared" si="41"/>
        <v>Bangsakao6</v>
      </c>
      <c r="BR531">
        <f t="shared" si="42"/>
        <v>-1741.8451300000002</v>
      </c>
      <c r="BS531">
        <f t="shared" si="43"/>
        <v>1513.4162899999999</v>
      </c>
      <c r="BT531" s="6">
        <f t="shared" si="44"/>
        <v>-138.08868349035515</v>
      </c>
    </row>
    <row r="532" spans="1:72">
      <c r="A532" s="3" t="s">
        <v>113</v>
      </c>
      <c r="B532" s="3" t="s">
        <v>408</v>
      </c>
      <c r="C532" s="3" t="s">
        <v>417</v>
      </c>
      <c r="D532" s="2" t="s">
        <v>2647</v>
      </c>
      <c r="E532" s="4" t="str">
        <f t="shared" si="40"/>
        <v>BangsakaoDG-004-0024</v>
      </c>
      <c r="F532">
        <v>2</v>
      </c>
      <c r="G532">
        <v>1.5</v>
      </c>
      <c r="H532" t="s">
        <v>72</v>
      </c>
      <c r="I532" t="s">
        <v>67</v>
      </c>
      <c r="J532" t="s">
        <v>68</v>
      </c>
      <c r="K532" t="s">
        <v>89</v>
      </c>
      <c r="L532" t="s">
        <v>89</v>
      </c>
      <c r="M532">
        <v>1.4039423076923077</v>
      </c>
      <c r="N532" s="5">
        <v>45123</v>
      </c>
      <c r="O532" s="5">
        <v>45144</v>
      </c>
      <c r="P532">
        <v>0.8</v>
      </c>
      <c r="Q532" s="4">
        <v>167</v>
      </c>
      <c r="R532">
        <v>0.63</v>
      </c>
      <c r="S532" t="s">
        <v>70</v>
      </c>
      <c r="T532" s="6">
        <v>4</v>
      </c>
      <c r="U532" s="5">
        <v>45264</v>
      </c>
      <c r="V532" s="6">
        <v>2</v>
      </c>
      <c r="W532" t="s">
        <v>71</v>
      </c>
      <c r="X532" s="6">
        <v>120</v>
      </c>
      <c r="Y532">
        <v>14.241569999999999</v>
      </c>
      <c r="Z532">
        <v>7.1207849999999997</v>
      </c>
      <c r="AA532" s="6">
        <v>39.646963080615407</v>
      </c>
      <c r="AB532" s="4">
        <v>70.579374999999999</v>
      </c>
      <c r="AC532" s="6">
        <v>25.222612838382318</v>
      </c>
      <c r="AD532">
        <v>0.29236904800000002</v>
      </c>
      <c r="AE532">
        <v>2.2711440232879614</v>
      </c>
      <c r="AF532">
        <v>31200</v>
      </c>
      <c r="AG532" s="4">
        <v>2070</v>
      </c>
      <c r="AH532" s="4">
        <v>43803</v>
      </c>
      <c r="AL532">
        <v>28</v>
      </c>
      <c r="AM532">
        <v>8.2831399999999995</v>
      </c>
      <c r="AN532" t="s">
        <v>81</v>
      </c>
      <c r="AO532" t="s">
        <v>215</v>
      </c>
      <c r="AP532" s="5">
        <v>45145</v>
      </c>
      <c r="AQ532" t="s">
        <v>215</v>
      </c>
      <c r="AR532" s="5">
        <v>45261</v>
      </c>
      <c r="AS532">
        <v>200.29495203127183</v>
      </c>
      <c r="AT532" s="6"/>
      <c r="AU532">
        <v>28.086790992847</v>
      </c>
      <c r="AV532">
        <v>65.486446367921502</v>
      </c>
      <c r="AW532">
        <v>34.024178514026197</v>
      </c>
      <c r="AX532">
        <v>127.59741587479469</v>
      </c>
      <c r="AY532">
        <v>32.181842310924992</v>
      </c>
      <c r="AZ532">
        <v>37.298594185893833</v>
      </c>
      <c r="BA532">
        <v>11.946295949112351</v>
      </c>
      <c r="BB532">
        <v>14.70583931406439</v>
      </c>
      <c r="BC532">
        <v>16.831062867366452</v>
      </c>
      <c r="BD532">
        <v>112.96363462736201</v>
      </c>
      <c r="BE532">
        <v>-40.26609847088487</v>
      </c>
      <c r="BF532">
        <v>18.801832241810413</v>
      </c>
      <c r="BH532">
        <v>18.801832241810413</v>
      </c>
      <c r="BI532">
        <v>259.36288274396713</v>
      </c>
      <c r="BJ532" s="6">
        <v>183</v>
      </c>
      <c r="BK532">
        <v>-59.067930712695286</v>
      </c>
      <c r="BL532" s="4">
        <v>-841.22006999999985</v>
      </c>
      <c r="BM532" t="s">
        <v>2648</v>
      </c>
      <c r="BN532" t="s">
        <v>65</v>
      </c>
      <c r="BO532">
        <v>12</v>
      </c>
      <c r="BP532">
        <v>2023</v>
      </c>
      <c r="BQ532" t="str">
        <f t="shared" si="41"/>
        <v>Bangsakao12</v>
      </c>
      <c r="BR532">
        <f t="shared" si="42"/>
        <v>-1087.5273399999999</v>
      </c>
      <c r="BS532">
        <f t="shared" si="43"/>
        <v>2852.51458</v>
      </c>
      <c r="BT532" s="6">
        <f t="shared" si="44"/>
        <v>-76.362882743967134</v>
      </c>
    </row>
    <row r="533" spans="1:72">
      <c r="A533" s="3" t="s">
        <v>113</v>
      </c>
      <c r="B533" s="3" t="s">
        <v>408</v>
      </c>
      <c r="C533" s="3" t="s">
        <v>417</v>
      </c>
      <c r="D533" s="2" t="s">
        <v>2645</v>
      </c>
      <c r="E533" s="4" t="str">
        <f t="shared" si="40"/>
        <v>BangsakaoDG-003-0026</v>
      </c>
      <c r="F533">
        <v>1.9</v>
      </c>
      <c r="G533">
        <v>1.5</v>
      </c>
      <c r="H533" t="s">
        <v>72</v>
      </c>
      <c r="I533" t="s">
        <v>67</v>
      </c>
      <c r="J533" t="s">
        <v>68</v>
      </c>
      <c r="K533" t="s">
        <v>89</v>
      </c>
      <c r="L533" t="s">
        <v>89</v>
      </c>
      <c r="M533">
        <v>1.3213050570962479</v>
      </c>
      <c r="N533" s="5">
        <v>45114</v>
      </c>
      <c r="O533" s="5">
        <v>45156</v>
      </c>
      <c r="P533">
        <v>0.8</v>
      </c>
      <c r="Q533" s="4">
        <v>175</v>
      </c>
      <c r="R533">
        <v>0.7</v>
      </c>
      <c r="S533" t="s">
        <v>70</v>
      </c>
      <c r="T533" s="6">
        <v>4</v>
      </c>
      <c r="U533" s="5">
        <v>45261</v>
      </c>
      <c r="V533" s="6">
        <v>2</v>
      </c>
      <c r="W533" t="s">
        <v>71</v>
      </c>
      <c r="X533" s="6">
        <v>105</v>
      </c>
      <c r="Y533">
        <v>13.61359</v>
      </c>
      <c r="Z533">
        <v>7.1650473684210532</v>
      </c>
      <c r="AA533" s="6">
        <v>41.733003564820152</v>
      </c>
      <c r="AB533" s="4">
        <v>71.016999999999996</v>
      </c>
      <c r="AC533" s="6">
        <v>23.961850683639131</v>
      </c>
      <c r="AD533">
        <v>0.29095238099999998</v>
      </c>
      <c r="AE533">
        <v>2.3480130753302348</v>
      </c>
      <c r="AF533">
        <v>30650</v>
      </c>
      <c r="AG533" s="4">
        <v>16757</v>
      </c>
      <c r="AH533" s="4">
        <v>40498</v>
      </c>
      <c r="AL533">
        <v>32</v>
      </c>
      <c r="AM533">
        <v>7.2774099999999997</v>
      </c>
      <c r="AN533" t="s">
        <v>81</v>
      </c>
      <c r="AO533" t="s">
        <v>102</v>
      </c>
      <c r="AP533" s="5">
        <v>45156</v>
      </c>
      <c r="AQ533" t="s">
        <v>92</v>
      </c>
      <c r="AR533" s="5">
        <v>45259</v>
      </c>
      <c r="AS533">
        <v>199.87555890841429</v>
      </c>
      <c r="AT533" s="6"/>
      <c r="AU533">
        <v>29.382403906684427</v>
      </c>
      <c r="AV533">
        <v>67.202107599832217</v>
      </c>
      <c r="AW533">
        <v>46.980576027337385</v>
      </c>
      <c r="AX533">
        <v>143.56508753385401</v>
      </c>
      <c r="AY533">
        <v>33.537817724788241</v>
      </c>
      <c r="AZ533">
        <v>43.325848655644833</v>
      </c>
      <c r="BA533">
        <v>11.322712084027795</v>
      </c>
      <c r="BB533">
        <v>15.421197494562417</v>
      </c>
      <c r="BC533">
        <v>17.642375009090181</v>
      </c>
      <c r="BD533">
        <v>121.24995096811348</v>
      </c>
      <c r="BE533">
        <v>-64.939479593553202</v>
      </c>
      <c r="BF533">
        <v>19.593533373636198</v>
      </c>
      <c r="BH533">
        <v>19.593533373636198</v>
      </c>
      <c r="BI533">
        <v>284.40857187560368</v>
      </c>
      <c r="BJ533" s="6">
        <v>181</v>
      </c>
      <c r="BK533">
        <v>-84.533012967189421</v>
      </c>
      <c r="BL533" s="4">
        <v>-1150.7977800000003</v>
      </c>
      <c r="BM533" t="s">
        <v>2646</v>
      </c>
      <c r="BN533" t="s">
        <v>65</v>
      </c>
      <c r="BO533">
        <v>12</v>
      </c>
      <c r="BP533">
        <v>2023</v>
      </c>
      <c r="BQ533" t="str">
        <f t="shared" si="41"/>
        <v>Bangsakao12</v>
      </c>
      <c r="BR533">
        <f t="shared" si="42"/>
        <v>-1407.7618999999995</v>
      </c>
      <c r="BS533">
        <f t="shared" si="43"/>
        <v>2721.0239099999999</v>
      </c>
      <c r="BT533" s="6">
        <f t="shared" si="44"/>
        <v>-103.40857187560368</v>
      </c>
    </row>
    <row r="534" spans="1:72">
      <c r="A534" s="3" t="s">
        <v>113</v>
      </c>
      <c r="B534" s="3" t="s">
        <v>408</v>
      </c>
      <c r="C534" s="3" t="s">
        <v>417</v>
      </c>
      <c r="D534" s="2" t="s">
        <v>425</v>
      </c>
      <c r="E534" s="4" t="str">
        <f t="shared" si="40"/>
        <v>BangsakaoCG-006-0029</v>
      </c>
      <c r="F534">
        <v>5.36</v>
      </c>
      <c r="G534">
        <v>1.5</v>
      </c>
      <c r="H534" t="s">
        <v>72</v>
      </c>
      <c r="I534" t="s">
        <v>67</v>
      </c>
      <c r="J534" t="s">
        <v>68</v>
      </c>
      <c r="K534" t="s">
        <v>89</v>
      </c>
      <c r="L534" t="s">
        <v>89</v>
      </c>
      <c r="M534">
        <v>8.5744908896034297E-2</v>
      </c>
      <c r="N534" s="5">
        <v>44985</v>
      </c>
      <c r="O534" s="5">
        <v>45015</v>
      </c>
      <c r="P534">
        <v>2</v>
      </c>
      <c r="Q534" s="4">
        <v>155</v>
      </c>
      <c r="R534">
        <v>0.75</v>
      </c>
      <c r="S534" t="s">
        <v>70</v>
      </c>
      <c r="T534" s="6">
        <v>4</v>
      </c>
      <c r="U534" s="5">
        <v>45070</v>
      </c>
      <c r="V534" s="6">
        <v>2</v>
      </c>
      <c r="W534" t="s">
        <v>71</v>
      </c>
      <c r="X534" s="6">
        <v>55</v>
      </c>
      <c r="Y534">
        <v>23.295189999999998</v>
      </c>
      <c r="Z534">
        <v>4.3461175373134324</v>
      </c>
      <c r="AA534" s="6">
        <v>61.335194089423617</v>
      </c>
      <c r="AB534" s="4">
        <v>71.440749999999994</v>
      </c>
      <c r="AC534" s="6">
        <v>16.303853193030587</v>
      </c>
      <c r="AD534">
        <v>0.28939393899999999</v>
      </c>
      <c r="AE534">
        <v>2.1403589104311411</v>
      </c>
      <c r="AF534">
        <v>46650</v>
      </c>
      <c r="AG534" s="4">
        <v>0</v>
      </c>
      <c r="AH534" s="4">
        <v>4000</v>
      </c>
      <c r="AL534">
        <v>60.000000000000007</v>
      </c>
      <c r="AM534">
        <v>2.3627699999999998</v>
      </c>
      <c r="AN534" t="s">
        <v>126</v>
      </c>
      <c r="AO534" t="s">
        <v>144</v>
      </c>
      <c r="AP534" s="5">
        <v>45015</v>
      </c>
      <c r="AQ534" t="s">
        <v>117</v>
      </c>
      <c r="AR534" s="5">
        <v>45067</v>
      </c>
      <c r="AS534">
        <v>139.38183032634632</v>
      </c>
      <c r="AT534" s="6"/>
      <c r="AU534">
        <v>42.927316755089791</v>
      </c>
      <c r="AV534">
        <v>68.652821891557878</v>
      </c>
      <c r="AW534">
        <v>33.905681816718399</v>
      </c>
      <c r="AX534">
        <v>145.48582046336608</v>
      </c>
      <c r="AY534">
        <v>23.362628079015458</v>
      </c>
      <c r="AZ534">
        <v>36.220313292143139</v>
      </c>
      <c r="BA534">
        <v>10.87460501502671</v>
      </c>
      <c r="BB534">
        <v>25.690612954863216</v>
      </c>
      <c r="BC534">
        <v>20.905584800982524</v>
      </c>
      <c r="BD534">
        <v>117.05374414203104</v>
      </c>
      <c r="BE534">
        <v>-123.1577342790508</v>
      </c>
      <c r="BF534">
        <v>19.71507465704294</v>
      </c>
      <c r="BH534">
        <v>19.71507465704294</v>
      </c>
      <c r="BI534">
        <v>282.25463926244009</v>
      </c>
      <c r="BJ534" s="6">
        <v>161</v>
      </c>
      <c r="BK534">
        <v>-142.8728089360938</v>
      </c>
      <c r="BL534" s="4">
        <v>-3328.2492300000026</v>
      </c>
      <c r="BM534" t="s">
        <v>426</v>
      </c>
      <c r="BN534" t="s">
        <v>65</v>
      </c>
      <c r="BO534">
        <v>5</v>
      </c>
      <c r="BP534">
        <v>2023</v>
      </c>
      <c r="BQ534" t="str">
        <f t="shared" si="41"/>
        <v>Bangsakao5</v>
      </c>
      <c r="BR534">
        <f t="shared" si="42"/>
        <v>-2824.6498600000018</v>
      </c>
      <c r="BS534">
        <f t="shared" si="43"/>
        <v>3246.9262199999994</v>
      </c>
      <c r="BT534" s="6">
        <f t="shared" si="44"/>
        <v>-121.25463926244009</v>
      </c>
    </row>
    <row r="535" spans="1:72">
      <c r="A535" s="3" t="s">
        <v>113</v>
      </c>
      <c r="B535" s="3" t="s">
        <v>408</v>
      </c>
      <c r="C535" s="3" t="s">
        <v>417</v>
      </c>
      <c r="D535" s="2" t="s">
        <v>2860</v>
      </c>
      <c r="E535" s="4" t="str">
        <f t="shared" si="40"/>
        <v>BangsakaoCG-009-0026</v>
      </c>
      <c r="F535">
        <v>3.8</v>
      </c>
      <c r="G535">
        <v>1.5</v>
      </c>
      <c r="H535" t="s">
        <v>72</v>
      </c>
      <c r="I535" t="s">
        <v>67</v>
      </c>
      <c r="J535" t="s">
        <v>68</v>
      </c>
      <c r="K535" t="s">
        <v>89</v>
      </c>
      <c r="N535" s="5">
        <v>45158</v>
      </c>
      <c r="O535" s="5">
        <v>45199</v>
      </c>
      <c r="P535">
        <v>1.4</v>
      </c>
      <c r="Q535" s="4">
        <v>154</v>
      </c>
      <c r="R535">
        <v>0.45</v>
      </c>
      <c r="S535" t="s">
        <v>70</v>
      </c>
      <c r="T535" s="6">
        <v>5</v>
      </c>
      <c r="U535" s="5">
        <v>45288</v>
      </c>
      <c r="V535" s="6">
        <v>2</v>
      </c>
      <c r="W535" t="s">
        <v>71</v>
      </c>
      <c r="X535" s="6">
        <v>89</v>
      </c>
      <c r="Y535">
        <v>19.855319999999999</v>
      </c>
      <c r="Z535">
        <v>5.2250842105263153</v>
      </c>
      <c r="AA535" s="6">
        <v>47.11608777899324</v>
      </c>
      <c r="AB535" s="4">
        <v>66.821785714285724</v>
      </c>
      <c r="AC535" s="6">
        <v>21.224173040229608</v>
      </c>
      <c r="AD535">
        <v>0.28304523199999998</v>
      </c>
      <c r="AE535">
        <v>2.4160997024738364</v>
      </c>
      <c r="AF535">
        <v>46450</v>
      </c>
      <c r="AG535" s="4"/>
      <c r="AH535" s="4"/>
      <c r="AL535">
        <v>39</v>
      </c>
      <c r="AM535">
        <v>4.31853</v>
      </c>
      <c r="AN535" t="s">
        <v>81</v>
      </c>
      <c r="AO535" t="s">
        <v>106</v>
      </c>
      <c r="AP535" s="5">
        <v>45201</v>
      </c>
      <c r="AQ535" t="s">
        <v>438</v>
      </c>
      <c r="AR535" s="5">
        <v>45287</v>
      </c>
      <c r="AS535">
        <v>201.48126396351205</v>
      </c>
      <c r="AT535" s="6"/>
      <c r="AU535">
        <v>31.729531430367278</v>
      </c>
      <c r="AV535">
        <v>71.655149854044126</v>
      </c>
      <c r="AW535">
        <v>43.789228277358411</v>
      </c>
      <c r="AX535">
        <v>147.17390956176982</v>
      </c>
      <c r="AY535">
        <v>29.240018795970045</v>
      </c>
      <c r="AZ535">
        <v>27.097920859497602</v>
      </c>
      <c r="BA535">
        <v>11.500452271733721</v>
      </c>
      <c r="BB535">
        <v>17.506037676552182</v>
      </c>
      <c r="BC535">
        <v>20.582103939901245</v>
      </c>
      <c r="BD535">
        <v>105.92653354365478</v>
      </c>
      <c r="BE535">
        <v>-51.619179141912554</v>
      </c>
      <c r="BF535">
        <v>28.627682656335931</v>
      </c>
      <c r="BH535">
        <v>28.627682656335931</v>
      </c>
      <c r="BI535">
        <v>281.72812576176062</v>
      </c>
      <c r="BJ535" s="6">
        <v>172</v>
      </c>
      <c r="BK535">
        <v>-80.24686179824856</v>
      </c>
      <c r="BL535" s="4">
        <v>-1593.3271200000006</v>
      </c>
      <c r="BM535" t="s">
        <v>2861</v>
      </c>
      <c r="BN535" t="s">
        <v>65</v>
      </c>
      <c r="BO535">
        <v>12</v>
      </c>
      <c r="BP535">
        <v>2023</v>
      </c>
      <c r="BQ535" t="str">
        <f t="shared" si="41"/>
        <v>Bangsakao12</v>
      </c>
      <c r="BR535">
        <f t="shared" si="42"/>
        <v>-2178.6870500000009</v>
      </c>
      <c r="BS535">
        <f t="shared" si="43"/>
        <v>4000.4749699999998</v>
      </c>
      <c r="BT535" s="6">
        <f t="shared" si="44"/>
        <v>-109.72812576176062</v>
      </c>
    </row>
    <row r="536" spans="1:72">
      <c r="A536" s="3" t="s">
        <v>113</v>
      </c>
      <c r="B536" s="3" t="s">
        <v>408</v>
      </c>
      <c r="C536" s="3" t="s">
        <v>417</v>
      </c>
      <c r="D536" s="2" t="s">
        <v>421</v>
      </c>
      <c r="E536" s="4" t="str">
        <f t="shared" si="40"/>
        <v>BangsakaoCG-004-0026</v>
      </c>
      <c r="F536">
        <v>4.5999999999999996</v>
      </c>
      <c r="G536">
        <v>1.5</v>
      </c>
      <c r="H536" t="s">
        <v>72</v>
      </c>
      <c r="I536" t="s">
        <v>67</v>
      </c>
      <c r="J536" t="s">
        <v>68</v>
      </c>
      <c r="K536" t="s">
        <v>89</v>
      </c>
      <c r="N536" s="5">
        <v>45078</v>
      </c>
      <c r="O536" s="5">
        <v>45107</v>
      </c>
      <c r="P536">
        <v>1.8</v>
      </c>
      <c r="Q536" s="4">
        <v>163</v>
      </c>
      <c r="R536">
        <v>0.55000000000000004</v>
      </c>
      <c r="S536" t="s">
        <v>70</v>
      </c>
      <c r="T536" s="6">
        <v>1</v>
      </c>
      <c r="U536" s="5">
        <v>45138</v>
      </c>
      <c r="V536" s="6">
        <v>2</v>
      </c>
      <c r="W536" t="s">
        <v>71</v>
      </c>
      <c r="X536" s="6">
        <v>31</v>
      </c>
      <c r="Y536">
        <v>11.429</v>
      </c>
      <c r="Z536">
        <v>2.4845652173913044</v>
      </c>
      <c r="AA536" s="6">
        <v>139</v>
      </c>
      <c r="AB536" s="4">
        <v>88.257277777777773</v>
      </c>
      <c r="AC536" s="6">
        <v>7.1942446043165464</v>
      </c>
      <c r="AD536">
        <v>0.21433047099999997</v>
      </c>
      <c r="AE536">
        <v>1.333909365049563</v>
      </c>
      <c r="AF536">
        <v>13925</v>
      </c>
      <c r="AG536" s="4"/>
      <c r="AH536" s="4"/>
      <c r="AI536" t="s">
        <v>73</v>
      </c>
      <c r="AL536">
        <v>139</v>
      </c>
      <c r="AM536">
        <v>11.429</v>
      </c>
      <c r="AN536" t="s">
        <v>73</v>
      </c>
      <c r="AO536" t="s">
        <v>148</v>
      </c>
      <c r="AP536" s="5">
        <v>45107</v>
      </c>
      <c r="AQ536" t="s">
        <v>93</v>
      </c>
      <c r="AR536" s="5">
        <v>45137</v>
      </c>
      <c r="AS536">
        <v>66.984887566716253</v>
      </c>
      <c r="AT536" s="6"/>
      <c r="AU536">
        <v>70.87234228716423</v>
      </c>
      <c r="AV536">
        <v>39.304700323737862</v>
      </c>
      <c r="AW536">
        <v>74.237940327237737</v>
      </c>
      <c r="AX536">
        <v>184.41498293813981</v>
      </c>
      <c r="AY536">
        <v>44.650258115320682</v>
      </c>
      <c r="AZ536">
        <v>44.937127482719404</v>
      </c>
      <c r="BA536">
        <v>14.458302563653863</v>
      </c>
      <c r="BB536">
        <v>18.347657712835769</v>
      </c>
      <c r="BC536">
        <v>29.710318488056696</v>
      </c>
      <c r="BD536">
        <v>152.10366436258641</v>
      </c>
      <c r="BE536">
        <v>-269.53375973401</v>
      </c>
      <c r="BF536">
        <v>39.978986787995453</v>
      </c>
      <c r="BH536">
        <v>39.978986787995453</v>
      </c>
      <c r="BI536">
        <v>376.49763408872167</v>
      </c>
      <c r="BJ536" s="6">
        <v>150</v>
      </c>
      <c r="BK536">
        <v>-309.51274652200539</v>
      </c>
      <c r="BL536" s="4">
        <v>-3537.4211799999998</v>
      </c>
      <c r="BM536" t="s">
        <v>422</v>
      </c>
      <c r="BN536" t="s">
        <v>65</v>
      </c>
      <c r="BO536">
        <v>7</v>
      </c>
      <c r="BP536">
        <v>2023</v>
      </c>
      <c r="BQ536" t="str">
        <f t="shared" si="41"/>
        <v>Bangsakao7</v>
      </c>
      <c r="BR536">
        <f t="shared" si="42"/>
        <v>-2588.6414599999998</v>
      </c>
      <c r="BS536">
        <f t="shared" si="43"/>
        <v>765.57028000000003</v>
      </c>
      <c r="BT536" s="6">
        <f t="shared" si="44"/>
        <v>-226.49763408872167</v>
      </c>
    </row>
    <row r="537" spans="1:72">
      <c r="A537" s="3" t="s">
        <v>113</v>
      </c>
      <c r="B537" s="3" t="s">
        <v>408</v>
      </c>
      <c r="C537" s="3" t="s">
        <v>417</v>
      </c>
      <c r="D537" s="2" t="s">
        <v>419</v>
      </c>
      <c r="E537" s="4" t="str">
        <f t="shared" si="40"/>
        <v>BangsakaoCG-003-0027</v>
      </c>
      <c r="F537">
        <v>4.5599999999999996</v>
      </c>
      <c r="G537">
        <v>1.5</v>
      </c>
      <c r="H537" t="s">
        <v>72</v>
      </c>
      <c r="I537" t="s">
        <v>67</v>
      </c>
      <c r="J537" t="s">
        <v>68</v>
      </c>
      <c r="K537" t="s">
        <v>89</v>
      </c>
      <c r="L537" t="s">
        <v>89</v>
      </c>
      <c r="N537" s="5">
        <v>45071</v>
      </c>
      <c r="O537" s="5">
        <v>45097</v>
      </c>
      <c r="P537">
        <v>1.8</v>
      </c>
      <c r="Q537" s="4">
        <v>164</v>
      </c>
      <c r="R537">
        <v>0.43</v>
      </c>
      <c r="S537" t="s">
        <v>70</v>
      </c>
      <c r="T537" s="6">
        <v>1</v>
      </c>
      <c r="U537" s="5">
        <v>45129</v>
      </c>
      <c r="V537" s="6">
        <v>2</v>
      </c>
      <c r="W537" t="s">
        <v>71</v>
      </c>
      <c r="X537" s="6">
        <v>32</v>
      </c>
      <c r="Y537">
        <v>12.821399999999999</v>
      </c>
      <c r="Z537">
        <v>2.8117105263157893</v>
      </c>
      <c r="AA537" s="6">
        <v>139.00003119784111</v>
      </c>
      <c r="AB537" s="4">
        <v>99.009722222222223</v>
      </c>
      <c r="AC537" s="6">
        <v>7.1942429896053977</v>
      </c>
      <c r="AD537">
        <v>0.21138264400000001</v>
      </c>
      <c r="AE537">
        <v>1.1516778389792524</v>
      </c>
      <c r="AF537">
        <v>13875</v>
      </c>
      <c r="AG537" s="4">
        <v>0</v>
      </c>
      <c r="AH537" s="4"/>
      <c r="AL537">
        <v>139</v>
      </c>
      <c r="AM537">
        <v>12.821399999999999</v>
      </c>
      <c r="AN537" t="s">
        <v>126</v>
      </c>
      <c r="AO537" t="s">
        <v>94</v>
      </c>
      <c r="AP537" s="5">
        <v>45098</v>
      </c>
      <c r="AQ537" t="s">
        <v>94</v>
      </c>
      <c r="AR537" s="5">
        <v>45127</v>
      </c>
      <c r="AS537">
        <v>84.409442026611757</v>
      </c>
      <c r="AT537" s="6"/>
      <c r="AU537">
        <v>63.175628246525342</v>
      </c>
      <c r="AV537">
        <v>36.691266944327459</v>
      </c>
      <c r="AW537">
        <v>57.040277192818266</v>
      </c>
      <c r="AX537">
        <v>156.90717238367105</v>
      </c>
      <c r="AY537">
        <v>35.210470775422344</v>
      </c>
      <c r="AZ537">
        <v>37.840594630851548</v>
      </c>
      <c r="BA537">
        <v>10.211508103639229</v>
      </c>
      <c r="BB537">
        <v>16.227414322928851</v>
      </c>
      <c r="BC537">
        <v>23.955048590637528</v>
      </c>
      <c r="BD537">
        <v>123.44503642347951</v>
      </c>
      <c r="BE537">
        <v>-195.94276678053882</v>
      </c>
      <c r="BF537">
        <v>30.801098164007051</v>
      </c>
      <c r="BH537">
        <v>30.801098164007051</v>
      </c>
      <c r="BI537">
        <v>311.15330697115758</v>
      </c>
      <c r="BJ537" s="6">
        <v>150</v>
      </c>
      <c r="BK537">
        <v>-226.74386494454583</v>
      </c>
      <c r="BL537" s="4">
        <v>-2907.1737899999998</v>
      </c>
      <c r="BM537" t="s">
        <v>420</v>
      </c>
      <c r="BN537" t="s">
        <v>65</v>
      </c>
      <c r="BO537">
        <v>7</v>
      </c>
      <c r="BP537">
        <v>2023</v>
      </c>
      <c r="BQ537" t="str">
        <f t="shared" si="41"/>
        <v>Bangsakao7</v>
      </c>
      <c r="BR537">
        <f t="shared" si="42"/>
        <v>-2066.2110099999995</v>
      </c>
      <c r="BS537">
        <f t="shared" si="43"/>
        <v>1082.24722</v>
      </c>
      <c r="BT537" s="6">
        <f t="shared" si="44"/>
        <v>-161.15330697115758</v>
      </c>
    </row>
    <row r="538" spans="1:72">
      <c r="A538" s="3" t="s">
        <v>113</v>
      </c>
      <c r="B538" s="3" t="s">
        <v>408</v>
      </c>
      <c r="C538" s="3" t="s">
        <v>410</v>
      </c>
      <c r="D538" s="2" t="s">
        <v>414</v>
      </c>
      <c r="E538" s="4" t="str">
        <f t="shared" si="40"/>
        <v>BangsakaoB1-006-0013</v>
      </c>
      <c r="F538">
        <v>4.75</v>
      </c>
      <c r="G538">
        <v>1.5</v>
      </c>
      <c r="H538" t="s">
        <v>72</v>
      </c>
      <c r="I538" t="s">
        <v>75</v>
      </c>
      <c r="J538" t="s">
        <v>112</v>
      </c>
      <c r="K538" t="s">
        <v>79</v>
      </c>
      <c r="N538" s="5">
        <v>44980</v>
      </c>
      <c r="O538" s="5">
        <v>45029</v>
      </c>
      <c r="P538">
        <v>3</v>
      </c>
      <c r="Q538" s="4">
        <v>263</v>
      </c>
      <c r="R538">
        <v>0.56999999999999995</v>
      </c>
      <c r="S538" t="s">
        <v>70</v>
      </c>
      <c r="T538" s="6">
        <v>3</v>
      </c>
      <c r="U538" s="5">
        <v>45082</v>
      </c>
      <c r="V538" s="6">
        <v>1</v>
      </c>
      <c r="W538" t="s">
        <v>86</v>
      </c>
      <c r="X538" s="6">
        <v>53</v>
      </c>
      <c r="Y538">
        <v>31.476849999999999</v>
      </c>
      <c r="Z538">
        <v>6.6267052631578949</v>
      </c>
      <c r="AA538" s="6">
        <v>55.248698646783275</v>
      </c>
      <c r="AB538" s="4">
        <v>57.968499999999999</v>
      </c>
      <c r="AC538" s="6">
        <v>18.099973836365152</v>
      </c>
      <c r="AD538">
        <v>0.35208998499999999</v>
      </c>
      <c r="AE538">
        <v>1.6713138710652735</v>
      </c>
      <c r="AF538">
        <v>49750</v>
      </c>
      <c r="AG538" s="4"/>
      <c r="AH538" s="4"/>
      <c r="AL538">
        <v>52</v>
      </c>
      <c r="AM538">
        <v>19.876919999999998</v>
      </c>
      <c r="AN538" t="s">
        <v>73</v>
      </c>
      <c r="AO538" t="s">
        <v>117</v>
      </c>
      <c r="AP538" s="5">
        <v>45029</v>
      </c>
      <c r="AQ538" t="s">
        <v>176</v>
      </c>
      <c r="AR538" s="5">
        <v>45079</v>
      </c>
      <c r="AS538">
        <v>145.53197858108422</v>
      </c>
      <c r="AT538" s="6"/>
      <c r="AU538">
        <v>42.888662620306661</v>
      </c>
      <c r="AV538">
        <v>52.719440477684365</v>
      </c>
      <c r="AW538">
        <v>25.44561511078777</v>
      </c>
      <c r="AX538">
        <v>121.0537182087788</v>
      </c>
      <c r="AY538">
        <v>9.1284868085593072</v>
      </c>
      <c r="AZ538">
        <v>29.682488241358332</v>
      </c>
      <c r="BA538">
        <v>9.0085697901791324</v>
      </c>
      <c r="BB538">
        <v>24.729508829504862</v>
      </c>
      <c r="BC538">
        <v>11.802272463731281</v>
      </c>
      <c r="BD538">
        <v>84.351326133332904</v>
      </c>
      <c r="BE538">
        <v>-59.87306576102749</v>
      </c>
      <c r="BF538">
        <v>11.422789129153649</v>
      </c>
      <c r="BH538">
        <v>11.422789129153649</v>
      </c>
      <c r="BI538">
        <v>216.82783347126542</v>
      </c>
      <c r="BJ538" s="6">
        <v>165</v>
      </c>
      <c r="BK538">
        <v>-71.295854890181189</v>
      </c>
      <c r="BL538" s="4">
        <v>-2244.1689299999998</v>
      </c>
      <c r="BM538" t="s">
        <v>415</v>
      </c>
      <c r="BN538" t="s">
        <v>65</v>
      </c>
      <c r="BO538">
        <v>6</v>
      </c>
      <c r="BP538">
        <v>2023</v>
      </c>
      <c r="BQ538" t="str">
        <f t="shared" si="41"/>
        <v>Bangsakao6</v>
      </c>
      <c r="BR538">
        <f t="shared" si="42"/>
        <v>-1631.376940000001</v>
      </c>
      <c r="BS538">
        <f t="shared" si="43"/>
        <v>4580.8882600000006</v>
      </c>
      <c r="BT538" s="6">
        <f t="shared" si="44"/>
        <v>-51.827833471265421</v>
      </c>
    </row>
    <row r="539" spans="1:72">
      <c r="A539" s="3" t="s">
        <v>113</v>
      </c>
      <c r="B539" s="3" t="s">
        <v>408</v>
      </c>
      <c r="C539" s="3" t="s">
        <v>410</v>
      </c>
      <c r="D539" s="2" t="s">
        <v>411</v>
      </c>
      <c r="E539" s="4" t="str">
        <f t="shared" si="40"/>
        <v>BangsakaoB1-003-0010</v>
      </c>
      <c r="F539">
        <v>4.3</v>
      </c>
      <c r="G539">
        <v>1.5</v>
      </c>
      <c r="H539" t="s">
        <v>72</v>
      </c>
      <c r="I539" t="s">
        <v>75</v>
      </c>
      <c r="J539" t="s">
        <v>68</v>
      </c>
      <c r="K539" t="s">
        <v>79</v>
      </c>
      <c r="N539" s="5">
        <v>44944</v>
      </c>
      <c r="O539" s="5">
        <v>44972</v>
      </c>
      <c r="P539">
        <v>1.3</v>
      </c>
      <c r="Q539" s="4">
        <v>126</v>
      </c>
      <c r="R539">
        <v>0.62</v>
      </c>
      <c r="S539" t="s">
        <v>70</v>
      </c>
      <c r="T539" s="6">
        <v>1</v>
      </c>
      <c r="U539" s="5">
        <v>45011</v>
      </c>
      <c r="V539" s="6">
        <v>2</v>
      </c>
      <c r="W539" t="s">
        <v>71</v>
      </c>
      <c r="X539" s="6">
        <v>39</v>
      </c>
      <c r="Y539">
        <v>5.1130600000000008</v>
      </c>
      <c r="Z539">
        <v>1.1890837209302327</v>
      </c>
      <c r="AA539" s="6">
        <v>93.000082142591708</v>
      </c>
      <c r="AB539" s="4">
        <v>36.578076923076921</v>
      </c>
      <c r="AC539" s="6">
        <v>10.752678674700062</v>
      </c>
      <c r="AD539">
        <v>0.25981251700000002</v>
      </c>
      <c r="AE539">
        <v>3.0531267268159716</v>
      </c>
      <c r="AF539">
        <v>13150</v>
      </c>
      <c r="AG539" s="4"/>
      <c r="AH539" s="4"/>
      <c r="AI539" t="s">
        <v>100</v>
      </c>
      <c r="AJ539" t="s">
        <v>100</v>
      </c>
      <c r="AK539" t="s">
        <v>103</v>
      </c>
      <c r="AL539">
        <v>93</v>
      </c>
      <c r="AM539">
        <v>5.1130600000000008</v>
      </c>
      <c r="AN539" t="s">
        <v>100</v>
      </c>
      <c r="AO539" t="s">
        <v>116</v>
      </c>
      <c r="AP539" s="5">
        <v>44972</v>
      </c>
      <c r="AQ539" t="s">
        <v>144</v>
      </c>
      <c r="AR539" s="5">
        <v>45010</v>
      </c>
      <c r="AS539">
        <v>107.00693518167202</v>
      </c>
      <c r="AT539" s="6"/>
      <c r="AU539">
        <v>127.12543956065447</v>
      </c>
      <c r="AV539">
        <v>91.946718794616132</v>
      </c>
      <c r="AW539">
        <v>127.33796200318395</v>
      </c>
      <c r="AX539">
        <v>346.41012035845449</v>
      </c>
      <c r="AY539">
        <v>20.511022753497905</v>
      </c>
      <c r="AZ539">
        <v>82.007142493927304</v>
      </c>
      <c r="BA539">
        <v>36.023001881456501</v>
      </c>
      <c r="BB539">
        <v>104.0984654981557</v>
      </c>
      <c r="BC539">
        <v>43.155679769061969</v>
      </c>
      <c r="BD539">
        <v>285.79531239609946</v>
      </c>
      <c r="BE539">
        <v>-525.19849757288193</v>
      </c>
      <c r="BF539">
        <v>35.133567765682386</v>
      </c>
      <c r="BH539">
        <v>35.133567765682386</v>
      </c>
      <c r="BI539">
        <v>667.33900052023625</v>
      </c>
      <c r="BJ539" s="6">
        <v>150</v>
      </c>
      <c r="BK539">
        <v>-560.33206533856423</v>
      </c>
      <c r="BL539" s="4">
        <v>-2865.0114699999999</v>
      </c>
      <c r="BM539" t="s">
        <v>412</v>
      </c>
      <c r="BN539" t="s">
        <v>65</v>
      </c>
      <c r="BO539">
        <v>3</v>
      </c>
      <c r="BP539">
        <v>2023</v>
      </c>
      <c r="BQ539" t="str">
        <f t="shared" si="41"/>
        <v>Bangsakao3</v>
      </c>
      <c r="BR539">
        <f t="shared" si="42"/>
        <v>-2645.1853499999997</v>
      </c>
      <c r="BS539">
        <f t="shared" si="43"/>
        <v>547.13288</v>
      </c>
      <c r="BT539" s="6">
        <f t="shared" si="44"/>
        <v>-517.33900052023625</v>
      </c>
    </row>
    <row r="540" spans="1:72">
      <c r="A540" s="3" t="s">
        <v>113</v>
      </c>
      <c r="B540" s="3" t="s">
        <v>408</v>
      </c>
      <c r="C540" s="3" t="s">
        <v>410</v>
      </c>
      <c r="D540" s="2" t="s">
        <v>413</v>
      </c>
      <c r="E540" s="4" t="str">
        <f t="shared" si="40"/>
        <v>BangsakaoB1-003-0009</v>
      </c>
      <c r="F540">
        <v>4.3</v>
      </c>
      <c r="G540">
        <v>1.5</v>
      </c>
      <c r="H540" t="s">
        <v>72</v>
      </c>
      <c r="I540" t="s">
        <v>75</v>
      </c>
      <c r="J540" t="s">
        <v>68</v>
      </c>
      <c r="K540" t="s">
        <v>79</v>
      </c>
      <c r="L540" t="s">
        <v>79</v>
      </c>
      <c r="M540">
        <v>0.42285714285714288</v>
      </c>
      <c r="N540" s="5">
        <v>44867</v>
      </c>
      <c r="O540" s="5">
        <v>44890</v>
      </c>
      <c r="P540">
        <v>1.3</v>
      </c>
      <c r="Q540" s="4">
        <v>126</v>
      </c>
      <c r="R540">
        <v>0.3</v>
      </c>
      <c r="S540" t="s">
        <v>70</v>
      </c>
      <c r="T540" s="6">
        <v>1</v>
      </c>
      <c r="U540" s="5">
        <v>44943</v>
      </c>
      <c r="V540" s="6">
        <v>2</v>
      </c>
      <c r="W540" t="s">
        <v>71</v>
      </c>
      <c r="X540" s="6">
        <v>52.999999999999993</v>
      </c>
      <c r="Y540">
        <v>10.263389999999999</v>
      </c>
      <c r="Z540">
        <v>2.3868348837209301</v>
      </c>
      <c r="AA540" s="6">
        <v>89.000028255771241</v>
      </c>
      <c r="AB540" s="4">
        <v>70.264769230769232</v>
      </c>
      <c r="AC540" s="6">
        <v>11.235951488983428</v>
      </c>
      <c r="AD540">
        <v>0.206338775</v>
      </c>
      <c r="AE540">
        <v>2.1268773490600723</v>
      </c>
      <c r="AF540">
        <v>21000</v>
      </c>
      <c r="AG540" s="4"/>
      <c r="AH540" s="4">
        <v>8880</v>
      </c>
      <c r="AI540" t="s">
        <v>100</v>
      </c>
      <c r="AJ540" t="s">
        <v>100</v>
      </c>
      <c r="AK540" t="s">
        <v>80</v>
      </c>
      <c r="AL540">
        <v>89</v>
      </c>
      <c r="AM540">
        <v>10.263389999999999</v>
      </c>
      <c r="AN540" t="s">
        <v>100</v>
      </c>
      <c r="AO540" t="s">
        <v>94</v>
      </c>
      <c r="AP540" s="5">
        <v>44896</v>
      </c>
      <c r="AQ540" t="s">
        <v>136</v>
      </c>
      <c r="AR540" s="5">
        <v>44942</v>
      </c>
      <c r="AS540">
        <v>134.77232863605497</v>
      </c>
      <c r="AT540" s="6"/>
      <c r="AU540">
        <v>50.665520846425991</v>
      </c>
      <c r="AV540">
        <v>68.685132300341323</v>
      </c>
      <c r="AW540">
        <v>50.899534169509309</v>
      </c>
      <c r="AX540">
        <v>170.25018731627662</v>
      </c>
      <c r="AY540">
        <v>1.7139882631372287</v>
      </c>
      <c r="AZ540">
        <v>42.778666697845445</v>
      </c>
      <c r="BA540">
        <v>4.1282568430119095</v>
      </c>
      <c r="BB540">
        <v>34.552920623692565</v>
      </c>
      <c r="BC540">
        <v>22.569282663915143</v>
      </c>
      <c r="BD540">
        <v>105.74311509160228</v>
      </c>
      <c r="BE540">
        <v>-141.22097377182394</v>
      </c>
      <c r="BF540">
        <v>25.480996045166361</v>
      </c>
      <c r="BH540">
        <v>25.480996045166361</v>
      </c>
      <c r="BI540">
        <v>301.47429845304526</v>
      </c>
      <c r="BJ540" s="6">
        <v>150</v>
      </c>
      <c r="BK540">
        <v>-166.70196981699033</v>
      </c>
      <c r="BL540" s="4">
        <v>-1710.9273300000002</v>
      </c>
      <c r="BM540" t="s">
        <v>409</v>
      </c>
      <c r="BN540" t="s">
        <v>65</v>
      </c>
      <c r="BO540">
        <v>1</v>
      </c>
      <c r="BP540">
        <v>2023</v>
      </c>
      <c r="BQ540" t="str">
        <f t="shared" si="41"/>
        <v>Bangsakao1</v>
      </c>
      <c r="BR540">
        <f t="shared" si="42"/>
        <v>-1554.6398000000002</v>
      </c>
      <c r="BS540">
        <f t="shared" si="43"/>
        <v>1383.2209700000001</v>
      </c>
      <c r="BT540" s="6">
        <f t="shared" si="44"/>
        <v>-151.47429845304526</v>
      </c>
    </row>
    <row r="541" spans="1:72">
      <c r="A541" s="3" t="s">
        <v>113</v>
      </c>
      <c r="B541" s="3" t="s">
        <v>408</v>
      </c>
      <c r="C541" s="3" t="s">
        <v>410</v>
      </c>
      <c r="D541" s="2" t="s">
        <v>416</v>
      </c>
      <c r="E541" s="4" t="str">
        <f t="shared" si="40"/>
        <v>BangsakaoB1-006-0015</v>
      </c>
      <c r="F541">
        <v>4.75</v>
      </c>
      <c r="G541">
        <v>1.5</v>
      </c>
      <c r="H541" t="s">
        <v>72</v>
      </c>
      <c r="I541" t="s">
        <v>75</v>
      </c>
      <c r="J541" t="s">
        <v>112</v>
      </c>
      <c r="K541" t="s">
        <v>79</v>
      </c>
      <c r="N541" s="5">
        <v>45148</v>
      </c>
      <c r="O541" s="5">
        <v>45170</v>
      </c>
      <c r="P541">
        <v>1.5</v>
      </c>
      <c r="Q541" s="4">
        <v>132</v>
      </c>
      <c r="R541">
        <v>0.63</v>
      </c>
      <c r="S541" t="s">
        <v>70</v>
      </c>
      <c r="T541" s="6"/>
      <c r="U541" s="5">
        <v>45180</v>
      </c>
      <c r="V541" s="6">
        <v>3</v>
      </c>
      <c r="W541" t="s">
        <v>2831</v>
      </c>
      <c r="X541" s="6"/>
      <c r="AA541" s="6"/>
      <c r="AB541" s="4"/>
      <c r="AC541" s="6"/>
      <c r="AF541">
        <v>1450</v>
      </c>
      <c r="AG541" s="4"/>
      <c r="AH541" s="4"/>
      <c r="AN541" t="s">
        <v>100</v>
      </c>
      <c r="AO541" t="s">
        <v>106</v>
      </c>
      <c r="AP541" s="5">
        <v>45170</v>
      </c>
      <c r="AQ541" t="s">
        <v>106</v>
      </c>
      <c r="AR541" s="5">
        <v>45177</v>
      </c>
      <c r="AT541" s="6"/>
      <c r="BJ541" s="6"/>
      <c r="BL541" s="4">
        <v>-2380.6861899999999</v>
      </c>
      <c r="BM541" t="s">
        <v>2862</v>
      </c>
      <c r="BN541" t="s">
        <v>65</v>
      </c>
      <c r="BO541">
        <v>9</v>
      </c>
      <c r="BP541">
        <v>2023</v>
      </c>
      <c r="BQ541" t="str">
        <f t="shared" si="41"/>
        <v>Bangsakao9</v>
      </c>
      <c r="BR541">
        <f t="shared" si="42"/>
        <v>0</v>
      </c>
      <c r="BS541">
        <f t="shared" si="43"/>
        <v>0</v>
      </c>
      <c r="BT541" s="6">
        <f t="shared" si="44"/>
        <v>0</v>
      </c>
    </row>
    <row r="542" spans="1:72">
      <c r="A542" s="3" t="s">
        <v>113</v>
      </c>
      <c r="B542" s="3" t="s">
        <v>474</v>
      </c>
      <c r="C542" s="3" t="s">
        <v>484</v>
      </c>
      <c r="D542" s="2" t="s">
        <v>490</v>
      </c>
      <c r="E542" s="4" t="str">
        <f t="shared" si="40"/>
        <v>Rayong3D1-030-0017</v>
      </c>
      <c r="F542">
        <v>6.25</v>
      </c>
      <c r="G542">
        <v>2</v>
      </c>
      <c r="H542" t="s">
        <v>72</v>
      </c>
      <c r="I542" t="s">
        <v>75</v>
      </c>
      <c r="J542" t="s">
        <v>95</v>
      </c>
      <c r="K542" t="s">
        <v>79</v>
      </c>
      <c r="N542" s="5">
        <v>45017</v>
      </c>
      <c r="O542" s="5">
        <v>45046</v>
      </c>
      <c r="P542">
        <v>4.3</v>
      </c>
      <c r="Q542" s="4">
        <v>215</v>
      </c>
      <c r="R542">
        <v>0.78900000000000003</v>
      </c>
      <c r="S542" t="s">
        <v>70</v>
      </c>
      <c r="T542" s="6">
        <v>6</v>
      </c>
      <c r="U542" s="5">
        <v>45151</v>
      </c>
      <c r="V542" s="6">
        <v>1</v>
      </c>
      <c r="W542" t="s">
        <v>86</v>
      </c>
      <c r="X542" s="6">
        <v>105</v>
      </c>
      <c r="Y542">
        <v>98.010210000000001</v>
      </c>
      <c r="Z542">
        <v>15.6816336</v>
      </c>
      <c r="AA542" s="6">
        <v>29.466307642846594</v>
      </c>
      <c r="AB542" s="4">
        <v>67.162767441860467</v>
      </c>
      <c r="AC542" s="6">
        <v>33.937065075161044</v>
      </c>
      <c r="AD542">
        <v>0.55270980400000003</v>
      </c>
      <c r="AE542">
        <v>1.5823903548010341</v>
      </c>
      <c r="AF542">
        <v>149725</v>
      </c>
      <c r="AG542" s="4"/>
      <c r="AH542" s="4"/>
      <c r="AI542" t="s">
        <v>73</v>
      </c>
      <c r="AJ542" t="s">
        <v>73</v>
      </c>
      <c r="AK542" t="s">
        <v>491</v>
      </c>
      <c r="AL542">
        <v>17</v>
      </c>
      <c r="AM542">
        <v>18.175060000000002</v>
      </c>
      <c r="AN542" t="s">
        <v>81</v>
      </c>
      <c r="AO542" t="s">
        <v>144</v>
      </c>
      <c r="AP542" s="5">
        <v>45055</v>
      </c>
      <c r="AQ542" t="s">
        <v>108</v>
      </c>
      <c r="AR542" s="5">
        <v>45145</v>
      </c>
      <c r="AS542">
        <v>224.2016774578893</v>
      </c>
      <c r="AT542" s="6"/>
      <c r="AU542">
        <v>23.466942882787414</v>
      </c>
      <c r="AV542">
        <v>51.782971182288051</v>
      </c>
      <c r="AW542">
        <v>23.068931389903156</v>
      </c>
      <c r="AX542">
        <v>98.318845454978629</v>
      </c>
      <c r="AY542">
        <v>10.02536205156585</v>
      </c>
      <c r="AZ542">
        <v>20.169584985074515</v>
      </c>
      <c r="BA542">
        <v>6.0213324713823173</v>
      </c>
      <c r="BB542">
        <v>16.05574766139161</v>
      </c>
      <c r="BC542">
        <v>13.131970944659747</v>
      </c>
      <c r="BD542">
        <v>65.403998114074042</v>
      </c>
      <c r="BE542">
        <v>60.478833888836633</v>
      </c>
      <c r="BF542">
        <v>8.8311005557482218</v>
      </c>
      <c r="BG542">
        <v>3.576673899586583</v>
      </c>
      <c r="BH542">
        <v>12.407774455334804</v>
      </c>
      <c r="BI542">
        <v>176.13061802438745</v>
      </c>
      <c r="BJ542" s="6">
        <v>200</v>
      </c>
      <c r="BK542">
        <v>48.071059433501865</v>
      </c>
      <c r="BL542" s="4">
        <v>4711.4546299999993</v>
      </c>
      <c r="BM542" t="s">
        <v>492</v>
      </c>
      <c r="BN542" t="s">
        <v>65</v>
      </c>
      <c r="BO542">
        <v>8</v>
      </c>
      <c r="BP542">
        <v>2023</v>
      </c>
      <c r="BQ542" t="str">
        <f t="shared" si="41"/>
        <v>Rayong38</v>
      </c>
      <c r="BR542">
        <f t="shared" si="42"/>
        <v>2339.4431400000012</v>
      </c>
      <c r="BS542">
        <f t="shared" si="43"/>
        <v>21974.053489999998</v>
      </c>
      <c r="BT542" s="6">
        <f t="shared" si="44"/>
        <v>23.869381975612555</v>
      </c>
    </row>
    <row r="543" spans="1:72">
      <c r="A543" s="3" t="s">
        <v>113</v>
      </c>
      <c r="B543" s="3" t="s">
        <v>474</v>
      </c>
      <c r="C543" s="3" t="s">
        <v>484</v>
      </c>
      <c r="D543" s="2" t="s">
        <v>496</v>
      </c>
      <c r="E543" s="4" t="str">
        <f t="shared" si="40"/>
        <v>Rayong3D1-031-0041</v>
      </c>
      <c r="F543">
        <v>6.25</v>
      </c>
      <c r="G543">
        <v>1.5</v>
      </c>
      <c r="H543" t="s">
        <v>72</v>
      </c>
      <c r="I543" t="s">
        <v>75</v>
      </c>
      <c r="J543" t="s">
        <v>95</v>
      </c>
      <c r="K543" t="s">
        <v>79</v>
      </c>
      <c r="L543" t="s">
        <v>79</v>
      </c>
      <c r="M543">
        <v>2.9293688278231</v>
      </c>
      <c r="N543" s="5">
        <v>44875</v>
      </c>
      <c r="O543" s="5">
        <v>44893</v>
      </c>
      <c r="P543">
        <v>1.5</v>
      </c>
      <c r="Q543" s="4">
        <v>100</v>
      </c>
      <c r="R543">
        <v>0.47699999999999998</v>
      </c>
      <c r="S543" t="s">
        <v>70</v>
      </c>
      <c r="T543" s="6">
        <v>6</v>
      </c>
      <c r="U543" s="5">
        <v>45037</v>
      </c>
      <c r="V543" s="6">
        <v>1</v>
      </c>
      <c r="W543" t="s">
        <v>86</v>
      </c>
      <c r="X543" s="6">
        <v>144</v>
      </c>
      <c r="Y543">
        <v>63.309800000000003</v>
      </c>
      <c r="Z543">
        <v>10.129568000000001</v>
      </c>
      <c r="AA543" s="6">
        <v>26.22436020963579</v>
      </c>
      <c r="AB543" s="4">
        <v>110.68393333333333</v>
      </c>
      <c r="AC543" s="6">
        <v>38.132484148557545</v>
      </c>
      <c r="AD543">
        <v>0.31234406599999998</v>
      </c>
      <c r="AE543">
        <v>1.8604025498937757</v>
      </c>
      <c r="AF543">
        <v>116450</v>
      </c>
      <c r="AG543" s="4">
        <v>0</v>
      </c>
      <c r="AH543" s="4">
        <v>341125</v>
      </c>
      <c r="AL543">
        <v>22</v>
      </c>
      <c r="AM543">
        <v>11.604520000000001</v>
      </c>
      <c r="AN543" t="s">
        <v>81</v>
      </c>
      <c r="AO543" t="s">
        <v>108</v>
      </c>
      <c r="AP543" s="5">
        <v>44894</v>
      </c>
      <c r="AQ543" t="s">
        <v>157</v>
      </c>
      <c r="AR543" s="5">
        <v>45034</v>
      </c>
      <c r="AS543">
        <v>277.13090848494232</v>
      </c>
      <c r="AT543" s="6"/>
      <c r="AU543">
        <v>10.661856458241854</v>
      </c>
      <c r="AV543">
        <v>63.084087613607984</v>
      </c>
      <c r="AW543">
        <v>29.193330890320293</v>
      </c>
      <c r="AX543">
        <v>102.93927496217012</v>
      </c>
      <c r="AY543">
        <v>12.027154089888139</v>
      </c>
      <c r="AZ543">
        <v>32.717493816123266</v>
      </c>
      <c r="BA543">
        <v>8.7899209916948084</v>
      </c>
      <c r="BB543">
        <v>17.195967133050491</v>
      </c>
      <c r="BC543">
        <v>15.119357666585582</v>
      </c>
      <c r="BD543">
        <v>85.849893697342281</v>
      </c>
      <c r="BE543">
        <v>88.341739825429926</v>
      </c>
      <c r="BF543">
        <v>10.71521675949063</v>
      </c>
      <c r="BG543">
        <v>3.8003623451661515</v>
      </c>
      <c r="BH543">
        <v>14.515579104656783</v>
      </c>
      <c r="BI543">
        <v>203.30474776416918</v>
      </c>
      <c r="BJ543" s="6">
        <v>210</v>
      </c>
      <c r="BK543">
        <v>73.826160720773117</v>
      </c>
      <c r="BL543" s="4">
        <v>4673.9194700000025</v>
      </c>
      <c r="BM543" t="s">
        <v>497</v>
      </c>
      <c r="BN543" t="s">
        <v>65</v>
      </c>
      <c r="BO543">
        <v>4</v>
      </c>
      <c r="BP543">
        <v>2023</v>
      </c>
      <c r="BQ543" t="str">
        <f t="shared" si="41"/>
        <v>Rayong34</v>
      </c>
      <c r="BR543">
        <f t="shared" si="42"/>
        <v>423.87508000000219</v>
      </c>
      <c r="BS543">
        <f t="shared" si="43"/>
        <v>17545.102390000004</v>
      </c>
      <c r="BT543" s="6">
        <f t="shared" si="44"/>
        <v>6.6952522358308215</v>
      </c>
    </row>
    <row r="544" spans="1:72">
      <c r="A544" s="3" t="s">
        <v>113</v>
      </c>
      <c r="B544" s="3" t="s">
        <v>474</v>
      </c>
      <c r="C544" s="3" t="s">
        <v>484</v>
      </c>
      <c r="D544" s="2" t="s">
        <v>488</v>
      </c>
      <c r="E544" s="4" t="str">
        <f t="shared" si="40"/>
        <v>Rayong3D1-047-0011</v>
      </c>
      <c r="F544">
        <v>1.5</v>
      </c>
      <c r="G544">
        <v>1.8</v>
      </c>
      <c r="H544" t="s">
        <v>72</v>
      </c>
      <c r="I544" t="s">
        <v>75</v>
      </c>
      <c r="J544" t="s">
        <v>95</v>
      </c>
      <c r="K544" t="s">
        <v>79</v>
      </c>
      <c r="L544" t="s">
        <v>79</v>
      </c>
      <c r="M544">
        <v>5.5822695035460992</v>
      </c>
      <c r="N544" s="5">
        <v>44835</v>
      </c>
      <c r="O544" s="5">
        <v>44865</v>
      </c>
      <c r="P544">
        <v>0.8</v>
      </c>
      <c r="Q544" s="4">
        <v>185</v>
      </c>
      <c r="R544">
        <v>0.3</v>
      </c>
      <c r="S544" t="s">
        <v>70</v>
      </c>
      <c r="T544" s="6">
        <v>3</v>
      </c>
      <c r="U544" s="5">
        <v>44983</v>
      </c>
      <c r="V544" s="6">
        <v>1</v>
      </c>
      <c r="W544" t="s">
        <v>86</v>
      </c>
      <c r="X544" s="6">
        <v>117.99999999999999</v>
      </c>
      <c r="Y544">
        <v>21.19312</v>
      </c>
      <c r="Z544">
        <v>14.128746666666666</v>
      </c>
      <c r="AA544" s="6">
        <v>31.179788535147257</v>
      </c>
      <c r="AB544" s="4">
        <v>82.599625000000003</v>
      </c>
      <c r="AC544" s="6">
        <v>32.072058438521964</v>
      </c>
      <c r="AD544">
        <v>0.28968439499999998</v>
      </c>
      <c r="AE544">
        <v>1.6823270233740848</v>
      </c>
      <c r="AF544">
        <v>35250</v>
      </c>
      <c r="AG544" s="4">
        <v>0</v>
      </c>
      <c r="AH544" s="4">
        <v>196775</v>
      </c>
      <c r="AL544">
        <v>29</v>
      </c>
      <c r="AM544">
        <v>13.44364</v>
      </c>
      <c r="AN544" t="s">
        <v>81</v>
      </c>
      <c r="AO544" t="s">
        <v>99</v>
      </c>
      <c r="AP544" s="5">
        <v>44865</v>
      </c>
      <c r="AQ544" t="s">
        <v>127</v>
      </c>
      <c r="AR544" s="5">
        <v>44978</v>
      </c>
      <c r="AS544">
        <v>254.06197435771605</v>
      </c>
      <c r="AT544" s="6"/>
      <c r="AU544">
        <v>15.099239753278423</v>
      </c>
      <c r="AV544">
        <v>54.276633171519826</v>
      </c>
      <c r="AW544">
        <v>25.060324765773043</v>
      </c>
      <c r="AX544">
        <v>94.436197690571291</v>
      </c>
      <c r="AY544">
        <v>7.9711255350793104</v>
      </c>
      <c r="AZ544">
        <v>20.064604928391859</v>
      </c>
      <c r="BA544">
        <v>10.917070256762573</v>
      </c>
      <c r="BB544">
        <v>14.595023290577318</v>
      </c>
      <c r="BC544">
        <v>8.0855739975992247</v>
      </c>
      <c r="BD544">
        <v>61.633398008410282</v>
      </c>
      <c r="BE544">
        <v>97.992378658734467</v>
      </c>
      <c r="BF544">
        <v>6.9290642434903402</v>
      </c>
      <c r="BG544">
        <v>2.3731739356923378</v>
      </c>
      <c r="BH544">
        <v>9.3022381791826785</v>
      </c>
      <c r="BI544">
        <v>165.37183387816421</v>
      </c>
      <c r="BJ544" s="6">
        <v>194</v>
      </c>
      <c r="BK544">
        <v>88.690140479551857</v>
      </c>
      <c r="BL544" s="4">
        <v>1879.6207899999999</v>
      </c>
      <c r="BM544" t="s">
        <v>489</v>
      </c>
      <c r="BN544" t="s">
        <v>65</v>
      </c>
      <c r="BO544">
        <v>2</v>
      </c>
      <c r="BP544">
        <v>2023</v>
      </c>
      <c r="BQ544" t="str">
        <f t="shared" si="41"/>
        <v>Rayong32</v>
      </c>
      <c r="BR544">
        <f t="shared" si="42"/>
        <v>606.72016000000053</v>
      </c>
      <c r="BS544">
        <f t="shared" si="43"/>
        <v>5384.3659099999995</v>
      </c>
      <c r="BT544" s="6">
        <f t="shared" si="44"/>
        <v>28.62816612183579</v>
      </c>
    </row>
    <row r="545" spans="1:72">
      <c r="A545" s="3" t="s">
        <v>113</v>
      </c>
      <c r="B545" s="3" t="s">
        <v>474</v>
      </c>
      <c r="C545" s="3" t="s">
        <v>484</v>
      </c>
      <c r="D545" s="2" t="s">
        <v>493</v>
      </c>
      <c r="E545" s="4" t="str">
        <f t="shared" si="40"/>
        <v>Rayong3D1-046-0011</v>
      </c>
      <c r="F545">
        <v>1.5</v>
      </c>
      <c r="G545">
        <v>1.5</v>
      </c>
      <c r="H545" t="s">
        <v>72</v>
      </c>
      <c r="I545" t="s">
        <v>75</v>
      </c>
      <c r="J545" t="s">
        <v>95</v>
      </c>
      <c r="K545" t="s">
        <v>79</v>
      </c>
      <c r="L545" t="s">
        <v>79</v>
      </c>
      <c r="M545">
        <v>4.2292713567839195</v>
      </c>
      <c r="N545" s="5">
        <v>44835</v>
      </c>
      <c r="O545" s="5">
        <v>44865</v>
      </c>
      <c r="P545">
        <v>0.7</v>
      </c>
      <c r="Q545" s="4">
        <v>194</v>
      </c>
      <c r="R545">
        <v>0.3</v>
      </c>
      <c r="S545" t="s">
        <v>70</v>
      </c>
      <c r="T545" s="6">
        <v>4</v>
      </c>
      <c r="U545" s="5">
        <v>44998</v>
      </c>
      <c r="V545" s="6">
        <v>1</v>
      </c>
      <c r="W545" t="s">
        <v>86</v>
      </c>
      <c r="X545" s="6">
        <v>133</v>
      </c>
      <c r="Y545">
        <v>20.550429999999999</v>
      </c>
      <c r="Z545">
        <v>13.700286666666665</v>
      </c>
      <c r="AA545" s="6">
        <v>29.232089060910159</v>
      </c>
      <c r="AB545" s="4">
        <v>85.818857142857141</v>
      </c>
      <c r="AC545" s="6">
        <v>34.20898170898171</v>
      </c>
      <c r="AD545">
        <v>0.28692886099999998</v>
      </c>
      <c r="AE545">
        <v>1.9566941308517076</v>
      </c>
      <c r="AF545">
        <v>39800</v>
      </c>
      <c r="AG545" s="4">
        <v>0</v>
      </c>
      <c r="AH545" s="4">
        <v>168325</v>
      </c>
      <c r="AL545">
        <v>26.000000000000004</v>
      </c>
      <c r="AM545">
        <v>7.5643199999999995</v>
      </c>
      <c r="AN545" t="s">
        <v>81</v>
      </c>
      <c r="AO545" t="s">
        <v>99</v>
      </c>
      <c r="AP545" s="5">
        <v>44865</v>
      </c>
      <c r="AQ545" t="s">
        <v>117</v>
      </c>
      <c r="AR545" s="5">
        <v>44992</v>
      </c>
      <c r="AS545">
        <v>266.18463165977539</v>
      </c>
      <c r="AT545" s="6"/>
      <c r="AU545">
        <v>13.625019038531066</v>
      </c>
      <c r="AV545">
        <v>63.80240364800153</v>
      </c>
      <c r="AW545">
        <v>26.064329554174787</v>
      </c>
      <c r="AX545">
        <v>103.49175224070738</v>
      </c>
      <c r="AY545">
        <v>9.1181381606126966</v>
      </c>
      <c r="AZ545">
        <v>23.346516350266153</v>
      </c>
      <c r="BA545">
        <v>11.606984866010103</v>
      </c>
      <c r="BB545">
        <v>15.678186782466351</v>
      </c>
      <c r="BC545">
        <v>9.7738134919804622</v>
      </c>
      <c r="BD545">
        <v>69.52363965133577</v>
      </c>
      <c r="BE545">
        <v>93.169239767732222</v>
      </c>
      <c r="BF545">
        <v>8.1039170469912278</v>
      </c>
      <c r="BG545">
        <v>2.7997710996801524</v>
      </c>
      <c r="BH545">
        <v>10.903688146671382</v>
      </c>
      <c r="BI545">
        <v>183.91908003871453</v>
      </c>
      <c r="BJ545" s="6">
        <v>200</v>
      </c>
      <c r="BK545">
        <v>82.265551621060851</v>
      </c>
      <c r="BL545" s="4">
        <v>1690.5924599999976</v>
      </c>
      <c r="BM545" t="s">
        <v>494</v>
      </c>
      <c r="BN545" t="s">
        <v>65</v>
      </c>
      <c r="BO545">
        <v>3</v>
      </c>
      <c r="BP545">
        <v>2023</v>
      </c>
      <c r="BQ545" t="str">
        <f t="shared" si="41"/>
        <v>Rayong33</v>
      </c>
      <c r="BR545">
        <f t="shared" si="42"/>
        <v>330.4698199999998</v>
      </c>
      <c r="BS545">
        <f t="shared" si="43"/>
        <v>5470.208639999998</v>
      </c>
      <c r="BT545" s="6">
        <f t="shared" si="44"/>
        <v>16.080919961285474</v>
      </c>
    </row>
    <row r="546" spans="1:72">
      <c r="A546" s="3" t="s">
        <v>113</v>
      </c>
      <c r="B546" s="3" t="s">
        <v>474</v>
      </c>
      <c r="C546" s="3" t="s">
        <v>484</v>
      </c>
      <c r="D546" s="2" t="s">
        <v>495</v>
      </c>
      <c r="E546" s="4" t="str">
        <f t="shared" si="40"/>
        <v>Rayong3D1-030-0016</v>
      </c>
      <c r="F546">
        <v>6.25</v>
      </c>
      <c r="G546">
        <v>1.5</v>
      </c>
      <c r="H546" t="s">
        <v>72</v>
      </c>
      <c r="I546" t="s">
        <v>75</v>
      </c>
      <c r="J546" t="s">
        <v>95</v>
      </c>
      <c r="K546" t="s">
        <v>79</v>
      </c>
      <c r="L546" t="s">
        <v>79</v>
      </c>
      <c r="M546">
        <v>4.4038863976083711</v>
      </c>
      <c r="N546" s="5">
        <v>44835</v>
      </c>
      <c r="O546" s="5">
        <v>44846</v>
      </c>
      <c r="P546">
        <v>1.5</v>
      </c>
      <c r="Q546" s="4">
        <v>100</v>
      </c>
      <c r="R546">
        <v>0.65</v>
      </c>
      <c r="S546" t="s">
        <v>70</v>
      </c>
      <c r="T546" s="6">
        <v>6</v>
      </c>
      <c r="U546" s="5">
        <v>44997</v>
      </c>
      <c r="V546" s="6">
        <v>1</v>
      </c>
      <c r="W546" t="s">
        <v>86</v>
      </c>
      <c r="X546" s="6">
        <v>151</v>
      </c>
      <c r="Y546">
        <v>54.518839999999997</v>
      </c>
      <c r="Z546">
        <v>8.7230144000000003</v>
      </c>
      <c r="AA546" s="6">
        <v>26.563111027307258</v>
      </c>
      <c r="AB546" s="4">
        <v>96.545999999999992</v>
      </c>
      <c r="AC546" s="6">
        <v>37.646192833813245</v>
      </c>
      <c r="AD546">
        <v>0.28363086700000001</v>
      </c>
      <c r="AE546">
        <v>1.8741588696552856</v>
      </c>
      <c r="AF546">
        <v>100350</v>
      </c>
      <c r="AG546" s="4">
        <v>0</v>
      </c>
      <c r="AH546" s="4">
        <v>441930</v>
      </c>
      <c r="AL546">
        <v>23</v>
      </c>
      <c r="AM546">
        <v>24.780049999999999</v>
      </c>
      <c r="AN546" t="s">
        <v>81</v>
      </c>
      <c r="AO546" t="s">
        <v>106</v>
      </c>
      <c r="AP546" s="5">
        <v>44852</v>
      </c>
      <c r="AQ546" t="s">
        <v>117</v>
      </c>
      <c r="AR546" s="5">
        <v>44992</v>
      </c>
      <c r="AS546">
        <v>286.97252747857442</v>
      </c>
      <c r="AT546" s="6"/>
      <c r="AU546">
        <v>13.756712358516801</v>
      </c>
      <c r="AV546">
        <v>59.325331756875237</v>
      </c>
      <c r="AW546">
        <v>34.733587875310626</v>
      </c>
      <c r="AX546">
        <v>107.81563199070266</v>
      </c>
      <c r="AY546">
        <v>14.220817610939632</v>
      </c>
      <c r="AZ546">
        <v>36.383994963942747</v>
      </c>
      <c r="BA546">
        <v>18.192364511057093</v>
      </c>
      <c r="BB546">
        <v>24.54660058798023</v>
      </c>
      <c r="BC546">
        <v>15.194898864319198</v>
      </c>
      <c r="BD546">
        <v>108.5386765382389</v>
      </c>
      <c r="BE546">
        <v>70.618218949632862</v>
      </c>
      <c r="BF546">
        <v>12.618652744629197</v>
      </c>
      <c r="BG546">
        <v>4.357101691818829</v>
      </c>
      <c r="BH546">
        <v>16.975754436448025</v>
      </c>
      <c r="BI546">
        <v>233.3300629653896</v>
      </c>
      <c r="BJ546" s="6">
        <v>210</v>
      </c>
      <c r="BK546">
        <v>53.642464513184827</v>
      </c>
      <c r="BL546" s="4">
        <v>2924.5249400000012</v>
      </c>
      <c r="BM546" t="s">
        <v>485</v>
      </c>
      <c r="BN546" t="s">
        <v>65</v>
      </c>
      <c r="BO546">
        <v>3</v>
      </c>
      <c r="BP546">
        <v>2023</v>
      </c>
      <c r="BQ546" t="str">
        <f t="shared" si="41"/>
        <v>Rayong33</v>
      </c>
      <c r="BR546">
        <f t="shared" si="42"/>
        <v>-1271.9279700000011</v>
      </c>
      <c r="BS546">
        <f t="shared" si="43"/>
        <v>15645.409310000001</v>
      </c>
      <c r="BT546" s="6">
        <f t="shared" si="44"/>
        <v>-23.330062965389601</v>
      </c>
    </row>
    <row r="547" spans="1:72">
      <c r="A547" s="3" t="s">
        <v>113</v>
      </c>
      <c r="B547" s="3" t="s">
        <v>474</v>
      </c>
      <c r="C547" s="3" t="s">
        <v>484</v>
      </c>
      <c r="D547" s="2" t="s">
        <v>486</v>
      </c>
      <c r="E547" s="4" t="str">
        <f t="shared" si="40"/>
        <v>Rayong3D1-031-0042</v>
      </c>
      <c r="F547">
        <v>6.25</v>
      </c>
      <c r="G547">
        <v>1.5</v>
      </c>
      <c r="H547" t="s">
        <v>72</v>
      </c>
      <c r="I547" t="s">
        <v>75</v>
      </c>
      <c r="J547" t="s">
        <v>95</v>
      </c>
      <c r="K547" t="s">
        <v>79</v>
      </c>
      <c r="N547" s="5">
        <v>45078</v>
      </c>
      <c r="O547" s="5">
        <v>45106</v>
      </c>
      <c r="P547">
        <v>4.2</v>
      </c>
      <c r="Q547" s="4">
        <v>280</v>
      </c>
      <c r="R547">
        <v>0.69899999999999995</v>
      </c>
      <c r="S547" t="s">
        <v>70</v>
      </c>
      <c r="T547" s="6">
        <v>2</v>
      </c>
      <c r="U547" s="5">
        <v>45139</v>
      </c>
      <c r="V547" s="6">
        <v>2</v>
      </c>
      <c r="W547" t="s">
        <v>71</v>
      </c>
      <c r="X547" s="6">
        <v>33</v>
      </c>
      <c r="Y547">
        <v>26.010860000000001</v>
      </c>
      <c r="Z547">
        <v>4.1617376000000004</v>
      </c>
      <c r="AA547" s="6">
        <v>124.00335859713981</v>
      </c>
      <c r="AB547" s="4">
        <v>76.796047619047613</v>
      </c>
      <c r="AC547" s="6">
        <v>8.0642977038128816</v>
      </c>
      <c r="AD547">
        <v>0.22319745799999999</v>
      </c>
      <c r="AE547">
        <v>1.2731077176981693</v>
      </c>
      <c r="AF547">
        <v>29375</v>
      </c>
      <c r="AG547" s="4"/>
      <c r="AH547" s="4"/>
      <c r="AI547" t="s">
        <v>73</v>
      </c>
      <c r="AJ547" t="s">
        <v>73</v>
      </c>
      <c r="AK547" t="s">
        <v>136</v>
      </c>
      <c r="AL547">
        <v>124</v>
      </c>
      <c r="AM547">
        <v>10.945120000000001</v>
      </c>
      <c r="AN547" t="s">
        <v>73</v>
      </c>
      <c r="AO547" t="s">
        <v>198</v>
      </c>
      <c r="AP547" s="5">
        <v>45111</v>
      </c>
      <c r="AQ547" t="s">
        <v>176</v>
      </c>
      <c r="AR547" s="5">
        <v>45132</v>
      </c>
      <c r="AS547">
        <v>85.368393817044108</v>
      </c>
      <c r="AT547" s="6"/>
      <c r="AU547">
        <v>80.735508168511146</v>
      </c>
      <c r="AV547">
        <v>38.957270540074404</v>
      </c>
      <c r="AW547">
        <v>35.313262229699426</v>
      </c>
      <c r="AX547">
        <v>155.006040938285</v>
      </c>
      <c r="AY547">
        <v>10.030407683559865</v>
      </c>
      <c r="AZ547">
        <v>30.404624068562129</v>
      </c>
      <c r="BA547">
        <v>7.4787100464959639</v>
      </c>
      <c r="BB547">
        <v>14.664633541528424</v>
      </c>
      <c r="BC547">
        <v>15.62223509718633</v>
      </c>
      <c r="BD547">
        <v>78.200610437332713</v>
      </c>
      <c r="BE547">
        <v>-147.83825755857362</v>
      </c>
      <c r="BF547">
        <v>8.3148315741963152</v>
      </c>
      <c r="BG547">
        <v>3.7199192952482156</v>
      </c>
      <c r="BH547">
        <v>12.034750869444531</v>
      </c>
      <c r="BI547">
        <v>245.24140224506229</v>
      </c>
      <c r="BJ547" s="6">
        <v>150</v>
      </c>
      <c r="BK547">
        <v>-159.87300842801818</v>
      </c>
      <c r="BL547" s="4">
        <v>-4158.4344400000009</v>
      </c>
      <c r="BM547" t="s">
        <v>487</v>
      </c>
      <c r="BN547" t="s">
        <v>65</v>
      </c>
      <c r="BO547">
        <v>8</v>
      </c>
      <c r="BP547">
        <v>2023</v>
      </c>
      <c r="BQ547" t="str">
        <f t="shared" si="41"/>
        <v>Rayong38</v>
      </c>
      <c r="BR547">
        <f t="shared" si="42"/>
        <v>-2477.3107800000012</v>
      </c>
      <c r="BS547">
        <f t="shared" si="43"/>
        <v>2220.5053400000002</v>
      </c>
      <c r="BT547" s="6">
        <f t="shared" si="44"/>
        <v>-95.241402245062289</v>
      </c>
    </row>
    <row r="548" spans="1:72">
      <c r="A548" s="3" t="s">
        <v>113</v>
      </c>
      <c r="B548" s="3" t="s">
        <v>474</v>
      </c>
      <c r="C548" s="3" t="s">
        <v>2657</v>
      </c>
      <c r="D548" s="2" t="s">
        <v>483</v>
      </c>
      <c r="E548" s="4" t="str">
        <f t="shared" si="40"/>
        <v>Rayong3C1-016-0037</v>
      </c>
      <c r="F548">
        <v>6.25</v>
      </c>
      <c r="G548">
        <v>2</v>
      </c>
      <c r="H548" t="s">
        <v>72</v>
      </c>
      <c r="I548" t="s">
        <v>75</v>
      </c>
      <c r="L548" t="s">
        <v>79</v>
      </c>
      <c r="M548">
        <v>0.37233188894238484</v>
      </c>
      <c r="N548" s="5">
        <v>44941</v>
      </c>
      <c r="O548" s="5">
        <v>44962</v>
      </c>
      <c r="P548">
        <v>3.6</v>
      </c>
      <c r="Q548" s="4">
        <v>180</v>
      </c>
      <c r="R548">
        <v>0.63900000000000001</v>
      </c>
      <c r="S548" t="s">
        <v>70</v>
      </c>
      <c r="T548" s="6">
        <v>6</v>
      </c>
      <c r="U548" s="5">
        <v>45075</v>
      </c>
      <c r="V548" s="6">
        <v>1</v>
      </c>
      <c r="W548" t="s">
        <v>86</v>
      </c>
      <c r="X548" s="6">
        <v>113</v>
      </c>
      <c r="Y548">
        <v>100.50542999999999</v>
      </c>
      <c r="Z548">
        <v>16.080868799999998</v>
      </c>
      <c r="AA548" s="6">
        <v>32.950229654258486</v>
      </c>
      <c r="AB548" s="4">
        <v>91.991027777777774</v>
      </c>
      <c r="AC548" s="6">
        <v>30.348802132575123</v>
      </c>
      <c r="AD548">
        <v>0.41575263400000001</v>
      </c>
      <c r="AE548">
        <v>1.5862399804162626</v>
      </c>
      <c r="AF548">
        <v>155775</v>
      </c>
      <c r="AG548" s="4">
        <v>0</v>
      </c>
      <c r="AH548" s="4">
        <v>58000</v>
      </c>
      <c r="AL548">
        <v>21</v>
      </c>
      <c r="AM548">
        <v>19.475540000000002</v>
      </c>
      <c r="AN548" t="s">
        <v>81</v>
      </c>
      <c r="AO548" t="s">
        <v>127</v>
      </c>
      <c r="AP548" s="5">
        <v>44964</v>
      </c>
      <c r="AQ548" t="s">
        <v>144</v>
      </c>
      <c r="AR548" s="5">
        <v>45069</v>
      </c>
      <c r="AS548">
        <v>236.04960050417174</v>
      </c>
      <c r="AT548" s="6"/>
      <c r="AU548">
        <v>17.262748888293899</v>
      </c>
      <c r="AV548">
        <v>54.181862313309807</v>
      </c>
      <c r="AW548">
        <v>13.970345781317489</v>
      </c>
      <c r="AX548">
        <v>85.414956982921197</v>
      </c>
      <c r="AY548">
        <v>14.125020210350824</v>
      </c>
      <c r="AZ548">
        <v>26.86010367798038</v>
      </c>
      <c r="BA548">
        <v>17.822815841890336</v>
      </c>
      <c r="BB548">
        <v>21.039275589388549</v>
      </c>
      <c r="BC548">
        <v>9.9918244218247718</v>
      </c>
      <c r="BD548">
        <v>89.83903974143486</v>
      </c>
      <c r="BE548">
        <v>60.795603779815693</v>
      </c>
      <c r="BF548">
        <v>4.6344196527491102</v>
      </c>
      <c r="BG548">
        <v>1.5510442570117855</v>
      </c>
      <c r="BH548">
        <v>6.1854639097608954</v>
      </c>
      <c r="BI548">
        <v>181.43946063411701</v>
      </c>
      <c r="BJ548" s="6">
        <v>191</v>
      </c>
      <c r="BK548">
        <v>54.610139870054709</v>
      </c>
      <c r="BL548" s="4">
        <v>5488.6155899999922</v>
      </c>
      <c r="BM548" t="s">
        <v>480</v>
      </c>
      <c r="BN548" t="s">
        <v>65</v>
      </c>
      <c r="BO548">
        <v>5</v>
      </c>
      <c r="BP548">
        <v>2023</v>
      </c>
      <c r="BQ548" t="str">
        <f t="shared" si="41"/>
        <v>Rayong35</v>
      </c>
      <c r="BR548">
        <f t="shared" si="42"/>
        <v>960.88611999999694</v>
      </c>
      <c r="BS548">
        <f t="shared" si="43"/>
        <v>23724.266599999995</v>
      </c>
      <c r="BT548" s="6">
        <f t="shared" si="44"/>
        <v>9.5605393658829882</v>
      </c>
    </row>
    <row r="549" spans="1:72">
      <c r="A549" s="3" t="s">
        <v>113</v>
      </c>
      <c r="B549" s="3" t="s">
        <v>474</v>
      </c>
      <c r="C549" s="3" t="s">
        <v>2657</v>
      </c>
      <c r="D549" s="2" t="s">
        <v>2759</v>
      </c>
      <c r="E549" s="4" t="str">
        <f t="shared" si="40"/>
        <v>Rayong3C1-005-0001</v>
      </c>
      <c r="F549">
        <v>6.25</v>
      </c>
      <c r="G549">
        <v>1.5</v>
      </c>
      <c r="H549" t="s">
        <v>72</v>
      </c>
      <c r="I549" t="s">
        <v>75</v>
      </c>
      <c r="N549" s="5">
        <v>45200</v>
      </c>
      <c r="O549" s="5">
        <v>45230</v>
      </c>
      <c r="P549">
        <v>3.6</v>
      </c>
      <c r="Q549" s="4">
        <v>240</v>
      </c>
      <c r="R549">
        <v>0.63200000000000001</v>
      </c>
      <c r="S549" t="s">
        <v>70</v>
      </c>
      <c r="T549" s="6">
        <v>2</v>
      </c>
      <c r="U549" s="5">
        <v>45269</v>
      </c>
      <c r="V549" s="6">
        <v>2</v>
      </c>
      <c r="W549" t="s">
        <v>71</v>
      </c>
      <c r="X549" s="6">
        <v>39</v>
      </c>
      <c r="Y549">
        <v>31.916460000000001</v>
      </c>
      <c r="Z549">
        <v>5.1066336000000003</v>
      </c>
      <c r="AA549" s="6">
        <v>90.000896089353276</v>
      </c>
      <c r="AB549" s="4">
        <v>79.791944444444439</v>
      </c>
      <c r="AC549" s="6">
        <v>11.111000483897357</v>
      </c>
      <c r="AD549">
        <v>0.26869515700000002</v>
      </c>
      <c r="AE549">
        <v>1.174070847753375</v>
      </c>
      <c r="AF549">
        <v>34800</v>
      </c>
      <c r="AG549" s="4"/>
      <c r="AH549" s="4"/>
      <c r="AI549" t="s">
        <v>73</v>
      </c>
      <c r="AJ549" t="s">
        <v>73</v>
      </c>
      <c r="AK549" t="s">
        <v>134</v>
      </c>
      <c r="AL549">
        <v>90</v>
      </c>
      <c r="AM549">
        <v>17.023259999999997</v>
      </c>
      <c r="AN549" t="s">
        <v>73</v>
      </c>
      <c r="AO549" t="s">
        <v>148</v>
      </c>
      <c r="AP549" s="5">
        <v>45231</v>
      </c>
      <c r="AQ549" t="s">
        <v>198</v>
      </c>
      <c r="AR549" s="5">
        <v>45265</v>
      </c>
      <c r="AS549">
        <v>119.31747568496004</v>
      </c>
      <c r="AT549" s="6"/>
      <c r="AU549">
        <v>56.397232023852268</v>
      </c>
      <c r="AV549">
        <v>36.204898036937685</v>
      </c>
      <c r="AW549">
        <v>39.696238868596325</v>
      </c>
      <c r="AX549">
        <v>132.29836892938627</v>
      </c>
      <c r="AY549">
        <v>21.376666146558861</v>
      </c>
      <c r="AZ549">
        <v>17.535858926710546</v>
      </c>
      <c r="BA549">
        <v>11.308885759886904</v>
      </c>
      <c r="BB549">
        <v>12.333566755210322</v>
      </c>
      <c r="BC549">
        <v>6.1573319848128518</v>
      </c>
      <c r="BD549">
        <v>68.712309573179482</v>
      </c>
      <c r="BE549">
        <v>-81.693202817605709</v>
      </c>
      <c r="BF549">
        <v>5.2219666592096994</v>
      </c>
      <c r="BG549">
        <v>1.9886152787621183</v>
      </c>
      <c r="BH549">
        <v>7.2105819379718179</v>
      </c>
      <c r="BI549">
        <v>208.22126044053752</v>
      </c>
      <c r="BJ549" s="6">
        <v>150</v>
      </c>
      <c r="BK549">
        <v>-88.90378475557749</v>
      </c>
      <c r="BL549" s="4">
        <v>-2837.4940899999983</v>
      </c>
      <c r="BM549" t="s">
        <v>2760</v>
      </c>
      <c r="BN549" t="s">
        <v>65</v>
      </c>
      <c r="BO549">
        <v>12</v>
      </c>
      <c r="BP549">
        <v>2023</v>
      </c>
      <c r="BQ549" t="str">
        <f t="shared" si="41"/>
        <v>Rayong312</v>
      </c>
      <c r="BR549">
        <f t="shared" si="42"/>
        <v>-1858.2165299999981</v>
      </c>
      <c r="BS549">
        <f t="shared" si="43"/>
        <v>3808.1914400000001</v>
      </c>
      <c r="BT549" s="6">
        <f t="shared" si="44"/>
        <v>-58.22126044053752</v>
      </c>
    </row>
    <row r="550" spans="1:72">
      <c r="A550" s="3" t="s">
        <v>113</v>
      </c>
      <c r="B550" s="3" t="s">
        <v>474</v>
      </c>
      <c r="C550" s="3" t="s">
        <v>2657</v>
      </c>
      <c r="D550" s="2" t="s">
        <v>481</v>
      </c>
      <c r="E550" s="4" t="str">
        <f t="shared" si="40"/>
        <v>Rayong3C1-016-0038</v>
      </c>
      <c r="F550">
        <v>6.25</v>
      </c>
      <c r="G550">
        <v>1.5</v>
      </c>
      <c r="H550" t="s">
        <v>72</v>
      </c>
      <c r="I550" t="s">
        <v>75</v>
      </c>
      <c r="N550" s="5">
        <v>45076</v>
      </c>
      <c r="O550" s="5">
        <v>45117</v>
      </c>
      <c r="P550">
        <v>3.6</v>
      </c>
      <c r="Q550" s="4">
        <v>240</v>
      </c>
      <c r="R550">
        <v>0.65</v>
      </c>
      <c r="S550" t="s">
        <v>70</v>
      </c>
      <c r="T550" s="6">
        <v>2</v>
      </c>
      <c r="U550" s="5">
        <v>45155</v>
      </c>
      <c r="V550" s="6">
        <v>2</v>
      </c>
      <c r="W550" t="s">
        <v>71</v>
      </c>
      <c r="X550" s="6">
        <v>38</v>
      </c>
      <c r="Y550">
        <v>30.574750000000002</v>
      </c>
      <c r="Z550">
        <v>4.8919600000000001</v>
      </c>
      <c r="AA550" s="6">
        <v>96.999615695958269</v>
      </c>
      <c r="AB550" s="4">
        <v>82.381638888888887</v>
      </c>
      <c r="AC550" s="6">
        <v>10.309319194979734</v>
      </c>
      <c r="AD550">
        <v>0.254191536</v>
      </c>
      <c r="AE550">
        <v>1.2647087468900242</v>
      </c>
      <c r="AF550">
        <v>35710</v>
      </c>
      <c r="AG550" s="4"/>
      <c r="AH550" s="4"/>
      <c r="AI550" t="s">
        <v>73</v>
      </c>
      <c r="AL550">
        <v>97</v>
      </c>
      <c r="AM550">
        <v>15.525040000000001</v>
      </c>
      <c r="AN550" t="s">
        <v>73</v>
      </c>
      <c r="AO550" t="s">
        <v>123</v>
      </c>
      <c r="AP550" s="5">
        <v>45128</v>
      </c>
      <c r="AQ550" t="s">
        <v>176</v>
      </c>
      <c r="AR550" s="5">
        <v>45145</v>
      </c>
      <c r="AS550">
        <v>100.40011316527526</v>
      </c>
      <c r="AT550" s="6"/>
      <c r="AU550">
        <v>58.872108520920037</v>
      </c>
      <c r="AV550">
        <v>40.308055176248374</v>
      </c>
      <c r="AW550">
        <v>39.080987743154061</v>
      </c>
      <c r="AX550">
        <v>138.26115144032246</v>
      </c>
      <c r="AY550">
        <v>42.017149772279417</v>
      </c>
      <c r="AZ550">
        <v>29.585576660479642</v>
      </c>
      <c r="BA550">
        <v>9.8018443323330526</v>
      </c>
      <c r="BB550">
        <v>23.919000809491493</v>
      </c>
      <c r="BC550">
        <v>18.044555392930441</v>
      </c>
      <c r="BD550">
        <v>123.36812696751404</v>
      </c>
      <c r="BE550">
        <v>-161.22916524256124</v>
      </c>
      <c r="BF550">
        <v>9.9051694617290416</v>
      </c>
      <c r="BG550">
        <v>3.9803079338342915</v>
      </c>
      <c r="BH550">
        <v>13.885477395563333</v>
      </c>
      <c r="BI550">
        <v>275.51475580339985</v>
      </c>
      <c r="BJ550" s="6">
        <v>150</v>
      </c>
      <c r="BK550">
        <v>-175.11464263812459</v>
      </c>
      <c r="BL550" s="4">
        <v>-5354.0864199999996</v>
      </c>
      <c r="BM550" t="s">
        <v>482</v>
      </c>
      <c r="BN550" t="s">
        <v>65</v>
      </c>
      <c r="BO550">
        <v>8</v>
      </c>
      <c r="BP550">
        <v>2023</v>
      </c>
      <c r="BQ550" t="str">
        <f t="shared" si="41"/>
        <v>Rayong38</v>
      </c>
      <c r="BR550">
        <f t="shared" si="42"/>
        <v>-3837.5822799999996</v>
      </c>
      <c r="BS550">
        <f t="shared" si="43"/>
        <v>3069.7083599999996</v>
      </c>
      <c r="BT550" s="6">
        <f t="shared" si="44"/>
        <v>-125.51475580339985</v>
      </c>
    </row>
    <row r="551" spans="1:72">
      <c r="A551" s="3" t="s">
        <v>113</v>
      </c>
      <c r="B551" s="3" t="s">
        <v>474</v>
      </c>
      <c r="C551" s="3" t="s">
        <v>476</v>
      </c>
      <c r="D551" s="2" t="s">
        <v>478</v>
      </c>
      <c r="E551" s="4" t="str">
        <f t="shared" si="40"/>
        <v>Rayong3A1-042-0009</v>
      </c>
      <c r="F551">
        <v>1.5</v>
      </c>
      <c r="G551">
        <v>1.5</v>
      </c>
      <c r="H551" t="s">
        <v>72</v>
      </c>
      <c r="I551" t="s">
        <v>75</v>
      </c>
      <c r="J551" t="s">
        <v>95</v>
      </c>
      <c r="K551" t="s">
        <v>79</v>
      </c>
      <c r="N551" s="5">
        <v>45031</v>
      </c>
      <c r="O551" s="5">
        <v>45046</v>
      </c>
      <c r="P551">
        <v>1</v>
      </c>
      <c r="Q551" s="4">
        <v>278</v>
      </c>
      <c r="R551">
        <v>0.7</v>
      </c>
      <c r="S551" t="s">
        <v>70</v>
      </c>
      <c r="T551" s="6">
        <v>6</v>
      </c>
      <c r="U551" s="5">
        <v>45155</v>
      </c>
      <c r="V551" s="6">
        <v>1</v>
      </c>
      <c r="W551" t="s">
        <v>86</v>
      </c>
      <c r="X551" s="6">
        <v>109.00000000000001</v>
      </c>
      <c r="Y551">
        <v>22.678699999999999</v>
      </c>
      <c r="Z551">
        <v>15.119133333333332</v>
      </c>
      <c r="AA551" s="6">
        <v>32.883013576615944</v>
      </c>
      <c r="AB551" s="4">
        <v>74.574399999999997</v>
      </c>
      <c r="AC551" s="6">
        <v>30.410838035572528</v>
      </c>
      <c r="AD551">
        <v>0.53324338900000001</v>
      </c>
      <c r="AE551">
        <v>1.6845847640739606</v>
      </c>
      <c r="AF551">
        <v>37025</v>
      </c>
      <c r="AG551" s="4"/>
      <c r="AH551" s="4"/>
      <c r="AI551" t="s">
        <v>98</v>
      </c>
      <c r="AJ551" t="s">
        <v>98</v>
      </c>
      <c r="AK551" t="s">
        <v>92</v>
      </c>
      <c r="AL551">
        <v>17</v>
      </c>
      <c r="AM551">
        <v>6.3691000000000004</v>
      </c>
      <c r="AN551" t="s">
        <v>81</v>
      </c>
      <c r="AO551" t="s">
        <v>74</v>
      </c>
      <c r="AP551" s="5">
        <v>45048</v>
      </c>
      <c r="AQ551" t="s">
        <v>176</v>
      </c>
      <c r="AR551" s="5">
        <v>45145</v>
      </c>
      <c r="AS551">
        <v>206.68338925952543</v>
      </c>
      <c r="AT551" s="6"/>
      <c r="AU551">
        <v>22.047119102946816</v>
      </c>
      <c r="AV551">
        <v>55.437052388364421</v>
      </c>
      <c r="AW551">
        <v>38.311356030107554</v>
      </c>
      <c r="AX551">
        <v>115.79552752141879</v>
      </c>
      <c r="AY551">
        <v>20.175547540202924</v>
      </c>
      <c r="AZ551">
        <v>23.174703135541275</v>
      </c>
      <c r="BA551">
        <v>8.1406315176795854</v>
      </c>
      <c r="BB551">
        <v>11.602742220674024</v>
      </c>
      <c r="BC551">
        <v>13.940373566386079</v>
      </c>
      <c r="BD551">
        <v>77.033997980483889</v>
      </c>
      <c r="BE551">
        <v>13.853863757622747</v>
      </c>
      <c r="BF551">
        <v>11.678283146741213</v>
      </c>
      <c r="BG551">
        <v>4.6781160295784154</v>
      </c>
      <c r="BH551">
        <v>16.356399176319631</v>
      </c>
      <c r="BI551">
        <v>209.18592467822225</v>
      </c>
      <c r="BJ551" s="6">
        <v>192</v>
      </c>
      <c r="BK551">
        <v>-2.5025354186968389</v>
      </c>
      <c r="BL551" s="4">
        <v>-56.754249999999999</v>
      </c>
      <c r="BM551" t="s">
        <v>479</v>
      </c>
      <c r="BN551" t="s">
        <v>65</v>
      </c>
      <c r="BO551">
        <v>8</v>
      </c>
      <c r="BP551">
        <v>2023</v>
      </c>
      <c r="BQ551" t="str">
        <f t="shared" si="41"/>
        <v>Rayong38</v>
      </c>
      <c r="BR551">
        <f t="shared" si="42"/>
        <v>-389.75442999999893</v>
      </c>
      <c r="BS551">
        <f t="shared" si="43"/>
        <v>4687.3105799999994</v>
      </c>
      <c r="BT551" s="6">
        <f t="shared" si="44"/>
        <v>-17.18592467822225</v>
      </c>
    </row>
    <row r="552" spans="1:72">
      <c r="A552" s="3" t="s">
        <v>113</v>
      </c>
      <c r="B552" s="3" t="s">
        <v>474</v>
      </c>
      <c r="C552" s="3" t="s">
        <v>476</v>
      </c>
      <c r="D552" s="2" t="s">
        <v>477</v>
      </c>
      <c r="E552" s="4" t="str">
        <f t="shared" si="40"/>
        <v>Rayong3A1-005-0028</v>
      </c>
      <c r="F552">
        <v>6.25</v>
      </c>
      <c r="G552">
        <v>1.5</v>
      </c>
      <c r="H552" t="s">
        <v>72</v>
      </c>
      <c r="I552" t="s">
        <v>75</v>
      </c>
      <c r="K552" t="s">
        <v>79</v>
      </c>
      <c r="N552" s="5">
        <v>45066</v>
      </c>
      <c r="O552" s="5">
        <v>45099</v>
      </c>
      <c r="P552">
        <v>3.1</v>
      </c>
      <c r="Q552" s="4">
        <v>207</v>
      </c>
      <c r="R552">
        <v>0.57899999999999996</v>
      </c>
      <c r="S552" t="s">
        <v>70</v>
      </c>
      <c r="T552" s="6">
        <v>2</v>
      </c>
      <c r="U552" s="5">
        <v>45140</v>
      </c>
      <c r="V552" s="6">
        <v>2</v>
      </c>
      <c r="W552" t="s">
        <v>71</v>
      </c>
      <c r="X552" s="6">
        <v>41</v>
      </c>
      <c r="Y552">
        <v>33.330089999999998</v>
      </c>
      <c r="Z552">
        <v>5.3328144000000002</v>
      </c>
      <c r="AA552" s="6">
        <v>89.755143175430973</v>
      </c>
      <c r="AB552" s="4">
        <v>96.501516129032268</v>
      </c>
      <c r="AC552" s="6">
        <v>11.141422815687001</v>
      </c>
      <c r="AD552">
        <v>0.26303991100000002</v>
      </c>
      <c r="AE552">
        <v>1.2121417760342528</v>
      </c>
      <c r="AF552">
        <v>38225</v>
      </c>
      <c r="AG552" s="4"/>
      <c r="AH552" s="4"/>
      <c r="AI552" t="s">
        <v>73</v>
      </c>
      <c r="AJ552" t="s">
        <v>73</v>
      </c>
      <c r="AK552" t="s">
        <v>136</v>
      </c>
      <c r="AL552">
        <v>88</v>
      </c>
      <c r="AM552">
        <v>23.56437</v>
      </c>
      <c r="AN552" t="s">
        <v>73</v>
      </c>
      <c r="AO552" t="s">
        <v>123</v>
      </c>
      <c r="AP552" s="5">
        <v>45104</v>
      </c>
      <c r="AQ552" t="s">
        <v>136</v>
      </c>
      <c r="AR552" s="5">
        <v>45132</v>
      </c>
      <c r="AS552">
        <v>110.03119793555913</v>
      </c>
      <c r="AT552" s="6"/>
      <c r="AU552">
        <v>44.854364329649279</v>
      </c>
      <c r="AV552">
        <v>39.305465121756363</v>
      </c>
      <c r="AW552">
        <v>26.539393683005358</v>
      </c>
      <c r="AX552">
        <v>110.699223134411</v>
      </c>
      <c r="AY552">
        <v>20.455567026671698</v>
      </c>
      <c r="AZ552">
        <v>25.605221888089712</v>
      </c>
      <c r="BA552">
        <v>6.629908590105817</v>
      </c>
      <c r="BB552">
        <v>13.75288035525857</v>
      </c>
      <c r="BC552">
        <v>18.003785168296879</v>
      </c>
      <c r="BD552">
        <v>84.447363028422672</v>
      </c>
      <c r="BE552">
        <v>-85.115388227274536</v>
      </c>
      <c r="BF552">
        <v>11.41140782998186</v>
      </c>
      <c r="BG552">
        <v>4.4452940271088375</v>
      </c>
      <c r="BH552">
        <v>15.856701857090698</v>
      </c>
      <c r="BI552">
        <v>211.00328801992438</v>
      </c>
      <c r="BJ552" s="6">
        <v>150</v>
      </c>
      <c r="BK552">
        <v>-100.97209008436525</v>
      </c>
      <c r="BL552" s="4">
        <v>-3365.4088500000012</v>
      </c>
      <c r="BM552" t="s">
        <v>475</v>
      </c>
      <c r="BN552" t="s">
        <v>65</v>
      </c>
      <c r="BO552">
        <v>8</v>
      </c>
      <c r="BP552">
        <v>2023</v>
      </c>
      <c r="BQ552" t="str">
        <f t="shared" si="41"/>
        <v>Rayong38</v>
      </c>
      <c r="BR552">
        <f t="shared" si="42"/>
        <v>-2033.2450800000015</v>
      </c>
      <c r="BS552">
        <f t="shared" si="43"/>
        <v>3667.3497299999999</v>
      </c>
      <c r="BT552" s="6">
        <f t="shared" si="44"/>
        <v>-61.003288019924383</v>
      </c>
    </row>
    <row r="553" spans="1:72">
      <c r="A553" s="3" t="s">
        <v>113</v>
      </c>
      <c r="B553" s="3" t="s">
        <v>474</v>
      </c>
      <c r="C553" s="3" t="s">
        <v>498</v>
      </c>
      <c r="D553" s="2" t="s">
        <v>506</v>
      </c>
      <c r="E553" s="4" t="str">
        <f t="shared" si="40"/>
        <v>Rayong3A1-023-0031</v>
      </c>
      <c r="F553">
        <v>6.25</v>
      </c>
      <c r="G553">
        <v>1.5</v>
      </c>
      <c r="H553" t="s">
        <v>72</v>
      </c>
      <c r="I553" t="s">
        <v>75</v>
      </c>
      <c r="K553" t="s">
        <v>79</v>
      </c>
      <c r="L553" t="s">
        <v>79</v>
      </c>
      <c r="M553">
        <v>2.5734927752864971</v>
      </c>
      <c r="N553" s="5">
        <v>44880</v>
      </c>
      <c r="O553" s="5">
        <v>44894</v>
      </c>
      <c r="P553">
        <v>1.5</v>
      </c>
      <c r="Q553" s="4">
        <v>100</v>
      </c>
      <c r="R553">
        <v>0.39</v>
      </c>
      <c r="S553" t="s">
        <v>70</v>
      </c>
      <c r="T553" s="6">
        <v>5</v>
      </c>
      <c r="U553" s="5">
        <v>45044</v>
      </c>
      <c r="V553" s="6">
        <v>1</v>
      </c>
      <c r="W553" t="s">
        <v>86</v>
      </c>
      <c r="X553" s="6">
        <v>150</v>
      </c>
      <c r="Y553">
        <v>47.631800000000005</v>
      </c>
      <c r="Z553">
        <v>7.6210880000000012</v>
      </c>
      <c r="AA553" s="6">
        <v>24.266162521676694</v>
      </c>
      <c r="AB553" s="4">
        <v>77.056066666666666</v>
      </c>
      <c r="AC553" s="6">
        <v>41.209647347688829</v>
      </c>
      <c r="AD553">
        <v>0.314860317</v>
      </c>
      <c r="AE553">
        <v>2.1329738629400095</v>
      </c>
      <c r="AF553">
        <v>100350</v>
      </c>
      <c r="AG553" s="4">
        <v>0</v>
      </c>
      <c r="AH553" s="4">
        <v>258250</v>
      </c>
      <c r="AL553">
        <v>21</v>
      </c>
      <c r="AM553">
        <v>12.92638</v>
      </c>
      <c r="AN553" t="s">
        <v>81</v>
      </c>
      <c r="AO553" t="s">
        <v>93</v>
      </c>
      <c r="AP553" s="5">
        <v>44894</v>
      </c>
      <c r="AQ553" t="s">
        <v>157</v>
      </c>
      <c r="AR553" s="5">
        <v>45041</v>
      </c>
      <c r="AS553">
        <v>279.38559785689392</v>
      </c>
      <c r="AT553" s="6"/>
      <c r="AU553">
        <v>13.383915787352144</v>
      </c>
      <c r="AV553">
        <v>72.872644745737091</v>
      </c>
      <c r="AW553">
        <v>33.127632799936165</v>
      </c>
      <c r="AX553">
        <v>119.38419333302539</v>
      </c>
      <c r="AY553">
        <v>21.513108469551852</v>
      </c>
      <c r="AZ553">
        <v>46.447835689602329</v>
      </c>
      <c r="BA553">
        <v>16.007400098253687</v>
      </c>
      <c r="BB553">
        <v>33.999286191158014</v>
      </c>
      <c r="BC553">
        <v>19.522148228704349</v>
      </c>
      <c r="BD553">
        <v>137.48977867727024</v>
      </c>
      <c r="BE553">
        <v>22.511625846598292</v>
      </c>
      <c r="BF553">
        <v>16.966829513056403</v>
      </c>
      <c r="BG553">
        <v>4.8899413836974457</v>
      </c>
      <c r="BH553">
        <v>21.856770896753851</v>
      </c>
      <c r="BI553">
        <v>278.73074290704938</v>
      </c>
      <c r="BJ553" s="6">
        <v>219</v>
      </c>
      <c r="BK553">
        <v>0.65485494984450832</v>
      </c>
      <c r="BL553" s="4">
        <v>31.191920000003652</v>
      </c>
      <c r="BM553" t="s">
        <v>499</v>
      </c>
      <c r="BN553" t="s">
        <v>65</v>
      </c>
      <c r="BO553">
        <v>4</v>
      </c>
      <c r="BP553">
        <v>2023</v>
      </c>
      <c r="BQ553" t="str">
        <f t="shared" si="41"/>
        <v>Rayong34</v>
      </c>
      <c r="BR553">
        <f t="shared" si="42"/>
        <v>-2845.0827999999947</v>
      </c>
      <c r="BS553">
        <f t="shared" si="43"/>
        <v>13307.638920000001</v>
      </c>
      <c r="BT553" s="6">
        <f t="shared" si="44"/>
        <v>-59.730742907049375</v>
      </c>
    </row>
    <row r="554" spans="1:72">
      <c r="A554" s="3" t="s">
        <v>113</v>
      </c>
      <c r="B554" s="3" t="s">
        <v>474</v>
      </c>
      <c r="C554" s="3" t="s">
        <v>498</v>
      </c>
      <c r="D554" s="2" t="s">
        <v>504</v>
      </c>
      <c r="E554" s="4" t="str">
        <f t="shared" si="40"/>
        <v>Rayong3A1-044-0012</v>
      </c>
      <c r="F554">
        <v>1.5</v>
      </c>
      <c r="G554">
        <v>1.5</v>
      </c>
      <c r="H554" t="s">
        <v>72</v>
      </c>
      <c r="I554" t="s">
        <v>75</v>
      </c>
      <c r="J554" t="s">
        <v>95</v>
      </c>
      <c r="K554" t="s">
        <v>79</v>
      </c>
      <c r="L554" t="s">
        <v>79</v>
      </c>
      <c r="M554">
        <v>4.36959370904325</v>
      </c>
      <c r="N554" s="5">
        <v>44844</v>
      </c>
      <c r="O554" s="5">
        <v>44861</v>
      </c>
      <c r="P554">
        <v>0.6</v>
      </c>
      <c r="Q554" s="4">
        <v>167</v>
      </c>
      <c r="R554">
        <v>0.3</v>
      </c>
      <c r="S554" t="s">
        <v>70</v>
      </c>
      <c r="T554" s="6">
        <v>3</v>
      </c>
      <c r="U554" s="5">
        <v>45013</v>
      </c>
      <c r="V554" s="6">
        <v>1</v>
      </c>
      <c r="W554" t="s">
        <v>86</v>
      </c>
      <c r="X554" s="6">
        <v>152</v>
      </c>
      <c r="Y554">
        <v>14.939080000000001</v>
      </c>
      <c r="Z554">
        <v>9.9593866666666671</v>
      </c>
      <c r="AA554" s="6">
        <v>25.12376933519333</v>
      </c>
      <c r="AB554" s="4">
        <v>62.554333333333332</v>
      </c>
      <c r="AC554" s="6">
        <v>39.802944640126185</v>
      </c>
      <c r="AD554">
        <v>0.311309524</v>
      </c>
      <c r="AE554">
        <v>2.5848494621615981</v>
      </c>
      <c r="AF554">
        <v>38150</v>
      </c>
      <c r="AG554" s="4">
        <v>0</v>
      </c>
      <c r="AH554" s="4">
        <v>166700</v>
      </c>
      <c r="AL554">
        <v>21</v>
      </c>
      <c r="AM554">
        <v>8.8485700000000005</v>
      </c>
      <c r="AN554" t="s">
        <v>81</v>
      </c>
      <c r="AO554" t="s">
        <v>102</v>
      </c>
      <c r="AP554" s="5">
        <v>44862</v>
      </c>
      <c r="AQ554" t="s">
        <v>117</v>
      </c>
      <c r="AR554" s="5">
        <v>45006</v>
      </c>
      <c r="AS554">
        <v>286.16043424360805</v>
      </c>
      <c r="AT554" s="6"/>
      <c r="AU554">
        <v>16.065246320389207</v>
      </c>
      <c r="AV554">
        <v>84.550662423656618</v>
      </c>
      <c r="AW554">
        <v>34.157167643522889</v>
      </c>
      <c r="AX554">
        <v>134.77307638756872</v>
      </c>
      <c r="AY554">
        <v>30.430024472725229</v>
      </c>
      <c r="AZ554">
        <v>38.943867359971293</v>
      </c>
      <c r="BA554">
        <v>30.599951938138091</v>
      </c>
      <c r="BB554">
        <v>39.533364839066401</v>
      </c>
      <c r="BC554">
        <v>17.368252931238068</v>
      </c>
      <c r="BD554">
        <v>156.87546154113909</v>
      </c>
      <c r="BE554">
        <v>-5.4881036850997589</v>
      </c>
      <c r="BF554">
        <v>18.676365612875756</v>
      </c>
      <c r="BG554">
        <v>5.7119126479006743</v>
      </c>
      <c r="BH554">
        <v>24.388278260776431</v>
      </c>
      <c r="BI554">
        <v>316.03681618948423</v>
      </c>
      <c r="BJ554" s="6">
        <v>214</v>
      </c>
      <c r="BK554">
        <v>-29.876381945876194</v>
      </c>
      <c r="BL554" s="4">
        <v>-446.32566000000014</v>
      </c>
      <c r="BM554" t="s">
        <v>505</v>
      </c>
      <c r="BN554" t="s">
        <v>65</v>
      </c>
      <c r="BO554">
        <v>3</v>
      </c>
      <c r="BP554">
        <v>2023</v>
      </c>
      <c r="BQ554" t="str">
        <f t="shared" si="41"/>
        <v>Rayong33</v>
      </c>
      <c r="BR554">
        <f t="shared" si="42"/>
        <v>-1524.3361600000001</v>
      </c>
      <c r="BS554">
        <f t="shared" si="43"/>
        <v>4274.9736200000007</v>
      </c>
      <c r="BT554" s="6">
        <f t="shared" si="44"/>
        <v>-102.03681618948423</v>
      </c>
    </row>
    <row r="555" spans="1:72">
      <c r="A555" s="3" t="s">
        <v>113</v>
      </c>
      <c r="B555" s="3" t="s">
        <v>474</v>
      </c>
      <c r="C555" s="3" t="s">
        <v>498</v>
      </c>
      <c r="D555" s="2" t="s">
        <v>502</v>
      </c>
      <c r="E555" s="4" t="str">
        <f t="shared" si="40"/>
        <v>Rayong3A1-045-0009</v>
      </c>
      <c r="F555">
        <v>1.5</v>
      </c>
      <c r="G555">
        <v>1.5</v>
      </c>
      <c r="H555" t="s">
        <v>72</v>
      </c>
      <c r="I555" t="s">
        <v>75</v>
      </c>
      <c r="J555" t="s">
        <v>95</v>
      </c>
      <c r="K555" t="s">
        <v>79</v>
      </c>
      <c r="L555" t="s">
        <v>79</v>
      </c>
      <c r="M555">
        <v>3.7666666666666666</v>
      </c>
      <c r="N555" s="5">
        <v>44844</v>
      </c>
      <c r="O555" s="5">
        <v>44858</v>
      </c>
      <c r="P555">
        <v>0.6</v>
      </c>
      <c r="Q555" s="4">
        <v>167</v>
      </c>
      <c r="R555">
        <v>0.25</v>
      </c>
      <c r="S555" t="s">
        <v>70</v>
      </c>
      <c r="T555" s="6">
        <v>4</v>
      </c>
      <c r="U555" s="5">
        <v>45025</v>
      </c>
      <c r="V555" s="6">
        <v>1</v>
      </c>
      <c r="W555" t="s">
        <v>86</v>
      </c>
      <c r="X555" s="6">
        <v>167</v>
      </c>
      <c r="Y555">
        <v>15.716760000000001</v>
      </c>
      <c r="Z555">
        <v>10.47784</v>
      </c>
      <c r="AA555" s="6">
        <v>25.133360819914536</v>
      </c>
      <c r="AB555" s="4">
        <v>65.835833333333341</v>
      </c>
      <c r="AC555" s="6">
        <v>39.787754895383721</v>
      </c>
      <c r="AD555">
        <v>0.28364699199999999</v>
      </c>
      <c r="AE555">
        <v>2.7076925448840989</v>
      </c>
      <c r="AF555">
        <v>42150</v>
      </c>
      <c r="AG555" s="4">
        <v>0</v>
      </c>
      <c r="AH555" s="4">
        <v>158765</v>
      </c>
      <c r="AL555">
        <v>21</v>
      </c>
      <c r="AM555">
        <v>4.35588</v>
      </c>
      <c r="AN555" t="s">
        <v>81</v>
      </c>
      <c r="AO555" t="s">
        <v>99</v>
      </c>
      <c r="AP555" s="5">
        <v>44859</v>
      </c>
      <c r="AQ555" t="s">
        <v>103</v>
      </c>
      <c r="AR555" s="5">
        <v>45020</v>
      </c>
      <c r="AS555">
        <v>277.01083429409118</v>
      </c>
      <c r="AT555" s="6"/>
      <c r="AU555">
        <v>15.27032289097753</v>
      </c>
      <c r="AV555">
        <v>89.22018851213609</v>
      </c>
      <c r="AW555">
        <v>33.925307760632592</v>
      </c>
      <c r="AX555">
        <v>138.41581916374622</v>
      </c>
      <c r="AY555">
        <v>29.903777877883233</v>
      </c>
      <c r="AZ555">
        <v>39.358554816641593</v>
      </c>
      <c r="BA555">
        <v>29.504840692356442</v>
      </c>
      <c r="BB555">
        <v>40.066389001295427</v>
      </c>
      <c r="BC555">
        <v>17.684534853239473</v>
      </c>
      <c r="BD555">
        <v>156.51809724141617</v>
      </c>
      <c r="BE555">
        <v>-17.92308211107121</v>
      </c>
      <c r="BF555">
        <v>18.686511087526952</v>
      </c>
      <c r="BG555">
        <v>5.6749088234470726</v>
      </c>
      <c r="BH555">
        <v>24.361419910974021</v>
      </c>
      <c r="BI555">
        <v>319.29533631613646</v>
      </c>
      <c r="BJ555" s="6">
        <v>214</v>
      </c>
      <c r="BK555">
        <v>-42.28450202204526</v>
      </c>
      <c r="BL555" s="4">
        <v>-664.57537000000013</v>
      </c>
      <c r="BM555" t="s">
        <v>503</v>
      </c>
      <c r="BN555" t="s">
        <v>65</v>
      </c>
      <c r="BO555">
        <v>4</v>
      </c>
      <c r="BP555">
        <v>2023</v>
      </c>
      <c r="BQ555" t="str">
        <f t="shared" si="41"/>
        <v>Rayong34</v>
      </c>
      <c r="BR555">
        <f t="shared" si="42"/>
        <v>-1654.9015300000008</v>
      </c>
      <c r="BS555">
        <f t="shared" si="43"/>
        <v>4353.7128000000012</v>
      </c>
      <c r="BT555" s="6">
        <f t="shared" si="44"/>
        <v>-105.29533631613646</v>
      </c>
    </row>
    <row r="556" spans="1:72">
      <c r="A556" s="3" t="s">
        <v>113</v>
      </c>
      <c r="B556" s="3" t="s">
        <v>474</v>
      </c>
      <c r="C556" s="3" t="s">
        <v>498</v>
      </c>
      <c r="D556" s="2" t="s">
        <v>500</v>
      </c>
      <c r="E556" s="4" t="str">
        <f t="shared" si="40"/>
        <v>Rayong3A1-043-0009</v>
      </c>
      <c r="F556">
        <v>1.5</v>
      </c>
      <c r="G556">
        <v>1.5</v>
      </c>
      <c r="H556" t="s">
        <v>72</v>
      </c>
      <c r="I556" t="s">
        <v>75</v>
      </c>
      <c r="J556" t="s">
        <v>95</v>
      </c>
      <c r="K556" t="s">
        <v>79</v>
      </c>
      <c r="L556" t="s">
        <v>79</v>
      </c>
      <c r="M556">
        <v>3.915614236509759</v>
      </c>
      <c r="N556" s="5">
        <v>44844</v>
      </c>
      <c r="O556" s="5">
        <v>44862</v>
      </c>
      <c r="P556">
        <v>0.6</v>
      </c>
      <c r="Q556" s="4">
        <v>167</v>
      </c>
      <c r="R556">
        <v>0.3</v>
      </c>
      <c r="S556" t="s">
        <v>70</v>
      </c>
      <c r="T556" s="6">
        <v>3</v>
      </c>
      <c r="U556" s="5">
        <v>45016</v>
      </c>
      <c r="V556" s="6">
        <v>1</v>
      </c>
      <c r="W556" t="s">
        <v>86</v>
      </c>
      <c r="X556" s="6">
        <v>154</v>
      </c>
      <c r="Y556">
        <v>20.85585</v>
      </c>
      <c r="Z556">
        <v>13.9039</v>
      </c>
      <c r="AA556" s="6">
        <v>25.335433463512636</v>
      </c>
      <c r="AB556" s="4">
        <v>88.065333333333328</v>
      </c>
      <c r="AC556" s="6">
        <v>39.470412118275824</v>
      </c>
      <c r="AD556">
        <v>0.28037831699999999</v>
      </c>
      <c r="AE556">
        <v>2.1063190538927485</v>
      </c>
      <c r="AF556">
        <v>43550</v>
      </c>
      <c r="AG556" s="4">
        <v>0</v>
      </c>
      <c r="AH556" s="4">
        <v>170525</v>
      </c>
      <c r="AL556">
        <v>23</v>
      </c>
      <c r="AM556">
        <v>14.547379999999999</v>
      </c>
      <c r="AN556" t="s">
        <v>81</v>
      </c>
      <c r="AO556" t="s">
        <v>102</v>
      </c>
      <c r="AP556" s="5">
        <v>44862</v>
      </c>
      <c r="AQ556" t="s">
        <v>134</v>
      </c>
      <c r="AR556" s="5">
        <v>45006</v>
      </c>
      <c r="AS556">
        <v>277.65059779390435</v>
      </c>
      <c r="AT556" s="6"/>
      <c r="AU556">
        <v>11.507562626313483</v>
      </c>
      <c r="AV556">
        <v>69.589916018766928</v>
      </c>
      <c r="AW556">
        <v>24.323339015192392</v>
      </c>
      <c r="AX556">
        <v>105.4208176602728</v>
      </c>
      <c r="AY556">
        <v>21.93304804167656</v>
      </c>
      <c r="AZ556">
        <v>28.384219775266889</v>
      </c>
      <c r="BA556">
        <v>21.935361541246216</v>
      </c>
      <c r="BB556">
        <v>28.470042218370384</v>
      </c>
      <c r="BC556">
        <v>12.648907620643607</v>
      </c>
      <c r="BD556">
        <v>113.37157919720364</v>
      </c>
      <c r="BE556">
        <v>58.858200936427906</v>
      </c>
      <c r="BF556">
        <v>13.507358367076865</v>
      </c>
      <c r="BG556">
        <v>4.100734805821868</v>
      </c>
      <c r="BH556">
        <v>17.608093172898734</v>
      </c>
      <c r="BI556">
        <v>236.40049003037518</v>
      </c>
      <c r="BJ556" s="6">
        <v>214</v>
      </c>
      <c r="BK556">
        <v>41.250107763529158</v>
      </c>
      <c r="BL556" s="4">
        <v>860.30605999999955</v>
      </c>
      <c r="BM556" t="s">
        <v>501</v>
      </c>
      <c r="BN556" t="s">
        <v>65</v>
      </c>
      <c r="BO556">
        <v>3</v>
      </c>
      <c r="BP556">
        <v>2023</v>
      </c>
      <c r="BQ556" t="str">
        <f t="shared" si="41"/>
        <v>Rayong33</v>
      </c>
      <c r="BR556">
        <f t="shared" si="42"/>
        <v>-467.18126000000024</v>
      </c>
      <c r="BS556">
        <f t="shared" si="43"/>
        <v>5790.63922</v>
      </c>
      <c r="BT556" s="6">
        <f t="shared" si="44"/>
        <v>-22.400490030375181</v>
      </c>
    </row>
    <row r="557" spans="1:72">
      <c r="A557" s="3" t="s">
        <v>113</v>
      </c>
      <c r="B557" s="3" t="s">
        <v>166</v>
      </c>
      <c r="C557" s="3" t="s">
        <v>168</v>
      </c>
      <c r="D557" s="2" t="s">
        <v>200</v>
      </c>
      <c r="E557" s="4" t="str">
        <f t="shared" si="40"/>
        <v>Lucky2AC-001-0010</v>
      </c>
      <c r="F557">
        <v>0.5</v>
      </c>
      <c r="G557">
        <v>1</v>
      </c>
      <c r="H557" t="s">
        <v>173</v>
      </c>
      <c r="I557" t="s">
        <v>91</v>
      </c>
      <c r="J557" t="s">
        <v>95</v>
      </c>
      <c r="K557" t="s">
        <v>69</v>
      </c>
      <c r="L557" t="s">
        <v>69</v>
      </c>
      <c r="M557">
        <v>3.2756632064590541</v>
      </c>
      <c r="N557" s="5">
        <v>45063</v>
      </c>
      <c r="O557" s="5">
        <v>45077</v>
      </c>
      <c r="P557">
        <v>0.3</v>
      </c>
      <c r="Q557" s="4">
        <v>375</v>
      </c>
      <c r="R557">
        <v>2.5</v>
      </c>
      <c r="S557" t="s">
        <v>70</v>
      </c>
      <c r="T557" s="6">
        <v>2</v>
      </c>
      <c r="U557" s="5">
        <v>45125</v>
      </c>
      <c r="V557" s="6">
        <v>1</v>
      </c>
      <c r="W557" t="s">
        <v>86</v>
      </c>
      <c r="X557" s="6">
        <v>48.000000000000007</v>
      </c>
      <c r="Y557">
        <v>3.2082100000000002</v>
      </c>
      <c r="Z557">
        <v>6.4164200000000005</v>
      </c>
      <c r="AA557" s="6">
        <v>44.999859734867727</v>
      </c>
      <c r="AB557" s="4">
        <v>48.122999999999998</v>
      </c>
      <c r="AC557" s="6">
        <v>22.222291489170114</v>
      </c>
      <c r="AD557">
        <v>0.41087963</v>
      </c>
      <c r="AE557">
        <v>1.7634783033182682</v>
      </c>
      <c r="AF557">
        <v>4335</v>
      </c>
      <c r="AG557" s="4">
        <v>800</v>
      </c>
      <c r="AH557" s="4">
        <v>14200</v>
      </c>
      <c r="AL557">
        <v>45</v>
      </c>
      <c r="AM557">
        <v>1.8124200000000001</v>
      </c>
      <c r="AN557" t="s">
        <v>81</v>
      </c>
      <c r="AO557" t="s">
        <v>94</v>
      </c>
      <c r="AP557" s="5">
        <v>45080</v>
      </c>
      <c r="AQ557" t="s">
        <v>136</v>
      </c>
      <c r="AR557" s="5">
        <v>45115</v>
      </c>
      <c r="AS557">
        <v>159</v>
      </c>
      <c r="AT557" s="6"/>
      <c r="AU557">
        <v>112.21210581601578</v>
      </c>
      <c r="AV557">
        <v>42.305170172775469</v>
      </c>
      <c r="AW557">
        <v>17.519342561740036</v>
      </c>
      <c r="AX557">
        <v>172.03661855053127</v>
      </c>
      <c r="AY557">
        <v>15.659694970092355</v>
      </c>
      <c r="AZ557">
        <v>15.048980584188691</v>
      </c>
      <c r="BA557">
        <v>3.8937320187892936</v>
      </c>
      <c r="BB557">
        <v>4.0908325826551257</v>
      </c>
      <c r="BC557">
        <v>19.509383737348863</v>
      </c>
      <c r="BD557">
        <v>58.202623893074325</v>
      </c>
      <c r="BE557">
        <v>-71.239242443605605</v>
      </c>
      <c r="BF557">
        <v>7.944573453732767</v>
      </c>
      <c r="BG557">
        <v>0.56519055797469608</v>
      </c>
      <c r="BH557">
        <v>8.509764011707464</v>
      </c>
      <c r="BI557">
        <v>238.74900645531309</v>
      </c>
      <c r="BJ557" s="6">
        <v>175</v>
      </c>
      <c r="BK557">
        <v>-79.749006455313108</v>
      </c>
      <c r="BL557" s="4">
        <v>-255.85156000000006</v>
      </c>
      <c r="BM557" t="s">
        <v>201</v>
      </c>
      <c r="BN557" t="s">
        <v>65</v>
      </c>
      <c r="BO557">
        <v>7</v>
      </c>
      <c r="BP557">
        <v>2023</v>
      </c>
      <c r="BQ557" t="str">
        <f t="shared" si="41"/>
        <v>Lucky27</v>
      </c>
      <c r="BR557">
        <f t="shared" si="42"/>
        <v>-204.52020000000005</v>
      </c>
      <c r="BS557">
        <f t="shared" si="43"/>
        <v>510.10539000000006</v>
      </c>
      <c r="BT557" s="6">
        <f t="shared" si="44"/>
        <v>-63.749006455313094</v>
      </c>
    </row>
    <row r="558" spans="1:72">
      <c r="A558" s="3" t="s">
        <v>113</v>
      </c>
      <c r="B558" s="3" t="s">
        <v>166</v>
      </c>
      <c r="C558" s="3" t="s">
        <v>168</v>
      </c>
      <c r="D558" s="2" t="s">
        <v>184</v>
      </c>
      <c r="E558" s="4" t="str">
        <f t="shared" si="40"/>
        <v>Lucky2AC-001-0009</v>
      </c>
      <c r="F558">
        <v>0.5</v>
      </c>
      <c r="G558">
        <v>1</v>
      </c>
      <c r="H558" t="s">
        <v>173</v>
      </c>
      <c r="I558" t="s">
        <v>91</v>
      </c>
      <c r="J558" t="s">
        <v>95</v>
      </c>
      <c r="K558" t="s">
        <v>69</v>
      </c>
      <c r="L558" t="s">
        <v>69</v>
      </c>
      <c r="M558">
        <v>2.2727272727272729</v>
      </c>
      <c r="N558" s="5">
        <v>44986</v>
      </c>
      <c r="O558" s="5">
        <v>45015</v>
      </c>
      <c r="P558">
        <v>0.45</v>
      </c>
      <c r="Q558" s="4">
        <v>563</v>
      </c>
      <c r="R558">
        <v>0.45</v>
      </c>
      <c r="S558" t="s">
        <v>70</v>
      </c>
      <c r="T558" s="6">
        <v>2</v>
      </c>
      <c r="U558" s="5">
        <v>45062</v>
      </c>
      <c r="V558" s="6">
        <v>1</v>
      </c>
      <c r="W558" t="s">
        <v>86</v>
      </c>
      <c r="X558" s="6">
        <v>47</v>
      </c>
      <c r="Y558">
        <v>2.78437</v>
      </c>
      <c r="Z558">
        <v>5.56874</v>
      </c>
      <c r="AA558" s="6">
        <v>55.999741413677064</v>
      </c>
      <c r="AB558" s="4">
        <v>34.649777777777778</v>
      </c>
      <c r="AC558" s="6">
        <v>17.857225314897001</v>
      </c>
      <c r="AD558">
        <v>0.37036474200000002</v>
      </c>
      <c r="AE558">
        <v>2.3432628288798432</v>
      </c>
      <c r="AF558">
        <v>6050</v>
      </c>
      <c r="AG558" s="4">
        <v>800</v>
      </c>
      <c r="AH558" s="4">
        <v>13750</v>
      </c>
      <c r="AL558">
        <v>56</v>
      </c>
      <c r="AM558">
        <v>0.54030999999999996</v>
      </c>
      <c r="AN558" t="s">
        <v>85</v>
      </c>
      <c r="AO558" t="s">
        <v>123</v>
      </c>
      <c r="AP558" s="5">
        <v>45017</v>
      </c>
      <c r="AQ558" t="s">
        <v>176</v>
      </c>
      <c r="AR558" s="5">
        <v>45059</v>
      </c>
      <c r="AS558">
        <v>163.00000000000003</v>
      </c>
      <c r="AT558" s="6"/>
      <c r="AU558">
        <v>72.72740332642573</v>
      </c>
      <c r="AV558">
        <v>69.390698793622988</v>
      </c>
      <c r="AW558">
        <v>20.226607814335019</v>
      </c>
      <c r="AX558">
        <v>162.34470993438373</v>
      </c>
      <c r="AY558">
        <v>25.225135308884951</v>
      </c>
      <c r="AZ558">
        <v>20.994188990687302</v>
      </c>
      <c r="BA558">
        <v>8.1264666693004166</v>
      </c>
      <c r="BB558">
        <v>8.0624054992691345</v>
      </c>
      <c r="BC558">
        <v>20.950926062269026</v>
      </c>
      <c r="BD558">
        <v>83.359122530410829</v>
      </c>
      <c r="BE558">
        <v>-82.70383246479453</v>
      </c>
      <c r="BF558">
        <v>11.257724368528608</v>
      </c>
      <c r="BG558">
        <v>0.82890923260917204</v>
      </c>
      <c r="BH558">
        <v>12.086633601137779</v>
      </c>
      <c r="BI558">
        <v>257.79046606593232</v>
      </c>
      <c r="BJ558" s="6">
        <v>165</v>
      </c>
      <c r="BK558">
        <v>-94.790466065932279</v>
      </c>
      <c r="BL558" s="4">
        <v>-263.93172999999985</v>
      </c>
      <c r="BM558" t="s">
        <v>185</v>
      </c>
      <c r="BN558" t="s">
        <v>65</v>
      </c>
      <c r="BO558">
        <v>5</v>
      </c>
      <c r="BP558">
        <v>2023</v>
      </c>
      <c r="BQ558" t="str">
        <f t="shared" si="41"/>
        <v>Lucky25</v>
      </c>
      <c r="BR558">
        <f t="shared" si="42"/>
        <v>-258.36298999999997</v>
      </c>
      <c r="BS558">
        <f t="shared" si="43"/>
        <v>453.8523100000001</v>
      </c>
      <c r="BT558" s="6">
        <f t="shared" si="44"/>
        <v>-92.790466065932321</v>
      </c>
    </row>
    <row r="559" spans="1:72">
      <c r="A559" s="3" t="s">
        <v>113</v>
      </c>
      <c r="B559" s="3" t="s">
        <v>166</v>
      </c>
      <c r="C559" s="3" t="s">
        <v>168</v>
      </c>
      <c r="D559" s="2" t="s">
        <v>191</v>
      </c>
      <c r="E559" s="4" t="str">
        <f t="shared" si="40"/>
        <v>Lucky2AC-002-0010</v>
      </c>
      <c r="F559">
        <v>0.5</v>
      </c>
      <c r="G559">
        <v>1</v>
      </c>
      <c r="H559" t="s">
        <v>173</v>
      </c>
      <c r="I559" t="s">
        <v>91</v>
      </c>
      <c r="J559" t="s">
        <v>95</v>
      </c>
      <c r="K559" t="s">
        <v>69</v>
      </c>
      <c r="L559" t="s">
        <v>69</v>
      </c>
      <c r="M559">
        <v>2.9212730318257956</v>
      </c>
      <c r="N559" s="5">
        <v>45064</v>
      </c>
      <c r="O559" s="5">
        <v>45082</v>
      </c>
      <c r="P559">
        <v>0.3</v>
      </c>
      <c r="Q559" s="4">
        <v>375</v>
      </c>
      <c r="R559">
        <v>0.65</v>
      </c>
      <c r="S559" t="s">
        <v>70</v>
      </c>
      <c r="T559" s="6">
        <v>1</v>
      </c>
      <c r="U559" s="5">
        <v>45133</v>
      </c>
      <c r="V559" s="6">
        <v>1</v>
      </c>
      <c r="W559" t="s">
        <v>86</v>
      </c>
      <c r="X559" s="6">
        <v>51</v>
      </c>
      <c r="Y559">
        <v>4.0314199999999998</v>
      </c>
      <c r="Z559">
        <v>8.0628399999999996</v>
      </c>
      <c r="AA559" s="6">
        <v>53.011097826572275</v>
      </c>
      <c r="AB559" s="4">
        <v>71.236666666666665</v>
      </c>
      <c r="AC559" s="6">
        <v>18.863974544944082</v>
      </c>
      <c r="AD559">
        <v>0.35721420599999998</v>
      </c>
      <c r="AE559">
        <v>1.5561382747457264</v>
      </c>
      <c r="AF559">
        <v>5970</v>
      </c>
      <c r="AG559" s="4">
        <v>800</v>
      </c>
      <c r="AH559" s="4">
        <v>17440</v>
      </c>
      <c r="AL559">
        <v>53</v>
      </c>
      <c r="AM559">
        <v>4.0202999999999998</v>
      </c>
      <c r="AN559" t="s">
        <v>81</v>
      </c>
      <c r="AO559" t="s">
        <v>189</v>
      </c>
      <c r="AP559" s="5">
        <v>45084</v>
      </c>
      <c r="AQ559" t="s">
        <v>189</v>
      </c>
      <c r="AR559" s="5">
        <v>45129</v>
      </c>
      <c r="AS559">
        <v>138.21595864484476</v>
      </c>
      <c r="AT559" s="6"/>
      <c r="AU559">
        <v>37.207733255279777</v>
      </c>
      <c r="AV559">
        <v>47.008337012764727</v>
      </c>
      <c r="AW559">
        <v>16.293375535171222</v>
      </c>
      <c r="AX559">
        <v>100.50944580321571</v>
      </c>
      <c r="AY559">
        <v>13.30598895674477</v>
      </c>
      <c r="AZ559">
        <v>13.236432820197351</v>
      </c>
      <c r="BA559">
        <v>3.6940036017085789</v>
      </c>
      <c r="BB559">
        <v>3.6488532576610719</v>
      </c>
      <c r="BC559">
        <v>18.071508302285551</v>
      </c>
      <c r="BD559">
        <v>51.956786938597318</v>
      </c>
      <c r="BE559">
        <v>-14.250274096968269</v>
      </c>
      <c r="BF559">
        <v>7.4112421925773049</v>
      </c>
      <c r="BG559">
        <v>0.54562660303317434</v>
      </c>
      <c r="BH559">
        <v>7.9568687956104789</v>
      </c>
      <c r="BI559">
        <v>160.42310153742355</v>
      </c>
      <c r="BJ559" s="6">
        <v>166</v>
      </c>
      <c r="BK559">
        <v>-22.20714289257878</v>
      </c>
      <c r="BL559" s="4">
        <v>-89.526319999999956</v>
      </c>
      <c r="BM559" t="s">
        <v>192</v>
      </c>
      <c r="BN559" t="s">
        <v>65</v>
      </c>
      <c r="BO559">
        <v>7</v>
      </c>
      <c r="BP559">
        <v>2023</v>
      </c>
      <c r="BQ559" t="str">
        <f t="shared" si="41"/>
        <v>Lucky27</v>
      </c>
      <c r="BR559">
        <f t="shared" si="42"/>
        <v>22.482819999999958</v>
      </c>
      <c r="BS559">
        <f t="shared" si="43"/>
        <v>557.20658000000003</v>
      </c>
      <c r="BT559" s="6">
        <f t="shared" si="44"/>
        <v>5.5768984625764517</v>
      </c>
    </row>
    <row r="560" spans="1:72">
      <c r="A560" s="3" t="s">
        <v>113</v>
      </c>
      <c r="B560" s="3" t="s">
        <v>166</v>
      </c>
      <c r="C560" s="3" t="s">
        <v>168</v>
      </c>
      <c r="D560" s="2" t="s">
        <v>188</v>
      </c>
      <c r="E560" s="4" t="str">
        <f t="shared" si="40"/>
        <v>Lucky2AC-004-0009</v>
      </c>
      <c r="F560">
        <v>0.5</v>
      </c>
      <c r="G560">
        <v>1</v>
      </c>
      <c r="H560" t="s">
        <v>173</v>
      </c>
      <c r="I560" t="s">
        <v>91</v>
      </c>
      <c r="J560" t="s">
        <v>95</v>
      </c>
      <c r="K560" t="s">
        <v>69</v>
      </c>
      <c r="L560" t="s">
        <v>69</v>
      </c>
      <c r="M560">
        <v>2.3328149300155521</v>
      </c>
      <c r="N560" s="5">
        <v>44984</v>
      </c>
      <c r="O560" s="5">
        <v>45015</v>
      </c>
      <c r="P560">
        <v>0.45</v>
      </c>
      <c r="Q560" s="4">
        <v>563</v>
      </c>
      <c r="R560">
        <v>0.47399999999999998</v>
      </c>
      <c r="S560" t="s">
        <v>70</v>
      </c>
      <c r="T560" s="6">
        <v>1</v>
      </c>
      <c r="U560" s="5">
        <v>45066</v>
      </c>
      <c r="V560" s="6">
        <v>1</v>
      </c>
      <c r="W560" t="s">
        <v>86</v>
      </c>
      <c r="X560" s="6">
        <v>51</v>
      </c>
      <c r="Y560">
        <v>2.0737399999999999</v>
      </c>
      <c r="Z560">
        <v>4.1474799999999998</v>
      </c>
      <c r="AA560" s="6">
        <v>54.999662445629639</v>
      </c>
      <c r="AB560" s="4">
        <v>25.345555555555556</v>
      </c>
      <c r="AC560" s="6">
        <v>18.181929770724651</v>
      </c>
      <c r="AD560">
        <v>0.34721212099999998</v>
      </c>
      <c r="AE560">
        <v>3.4561716583173876</v>
      </c>
      <c r="AF560">
        <v>6430</v>
      </c>
      <c r="AG560" s="4">
        <v>800</v>
      </c>
      <c r="AH560" s="4">
        <v>15000</v>
      </c>
      <c r="AL560">
        <v>55</v>
      </c>
      <c r="AM560">
        <v>2.0737399999999999</v>
      </c>
      <c r="AN560" t="s">
        <v>85</v>
      </c>
      <c r="AO560" t="s">
        <v>123</v>
      </c>
      <c r="AP560" s="5">
        <v>45017</v>
      </c>
      <c r="AQ560" t="s">
        <v>189</v>
      </c>
      <c r="AR560" s="5">
        <v>45063</v>
      </c>
      <c r="AS560">
        <v>161.86058522283415</v>
      </c>
      <c r="AT560" s="6"/>
      <c r="AU560">
        <v>99.096318728480938</v>
      </c>
      <c r="AV560">
        <v>98.979828715268084</v>
      </c>
      <c r="AW560">
        <v>28.004769161032726</v>
      </c>
      <c r="AX560">
        <v>226.08091660478175</v>
      </c>
      <c r="AY560">
        <v>36.882179058126859</v>
      </c>
      <c r="AZ560">
        <v>30.61180765187536</v>
      </c>
      <c r="BA560">
        <v>11.197705594722578</v>
      </c>
      <c r="BB560">
        <v>11.837689392112802</v>
      </c>
      <c r="BC560">
        <v>30.089360286246109</v>
      </c>
      <c r="BD560">
        <v>120.61874198308372</v>
      </c>
      <c r="BE560">
        <v>-184.83907336503131</v>
      </c>
      <c r="BF560">
        <v>16.161052012306268</v>
      </c>
      <c r="BG560">
        <v>1.1434654296102695</v>
      </c>
      <c r="BH560">
        <v>17.304517441916538</v>
      </c>
      <c r="BI560">
        <v>364.004176029782</v>
      </c>
      <c r="BJ560" s="6">
        <v>165</v>
      </c>
      <c r="BK560">
        <v>-202.14359080694786</v>
      </c>
      <c r="BL560" s="4">
        <v>-419.19324999999998</v>
      </c>
      <c r="BM560" t="s">
        <v>190</v>
      </c>
      <c r="BN560" t="s">
        <v>65</v>
      </c>
      <c r="BO560">
        <v>5</v>
      </c>
      <c r="BP560">
        <v>2023</v>
      </c>
      <c r="BQ560" t="str">
        <f t="shared" si="41"/>
        <v>Lucky25</v>
      </c>
      <c r="BR560">
        <f t="shared" si="42"/>
        <v>-412.68292000000014</v>
      </c>
      <c r="BS560">
        <f t="shared" si="43"/>
        <v>335.65677000000005</v>
      </c>
      <c r="BT560" s="6">
        <f t="shared" si="44"/>
        <v>-199.004176029782</v>
      </c>
    </row>
    <row r="561" spans="1:72">
      <c r="A561" s="3" t="s">
        <v>113</v>
      </c>
      <c r="B561" s="3" t="s">
        <v>166</v>
      </c>
      <c r="C561" s="3" t="s">
        <v>168</v>
      </c>
      <c r="D561" s="2" t="s">
        <v>207</v>
      </c>
      <c r="E561" s="4" t="str">
        <f t="shared" si="40"/>
        <v>Lucky2AC-004-0008</v>
      </c>
      <c r="F561">
        <v>0.5</v>
      </c>
      <c r="G561">
        <v>1</v>
      </c>
      <c r="H561" t="s">
        <v>173</v>
      </c>
      <c r="I561" t="s">
        <v>91</v>
      </c>
      <c r="J561" t="s">
        <v>95</v>
      </c>
      <c r="K561" t="s">
        <v>69</v>
      </c>
      <c r="L561" t="s">
        <v>69</v>
      </c>
      <c r="M561">
        <v>4.5949904789805185</v>
      </c>
      <c r="N561" s="5">
        <v>44774</v>
      </c>
      <c r="O561" s="5">
        <v>44851</v>
      </c>
      <c r="P561">
        <v>0.36</v>
      </c>
      <c r="Q561" s="4">
        <v>450</v>
      </c>
      <c r="R561">
        <v>0.1</v>
      </c>
      <c r="S561" t="s">
        <v>70</v>
      </c>
      <c r="T561" s="6">
        <v>1</v>
      </c>
      <c r="U561" s="5">
        <v>44983</v>
      </c>
      <c r="V561" s="6">
        <v>1</v>
      </c>
      <c r="W561" t="s">
        <v>86</v>
      </c>
      <c r="X561" s="6">
        <v>132</v>
      </c>
      <c r="Y561">
        <v>2.7044999999999999</v>
      </c>
      <c r="Z561">
        <v>5.4089999999999998</v>
      </c>
      <c r="AA561" s="6">
        <v>22.999815122943243</v>
      </c>
      <c r="AB561" s="4">
        <v>17.278611111111111</v>
      </c>
      <c r="AC561" s="6">
        <v>43.478610356413675</v>
      </c>
      <c r="AD561">
        <v>0.32862318800000007</v>
      </c>
      <c r="AE561">
        <v>2.5583661232902379</v>
      </c>
      <c r="AF561">
        <v>6827</v>
      </c>
      <c r="AG561" s="4">
        <v>0</v>
      </c>
      <c r="AH561" s="4">
        <v>31370</v>
      </c>
      <c r="AL561">
        <v>23</v>
      </c>
      <c r="AM561">
        <v>2.7044999999999999</v>
      </c>
      <c r="AN561" t="s">
        <v>81</v>
      </c>
      <c r="AO561" t="s">
        <v>197</v>
      </c>
      <c r="AP561" s="5">
        <v>44856</v>
      </c>
      <c r="AQ561" t="s">
        <v>198</v>
      </c>
      <c r="AR561" s="5">
        <v>44982</v>
      </c>
      <c r="AS561">
        <v>305.95813643926783</v>
      </c>
      <c r="AT561" s="6"/>
      <c r="AU561">
        <v>53.244592346089853</v>
      </c>
      <c r="AV561">
        <v>77.981752634498065</v>
      </c>
      <c r="AW561">
        <v>39.831133296357905</v>
      </c>
      <c r="AX561">
        <v>171.0574782769458</v>
      </c>
      <c r="AY561">
        <v>69.735592530966912</v>
      </c>
      <c r="AZ561">
        <v>67.784096875577745</v>
      </c>
      <c r="BA561">
        <v>32.294150489924192</v>
      </c>
      <c r="BB561">
        <v>22.727350711776669</v>
      </c>
      <c r="BC561">
        <v>48.293477537437603</v>
      </c>
      <c r="BD561">
        <v>240.83466814568311</v>
      </c>
      <c r="BE561">
        <v>-105.93400998336108</v>
      </c>
      <c r="BF561">
        <v>27.771832131632465</v>
      </c>
      <c r="BG561">
        <v>4.4525975226474381</v>
      </c>
      <c r="BH561">
        <v>32.224429654279902</v>
      </c>
      <c r="BI561">
        <v>444.11657607690887</v>
      </c>
      <c r="BJ561" s="6">
        <v>223</v>
      </c>
      <c r="BK561">
        <v>-138.15843963764101</v>
      </c>
      <c r="BL561" s="4">
        <v>-373.6495000000001</v>
      </c>
      <c r="BM561" t="s">
        <v>208</v>
      </c>
      <c r="BN561" t="s">
        <v>65</v>
      </c>
      <c r="BO561">
        <v>2</v>
      </c>
      <c r="BP561">
        <v>2023</v>
      </c>
      <c r="BQ561" t="str">
        <f t="shared" si="41"/>
        <v>Lucky22</v>
      </c>
      <c r="BR561">
        <f t="shared" si="42"/>
        <v>-598.00977999999998</v>
      </c>
      <c r="BS561">
        <f t="shared" si="43"/>
        <v>827.46377999999982</v>
      </c>
      <c r="BT561" s="6">
        <f t="shared" si="44"/>
        <v>-221.11657607690887</v>
      </c>
    </row>
    <row r="562" spans="1:72">
      <c r="A562" s="3" t="s">
        <v>113</v>
      </c>
      <c r="B562" s="3" t="s">
        <v>166</v>
      </c>
      <c r="C562" s="3" t="s">
        <v>168</v>
      </c>
      <c r="D562" s="2" t="s">
        <v>203</v>
      </c>
      <c r="E562" s="4" t="str">
        <f t="shared" si="40"/>
        <v>Lucky2AC-005-0008</v>
      </c>
      <c r="F562">
        <v>0.5</v>
      </c>
      <c r="G562">
        <v>1</v>
      </c>
      <c r="H562" t="s">
        <v>173</v>
      </c>
      <c r="I562" t="s">
        <v>91</v>
      </c>
      <c r="J562" t="s">
        <v>95</v>
      </c>
      <c r="K562" t="s">
        <v>69</v>
      </c>
      <c r="L562" t="s">
        <v>69</v>
      </c>
      <c r="M562">
        <v>4.7479112647651975</v>
      </c>
      <c r="N562" s="5">
        <v>44774</v>
      </c>
      <c r="O562" s="5">
        <v>44851</v>
      </c>
      <c r="P562">
        <v>0.36</v>
      </c>
      <c r="Q562" s="4">
        <v>450</v>
      </c>
      <c r="R562">
        <v>0.1</v>
      </c>
      <c r="S562" t="s">
        <v>70</v>
      </c>
      <c r="T562" s="6">
        <v>2</v>
      </c>
      <c r="U562" s="5">
        <v>44983</v>
      </c>
      <c r="V562" s="6">
        <v>1</v>
      </c>
      <c r="W562" t="s">
        <v>86</v>
      </c>
      <c r="X562" s="6">
        <v>132</v>
      </c>
      <c r="Y562">
        <v>2.8737399999999997</v>
      </c>
      <c r="Z562">
        <v>5.7474799999999995</v>
      </c>
      <c r="AA562" s="6">
        <v>40.287917487316186</v>
      </c>
      <c r="AB562" s="4">
        <v>32.160277777777779</v>
      </c>
      <c r="AC562" s="6">
        <v>24.821337571365639</v>
      </c>
      <c r="AD562">
        <v>0.32862318800000001</v>
      </c>
      <c r="AE562">
        <v>2.4463129109784547</v>
      </c>
      <c r="AF562">
        <v>6942</v>
      </c>
      <c r="AG562" s="4">
        <v>0</v>
      </c>
      <c r="AH562" s="4">
        <v>32960</v>
      </c>
      <c r="AL562">
        <v>23</v>
      </c>
      <c r="AM562">
        <v>2.13192</v>
      </c>
      <c r="AN562" t="s">
        <v>81</v>
      </c>
      <c r="AO562" t="s">
        <v>197</v>
      </c>
      <c r="AP562" s="5">
        <v>44856</v>
      </c>
      <c r="AQ562" t="s">
        <v>170</v>
      </c>
      <c r="AR562" s="5">
        <v>44982</v>
      </c>
      <c r="AS562">
        <v>263.32471274367202</v>
      </c>
      <c r="AT562" s="6"/>
      <c r="AU562">
        <v>50.108917299407757</v>
      </c>
      <c r="AV562">
        <v>74.436413871818615</v>
      </c>
      <c r="AW562">
        <v>37.041266781267609</v>
      </c>
      <c r="AX562">
        <v>161.58659795249397</v>
      </c>
      <c r="AY562">
        <v>65.628717281312873</v>
      </c>
      <c r="AZ562">
        <v>63.792166305928873</v>
      </c>
      <c r="BA562">
        <v>30.392283226735895</v>
      </c>
      <c r="BB562">
        <v>21.388914793961874</v>
      </c>
      <c r="BC562">
        <v>45.449383033955748</v>
      </c>
      <c r="BD562">
        <v>226.65146464189525</v>
      </c>
      <c r="BE562">
        <v>-124.9133498507172</v>
      </c>
      <c r="BF562">
        <v>26.136379769916559</v>
      </c>
      <c r="BG562">
        <v>4.1903651687348198</v>
      </c>
      <c r="BH562">
        <v>30.32674493865138</v>
      </c>
      <c r="BI562">
        <v>418.56480753304055</v>
      </c>
      <c r="BJ562" s="6">
        <v>182</v>
      </c>
      <c r="BK562">
        <v>-155.24009478936856</v>
      </c>
      <c r="BL562" s="4">
        <v>-446.11966999999993</v>
      </c>
      <c r="BM562" t="s">
        <v>204</v>
      </c>
      <c r="BN562" t="s">
        <v>65</v>
      </c>
      <c r="BO562">
        <v>2</v>
      </c>
      <c r="BP562">
        <v>2023</v>
      </c>
      <c r="BQ562" t="str">
        <f t="shared" si="41"/>
        <v>Lucky22</v>
      </c>
      <c r="BR562">
        <f t="shared" si="42"/>
        <v>-679.82574999999986</v>
      </c>
      <c r="BS562">
        <f t="shared" si="43"/>
        <v>756.72676000000001</v>
      </c>
      <c r="BT562" s="6">
        <f t="shared" si="44"/>
        <v>-236.56480753304055</v>
      </c>
    </row>
    <row r="563" spans="1:72">
      <c r="A563" s="3" t="s">
        <v>113</v>
      </c>
      <c r="B563" s="3" t="s">
        <v>166</v>
      </c>
      <c r="C563" s="3" t="s">
        <v>168</v>
      </c>
      <c r="D563" s="2" t="s">
        <v>186</v>
      </c>
      <c r="E563" s="4" t="str">
        <f t="shared" si="40"/>
        <v>Lucky2AC-005-0009</v>
      </c>
      <c r="F563">
        <v>0.5</v>
      </c>
      <c r="G563">
        <v>1</v>
      </c>
      <c r="H563" t="s">
        <v>173</v>
      </c>
      <c r="I563" t="s">
        <v>91</v>
      </c>
      <c r="J563" t="s">
        <v>95</v>
      </c>
      <c r="K563" t="s">
        <v>69</v>
      </c>
      <c r="L563" t="s">
        <v>69</v>
      </c>
      <c r="M563">
        <v>1.6075650118203311</v>
      </c>
      <c r="N563" s="5">
        <v>44984</v>
      </c>
      <c r="O563" s="5">
        <v>45015</v>
      </c>
      <c r="P563">
        <v>0.45</v>
      </c>
      <c r="Q563" s="4">
        <v>563</v>
      </c>
      <c r="R563">
        <v>0.78600000000000003</v>
      </c>
      <c r="S563" t="s">
        <v>70</v>
      </c>
      <c r="T563" s="6">
        <v>1</v>
      </c>
      <c r="U563" s="5">
        <v>45068</v>
      </c>
      <c r="V563" s="6">
        <v>1</v>
      </c>
      <c r="W563" t="s">
        <v>86</v>
      </c>
      <c r="X563" s="6">
        <v>52.999999999999993</v>
      </c>
      <c r="Y563">
        <v>2.6307800000000001</v>
      </c>
      <c r="Z563">
        <v>5.2615600000000002</v>
      </c>
      <c r="AA563" s="6">
        <v>55.023225051125515</v>
      </c>
      <c r="AB563" s="4">
        <v>32.167555555555552</v>
      </c>
      <c r="AC563" s="6">
        <v>18.174143719689958</v>
      </c>
      <c r="AD563">
        <v>0.32822298500000002</v>
      </c>
      <c r="AE563">
        <v>2.7864633653626569</v>
      </c>
      <c r="AF563">
        <v>6345</v>
      </c>
      <c r="AG563" s="4">
        <v>800</v>
      </c>
      <c r="AH563" s="4">
        <v>10200</v>
      </c>
      <c r="AL563">
        <v>55</v>
      </c>
      <c r="AM563">
        <v>2.6188200000000004</v>
      </c>
      <c r="AN563" t="s">
        <v>85</v>
      </c>
      <c r="AO563" t="s">
        <v>123</v>
      </c>
      <c r="AP563" s="5">
        <v>45017</v>
      </c>
      <c r="AQ563" t="s">
        <v>176</v>
      </c>
      <c r="AR563" s="5">
        <v>45066</v>
      </c>
      <c r="AS563">
        <v>128.66549084301991</v>
      </c>
      <c r="AT563" s="6"/>
      <c r="AU563">
        <v>92.938216042390465</v>
      </c>
      <c r="AV563">
        <v>76.924368438257844</v>
      </c>
      <c r="AW563">
        <v>22.97244543443389</v>
      </c>
      <c r="AX563">
        <v>192.8350299150822</v>
      </c>
      <c r="AY563">
        <v>29.940394103649865</v>
      </c>
      <c r="AZ563">
        <v>24.693588973612389</v>
      </c>
      <c r="BA563">
        <v>8.8899984035153068</v>
      </c>
      <c r="BB563">
        <v>9.7037190491033076</v>
      </c>
      <c r="BC563">
        <v>24.270512927724855</v>
      </c>
      <c r="BD563">
        <v>97.498213457605729</v>
      </c>
      <c r="BE563">
        <v>-161.66775252966801</v>
      </c>
      <c r="BF563">
        <v>13.015964846927529</v>
      </c>
      <c r="BG563">
        <v>0.92936315465375274</v>
      </c>
      <c r="BH563">
        <v>13.945328001581281</v>
      </c>
      <c r="BI563">
        <v>304.27857137426923</v>
      </c>
      <c r="BJ563" s="6">
        <v>165</v>
      </c>
      <c r="BK563">
        <v>-175.61308053124932</v>
      </c>
      <c r="BL563" s="4">
        <v>-461.99938000000014</v>
      </c>
      <c r="BM563" t="s">
        <v>187</v>
      </c>
      <c r="BN563" t="s">
        <v>65</v>
      </c>
      <c r="BO563">
        <v>5</v>
      </c>
      <c r="BP563">
        <v>2023</v>
      </c>
      <c r="BQ563" t="str">
        <f t="shared" si="41"/>
        <v>Lucky25</v>
      </c>
      <c r="BR563">
        <f t="shared" si="42"/>
        <v>-366.41128000000003</v>
      </c>
      <c r="BS563">
        <f t="shared" si="43"/>
        <v>338.49059999999992</v>
      </c>
      <c r="BT563" s="6">
        <f t="shared" si="44"/>
        <v>-139.27857137426923</v>
      </c>
    </row>
    <row r="564" spans="1:72">
      <c r="A564" s="3" t="s">
        <v>113</v>
      </c>
      <c r="B564" s="3" t="s">
        <v>166</v>
      </c>
      <c r="C564" s="3" t="s">
        <v>168</v>
      </c>
      <c r="D564" s="2" t="s">
        <v>202</v>
      </c>
      <c r="E564" s="4" t="str">
        <f t="shared" si="40"/>
        <v>Lucky2AC-001-0008</v>
      </c>
      <c r="F564">
        <v>0.5</v>
      </c>
      <c r="G564">
        <v>1</v>
      </c>
      <c r="H564" t="s">
        <v>173</v>
      </c>
      <c r="I564" t="s">
        <v>91</v>
      </c>
      <c r="J564" t="s">
        <v>95</v>
      </c>
      <c r="K564" t="s">
        <v>69</v>
      </c>
      <c r="L564" t="s">
        <v>69</v>
      </c>
      <c r="M564">
        <v>4.4924314597226633</v>
      </c>
      <c r="N564" s="5">
        <v>44774</v>
      </c>
      <c r="O564" s="5">
        <v>44851</v>
      </c>
      <c r="P564">
        <v>0.36</v>
      </c>
      <c r="Q564" s="4">
        <v>450</v>
      </c>
      <c r="R564">
        <v>0.1</v>
      </c>
      <c r="S564" t="s">
        <v>70</v>
      </c>
      <c r="T564" s="6">
        <v>3</v>
      </c>
      <c r="U564" s="5">
        <v>44985</v>
      </c>
      <c r="V564" s="6">
        <v>1</v>
      </c>
      <c r="W564" t="s">
        <v>86</v>
      </c>
      <c r="X564" s="6">
        <v>134</v>
      </c>
      <c r="Y564">
        <v>3.3749000000000002</v>
      </c>
      <c r="Z564">
        <v>6.7498000000000005</v>
      </c>
      <c r="AA564" s="6">
        <v>42.299327387478144</v>
      </c>
      <c r="AB564" s="4">
        <v>39.654444444444444</v>
      </c>
      <c r="AC564" s="6">
        <v>23.641037854801201</v>
      </c>
      <c r="AD564">
        <v>0.32371836500000001</v>
      </c>
      <c r="AE564">
        <v>2.829374943843781</v>
      </c>
      <c r="AF564">
        <v>9447</v>
      </c>
      <c r="AG564" s="4">
        <v>0</v>
      </c>
      <c r="AH564" s="4">
        <v>42440</v>
      </c>
      <c r="AL564">
        <v>23</v>
      </c>
      <c r="AM564">
        <v>1.8484200000000002</v>
      </c>
      <c r="AN564" t="s">
        <v>81</v>
      </c>
      <c r="AO564" t="s">
        <v>194</v>
      </c>
      <c r="AP564" s="5">
        <v>44856</v>
      </c>
      <c r="AQ564" t="s">
        <v>198</v>
      </c>
      <c r="AR564" s="5">
        <v>44982</v>
      </c>
      <c r="AS564">
        <v>253.2977984532875</v>
      </c>
      <c r="AT564" s="6"/>
      <c r="AU564">
        <v>42.667930901656341</v>
      </c>
      <c r="AV564">
        <v>85.836069216865667</v>
      </c>
      <c r="AW564">
        <v>34.089638211502553</v>
      </c>
      <c r="AX564">
        <v>162.59363833002456</v>
      </c>
      <c r="AY564">
        <v>56.381729829031975</v>
      </c>
      <c r="AZ564">
        <v>54.92976977095617</v>
      </c>
      <c r="BA564">
        <v>25.956505377937127</v>
      </c>
      <c r="BB564">
        <v>18.254028267504221</v>
      </c>
      <c r="BC564">
        <v>39.04299979258645</v>
      </c>
      <c r="BD564">
        <v>194.56503303801594</v>
      </c>
      <c r="BE564">
        <v>-103.860872914753</v>
      </c>
      <c r="BF564">
        <v>22.465957509852142</v>
      </c>
      <c r="BG564">
        <v>3.5431923908856557</v>
      </c>
      <c r="BH564">
        <v>26.0091499007378</v>
      </c>
      <c r="BI564">
        <v>383.16782126877837</v>
      </c>
      <c r="BJ564" s="6">
        <v>180</v>
      </c>
      <c r="BK564">
        <v>-129.87002281549084</v>
      </c>
      <c r="BL564" s="4">
        <v>-438.29834000000011</v>
      </c>
      <c r="BM564" t="s">
        <v>167</v>
      </c>
      <c r="BN564" t="s">
        <v>65</v>
      </c>
      <c r="BO564">
        <v>2</v>
      </c>
      <c r="BP564">
        <v>2023</v>
      </c>
      <c r="BQ564" t="str">
        <f t="shared" si="41"/>
        <v>Lucky22</v>
      </c>
      <c r="BR564">
        <f t="shared" si="42"/>
        <v>-685.67108000000019</v>
      </c>
      <c r="BS564">
        <f t="shared" si="43"/>
        <v>854.85473999999999</v>
      </c>
      <c r="BT564" s="6">
        <f t="shared" si="44"/>
        <v>-203.16782126877837</v>
      </c>
    </row>
    <row r="565" spans="1:72">
      <c r="A565" s="3" t="s">
        <v>113</v>
      </c>
      <c r="B565" s="3" t="s">
        <v>166</v>
      </c>
      <c r="C565" s="3" t="s">
        <v>168</v>
      </c>
      <c r="D565" s="2" t="s">
        <v>180</v>
      </c>
      <c r="E565" s="4" t="str">
        <f t="shared" si="40"/>
        <v>Lucky2AC-002-0009</v>
      </c>
      <c r="F565">
        <v>0.5</v>
      </c>
      <c r="G565">
        <v>1</v>
      </c>
      <c r="H565" t="s">
        <v>173</v>
      </c>
      <c r="I565" t="s">
        <v>91</v>
      </c>
      <c r="J565" t="s">
        <v>95</v>
      </c>
      <c r="K565" t="s">
        <v>69</v>
      </c>
      <c r="L565" t="s">
        <v>69</v>
      </c>
      <c r="M565">
        <v>2.3370025402201522</v>
      </c>
      <c r="N565" s="5">
        <v>44986</v>
      </c>
      <c r="O565" s="5">
        <v>45015</v>
      </c>
      <c r="P565">
        <v>0.45</v>
      </c>
      <c r="Q565" s="4">
        <v>563</v>
      </c>
      <c r="R565">
        <v>0.45</v>
      </c>
      <c r="S565" t="s">
        <v>70</v>
      </c>
      <c r="T565" s="6">
        <v>2</v>
      </c>
      <c r="U565" s="5">
        <v>45063</v>
      </c>
      <c r="V565" s="6">
        <v>2</v>
      </c>
      <c r="W565" t="s">
        <v>71</v>
      </c>
      <c r="X565" s="6">
        <v>48</v>
      </c>
      <c r="Y565">
        <v>2.9716399999999998</v>
      </c>
      <c r="Z565">
        <v>5.9432799999999997</v>
      </c>
      <c r="AA565" s="6">
        <v>63.000228829871723</v>
      </c>
      <c r="AB565" s="4">
        <v>41.603111111111112</v>
      </c>
      <c r="AC565" s="6">
        <v>15.872958218936617</v>
      </c>
      <c r="AD565">
        <v>0.32131283100000002</v>
      </c>
      <c r="AE565">
        <v>2.1324310074608004</v>
      </c>
      <c r="AF565">
        <v>5905</v>
      </c>
      <c r="AG565" s="4">
        <v>800</v>
      </c>
      <c r="AH565" s="4">
        <v>13800</v>
      </c>
      <c r="AL565">
        <v>63.000000000000007</v>
      </c>
      <c r="AM565">
        <v>1.3321800000000001</v>
      </c>
      <c r="AN565" t="s">
        <v>85</v>
      </c>
      <c r="AO565" t="s">
        <v>123</v>
      </c>
      <c r="AP565" s="5">
        <v>45017</v>
      </c>
      <c r="AQ565" t="s">
        <v>176</v>
      </c>
      <c r="AR565" s="5">
        <v>45059</v>
      </c>
      <c r="AS565">
        <v>148.93323888492549</v>
      </c>
      <c r="AT565" s="6"/>
      <c r="AU565">
        <v>68.144189740345396</v>
      </c>
      <c r="AV565">
        <v>63.483820382011274</v>
      </c>
      <c r="AW565">
        <v>18.465140461159496</v>
      </c>
      <c r="AX565">
        <v>150.09315058351615</v>
      </c>
      <c r="AY565">
        <v>24.019534667725562</v>
      </c>
      <c r="AZ565">
        <v>19.920592669367757</v>
      </c>
      <c r="BA565">
        <v>7.6423557362264614</v>
      </c>
      <c r="BB565">
        <v>7.7192257473987427</v>
      </c>
      <c r="BC565">
        <v>19.875089176347068</v>
      </c>
      <c r="BD565">
        <v>79.176797997065577</v>
      </c>
      <c r="BE565">
        <v>-80.336709695656239</v>
      </c>
      <c r="BF565">
        <v>10.670828229529823</v>
      </c>
      <c r="BG565">
        <v>0.78907270059630386</v>
      </c>
      <c r="BH565">
        <v>11.459900930126125</v>
      </c>
      <c r="BI565">
        <v>240.72984951070794</v>
      </c>
      <c r="BJ565" s="6">
        <v>158</v>
      </c>
      <c r="BK565">
        <v>-91.796610625782435</v>
      </c>
      <c r="BL565" s="4">
        <v>-272.7864800000001</v>
      </c>
      <c r="BM565" t="s">
        <v>181</v>
      </c>
      <c r="BN565" t="s">
        <v>65</v>
      </c>
      <c r="BO565">
        <v>5</v>
      </c>
      <c r="BP565">
        <v>2023</v>
      </c>
      <c r="BQ565" t="str">
        <f t="shared" si="41"/>
        <v>Lucky25</v>
      </c>
      <c r="BR565">
        <f t="shared" si="42"/>
        <v>-245.84333000000012</v>
      </c>
      <c r="BS565">
        <f t="shared" si="43"/>
        <v>442.57596999999993</v>
      </c>
      <c r="BT565" s="6">
        <f t="shared" si="44"/>
        <v>-82.729849510707936</v>
      </c>
    </row>
    <row r="566" spans="1:72">
      <c r="A566" s="3" t="s">
        <v>113</v>
      </c>
      <c r="B566" s="3" t="s">
        <v>166</v>
      </c>
      <c r="C566" s="3" t="s">
        <v>168</v>
      </c>
      <c r="D566" s="2" t="s">
        <v>205</v>
      </c>
      <c r="E566" s="4" t="str">
        <f t="shared" si="40"/>
        <v>Lucky2A1-045-0003</v>
      </c>
      <c r="F566">
        <v>5.3</v>
      </c>
      <c r="G566">
        <v>1.5</v>
      </c>
      <c r="H566" t="s">
        <v>72</v>
      </c>
      <c r="I566" t="s">
        <v>75</v>
      </c>
      <c r="J566" t="s">
        <v>95</v>
      </c>
      <c r="K566" t="s">
        <v>79</v>
      </c>
      <c r="L566" t="s">
        <v>79</v>
      </c>
      <c r="M566">
        <v>4.6141239479724563</v>
      </c>
      <c r="N566" s="5">
        <v>44793</v>
      </c>
      <c r="O566" s="5">
        <v>44871</v>
      </c>
      <c r="P566">
        <v>1.5</v>
      </c>
      <c r="Q566" s="4">
        <v>118</v>
      </c>
      <c r="R566">
        <v>0.19</v>
      </c>
      <c r="S566" t="s">
        <v>70</v>
      </c>
      <c r="T566" s="6">
        <v>4</v>
      </c>
      <c r="U566" s="5">
        <v>44999</v>
      </c>
      <c r="V566" s="6">
        <v>1</v>
      </c>
      <c r="W566" t="s">
        <v>86</v>
      </c>
      <c r="X566" s="6">
        <v>128</v>
      </c>
      <c r="Y566">
        <v>39.34272</v>
      </c>
      <c r="Z566">
        <v>7.4231547169811325</v>
      </c>
      <c r="AA566" s="6">
        <v>26.684606453239631</v>
      </c>
      <c r="AB566" s="4">
        <v>69.989666666666665</v>
      </c>
      <c r="AC566" s="6">
        <v>37.474789135539062</v>
      </c>
      <c r="AD566">
        <v>0.31101562500000002</v>
      </c>
      <c r="AE566">
        <v>1.6731647418231275</v>
      </c>
      <c r="AF566">
        <v>65350</v>
      </c>
      <c r="AG566" s="4">
        <v>0</v>
      </c>
      <c r="AH566" s="4">
        <v>301533</v>
      </c>
      <c r="AL566">
        <v>25</v>
      </c>
      <c r="AM566">
        <v>24.008740000000003</v>
      </c>
      <c r="AN566" t="s">
        <v>81</v>
      </c>
      <c r="AO566" t="s">
        <v>194</v>
      </c>
      <c r="AP566" s="5">
        <v>44877</v>
      </c>
      <c r="AQ566" t="s">
        <v>117</v>
      </c>
      <c r="AR566" s="5">
        <v>44989</v>
      </c>
      <c r="AS566">
        <v>277.74745950457924</v>
      </c>
      <c r="AT566" s="6"/>
      <c r="AU566">
        <v>15.250597823434672</v>
      </c>
      <c r="AV566">
        <v>52.189261444048626</v>
      </c>
      <c r="AW566">
        <v>25.652683139345729</v>
      </c>
      <c r="AX566">
        <v>93.092542406829025</v>
      </c>
      <c r="AY566">
        <v>28.871000276544176</v>
      </c>
      <c r="AZ566">
        <v>28.082501921575325</v>
      </c>
      <c r="BA566">
        <v>8.8037682702161923</v>
      </c>
      <c r="BB566">
        <v>11.595193469083988</v>
      </c>
      <c r="BC566">
        <v>13.184102675158199</v>
      </c>
      <c r="BD566">
        <v>90.536566612577872</v>
      </c>
      <c r="BE566">
        <v>94.118350485172357</v>
      </c>
      <c r="BF566">
        <v>7.844066449904834</v>
      </c>
      <c r="BG566">
        <v>-0.37986926170839219</v>
      </c>
      <c r="BH566">
        <v>7.4641971881964428</v>
      </c>
      <c r="BI566">
        <v>191.09330620760332</v>
      </c>
      <c r="BJ566" s="6">
        <v>210</v>
      </c>
      <c r="BK566">
        <v>86.654153296975906</v>
      </c>
      <c r="BL566" s="4">
        <v>3409.21009</v>
      </c>
      <c r="BM566" t="s">
        <v>206</v>
      </c>
      <c r="BN566" t="s">
        <v>65</v>
      </c>
      <c r="BO566">
        <v>3</v>
      </c>
      <c r="BP566">
        <v>2023</v>
      </c>
      <c r="BQ566" t="str">
        <f t="shared" si="41"/>
        <v>Lucky23</v>
      </c>
      <c r="BR566">
        <f t="shared" si="42"/>
        <v>743.84076000000073</v>
      </c>
      <c r="BS566">
        <f t="shared" si="43"/>
        <v>10927.340529999999</v>
      </c>
      <c r="BT566" s="6">
        <f t="shared" si="44"/>
        <v>18.90669379239668</v>
      </c>
    </row>
    <row r="567" spans="1:72">
      <c r="A567" s="3" t="s">
        <v>113</v>
      </c>
      <c r="B567" s="3" t="s">
        <v>166</v>
      </c>
      <c r="C567" s="3" t="s">
        <v>168</v>
      </c>
      <c r="D567" s="2" t="s">
        <v>196</v>
      </c>
      <c r="E567" s="4" t="str">
        <f t="shared" si="40"/>
        <v>Lucky2AC-002-0008</v>
      </c>
      <c r="F567">
        <v>0.5</v>
      </c>
      <c r="G567">
        <v>1</v>
      </c>
      <c r="H567" t="s">
        <v>173</v>
      </c>
      <c r="I567" t="s">
        <v>91</v>
      </c>
      <c r="J567" t="s">
        <v>95</v>
      </c>
      <c r="K567" t="s">
        <v>69</v>
      </c>
      <c r="L567" t="s">
        <v>69</v>
      </c>
      <c r="M567">
        <v>4.5783866057838658</v>
      </c>
      <c r="N567" s="5">
        <v>44774</v>
      </c>
      <c r="O567" s="5">
        <v>44851</v>
      </c>
      <c r="P567">
        <v>0.36</v>
      </c>
      <c r="Q567" s="4">
        <v>450</v>
      </c>
      <c r="R567">
        <v>0.1</v>
      </c>
      <c r="S567" t="s">
        <v>70</v>
      </c>
      <c r="T567" s="6">
        <v>3</v>
      </c>
      <c r="U567" s="5">
        <v>44985</v>
      </c>
      <c r="V567" s="6">
        <v>1</v>
      </c>
      <c r="W567" t="s">
        <v>86</v>
      </c>
      <c r="X567" s="6">
        <v>134</v>
      </c>
      <c r="Y567">
        <v>3.6318600000000001</v>
      </c>
      <c r="Z567">
        <v>7.2637200000000002</v>
      </c>
      <c r="AA567" s="6">
        <v>46.356137075768338</v>
      </c>
      <c r="AB567" s="4">
        <v>46.766388888888891</v>
      </c>
      <c r="AC567" s="6">
        <v>21.572116726756516</v>
      </c>
      <c r="AD567">
        <v>0.31019900500000003</v>
      </c>
      <c r="AE567">
        <v>2.7406517495119385</v>
      </c>
      <c r="AF567">
        <v>9855</v>
      </c>
      <c r="AG567" s="4">
        <v>0</v>
      </c>
      <c r="AH567" s="4">
        <v>45120</v>
      </c>
      <c r="AL567">
        <v>24</v>
      </c>
      <c r="AM567">
        <v>2.0067400000000002</v>
      </c>
      <c r="AN567" t="s">
        <v>81</v>
      </c>
      <c r="AO567" t="s">
        <v>197</v>
      </c>
      <c r="AP567" s="5">
        <v>44856</v>
      </c>
      <c r="AQ567" t="s">
        <v>198</v>
      </c>
      <c r="AR567" s="5">
        <v>44982</v>
      </c>
      <c r="AS567">
        <v>247.75058785305598</v>
      </c>
      <c r="AT567" s="6"/>
      <c r="AU567">
        <v>39.649105417059026</v>
      </c>
      <c r="AV567">
        <v>83.176664298733968</v>
      </c>
      <c r="AW567">
        <v>31.758583755981785</v>
      </c>
      <c r="AX567">
        <v>154.58435347177479</v>
      </c>
      <c r="AY567">
        <v>52.392630773212623</v>
      </c>
      <c r="AZ567">
        <v>51.043399249971081</v>
      </c>
      <c r="BA567">
        <v>24.120040420060239</v>
      </c>
      <c r="BB567">
        <v>16.962526088560683</v>
      </c>
      <c r="BC567">
        <v>36.280644077690212</v>
      </c>
      <c r="BD567">
        <v>180.79924060949486</v>
      </c>
      <c r="BE567">
        <v>-87.633006228213674</v>
      </c>
      <c r="BF567">
        <v>20.876454488884484</v>
      </c>
      <c r="BG567">
        <v>3.2925057683941552</v>
      </c>
      <c r="BH567">
        <v>24.168960257278638</v>
      </c>
      <c r="BI567">
        <v>359.55255433854825</v>
      </c>
      <c r="BJ567" s="6">
        <v>174</v>
      </c>
      <c r="BK567">
        <v>-111.80196648549224</v>
      </c>
      <c r="BL567" s="4">
        <v>-406.04908999999986</v>
      </c>
      <c r="BM567" t="s">
        <v>199</v>
      </c>
      <c r="BN567" t="s">
        <v>65</v>
      </c>
      <c r="BO567">
        <v>2</v>
      </c>
      <c r="BP567">
        <v>2023</v>
      </c>
      <c r="BQ567" t="str">
        <f t="shared" si="41"/>
        <v>Lucky22</v>
      </c>
      <c r="BR567">
        <f t="shared" si="42"/>
        <v>-673.90089999999987</v>
      </c>
      <c r="BS567">
        <f t="shared" si="43"/>
        <v>899.79544999999985</v>
      </c>
      <c r="BT567" s="6">
        <f t="shared" si="44"/>
        <v>-185.55255433854825</v>
      </c>
    </row>
    <row r="568" spans="1:72">
      <c r="A568" s="3" t="s">
        <v>113</v>
      </c>
      <c r="B568" s="3" t="s">
        <v>166</v>
      </c>
      <c r="C568" s="3" t="s">
        <v>168</v>
      </c>
      <c r="D568" s="2" t="s">
        <v>182</v>
      </c>
      <c r="E568" s="4" t="str">
        <f t="shared" si="40"/>
        <v>Lucky2A1-045-0004</v>
      </c>
      <c r="F568">
        <v>5.3</v>
      </c>
      <c r="G568">
        <v>1.5</v>
      </c>
      <c r="H568" t="s">
        <v>72</v>
      </c>
      <c r="I568" t="s">
        <v>75</v>
      </c>
      <c r="J568" t="s">
        <v>95</v>
      </c>
      <c r="K568" t="s">
        <v>79</v>
      </c>
      <c r="L568" t="s">
        <v>79</v>
      </c>
      <c r="M568">
        <v>3.6325549450549453</v>
      </c>
      <c r="N568" s="5">
        <v>45000</v>
      </c>
      <c r="O568" s="5">
        <v>45041</v>
      </c>
      <c r="P568">
        <v>2</v>
      </c>
      <c r="Q568" s="4">
        <v>157</v>
      </c>
      <c r="R568">
        <v>0.59899999999999998</v>
      </c>
      <c r="S568" t="s">
        <v>70</v>
      </c>
      <c r="T568" s="6">
        <v>6</v>
      </c>
      <c r="U568" s="5">
        <v>45095</v>
      </c>
      <c r="V568" s="6">
        <v>1</v>
      </c>
      <c r="W568" t="s">
        <v>86</v>
      </c>
      <c r="X568" s="6">
        <v>54</v>
      </c>
      <c r="Y568">
        <v>24.493189999999998</v>
      </c>
      <c r="Z568">
        <v>4.6213566037735845</v>
      </c>
      <c r="AA568" s="6">
        <v>59.260635303118953</v>
      </c>
      <c r="AB568" s="4">
        <v>72.574100000000001</v>
      </c>
      <c r="AC568" s="6">
        <v>16.874608159109101</v>
      </c>
      <c r="AD568">
        <v>0.30819220899999999</v>
      </c>
      <c r="AE568">
        <v>1.2500885407834947</v>
      </c>
      <c r="AF568">
        <v>29120</v>
      </c>
      <c r="AG568" s="4">
        <v>12720</v>
      </c>
      <c r="AH568" s="4">
        <v>105780</v>
      </c>
      <c r="AI568" t="s">
        <v>73</v>
      </c>
      <c r="AL568">
        <v>57.999999999999993</v>
      </c>
      <c r="AM568">
        <v>2.6933200000000004</v>
      </c>
      <c r="AN568" t="s">
        <v>81</v>
      </c>
      <c r="AO568" t="s">
        <v>123</v>
      </c>
      <c r="AP568" s="5">
        <v>45042</v>
      </c>
      <c r="AQ568" t="s">
        <v>96</v>
      </c>
      <c r="AR568" s="5">
        <v>45084</v>
      </c>
      <c r="AS568">
        <v>137.74460737862239</v>
      </c>
      <c r="AT568" s="6"/>
      <c r="AU568">
        <v>36.744907462033325</v>
      </c>
      <c r="AV568">
        <v>37.443531855180971</v>
      </c>
      <c r="AW568">
        <v>29.922543776453779</v>
      </c>
      <c r="AX568">
        <v>104.11098309366808</v>
      </c>
      <c r="AY568">
        <v>24.041779368061082</v>
      </c>
      <c r="AZ568">
        <v>24.141440130909864</v>
      </c>
      <c r="BA568">
        <v>5.3436575635921661</v>
      </c>
      <c r="BB568">
        <v>6.5908748513362285</v>
      </c>
      <c r="BC568">
        <v>19.599255139898069</v>
      </c>
      <c r="BD568">
        <v>79.717007053797403</v>
      </c>
      <c r="BE568">
        <v>-46.083382768843094</v>
      </c>
      <c r="BF568">
        <v>5.7649640573563508</v>
      </c>
      <c r="BG568">
        <v>0.47290205971537391</v>
      </c>
      <c r="BH568">
        <v>6.2378661170717251</v>
      </c>
      <c r="BI568">
        <v>190.06585626453725</v>
      </c>
      <c r="BJ568" s="6">
        <v>163</v>
      </c>
      <c r="BK568">
        <v>-52.321248885914841</v>
      </c>
      <c r="BL568" s="4">
        <v>-1281.5142900000005</v>
      </c>
      <c r="BM568" t="s">
        <v>183</v>
      </c>
      <c r="BN568" t="s">
        <v>65</v>
      </c>
      <c r="BO568">
        <v>6</v>
      </c>
      <c r="BP568">
        <v>2023</v>
      </c>
      <c r="BQ568" t="str">
        <f t="shared" si="41"/>
        <v>Lucky26</v>
      </c>
      <c r="BR568">
        <f t="shared" si="42"/>
        <v>-662.92916000000093</v>
      </c>
      <c r="BS568">
        <f t="shared" si="43"/>
        <v>3373.8048399999998</v>
      </c>
      <c r="BT568" s="6">
        <f t="shared" si="44"/>
        <v>-27.065856264537246</v>
      </c>
    </row>
    <row r="569" spans="1:72">
      <c r="A569" s="3" t="s">
        <v>113</v>
      </c>
      <c r="B569" s="3" t="s">
        <v>166</v>
      </c>
      <c r="C569" s="3" t="s">
        <v>168</v>
      </c>
      <c r="D569" s="2" t="s">
        <v>193</v>
      </c>
      <c r="E569" s="4" t="str">
        <f t="shared" si="40"/>
        <v>Lucky2AC-003-0008</v>
      </c>
      <c r="F569">
        <v>0.5</v>
      </c>
      <c r="G569">
        <v>1</v>
      </c>
      <c r="H569" t="s">
        <v>173</v>
      </c>
      <c r="I569" t="s">
        <v>91</v>
      </c>
      <c r="J569" t="s">
        <v>95</v>
      </c>
      <c r="K569" t="s">
        <v>69</v>
      </c>
      <c r="L569" t="s">
        <v>69</v>
      </c>
      <c r="M569">
        <v>5.1939731878040103</v>
      </c>
      <c r="N569" s="5">
        <v>44774</v>
      </c>
      <c r="O569" s="5">
        <v>44851</v>
      </c>
      <c r="P569">
        <v>0.36</v>
      </c>
      <c r="Q569" s="4">
        <v>450</v>
      </c>
      <c r="R569">
        <v>0.1</v>
      </c>
      <c r="S569" t="s">
        <v>70</v>
      </c>
      <c r="T569" s="6">
        <v>3</v>
      </c>
      <c r="U569" s="5">
        <v>44994</v>
      </c>
      <c r="V569" s="6">
        <v>1</v>
      </c>
      <c r="W569" t="s">
        <v>86</v>
      </c>
      <c r="X569" s="6">
        <v>143</v>
      </c>
      <c r="Y569">
        <v>3.19781</v>
      </c>
      <c r="Z569">
        <v>6.3956200000000001</v>
      </c>
      <c r="AA569" s="6">
        <v>50.672491486360983</v>
      </c>
      <c r="AB569" s="4">
        <v>45.011388888888888</v>
      </c>
      <c r="AC569" s="6">
        <v>19.734573348720385</v>
      </c>
      <c r="AD569">
        <v>0.30334448200000003</v>
      </c>
      <c r="AE569">
        <v>2.6658780888162159</v>
      </c>
      <c r="AF569">
        <v>8429</v>
      </c>
      <c r="AG569" s="4">
        <v>0</v>
      </c>
      <c r="AH569" s="4">
        <v>43780</v>
      </c>
      <c r="AL569">
        <v>23</v>
      </c>
      <c r="AM569">
        <v>1.7194400000000001</v>
      </c>
      <c r="AN569" t="s">
        <v>81</v>
      </c>
      <c r="AO569" t="s">
        <v>194</v>
      </c>
      <c r="AP569" s="5">
        <v>44856</v>
      </c>
      <c r="AQ569" t="s">
        <v>117</v>
      </c>
      <c r="AR569" s="5">
        <v>44989</v>
      </c>
      <c r="AS569">
        <v>254.42123828495124</v>
      </c>
      <c r="AT569" s="6"/>
      <c r="AU569">
        <v>45.030817966045511</v>
      </c>
      <c r="AV569">
        <v>81.527138885674887</v>
      </c>
      <c r="AW569">
        <v>38.846519962099052</v>
      </c>
      <c r="AX569">
        <v>165.40447681381946</v>
      </c>
      <c r="AY569">
        <v>61.866771321623233</v>
      </c>
      <c r="AZ569">
        <v>59.216713938601728</v>
      </c>
      <c r="BA569">
        <v>28.994530631901203</v>
      </c>
      <c r="BB569">
        <v>20.029076148989464</v>
      </c>
      <c r="BC569">
        <v>43.405389938739326</v>
      </c>
      <c r="BD569">
        <v>213.51248197985493</v>
      </c>
      <c r="BE569">
        <v>-124.49572050872314</v>
      </c>
      <c r="BF569">
        <v>24.836425553738341</v>
      </c>
      <c r="BG569">
        <v>3.8315347065648053</v>
      </c>
      <c r="BH569">
        <v>28.667960260303147</v>
      </c>
      <c r="BI569">
        <v>407.58491905397756</v>
      </c>
      <c r="BJ569" s="6">
        <v>167</v>
      </c>
      <c r="BK569">
        <v>-153.16368076902629</v>
      </c>
      <c r="BL569" s="4">
        <v>-489.78834999999998</v>
      </c>
      <c r="BM569" t="s">
        <v>195</v>
      </c>
      <c r="BN569" t="s">
        <v>65</v>
      </c>
      <c r="BO569">
        <v>3</v>
      </c>
      <c r="BP569">
        <v>2023</v>
      </c>
      <c r="BQ569" t="str">
        <f t="shared" si="41"/>
        <v>Lucky23</v>
      </c>
      <c r="BR569">
        <f t="shared" si="42"/>
        <v>-769.34486000000004</v>
      </c>
      <c r="BS569">
        <f t="shared" si="43"/>
        <v>813.59078</v>
      </c>
      <c r="BT569" s="6">
        <f t="shared" si="44"/>
        <v>-240.58491905397756</v>
      </c>
    </row>
    <row r="570" spans="1:72">
      <c r="A570" s="3" t="s">
        <v>113</v>
      </c>
      <c r="B570" s="3" t="s">
        <v>166</v>
      </c>
      <c r="C570" s="3" t="s">
        <v>168</v>
      </c>
      <c r="D570" s="2" t="s">
        <v>169</v>
      </c>
      <c r="E570" s="4" t="str">
        <f t="shared" si="40"/>
        <v>Lucky2A1-045-0005</v>
      </c>
      <c r="F570">
        <v>5.3</v>
      </c>
      <c r="G570">
        <v>1.5</v>
      </c>
      <c r="H570" t="s">
        <v>72</v>
      </c>
      <c r="I570" t="s">
        <v>75</v>
      </c>
      <c r="J570" t="s">
        <v>95</v>
      </c>
      <c r="K570" t="s">
        <v>79</v>
      </c>
      <c r="L570" t="s">
        <v>79</v>
      </c>
      <c r="M570">
        <v>0</v>
      </c>
      <c r="N570" s="5">
        <v>45096</v>
      </c>
      <c r="O570" s="5">
        <v>45132</v>
      </c>
      <c r="P570">
        <v>2.5</v>
      </c>
      <c r="Q570" s="4">
        <v>197</v>
      </c>
      <c r="R570">
        <v>0.65</v>
      </c>
      <c r="S570" t="s">
        <v>70</v>
      </c>
      <c r="T570" s="6">
        <v>1</v>
      </c>
      <c r="U570" s="5">
        <v>45171</v>
      </c>
      <c r="V570" s="6">
        <v>2</v>
      </c>
      <c r="W570" t="s">
        <v>71</v>
      </c>
      <c r="X570" s="6">
        <v>39</v>
      </c>
      <c r="Y570">
        <v>22.548020000000001</v>
      </c>
      <c r="Z570">
        <v>4.2543433962264157</v>
      </c>
      <c r="AA570" s="6">
        <v>88.001252438129825</v>
      </c>
      <c r="AB570" s="4">
        <v>79.370159999999998</v>
      </c>
      <c r="AC570" s="6">
        <v>11.363474635807714</v>
      </c>
      <c r="AD570">
        <v>0.27470862499999998</v>
      </c>
      <c r="AE570">
        <v>1.2749115567446765</v>
      </c>
      <c r="AF570">
        <v>26675</v>
      </c>
      <c r="AG570" s="4">
        <v>12720</v>
      </c>
      <c r="AH570" s="4">
        <v>0</v>
      </c>
      <c r="AI570" t="s">
        <v>73</v>
      </c>
      <c r="AJ570" t="s">
        <v>73</v>
      </c>
      <c r="AK570" t="s">
        <v>170</v>
      </c>
      <c r="AL570">
        <v>88</v>
      </c>
      <c r="AM570">
        <v>22.533919999999998</v>
      </c>
      <c r="AN570" t="s">
        <v>73</v>
      </c>
      <c r="AO570" t="s">
        <v>96</v>
      </c>
      <c r="AP570" s="5">
        <v>45133</v>
      </c>
      <c r="AQ570" t="s">
        <v>97</v>
      </c>
      <c r="AR570" s="5">
        <v>45164</v>
      </c>
      <c r="AS570">
        <v>99.685614080526818</v>
      </c>
      <c r="AT570" s="6"/>
      <c r="AU570">
        <v>55.437240165655339</v>
      </c>
      <c r="AV570">
        <v>36.387419383165351</v>
      </c>
      <c r="AW570">
        <v>28.662253714516833</v>
      </c>
      <c r="AX570">
        <v>120.48691326333754</v>
      </c>
      <c r="AY570">
        <v>17.498669506236027</v>
      </c>
      <c r="AZ570">
        <v>24.858562303918479</v>
      </c>
      <c r="BA570">
        <v>11.25933629649078</v>
      </c>
      <c r="BB570">
        <v>19.73410082126945</v>
      </c>
      <c r="BC570">
        <v>20.952223742927316</v>
      </c>
      <c r="BD570">
        <v>94.302892670842056</v>
      </c>
      <c r="BE570">
        <v>-115.10419185365278</v>
      </c>
      <c r="BF570">
        <v>5.680337785756798</v>
      </c>
      <c r="BG570">
        <v>0.53287517041407617</v>
      </c>
      <c r="BH570">
        <v>6.2132129561708744</v>
      </c>
      <c r="BI570">
        <v>221.00301889035046</v>
      </c>
      <c r="BJ570" s="6">
        <v>150</v>
      </c>
      <c r="BK570">
        <v>-121.31740480982366</v>
      </c>
      <c r="BL570" s="4">
        <v>-2735.4672700000001</v>
      </c>
      <c r="BM570" t="s">
        <v>171</v>
      </c>
      <c r="BN570" t="s">
        <v>65</v>
      </c>
      <c r="BO570">
        <v>9</v>
      </c>
      <c r="BP570">
        <v>2023</v>
      </c>
      <c r="BQ570" t="str">
        <f t="shared" si="41"/>
        <v>Lucky29</v>
      </c>
      <c r="BR570">
        <f t="shared" si="42"/>
        <v>-1600.97749</v>
      </c>
      <c r="BS570">
        <f t="shared" si="43"/>
        <v>2247.7132200000005</v>
      </c>
      <c r="BT570" s="6">
        <f t="shared" si="44"/>
        <v>-71.003018890350461</v>
      </c>
    </row>
    <row r="571" spans="1:72">
      <c r="A571" s="3" t="s">
        <v>113</v>
      </c>
      <c r="B571" s="3" t="s">
        <v>166</v>
      </c>
      <c r="C571" s="3" t="s">
        <v>168</v>
      </c>
      <c r="D571" s="2" t="s">
        <v>172</v>
      </c>
      <c r="E571" s="4" t="str">
        <f t="shared" si="40"/>
        <v>Lucky2AC-004-0010</v>
      </c>
      <c r="F571">
        <v>0.5</v>
      </c>
      <c r="G571">
        <v>1</v>
      </c>
      <c r="H571" t="s">
        <v>173</v>
      </c>
      <c r="I571" t="s">
        <v>91</v>
      </c>
      <c r="J571" t="s">
        <v>95</v>
      </c>
      <c r="K571" t="s">
        <v>69</v>
      </c>
      <c r="L571" t="s">
        <v>69</v>
      </c>
      <c r="M571">
        <v>2.8720930232558142</v>
      </c>
      <c r="N571" s="5">
        <v>45067</v>
      </c>
      <c r="O571" s="5">
        <v>45087</v>
      </c>
      <c r="P571">
        <v>0.3</v>
      </c>
      <c r="Q571" s="4">
        <v>375</v>
      </c>
      <c r="R571">
        <v>0.47</v>
      </c>
      <c r="S571" t="s">
        <v>70</v>
      </c>
      <c r="T571" s="6">
        <v>2</v>
      </c>
      <c r="U571" s="5">
        <v>45136</v>
      </c>
      <c r="V571" s="6">
        <v>2</v>
      </c>
      <c r="W571" t="s">
        <v>71</v>
      </c>
      <c r="X571" s="6">
        <v>49</v>
      </c>
      <c r="Y571">
        <v>4.3881600000000001</v>
      </c>
      <c r="Z571">
        <v>8.7763200000000001</v>
      </c>
      <c r="AA571" s="6">
        <v>73.218615547290895</v>
      </c>
      <c r="AB571" s="4">
        <v>107.09833333333334</v>
      </c>
      <c r="AC571" s="6">
        <v>13.657728878445042</v>
      </c>
      <c r="AD571">
        <v>0.26997204400000002</v>
      </c>
      <c r="AE571">
        <v>1.1136853803482798</v>
      </c>
      <c r="AF571">
        <v>4730</v>
      </c>
      <c r="AG571" s="4">
        <v>0</v>
      </c>
      <c r="AH571" s="4">
        <v>13585</v>
      </c>
      <c r="AL571">
        <v>73</v>
      </c>
      <c r="AM571">
        <v>3.4279999999999999</v>
      </c>
      <c r="AN571" t="s">
        <v>81</v>
      </c>
      <c r="AO571" t="s">
        <v>96</v>
      </c>
      <c r="AP571" s="5">
        <v>45087</v>
      </c>
      <c r="AQ571" t="s">
        <v>94</v>
      </c>
      <c r="AR571" s="5">
        <v>45133</v>
      </c>
      <c r="AS571">
        <v>128.6422145044848</v>
      </c>
      <c r="AT571" s="6"/>
      <c r="AU571">
        <v>30.764602931524831</v>
      </c>
      <c r="AV571">
        <v>34.205019871654628</v>
      </c>
      <c r="AW571">
        <v>13.394418161598484</v>
      </c>
      <c r="AX571">
        <v>78.364040964777942</v>
      </c>
      <c r="AY571">
        <v>11.832305567709474</v>
      </c>
      <c r="AZ571">
        <v>12.151188653102894</v>
      </c>
      <c r="BA571">
        <v>3.5490114307591334</v>
      </c>
      <c r="BB571">
        <v>3.1945895318311086</v>
      </c>
      <c r="BC571">
        <v>17.044886695106833</v>
      </c>
      <c r="BD571">
        <v>47.771981878509443</v>
      </c>
      <c r="BE571">
        <v>2.5061916611974127</v>
      </c>
      <c r="BF571">
        <v>6.9660290417851671</v>
      </c>
      <c r="BG571">
        <v>0.51224659082622326</v>
      </c>
      <c r="BH571">
        <v>7.4782756326113899</v>
      </c>
      <c r="BI571">
        <v>133.61429847589881</v>
      </c>
      <c r="BJ571" s="6">
        <v>150</v>
      </c>
      <c r="BK571">
        <v>-4.9720839714139977</v>
      </c>
      <c r="BL571" s="4">
        <v>-21.818300000000047</v>
      </c>
      <c r="BM571" t="s">
        <v>174</v>
      </c>
      <c r="BN571" t="s">
        <v>65</v>
      </c>
      <c r="BO571">
        <v>7</v>
      </c>
      <c r="BP571">
        <v>2023</v>
      </c>
      <c r="BQ571" t="str">
        <f t="shared" si="41"/>
        <v>Lucky27</v>
      </c>
      <c r="BR571">
        <f t="shared" si="42"/>
        <v>71.903079999999889</v>
      </c>
      <c r="BS571">
        <f t="shared" si="43"/>
        <v>564.50261999999998</v>
      </c>
      <c r="BT571" s="6">
        <f t="shared" si="44"/>
        <v>16.385701524101194</v>
      </c>
    </row>
    <row r="572" spans="1:72">
      <c r="A572" s="3" t="s">
        <v>113</v>
      </c>
      <c r="B572" s="3" t="s">
        <v>166</v>
      </c>
      <c r="C572" s="3" t="s">
        <v>168</v>
      </c>
      <c r="D572" s="2" t="s">
        <v>178</v>
      </c>
      <c r="E572" s="4" t="str">
        <f t="shared" si="40"/>
        <v>Lucky2AC-005-0010</v>
      </c>
      <c r="F572">
        <v>0.5</v>
      </c>
      <c r="G572">
        <v>1</v>
      </c>
      <c r="H572" t="s">
        <v>173</v>
      </c>
      <c r="I572" t="s">
        <v>91</v>
      </c>
      <c r="J572" t="s">
        <v>95</v>
      </c>
      <c r="K572" t="s">
        <v>69</v>
      </c>
      <c r="L572" t="s">
        <v>69</v>
      </c>
      <c r="M572">
        <v>3.1248751248751248</v>
      </c>
      <c r="N572" s="5">
        <v>45069</v>
      </c>
      <c r="O572" s="5">
        <v>45087</v>
      </c>
      <c r="P572">
        <v>0.3</v>
      </c>
      <c r="Q572" s="4">
        <v>375</v>
      </c>
      <c r="R572">
        <v>0.47</v>
      </c>
      <c r="S572" t="s">
        <v>70</v>
      </c>
      <c r="T572" s="6">
        <v>1</v>
      </c>
      <c r="U572" s="5">
        <v>45138</v>
      </c>
      <c r="V572" s="6">
        <v>2</v>
      </c>
      <c r="W572" t="s">
        <v>71</v>
      </c>
      <c r="X572" s="6">
        <v>51</v>
      </c>
      <c r="Y572">
        <v>3.1470700000000003</v>
      </c>
      <c r="Z572">
        <v>6.2941400000000005</v>
      </c>
      <c r="AA572" s="6">
        <v>72.015875083808112</v>
      </c>
      <c r="AB572" s="4">
        <v>75.546333333333337</v>
      </c>
      <c r="AC572" s="6">
        <v>13.885827240677907</v>
      </c>
      <c r="AD572">
        <v>0.26311546800000002</v>
      </c>
      <c r="AE572">
        <v>1.6649645550502814</v>
      </c>
      <c r="AF572">
        <v>5005</v>
      </c>
      <c r="AG572" s="4">
        <v>0</v>
      </c>
      <c r="AH572" s="4">
        <v>15640</v>
      </c>
      <c r="AL572">
        <v>72</v>
      </c>
      <c r="AM572">
        <v>3.1425700000000001</v>
      </c>
      <c r="AN572" t="s">
        <v>81</v>
      </c>
      <c r="AO572" t="s">
        <v>94</v>
      </c>
      <c r="AP572" s="5">
        <v>45087</v>
      </c>
      <c r="AQ572" t="s">
        <v>94</v>
      </c>
      <c r="AR572" s="5">
        <v>45133</v>
      </c>
      <c r="AS572">
        <v>125.41081069057884</v>
      </c>
      <c r="AT572" s="6"/>
      <c r="AU572">
        <v>42.897043917040293</v>
      </c>
      <c r="AV572">
        <v>50.991967131331684</v>
      </c>
      <c r="AW572">
        <v>18.544102927484925</v>
      </c>
      <c r="AX572">
        <v>112.4331139758569</v>
      </c>
      <c r="AY572">
        <v>16.134181953372501</v>
      </c>
      <c r="AZ572">
        <v>16.934640792864474</v>
      </c>
      <c r="BA572">
        <v>5.0929976136533348</v>
      </c>
      <c r="BB572">
        <v>4.3078863832072374</v>
      </c>
      <c r="BC572">
        <v>24.178105348784744</v>
      </c>
      <c r="BD572">
        <v>66.647812091882287</v>
      </c>
      <c r="BE572">
        <v>-53.670115377160343</v>
      </c>
      <c r="BF572">
        <v>9.8593962002751763</v>
      </c>
      <c r="BG572">
        <v>0.72446434302382834</v>
      </c>
      <c r="BH572">
        <v>10.583860543299005</v>
      </c>
      <c r="BI572">
        <v>189.66478661103818</v>
      </c>
      <c r="BJ572" s="6">
        <v>150</v>
      </c>
      <c r="BK572">
        <v>-64.253975920459354</v>
      </c>
      <c r="BL572" s="4">
        <v>-202.21176</v>
      </c>
      <c r="BM572" t="s">
        <v>179</v>
      </c>
      <c r="BN572" t="s">
        <v>65</v>
      </c>
      <c r="BO572">
        <v>7</v>
      </c>
      <c r="BP572">
        <v>2023</v>
      </c>
      <c r="BQ572" t="str">
        <f t="shared" si="41"/>
        <v>Lucky27</v>
      </c>
      <c r="BR572">
        <f t="shared" si="42"/>
        <v>-124.82785999999994</v>
      </c>
      <c r="BS572">
        <f t="shared" si="43"/>
        <v>394.67660000000001</v>
      </c>
      <c r="BT572" s="6">
        <f t="shared" si="44"/>
        <v>-39.664786611038181</v>
      </c>
    </row>
    <row r="573" spans="1:72">
      <c r="A573" s="3" t="s">
        <v>113</v>
      </c>
      <c r="B573" s="3" t="s">
        <v>166</v>
      </c>
      <c r="C573" s="3" t="s">
        <v>168</v>
      </c>
      <c r="D573" s="2" t="s">
        <v>175</v>
      </c>
      <c r="E573" s="4" t="str">
        <f t="shared" si="40"/>
        <v>Lucky2AC-003-0009</v>
      </c>
      <c r="F573">
        <v>0.5</v>
      </c>
      <c r="G573">
        <v>1</v>
      </c>
      <c r="H573" t="s">
        <v>173</v>
      </c>
      <c r="I573" t="s">
        <v>91</v>
      </c>
      <c r="J573" t="s">
        <v>95</v>
      </c>
      <c r="K573" t="s">
        <v>69</v>
      </c>
      <c r="L573" t="s">
        <v>69</v>
      </c>
      <c r="M573">
        <v>2.6425636811832374</v>
      </c>
      <c r="N573" s="5">
        <v>45047</v>
      </c>
      <c r="O573" s="5">
        <v>45059</v>
      </c>
      <c r="P573">
        <v>0.4</v>
      </c>
      <c r="Q573" s="4">
        <v>500</v>
      </c>
      <c r="R573">
        <v>0.45</v>
      </c>
      <c r="S573" t="s">
        <v>70</v>
      </c>
      <c r="T573" s="6">
        <v>1</v>
      </c>
      <c r="U573" s="5">
        <v>45113</v>
      </c>
      <c r="V573" s="6">
        <v>2</v>
      </c>
      <c r="W573" t="s">
        <v>71</v>
      </c>
      <c r="X573" s="6">
        <v>54.000000000000007</v>
      </c>
      <c r="Y573">
        <v>5.0793599999999994</v>
      </c>
      <c r="Z573">
        <v>10.158719999999999</v>
      </c>
      <c r="AA573" s="6">
        <v>72.060850185850185</v>
      </c>
      <c r="AB573" s="4">
        <v>91.505749999999992</v>
      </c>
      <c r="AC573" s="6">
        <v>13.87716072487248</v>
      </c>
      <c r="AD573">
        <v>0.24886831300000001</v>
      </c>
      <c r="AE573">
        <v>1.2419989549655466</v>
      </c>
      <c r="AF573">
        <v>6085</v>
      </c>
      <c r="AG573" s="4">
        <v>2800</v>
      </c>
      <c r="AH573" s="4">
        <v>16080</v>
      </c>
      <c r="AL573">
        <v>72</v>
      </c>
      <c r="AM573">
        <v>5.0596199999999998</v>
      </c>
      <c r="AN573" t="s">
        <v>81</v>
      </c>
      <c r="AO573" t="s">
        <v>136</v>
      </c>
      <c r="AP573" s="5">
        <v>45063</v>
      </c>
      <c r="AQ573" t="s">
        <v>176</v>
      </c>
      <c r="AR573" s="5">
        <v>45112</v>
      </c>
      <c r="AS573">
        <v>127.85842310842311</v>
      </c>
      <c r="AT573" s="6"/>
      <c r="AU573">
        <v>35.437535437535438</v>
      </c>
      <c r="AV573">
        <v>37.508936165186171</v>
      </c>
      <c r="AW573">
        <v>13.723345067095067</v>
      </c>
      <c r="AX573">
        <v>86.669816669816683</v>
      </c>
      <c r="AY573">
        <v>12.144163831663834</v>
      </c>
      <c r="AZ573">
        <v>10.120615589365588</v>
      </c>
      <c r="BA573">
        <v>1.9881776444276442</v>
      </c>
      <c r="BB573">
        <v>3.5144486706986711</v>
      </c>
      <c r="BC573">
        <v>11.36531374031374</v>
      </c>
      <c r="BD573">
        <v>39.132719476469475</v>
      </c>
      <c r="BE573">
        <v>2.0558869621369524</v>
      </c>
      <c r="BF573">
        <v>4.7611529799029801</v>
      </c>
      <c r="BG573">
        <v>0.34806550431550437</v>
      </c>
      <c r="BH573">
        <v>5.1092184842184851</v>
      </c>
      <c r="BI573">
        <v>130.91175463050465</v>
      </c>
      <c r="BJ573" s="6">
        <v>150</v>
      </c>
      <c r="BK573">
        <v>-3.0533315220815398</v>
      </c>
      <c r="BL573" s="4">
        <v>-15.508970000000089</v>
      </c>
      <c r="BM573" t="s">
        <v>177</v>
      </c>
      <c r="BN573" t="s">
        <v>65</v>
      </c>
      <c r="BO573">
        <v>7</v>
      </c>
      <c r="BP573">
        <v>2023</v>
      </c>
      <c r="BQ573" t="str">
        <f t="shared" si="41"/>
        <v>Lucky27</v>
      </c>
      <c r="BR573">
        <f t="shared" si="42"/>
        <v>96.956069999999912</v>
      </c>
      <c r="BS573">
        <f t="shared" si="43"/>
        <v>649.43895999999995</v>
      </c>
      <c r="BT573" s="6">
        <f t="shared" si="44"/>
        <v>19.088245369495354</v>
      </c>
    </row>
    <row r="574" spans="1:72">
      <c r="A574" s="3" t="s">
        <v>113</v>
      </c>
      <c r="B574" s="3" t="s">
        <v>567</v>
      </c>
      <c r="C574" s="3" t="s">
        <v>590</v>
      </c>
      <c r="D574" s="2" t="s">
        <v>606</v>
      </c>
      <c r="E574" s="4" t="str">
        <f t="shared" si="40"/>
        <v>LaemsingA1-002-0038</v>
      </c>
      <c r="F574">
        <v>3</v>
      </c>
      <c r="G574">
        <v>1.5</v>
      </c>
      <c r="H574" t="s">
        <v>72</v>
      </c>
      <c r="I574" t="s">
        <v>75</v>
      </c>
      <c r="J574" t="s">
        <v>95</v>
      </c>
      <c r="K574" t="s">
        <v>79</v>
      </c>
      <c r="L574" t="s">
        <v>79</v>
      </c>
      <c r="M574">
        <v>2.5330319888734354</v>
      </c>
      <c r="N574" s="5">
        <v>45010</v>
      </c>
      <c r="O574" s="5">
        <v>45037</v>
      </c>
      <c r="P574">
        <v>0.8</v>
      </c>
      <c r="Q574" s="4">
        <v>111</v>
      </c>
      <c r="R574">
        <v>0.38500000000000001</v>
      </c>
      <c r="S574" t="s">
        <v>70</v>
      </c>
      <c r="T574" s="6">
        <v>2</v>
      </c>
      <c r="U574" s="5">
        <v>45153</v>
      </c>
      <c r="V574" s="6">
        <v>1</v>
      </c>
      <c r="W574" t="s">
        <v>86</v>
      </c>
      <c r="X574" s="6">
        <v>116</v>
      </c>
      <c r="Y574">
        <v>15.397120000000001</v>
      </c>
      <c r="Z574">
        <v>5.1323733333333337</v>
      </c>
      <c r="AA574" s="6">
        <v>23.263051791503866</v>
      </c>
      <c r="AB574" s="4">
        <v>44.773000000000003</v>
      </c>
      <c r="AC574" s="6">
        <v>42.986621401290954</v>
      </c>
      <c r="AD574">
        <v>0.42771551699999999</v>
      </c>
      <c r="AE574">
        <v>1.9060090979460695</v>
      </c>
      <c r="AF574">
        <v>28760</v>
      </c>
      <c r="AG574" s="4">
        <v>0</v>
      </c>
      <c r="AH574" s="4">
        <v>72850</v>
      </c>
      <c r="AI574" t="s">
        <v>98</v>
      </c>
      <c r="AJ574" t="s">
        <v>98</v>
      </c>
      <c r="AK574" t="s">
        <v>106</v>
      </c>
      <c r="AL574">
        <v>20</v>
      </c>
      <c r="AM574">
        <v>12.047639999999999</v>
      </c>
      <c r="AN574" t="s">
        <v>81</v>
      </c>
      <c r="AO574" t="s">
        <v>134</v>
      </c>
      <c r="AP574" s="5">
        <v>45040</v>
      </c>
      <c r="AQ574" t="s">
        <v>92</v>
      </c>
      <c r="AR574" s="5">
        <v>45150</v>
      </c>
      <c r="AS574">
        <v>242.79039781465625</v>
      </c>
      <c r="AT574" s="6"/>
      <c r="AU574">
        <v>20.783107490231941</v>
      </c>
      <c r="AV574">
        <v>64.229056472898833</v>
      </c>
      <c r="AW574">
        <v>49.602654912087445</v>
      </c>
      <c r="AX574">
        <v>134.61481887521822</v>
      </c>
      <c r="AY574">
        <v>47.055777314199013</v>
      </c>
      <c r="AZ574">
        <v>51.070920405894086</v>
      </c>
      <c r="BA574">
        <v>16.338551625239006</v>
      </c>
      <c r="BB574">
        <v>15.002463447709699</v>
      </c>
      <c r="BC574">
        <v>26.588081407432043</v>
      </c>
      <c r="BD574">
        <v>156.05579420047385</v>
      </c>
      <c r="BE574">
        <v>-47.880215261035829</v>
      </c>
      <c r="BF574">
        <v>5.5898616104829992</v>
      </c>
      <c r="BG574">
        <v>5.8107347348075491</v>
      </c>
      <c r="BH574">
        <v>11.40059634529055</v>
      </c>
      <c r="BI574">
        <v>302.07120942098254</v>
      </c>
      <c r="BJ574" s="6">
        <v>223</v>
      </c>
      <c r="BK574">
        <v>-59.280811606326317</v>
      </c>
      <c r="BL574" s="4">
        <v>-912.75376999999912</v>
      </c>
      <c r="BM574" t="s">
        <v>607</v>
      </c>
      <c r="BN574" t="s">
        <v>65</v>
      </c>
      <c r="BO574">
        <v>8</v>
      </c>
      <c r="BP574">
        <v>2023</v>
      </c>
      <c r="BQ574" t="str">
        <f t="shared" si="41"/>
        <v>Laemsing8</v>
      </c>
      <c r="BR574">
        <f t="shared" si="42"/>
        <v>-1217.4688999999987</v>
      </c>
      <c r="BS574">
        <f t="shared" si="43"/>
        <v>3738.2728900000002</v>
      </c>
      <c r="BT574" s="6">
        <f t="shared" si="44"/>
        <v>-79.071209420982541</v>
      </c>
    </row>
    <row r="575" spans="1:72">
      <c r="A575" s="3" t="s">
        <v>113</v>
      </c>
      <c r="B575" s="3" t="s">
        <v>567</v>
      </c>
      <c r="C575" s="3" t="s">
        <v>590</v>
      </c>
      <c r="D575" s="2" t="s">
        <v>595</v>
      </c>
      <c r="E575" s="4" t="str">
        <f t="shared" si="40"/>
        <v>LaemsingA1-026-0016</v>
      </c>
      <c r="F575">
        <v>2.2000000000000002</v>
      </c>
      <c r="G575">
        <v>1.5</v>
      </c>
      <c r="H575" t="s">
        <v>72</v>
      </c>
      <c r="I575" t="s">
        <v>75</v>
      </c>
      <c r="J575" t="s">
        <v>95</v>
      </c>
      <c r="K575" t="s">
        <v>79</v>
      </c>
      <c r="L575" t="s">
        <v>79</v>
      </c>
      <c r="M575">
        <v>2.5635555555555554</v>
      </c>
      <c r="N575" s="5">
        <v>45025</v>
      </c>
      <c r="O575" s="5">
        <v>45045</v>
      </c>
      <c r="P575">
        <v>0.7</v>
      </c>
      <c r="Q575" s="4">
        <v>133</v>
      </c>
      <c r="R575">
        <v>0.55000000000000004</v>
      </c>
      <c r="S575" t="s">
        <v>70</v>
      </c>
      <c r="T575" s="6">
        <v>4</v>
      </c>
      <c r="U575" s="5">
        <v>45140</v>
      </c>
      <c r="V575" s="6">
        <v>1</v>
      </c>
      <c r="W575" t="s">
        <v>86</v>
      </c>
      <c r="X575" s="6">
        <v>95</v>
      </c>
      <c r="Y575">
        <v>17.142970000000002</v>
      </c>
      <c r="Z575">
        <v>7.7922590909090914</v>
      </c>
      <c r="AA575" s="6">
        <v>36.203119996126688</v>
      </c>
      <c r="AB575" s="4">
        <v>88.661285714285711</v>
      </c>
      <c r="AC575" s="6">
        <v>27.621928720701099</v>
      </c>
      <c r="AD575">
        <v>0.33376909999999999</v>
      </c>
      <c r="AE575">
        <v>1.6783059045934561</v>
      </c>
      <c r="AF575">
        <v>28125</v>
      </c>
      <c r="AG575" s="4">
        <v>0</v>
      </c>
      <c r="AH575" s="4">
        <v>72100</v>
      </c>
      <c r="AI575" t="s">
        <v>98</v>
      </c>
      <c r="AJ575" t="s">
        <v>98</v>
      </c>
      <c r="AK575" t="s">
        <v>144</v>
      </c>
      <c r="AL575">
        <v>31</v>
      </c>
      <c r="AM575">
        <v>4.0897800000000002</v>
      </c>
      <c r="AN575" t="s">
        <v>98</v>
      </c>
      <c r="AO575" t="s">
        <v>134</v>
      </c>
      <c r="AP575" s="5">
        <v>45047</v>
      </c>
      <c r="AQ575" t="s">
        <v>438</v>
      </c>
      <c r="AR575" s="5">
        <v>45136</v>
      </c>
      <c r="AS575">
        <v>175.44443115749485</v>
      </c>
      <c r="AT575" s="6"/>
      <c r="AU575">
        <v>18.374879032046376</v>
      </c>
      <c r="AV575">
        <v>56.265843083199691</v>
      </c>
      <c r="AW575">
        <v>26.002826231393971</v>
      </c>
      <c r="AX575">
        <v>100.64354834664003</v>
      </c>
      <c r="AY575">
        <v>17.916005802961799</v>
      </c>
      <c r="AZ575">
        <v>24.632804000706997</v>
      </c>
      <c r="BA575">
        <v>6.9232431719824499</v>
      </c>
      <c r="BB575">
        <v>4.7299411945538017</v>
      </c>
      <c r="BC575">
        <v>10.654299109197533</v>
      </c>
      <c r="BD575">
        <v>64.856293279402578</v>
      </c>
      <c r="BE575">
        <v>9.9445895314522375</v>
      </c>
      <c r="BF575">
        <v>1.5756832100855334</v>
      </c>
      <c r="BG575">
        <v>2.2530121676698966</v>
      </c>
      <c r="BH575">
        <v>3.8286953777554307</v>
      </c>
      <c r="BI575">
        <v>169.328537003798</v>
      </c>
      <c r="BJ575" s="6">
        <v>186</v>
      </c>
      <c r="BK575">
        <v>6.1158941536968392</v>
      </c>
      <c r="BL575" s="4">
        <v>104.84459000000032</v>
      </c>
      <c r="BM575" t="s">
        <v>596</v>
      </c>
      <c r="BN575" t="s">
        <v>65</v>
      </c>
      <c r="BO575">
        <v>8</v>
      </c>
      <c r="BP575">
        <v>2023</v>
      </c>
      <c r="BQ575" t="str">
        <f t="shared" si="41"/>
        <v>Laemsing8</v>
      </c>
      <c r="BR575">
        <f t="shared" si="42"/>
        <v>285.79839000000095</v>
      </c>
      <c r="BS575">
        <f t="shared" si="43"/>
        <v>3007.6386199999997</v>
      </c>
      <c r="BT575" s="6">
        <f t="shared" si="44"/>
        <v>16.671462996201996</v>
      </c>
    </row>
    <row r="576" spans="1:72">
      <c r="A576" s="3" t="s">
        <v>113</v>
      </c>
      <c r="B576" s="3" t="s">
        <v>567</v>
      </c>
      <c r="C576" s="3" t="s">
        <v>590</v>
      </c>
      <c r="D576" s="2" t="s">
        <v>603</v>
      </c>
      <c r="E576" s="4" t="str">
        <f t="shared" si="40"/>
        <v>LaemsingA1-002-0037</v>
      </c>
      <c r="F576">
        <v>3</v>
      </c>
      <c r="G576">
        <v>1.5</v>
      </c>
      <c r="H576" t="s">
        <v>72</v>
      </c>
      <c r="I576" t="s">
        <v>75</v>
      </c>
      <c r="J576" t="s">
        <v>95</v>
      </c>
      <c r="K576" t="s">
        <v>79</v>
      </c>
      <c r="L576" t="s">
        <v>79</v>
      </c>
      <c r="M576">
        <v>2.4091784044730971</v>
      </c>
      <c r="N576" s="5">
        <v>44885</v>
      </c>
      <c r="O576" s="5">
        <v>44898</v>
      </c>
      <c r="P576">
        <v>0.75</v>
      </c>
      <c r="Q576" s="4">
        <v>104</v>
      </c>
      <c r="R576">
        <v>0.35</v>
      </c>
      <c r="S576" t="s">
        <v>70</v>
      </c>
      <c r="T576" s="6">
        <v>4</v>
      </c>
      <c r="U576" s="5">
        <v>45009</v>
      </c>
      <c r="V576" s="6">
        <v>1</v>
      </c>
      <c r="W576" t="s">
        <v>86</v>
      </c>
      <c r="X576" s="6">
        <v>111</v>
      </c>
      <c r="Y576">
        <v>18.681630000000002</v>
      </c>
      <c r="Z576">
        <v>6.2272100000000004</v>
      </c>
      <c r="AA576" s="6">
        <v>30.426895297680126</v>
      </c>
      <c r="AB576" s="4">
        <v>75.789866666666668</v>
      </c>
      <c r="AC576" s="6">
        <v>32.865660141021493</v>
      </c>
      <c r="AD576">
        <v>0.33051384700000003</v>
      </c>
      <c r="AE576">
        <v>1.7769026007200122</v>
      </c>
      <c r="AF576">
        <v>32729</v>
      </c>
      <c r="AG576" s="4">
        <v>0</v>
      </c>
      <c r="AH576" s="4">
        <v>78850</v>
      </c>
      <c r="AL576">
        <v>27</v>
      </c>
      <c r="AM576">
        <v>5.9691999999999998</v>
      </c>
      <c r="AN576" t="s">
        <v>81</v>
      </c>
      <c r="AO576" t="s">
        <v>131</v>
      </c>
      <c r="AP576" s="5">
        <v>44900</v>
      </c>
      <c r="AQ576" t="s">
        <v>134</v>
      </c>
      <c r="AR576" s="5">
        <v>45008</v>
      </c>
      <c r="AS576">
        <v>266.2626590934517</v>
      </c>
      <c r="AT576" s="6"/>
      <c r="AU576">
        <v>16.058555918300492</v>
      </c>
      <c r="AV576">
        <v>59.720119711181496</v>
      </c>
      <c r="AW576">
        <v>34.318937373237766</v>
      </c>
      <c r="AX576">
        <v>110.09761300271975</v>
      </c>
      <c r="AY576">
        <v>20.25048831392122</v>
      </c>
      <c r="AZ576">
        <v>32.450606290778701</v>
      </c>
      <c r="BA576">
        <v>9.4841312026841322</v>
      </c>
      <c r="BB576">
        <v>10.060167126744295</v>
      </c>
      <c r="BC576">
        <v>13.507563847480119</v>
      </c>
      <c r="BD576">
        <v>85.752956781608461</v>
      </c>
      <c r="BE576">
        <v>70.412089309123488</v>
      </c>
      <c r="BF576">
        <v>2.280420391582533</v>
      </c>
      <c r="BG576">
        <v>3.1799521776204753</v>
      </c>
      <c r="BH576">
        <v>5.4603725692030087</v>
      </c>
      <c r="BI576">
        <v>201.31094235353123</v>
      </c>
      <c r="BJ576" s="6">
        <v>197</v>
      </c>
      <c r="BK576">
        <v>64.951716739920471</v>
      </c>
      <c r="BL576" s="4">
        <v>1213.4039400000004</v>
      </c>
      <c r="BM576" t="s">
        <v>568</v>
      </c>
      <c r="BN576" t="s">
        <v>65</v>
      </c>
      <c r="BO576">
        <v>3</v>
      </c>
      <c r="BP576">
        <v>2023</v>
      </c>
      <c r="BQ576" t="str">
        <f t="shared" si="41"/>
        <v>Laemsing3</v>
      </c>
      <c r="BR576">
        <f t="shared" si="42"/>
        <v>-80.535429999999678</v>
      </c>
      <c r="BS576">
        <f t="shared" si="43"/>
        <v>4974.2204800000009</v>
      </c>
      <c r="BT576" s="6">
        <f t="shared" si="44"/>
        <v>-4.3109423535312317</v>
      </c>
    </row>
    <row r="577" spans="1:72">
      <c r="A577" s="3" t="s">
        <v>113</v>
      </c>
      <c r="B577" s="3" t="s">
        <v>567</v>
      </c>
      <c r="C577" s="3" t="s">
        <v>590</v>
      </c>
      <c r="D577" s="2" t="s">
        <v>593</v>
      </c>
      <c r="E577" s="4" t="str">
        <f t="shared" si="40"/>
        <v>LaemsingA1-025-0014</v>
      </c>
      <c r="F577">
        <v>2.5</v>
      </c>
      <c r="G577">
        <v>2</v>
      </c>
      <c r="H577" t="s">
        <v>72</v>
      </c>
      <c r="I577" t="s">
        <v>75</v>
      </c>
      <c r="J577" t="s">
        <v>95</v>
      </c>
      <c r="K577" t="s">
        <v>79</v>
      </c>
      <c r="L577" t="s">
        <v>79</v>
      </c>
      <c r="M577">
        <v>2.5653206650831355</v>
      </c>
      <c r="N577" s="5">
        <v>45030</v>
      </c>
      <c r="O577" s="5">
        <v>45055</v>
      </c>
      <c r="P577">
        <v>0.8</v>
      </c>
      <c r="Q577" s="4">
        <v>100</v>
      </c>
      <c r="R577">
        <v>0.55000000000000004</v>
      </c>
      <c r="S577" t="s">
        <v>70</v>
      </c>
      <c r="T577" s="6">
        <v>3</v>
      </c>
      <c r="U577" s="5">
        <v>45124</v>
      </c>
      <c r="V577" s="6">
        <v>1</v>
      </c>
      <c r="W577" t="s">
        <v>86</v>
      </c>
      <c r="X577" s="6">
        <v>69</v>
      </c>
      <c r="Y577">
        <v>12.382379999999999</v>
      </c>
      <c r="Z577">
        <v>4.9529519999999998</v>
      </c>
      <c r="AA577" s="6">
        <v>48.478240855150631</v>
      </c>
      <c r="AB577" s="4">
        <v>75.034500000000008</v>
      </c>
      <c r="AC577" s="6">
        <v>20.62781120684485</v>
      </c>
      <c r="AD577">
        <v>0.32140974999999999</v>
      </c>
      <c r="AE577">
        <v>1.5863871320515515</v>
      </c>
      <c r="AF577">
        <v>18945</v>
      </c>
      <c r="AG577" s="4">
        <v>0</v>
      </c>
      <c r="AH577" s="4">
        <v>48600</v>
      </c>
      <c r="AI577" t="s">
        <v>98</v>
      </c>
      <c r="AJ577" t="s">
        <v>98</v>
      </c>
      <c r="AK577" t="s">
        <v>170</v>
      </c>
      <c r="AL577">
        <v>44</v>
      </c>
      <c r="AM577">
        <v>6.61395</v>
      </c>
      <c r="AN577" t="s">
        <v>98</v>
      </c>
      <c r="AO577" t="s">
        <v>157</v>
      </c>
      <c r="AP577" s="5">
        <v>45056</v>
      </c>
      <c r="AQ577" t="s">
        <v>97</v>
      </c>
      <c r="AR577" s="5">
        <v>45119</v>
      </c>
      <c r="AS577">
        <v>150.62730832037136</v>
      </c>
      <c r="AT577" s="6"/>
      <c r="AU577">
        <v>29.073570670581908</v>
      </c>
      <c r="AV577">
        <v>52.16506842787895</v>
      </c>
      <c r="AW577">
        <v>30.555401304111154</v>
      </c>
      <c r="AX577">
        <v>111.79404040257201</v>
      </c>
      <c r="AY577">
        <v>20.883457784367792</v>
      </c>
      <c r="AZ577">
        <v>30.559991697880381</v>
      </c>
      <c r="BA577">
        <v>7.8696962942503799</v>
      </c>
      <c r="BB577">
        <v>5.3353474857014573</v>
      </c>
      <c r="BC577">
        <v>13.484812289721363</v>
      </c>
      <c r="BD577">
        <v>78.133305551921367</v>
      </c>
      <c r="BE577">
        <v>-39.30003763412202</v>
      </c>
      <c r="BF577">
        <v>1.6977002805599568</v>
      </c>
      <c r="BG577">
        <v>2.64344738249028</v>
      </c>
      <c r="BH577">
        <v>4.3411476630502372</v>
      </c>
      <c r="BI577">
        <v>194.26849361754367</v>
      </c>
      <c r="BJ577" s="6">
        <v>170</v>
      </c>
      <c r="BK577">
        <v>-43.641185297172292</v>
      </c>
      <c r="BL577" s="4">
        <v>-540.38174000000026</v>
      </c>
      <c r="BM577" t="s">
        <v>594</v>
      </c>
      <c r="BN577" t="s">
        <v>65</v>
      </c>
      <c r="BO577">
        <v>7</v>
      </c>
      <c r="BP577">
        <v>2023</v>
      </c>
      <c r="BQ577" t="str">
        <f t="shared" si="41"/>
        <v>Laemsing7</v>
      </c>
      <c r="BR577">
        <f t="shared" si="42"/>
        <v>-300.50171000000034</v>
      </c>
      <c r="BS577">
        <f t="shared" si="43"/>
        <v>1865.1245699999997</v>
      </c>
      <c r="BT577" s="6">
        <f t="shared" si="44"/>
        <v>-24.268493617543669</v>
      </c>
    </row>
    <row r="578" spans="1:72">
      <c r="A578" s="3" t="s">
        <v>113</v>
      </c>
      <c r="B578" s="3" t="s">
        <v>567</v>
      </c>
      <c r="C578" s="3" t="s">
        <v>590</v>
      </c>
      <c r="D578" s="2" t="s">
        <v>591</v>
      </c>
      <c r="E578" s="4" t="str">
        <f t="shared" si="40"/>
        <v>LaemsingA1-019-0029</v>
      </c>
      <c r="F578">
        <v>2.2000000000000002</v>
      </c>
      <c r="G578">
        <v>1.5</v>
      </c>
      <c r="H578" t="s">
        <v>72</v>
      </c>
      <c r="I578" t="s">
        <v>75</v>
      </c>
      <c r="J578" t="s">
        <v>95</v>
      </c>
      <c r="K578" t="s">
        <v>79</v>
      </c>
      <c r="L578" t="s">
        <v>79</v>
      </c>
      <c r="M578">
        <v>2.6185704742818969</v>
      </c>
      <c r="N578" s="5">
        <v>45028</v>
      </c>
      <c r="O578" s="5">
        <v>45057</v>
      </c>
      <c r="P578">
        <v>0.7</v>
      </c>
      <c r="Q578" s="4">
        <v>133</v>
      </c>
      <c r="R578">
        <v>0.81</v>
      </c>
      <c r="S578" t="s">
        <v>70</v>
      </c>
      <c r="T578" s="6">
        <v>3</v>
      </c>
      <c r="U578" s="5">
        <v>45121</v>
      </c>
      <c r="V578" s="6">
        <v>1</v>
      </c>
      <c r="W578" t="s">
        <v>86</v>
      </c>
      <c r="X578" s="6">
        <v>64</v>
      </c>
      <c r="Y578">
        <v>10.291120000000001</v>
      </c>
      <c r="Z578">
        <v>4.6777818181818187</v>
      </c>
      <c r="AA578" s="6">
        <v>52.890938984289363</v>
      </c>
      <c r="AB578" s="4">
        <v>77.758142857142857</v>
      </c>
      <c r="AC578" s="6">
        <v>18.906830152836545</v>
      </c>
      <c r="AD578">
        <v>0.31979055899999997</v>
      </c>
      <c r="AE578">
        <v>1.5394994210165838</v>
      </c>
      <c r="AF578">
        <v>14970</v>
      </c>
      <c r="AG578" s="4">
        <v>0</v>
      </c>
      <c r="AH578" s="4">
        <v>39200</v>
      </c>
      <c r="AL578">
        <v>47</v>
      </c>
      <c r="AM578">
        <v>4.6402900000000002</v>
      </c>
      <c r="AN578" t="s">
        <v>126</v>
      </c>
      <c r="AO578" t="s">
        <v>127</v>
      </c>
      <c r="AP578" s="5">
        <v>45057</v>
      </c>
      <c r="AQ578" t="s">
        <v>96</v>
      </c>
      <c r="AR578" s="5">
        <v>45119</v>
      </c>
      <c r="AS578">
        <v>142.08624814403095</v>
      </c>
      <c r="AT578" s="6"/>
      <c r="AU578">
        <v>37.410894052348048</v>
      </c>
      <c r="AV578">
        <v>49.540681675075206</v>
      </c>
      <c r="AW578">
        <v>32.443037298175526</v>
      </c>
      <c r="AX578">
        <v>119.39461302559879</v>
      </c>
      <c r="AY578">
        <v>21.400804771492311</v>
      </c>
      <c r="AZ578">
        <v>31.505908977837205</v>
      </c>
      <c r="BA578">
        <v>7.9843204626901612</v>
      </c>
      <c r="BB578">
        <v>5.4104179136964676</v>
      </c>
      <c r="BC578">
        <v>14.149699935478351</v>
      </c>
      <c r="BD578">
        <v>80.451152061194492</v>
      </c>
      <c r="BE578">
        <v>-57.759516942762332</v>
      </c>
      <c r="BF578">
        <v>1.7313994978194793</v>
      </c>
      <c r="BG578">
        <v>2.724360419468435</v>
      </c>
      <c r="BH578">
        <v>4.4557599172879145</v>
      </c>
      <c r="BI578">
        <v>204.30152500408116</v>
      </c>
      <c r="BJ578" s="6">
        <v>166</v>
      </c>
      <c r="BK578">
        <v>-62.215276860050203</v>
      </c>
      <c r="BL578" s="4">
        <v>-640.26487999999983</v>
      </c>
      <c r="BM578" t="s">
        <v>592</v>
      </c>
      <c r="BN578" t="s">
        <v>65</v>
      </c>
      <c r="BO578">
        <v>7</v>
      </c>
      <c r="BP578">
        <v>2023</v>
      </c>
      <c r="BQ578" t="str">
        <f t="shared" si="41"/>
        <v>Laemsing7</v>
      </c>
      <c r="BR578">
        <f t="shared" si="42"/>
        <v>-394.16558999999972</v>
      </c>
      <c r="BS578">
        <f t="shared" si="43"/>
        <v>1462.2266299999999</v>
      </c>
      <c r="BT578" s="6">
        <f t="shared" si="44"/>
        <v>-38.301525004081157</v>
      </c>
    </row>
    <row r="579" spans="1:72">
      <c r="A579" s="3" t="s">
        <v>113</v>
      </c>
      <c r="B579" s="3" t="s">
        <v>567</v>
      </c>
      <c r="C579" s="3" t="s">
        <v>590</v>
      </c>
      <c r="D579" s="2" t="s">
        <v>601</v>
      </c>
      <c r="E579" s="4" t="str">
        <f t="shared" si="40"/>
        <v>LaemsingA1-019-0028</v>
      </c>
      <c r="F579">
        <v>2.2000000000000002</v>
      </c>
      <c r="G579">
        <v>1.5</v>
      </c>
      <c r="H579" t="s">
        <v>72</v>
      </c>
      <c r="I579" t="s">
        <v>75</v>
      </c>
      <c r="J579" t="s">
        <v>95</v>
      </c>
      <c r="K579" t="s">
        <v>79</v>
      </c>
      <c r="L579" t="s">
        <v>79</v>
      </c>
      <c r="M579">
        <v>2.4702322215643706</v>
      </c>
      <c r="N579" s="5">
        <v>44885</v>
      </c>
      <c r="O579" s="5">
        <v>44903</v>
      </c>
      <c r="P579">
        <v>0.66</v>
      </c>
      <c r="Q579" s="4">
        <v>125</v>
      </c>
      <c r="R579">
        <v>0.25</v>
      </c>
      <c r="S579" t="s">
        <v>70</v>
      </c>
      <c r="T579" s="6">
        <v>4</v>
      </c>
      <c r="U579" s="5">
        <v>45027</v>
      </c>
      <c r="V579" s="6">
        <v>1</v>
      </c>
      <c r="W579" t="s">
        <v>86</v>
      </c>
      <c r="X579" s="6">
        <v>124</v>
      </c>
      <c r="Y579">
        <v>18.324120000000001</v>
      </c>
      <c r="Z579">
        <v>8.3291454545454542</v>
      </c>
      <c r="AA579" s="6">
        <v>30.708868966149534</v>
      </c>
      <c r="AB579" s="4">
        <v>85.25954545454546</v>
      </c>
      <c r="AC579" s="6">
        <v>32.563882476502229</v>
      </c>
      <c r="AD579">
        <v>0.30815756799999999</v>
      </c>
      <c r="AE579">
        <v>1.6742000713690972</v>
      </c>
      <c r="AF579">
        <v>30402</v>
      </c>
      <c r="AG579" s="4">
        <v>5280</v>
      </c>
      <c r="AH579" s="4">
        <v>75100</v>
      </c>
      <c r="AI579" t="s">
        <v>98</v>
      </c>
      <c r="AJ579" t="s">
        <v>98</v>
      </c>
      <c r="AK579" t="s">
        <v>131</v>
      </c>
      <c r="AL579">
        <v>26</v>
      </c>
      <c r="AM579">
        <v>5.2535400000000001</v>
      </c>
      <c r="AN579" t="s">
        <v>81</v>
      </c>
      <c r="AO579" t="s">
        <v>123</v>
      </c>
      <c r="AP579" s="5">
        <v>44904</v>
      </c>
      <c r="AQ579" t="s">
        <v>117</v>
      </c>
      <c r="AR579" s="5">
        <v>45026</v>
      </c>
      <c r="AS579">
        <v>252.26658251528582</v>
      </c>
      <c r="AT579" s="6"/>
      <c r="AU579">
        <v>14.407240293121857</v>
      </c>
      <c r="AV579">
        <v>57.136949550646904</v>
      </c>
      <c r="AW579">
        <v>30.128694311104713</v>
      </c>
      <c r="AX579">
        <v>101.67288415487347</v>
      </c>
      <c r="AY579">
        <v>16.976275531921861</v>
      </c>
      <c r="AZ579">
        <v>27.631679447635143</v>
      </c>
      <c r="BA579">
        <v>7.5555579203803509</v>
      </c>
      <c r="BB579">
        <v>7.8302701575846463</v>
      </c>
      <c r="BC579">
        <v>11.429671383946406</v>
      </c>
      <c r="BD579">
        <v>71.423454441468408</v>
      </c>
      <c r="BE579">
        <v>79.170243918943953</v>
      </c>
      <c r="BF579">
        <v>1.8720849896202383</v>
      </c>
      <c r="BG579">
        <v>2.6529972517097686</v>
      </c>
      <c r="BH579">
        <v>4.5250822413300069</v>
      </c>
      <c r="BI579">
        <v>177.62142083767188</v>
      </c>
      <c r="BJ579" s="6">
        <v>197</v>
      </c>
      <c r="BK579">
        <v>74.645161677613942</v>
      </c>
      <c r="BL579" s="4">
        <v>1367.8068999999989</v>
      </c>
      <c r="BM579" t="s">
        <v>602</v>
      </c>
      <c r="BN579" t="s">
        <v>65</v>
      </c>
      <c r="BO579">
        <v>4</v>
      </c>
      <c r="BP579">
        <v>2023</v>
      </c>
      <c r="BQ579" t="str">
        <f t="shared" si="41"/>
        <v>Laemsing4</v>
      </c>
      <c r="BR579">
        <f t="shared" si="42"/>
        <v>355.09541000000002</v>
      </c>
      <c r="BS579">
        <f t="shared" si="43"/>
        <v>4622.5631299999995</v>
      </c>
      <c r="BT579" s="6">
        <f t="shared" si="44"/>
        <v>19.378579162328123</v>
      </c>
    </row>
    <row r="580" spans="1:72">
      <c r="A580" s="3" t="s">
        <v>113</v>
      </c>
      <c r="B580" s="3" t="s">
        <v>567</v>
      </c>
      <c r="C580" s="3" t="s">
        <v>590</v>
      </c>
      <c r="D580" s="2" t="s">
        <v>604</v>
      </c>
      <c r="E580" s="4" t="str">
        <f t="shared" ref="E580:E643" si="45">B580&amp;D580</f>
        <v>LaemsingA1-025-0013</v>
      </c>
      <c r="F580">
        <v>2.5</v>
      </c>
      <c r="G580">
        <v>2</v>
      </c>
      <c r="H580" t="s">
        <v>72</v>
      </c>
      <c r="I580" t="s">
        <v>75</v>
      </c>
      <c r="J580" t="s">
        <v>95</v>
      </c>
      <c r="K580" t="s">
        <v>79</v>
      </c>
      <c r="L580" t="s">
        <v>79</v>
      </c>
      <c r="M580">
        <v>2.4734609706371709</v>
      </c>
      <c r="N580" s="5">
        <v>44885</v>
      </c>
      <c r="O580" s="5">
        <v>44900</v>
      </c>
      <c r="P580">
        <v>0.88</v>
      </c>
      <c r="Q580" s="4">
        <v>110</v>
      </c>
      <c r="R580">
        <v>0.32300000000000001</v>
      </c>
      <c r="S580" t="s">
        <v>70</v>
      </c>
      <c r="T580" s="6">
        <v>3</v>
      </c>
      <c r="U580" s="5">
        <v>45029</v>
      </c>
      <c r="V580" s="6">
        <v>1</v>
      </c>
      <c r="W580" t="s">
        <v>86</v>
      </c>
      <c r="X580" s="6">
        <v>129</v>
      </c>
      <c r="Y580">
        <v>25.080680000000001</v>
      </c>
      <c r="Z580">
        <v>10.032272000000001</v>
      </c>
      <c r="AA580" s="6">
        <v>30.086385217625679</v>
      </c>
      <c r="AB580" s="4">
        <v>85.748522727272729</v>
      </c>
      <c r="AC580" s="6">
        <v>33.237625350025908</v>
      </c>
      <c r="AD580">
        <v>0.28460493799999997</v>
      </c>
      <c r="AE580">
        <v>1.7209304388890838</v>
      </c>
      <c r="AF580">
        <v>42673</v>
      </c>
      <c r="AG580" s="4">
        <v>6000</v>
      </c>
      <c r="AH580" s="4">
        <v>105550</v>
      </c>
      <c r="AL580">
        <v>27</v>
      </c>
      <c r="AM580">
        <v>16.287240000000001</v>
      </c>
      <c r="AN580" t="s">
        <v>81</v>
      </c>
      <c r="AO580" t="s">
        <v>123</v>
      </c>
      <c r="AP580" s="5">
        <v>44901</v>
      </c>
      <c r="AQ580" t="s">
        <v>134</v>
      </c>
      <c r="AR580" s="5">
        <v>45028</v>
      </c>
      <c r="AS580">
        <v>261.35092509453489</v>
      </c>
      <c r="AT580" s="6"/>
      <c r="AU580">
        <v>14.034707192946922</v>
      </c>
      <c r="AV580">
        <v>58.506780119199313</v>
      </c>
      <c r="AW580">
        <v>24.761183508581105</v>
      </c>
      <c r="AX580">
        <v>97.302670820727343</v>
      </c>
      <c r="AY580">
        <v>14.262837371235548</v>
      </c>
      <c r="AZ580">
        <v>23.16788819122927</v>
      </c>
      <c r="BA580">
        <v>6.3362133722052185</v>
      </c>
      <c r="BB580">
        <v>6.5265423425521192</v>
      </c>
      <c r="BC580">
        <v>9.619920193551371</v>
      </c>
      <c r="BD580">
        <v>59.913401470773522</v>
      </c>
      <c r="BE580">
        <v>104.13485280303402</v>
      </c>
      <c r="BF580">
        <v>1.5695375882950542</v>
      </c>
      <c r="BG580">
        <v>2.2281580882177043</v>
      </c>
      <c r="BH580">
        <v>3.7976956765127583</v>
      </c>
      <c r="BI580">
        <v>161.01376796801361</v>
      </c>
      <c r="BJ580" s="6">
        <v>197</v>
      </c>
      <c r="BK580">
        <v>100.3371571265213</v>
      </c>
      <c r="BL580" s="4">
        <v>2516.5241300000002</v>
      </c>
      <c r="BM580" t="s">
        <v>605</v>
      </c>
      <c r="BN580" t="s">
        <v>65</v>
      </c>
      <c r="BO580">
        <v>4</v>
      </c>
      <c r="BP580">
        <v>2023</v>
      </c>
      <c r="BQ580" t="str">
        <f t="shared" ref="BQ580:BQ643" si="46">B580&amp;BO580</f>
        <v>Laemsing4</v>
      </c>
      <c r="BR580">
        <f t="shared" ref="BR580:BR643" si="47">BT580*Y580</f>
        <v>902.55917000000045</v>
      </c>
      <c r="BS580">
        <f t="shared" ref="BS580:BS643" si="48">Y580*AS580</f>
        <v>6554.8589199999997</v>
      </c>
      <c r="BT580" s="6">
        <f t="shared" ref="BT580:BT643" si="49">BJ580-BI580</f>
        <v>35.98623203198639</v>
      </c>
    </row>
    <row r="581" spans="1:72">
      <c r="A581" s="3" t="s">
        <v>113</v>
      </c>
      <c r="B581" s="3" t="s">
        <v>567</v>
      </c>
      <c r="C581" s="3" t="s">
        <v>590</v>
      </c>
      <c r="D581" s="2" t="s">
        <v>597</v>
      </c>
      <c r="E581" s="4" t="str">
        <f t="shared" si="45"/>
        <v>LaemsingA1-018-0026</v>
      </c>
      <c r="F581">
        <v>2</v>
      </c>
      <c r="G581">
        <v>2</v>
      </c>
      <c r="H581" t="s">
        <v>72</v>
      </c>
      <c r="I581" t="s">
        <v>75</v>
      </c>
      <c r="J581" t="s">
        <v>95</v>
      </c>
      <c r="K581" t="s">
        <v>79</v>
      </c>
      <c r="L581" t="s">
        <v>79</v>
      </c>
      <c r="M581">
        <v>2.3136527338208008</v>
      </c>
      <c r="N581" s="5">
        <v>44939</v>
      </c>
      <c r="O581" s="5">
        <v>44967</v>
      </c>
      <c r="P581">
        <v>0.8</v>
      </c>
      <c r="Q581" s="4">
        <v>125</v>
      </c>
      <c r="R581">
        <v>0.37</v>
      </c>
      <c r="S581" t="s">
        <v>70</v>
      </c>
      <c r="T581" s="6">
        <v>6</v>
      </c>
      <c r="U581" s="5">
        <v>45107</v>
      </c>
      <c r="V581" s="6">
        <v>1</v>
      </c>
      <c r="W581" t="s">
        <v>86</v>
      </c>
      <c r="X581" s="6">
        <v>140</v>
      </c>
      <c r="Y581">
        <v>26.98658</v>
      </c>
      <c r="Z581">
        <v>13.49329</v>
      </c>
      <c r="AA581" s="6">
        <v>33.186013196188625</v>
      </c>
      <c r="AB581" s="4">
        <v>111.94712499999999</v>
      </c>
      <c r="AC581" s="6">
        <v>30.133176711773526</v>
      </c>
      <c r="AD581">
        <v>0.28307142899999999</v>
      </c>
      <c r="AE581">
        <v>1.7165232078133932</v>
      </c>
      <c r="AF581">
        <v>45815</v>
      </c>
      <c r="AG581" s="4">
        <v>4800</v>
      </c>
      <c r="AH581" s="4">
        <v>106000</v>
      </c>
      <c r="AI581" t="s">
        <v>98</v>
      </c>
      <c r="AJ581" t="s">
        <v>98</v>
      </c>
      <c r="AK581" t="s">
        <v>148</v>
      </c>
      <c r="AL581">
        <v>25</v>
      </c>
      <c r="AM581">
        <v>5.1085099999999999</v>
      </c>
      <c r="AN581" t="s">
        <v>81</v>
      </c>
      <c r="AO581" t="s">
        <v>144</v>
      </c>
      <c r="AP581" s="5">
        <v>44967</v>
      </c>
      <c r="AQ581" t="s">
        <v>94</v>
      </c>
      <c r="AR581" s="5">
        <v>45106</v>
      </c>
      <c r="AS581">
        <v>204.36191544093398</v>
      </c>
      <c r="AT581" s="6"/>
      <c r="AU581">
        <v>13.339963789409405</v>
      </c>
      <c r="AV581">
        <v>58.698491991204513</v>
      </c>
      <c r="AW581">
        <v>25.781097493643141</v>
      </c>
      <c r="AX581">
        <v>97.819553274257061</v>
      </c>
      <c r="AY581">
        <v>11.213773290279837</v>
      </c>
      <c r="AZ581">
        <v>20.862170011909623</v>
      </c>
      <c r="BA581">
        <v>3.7045798319016341</v>
      </c>
      <c r="BB581">
        <v>3.0502031009486936</v>
      </c>
      <c r="BC581">
        <v>8.1775226797912115</v>
      </c>
      <c r="BD581">
        <v>47.008248914830993</v>
      </c>
      <c r="BE581">
        <v>59.53411325184593</v>
      </c>
      <c r="BF581">
        <v>0.97215949557150261</v>
      </c>
      <c r="BG581">
        <v>1.5749642970691358</v>
      </c>
      <c r="BH581">
        <v>2.5471237926406385</v>
      </c>
      <c r="BI581">
        <v>147.37492598172869</v>
      </c>
      <c r="BJ581" s="6">
        <v>191</v>
      </c>
      <c r="BK581">
        <v>56.986989459205283</v>
      </c>
      <c r="BL581" s="4">
        <v>1537.8839500000001</v>
      </c>
      <c r="BM581" t="s">
        <v>598</v>
      </c>
      <c r="BN581" t="s">
        <v>65</v>
      </c>
      <c r="BO581">
        <v>6</v>
      </c>
      <c r="BP581">
        <v>2023</v>
      </c>
      <c r="BQ581" t="str">
        <f t="shared" si="46"/>
        <v>Laemsing6</v>
      </c>
      <c r="BR581">
        <f t="shared" si="47"/>
        <v>1177.2915500000001</v>
      </c>
      <c r="BS581">
        <f t="shared" si="48"/>
        <v>5515.0291800000005</v>
      </c>
      <c r="BT581" s="6">
        <f t="shared" si="49"/>
        <v>43.625074018271306</v>
      </c>
    </row>
    <row r="582" spans="1:72">
      <c r="A582" s="3" t="s">
        <v>113</v>
      </c>
      <c r="B582" s="3" t="s">
        <v>567</v>
      </c>
      <c r="C582" s="3" t="s">
        <v>590</v>
      </c>
      <c r="D582" s="2" t="s">
        <v>599</v>
      </c>
      <c r="E582" s="4" t="str">
        <f t="shared" si="45"/>
        <v>LaemsingA1-026-0015</v>
      </c>
      <c r="F582">
        <v>2.2000000000000002</v>
      </c>
      <c r="G582">
        <v>1.5</v>
      </c>
      <c r="H582" t="s">
        <v>72</v>
      </c>
      <c r="I582" t="s">
        <v>75</v>
      </c>
      <c r="J582" t="s">
        <v>95</v>
      </c>
      <c r="K582" t="s">
        <v>79</v>
      </c>
      <c r="L582" t="s">
        <v>79</v>
      </c>
      <c r="M582">
        <v>2.5784900018688095</v>
      </c>
      <c r="N582" s="5">
        <v>44885</v>
      </c>
      <c r="O582" s="5">
        <v>44899</v>
      </c>
      <c r="P582">
        <v>0.66</v>
      </c>
      <c r="Q582" s="4">
        <v>125</v>
      </c>
      <c r="R582">
        <v>0.4</v>
      </c>
      <c r="S582" t="s">
        <v>70</v>
      </c>
      <c r="T582" s="6">
        <v>3</v>
      </c>
      <c r="U582" s="5">
        <v>45024</v>
      </c>
      <c r="V582" s="6">
        <v>1</v>
      </c>
      <c r="W582" t="s">
        <v>86</v>
      </c>
      <c r="X582" s="6">
        <v>125.00000000000001</v>
      </c>
      <c r="Y582">
        <v>22.607689999999998</v>
      </c>
      <c r="Z582">
        <v>10.276222727272726</v>
      </c>
      <c r="AA582" s="6">
        <v>31.379278466751803</v>
      </c>
      <c r="AB582" s="4">
        <v>107.48681818181818</v>
      </c>
      <c r="AC582" s="6">
        <v>31.868164242831746</v>
      </c>
      <c r="AD582">
        <v>0.282514286</v>
      </c>
      <c r="AE582">
        <v>1.9158876622437924</v>
      </c>
      <c r="AF582">
        <v>42808</v>
      </c>
      <c r="AG582" s="4">
        <v>0</v>
      </c>
      <c r="AH582" s="4">
        <v>110380</v>
      </c>
      <c r="AI582" t="s">
        <v>98</v>
      </c>
      <c r="AJ582" t="s">
        <v>98</v>
      </c>
      <c r="AK582" t="s">
        <v>116</v>
      </c>
      <c r="AL582">
        <v>28</v>
      </c>
      <c r="AM582">
        <v>14.55292</v>
      </c>
      <c r="AN582" t="s">
        <v>81</v>
      </c>
      <c r="AO582" t="s">
        <v>123</v>
      </c>
      <c r="AP582" s="5">
        <v>44900</v>
      </c>
      <c r="AQ582" t="s">
        <v>144</v>
      </c>
      <c r="AR582" s="5">
        <v>45023</v>
      </c>
      <c r="AS582">
        <v>252.86218008120244</v>
      </c>
      <c r="AT582" s="6"/>
      <c r="AU582">
        <v>11.677442498548061</v>
      </c>
      <c r="AV582">
        <v>65.129290077845198</v>
      </c>
      <c r="AW582">
        <v>24.595504892361856</v>
      </c>
      <c r="AX582">
        <v>101.4022374687551</v>
      </c>
      <c r="AY582">
        <v>13.512906006761417</v>
      </c>
      <c r="AZ582">
        <v>22.063638522998147</v>
      </c>
      <c r="BA582">
        <v>6.0312451205762283</v>
      </c>
      <c r="BB582">
        <v>6.3091846181542657</v>
      </c>
      <c r="BC582">
        <v>9.0727898339016502</v>
      </c>
      <c r="BD582">
        <v>56.989764102391717</v>
      </c>
      <c r="BE582">
        <v>94.470178510055604</v>
      </c>
      <c r="BF582">
        <v>1.4950120954418606</v>
      </c>
      <c r="BG582">
        <v>2.1129133493957144</v>
      </c>
      <c r="BH582">
        <v>3.6079254448375746</v>
      </c>
      <c r="BI582">
        <v>161.99992701598435</v>
      </c>
      <c r="BJ582" s="6">
        <v>194</v>
      </c>
      <c r="BK582">
        <v>90.86225306521807</v>
      </c>
      <c r="BL582" s="4">
        <v>2054.1856499999999</v>
      </c>
      <c r="BM582" t="s">
        <v>600</v>
      </c>
      <c r="BN582" t="s">
        <v>65</v>
      </c>
      <c r="BO582">
        <v>4</v>
      </c>
      <c r="BP582">
        <v>2023</v>
      </c>
      <c r="BQ582" t="str">
        <f t="shared" si="46"/>
        <v>Laemsing4</v>
      </c>
      <c r="BR582">
        <f t="shared" si="47"/>
        <v>723.44773000000055</v>
      </c>
      <c r="BS582">
        <f t="shared" si="48"/>
        <v>5716.6297799999993</v>
      </c>
      <c r="BT582" s="6">
        <f t="shared" si="49"/>
        <v>32.000072984015645</v>
      </c>
    </row>
    <row r="583" spans="1:72">
      <c r="A583" s="3" t="s">
        <v>113</v>
      </c>
      <c r="B583" s="3" t="s">
        <v>567</v>
      </c>
      <c r="C583" s="3" t="s">
        <v>590</v>
      </c>
      <c r="D583" s="2" t="s">
        <v>2863</v>
      </c>
      <c r="E583" s="4" t="str">
        <f t="shared" si="45"/>
        <v>LaemsingA1-018-0025</v>
      </c>
      <c r="F583">
        <v>2</v>
      </c>
      <c r="G583">
        <v>2</v>
      </c>
      <c r="H583" t="s">
        <v>72</v>
      </c>
      <c r="I583" t="s">
        <v>75</v>
      </c>
      <c r="J583" t="s">
        <v>95</v>
      </c>
      <c r="K583" t="s">
        <v>79</v>
      </c>
      <c r="L583" t="s">
        <v>79</v>
      </c>
      <c r="M583">
        <v>2.6560682435052345</v>
      </c>
      <c r="N583" s="5">
        <v>44885</v>
      </c>
      <c r="O583" s="5">
        <v>44903</v>
      </c>
      <c r="P583">
        <v>0.7</v>
      </c>
      <c r="Q583" s="4">
        <v>109</v>
      </c>
      <c r="R583">
        <v>0.25</v>
      </c>
      <c r="S583" t="s">
        <v>70</v>
      </c>
      <c r="T583" s="6"/>
      <c r="U583" s="5">
        <v>44938</v>
      </c>
      <c r="V583" s="6">
        <v>3</v>
      </c>
      <c r="W583" t="s">
        <v>2831</v>
      </c>
      <c r="X583" s="6"/>
      <c r="AA583" s="6"/>
      <c r="AB583" s="4"/>
      <c r="AC583" s="6"/>
      <c r="AF583">
        <v>2579</v>
      </c>
      <c r="AG583" s="4">
        <v>4800</v>
      </c>
      <c r="AH583" s="4">
        <v>6850</v>
      </c>
      <c r="AI583" t="s">
        <v>98</v>
      </c>
      <c r="AJ583" t="s">
        <v>98</v>
      </c>
      <c r="AK583" t="s">
        <v>131</v>
      </c>
      <c r="AN583" t="s">
        <v>98</v>
      </c>
      <c r="AO583" t="s">
        <v>123</v>
      </c>
      <c r="AP583" s="5">
        <v>44904</v>
      </c>
      <c r="AQ583" t="s">
        <v>127</v>
      </c>
      <c r="AR583" s="5">
        <v>44938</v>
      </c>
      <c r="AT583" s="6"/>
      <c r="BJ583" s="6"/>
      <c r="BL583" s="4">
        <v>-1112.3072400000001</v>
      </c>
      <c r="BM583" t="s">
        <v>2864</v>
      </c>
      <c r="BN583" t="s">
        <v>65</v>
      </c>
      <c r="BO583">
        <v>1</v>
      </c>
      <c r="BP583">
        <v>2023</v>
      </c>
      <c r="BQ583" t="str">
        <f t="shared" si="46"/>
        <v>Laemsing1</v>
      </c>
      <c r="BR583">
        <f t="shared" si="47"/>
        <v>0</v>
      </c>
      <c r="BS583">
        <f t="shared" si="48"/>
        <v>0</v>
      </c>
      <c r="BT583" s="6">
        <f t="shared" si="49"/>
        <v>0</v>
      </c>
    </row>
    <row r="584" spans="1:72">
      <c r="A584" s="3" t="s">
        <v>113</v>
      </c>
      <c r="B584" s="3" t="s">
        <v>567</v>
      </c>
      <c r="C584" s="3" t="s">
        <v>569</v>
      </c>
      <c r="D584" s="2" t="s">
        <v>588</v>
      </c>
      <c r="E584" s="4" t="str">
        <f t="shared" si="45"/>
        <v>LaemsingB1-028-0014</v>
      </c>
      <c r="F584">
        <v>2.1</v>
      </c>
      <c r="G584">
        <v>2</v>
      </c>
      <c r="H584" t="s">
        <v>72</v>
      </c>
      <c r="I584" t="s">
        <v>75</v>
      </c>
      <c r="J584" t="s">
        <v>95</v>
      </c>
      <c r="K584" t="s">
        <v>79</v>
      </c>
      <c r="L584" t="s">
        <v>79</v>
      </c>
      <c r="M584">
        <v>2.458604066233494</v>
      </c>
      <c r="N584" s="5">
        <v>44950</v>
      </c>
      <c r="O584" s="5">
        <v>44975</v>
      </c>
      <c r="P584">
        <v>0.8</v>
      </c>
      <c r="Q584" s="4">
        <v>119</v>
      </c>
      <c r="R584">
        <v>0.55000000000000004</v>
      </c>
      <c r="S584" t="s">
        <v>70</v>
      </c>
      <c r="T584" s="6">
        <v>5</v>
      </c>
      <c r="U584" s="5">
        <v>45097</v>
      </c>
      <c r="V584" s="6">
        <v>1</v>
      </c>
      <c r="W584" t="s">
        <v>86</v>
      </c>
      <c r="X584" s="6">
        <v>122</v>
      </c>
      <c r="Y584">
        <v>27.468150000000001</v>
      </c>
      <c r="Z584">
        <v>13.080071428571429</v>
      </c>
      <c r="AA584" s="6">
        <v>26.080897330180591</v>
      </c>
      <c r="AB584" s="4">
        <v>89.549250000000001</v>
      </c>
      <c r="AC584" s="6">
        <v>38.342239047228205</v>
      </c>
      <c r="AD584">
        <v>0.36807004500000001</v>
      </c>
      <c r="AE584">
        <v>1.7652090649830765</v>
      </c>
      <c r="AF584">
        <v>47710</v>
      </c>
      <c r="AG584" s="4">
        <v>0</v>
      </c>
      <c r="AH584" s="4">
        <v>117300</v>
      </c>
      <c r="AL584">
        <v>22</v>
      </c>
      <c r="AM584">
        <v>15.193959999999999</v>
      </c>
      <c r="AN584" t="s">
        <v>81</v>
      </c>
      <c r="AO584" t="s">
        <v>116</v>
      </c>
      <c r="AP584" s="5">
        <v>44975</v>
      </c>
      <c r="AQ584" t="s">
        <v>97</v>
      </c>
      <c r="AR584" s="5">
        <v>45096</v>
      </c>
      <c r="AS584">
        <v>247.8761259859146</v>
      </c>
      <c r="AT584" s="6"/>
      <c r="AU584">
        <v>13.106088324113561</v>
      </c>
      <c r="AV584">
        <v>60.011283613931049</v>
      </c>
      <c r="AW584">
        <v>22.88689919051701</v>
      </c>
      <c r="AX584">
        <v>96.004271128561612</v>
      </c>
      <c r="AY584">
        <v>9.5845002302666913</v>
      </c>
      <c r="AZ584">
        <v>21.441261606624401</v>
      </c>
      <c r="BA584">
        <v>3.2407785016464521</v>
      </c>
      <c r="BB584">
        <v>4.7236290030453452</v>
      </c>
      <c r="BC584">
        <v>9.6427808206959664</v>
      </c>
      <c r="BD584">
        <v>48.632950162278853</v>
      </c>
      <c r="BE584">
        <v>103.23890469507413</v>
      </c>
      <c r="BF584">
        <v>2.0731920424200387</v>
      </c>
      <c r="BG584">
        <v>2.3274865617087426</v>
      </c>
      <c r="BH584">
        <v>4.4006786041287818</v>
      </c>
      <c r="BI584">
        <v>149.03789989496926</v>
      </c>
      <c r="BJ584" s="6">
        <v>210</v>
      </c>
      <c r="BK584">
        <v>98.838226090945327</v>
      </c>
      <c r="BL584" s="4">
        <v>2714.9032200000001</v>
      </c>
      <c r="BM584" t="s">
        <v>589</v>
      </c>
      <c r="BN584" t="s">
        <v>65</v>
      </c>
      <c r="BO584">
        <v>6</v>
      </c>
      <c r="BP584">
        <v>2023</v>
      </c>
      <c r="BQ584" t="str">
        <f t="shared" si="46"/>
        <v>Laemsing6</v>
      </c>
      <c r="BR584">
        <f t="shared" si="47"/>
        <v>1674.5161100000003</v>
      </c>
      <c r="BS584">
        <f t="shared" si="48"/>
        <v>6808.6986100000004</v>
      </c>
      <c r="BT584" s="6">
        <f t="shared" si="49"/>
        <v>60.962100105030743</v>
      </c>
    </row>
    <row r="585" spans="1:72">
      <c r="A585" s="3" t="s">
        <v>113</v>
      </c>
      <c r="B585" s="3" t="s">
        <v>567</v>
      </c>
      <c r="C585" s="3" t="s">
        <v>569</v>
      </c>
      <c r="D585" s="2" t="s">
        <v>578</v>
      </c>
      <c r="E585" s="4" t="str">
        <f t="shared" si="45"/>
        <v>LaemsingB1-013-0033</v>
      </c>
      <c r="F585">
        <v>2.1</v>
      </c>
      <c r="G585">
        <v>2</v>
      </c>
      <c r="H585" t="s">
        <v>72</v>
      </c>
      <c r="I585" t="s">
        <v>75</v>
      </c>
      <c r="J585" t="s">
        <v>95</v>
      </c>
      <c r="K585" t="s">
        <v>79</v>
      </c>
      <c r="L585" t="s">
        <v>79</v>
      </c>
      <c r="M585">
        <v>2.5546605293440736</v>
      </c>
      <c r="N585" s="5">
        <v>45018</v>
      </c>
      <c r="O585" s="5">
        <v>45043</v>
      </c>
      <c r="P585">
        <v>0.8</v>
      </c>
      <c r="Q585" s="4">
        <v>119</v>
      </c>
      <c r="R585">
        <v>0.65</v>
      </c>
      <c r="S585" t="s">
        <v>70</v>
      </c>
      <c r="T585" s="6">
        <v>4</v>
      </c>
      <c r="U585" s="5">
        <v>45118</v>
      </c>
      <c r="V585" s="6">
        <v>1</v>
      </c>
      <c r="W585" t="s">
        <v>86</v>
      </c>
      <c r="X585" s="6">
        <v>75</v>
      </c>
      <c r="Y585">
        <v>13.62365</v>
      </c>
      <c r="Z585">
        <v>6.4874523809523801</v>
      </c>
      <c r="AA585" s="6">
        <v>40.990556862514822</v>
      </c>
      <c r="AB585" s="4">
        <v>69.805125000000004</v>
      </c>
      <c r="AC585" s="6">
        <v>24.395862767955787</v>
      </c>
      <c r="AD585">
        <v>0.351693694</v>
      </c>
      <c r="AE585">
        <v>1.6579350028427196</v>
      </c>
      <c r="AF585">
        <v>21725</v>
      </c>
      <c r="AG585" s="4">
        <v>0</v>
      </c>
      <c r="AH585" s="4">
        <v>55500</v>
      </c>
      <c r="AI585" t="s">
        <v>98</v>
      </c>
      <c r="AJ585" t="s">
        <v>98</v>
      </c>
      <c r="AK585" t="s">
        <v>579</v>
      </c>
      <c r="AL585">
        <v>37.000000000000007</v>
      </c>
      <c r="AM585">
        <v>3.9471500000000002</v>
      </c>
      <c r="AN585" t="s">
        <v>98</v>
      </c>
      <c r="AO585" t="s">
        <v>134</v>
      </c>
      <c r="AP585" s="5">
        <v>45043</v>
      </c>
      <c r="AQ585" t="s">
        <v>94</v>
      </c>
      <c r="AR585" s="5">
        <v>45117</v>
      </c>
      <c r="AS585">
        <v>159.24583426614745</v>
      </c>
      <c r="AT585" s="6"/>
      <c r="AU585">
        <v>29.36070729943884</v>
      </c>
      <c r="AV585">
        <v>54.425400681902438</v>
      </c>
      <c r="AW585">
        <v>29.699874849985147</v>
      </c>
      <c r="AX585">
        <v>113.48598283132642</v>
      </c>
      <c r="AY585">
        <v>14.399834112003759</v>
      </c>
      <c r="AZ585">
        <v>28.246215221324682</v>
      </c>
      <c r="BA585">
        <v>4.900026791645411</v>
      </c>
      <c r="BB585">
        <v>7.0275454815706508</v>
      </c>
      <c r="BC585">
        <v>14.123200463899176</v>
      </c>
      <c r="BD585">
        <v>68.696822070443687</v>
      </c>
      <c r="BE585">
        <v>-22.936970635622657</v>
      </c>
      <c r="BF585">
        <v>2.4564555020130436</v>
      </c>
      <c r="BG585">
        <v>3.4920215948002191</v>
      </c>
      <c r="BH585">
        <v>5.9484770968132628</v>
      </c>
      <c r="BI585">
        <v>188.13128199858335</v>
      </c>
      <c r="BJ585" s="6">
        <v>181</v>
      </c>
      <c r="BK585">
        <v>-28.885447732435875</v>
      </c>
      <c r="BL585" s="4">
        <v>-393.52522999999997</v>
      </c>
      <c r="BM585" t="s">
        <v>580</v>
      </c>
      <c r="BN585" t="s">
        <v>65</v>
      </c>
      <c r="BO585">
        <v>7</v>
      </c>
      <c r="BP585">
        <v>2023</v>
      </c>
      <c r="BQ585" t="str">
        <f t="shared" si="46"/>
        <v>Laemsing7</v>
      </c>
      <c r="BR585">
        <f t="shared" si="47"/>
        <v>-97.154090000000011</v>
      </c>
      <c r="BS585">
        <f t="shared" si="48"/>
        <v>2169.5095099999999</v>
      </c>
      <c r="BT585" s="6">
        <f t="shared" si="49"/>
        <v>-7.1312819985833471</v>
      </c>
    </row>
    <row r="586" spans="1:72">
      <c r="A586" s="3" t="s">
        <v>113</v>
      </c>
      <c r="B586" s="3" t="s">
        <v>567</v>
      </c>
      <c r="C586" s="3" t="s">
        <v>569</v>
      </c>
      <c r="D586" s="2" t="s">
        <v>576</v>
      </c>
      <c r="E586" s="4" t="str">
        <f t="shared" si="45"/>
        <v>LaemsingB1-027-0015</v>
      </c>
      <c r="F586">
        <v>2.1</v>
      </c>
      <c r="G586">
        <v>1.5</v>
      </c>
      <c r="H586" t="s">
        <v>72</v>
      </c>
      <c r="I586" t="s">
        <v>75</v>
      </c>
      <c r="J586" t="s">
        <v>95</v>
      </c>
      <c r="K586" t="s">
        <v>79</v>
      </c>
      <c r="L586" t="s">
        <v>79</v>
      </c>
      <c r="M586">
        <v>2.5242270419935395</v>
      </c>
      <c r="N586" s="5">
        <v>45023</v>
      </c>
      <c r="O586" s="5">
        <v>45040</v>
      </c>
      <c r="P586">
        <v>0.7</v>
      </c>
      <c r="Q586" s="4">
        <v>139</v>
      </c>
      <c r="R586">
        <v>0.44400000000000001</v>
      </c>
      <c r="S586" t="s">
        <v>70</v>
      </c>
      <c r="T586" s="6">
        <v>3</v>
      </c>
      <c r="U586" s="5">
        <v>45115</v>
      </c>
      <c r="V586" s="6">
        <v>1</v>
      </c>
      <c r="W586" t="s">
        <v>86</v>
      </c>
      <c r="X586" s="6">
        <v>75</v>
      </c>
      <c r="Y586">
        <v>14.876139999999999</v>
      </c>
      <c r="Z586">
        <v>7.0838761904761895</v>
      </c>
      <c r="AA586" s="6">
        <v>41.024284525421244</v>
      </c>
      <c r="AB586" s="4">
        <v>87.183285714285716</v>
      </c>
      <c r="AC586" s="6">
        <v>24.375805978537826</v>
      </c>
      <c r="AD586">
        <v>0.344957193</v>
      </c>
      <c r="AE586">
        <v>1.4877989500959139</v>
      </c>
      <c r="AF586">
        <v>21670</v>
      </c>
      <c r="AG586" s="4">
        <v>0</v>
      </c>
      <c r="AH586" s="4">
        <v>54700</v>
      </c>
      <c r="AL586">
        <v>38</v>
      </c>
      <c r="AM586">
        <v>4.4986699999999997</v>
      </c>
      <c r="AN586" t="s">
        <v>126</v>
      </c>
      <c r="AO586" t="s">
        <v>134</v>
      </c>
      <c r="AP586" s="5">
        <v>45041</v>
      </c>
      <c r="AQ586" t="s">
        <v>93</v>
      </c>
      <c r="AR586" s="5">
        <v>45114</v>
      </c>
      <c r="AS586">
        <v>158.892288590992</v>
      </c>
      <c r="AT586" s="6"/>
      <c r="AU586">
        <v>21.174847776372101</v>
      </c>
      <c r="AV586">
        <v>49.760951429604724</v>
      </c>
      <c r="AW586">
        <v>25.661716681881195</v>
      </c>
      <c r="AX586">
        <v>96.597515887858023</v>
      </c>
      <c r="AY586">
        <v>12.011597094407554</v>
      </c>
      <c r="AZ586">
        <v>23.453133675805688</v>
      </c>
      <c r="BA586">
        <v>3.8694116887848597</v>
      </c>
      <c r="BB586">
        <v>5.8698681243924833</v>
      </c>
      <c r="BC586">
        <v>11.754214466924886</v>
      </c>
      <c r="BD586">
        <v>56.958225050315477</v>
      </c>
      <c r="BE586">
        <v>5.3365476528184956</v>
      </c>
      <c r="BF586">
        <v>2.0329561297487118</v>
      </c>
      <c r="BG586">
        <v>2.8821105474941753</v>
      </c>
      <c r="BH586">
        <v>4.915066677242887</v>
      </c>
      <c r="BI586">
        <v>158.47080761541636</v>
      </c>
      <c r="BJ586" s="6">
        <v>181</v>
      </c>
      <c r="BK586">
        <v>0.42148097557563835</v>
      </c>
      <c r="BL586" s="4">
        <v>6.2700099999997763</v>
      </c>
      <c r="BM586" t="s">
        <v>577</v>
      </c>
      <c r="BN586" t="s">
        <v>65</v>
      </c>
      <c r="BO586">
        <v>7</v>
      </c>
      <c r="BP586">
        <v>2023</v>
      </c>
      <c r="BQ586" t="str">
        <f t="shared" si="46"/>
        <v>Laemsing7</v>
      </c>
      <c r="BR586">
        <f t="shared" si="47"/>
        <v>335.14742000000001</v>
      </c>
      <c r="BS586">
        <f t="shared" si="48"/>
        <v>2363.7039299999997</v>
      </c>
      <c r="BT586" s="6">
        <f t="shared" si="49"/>
        <v>22.529192384583638</v>
      </c>
    </row>
    <row r="587" spans="1:72">
      <c r="A587" s="3" t="s">
        <v>113</v>
      </c>
      <c r="B587" s="3" t="s">
        <v>567</v>
      </c>
      <c r="C587" s="3" t="s">
        <v>569</v>
      </c>
      <c r="D587" s="2" t="s">
        <v>583</v>
      </c>
      <c r="E587" s="4" t="str">
        <f t="shared" si="45"/>
        <v>LaemsingB1-006-0040</v>
      </c>
      <c r="F587">
        <v>3</v>
      </c>
      <c r="G587">
        <v>1.5</v>
      </c>
      <c r="H587" t="s">
        <v>72</v>
      </c>
      <c r="I587" t="s">
        <v>75</v>
      </c>
      <c r="J587" t="s">
        <v>95</v>
      </c>
      <c r="K587" t="s">
        <v>79</v>
      </c>
      <c r="L587" t="s">
        <v>79</v>
      </c>
      <c r="M587">
        <v>2.6809388196012964</v>
      </c>
      <c r="N587" s="5">
        <v>44864</v>
      </c>
      <c r="O587" s="5">
        <v>44892</v>
      </c>
      <c r="P587">
        <v>0.6</v>
      </c>
      <c r="Q587" s="4">
        <v>83</v>
      </c>
      <c r="R587">
        <v>0.3</v>
      </c>
      <c r="S587" t="s">
        <v>70</v>
      </c>
      <c r="T587" s="6">
        <v>2</v>
      </c>
      <c r="U587" s="5">
        <v>44997</v>
      </c>
      <c r="V587" s="6">
        <v>1</v>
      </c>
      <c r="W587" t="s">
        <v>86</v>
      </c>
      <c r="X587" s="6">
        <v>105</v>
      </c>
      <c r="Y587">
        <v>20.650500000000001</v>
      </c>
      <c r="Z587">
        <v>6.8835000000000006</v>
      </c>
      <c r="AA587" s="6">
        <v>31.675649500012106</v>
      </c>
      <c r="AB587" s="4">
        <v>109.01966666666667</v>
      </c>
      <c r="AC587" s="6">
        <v>31.569991958637431</v>
      </c>
      <c r="AD587">
        <v>0.304362519</v>
      </c>
      <c r="AE587">
        <v>1.4923426394079284</v>
      </c>
      <c r="AF587">
        <v>30549</v>
      </c>
      <c r="AG587" s="4">
        <v>0</v>
      </c>
      <c r="AH587" s="4">
        <v>81900</v>
      </c>
      <c r="AL587">
        <v>31</v>
      </c>
      <c r="AM587">
        <v>17.169990000000002</v>
      </c>
      <c r="AN587" t="s">
        <v>77</v>
      </c>
      <c r="AO587" t="s">
        <v>136</v>
      </c>
      <c r="AP587" s="5">
        <v>44893</v>
      </c>
      <c r="AQ587" t="s">
        <v>127</v>
      </c>
      <c r="AR587" s="5">
        <v>44996</v>
      </c>
      <c r="AS587">
        <v>253.05815985085107</v>
      </c>
      <c r="AT587" s="6"/>
      <c r="AU587">
        <v>11.621994624827487</v>
      </c>
      <c r="AV587">
        <v>50.330664632817609</v>
      </c>
      <c r="AW587">
        <v>33.474670831214723</v>
      </c>
      <c r="AX587">
        <v>95.427330088859833</v>
      </c>
      <c r="AY587">
        <v>19.202407205636664</v>
      </c>
      <c r="AZ587">
        <v>29.347635166218744</v>
      </c>
      <c r="BA587">
        <v>13.509869978935136</v>
      </c>
      <c r="BB587">
        <v>17.086610493692646</v>
      </c>
      <c r="BC587">
        <v>17.267597394736207</v>
      </c>
      <c r="BD587">
        <v>96.414120239219386</v>
      </c>
      <c r="BE587">
        <v>61.216709522771851</v>
      </c>
      <c r="BF587">
        <v>6.6982073073291213</v>
      </c>
      <c r="BG587">
        <v>5.2210677707561564</v>
      </c>
      <c r="BH587">
        <v>11.919275078085278</v>
      </c>
      <c r="BI587">
        <v>203.76072540616451</v>
      </c>
      <c r="BJ587" s="6">
        <v>194</v>
      </c>
      <c r="BK587">
        <v>49.297434444686566</v>
      </c>
      <c r="BL587" s="4">
        <v>1018.01667</v>
      </c>
      <c r="BM587" t="s">
        <v>570</v>
      </c>
      <c r="BN587" t="s">
        <v>65</v>
      </c>
      <c r="BO587">
        <v>3</v>
      </c>
      <c r="BP587">
        <v>2023</v>
      </c>
      <c r="BQ587" t="str">
        <f t="shared" si="46"/>
        <v>Laemsing3</v>
      </c>
      <c r="BR587">
        <f t="shared" si="47"/>
        <v>-201.56386000000023</v>
      </c>
      <c r="BS587">
        <f t="shared" si="48"/>
        <v>5225.7775300000003</v>
      </c>
      <c r="BT587" s="6">
        <f t="shared" si="49"/>
        <v>-9.7607254061645108</v>
      </c>
    </row>
    <row r="588" spans="1:72">
      <c r="A588" s="3" t="s">
        <v>113</v>
      </c>
      <c r="B588" s="3" t="s">
        <v>567</v>
      </c>
      <c r="C588" s="3" t="s">
        <v>569</v>
      </c>
      <c r="D588" s="2" t="s">
        <v>584</v>
      </c>
      <c r="E588" s="4" t="str">
        <f t="shared" si="45"/>
        <v>LaemsingB1-027-0014</v>
      </c>
      <c r="F588">
        <v>2.1</v>
      </c>
      <c r="G588">
        <v>1.5</v>
      </c>
      <c r="H588" t="s">
        <v>72</v>
      </c>
      <c r="I588" t="s">
        <v>75</v>
      </c>
      <c r="J588" t="s">
        <v>95</v>
      </c>
      <c r="K588" t="s">
        <v>79</v>
      </c>
      <c r="L588" t="s">
        <v>79</v>
      </c>
      <c r="M588">
        <v>2.424313817881965</v>
      </c>
      <c r="N588" s="5">
        <v>44864</v>
      </c>
      <c r="O588" s="5">
        <v>44890</v>
      </c>
      <c r="P588">
        <v>0.7</v>
      </c>
      <c r="Q588" s="4">
        <v>139</v>
      </c>
      <c r="R588">
        <v>0.35</v>
      </c>
      <c r="S588" t="s">
        <v>70</v>
      </c>
      <c r="T588" s="6">
        <v>4</v>
      </c>
      <c r="U588" s="5">
        <v>45022</v>
      </c>
      <c r="V588" s="6">
        <v>1</v>
      </c>
      <c r="W588" t="s">
        <v>86</v>
      </c>
      <c r="X588" s="6">
        <v>132</v>
      </c>
      <c r="Y588">
        <v>25.74925</v>
      </c>
      <c r="Z588">
        <v>12.261547619047619</v>
      </c>
      <c r="AA588" s="6">
        <v>28.721341398293156</v>
      </c>
      <c r="AB588" s="4">
        <v>105.65042857142856</v>
      </c>
      <c r="AC588" s="6">
        <v>34.817315324256676</v>
      </c>
      <c r="AD588">
        <v>0.30037878800000001</v>
      </c>
      <c r="AE588">
        <v>1.6642324318495938</v>
      </c>
      <c r="AF588">
        <v>42445</v>
      </c>
      <c r="AG588" s="4">
        <v>5040</v>
      </c>
      <c r="AH588" s="4">
        <v>102900</v>
      </c>
      <c r="AL588">
        <v>25</v>
      </c>
      <c r="AM588">
        <v>12.80189</v>
      </c>
      <c r="AN588" t="s">
        <v>81</v>
      </c>
      <c r="AO588" t="s">
        <v>136</v>
      </c>
      <c r="AP588" s="5">
        <v>44890</v>
      </c>
      <c r="AQ588" t="s">
        <v>134</v>
      </c>
      <c r="AR588" s="5">
        <v>45021</v>
      </c>
      <c r="AS588">
        <v>270.0729974659456</v>
      </c>
      <c r="AT588" s="6"/>
      <c r="AU588">
        <v>10.874103129217357</v>
      </c>
      <c r="AV588">
        <v>56.410138547724692</v>
      </c>
      <c r="AW588">
        <v>25.453690495839687</v>
      </c>
      <c r="AX588">
        <v>92.73793217278174</v>
      </c>
      <c r="AY588">
        <v>12.453447770323407</v>
      </c>
      <c r="AZ588">
        <v>20.710999349495616</v>
      </c>
      <c r="BA588">
        <v>8.2487672456479348</v>
      </c>
      <c r="BB588">
        <v>10.115961435769975</v>
      </c>
      <c r="BC588">
        <v>11.441856753109315</v>
      </c>
      <c r="BD588">
        <v>62.971032554346245</v>
      </c>
      <c r="BE588">
        <v>114.36403273881763</v>
      </c>
      <c r="BF588">
        <v>4.1706189500665074</v>
      </c>
      <c r="BG588">
        <v>3.3547330504771984</v>
      </c>
      <c r="BH588">
        <v>7.5253520005437071</v>
      </c>
      <c r="BI588">
        <v>163.23431672767165</v>
      </c>
      <c r="BJ588" s="6">
        <v>204</v>
      </c>
      <c r="BK588">
        <v>106.83868073827395</v>
      </c>
      <c r="BL588" s="4">
        <v>2751.0159000000003</v>
      </c>
      <c r="BM588" t="s">
        <v>585</v>
      </c>
      <c r="BN588" t="s">
        <v>65</v>
      </c>
      <c r="BO588">
        <v>4</v>
      </c>
      <c r="BP588">
        <v>2023</v>
      </c>
      <c r="BQ588" t="str">
        <f t="shared" si="46"/>
        <v>Laemsing4</v>
      </c>
      <c r="BR588">
        <f t="shared" si="47"/>
        <v>1049.6857700000007</v>
      </c>
      <c r="BS588">
        <f t="shared" si="48"/>
        <v>6954.17713</v>
      </c>
      <c r="BT588" s="6">
        <f t="shared" si="49"/>
        <v>40.765683272328346</v>
      </c>
    </row>
    <row r="589" spans="1:72">
      <c r="A589" s="3" t="s">
        <v>113</v>
      </c>
      <c r="B589" s="3" t="s">
        <v>567</v>
      </c>
      <c r="C589" s="3" t="s">
        <v>569</v>
      </c>
      <c r="D589" s="2" t="s">
        <v>581</v>
      </c>
      <c r="E589" s="4" t="str">
        <f t="shared" si="45"/>
        <v>LaemsingB1-012-0030</v>
      </c>
      <c r="F589">
        <v>1.6</v>
      </c>
      <c r="G589">
        <v>2</v>
      </c>
      <c r="H589" t="s">
        <v>72</v>
      </c>
      <c r="I589" t="s">
        <v>75</v>
      </c>
      <c r="J589" t="s">
        <v>95</v>
      </c>
      <c r="K589" t="s">
        <v>79</v>
      </c>
      <c r="L589" t="s">
        <v>79</v>
      </c>
      <c r="M589">
        <v>2.5405405405405403</v>
      </c>
      <c r="N589" s="5">
        <v>44919</v>
      </c>
      <c r="O589" s="5">
        <v>44944</v>
      </c>
      <c r="P589">
        <v>1</v>
      </c>
      <c r="Q589" s="4">
        <v>195</v>
      </c>
      <c r="R589">
        <v>0.28999999999999998</v>
      </c>
      <c r="S589" t="s">
        <v>70</v>
      </c>
      <c r="T589" s="6">
        <v>6</v>
      </c>
      <c r="U589" s="5">
        <v>45087</v>
      </c>
      <c r="V589" s="6">
        <v>1</v>
      </c>
      <c r="W589" t="s">
        <v>86</v>
      </c>
      <c r="X589" s="6">
        <v>143</v>
      </c>
      <c r="Y589">
        <v>30.421689999999998</v>
      </c>
      <c r="Z589">
        <v>19.013556249999997</v>
      </c>
      <c r="AA589" s="6">
        <v>37.746292201386581</v>
      </c>
      <c r="AB589" s="4">
        <v>114.8306</v>
      </c>
      <c r="AC589" s="6">
        <v>26.492668330566936</v>
      </c>
      <c r="AD589">
        <v>0.28934731899999999</v>
      </c>
      <c r="AE589">
        <v>1.9647030477456029</v>
      </c>
      <c r="AF589">
        <v>59200</v>
      </c>
      <c r="AG589" s="4">
        <v>0</v>
      </c>
      <c r="AH589" s="4">
        <v>150400</v>
      </c>
      <c r="AL589">
        <v>24</v>
      </c>
      <c r="AM589">
        <v>12.619059999999999</v>
      </c>
      <c r="AN589" t="s">
        <v>81</v>
      </c>
      <c r="AO589" t="s">
        <v>144</v>
      </c>
      <c r="AP589" s="5">
        <v>44944</v>
      </c>
      <c r="AQ589" t="s">
        <v>176</v>
      </c>
      <c r="AR589" s="5">
        <v>45086</v>
      </c>
      <c r="AS589">
        <v>219.79766048500258</v>
      </c>
      <c r="AT589" s="6"/>
      <c r="AU589">
        <v>13.148513445505493</v>
      </c>
      <c r="AV589">
        <v>67.881543070092405</v>
      </c>
      <c r="AW589">
        <v>21.92296811912815</v>
      </c>
      <c r="AX589">
        <v>102.95302463472606</v>
      </c>
      <c r="AY589">
        <v>7.3199437638079932</v>
      </c>
      <c r="AZ589">
        <v>16.564250046595049</v>
      </c>
      <c r="BA589">
        <v>2.5509072638633827</v>
      </c>
      <c r="BB589">
        <v>3.810425390568374</v>
      </c>
      <c r="BC589">
        <v>7.4802616159720259</v>
      </c>
      <c r="BD589">
        <v>37.725788080806822</v>
      </c>
      <c r="BE589">
        <v>79.118847769469696</v>
      </c>
      <c r="BF589">
        <v>1.7611299700969929</v>
      </c>
      <c r="BG589">
        <v>1.8291768143058453</v>
      </c>
      <c r="BH589">
        <v>3.5903067844028387</v>
      </c>
      <c r="BI589">
        <v>144.26911949993573</v>
      </c>
      <c r="BJ589" s="6">
        <v>185</v>
      </c>
      <c r="BK589">
        <v>75.528540985066854</v>
      </c>
      <c r="BL589" s="4">
        <v>2297.7058599999987</v>
      </c>
      <c r="BM589" t="s">
        <v>582</v>
      </c>
      <c r="BN589" t="s">
        <v>65</v>
      </c>
      <c r="BO589">
        <v>6</v>
      </c>
      <c r="BP589">
        <v>2023</v>
      </c>
      <c r="BQ589" t="str">
        <f t="shared" si="46"/>
        <v>Laemsing6</v>
      </c>
      <c r="BR589">
        <f t="shared" si="47"/>
        <v>1239.1022200000002</v>
      </c>
      <c r="BS589">
        <f t="shared" si="48"/>
        <v>6686.6162899999981</v>
      </c>
      <c r="BT589" s="6">
        <f t="shared" si="49"/>
        <v>40.730880500064274</v>
      </c>
    </row>
    <row r="590" spans="1:72">
      <c r="A590" s="3" t="s">
        <v>113</v>
      </c>
      <c r="B590" s="3" t="s">
        <v>567</v>
      </c>
      <c r="C590" s="3" t="s">
        <v>569</v>
      </c>
      <c r="D590" s="2" t="s">
        <v>586</v>
      </c>
      <c r="E590" s="4" t="str">
        <f t="shared" si="45"/>
        <v>LaemsingB1-013-0032</v>
      </c>
      <c r="F590">
        <v>2.1</v>
      </c>
      <c r="G590">
        <v>2</v>
      </c>
      <c r="H590" t="s">
        <v>72</v>
      </c>
      <c r="I590" t="s">
        <v>75</v>
      </c>
      <c r="J590" t="s">
        <v>95</v>
      </c>
      <c r="K590" t="s">
        <v>79</v>
      </c>
      <c r="L590" t="s">
        <v>79</v>
      </c>
      <c r="M590">
        <v>2.5462112865711837</v>
      </c>
      <c r="N590" s="5">
        <v>44864</v>
      </c>
      <c r="O590" s="5">
        <v>44884</v>
      </c>
      <c r="P590">
        <v>0.8</v>
      </c>
      <c r="Q590" s="4">
        <v>119</v>
      </c>
      <c r="R590">
        <v>0.35</v>
      </c>
      <c r="S590" t="s">
        <v>70</v>
      </c>
      <c r="T590" s="6">
        <v>2</v>
      </c>
      <c r="U590" s="5">
        <v>45017</v>
      </c>
      <c r="V590" s="6">
        <v>1</v>
      </c>
      <c r="W590" t="s">
        <v>86</v>
      </c>
      <c r="X590" s="6">
        <v>133</v>
      </c>
      <c r="Y590">
        <v>18.02919</v>
      </c>
      <c r="Z590">
        <v>8.5853285714285708</v>
      </c>
      <c r="AA590" s="6">
        <v>28.235600157300468</v>
      </c>
      <c r="AB590" s="4">
        <v>63.633125</v>
      </c>
      <c r="AC590" s="6">
        <v>35.416282792963571</v>
      </c>
      <c r="AD590">
        <v>0.275842384</v>
      </c>
      <c r="AE590">
        <v>1.8409750474526025</v>
      </c>
      <c r="AF590">
        <v>32676</v>
      </c>
      <c r="AG590" s="4">
        <v>5040</v>
      </c>
      <c r="AH590" s="4">
        <v>83200</v>
      </c>
      <c r="AI590" t="s">
        <v>98</v>
      </c>
      <c r="AJ590" t="s">
        <v>98</v>
      </c>
      <c r="AK590" t="s">
        <v>99</v>
      </c>
      <c r="AL590">
        <v>27</v>
      </c>
      <c r="AM590">
        <v>14.3062</v>
      </c>
      <c r="AN590" t="s">
        <v>81</v>
      </c>
      <c r="AO590" t="s">
        <v>131</v>
      </c>
      <c r="AP590" s="5">
        <v>44884</v>
      </c>
      <c r="AQ590" t="s">
        <v>134</v>
      </c>
      <c r="AR590" s="5">
        <v>45016</v>
      </c>
      <c r="AS590">
        <v>247.43344820260921</v>
      </c>
      <c r="AT590" s="6"/>
      <c r="AU590">
        <v>17.748994824504042</v>
      </c>
      <c r="AV590">
        <v>61.6079435626337</v>
      </c>
      <c r="AW590">
        <v>35.504401473388413</v>
      </c>
      <c r="AX590">
        <v>114.86133986052616</v>
      </c>
      <c r="AY590">
        <v>17.307455298879209</v>
      </c>
      <c r="AZ590">
        <v>28.471322338940354</v>
      </c>
      <c r="BA590">
        <v>11.609110559043417</v>
      </c>
      <c r="BB590">
        <v>14.312499896001983</v>
      </c>
      <c r="BC590">
        <v>15.817726697649759</v>
      </c>
      <c r="BD590">
        <v>87.518114790514716</v>
      </c>
      <c r="BE590">
        <v>45.05399355156834</v>
      </c>
      <c r="BF590">
        <v>5.869702410368963</v>
      </c>
      <c r="BG590">
        <v>4.6698132306553983</v>
      </c>
      <c r="BH590">
        <v>10.539515641024362</v>
      </c>
      <c r="BI590">
        <v>212.9189702920653</v>
      </c>
      <c r="BJ590" s="6">
        <v>204</v>
      </c>
      <c r="BK590">
        <v>34.51447791054391</v>
      </c>
      <c r="BL590" s="4">
        <v>622.26807999999915</v>
      </c>
      <c r="BM590" t="s">
        <v>587</v>
      </c>
      <c r="BN590" t="s">
        <v>65</v>
      </c>
      <c r="BO590">
        <v>4</v>
      </c>
      <c r="BP590">
        <v>2023</v>
      </c>
      <c r="BQ590" t="str">
        <f t="shared" si="46"/>
        <v>Laemsing4</v>
      </c>
      <c r="BR590">
        <f t="shared" si="47"/>
        <v>-160.80181000000073</v>
      </c>
      <c r="BS590">
        <f t="shared" si="48"/>
        <v>4461.0246500000003</v>
      </c>
      <c r="BT590" s="6">
        <f t="shared" si="49"/>
        <v>-8.9189702920652962</v>
      </c>
    </row>
    <row r="591" spans="1:72">
      <c r="A591" s="3" t="s">
        <v>113</v>
      </c>
      <c r="B591" s="3" t="s">
        <v>567</v>
      </c>
      <c r="C591" s="3" t="s">
        <v>569</v>
      </c>
      <c r="D591" s="2" t="s">
        <v>573</v>
      </c>
      <c r="E591" s="4" t="str">
        <f t="shared" si="45"/>
        <v>LaemsingB1-028-0013</v>
      </c>
      <c r="F591">
        <v>2.1</v>
      </c>
      <c r="G591">
        <v>2</v>
      </c>
      <c r="H591" t="s">
        <v>72</v>
      </c>
      <c r="I591" t="s">
        <v>75</v>
      </c>
      <c r="J591" t="s">
        <v>95</v>
      </c>
      <c r="K591" t="s">
        <v>79</v>
      </c>
      <c r="L591" t="s">
        <v>79</v>
      </c>
      <c r="M591">
        <v>2.3555804823331465</v>
      </c>
      <c r="N591" s="5">
        <v>44864</v>
      </c>
      <c r="O591" s="5">
        <v>44889</v>
      </c>
      <c r="P591">
        <v>0.8</v>
      </c>
      <c r="Q591" s="4">
        <v>119</v>
      </c>
      <c r="R591">
        <v>0.32</v>
      </c>
      <c r="S591" t="s">
        <v>70</v>
      </c>
      <c r="T591" s="6">
        <v>1</v>
      </c>
      <c r="U591" s="5">
        <v>44949</v>
      </c>
      <c r="V591" s="6">
        <v>2</v>
      </c>
      <c r="W591" t="s">
        <v>71</v>
      </c>
      <c r="X591" s="6">
        <v>60.000000000000007</v>
      </c>
      <c r="Y591">
        <v>11.188079999999999</v>
      </c>
      <c r="Z591">
        <v>5.3276571428571424</v>
      </c>
      <c r="AA591" s="6">
        <v>72.00002145140185</v>
      </c>
      <c r="AB591" s="4">
        <v>100.69275</v>
      </c>
      <c r="AC591" s="6">
        <v>13.888884750888222</v>
      </c>
      <c r="AD591">
        <v>0.22614814799999999</v>
      </c>
      <c r="AE591">
        <v>1.1416575576157002</v>
      </c>
      <c r="AF591">
        <v>12481</v>
      </c>
      <c r="AG591" s="4">
        <v>5040</v>
      </c>
      <c r="AH591" s="4">
        <v>29400</v>
      </c>
      <c r="AI591" t="s">
        <v>100</v>
      </c>
      <c r="AJ591" t="s">
        <v>100</v>
      </c>
      <c r="AK591" t="s">
        <v>574</v>
      </c>
      <c r="AL591">
        <v>72</v>
      </c>
      <c r="AM591">
        <v>11.188079999999999</v>
      </c>
      <c r="AN591" t="s">
        <v>100</v>
      </c>
      <c r="AO591" t="s">
        <v>136</v>
      </c>
      <c r="AP591" s="5">
        <v>44890</v>
      </c>
      <c r="AQ591" t="s">
        <v>127</v>
      </c>
      <c r="AR591" s="5">
        <v>44944</v>
      </c>
      <c r="AS591">
        <v>173.45168250495169</v>
      </c>
      <c r="AT591" s="6"/>
      <c r="AU591">
        <v>28.601869132147787</v>
      </c>
      <c r="AV591">
        <v>35.433607911277008</v>
      </c>
      <c r="AW591">
        <v>29.225384516378142</v>
      </c>
      <c r="AX591">
        <v>93.260861559802933</v>
      </c>
      <c r="AY591">
        <v>17.312972377744885</v>
      </c>
      <c r="AZ591">
        <v>19.370209186920366</v>
      </c>
      <c r="BA591">
        <v>14.314601790477006</v>
      </c>
      <c r="BB591">
        <v>17.179848553102943</v>
      </c>
      <c r="BC591">
        <v>14.824627639416235</v>
      </c>
      <c r="BD591">
        <v>83.002259547661424</v>
      </c>
      <c r="BE591">
        <v>-2.8114386025126663</v>
      </c>
      <c r="BF591">
        <v>6.5431298310344577</v>
      </c>
      <c r="BG591">
        <v>4.8857185504572724</v>
      </c>
      <c r="BH591">
        <v>11.428848381491731</v>
      </c>
      <c r="BI591">
        <v>187.69196948895612</v>
      </c>
      <c r="BJ591" s="6">
        <v>150</v>
      </c>
      <c r="BK591">
        <v>-14.240286984004403</v>
      </c>
      <c r="BL591" s="4">
        <v>-159.32146999999998</v>
      </c>
      <c r="BM591" t="s">
        <v>575</v>
      </c>
      <c r="BN591" t="s">
        <v>65</v>
      </c>
      <c r="BO591">
        <v>1</v>
      </c>
      <c r="BP591">
        <v>2023</v>
      </c>
      <c r="BQ591" t="str">
        <f t="shared" si="46"/>
        <v>Laemsing1</v>
      </c>
      <c r="BR591">
        <f t="shared" si="47"/>
        <v>-421.70077000000015</v>
      </c>
      <c r="BS591">
        <f t="shared" si="48"/>
        <v>1940.5912999999998</v>
      </c>
      <c r="BT591" s="6">
        <f t="shared" si="49"/>
        <v>-37.691969488956119</v>
      </c>
    </row>
    <row r="592" spans="1:72">
      <c r="A592" s="3" t="s">
        <v>113</v>
      </c>
      <c r="B592" s="3" t="s">
        <v>567</v>
      </c>
      <c r="C592" s="3" t="s">
        <v>569</v>
      </c>
      <c r="D592" s="2" t="s">
        <v>571</v>
      </c>
      <c r="E592" s="4" t="str">
        <f t="shared" si="45"/>
        <v>LaemsingB1-012-0031</v>
      </c>
      <c r="F592">
        <v>1.6</v>
      </c>
      <c r="G592">
        <v>2</v>
      </c>
      <c r="H592" t="s">
        <v>72</v>
      </c>
      <c r="I592" t="s">
        <v>75</v>
      </c>
      <c r="J592" t="s">
        <v>95</v>
      </c>
      <c r="K592" t="s">
        <v>79</v>
      </c>
      <c r="L592" t="s">
        <v>79</v>
      </c>
      <c r="M592">
        <v>2.6008230452674899</v>
      </c>
      <c r="N592" s="5">
        <v>45088</v>
      </c>
      <c r="O592" s="5">
        <v>45105</v>
      </c>
      <c r="P592">
        <v>1</v>
      </c>
      <c r="Q592" s="4">
        <v>195</v>
      </c>
      <c r="R592">
        <v>0.41899999999999998</v>
      </c>
      <c r="S592" t="s">
        <v>70</v>
      </c>
      <c r="T592" s="6">
        <v>1</v>
      </c>
      <c r="U592" s="5">
        <v>45134</v>
      </c>
      <c r="V592" s="6">
        <v>2</v>
      </c>
      <c r="W592" t="s">
        <v>71</v>
      </c>
      <c r="X592" s="6">
        <v>29</v>
      </c>
      <c r="Y592">
        <v>5.5980799999999995</v>
      </c>
      <c r="Z592">
        <v>3.4987999999999997</v>
      </c>
      <c r="AA592" s="6">
        <v>155.99991425631646</v>
      </c>
      <c r="AB592" s="4">
        <v>87.33</v>
      </c>
      <c r="AC592" s="6">
        <v>6.4102599335852508</v>
      </c>
      <c r="AD592">
        <v>0.20659504900000003</v>
      </c>
      <c r="AE592">
        <v>1.1729089880546701</v>
      </c>
      <c r="AF592">
        <v>6075</v>
      </c>
      <c r="AG592" s="4">
        <v>0</v>
      </c>
      <c r="AH592" s="4">
        <v>15800</v>
      </c>
      <c r="AL592">
        <v>156</v>
      </c>
      <c r="AM592">
        <v>5.5980799999999995</v>
      </c>
      <c r="AN592" t="s">
        <v>126</v>
      </c>
      <c r="AO592" t="s">
        <v>94</v>
      </c>
      <c r="AP592" s="5">
        <v>45105</v>
      </c>
      <c r="AQ592" t="s">
        <v>438</v>
      </c>
      <c r="AR592" s="5">
        <v>45132</v>
      </c>
      <c r="AS592">
        <v>88.840513175946043</v>
      </c>
      <c r="AT592" s="6"/>
      <c r="AU592">
        <v>80.384703326854932</v>
      </c>
      <c r="AV592">
        <v>38.315836858351439</v>
      </c>
      <c r="AW592">
        <v>35.662841545672791</v>
      </c>
      <c r="AX592">
        <v>154.36338173087918</v>
      </c>
      <c r="AY592">
        <v>15.885857293929348</v>
      </c>
      <c r="AZ592">
        <v>28.579107479707329</v>
      </c>
      <c r="BA592">
        <v>8.8634085257802671</v>
      </c>
      <c r="BB592">
        <v>10.012288141648567</v>
      </c>
      <c r="BC592">
        <v>14.603799874242599</v>
      </c>
      <c r="BD592">
        <v>77.944461315308104</v>
      </c>
      <c r="BE592">
        <v>-143.46732987024126</v>
      </c>
      <c r="BF592">
        <v>2.8018856465073743</v>
      </c>
      <c r="BG592">
        <v>4.1510374985709388</v>
      </c>
      <c r="BH592">
        <v>6.9529231450783131</v>
      </c>
      <c r="BI592">
        <v>239.26076619126556</v>
      </c>
      <c r="BJ592" s="6">
        <v>150</v>
      </c>
      <c r="BK592">
        <v>-150.4202530153195</v>
      </c>
      <c r="BL592" s="4">
        <v>-842.0646099999999</v>
      </c>
      <c r="BM592" t="s">
        <v>572</v>
      </c>
      <c r="BN592" t="s">
        <v>65</v>
      </c>
      <c r="BO592">
        <v>7</v>
      </c>
      <c r="BP592">
        <v>2023</v>
      </c>
      <c r="BQ592" t="str">
        <f t="shared" si="46"/>
        <v>Laemsing7</v>
      </c>
      <c r="BR592">
        <f t="shared" si="47"/>
        <v>-499.68890999999985</v>
      </c>
      <c r="BS592">
        <f t="shared" si="48"/>
        <v>497.33629999999999</v>
      </c>
      <c r="BT592" s="6">
        <f t="shared" si="49"/>
        <v>-89.26076619126556</v>
      </c>
    </row>
    <row r="593" spans="1:72">
      <c r="A593" s="3" t="s">
        <v>113</v>
      </c>
      <c r="B593" s="3" t="s">
        <v>567</v>
      </c>
      <c r="C593" s="3" t="s">
        <v>376</v>
      </c>
      <c r="D593" s="2" t="s">
        <v>609</v>
      </c>
      <c r="E593" s="4" t="str">
        <f t="shared" si="45"/>
        <v>LaemsingB1-006-0041</v>
      </c>
      <c r="F593">
        <v>3</v>
      </c>
      <c r="G593">
        <v>1.5</v>
      </c>
      <c r="H593" t="s">
        <v>72</v>
      </c>
      <c r="I593" t="s">
        <v>75</v>
      </c>
      <c r="J593" t="s">
        <v>95</v>
      </c>
      <c r="K593" t="s">
        <v>79</v>
      </c>
      <c r="L593" t="s">
        <v>79</v>
      </c>
      <c r="M593">
        <v>2.5520337369065431</v>
      </c>
      <c r="N593" s="5">
        <v>44998</v>
      </c>
      <c r="O593" s="5">
        <v>45025</v>
      </c>
      <c r="P593">
        <v>0.65</v>
      </c>
      <c r="Q593" s="4">
        <v>90</v>
      </c>
      <c r="R593">
        <v>0.43</v>
      </c>
      <c r="S593" t="s">
        <v>70</v>
      </c>
      <c r="T593" s="6">
        <v>3</v>
      </c>
      <c r="U593" s="5">
        <v>45139</v>
      </c>
      <c r="V593" s="6">
        <v>1</v>
      </c>
      <c r="W593" t="s">
        <v>86</v>
      </c>
      <c r="X593" s="6">
        <v>114</v>
      </c>
      <c r="Y593">
        <v>17.43066</v>
      </c>
      <c r="Z593">
        <v>5.8102200000000002</v>
      </c>
      <c r="AA593" s="6">
        <v>28.155044043082707</v>
      </c>
      <c r="AB593" s="4">
        <v>75.501692307692309</v>
      </c>
      <c r="AC593" s="6">
        <v>35.517614480368245</v>
      </c>
      <c r="AD593">
        <v>0.361725146</v>
      </c>
      <c r="AE593">
        <v>2.1430087364556951</v>
      </c>
      <c r="AF593">
        <v>36755</v>
      </c>
      <c r="AG593" s="4">
        <v>0</v>
      </c>
      <c r="AH593" s="4">
        <v>93800</v>
      </c>
      <c r="AL593">
        <v>24</v>
      </c>
      <c r="AM593">
        <v>10.76079</v>
      </c>
      <c r="AN593" t="s">
        <v>81</v>
      </c>
      <c r="AO593" t="s">
        <v>144</v>
      </c>
      <c r="AP593" s="5">
        <v>45026</v>
      </c>
      <c r="AQ593" t="s">
        <v>438</v>
      </c>
      <c r="AR593" s="5">
        <v>45136</v>
      </c>
      <c r="AS593">
        <v>211.94162699519126</v>
      </c>
      <c r="AT593" s="6"/>
      <c r="AU593">
        <v>16.780775943079608</v>
      </c>
      <c r="AV593">
        <v>72.44726935182031</v>
      </c>
      <c r="AW593">
        <v>48.19469658635991</v>
      </c>
      <c r="AX593">
        <v>137.42274188125981</v>
      </c>
      <c r="AY593">
        <v>23.988495558974822</v>
      </c>
      <c r="AZ593">
        <v>47.950729920725877</v>
      </c>
      <c r="BA593">
        <v>10.111185692337525</v>
      </c>
      <c r="BB593">
        <v>12.180069486754949</v>
      </c>
      <c r="BC593">
        <v>23.348588636345379</v>
      </c>
      <c r="BD593">
        <v>117.57906929513855</v>
      </c>
      <c r="BE593">
        <v>-43.060184181207106</v>
      </c>
      <c r="BF593">
        <v>4.4210305289644785</v>
      </c>
      <c r="BG593">
        <v>6.0541809661825781</v>
      </c>
      <c r="BH593">
        <v>10.475211495147056</v>
      </c>
      <c r="BI593">
        <v>265.47702267154546</v>
      </c>
      <c r="BJ593" s="6">
        <v>204</v>
      </c>
      <c r="BK593">
        <v>-53.535395676354213</v>
      </c>
      <c r="BL593" s="4">
        <v>-933.15728000000024</v>
      </c>
      <c r="BM593" t="s">
        <v>608</v>
      </c>
      <c r="BN593" t="s">
        <v>65</v>
      </c>
      <c r="BO593">
        <v>8</v>
      </c>
      <c r="BP593">
        <v>2023</v>
      </c>
      <c r="BQ593" t="str">
        <f t="shared" si="46"/>
        <v>Laemsing8</v>
      </c>
      <c r="BR593">
        <f t="shared" si="47"/>
        <v>-1071.5850800000005</v>
      </c>
      <c r="BS593">
        <f t="shared" si="48"/>
        <v>3694.2824400000004</v>
      </c>
      <c r="BT593" s="6">
        <f t="shared" si="49"/>
        <v>-61.477022671545456</v>
      </c>
    </row>
    <row r="594" spans="1:72">
      <c r="A594" s="3" t="s">
        <v>113</v>
      </c>
      <c r="B594" s="3" t="s">
        <v>567</v>
      </c>
      <c r="C594" s="3" t="s">
        <v>376</v>
      </c>
      <c r="D594" s="2" t="s">
        <v>2680</v>
      </c>
      <c r="E594" s="4" t="str">
        <f t="shared" si="45"/>
        <v>LaemsingB1-028-0016</v>
      </c>
      <c r="F594">
        <v>2.1</v>
      </c>
      <c r="G594">
        <v>2</v>
      </c>
      <c r="H594" t="s">
        <v>72</v>
      </c>
      <c r="I594" t="s">
        <v>75</v>
      </c>
      <c r="J594" t="s">
        <v>95</v>
      </c>
      <c r="K594" t="s">
        <v>79</v>
      </c>
      <c r="L594" t="s">
        <v>79</v>
      </c>
      <c r="M594">
        <v>2.4742861252966986</v>
      </c>
      <c r="N594" s="5">
        <v>45163</v>
      </c>
      <c r="O594" s="5">
        <v>45194</v>
      </c>
      <c r="P594">
        <v>0.8</v>
      </c>
      <c r="Q594" s="4">
        <v>119</v>
      </c>
      <c r="R594">
        <v>0.35</v>
      </c>
      <c r="S594" t="s">
        <v>70</v>
      </c>
      <c r="T594" s="6">
        <v>2</v>
      </c>
      <c r="U594" s="5">
        <v>45248</v>
      </c>
      <c r="V594" s="6">
        <v>2</v>
      </c>
      <c r="W594" t="s">
        <v>71</v>
      </c>
      <c r="X594" s="6">
        <v>54</v>
      </c>
      <c r="Y594">
        <v>13.032389999999999</v>
      </c>
      <c r="Z594">
        <v>6.2058999999999997</v>
      </c>
      <c r="AA594" s="6">
        <v>64.000079801172319</v>
      </c>
      <c r="AB594" s="4">
        <v>104.25925000000001</v>
      </c>
      <c r="AC594" s="6">
        <v>15.624980517316207</v>
      </c>
      <c r="AD594">
        <v>0.28287036999999998</v>
      </c>
      <c r="AE594">
        <v>1.0902270084274399</v>
      </c>
      <c r="AF594">
        <v>13903</v>
      </c>
      <c r="AG594" s="4">
        <v>0</v>
      </c>
      <c r="AH594" s="4">
        <v>34400</v>
      </c>
      <c r="AI594" t="s">
        <v>73</v>
      </c>
      <c r="AJ594" t="s">
        <v>73</v>
      </c>
      <c r="AK594" t="s">
        <v>82</v>
      </c>
      <c r="AL594">
        <v>64</v>
      </c>
      <c r="AM594">
        <v>8.6410499999999999</v>
      </c>
      <c r="AN594" t="s">
        <v>73</v>
      </c>
      <c r="AO594" t="s">
        <v>438</v>
      </c>
      <c r="AP594" s="5">
        <v>45195</v>
      </c>
      <c r="AQ594" t="s">
        <v>136</v>
      </c>
      <c r="AR594" s="5">
        <v>45245</v>
      </c>
      <c r="AS594">
        <v>148.22917975904647</v>
      </c>
      <c r="AT594" s="6"/>
      <c r="AU594">
        <v>24.55420686458892</v>
      </c>
      <c r="AV594">
        <v>35.726000372917014</v>
      </c>
      <c r="AW594">
        <v>35.411625189240041</v>
      </c>
      <c r="AX594">
        <v>95.691832426745989</v>
      </c>
      <c r="AY594">
        <v>50.480636322270904</v>
      </c>
      <c r="AZ594">
        <v>28.053630991706054</v>
      </c>
      <c r="BA594">
        <v>24.412680252816255</v>
      </c>
      <c r="BB594">
        <v>52.680542095502055</v>
      </c>
      <c r="BC594">
        <v>36.801516068810102</v>
      </c>
      <c r="BD594">
        <v>192.42900573110535</v>
      </c>
      <c r="BE594">
        <v>-139.89165839880485</v>
      </c>
      <c r="BF594">
        <v>17.818162286426361</v>
      </c>
      <c r="BG594">
        <v>12.158027806104638</v>
      </c>
      <c r="BH594">
        <v>29.976190092530999</v>
      </c>
      <c r="BI594">
        <v>318.09702825038232</v>
      </c>
      <c r="BJ594" s="6">
        <v>156</v>
      </c>
      <c r="BK594">
        <v>-169.86784849133582</v>
      </c>
      <c r="BL594" s="4">
        <v>-2213.7840499999998</v>
      </c>
      <c r="BM594" t="s">
        <v>2681</v>
      </c>
      <c r="BN594" t="s">
        <v>65</v>
      </c>
      <c r="BO594">
        <v>11</v>
      </c>
      <c r="BP594">
        <v>2023</v>
      </c>
      <c r="BQ594" t="str">
        <f t="shared" si="46"/>
        <v>Laemsing11</v>
      </c>
      <c r="BR594">
        <f t="shared" si="47"/>
        <v>-2112.5116899999998</v>
      </c>
      <c r="BS594">
        <f t="shared" si="48"/>
        <v>1931.7804799999997</v>
      </c>
      <c r="BT594" s="6">
        <f t="shared" si="49"/>
        <v>-162.09702825038232</v>
      </c>
    </row>
    <row r="595" spans="1:72">
      <c r="A595" s="3" t="s">
        <v>113</v>
      </c>
      <c r="B595" s="3" t="s">
        <v>567</v>
      </c>
      <c r="C595" s="3" t="s">
        <v>376</v>
      </c>
      <c r="D595" s="2" t="s">
        <v>2677</v>
      </c>
      <c r="E595" s="4" t="str">
        <f t="shared" si="45"/>
        <v>LaemsingB1-013-0034</v>
      </c>
      <c r="F595">
        <v>2.1</v>
      </c>
      <c r="G595">
        <v>2</v>
      </c>
      <c r="H595" t="s">
        <v>72</v>
      </c>
      <c r="I595" t="s">
        <v>75</v>
      </c>
      <c r="J595" t="s">
        <v>95</v>
      </c>
      <c r="K595" t="s">
        <v>79</v>
      </c>
      <c r="L595" t="s">
        <v>79</v>
      </c>
      <c r="M595">
        <v>2.4533106960950763</v>
      </c>
      <c r="N595" s="5">
        <v>45194</v>
      </c>
      <c r="O595" s="5">
        <v>45212</v>
      </c>
      <c r="P595">
        <v>0.7</v>
      </c>
      <c r="Q595" s="4">
        <v>104</v>
      </c>
      <c r="R595">
        <v>0.35</v>
      </c>
      <c r="S595" t="s">
        <v>70</v>
      </c>
      <c r="T595" s="6">
        <v>1</v>
      </c>
      <c r="U595" s="5">
        <v>45267</v>
      </c>
      <c r="V595" s="6">
        <v>2</v>
      </c>
      <c r="W595" t="s">
        <v>71</v>
      </c>
      <c r="X595" s="6">
        <v>55</v>
      </c>
      <c r="Y595">
        <v>11.04735</v>
      </c>
      <c r="Z595">
        <v>5.260642857142857</v>
      </c>
      <c r="AA595" s="6">
        <v>74.999977370138538</v>
      </c>
      <c r="AB595" s="4">
        <v>118.36442857142858</v>
      </c>
      <c r="AC595" s="6">
        <v>13.33333735642103</v>
      </c>
      <c r="AD595">
        <v>0.23606060600000001</v>
      </c>
      <c r="AE595">
        <v>1.0905034552666781</v>
      </c>
      <c r="AF595">
        <v>11780</v>
      </c>
      <c r="AG595" s="4">
        <v>0</v>
      </c>
      <c r="AH595" s="4">
        <v>28900</v>
      </c>
      <c r="AI595" t="s">
        <v>73</v>
      </c>
      <c r="AJ595" t="s">
        <v>73</v>
      </c>
      <c r="AK595" t="s">
        <v>2678</v>
      </c>
      <c r="AL595">
        <v>75</v>
      </c>
      <c r="AM595">
        <v>11.04735</v>
      </c>
      <c r="AN595" t="s">
        <v>73</v>
      </c>
      <c r="AO595" t="s">
        <v>92</v>
      </c>
      <c r="AP595" s="5">
        <v>45212</v>
      </c>
      <c r="AQ595" t="s">
        <v>116</v>
      </c>
      <c r="AR595" s="5">
        <v>45266</v>
      </c>
      <c r="AS595">
        <v>149.2446604841885</v>
      </c>
      <c r="AT595" s="6"/>
      <c r="AU595">
        <v>25.345444835186719</v>
      </c>
      <c r="AV595">
        <v>34.706067065857425</v>
      </c>
      <c r="AW595">
        <v>27.620964303656518</v>
      </c>
      <c r="AX595">
        <v>87.672476204700658</v>
      </c>
      <c r="AY595">
        <v>24.276462681095463</v>
      </c>
      <c r="AZ595">
        <v>21.201540640968197</v>
      </c>
      <c r="BA595">
        <v>11.65028083658072</v>
      </c>
      <c r="BB595">
        <v>26.71497598971699</v>
      </c>
      <c r="BC595">
        <v>18.360120752940748</v>
      </c>
      <c r="BD595">
        <v>102.20338090130213</v>
      </c>
      <c r="BE595">
        <v>-40.631196621814283</v>
      </c>
      <c r="BF595">
        <v>10.843581492394105</v>
      </c>
      <c r="BG595">
        <v>5.7839282723911163</v>
      </c>
      <c r="BH595">
        <v>16.62750976478522</v>
      </c>
      <c r="BI595">
        <v>206.503366870788</v>
      </c>
      <c r="BJ595" s="6">
        <v>150</v>
      </c>
      <c r="BK595">
        <v>-57.258706386599478</v>
      </c>
      <c r="BL595" s="4">
        <v>-632.55696999999975</v>
      </c>
      <c r="BM595" t="s">
        <v>2679</v>
      </c>
      <c r="BN595" t="s">
        <v>65</v>
      </c>
      <c r="BO595">
        <v>12</v>
      </c>
      <c r="BP595">
        <v>2023</v>
      </c>
      <c r="BQ595" t="str">
        <f t="shared" si="46"/>
        <v>Laemsing12</v>
      </c>
      <c r="BR595">
        <f t="shared" si="47"/>
        <v>-624.21246999999983</v>
      </c>
      <c r="BS595">
        <f t="shared" si="48"/>
        <v>1648.7579999999998</v>
      </c>
      <c r="BT595" s="6">
        <f t="shared" si="49"/>
        <v>-56.503366870788</v>
      </c>
    </row>
    <row r="596" spans="1:72">
      <c r="A596" s="3" t="s">
        <v>113</v>
      </c>
      <c r="B596" s="3" t="s">
        <v>317</v>
      </c>
      <c r="C596" s="3" t="s">
        <v>354</v>
      </c>
      <c r="D596" s="2" t="s">
        <v>282</v>
      </c>
      <c r="E596" s="4" t="str">
        <f t="shared" si="45"/>
        <v>Lucky1BG-026-0012</v>
      </c>
      <c r="F596">
        <v>2.1</v>
      </c>
      <c r="G596">
        <v>1.75</v>
      </c>
      <c r="H596" t="s">
        <v>72</v>
      </c>
      <c r="I596" t="s">
        <v>67</v>
      </c>
      <c r="J596" t="s">
        <v>357</v>
      </c>
      <c r="K596" t="s">
        <v>89</v>
      </c>
      <c r="L596" t="s">
        <v>89</v>
      </c>
      <c r="M596">
        <v>2.0597014925373136</v>
      </c>
      <c r="N596" s="5">
        <v>44986</v>
      </c>
      <c r="O596" s="5">
        <v>45010</v>
      </c>
      <c r="P596">
        <v>1</v>
      </c>
      <c r="Q596" s="4">
        <v>170</v>
      </c>
      <c r="R596">
        <v>0.45</v>
      </c>
      <c r="S596" t="s">
        <v>70</v>
      </c>
      <c r="T596" s="6">
        <v>1</v>
      </c>
      <c r="U596" s="5">
        <v>45062</v>
      </c>
      <c r="V596" s="6">
        <v>2</v>
      </c>
      <c r="W596" t="s">
        <v>71</v>
      </c>
      <c r="X596" s="6">
        <v>52</v>
      </c>
      <c r="Y596">
        <v>5.9682599999999999</v>
      </c>
      <c r="Z596">
        <v>2.8420285714285711</v>
      </c>
      <c r="AA596" s="6">
        <v>47.003314198778199</v>
      </c>
      <c r="AB596" s="4">
        <v>28.052800000000001</v>
      </c>
      <c r="AC596" s="6">
        <v>21.27509553413563</v>
      </c>
      <c r="AD596">
        <v>0.40051145700000002</v>
      </c>
      <c r="AE596">
        <v>3.0353770935041116</v>
      </c>
      <c r="AF596">
        <v>16750</v>
      </c>
      <c r="AG596" s="4">
        <v>5040</v>
      </c>
      <c r="AH596" s="4">
        <v>34500</v>
      </c>
      <c r="AL596">
        <v>47</v>
      </c>
      <c r="AM596">
        <v>5.96326</v>
      </c>
      <c r="AN596" t="s">
        <v>76</v>
      </c>
      <c r="AO596" t="s">
        <v>134</v>
      </c>
      <c r="AP596" s="5">
        <v>45012</v>
      </c>
      <c r="AQ596" t="s">
        <v>134</v>
      </c>
      <c r="AR596" s="5">
        <v>45061</v>
      </c>
      <c r="AS596">
        <v>165.84468169952382</v>
      </c>
      <c r="AT596" s="6"/>
      <c r="AU596">
        <v>75.398859969237265</v>
      </c>
      <c r="AV596">
        <v>89.098154235907941</v>
      </c>
      <c r="AW596">
        <v>62.32834360433359</v>
      </c>
      <c r="AX596">
        <v>226.82535780947879</v>
      </c>
      <c r="AY596">
        <v>29.681521917610834</v>
      </c>
      <c r="AZ596">
        <v>48.742662015394771</v>
      </c>
      <c r="BA596">
        <v>12.156137634754517</v>
      </c>
      <c r="BB596">
        <v>6.6553886727454898</v>
      </c>
      <c r="BC596">
        <v>27.173303441874179</v>
      </c>
      <c r="BD596">
        <v>124.40901368237978</v>
      </c>
      <c r="BE596">
        <v>-185.38968979233476</v>
      </c>
      <c r="BF596">
        <v>31.946833750540353</v>
      </c>
      <c r="BH596">
        <v>31.946833750540353</v>
      </c>
      <c r="BI596">
        <v>383.18120524239896</v>
      </c>
      <c r="BJ596" s="6">
        <v>172</v>
      </c>
      <c r="BK596">
        <v>-217.33652354287511</v>
      </c>
      <c r="BL596" s="4">
        <v>-1297.1208799999999</v>
      </c>
      <c r="BM596" t="s">
        <v>362</v>
      </c>
      <c r="BN596" t="s">
        <v>65</v>
      </c>
      <c r="BO596">
        <v>5</v>
      </c>
      <c r="BP596">
        <v>2023</v>
      </c>
      <c r="BQ596" t="str">
        <f t="shared" si="46"/>
        <v>Lucky15</v>
      </c>
      <c r="BR596">
        <f t="shared" si="47"/>
        <v>-1260.3843400000001</v>
      </c>
      <c r="BS596">
        <f t="shared" si="48"/>
        <v>989.80417999999997</v>
      </c>
      <c r="BT596" s="6">
        <f t="shared" si="49"/>
        <v>-211.18120524239896</v>
      </c>
    </row>
    <row r="597" spans="1:72">
      <c r="A597" s="3" t="s">
        <v>113</v>
      </c>
      <c r="B597" s="3" t="s">
        <v>317</v>
      </c>
      <c r="C597" s="3" t="s">
        <v>354</v>
      </c>
      <c r="D597" s="2" t="s">
        <v>365</v>
      </c>
      <c r="E597" s="4" t="str">
        <f t="shared" si="45"/>
        <v>Lucky1BG-028-0012</v>
      </c>
      <c r="F597">
        <v>2.1</v>
      </c>
      <c r="G597">
        <v>1.75</v>
      </c>
      <c r="H597" t="s">
        <v>72</v>
      </c>
      <c r="I597" t="s">
        <v>67</v>
      </c>
      <c r="J597" t="s">
        <v>357</v>
      </c>
      <c r="K597" t="s">
        <v>89</v>
      </c>
      <c r="L597" t="s">
        <v>89</v>
      </c>
      <c r="M597">
        <v>0.79357231149567364</v>
      </c>
      <c r="N597" s="5">
        <v>44976</v>
      </c>
      <c r="O597" s="5">
        <v>45003</v>
      </c>
      <c r="P597">
        <v>1</v>
      </c>
      <c r="Q597" s="4">
        <v>170</v>
      </c>
      <c r="R597">
        <v>0.55000000000000004</v>
      </c>
      <c r="S597" t="s">
        <v>70</v>
      </c>
      <c r="T597" s="6">
        <v>4</v>
      </c>
      <c r="U597" s="5">
        <v>45107</v>
      </c>
      <c r="V597" s="6">
        <v>1</v>
      </c>
      <c r="W597" t="s">
        <v>86</v>
      </c>
      <c r="X597" s="6">
        <v>104</v>
      </c>
      <c r="Y597">
        <v>18.877080000000003</v>
      </c>
      <c r="Z597">
        <v>8.9890857142857161</v>
      </c>
      <c r="AA597" s="6">
        <v>30.428699777719856</v>
      </c>
      <c r="AB597" s="4">
        <v>57.440500000000007</v>
      </c>
      <c r="AC597" s="6">
        <v>32.863711144575696</v>
      </c>
      <c r="AD597">
        <v>0.36453402400000001</v>
      </c>
      <c r="AE597">
        <v>2.2071164637247174</v>
      </c>
      <c r="AF597">
        <v>40450</v>
      </c>
      <c r="AG597" s="4">
        <v>5040</v>
      </c>
      <c r="AH597" s="4">
        <v>32100</v>
      </c>
      <c r="AL597">
        <v>26</v>
      </c>
      <c r="AM597">
        <v>11.753540000000001</v>
      </c>
      <c r="AN597" t="s">
        <v>77</v>
      </c>
      <c r="AO597" t="s">
        <v>134</v>
      </c>
      <c r="AP597" s="5">
        <v>45009</v>
      </c>
      <c r="AQ597" t="s">
        <v>123</v>
      </c>
      <c r="AR597" s="5">
        <v>45106</v>
      </c>
      <c r="AS597">
        <v>183.36979924861262</v>
      </c>
      <c r="AT597" s="6"/>
      <c r="AU597">
        <v>23.838432638946276</v>
      </c>
      <c r="AV597">
        <v>67.679884282950511</v>
      </c>
      <c r="AW597">
        <v>46.162274038145732</v>
      </c>
      <c r="AX597">
        <v>137.68059096004254</v>
      </c>
      <c r="AY597">
        <v>16.915698296558581</v>
      </c>
      <c r="AZ597">
        <v>31.113441273756322</v>
      </c>
      <c r="BA597">
        <v>5.8632473878375251</v>
      </c>
      <c r="BB597">
        <v>4.0776603161082106</v>
      </c>
      <c r="BC597">
        <v>17.524950363085821</v>
      </c>
      <c r="BD597">
        <v>75.494997637346458</v>
      </c>
      <c r="BE597">
        <v>-29.805789348776372</v>
      </c>
      <c r="BF597">
        <v>17.449676538956233</v>
      </c>
      <c r="BH597">
        <v>17.449676538956233</v>
      </c>
      <c r="BI597">
        <v>230.62526513634523</v>
      </c>
      <c r="BJ597" s="6">
        <v>197</v>
      </c>
      <c r="BK597">
        <v>-47.255465887732605</v>
      </c>
      <c r="BL597" s="4">
        <v>-892.04520999999954</v>
      </c>
      <c r="BM597" t="s">
        <v>366</v>
      </c>
      <c r="BN597" t="s">
        <v>65</v>
      </c>
      <c r="BO597">
        <v>6</v>
      </c>
      <c r="BP597">
        <v>2023</v>
      </c>
      <c r="BQ597" t="str">
        <f t="shared" si="46"/>
        <v>Lucky16</v>
      </c>
      <c r="BR597">
        <f t="shared" si="47"/>
        <v>-634.74681999999996</v>
      </c>
      <c r="BS597">
        <f t="shared" si="48"/>
        <v>3461.486370000001</v>
      </c>
      <c r="BT597" s="6">
        <f t="shared" si="49"/>
        <v>-33.625265136345234</v>
      </c>
    </row>
    <row r="598" spans="1:72">
      <c r="A598" s="3" t="s">
        <v>113</v>
      </c>
      <c r="B598" s="3" t="s">
        <v>317</v>
      </c>
      <c r="C598" s="3" t="s">
        <v>354</v>
      </c>
      <c r="D598" s="2" t="s">
        <v>251</v>
      </c>
      <c r="E598" s="4" t="str">
        <f t="shared" si="45"/>
        <v>Lucky1BG-027-0012</v>
      </c>
      <c r="F598">
        <v>2.1</v>
      </c>
      <c r="G598">
        <v>1.75</v>
      </c>
      <c r="H598" t="s">
        <v>72</v>
      </c>
      <c r="I598" t="s">
        <v>67</v>
      </c>
      <c r="J598" t="s">
        <v>357</v>
      </c>
      <c r="K598" t="s">
        <v>89</v>
      </c>
      <c r="L598" t="s">
        <v>89</v>
      </c>
      <c r="M598">
        <v>2.2469304229195091</v>
      </c>
      <c r="N598" s="5">
        <v>45084</v>
      </c>
      <c r="O598" s="5">
        <v>45114</v>
      </c>
      <c r="P598">
        <v>1</v>
      </c>
      <c r="Q598" s="4">
        <v>170</v>
      </c>
      <c r="R598">
        <v>0.7</v>
      </c>
      <c r="S598" t="s">
        <v>70</v>
      </c>
      <c r="T598" s="6">
        <v>4</v>
      </c>
      <c r="U598" s="5">
        <v>45209</v>
      </c>
      <c r="V598" s="6">
        <v>1</v>
      </c>
      <c r="W598" t="s">
        <v>86</v>
      </c>
      <c r="X598" s="6">
        <v>95</v>
      </c>
      <c r="Y598">
        <v>22.795560000000002</v>
      </c>
      <c r="Z598">
        <v>10.855028571428571</v>
      </c>
      <c r="AA598" s="6">
        <v>35.34530408553244</v>
      </c>
      <c r="AB598" s="4">
        <v>80.571600000000004</v>
      </c>
      <c r="AC598" s="6">
        <v>28.292301505741481</v>
      </c>
      <c r="AD598">
        <v>0.35560798500000002</v>
      </c>
      <c r="AE598">
        <v>1.6587042826703644</v>
      </c>
      <c r="AF598">
        <v>36650</v>
      </c>
      <c r="AG598" s="4">
        <v>5040</v>
      </c>
      <c r="AH598" s="4">
        <v>82350</v>
      </c>
      <c r="AI598" t="s">
        <v>73</v>
      </c>
      <c r="AJ598" t="s">
        <v>73</v>
      </c>
      <c r="AK598" t="s">
        <v>363</v>
      </c>
      <c r="AL598">
        <v>29</v>
      </c>
      <c r="AM598">
        <v>14.14739</v>
      </c>
      <c r="AN598" t="s">
        <v>73</v>
      </c>
      <c r="AO598" t="s">
        <v>123</v>
      </c>
      <c r="AP598" s="5">
        <v>45115</v>
      </c>
      <c r="AQ598" t="s">
        <v>176</v>
      </c>
      <c r="AR598" s="5">
        <v>45206</v>
      </c>
      <c r="AS598">
        <v>183.83378473702768</v>
      </c>
      <c r="AT598" s="6"/>
      <c r="AU598">
        <v>21.934095937980903</v>
      </c>
      <c r="AV598">
        <v>47.532549759690028</v>
      </c>
      <c r="AW598">
        <v>48.554058334166832</v>
      </c>
      <c r="AX598">
        <v>118.02070403183778</v>
      </c>
      <c r="AY598">
        <v>16.178670758691602</v>
      </c>
      <c r="AZ598">
        <v>41.309834897673056</v>
      </c>
      <c r="BA598">
        <v>18.328431940255033</v>
      </c>
      <c r="BB598">
        <v>10.167325566908643</v>
      </c>
      <c r="BC598">
        <v>20.446812010759992</v>
      </c>
      <c r="BD598">
        <v>106.43107517428832</v>
      </c>
      <c r="BE598">
        <v>-40.61799446909842</v>
      </c>
      <c r="BF598">
        <v>15.985400227061762</v>
      </c>
      <c r="BH598">
        <v>15.985400227061762</v>
      </c>
      <c r="BI598">
        <v>240.43717943318788</v>
      </c>
      <c r="BJ598" s="6">
        <v>187</v>
      </c>
      <c r="BK598">
        <v>-56.603394696160173</v>
      </c>
      <c r="BL598" s="4">
        <v>-1290.306080000001</v>
      </c>
      <c r="BM598" t="s">
        <v>364</v>
      </c>
      <c r="BN598" t="s">
        <v>65</v>
      </c>
      <c r="BO598">
        <v>10</v>
      </c>
      <c r="BP598">
        <v>2023</v>
      </c>
      <c r="BQ598" t="str">
        <f t="shared" si="46"/>
        <v>Lucky110</v>
      </c>
      <c r="BR598">
        <f t="shared" si="47"/>
        <v>-1218.1304300000004</v>
      </c>
      <c r="BS598">
        <f t="shared" si="48"/>
        <v>4190.5940699999992</v>
      </c>
      <c r="BT598" s="6">
        <f t="shared" si="49"/>
        <v>-53.437179433187879</v>
      </c>
    </row>
    <row r="599" spans="1:72">
      <c r="A599" s="3" t="s">
        <v>113</v>
      </c>
      <c r="B599" s="3" t="s">
        <v>317</v>
      </c>
      <c r="C599" s="3" t="s">
        <v>354</v>
      </c>
      <c r="D599" s="2" t="s">
        <v>372</v>
      </c>
      <c r="E599" s="4" t="str">
        <f t="shared" si="45"/>
        <v>Lucky1BG-025-0010</v>
      </c>
      <c r="F599">
        <v>2.1</v>
      </c>
      <c r="G599">
        <v>1.75</v>
      </c>
      <c r="H599" t="s">
        <v>72</v>
      </c>
      <c r="I599" t="s">
        <v>67</v>
      </c>
      <c r="J599" t="s">
        <v>357</v>
      </c>
      <c r="K599" t="s">
        <v>89</v>
      </c>
      <c r="L599" t="s">
        <v>89</v>
      </c>
      <c r="M599">
        <v>1.2655565293602102</v>
      </c>
      <c r="N599" s="5">
        <v>44974</v>
      </c>
      <c r="O599" s="5">
        <v>45003</v>
      </c>
      <c r="P599">
        <v>1</v>
      </c>
      <c r="Q599" s="4">
        <v>170</v>
      </c>
      <c r="R599">
        <v>0.55000000000000004</v>
      </c>
      <c r="S599" t="s">
        <v>70</v>
      </c>
      <c r="T599" s="6">
        <v>6</v>
      </c>
      <c r="U599" s="5">
        <v>45161</v>
      </c>
      <c r="V599" s="6">
        <v>1</v>
      </c>
      <c r="W599" t="s">
        <v>86</v>
      </c>
      <c r="X599" s="6">
        <v>158</v>
      </c>
      <c r="Y599">
        <v>22.848200000000002</v>
      </c>
      <c r="Z599">
        <v>10.880095238095238</v>
      </c>
      <c r="AA599" s="6">
        <v>24.921788149613537</v>
      </c>
      <c r="AB599" s="4">
        <v>56.941800000000001</v>
      </c>
      <c r="AC599" s="6">
        <v>40.125531683227436</v>
      </c>
      <c r="AD599">
        <v>0.348136428</v>
      </c>
      <c r="AE599">
        <v>2.5585024800208087</v>
      </c>
      <c r="AF599">
        <v>57050</v>
      </c>
      <c r="AG599" s="4">
        <v>5040</v>
      </c>
      <c r="AH599" s="4">
        <v>72200</v>
      </c>
      <c r="AL599">
        <v>18</v>
      </c>
      <c r="AM599">
        <v>6.1216800000000005</v>
      </c>
      <c r="AN599" t="s">
        <v>81</v>
      </c>
      <c r="AO599" t="s">
        <v>134</v>
      </c>
      <c r="AP599" s="5">
        <v>45009</v>
      </c>
      <c r="AQ599" t="s">
        <v>131</v>
      </c>
      <c r="AR599" s="5">
        <v>45159</v>
      </c>
      <c r="AS599">
        <v>192.56334065703206</v>
      </c>
      <c r="AT599" s="6"/>
      <c r="AU599">
        <v>19.695205749249393</v>
      </c>
      <c r="AV599">
        <v>78.094953212944574</v>
      </c>
      <c r="AW599">
        <v>52.135620311446857</v>
      </c>
      <c r="AX599">
        <v>149.92577927364081</v>
      </c>
      <c r="AY599">
        <v>19.819306116017891</v>
      </c>
      <c r="AZ599">
        <v>39.576248019537644</v>
      </c>
      <c r="BA599">
        <v>7.1883443772375948</v>
      </c>
      <c r="BB599">
        <v>5.8267968592711901</v>
      </c>
      <c r="BC599">
        <v>21.696547649267778</v>
      </c>
      <c r="BD599">
        <v>94.10724302133211</v>
      </c>
      <c r="BE599">
        <v>-51.469681637940866</v>
      </c>
      <c r="BF599">
        <v>21.056357612415862</v>
      </c>
      <c r="BH599">
        <v>21.056357612415862</v>
      </c>
      <c r="BI599">
        <v>265.08937990738877</v>
      </c>
      <c r="BJ599" s="6">
        <v>214</v>
      </c>
      <c r="BK599">
        <v>-72.526039250356746</v>
      </c>
      <c r="BL599" s="4">
        <v>-1657.0894500000011</v>
      </c>
      <c r="BM599" t="s">
        <v>373</v>
      </c>
      <c r="BN599" t="s">
        <v>65</v>
      </c>
      <c r="BO599">
        <v>8</v>
      </c>
      <c r="BP599">
        <v>2023</v>
      </c>
      <c r="BQ599" t="str">
        <f t="shared" si="46"/>
        <v>Lucky18</v>
      </c>
      <c r="BR599">
        <f t="shared" si="47"/>
        <v>-1167.3003700000004</v>
      </c>
      <c r="BS599">
        <f t="shared" si="48"/>
        <v>4399.7257200000004</v>
      </c>
      <c r="BT599" s="6">
        <f t="shared" si="49"/>
        <v>-51.089379907388775</v>
      </c>
    </row>
    <row r="600" spans="1:72">
      <c r="A600" s="3" t="s">
        <v>113</v>
      </c>
      <c r="B600" s="3" t="s">
        <v>317</v>
      </c>
      <c r="C600" s="3" t="s">
        <v>354</v>
      </c>
      <c r="D600" s="2" t="s">
        <v>255</v>
      </c>
      <c r="E600" s="4" t="str">
        <f t="shared" si="45"/>
        <v>Lucky1BG-026-0011</v>
      </c>
      <c r="F600">
        <v>2.1</v>
      </c>
      <c r="G600">
        <v>1.75</v>
      </c>
      <c r="H600" t="s">
        <v>72</v>
      </c>
      <c r="I600" t="s">
        <v>67</v>
      </c>
      <c r="J600" t="s">
        <v>357</v>
      </c>
      <c r="K600" t="s">
        <v>89</v>
      </c>
      <c r="L600" t="s">
        <v>89</v>
      </c>
      <c r="M600">
        <v>3.5649867374005306</v>
      </c>
      <c r="N600" s="5">
        <v>44835</v>
      </c>
      <c r="O600" s="5">
        <v>44846</v>
      </c>
      <c r="P600">
        <v>1</v>
      </c>
      <c r="Q600" s="4">
        <v>170</v>
      </c>
      <c r="R600">
        <v>0.15</v>
      </c>
      <c r="S600" t="s">
        <v>70</v>
      </c>
      <c r="T600" s="6">
        <v>3</v>
      </c>
      <c r="U600" s="5">
        <v>44969</v>
      </c>
      <c r="V600" s="6">
        <v>2</v>
      </c>
      <c r="W600" t="s">
        <v>71</v>
      </c>
      <c r="X600" s="6">
        <v>123</v>
      </c>
      <c r="Y600">
        <v>7.0443899999999999</v>
      </c>
      <c r="Z600">
        <v>3.3544714285714283</v>
      </c>
      <c r="AA600" s="6">
        <v>26.294540762223555</v>
      </c>
      <c r="AB600" s="4">
        <v>18.5229</v>
      </c>
      <c r="AC600" s="6">
        <v>38.030707934502701</v>
      </c>
      <c r="AD600">
        <v>0.33753387499999998</v>
      </c>
      <c r="AE600">
        <v>4.1011605087614713</v>
      </c>
      <c r="AF600">
        <v>28275</v>
      </c>
      <c r="AG600" s="4">
        <v>5040</v>
      </c>
      <c r="AH600" s="4">
        <v>100800</v>
      </c>
      <c r="AL600">
        <v>24</v>
      </c>
      <c r="AM600">
        <v>3.7362399999999996</v>
      </c>
      <c r="AN600" t="s">
        <v>81</v>
      </c>
      <c r="AO600" t="s">
        <v>101</v>
      </c>
      <c r="AP600" s="5">
        <v>44849</v>
      </c>
      <c r="AQ600" t="s">
        <v>116</v>
      </c>
      <c r="AR600" s="5">
        <v>44968</v>
      </c>
      <c r="AS600">
        <v>295.59719152403545</v>
      </c>
      <c r="AT600" s="6"/>
      <c r="AU600">
        <v>56.782773242253761</v>
      </c>
      <c r="AV600">
        <v>122.36436227977157</v>
      </c>
      <c r="AW600">
        <v>107.71685979907416</v>
      </c>
      <c r="AX600">
        <v>286.86399532109948</v>
      </c>
      <c r="AY600">
        <v>36.123478399123272</v>
      </c>
      <c r="AZ600">
        <v>109.14655349859959</v>
      </c>
      <c r="BA600">
        <v>30.62356996134513</v>
      </c>
      <c r="BB600">
        <v>41.365746359869341</v>
      </c>
      <c r="BC600">
        <v>49.935014955162899</v>
      </c>
      <c r="BD600">
        <v>267.19436317410026</v>
      </c>
      <c r="BE600">
        <v>-258.46116697116429</v>
      </c>
      <c r="BF600">
        <v>46.160195559871042</v>
      </c>
      <c r="BH600">
        <v>46.160195559871042</v>
      </c>
      <c r="BI600">
        <v>600.21855405507074</v>
      </c>
      <c r="BJ600" s="6">
        <v>210</v>
      </c>
      <c r="BK600">
        <v>-304.62136253103529</v>
      </c>
      <c r="BL600" s="4">
        <v>-2145.8716799999997</v>
      </c>
      <c r="BM600" t="s">
        <v>371</v>
      </c>
      <c r="BN600" t="s">
        <v>65</v>
      </c>
      <c r="BO600">
        <v>2</v>
      </c>
      <c r="BP600">
        <v>2023</v>
      </c>
      <c r="BQ600" t="str">
        <f t="shared" si="46"/>
        <v>Lucky12</v>
      </c>
      <c r="BR600">
        <f t="shared" si="47"/>
        <v>-2748.8516799999998</v>
      </c>
      <c r="BS600">
        <f t="shared" si="48"/>
        <v>2082.3018999999999</v>
      </c>
      <c r="BT600" s="6">
        <f t="shared" si="49"/>
        <v>-390.21855405507074</v>
      </c>
    </row>
    <row r="601" spans="1:72">
      <c r="A601" s="3" t="s">
        <v>113</v>
      </c>
      <c r="B601" s="3" t="s">
        <v>317</v>
      </c>
      <c r="C601" s="3" t="s">
        <v>354</v>
      </c>
      <c r="D601" s="2" t="s">
        <v>359</v>
      </c>
      <c r="E601" s="4" t="str">
        <f t="shared" si="45"/>
        <v>Lucky1BG-026-0013</v>
      </c>
      <c r="F601">
        <v>2.1</v>
      </c>
      <c r="G601">
        <v>1.75</v>
      </c>
      <c r="H601" t="s">
        <v>72</v>
      </c>
      <c r="I601" t="s">
        <v>67</v>
      </c>
      <c r="J601" t="s">
        <v>357</v>
      </c>
      <c r="K601" t="s">
        <v>89</v>
      </c>
      <c r="L601" t="s">
        <v>89</v>
      </c>
      <c r="M601">
        <v>1.5821501014198782</v>
      </c>
      <c r="N601" s="5">
        <v>45063</v>
      </c>
      <c r="O601" s="5">
        <v>45101</v>
      </c>
      <c r="P601">
        <v>1</v>
      </c>
      <c r="Q601" s="4">
        <v>170</v>
      </c>
      <c r="R601">
        <v>1</v>
      </c>
      <c r="S601" t="s">
        <v>70</v>
      </c>
      <c r="T601" s="6">
        <v>2</v>
      </c>
      <c r="U601" s="5">
        <v>45149</v>
      </c>
      <c r="V601" s="6">
        <v>2</v>
      </c>
      <c r="W601" t="s">
        <v>71</v>
      </c>
      <c r="X601" s="6">
        <v>48</v>
      </c>
      <c r="Y601">
        <v>8.26309</v>
      </c>
      <c r="Z601">
        <v>3.9348047619047617</v>
      </c>
      <c r="AA601" s="6">
        <v>58.719679926032512</v>
      </c>
      <c r="AB601" s="4">
        <v>48.520600000000002</v>
      </c>
      <c r="AC601" s="6">
        <v>17.030065580392659</v>
      </c>
      <c r="AD601">
        <v>0.33227401099999998</v>
      </c>
      <c r="AE601">
        <v>1.6969361525191069</v>
      </c>
      <c r="AF601">
        <v>12325</v>
      </c>
      <c r="AG601" s="4">
        <v>10080</v>
      </c>
      <c r="AH601" s="4">
        <v>19500</v>
      </c>
      <c r="AL601">
        <v>59</v>
      </c>
      <c r="AM601">
        <v>5.9461599999999999</v>
      </c>
      <c r="AN601" t="s">
        <v>77</v>
      </c>
      <c r="AO601" t="s">
        <v>170</v>
      </c>
      <c r="AP601" s="5">
        <v>45103</v>
      </c>
      <c r="AQ601" t="s">
        <v>136</v>
      </c>
      <c r="AR601" s="5">
        <v>45148</v>
      </c>
      <c r="AS601">
        <v>115.05356833823664</v>
      </c>
      <c r="AT601" s="6"/>
      <c r="AU601">
        <v>66.561056457088085</v>
      </c>
      <c r="AV601">
        <v>45.641985020131692</v>
      </c>
      <c r="AW601">
        <v>58.082178700703977</v>
      </c>
      <c r="AX601">
        <v>170.28522017792378</v>
      </c>
      <c r="AY601">
        <v>22.786404359628175</v>
      </c>
      <c r="AZ601">
        <v>47.980117607335757</v>
      </c>
      <c r="BA601">
        <v>8.2072759706114766</v>
      </c>
      <c r="BB601">
        <v>7.704516107170563</v>
      </c>
      <c r="BC601">
        <v>25.110606322816285</v>
      </c>
      <c r="BD601">
        <v>111.78892036756227</v>
      </c>
      <c r="BE601">
        <v>-167.02057220724942</v>
      </c>
      <c r="BF601">
        <v>23.583867536236443</v>
      </c>
      <c r="BH601">
        <v>23.583867536236443</v>
      </c>
      <c r="BI601">
        <v>305.65800808172247</v>
      </c>
      <c r="BJ601" s="6">
        <v>163</v>
      </c>
      <c r="BK601">
        <v>-190.60443974348587</v>
      </c>
      <c r="BL601" s="4">
        <v>-1574.9816400000007</v>
      </c>
      <c r="BM601" t="s">
        <v>360</v>
      </c>
      <c r="BN601" t="s">
        <v>65</v>
      </c>
      <c r="BO601">
        <v>8</v>
      </c>
      <c r="BP601">
        <v>2023</v>
      </c>
      <c r="BQ601" t="str">
        <f t="shared" si="46"/>
        <v>Lucky18</v>
      </c>
      <c r="BR601">
        <f t="shared" si="47"/>
        <v>-1178.7959600000002</v>
      </c>
      <c r="BS601">
        <f t="shared" si="48"/>
        <v>950.69798999999989</v>
      </c>
      <c r="BT601" s="6">
        <f t="shared" si="49"/>
        <v>-142.65800808172247</v>
      </c>
    </row>
    <row r="602" spans="1:72">
      <c r="A602" s="3" t="s">
        <v>113</v>
      </c>
      <c r="B602" s="3" t="s">
        <v>317</v>
      </c>
      <c r="C602" s="3" t="s">
        <v>354</v>
      </c>
      <c r="D602" s="2" t="s">
        <v>369</v>
      </c>
      <c r="E602" s="4" t="str">
        <f t="shared" si="45"/>
        <v>Lucky1BG-025-0009</v>
      </c>
      <c r="F602">
        <v>2.1</v>
      </c>
      <c r="G602">
        <v>1.75</v>
      </c>
      <c r="H602" t="s">
        <v>72</v>
      </c>
      <c r="I602" t="s">
        <v>67</v>
      </c>
      <c r="J602" t="s">
        <v>357</v>
      </c>
      <c r="K602" t="s">
        <v>89</v>
      </c>
      <c r="L602" t="s">
        <v>89</v>
      </c>
      <c r="M602">
        <v>4.0033030553261764</v>
      </c>
      <c r="N602" s="5">
        <v>44835</v>
      </c>
      <c r="O602" s="5">
        <v>44853</v>
      </c>
      <c r="P602">
        <v>1</v>
      </c>
      <c r="Q602" s="4">
        <v>170</v>
      </c>
      <c r="R602">
        <v>0.13</v>
      </c>
      <c r="S602" t="s">
        <v>70</v>
      </c>
      <c r="T602" s="6">
        <v>3</v>
      </c>
      <c r="U602" s="5">
        <v>44973</v>
      </c>
      <c r="V602" s="6">
        <v>2</v>
      </c>
      <c r="W602" t="s">
        <v>71</v>
      </c>
      <c r="X602" s="6">
        <v>120</v>
      </c>
      <c r="Y602">
        <v>8.7685700000000004</v>
      </c>
      <c r="Z602">
        <v>4.1755095238095237</v>
      </c>
      <c r="AA602" s="6">
        <v>27.740099012723853</v>
      </c>
      <c r="AB602" s="4">
        <v>24.324100000000001</v>
      </c>
      <c r="AC602" s="6">
        <v>36.04889800650384</v>
      </c>
      <c r="AD602">
        <v>0.33224999999999999</v>
      </c>
      <c r="AE602">
        <v>3.5046309748025428</v>
      </c>
      <c r="AF602">
        <v>30275</v>
      </c>
      <c r="AG602" s="4">
        <v>5040</v>
      </c>
      <c r="AH602" s="4">
        <v>121200</v>
      </c>
      <c r="AL602">
        <v>25</v>
      </c>
      <c r="AM602">
        <v>2.9531000000000001</v>
      </c>
      <c r="AN602" t="s">
        <v>81</v>
      </c>
      <c r="AO602" t="s">
        <v>99</v>
      </c>
      <c r="AP602" s="5">
        <v>44856</v>
      </c>
      <c r="AQ602" t="s">
        <v>116</v>
      </c>
      <c r="AR602" s="5">
        <v>44971</v>
      </c>
      <c r="AS602">
        <v>290.10660575213524</v>
      </c>
      <c r="AT602" s="6"/>
      <c r="AU602">
        <v>45.617472404280285</v>
      </c>
      <c r="AV602">
        <v>105.74236506066552</v>
      </c>
      <c r="AW602">
        <v>93.674692680790642</v>
      </c>
      <c r="AX602">
        <v>245.03453014573645</v>
      </c>
      <c r="AY602">
        <v>30.28710724781806</v>
      </c>
      <c r="AZ602">
        <v>91.032632458884407</v>
      </c>
      <c r="BA602">
        <v>24.760280182515505</v>
      </c>
      <c r="BB602">
        <v>33.408591138577897</v>
      </c>
      <c r="BC602">
        <v>41.722170205632167</v>
      </c>
      <c r="BD602">
        <v>221.21078123342807</v>
      </c>
      <c r="BE602">
        <v>-176.13870562702928</v>
      </c>
      <c r="BF602">
        <v>38.450666414249987</v>
      </c>
      <c r="BH602">
        <v>38.450666414249987</v>
      </c>
      <c r="BI602">
        <v>504.69597779341444</v>
      </c>
      <c r="BJ602" s="6">
        <v>207</v>
      </c>
      <c r="BK602">
        <v>-214.58937204127918</v>
      </c>
      <c r="BL602" s="4">
        <v>-1881.6419299999993</v>
      </c>
      <c r="BM602" t="s">
        <v>355</v>
      </c>
      <c r="BN602" t="s">
        <v>65</v>
      </c>
      <c r="BO602">
        <v>2</v>
      </c>
      <c r="BP602">
        <v>2023</v>
      </c>
      <c r="BQ602" t="str">
        <f t="shared" si="46"/>
        <v>Lucky12</v>
      </c>
      <c r="BR602">
        <f t="shared" si="47"/>
        <v>-2610.3680200000003</v>
      </c>
      <c r="BS602">
        <f t="shared" si="48"/>
        <v>2543.8200800000004</v>
      </c>
      <c r="BT602" s="6">
        <f t="shared" si="49"/>
        <v>-297.69597779341444</v>
      </c>
    </row>
    <row r="603" spans="1:72">
      <c r="A603" s="3" t="s">
        <v>113</v>
      </c>
      <c r="B603" s="3" t="s">
        <v>317</v>
      </c>
      <c r="C603" s="3" t="s">
        <v>354</v>
      </c>
      <c r="D603" s="2" t="s">
        <v>261</v>
      </c>
      <c r="E603" s="4" t="str">
        <f t="shared" si="45"/>
        <v>Lucky1BG-027-0011</v>
      </c>
      <c r="F603">
        <v>2.1</v>
      </c>
      <c r="G603">
        <v>1.75</v>
      </c>
      <c r="H603" t="s">
        <v>72</v>
      </c>
      <c r="I603" t="s">
        <v>67</v>
      </c>
      <c r="J603" t="s">
        <v>357</v>
      </c>
      <c r="K603" t="s">
        <v>89</v>
      </c>
      <c r="L603" t="s">
        <v>89</v>
      </c>
      <c r="M603">
        <v>0.88057553956834533</v>
      </c>
      <c r="N603" s="5">
        <v>45000</v>
      </c>
      <c r="O603" s="5">
        <v>45025</v>
      </c>
      <c r="P603">
        <v>1</v>
      </c>
      <c r="Q603" s="4">
        <v>170</v>
      </c>
      <c r="R603">
        <v>0.38</v>
      </c>
      <c r="S603" t="s">
        <v>70</v>
      </c>
      <c r="T603" s="6">
        <v>2</v>
      </c>
      <c r="U603" s="5">
        <v>45083</v>
      </c>
      <c r="V603" s="6">
        <v>2</v>
      </c>
      <c r="W603" t="s">
        <v>71</v>
      </c>
      <c r="X603" s="6">
        <v>58</v>
      </c>
      <c r="Y603">
        <v>7.30342</v>
      </c>
      <c r="Z603">
        <v>3.4778190476190476</v>
      </c>
      <c r="AA603" s="6">
        <v>52.27044316224454</v>
      </c>
      <c r="AB603" s="4">
        <v>38.1753</v>
      </c>
      <c r="AC603" s="6">
        <v>19.131270743124482</v>
      </c>
      <c r="AD603">
        <v>0.331514537</v>
      </c>
      <c r="AE603">
        <v>2.5095761091243132</v>
      </c>
      <c r="AF603">
        <v>17375</v>
      </c>
      <c r="AG603" s="4">
        <v>5040</v>
      </c>
      <c r="AH603" s="4">
        <v>15300</v>
      </c>
      <c r="AL603">
        <v>51</v>
      </c>
      <c r="AM603">
        <v>5.7583599999999997</v>
      </c>
      <c r="AN603" t="s">
        <v>77</v>
      </c>
      <c r="AO603" t="s">
        <v>117</v>
      </c>
      <c r="AP603" s="5">
        <v>45026</v>
      </c>
      <c r="AQ603" t="s">
        <v>144</v>
      </c>
      <c r="AR603" s="5">
        <v>45082</v>
      </c>
      <c r="AS603">
        <v>143.92012509208016</v>
      </c>
      <c r="AT603" s="6"/>
      <c r="AU603">
        <v>54.768861711362618</v>
      </c>
      <c r="AV603">
        <v>75.21444884725237</v>
      </c>
      <c r="AW603">
        <v>60.851664014940951</v>
      </c>
      <c r="AX603">
        <v>190.83497457355594</v>
      </c>
      <c r="AY603">
        <v>26.73340298106914</v>
      </c>
      <c r="AZ603">
        <v>47.690073965347743</v>
      </c>
      <c r="BA603">
        <v>8.0861924961182581</v>
      </c>
      <c r="BB603">
        <v>5.7094730961659055</v>
      </c>
      <c r="BC603">
        <v>22.900710899825015</v>
      </c>
      <c r="BD603">
        <v>111.11985343852606</v>
      </c>
      <c r="BE603">
        <v>-158.03470292000185</v>
      </c>
      <c r="BF603">
        <v>27.880955771405727</v>
      </c>
      <c r="BH603">
        <v>27.880955771405727</v>
      </c>
      <c r="BI603">
        <v>329.83578378348778</v>
      </c>
      <c r="BJ603" s="6">
        <v>166</v>
      </c>
      <c r="BK603">
        <v>-185.9156586914076</v>
      </c>
      <c r="BL603" s="4">
        <v>-1357.82014</v>
      </c>
      <c r="BM603" t="s">
        <v>361</v>
      </c>
      <c r="BN603" t="s">
        <v>65</v>
      </c>
      <c r="BO603">
        <v>6</v>
      </c>
      <c r="BP603">
        <v>2023</v>
      </c>
      <c r="BQ603" t="str">
        <f t="shared" si="46"/>
        <v>Lucky16</v>
      </c>
      <c r="BR603">
        <f t="shared" si="47"/>
        <v>-1196.5615400000004</v>
      </c>
      <c r="BS603">
        <f t="shared" si="48"/>
        <v>1051.1091200000001</v>
      </c>
      <c r="BT603" s="6">
        <f t="shared" si="49"/>
        <v>-163.83578378348778</v>
      </c>
    </row>
    <row r="604" spans="1:72">
      <c r="A604" s="3" t="s">
        <v>113</v>
      </c>
      <c r="B604" s="3" t="s">
        <v>317</v>
      </c>
      <c r="C604" s="3" t="s">
        <v>354</v>
      </c>
      <c r="D604" s="2" t="s">
        <v>367</v>
      </c>
      <c r="E604" s="4" t="str">
        <f t="shared" si="45"/>
        <v>Lucky1BG-028-0011</v>
      </c>
      <c r="F604">
        <v>2.1</v>
      </c>
      <c r="G604">
        <v>1.75</v>
      </c>
      <c r="H604" t="s">
        <v>72</v>
      </c>
      <c r="I604" t="s">
        <v>67</v>
      </c>
      <c r="J604" t="s">
        <v>357</v>
      </c>
      <c r="K604" t="s">
        <v>89</v>
      </c>
      <c r="L604" t="s">
        <v>89</v>
      </c>
      <c r="M604">
        <v>3.8102766798418974</v>
      </c>
      <c r="N604" s="5">
        <v>44835</v>
      </c>
      <c r="O604" s="5">
        <v>44853</v>
      </c>
      <c r="P604">
        <v>1</v>
      </c>
      <c r="Q604" s="4">
        <v>170</v>
      </c>
      <c r="R604">
        <v>0.13</v>
      </c>
      <c r="S604" t="s">
        <v>70</v>
      </c>
      <c r="T604" s="6">
        <v>3</v>
      </c>
      <c r="U604" s="5">
        <v>44975</v>
      </c>
      <c r="V604" s="6">
        <v>2</v>
      </c>
      <c r="W604" t="s">
        <v>71</v>
      </c>
      <c r="X604" s="6">
        <v>122</v>
      </c>
      <c r="Y604">
        <v>8.5846299999999989</v>
      </c>
      <c r="Z604">
        <v>4.0879190476190468</v>
      </c>
      <c r="AA604" s="6">
        <v>28.688831085323425</v>
      </c>
      <c r="AB604" s="4">
        <v>24.628299999999999</v>
      </c>
      <c r="AC604" s="6">
        <v>34.856770463247557</v>
      </c>
      <c r="AD604">
        <v>0.326803279</v>
      </c>
      <c r="AE604">
        <v>3.7405539923095397</v>
      </c>
      <c r="AF604">
        <v>31625</v>
      </c>
      <c r="AG604" s="4">
        <v>5040</v>
      </c>
      <c r="AH604" s="4">
        <v>120500</v>
      </c>
      <c r="AL604">
        <v>25</v>
      </c>
      <c r="AM604">
        <v>4.4085400000000003</v>
      </c>
      <c r="AN604" t="s">
        <v>81</v>
      </c>
      <c r="AO604" t="s">
        <v>102</v>
      </c>
      <c r="AP604" s="5">
        <v>44856</v>
      </c>
      <c r="AQ604" t="s">
        <v>144</v>
      </c>
      <c r="AR604" s="5">
        <v>44972</v>
      </c>
      <c r="AS604">
        <v>280.78887500101928</v>
      </c>
      <c r="AT604" s="6"/>
      <c r="AU604">
        <v>46.594902750613592</v>
      </c>
      <c r="AV604">
        <v>112.76295076200141</v>
      </c>
      <c r="AW604">
        <v>94.915130879257461</v>
      </c>
      <c r="AX604">
        <v>254.27298439187246</v>
      </c>
      <c r="AY604">
        <v>31.582955817548342</v>
      </c>
      <c r="AZ604">
        <v>94.692901150078697</v>
      </c>
      <c r="BA604">
        <v>25.371639779466324</v>
      </c>
      <c r="BB604">
        <v>34.214652233118962</v>
      </c>
      <c r="BC604">
        <v>43.436327482955015</v>
      </c>
      <c r="BD604">
        <v>229.29847646316733</v>
      </c>
      <c r="BE604">
        <v>-202.78258585402051</v>
      </c>
      <c r="BF604">
        <v>39.972693057243006</v>
      </c>
      <c r="BH604">
        <v>39.972693057243006</v>
      </c>
      <c r="BI604">
        <v>523.54415391228292</v>
      </c>
      <c r="BJ604" s="6">
        <v>204</v>
      </c>
      <c r="BK604">
        <v>-242.75527891126359</v>
      </c>
      <c r="BL604" s="4">
        <v>-2083.9642500000004</v>
      </c>
      <c r="BM604" t="s">
        <v>368</v>
      </c>
      <c r="BN604" t="s">
        <v>65</v>
      </c>
      <c r="BO604">
        <v>2</v>
      </c>
      <c r="BP604">
        <v>2023</v>
      </c>
      <c r="BQ604" t="str">
        <f t="shared" si="46"/>
        <v>Lucky12</v>
      </c>
      <c r="BR604">
        <f t="shared" si="47"/>
        <v>-2743.1683300000009</v>
      </c>
      <c r="BS604">
        <f t="shared" si="48"/>
        <v>2410.4685999999997</v>
      </c>
      <c r="BT604" s="6">
        <f t="shared" si="49"/>
        <v>-319.54415391228292</v>
      </c>
    </row>
    <row r="605" spans="1:72">
      <c r="A605" s="3" t="s">
        <v>113</v>
      </c>
      <c r="B605" s="3" t="s">
        <v>317</v>
      </c>
      <c r="C605" s="3" t="s">
        <v>354</v>
      </c>
      <c r="D605" s="2" t="s">
        <v>270</v>
      </c>
      <c r="E605" s="4" t="str">
        <f t="shared" si="45"/>
        <v>Lucky1BG-027-0010</v>
      </c>
      <c r="F605">
        <v>2.1</v>
      </c>
      <c r="G605">
        <v>1.75</v>
      </c>
      <c r="H605" t="s">
        <v>72</v>
      </c>
      <c r="I605" t="s">
        <v>67</v>
      </c>
      <c r="J605" t="s">
        <v>357</v>
      </c>
      <c r="K605" t="s">
        <v>89</v>
      </c>
      <c r="L605" t="s">
        <v>89</v>
      </c>
      <c r="M605">
        <v>3.8542510121457489</v>
      </c>
      <c r="N605" s="5">
        <v>44835</v>
      </c>
      <c r="O605" s="5">
        <v>44860</v>
      </c>
      <c r="P605">
        <v>0.8</v>
      </c>
      <c r="Q605" s="4">
        <v>136</v>
      </c>
      <c r="R605">
        <v>0.25</v>
      </c>
      <c r="S605" t="s">
        <v>70</v>
      </c>
      <c r="T605" s="6">
        <v>3</v>
      </c>
      <c r="U605" s="5">
        <v>44982</v>
      </c>
      <c r="V605" s="6">
        <v>2</v>
      </c>
      <c r="W605" t="s">
        <v>71</v>
      </c>
      <c r="X605" s="6">
        <v>122</v>
      </c>
      <c r="Y605">
        <v>13.00033</v>
      </c>
      <c r="Z605">
        <v>6.1906333333333334</v>
      </c>
      <c r="AA605" s="6">
        <v>26.859010502041102</v>
      </c>
      <c r="AB605" s="4">
        <v>43.647000000000006</v>
      </c>
      <c r="AC605" s="6">
        <v>37.231453479047815</v>
      </c>
      <c r="AD605">
        <v>0.325819672</v>
      </c>
      <c r="AE605">
        <v>2.4120471894083981</v>
      </c>
      <c r="AF605">
        <v>30875</v>
      </c>
      <c r="AG605" s="4">
        <v>5040</v>
      </c>
      <c r="AH605" s="4">
        <v>119000</v>
      </c>
      <c r="AL605">
        <v>25</v>
      </c>
      <c r="AM605">
        <v>6.1283900000000004</v>
      </c>
      <c r="AN605" t="s">
        <v>81</v>
      </c>
      <c r="AO605" t="s">
        <v>92</v>
      </c>
      <c r="AP605" s="5">
        <v>44863</v>
      </c>
      <c r="AQ605" t="s">
        <v>116</v>
      </c>
      <c r="AR605" s="5">
        <v>44968</v>
      </c>
      <c r="AS605">
        <v>293.2351509538604</v>
      </c>
      <c r="AT605" s="6"/>
      <c r="AU605">
        <v>24.614759779174832</v>
      </c>
      <c r="AV605">
        <v>73.66476004839879</v>
      </c>
      <c r="AW605">
        <v>66.955448054010958</v>
      </c>
      <c r="AX605">
        <v>165.23496788158457</v>
      </c>
      <c r="AY605">
        <v>22.350571100887439</v>
      </c>
      <c r="AZ605">
        <v>66.481004712957272</v>
      </c>
      <c r="BA605">
        <v>16.940723043184288</v>
      </c>
      <c r="BB605">
        <v>22.801814261637968</v>
      </c>
      <c r="BC605">
        <v>30.578329165490413</v>
      </c>
      <c r="BD605">
        <v>159.15244228415742</v>
      </c>
      <c r="BE605">
        <v>-31.152259211881585</v>
      </c>
      <c r="BF605">
        <v>28.009132845089319</v>
      </c>
      <c r="BH605">
        <v>28.009132845089319</v>
      </c>
      <c r="BI605">
        <v>352.39654301083129</v>
      </c>
      <c r="BJ605" s="6">
        <v>210</v>
      </c>
      <c r="BK605">
        <v>-59.161392056970904</v>
      </c>
      <c r="BL605" s="4">
        <v>-769.11762000000056</v>
      </c>
      <c r="BM605" t="s">
        <v>370</v>
      </c>
      <c r="BN605" t="s">
        <v>65</v>
      </c>
      <c r="BO605">
        <v>2</v>
      </c>
      <c r="BP605">
        <v>2023</v>
      </c>
      <c r="BQ605" t="str">
        <f t="shared" si="46"/>
        <v>Lucky12</v>
      </c>
      <c r="BR605">
        <f t="shared" si="47"/>
        <v>-1851.2020500000003</v>
      </c>
      <c r="BS605">
        <f t="shared" si="48"/>
        <v>3812.15373</v>
      </c>
      <c r="BT605" s="6">
        <f t="shared" si="49"/>
        <v>-142.39654301083129</v>
      </c>
    </row>
    <row r="606" spans="1:72">
      <c r="A606" s="3" t="s">
        <v>113</v>
      </c>
      <c r="B606" s="3" t="s">
        <v>317</v>
      </c>
      <c r="C606" s="3" t="s">
        <v>354</v>
      </c>
      <c r="D606" s="2" t="s">
        <v>356</v>
      </c>
      <c r="E606" s="4" t="str">
        <f t="shared" si="45"/>
        <v>Lucky1BG-028-0013</v>
      </c>
      <c r="F606">
        <v>2.1</v>
      </c>
      <c r="G606">
        <v>1.75</v>
      </c>
      <c r="H606" t="s">
        <v>72</v>
      </c>
      <c r="I606" t="s">
        <v>67</v>
      </c>
      <c r="J606" t="s">
        <v>357</v>
      </c>
      <c r="K606" t="s">
        <v>89</v>
      </c>
      <c r="L606" t="s">
        <v>89</v>
      </c>
      <c r="M606">
        <v>0.89708141321044543</v>
      </c>
      <c r="N606" s="5">
        <v>45108</v>
      </c>
      <c r="O606" s="5">
        <v>45137</v>
      </c>
      <c r="P606">
        <v>1</v>
      </c>
      <c r="Q606" s="4">
        <v>170</v>
      </c>
      <c r="R606">
        <v>0.35</v>
      </c>
      <c r="S606" t="s">
        <v>70</v>
      </c>
      <c r="T606" s="6">
        <v>1</v>
      </c>
      <c r="U606" s="5">
        <v>45188</v>
      </c>
      <c r="V606" s="6">
        <v>2</v>
      </c>
      <c r="W606" t="s">
        <v>71</v>
      </c>
      <c r="X606" s="6">
        <v>51</v>
      </c>
      <c r="Y606">
        <v>12.7433</v>
      </c>
      <c r="Z606">
        <v>6.0682380952380948</v>
      </c>
      <c r="AA606" s="6">
        <v>67.999576247910667</v>
      </c>
      <c r="AB606" s="4">
        <v>86.653899999999993</v>
      </c>
      <c r="AC606" s="6">
        <v>14.705973995400091</v>
      </c>
      <c r="AD606">
        <v>0.28148788899999999</v>
      </c>
      <c r="AE606">
        <v>1.3132127356218337</v>
      </c>
      <c r="AF606">
        <v>16275</v>
      </c>
      <c r="AG606" s="4">
        <v>5040</v>
      </c>
      <c r="AH606" s="4">
        <v>14600</v>
      </c>
      <c r="AI606" t="s">
        <v>73</v>
      </c>
      <c r="AJ606" t="s">
        <v>73</v>
      </c>
      <c r="AK606" t="s">
        <v>130</v>
      </c>
      <c r="AL606">
        <v>68</v>
      </c>
      <c r="AM606">
        <v>12.738250000000001</v>
      </c>
      <c r="AN606" t="s">
        <v>73</v>
      </c>
      <c r="AO606" t="s">
        <v>136</v>
      </c>
      <c r="AP606" s="5">
        <v>45138</v>
      </c>
      <c r="AQ606" t="s">
        <v>131</v>
      </c>
      <c r="AR606" s="5">
        <v>45187</v>
      </c>
      <c r="AS606">
        <v>148.83290042610625</v>
      </c>
      <c r="AT606" s="6"/>
      <c r="AU606">
        <v>31.389043654312463</v>
      </c>
      <c r="AV606">
        <v>36.638335439015016</v>
      </c>
      <c r="AW606">
        <v>51.438810198300288</v>
      </c>
      <c r="AX606">
        <v>119.46618929162778</v>
      </c>
      <c r="AY606">
        <v>17.226999285899257</v>
      </c>
      <c r="AZ606">
        <v>37.315212700007066</v>
      </c>
      <c r="BA606">
        <v>15.098717757566721</v>
      </c>
      <c r="BB606">
        <v>10.413653449263535</v>
      </c>
      <c r="BC606">
        <v>22.189599240385146</v>
      </c>
      <c r="BD606">
        <v>102.24418243312172</v>
      </c>
      <c r="BE606">
        <v>-72.877471298643258</v>
      </c>
      <c r="BF606">
        <v>18.156497924399488</v>
      </c>
      <c r="BH606">
        <v>18.156497924399488</v>
      </c>
      <c r="BI606">
        <v>239.86686964914901</v>
      </c>
      <c r="BJ606" s="6">
        <v>149</v>
      </c>
      <c r="BK606">
        <v>-91.033969223042746</v>
      </c>
      <c r="BL606" s="4">
        <v>-1160.0731800000005</v>
      </c>
      <c r="BM606" t="s">
        <v>358</v>
      </c>
      <c r="BN606" t="s">
        <v>65</v>
      </c>
      <c r="BO606">
        <v>9</v>
      </c>
      <c r="BP606">
        <v>2023</v>
      </c>
      <c r="BQ606" t="str">
        <f t="shared" si="46"/>
        <v>Lucky19</v>
      </c>
      <c r="BR606">
        <f t="shared" si="47"/>
        <v>-1157.9437800000005</v>
      </c>
      <c r="BS606">
        <f t="shared" si="48"/>
        <v>1896.6222999999998</v>
      </c>
      <c r="BT606" s="6">
        <f t="shared" si="49"/>
        <v>-90.86686964914901</v>
      </c>
    </row>
    <row r="607" spans="1:72">
      <c r="A607" s="3" t="s">
        <v>113</v>
      </c>
      <c r="B607" s="3" t="s">
        <v>317</v>
      </c>
      <c r="C607" s="3" t="s">
        <v>319</v>
      </c>
      <c r="D607" s="2" t="s">
        <v>342</v>
      </c>
      <c r="E607" s="4" t="str">
        <f t="shared" si="45"/>
        <v>Lucky1B1-015-0007</v>
      </c>
      <c r="F607">
        <v>2.1</v>
      </c>
      <c r="G607">
        <v>1.5</v>
      </c>
      <c r="H607" t="s">
        <v>72</v>
      </c>
      <c r="I607" t="s">
        <v>75</v>
      </c>
      <c r="K607" t="s">
        <v>79</v>
      </c>
      <c r="L607" t="s">
        <v>79</v>
      </c>
      <c r="M607">
        <v>2.6835443037974684</v>
      </c>
      <c r="N607" s="5">
        <v>44972</v>
      </c>
      <c r="O607" s="5">
        <v>44996</v>
      </c>
      <c r="P607">
        <v>0.6</v>
      </c>
      <c r="Q607" s="4">
        <v>119</v>
      </c>
      <c r="R607">
        <v>0.45</v>
      </c>
      <c r="S607" t="s">
        <v>70</v>
      </c>
      <c r="T607" s="6">
        <v>4</v>
      </c>
      <c r="U607" s="5">
        <v>45070</v>
      </c>
      <c r="V607" s="6">
        <v>1</v>
      </c>
      <c r="W607" t="s">
        <v>86</v>
      </c>
      <c r="X607" s="6">
        <v>74</v>
      </c>
      <c r="Y607">
        <v>17.339279999999999</v>
      </c>
      <c r="Z607">
        <v>8.2567999999999984</v>
      </c>
      <c r="AA607" s="6">
        <v>39.370608237481605</v>
      </c>
      <c r="AB607" s="4">
        <v>113.77633333333333</v>
      </c>
      <c r="AC607" s="6">
        <v>25.399658394100705</v>
      </c>
      <c r="AD607">
        <v>0.35914901399999999</v>
      </c>
      <c r="AE607">
        <v>1.7355740839683924</v>
      </c>
      <c r="AF607">
        <v>29625</v>
      </c>
      <c r="AG607" s="4">
        <v>5040</v>
      </c>
      <c r="AH607" s="4">
        <v>79500</v>
      </c>
      <c r="AL607">
        <v>37</v>
      </c>
      <c r="AM607">
        <v>6.2914500000000002</v>
      </c>
      <c r="AN607" t="s">
        <v>77</v>
      </c>
      <c r="AO607" t="s">
        <v>117</v>
      </c>
      <c r="AP607" s="5">
        <v>45003</v>
      </c>
      <c r="AQ607" t="s">
        <v>127</v>
      </c>
      <c r="AR607" s="5">
        <v>45066</v>
      </c>
      <c r="AS607">
        <v>186.95233539108892</v>
      </c>
      <c r="AT607" s="6"/>
      <c r="AU607">
        <v>15.571580826885542</v>
      </c>
      <c r="AV607">
        <v>54.459979883824474</v>
      </c>
      <c r="AW607">
        <v>33.539239806958541</v>
      </c>
      <c r="AX607">
        <v>103.57080051766856</v>
      </c>
      <c r="AY607">
        <v>15.050241417175339</v>
      </c>
      <c r="AZ607">
        <v>36.638699530776371</v>
      </c>
      <c r="BA607">
        <v>4.9246000987353575</v>
      </c>
      <c r="BB607">
        <v>5.4600750434850811</v>
      </c>
      <c r="BC607">
        <v>15.453890242270727</v>
      </c>
      <c r="BD607">
        <v>77.527506332442883</v>
      </c>
      <c r="BE607">
        <v>5.854028540977481</v>
      </c>
      <c r="BF607">
        <v>12.307215178484919</v>
      </c>
      <c r="BH607">
        <v>12.307215178484919</v>
      </c>
      <c r="BI607">
        <v>193.40552202859635</v>
      </c>
      <c r="BJ607" s="6">
        <v>183</v>
      </c>
      <c r="BK607">
        <v>-6.4531866375074323</v>
      </c>
      <c r="BL607" s="4">
        <v>-111.89360999999987</v>
      </c>
      <c r="BM607" t="s">
        <v>318</v>
      </c>
      <c r="BN607" t="s">
        <v>65</v>
      </c>
      <c r="BO607">
        <v>5</v>
      </c>
      <c r="BP607">
        <v>2023</v>
      </c>
      <c r="BQ607" t="str">
        <f t="shared" si="46"/>
        <v>Lucky15</v>
      </c>
      <c r="BR607">
        <f t="shared" si="47"/>
        <v>-180.42426000000012</v>
      </c>
      <c r="BS607">
        <f t="shared" si="48"/>
        <v>3241.6188900000002</v>
      </c>
      <c r="BT607" s="6">
        <f t="shared" si="49"/>
        <v>-10.405522028596351</v>
      </c>
    </row>
    <row r="608" spans="1:72">
      <c r="A608" s="3" t="s">
        <v>113</v>
      </c>
      <c r="B608" s="3" t="s">
        <v>317</v>
      </c>
      <c r="C608" s="3" t="s">
        <v>319</v>
      </c>
      <c r="D608" s="2" t="s">
        <v>343</v>
      </c>
      <c r="E608" s="4" t="str">
        <f t="shared" si="45"/>
        <v>Lucky1B1-017-0013</v>
      </c>
      <c r="F608">
        <v>2.1</v>
      </c>
      <c r="G608">
        <v>1.75</v>
      </c>
      <c r="H608" t="s">
        <v>72</v>
      </c>
      <c r="I608" t="s">
        <v>75</v>
      </c>
      <c r="J608" t="s">
        <v>68</v>
      </c>
      <c r="K608" t="s">
        <v>79</v>
      </c>
      <c r="L608" t="s">
        <v>79</v>
      </c>
      <c r="M608">
        <v>2.0411073825503356</v>
      </c>
      <c r="N608" s="5">
        <v>44972</v>
      </c>
      <c r="O608" s="5">
        <v>44992</v>
      </c>
      <c r="P608">
        <v>0.8</v>
      </c>
      <c r="Q608" s="4">
        <v>136</v>
      </c>
      <c r="R608">
        <v>0.6</v>
      </c>
      <c r="S608" t="s">
        <v>70</v>
      </c>
      <c r="T608" s="6">
        <v>4</v>
      </c>
      <c r="U608" s="5">
        <v>45067</v>
      </c>
      <c r="V608" s="6">
        <v>1</v>
      </c>
      <c r="W608" t="s">
        <v>86</v>
      </c>
      <c r="X608" s="6">
        <v>75</v>
      </c>
      <c r="Y608">
        <v>16.751049999999999</v>
      </c>
      <c r="Z608">
        <v>7.9766904761904751</v>
      </c>
      <c r="AA608" s="6">
        <v>38.662173415994822</v>
      </c>
      <c r="AB608" s="4">
        <v>80.954000000000008</v>
      </c>
      <c r="AC608" s="6">
        <v>25.865074610272497</v>
      </c>
      <c r="AD608">
        <v>0.35236035999999998</v>
      </c>
      <c r="AE608">
        <v>1.8314736910033464</v>
      </c>
      <c r="AF608">
        <v>29800</v>
      </c>
      <c r="AG608" s="4">
        <v>5040</v>
      </c>
      <c r="AH608" s="4">
        <v>60825</v>
      </c>
      <c r="AL608">
        <v>37</v>
      </c>
      <c r="AM608">
        <v>6.4575100000000001</v>
      </c>
      <c r="AN608" t="s">
        <v>77</v>
      </c>
      <c r="AO608" t="s">
        <v>157</v>
      </c>
      <c r="AP608" s="5">
        <v>45003</v>
      </c>
      <c r="AQ608" t="s">
        <v>74</v>
      </c>
      <c r="AR608" s="5">
        <v>45059</v>
      </c>
      <c r="AS608">
        <v>187.45205345336561</v>
      </c>
      <c r="AT608" s="6"/>
      <c r="AU608">
        <v>21.491190104500916</v>
      </c>
      <c r="AV608">
        <v>56.963119326848165</v>
      </c>
      <c r="AW608">
        <v>35.462408028153462</v>
      </c>
      <c r="AX608">
        <v>113.91671745950255</v>
      </c>
      <c r="AY608">
        <v>15.031671447461505</v>
      </c>
      <c r="AZ608">
        <v>36.532906892403773</v>
      </c>
      <c r="BA608">
        <v>4.9707116867300858</v>
      </c>
      <c r="BB608">
        <v>5.4563349760164286</v>
      </c>
      <c r="BC608">
        <v>15.307483411487636</v>
      </c>
      <c r="BD608">
        <v>77.299108414099436</v>
      </c>
      <c r="BE608">
        <v>-3.7637724202363785</v>
      </c>
      <c r="BF608">
        <v>12.315889451706012</v>
      </c>
      <c r="BH608">
        <v>12.315889451706012</v>
      </c>
      <c r="BI608">
        <v>203.531715325308</v>
      </c>
      <c r="BJ608" s="6">
        <v>184</v>
      </c>
      <c r="BK608">
        <v>-16.079661871942395</v>
      </c>
      <c r="BL608" s="4">
        <v>-269.35122000000069</v>
      </c>
      <c r="BM608" t="s">
        <v>344</v>
      </c>
      <c r="BN608" t="s">
        <v>65</v>
      </c>
      <c r="BO608">
        <v>5</v>
      </c>
      <c r="BP608">
        <v>2023</v>
      </c>
      <c r="BQ608" t="str">
        <f t="shared" si="46"/>
        <v>Lucky15</v>
      </c>
      <c r="BR608">
        <f t="shared" si="47"/>
        <v>-327.17674000000056</v>
      </c>
      <c r="BS608">
        <f t="shared" si="48"/>
        <v>3140.01872</v>
      </c>
      <c r="BT608" s="6">
        <f t="shared" si="49"/>
        <v>-19.531715325307999</v>
      </c>
    </row>
    <row r="609" spans="1:72">
      <c r="A609" s="3" t="s">
        <v>113</v>
      </c>
      <c r="B609" s="3" t="s">
        <v>317</v>
      </c>
      <c r="C609" s="3" t="s">
        <v>319</v>
      </c>
      <c r="D609" s="2" t="s">
        <v>349</v>
      </c>
      <c r="E609" s="4" t="str">
        <f t="shared" si="45"/>
        <v>Lucky1B1-020-0010</v>
      </c>
      <c r="F609">
        <v>2.1</v>
      </c>
      <c r="G609">
        <v>1.75</v>
      </c>
      <c r="H609" t="s">
        <v>72</v>
      </c>
      <c r="I609" t="s">
        <v>75</v>
      </c>
      <c r="J609" t="s">
        <v>68</v>
      </c>
      <c r="K609" t="s">
        <v>79</v>
      </c>
      <c r="L609" t="s">
        <v>79</v>
      </c>
      <c r="M609">
        <v>1.9613930348258706</v>
      </c>
      <c r="N609" s="5">
        <v>44849</v>
      </c>
      <c r="O609" s="5">
        <v>44879</v>
      </c>
      <c r="P609">
        <v>0.55000000000000004</v>
      </c>
      <c r="Q609" s="4">
        <v>94</v>
      </c>
      <c r="R609">
        <v>0.2</v>
      </c>
      <c r="S609" t="s">
        <v>70</v>
      </c>
      <c r="T609" s="6">
        <v>2</v>
      </c>
      <c r="U609" s="5">
        <v>44977</v>
      </c>
      <c r="V609" s="6">
        <v>1</v>
      </c>
      <c r="W609" t="s">
        <v>86</v>
      </c>
      <c r="X609" s="6">
        <v>98</v>
      </c>
      <c r="Y609">
        <v>16.936910000000001</v>
      </c>
      <c r="Z609">
        <v>8.0651952380952388</v>
      </c>
      <c r="AA609" s="6">
        <v>31.108094687873997</v>
      </c>
      <c r="AB609" s="4">
        <v>95.795454545454547</v>
      </c>
      <c r="AC609" s="6">
        <v>32.14597390272835</v>
      </c>
      <c r="AD609">
        <v>0.33809523800000002</v>
      </c>
      <c r="AE609">
        <v>1.791772821034878</v>
      </c>
      <c r="AF609">
        <v>30150</v>
      </c>
      <c r="AG609" s="4">
        <v>5040</v>
      </c>
      <c r="AH609" s="4">
        <v>59136</v>
      </c>
      <c r="AL609">
        <v>30</v>
      </c>
      <c r="AM609">
        <v>14.847370000000002</v>
      </c>
      <c r="AN609" t="s">
        <v>81</v>
      </c>
      <c r="AO609" t="s">
        <v>106</v>
      </c>
      <c r="AP609" s="5">
        <v>44884</v>
      </c>
      <c r="AQ609" t="s">
        <v>144</v>
      </c>
      <c r="AR609" s="5">
        <v>44968</v>
      </c>
      <c r="AS609">
        <v>256.11173643834684</v>
      </c>
      <c r="AT609" s="6"/>
      <c r="AU609">
        <v>12.989382360773009</v>
      </c>
      <c r="AV609">
        <v>55.641856749548765</v>
      </c>
      <c r="AW609">
        <v>43.492481804532211</v>
      </c>
      <c r="AX609">
        <v>112.12372091485399</v>
      </c>
      <c r="AY609">
        <v>14.353148242507046</v>
      </c>
      <c r="AZ609">
        <v>36.685217669574911</v>
      </c>
      <c r="BA609">
        <v>6.1592952905813396</v>
      </c>
      <c r="BB609">
        <v>11.957449735518463</v>
      </c>
      <c r="BC609">
        <v>15.088232741391433</v>
      </c>
      <c r="BD609">
        <v>84.243343679573186</v>
      </c>
      <c r="BE609">
        <v>59.744671843919647</v>
      </c>
      <c r="BF609">
        <v>11.824995822732715</v>
      </c>
      <c r="BH609">
        <v>11.824995822732715</v>
      </c>
      <c r="BI609">
        <v>208.19206041715989</v>
      </c>
      <c r="BJ609" s="6">
        <v>194</v>
      </c>
      <c r="BK609">
        <v>47.91967602118693</v>
      </c>
      <c r="BL609" s="4">
        <v>811.6112400000012</v>
      </c>
      <c r="BM609" t="s">
        <v>350</v>
      </c>
      <c r="BN609" t="s">
        <v>65</v>
      </c>
      <c r="BO609">
        <v>2</v>
      </c>
      <c r="BP609">
        <v>2023</v>
      </c>
      <c r="BQ609" t="str">
        <f t="shared" si="46"/>
        <v>Lucky12</v>
      </c>
      <c r="BR609">
        <f t="shared" si="47"/>
        <v>-240.36964999999958</v>
      </c>
      <c r="BS609">
        <f t="shared" si="48"/>
        <v>4337.7414300000009</v>
      </c>
      <c r="BT609" s="6">
        <f t="shared" si="49"/>
        <v>-14.192060417159894</v>
      </c>
    </row>
    <row r="610" spans="1:72">
      <c r="A610" s="3" t="s">
        <v>113</v>
      </c>
      <c r="B610" s="3" t="s">
        <v>317</v>
      </c>
      <c r="C610" s="3" t="s">
        <v>319</v>
      </c>
      <c r="D610" s="2" t="s">
        <v>345</v>
      </c>
      <c r="E610" s="4" t="str">
        <f t="shared" si="45"/>
        <v>Lucky1B1-019-0012</v>
      </c>
      <c r="F610">
        <v>2.1</v>
      </c>
      <c r="G610">
        <v>1.75</v>
      </c>
      <c r="H610" t="s">
        <v>72</v>
      </c>
      <c r="I610" t="s">
        <v>75</v>
      </c>
      <c r="J610" t="s">
        <v>68</v>
      </c>
      <c r="K610" t="s">
        <v>79</v>
      </c>
      <c r="L610" t="s">
        <v>79</v>
      </c>
      <c r="M610">
        <v>2.8419816513761469</v>
      </c>
      <c r="N610" s="5">
        <v>44849</v>
      </c>
      <c r="O610" s="5">
        <v>44871</v>
      </c>
      <c r="P610">
        <v>0.55000000000000004</v>
      </c>
      <c r="Q610" s="4">
        <v>94</v>
      </c>
      <c r="R610">
        <v>0.19</v>
      </c>
      <c r="S610" t="s">
        <v>70</v>
      </c>
      <c r="T610" s="6">
        <v>2</v>
      </c>
      <c r="U610" s="5">
        <v>44971</v>
      </c>
      <c r="V610" s="6">
        <v>1</v>
      </c>
      <c r="W610" t="s">
        <v>86</v>
      </c>
      <c r="X610" s="6">
        <v>100</v>
      </c>
      <c r="Y610">
        <v>15.710430000000001</v>
      </c>
      <c r="Z610">
        <v>7.4811571428571426</v>
      </c>
      <c r="AA610" s="6">
        <v>33.002024769532085</v>
      </c>
      <c r="AB610" s="4">
        <v>94.268363636363645</v>
      </c>
      <c r="AC610" s="6">
        <v>30.301171124603648</v>
      </c>
      <c r="AD610">
        <v>0.31059999999999999</v>
      </c>
      <c r="AE610">
        <v>1.7461311181070271</v>
      </c>
      <c r="AF610">
        <v>27250</v>
      </c>
      <c r="AG610" s="4">
        <v>5040</v>
      </c>
      <c r="AH610" s="4">
        <v>77444</v>
      </c>
      <c r="AL610">
        <v>32</v>
      </c>
      <c r="AM610">
        <v>14.48443</v>
      </c>
      <c r="AN610" t="s">
        <v>73</v>
      </c>
      <c r="AO610" t="s">
        <v>106</v>
      </c>
      <c r="AP610" s="5">
        <v>44877</v>
      </c>
      <c r="AQ610" t="s">
        <v>144</v>
      </c>
      <c r="AR610" s="5">
        <v>44968</v>
      </c>
      <c r="AS610">
        <v>256.16262126498134</v>
      </c>
      <c r="AT610" s="6"/>
      <c r="AU610">
        <v>14.003435933962342</v>
      </c>
      <c r="AV610">
        <v>53.737477586546007</v>
      </c>
      <c r="AW610">
        <v>44.628130484016033</v>
      </c>
      <c r="AX610">
        <v>112.36904400452438</v>
      </c>
      <c r="AY610">
        <v>14.314078608924135</v>
      </c>
      <c r="AZ610">
        <v>37.100301519436449</v>
      </c>
      <c r="BA610">
        <v>5.8160158569816351</v>
      </c>
      <c r="BB610">
        <v>12.444650464691291</v>
      </c>
      <c r="BC610">
        <v>14.744985974285873</v>
      </c>
      <c r="BD610">
        <v>84.420032424319388</v>
      </c>
      <c r="BE610">
        <v>59.373544836137583</v>
      </c>
      <c r="BF610">
        <v>11.779962738130017</v>
      </c>
      <c r="BH610">
        <v>11.779962738130017</v>
      </c>
      <c r="BI610">
        <v>208.56903916697377</v>
      </c>
      <c r="BJ610" s="6">
        <v>191</v>
      </c>
      <c r="BK610">
        <v>47.593582098007566</v>
      </c>
      <c r="BL610" s="4">
        <v>747.71564000000103</v>
      </c>
      <c r="BM610" t="s">
        <v>346</v>
      </c>
      <c r="BN610" t="s">
        <v>65</v>
      </c>
      <c r="BO610">
        <v>2</v>
      </c>
      <c r="BP610">
        <v>2023</v>
      </c>
      <c r="BQ610" t="str">
        <f t="shared" si="46"/>
        <v>Lucky12</v>
      </c>
      <c r="BR610">
        <f t="shared" si="47"/>
        <v>-276.01715999999971</v>
      </c>
      <c r="BS610">
        <f t="shared" si="48"/>
        <v>4024.424930000001</v>
      </c>
      <c r="BT610" s="6">
        <f t="shared" si="49"/>
        <v>-17.569039166973766</v>
      </c>
    </row>
    <row r="611" spans="1:72">
      <c r="A611" s="3" t="s">
        <v>113</v>
      </c>
      <c r="B611" s="3" t="s">
        <v>317</v>
      </c>
      <c r="C611" s="3" t="s">
        <v>319</v>
      </c>
      <c r="D611" s="2" t="s">
        <v>351</v>
      </c>
      <c r="E611" s="4" t="str">
        <f t="shared" si="45"/>
        <v>Lucky1B1-021-0013</v>
      </c>
      <c r="F611">
        <v>2.1</v>
      </c>
      <c r="G611">
        <v>1.75</v>
      </c>
      <c r="H611" t="s">
        <v>72</v>
      </c>
      <c r="I611" t="s">
        <v>75</v>
      </c>
      <c r="J611" t="s">
        <v>68</v>
      </c>
      <c r="K611" t="s">
        <v>79</v>
      </c>
      <c r="L611" t="s">
        <v>79</v>
      </c>
      <c r="M611">
        <v>2.6097012802275961</v>
      </c>
      <c r="N611" s="5">
        <v>44835</v>
      </c>
      <c r="O611" s="5">
        <v>44854</v>
      </c>
      <c r="P611">
        <v>0.55000000000000004</v>
      </c>
      <c r="Q611" s="4">
        <v>94</v>
      </c>
      <c r="R611">
        <v>0.19</v>
      </c>
      <c r="S611" t="s">
        <v>70</v>
      </c>
      <c r="T611" s="6">
        <v>4</v>
      </c>
      <c r="U611" s="5">
        <v>44979</v>
      </c>
      <c r="V611" s="6">
        <v>1</v>
      </c>
      <c r="W611" t="s">
        <v>86</v>
      </c>
      <c r="X611" s="6">
        <v>125.00000000000001</v>
      </c>
      <c r="Y611">
        <v>18.01126</v>
      </c>
      <c r="Z611">
        <v>8.5767904761904763</v>
      </c>
      <c r="AA611" s="6">
        <v>27.801219903549228</v>
      </c>
      <c r="AB611" s="4">
        <v>91.042727272727276</v>
      </c>
      <c r="AC611" s="6">
        <v>35.969644622405056</v>
      </c>
      <c r="AD611">
        <v>0.306172308</v>
      </c>
      <c r="AE611">
        <v>1.9629480296245996</v>
      </c>
      <c r="AF611">
        <v>35150</v>
      </c>
      <c r="AG611" s="4">
        <v>5040</v>
      </c>
      <c r="AH611" s="4">
        <v>91731</v>
      </c>
      <c r="AL611">
        <v>26</v>
      </c>
      <c r="AM611">
        <v>5.1939099999999998</v>
      </c>
      <c r="AN611" t="s">
        <v>81</v>
      </c>
      <c r="AO611" t="s">
        <v>90</v>
      </c>
      <c r="AP611" s="5">
        <v>44856</v>
      </c>
      <c r="AQ611" t="s">
        <v>144</v>
      </c>
      <c r="AR611" s="5">
        <v>44968</v>
      </c>
      <c r="AS611">
        <v>288.12959948387851</v>
      </c>
      <c r="AT611" s="6"/>
      <c r="AU611">
        <v>12.214581323016825</v>
      </c>
      <c r="AV611">
        <v>60.521305005868555</v>
      </c>
      <c r="AW611">
        <v>44.065591746496395</v>
      </c>
      <c r="AX611">
        <v>116.80147807538177</v>
      </c>
      <c r="AY611">
        <v>14.826670094152218</v>
      </c>
      <c r="AZ611">
        <v>36.644184804394591</v>
      </c>
      <c r="BA611">
        <v>6.8221556959368765</v>
      </c>
      <c r="BB611">
        <v>12.092549327476259</v>
      </c>
      <c r="BC611">
        <v>15.456659889424728</v>
      </c>
      <c r="BD611">
        <v>85.842219811384666</v>
      </c>
      <c r="BE611">
        <v>85.485901597112075</v>
      </c>
      <c r="BF611">
        <v>12.616655914133714</v>
      </c>
      <c r="BH611">
        <v>12.616655914133714</v>
      </c>
      <c r="BI611">
        <v>215.26035380090013</v>
      </c>
      <c r="BJ611" s="6">
        <v>207</v>
      </c>
      <c r="BK611">
        <v>72.869245682978359</v>
      </c>
      <c r="BL611" s="4">
        <v>1312.4669300000007</v>
      </c>
      <c r="BM611" t="s">
        <v>352</v>
      </c>
      <c r="BN611" t="s">
        <v>65</v>
      </c>
      <c r="BO611">
        <v>2</v>
      </c>
      <c r="BP611">
        <v>2023</v>
      </c>
      <c r="BQ611" t="str">
        <f t="shared" si="46"/>
        <v>Lucky12</v>
      </c>
      <c r="BR611">
        <f t="shared" si="47"/>
        <v>-148.77938000000054</v>
      </c>
      <c r="BS611">
        <f t="shared" si="48"/>
        <v>5189.5771300000015</v>
      </c>
      <c r="BT611" s="6">
        <f t="shared" si="49"/>
        <v>-8.260353800900134</v>
      </c>
    </row>
    <row r="612" spans="1:72">
      <c r="A612" s="3" t="s">
        <v>113</v>
      </c>
      <c r="B612" s="3" t="s">
        <v>317</v>
      </c>
      <c r="C612" s="3" t="s">
        <v>319</v>
      </c>
      <c r="D612" s="2" t="s">
        <v>347</v>
      </c>
      <c r="E612" s="4" t="str">
        <f t="shared" si="45"/>
        <v>Lucky1B1-018-0011</v>
      </c>
      <c r="F612">
        <v>2.1</v>
      </c>
      <c r="G612">
        <v>1.75</v>
      </c>
      <c r="H612" t="s">
        <v>72</v>
      </c>
      <c r="I612" t="s">
        <v>75</v>
      </c>
      <c r="J612" t="s">
        <v>68</v>
      </c>
      <c r="K612" t="s">
        <v>79</v>
      </c>
      <c r="L612" t="s">
        <v>79</v>
      </c>
      <c r="M612">
        <v>2.9026796805678794</v>
      </c>
      <c r="N612" s="5">
        <v>44835</v>
      </c>
      <c r="O612" s="5">
        <v>44860</v>
      </c>
      <c r="P612">
        <v>0.55000000000000004</v>
      </c>
      <c r="Q612" s="4">
        <v>94</v>
      </c>
      <c r="R612">
        <v>0.25</v>
      </c>
      <c r="S612" t="s">
        <v>70</v>
      </c>
      <c r="T612" s="6">
        <v>4</v>
      </c>
      <c r="U612" s="5">
        <v>44967</v>
      </c>
      <c r="V612" s="6">
        <v>1</v>
      </c>
      <c r="W612" t="s">
        <v>86</v>
      </c>
      <c r="X612" s="6">
        <v>107</v>
      </c>
      <c r="Y612">
        <v>14.800240000000001</v>
      </c>
      <c r="Z612">
        <v>7.0477333333333334</v>
      </c>
      <c r="AA612" s="6">
        <v>31.638270730744907</v>
      </c>
      <c r="AB612" s="4">
        <v>85.137090909090901</v>
      </c>
      <c r="AC612" s="6">
        <v>31.607290060522708</v>
      </c>
      <c r="AD612">
        <v>0.29914078999999999</v>
      </c>
      <c r="AE612">
        <v>1.9215411066576371</v>
      </c>
      <c r="AF612">
        <v>28175</v>
      </c>
      <c r="AG612" s="4">
        <v>5040</v>
      </c>
      <c r="AH612" s="4">
        <v>81783</v>
      </c>
      <c r="AL612">
        <v>31.000000000000004</v>
      </c>
      <c r="AM612">
        <v>5.4478</v>
      </c>
      <c r="AN612" t="s">
        <v>81</v>
      </c>
      <c r="AO612" t="s">
        <v>102</v>
      </c>
      <c r="AP612" s="5">
        <v>44863</v>
      </c>
      <c r="AQ612" t="s">
        <v>144</v>
      </c>
      <c r="AR612" s="5">
        <v>44954</v>
      </c>
      <c r="AS612">
        <v>260.92168302676174</v>
      </c>
      <c r="AT612" s="6"/>
      <c r="AU612">
        <v>14.864623816911079</v>
      </c>
      <c r="AV612">
        <v>58.339068150246234</v>
      </c>
      <c r="AW612">
        <v>46.634901866456232</v>
      </c>
      <c r="AX612">
        <v>119.83859383361356</v>
      </c>
      <c r="AY612">
        <v>15.581618271055067</v>
      </c>
      <c r="AZ612">
        <v>39.395499667572963</v>
      </c>
      <c r="BA612">
        <v>6.5526613081950025</v>
      </c>
      <c r="BB612">
        <v>13.768636859942813</v>
      </c>
      <c r="BC612">
        <v>15.580692610390104</v>
      </c>
      <c r="BD612">
        <v>90.879108717155944</v>
      </c>
      <c r="BE612">
        <v>50.203980475992225</v>
      </c>
      <c r="BF612">
        <v>13.298476240925824</v>
      </c>
      <c r="BH612">
        <v>13.298476240925824</v>
      </c>
      <c r="BI612">
        <v>224.01617879169524</v>
      </c>
      <c r="BJ612" s="6">
        <v>194</v>
      </c>
      <c r="BK612">
        <v>36.905504235066481</v>
      </c>
      <c r="BL612" s="4">
        <v>546.21032000000025</v>
      </c>
      <c r="BM612" t="s">
        <v>348</v>
      </c>
      <c r="BN612" t="s">
        <v>65</v>
      </c>
      <c r="BO612">
        <v>2</v>
      </c>
      <c r="BP612">
        <v>2023</v>
      </c>
      <c r="BQ612" t="str">
        <f t="shared" si="46"/>
        <v>Lucky12</v>
      </c>
      <c r="BR612">
        <f t="shared" si="47"/>
        <v>-444.24664999999953</v>
      </c>
      <c r="BS612">
        <f t="shared" si="48"/>
        <v>3861.7035300000002</v>
      </c>
      <c r="BT612" s="6">
        <f t="shared" si="49"/>
        <v>-30.016178791695239</v>
      </c>
    </row>
    <row r="613" spans="1:72">
      <c r="A613" s="3" t="s">
        <v>113</v>
      </c>
      <c r="B613" s="3" t="s">
        <v>317</v>
      </c>
      <c r="C613" s="3" t="s">
        <v>319</v>
      </c>
      <c r="D613" s="2" t="s">
        <v>332</v>
      </c>
      <c r="E613" s="4" t="str">
        <f t="shared" si="45"/>
        <v>Lucky1B1-016-0004</v>
      </c>
      <c r="F613">
        <v>2.1</v>
      </c>
      <c r="G613">
        <v>1.5</v>
      </c>
      <c r="H613" t="s">
        <v>72</v>
      </c>
      <c r="I613" t="s">
        <v>75</v>
      </c>
      <c r="K613" t="s">
        <v>79</v>
      </c>
      <c r="L613" t="s">
        <v>79</v>
      </c>
      <c r="M613">
        <v>2.3455696202531646</v>
      </c>
      <c r="N613" s="5">
        <v>44972</v>
      </c>
      <c r="O613" s="5">
        <v>44996</v>
      </c>
      <c r="P613">
        <v>0.6</v>
      </c>
      <c r="Q613" s="4">
        <v>119</v>
      </c>
      <c r="R613">
        <v>0.45</v>
      </c>
      <c r="S613" t="s">
        <v>70</v>
      </c>
      <c r="T613" s="6">
        <v>4</v>
      </c>
      <c r="U613" s="5">
        <v>45055</v>
      </c>
      <c r="V613" s="6">
        <v>1</v>
      </c>
      <c r="W613" t="s">
        <v>86</v>
      </c>
      <c r="X613" s="6">
        <v>59</v>
      </c>
      <c r="Y613">
        <v>14.68798</v>
      </c>
      <c r="Z613">
        <v>6.9942761904761896</v>
      </c>
      <c r="AA613" s="6">
        <v>56.827827924602296</v>
      </c>
      <c r="AB613" s="4">
        <v>139.11433333333335</v>
      </c>
      <c r="AC613" s="6">
        <v>17.5970125292625</v>
      </c>
      <c r="AD613">
        <v>0.289726435</v>
      </c>
      <c r="AE613">
        <v>1.3698174085412798</v>
      </c>
      <c r="AF613">
        <v>19750</v>
      </c>
      <c r="AG613" s="4">
        <v>5040</v>
      </c>
      <c r="AH613" s="4">
        <v>46325</v>
      </c>
      <c r="AI613" t="s">
        <v>73</v>
      </c>
      <c r="AJ613" t="s">
        <v>73</v>
      </c>
      <c r="AK613" t="s">
        <v>333</v>
      </c>
      <c r="AL613">
        <v>57</v>
      </c>
      <c r="AM613">
        <v>7.2336800000000006</v>
      </c>
      <c r="AN613" t="s">
        <v>73</v>
      </c>
      <c r="AO613" t="s">
        <v>134</v>
      </c>
      <c r="AP613" s="5">
        <v>45003</v>
      </c>
      <c r="AQ613" t="s">
        <v>157</v>
      </c>
      <c r="AR613" s="5">
        <v>45031</v>
      </c>
      <c r="AS613">
        <v>140.74477906424161</v>
      </c>
      <c r="AT613" s="6"/>
      <c r="AU613">
        <v>18.382377971647564</v>
      </c>
      <c r="AV613">
        <v>43.07062918113995</v>
      </c>
      <c r="AW613">
        <v>35.122933854757434</v>
      </c>
      <c r="AX613">
        <v>96.575941007544941</v>
      </c>
      <c r="AY613">
        <v>14.647353822649542</v>
      </c>
      <c r="AZ613">
        <v>35.312417364402734</v>
      </c>
      <c r="BA613">
        <v>5.0903609618204824</v>
      </c>
      <c r="BB613">
        <v>5.3309978635591824</v>
      </c>
      <c r="BC613">
        <v>14.314071097591365</v>
      </c>
      <c r="BD613">
        <v>74.695201110023305</v>
      </c>
      <c r="BE613">
        <v>-30.526363053326634</v>
      </c>
      <c r="BF613">
        <v>12.11381279113942</v>
      </c>
      <c r="BH613">
        <v>12.11381279113942</v>
      </c>
      <c r="BI613">
        <v>183.3849549087077</v>
      </c>
      <c r="BJ613" s="6">
        <v>165</v>
      </c>
      <c r="BK613">
        <v>-42.640175844466071</v>
      </c>
      <c r="BL613" s="4">
        <v>-626.29805000000079</v>
      </c>
      <c r="BM613" t="s">
        <v>334</v>
      </c>
      <c r="BN613" t="s">
        <v>65</v>
      </c>
      <c r="BO613">
        <v>5</v>
      </c>
      <c r="BP613">
        <v>2023</v>
      </c>
      <c r="BQ613" t="str">
        <f t="shared" si="46"/>
        <v>Lucky15</v>
      </c>
      <c r="BR613">
        <f t="shared" si="47"/>
        <v>-270.0378500000005</v>
      </c>
      <c r="BS613">
        <f t="shared" si="48"/>
        <v>2067.2564999999995</v>
      </c>
      <c r="BT613" s="6">
        <f t="shared" si="49"/>
        <v>-18.384954908707698</v>
      </c>
    </row>
    <row r="614" spans="1:72">
      <c r="A614" s="3" t="s">
        <v>113</v>
      </c>
      <c r="B614" s="3" t="s">
        <v>317</v>
      </c>
      <c r="C614" s="3" t="s">
        <v>319</v>
      </c>
      <c r="D614" s="2" t="s">
        <v>340</v>
      </c>
      <c r="E614" s="4" t="str">
        <f t="shared" si="45"/>
        <v>Lucky1B1-022-0010</v>
      </c>
      <c r="F614">
        <v>2.1</v>
      </c>
      <c r="G614">
        <v>1.75</v>
      </c>
      <c r="H614" t="s">
        <v>72</v>
      </c>
      <c r="I614" t="s">
        <v>75</v>
      </c>
      <c r="J614" t="s">
        <v>68</v>
      </c>
      <c r="K614" t="s">
        <v>79</v>
      </c>
      <c r="L614" t="s">
        <v>79</v>
      </c>
      <c r="M614">
        <v>2.6220246913580247</v>
      </c>
      <c r="N614" s="5">
        <v>44849</v>
      </c>
      <c r="O614" s="5">
        <v>44871</v>
      </c>
      <c r="P614">
        <v>0.55000000000000004</v>
      </c>
      <c r="Q614" s="4">
        <v>94</v>
      </c>
      <c r="R614">
        <v>0.19</v>
      </c>
      <c r="S614" t="s">
        <v>70</v>
      </c>
      <c r="T614" s="6">
        <v>4</v>
      </c>
      <c r="U614" s="5">
        <v>44961</v>
      </c>
      <c r="V614" s="6">
        <v>1</v>
      </c>
      <c r="W614" t="s">
        <v>86</v>
      </c>
      <c r="X614" s="6">
        <v>89.999999999999986</v>
      </c>
      <c r="Y614">
        <v>12.58653</v>
      </c>
      <c r="Z614">
        <v>5.9935857142857136</v>
      </c>
      <c r="AA614" s="6">
        <v>39.57508542862886</v>
      </c>
      <c r="AB614" s="4">
        <v>90.566000000000003</v>
      </c>
      <c r="AC614" s="6">
        <v>25.268423028509595</v>
      </c>
      <c r="AD614">
        <v>0.28278917399999992</v>
      </c>
      <c r="AE614">
        <v>1.6223322648639684</v>
      </c>
      <c r="AF614">
        <v>20250</v>
      </c>
      <c r="AG614" s="4">
        <v>5040</v>
      </c>
      <c r="AH614" s="4">
        <v>53096</v>
      </c>
      <c r="AL614">
        <v>39</v>
      </c>
      <c r="AM614">
        <v>3.2690000000000001</v>
      </c>
      <c r="AN614" t="s">
        <v>73</v>
      </c>
      <c r="AO614" t="s">
        <v>106</v>
      </c>
      <c r="AP614" s="5">
        <v>44877</v>
      </c>
      <c r="AQ614" t="s">
        <v>116</v>
      </c>
      <c r="AR614" s="5">
        <v>44954</v>
      </c>
      <c r="AS614">
        <v>242.40436323593556</v>
      </c>
      <c r="AT614" s="6"/>
      <c r="AU614">
        <v>17.479003347229142</v>
      </c>
      <c r="AV614">
        <v>49.170808793209886</v>
      </c>
      <c r="AW614">
        <v>45.29739411895099</v>
      </c>
      <c r="AX614">
        <v>111.94720625939001</v>
      </c>
      <c r="AY614">
        <v>15.454424690522323</v>
      </c>
      <c r="AZ614">
        <v>41.213965246974347</v>
      </c>
      <c r="BA614">
        <v>5.5450747743818187</v>
      </c>
      <c r="BB614">
        <v>14.604903813839076</v>
      </c>
      <c r="BC614">
        <v>15.240112246981496</v>
      </c>
      <c r="BD614">
        <v>92.05848077269907</v>
      </c>
      <c r="BE614">
        <v>38.398676203846478</v>
      </c>
      <c r="BF614">
        <v>12.689537148046362</v>
      </c>
      <c r="BH614">
        <v>12.689537148046362</v>
      </c>
      <c r="BI614">
        <v>216.69522418013545</v>
      </c>
      <c r="BJ614" s="6">
        <v>183</v>
      </c>
      <c r="BK614">
        <v>25.709139055800097</v>
      </c>
      <c r="BL614" s="4">
        <v>323.58884999999964</v>
      </c>
      <c r="BM614" t="s">
        <v>341</v>
      </c>
      <c r="BN614" t="s">
        <v>65</v>
      </c>
      <c r="BO614">
        <v>2</v>
      </c>
      <c r="BP614">
        <v>2023</v>
      </c>
      <c r="BQ614" t="str">
        <f t="shared" si="46"/>
        <v>Lucky12</v>
      </c>
      <c r="BR614">
        <f t="shared" si="47"/>
        <v>-424.10595000000029</v>
      </c>
      <c r="BS614">
        <f t="shared" si="48"/>
        <v>3051.02979</v>
      </c>
      <c r="BT614" s="6">
        <f t="shared" si="49"/>
        <v>-33.695224180135455</v>
      </c>
    </row>
    <row r="615" spans="1:72">
      <c r="A615" s="3" t="s">
        <v>113</v>
      </c>
      <c r="B615" s="3" t="s">
        <v>317</v>
      </c>
      <c r="C615" s="3" t="s">
        <v>319</v>
      </c>
      <c r="D615" s="2" t="s">
        <v>337</v>
      </c>
      <c r="E615" s="4" t="str">
        <f t="shared" si="45"/>
        <v>Lucky1B1-017-0012</v>
      </c>
      <c r="F615">
        <v>2.1</v>
      </c>
      <c r="G615">
        <v>1.75</v>
      </c>
      <c r="H615" t="s">
        <v>72</v>
      </c>
      <c r="I615" t="s">
        <v>75</v>
      </c>
      <c r="J615" t="s">
        <v>68</v>
      </c>
      <c r="K615" t="s">
        <v>79</v>
      </c>
      <c r="L615" t="s">
        <v>79</v>
      </c>
      <c r="M615">
        <v>2.843856749311295</v>
      </c>
      <c r="N615" s="5">
        <v>44835</v>
      </c>
      <c r="O615" s="5">
        <v>44860</v>
      </c>
      <c r="P615">
        <v>0.55000000000000004</v>
      </c>
      <c r="Q615" s="4">
        <v>94</v>
      </c>
      <c r="R615">
        <v>0.25</v>
      </c>
      <c r="S615" t="s">
        <v>70</v>
      </c>
      <c r="T615" s="6">
        <v>2</v>
      </c>
      <c r="U615" s="5">
        <v>44940</v>
      </c>
      <c r="V615" s="6">
        <v>1</v>
      </c>
      <c r="W615" t="s">
        <v>86</v>
      </c>
      <c r="X615" s="6">
        <v>80</v>
      </c>
      <c r="Y615">
        <v>10.541679999999999</v>
      </c>
      <c r="Z615">
        <v>5.0198476190476189</v>
      </c>
      <c r="AA615" s="6">
        <v>43.999817865843013</v>
      </c>
      <c r="AB615" s="4">
        <v>84.333090909090913</v>
      </c>
      <c r="AC615" s="6">
        <v>22.72736680522258</v>
      </c>
      <c r="AD615">
        <v>0.28096590900000001</v>
      </c>
      <c r="AE615">
        <v>1.7444961866178401</v>
      </c>
      <c r="AF615">
        <v>18150</v>
      </c>
      <c r="AG615" s="4">
        <v>5040</v>
      </c>
      <c r="AH615" s="4">
        <v>51616</v>
      </c>
      <c r="AI615" t="s">
        <v>73</v>
      </c>
      <c r="AJ615" t="s">
        <v>73</v>
      </c>
      <c r="AK615" t="s">
        <v>338</v>
      </c>
      <c r="AL615">
        <v>44</v>
      </c>
      <c r="AM615">
        <v>4.4392700000000005</v>
      </c>
      <c r="AN615" t="s">
        <v>73</v>
      </c>
      <c r="AO615" t="s">
        <v>102</v>
      </c>
      <c r="AP615" s="5">
        <v>44863</v>
      </c>
      <c r="AQ615" t="s">
        <v>123</v>
      </c>
      <c r="AR615" s="5">
        <v>44933</v>
      </c>
      <c r="AS615">
        <v>243.75332774282663</v>
      </c>
      <c r="AT615" s="6"/>
      <c r="AU615">
        <v>20.869538821136668</v>
      </c>
      <c r="AV615">
        <v>52.155878379916658</v>
      </c>
      <c r="AW615">
        <v>43.530628894066197</v>
      </c>
      <c r="AX615">
        <v>116.55604609511951</v>
      </c>
      <c r="AY615">
        <v>16.616529813084821</v>
      </c>
      <c r="AZ615">
        <v>35.711538388568052</v>
      </c>
      <c r="BA615">
        <v>7.0339319728923657</v>
      </c>
      <c r="BB615">
        <v>17.523891827488594</v>
      </c>
      <c r="BC615">
        <v>14.988537880110194</v>
      </c>
      <c r="BD615">
        <v>91.874429882144028</v>
      </c>
      <c r="BE615">
        <v>35.322851765563087</v>
      </c>
      <c r="BF615">
        <v>13.657482488559697</v>
      </c>
      <c r="BH615">
        <v>13.657482488559697</v>
      </c>
      <c r="BI615">
        <v>222.08795846582331</v>
      </c>
      <c r="BJ615" s="6">
        <v>177</v>
      </c>
      <c r="BK615">
        <v>21.665369277003297</v>
      </c>
      <c r="BL615" s="4">
        <v>228.38939000000013</v>
      </c>
      <c r="BM615" t="s">
        <v>339</v>
      </c>
      <c r="BN615" t="s">
        <v>65</v>
      </c>
      <c r="BO615">
        <v>1</v>
      </c>
      <c r="BP615">
        <v>2023</v>
      </c>
      <c r="BQ615" t="str">
        <f t="shared" si="46"/>
        <v>Lucky11</v>
      </c>
      <c r="BR615">
        <f t="shared" si="47"/>
        <v>-475.3028300000002</v>
      </c>
      <c r="BS615">
        <f t="shared" si="48"/>
        <v>2569.5695800000003</v>
      </c>
      <c r="BT615" s="6">
        <f t="shared" si="49"/>
        <v>-45.087958465823306</v>
      </c>
    </row>
    <row r="616" spans="1:72">
      <c r="A616" s="3" t="s">
        <v>113</v>
      </c>
      <c r="B616" s="3" t="s">
        <v>317</v>
      </c>
      <c r="C616" s="3" t="s">
        <v>319</v>
      </c>
      <c r="D616" s="2" t="s">
        <v>335</v>
      </c>
      <c r="E616" s="4" t="str">
        <f t="shared" si="45"/>
        <v>Lucky1B1-024-0011</v>
      </c>
      <c r="F616">
        <v>2.1</v>
      </c>
      <c r="G616">
        <v>1.75</v>
      </c>
      <c r="H616" t="s">
        <v>72</v>
      </c>
      <c r="I616" t="s">
        <v>75</v>
      </c>
      <c r="J616" t="s">
        <v>68</v>
      </c>
      <c r="K616" t="s">
        <v>79</v>
      </c>
      <c r="L616" t="s">
        <v>79</v>
      </c>
      <c r="M616">
        <v>2.8782561307901906</v>
      </c>
      <c r="N616" s="5">
        <v>44835</v>
      </c>
      <c r="O616" s="5">
        <v>44851</v>
      </c>
      <c r="P616">
        <v>0.55000000000000004</v>
      </c>
      <c r="Q616" s="4">
        <v>94</v>
      </c>
      <c r="R616">
        <v>0.1</v>
      </c>
      <c r="S616" t="s">
        <v>70</v>
      </c>
      <c r="T616" s="6">
        <v>1</v>
      </c>
      <c r="U616" s="5">
        <v>44930</v>
      </c>
      <c r="V616" s="6">
        <v>1</v>
      </c>
      <c r="W616" t="s">
        <v>86</v>
      </c>
      <c r="X616" s="6">
        <v>79</v>
      </c>
      <c r="Y616">
        <v>10.838469999999999</v>
      </c>
      <c r="Z616">
        <v>5.1611761904761897</v>
      </c>
      <c r="AA616" s="6">
        <v>48.000040596135804</v>
      </c>
      <c r="AB616" s="4">
        <v>94.590363636363634</v>
      </c>
      <c r="AC616" s="6">
        <v>20.833315713497626</v>
      </c>
      <c r="AD616">
        <v>0.26244725699999999</v>
      </c>
      <c r="AE616">
        <v>1.7016785876902334</v>
      </c>
      <c r="AF616">
        <v>18350</v>
      </c>
      <c r="AG616" s="4">
        <v>5040</v>
      </c>
      <c r="AH616" s="4">
        <v>52816</v>
      </c>
      <c r="AL616">
        <v>48</v>
      </c>
      <c r="AM616">
        <v>10.82957</v>
      </c>
      <c r="AN616" t="s">
        <v>81</v>
      </c>
      <c r="AO616" t="s">
        <v>102</v>
      </c>
      <c r="AP616" s="5">
        <v>44851</v>
      </c>
      <c r="AQ616" t="s">
        <v>189</v>
      </c>
      <c r="AR616" s="5">
        <v>44919</v>
      </c>
      <c r="AS616">
        <v>209.88752471520425</v>
      </c>
      <c r="AT616" s="6"/>
      <c r="AU616">
        <v>20.298067900727684</v>
      </c>
      <c r="AV616">
        <v>51.167237626713003</v>
      </c>
      <c r="AW616">
        <v>39.69357852169172</v>
      </c>
      <c r="AX616">
        <v>111.1588840491324</v>
      </c>
      <c r="AY616">
        <v>14.720201283022423</v>
      </c>
      <c r="AZ616">
        <v>27.101659182522997</v>
      </c>
      <c r="BA616">
        <v>6.6665073575882943</v>
      </c>
      <c r="BB616">
        <v>16.606769221117005</v>
      </c>
      <c r="BC616">
        <v>12.694553751590398</v>
      </c>
      <c r="BD616">
        <v>77.789690795841111</v>
      </c>
      <c r="BE616">
        <v>20.938949870230743</v>
      </c>
      <c r="BF616">
        <v>11.744129014519578</v>
      </c>
      <c r="BH616">
        <v>11.744129014519578</v>
      </c>
      <c r="BI616">
        <v>200.69270385949309</v>
      </c>
      <c r="BJ616" s="6">
        <v>170</v>
      </c>
      <c r="BK616">
        <v>9.1948208557111446</v>
      </c>
      <c r="BL616" s="4">
        <v>99.657789999999565</v>
      </c>
      <c r="BM616" t="s">
        <v>336</v>
      </c>
      <c r="BN616" t="s">
        <v>65</v>
      </c>
      <c r="BO616">
        <v>1</v>
      </c>
      <c r="BP616">
        <v>2023</v>
      </c>
      <c r="BQ616" t="str">
        <f t="shared" si="46"/>
        <v>Lucky11</v>
      </c>
      <c r="BR616">
        <f t="shared" si="47"/>
        <v>-332.6619500000001</v>
      </c>
      <c r="BS616">
        <f t="shared" si="48"/>
        <v>2274.8596399999997</v>
      </c>
      <c r="BT616" s="6">
        <f t="shared" si="49"/>
        <v>-30.692703859493093</v>
      </c>
    </row>
    <row r="617" spans="1:72">
      <c r="A617" s="3" t="s">
        <v>113</v>
      </c>
      <c r="B617" s="3" t="s">
        <v>317</v>
      </c>
      <c r="C617" s="3" t="s">
        <v>319</v>
      </c>
      <c r="D617" s="2" t="s">
        <v>326</v>
      </c>
      <c r="E617" s="4" t="str">
        <f t="shared" si="45"/>
        <v>Lucky1B1-021-0015</v>
      </c>
      <c r="F617">
        <v>2.1</v>
      </c>
      <c r="G617">
        <v>1.75</v>
      </c>
      <c r="H617" t="s">
        <v>72</v>
      </c>
      <c r="I617" t="s">
        <v>75</v>
      </c>
      <c r="J617" t="s">
        <v>68</v>
      </c>
      <c r="K617" t="s">
        <v>79</v>
      </c>
      <c r="L617" t="s">
        <v>79</v>
      </c>
      <c r="M617">
        <v>1.858348623853211</v>
      </c>
      <c r="N617" s="5">
        <v>45108</v>
      </c>
      <c r="O617" s="5">
        <v>45129</v>
      </c>
      <c r="P617">
        <v>0.8</v>
      </c>
      <c r="Q617" s="4">
        <v>136</v>
      </c>
      <c r="R617">
        <v>1.5</v>
      </c>
      <c r="S617" t="s">
        <v>70</v>
      </c>
      <c r="T617" s="6">
        <v>1</v>
      </c>
      <c r="U617" s="5">
        <v>45162</v>
      </c>
      <c r="V617" s="6">
        <v>2</v>
      </c>
      <c r="W617" t="s">
        <v>71</v>
      </c>
      <c r="X617" s="6">
        <v>33</v>
      </c>
      <c r="Y617">
        <v>7.6577299999999999</v>
      </c>
      <c r="Z617">
        <v>3.6465380952380952</v>
      </c>
      <c r="AA617" s="6">
        <v>103.00010577547133</v>
      </c>
      <c r="AB617" s="4">
        <v>98.593375000000009</v>
      </c>
      <c r="AC617" s="6">
        <v>9.7087278937352526</v>
      </c>
      <c r="AD617">
        <v>0.248749632</v>
      </c>
      <c r="AE617">
        <v>1.2659247134829112</v>
      </c>
      <c r="AF617">
        <v>8175</v>
      </c>
      <c r="AG617" s="4">
        <v>5040</v>
      </c>
      <c r="AH617" s="4">
        <v>15192</v>
      </c>
      <c r="AI617" t="s">
        <v>73</v>
      </c>
      <c r="AJ617" t="s">
        <v>73</v>
      </c>
      <c r="AK617" t="s">
        <v>198</v>
      </c>
      <c r="AL617">
        <v>103</v>
      </c>
      <c r="AM617">
        <v>7.6577299999999999</v>
      </c>
      <c r="AN617" t="s">
        <v>73</v>
      </c>
      <c r="AO617" t="s">
        <v>176</v>
      </c>
      <c r="AP617" s="5">
        <v>45129</v>
      </c>
      <c r="AQ617" t="s">
        <v>136</v>
      </c>
      <c r="AR617" s="5">
        <v>45157</v>
      </c>
      <c r="AS617">
        <v>94.487637981490607</v>
      </c>
      <c r="AT617" s="6"/>
      <c r="AU617">
        <v>67.905240848136458</v>
      </c>
      <c r="AV617">
        <v>32.092770311828708</v>
      </c>
      <c r="AW617">
        <v>76.423931112744896</v>
      </c>
      <c r="AX617">
        <v>176.42194227271008</v>
      </c>
      <c r="AY617">
        <v>45.874538538182982</v>
      </c>
      <c r="AZ617">
        <v>44.531880857643195</v>
      </c>
      <c r="BA617">
        <v>21.791397711854557</v>
      </c>
      <c r="BB617">
        <v>27.873094245944948</v>
      </c>
      <c r="BC617">
        <v>28.349137407560729</v>
      </c>
      <c r="BD617">
        <v>168.42004876118642</v>
      </c>
      <c r="BE617">
        <v>-250.35435305240588</v>
      </c>
      <c r="BF617">
        <v>37.558352148743822</v>
      </c>
      <c r="BG617">
        <v>-2.5879549161435573</v>
      </c>
      <c r="BH617">
        <v>34.97039723260027</v>
      </c>
      <c r="BI617">
        <v>379.81238826649678</v>
      </c>
      <c r="BJ617" s="6">
        <v>150</v>
      </c>
      <c r="BK617">
        <v>-285.32475028500619</v>
      </c>
      <c r="BL617" s="4">
        <v>-2184.9399000000003</v>
      </c>
      <c r="BM617" t="s">
        <v>327</v>
      </c>
      <c r="BN617" t="s">
        <v>65</v>
      </c>
      <c r="BO617">
        <v>8</v>
      </c>
      <c r="BP617">
        <v>2023</v>
      </c>
      <c r="BQ617" t="str">
        <f t="shared" si="46"/>
        <v>Lucky18</v>
      </c>
      <c r="BR617">
        <f t="shared" si="47"/>
        <v>-1759.8412200000005</v>
      </c>
      <c r="BS617">
        <f t="shared" si="48"/>
        <v>723.56082000000004</v>
      </c>
      <c r="BT617" s="6">
        <f t="shared" si="49"/>
        <v>-229.81238826649678</v>
      </c>
    </row>
    <row r="618" spans="1:72">
      <c r="A618" s="3" t="s">
        <v>113</v>
      </c>
      <c r="B618" s="3" t="s">
        <v>317</v>
      </c>
      <c r="C618" s="3" t="s">
        <v>319</v>
      </c>
      <c r="D618" s="2" t="s">
        <v>328</v>
      </c>
      <c r="E618" s="4" t="str">
        <f t="shared" si="45"/>
        <v>Lucky1B1-017-0014</v>
      </c>
      <c r="F618">
        <v>2.1</v>
      </c>
      <c r="G618">
        <v>1.75</v>
      </c>
      <c r="H618" t="s">
        <v>72</v>
      </c>
      <c r="I618" t="s">
        <v>75</v>
      </c>
      <c r="J618" t="s">
        <v>68</v>
      </c>
      <c r="K618" t="s">
        <v>79</v>
      </c>
      <c r="L618" t="s">
        <v>79</v>
      </c>
      <c r="M618">
        <v>2.8781431334622822</v>
      </c>
      <c r="N618" s="5">
        <v>45112</v>
      </c>
      <c r="O618" s="5">
        <v>45138</v>
      </c>
      <c r="P618">
        <v>1</v>
      </c>
      <c r="Q618" s="4">
        <v>170</v>
      </c>
      <c r="R618">
        <v>0.35</v>
      </c>
      <c r="S618" t="s">
        <v>70</v>
      </c>
      <c r="T618" s="6">
        <v>1</v>
      </c>
      <c r="U618" s="5">
        <v>45182</v>
      </c>
      <c r="V618" s="6">
        <v>2</v>
      </c>
      <c r="W618" t="s">
        <v>71</v>
      </c>
      <c r="X618" s="6">
        <v>44</v>
      </c>
      <c r="Y618">
        <v>11.456860000000001</v>
      </c>
      <c r="Z618">
        <v>5.4556476190476193</v>
      </c>
      <c r="AA618" s="6">
        <v>90.002234469130286</v>
      </c>
      <c r="AB618" s="4">
        <v>103.11429999999999</v>
      </c>
      <c r="AC618" s="6">
        <v>11.110835257573392</v>
      </c>
      <c r="AD618">
        <v>0.244570707</v>
      </c>
      <c r="AE618">
        <v>1.1637004684513375</v>
      </c>
      <c r="AF618">
        <v>12925</v>
      </c>
      <c r="AG618" s="4">
        <v>5040</v>
      </c>
      <c r="AH618" s="4">
        <v>37200</v>
      </c>
      <c r="AI618" t="s">
        <v>73</v>
      </c>
      <c r="AJ618" t="s">
        <v>73</v>
      </c>
      <c r="AK618" t="s">
        <v>147</v>
      </c>
      <c r="AL618">
        <v>90</v>
      </c>
      <c r="AM618">
        <v>11.450479999999999</v>
      </c>
      <c r="AN618" t="s">
        <v>73</v>
      </c>
      <c r="AO618" t="s">
        <v>131</v>
      </c>
      <c r="AP618" s="5">
        <v>45143</v>
      </c>
      <c r="AQ618" t="s">
        <v>176</v>
      </c>
      <c r="AR618" s="5">
        <v>45178</v>
      </c>
      <c r="AS618">
        <v>102.06140600478665</v>
      </c>
      <c r="AT618" s="6"/>
      <c r="AU618">
        <v>34.913580160707205</v>
      </c>
      <c r="AV618">
        <v>32.161050235404808</v>
      </c>
      <c r="AW618">
        <v>129.64735625642629</v>
      </c>
      <c r="AX618">
        <v>196.72198665253831</v>
      </c>
      <c r="AY618">
        <v>61.603496071349397</v>
      </c>
      <c r="AZ618">
        <v>76.56707946156277</v>
      </c>
      <c r="BA618">
        <v>70.948527781608561</v>
      </c>
      <c r="BB618">
        <v>65.864214104038979</v>
      </c>
      <c r="BC618">
        <v>41.814533825149297</v>
      </c>
      <c r="BD618">
        <v>316.79785124370898</v>
      </c>
      <c r="BE618">
        <v>-411.45843189146063</v>
      </c>
      <c r="BF618">
        <v>43.856913674427375</v>
      </c>
      <c r="BG618">
        <v>-2.3314433448606335</v>
      </c>
      <c r="BH618">
        <v>41.525470329566737</v>
      </c>
      <c r="BI618">
        <v>555.04530822581398</v>
      </c>
      <c r="BJ618" s="6">
        <v>150</v>
      </c>
      <c r="BK618">
        <v>-452.98390222102734</v>
      </c>
      <c r="BL618" s="4">
        <v>-5189.7731499999991</v>
      </c>
      <c r="BM618" t="s">
        <v>329</v>
      </c>
      <c r="BN618" t="s">
        <v>65</v>
      </c>
      <c r="BO618">
        <v>9</v>
      </c>
      <c r="BP618">
        <v>2023</v>
      </c>
      <c r="BQ618" t="str">
        <f t="shared" si="46"/>
        <v>Lucky19</v>
      </c>
      <c r="BR618">
        <f t="shared" si="47"/>
        <v>-4640.5473899999997</v>
      </c>
      <c r="BS618">
        <f t="shared" si="48"/>
        <v>1169.30324</v>
      </c>
      <c r="BT618" s="6">
        <f t="shared" si="49"/>
        <v>-405.04530822581398</v>
      </c>
    </row>
    <row r="619" spans="1:72">
      <c r="A619" s="3" t="s">
        <v>113</v>
      </c>
      <c r="B619" s="3" t="s">
        <v>317</v>
      </c>
      <c r="C619" s="3" t="s">
        <v>319</v>
      </c>
      <c r="D619" s="2" t="s">
        <v>330</v>
      </c>
      <c r="E619" s="4" t="str">
        <f t="shared" si="45"/>
        <v>Lucky1B1-023-0013</v>
      </c>
      <c r="F619">
        <v>2.1</v>
      </c>
      <c r="G619">
        <v>1.75</v>
      </c>
      <c r="H619" t="s">
        <v>72</v>
      </c>
      <c r="I619" t="s">
        <v>75</v>
      </c>
      <c r="J619" t="s">
        <v>68</v>
      </c>
      <c r="K619" t="s">
        <v>79</v>
      </c>
      <c r="L619" t="s">
        <v>79</v>
      </c>
      <c r="M619">
        <v>2.4254676258992807</v>
      </c>
      <c r="N619" s="5">
        <v>44849</v>
      </c>
      <c r="O619" s="5">
        <v>44879</v>
      </c>
      <c r="P619">
        <v>0.8</v>
      </c>
      <c r="Q619" s="4">
        <v>136</v>
      </c>
      <c r="R619">
        <v>0.2</v>
      </c>
      <c r="S619" t="s">
        <v>70</v>
      </c>
      <c r="T619" s="6">
        <v>1</v>
      </c>
      <c r="U619" s="5">
        <v>44936</v>
      </c>
      <c r="V619" s="6">
        <v>2</v>
      </c>
      <c r="W619" t="s">
        <v>71</v>
      </c>
      <c r="X619" s="6">
        <v>57</v>
      </c>
      <c r="Y619">
        <v>7.6504700000000003</v>
      </c>
      <c r="Z619">
        <v>3.6430809523809522</v>
      </c>
      <c r="AA619" s="6">
        <v>75.999905888134975</v>
      </c>
      <c r="AB619" s="4">
        <v>72.679375000000007</v>
      </c>
      <c r="AC619" s="6">
        <v>13.157911030467723</v>
      </c>
      <c r="AD619">
        <v>0.22733148699999997</v>
      </c>
      <c r="AE619">
        <v>1.8556912984098461</v>
      </c>
      <c r="AF619">
        <v>13900</v>
      </c>
      <c r="AG619" s="4">
        <v>5040</v>
      </c>
      <c r="AH619" s="4">
        <v>33714</v>
      </c>
      <c r="AI619" t="s">
        <v>100</v>
      </c>
      <c r="AJ619" t="s">
        <v>100</v>
      </c>
      <c r="AK619" t="s">
        <v>266</v>
      </c>
      <c r="AL619">
        <v>76</v>
      </c>
      <c r="AM619">
        <v>7.6504700000000003</v>
      </c>
      <c r="AN619" t="s">
        <v>100</v>
      </c>
      <c r="AO619" t="s">
        <v>99</v>
      </c>
      <c r="AP619" s="5">
        <v>44884</v>
      </c>
      <c r="AQ619" t="s">
        <v>123</v>
      </c>
      <c r="AR619" s="5">
        <v>44936</v>
      </c>
      <c r="AS619">
        <v>166.73401634147965</v>
      </c>
      <c r="AT619" s="6"/>
      <c r="AU619">
        <v>41.827495565631914</v>
      </c>
      <c r="AV619">
        <v>55.170861398057895</v>
      </c>
      <c r="AW619">
        <v>55.011663335716619</v>
      </c>
      <c r="AX619">
        <v>152.01002029940645</v>
      </c>
      <c r="AY619">
        <v>19.742707310792667</v>
      </c>
      <c r="AZ619">
        <v>41.503651409651958</v>
      </c>
      <c r="BA619">
        <v>7.731702758131199</v>
      </c>
      <c r="BB619">
        <v>22.206860493538308</v>
      </c>
      <c r="BC619">
        <v>17.640556723965979</v>
      </c>
      <c r="BD619">
        <v>108.82547869608011</v>
      </c>
      <c r="BE619">
        <v>-94.101482654006915</v>
      </c>
      <c r="BF619">
        <v>15.084858838738011</v>
      </c>
      <c r="BH619">
        <v>15.084858838738011</v>
      </c>
      <c r="BI619">
        <v>275.92035783422455</v>
      </c>
      <c r="BJ619" s="6">
        <v>150</v>
      </c>
      <c r="BK619">
        <v>-109.1863414927449</v>
      </c>
      <c r="BL619" s="4">
        <v>-835.32683000000009</v>
      </c>
      <c r="BM619" t="s">
        <v>331</v>
      </c>
      <c r="BN619" t="s">
        <v>65</v>
      </c>
      <c r="BO619">
        <v>1</v>
      </c>
      <c r="BP619">
        <v>2023</v>
      </c>
      <c r="BQ619" t="str">
        <f t="shared" si="46"/>
        <v>Lucky11</v>
      </c>
      <c r="BR619">
        <f t="shared" si="47"/>
        <v>-963.34991999999988</v>
      </c>
      <c r="BS619">
        <f t="shared" si="48"/>
        <v>1275.5935899999997</v>
      </c>
      <c r="BT619" s="6">
        <f t="shared" si="49"/>
        <v>-125.92035783422455</v>
      </c>
    </row>
    <row r="620" spans="1:72">
      <c r="A620" s="3" t="s">
        <v>113</v>
      </c>
      <c r="B620" s="3" t="s">
        <v>317</v>
      </c>
      <c r="C620" s="3" t="s">
        <v>319</v>
      </c>
      <c r="D620" s="2" t="s">
        <v>322</v>
      </c>
      <c r="E620" s="4" t="str">
        <f t="shared" si="45"/>
        <v>Lucky1B1-019-0013</v>
      </c>
      <c r="F620">
        <v>2.1</v>
      </c>
      <c r="G620">
        <v>1.75</v>
      </c>
      <c r="H620" t="s">
        <v>72</v>
      </c>
      <c r="I620" t="s">
        <v>75</v>
      </c>
      <c r="J620" t="s">
        <v>68</v>
      </c>
      <c r="K620" t="s">
        <v>79</v>
      </c>
      <c r="L620" t="s">
        <v>79</v>
      </c>
      <c r="M620">
        <v>2.4918032786885247</v>
      </c>
      <c r="N620" s="5">
        <v>45061</v>
      </c>
      <c r="O620" s="5">
        <v>45074</v>
      </c>
      <c r="P620">
        <v>0.6</v>
      </c>
      <c r="Q620" s="4">
        <v>102</v>
      </c>
      <c r="R620">
        <v>1.95</v>
      </c>
      <c r="S620" t="s">
        <v>70</v>
      </c>
      <c r="T620" s="6">
        <v>1</v>
      </c>
      <c r="U620" s="5">
        <v>45098</v>
      </c>
      <c r="V620" s="6">
        <v>2</v>
      </c>
      <c r="W620" t="s">
        <v>71</v>
      </c>
      <c r="X620" s="6">
        <v>24</v>
      </c>
      <c r="Y620">
        <v>3.5017199999999997</v>
      </c>
      <c r="Z620">
        <v>1.667485714285714</v>
      </c>
      <c r="AA620" s="6">
        <v>140.00005711478931</v>
      </c>
      <c r="AB620" s="4">
        <v>81.706833333333321</v>
      </c>
      <c r="AC620" s="6">
        <v>7.1428542288384689</v>
      </c>
      <c r="AD620">
        <v>0.21636904800000001</v>
      </c>
      <c r="AE620">
        <v>1.3081089890676401</v>
      </c>
      <c r="AF620">
        <v>3050</v>
      </c>
      <c r="AG620" s="4">
        <v>10080</v>
      </c>
      <c r="AH620" s="4">
        <v>7600</v>
      </c>
      <c r="AI620" t="s">
        <v>73</v>
      </c>
      <c r="AJ620" t="s">
        <v>73</v>
      </c>
      <c r="AK620" t="s">
        <v>94</v>
      </c>
      <c r="AL620">
        <v>140</v>
      </c>
      <c r="AM620">
        <v>3.5017199999999997</v>
      </c>
      <c r="AN620" t="s">
        <v>73</v>
      </c>
      <c r="AO620" t="s">
        <v>170</v>
      </c>
      <c r="AP620" s="5">
        <v>45080</v>
      </c>
      <c r="AQ620" t="s">
        <v>123</v>
      </c>
      <c r="AR620" s="5">
        <v>45087</v>
      </c>
      <c r="AS620">
        <v>87.553659344550667</v>
      </c>
      <c r="AT620" s="6"/>
      <c r="AU620">
        <v>171.3443679106268</v>
      </c>
      <c r="AV620">
        <v>27.32653381766675</v>
      </c>
      <c r="AW620">
        <v>250.48820008452989</v>
      </c>
      <c r="AX620">
        <v>449.15910181282339</v>
      </c>
      <c r="AY620">
        <v>111.93529179945855</v>
      </c>
      <c r="AZ620">
        <v>119.79944712883955</v>
      </c>
      <c r="BA620">
        <v>96.836791633825655</v>
      </c>
      <c r="BB620">
        <v>44.320028443165072</v>
      </c>
      <c r="BC620">
        <v>83.892244382760467</v>
      </c>
      <c r="BD620">
        <v>456.78380338804925</v>
      </c>
      <c r="BE620">
        <v>-818.38924585632196</v>
      </c>
      <c r="BF620">
        <v>84.990516089236152</v>
      </c>
      <c r="BH620">
        <v>84.990516089236152</v>
      </c>
      <c r="BI620">
        <v>990.93342129010898</v>
      </c>
      <c r="BJ620" s="6">
        <v>150</v>
      </c>
      <c r="BK620">
        <v>-903.37976194555836</v>
      </c>
      <c r="BL620" s="4">
        <v>-3163.3829800000003</v>
      </c>
      <c r="BM620" t="s">
        <v>323</v>
      </c>
      <c r="BN620" t="s">
        <v>65</v>
      </c>
      <c r="BO620">
        <v>6</v>
      </c>
      <c r="BP620">
        <v>2023</v>
      </c>
      <c r="BQ620" t="str">
        <f t="shared" si="46"/>
        <v>Lucky16</v>
      </c>
      <c r="BR620">
        <f t="shared" si="47"/>
        <v>-2944.7133800000001</v>
      </c>
      <c r="BS620">
        <f t="shared" si="48"/>
        <v>306.58839999999992</v>
      </c>
      <c r="BT620" s="6">
        <f t="shared" si="49"/>
        <v>-840.93342129010898</v>
      </c>
    </row>
    <row r="621" spans="1:72">
      <c r="A621" s="3" t="s">
        <v>113</v>
      </c>
      <c r="B621" s="3" t="s">
        <v>317</v>
      </c>
      <c r="C621" s="3" t="s">
        <v>319</v>
      </c>
      <c r="D621" s="2" t="s">
        <v>324</v>
      </c>
      <c r="E621" s="4" t="str">
        <f t="shared" si="45"/>
        <v>Lucky1B1-021-0014</v>
      </c>
      <c r="F621">
        <v>2.1</v>
      </c>
      <c r="G621">
        <v>1.75</v>
      </c>
      <c r="H621" t="s">
        <v>72</v>
      </c>
      <c r="I621" t="s">
        <v>75</v>
      </c>
      <c r="J621" t="s">
        <v>68</v>
      </c>
      <c r="K621" t="s">
        <v>79</v>
      </c>
      <c r="L621" t="s">
        <v>79</v>
      </c>
      <c r="M621">
        <v>2.251851851851852</v>
      </c>
      <c r="N621" s="5">
        <v>44986</v>
      </c>
      <c r="O621" s="5">
        <v>45010</v>
      </c>
      <c r="P621">
        <v>1</v>
      </c>
      <c r="Q621" s="4">
        <v>170</v>
      </c>
      <c r="R621">
        <v>0.45</v>
      </c>
      <c r="S621" t="s">
        <v>70</v>
      </c>
      <c r="T621" s="6">
        <v>1</v>
      </c>
      <c r="U621" s="5">
        <v>45044</v>
      </c>
      <c r="V621" s="6">
        <v>2</v>
      </c>
      <c r="W621" t="s">
        <v>71</v>
      </c>
      <c r="X621" s="6">
        <v>34</v>
      </c>
      <c r="Y621">
        <v>5.8524799999999999</v>
      </c>
      <c r="Z621">
        <v>2.7868952380952381</v>
      </c>
      <c r="AA621" s="6">
        <v>137.00004100825635</v>
      </c>
      <c r="AB621" s="4">
        <v>80.179000000000002</v>
      </c>
      <c r="AC621" s="6">
        <v>7.2992678881003741</v>
      </c>
      <c r="AD621">
        <v>0.20144911999999998</v>
      </c>
      <c r="AE621">
        <v>1.2494261894537324</v>
      </c>
      <c r="AF621">
        <v>6750</v>
      </c>
      <c r="AG621" s="4">
        <v>5040</v>
      </c>
      <c r="AH621" s="4">
        <v>15200</v>
      </c>
      <c r="AI621" t="s">
        <v>73</v>
      </c>
      <c r="AJ621" t="s">
        <v>73</v>
      </c>
      <c r="AK621" t="s">
        <v>198</v>
      </c>
      <c r="AL621">
        <v>137</v>
      </c>
      <c r="AM621">
        <v>5.8524799999999999</v>
      </c>
      <c r="AN621" t="s">
        <v>73</v>
      </c>
      <c r="AO621" t="s">
        <v>134</v>
      </c>
      <c r="AP621" s="5">
        <v>45010</v>
      </c>
      <c r="AQ621" t="s">
        <v>157</v>
      </c>
      <c r="AR621" s="5">
        <v>45031</v>
      </c>
      <c r="AS621">
        <v>78.21980767127782</v>
      </c>
      <c r="AT621" s="6"/>
      <c r="AU621">
        <v>76.890480616764179</v>
      </c>
      <c r="AV621">
        <v>36.815061307343207</v>
      </c>
      <c r="AW621">
        <v>49.070795628519875</v>
      </c>
      <c r="AX621">
        <v>162.77633755262727</v>
      </c>
      <c r="AY621">
        <v>24.359992686860956</v>
      </c>
      <c r="AZ621">
        <v>59.790695568374431</v>
      </c>
      <c r="BA621">
        <v>6.3819372300289805</v>
      </c>
      <c r="BB621">
        <v>8.8173150527639557</v>
      </c>
      <c r="BC621">
        <v>20.455306126633499</v>
      </c>
      <c r="BD621">
        <v>119.80524666466184</v>
      </c>
      <c r="BE621">
        <v>-204.3617765460113</v>
      </c>
      <c r="BF621">
        <v>20.27761564328285</v>
      </c>
      <c r="BH621">
        <v>20.27761564328285</v>
      </c>
      <c r="BI621">
        <v>302.85919986057195</v>
      </c>
      <c r="BJ621" s="6">
        <v>150</v>
      </c>
      <c r="BK621">
        <v>-224.63939218929409</v>
      </c>
      <c r="BL621" s="4">
        <v>-1314.6975499999999</v>
      </c>
      <c r="BM621" t="s">
        <v>325</v>
      </c>
      <c r="BN621" t="s">
        <v>65</v>
      </c>
      <c r="BO621">
        <v>4</v>
      </c>
      <c r="BP621">
        <v>2023</v>
      </c>
      <c r="BQ621" t="str">
        <f t="shared" si="46"/>
        <v>Lucky14</v>
      </c>
      <c r="BR621">
        <f t="shared" si="47"/>
        <v>-894.60541000000012</v>
      </c>
      <c r="BS621">
        <f t="shared" si="48"/>
        <v>457.77985999999999</v>
      </c>
      <c r="BT621" s="6">
        <f t="shared" si="49"/>
        <v>-152.85919986057195</v>
      </c>
    </row>
    <row r="622" spans="1:72">
      <c r="A622" s="3" t="s">
        <v>113</v>
      </c>
      <c r="B622" s="3" t="s">
        <v>317</v>
      </c>
      <c r="C622" s="3" t="s">
        <v>319</v>
      </c>
      <c r="D622" s="2" t="s">
        <v>320</v>
      </c>
      <c r="E622" s="4" t="str">
        <f t="shared" si="45"/>
        <v>Lucky1B1-020-0011</v>
      </c>
      <c r="F622">
        <v>2.1</v>
      </c>
      <c r="G622">
        <v>1.75</v>
      </c>
      <c r="H622" t="s">
        <v>72</v>
      </c>
      <c r="I622" t="s">
        <v>75</v>
      </c>
      <c r="J622" t="s">
        <v>68</v>
      </c>
      <c r="K622" t="s">
        <v>79</v>
      </c>
      <c r="L622" t="s">
        <v>79</v>
      </c>
      <c r="M622">
        <v>3.5766233766233766</v>
      </c>
      <c r="N622" s="5">
        <v>45026</v>
      </c>
      <c r="O622" s="5">
        <v>45053</v>
      </c>
      <c r="P622">
        <v>1.4</v>
      </c>
      <c r="Q622" s="4">
        <v>238</v>
      </c>
      <c r="R622">
        <v>1</v>
      </c>
      <c r="S622" t="s">
        <v>70</v>
      </c>
      <c r="T622" s="6">
        <v>1</v>
      </c>
      <c r="U622" s="5">
        <v>45084</v>
      </c>
      <c r="V622" s="6">
        <v>2</v>
      </c>
      <c r="W622" t="s">
        <v>71</v>
      </c>
      <c r="X622" s="6">
        <v>31</v>
      </c>
      <c r="Y622">
        <v>6.7665699999999998</v>
      </c>
      <c r="Z622">
        <v>3.2221761904761901</v>
      </c>
      <c r="AA622" s="6">
        <v>142.00000886712175</v>
      </c>
      <c r="AB622" s="4">
        <v>68.632357142857146</v>
      </c>
      <c r="AC622" s="6">
        <v>7.0422530813766517</v>
      </c>
      <c r="AD622">
        <v>0.19491140400000001</v>
      </c>
      <c r="AE622">
        <v>1.4348619271500103</v>
      </c>
      <c r="AF622">
        <v>7700</v>
      </c>
      <c r="AG622" s="4">
        <v>5040</v>
      </c>
      <c r="AH622" s="4">
        <v>27540</v>
      </c>
      <c r="AI622" t="s">
        <v>73</v>
      </c>
      <c r="AJ622" t="s">
        <v>73</v>
      </c>
      <c r="AK622" t="s">
        <v>136</v>
      </c>
      <c r="AL622">
        <v>142</v>
      </c>
      <c r="AM622">
        <v>6.7665699999999998</v>
      </c>
      <c r="AN622" t="s">
        <v>73</v>
      </c>
      <c r="AO622" t="s">
        <v>74</v>
      </c>
      <c r="AP622" s="5">
        <v>45059</v>
      </c>
      <c r="AQ622" t="s">
        <v>170</v>
      </c>
      <c r="AR622" s="5">
        <v>45080</v>
      </c>
      <c r="AS622">
        <v>95.022399827386693</v>
      </c>
      <c r="AT622" s="6"/>
      <c r="AU622">
        <v>113.79472908726282</v>
      </c>
      <c r="AV622">
        <v>35.834103541380642</v>
      </c>
      <c r="AW622">
        <v>72.696697144934603</v>
      </c>
      <c r="AX622">
        <v>222.32552977357807</v>
      </c>
      <c r="AY622">
        <v>33.14602819449145</v>
      </c>
      <c r="AZ622">
        <v>60.507045667154848</v>
      </c>
      <c r="BA622">
        <v>18.860715251597192</v>
      </c>
      <c r="BB622">
        <v>12.221877553915796</v>
      </c>
      <c r="BC622">
        <v>30.639248540989016</v>
      </c>
      <c r="BD622">
        <v>155.37491520814831</v>
      </c>
      <c r="BE622">
        <v>-282.67804515433966</v>
      </c>
      <c r="BF622">
        <v>25.753822098936386</v>
      </c>
      <c r="BH622">
        <v>25.753822098936386</v>
      </c>
      <c r="BI622">
        <v>403.45426708066276</v>
      </c>
      <c r="BJ622" s="6">
        <v>150</v>
      </c>
      <c r="BK622">
        <v>-308.43186725327604</v>
      </c>
      <c r="BL622" s="4">
        <v>-2087.0258199999998</v>
      </c>
      <c r="BM622" t="s">
        <v>321</v>
      </c>
      <c r="BN622" t="s">
        <v>65</v>
      </c>
      <c r="BO622">
        <v>6</v>
      </c>
      <c r="BP622">
        <v>2023</v>
      </c>
      <c r="BQ622" t="str">
        <f t="shared" si="46"/>
        <v>Lucky16</v>
      </c>
      <c r="BR622">
        <f t="shared" si="47"/>
        <v>-1715.0160400000002</v>
      </c>
      <c r="BS622">
        <f t="shared" si="48"/>
        <v>642.97571999999991</v>
      </c>
      <c r="BT622" s="6">
        <f t="shared" si="49"/>
        <v>-253.45426708066276</v>
      </c>
    </row>
    <row r="623" spans="1:72">
      <c r="A623" s="3" t="s">
        <v>113</v>
      </c>
      <c r="B623" s="3" t="s">
        <v>317</v>
      </c>
      <c r="C623" s="3" t="s">
        <v>319</v>
      </c>
      <c r="D623" s="2" t="s">
        <v>353</v>
      </c>
      <c r="E623" s="4" t="str">
        <f t="shared" si="45"/>
        <v>Lucky1B1-018-0012</v>
      </c>
      <c r="F623">
        <v>2.1</v>
      </c>
      <c r="G623">
        <v>1.75</v>
      </c>
      <c r="H623" t="s">
        <v>72</v>
      </c>
      <c r="I623" t="s">
        <v>75</v>
      </c>
      <c r="J623" t="s">
        <v>68</v>
      </c>
      <c r="K623" t="s">
        <v>79</v>
      </c>
      <c r="L623" t="s">
        <v>79</v>
      </c>
      <c r="M623">
        <v>3.3240641711229948</v>
      </c>
      <c r="N623" s="5">
        <v>45026</v>
      </c>
      <c r="O623" s="5">
        <v>45052</v>
      </c>
      <c r="P623">
        <v>1.4</v>
      </c>
      <c r="Q623" s="4">
        <v>238</v>
      </c>
      <c r="R623">
        <v>1</v>
      </c>
      <c r="S623" t="s">
        <v>70</v>
      </c>
      <c r="T623" s="6"/>
      <c r="U623" s="5">
        <v>45075</v>
      </c>
      <c r="V623" s="6">
        <v>3</v>
      </c>
      <c r="W623" t="s">
        <v>2831</v>
      </c>
      <c r="X623" s="6"/>
      <c r="AA623" s="6"/>
      <c r="AB623" s="4"/>
      <c r="AC623" s="6"/>
      <c r="AF623">
        <v>4675</v>
      </c>
      <c r="AG623" s="4">
        <v>5040</v>
      </c>
      <c r="AH623" s="4">
        <v>15540</v>
      </c>
      <c r="AI623" t="s">
        <v>73</v>
      </c>
      <c r="AJ623" t="s">
        <v>73</v>
      </c>
      <c r="AK623" t="s">
        <v>96</v>
      </c>
      <c r="AN623" t="s">
        <v>73</v>
      </c>
      <c r="AO623" t="s">
        <v>74</v>
      </c>
      <c r="AP623" s="5">
        <v>45059</v>
      </c>
      <c r="AQ623" t="s">
        <v>144</v>
      </c>
      <c r="AR623" s="5">
        <v>45073</v>
      </c>
      <c r="AT623" s="6"/>
      <c r="BJ623" s="6"/>
      <c r="BL623" s="4">
        <v>-1950.73974</v>
      </c>
      <c r="BM623" t="s">
        <v>2865</v>
      </c>
      <c r="BN623" t="s">
        <v>65</v>
      </c>
      <c r="BO623">
        <v>5</v>
      </c>
      <c r="BP623">
        <v>2023</v>
      </c>
      <c r="BQ623" t="str">
        <f t="shared" si="46"/>
        <v>Lucky15</v>
      </c>
      <c r="BR623">
        <f t="shared" si="47"/>
        <v>0</v>
      </c>
      <c r="BS623">
        <f t="shared" si="48"/>
        <v>0</v>
      </c>
      <c r="BT623" s="6">
        <f t="shared" si="49"/>
        <v>0</v>
      </c>
    </row>
    <row r="624" spans="1:72">
      <c r="A624" s="3" t="s">
        <v>113</v>
      </c>
      <c r="B624" s="3" t="s">
        <v>283</v>
      </c>
      <c r="C624" s="3" t="s">
        <v>310</v>
      </c>
      <c r="D624" s="2" t="s">
        <v>313</v>
      </c>
      <c r="E624" s="4" t="str">
        <f t="shared" si="45"/>
        <v>KamongAG-031-0013</v>
      </c>
      <c r="F624">
        <v>2</v>
      </c>
      <c r="G624">
        <v>2</v>
      </c>
      <c r="H624" t="s">
        <v>84</v>
      </c>
      <c r="I624" t="s">
        <v>67</v>
      </c>
      <c r="K624" t="s">
        <v>89</v>
      </c>
      <c r="L624" t="s">
        <v>89</v>
      </c>
      <c r="M624">
        <v>2.4880985915492957</v>
      </c>
      <c r="N624" s="5">
        <v>45082</v>
      </c>
      <c r="O624" s="5">
        <v>45107</v>
      </c>
      <c r="P624">
        <v>0.80630000000000002</v>
      </c>
      <c r="Q624" s="4">
        <v>126</v>
      </c>
      <c r="R624">
        <v>0.69199999999999995</v>
      </c>
      <c r="S624" t="s">
        <v>70</v>
      </c>
      <c r="T624" s="6">
        <v>3</v>
      </c>
      <c r="U624" s="5">
        <v>45192</v>
      </c>
      <c r="V624" s="6">
        <v>2</v>
      </c>
      <c r="W624" t="s">
        <v>71</v>
      </c>
      <c r="X624" s="6">
        <v>85</v>
      </c>
      <c r="Y624">
        <v>14.52258</v>
      </c>
      <c r="Z624">
        <v>7.2612899999999998</v>
      </c>
      <c r="AA624" s="6">
        <v>37.586847516074968</v>
      </c>
      <c r="AB624" s="4">
        <v>67.699119434453678</v>
      </c>
      <c r="AC624" s="6">
        <v>26.605051130513797</v>
      </c>
      <c r="AD624">
        <v>0.44434751099999997</v>
      </c>
      <c r="AE624">
        <v>2.0337545974311673</v>
      </c>
      <c r="AF624">
        <v>28400</v>
      </c>
      <c r="AG624" s="4">
        <v>12800</v>
      </c>
      <c r="AH624" s="4">
        <v>70662</v>
      </c>
      <c r="AL624">
        <v>26</v>
      </c>
      <c r="AM624">
        <v>6.34436</v>
      </c>
      <c r="AN624" t="s">
        <v>81</v>
      </c>
      <c r="AO624" t="s">
        <v>93</v>
      </c>
      <c r="AP624" s="5">
        <v>45107</v>
      </c>
      <c r="AQ624" t="s">
        <v>102</v>
      </c>
      <c r="AR624" s="5">
        <v>45191</v>
      </c>
      <c r="AS624">
        <v>166.82597031656914</v>
      </c>
      <c r="AT624" s="6"/>
      <c r="AU624">
        <v>28.401633869463961</v>
      </c>
      <c r="AV624">
        <v>61.474419145909351</v>
      </c>
      <c r="AW624">
        <v>57.853302236930354</v>
      </c>
      <c r="AX624">
        <v>147.72935525230363</v>
      </c>
      <c r="AY624">
        <v>30.042652889500353</v>
      </c>
      <c r="AZ624">
        <v>39.490633207047232</v>
      </c>
      <c r="BA624">
        <v>26.838617518374836</v>
      </c>
      <c r="BB624">
        <v>14.936172498275099</v>
      </c>
      <c r="BC624">
        <v>29.316464429874031</v>
      </c>
      <c r="BD624">
        <v>140.62454054307153</v>
      </c>
      <c r="BE624">
        <v>-121.52792547880603</v>
      </c>
      <c r="BF624">
        <v>13.19030365127959</v>
      </c>
      <c r="BH624">
        <v>13.19030365127959</v>
      </c>
      <c r="BI624">
        <v>301.54419944665472</v>
      </c>
      <c r="BJ624" s="6">
        <v>185</v>
      </c>
      <c r="BK624">
        <v>-134.7182291300856</v>
      </c>
      <c r="BL624" s="4">
        <v>-1956.4562599999983</v>
      </c>
      <c r="BM624" t="s">
        <v>314</v>
      </c>
      <c r="BN624" t="s">
        <v>65</v>
      </c>
      <c r="BO624">
        <v>9</v>
      </c>
      <c r="BP624">
        <v>2023</v>
      </c>
      <c r="BQ624" t="str">
        <f t="shared" si="46"/>
        <v>Kamong9</v>
      </c>
      <c r="BR624">
        <f t="shared" si="47"/>
        <v>-1692.5224599999988</v>
      </c>
      <c r="BS624">
        <f t="shared" si="48"/>
        <v>2422.7435000000005</v>
      </c>
      <c r="BT624" s="6">
        <f t="shared" si="49"/>
        <v>-116.54419944665472</v>
      </c>
    </row>
    <row r="625" spans="1:72">
      <c r="A625" s="3" t="s">
        <v>113</v>
      </c>
      <c r="B625" s="3" t="s">
        <v>283</v>
      </c>
      <c r="C625" s="3" t="s">
        <v>310</v>
      </c>
      <c r="D625" s="2" t="s">
        <v>312</v>
      </c>
      <c r="E625" s="4" t="str">
        <f t="shared" si="45"/>
        <v>KamongAG-011-0009</v>
      </c>
      <c r="F625">
        <v>2</v>
      </c>
      <c r="G625">
        <v>2</v>
      </c>
      <c r="H625" t="s">
        <v>84</v>
      </c>
      <c r="I625" t="s">
        <v>67</v>
      </c>
      <c r="K625" t="s">
        <v>89</v>
      </c>
      <c r="L625" t="s">
        <v>89</v>
      </c>
      <c r="M625">
        <v>2.0282115270350562</v>
      </c>
      <c r="N625" s="5">
        <v>45036</v>
      </c>
      <c r="O625" s="5">
        <v>45066</v>
      </c>
      <c r="P625">
        <v>1.4</v>
      </c>
      <c r="Q625" s="4">
        <v>219</v>
      </c>
      <c r="R625">
        <v>0.79900000000000004</v>
      </c>
      <c r="S625" t="s">
        <v>70</v>
      </c>
      <c r="T625" s="6">
        <v>4</v>
      </c>
      <c r="U625" s="5">
        <v>45171</v>
      </c>
      <c r="V625" s="6">
        <v>1</v>
      </c>
      <c r="W625" t="s">
        <v>86</v>
      </c>
      <c r="X625" s="6">
        <v>105</v>
      </c>
      <c r="Y625">
        <v>22.706469999999999</v>
      </c>
      <c r="Z625">
        <v>11.353235</v>
      </c>
      <c r="AA625" s="6">
        <v>40.359245624705203</v>
      </c>
      <c r="AB625" s="4">
        <v>65.458285714285708</v>
      </c>
      <c r="AC625" s="6">
        <v>24.777470057266569</v>
      </c>
      <c r="AD625">
        <v>0.37334285699999992</v>
      </c>
      <c r="AE625">
        <v>1.9489570127016873</v>
      </c>
      <c r="AF625">
        <v>42075</v>
      </c>
      <c r="AG625" s="4">
        <v>0</v>
      </c>
      <c r="AH625" s="4">
        <v>85337</v>
      </c>
      <c r="AL625">
        <v>25</v>
      </c>
      <c r="AM625">
        <v>10.113910000000001</v>
      </c>
      <c r="AN625" t="s">
        <v>81</v>
      </c>
      <c r="AO625" t="s">
        <v>123</v>
      </c>
      <c r="AP625" s="5">
        <v>45066</v>
      </c>
      <c r="AQ625" t="s">
        <v>215</v>
      </c>
      <c r="AR625" s="5">
        <v>45170</v>
      </c>
      <c r="AS625">
        <v>165.12613012943009</v>
      </c>
      <c r="AT625" s="6"/>
      <c r="AU625">
        <v>30.828217684210717</v>
      </c>
      <c r="AV625">
        <v>57.908182557658677</v>
      </c>
      <c r="AW625">
        <v>34.059487890455877</v>
      </c>
      <c r="AX625">
        <v>122.79588813232527</v>
      </c>
      <c r="AY625">
        <v>16.474579712302262</v>
      </c>
      <c r="AZ625">
        <v>33.896406178503305</v>
      </c>
      <c r="BA625">
        <v>17.573622408062548</v>
      </c>
      <c r="BB625">
        <v>10.016421310754161</v>
      </c>
      <c r="BC625">
        <v>20.538510389329556</v>
      </c>
      <c r="BD625">
        <v>98.499539998951846</v>
      </c>
      <c r="BE625">
        <v>-56.169298001847025</v>
      </c>
      <c r="BF625">
        <v>8.5439158970989322</v>
      </c>
      <c r="BH625">
        <v>8.5439158970989322</v>
      </c>
      <c r="BI625">
        <v>229.83934402837605</v>
      </c>
      <c r="BJ625" s="6">
        <v>182</v>
      </c>
      <c r="BK625">
        <v>-64.713213898945952</v>
      </c>
      <c r="BL625" s="4">
        <v>-1469.4086499999994</v>
      </c>
      <c r="BM625" t="s">
        <v>311</v>
      </c>
      <c r="BN625" t="s">
        <v>65</v>
      </c>
      <c r="BO625">
        <v>9</v>
      </c>
      <c r="BP625">
        <v>2023</v>
      </c>
      <c r="BQ625" t="str">
        <f t="shared" si="46"/>
        <v>Kamong9</v>
      </c>
      <c r="BR625">
        <f t="shared" si="47"/>
        <v>-1086.2626299999999</v>
      </c>
      <c r="BS625">
        <f t="shared" si="48"/>
        <v>3749.4315200000005</v>
      </c>
      <c r="BT625" s="6">
        <f t="shared" si="49"/>
        <v>-47.839344028376047</v>
      </c>
    </row>
    <row r="626" spans="1:72">
      <c r="A626" s="3" t="s">
        <v>113</v>
      </c>
      <c r="B626" s="3" t="s">
        <v>283</v>
      </c>
      <c r="C626" s="3" t="s">
        <v>310</v>
      </c>
      <c r="D626" s="2" t="s">
        <v>315</v>
      </c>
      <c r="E626" s="4" t="str">
        <f t="shared" si="45"/>
        <v>KamongAG-031-0012</v>
      </c>
      <c r="F626">
        <v>2</v>
      </c>
      <c r="G626">
        <v>2</v>
      </c>
      <c r="H626" t="s">
        <v>84</v>
      </c>
      <c r="I626" t="s">
        <v>67</v>
      </c>
      <c r="K626" t="s">
        <v>89</v>
      </c>
      <c r="L626" t="s">
        <v>89</v>
      </c>
      <c r="M626">
        <v>2.4234809843400447</v>
      </c>
      <c r="N626" s="5">
        <v>44926</v>
      </c>
      <c r="O626" s="5">
        <v>44953</v>
      </c>
      <c r="P626">
        <v>1.6</v>
      </c>
      <c r="Q626" s="4">
        <v>250</v>
      </c>
      <c r="R626">
        <v>0.35</v>
      </c>
      <c r="S626" t="s">
        <v>70</v>
      </c>
      <c r="T626" s="6">
        <v>5</v>
      </c>
      <c r="U626" s="5">
        <v>45081</v>
      </c>
      <c r="V626" s="6">
        <v>1</v>
      </c>
      <c r="W626" t="s">
        <v>86</v>
      </c>
      <c r="X626" s="6">
        <v>128</v>
      </c>
      <c r="Y626">
        <v>26.9697</v>
      </c>
      <c r="Z626">
        <v>13.48485</v>
      </c>
      <c r="AA626" s="6">
        <v>37.407386808158783</v>
      </c>
      <c r="AB626" s="4">
        <v>63.054125000000006</v>
      </c>
      <c r="AC626" s="6">
        <v>26.732687988295773</v>
      </c>
      <c r="AD626">
        <v>0.369289435</v>
      </c>
      <c r="AE626">
        <v>2.1157047199431722</v>
      </c>
      <c r="AF626">
        <v>55875</v>
      </c>
      <c r="AG626" s="4">
        <v>4800</v>
      </c>
      <c r="AH626" s="4">
        <v>135412</v>
      </c>
      <c r="AL626">
        <v>21</v>
      </c>
      <c r="AM626">
        <v>11.729389999999999</v>
      </c>
      <c r="AN626" t="s">
        <v>81</v>
      </c>
      <c r="AO626" t="s">
        <v>117</v>
      </c>
      <c r="AP626" s="5">
        <v>44956</v>
      </c>
      <c r="AQ626" t="s">
        <v>157</v>
      </c>
      <c r="AR626" s="5">
        <v>45080</v>
      </c>
      <c r="AS626">
        <v>236.43694887225297</v>
      </c>
      <c r="AT626" s="6"/>
      <c r="AU626">
        <v>23.730334412321969</v>
      </c>
      <c r="AV626">
        <v>68.700954033600667</v>
      </c>
      <c r="AW626">
        <v>36.870991149326827</v>
      </c>
      <c r="AX626">
        <v>129.30227959524947</v>
      </c>
      <c r="AY626">
        <v>17.693396663663297</v>
      </c>
      <c r="AZ626">
        <v>37.370637048243033</v>
      </c>
      <c r="BA626">
        <v>17.476414643099478</v>
      </c>
      <c r="BB626">
        <v>11.872432767142389</v>
      </c>
      <c r="BC626">
        <v>31.470454250510759</v>
      </c>
      <c r="BD626">
        <v>115.88333537265895</v>
      </c>
      <c r="BE626">
        <v>-8.7486660956554516</v>
      </c>
      <c r="BF626">
        <v>9.2774042722017658</v>
      </c>
      <c r="BH626">
        <v>9.2774042722017658</v>
      </c>
      <c r="BI626">
        <v>254.46301924011019</v>
      </c>
      <c r="BJ626" s="6">
        <v>185</v>
      </c>
      <c r="BK626">
        <v>-18.026070367857226</v>
      </c>
      <c r="BL626" s="4">
        <v>-486.15770999999904</v>
      </c>
      <c r="BM626" t="s">
        <v>316</v>
      </c>
      <c r="BN626" t="s">
        <v>65</v>
      </c>
      <c r="BO626">
        <v>6</v>
      </c>
      <c r="BP626">
        <v>2023</v>
      </c>
      <c r="BQ626" t="str">
        <f t="shared" si="46"/>
        <v>Kamong6</v>
      </c>
      <c r="BR626">
        <f t="shared" si="47"/>
        <v>-1873.3967899999996</v>
      </c>
      <c r="BS626">
        <f t="shared" si="48"/>
        <v>6376.6335800000006</v>
      </c>
      <c r="BT626" s="6">
        <f t="shared" si="49"/>
        <v>-69.463019240110185</v>
      </c>
    </row>
    <row r="627" spans="1:72">
      <c r="A627" s="3" t="s">
        <v>113</v>
      </c>
      <c r="B627" s="3" t="s">
        <v>283</v>
      </c>
      <c r="C627" s="3" t="s">
        <v>301</v>
      </c>
      <c r="D627" s="2" t="s">
        <v>307</v>
      </c>
      <c r="E627" s="4" t="str">
        <f t="shared" si="45"/>
        <v>KamongC1-006-0031</v>
      </c>
      <c r="F627">
        <v>6.32</v>
      </c>
      <c r="G627">
        <v>1.8</v>
      </c>
      <c r="H627" t="s">
        <v>72</v>
      </c>
      <c r="I627" t="s">
        <v>75</v>
      </c>
      <c r="J627" t="s">
        <v>68</v>
      </c>
      <c r="K627" t="s">
        <v>79</v>
      </c>
      <c r="L627" t="s">
        <v>79</v>
      </c>
      <c r="M627">
        <v>5.0723022139650098</v>
      </c>
      <c r="N627" s="5">
        <v>45041</v>
      </c>
      <c r="O627" s="5">
        <v>45053</v>
      </c>
      <c r="P627">
        <v>4</v>
      </c>
      <c r="Q627" s="4">
        <v>220</v>
      </c>
      <c r="R627">
        <v>0.622</v>
      </c>
      <c r="S627" t="s">
        <v>70</v>
      </c>
      <c r="T627" s="6">
        <v>6</v>
      </c>
      <c r="U627" s="5">
        <v>45166</v>
      </c>
      <c r="V627" s="6">
        <v>1</v>
      </c>
      <c r="W627" t="s">
        <v>86</v>
      </c>
      <c r="X627" s="6">
        <v>113</v>
      </c>
      <c r="Y627">
        <v>75.109909999999999</v>
      </c>
      <c r="Z627">
        <v>11.884479430379747</v>
      </c>
      <c r="AA627" s="6">
        <v>31.912659727591205</v>
      </c>
      <c r="AB627" s="4">
        <v>59.923924999999997</v>
      </c>
      <c r="AC627" s="6">
        <v>31.335526669856822</v>
      </c>
      <c r="AD627">
        <v>0.36322713899999998</v>
      </c>
      <c r="AE627">
        <v>2.223459351624244</v>
      </c>
      <c r="AF627">
        <v>161475</v>
      </c>
      <c r="AG627" s="4">
        <v>0</v>
      </c>
      <c r="AH627" s="4">
        <v>819050</v>
      </c>
      <c r="AI627" t="s">
        <v>73</v>
      </c>
      <c r="AJ627" t="s">
        <v>73</v>
      </c>
      <c r="AK627" t="s">
        <v>308</v>
      </c>
      <c r="AL627">
        <v>24</v>
      </c>
      <c r="AM627">
        <v>9.7165999999999997</v>
      </c>
      <c r="AN627" t="s">
        <v>73</v>
      </c>
      <c r="AO627" t="s">
        <v>144</v>
      </c>
      <c r="AP627" s="5">
        <v>45054</v>
      </c>
      <c r="AQ627" t="s">
        <v>105</v>
      </c>
      <c r="AR627" s="5">
        <v>45164</v>
      </c>
      <c r="AS627">
        <v>185.00287179148523</v>
      </c>
      <c r="AT627" s="6"/>
      <c r="AU627">
        <v>26.627644740887057</v>
      </c>
      <c r="AV627">
        <v>67.412044562428562</v>
      </c>
      <c r="AW627">
        <v>36.874408183953364</v>
      </c>
      <c r="AX627">
        <v>130.91409748726898</v>
      </c>
      <c r="AY627">
        <v>6.3570771153899654</v>
      </c>
      <c r="AZ627">
        <v>24.053639526395386</v>
      </c>
      <c r="BA627">
        <v>8.7631488308267151</v>
      </c>
      <c r="BB627">
        <v>11.642755929277511</v>
      </c>
      <c r="BC627">
        <v>6.6013458144204931</v>
      </c>
      <c r="BD627">
        <v>57.417967216310061</v>
      </c>
      <c r="BE627">
        <v>-3.3291929120938022</v>
      </c>
      <c r="BF627">
        <v>3.650232039953182</v>
      </c>
      <c r="BH627">
        <v>3.650232039953182</v>
      </c>
      <c r="BI627">
        <v>191.98229674353215</v>
      </c>
      <c r="BJ627" s="6">
        <v>192</v>
      </c>
      <c r="BK627">
        <v>-6.9794249520469211</v>
      </c>
      <c r="BL627" s="4">
        <v>-524.22397999999862</v>
      </c>
      <c r="BM627" t="s">
        <v>309</v>
      </c>
      <c r="BN627" t="s">
        <v>65</v>
      </c>
      <c r="BO627">
        <v>8</v>
      </c>
      <c r="BP627">
        <v>2023</v>
      </c>
      <c r="BQ627" t="str">
        <f t="shared" si="46"/>
        <v>Kamong8</v>
      </c>
      <c r="BR627">
        <f t="shared" si="47"/>
        <v>1.3296900000074385</v>
      </c>
      <c r="BS627">
        <f t="shared" si="48"/>
        <v>13895.549049999994</v>
      </c>
      <c r="BT627" s="6">
        <f t="shared" si="49"/>
        <v>1.7703256467854089E-2</v>
      </c>
    </row>
    <row r="628" spans="1:72">
      <c r="A628" s="3" t="s">
        <v>113</v>
      </c>
      <c r="B628" s="3" t="s">
        <v>283</v>
      </c>
      <c r="C628" s="3" t="s">
        <v>301</v>
      </c>
      <c r="D628" s="2" t="s">
        <v>2663</v>
      </c>
      <c r="E628" s="4" t="str">
        <f t="shared" si="45"/>
        <v>KamongC1-026-0043</v>
      </c>
      <c r="F628">
        <v>8</v>
      </c>
      <c r="G628">
        <v>1.5</v>
      </c>
      <c r="H628" t="s">
        <v>72</v>
      </c>
      <c r="I628" t="s">
        <v>75</v>
      </c>
      <c r="N628" s="5">
        <v>45140</v>
      </c>
      <c r="O628" s="5">
        <v>45162</v>
      </c>
      <c r="P628">
        <v>2</v>
      </c>
      <c r="Q628" s="4">
        <v>104</v>
      </c>
      <c r="R628">
        <v>0.5</v>
      </c>
      <c r="S628" t="s">
        <v>70</v>
      </c>
      <c r="T628" s="6">
        <v>6</v>
      </c>
      <c r="U628" s="5">
        <v>45261</v>
      </c>
      <c r="V628" s="6">
        <v>1</v>
      </c>
      <c r="W628" t="s">
        <v>86</v>
      </c>
      <c r="X628" s="6">
        <v>99</v>
      </c>
      <c r="Y628">
        <v>51.306309999999996</v>
      </c>
      <c r="Z628">
        <v>6.4132887499999995</v>
      </c>
      <c r="AA628" s="6">
        <v>34.163867953084136</v>
      </c>
      <c r="AB628" s="4">
        <v>87.641100000000009</v>
      </c>
      <c r="AC628" s="6">
        <v>29.27069034961907</v>
      </c>
      <c r="AD628">
        <v>0.30104070999999999</v>
      </c>
      <c r="AE628">
        <v>1.9768891814963174</v>
      </c>
      <c r="AF628">
        <v>99450</v>
      </c>
      <c r="AG628" s="4"/>
      <c r="AH628" s="4"/>
      <c r="AL628">
        <v>33</v>
      </c>
      <c r="AM628">
        <v>10.6814</v>
      </c>
      <c r="AN628" t="s">
        <v>81</v>
      </c>
      <c r="AO628" t="s">
        <v>102</v>
      </c>
      <c r="AP628" s="5">
        <v>45168</v>
      </c>
      <c r="AQ628" t="s">
        <v>92</v>
      </c>
      <c r="AR628" s="5">
        <v>45256</v>
      </c>
      <c r="AS628">
        <v>215.27374897941399</v>
      </c>
      <c r="AT628" s="6"/>
      <c r="AU628">
        <v>17.541701985584229</v>
      </c>
      <c r="AV628">
        <v>58.25094418210935</v>
      </c>
      <c r="AW628">
        <v>59.638507037438458</v>
      </c>
      <c r="AX628">
        <v>135.43115320513203</v>
      </c>
      <c r="AY628">
        <v>12.68059367356569</v>
      </c>
      <c r="AZ628">
        <v>23.39046561719212</v>
      </c>
      <c r="BA628">
        <v>30.744526160622353</v>
      </c>
      <c r="BB628">
        <v>15.924593875490171</v>
      </c>
      <c r="BC628">
        <v>14.421136113667112</v>
      </c>
      <c r="BD628">
        <v>97.161315440537436</v>
      </c>
      <c r="BE628">
        <v>-17.318719666255475</v>
      </c>
      <c r="BF628">
        <v>13.880987933063205</v>
      </c>
      <c r="BH628">
        <v>13.880987933063205</v>
      </c>
      <c r="BI628">
        <v>246.47345657873262</v>
      </c>
      <c r="BJ628" s="6">
        <v>189</v>
      </c>
      <c r="BK628">
        <v>-31.199707599318629</v>
      </c>
      <c r="BL628" s="4">
        <v>-1600.7418699999973</v>
      </c>
      <c r="BM628" t="s">
        <v>2664</v>
      </c>
      <c r="BN628" t="s">
        <v>65</v>
      </c>
      <c r="BO628">
        <v>12</v>
      </c>
      <c r="BP628">
        <v>2023</v>
      </c>
      <c r="BQ628" t="str">
        <f t="shared" si="46"/>
        <v>Kamong12</v>
      </c>
      <c r="BR628">
        <f t="shared" si="47"/>
        <v>-2948.7509799999953</v>
      </c>
      <c r="BS628">
        <f t="shared" si="48"/>
        <v>11044.901699999997</v>
      </c>
      <c r="BT628" s="6">
        <f t="shared" si="49"/>
        <v>-57.473456578732623</v>
      </c>
    </row>
    <row r="629" spans="1:72">
      <c r="A629" s="3" t="s">
        <v>113</v>
      </c>
      <c r="B629" s="3" t="s">
        <v>283</v>
      </c>
      <c r="C629" s="3" t="s">
        <v>301</v>
      </c>
      <c r="D629" s="2" t="s">
        <v>304</v>
      </c>
      <c r="E629" s="4" t="str">
        <f t="shared" si="45"/>
        <v>KamongC1-018-0018</v>
      </c>
      <c r="F629">
        <v>8.1999999999999993</v>
      </c>
      <c r="G629">
        <v>1.5</v>
      </c>
      <c r="H629" t="s">
        <v>72</v>
      </c>
      <c r="I629" t="s">
        <v>75</v>
      </c>
      <c r="J629" t="s">
        <v>95</v>
      </c>
      <c r="K629" t="s">
        <v>79</v>
      </c>
      <c r="L629" t="s">
        <v>79</v>
      </c>
      <c r="M629">
        <v>5.0668103448275863</v>
      </c>
      <c r="N629" s="5">
        <v>44952</v>
      </c>
      <c r="O629" s="5">
        <v>44982</v>
      </c>
      <c r="P629">
        <v>1.8</v>
      </c>
      <c r="Q629" s="4">
        <v>91</v>
      </c>
      <c r="R629">
        <v>0.5</v>
      </c>
      <c r="S629" t="s">
        <v>70</v>
      </c>
      <c r="T629" s="6">
        <v>3</v>
      </c>
      <c r="U629" s="5">
        <v>45061</v>
      </c>
      <c r="V629" s="6">
        <v>1</v>
      </c>
      <c r="W629" t="s">
        <v>86</v>
      </c>
      <c r="X629" s="6">
        <v>79</v>
      </c>
      <c r="Y629">
        <v>36.822120000000005</v>
      </c>
      <c r="Z629">
        <v>4.4905024390243913</v>
      </c>
      <c r="AA629" s="6">
        <v>43.465503887337285</v>
      </c>
      <c r="AB629" s="4">
        <v>88.916222222222217</v>
      </c>
      <c r="AC629" s="6">
        <v>23.006750424244544</v>
      </c>
      <c r="AD629">
        <v>0.28804827799999999</v>
      </c>
      <c r="AE629">
        <v>1.9375248454155822</v>
      </c>
      <c r="AF629">
        <v>69600</v>
      </c>
      <c r="AG629" s="4">
        <v>0</v>
      </c>
      <c r="AH629" s="4">
        <v>352650</v>
      </c>
      <c r="AL629">
        <v>43</v>
      </c>
      <c r="AM629">
        <v>19.671569999999999</v>
      </c>
      <c r="AN629" t="s">
        <v>77</v>
      </c>
      <c r="AO629" t="s">
        <v>127</v>
      </c>
      <c r="AP629" s="5">
        <v>44984</v>
      </c>
      <c r="AQ629" t="s">
        <v>127</v>
      </c>
      <c r="AR629" s="5">
        <v>45059</v>
      </c>
      <c r="AS629">
        <v>164.87127139882219</v>
      </c>
      <c r="AT629" s="6"/>
      <c r="AU629">
        <v>21.997647066491549</v>
      </c>
      <c r="AV629">
        <v>60.845012182894401</v>
      </c>
      <c r="AW629">
        <v>46.635411812247646</v>
      </c>
      <c r="AX629">
        <v>129.47807106163361</v>
      </c>
      <c r="AY629">
        <v>12.474931915924451</v>
      </c>
      <c r="AZ629">
        <v>27.134987339132021</v>
      </c>
      <c r="BA629">
        <v>11.447520131920706</v>
      </c>
      <c r="BB629">
        <v>17.773596685905098</v>
      </c>
      <c r="BC629">
        <v>12.186393667719296</v>
      </c>
      <c r="BD629">
        <v>81.017429740601571</v>
      </c>
      <c r="BE629">
        <v>-45.624229403412997</v>
      </c>
      <c r="BF629">
        <v>5.7889809169053814</v>
      </c>
      <c r="BH629">
        <v>5.7889809169053814</v>
      </c>
      <c r="BI629">
        <v>216.28448171914053</v>
      </c>
      <c r="BJ629" s="6">
        <v>178</v>
      </c>
      <c r="BK629">
        <v>-51.413210320318335</v>
      </c>
      <c r="BL629" s="4">
        <v>-1893.1434000000004</v>
      </c>
      <c r="BM629" t="s">
        <v>305</v>
      </c>
      <c r="BN629" t="s">
        <v>65</v>
      </c>
      <c r="BO629">
        <v>5</v>
      </c>
      <c r="BP629">
        <v>2023</v>
      </c>
      <c r="BQ629" t="str">
        <f t="shared" si="46"/>
        <v>Kamong5</v>
      </c>
      <c r="BR629">
        <f t="shared" si="47"/>
        <v>-1409.7157799999991</v>
      </c>
      <c r="BS629">
        <f t="shared" si="48"/>
        <v>6070.9097399999991</v>
      </c>
      <c r="BT629" s="6">
        <f t="shared" si="49"/>
        <v>-38.28448171914053</v>
      </c>
    </row>
    <row r="630" spans="1:72">
      <c r="A630" s="3" t="s">
        <v>113</v>
      </c>
      <c r="B630" s="3" t="s">
        <v>283</v>
      </c>
      <c r="C630" s="3" t="s">
        <v>301</v>
      </c>
      <c r="D630" s="2" t="s">
        <v>306</v>
      </c>
      <c r="E630" s="4" t="str">
        <f t="shared" si="45"/>
        <v>KamongC1-006-0030</v>
      </c>
      <c r="F630">
        <v>6.32</v>
      </c>
      <c r="G630">
        <v>1.8</v>
      </c>
      <c r="H630" t="s">
        <v>72</v>
      </c>
      <c r="I630" t="s">
        <v>75</v>
      </c>
      <c r="J630" t="s">
        <v>68</v>
      </c>
      <c r="K630" t="s">
        <v>79</v>
      </c>
      <c r="L630" t="s">
        <v>79</v>
      </c>
      <c r="M630">
        <v>4.4254888739042482</v>
      </c>
      <c r="N630" s="5">
        <v>44834</v>
      </c>
      <c r="O630" s="5">
        <v>44886</v>
      </c>
      <c r="P630">
        <v>3.8</v>
      </c>
      <c r="Q630" s="4">
        <v>209</v>
      </c>
      <c r="R630">
        <v>0.10299999999999999</v>
      </c>
      <c r="S630" t="s">
        <v>70</v>
      </c>
      <c r="T630" s="6">
        <v>6</v>
      </c>
      <c r="U630" s="5">
        <v>45017</v>
      </c>
      <c r="V630" s="6">
        <v>1</v>
      </c>
      <c r="W630" t="s">
        <v>86</v>
      </c>
      <c r="X630" s="6">
        <v>131</v>
      </c>
      <c r="Y630">
        <v>78.695179999999993</v>
      </c>
      <c r="Z630">
        <v>12.451768987341771</v>
      </c>
      <c r="AA630" s="6">
        <v>37.986417973756467</v>
      </c>
      <c r="AB630" s="4">
        <v>78.667052631578954</v>
      </c>
      <c r="AC630" s="6">
        <v>26.325198672085012</v>
      </c>
      <c r="AD630">
        <v>0.25366666700000001</v>
      </c>
      <c r="AE630">
        <v>1.8939205278763904</v>
      </c>
      <c r="AF630">
        <v>148300</v>
      </c>
      <c r="AG630" s="4">
        <v>36200</v>
      </c>
      <c r="AH630" s="4">
        <v>656300</v>
      </c>
      <c r="AL630">
        <v>30.000000000000004</v>
      </c>
      <c r="AM630">
        <v>9.5028600000000001</v>
      </c>
      <c r="AN630" t="s">
        <v>81</v>
      </c>
      <c r="AO630" t="s">
        <v>215</v>
      </c>
      <c r="AP630" s="5">
        <v>44886</v>
      </c>
      <c r="AQ630" t="s">
        <v>127</v>
      </c>
      <c r="AR630" s="5">
        <v>45015</v>
      </c>
      <c r="AS630">
        <v>233.16967227217734</v>
      </c>
      <c r="AT630" s="6"/>
      <c r="AU630">
        <v>18.156131036233727</v>
      </c>
      <c r="AV630">
        <v>62.743873640037421</v>
      </c>
      <c r="AW630">
        <v>43.914397171465886</v>
      </c>
      <c r="AX630">
        <v>124.81440184773705</v>
      </c>
      <c r="AY630">
        <v>10.729815599888074</v>
      </c>
      <c r="AZ630">
        <v>18.428719268448209</v>
      </c>
      <c r="BA630">
        <v>13.480318362573158</v>
      </c>
      <c r="BB630">
        <v>15.884132293744042</v>
      </c>
      <c r="BC630">
        <v>8.8923757465196758</v>
      </c>
      <c r="BD630">
        <v>67.415361271173154</v>
      </c>
      <c r="BE630">
        <v>40.939909153267138</v>
      </c>
      <c r="BF630">
        <v>5.7376403484940264</v>
      </c>
      <c r="BH630">
        <v>5.7376403484940264</v>
      </c>
      <c r="BI630">
        <v>197.96740346740418</v>
      </c>
      <c r="BJ630" s="6">
        <v>184</v>
      </c>
      <c r="BK630">
        <v>35.202268804773134</v>
      </c>
      <c r="BL630" s="4">
        <v>2770.2488800000065</v>
      </c>
      <c r="BM630" t="s">
        <v>284</v>
      </c>
      <c r="BN630" t="s">
        <v>65</v>
      </c>
      <c r="BO630">
        <v>4</v>
      </c>
      <c r="BP630">
        <v>2023</v>
      </c>
      <c r="BQ630" t="str">
        <f t="shared" si="46"/>
        <v>Kamong4</v>
      </c>
      <c r="BR630">
        <f t="shared" si="47"/>
        <v>-1099.1673299999961</v>
      </c>
      <c r="BS630">
        <f t="shared" si="48"/>
        <v>18349.329330000004</v>
      </c>
      <c r="BT630" s="6">
        <f t="shared" si="49"/>
        <v>-13.967403467404182</v>
      </c>
    </row>
    <row r="631" spans="1:72">
      <c r="A631" s="3" t="s">
        <v>113</v>
      </c>
      <c r="B631" s="3" t="s">
        <v>283</v>
      </c>
      <c r="C631" s="3" t="s">
        <v>301</v>
      </c>
      <c r="D631" s="2" t="s">
        <v>302</v>
      </c>
      <c r="E631" s="4" t="str">
        <f t="shared" si="45"/>
        <v>KamongC1-024-0042</v>
      </c>
      <c r="F631">
        <v>8</v>
      </c>
      <c r="G631">
        <v>1.5</v>
      </c>
      <c r="H631" t="s">
        <v>72</v>
      </c>
      <c r="I631" t="s">
        <v>75</v>
      </c>
      <c r="K631" t="s">
        <v>79</v>
      </c>
      <c r="L631" t="s">
        <v>79</v>
      </c>
      <c r="M631">
        <v>0.151183970856102</v>
      </c>
      <c r="N631" s="5">
        <v>44982</v>
      </c>
      <c r="O631" s="5">
        <v>44996</v>
      </c>
      <c r="P631">
        <v>2.4</v>
      </c>
      <c r="Q631" s="4">
        <v>125</v>
      </c>
      <c r="R631">
        <v>0.43</v>
      </c>
      <c r="S631" t="s">
        <v>70</v>
      </c>
      <c r="T631" s="6">
        <v>4</v>
      </c>
      <c r="U631" s="5">
        <v>45063</v>
      </c>
      <c r="V631" s="6">
        <v>2</v>
      </c>
      <c r="W631" t="s">
        <v>71</v>
      </c>
      <c r="X631" s="6">
        <v>67</v>
      </c>
      <c r="Y631">
        <v>29.709009999999999</v>
      </c>
      <c r="Z631">
        <v>3.7136262499999999</v>
      </c>
      <c r="AA631" s="6">
        <v>69.992201019152105</v>
      </c>
      <c r="AB631" s="4">
        <v>86.641625000000005</v>
      </c>
      <c r="AC631" s="6">
        <v>14.287306091808258</v>
      </c>
      <c r="AD631">
        <v>0.20379861299999999</v>
      </c>
      <c r="AE631">
        <v>1.9144255276264857</v>
      </c>
      <c r="AF631">
        <v>54900</v>
      </c>
      <c r="AG631" s="4">
        <v>38200</v>
      </c>
      <c r="AH631" s="4">
        <v>8300</v>
      </c>
      <c r="AL631">
        <v>71</v>
      </c>
      <c r="AM631">
        <v>16.63064</v>
      </c>
      <c r="AN631" t="s">
        <v>77</v>
      </c>
      <c r="AO631" t="s">
        <v>144</v>
      </c>
      <c r="AP631" s="5">
        <v>44998</v>
      </c>
      <c r="AQ631" t="s">
        <v>127</v>
      </c>
      <c r="AR631" s="5">
        <v>45059</v>
      </c>
      <c r="AS631">
        <v>121.30332447967805</v>
      </c>
      <c r="AT631" s="6"/>
      <c r="AU631">
        <v>36.352608181827662</v>
      </c>
      <c r="AV631">
        <v>59.267729890696465</v>
      </c>
      <c r="AW631">
        <v>39.197190347305408</v>
      </c>
      <c r="AX631">
        <v>134.81752841982953</v>
      </c>
      <c r="AY631">
        <v>10.657900751320897</v>
      </c>
      <c r="AZ631">
        <v>23.930002716347666</v>
      </c>
      <c r="BA631">
        <v>10.383553339542448</v>
      </c>
      <c r="BB631">
        <v>18.943749387811984</v>
      </c>
      <c r="BC631">
        <v>11.402917498765525</v>
      </c>
      <c r="BD631">
        <v>75.318123693788507</v>
      </c>
      <c r="BE631">
        <v>-88.832327633939983</v>
      </c>
      <c r="BF631">
        <v>4.6257401374195917</v>
      </c>
      <c r="BH631">
        <v>4.6257401374195917</v>
      </c>
      <c r="BI631">
        <v>214.76139225103768</v>
      </c>
      <c r="BJ631" s="6">
        <v>150</v>
      </c>
      <c r="BK631">
        <v>-93.458067771359637</v>
      </c>
      <c r="BL631" s="4">
        <v>-2776.5466700000006</v>
      </c>
      <c r="BM631" t="s">
        <v>303</v>
      </c>
      <c r="BN631" t="s">
        <v>65</v>
      </c>
      <c r="BO631">
        <v>5</v>
      </c>
      <c r="BP631">
        <v>2023</v>
      </c>
      <c r="BQ631" t="str">
        <f t="shared" si="46"/>
        <v>Kamong5</v>
      </c>
      <c r="BR631">
        <f t="shared" si="47"/>
        <v>-1923.9968500000009</v>
      </c>
      <c r="BS631">
        <f t="shared" si="48"/>
        <v>3603.80168</v>
      </c>
      <c r="BT631" s="6">
        <f t="shared" si="49"/>
        <v>-64.761392251037677</v>
      </c>
    </row>
    <row r="632" spans="1:72">
      <c r="A632" s="3" t="s">
        <v>113</v>
      </c>
      <c r="B632" s="3" t="s">
        <v>283</v>
      </c>
      <c r="C632" s="3" t="s">
        <v>298</v>
      </c>
      <c r="D632" s="2" t="s">
        <v>300</v>
      </c>
      <c r="E632" s="4" t="str">
        <f t="shared" si="45"/>
        <v>KamongAG-011-0008</v>
      </c>
      <c r="F632">
        <v>2</v>
      </c>
      <c r="G632">
        <v>2</v>
      </c>
      <c r="H632" t="s">
        <v>84</v>
      </c>
      <c r="I632" t="s">
        <v>67</v>
      </c>
      <c r="K632" t="s">
        <v>89</v>
      </c>
      <c r="L632" t="s">
        <v>89</v>
      </c>
      <c r="M632">
        <v>2.1418788410886744</v>
      </c>
      <c r="N632" s="5">
        <v>44904</v>
      </c>
      <c r="O632" s="5">
        <v>44922</v>
      </c>
      <c r="P632">
        <v>1.6</v>
      </c>
      <c r="Q632" s="4">
        <v>250</v>
      </c>
      <c r="R632">
        <v>0.35599999999999998</v>
      </c>
      <c r="S632" t="s">
        <v>70</v>
      </c>
      <c r="T632" s="6">
        <v>6</v>
      </c>
      <c r="U632" s="5">
        <v>45035</v>
      </c>
      <c r="V632" s="6">
        <v>1</v>
      </c>
      <c r="W632" t="s">
        <v>86</v>
      </c>
      <c r="X632" s="6">
        <v>113</v>
      </c>
      <c r="Y632">
        <v>29.620480000000001</v>
      </c>
      <c r="Z632">
        <v>14.81024</v>
      </c>
      <c r="AA632" s="6">
        <v>43.272863910375527</v>
      </c>
      <c r="AB632" s="4">
        <v>80.110187499999995</v>
      </c>
      <c r="AC632" s="6">
        <v>23.109170728129925</v>
      </c>
      <c r="AD632">
        <v>0.27339823000000002</v>
      </c>
      <c r="AE632">
        <v>1.9603806890626247</v>
      </c>
      <c r="AF632">
        <v>56950</v>
      </c>
      <c r="AG632" s="4">
        <v>12800</v>
      </c>
      <c r="AH632" s="4">
        <v>121980</v>
      </c>
      <c r="AL632">
        <v>32</v>
      </c>
      <c r="AM632">
        <v>8.9139799999999987</v>
      </c>
      <c r="AN632" t="s">
        <v>81</v>
      </c>
      <c r="AO632" t="s">
        <v>136</v>
      </c>
      <c r="AP632" s="5">
        <v>44923</v>
      </c>
      <c r="AQ632" t="s">
        <v>117</v>
      </c>
      <c r="AR632" s="5">
        <v>45034</v>
      </c>
      <c r="AS632">
        <v>222.94726250216064</v>
      </c>
      <c r="AT632" s="6"/>
      <c r="AU632">
        <v>21.606672140356945</v>
      </c>
      <c r="AV632">
        <v>63.485605905103512</v>
      </c>
      <c r="AW632">
        <v>29.996226259669001</v>
      </c>
      <c r="AX632">
        <v>115.08850430512946</v>
      </c>
      <c r="AY632">
        <v>14.929521061103666</v>
      </c>
      <c r="AZ632">
        <v>27.101400112354696</v>
      </c>
      <c r="BA632">
        <v>14.211448970442072</v>
      </c>
      <c r="BB632">
        <v>12.580531443109635</v>
      </c>
      <c r="BC632">
        <v>25.861792584049958</v>
      </c>
      <c r="BD632">
        <v>94.684694171060016</v>
      </c>
      <c r="BE632">
        <v>13.174064025971163</v>
      </c>
      <c r="BF632">
        <v>7.3753146471630444</v>
      </c>
      <c r="BH632">
        <v>7.3753146471630444</v>
      </c>
      <c r="BI632">
        <v>217.14851312335261</v>
      </c>
      <c r="BJ632" s="6">
        <v>178</v>
      </c>
      <c r="BK632">
        <v>5.7987493788080267</v>
      </c>
      <c r="BL632" s="4">
        <v>171.76173999999557</v>
      </c>
      <c r="BM632" t="s">
        <v>299</v>
      </c>
      <c r="BN632" t="s">
        <v>65</v>
      </c>
      <c r="BO632">
        <v>4</v>
      </c>
      <c r="BP632">
        <v>2023</v>
      </c>
      <c r="BQ632" t="str">
        <f t="shared" si="46"/>
        <v>Kamong4</v>
      </c>
      <c r="BR632">
        <f t="shared" si="47"/>
        <v>-1159.5977500000038</v>
      </c>
      <c r="BS632">
        <f t="shared" si="48"/>
        <v>6603.8049299999993</v>
      </c>
      <c r="BT632" s="6">
        <f t="shared" si="49"/>
        <v>-39.148513123352615</v>
      </c>
    </row>
    <row r="633" spans="1:72">
      <c r="A633" s="3" t="s">
        <v>113</v>
      </c>
      <c r="B633" s="3" t="s">
        <v>283</v>
      </c>
      <c r="D633" s="2" t="s">
        <v>1875</v>
      </c>
      <c r="E633" s="4" t="str">
        <f t="shared" si="45"/>
        <v>KamongD1-032-0010</v>
      </c>
      <c r="F633">
        <v>3</v>
      </c>
      <c r="G633">
        <v>2</v>
      </c>
      <c r="H633" t="s">
        <v>72</v>
      </c>
      <c r="I633" t="s">
        <v>75</v>
      </c>
      <c r="K633" t="s">
        <v>79</v>
      </c>
      <c r="L633" t="s">
        <v>79</v>
      </c>
      <c r="M633">
        <v>4.1392405063291138</v>
      </c>
      <c r="N633" s="5">
        <v>45083</v>
      </c>
      <c r="O633" s="5">
        <v>45106</v>
      </c>
      <c r="P633">
        <v>0.9</v>
      </c>
      <c r="Q633" s="4">
        <v>94</v>
      </c>
      <c r="R633">
        <v>0.83299999999999996</v>
      </c>
      <c r="S633" t="s">
        <v>70</v>
      </c>
      <c r="T633" s="6">
        <v>1</v>
      </c>
      <c r="U633" s="5">
        <v>45140</v>
      </c>
      <c r="V633" s="6">
        <v>2</v>
      </c>
      <c r="W633" t="s">
        <v>71</v>
      </c>
      <c r="X633" s="6">
        <v>34</v>
      </c>
      <c r="Y633">
        <v>7.3087</v>
      </c>
      <c r="Z633">
        <v>2.4362333333333335</v>
      </c>
      <c r="AA633" s="6">
        <v>110.00205234857088</v>
      </c>
      <c r="AB633" s="4">
        <v>89.330222222222218</v>
      </c>
      <c r="AC633" s="6">
        <v>9.0907394784893008</v>
      </c>
      <c r="AD633">
        <v>0.24287967899999996</v>
      </c>
      <c r="AE633">
        <v>1.2045069907146233</v>
      </c>
      <c r="AF633">
        <v>7900</v>
      </c>
      <c r="AG633" s="4">
        <v>19200</v>
      </c>
      <c r="AH633" s="4">
        <v>32700</v>
      </c>
      <c r="AI633" t="s">
        <v>73</v>
      </c>
      <c r="AJ633" t="s">
        <v>73</v>
      </c>
      <c r="AK633" t="s">
        <v>131</v>
      </c>
      <c r="AL633">
        <v>110</v>
      </c>
      <c r="AM633">
        <v>7.3013999999999992</v>
      </c>
      <c r="AN633" t="s">
        <v>73</v>
      </c>
      <c r="AO633" t="s">
        <v>97</v>
      </c>
      <c r="AP633" s="5">
        <v>45107</v>
      </c>
      <c r="AQ633" t="s">
        <v>215</v>
      </c>
      <c r="AR633" s="5">
        <v>45135</v>
      </c>
      <c r="AS633">
        <v>101.36097527604088</v>
      </c>
      <c r="AT633" s="6"/>
      <c r="AU633">
        <v>67.727502839082192</v>
      </c>
      <c r="AV633">
        <v>33.158761476049094</v>
      </c>
      <c r="AW633">
        <v>68.770957899489659</v>
      </c>
      <c r="AX633">
        <v>169.65722221462093</v>
      </c>
      <c r="AY633">
        <v>69.847870346299615</v>
      </c>
      <c r="AZ633">
        <v>45.026296058122512</v>
      </c>
      <c r="BA633">
        <v>101.42253478730828</v>
      </c>
      <c r="BB633">
        <v>68.182043318237163</v>
      </c>
      <c r="BC633">
        <v>74.91731224431156</v>
      </c>
      <c r="BD633">
        <v>359.39605675427913</v>
      </c>
      <c r="BE633">
        <v>-427.69230369285918</v>
      </c>
      <c r="BF633">
        <v>24.34271074199242</v>
      </c>
      <c r="BH633">
        <v>24.34271074199242</v>
      </c>
      <c r="BI633">
        <v>553.39598971089254</v>
      </c>
      <c r="BJ633" s="6">
        <v>150</v>
      </c>
      <c r="BK633">
        <v>-452.03501443485169</v>
      </c>
      <c r="BL633" s="4">
        <v>-3303.7883100000004</v>
      </c>
      <c r="BM633" t="s">
        <v>1876</v>
      </c>
      <c r="BN633" t="s">
        <v>65</v>
      </c>
      <c r="BO633">
        <v>8</v>
      </c>
      <c r="BP633">
        <v>2023</v>
      </c>
      <c r="BQ633" t="str">
        <f t="shared" si="46"/>
        <v>Kamong8</v>
      </c>
      <c r="BR633">
        <f t="shared" si="47"/>
        <v>-2948.3002700000002</v>
      </c>
      <c r="BS633">
        <f t="shared" si="48"/>
        <v>740.81695999999999</v>
      </c>
      <c r="BT633" s="6">
        <f t="shared" si="49"/>
        <v>-403.39598971089254</v>
      </c>
    </row>
    <row r="634" spans="1:72">
      <c r="A634" s="3" t="s">
        <v>113</v>
      </c>
      <c r="B634" s="3" t="s">
        <v>283</v>
      </c>
      <c r="C634" s="3" t="s">
        <v>285</v>
      </c>
      <c r="D634" s="2" t="s">
        <v>295</v>
      </c>
      <c r="E634" s="4" t="str">
        <f t="shared" si="45"/>
        <v>KamongD1-022-0038</v>
      </c>
      <c r="F634">
        <v>3</v>
      </c>
      <c r="G634">
        <v>2</v>
      </c>
      <c r="H634" t="s">
        <v>72</v>
      </c>
      <c r="I634" t="s">
        <v>75</v>
      </c>
      <c r="J634" t="s">
        <v>95</v>
      </c>
      <c r="K634" t="s">
        <v>79</v>
      </c>
      <c r="L634" t="s">
        <v>79</v>
      </c>
      <c r="M634">
        <v>4.2098872506504774</v>
      </c>
      <c r="N634" s="5">
        <v>44833</v>
      </c>
      <c r="O634" s="5">
        <v>44871</v>
      </c>
      <c r="P634">
        <v>1.4</v>
      </c>
      <c r="Q634" s="4">
        <v>146</v>
      </c>
      <c r="R634">
        <v>0.36</v>
      </c>
      <c r="S634" t="s">
        <v>70</v>
      </c>
      <c r="T634" s="6">
        <v>2</v>
      </c>
      <c r="U634" s="5">
        <v>44973</v>
      </c>
      <c r="V634" s="6">
        <v>1</v>
      </c>
      <c r="W634" t="s">
        <v>86</v>
      </c>
      <c r="X634" s="6">
        <v>102</v>
      </c>
      <c r="Y634">
        <v>15.735239999999999</v>
      </c>
      <c r="Z634">
        <v>5.2450799999999997</v>
      </c>
      <c r="AA634" s="6">
        <v>35.906157135194633</v>
      </c>
      <c r="AB634" s="4">
        <v>40.356571428571428</v>
      </c>
      <c r="AC634" s="6">
        <v>27.850376642501132</v>
      </c>
      <c r="AD634">
        <v>0.30284313699999998</v>
      </c>
      <c r="AE634">
        <v>1.8925019499499709</v>
      </c>
      <c r="AF634">
        <v>28825</v>
      </c>
      <c r="AG634" s="4">
        <v>0</v>
      </c>
      <c r="AH634" s="4">
        <v>121350</v>
      </c>
      <c r="AL634">
        <v>32</v>
      </c>
      <c r="AM634">
        <v>12.662000000000001</v>
      </c>
      <c r="AN634" t="s">
        <v>77</v>
      </c>
      <c r="AO634" t="s">
        <v>109</v>
      </c>
      <c r="AP634" s="5">
        <v>44872</v>
      </c>
      <c r="AQ634" t="s">
        <v>131</v>
      </c>
      <c r="AR634" s="5">
        <v>44972</v>
      </c>
      <c r="AS634">
        <v>250.50327545051746</v>
      </c>
      <c r="AT634" s="6"/>
      <c r="AU634">
        <v>33.453572999204333</v>
      </c>
      <c r="AV634">
        <v>59.029034828830063</v>
      </c>
      <c r="AW634">
        <v>56.566046021541453</v>
      </c>
      <c r="AX634">
        <v>149.04865384957586</v>
      </c>
      <c r="AY634">
        <v>53.007444436818247</v>
      </c>
      <c r="AZ634">
        <v>46.454390273043181</v>
      </c>
      <c r="BA634">
        <v>39.959973918414974</v>
      </c>
      <c r="BB634">
        <v>42.870840864200353</v>
      </c>
      <c r="BC634">
        <v>23.092522262132636</v>
      </c>
      <c r="BD634">
        <v>205.38517175460939</v>
      </c>
      <c r="BE634">
        <v>-103.93055015366778</v>
      </c>
      <c r="BF634">
        <v>16.180853294897314</v>
      </c>
      <c r="BH634">
        <v>16.180853294897314</v>
      </c>
      <c r="BI634">
        <v>370.61467889908255</v>
      </c>
      <c r="BJ634" s="6">
        <v>186</v>
      </c>
      <c r="BK634">
        <v>-120.11140344856511</v>
      </c>
      <c r="BL634" s="4">
        <v>-1889.9817599999997</v>
      </c>
      <c r="BM634" t="s">
        <v>286</v>
      </c>
      <c r="BN634" t="s">
        <v>65</v>
      </c>
      <c r="BO634">
        <v>2</v>
      </c>
      <c r="BP634">
        <v>2023</v>
      </c>
      <c r="BQ634" t="str">
        <f t="shared" si="46"/>
        <v>Kamong2</v>
      </c>
      <c r="BR634">
        <f t="shared" si="47"/>
        <v>-2904.9562799999994</v>
      </c>
      <c r="BS634">
        <f t="shared" si="48"/>
        <v>3941.7291600000003</v>
      </c>
      <c r="BT634" s="6">
        <f t="shared" si="49"/>
        <v>-184.61467889908255</v>
      </c>
    </row>
    <row r="635" spans="1:72">
      <c r="A635" s="3" t="s">
        <v>113</v>
      </c>
      <c r="B635" s="3" t="s">
        <v>283</v>
      </c>
      <c r="C635" s="3" t="s">
        <v>285</v>
      </c>
      <c r="D635" s="2" t="s">
        <v>296</v>
      </c>
      <c r="E635" s="4" t="str">
        <f t="shared" si="45"/>
        <v>KamongD1-032-0008</v>
      </c>
      <c r="F635">
        <v>3</v>
      </c>
      <c r="G635">
        <v>2</v>
      </c>
      <c r="H635" t="s">
        <v>72</v>
      </c>
      <c r="I635" t="s">
        <v>75</v>
      </c>
      <c r="K635" t="s">
        <v>79</v>
      </c>
      <c r="L635" t="s">
        <v>79</v>
      </c>
      <c r="M635">
        <v>4.7367387033398822</v>
      </c>
      <c r="N635" s="5">
        <v>44860</v>
      </c>
      <c r="O635" s="5">
        <v>44880</v>
      </c>
      <c r="P635">
        <v>0.9</v>
      </c>
      <c r="Q635" s="4">
        <v>94</v>
      </c>
      <c r="R635">
        <v>0.4</v>
      </c>
      <c r="S635" t="s">
        <v>70</v>
      </c>
      <c r="T635" s="6">
        <v>4</v>
      </c>
      <c r="U635" s="5">
        <v>45002</v>
      </c>
      <c r="V635" s="6">
        <v>1</v>
      </c>
      <c r="W635" t="s">
        <v>86</v>
      </c>
      <c r="X635" s="6">
        <v>122</v>
      </c>
      <c r="Y635">
        <v>20.179009999999998</v>
      </c>
      <c r="Z635">
        <v>6.7263366666666657</v>
      </c>
      <c r="AA635" s="6">
        <v>34.469084459544845</v>
      </c>
      <c r="AB635" s="4">
        <v>77.283555555555566</v>
      </c>
      <c r="AC635" s="6">
        <v>29.011504531652555</v>
      </c>
      <c r="AD635">
        <v>0.289461358</v>
      </c>
      <c r="AE635">
        <v>1.9261809747308267</v>
      </c>
      <c r="AF635">
        <v>38175</v>
      </c>
      <c r="AG635" s="4">
        <v>19100</v>
      </c>
      <c r="AH635" s="4">
        <v>180825</v>
      </c>
      <c r="AL635">
        <v>28</v>
      </c>
      <c r="AM635">
        <v>8.675139999999999</v>
      </c>
      <c r="AN635" t="s">
        <v>81</v>
      </c>
      <c r="AO635" t="s">
        <v>109</v>
      </c>
      <c r="AP635" s="5">
        <v>44886</v>
      </c>
      <c r="AQ635" t="s">
        <v>144</v>
      </c>
      <c r="AR635" s="5">
        <v>45000</v>
      </c>
      <c r="AS635">
        <v>256.01486792464055</v>
      </c>
      <c r="AT635" s="6"/>
      <c r="AU635">
        <v>16.76990100108975</v>
      </c>
      <c r="AV635">
        <v>62.519819852411004</v>
      </c>
      <c r="AW635">
        <v>43.677699748401935</v>
      </c>
      <c r="AX635">
        <v>122.96742060190269</v>
      </c>
      <c r="AY635">
        <v>23.201035135023968</v>
      </c>
      <c r="AZ635">
        <v>47.340060290371056</v>
      </c>
      <c r="BA635">
        <v>30.129803196489821</v>
      </c>
      <c r="BB635">
        <v>24.008444913799043</v>
      </c>
      <c r="BC635">
        <v>15.181800296446658</v>
      </c>
      <c r="BD635">
        <v>139.86114383213055</v>
      </c>
      <c r="BE635">
        <v>-6.8136965093926847</v>
      </c>
      <c r="BF635">
        <v>7.6198797661530469</v>
      </c>
      <c r="BH635">
        <v>7.6198797661530469</v>
      </c>
      <c r="BI635">
        <v>270.44844420018632</v>
      </c>
      <c r="BJ635" s="6">
        <v>189</v>
      </c>
      <c r="BK635">
        <v>-14.433576275545787</v>
      </c>
      <c r="BL635" s="4">
        <v>-291.25528000000116</v>
      </c>
      <c r="BM635" t="s">
        <v>297</v>
      </c>
      <c r="BN635" t="s">
        <v>65</v>
      </c>
      <c r="BO635">
        <v>3</v>
      </c>
      <c r="BP635">
        <v>2023</v>
      </c>
      <c r="BQ635" t="str">
        <f t="shared" si="46"/>
        <v>Kamong3</v>
      </c>
      <c r="BR635">
        <f t="shared" si="47"/>
        <v>-1643.5489700000014</v>
      </c>
      <c r="BS635">
        <f t="shared" si="48"/>
        <v>5166.1265800000001</v>
      </c>
      <c r="BT635" s="6">
        <f t="shared" si="49"/>
        <v>-81.448444200186316</v>
      </c>
    </row>
    <row r="636" spans="1:72">
      <c r="A636" s="3" t="s">
        <v>113</v>
      </c>
      <c r="B636" s="3" t="s">
        <v>283</v>
      </c>
      <c r="C636" s="3" t="s">
        <v>285</v>
      </c>
      <c r="D636" s="2" t="s">
        <v>289</v>
      </c>
      <c r="E636" s="4" t="str">
        <f t="shared" si="45"/>
        <v>KamongD1-022-0040</v>
      </c>
      <c r="F636">
        <v>3</v>
      </c>
      <c r="G636">
        <v>2</v>
      </c>
      <c r="H636" t="s">
        <v>72</v>
      </c>
      <c r="I636" t="s">
        <v>75</v>
      </c>
      <c r="J636" t="s">
        <v>95</v>
      </c>
      <c r="K636" t="s">
        <v>79</v>
      </c>
      <c r="L636" t="s">
        <v>79</v>
      </c>
      <c r="M636">
        <v>4.1726027397260275</v>
      </c>
      <c r="N636" s="5">
        <v>45082</v>
      </c>
      <c r="O636" s="5">
        <v>45105</v>
      </c>
      <c r="P636">
        <v>1</v>
      </c>
      <c r="Q636" s="4">
        <v>104</v>
      </c>
      <c r="R636">
        <v>0.95</v>
      </c>
      <c r="S636" t="s">
        <v>70</v>
      </c>
      <c r="T636" s="6">
        <v>1</v>
      </c>
      <c r="U636" s="5">
        <v>45136</v>
      </c>
      <c r="V636" s="6">
        <v>2</v>
      </c>
      <c r="W636" t="s">
        <v>71</v>
      </c>
      <c r="X636" s="6">
        <v>30.999999999999996</v>
      </c>
      <c r="Y636">
        <v>9.0382700000000007</v>
      </c>
      <c r="Z636">
        <v>3.0127566666666667</v>
      </c>
      <c r="AA636" s="6">
        <v>111.0012203662869</v>
      </c>
      <c r="AB636" s="4">
        <v>100.32589999999999</v>
      </c>
      <c r="AC636" s="6">
        <v>9.0089099624324334</v>
      </c>
      <c r="AD636">
        <v>0.25996803299999999</v>
      </c>
      <c r="AE636">
        <v>1.1282188237592374</v>
      </c>
      <c r="AF636">
        <v>9125</v>
      </c>
      <c r="AG636" s="4">
        <v>19200</v>
      </c>
      <c r="AH636" s="4">
        <v>38075</v>
      </c>
      <c r="AI636" t="s">
        <v>73</v>
      </c>
      <c r="AJ636" t="s">
        <v>73</v>
      </c>
      <c r="AK636" t="s">
        <v>198</v>
      </c>
      <c r="AL636">
        <v>111</v>
      </c>
      <c r="AM636">
        <v>9.0272699999999997</v>
      </c>
      <c r="AN636" t="s">
        <v>73</v>
      </c>
      <c r="AO636" t="s">
        <v>170</v>
      </c>
      <c r="AP636" s="5">
        <v>45106</v>
      </c>
      <c r="AQ636" t="s">
        <v>93</v>
      </c>
      <c r="AR636" s="5">
        <v>45133</v>
      </c>
      <c r="AS636">
        <v>98.538968187496053</v>
      </c>
      <c r="AT636" s="6"/>
      <c r="AU636">
        <v>60.852353381786557</v>
      </c>
      <c r="AV636">
        <v>30.911021688885146</v>
      </c>
      <c r="AW636">
        <v>39.312553176658817</v>
      </c>
      <c r="AX636">
        <v>131.07592824733049</v>
      </c>
      <c r="AY636">
        <v>24.315354597727222</v>
      </c>
      <c r="AZ636">
        <v>27.432685679892277</v>
      </c>
      <c r="BA636">
        <v>37.635780962507198</v>
      </c>
      <c r="BB636">
        <v>40.230739953553062</v>
      </c>
      <c r="BC636">
        <v>22.341235656823706</v>
      </c>
      <c r="BD636">
        <v>151.95579685050348</v>
      </c>
      <c r="BE636">
        <v>-184.4927569103379</v>
      </c>
      <c r="BF636">
        <v>8.5899436507207678</v>
      </c>
      <c r="BH636">
        <v>8.5899436507207678</v>
      </c>
      <c r="BI636">
        <v>291.62166874855473</v>
      </c>
      <c r="BJ636" s="6">
        <v>150</v>
      </c>
      <c r="BK636">
        <v>-193.08270056105866</v>
      </c>
      <c r="BL636" s="4">
        <v>-1745.1335799999999</v>
      </c>
      <c r="BM636" t="s">
        <v>290</v>
      </c>
      <c r="BN636" t="s">
        <v>65</v>
      </c>
      <c r="BO636">
        <v>7</v>
      </c>
      <c r="BP636">
        <v>2023</v>
      </c>
      <c r="BQ636" t="str">
        <f t="shared" si="46"/>
        <v>Kamong7</v>
      </c>
      <c r="BR636">
        <f t="shared" si="47"/>
        <v>-1280.0148799999997</v>
      </c>
      <c r="BS636">
        <f t="shared" si="48"/>
        <v>890.62180000000001</v>
      </c>
      <c r="BT636" s="6">
        <f t="shared" si="49"/>
        <v>-141.62166874855473</v>
      </c>
    </row>
    <row r="637" spans="1:72">
      <c r="A637" s="3" t="s">
        <v>113</v>
      </c>
      <c r="B637" s="3" t="s">
        <v>283</v>
      </c>
      <c r="C637" s="3" t="s">
        <v>285</v>
      </c>
      <c r="D637" s="2" t="s">
        <v>293</v>
      </c>
      <c r="E637" s="4" t="str">
        <f t="shared" si="45"/>
        <v>KamongD1-027-0001</v>
      </c>
      <c r="F637">
        <v>2</v>
      </c>
      <c r="G637">
        <v>2</v>
      </c>
      <c r="H637" t="s">
        <v>72</v>
      </c>
      <c r="I637" t="s">
        <v>75</v>
      </c>
      <c r="K637" t="s">
        <v>79</v>
      </c>
      <c r="L637" t="s">
        <v>79</v>
      </c>
      <c r="M637">
        <v>3.2115732368896928</v>
      </c>
      <c r="N637" s="5">
        <v>44911</v>
      </c>
      <c r="O637" s="5">
        <v>44937</v>
      </c>
      <c r="P637">
        <v>1.2</v>
      </c>
      <c r="Q637" s="4">
        <v>188</v>
      </c>
      <c r="R637">
        <v>0.54800000000000004</v>
      </c>
      <c r="S637" t="s">
        <v>70</v>
      </c>
      <c r="T637" s="6">
        <v>3</v>
      </c>
      <c r="U637" s="5">
        <v>45023</v>
      </c>
      <c r="V637" s="6">
        <v>1</v>
      </c>
      <c r="W637" t="s">
        <v>86</v>
      </c>
      <c r="X637" s="6">
        <v>86</v>
      </c>
      <c r="Y637">
        <v>14.761809999999999</v>
      </c>
      <c r="Z637">
        <v>7.3809049999999994</v>
      </c>
      <c r="AA637" s="6">
        <v>52.208028690248689</v>
      </c>
      <c r="AB637" s="4">
        <v>64.223749999999995</v>
      </c>
      <c r="AC637" s="6">
        <v>19.154142094370592</v>
      </c>
      <c r="AD637">
        <v>0.25202584</v>
      </c>
      <c r="AE637">
        <v>1.9603797677463999</v>
      </c>
      <c r="AF637">
        <v>27650</v>
      </c>
      <c r="AG637" s="4">
        <v>6000</v>
      </c>
      <c r="AH637" s="4">
        <v>88800</v>
      </c>
      <c r="AL637">
        <v>45</v>
      </c>
      <c r="AM637">
        <v>5.3350200000000001</v>
      </c>
      <c r="AN637" t="s">
        <v>77</v>
      </c>
      <c r="AO637" t="s">
        <v>94</v>
      </c>
      <c r="AP637" s="5">
        <v>44938</v>
      </c>
      <c r="AQ637" t="s">
        <v>134</v>
      </c>
      <c r="AR637" s="5">
        <v>45022</v>
      </c>
      <c r="AS637">
        <v>201.30559463913977</v>
      </c>
      <c r="AT637" s="6"/>
      <c r="AU637">
        <v>36.580879986939273</v>
      </c>
      <c r="AV637">
        <v>63.443942849826676</v>
      </c>
      <c r="AW637">
        <v>32.783755515075732</v>
      </c>
      <c r="AX637">
        <v>132.80857835184167</v>
      </c>
      <c r="AY637">
        <v>12.998231924133965</v>
      </c>
      <c r="AZ637">
        <v>38.37596676830281</v>
      </c>
      <c r="BA637">
        <v>13.976198040755168</v>
      </c>
      <c r="BB637">
        <v>14.692876415561512</v>
      </c>
      <c r="BC637">
        <v>9.839905811008272</v>
      </c>
      <c r="BD637">
        <v>89.883178959761722</v>
      </c>
      <c r="BE637">
        <v>-21.386162672463627</v>
      </c>
      <c r="BF637">
        <v>4.9270279186630921</v>
      </c>
      <c r="BH637">
        <v>4.9270279186630921</v>
      </c>
      <c r="BI637">
        <v>227.6187852302665</v>
      </c>
      <c r="BJ637" s="6">
        <v>166</v>
      </c>
      <c r="BK637">
        <v>-26.31319059112672</v>
      </c>
      <c r="BL637" s="4">
        <v>-388.43032000000028</v>
      </c>
      <c r="BM637" t="s">
        <v>294</v>
      </c>
      <c r="BN637" t="s">
        <v>65</v>
      </c>
      <c r="BO637">
        <v>4</v>
      </c>
      <c r="BP637">
        <v>2023</v>
      </c>
      <c r="BQ637" t="str">
        <f t="shared" si="46"/>
        <v>Kamong4</v>
      </c>
      <c r="BR637">
        <f t="shared" si="47"/>
        <v>-909.60480000000018</v>
      </c>
      <c r="BS637">
        <f t="shared" si="48"/>
        <v>2971.6349399999995</v>
      </c>
      <c r="BT637" s="6">
        <f t="shared" si="49"/>
        <v>-61.618785230266496</v>
      </c>
    </row>
    <row r="638" spans="1:72">
      <c r="A638" s="3" t="s">
        <v>113</v>
      </c>
      <c r="B638" s="3" t="s">
        <v>283</v>
      </c>
      <c r="C638" s="3" t="s">
        <v>285</v>
      </c>
      <c r="D638" s="2" t="s">
        <v>291</v>
      </c>
      <c r="E638" s="4" t="str">
        <f t="shared" si="45"/>
        <v>KamongD1-027-0002</v>
      </c>
      <c r="F638">
        <v>2</v>
      </c>
      <c r="G638">
        <v>2</v>
      </c>
      <c r="H638" t="s">
        <v>72</v>
      </c>
      <c r="I638" t="s">
        <v>75</v>
      </c>
      <c r="K638" t="s">
        <v>79</v>
      </c>
      <c r="L638" t="s">
        <v>79</v>
      </c>
      <c r="M638">
        <v>0</v>
      </c>
      <c r="N638" s="5">
        <v>45041</v>
      </c>
      <c r="O638" s="5">
        <v>45075</v>
      </c>
      <c r="P638">
        <v>1.2</v>
      </c>
      <c r="Q638" s="4">
        <v>188</v>
      </c>
      <c r="R638">
        <v>0.56000000000000005</v>
      </c>
      <c r="S638" t="s">
        <v>70</v>
      </c>
      <c r="T638" s="6">
        <v>1</v>
      </c>
      <c r="U638" s="5">
        <v>45111</v>
      </c>
      <c r="V638" s="6">
        <v>2</v>
      </c>
      <c r="W638" t="s">
        <v>71</v>
      </c>
      <c r="X638" s="6">
        <v>36</v>
      </c>
      <c r="Y638">
        <v>8.4168400000000005</v>
      </c>
      <c r="Z638">
        <v>4.2084200000000003</v>
      </c>
      <c r="AA638" s="6">
        <v>104.99997623811312</v>
      </c>
      <c r="AB638" s="4">
        <v>73.647333333333336</v>
      </c>
      <c r="AC638" s="6">
        <v>9.523811679083197</v>
      </c>
      <c r="AD638">
        <v>0.24899470899999998</v>
      </c>
      <c r="AE638">
        <v>1.4494381732301358</v>
      </c>
      <c r="AF638">
        <v>11225</v>
      </c>
      <c r="AG638" s="4">
        <v>12800</v>
      </c>
      <c r="AH638" s="4">
        <v>0</v>
      </c>
      <c r="AI638" t="s">
        <v>73</v>
      </c>
      <c r="AJ638" t="s">
        <v>73</v>
      </c>
      <c r="AK638" t="s">
        <v>134</v>
      </c>
      <c r="AL638">
        <v>105</v>
      </c>
      <c r="AM638">
        <v>8.4168400000000005</v>
      </c>
      <c r="AN638" t="s">
        <v>73</v>
      </c>
      <c r="AO638" t="s">
        <v>157</v>
      </c>
      <c r="AP638" s="5">
        <v>45075</v>
      </c>
      <c r="AQ638" t="s">
        <v>189</v>
      </c>
      <c r="AR638" s="5">
        <v>45110</v>
      </c>
      <c r="AS638">
        <v>96.927065264398522</v>
      </c>
      <c r="AT638" s="6"/>
      <c r="AU638">
        <v>64.157094586566927</v>
      </c>
      <c r="AV638">
        <v>41.713207094348952</v>
      </c>
      <c r="AW638">
        <v>57.852233142129371</v>
      </c>
      <c r="AX638">
        <v>163.72253482304524</v>
      </c>
      <c r="AY638">
        <v>29.942348910042252</v>
      </c>
      <c r="AZ638">
        <v>42.641561441110923</v>
      </c>
      <c r="BA638">
        <v>70.068740762566478</v>
      </c>
      <c r="BB638">
        <v>38.984730611488402</v>
      </c>
      <c r="BC638">
        <v>15.93689793319108</v>
      </c>
      <c r="BD638">
        <v>197.57427965839915</v>
      </c>
      <c r="BE638">
        <v>-264.36974921704586</v>
      </c>
      <c r="BF638">
        <v>10.596574248767945</v>
      </c>
      <c r="BH638">
        <v>10.596574248767945</v>
      </c>
      <c r="BI638">
        <v>371.89338873021222</v>
      </c>
      <c r="BJ638" s="6">
        <v>150</v>
      </c>
      <c r="BK638">
        <v>-274.96632346581367</v>
      </c>
      <c r="BL638" s="4">
        <v>-2314.3475499999995</v>
      </c>
      <c r="BM638" t="s">
        <v>292</v>
      </c>
      <c r="BN638" t="s">
        <v>65</v>
      </c>
      <c r="BO638">
        <v>7</v>
      </c>
      <c r="BP638">
        <v>2023</v>
      </c>
      <c r="BQ638" t="str">
        <f t="shared" si="46"/>
        <v>Kamong7</v>
      </c>
      <c r="BR638">
        <f t="shared" si="47"/>
        <v>-1867.6411499999995</v>
      </c>
      <c r="BS638">
        <f t="shared" si="48"/>
        <v>815.81960000000015</v>
      </c>
      <c r="BT638" s="6">
        <f t="shared" si="49"/>
        <v>-221.89338873021222</v>
      </c>
    </row>
    <row r="639" spans="1:72">
      <c r="A639" s="3" t="s">
        <v>113</v>
      </c>
      <c r="B639" s="3" t="s">
        <v>283</v>
      </c>
      <c r="C639" s="3" t="s">
        <v>285</v>
      </c>
      <c r="D639" s="2" t="s">
        <v>287</v>
      </c>
      <c r="E639" s="4" t="str">
        <f t="shared" si="45"/>
        <v>KamongD1-022-0039</v>
      </c>
      <c r="F639">
        <v>3</v>
      </c>
      <c r="G639">
        <v>2</v>
      </c>
      <c r="H639" t="s">
        <v>72</v>
      </c>
      <c r="I639" t="s">
        <v>75</v>
      </c>
      <c r="J639" t="s">
        <v>95</v>
      </c>
      <c r="K639" t="s">
        <v>79</v>
      </c>
      <c r="L639" t="s">
        <v>79</v>
      </c>
      <c r="M639">
        <v>5.2165178571428568</v>
      </c>
      <c r="N639" s="5">
        <v>44974</v>
      </c>
      <c r="O639" s="5">
        <v>45003</v>
      </c>
      <c r="P639">
        <v>1.8</v>
      </c>
      <c r="Q639" s="4">
        <v>188</v>
      </c>
      <c r="R639">
        <v>0.45</v>
      </c>
      <c r="S639" t="s">
        <v>70</v>
      </c>
      <c r="T639" s="6">
        <v>1</v>
      </c>
      <c r="U639" s="5">
        <v>45038</v>
      </c>
      <c r="V639" s="6">
        <v>2</v>
      </c>
      <c r="W639" t="s">
        <v>71</v>
      </c>
      <c r="X639" s="6">
        <v>35</v>
      </c>
      <c r="Y639">
        <v>7.9175699999999996</v>
      </c>
      <c r="Z639">
        <v>2.6391899999999997</v>
      </c>
      <c r="AA639" s="6">
        <v>175.00003157534445</v>
      </c>
      <c r="AB639" s="4">
        <v>76.976388888888891</v>
      </c>
      <c r="AC639" s="6">
        <v>5.7142846832542444</v>
      </c>
      <c r="AD639">
        <v>0.15040816300000001</v>
      </c>
      <c r="AE639">
        <v>1.575784691533112</v>
      </c>
      <c r="AF639">
        <v>11200</v>
      </c>
      <c r="AG639" s="4">
        <v>9600</v>
      </c>
      <c r="AH639" s="4">
        <v>58425</v>
      </c>
      <c r="AI639" t="s">
        <v>73</v>
      </c>
      <c r="AJ639" t="s">
        <v>73</v>
      </c>
      <c r="AK639" t="s">
        <v>123</v>
      </c>
      <c r="AL639">
        <v>175</v>
      </c>
      <c r="AM639">
        <v>7.9175699999999996</v>
      </c>
      <c r="AN639" t="s">
        <v>73</v>
      </c>
      <c r="AO639" t="s">
        <v>127</v>
      </c>
      <c r="AP639" s="5">
        <v>45005</v>
      </c>
      <c r="AQ639" t="s">
        <v>134</v>
      </c>
      <c r="AR639" s="5">
        <v>45037</v>
      </c>
      <c r="AS639">
        <v>79.512270810362267</v>
      </c>
      <c r="AT639" s="6"/>
      <c r="AU639">
        <v>102.30411603560184</v>
      </c>
      <c r="AV639">
        <v>45.456126058879178</v>
      </c>
      <c r="AW639">
        <v>39.490295633635071</v>
      </c>
      <c r="AX639">
        <v>187.25053772811609</v>
      </c>
      <c r="AY639">
        <v>20.782248846552669</v>
      </c>
      <c r="AZ639">
        <v>64.292524095145353</v>
      </c>
      <c r="BA639">
        <v>9.8073575604636272</v>
      </c>
      <c r="BB639">
        <v>26.708342332306501</v>
      </c>
      <c r="BC639">
        <v>19.732945840706176</v>
      </c>
      <c r="BD639">
        <v>141.32341867517434</v>
      </c>
      <c r="BE639">
        <v>-249.06168559292814</v>
      </c>
      <c r="BF639">
        <v>8.3925787836419516</v>
      </c>
      <c r="BH639">
        <v>8.3925787836419516</v>
      </c>
      <c r="BI639">
        <v>336.96653518693228</v>
      </c>
      <c r="BJ639" s="6">
        <v>150</v>
      </c>
      <c r="BK639">
        <v>-257.45426437657005</v>
      </c>
      <c r="BL639" s="4">
        <v>-2038.4121599999994</v>
      </c>
      <c r="BM639" t="s">
        <v>288</v>
      </c>
      <c r="BN639" t="s">
        <v>65</v>
      </c>
      <c r="BO639">
        <v>4</v>
      </c>
      <c r="BP639">
        <v>2023</v>
      </c>
      <c r="BQ639" t="str">
        <f t="shared" si="46"/>
        <v>Kamong4</v>
      </c>
      <c r="BR639">
        <f t="shared" si="47"/>
        <v>-1480.3206299999993</v>
      </c>
      <c r="BS639">
        <f t="shared" si="48"/>
        <v>629.54396999999994</v>
      </c>
      <c r="BT639" s="6">
        <f t="shared" si="49"/>
        <v>-186.96653518693228</v>
      </c>
    </row>
    <row r="640" spans="1:72">
      <c r="A640" s="3" t="s">
        <v>113</v>
      </c>
      <c r="B640" s="3" t="s">
        <v>283</v>
      </c>
      <c r="C640" s="3" t="s">
        <v>285</v>
      </c>
      <c r="D640" s="2" t="s">
        <v>2866</v>
      </c>
      <c r="E640" s="4" t="str">
        <f t="shared" si="45"/>
        <v>KamongD1-032-0009</v>
      </c>
      <c r="F640">
        <v>3</v>
      </c>
      <c r="G640">
        <v>2</v>
      </c>
      <c r="H640" t="s">
        <v>72</v>
      </c>
      <c r="I640" t="s">
        <v>75</v>
      </c>
      <c r="K640" t="s">
        <v>79</v>
      </c>
      <c r="L640" t="s">
        <v>79</v>
      </c>
      <c r="M640">
        <v>0</v>
      </c>
      <c r="N640" s="5">
        <v>45003</v>
      </c>
      <c r="O640" s="5">
        <v>45032</v>
      </c>
      <c r="P640">
        <v>1.5</v>
      </c>
      <c r="Q640" s="4">
        <v>156</v>
      </c>
      <c r="R640">
        <v>0.61</v>
      </c>
      <c r="S640" t="s">
        <v>70</v>
      </c>
      <c r="T640" s="6"/>
      <c r="U640" s="5">
        <v>45056</v>
      </c>
      <c r="V640" s="6">
        <v>3</v>
      </c>
      <c r="W640" t="s">
        <v>2831</v>
      </c>
      <c r="X640" s="6"/>
      <c r="AA640" s="6"/>
      <c r="AB640" s="4"/>
      <c r="AC640" s="6"/>
      <c r="AF640">
        <v>5050</v>
      </c>
      <c r="AG640" s="4">
        <v>19200</v>
      </c>
      <c r="AH640" s="4">
        <v>0</v>
      </c>
      <c r="AI640" t="s">
        <v>73</v>
      </c>
      <c r="AJ640" t="s">
        <v>73</v>
      </c>
      <c r="AK640" t="s">
        <v>97</v>
      </c>
      <c r="AN640" t="s">
        <v>73</v>
      </c>
      <c r="AO640" t="s">
        <v>103</v>
      </c>
      <c r="AP640" s="5">
        <v>45033</v>
      </c>
      <c r="AQ640" t="s">
        <v>157</v>
      </c>
      <c r="AR640" s="5">
        <v>45056</v>
      </c>
      <c r="AT640" s="6"/>
      <c r="BJ640" s="6"/>
      <c r="BL640" s="4">
        <v>-2486.91768</v>
      </c>
      <c r="BM640" t="s">
        <v>2867</v>
      </c>
      <c r="BN640" t="s">
        <v>65</v>
      </c>
      <c r="BO640">
        <v>5</v>
      </c>
      <c r="BP640">
        <v>2023</v>
      </c>
      <c r="BQ640" t="str">
        <f t="shared" si="46"/>
        <v>Kamong5</v>
      </c>
      <c r="BR640">
        <f t="shared" si="47"/>
        <v>0</v>
      </c>
      <c r="BS640">
        <f t="shared" si="48"/>
        <v>0</v>
      </c>
      <c r="BT640" s="6">
        <f t="shared" si="49"/>
        <v>0</v>
      </c>
    </row>
    <row r="641" spans="1:72">
      <c r="A641" s="3" t="s">
        <v>113</v>
      </c>
      <c r="B641" s="3" t="s">
        <v>115</v>
      </c>
      <c r="C641" s="3" t="s">
        <v>120</v>
      </c>
      <c r="D641" s="2" t="s">
        <v>135</v>
      </c>
      <c r="E641" s="4" t="str">
        <f t="shared" si="45"/>
        <v>TalaytongA1-039-0007</v>
      </c>
      <c r="F641">
        <v>4.29</v>
      </c>
      <c r="G641">
        <v>1.5</v>
      </c>
      <c r="H641" t="s">
        <v>72</v>
      </c>
      <c r="I641" t="s">
        <v>75</v>
      </c>
      <c r="J641" t="s">
        <v>95</v>
      </c>
      <c r="K641" t="s">
        <v>79</v>
      </c>
      <c r="N641" s="5">
        <v>45062</v>
      </c>
      <c r="O641" s="5">
        <v>45087</v>
      </c>
      <c r="P641">
        <v>2.5</v>
      </c>
      <c r="Q641" s="4">
        <v>243</v>
      </c>
      <c r="R641">
        <v>0.64900000000000002</v>
      </c>
      <c r="S641" t="s">
        <v>70</v>
      </c>
      <c r="T641" s="6">
        <v>4</v>
      </c>
      <c r="U641" s="5">
        <v>45142</v>
      </c>
      <c r="V641" s="6">
        <v>1</v>
      </c>
      <c r="W641" t="s">
        <v>86</v>
      </c>
      <c r="X641" s="6">
        <v>54.999999999999993</v>
      </c>
      <c r="Y641">
        <v>38.810300000000005</v>
      </c>
      <c r="Z641">
        <v>9.0466899766899775</v>
      </c>
      <c r="AA641" s="6">
        <v>44.755515932626132</v>
      </c>
      <c r="AB641" s="4">
        <v>69.478999999999999</v>
      </c>
      <c r="AC641" s="6">
        <v>22.343614617366399</v>
      </c>
      <c r="AD641">
        <v>0.43165898000000003</v>
      </c>
      <c r="AE641">
        <v>1.4097638211981149</v>
      </c>
      <c r="AF641">
        <v>52425</v>
      </c>
      <c r="AG641" s="4"/>
      <c r="AH641" s="4"/>
      <c r="AI641" t="s">
        <v>73</v>
      </c>
      <c r="AJ641" t="s">
        <v>73</v>
      </c>
      <c r="AK641" t="s">
        <v>82</v>
      </c>
      <c r="AL641">
        <v>41</v>
      </c>
      <c r="AM641">
        <v>16.052420000000001</v>
      </c>
      <c r="AN641" t="s">
        <v>73</v>
      </c>
      <c r="AO641" t="s">
        <v>131</v>
      </c>
      <c r="AP641" s="5">
        <v>45096</v>
      </c>
      <c r="AQ641" t="s">
        <v>136</v>
      </c>
      <c r="AR641" s="5">
        <v>45138</v>
      </c>
      <c r="AS641">
        <v>142.20119401292953</v>
      </c>
      <c r="AT641" s="6"/>
      <c r="AU641">
        <v>32.207944798159247</v>
      </c>
      <c r="AV641">
        <v>40.623558436806718</v>
      </c>
      <c r="AW641">
        <v>33.456676191629541</v>
      </c>
      <c r="AX641">
        <v>106.28817942659552</v>
      </c>
      <c r="AY641">
        <v>19.277234136298869</v>
      </c>
      <c r="AZ641">
        <v>21.722205703125194</v>
      </c>
      <c r="BA641">
        <v>14.890676186476266</v>
      </c>
      <c r="BB641">
        <v>5.4012839375114341</v>
      </c>
      <c r="BC641">
        <v>33.443039090138448</v>
      </c>
      <c r="BD641">
        <v>94.734439053550219</v>
      </c>
      <c r="BE641">
        <v>-58.821424467216204</v>
      </c>
      <c r="BF641">
        <v>6.4198869887632926</v>
      </c>
      <c r="BG641">
        <v>4.8435435953857615</v>
      </c>
      <c r="BH641">
        <v>11.263430584149056</v>
      </c>
      <c r="BI641">
        <v>212.28604906429482</v>
      </c>
      <c r="BJ641" s="6">
        <v>177</v>
      </c>
      <c r="BK641">
        <v>-70.084855051365295</v>
      </c>
      <c r="BL641" s="4">
        <v>-2720.0142500000029</v>
      </c>
      <c r="BM641" t="s">
        <v>137</v>
      </c>
      <c r="BN641" t="s">
        <v>65</v>
      </c>
      <c r="BO641">
        <v>8</v>
      </c>
      <c r="BP641">
        <v>2023</v>
      </c>
      <c r="BQ641" t="str">
        <f t="shared" si="46"/>
        <v>Talaytong8</v>
      </c>
      <c r="BR641">
        <f t="shared" si="47"/>
        <v>-1369.4621500000012</v>
      </c>
      <c r="BS641">
        <f t="shared" si="48"/>
        <v>5518.8710000000001</v>
      </c>
      <c r="BT641" s="6">
        <f t="shared" si="49"/>
        <v>-35.286049064294815</v>
      </c>
    </row>
    <row r="642" spans="1:72">
      <c r="A642" s="3" t="s">
        <v>113</v>
      </c>
      <c r="B642" s="3" t="s">
        <v>115</v>
      </c>
      <c r="C642" s="3" t="s">
        <v>120</v>
      </c>
      <c r="D642" s="2" t="s">
        <v>129</v>
      </c>
      <c r="E642" s="4" t="str">
        <f t="shared" si="45"/>
        <v>TalaytongA1-038-0010</v>
      </c>
      <c r="F642">
        <v>5.45</v>
      </c>
      <c r="G642">
        <v>1.5</v>
      </c>
      <c r="H642" t="s">
        <v>72</v>
      </c>
      <c r="I642" t="s">
        <v>75</v>
      </c>
      <c r="J642" t="s">
        <v>95</v>
      </c>
      <c r="K642" t="s">
        <v>79</v>
      </c>
      <c r="N642" s="5">
        <v>45142</v>
      </c>
      <c r="O642" s="5">
        <v>45167</v>
      </c>
      <c r="P642">
        <v>3</v>
      </c>
      <c r="Q642" s="4">
        <v>229</v>
      </c>
      <c r="R642">
        <v>0.32</v>
      </c>
      <c r="S642" t="s">
        <v>70</v>
      </c>
      <c r="T642" s="6">
        <v>4</v>
      </c>
      <c r="U642" s="5">
        <v>45219</v>
      </c>
      <c r="V642" s="6">
        <v>2</v>
      </c>
      <c r="W642" t="s">
        <v>71</v>
      </c>
      <c r="X642" s="6">
        <v>52</v>
      </c>
      <c r="Y642">
        <v>34.183750000000003</v>
      </c>
      <c r="Z642">
        <v>6.2722477064220188</v>
      </c>
      <c r="AA642" s="6">
        <v>66.627973817969064</v>
      </c>
      <c r="AB642" s="4">
        <v>75.919800000000009</v>
      </c>
      <c r="AC642" s="6">
        <v>15.008710946727117</v>
      </c>
      <c r="AD642">
        <v>0.289704142</v>
      </c>
      <c r="AE642">
        <v>1.6607095827533014</v>
      </c>
      <c r="AF642">
        <v>55175</v>
      </c>
      <c r="AG642" s="4"/>
      <c r="AH642" s="4"/>
      <c r="AI642" t="s">
        <v>73</v>
      </c>
      <c r="AJ642" t="s">
        <v>73</v>
      </c>
      <c r="AK642" t="s">
        <v>130</v>
      </c>
      <c r="AL642">
        <v>65</v>
      </c>
      <c r="AM642">
        <v>5.4349799999999995</v>
      </c>
      <c r="AN642" t="s">
        <v>73</v>
      </c>
      <c r="AO642" t="s">
        <v>131</v>
      </c>
      <c r="AP642" s="5">
        <v>45173</v>
      </c>
      <c r="AQ642" t="s">
        <v>189</v>
      </c>
      <c r="AR642" s="5">
        <v>45215</v>
      </c>
      <c r="AS642">
        <v>139.35600219402491</v>
      </c>
      <c r="AT642" s="6"/>
      <c r="AU642">
        <v>35.104399020002184</v>
      </c>
      <c r="AV642">
        <v>48.926353896222636</v>
      </c>
      <c r="AW642">
        <v>38.669148352652925</v>
      </c>
      <c r="AX642">
        <v>122.69990126887775</v>
      </c>
      <c r="AY642">
        <v>18.383798149705633</v>
      </c>
      <c r="AZ642">
        <v>26.786751599809843</v>
      </c>
      <c r="BA642">
        <v>27.544510476469085</v>
      </c>
      <c r="BB642">
        <v>8.081457710169305</v>
      </c>
      <c r="BC642">
        <v>46.170398215526369</v>
      </c>
      <c r="BD642">
        <v>126.96691615168024</v>
      </c>
      <c r="BE642">
        <v>-110.31081522653308</v>
      </c>
      <c r="BF642">
        <v>9.8140364939481479</v>
      </c>
      <c r="BG642">
        <v>7.488486780999744</v>
      </c>
      <c r="BH642">
        <v>17.302523274947891</v>
      </c>
      <c r="BI642">
        <v>266.96934069550593</v>
      </c>
      <c r="BJ642" s="6">
        <v>154</v>
      </c>
      <c r="BK642">
        <v>-127.61333850148102</v>
      </c>
      <c r="BL642" s="4">
        <v>-4362.3024600000017</v>
      </c>
      <c r="BM642" t="s">
        <v>132</v>
      </c>
      <c r="BN642" t="s">
        <v>65</v>
      </c>
      <c r="BO642">
        <v>10</v>
      </c>
      <c r="BP642">
        <v>2023</v>
      </c>
      <c r="BQ642" t="str">
        <f t="shared" si="46"/>
        <v>Talaytong10</v>
      </c>
      <c r="BR642">
        <f t="shared" si="47"/>
        <v>-3861.7157000000016</v>
      </c>
      <c r="BS642">
        <f t="shared" si="48"/>
        <v>4763.7107399999995</v>
      </c>
      <c r="BT642" s="6">
        <f t="shared" si="49"/>
        <v>-112.96934069550593</v>
      </c>
    </row>
    <row r="643" spans="1:72">
      <c r="A643" s="3" t="s">
        <v>113</v>
      </c>
      <c r="B643" s="3" t="s">
        <v>115</v>
      </c>
      <c r="C643" s="3" t="s">
        <v>120</v>
      </c>
      <c r="D643" s="2" t="s">
        <v>133</v>
      </c>
      <c r="E643" s="4" t="str">
        <f t="shared" si="45"/>
        <v>TalaytongA1-038-0008</v>
      </c>
      <c r="F643">
        <v>5.45</v>
      </c>
      <c r="G643">
        <v>1.5</v>
      </c>
      <c r="H643" t="s">
        <v>72</v>
      </c>
      <c r="I643" t="s">
        <v>75</v>
      </c>
      <c r="J643" t="s">
        <v>95</v>
      </c>
      <c r="K643" t="s">
        <v>79</v>
      </c>
      <c r="L643" t="s">
        <v>79</v>
      </c>
      <c r="M643">
        <v>0.22103970528039296</v>
      </c>
      <c r="N643" s="5">
        <v>44936</v>
      </c>
      <c r="O643" s="5">
        <v>44966</v>
      </c>
      <c r="P643">
        <v>2.2000000000000002</v>
      </c>
      <c r="Q643" s="4">
        <v>168</v>
      </c>
      <c r="R643">
        <v>0.3</v>
      </c>
      <c r="S643" t="s">
        <v>70</v>
      </c>
      <c r="T643" s="6">
        <v>6</v>
      </c>
      <c r="U643" s="5">
        <v>45056</v>
      </c>
      <c r="V643" s="6">
        <v>1</v>
      </c>
      <c r="W643" t="s">
        <v>86</v>
      </c>
      <c r="X643" s="6">
        <v>90</v>
      </c>
      <c r="Y643">
        <v>30.777259999999998</v>
      </c>
      <c r="Z643">
        <v>5.6472036697247701</v>
      </c>
      <c r="AA643" s="6">
        <v>47.787879752778515</v>
      </c>
      <c r="AB643" s="4">
        <v>66.853636363636355</v>
      </c>
      <c r="AC643" s="6">
        <v>20.925808074627067</v>
      </c>
      <c r="AD643">
        <v>0.26766937699999999</v>
      </c>
      <c r="AE643">
        <v>2.0278597886443839</v>
      </c>
      <c r="AF643">
        <v>61075</v>
      </c>
      <c r="AG643" s="4">
        <v>0</v>
      </c>
      <c r="AH643" s="4">
        <v>13500</v>
      </c>
      <c r="AL643">
        <v>41</v>
      </c>
      <c r="AM643">
        <v>3.4971900000000002</v>
      </c>
      <c r="AN643" t="s">
        <v>81</v>
      </c>
      <c r="AO643" t="s">
        <v>116</v>
      </c>
      <c r="AP643" s="5">
        <v>44970</v>
      </c>
      <c r="AQ643" t="s">
        <v>134</v>
      </c>
      <c r="AR643" s="5">
        <v>45041</v>
      </c>
      <c r="AS643">
        <v>182.05702391960824</v>
      </c>
      <c r="AT643" s="6"/>
      <c r="AU643">
        <v>28.592538777006141</v>
      </c>
      <c r="AV643">
        <v>62.540787906395828</v>
      </c>
      <c r="AW643">
        <v>37.761522955584759</v>
      </c>
      <c r="AX643">
        <v>128.89484963898673</v>
      </c>
      <c r="AY643">
        <v>30.508249272352376</v>
      </c>
      <c r="AZ643">
        <v>33.32373642098095</v>
      </c>
      <c r="BA643">
        <v>19.971325907504443</v>
      </c>
      <c r="BB643">
        <v>10.605910337697376</v>
      </c>
      <c r="BC643">
        <v>35.66087234536149</v>
      </c>
      <c r="BD643">
        <v>130.07009428389662</v>
      </c>
      <c r="BE643">
        <v>-76.907920003275109</v>
      </c>
      <c r="BF643">
        <v>12.598280028826476</v>
      </c>
      <c r="BG643">
        <v>7.0656770615707831</v>
      </c>
      <c r="BH643">
        <v>19.663957090397261</v>
      </c>
      <c r="BI643">
        <v>278.62890101328048</v>
      </c>
      <c r="BJ643" s="6">
        <v>172</v>
      </c>
      <c r="BK643">
        <v>-96.571877093672271</v>
      </c>
      <c r="BL643" s="4">
        <v>-2972.2177699999957</v>
      </c>
      <c r="BM643" t="s">
        <v>121</v>
      </c>
      <c r="BN643" t="s">
        <v>65</v>
      </c>
      <c r="BO643">
        <v>5</v>
      </c>
      <c r="BP643">
        <v>2023</v>
      </c>
      <c r="BQ643" t="str">
        <f t="shared" si="46"/>
        <v>Talaytong5</v>
      </c>
      <c r="BR643">
        <f t="shared" si="47"/>
        <v>-3281.7454099999968</v>
      </c>
      <c r="BS643">
        <f t="shared" si="48"/>
        <v>5603.2163600000013</v>
      </c>
      <c r="BT643" s="6">
        <f t="shared" si="49"/>
        <v>-106.62890101328048</v>
      </c>
    </row>
    <row r="644" spans="1:72">
      <c r="A644" s="3" t="s">
        <v>113</v>
      </c>
      <c r="B644" s="3" t="s">
        <v>115</v>
      </c>
      <c r="C644" s="3" t="s">
        <v>120</v>
      </c>
      <c r="D644" s="2" t="s">
        <v>125</v>
      </c>
      <c r="E644" s="4" t="str">
        <f t="shared" ref="E644:E707" si="50">B644&amp;D644</f>
        <v>TalaytongA1-039-0006</v>
      </c>
      <c r="F644">
        <v>4.29</v>
      </c>
      <c r="G644">
        <v>1.5</v>
      </c>
      <c r="H644" t="s">
        <v>72</v>
      </c>
      <c r="I644" t="s">
        <v>75</v>
      </c>
      <c r="J644" t="s">
        <v>95</v>
      </c>
      <c r="K644" t="s">
        <v>79</v>
      </c>
      <c r="L644" t="s">
        <v>79</v>
      </c>
      <c r="M644">
        <v>1.2812260536398468</v>
      </c>
      <c r="N644" s="5">
        <v>44919</v>
      </c>
      <c r="O644" s="5">
        <v>44949</v>
      </c>
      <c r="P644">
        <v>2</v>
      </c>
      <c r="Q644" s="4">
        <v>194</v>
      </c>
      <c r="R644">
        <v>0.21</v>
      </c>
      <c r="S644" t="s">
        <v>70</v>
      </c>
      <c r="T644" s="6">
        <v>1</v>
      </c>
      <c r="U644" s="5">
        <v>45018</v>
      </c>
      <c r="V644" s="6">
        <v>2</v>
      </c>
      <c r="W644" t="s">
        <v>71</v>
      </c>
      <c r="X644" s="6">
        <v>69</v>
      </c>
      <c r="Y644">
        <v>15.525979999999999</v>
      </c>
      <c r="Z644">
        <v>3.6191095571095566</v>
      </c>
      <c r="AA644" s="6">
        <v>76.996299106401011</v>
      </c>
      <c r="AB644" s="4">
        <v>59.772150000000003</v>
      </c>
      <c r="AC644" s="6">
        <v>12.987637219005842</v>
      </c>
      <c r="AD644">
        <v>0.18517410100000001</v>
      </c>
      <c r="AE644">
        <v>2.1597178365883014</v>
      </c>
      <c r="AF644">
        <v>32625</v>
      </c>
      <c r="AG644" s="4"/>
      <c r="AH644" s="4">
        <v>41800</v>
      </c>
      <c r="AL644">
        <v>77</v>
      </c>
      <c r="AM644">
        <v>15.511559999999999</v>
      </c>
      <c r="AN644" t="s">
        <v>126</v>
      </c>
      <c r="AO644" t="s">
        <v>117</v>
      </c>
      <c r="AP644" s="5">
        <v>44949</v>
      </c>
      <c r="AQ644" t="s">
        <v>127</v>
      </c>
      <c r="AR644" s="5">
        <v>45012</v>
      </c>
      <c r="AS644">
        <v>100.60490996381549</v>
      </c>
      <c r="AT644" s="6"/>
      <c r="AU644">
        <v>51.526538099366356</v>
      </c>
      <c r="AV644">
        <v>65.670296496581855</v>
      </c>
      <c r="AW644">
        <v>53.299910859089081</v>
      </c>
      <c r="AX644">
        <v>170.49674545503728</v>
      </c>
      <c r="AY644">
        <v>34.831774226168008</v>
      </c>
      <c r="AZ644">
        <v>32.981009894383476</v>
      </c>
      <c r="BA644">
        <v>28.937750145240429</v>
      </c>
      <c r="BB644">
        <v>18.548007919628905</v>
      </c>
      <c r="BC644">
        <v>37.041484659905528</v>
      </c>
      <c r="BD644">
        <v>152.34002684532635</v>
      </c>
      <c r="BE644">
        <v>-222.23186233654815</v>
      </c>
      <c r="BF644">
        <v>13.117795462830687</v>
      </c>
      <c r="BG644">
        <v>6.9710453059967881</v>
      </c>
      <c r="BH644">
        <v>20.088840768827474</v>
      </c>
      <c r="BI644">
        <v>342.92561306919112</v>
      </c>
      <c r="BJ644" s="6">
        <v>150</v>
      </c>
      <c r="BK644">
        <v>-242.32070310537566</v>
      </c>
      <c r="BL644" s="4">
        <v>-3762.2663900000002</v>
      </c>
      <c r="BM644" t="s">
        <v>128</v>
      </c>
      <c r="BN644" t="s">
        <v>65</v>
      </c>
      <c r="BO644">
        <v>4</v>
      </c>
      <c r="BP644">
        <v>2023</v>
      </c>
      <c r="BQ644" t="str">
        <f t="shared" ref="BQ644:BQ707" si="51">B644&amp;BO644</f>
        <v>Talaytong4</v>
      </c>
      <c r="BR644">
        <f t="shared" ref="BR644:BR707" si="52">BT644*Y644</f>
        <v>-2995.3592099999996</v>
      </c>
      <c r="BS644">
        <f t="shared" ref="BS644:BS707" si="53">Y644*AS644</f>
        <v>1561.9898199999998</v>
      </c>
      <c r="BT644" s="6">
        <f t="shared" ref="BT644:BT707" si="54">BJ644-BI644</f>
        <v>-192.92561306919112</v>
      </c>
    </row>
    <row r="645" spans="1:72">
      <c r="A645" s="3" t="s">
        <v>113</v>
      </c>
      <c r="B645" s="3" t="s">
        <v>115</v>
      </c>
      <c r="C645" s="3" t="s">
        <v>120</v>
      </c>
      <c r="D645" s="2" t="s">
        <v>122</v>
      </c>
      <c r="E645" s="4" t="str">
        <f t="shared" si="50"/>
        <v>TalaytongB1-032-0008</v>
      </c>
      <c r="F645">
        <v>2.73</v>
      </c>
      <c r="G645">
        <v>2</v>
      </c>
      <c r="H645" t="s">
        <v>72</v>
      </c>
      <c r="I645" t="s">
        <v>75</v>
      </c>
      <c r="J645" t="s">
        <v>95</v>
      </c>
      <c r="K645" t="s">
        <v>79</v>
      </c>
      <c r="L645" t="s">
        <v>79</v>
      </c>
      <c r="N645" s="5">
        <v>44866</v>
      </c>
      <c r="O645" s="5">
        <v>44893</v>
      </c>
      <c r="P645">
        <v>1.3</v>
      </c>
      <c r="Q645" s="4">
        <v>149</v>
      </c>
      <c r="R645">
        <v>0.4</v>
      </c>
      <c r="S645" t="s">
        <v>70</v>
      </c>
      <c r="T645" s="6">
        <v>1</v>
      </c>
      <c r="U645" s="5">
        <v>44934</v>
      </c>
      <c r="V645" s="6">
        <v>2</v>
      </c>
      <c r="W645" t="s">
        <v>71</v>
      </c>
      <c r="X645" s="6">
        <v>41</v>
      </c>
      <c r="Y645">
        <v>5.6095600000000001</v>
      </c>
      <c r="Z645">
        <v>2.0547838827838829</v>
      </c>
      <c r="AA645" s="6">
        <v>146.99994295452763</v>
      </c>
      <c r="AB645" s="4">
        <v>63.43115384615384</v>
      </c>
      <c r="AC645" s="6">
        <v>6.802723728330534</v>
      </c>
      <c r="AD645">
        <v>0.15616392900000001</v>
      </c>
      <c r="AE645">
        <v>1.4146605993445405</v>
      </c>
      <c r="AF645">
        <v>7200</v>
      </c>
      <c r="AG645" s="4">
        <v>0</v>
      </c>
      <c r="AH645" s="4"/>
      <c r="AI645" t="s">
        <v>73</v>
      </c>
      <c r="AJ645" t="s">
        <v>73</v>
      </c>
      <c r="AK645" t="s">
        <v>103</v>
      </c>
      <c r="AL645">
        <v>147</v>
      </c>
      <c r="AM645">
        <v>5.6095600000000001</v>
      </c>
      <c r="AN645" t="s">
        <v>73</v>
      </c>
      <c r="AO645" t="s">
        <v>123</v>
      </c>
      <c r="AP645" s="5">
        <v>44893</v>
      </c>
      <c r="AQ645" t="s">
        <v>117</v>
      </c>
      <c r="AR645" s="5">
        <v>44928</v>
      </c>
      <c r="AS645">
        <v>121.02628370139549</v>
      </c>
      <c r="AT645" s="6"/>
      <c r="AU645">
        <v>92.698892604767565</v>
      </c>
      <c r="AV645">
        <v>38.762398476885885</v>
      </c>
      <c r="AW645">
        <v>29.238289634124598</v>
      </c>
      <c r="AX645">
        <v>160.69958071577804</v>
      </c>
      <c r="AY645">
        <v>97.74811749941172</v>
      </c>
      <c r="AZ645">
        <v>36.05425559223896</v>
      </c>
      <c r="BA645">
        <v>32.037817582840717</v>
      </c>
      <c r="BB645">
        <v>134.27217999272668</v>
      </c>
      <c r="BC645">
        <v>47.738050756209034</v>
      </c>
      <c r="BD645">
        <v>347.85042142342712</v>
      </c>
      <c r="BE645">
        <v>-387.52371843780969</v>
      </c>
      <c r="BF645">
        <v>16.655714530194878</v>
      </c>
      <c r="BG645">
        <v>-14.80381527249909</v>
      </c>
      <c r="BH645">
        <v>1.85189925769579</v>
      </c>
      <c r="BI645">
        <v>510.40190139690105</v>
      </c>
      <c r="BJ645" s="6">
        <v>150</v>
      </c>
      <c r="BK645">
        <v>-389.37561769550553</v>
      </c>
      <c r="BL645" s="4">
        <v>-2184.2258900000002</v>
      </c>
      <c r="BM645" t="s">
        <v>124</v>
      </c>
      <c r="BN645" t="s">
        <v>65</v>
      </c>
      <c r="BO645">
        <v>1</v>
      </c>
      <c r="BP645">
        <v>2023</v>
      </c>
      <c r="BQ645" t="str">
        <f t="shared" si="51"/>
        <v>Talaytong1</v>
      </c>
      <c r="BR645">
        <f t="shared" si="52"/>
        <v>-2021.6960900000004</v>
      </c>
      <c r="BS645">
        <f t="shared" si="53"/>
        <v>678.90420000000006</v>
      </c>
      <c r="BT645" s="6">
        <f t="shared" si="54"/>
        <v>-360.40190139690105</v>
      </c>
    </row>
    <row r="646" spans="1:72">
      <c r="A646" s="3" t="s">
        <v>113</v>
      </c>
      <c r="B646" s="3" t="s">
        <v>115</v>
      </c>
      <c r="C646" s="3" t="s">
        <v>2657</v>
      </c>
      <c r="D646" s="2" t="s">
        <v>119</v>
      </c>
      <c r="E646" s="4" t="str">
        <f t="shared" si="50"/>
        <v>TalaytongA1-034-0008</v>
      </c>
      <c r="F646">
        <v>4.22</v>
      </c>
      <c r="G646">
        <v>1.5</v>
      </c>
      <c r="H646" t="s">
        <v>72</v>
      </c>
      <c r="I646" t="s">
        <v>75</v>
      </c>
      <c r="N646" s="5">
        <v>44995</v>
      </c>
      <c r="O646" s="5">
        <v>45023</v>
      </c>
      <c r="P646">
        <v>2</v>
      </c>
      <c r="Q646" s="4">
        <v>197</v>
      </c>
      <c r="R646">
        <v>0.78</v>
      </c>
      <c r="S646" t="s">
        <v>70</v>
      </c>
      <c r="T646" s="6">
        <v>1</v>
      </c>
      <c r="U646" s="5">
        <v>45061</v>
      </c>
      <c r="V646" s="6">
        <v>2</v>
      </c>
      <c r="W646" t="s">
        <v>71</v>
      </c>
      <c r="X646" s="6">
        <v>38</v>
      </c>
      <c r="Y646">
        <v>13.807499999999999</v>
      </c>
      <c r="Z646">
        <v>3.2719194312796209</v>
      </c>
      <c r="AA646" s="6">
        <v>104.00043454644215</v>
      </c>
      <c r="AB646" s="4">
        <v>71.799300000000002</v>
      </c>
      <c r="AC646" s="6">
        <v>9.6153444392911904</v>
      </c>
      <c r="AD646">
        <v>0.23251012100000001</v>
      </c>
      <c r="AE646">
        <v>1.4308715538652719</v>
      </c>
      <c r="AF646">
        <v>17525</v>
      </c>
      <c r="AG646" s="4"/>
      <c r="AH646" s="4"/>
      <c r="AI646" t="s">
        <v>73</v>
      </c>
      <c r="AJ646" t="s">
        <v>73</v>
      </c>
      <c r="AK646" t="s">
        <v>116</v>
      </c>
      <c r="AL646">
        <v>104</v>
      </c>
      <c r="AM646">
        <v>13.80256</v>
      </c>
      <c r="AN646" t="s">
        <v>73</v>
      </c>
      <c r="AO646" t="s">
        <v>117</v>
      </c>
      <c r="AP646" s="5">
        <v>45026</v>
      </c>
      <c r="AQ646" t="s">
        <v>117</v>
      </c>
      <c r="AR646" s="5">
        <v>45054</v>
      </c>
      <c r="AS646">
        <v>105.60116530870904</v>
      </c>
      <c r="AT646" s="6"/>
      <c r="AU646">
        <v>72.424407025167483</v>
      </c>
      <c r="AV646">
        <v>40.396367915987689</v>
      </c>
      <c r="AW646">
        <v>36.784986420423678</v>
      </c>
      <c r="AX646">
        <v>149.60576136157886</v>
      </c>
      <c r="AY646">
        <v>33.705326090892633</v>
      </c>
      <c r="AZ646">
        <v>39.835466232120218</v>
      </c>
      <c r="BA646">
        <v>14.78419771863118</v>
      </c>
      <c r="BB646">
        <v>9.3076023900054317</v>
      </c>
      <c r="BC646">
        <v>45.017164584464972</v>
      </c>
      <c r="BD646">
        <v>142.64975701611442</v>
      </c>
      <c r="BE646">
        <v>-186.65435306898422</v>
      </c>
      <c r="BF646">
        <v>14.053487597320297</v>
      </c>
      <c r="BG646">
        <v>7.0905848270867287</v>
      </c>
      <c r="BH646">
        <v>21.144072424407028</v>
      </c>
      <c r="BI646">
        <v>313.39959080210031</v>
      </c>
      <c r="BJ646" s="6">
        <v>150</v>
      </c>
      <c r="BK646">
        <v>-207.79842549339125</v>
      </c>
      <c r="BL646" s="4">
        <v>-2869.1767599999998</v>
      </c>
      <c r="BM646" t="s">
        <v>118</v>
      </c>
      <c r="BN646" t="s">
        <v>65</v>
      </c>
      <c r="BO646">
        <v>5</v>
      </c>
      <c r="BP646">
        <v>2023</v>
      </c>
      <c r="BQ646" t="str">
        <f t="shared" si="51"/>
        <v>Talaytong5</v>
      </c>
      <c r="BR646">
        <f t="shared" si="52"/>
        <v>-2256.13985</v>
      </c>
      <c r="BS646">
        <f t="shared" si="53"/>
        <v>1458.08809</v>
      </c>
      <c r="BT646" s="6">
        <f t="shared" si="54"/>
        <v>-163.39959080210031</v>
      </c>
    </row>
    <row r="647" spans="1:72">
      <c r="A647" s="3" t="s">
        <v>113</v>
      </c>
      <c r="B647" s="3" t="s">
        <v>374</v>
      </c>
      <c r="C647" s="3" t="s">
        <v>569</v>
      </c>
      <c r="D647" s="2" t="s">
        <v>2868</v>
      </c>
      <c r="E647" s="4" t="str">
        <f t="shared" si="50"/>
        <v>CHBR1A1-015-0019</v>
      </c>
      <c r="F647">
        <v>2</v>
      </c>
      <c r="G647">
        <v>2</v>
      </c>
      <c r="H647" t="s">
        <v>72</v>
      </c>
      <c r="I647" t="s">
        <v>75</v>
      </c>
      <c r="J647" t="s">
        <v>95</v>
      </c>
      <c r="K647" t="s">
        <v>79</v>
      </c>
      <c r="N647" s="5">
        <v>45157</v>
      </c>
      <c r="O647" s="5">
        <v>45169</v>
      </c>
      <c r="P647">
        <v>1</v>
      </c>
      <c r="Q647" s="4">
        <v>156</v>
      </c>
      <c r="R647">
        <v>0.32</v>
      </c>
      <c r="S647" t="s">
        <v>70</v>
      </c>
      <c r="T647" s="6">
        <v>6</v>
      </c>
      <c r="U647" s="5">
        <v>45290</v>
      </c>
      <c r="V647" s="6">
        <v>1</v>
      </c>
      <c r="W647" t="s">
        <v>86</v>
      </c>
      <c r="X647" s="6">
        <v>121</v>
      </c>
      <c r="Y647">
        <v>22.134029999999999</v>
      </c>
      <c r="Z647">
        <v>11.067015</v>
      </c>
      <c r="AA647" s="6">
        <v>39.197380684854949</v>
      </c>
      <c r="AB647" s="4">
        <v>86.759600000000006</v>
      </c>
      <c r="AC647" s="6">
        <v>25.511908768597365</v>
      </c>
      <c r="AD647">
        <v>0.28233684799999997</v>
      </c>
      <c r="AE647">
        <v>1.901299301412898</v>
      </c>
      <c r="AF647">
        <v>41475</v>
      </c>
      <c r="AG647" s="4"/>
      <c r="AH647" s="4"/>
      <c r="AL647">
        <v>29</v>
      </c>
      <c r="AM647">
        <v>5.1741899999999994</v>
      </c>
      <c r="AN647" t="s">
        <v>81</v>
      </c>
      <c r="AO647" t="s">
        <v>215</v>
      </c>
      <c r="AP647" s="5">
        <v>45169</v>
      </c>
      <c r="AQ647" t="s">
        <v>147</v>
      </c>
      <c r="AR647" s="5">
        <v>45289</v>
      </c>
      <c r="AS647">
        <v>216.30999325473039</v>
      </c>
      <c r="AT647" s="6"/>
      <c r="AU647">
        <v>18.071720332899158</v>
      </c>
      <c r="AV647">
        <v>56.310665522726772</v>
      </c>
      <c r="AW647">
        <v>50.403170592973822</v>
      </c>
      <c r="AX647">
        <v>124.78555644859973</v>
      </c>
      <c r="AY647">
        <v>34.044184904420931</v>
      </c>
      <c r="AZ647">
        <v>31.421128461468602</v>
      </c>
      <c r="BA647">
        <v>30.415456200249121</v>
      </c>
      <c r="BB647">
        <v>49.056077903572003</v>
      </c>
      <c r="BC647">
        <v>36.714315468082411</v>
      </c>
      <c r="BD647">
        <v>181.65116293779303</v>
      </c>
      <c r="BE647">
        <v>-90.12672613166238</v>
      </c>
      <c r="BF647">
        <v>19.682942961584494</v>
      </c>
      <c r="BH647">
        <v>19.682942961584494</v>
      </c>
      <c r="BI647">
        <v>326.11966234797728</v>
      </c>
      <c r="BJ647" s="6">
        <v>183</v>
      </c>
      <c r="BK647">
        <v>-109.80966909324687</v>
      </c>
      <c r="BL647" s="4">
        <v>-2430.5305099999987</v>
      </c>
      <c r="BM647" t="s">
        <v>2869</v>
      </c>
      <c r="BN647" t="s">
        <v>65</v>
      </c>
      <c r="BO647">
        <v>12</v>
      </c>
      <c r="BP647">
        <v>2023</v>
      </c>
      <c r="BQ647" t="str">
        <f t="shared" si="51"/>
        <v>CHBR112</v>
      </c>
      <c r="BR647">
        <f t="shared" si="52"/>
        <v>-3167.8148999999994</v>
      </c>
      <c r="BS647">
        <f t="shared" si="53"/>
        <v>4787.8118800000002</v>
      </c>
      <c r="BT647" s="6">
        <f t="shared" si="54"/>
        <v>-143.11966234797728</v>
      </c>
    </row>
    <row r="648" spans="1:72">
      <c r="A648" s="3" t="s">
        <v>113</v>
      </c>
      <c r="B648" s="3" t="s">
        <v>374</v>
      </c>
      <c r="C648" s="3" t="s">
        <v>376</v>
      </c>
      <c r="D648" s="2" t="s">
        <v>404</v>
      </c>
      <c r="E648" s="4" t="str">
        <f t="shared" si="50"/>
        <v>CHBR1A1-019-0005</v>
      </c>
      <c r="F648">
        <v>2</v>
      </c>
      <c r="G648">
        <v>2</v>
      </c>
      <c r="H648" t="s">
        <v>72</v>
      </c>
      <c r="I648" t="s">
        <v>75</v>
      </c>
      <c r="J648" t="s">
        <v>95</v>
      </c>
      <c r="K648" t="s">
        <v>79</v>
      </c>
      <c r="L648" t="s">
        <v>79</v>
      </c>
      <c r="N648" s="5">
        <v>45002</v>
      </c>
      <c r="O648" s="5">
        <v>45033</v>
      </c>
      <c r="P648">
        <v>0.6</v>
      </c>
      <c r="Q648" s="4">
        <v>94</v>
      </c>
      <c r="R648">
        <v>0.47699999999999998</v>
      </c>
      <c r="S648" t="s">
        <v>70</v>
      </c>
      <c r="T648" s="6">
        <v>2</v>
      </c>
      <c r="U648" s="5">
        <v>45128</v>
      </c>
      <c r="V648" s="6">
        <v>1</v>
      </c>
      <c r="W648" t="s">
        <v>86</v>
      </c>
      <c r="X648" s="6">
        <v>95</v>
      </c>
      <c r="Y648">
        <v>10.5313</v>
      </c>
      <c r="Z648">
        <v>5.2656499999999999</v>
      </c>
      <c r="AA648" s="6">
        <v>36.45020082990704</v>
      </c>
      <c r="AB648" s="4">
        <v>63.978000000000002</v>
      </c>
      <c r="AC648" s="6">
        <v>27.434691091729448</v>
      </c>
      <c r="AD648">
        <v>0.34585613999999998</v>
      </c>
      <c r="AE648">
        <v>2.1058436551394299</v>
      </c>
      <c r="AF648">
        <v>21575</v>
      </c>
      <c r="AG648" s="4">
        <v>0</v>
      </c>
      <c r="AH648" s="4"/>
      <c r="AL648">
        <v>30</v>
      </c>
      <c r="AM648">
        <v>7.7974399999999999</v>
      </c>
      <c r="AN648" t="s">
        <v>81</v>
      </c>
      <c r="AO648" t="s">
        <v>134</v>
      </c>
      <c r="AP648" s="5">
        <v>45034</v>
      </c>
      <c r="AQ648" t="s">
        <v>96</v>
      </c>
      <c r="AR648" s="5">
        <v>45127</v>
      </c>
      <c r="AS648">
        <v>167.22897363098571</v>
      </c>
      <c r="AT648" s="6"/>
      <c r="AU648">
        <v>25.637860473066006</v>
      </c>
      <c r="AV648">
        <v>63.998614605984066</v>
      </c>
      <c r="AW648">
        <v>36.524764274116201</v>
      </c>
      <c r="AX648">
        <v>126.16123935316627</v>
      </c>
      <c r="AY648">
        <v>22.479950243559678</v>
      </c>
      <c r="AZ648">
        <v>41.993209765176189</v>
      </c>
      <c r="BA648">
        <v>10.664872332950349</v>
      </c>
      <c r="BB648">
        <v>5.4818037659168386</v>
      </c>
      <c r="BC648">
        <v>18.067828283307854</v>
      </c>
      <c r="BD648">
        <v>98.687664390910896</v>
      </c>
      <c r="BE648">
        <v>-57.619930113091456</v>
      </c>
      <c r="BF648">
        <v>18.977976128303247</v>
      </c>
      <c r="BH648">
        <v>18.977976128303247</v>
      </c>
      <c r="BI648">
        <v>243.8268798723804</v>
      </c>
      <c r="BJ648" s="6">
        <v>186</v>
      </c>
      <c r="BK648">
        <v>-76.597906241394682</v>
      </c>
      <c r="BL648" s="4">
        <v>-806.67552999999975</v>
      </c>
      <c r="BM648" t="s">
        <v>405</v>
      </c>
      <c r="BN648" t="s">
        <v>65</v>
      </c>
      <c r="BO648">
        <v>7</v>
      </c>
      <c r="BP648">
        <v>2023</v>
      </c>
      <c r="BQ648" t="str">
        <f t="shared" si="51"/>
        <v>CHBR17</v>
      </c>
      <c r="BR648">
        <f t="shared" si="52"/>
        <v>-608.99221999999975</v>
      </c>
      <c r="BS648">
        <f t="shared" si="53"/>
        <v>1761.1384899999998</v>
      </c>
      <c r="BT648" s="6">
        <f t="shared" si="54"/>
        <v>-57.826879872380403</v>
      </c>
    </row>
    <row r="649" spans="1:72">
      <c r="A649" s="3" t="s">
        <v>113</v>
      </c>
      <c r="B649" s="3" t="s">
        <v>374</v>
      </c>
      <c r="C649" s="3" t="s">
        <v>376</v>
      </c>
      <c r="D649" s="2" t="s">
        <v>383</v>
      </c>
      <c r="E649" s="4" t="str">
        <f t="shared" si="50"/>
        <v>CHBR1A1-016-0013</v>
      </c>
      <c r="F649">
        <v>2</v>
      </c>
      <c r="G649">
        <v>2</v>
      </c>
      <c r="H649" t="s">
        <v>72</v>
      </c>
      <c r="I649" t="s">
        <v>75</v>
      </c>
      <c r="J649" t="s">
        <v>95</v>
      </c>
      <c r="K649" t="s">
        <v>79</v>
      </c>
      <c r="L649" t="s">
        <v>79</v>
      </c>
      <c r="M649">
        <v>7.8003120124804995E-2</v>
      </c>
      <c r="N649" s="5">
        <v>44969</v>
      </c>
      <c r="O649" s="5">
        <v>44995</v>
      </c>
      <c r="P649">
        <v>1</v>
      </c>
      <c r="Q649" s="4">
        <v>156</v>
      </c>
      <c r="R649">
        <v>0.5</v>
      </c>
      <c r="S649" t="s">
        <v>70</v>
      </c>
      <c r="T649" s="6">
        <v>4</v>
      </c>
      <c r="U649" s="5">
        <v>45096</v>
      </c>
      <c r="V649" s="6">
        <v>1</v>
      </c>
      <c r="W649" t="s">
        <v>86</v>
      </c>
      <c r="X649" s="6">
        <v>101</v>
      </c>
      <c r="Y649">
        <v>13.596219999999999</v>
      </c>
      <c r="Z649">
        <v>6.7981099999999994</v>
      </c>
      <c r="AA649" s="6">
        <v>47.402439795766767</v>
      </c>
      <c r="AB649" s="4">
        <v>64.449399999999997</v>
      </c>
      <c r="AC649" s="6">
        <v>21.095960551998932</v>
      </c>
      <c r="AD649">
        <v>0.33646295700000001</v>
      </c>
      <c r="AE649">
        <v>2.447271044622036</v>
      </c>
      <c r="AF649">
        <v>32050</v>
      </c>
      <c r="AG649" s="4">
        <v>10000</v>
      </c>
      <c r="AH649" s="4">
        <v>2500</v>
      </c>
      <c r="AL649">
        <v>29</v>
      </c>
      <c r="AM649">
        <v>6.3659799999999995</v>
      </c>
      <c r="AN649" t="s">
        <v>76</v>
      </c>
      <c r="AO649" t="s">
        <v>134</v>
      </c>
      <c r="AP649" s="5">
        <v>44998</v>
      </c>
      <c r="AQ649" t="s">
        <v>170</v>
      </c>
      <c r="AR649" s="5">
        <v>45094</v>
      </c>
      <c r="AS649">
        <v>169.18568543315715</v>
      </c>
      <c r="AT649" s="6"/>
      <c r="AU649">
        <v>33.097434433982386</v>
      </c>
      <c r="AV649">
        <v>74.914754247871841</v>
      </c>
      <c r="AW649">
        <v>24.338291083845359</v>
      </c>
      <c r="AX649">
        <v>132.35047976569959</v>
      </c>
      <c r="AY649">
        <v>13.439672203009367</v>
      </c>
      <c r="AZ649">
        <v>28.703683818002357</v>
      </c>
      <c r="BA649">
        <v>6.1740255747553379</v>
      </c>
      <c r="BB649">
        <v>3.2092964073838175</v>
      </c>
      <c r="BC649">
        <v>12.742168043765107</v>
      </c>
      <c r="BD649">
        <v>64.268846046915996</v>
      </c>
      <c r="BE649">
        <v>-27.433640379458438</v>
      </c>
      <c r="BF649">
        <v>11.991010736807732</v>
      </c>
      <c r="BH649">
        <v>11.991010736807732</v>
      </c>
      <c r="BI649">
        <v>208.61033654942332</v>
      </c>
      <c r="BJ649" s="6">
        <v>172</v>
      </c>
      <c r="BK649">
        <v>-39.424651116266176</v>
      </c>
      <c r="BL649" s="4">
        <v>-536.0262300000004</v>
      </c>
      <c r="BM649" t="s">
        <v>384</v>
      </c>
      <c r="BN649" t="s">
        <v>65</v>
      </c>
      <c r="BO649">
        <v>6</v>
      </c>
      <c r="BP649">
        <v>2023</v>
      </c>
      <c r="BQ649" t="str">
        <f t="shared" si="51"/>
        <v>CHBR16</v>
      </c>
      <c r="BR649">
        <f t="shared" si="52"/>
        <v>-497.76219000000032</v>
      </c>
      <c r="BS649">
        <f t="shared" si="53"/>
        <v>2300.2857999999997</v>
      </c>
      <c r="BT649" s="6">
        <f t="shared" si="54"/>
        <v>-36.610336549423323</v>
      </c>
    </row>
    <row r="650" spans="1:72">
      <c r="A650" s="3" t="s">
        <v>113</v>
      </c>
      <c r="B650" s="3" t="s">
        <v>374</v>
      </c>
      <c r="C650" s="3" t="s">
        <v>376</v>
      </c>
      <c r="D650" s="2" t="s">
        <v>396</v>
      </c>
      <c r="E650" s="4" t="str">
        <f t="shared" si="50"/>
        <v>CHBR1A1-011-0014</v>
      </c>
      <c r="F650">
        <v>2</v>
      </c>
      <c r="G650">
        <v>2</v>
      </c>
      <c r="H650" t="s">
        <v>72</v>
      </c>
      <c r="I650" t="s">
        <v>75</v>
      </c>
      <c r="J650" t="s">
        <v>95</v>
      </c>
      <c r="K650" t="s">
        <v>79</v>
      </c>
      <c r="L650" t="s">
        <v>79</v>
      </c>
      <c r="M650">
        <v>9.9916736053288921E-2</v>
      </c>
      <c r="N650" s="5">
        <v>44966</v>
      </c>
      <c r="O650" s="5">
        <v>44993</v>
      </c>
      <c r="P650">
        <v>1</v>
      </c>
      <c r="Q650" s="4">
        <v>156</v>
      </c>
      <c r="R650">
        <v>0.45</v>
      </c>
      <c r="S650" t="s">
        <v>70</v>
      </c>
      <c r="T650" s="6">
        <v>4</v>
      </c>
      <c r="U650" s="5">
        <v>45108</v>
      </c>
      <c r="V650" s="6">
        <v>1</v>
      </c>
      <c r="W650" t="s">
        <v>86</v>
      </c>
      <c r="X650" s="6">
        <v>115</v>
      </c>
      <c r="Y650">
        <v>14.286950000000001</v>
      </c>
      <c r="Z650">
        <v>7.1434750000000005</v>
      </c>
      <c r="AA650" s="6">
        <v>39.621542736553288</v>
      </c>
      <c r="AB650" s="4">
        <v>56.607100000000003</v>
      </c>
      <c r="AC650" s="6">
        <v>25.238795133472657</v>
      </c>
      <c r="AD650">
        <v>0.33053511699999999</v>
      </c>
      <c r="AE650">
        <v>2.169914612685599</v>
      </c>
      <c r="AF650">
        <v>30025</v>
      </c>
      <c r="AG650" s="4">
        <v>10000</v>
      </c>
      <c r="AH650" s="4">
        <v>3000</v>
      </c>
      <c r="AL650">
        <v>26.000000000000004</v>
      </c>
      <c r="AM650">
        <v>6.2384399999999998</v>
      </c>
      <c r="AN650" t="s">
        <v>85</v>
      </c>
      <c r="AO650" t="s">
        <v>134</v>
      </c>
      <c r="AP650" s="5">
        <v>44994</v>
      </c>
      <c r="AQ650" t="s">
        <v>136</v>
      </c>
      <c r="AR650" s="5">
        <v>45106</v>
      </c>
      <c r="AS650">
        <v>191.36862031434276</v>
      </c>
      <c r="AT650" s="6"/>
      <c r="AU650">
        <v>31.497275485670496</v>
      </c>
      <c r="AV650">
        <v>66.616738352132515</v>
      </c>
      <c r="AW650">
        <v>25.910094176853704</v>
      </c>
      <c r="AX650">
        <v>124.0241080146567</v>
      </c>
      <c r="AY650">
        <v>14.467034601506967</v>
      </c>
      <c r="AZ650">
        <v>30.890998428635918</v>
      </c>
      <c r="BA650">
        <v>6.6852582251635235</v>
      </c>
      <c r="BB650">
        <v>3.2205943185914414</v>
      </c>
      <c r="BC650">
        <v>13.800629245570255</v>
      </c>
      <c r="BD650">
        <v>69.064514819468101</v>
      </c>
      <c r="BE650">
        <v>-1.7200025197820423</v>
      </c>
      <c r="BF650">
        <v>12.9419554208561</v>
      </c>
      <c r="BH650">
        <v>12.9419554208561</v>
      </c>
      <c r="BI650">
        <v>206.03057825498092</v>
      </c>
      <c r="BJ650" s="6">
        <v>183</v>
      </c>
      <c r="BK650">
        <v>-14.661957940638144</v>
      </c>
      <c r="BL650" s="4">
        <v>-209.47466000000014</v>
      </c>
      <c r="BM650" t="s">
        <v>397</v>
      </c>
      <c r="BN650" t="s">
        <v>65</v>
      </c>
      <c r="BO650">
        <v>7</v>
      </c>
      <c r="BP650">
        <v>2023</v>
      </c>
      <c r="BQ650" t="str">
        <f t="shared" si="51"/>
        <v>CHBR17</v>
      </c>
      <c r="BR650">
        <f t="shared" si="52"/>
        <v>-329.03671999999972</v>
      </c>
      <c r="BS650">
        <f t="shared" si="53"/>
        <v>2734.0739099999996</v>
      </c>
      <c r="BT650" s="6">
        <f t="shared" si="54"/>
        <v>-23.030578254980924</v>
      </c>
    </row>
    <row r="651" spans="1:72">
      <c r="A651" s="3" t="s">
        <v>113</v>
      </c>
      <c r="B651" s="3" t="s">
        <v>374</v>
      </c>
      <c r="C651" s="3" t="s">
        <v>376</v>
      </c>
      <c r="D651" s="2" t="s">
        <v>394</v>
      </c>
      <c r="E651" s="4" t="str">
        <f t="shared" si="50"/>
        <v>CHBR1A1-018-0013</v>
      </c>
      <c r="F651">
        <v>2</v>
      </c>
      <c r="G651">
        <v>2</v>
      </c>
      <c r="H651" t="s">
        <v>72</v>
      </c>
      <c r="I651" t="s">
        <v>75</v>
      </c>
      <c r="J651" t="s">
        <v>95</v>
      </c>
      <c r="K651" t="s">
        <v>79</v>
      </c>
      <c r="L651" t="s">
        <v>79</v>
      </c>
      <c r="N651" s="5">
        <v>45003</v>
      </c>
      <c r="O651" s="5">
        <v>45033</v>
      </c>
      <c r="P651">
        <v>0.7</v>
      </c>
      <c r="Q651" s="4">
        <v>109</v>
      </c>
      <c r="R651">
        <v>0.41</v>
      </c>
      <c r="S651" t="s">
        <v>70</v>
      </c>
      <c r="T651" s="6">
        <v>3</v>
      </c>
      <c r="U651" s="5">
        <v>45124</v>
      </c>
      <c r="V651" s="6">
        <v>1</v>
      </c>
      <c r="W651" t="s">
        <v>86</v>
      </c>
      <c r="X651" s="6">
        <v>91</v>
      </c>
      <c r="Y651">
        <v>13.666499999999999</v>
      </c>
      <c r="Z651">
        <v>6.8332499999999996</v>
      </c>
      <c r="AA651" s="6">
        <v>40.150514030658911</v>
      </c>
      <c r="AB651" s="4">
        <v>78.388142857142867</v>
      </c>
      <c r="AC651" s="6">
        <v>24.906281380019209</v>
      </c>
      <c r="AD651">
        <v>0.31870071100000003</v>
      </c>
      <c r="AE651">
        <v>1.8255540192084907</v>
      </c>
      <c r="AF651">
        <v>24425</v>
      </c>
      <c r="AG651" s="4">
        <v>0</v>
      </c>
      <c r="AH651" s="4"/>
      <c r="AL651">
        <v>34</v>
      </c>
      <c r="AM651">
        <v>8.8986000000000001</v>
      </c>
      <c r="AN651" t="s">
        <v>77</v>
      </c>
      <c r="AO651" t="s">
        <v>134</v>
      </c>
      <c r="AP651" s="5">
        <v>45034</v>
      </c>
      <c r="AQ651" t="s">
        <v>96</v>
      </c>
      <c r="AR651" s="5">
        <v>45121</v>
      </c>
      <c r="AS651">
        <v>157.61529725972267</v>
      </c>
      <c r="AT651" s="6"/>
      <c r="AU651">
        <v>23.04906157392163</v>
      </c>
      <c r="AV651">
        <v>55.846589104745171</v>
      </c>
      <c r="AW651">
        <v>25.9524135660191</v>
      </c>
      <c r="AX651">
        <v>104.8480642446859</v>
      </c>
      <c r="AY651">
        <v>16.022852229905244</v>
      </c>
      <c r="AZ651">
        <v>30.652411370870372</v>
      </c>
      <c r="BA651">
        <v>7.6374770424029554</v>
      </c>
      <c r="BB651">
        <v>3.9177550945743236</v>
      </c>
      <c r="BC651">
        <v>13.073473822851499</v>
      </c>
      <c r="BD651">
        <v>71.303969560604401</v>
      </c>
      <c r="BE651">
        <v>-18.536736545567635</v>
      </c>
      <c r="BF651">
        <v>13.638010463542239</v>
      </c>
      <c r="BH651">
        <v>13.638010463542239</v>
      </c>
      <c r="BI651">
        <v>189.79004426883256</v>
      </c>
      <c r="BJ651" s="6">
        <v>182</v>
      </c>
      <c r="BK651">
        <v>-32.174747009109879</v>
      </c>
      <c r="BL651" s="4">
        <v>-439.71618000000018</v>
      </c>
      <c r="BM651" t="s">
        <v>395</v>
      </c>
      <c r="BN651" t="s">
        <v>65</v>
      </c>
      <c r="BO651">
        <v>7</v>
      </c>
      <c r="BP651">
        <v>2023</v>
      </c>
      <c r="BQ651" t="str">
        <f t="shared" si="51"/>
        <v>CHBR17</v>
      </c>
      <c r="BR651">
        <f t="shared" si="52"/>
        <v>-106.46264000000018</v>
      </c>
      <c r="BS651">
        <f t="shared" si="53"/>
        <v>2154.0494599999997</v>
      </c>
      <c r="BT651" s="6">
        <f t="shared" si="54"/>
        <v>-7.7900442688325597</v>
      </c>
    </row>
    <row r="652" spans="1:72">
      <c r="A652" s="3" t="s">
        <v>113</v>
      </c>
      <c r="B652" s="3" t="s">
        <v>374</v>
      </c>
      <c r="C652" s="3" t="s">
        <v>376</v>
      </c>
      <c r="D652" s="2" t="s">
        <v>393</v>
      </c>
      <c r="E652" s="4" t="str">
        <f t="shared" si="50"/>
        <v>CHBR1A1-009-0033</v>
      </c>
      <c r="F652">
        <v>2</v>
      </c>
      <c r="G652">
        <v>2</v>
      </c>
      <c r="H652" t="s">
        <v>72</v>
      </c>
      <c r="I652" t="s">
        <v>75</v>
      </c>
      <c r="J652" t="s">
        <v>95</v>
      </c>
      <c r="K652" t="s">
        <v>79</v>
      </c>
      <c r="L652" t="s">
        <v>79</v>
      </c>
      <c r="M652">
        <v>1.3059548254620124</v>
      </c>
      <c r="N652" s="5">
        <v>44947</v>
      </c>
      <c r="O652" s="5">
        <v>44956</v>
      </c>
      <c r="P652">
        <v>1</v>
      </c>
      <c r="Q652" s="4">
        <v>156</v>
      </c>
      <c r="R652">
        <v>0.42</v>
      </c>
      <c r="S652" t="s">
        <v>70</v>
      </c>
      <c r="T652" s="6">
        <v>3</v>
      </c>
      <c r="U652" s="5">
        <v>45054</v>
      </c>
      <c r="V652" s="6">
        <v>1</v>
      </c>
      <c r="W652" t="s">
        <v>86</v>
      </c>
      <c r="X652" s="6">
        <v>98</v>
      </c>
      <c r="Y652">
        <v>9.6130599999999991</v>
      </c>
      <c r="Z652">
        <v>4.8065299999999995</v>
      </c>
      <c r="AA652" s="6">
        <v>42.022207288834153</v>
      </c>
      <c r="AB652" s="4">
        <v>40.3962</v>
      </c>
      <c r="AC652" s="6">
        <v>23.796941296458574</v>
      </c>
      <c r="AD652">
        <v>0.31459183699999999</v>
      </c>
      <c r="AE652">
        <v>2.6487112687163812</v>
      </c>
      <c r="AF652">
        <v>24350</v>
      </c>
      <c r="AG652" s="4">
        <v>3200</v>
      </c>
      <c r="AH652" s="4">
        <v>31800</v>
      </c>
      <c r="AL652">
        <v>32</v>
      </c>
      <c r="AM652">
        <v>6.5404399999999994</v>
      </c>
      <c r="AN652" t="s">
        <v>81</v>
      </c>
      <c r="AO652" t="s">
        <v>74</v>
      </c>
      <c r="AP652" s="5">
        <v>44956</v>
      </c>
      <c r="AQ652" t="s">
        <v>134</v>
      </c>
      <c r="AR652" s="5">
        <v>45051</v>
      </c>
      <c r="AS652">
        <v>195.70243606094209</v>
      </c>
      <c r="AT652" s="6"/>
      <c r="AU652">
        <v>46.811317104023068</v>
      </c>
      <c r="AV652">
        <v>82.361908695046111</v>
      </c>
      <c r="AW652">
        <v>32.562295460550544</v>
      </c>
      <c r="AX652">
        <v>161.73552125961973</v>
      </c>
      <c r="AY652">
        <v>15.816343599228556</v>
      </c>
      <c r="AZ652">
        <v>33.577330215352859</v>
      </c>
      <c r="BA652">
        <v>6.5857188033779055</v>
      </c>
      <c r="BB652">
        <v>3.9267288459658007</v>
      </c>
      <c r="BC652">
        <v>15.468906882928017</v>
      </c>
      <c r="BD652">
        <v>75.375028346853142</v>
      </c>
      <c r="BE652">
        <v>-41.408113545530782</v>
      </c>
      <c r="BF652">
        <v>14.394948122658134</v>
      </c>
      <c r="BH652">
        <v>14.394948122658134</v>
      </c>
      <c r="BI652">
        <v>251.50549772913095</v>
      </c>
      <c r="BJ652" s="6">
        <v>180</v>
      </c>
      <c r="BK652">
        <v>-55.803061668188874</v>
      </c>
      <c r="BL652" s="4">
        <v>-536.43817999999965</v>
      </c>
      <c r="BM652" t="s">
        <v>375</v>
      </c>
      <c r="BN652" t="s">
        <v>65</v>
      </c>
      <c r="BO652">
        <v>5</v>
      </c>
      <c r="BP652">
        <v>2023</v>
      </c>
      <c r="BQ652" t="str">
        <f t="shared" si="51"/>
        <v>CHBR15</v>
      </c>
      <c r="BR652">
        <f t="shared" si="52"/>
        <v>-687.38663999999949</v>
      </c>
      <c r="BS652">
        <f t="shared" si="53"/>
        <v>1881.2992599999998</v>
      </c>
      <c r="BT652" s="6">
        <f t="shared" si="54"/>
        <v>-71.505497729130951</v>
      </c>
    </row>
    <row r="653" spans="1:72">
      <c r="A653" s="3" t="s">
        <v>113</v>
      </c>
      <c r="B653" s="3" t="s">
        <v>374</v>
      </c>
      <c r="C653" s="3" t="s">
        <v>376</v>
      </c>
      <c r="D653" s="2" t="s">
        <v>387</v>
      </c>
      <c r="E653" s="4" t="str">
        <f t="shared" si="50"/>
        <v>CHBR1A1-012-0039</v>
      </c>
      <c r="F653">
        <v>2</v>
      </c>
      <c r="G653">
        <v>1.5</v>
      </c>
      <c r="H653" t="s">
        <v>72</v>
      </c>
      <c r="I653" t="s">
        <v>75</v>
      </c>
      <c r="J653" t="s">
        <v>95</v>
      </c>
      <c r="K653" t="s">
        <v>79</v>
      </c>
      <c r="L653" t="s">
        <v>79</v>
      </c>
      <c r="M653">
        <v>1.169305724725944</v>
      </c>
      <c r="N653" s="5">
        <v>44947</v>
      </c>
      <c r="O653" s="5">
        <v>44956</v>
      </c>
      <c r="P653">
        <v>0.8</v>
      </c>
      <c r="Q653" s="4">
        <v>167</v>
      </c>
      <c r="R653">
        <v>0.42</v>
      </c>
      <c r="S653" t="s">
        <v>70</v>
      </c>
      <c r="T653" s="6">
        <v>3</v>
      </c>
      <c r="U653" s="5">
        <v>45051</v>
      </c>
      <c r="V653" s="6">
        <v>1</v>
      </c>
      <c r="W653" t="s">
        <v>86</v>
      </c>
      <c r="X653" s="6">
        <v>95</v>
      </c>
      <c r="Y653">
        <v>8.81602</v>
      </c>
      <c r="Z653">
        <v>4.40801</v>
      </c>
      <c r="AA653" s="6">
        <v>45.276780225090228</v>
      </c>
      <c r="AB653" s="4">
        <v>49.895125</v>
      </c>
      <c r="AC653" s="6">
        <v>22.08637617402502</v>
      </c>
      <c r="AD653">
        <v>0.28797660800000002</v>
      </c>
      <c r="AE653">
        <v>2.4203952349168985</v>
      </c>
      <c r="AF653">
        <v>20525</v>
      </c>
      <c r="AG653" s="4">
        <v>3200</v>
      </c>
      <c r="AH653" s="4">
        <v>24000</v>
      </c>
      <c r="AL653">
        <v>36</v>
      </c>
      <c r="AM653">
        <v>1.86378</v>
      </c>
      <c r="AN653" t="s">
        <v>85</v>
      </c>
      <c r="AO653" t="s">
        <v>74</v>
      </c>
      <c r="AP653" s="5">
        <v>44956</v>
      </c>
      <c r="AQ653" t="s">
        <v>157</v>
      </c>
      <c r="AR653" s="5">
        <v>45047</v>
      </c>
      <c r="AS653">
        <v>188.00509753834496</v>
      </c>
      <c r="AT653" s="6"/>
      <c r="AU653">
        <v>40.834753097202587</v>
      </c>
      <c r="AV653">
        <v>75.605164235108347</v>
      </c>
      <c r="AW653">
        <v>30.294024968182924</v>
      </c>
      <c r="AX653">
        <v>146.73394230049385</v>
      </c>
      <c r="AY653">
        <v>16.757663889147256</v>
      </c>
      <c r="AZ653">
        <v>35.592388628882418</v>
      </c>
      <c r="BA653">
        <v>6.8856717657174098</v>
      </c>
      <c r="BB653">
        <v>4.1576697875004829</v>
      </c>
      <c r="BC653">
        <v>16.543341553217889</v>
      </c>
      <c r="BD653">
        <v>79.936735624465442</v>
      </c>
      <c r="BE653">
        <v>-38.665580386614337</v>
      </c>
      <c r="BF653">
        <v>15.273073336947965</v>
      </c>
      <c r="BH653">
        <v>15.273073336947965</v>
      </c>
      <c r="BI653">
        <v>241.94375126190732</v>
      </c>
      <c r="BJ653" s="6">
        <v>175</v>
      </c>
      <c r="BK653">
        <v>-53.938653723562354</v>
      </c>
      <c r="BL653" s="4">
        <v>-475.52425000000022</v>
      </c>
      <c r="BM653" t="s">
        <v>388</v>
      </c>
      <c r="BN653" t="s">
        <v>65</v>
      </c>
      <c r="BO653">
        <v>5</v>
      </c>
      <c r="BP653">
        <v>2023</v>
      </c>
      <c r="BQ653" t="str">
        <f t="shared" si="51"/>
        <v>CHBR15</v>
      </c>
      <c r="BR653">
        <f t="shared" si="52"/>
        <v>-590.17745000000025</v>
      </c>
      <c r="BS653">
        <f t="shared" si="53"/>
        <v>1657.4567</v>
      </c>
      <c r="BT653" s="6">
        <f t="shared" si="54"/>
        <v>-66.943751261907323</v>
      </c>
    </row>
    <row r="654" spans="1:72">
      <c r="A654" s="3" t="s">
        <v>113</v>
      </c>
      <c r="B654" s="3" t="s">
        <v>374</v>
      </c>
      <c r="C654" s="3" t="s">
        <v>376</v>
      </c>
      <c r="D654" s="2" t="s">
        <v>406</v>
      </c>
      <c r="E654" s="4" t="str">
        <f t="shared" si="50"/>
        <v>CHBR1A1-017-0014</v>
      </c>
      <c r="F654">
        <v>2</v>
      </c>
      <c r="G654">
        <v>2</v>
      </c>
      <c r="H654" t="s">
        <v>72</v>
      </c>
      <c r="I654" t="s">
        <v>75</v>
      </c>
      <c r="J654" t="s">
        <v>95</v>
      </c>
      <c r="K654" t="s">
        <v>79</v>
      </c>
      <c r="L654" t="s">
        <v>79</v>
      </c>
      <c r="M654">
        <v>6.7854113655640369E-2</v>
      </c>
      <c r="N654" s="5">
        <v>44976</v>
      </c>
      <c r="O654" s="5">
        <v>45003</v>
      </c>
      <c r="P654">
        <v>0.6</v>
      </c>
      <c r="Q654" s="4">
        <v>94</v>
      </c>
      <c r="R654">
        <v>0.35</v>
      </c>
      <c r="S654" t="s">
        <v>70</v>
      </c>
      <c r="T654" s="6">
        <v>5</v>
      </c>
      <c r="U654" s="5">
        <v>45118</v>
      </c>
      <c r="V654" s="6">
        <v>1</v>
      </c>
      <c r="W654" t="s">
        <v>86</v>
      </c>
      <c r="X654" s="6">
        <v>115</v>
      </c>
      <c r="Y654">
        <v>16.81071</v>
      </c>
      <c r="Z654">
        <v>8.4053550000000001</v>
      </c>
      <c r="AA654" s="6">
        <v>36.443612435167822</v>
      </c>
      <c r="AB654" s="4">
        <v>102.10716666666666</v>
      </c>
      <c r="AC654" s="6">
        <v>27.439650824378958</v>
      </c>
      <c r="AD654">
        <v>0.286811594</v>
      </c>
      <c r="AE654">
        <v>1.7755264684462293</v>
      </c>
      <c r="AF654">
        <v>29475</v>
      </c>
      <c r="AG654" s="4">
        <v>8200</v>
      </c>
      <c r="AH654" s="4">
        <v>2000</v>
      </c>
      <c r="AL654">
        <v>30</v>
      </c>
      <c r="AM654">
        <v>7.19414</v>
      </c>
      <c r="AN654" t="s">
        <v>81</v>
      </c>
      <c r="AO654" t="s">
        <v>74</v>
      </c>
      <c r="AP654" s="5">
        <v>45009</v>
      </c>
      <c r="AQ654" t="s">
        <v>176</v>
      </c>
      <c r="AR654" s="5">
        <v>45117</v>
      </c>
      <c r="AS654">
        <v>173.39784696779617</v>
      </c>
      <c r="AT654" s="6"/>
      <c r="AU654">
        <v>14.276612944961872</v>
      </c>
      <c r="AV654">
        <v>55.07195056008937</v>
      </c>
      <c r="AW654">
        <v>23.394370612544026</v>
      </c>
      <c r="AX654">
        <v>92.742934117595269</v>
      </c>
      <c r="AY654">
        <v>13.855208376088815</v>
      </c>
      <c r="AZ654">
        <v>27.593856535506241</v>
      </c>
      <c r="BA654">
        <v>6.4032786241628097</v>
      </c>
      <c r="BB654">
        <v>3.2060091453603086</v>
      </c>
      <c r="BC654">
        <v>12.206896079939517</v>
      </c>
      <c r="BD654">
        <v>63.265248761057684</v>
      </c>
      <c r="BE654">
        <v>17.389664089143217</v>
      </c>
      <c r="BF654">
        <v>12.024974554911722</v>
      </c>
      <c r="BH654">
        <v>12.024974554911722</v>
      </c>
      <c r="BI654">
        <v>168.0331574335647</v>
      </c>
      <c r="BJ654" s="6">
        <v>186</v>
      </c>
      <c r="BK654">
        <v>5.3646895342314647</v>
      </c>
      <c r="BL654" s="4">
        <v>90.18424000000023</v>
      </c>
      <c r="BM654" t="s">
        <v>407</v>
      </c>
      <c r="BN654" t="s">
        <v>65</v>
      </c>
      <c r="BO654">
        <v>7</v>
      </c>
      <c r="BP654">
        <v>2023</v>
      </c>
      <c r="BQ654" t="str">
        <f t="shared" si="51"/>
        <v>CHBR17</v>
      </c>
      <c r="BR654">
        <f t="shared" si="52"/>
        <v>302.03537999999963</v>
      </c>
      <c r="BS654">
        <f t="shared" si="53"/>
        <v>2914.9409200000009</v>
      </c>
      <c r="BT654" s="6">
        <f t="shared" si="54"/>
        <v>17.966842566435304</v>
      </c>
    </row>
    <row r="655" spans="1:72">
      <c r="A655" s="3" t="s">
        <v>113</v>
      </c>
      <c r="B655" s="3" t="s">
        <v>374</v>
      </c>
      <c r="C655" s="3" t="s">
        <v>376</v>
      </c>
      <c r="D655" s="2" t="s">
        <v>379</v>
      </c>
      <c r="E655" s="4" t="str">
        <f t="shared" si="50"/>
        <v>CHBR1A1-012-0040</v>
      </c>
      <c r="F655">
        <v>2</v>
      </c>
      <c r="G655">
        <v>2</v>
      </c>
      <c r="H655" t="s">
        <v>72</v>
      </c>
      <c r="I655" t="s">
        <v>75</v>
      </c>
      <c r="J655" t="s">
        <v>95</v>
      </c>
      <c r="K655" t="s">
        <v>79</v>
      </c>
      <c r="N655" s="5">
        <v>45052</v>
      </c>
      <c r="O655" s="5">
        <v>45080</v>
      </c>
      <c r="P655">
        <v>0.6</v>
      </c>
      <c r="Q655" s="4">
        <v>94</v>
      </c>
      <c r="R655">
        <v>0.85</v>
      </c>
      <c r="S655" t="s">
        <v>70</v>
      </c>
      <c r="T655" s="6">
        <v>1</v>
      </c>
      <c r="U655" s="5">
        <v>45125</v>
      </c>
      <c r="V655" s="6">
        <v>2</v>
      </c>
      <c r="W655" t="s">
        <v>71</v>
      </c>
      <c r="X655" s="6">
        <v>45</v>
      </c>
      <c r="Y655">
        <v>5.6728999999999994</v>
      </c>
      <c r="Z655">
        <v>2.8364499999999997</v>
      </c>
      <c r="AA655" s="6">
        <v>73.000052883005168</v>
      </c>
      <c r="AB655" s="4">
        <v>69.020333333333326</v>
      </c>
      <c r="AC655" s="6">
        <v>13.698620213367075</v>
      </c>
      <c r="AD655">
        <v>0.28552511400000002</v>
      </c>
      <c r="AE655">
        <v>1.5689069754378897</v>
      </c>
      <c r="AF655">
        <v>8100</v>
      </c>
      <c r="AG655" s="4"/>
      <c r="AH655" s="4"/>
      <c r="AL655">
        <v>73</v>
      </c>
      <c r="AM655">
        <v>5.6684799999999997</v>
      </c>
      <c r="AN655" t="s">
        <v>73</v>
      </c>
      <c r="AO655" t="s">
        <v>97</v>
      </c>
      <c r="AP655" s="5">
        <v>45082</v>
      </c>
      <c r="AQ655" t="s">
        <v>96</v>
      </c>
      <c r="AR655" s="5">
        <v>45121</v>
      </c>
      <c r="AS655">
        <v>122.18106083308365</v>
      </c>
      <c r="AT655" s="6"/>
      <c r="AU655">
        <v>58.171305681397527</v>
      </c>
      <c r="AV655">
        <v>42.657406264873337</v>
      </c>
      <c r="AW655">
        <v>39.747617620617326</v>
      </c>
      <c r="AX655">
        <v>140.57632956688818</v>
      </c>
      <c r="AY655">
        <v>27.459692573463307</v>
      </c>
      <c r="AZ655">
        <v>47.846752102099451</v>
      </c>
      <c r="BA655">
        <v>13.809146997126691</v>
      </c>
      <c r="BB655">
        <v>5.4088155969609906</v>
      </c>
      <c r="BC655">
        <v>20.229811912778299</v>
      </c>
      <c r="BD655">
        <v>114.75421918242874</v>
      </c>
      <c r="BE655">
        <v>-133.14948791623328</v>
      </c>
      <c r="BF655">
        <v>22.75069717428476</v>
      </c>
      <c r="BH655">
        <v>22.75069717428476</v>
      </c>
      <c r="BI655">
        <v>278.08124592360173</v>
      </c>
      <c r="BJ655" s="6">
        <v>150</v>
      </c>
      <c r="BK655">
        <v>-155.90018509051808</v>
      </c>
      <c r="BL655" s="4">
        <v>-884.40615999999989</v>
      </c>
      <c r="BM655" t="s">
        <v>380</v>
      </c>
      <c r="BN655" t="s">
        <v>65</v>
      </c>
      <c r="BO655">
        <v>7</v>
      </c>
      <c r="BP655">
        <v>2023</v>
      </c>
      <c r="BQ655" t="str">
        <f t="shared" si="51"/>
        <v>CHBR17</v>
      </c>
      <c r="BR655">
        <f t="shared" si="52"/>
        <v>-726.59210000000019</v>
      </c>
      <c r="BS655">
        <f t="shared" si="53"/>
        <v>693.12094000000013</v>
      </c>
      <c r="BT655" s="6">
        <f t="shared" si="54"/>
        <v>-128.08124592360173</v>
      </c>
    </row>
    <row r="656" spans="1:72">
      <c r="A656" s="3" t="s">
        <v>113</v>
      </c>
      <c r="B656" s="3" t="s">
        <v>374</v>
      </c>
      <c r="C656" s="3" t="s">
        <v>376</v>
      </c>
      <c r="D656" s="2" t="s">
        <v>400</v>
      </c>
      <c r="E656" s="4" t="str">
        <f t="shared" si="50"/>
        <v>CHBR1A1-016-0012</v>
      </c>
      <c r="F656">
        <v>2</v>
      </c>
      <c r="G656">
        <v>1.5</v>
      </c>
      <c r="H656" t="s">
        <v>72</v>
      </c>
      <c r="I656" t="s">
        <v>75</v>
      </c>
      <c r="J656" t="s">
        <v>95</v>
      </c>
      <c r="K656" t="s">
        <v>79</v>
      </c>
      <c r="L656" t="s">
        <v>79</v>
      </c>
      <c r="M656">
        <v>3.4415730337078654</v>
      </c>
      <c r="N656" s="5">
        <v>44827</v>
      </c>
      <c r="O656" s="5">
        <v>44876</v>
      </c>
      <c r="P656">
        <v>0.7</v>
      </c>
      <c r="Q656" s="4">
        <v>146</v>
      </c>
      <c r="R656">
        <v>0.4</v>
      </c>
      <c r="S656" t="s">
        <v>70</v>
      </c>
      <c r="T656" s="6">
        <v>1</v>
      </c>
      <c r="U656" s="5">
        <v>44968</v>
      </c>
      <c r="V656" s="6">
        <v>1</v>
      </c>
      <c r="W656" t="s">
        <v>86</v>
      </c>
      <c r="X656" s="6">
        <v>92</v>
      </c>
      <c r="Y656">
        <v>9.3969799999999992</v>
      </c>
      <c r="Z656">
        <v>4.6984899999999996</v>
      </c>
      <c r="AA656" s="6">
        <v>39.000083005391097</v>
      </c>
      <c r="AB656" s="4">
        <v>52.354714285714287</v>
      </c>
      <c r="AC656" s="6">
        <v>25.640971068235086</v>
      </c>
      <c r="AD656">
        <v>0.27435897399999998</v>
      </c>
      <c r="AE656">
        <v>1.9524009046855428</v>
      </c>
      <c r="AF656">
        <v>17800</v>
      </c>
      <c r="AG656" s="4">
        <v>3200</v>
      </c>
      <c r="AH656" s="4">
        <v>61260</v>
      </c>
      <c r="AL656">
        <v>39</v>
      </c>
      <c r="AM656">
        <v>9.3834999999999997</v>
      </c>
      <c r="AN656" t="s">
        <v>85</v>
      </c>
      <c r="AO656" t="s">
        <v>97</v>
      </c>
      <c r="AP656" s="5">
        <v>44876</v>
      </c>
      <c r="AQ656" t="s">
        <v>103</v>
      </c>
      <c r="AR656" s="5">
        <v>44966</v>
      </c>
      <c r="AS656">
        <v>248.65276503727796</v>
      </c>
      <c r="AT656" s="6"/>
      <c r="AU656">
        <v>29.796807059289261</v>
      </c>
      <c r="AV656">
        <v>58.277560450272333</v>
      </c>
      <c r="AW656">
        <v>50.192675731990462</v>
      </c>
      <c r="AX656">
        <v>138.26704324155205</v>
      </c>
      <c r="AY656">
        <v>37.68192653384385</v>
      </c>
      <c r="AZ656">
        <v>34.771509570095922</v>
      </c>
      <c r="BA656">
        <v>23.918134336776287</v>
      </c>
      <c r="BB656">
        <v>66.229898329037624</v>
      </c>
      <c r="BC656">
        <v>26.3581608133677</v>
      </c>
      <c r="BD656">
        <v>188.9596295831214</v>
      </c>
      <c r="BE656">
        <v>-78.573907787395484</v>
      </c>
      <c r="BF656">
        <v>35.481207792290718</v>
      </c>
      <c r="BH656">
        <v>35.481207792290718</v>
      </c>
      <c r="BI656">
        <v>362.70788061696413</v>
      </c>
      <c r="BJ656" s="6">
        <v>183</v>
      </c>
      <c r="BK656">
        <v>-114.05511557968622</v>
      </c>
      <c r="BL656" s="4">
        <v>-1071.7736399999997</v>
      </c>
      <c r="BM656" t="s">
        <v>401</v>
      </c>
      <c r="BN656" t="s">
        <v>65</v>
      </c>
      <c r="BO656">
        <v>2</v>
      </c>
      <c r="BP656">
        <v>2023</v>
      </c>
      <c r="BQ656" t="str">
        <f t="shared" si="51"/>
        <v>CHBR12</v>
      </c>
      <c r="BR656">
        <f t="shared" si="52"/>
        <v>-1688.7113599999996</v>
      </c>
      <c r="BS656">
        <f t="shared" si="53"/>
        <v>2336.5850599999999</v>
      </c>
      <c r="BT656" s="6">
        <f t="shared" si="54"/>
        <v>-179.70788061696413</v>
      </c>
    </row>
    <row r="657" spans="1:72">
      <c r="A657" s="3" t="s">
        <v>113</v>
      </c>
      <c r="B657" s="3" t="s">
        <v>374</v>
      </c>
      <c r="C657" s="3" t="s">
        <v>376</v>
      </c>
      <c r="D657" s="2" t="s">
        <v>391</v>
      </c>
      <c r="E657" s="4" t="str">
        <f t="shared" si="50"/>
        <v>CHBR1A1-011-0013</v>
      </c>
      <c r="F657">
        <v>2</v>
      </c>
      <c r="G657">
        <v>1.5</v>
      </c>
      <c r="H657" t="s">
        <v>72</v>
      </c>
      <c r="I657" t="s">
        <v>75</v>
      </c>
      <c r="J657" t="s">
        <v>95</v>
      </c>
      <c r="K657" t="s">
        <v>79</v>
      </c>
      <c r="L657" t="s">
        <v>79</v>
      </c>
      <c r="M657">
        <v>3.3904153354632589</v>
      </c>
      <c r="N657" s="5">
        <v>44827</v>
      </c>
      <c r="O657" s="5">
        <v>44876</v>
      </c>
      <c r="P657">
        <v>0.7</v>
      </c>
      <c r="Q657" s="4">
        <v>146</v>
      </c>
      <c r="R657">
        <v>0.4</v>
      </c>
      <c r="S657" t="s">
        <v>70</v>
      </c>
      <c r="T657" s="6">
        <v>1</v>
      </c>
      <c r="U657" s="5">
        <v>44965</v>
      </c>
      <c r="V657" s="6">
        <v>1</v>
      </c>
      <c r="W657" t="s">
        <v>86</v>
      </c>
      <c r="X657" s="6">
        <v>89</v>
      </c>
      <c r="Y657">
        <v>6.9024300000000007</v>
      </c>
      <c r="Z657">
        <v>3.4512150000000004</v>
      </c>
      <c r="AA657" s="6">
        <v>42.024040808816601</v>
      </c>
      <c r="AB657" s="4">
        <v>41.438285714285719</v>
      </c>
      <c r="AC657" s="6">
        <v>23.795903029634434</v>
      </c>
      <c r="AD657">
        <v>0.26302835699999999</v>
      </c>
      <c r="AE657">
        <v>2.3631808867741899</v>
      </c>
      <c r="AF657">
        <v>15650</v>
      </c>
      <c r="AG657" s="4">
        <v>3200</v>
      </c>
      <c r="AH657" s="4">
        <v>53060</v>
      </c>
      <c r="AL657">
        <v>42</v>
      </c>
      <c r="AM657">
        <v>6.8930899999999999</v>
      </c>
      <c r="AN657" t="s">
        <v>77</v>
      </c>
      <c r="AO657" t="s">
        <v>96</v>
      </c>
      <c r="AP657" s="5">
        <v>44876</v>
      </c>
      <c r="AQ657" t="s">
        <v>103</v>
      </c>
      <c r="AR657" s="5">
        <v>44964</v>
      </c>
      <c r="AS657">
        <v>227.33478789353893</v>
      </c>
      <c r="AT657" s="6"/>
      <c r="AU657">
        <v>40.565424060801774</v>
      </c>
      <c r="AV657">
        <v>69.463084739722106</v>
      </c>
      <c r="AW657">
        <v>66.710393296273935</v>
      </c>
      <c r="AX657">
        <v>176.7389020967978</v>
      </c>
      <c r="AY657">
        <v>50.661710441105527</v>
      </c>
      <c r="AZ657">
        <v>46.082118905950509</v>
      </c>
      <c r="BA657">
        <v>32.277679020287053</v>
      </c>
      <c r="BB657">
        <v>90.080486147632072</v>
      </c>
      <c r="BC657">
        <v>35.127918718480309</v>
      </c>
      <c r="BD657">
        <v>254.22991323345548</v>
      </c>
      <c r="BE657">
        <v>-203.63402743671435</v>
      </c>
      <c r="BF657">
        <v>47.721838540919642</v>
      </c>
      <c r="BH657">
        <v>47.721838540919642</v>
      </c>
      <c r="BI657">
        <v>478.69065387117297</v>
      </c>
      <c r="BJ657" s="6">
        <v>180</v>
      </c>
      <c r="BK657">
        <v>-251.35586597763401</v>
      </c>
      <c r="BL657" s="4">
        <v>-1734.9662700000006</v>
      </c>
      <c r="BM657" t="s">
        <v>392</v>
      </c>
      <c r="BN657" t="s">
        <v>65</v>
      </c>
      <c r="BO657">
        <v>2</v>
      </c>
      <c r="BP657">
        <v>2023</v>
      </c>
      <c r="BQ657" t="str">
        <f t="shared" si="51"/>
        <v>CHBR12</v>
      </c>
      <c r="BR657">
        <f t="shared" si="52"/>
        <v>-2061.6913300000006</v>
      </c>
      <c r="BS657">
        <f t="shared" si="53"/>
        <v>1569.16246</v>
      </c>
      <c r="BT657" s="6">
        <f t="shared" si="54"/>
        <v>-298.69065387117297</v>
      </c>
    </row>
    <row r="658" spans="1:72">
      <c r="A658" s="3" t="s">
        <v>113</v>
      </c>
      <c r="B658" s="3" t="s">
        <v>374</v>
      </c>
      <c r="C658" s="3" t="s">
        <v>376</v>
      </c>
      <c r="D658" s="2" t="s">
        <v>398</v>
      </c>
      <c r="E658" s="4" t="str">
        <f t="shared" si="50"/>
        <v>CHBR1A1-015-0018</v>
      </c>
      <c r="F658">
        <v>2</v>
      </c>
      <c r="G658">
        <v>2</v>
      </c>
      <c r="H658" t="s">
        <v>72</v>
      </c>
      <c r="I658" t="s">
        <v>75</v>
      </c>
      <c r="J658" t="s">
        <v>95</v>
      </c>
      <c r="K658" t="s">
        <v>79</v>
      </c>
      <c r="L658" t="s">
        <v>79</v>
      </c>
      <c r="N658" s="5">
        <v>44980</v>
      </c>
      <c r="O658" s="5">
        <v>45008</v>
      </c>
      <c r="P658">
        <v>0.6</v>
      </c>
      <c r="Q658" s="4">
        <v>94</v>
      </c>
      <c r="R658">
        <v>0.5</v>
      </c>
      <c r="S658" t="s">
        <v>70</v>
      </c>
      <c r="T658" s="6">
        <v>5</v>
      </c>
      <c r="U658" s="5">
        <v>45122</v>
      </c>
      <c r="V658" s="6">
        <v>1</v>
      </c>
      <c r="W658" t="s">
        <v>86</v>
      </c>
      <c r="X658" s="6">
        <v>114</v>
      </c>
      <c r="Y658">
        <v>17.166520000000002</v>
      </c>
      <c r="Z658">
        <v>8.583260000000001</v>
      </c>
      <c r="AA658" s="6">
        <v>39.370996567737663</v>
      </c>
      <c r="AB658" s="4">
        <v>112.64383333333335</v>
      </c>
      <c r="AC658" s="6">
        <v>25.399407868162633</v>
      </c>
      <c r="AD658">
        <v>0.26143009</v>
      </c>
      <c r="AE658">
        <v>1.7401337086725654</v>
      </c>
      <c r="AF658">
        <v>29350</v>
      </c>
      <c r="AG658" s="4">
        <v>8200</v>
      </c>
      <c r="AH658" s="4"/>
      <c r="AL658">
        <v>33</v>
      </c>
      <c r="AM658">
        <v>5.7480600000000006</v>
      </c>
      <c r="AN658" t="s">
        <v>81</v>
      </c>
      <c r="AO658" t="s">
        <v>74</v>
      </c>
      <c r="AP658" s="5">
        <v>45009</v>
      </c>
      <c r="AQ658" t="s">
        <v>176</v>
      </c>
      <c r="AR658" s="5">
        <v>45120</v>
      </c>
      <c r="AS658">
        <v>168.58028068589323</v>
      </c>
      <c r="AT658" s="6"/>
      <c r="AU658">
        <v>15.728289717426712</v>
      </c>
      <c r="AV658">
        <v>53.686206639435362</v>
      </c>
      <c r="AW658">
        <v>23.893250350100089</v>
      </c>
      <c r="AX658">
        <v>93.307746706962163</v>
      </c>
      <c r="AY658">
        <v>14.179130074121019</v>
      </c>
      <c r="AZ658">
        <v>27.546991469441675</v>
      </c>
      <c r="BA658">
        <v>6.5532408432227376</v>
      </c>
      <c r="BB658">
        <v>3.3232373247460751</v>
      </c>
      <c r="BC658">
        <v>12.141169555623387</v>
      </c>
      <c r="BD658">
        <v>63.743769267154896</v>
      </c>
      <c r="BE658">
        <v>11.528764711776169</v>
      </c>
      <c r="BF658">
        <v>12.177612585427916</v>
      </c>
      <c r="BH658">
        <v>12.177612585427916</v>
      </c>
      <c r="BI658">
        <v>169.22912855954496</v>
      </c>
      <c r="BJ658" s="6">
        <v>183</v>
      </c>
      <c r="BK658">
        <v>-0.64884787365173391</v>
      </c>
      <c r="BL658" s="4">
        <v>-11.138459999999963</v>
      </c>
      <c r="BM658" t="s">
        <v>399</v>
      </c>
      <c r="BN658" t="s">
        <v>65</v>
      </c>
      <c r="BO658">
        <v>7</v>
      </c>
      <c r="BP658">
        <v>2023</v>
      </c>
      <c r="BQ658" t="str">
        <f t="shared" si="51"/>
        <v>CHBR17</v>
      </c>
      <c r="BR658">
        <f t="shared" si="52"/>
        <v>236.39794000000026</v>
      </c>
      <c r="BS658">
        <f t="shared" si="53"/>
        <v>2893.93676</v>
      </c>
      <c r="BT658" s="6">
        <f t="shared" si="54"/>
        <v>13.770871440455039</v>
      </c>
    </row>
    <row r="659" spans="1:72">
      <c r="A659" s="3" t="s">
        <v>113</v>
      </c>
      <c r="B659" s="3" t="s">
        <v>374</v>
      </c>
      <c r="C659" s="3" t="s">
        <v>376</v>
      </c>
      <c r="D659" s="2" t="s">
        <v>402</v>
      </c>
      <c r="E659" s="4" t="str">
        <f t="shared" si="50"/>
        <v>CHBR1A1-018-0012</v>
      </c>
      <c r="F659">
        <v>2</v>
      </c>
      <c r="G659">
        <v>1.5</v>
      </c>
      <c r="H659" t="s">
        <v>72</v>
      </c>
      <c r="I659" t="s">
        <v>75</v>
      </c>
      <c r="J659" t="s">
        <v>95</v>
      </c>
      <c r="K659" t="s">
        <v>79</v>
      </c>
      <c r="L659" t="s">
        <v>79</v>
      </c>
      <c r="M659">
        <v>3.2173913043478262</v>
      </c>
      <c r="N659" s="5">
        <v>44874</v>
      </c>
      <c r="O659" s="5">
        <v>44894</v>
      </c>
      <c r="P659">
        <v>0.8</v>
      </c>
      <c r="Q659" s="4">
        <v>167</v>
      </c>
      <c r="R659">
        <v>0.17</v>
      </c>
      <c r="S659" t="s">
        <v>70</v>
      </c>
      <c r="T659" s="6">
        <v>2</v>
      </c>
      <c r="U659" s="5">
        <v>45002</v>
      </c>
      <c r="V659" s="6">
        <v>1</v>
      </c>
      <c r="W659" t="s">
        <v>86</v>
      </c>
      <c r="X659" s="6">
        <v>108</v>
      </c>
      <c r="Y659">
        <v>14.75417</v>
      </c>
      <c r="Z659">
        <v>7.3770850000000001</v>
      </c>
      <c r="AA659" s="6">
        <v>38.651242326745589</v>
      </c>
      <c r="AB659" s="4">
        <v>71.283375000000007</v>
      </c>
      <c r="AC659" s="6">
        <v>25.87238959995932</v>
      </c>
      <c r="AD659">
        <v>0.24867617600000003</v>
      </c>
      <c r="AE659">
        <v>1.7307275280764367</v>
      </c>
      <c r="AF659">
        <v>25300</v>
      </c>
      <c r="AG659" s="4">
        <v>0</v>
      </c>
      <c r="AH659" s="4">
        <v>81400</v>
      </c>
      <c r="AL659">
        <v>37</v>
      </c>
      <c r="AM659">
        <v>12.02557</v>
      </c>
      <c r="AN659" t="s">
        <v>111</v>
      </c>
      <c r="AO659" t="s">
        <v>176</v>
      </c>
      <c r="AP659" s="5">
        <v>44895</v>
      </c>
      <c r="AQ659" t="s">
        <v>134</v>
      </c>
      <c r="AR659" s="5">
        <v>45000</v>
      </c>
      <c r="AS659">
        <v>232.4780451899361</v>
      </c>
      <c r="AT659" s="6"/>
      <c r="AU659">
        <v>21.688783577795295</v>
      </c>
      <c r="AV659">
        <v>55.239730869306769</v>
      </c>
      <c r="AW659">
        <v>29.027092679561093</v>
      </c>
      <c r="AX659">
        <v>105.95560712666315</v>
      </c>
      <c r="AY659">
        <v>15.278865568174966</v>
      </c>
      <c r="AZ659">
        <v>23.257362494806554</v>
      </c>
      <c r="BA659">
        <v>7.7146596521525774</v>
      </c>
      <c r="BB659">
        <v>16.157928910945177</v>
      </c>
      <c r="BC659">
        <v>13.11406470170806</v>
      </c>
      <c r="BD659">
        <v>75.522881327787346</v>
      </c>
      <c r="BE659">
        <v>50.999556735485598</v>
      </c>
      <c r="BF659">
        <v>13.376457638755687</v>
      </c>
      <c r="BH659">
        <v>13.376457638755687</v>
      </c>
      <c r="BI659">
        <v>194.85494609320617</v>
      </c>
      <c r="BJ659" s="6">
        <v>184</v>
      </c>
      <c r="BK659">
        <v>37.623099096729945</v>
      </c>
      <c r="BL659" s="4">
        <v>555.09760000000006</v>
      </c>
      <c r="BM659" t="s">
        <v>403</v>
      </c>
      <c r="BN659" t="s">
        <v>65</v>
      </c>
      <c r="BO659">
        <v>3</v>
      </c>
      <c r="BP659">
        <v>2023</v>
      </c>
      <c r="BQ659" t="str">
        <f t="shared" si="51"/>
        <v>CHBR13</v>
      </c>
      <c r="BR659">
        <f t="shared" si="52"/>
        <v>-160.15571999999963</v>
      </c>
      <c r="BS659">
        <f t="shared" si="53"/>
        <v>3430.0205999999994</v>
      </c>
      <c r="BT659" s="6">
        <f t="shared" si="54"/>
        <v>-10.854946093206166</v>
      </c>
    </row>
    <row r="660" spans="1:72">
      <c r="A660" s="3" t="s">
        <v>113</v>
      </c>
      <c r="B660" s="3" t="s">
        <v>374</v>
      </c>
      <c r="C660" s="3" t="s">
        <v>376</v>
      </c>
      <c r="D660" s="2" t="s">
        <v>377</v>
      </c>
      <c r="E660" s="4" t="str">
        <f t="shared" si="50"/>
        <v>CHBR1A1-009-0034</v>
      </c>
      <c r="F660">
        <v>2</v>
      </c>
      <c r="G660">
        <v>2</v>
      </c>
      <c r="H660" t="s">
        <v>72</v>
      </c>
      <c r="I660" t="s">
        <v>75</v>
      </c>
      <c r="J660" t="s">
        <v>95</v>
      </c>
      <c r="K660" t="s">
        <v>79</v>
      </c>
      <c r="N660" s="5">
        <v>45055</v>
      </c>
      <c r="O660" s="5">
        <v>45084</v>
      </c>
      <c r="P660">
        <v>0.6</v>
      </c>
      <c r="Q660" s="4">
        <v>94</v>
      </c>
      <c r="R660">
        <v>0.65</v>
      </c>
      <c r="S660" t="s">
        <v>70</v>
      </c>
      <c r="T660" s="6">
        <v>1</v>
      </c>
      <c r="U660" s="5">
        <v>45120</v>
      </c>
      <c r="V660" s="6">
        <v>2</v>
      </c>
      <c r="W660" t="s">
        <v>71</v>
      </c>
      <c r="X660" s="6">
        <v>36</v>
      </c>
      <c r="Y660">
        <v>5.9600400000000002</v>
      </c>
      <c r="Z660">
        <v>2.9800200000000001</v>
      </c>
      <c r="AA660" s="6">
        <v>112.00545633921919</v>
      </c>
      <c r="AB660" s="4">
        <v>111.2595</v>
      </c>
      <c r="AC660" s="6">
        <v>8.9281364737393218</v>
      </c>
      <c r="AD660">
        <v>0.229960317</v>
      </c>
      <c r="AE660">
        <v>1.1041213348557641</v>
      </c>
      <c r="AF660">
        <v>6150</v>
      </c>
      <c r="AG660" s="4"/>
      <c r="AH660" s="4"/>
      <c r="AI660" t="s">
        <v>73</v>
      </c>
      <c r="AJ660" t="s">
        <v>73</v>
      </c>
      <c r="AK660" t="s">
        <v>123</v>
      </c>
      <c r="AL660">
        <v>112</v>
      </c>
      <c r="AM660">
        <v>5.9537599999999999</v>
      </c>
      <c r="AN660" t="s">
        <v>73</v>
      </c>
      <c r="AO660" t="s">
        <v>198</v>
      </c>
      <c r="AP660" s="5">
        <v>45084</v>
      </c>
      <c r="AQ660" t="s">
        <v>176</v>
      </c>
      <c r="AR660" s="5">
        <v>45119</v>
      </c>
      <c r="AS660">
        <v>100.80242078912221</v>
      </c>
      <c r="AT660" s="6"/>
      <c r="AU660">
        <v>50.335232649445295</v>
      </c>
      <c r="AV660">
        <v>30.686352776155868</v>
      </c>
      <c r="AW660">
        <v>32.361294555070096</v>
      </c>
      <c r="AX660">
        <v>113.38287998067125</v>
      </c>
      <c r="AY660">
        <v>21.981360863349909</v>
      </c>
      <c r="AZ660">
        <v>39.717424715270361</v>
      </c>
      <c r="BA660">
        <v>11.139920201877841</v>
      </c>
      <c r="BB660">
        <v>4.1393228904503996</v>
      </c>
      <c r="BC660">
        <v>16.642037637331292</v>
      </c>
      <c r="BD660">
        <v>93.620066308279803</v>
      </c>
      <c r="BE660">
        <v>-106.20052549982884</v>
      </c>
      <c r="BF660">
        <v>18.457567398876517</v>
      </c>
      <c r="BH660">
        <v>18.457567398876517</v>
      </c>
      <c r="BI660">
        <v>225.46051368782759</v>
      </c>
      <c r="BJ660" s="6">
        <v>150</v>
      </c>
      <c r="BK660">
        <v>-124.65809289870538</v>
      </c>
      <c r="BL660" s="4">
        <v>-742.96722</v>
      </c>
      <c r="BM660" t="s">
        <v>378</v>
      </c>
      <c r="BN660" t="s">
        <v>65</v>
      </c>
      <c r="BO660">
        <v>7</v>
      </c>
      <c r="BP660">
        <v>2023</v>
      </c>
      <c r="BQ660" t="str">
        <f t="shared" si="51"/>
        <v>CHBR17</v>
      </c>
      <c r="BR660">
        <f t="shared" si="52"/>
        <v>-449.74767999999995</v>
      </c>
      <c r="BS660">
        <f t="shared" si="53"/>
        <v>600.78645999999992</v>
      </c>
      <c r="BT660" s="6">
        <f t="shared" si="54"/>
        <v>-75.460513687827586</v>
      </c>
    </row>
    <row r="661" spans="1:72">
      <c r="A661" s="3" t="s">
        <v>113</v>
      </c>
      <c r="B661" s="3" t="s">
        <v>374</v>
      </c>
      <c r="C661" s="3" t="s">
        <v>376</v>
      </c>
      <c r="D661" s="2" t="s">
        <v>389</v>
      </c>
      <c r="E661" s="4" t="str">
        <f t="shared" si="50"/>
        <v>CHBR1A1-019-0004</v>
      </c>
      <c r="F661">
        <v>2</v>
      </c>
      <c r="G661">
        <v>1.5</v>
      </c>
      <c r="H661" t="s">
        <v>72</v>
      </c>
      <c r="I661" t="s">
        <v>75</v>
      </c>
      <c r="J661" t="s">
        <v>95</v>
      </c>
      <c r="K661" t="s">
        <v>79</v>
      </c>
      <c r="L661" t="s">
        <v>79</v>
      </c>
      <c r="M661">
        <v>3.7618469015795868</v>
      </c>
      <c r="N661" s="5">
        <v>44874</v>
      </c>
      <c r="O661" s="5">
        <v>44894</v>
      </c>
      <c r="P661">
        <v>0.8</v>
      </c>
      <c r="Q661" s="4">
        <v>167</v>
      </c>
      <c r="R661">
        <v>0.17</v>
      </c>
      <c r="S661" t="s">
        <v>70</v>
      </c>
      <c r="T661" s="6">
        <v>3</v>
      </c>
      <c r="U661" s="5">
        <v>45001</v>
      </c>
      <c r="V661" s="6">
        <v>1</v>
      </c>
      <c r="W661" t="s">
        <v>86</v>
      </c>
      <c r="X661" s="6">
        <v>107</v>
      </c>
      <c r="Y661">
        <v>12.5319</v>
      </c>
      <c r="Z661">
        <v>6.2659500000000001</v>
      </c>
      <c r="AA661" s="6">
        <v>45.263288088797388</v>
      </c>
      <c r="AB661" s="4">
        <v>70.904375000000002</v>
      </c>
      <c r="AC661" s="6">
        <v>22.092959708057506</v>
      </c>
      <c r="AD661">
        <v>0.215755271</v>
      </c>
      <c r="AE661">
        <v>1.6598283620499104</v>
      </c>
      <c r="AF661">
        <v>20575</v>
      </c>
      <c r="AG661" s="4">
        <v>0</v>
      </c>
      <c r="AH661" s="4">
        <v>77400</v>
      </c>
      <c r="AL661">
        <v>43</v>
      </c>
      <c r="AM661">
        <v>5.9610799999999999</v>
      </c>
      <c r="AN661" t="s">
        <v>111</v>
      </c>
      <c r="AO661" t="s">
        <v>176</v>
      </c>
      <c r="AP661" s="5">
        <v>44895</v>
      </c>
      <c r="AQ661" t="s">
        <v>134</v>
      </c>
      <c r="AR661" s="5">
        <v>45000</v>
      </c>
      <c r="AS661">
        <v>216.52627614328233</v>
      </c>
      <c r="AT661" s="6"/>
      <c r="AU661">
        <v>25.534835100822704</v>
      </c>
      <c r="AV661">
        <v>52.802263822724385</v>
      </c>
      <c r="AW661">
        <v>33.453047821958343</v>
      </c>
      <c r="AX661">
        <v>111.79014674550544</v>
      </c>
      <c r="AY661">
        <v>17.876537476360326</v>
      </c>
      <c r="AZ661">
        <v>27.161312330931466</v>
      </c>
      <c r="BA661">
        <v>9.0454871168777302</v>
      </c>
      <c r="BB661">
        <v>19.003004332942336</v>
      </c>
      <c r="BC661">
        <v>15.32502254247161</v>
      </c>
      <c r="BD661">
        <v>88.411363799583469</v>
      </c>
      <c r="BE661">
        <v>16.324765598193423</v>
      </c>
      <c r="BF661">
        <v>15.651068872238049</v>
      </c>
      <c r="BH661">
        <v>15.651068872238049</v>
      </c>
      <c r="BI661">
        <v>215.85257941732698</v>
      </c>
      <c r="BJ661" s="6">
        <v>175</v>
      </c>
      <c r="BK661">
        <v>0.67369672595533969</v>
      </c>
      <c r="BL661" s="4">
        <v>8.4426999999997214</v>
      </c>
      <c r="BM661" t="s">
        <v>390</v>
      </c>
      <c r="BN661" t="s">
        <v>65</v>
      </c>
      <c r="BO661">
        <v>3</v>
      </c>
      <c r="BP661">
        <v>2023</v>
      </c>
      <c r="BQ661" t="str">
        <f t="shared" si="51"/>
        <v>CHBR13</v>
      </c>
      <c r="BR661">
        <f t="shared" si="52"/>
        <v>-511.96043999999995</v>
      </c>
      <c r="BS661">
        <f t="shared" si="53"/>
        <v>2713.4856399999999</v>
      </c>
      <c r="BT661" s="6">
        <f t="shared" si="54"/>
        <v>-40.852579417326979</v>
      </c>
    </row>
    <row r="662" spans="1:72">
      <c r="A662" s="3" t="s">
        <v>113</v>
      </c>
      <c r="B662" s="3" t="s">
        <v>374</v>
      </c>
      <c r="C662" s="3" t="s">
        <v>376</v>
      </c>
      <c r="D662" s="2" t="s">
        <v>385</v>
      </c>
      <c r="E662" s="4" t="str">
        <f t="shared" si="50"/>
        <v>CHBR1A1-017-0013</v>
      </c>
      <c r="F662">
        <v>2</v>
      </c>
      <c r="G662">
        <v>1.5</v>
      </c>
      <c r="H662" t="s">
        <v>72</v>
      </c>
      <c r="I662" t="s">
        <v>75</v>
      </c>
      <c r="J662" t="s">
        <v>95</v>
      </c>
      <c r="K662" t="s">
        <v>79</v>
      </c>
      <c r="L662" t="s">
        <v>79</v>
      </c>
      <c r="M662">
        <v>3.446779661016949</v>
      </c>
      <c r="N662" s="5">
        <v>44827</v>
      </c>
      <c r="O662" s="5">
        <v>44877</v>
      </c>
      <c r="P662">
        <v>0.8</v>
      </c>
      <c r="Q662" s="4">
        <v>167</v>
      </c>
      <c r="R662">
        <v>0.3</v>
      </c>
      <c r="S662" t="s">
        <v>70</v>
      </c>
      <c r="T662" s="6">
        <v>1</v>
      </c>
      <c r="U662" s="5">
        <v>44975</v>
      </c>
      <c r="V662" s="6">
        <v>1</v>
      </c>
      <c r="W662" t="s">
        <v>86</v>
      </c>
      <c r="X662" s="6">
        <v>97.999999999999986</v>
      </c>
      <c r="Y662">
        <v>11.711919999999999</v>
      </c>
      <c r="Z662">
        <v>5.8559599999999996</v>
      </c>
      <c r="AA662" s="6">
        <v>46.999979508056747</v>
      </c>
      <c r="AB662" s="4">
        <v>68.807500000000005</v>
      </c>
      <c r="AC662" s="6">
        <v>21.276605021254952</v>
      </c>
      <c r="AD662">
        <v>0.21404689499999999</v>
      </c>
      <c r="AE662">
        <v>1.9286222358593854</v>
      </c>
      <c r="AF662">
        <v>22125</v>
      </c>
      <c r="AG662" s="4">
        <v>3200</v>
      </c>
      <c r="AH662" s="4">
        <v>76260</v>
      </c>
      <c r="AL662">
        <v>47</v>
      </c>
      <c r="AM662">
        <v>11.690059999999999</v>
      </c>
      <c r="AN662" t="s">
        <v>111</v>
      </c>
      <c r="AO662" t="s">
        <v>176</v>
      </c>
      <c r="AP662" s="5">
        <v>44881</v>
      </c>
      <c r="AQ662" t="s">
        <v>134</v>
      </c>
      <c r="AR662" s="5">
        <v>44974</v>
      </c>
      <c r="AS662">
        <v>211.68484928175738</v>
      </c>
      <c r="AT662" s="6"/>
      <c r="AU662">
        <v>27.322591001304655</v>
      </c>
      <c r="AV662">
        <v>58.697556848065886</v>
      </c>
      <c r="AW662">
        <v>41.713591793659795</v>
      </c>
      <c r="AX662">
        <v>127.73373964303033</v>
      </c>
      <c r="AY662">
        <v>31.11191247891038</v>
      </c>
      <c r="AZ662">
        <v>29.625703556718278</v>
      </c>
      <c r="BA662">
        <v>19.581795299148219</v>
      </c>
      <c r="BB662">
        <v>53.25601950832997</v>
      </c>
      <c r="BC662">
        <v>22.188075055157483</v>
      </c>
      <c r="BD662">
        <v>155.76350589826433</v>
      </c>
      <c r="BE662">
        <v>-71.81239625953728</v>
      </c>
      <c r="BF662">
        <v>29.268902109987092</v>
      </c>
      <c r="BH662">
        <v>29.268902109987092</v>
      </c>
      <c r="BI662">
        <v>312.76614765128176</v>
      </c>
      <c r="BJ662" s="6">
        <v>172</v>
      </c>
      <c r="BK662">
        <v>-101.08129836952435</v>
      </c>
      <c r="BL662" s="4">
        <v>-1183.8560799999996</v>
      </c>
      <c r="BM662" t="s">
        <v>386</v>
      </c>
      <c r="BN662" t="s">
        <v>65</v>
      </c>
      <c r="BO662">
        <v>2</v>
      </c>
      <c r="BP662">
        <v>2023</v>
      </c>
      <c r="BQ662" t="str">
        <f t="shared" si="51"/>
        <v>CHBR12</v>
      </c>
      <c r="BR662">
        <f t="shared" si="52"/>
        <v>-1648.6418599999997</v>
      </c>
      <c r="BS662">
        <f t="shared" si="53"/>
        <v>2479.2360199999998</v>
      </c>
      <c r="BT662" s="6">
        <f t="shared" si="54"/>
        <v>-140.76614765128176</v>
      </c>
    </row>
    <row r="663" spans="1:72">
      <c r="A663" s="3" t="s">
        <v>113</v>
      </c>
      <c r="B663" s="3" t="s">
        <v>374</v>
      </c>
      <c r="C663" s="3" t="s">
        <v>376</v>
      </c>
      <c r="D663" s="2" t="s">
        <v>381</v>
      </c>
      <c r="E663" s="4" t="str">
        <f t="shared" si="50"/>
        <v>CHBR1A1-015-0017</v>
      </c>
      <c r="F663">
        <v>2</v>
      </c>
      <c r="G663">
        <v>1.5</v>
      </c>
      <c r="H663" t="s">
        <v>72</v>
      </c>
      <c r="I663" t="s">
        <v>75</v>
      </c>
      <c r="J663" t="s">
        <v>95</v>
      </c>
      <c r="K663" t="s">
        <v>79</v>
      </c>
      <c r="L663" t="s">
        <v>79</v>
      </c>
      <c r="M663">
        <v>3.6532019704433498</v>
      </c>
      <c r="N663" s="5">
        <v>44827</v>
      </c>
      <c r="O663" s="5">
        <v>44878</v>
      </c>
      <c r="P663">
        <v>0.8</v>
      </c>
      <c r="Q663" s="4">
        <v>167</v>
      </c>
      <c r="R663">
        <v>0.2</v>
      </c>
      <c r="S663" t="s">
        <v>70</v>
      </c>
      <c r="T663" s="6">
        <v>1</v>
      </c>
      <c r="U663" s="5">
        <v>44979</v>
      </c>
      <c r="V663" s="6">
        <v>1</v>
      </c>
      <c r="W663" t="s">
        <v>86</v>
      </c>
      <c r="X663" s="6">
        <v>101</v>
      </c>
      <c r="Y663">
        <v>8.5692599999999999</v>
      </c>
      <c r="Z663">
        <v>4.2846299999999999</v>
      </c>
      <c r="AA663" s="6">
        <v>52.003206811323267</v>
      </c>
      <c r="AB663" s="4">
        <v>55.703625000000002</v>
      </c>
      <c r="AC663" s="6">
        <v>19.229583352968501</v>
      </c>
      <c r="AD663">
        <v>0.18842345799999999</v>
      </c>
      <c r="AE663">
        <v>2.4140055129702258</v>
      </c>
      <c r="AF663">
        <v>20300</v>
      </c>
      <c r="AG663" s="4">
        <v>3200</v>
      </c>
      <c r="AH663" s="4">
        <v>74160</v>
      </c>
      <c r="AL663">
        <v>52</v>
      </c>
      <c r="AM663">
        <v>8.5583600000000004</v>
      </c>
      <c r="AN663" t="s">
        <v>111</v>
      </c>
      <c r="AO663" t="s">
        <v>176</v>
      </c>
      <c r="AP663" s="5">
        <v>44881</v>
      </c>
      <c r="AQ663" t="s">
        <v>134</v>
      </c>
      <c r="AR663" s="5">
        <v>44977</v>
      </c>
      <c r="AS663">
        <v>195.89740304296987</v>
      </c>
      <c r="AT663" s="6"/>
      <c r="AU663">
        <v>37.342781056940737</v>
      </c>
      <c r="AV663">
        <v>73.851233362040588</v>
      </c>
      <c r="AW663">
        <v>58.147346445317325</v>
      </c>
      <c r="AX663">
        <v>169.34136086429865</v>
      </c>
      <c r="AY663">
        <v>43.207553511038292</v>
      </c>
      <c r="AZ663">
        <v>41.839315180073889</v>
      </c>
      <c r="BA663">
        <v>27.068714218030497</v>
      </c>
      <c r="BB663">
        <v>72.878245029325754</v>
      </c>
      <c r="BC663">
        <v>31.137336246070255</v>
      </c>
      <c r="BD663">
        <v>216.13116418453868</v>
      </c>
      <c r="BE663">
        <v>-189.57512200586746</v>
      </c>
      <c r="BF663">
        <v>40.628292291283024</v>
      </c>
      <c r="BH663">
        <v>40.628292291283024</v>
      </c>
      <c r="BI663">
        <v>426.10081734012039</v>
      </c>
      <c r="BJ663" s="6">
        <v>166</v>
      </c>
      <c r="BK663">
        <v>-230.20341429715049</v>
      </c>
      <c r="BL663" s="4">
        <v>-1972.67291</v>
      </c>
      <c r="BM663" t="s">
        <v>382</v>
      </c>
      <c r="BN663" t="s">
        <v>65</v>
      </c>
      <c r="BO663">
        <v>2</v>
      </c>
      <c r="BP663">
        <v>2023</v>
      </c>
      <c r="BQ663" t="str">
        <f t="shared" si="51"/>
        <v>CHBR12</v>
      </c>
      <c r="BR663">
        <f t="shared" si="52"/>
        <v>-2228.8715299999999</v>
      </c>
      <c r="BS663">
        <f t="shared" si="53"/>
        <v>1678.69578</v>
      </c>
      <c r="BT663" s="6">
        <f t="shared" si="54"/>
        <v>-260.10081734012039</v>
      </c>
    </row>
    <row r="664" spans="1:72">
      <c r="A664" s="3" t="s">
        <v>113</v>
      </c>
      <c r="B664" s="3" t="s">
        <v>209</v>
      </c>
      <c r="C664" s="3" t="s">
        <v>211</v>
      </c>
      <c r="D664" s="2" t="s">
        <v>222</v>
      </c>
      <c r="E664" s="4" t="str">
        <f t="shared" si="50"/>
        <v>Tamai2D1-068-0004</v>
      </c>
      <c r="F664">
        <v>2.59</v>
      </c>
      <c r="G664">
        <v>2</v>
      </c>
      <c r="H664" t="s">
        <v>72</v>
      </c>
      <c r="I664" t="s">
        <v>75</v>
      </c>
      <c r="J664" t="s">
        <v>95</v>
      </c>
      <c r="K664" t="s">
        <v>79</v>
      </c>
      <c r="L664" t="s">
        <v>79</v>
      </c>
      <c r="M664">
        <v>3.221634332745444</v>
      </c>
      <c r="N664" s="5">
        <v>45002</v>
      </c>
      <c r="O664" s="5">
        <v>45029</v>
      </c>
      <c r="P664">
        <v>1.3</v>
      </c>
      <c r="Q664" s="4">
        <v>157</v>
      </c>
      <c r="R664">
        <v>0.4</v>
      </c>
      <c r="S664" t="s">
        <v>70</v>
      </c>
      <c r="T664" s="6">
        <v>5</v>
      </c>
      <c r="U664" s="5">
        <v>45125</v>
      </c>
      <c r="V664" s="6">
        <v>1</v>
      </c>
      <c r="W664" t="s">
        <v>86</v>
      </c>
      <c r="X664" s="6">
        <v>96</v>
      </c>
      <c r="Y664">
        <v>24.885249999999999</v>
      </c>
      <c r="Z664">
        <v>9.6082046332046342</v>
      </c>
      <c r="AA664" s="6">
        <v>39.041641132799548</v>
      </c>
      <c r="AB664" s="4">
        <v>74.735461538461536</v>
      </c>
      <c r="AC664" s="6">
        <v>25.613677370746665</v>
      </c>
      <c r="AD664">
        <v>0.367857143</v>
      </c>
      <c r="AE664">
        <v>1.7452963186867982</v>
      </c>
      <c r="AF664">
        <v>42525</v>
      </c>
      <c r="AG664" s="4">
        <v>0</v>
      </c>
      <c r="AH664" s="4">
        <v>137000</v>
      </c>
      <c r="AL664">
        <v>28</v>
      </c>
      <c r="AM664">
        <v>5.37399</v>
      </c>
      <c r="AN664" t="s">
        <v>81</v>
      </c>
      <c r="AO664" t="s">
        <v>134</v>
      </c>
      <c r="AP664" s="5">
        <v>45030</v>
      </c>
      <c r="AQ664" t="s">
        <v>90</v>
      </c>
      <c r="AR664" s="5">
        <v>45122</v>
      </c>
      <c r="AS664">
        <v>176.20943530806403</v>
      </c>
      <c r="AT664" s="6"/>
      <c r="AU664">
        <v>20.895912237168602</v>
      </c>
      <c r="AV664">
        <v>53.331688449985421</v>
      </c>
      <c r="AW664">
        <v>26.724665012406941</v>
      </c>
      <c r="AX664">
        <v>100.95226569956097</v>
      </c>
      <c r="AY664">
        <v>19.161455078811745</v>
      </c>
      <c r="AZ664">
        <v>18.625015621703621</v>
      </c>
      <c r="BA664">
        <v>7.6546195035211619</v>
      </c>
      <c r="BB664">
        <v>18.699407078490268</v>
      </c>
      <c r="BC664">
        <v>10.021670668367808</v>
      </c>
      <c r="BD664">
        <v>74.162167950894613</v>
      </c>
      <c r="BE664">
        <v>1.0950016576084494</v>
      </c>
      <c r="BF664">
        <v>2.8615702072512841</v>
      </c>
      <c r="BG664">
        <v>3.859407480334736</v>
      </c>
      <c r="BH664">
        <v>6.7209776875860205</v>
      </c>
      <c r="BI664">
        <v>181.83541133804161</v>
      </c>
      <c r="BJ664" s="6">
        <v>183</v>
      </c>
      <c r="BK664">
        <v>-5.6259760299775721</v>
      </c>
      <c r="BL664" s="4">
        <v>-140.00381999999937</v>
      </c>
      <c r="BM664" t="s">
        <v>223</v>
      </c>
      <c r="BN664" t="s">
        <v>65</v>
      </c>
      <c r="BO664">
        <v>7</v>
      </c>
      <c r="BP664">
        <v>2023</v>
      </c>
      <c r="BQ664" t="str">
        <f t="shared" si="51"/>
        <v>Tamai27</v>
      </c>
      <c r="BR664">
        <f t="shared" si="52"/>
        <v>28.981080000000038</v>
      </c>
      <c r="BS664">
        <f t="shared" si="53"/>
        <v>4385.0158500000007</v>
      </c>
      <c r="BT664" s="6">
        <f t="shared" si="54"/>
        <v>1.1645886619583905</v>
      </c>
    </row>
    <row r="665" spans="1:72">
      <c r="A665" s="3" t="s">
        <v>113</v>
      </c>
      <c r="B665" s="3" t="s">
        <v>209</v>
      </c>
      <c r="C665" s="3" t="s">
        <v>211</v>
      </c>
      <c r="D665" s="2" t="s">
        <v>224</v>
      </c>
      <c r="E665" s="4" t="str">
        <f t="shared" si="50"/>
        <v>Tamai2D1-073-0009</v>
      </c>
      <c r="F665">
        <v>2.4300000000000002</v>
      </c>
      <c r="G665">
        <v>2</v>
      </c>
      <c r="H665" t="s">
        <v>72</v>
      </c>
      <c r="I665" t="s">
        <v>75</v>
      </c>
      <c r="J665" t="s">
        <v>95</v>
      </c>
      <c r="K665" t="s">
        <v>79</v>
      </c>
      <c r="L665" t="s">
        <v>79</v>
      </c>
      <c r="M665">
        <v>2.7276439363005309</v>
      </c>
      <c r="N665" s="5">
        <v>44927</v>
      </c>
      <c r="O665" s="5">
        <v>44943</v>
      </c>
      <c r="P665">
        <v>1.3</v>
      </c>
      <c r="Q665" s="4">
        <v>167</v>
      </c>
      <c r="R665">
        <v>0.4</v>
      </c>
      <c r="S665" t="s">
        <v>70</v>
      </c>
      <c r="T665" s="6">
        <v>6</v>
      </c>
      <c r="U665" s="5">
        <v>45067</v>
      </c>
      <c r="V665" s="6">
        <v>1</v>
      </c>
      <c r="W665" t="s">
        <v>86</v>
      </c>
      <c r="X665" s="6">
        <v>124</v>
      </c>
      <c r="Y665">
        <v>33.339400000000005</v>
      </c>
      <c r="Z665">
        <v>13.719917695473253</v>
      </c>
      <c r="AA665" s="6">
        <v>37.512552715405796</v>
      </c>
      <c r="AB665" s="4">
        <v>96.203538461538457</v>
      </c>
      <c r="AC665" s="6">
        <v>26.657743278273788</v>
      </c>
      <c r="AD665">
        <v>0.34740533000000001</v>
      </c>
      <c r="AE665">
        <v>1.8655124712822293</v>
      </c>
      <c r="AF665">
        <v>61225</v>
      </c>
      <c r="AG665" s="4">
        <v>6000</v>
      </c>
      <c r="AH665" s="4">
        <v>167000</v>
      </c>
      <c r="AL665">
        <v>23</v>
      </c>
      <c r="AM665">
        <v>13.193520000000001</v>
      </c>
      <c r="AN665" t="s">
        <v>81</v>
      </c>
      <c r="AO665" t="s">
        <v>97</v>
      </c>
      <c r="AP665" s="5">
        <v>44943</v>
      </c>
      <c r="AQ665" t="s">
        <v>127</v>
      </c>
      <c r="AR665" s="5">
        <v>45066</v>
      </c>
      <c r="AS665">
        <v>238.64178179571317</v>
      </c>
      <c r="AT665" s="6"/>
      <c r="AU665">
        <v>15.597161316640369</v>
      </c>
      <c r="AV665">
        <v>59.8075958175612</v>
      </c>
      <c r="AW665">
        <v>22.286205210651662</v>
      </c>
      <c r="AX665">
        <v>97.690962344853233</v>
      </c>
      <c r="AY665">
        <v>33.334471226236822</v>
      </c>
      <c r="AZ665">
        <v>18.073285062118696</v>
      </c>
      <c r="BA665">
        <v>22.69642285104112</v>
      </c>
      <c r="BB665">
        <v>13.43767764266903</v>
      </c>
      <c r="BC665">
        <v>8.2971109258115021</v>
      </c>
      <c r="BD665">
        <v>95.838967707877188</v>
      </c>
      <c r="BE665">
        <v>45.111851742982751</v>
      </c>
      <c r="BF665">
        <v>4.3625995068897465</v>
      </c>
      <c r="BG665">
        <v>5.2501454735238191</v>
      </c>
      <c r="BH665">
        <v>9.6127449804135647</v>
      </c>
      <c r="BI665">
        <v>203.14267503314395</v>
      </c>
      <c r="BJ665" s="6">
        <v>185</v>
      </c>
      <c r="BK665">
        <v>35.499106762569234</v>
      </c>
      <c r="BL665" s="4">
        <v>1183.5189200000009</v>
      </c>
      <c r="BM665" t="s">
        <v>225</v>
      </c>
      <c r="BN665" t="s">
        <v>65</v>
      </c>
      <c r="BO665">
        <v>5</v>
      </c>
      <c r="BP665">
        <v>2023</v>
      </c>
      <c r="BQ665" t="str">
        <f t="shared" si="51"/>
        <v>Tamai25</v>
      </c>
      <c r="BR665">
        <f t="shared" si="52"/>
        <v>-604.86589999999933</v>
      </c>
      <c r="BS665">
        <f t="shared" si="53"/>
        <v>7956.1738200000009</v>
      </c>
      <c r="BT665" s="6">
        <f t="shared" si="54"/>
        <v>-18.142675033143945</v>
      </c>
    </row>
    <row r="666" spans="1:72">
      <c r="A666" s="3" t="s">
        <v>113</v>
      </c>
      <c r="B666" s="3" t="s">
        <v>209</v>
      </c>
      <c r="C666" s="3" t="s">
        <v>211</v>
      </c>
      <c r="D666" s="2" t="s">
        <v>2811</v>
      </c>
      <c r="E666" s="4" t="str">
        <f t="shared" si="50"/>
        <v>Tamai2D1-068-0005</v>
      </c>
      <c r="F666">
        <v>2.59</v>
      </c>
      <c r="G666">
        <v>1.5</v>
      </c>
      <c r="H666" t="s">
        <v>72</v>
      </c>
      <c r="I666" t="s">
        <v>75</v>
      </c>
      <c r="J666" t="s">
        <v>95</v>
      </c>
      <c r="K666" t="s">
        <v>79</v>
      </c>
      <c r="L666" t="s">
        <v>79</v>
      </c>
      <c r="M666">
        <v>4.7337057728119181</v>
      </c>
      <c r="N666" s="5">
        <v>45163</v>
      </c>
      <c r="O666" s="5">
        <v>45196</v>
      </c>
      <c r="P666">
        <v>1</v>
      </c>
      <c r="Q666" s="4">
        <v>161</v>
      </c>
      <c r="R666">
        <v>0.35</v>
      </c>
      <c r="S666" t="s">
        <v>70</v>
      </c>
      <c r="T666" s="6">
        <v>3</v>
      </c>
      <c r="U666" s="5">
        <v>45269</v>
      </c>
      <c r="V666" s="6">
        <v>1</v>
      </c>
      <c r="W666" t="s">
        <v>86</v>
      </c>
      <c r="X666" s="6">
        <v>73</v>
      </c>
      <c r="Y666">
        <v>15.045309999999999</v>
      </c>
      <c r="Z666">
        <v>5.8090000000000002</v>
      </c>
      <c r="AA666" s="6">
        <v>57.915257312743975</v>
      </c>
      <c r="AB666" s="4">
        <v>87.135300000000001</v>
      </c>
      <c r="AC666" s="6">
        <v>17.266607218888325</v>
      </c>
      <c r="AD666">
        <v>0.25864067400000001</v>
      </c>
      <c r="AE666">
        <v>1.8271135484722678</v>
      </c>
      <c r="AF666">
        <v>26850</v>
      </c>
      <c r="AG666" s="4">
        <v>6200</v>
      </c>
      <c r="AH666" s="4">
        <v>127100</v>
      </c>
      <c r="AL666">
        <v>52</v>
      </c>
      <c r="AM666">
        <v>5.5413600000000001</v>
      </c>
      <c r="AN666" t="s">
        <v>2726</v>
      </c>
      <c r="AO666" t="s">
        <v>105</v>
      </c>
      <c r="AP666" s="5">
        <v>45202</v>
      </c>
      <c r="AQ666" t="s">
        <v>94</v>
      </c>
      <c r="AR666" s="5">
        <v>45266</v>
      </c>
      <c r="AS666">
        <v>170.20958225520113</v>
      </c>
      <c r="AT666" s="6"/>
      <c r="AU666">
        <v>26.586358140842563</v>
      </c>
      <c r="AV666">
        <v>53.631829453829795</v>
      </c>
      <c r="AW666">
        <v>100.0975440187008</v>
      </c>
      <c r="AX666">
        <v>180.31573161337315</v>
      </c>
      <c r="AY666">
        <v>165.27223965474957</v>
      </c>
      <c r="AZ666">
        <v>62.601616051779587</v>
      </c>
      <c r="BA666">
        <v>28.942695763663231</v>
      </c>
      <c r="BB666">
        <v>91.93062954502102</v>
      </c>
      <c r="BC666">
        <v>36.928751883477311</v>
      </c>
      <c r="BD666">
        <v>385.67593289869075</v>
      </c>
      <c r="BE666">
        <v>-395.78208225686274</v>
      </c>
      <c r="BF666">
        <v>23.237758477558788</v>
      </c>
      <c r="BG666">
        <v>14.686166652598052</v>
      </c>
      <c r="BH666">
        <v>37.923925130156839</v>
      </c>
      <c r="BI666">
        <v>603.91558964222077</v>
      </c>
      <c r="BJ666" s="6">
        <v>163</v>
      </c>
      <c r="BK666">
        <v>-433.70600738701961</v>
      </c>
      <c r="BL666" s="4">
        <v>-6525.2413299999998</v>
      </c>
      <c r="BM666" t="s">
        <v>2812</v>
      </c>
      <c r="BN666" t="s">
        <v>65</v>
      </c>
      <c r="BO666">
        <v>12</v>
      </c>
      <c r="BP666">
        <v>2023</v>
      </c>
      <c r="BQ666" t="str">
        <f t="shared" si="51"/>
        <v>Tamai212</v>
      </c>
      <c r="BR666">
        <f t="shared" si="52"/>
        <v>-6633.71173</v>
      </c>
      <c r="BS666">
        <f t="shared" si="53"/>
        <v>2560.8559299999997</v>
      </c>
      <c r="BT666" s="6">
        <f t="shared" si="54"/>
        <v>-440.91558964222077</v>
      </c>
    </row>
    <row r="667" spans="1:72">
      <c r="A667" s="3" t="s">
        <v>113</v>
      </c>
      <c r="B667" s="3" t="s">
        <v>209</v>
      </c>
      <c r="C667" s="3" t="s">
        <v>211</v>
      </c>
      <c r="D667" s="2" t="s">
        <v>220</v>
      </c>
      <c r="E667" s="4" t="str">
        <f t="shared" si="50"/>
        <v>Tamai2D1-039-0028</v>
      </c>
      <c r="F667">
        <v>4</v>
      </c>
      <c r="G667">
        <v>1.5</v>
      </c>
      <c r="H667" t="s">
        <v>72</v>
      </c>
      <c r="I667" t="s">
        <v>75</v>
      </c>
      <c r="J667" t="s">
        <v>112</v>
      </c>
      <c r="K667" t="s">
        <v>79</v>
      </c>
      <c r="L667" t="s">
        <v>79</v>
      </c>
      <c r="M667">
        <v>3.0658250676284942</v>
      </c>
      <c r="N667" s="5">
        <v>45010</v>
      </c>
      <c r="O667" s="5">
        <v>45040</v>
      </c>
      <c r="P667">
        <v>1.3</v>
      </c>
      <c r="Q667" s="4">
        <v>135</v>
      </c>
      <c r="R667">
        <v>0.26500000000000001</v>
      </c>
      <c r="S667" t="s">
        <v>70</v>
      </c>
      <c r="T667" s="6">
        <v>2</v>
      </c>
      <c r="U667" s="5">
        <v>45106</v>
      </c>
      <c r="V667" s="6">
        <v>1</v>
      </c>
      <c r="W667" t="s">
        <v>86</v>
      </c>
      <c r="X667" s="6">
        <v>66</v>
      </c>
      <c r="Y667">
        <v>18.805040000000002</v>
      </c>
      <c r="Z667">
        <v>4.7012600000000004</v>
      </c>
      <c r="AA667" s="6">
        <v>58.007268264252559</v>
      </c>
      <c r="AB667" s="4">
        <v>83.909923076923079</v>
      </c>
      <c r="AC667" s="6">
        <v>17.239218979326733</v>
      </c>
      <c r="AD667">
        <v>0.25721786800000002</v>
      </c>
      <c r="AE667">
        <v>1.5018439230709228</v>
      </c>
      <c r="AF667">
        <v>27725</v>
      </c>
      <c r="AG667" s="4">
        <v>9500</v>
      </c>
      <c r="AH667" s="4">
        <v>85000</v>
      </c>
      <c r="AI667" t="s">
        <v>73</v>
      </c>
      <c r="AJ667" t="s">
        <v>73</v>
      </c>
      <c r="AK667" t="s">
        <v>218</v>
      </c>
      <c r="AL667">
        <v>58</v>
      </c>
      <c r="AM667">
        <v>16.209510000000002</v>
      </c>
      <c r="AN667" t="s">
        <v>73</v>
      </c>
      <c r="AO667" t="s">
        <v>103</v>
      </c>
      <c r="AP667" s="5">
        <v>45041</v>
      </c>
      <c r="AQ667" t="s">
        <v>131</v>
      </c>
      <c r="AR667" s="5">
        <v>45090</v>
      </c>
      <c r="AS667">
        <v>127.00649719436917</v>
      </c>
      <c r="AT667" s="6"/>
      <c r="AU667">
        <v>21.270893334978279</v>
      </c>
      <c r="AV667">
        <v>46.209554991640545</v>
      </c>
      <c r="AW667">
        <v>30.012611512658314</v>
      </c>
      <c r="AX667">
        <v>97.493059839277137</v>
      </c>
      <c r="AY667">
        <v>22.566235966528119</v>
      </c>
      <c r="AZ667">
        <v>26.034915639637038</v>
      </c>
      <c r="BA667">
        <v>9.292388104465612</v>
      </c>
      <c r="BB667">
        <v>28.886727707040244</v>
      </c>
      <c r="BC667">
        <v>11.783003386326218</v>
      </c>
      <c r="BD667">
        <v>98.563270803997227</v>
      </c>
      <c r="BE667">
        <v>-69.04983344890519</v>
      </c>
      <c r="BF667">
        <v>3.4633098360864953</v>
      </c>
      <c r="BG667">
        <v>4.5843188847245209</v>
      </c>
      <c r="BH667">
        <v>8.0476287208110158</v>
      </c>
      <c r="BI667">
        <v>204.10395936408534</v>
      </c>
      <c r="BJ667" s="6">
        <v>163</v>
      </c>
      <c r="BK667">
        <v>-77.097462169716167</v>
      </c>
      <c r="BL667" s="4">
        <v>-1449.8208599999994</v>
      </c>
      <c r="BM667" t="s">
        <v>221</v>
      </c>
      <c r="BN667" t="s">
        <v>65</v>
      </c>
      <c r="BO667">
        <v>6</v>
      </c>
      <c r="BP667">
        <v>2023</v>
      </c>
      <c r="BQ667" t="str">
        <f t="shared" si="51"/>
        <v>Tamai26</v>
      </c>
      <c r="BR667">
        <f t="shared" si="52"/>
        <v>-772.96159999999952</v>
      </c>
      <c r="BS667">
        <f t="shared" si="53"/>
        <v>2388.3622600000003</v>
      </c>
      <c r="BT667" s="6">
        <f t="shared" si="54"/>
        <v>-41.103959364085341</v>
      </c>
    </row>
    <row r="668" spans="1:72">
      <c r="A668" s="3" t="s">
        <v>113</v>
      </c>
      <c r="B668" s="3" t="s">
        <v>209</v>
      </c>
      <c r="C668" s="3" t="s">
        <v>211</v>
      </c>
      <c r="D668" s="2" t="s">
        <v>213</v>
      </c>
      <c r="E668" s="4" t="str">
        <f t="shared" si="50"/>
        <v>Tamai2C1-058-0011</v>
      </c>
      <c r="F668">
        <v>3.42</v>
      </c>
      <c r="G668">
        <v>1.5</v>
      </c>
      <c r="H668" t="s">
        <v>72</v>
      </c>
      <c r="I668" t="s">
        <v>75</v>
      </c>
      <c r="J668" t="s">
        <v>95</v>
      </c>
      <c r="K668" t="s">
        <v>79</v>
      </c>
      <c r="L668" t="s">
        <v>79</v>
      </c>
      <c r="M668">
        <v>2.8023280879499892</v>
      </c>
      <c r="N668" s="5">
        <v>45108</v>
      </c>
      <c r="O668" s="5">
        <v>45126</v>
      </c>
      <c r="P668">
        <v>0.6</v>
      </c>
      <c r="Q668" s="4">
        <v>73</v>
      </c>
      <c r="R668">
        <v>0.93</v>
      </c>
      <c r="S668" t="s">
        <v>70</v>
      </c>
      <c r="T668" s="6">
        <v>1</v>
      </c>
      <c r="U668" s="5">
        <v>45155</v>
      </c>
      <c r="V668" s="6">
        <v>2</v>
      </c>
      <c r="W668" t="s">
        <v>71</v>
      </c>
      <c r="X668" s="6">
        <v>29</v>
      </c>
      <c r="Y668">
        <v>4.5991999999999997</v>
      </c>
      <c r="Z668">
        <v>1.3447953216374269</v>
      </c>
      <c r="AA668" s="6">
        <v>124.00004348582362</v>
      </c>
      <c r="AB668" s="4">
        <v>95.050166666666669</v>
      </c>
      <c r="AC668" s="6">
        <v>8.064513300870944</v>
      </c>
      <c r="AD668">
        <v>0.24601779800000001</v>
      </c>
      <c r="AE668">
        <v>1.1479320396517849</v>
      </c>
      <c r="AF668">
        <v>4639</v>
      </c>
      <c r="AG668" s="4">
        <v>8000</v>
      </c>
      <c r="AH668" s="4">
        <v>13000</v>
      </c>
      <c r="AI668" t="s">
        <v>73</v>
      </c>
      <c r="AJ668" t="s">
        <v>73</v>
      </c>
      <c r="AK668" t="s">
        <v>136</v>
      </c>
      <c r="AL668">
        <v>123.99999999999999</v>
      </c>
      <c r="AM668">
        <v>4.5991999999999997</v>
      </c>
      <c r="AN668" t="s">
        <v>73</v>
      </c>
      <c r="AO668" t="s">
        <v>92</v>
      </c>
      <c r="AP668" s="5">
        <v>45129</v>
      </c>
      <c r="AQ668" t="s">
        <v>90</v>
      </c>
      <c r="AR668" s="5">
        <v>45150</v>
      </c>
      <c r="AS668">
        <v>90.616133240563585</v>
      </c>
      <c r="AT668" s="6"/>
      <c r="AU668">
        <v>71.751608975474014</v>
      </c>
      <c r="AV668">
        <v>30.351872064706903</v>
      </c>
      <c r="AW668">
        <v>79.594801269786061</v>
      </c>
      <c r="AX668">
        <v>181.69828230996697</v>
      </c>
      <c r="AY668">
        <v>25.120851452426511</v>
      </c>
      <c r="AZ668">
        <v>39.481566359366845</v>
      </c>
      <c r="BA668">
        <v>29.465539659071144</v>
      </c>
      <c r="BB668">
        <v>42.851595929726912</v>
      </c>
      <c r="BC668">
        <v>31.448480170464439</v>
      </c>
      <c r="BD668">
        <v>168.36803357105583</v>
      </c>
      <c r="BE668">
        <v>-259.45018264045922</v>
      </c>
      <c r="BF668">
        <v>30.963284919116369</v>
      </c>
      <c r="BG668">
        <v>9.5464493825013061</v>
      </c>
      <c r="BH668">
        <v>40.509734301617677</v>
      </c>
      <c r="BI668">
        <v>390.57605018264047</v>
      </c>
      <c r="BJ668" s="6">
        <v>150</v>
      </c>
      <c r="BK668">
        <v>-299.95991694207686</v>
      </c>
      <c r="BL668" s="4">
        <v>-1379.57565</v>
      </c>
      <c r="BM668" t="s">
        <v>212</v>
      </c>
      <c r="BN668" t="s">
        <v>65</v>
      </c>
      <c r="BO668">
        <v>8</v>
      </c>
      <c r="BP668">
        <v>2023</v>
      </c>
      <c r="BQ668" t="str">
        <f t="shared" si="51"/>
        <v>Tamai28</v>
      </c>
      <c r="BR668">
        <f t="shared" si="52"/>
        <v>-1106.4573700000001</v>
      </c>
      <c r="BS668">
        <f t="shared" si="53"/>
        <v>416.76172000000003</v>
      </c>
      <c r="BT668" s="6">
        <f t="shared" si="54"/>
        <v>-240.57605018264047</v>
      </c>
    </row>
    <row r="669" spans="1:72">
      <c r="A669" s="3" t="s">
        <v>113</v>
      </c>
      <c r="B669" s="3" t="s">
        <v>209</v>
      </c>
      <c r="C669" s="3" t="s">
        <v>211</v>
      </c>
      <c r="D669" s="2" t="s">
        <v>217</v>
      </c>
      <c r="E669" s="4" t="str">
        <f t="shared" si="50"/>
        <v>Tamai2D1-040-0028</v>
      </c>
      <c r="F669">
        <v>4.5199999999999996</v>
      </c>
      <c r="G669">
        <v>1.5</v>
      </c>
      <c r="H669" t="s">
        <v>72</v>
      </c>
      <c r="I669" t="s">
        <v>75</v>
      </c>
      <c r="J669" t="s">
        <v>112</v>
      </c>
      <c r="K669" t="s">
        <v>79</v>
      </c>
      <c r="L669" t="s">
        <v>79</v>
      </c>
      <c r="M669">
        <v>3.0531732418524871</v>
      </c>
      <c r="N669" s="5">
        <v>45010</v>
      </c>
      <c r="O669" s="5">
        <v>45040</v>
      </c>
      <c r="P669">
        <v>1.4</v>
      </c>
      <c r="Q669" s="4">
        <v>129</v>
      </c>
      <c r="R669">
        <v>0.36</v>
      </c>
      <c r="S669" t="s">
        <v>70</v>
      </c>
      <c r="T669" s="6">
        <v>2</v>
      </c>
      <c r="U669" s="5">
        <v>45101</v>
      </c>
      <c r="V669" s="6">
        <v>2</v>
      </c>
      <c r="W669" t="s">
        <v>71</v>
      </c>
      <c r="X669" s="6">
        <v>61.000000000000007</v>
      </c>
      <c r="Y669">
        <v>19.463380000000001</v>
      </c>
      <c r="Z669">
        <v>4.3060575221238944</v>
      </c>
      <c r="AA669" s="6">
        <v>66.758908267731499</v>
      </c>
      <c r="AB669" s="4">
        <v>92.810999999999993</v>
      </c>
      <c r="AC669" s="6">
        <v>14.979274316314108</v>
      </c>
      <c r="AD669">
        <v>0.242483855</v>
      </c>
      <c r="AE669">
        <v>1.5374975342020678</v>
      </c>
      <c r="AF669">
        <v>29150</v>
      </c>
      <c r="AG669" s="4">
        <v>10000</v>
      </c>
      <c r="AH669" s="4">
        <v>89000</v>
      </c>
      <c r="AI669" t="s">
        <v>73</v>
      </c>
      <c r="AJ669" t="s">
        <v>73</v>
      </c>
      <c r="AK669" t="s">
        <v>218</v>
      </c>
      <c r="AL669">
        <v>66</v>
      </c>
      <c r="AM669">
        <v>15.760639999999999</v>
      </c>
      <c r="AN669" t="s">
        <v>73</v>
      </c>
      <c r="AO669" t="s">
        <v>83</v>
      </c>
      <c r="AP669" s="5">
        <v>45041</v>
      </c>
      <c r="AQ669" t="s">
        <v>170</v>
      </c>
      <c r="AR669" s="5">
        <v>45090</v>
      </c>
      <c r="AS669">
        <v>129.9438483963217</v>
      </c>
      <c r="AT669" s="6"/>
      <c r="AU669">
        <v>28.771981022823379</v>
      </c>
      <c r="AV669">
        <v>46.951864475748813</v>
      </c>
      <c r="AW669">
        <v>31.370688955361302</v>
      </c>
      <c r="AX669">
        <v>107.09453445393349</v>
      </c>
      <c r="AY669">
        <v>23.347568613467956</v>
      </c>
      <c r="AZ669">
        <v>26.709006863145042</v>
      </c>
      <c r="BA669">
        <v>9.7613353898449304</v>
      </c>
      <c r="BB669">
        <v>30.407734936069687</v>
      </c>
      <c r="BC669">
        <v>12.056020588407563</v>
      </c>
      <c r="BD669">
        <v>102.28166639093519</v>
      </c>
      <c r="BE669">
        <v>-79.432352448546979</v>
      </c>
      <c r="BF669">
        <v>3.6042295839674301</v>
      </c>
      <c r="BG669">
        <v>4.7481711809562359</v>
      </c>
      <c r="BH669">
        <v>8.3524007649236669</v>
      </c>
      <c r="BI669">
        <v>217.72860160979232</v>
      </c>
      <c r="BJ669" s="6">
        <v>154</v>
      </c>
      <c r="BK669">
        <v>-87.784753213470609</v>
      </c>
      <c r="BL669" s="4">
        <v>-1708.5880099999997</v>
      </c>
      <c r="BM669" t="s">
        <v>219</v>
      </c>
      <c r="BN669" t="s">
        <v>65</v>
      </c>
      <c r="BO669">
        <v>6</v>
      </c>
      <c r="BP669">
        <v>2023</v>
      </c>
      <c r="BQ669" t="str">
        <f t="shared" si="51"/>
        <v>Tamai26</v>
      </c>
      <c r="BR669">
        <f t="shared" si="52"/>
        <v>-1240.3739899999998</v>
      </c>
      <c r="BS669">
        <f t="shared" si="53"/>
        <v>2529.1464999999998</v>
      </c>
      <c r="BT669" s="6">
        <f t="shared" si="54"/>
        <v>-63.728601609792321</v>
      </c>
    </row>
    <row r="670" spans="1:72">
      <c r="A670" s="3" t="s">
        <v>113</v>
      </c>
      <c r="B670" s="3" t="s">
        <v>209</v>
      </c>
      <c r="C670" s="3" t="s">
        <v>211</v>
      </c>
      <c r="D670" s="2" t="s">
        <v>214</v>
      </c>
      <c r="E670" s="4" t="str">
        <f t="shared" si="50"/>
        <v>Tamai2D1-073-0010</v>
      </c>
      <c r="F670">
        <v>2.4300000000000002</v>
      </c>
      <c r="G670">
        <v>1.5</v>
      </c>
      <c r="H670" t="s">
        <v>72</v>
      </c>
      <c r="I670" t="s">
        <v>75</v>
      </c>
      <c r="J670" t="s">
        <v>95</v>
      </c>
      <c r="K670" t="s">
        <v>79</v>
      </c>
      <c r="L670" t="s">
        <v>79</v>
      </c>
      <c r="M670">
        <v>0.78740157480314965</v>
      </c>
      <c r="N670" s="5">
        <v>45078</v>
      </c>
      <c r="O670" s="5">
        <v>45107</v>
      </c>
      <c r="P670">
        <v>0.7</v>
      </c>
      <c r="Q670" s="4">
        <v>120</v>
      </c>
      <c r="R670">
        <v>0.6</v>
      </c>
      <c r="S670" t="s">
        <v>70</v>
      </c>
      <c r="T670" s="6">
        <v>1</v>
      </c>
      <c r="U670" s="5">
        <v>45146</v>
      </c>
      <c r="V670" s="6">
        <v>2</v>
      </c>
      <c r="W670" t="s">
        <v>71</v>
      </c>
      <c r="X670" s="6">
        <v>39</v>
      </c>
      <c r="Y670">
        <v>5.8587299999999995</v>
      </c>
      <c r="Z670">
        <v>2.4109999999999996</v>
      </c>
      <c r="AA670" s="6">
        <v>119.00002218910926</v>
      </c>
      <c r="AB670" s="4">
        <v>99.59842857142857</v>
      </c>
      <c r="AC670" s="6">
        <v>8.4033597776212758</v>
      </c>
      <c r="AD670">
        <v>0.20008618799999997</v>
      </c>
      <c r="AE670">
        <v>1.1675519836432404</v>
      </c>
      <c r="AF670">
        <v>6350</v>
      </c>
      <c r="AG670" s="4">
        <v>6000</v>
      </c>
      <c r="AH670" s="4">
        <v>5000</v>
      </c>
      <c r="AI670" t="s">
        <v>73</v>
      </c>
      <c r="AJ670" t="s">
        <v>73</v>
      </c>
      <c r="AK670" t="s">
        <v>127</v>
      </c>
      <c r="AL670">
        <v>119.00000000000001</v>
      </c>
      <c r="AM670">
        <v>5.8587299999999995</v>
      </c>
      <c r="AN670" t="s">
        <v>73</v>
      </c>
      <c r="AO670" t="s">
        <v>215</v>
      </c>
      <c r="AP670" s="5">
        <v>45111</v>
      </c>
      <c r="AQ670" t="s">
        <v>106</v>
      </c>
      <c r="AR670" s="5">
        <v>45139</v>
      </c>
      <c r="AS670">
        <v>93.515162842459048</v>
      </c>
      <c r="AT670" s="6"/>
      <c r="AU670">
        <v>47.791927602057108</v>
      </c>
      <c r="AV670">
        <v>34.222925446299797</v>
      </c>
      <c r="AW670">
        <v>107.7875648818089</v>
      </c>
      <c r="AX670">
        <v>189.80241793016577</v>
      </c>
      <c r="AY670">
        <v>94.378180936824208</v>
      </c>
      <c r="AZ670">
        <v>55.652224970258061</v>
      </c>
      <c r="BA670">
        <v>39.122398540297986</v>
      </c>
      <c r="BB670">
        <v>64.364657528167371</v>
      </c>
      <c r="BC670">
        <v>45.167022545841853</v>
      </c>
      <c r="BD670">
        <v>298.68448452138949</v>
      </c>
      <c r="BE670">
        <v>-394.97173960909623</v>
      </c>
      <c r="BF670">
        <v>12.826455562895031</v>
      </c>
      <c r="BG670">
        <v>16.677075065756572</v>
      </c>
      <c r="BH670">
        <v>29.503530628651603</v>
      </c>
      <c r="BI670">
        <v>517.9904330802068</v>
      </c>
      <c r="BJ670" s="6">
        <v>150</v>
      </c>
      <c r="BK670">
        <v>-424.47527023774779</v>
      </c>
      <c r="BL670" s="4">
        <v>-2486.886</v>
      </c>
      <c r="BM670" t="s">
        <v>216</v>
      </c>
      <c r="BN670" t="s">
        <v>65</v>
      </c>
      <c r="BO670">
        <v>8</v>
      </c>
      <c r="BP670">
        <v>2023</v>
      </c>
      <c r="BQ670" t="str">
        <f t="shared" si="51"/>
        <v>Tamai28</v>
      </c>
      <c r="BR670">
        <f t="shared" si="52"/>
        <v>-2155.9565899999998</v>
      </c>
      <c r="BS670">
        <f t="shared" si="53"/>
        <v>547.88009000000011</v>
      </c>
      <c r="BT670" s="6">
        <f t="shared" si="54"/>
        <v>-367.9904330802068</v>
      </c>
    </row>
    <row r="671" spans="1:72">
      <c r="A671" s="3" t="s">
        <v>113</v>
      </c>
      <c r="B671" s="3" t="s">
        <v>209</v>
      </c>
      <c r="C671" s="3" t="s">
        <v>211</v>
      </c>
      <c r="D671" s="2" t="s">
        <v>2870</v>
      </c>
      <c r="E671" s="4" t="str">
        <f t="shared" si="50"/>
        <v>Tamai2D1-068-0003</v>
      </c>
      <c r="F671">
        <v>2.59</v>
      </c>
      <c r="G671">
        <v>1.5</v>
      </c>
      <c r="H671" t="s">
        <v>72</v>
      </c>
      <c r="I671" t="s">
        <v>75</v>
      </c>
      <c r="J671" t="s">
        <v>112</v>
      </c>
      <c r="K671" t="s">
        <v>79</v>
      </c>
      <c r="L671" t="s">
        <v>79</v>
      </c>
      <c r="M671">
        <v>1.5192307692307692</v>
      </c>
      <c r="N671" s="5">
        <v>44958</v>
      </c>
      <c r="O671" s="5">
        <v>44974</v>
      </c>
      <c r="P671">
        <v>0.9</v>
      </c>
      <c r="Q671" s="4">
        <v>145</v>
      </c>
      <c r="R671">
        <v>0.5</v>
      </c>
      <c r="S671" t="s">
        <v>70</v>
      </c>
      <c r="T671" s="6"/>
      <c r="U671" s="5">
        <v>45001</v>
      </c>
      <c r="V671" s="6">
        <v>3</v>
      </c>
      <c r="W671" t="s">
        <v>2831</v>
      </c>
      <c r="X671" s="6"/>
      <c r="AA671" s="6"/>
      <c r="AB671" s="4"/>
      <c r="AC671" s="6"/>
      <c r="AF671">
        <v>5200</v>
      </c>
      <c r="AG671" s="4">
        <v>0</v>
      </c>
      <c r="AH671" s="4">
        <v>7900</v>
      </c>
      <c r="AI671" t="s">
        <v>100</v>
      </c>
      <c r="AJ671" t="s">
        <v>100</v>
      </c>
      <c r="AK671" t="s">
        <v>176</v>
      </c>
      <c r="AN671" t="s">
        <v>100</v>
      </c>
      <c r="AO671" t="s">
        <v>123</v>
      </c>
      <c r="AP671" s="5">
        <v>44974</v>
      </c>
      <c r="AQ671" t="s">
        <v>127</v>
      </c>
      <c r="AR671" s="5">
        <v>44998</v>
      </c>
      <c r="AT671" s="6"/>
      <c r="BJ671" s="6"/>
      <c r="BL671" s="4">
        <v>-1919.7901899999999</v>
      </c>
      <c r="BM671" t="s">
        <v>2871</v>
      </c>
      <c r="BN671" t="s">
        <v>65</v>
      </c>
      <c r="BO671">
        <v>3</v>
      </c>
      <c r="BP671">
        <v>2023</v>
      </c>
      <c r="BQ671" t="str">
        <f t="shared" si="51"/>
        <v>Tamai23</v>
      </c>
      <c r="BR671">
        <f t="shared" si="52"/>
        <v>0</v>
      </c>
      <c r="BS671">
        <f t="shared" si="53"/>
        <v>0</v>
      </c>
      <c r="BT671" s="6">
        <f t="shared" si="54"/>
        <v>0</v>
      </c>
    </row>
    <row r="672" spans="1:72">
      <c r="A672" s="3" t="s">
        <v>113</v>
      </c>
      <c r="B672" s="3" t="s">
        <v>209</v>
      </c>
      <c r="C672" s="3" t="s">
        <v>226</v>
      </c>
      <c r="D672" s="2" t="s">
        <v>241</v>
      </c>
      <c r="E672" s="4" t="str">
        <f t="shared" si="50"/>
        <v>Tamai2A1-006-0026</v>
      </c>
      <c r="F672">
        <v>5.23</v>
      </c>
      <c r="G672">
        <v>1.5</v>
      </c>
      <c r="H672" t="s">
        <v>72</v>
      </c>
      <c r="I672" t="s">
        <v>75</v>
      </c>
      <c r="J672" t="s">
        <v>95</v>
      </c>
      <c r="K672" t="s">
        <v>79</v>
      </c>
      <c r="L672" t="s">
        <v>79</v>
      </c>
      <c r="M672">
        <v>4.8037104522113632</v>
      </c>
      <c r="N672" s="5">
        <v>44927</v>
      </c>
      <c r="O672" s="5">
        <v>44956</v>
      </c>
      <c r="P672">
        <v>1</v>
      </c>
      <c r="Q672" s="4">
        <v>80</v>
      </c>
      <c r="R672">
        <v>0.4</v>
      </c>
      <c r="S672" t="s">
        <v>70</v>
      </c>
      <c r="T672" s="6">
        <v>6</v>
      </c>
      <c r="U672" s="5">
        <v>45083</v>
      </c>
      <c r="V672" s="6">
        <v>1</v>
      </c>
      <c r="W672" t="s">
        <v>86</v>
      </c>
      <c r="X672" s="6">
        <v>126.99999999999999</v>
      </c>
      <c r="Y672">
        <v>35.666359999999997</v>
      </c>
      <c r="Z672">
        <v>6.8195717017208404</v>
      </c>
      <c r="AA672" s="6">
        <v>30.227194476812322</v>
      </c>
      <c r="AB672" s="4">
        <v>107.80940000000001</v>
      </c>
      <c r="AC672" s="6">
        <v>33.082792409567254</v>
      </c>
      <c r="AD672">
        <v>0.35476020000000003</v>
      </c>
      <c r="AE672">
        <v>1.8830125933042139</v>
      </c>
      <c r="AF672">
        <v>66407</v>
      </c>
      <c r="AG672" s="4">
        <v>12500</v>
      </c>
      <c r="AH672" s="4">
        <v>319000</v>
      </c>
      <c r="AL672">
        <v>22</v>
      </c>
      <c r="AM672">
        <v>10.80315</v>
      </c>
      <c r="AN672" t="s">
        <v>81</v>
      </c>
      <c r="AO672" t="s">
        <v>136</v>
      </c>
      <c r="AP672" s="5">
        <v>44957</v>
      </c>
      <c r="AQ672" t="s">
        <v>198</v>
      </c>
      <c r="AR672" s="5">
        <v>45076</v>
      </c>
      <c r="AS672">
        <v>240.3595659887917</v>
      </c>
      <c r="AT672" s="6"/>
      <c r="AU672">
        <v>11.215049699492743</v>
      </c>
      <c r="AV672">
        <v>60.505418831638544</v>
      </c>
      <c r="AW672">
        <v>27.030816433188019</v>
      </c>
      <c r="AX672">
        <v>98.751284964319311</v>
      </c>
      <c r="AY672">
        <v>12.996224733894907</v>
      </c>
      <c r="AZ672">
        <v>35.80084034367399</v>
      </c>
      <c r="BA672">
        <v>6.6912098683465304</v>
      </c>
      <c r="BB672">
        <v>13.258329137035572</v>
      </c>
      <c r="BC672">
        <v>9.5357989993932648</v>
      </c>
      <c r="BD672">
        <v>78.28240308234426</v>
      </c>
      <c r="BE672">
        <v>63.325877942128116</v>
      </c>
      <c r="BF672">
        <v>8.2615086036253764</v>
      </c>
      <c r="BG672">
        <v>2.9428977333263049</v>
      </c>
      <c r="BH672">
        <v>11.204406336951683</v>
      </c>
      <c r="BI672">
        <v>188.23809438361519</v>
      </c>
      <c r="BJ672" s="6">
        <v>197</v>
      </c>
      <c r="BK672">
        <v>52.121471605176495</v>
      </c>
      <c r="BL672" s="4">
        <v>1858.9831700000027</v>
      </c>
      <c r="BM672" t="s">
        <v>210</v>
      </c>
      <c r="BN672" t="s">
        <v>65</v>
      </c>
      <c r="BO672">
        <v>6</v>
      </c>
      <c r="BP672">
        <v>2023</v>
      </c>
      <c r="BQ672" t="str">
        <f t="shared" si="51"/>
        <v>Tamai26</v>
      </c>
      <c r="BR672">
        <f t="shared" si="52"/>
        <v>312.50528000000247</v>
      </c>
      <c r="BS672">
        <f t="shared" si="53"/>
        <v>8572.7508099999995</v>
      </c>
      <c r="BT672" s="6">
        <f t="shared" si="54"/>
        <v>8.7619056163848086</v>
      </c>
    </row>
    <row r="673" spans="1:72">
      <c r="A673" s="3" t="s">
        <v>113</v>
      </c>
      <c r="B673" s="3" t="s">
        <v>209</v>
      </c>
      <c r="C673" s="3" t="s">
        <v>226</v>
      </c>
      <c r="D673" s="2" t="s">
        <v>244</v>
      </c>
      <c r="E673" s="4" t="str">
        <f t="shared" si="50"/>
        <v>Tamai2E1-027-0035</v>
      </c>
      <c r="F673">
        <v>5.0999999999999996</v>
      </c>
      <c r="G673">
        <v>1.5</v>
      </c>
      <c r="H673" t="s">
        <v>72</v>
      </c>
      <c r="I673" t="s">
        <v>75</v>
      </c>
      <c r="J673" t="s">
        <v>95</v>
      </c>
      <c r="K673" t="s">
        <v>79</v>
      </c>
      <c r="L673" t="s">
        <v>79</v>
      </c>
      <c r="M673">
        <v>4.1089384898102459</v>
      </c>
      <c r="N673" s="5">
        <v>44941</v>
      </c>
      <c r="O673" s="5">
        <v>44957</v>
      </c>
      <c r="P673">
        <v>0.73499999999999999</v>
      </c>
      <c r="Q673" s="4">
        <v>60</v>
      </c>
      <c r="R673">
        <v>0.4</v>
      </c>
      <c r="S673" t="s">
        <v>70</v>
      </c>
      <c r="T673" s="6">
        <v>5</v>
      </c>
      <c r="U673" s="5">
        <v>45072</v>
      </c>
      <c r="V673" s="6">
        <v>1</v>
      </c>
      <c r="W673" t="s">
        <v>86</v>
      </c>
      <c r="X673" s="6">
        <v>114.99999999999999</v>
      </c>
      <c r="Y673">
        <v>26.30969</v>
      </c>
      <c r="Z673">
        <v>5.1587627450980396</v>
      </c>
      <c r="AA673" s="6">
        <v>27.56250643774214</v>
      </c>
      <c r="AB673" s="4">
        <v>98.661360544217686</v>
      </c>
      <c r="AC673" s="6">
        <v>36.28117066416975</v>
      </c>
      <c r="AD673">
        <v>0.33096989999999998</v>
      </c>
      <c r="AE673">
        <v>1.8616073607888164</v>
      </c>
      <c r="AF673">
        <v>48431</v>
      </c>
      <c r="AG673" s="4">
        <v>12000</v>
      </c>
      <c r="AH673" s="4">
        <v>199000</v>
      </c>
      <c r="AL673">
        <v>26</v>
      </c>
      <c r="AM673">
        <v>5.9854599999999998</v>
      </c>
      <c r="AN673" t="s">
        <v>81</v>
      </c>
      <c r="AO673" t="s">
        <v>131</v>
      </c>
      <c r="AP673" s="5">
        <v>44957</v>
      </c>
      <c r="AQ673" t="s">
        <v>157</v>
      </c>
      <c r="AR673" s="5">
        <v>45066</v>
      </c>
      <c r="AS673">
        <v>244.20933085870641</v>
      </c>
      <c r="AT673" s="6"/>
      <c r="AU673">
        <v>11.174590046480974</v>
      </c>
      <c r="AV673">
        <v>59.922711366040446</v>
      </c>
      <c r="AW673">
        <v>30.994118516789836</v>
      </c>
      <c r="AX673">
        <v>102.09141992931127</v>
      </c>
      <c r="AY673">
        <v>11.505161026222657</v>
      </c>
      <c r="AZ673">
        <v>36.098712679624889</v>
      </c>
      <c r="BA673">
        <v>7.2902519946073099</v>
      </c>
      <c r="BB673">
        <v>9.5788741714554604</v>
      </c>
      <c r="BC673">
        <v>10.750058248500839</v>
      </c>
      <c r="BD673">
        <v>75.223058120411153</v>
      </c>
      <c r="BE673">
        <v>66.89485280898397</v>
      </c>
      <c r="BF673">
        <v>5.8187048194030417</v>
      </c>
      <c r="BG673">
        <v>3.7649854483272138</v>
      </c>
      <c r="BH673">
        <v>9.5836902677302547</v>
      </c>
      <c r="BI673">
        <v>186.89816831745259</v>
      </c>
      <c r="BJ673" s="6">
        <v>207</v>
      </c>
      <c r="BK673">
        <v>57.311162541253815</v>
      </c>
      <c r="BL673" s="4">
        <v>1507.8389199999999</v>
      </c>
      <c r="BM673" t="s">
        <v>245</v>
      </c>
      <c r="BN673" t="s">
        <v>65</v>
      </c>
      <c r="BO673">
        <v>5</v>
      </c>
      <c r="BP673">
        <v>2023</v>
      </c>
      <c r="BQ673" t="str">
        <f t="shared" si="51"/>
        <v>Tamai25</v>
      </c>
      <c r="BR673">
        <f t="shared" si="52"/>
        <v>528.87296000000083</v>
      </c>
      <c r="BS673">
        <f t="shared" si="53"/>
        <v>6425.0717899999991</v>
      </c>
      <c r="BT673" s="6">
        <f t="shared" si="54"/>
        <v>20.101831682547413</v>
      </c>
    </row>
    <row r="674" spans="1:72">
      <c r="A674" s="3" t="s">
        <v>113</v>
      </c>
      <c r="B674" s="3" t="s">
        <v>209</v>
      </c>
      <c r="C674" s="3" t="s">
        <v>226</v>
      </c>
      <c r="D674" s="2" t="s">
        <v>242</v>
      </c>
      <c r="E674" s="4" t="str">
        <f t="shared" si="50"/>
        <v>Tamai2C1-057-0009</v>
      </c>
      <c r="F674">
        <v>3.29</v>
      </c>
      <c r="G674">
        <v>1.5</v>
      </c>
      <c r="H674" t="s">
        <v>72</v>
      </c>
      <c r="I674" t="s">
        <v>75</v>
      </c>
      <c r="J674" t="s">
        <v>95</v>
      </c>
      <c r="K674" t="s">
        <v>79</v>
      </c>
      <c r="L674" t="s">
        <v>79</v>
      </c>
      <c r="M674">
        <v>3.3141185012430969</v>
      </c>
      <c r="N674" s="5">
        <v>44867</v>
      </c>
      <c r="O674" s="5">
        <v>44895</v>
      </c>
      <c r="P674">
        <v>0.8</v>
      </c>
      <c r="Q674" s="4">
        <v>101</v>
      </c>
      <c r="R674">
        <v>0.4</v>
      </c>
      <c r="S674" t="s">
        <v>70</v>
      </c>
      <c r="T674" s="6">
        <v>4</v>
      </c>
      <c r="U674" s="5">
        <v>45021</v>
      </c>
      <c r="V674" s="6">
        <v>1</v>
      </c>
      <c r="W674" t="s">
        <v>86</v>
      </c>
      <c r="X674" s="6">
        <v>126</v>
      </c>
      <c r="Y674">
        <v>23.67155</v>
      </c>
      <c r="Z674">
        <v>7.1950000000000003</v>
      </c>
      <c r="AA674" s="6">
        <v>29.528062167454181</v>
      </c>
      <c r="AB674" s="4">
        <v>87.371875000000003</v>
      </c>
      <c r="AC674" s="6">
        <v>33.86608963124575</v>
      </c>
      <c r="AD674">
        <v>0.31428571399999999</v>
      </c>
      <c r="AE674">
        <v>1.9463804329905297</v>
      </c>
      <c r="AF674">
        <v>45451</v>
      </c>
      <c r="AG674" s="4"/>
      <c r="AH674" s="4">
        <v>150630</v>
      </c>
      <c r="AL674">
        <v>25</v>
      </c>
      <c r="AM674">
        <v>4.2695500000000006</v>
      </c>
      <c r="AN674" t="s">
        <v>81</v>
      </c>
      <c r="AO674" t="s">
        <v>94</v>
      </c>
      <c r="AP674" s="5">
        <v>44897</v>
      </c>
      <c r="AQ674" t="s">
        <v>134</v>
      </c>
      <c r="AR674" s="5">
        <v>45019</v>
      </c>
      <c r="AS674">
        <v>255.80749253851144</v>
      </c>
      <c r="AT674" s="6"/>
      <c r="AU674">
        <v>13.51833741347736</v>
      </c>
      <c r="AV674">
        <v>60.965098609934699</v>
      </c>
      <c r="AW674">
        <v>48.434942367525579</v>
      </c>
      <c r="AX674">
        <v>122.91837839093765</v>
      </c>
      <c r="AY674">
        <v>11.729805188084431</v>
      </c>
      <c r="AZ674">
        <v>36.02389915320289</v>
      </c>
      <c r="BA674">
        <v>-6.6253789887016268</v>
      </c>
      <c r="BB674">
        <v>47.764892877737203</v>
      </c>
      <c r="BC674">
        <v>13.251816632201944</v>
      </c>
      <c r="BD674">
        <v>102.14503486252484</v>
      </c>
      <c r="BE674">
        <v>30.744079285048954</v>
      </c>
      <c r="BF674">
        <v>9.8328816659661076</v>
      </c>
      <c r="BG674">
        <v>6.2624327515519687</v>
      </c>
      <c r="BH674">
        <v>16.095314417518075</v>
      </c>
      <c r="BI674">
        <v>241.15872767098057</v>
      </c>
      <c r="BJ674" s="6">
        <v>200</v>
      </c>
      <c r="BK674">
        <v>14.648764867530883</v>
      </c>
      <c r="BL674" s="4">
        <v>346.75897000000066</v>
      </c>
      <c r="BM674" t="s">
        <v>243</v>
      </c>
      <c r="BN674" t="s">
        <v>65</v>
      </c>
      <c r="BO674">
        <v>4</v>
      </c>
      <c r="BP674">
        <v>2023</v>
      </c>
      <c r="BQ674" t="str">
        <f t="shared" si="51"/>
        <v>Tamai24</v>
      </c>
      <c r="BR674">
        <f t="shared" si="52"/>
        <v>-974.29088000000002</v>
      </c>
      <c r="BS674">
        <f t="shared" si="53"/>
        <v>6055.3598500000007</v>
      </c>
      <c r="BT674" s="6">
        <f t="shared" si="54"/>
        <v>-41.158727670980568</v>
      </c>
    </row>
    <row r="675" spans="1:72">
      <c r="A675" s="3" t="s">
        <v>113</v>
      </c>
      <c r="B675" s="3" t="s">
        <v>209</v>
      </c>
      <c r="C675" s="3" t="s">
        <v>226</v>
      </c>
      <c r="D675" s="2" t="s">
        <v>239</v>
      </c>
      <c r="E675" s="4" t="str">
        <f t="shared" si="50"/>
        <v>Tamai2E1-032-0036</v>
      </c>
      <c r="F675">
        <v>5.28</v>
      </c>
      <c r="G675">
        <v>1.5</v>
      </c>
      <c r="H675" t="s">
        <v>72</v>
      </c>
      <c r="I675" t="s">
        <v>75</v>
      </c>
      <c r="J675" t="s">
        <v>95</v>
      </c>
      <c r="K675" t="s">
        <v>79</v>
      </c>
      <c r="L675" t="s">
        <v>79</v>
      </c>
      <c r="M675">
        <v>4.2074658793046309</v>
      </c>
      <c r="N675" s="5">
        <v>44867</v>
      </c>
      <c r="O675" s="5">
        <v>44894</v>
      </c>
      <c r="P675">
        <v>1</v>
      </c>
      <c r="Q675" s="4">
        <v>79</v>
      </c>
      <c r="R675">
        <v>0.4</v>
      </c>
      <c r="S675" t="s">
        <v>70</v>
      </c>
      <c r="T675" s="6">
        <v>5</v>
      </c>
      <c r="U675" s="5">
        <v>45014</v>
      </c>
      <c r="V675" s="6">
        <v>1</v>
      </c>
      <c r="W675" t="s">
        <v>86</v>
      </c>
      <c r="X675" s="6">
        <v>120.00000000000001</v>
      </c>
      <c r="Y675">
        <v>40.72345</v>
      </c>
      <c r="Z675">
        <v>7.7127746212121204</v>
      </c>
      <c r="AA675" s="6">
        <v>31.275051598035041</v>
      </c>
      <c r="AB675" s="4">
        <v>127.36279999999999</v>
      </c>
      <c r="AC675" s="6">
        <v>31.974367711765129</v>
      </c>
      <c r="AD675">
        <v>0.29428571399999998</v>
      </c>
      <c r="AE675">
        <v>1.6462381071064109</v>
      </c>
      <c r="AF675">
        <v>66382</v>
      </c>
      <c r="AG675" s="4">
        <v>12500</v>
      </c>
      <c r="AH675" s="4">
        <v>279300</v>
      </c>
      <c r="AL675">
        <v>28</v>
      </c>
      <c r="AM675">
        <v>12.826780000000001</v>
      </c>
      <c r="AN675" t="s">
        <v>81</v>
      </c>
      <c r="AO675" t="s">
        <v>215</v>
      </c>
      <c r="AP675" s="5">
        <v>44894</v>
      </c>
      <c r="AQ675" t="s">
        <v>117</v>
      </c>
      <c r="AR675" s="5">
        <v>45012</v>
      </c>
      <c r="AS675">
        <v>247.00519798789148</v>
      </c>
      <c r="AT675" s="6"/>
      <c r="AU675">
        <v>9.8223505130336459</v>
      </c>
      <c r="AV675">
        <v>51.590344875004448</v>
      </c>
      <c r="AW675">
        <v>24.051063699170879</v>
      </c>
      <c r="AX675">
        <v>85.46375908720897</v>
      </c>
      <c r="AY675">
        <v>11.003681908089808</v>
      </c>
      <c r="AZ675">
        <v>23.623002225990192</v>
      </c>
      <c r="BA675">
        <v>12.185050382519163</v>
      </c>
      <c r="BB675">
        <v>9.4139754858687077</v>
      </c>
      <c r="BC675">
        <v>6.8759017224719425</v>
      </c>
      <c r="BD675">
        <v>63.101611724939815</v>
      </c>
      <c r="BE675">
        <v>98.439827175742707</v>
      </c>
      <c r="BF675">
        <v>5.3674656739544409</v>
      </c>
      <c r="BG675">
        <v>2.8046052090380358</v>
      </c>
      <c r="BH675">
        <v>8.1720708829924753</v>
      </c>
      <c r="BI675">
        <v>156.73744169514123</v>
      </c>
      <c r="BJ675" s="6">
        <v>194</v>
      </c>
      <c r="BK675">
        <v>90.267756292750249</v>
      </c>
      <c r="BL675" s="4">
        <v>3676.0144599999999</v>
      </c>
      <c r="BM675" t="s">
        <v>240</v>
      </c>
      <c r="BN675" t="s">
        <v>65</v>
      </c>
      <c r="BO675">
        <v>3</v>
      </c>
      <c r="BP675">
        <v>2023</v>
      </c>
      <c r="BQ675" t="str">
        <f t="shared" si="51"/>
        <v>Tamai23</v>
      </c>
      <c r="BR675">
        <f t="shared" si="52"/>
        <v>1517.4599300000009</v>
      </c>
      <c r="BS675">
        <f t="shared" si="53"/>
        <v>10058.903829999999</v>
      </c>
      <c r="BT675" s="6">
        <f t="shared" si="54"/>
        <v>37.262558304858771</v>
      </c>
    </row>
    <row r="676" spans="1:72">
      <c r="A676" s="3" t="s">
        <v>113</v>
      </c>
      <c r="B676" s="3" t="s">
        <v>209</v>
      </c>
      <c r="C676" s="3" t="s">
        <v>226</v>
      </c>
      <c r="D676" s="2" t="s">
        <v>233</v>
      </c>
      <c r="E676" s="4" t="str">
        <f t="shared" si="50"/>
        <v>Tamai2C1-057-0011</v>
      </c>
      <c r="F676">
        <v>3.29</v>
      </c>
      <c r="G676">
        <v>1.5</v>
      </c>
      <c r="H676" t="s">
        <v>72</v>
      </c>
      <c r="I676" t="s">
        <v>75</v>
      </c>
      <c r="J676" t="s">
        <v>95</v>
      </c>
      <c r="K676" t="s">
        <v>79</v>
      </c>
      <c r="L676" t="s">
        <v>79</v>
      </c>
      <c r="M676">
        <v>2.8409090909090908</v>
      </c>
      <c r="N676" s="5">
        <v>45108</v>
      </c>
      <c r="O676" s="5">
        <v>45126</v>
      </c>
      <c r="P676">
        <v>0.6</v>
      </c>
      <c r="Q676" s="4">
        <v>76</v>
      </c>
      <c r="R676">
        <v>0.92</v>
      </c>
      <c r="S676" t="s">
        <v>70</v>
      </c>
      <c r="T676" s="6">
        <v>1</v>
      </c>
      <c r="U676" s="5">
        <v>45160</v>
      </c>
      <c r="V676" s="6">
        <v>2</v>
      </c>
      <c r="W676" t="s">
        <v>71</v>
      </c>
      <c r="X676" s="6">
        <v>34</v>
      </c>
      <c r="Y676">
        <v>4.2963900000000006</v>
      </c>
      <c r="Z676">
        <v>1.3058936170212767</v>
      </c>
      <c r="AA676" s="6">
        <v>101.99981845223547</v>
      </c>
      <c r="AB676" s="4">
        <v>73.038499999999999</v>
      </c>
      <c r="AC676" s="6">
        <v>9.8039390184628665</v>
      </c>
      <c r="AD676">
        <v>0.26129181099999998</v>
      </c>
      <c r="AE676">
        <v>1.5511287613136522</v>
      </c>
      <c r="AF676">
        <v>5808</v>
      </c>
      <c r="AG676" s="4">
        <v>8000</v>
      </c>
      <c r="AH676" s="4">
        <v>16500</v>
      </c>
      <c r="AI676" t="s">
        <v>73</v>
      </c>
      <c r="AJ676" t="s">
        <v>73</v>
      </c>
      <c r="AK676" t="s">
        <v>198</v>
      </c>
      <c r="AL676">
        <v>102</v>
      </c>
      <c r="AM676">
        <v>4.2963900000000006</v>
      </c>
      <c r="AN676" t="s">
        <v>73</v>
      </c>
      <c r="AO676" t="s">
        <v>102</v>
      </c>
      <c r="AP676" s="5">
        <v>45129</v>
      </c>
      <c r="AQ676" t="s">
        <v>105</v>
      </c>
      <c r="AR676" s="5">
        <v>45153</v>
      </c>
      <c r="AS676">
        <v>98.669287471574961</v>
      </c>
      <c r="AT676" s="6"/>
      <c r="AU676">
        <v>76.808669604016387</v>
      </c>
      <c r="AV676">
        <v>41.15154117759328</v>
      </c>
      <c r="AW676">
        <v>102.6344838341026</v>
      </c>
      <c r="AX676">
        <v>220.59469461571226</v>
      </c>
      <c r="AY676">
        <v>31.050854321884181</v>
      </c>
      <c r="AZ676">
        <v>46.197503019977233</v>
      </c>
      <c r="BA676">
        <v>35.097230465576914</v>
      </c>
      <c r="BB676">
        <v>55.108253673432813</v>
      </c>
      <c r="BC676">
        <v>38.305852122363191</v>
      </c>
      <c r="BD676">
        <v>205.75969360323433</v>
      </c>
      <c r="BE676">
        <v>-327.68510074737162</v>
      </c>
      <c r="BF676">
        <v>38.061128063327587</v>
      </c>
      <c r="BG676">
        <v>11.663817763284991</v>
      </c>
      <c r="BH676">
        <v>49.724945826612576</v>
      </c>
      <c r="BI676">
        <v>476.07933404555916</v>
      </c>
      <c r="BJ676" s="6">
        <v>150</v>
      </c>
      <c r="BK676">
        <v>-377.41004657398418</v>
      </c>
      <c r="BL676" s="4">
        <v>-1621.5007499999999</v>
      </c>
      <c r="BM676" t="s">
        <v>234</v>
      </c>
      <c r="BN676" t="s">
        <v>65</v>
      </c>
      <c r="BO676">
        <v>8</v>
      </c>
      <c r="BP676">
        <v>2023</v>
      </c>
      <c r="BQ676" t="str">
        <f t="shared" si="51"/>
        <v>Tamai28</v>
      </c>
      <c r="BR676">
        <f t="shared" si="52"/>
        <v>-1400.9639900000002</v>
      </c>
      <c r="BS676">
        <f t="shared" si="53"/>
        <v>423.92174</v>
      </c>
      <c r="BT676" s="6">
        <f t="shared" si="54"/>
        <v>-326.07933404555916</v>
      </c>
    </row>
    <row r="677" spans="1:72">
      <c r="A677" s="3" t="s">
        <v>113</v>
      </c>
      <c r="B677" s="3" t="s">
        <v>209</v>
      </c>
      <c r="C677" s="3" t="s">
        <v>226</v>
      </c>
      <c r="D677" s="2" t="s">
        <v>237</v>
      </c>
      <c r="E677" s="4" t="str">
        <f t="shared" si="50"/>
        <v>Tamai2A1-082-0008</v>
      </c>
      <c r="F677">
        <v>4.22</v>
      </c>
      <c r="G677">
        <v>1.5</v>
      </c>
      <c r="H677" t="s">
        <v>72</v>
      </c>
      <c r="I677" t="s">
        <v>75</v>
      </c>
      <c r="J677" t="s">
        <v>95</v>
      </c>
      <c r="K677" t="s">
        <v>79</v>
      </c>
      <c r="L677" t="s">
        <v>79</v>
      </c>
      <c r="M677">
        <v>2.4239753195240192</v>
      </c>
      <c r="N677" s="5">
        <v>44941</v>
      </c>
      <c r="O677" s="5">
        <v>44967</v>
      </c>
      <c r="P677">
        <v>1</v>
      </c>
      <c r="Q677" s="4">
        <v>99</v>
      </c>
      <c r="R677">
        <v>0.4</v>
      </c>
      <c r="S677" t="s">
        <v>70</v>
      </c>
      <c r="T677" s="6">
        <v>3</v>
      </c>
      <c r="U677" s="5">
        <v>45048</v>
      </c>
      <c r="V677" s="6">
        <v>1</v>
      </c>
      <c r="W677" t="s">
        <v>86</v>
      </c>
      <c r="X677" s="6">
        <v>81</v>
      </c>
      <c r="Y677">
        <v>20.907209999999999</v>
      </c>
      <c r="Z677">
        <v>4.9543151658767774</v>
      </c>
      <c r="AA677" s="6">
        <v>46.14896009558425</v>
      </c>
      <c r="AB677" s="4">
        <v>96.4846</v>
      </c>
      <c r="AC677" s="6">
        <v>21.668960642423766</v>
      </c>
      <c r="AD677">
        <v>0.25773574999999999</v>
      </c>
      <c r="AE677">
        <v>1.6596601878071178</v>
      </c>
      <c r="AF677">
        <v>34035</v>
      </c>
      <c r="AG677" s="4">
        <v>10000</v>
      </c>
      <c r="AH677" s="4">
        <v>82500</v>
      </c>
      <c r="AL677">
        <v>47</v>
      </c>
      <c r="AM677">
        <v>6.7074999999999996</v>
      </c>
      <c r="AN677" t="s">
        <v>126</v>
      </c>
      <c r="AO677" t="s">
        <v>198</v>
      </c>
      <c r="AP677" s="5">
        <v>44967</v>
      </c>
      <c r="AQ677" t="s">
        <v>157</v>
      </c>
      <c r="AR677" s="5">
        <v>45044</v>
      </c>
      <c r="AS677">
        <v>189.13077115502261</v>
      </c>
      <c r="AT677" s="6"/>
      <c r="AU677">
        <v>19.132155844801868</v>
      </c>
      <c r="AV677">
        <v>52.757898830116503</v>
      </c>
      <c r="AW677">
        <v>23.739836640087326</v>
      </c>
      <c r="AX677">
        <v>95.629891315005693</v>
      </c>
      <c r="AY677">
        <v>10.156466118626062</v>
      </c>
      <c r="AZ677">
        <v>32.540241380844222</v>
      </c>
      <c r="BA677">
        <v>6.2193783866905239</v>
      </c>
      <c r="BB677">
        <v>3.9856250547060079</v>
      </c>
      <c r="BC677">
        <v>7.3356382798087383</v>
      </c>
      <c r="BD677">
        <v>60.237349220675547</v>
      </c>
      <c r="BE677">
        <v>33.263530619341374</v>
      </c>
      <c r="BF677">
        <v>7.0681530438542488</v>
      </c>
      <c r="BG677">
        <v>2.3670217116487566</v>
      </c>
      <c r="BH677">
        <v>9.4351747555030059</v>
      </c>
      <c r="BI677">
        <v>165.30241529118422</v>
      </c>
      <c r="BJ677" s="6">
        <v>174</v>
      </c>
      <c r="BK677">
        <v>23.828355863838382</v>
      </c>
      <c r="BL677" s="4">
        <v>498.18444000000039</v>
      </c>
      <c r="BM677" t="s">
        <v>238</v>
      </c>
      <c r="BN677" t="s">
        <v>65</v>
      </c>
      <c r="BO677">
        <v>5</v>
      </c>
      <c r="BP677">
        <v>2023</v>
      </c>
      <c r="BQ677" t="str">
        <f t="shared" si="51"/>
        <v>Tamai25</v>
      </c>
      <c r="BR677">
        <f t="shared" si="52"/>
        <v>181.8422300000004</v>
      </c>
      <c r="BS677">
        <f t="shared" si="53"/>
        <v>3954.1967500000001</v>
      </c>
      <c r="BT677" s="6">
        <f t="shared" si="54"/>
        <v>8.6975847088157821</v>
      </c>
    </row>
    <row r="678" spans="1:72">
      <c r="A678" s="3" t="s">
        <v>113</v>
      </c>
      <c r="B678" s="3" t="s">
        <v>209</v>
      </c>
      <c r="C678" s="3" t="s">
        <v>226</v>
      </c>
      <c r="D678" s="2" t="s">
        <v>235</v>
      </c>
      <c r="E678" s="4" t="str">
        <f t="shared" si="50"/>
        <v>Tamai2E1-032-0037</v>
      </c>
      <c r="F678">
        <v>5.28</v>
      </c>
      <c r="G678">
        <v>1.8</v>
      </c>
      <c r="H678" t="s">
        <v>72</v>
      </c>
      <c r="I678" t="s">
        <v>75</v>
      </c>
      <c r="J678" t="s">
        <v>95</v>
      </c>
      <c r="K678" t="s">
        <v>79</v>
      </c>
      <c r="L678" t="s">
        <v>79</v>
      </c>
      <c r="M678">
        <v>3.1958087753765554</v>
      </c>
      <c r="N678" s="5">
        <v>45015</v>
      </c>
      <c r="O678" s="5">
        <v>45076</v>
      </c>
      <c r="P678">
        <v>3.2</v>
      </c>
      <c r="Q678" s="4">
        <v>210</v>
      </c>
      <c r="R678">
        <v>0.65500000000000003</v>
      </c>
      <c r="S678" t="s">
        <v>70</v>
      </c>
      <c r="T678" s="6">
        <v>2</v>
      </c>
      <c r="U678" s="5">
        <v>45115</v>
      </c>
      <c r="V678" s="6">
        <v>2</v>
      </c>
      <c r="W678" t="s">
        <v>71</v>
      </c>
      <c r="X678" s="6">
        <v>39</v>
      </c>
      <c r="Y678">
        <v>30.062909999999999</v>
      </c>
      <c r="Z678">
        <v>5.693732954545454</v>
      </c>
      <c r="AA678" s="6">
        <v>96.998527421330806</v>
      </c>
      <c r="AB678" s="4">
        <v>91.1268125</v>
      </c>
      <c r="AC678" s="6">
        <v>10.309434860349143</v>
      </c>
      <c r="AD678">
        <v>0.24754559900000001</v>
      </c>
      <c r="AE678">
        <v>1.3650543232620276</v>
      </c>
      <c r="AF678">
        <v>38175</v>
      </c>
      <c r="AG678" s="4">
        <v>24000</v>
      </c>
      <c r="AH678" s="4">
        <v>122000</v>
      </c>
      <c r="AI678" t="s">
        <v>73</v>
      </c>
      <c r="AJ678" t="s">
        <v>73</v>
      </c>
      <c r="AK678" t="s">
        <v>170</v>
      </c>
      <c r="AL678">
        <v>97</v>
      </c>
      <c r="AM678">
        <v>21.058679999999999</v>
      </c>
      <c r="AN678" t="s">
        <v>73</v>
      </c>
      <c r="AO678" t="s">
        <v>123</v>
      </c>
      <c r="AP678" s="5">
        <v>45076</v>
      </c>
      <c r="AQ678" t="s">
        <v>94</v>
      </c>
      <c r="AR678" s="5">
        <v>45111</v>
      </c>
      <c r="AS678">
        <v>100.9418323109772</v>
      </c>
      <c r="AT678" s="6"/>
      <c r="AU678">
        <v>53.221727371036266</v>
      </c>
      <c r="AV678">
        <v>40.38658865691977</v>
      </c>
      <c r="AW678">
        <v>32.610372715083138</v>
      </c>
      <c r="AX678">
        <v>126.21868874303918</v>
      </c>
      <c r="AY678">
        <v>14.235446269173543</v>
      </c>
      <c r="AZ678">
        <v>28.237755094234057</v>
      </c>
      <c r="BA678">
        <v>9.9943807834970091</v>
      </c>
      <c r="BB678">
        <v>34.892972436800029</v>
      </c>
      <c r="BC678">
        <v>12.551924614084266</v>
      </c>
      <c r="BD678">
        <v>99.912479197788898</v>
      </c>
      <c r="BE678">
        <v>-125.18933562985087</v>
      </c>
      <c r="BF678">
        <v>5.2820418914868847</v>
      </c>
      <c r="BG678">
        <v>4.5701241163945872</v>
      </c>
      <c r="BH678">
        <v>9.8521660078814737</v>
      </c>
      <c r="BI678">
        <v>235.9833339487096</v>
      </c>
      <c r="BJ678" s="6">
        <v>150</v>
      </c>
      <c r="BK678">
        <v>-135.04150163773241</v>
      </c>
      <c r="BL678" s="4">
        <v>-4059.7405100000014</v>
      </c>
      <c r="BM678" t="s">
        <v>236</v>
      </c>
      <c r="BN678" t="s">
        <v>65</v>
      </c>
      <c r="BO678">
        <v>7</v>
      </c>
      <c r="BP678">
        <v>2023</v>
      </c>
      <c r="BQ678" t="str">
        <f t="shared" si="51"/>
        <v>Tamai27</v>
      </c>
      <c r="BR678">
        <f t="shared" si="52"/>
        <v>-2584.9092300000011</v>
      </c>
      <c r="BS678">
        <f t="shared" si="53"/>
        <v>3034.6052199999995</v>
      </c>
      <c r="BT678" s="6">
        <f t="shared" si="54"/>
        <v>-85.9833339487096</v>
      </c>
    </row>
    <row r="679" spans="1:72">
      <c r="A679" s="3" t="s">
        <v>113</v>
      </c>
      <c r="B679" s="3" t="s">
        <v>209</v>
      </c>
      <c r="C679" s="3" t="s">
        <v>226</v>
      </c>
      <c r="D679" s="2" t="s">
        <v>229</v>
      </c>
      <c r="E679" s="4" t="str">
        <f t="shared" si="50"/>
        <v>Tamai2C1-058-0010</v>
      </c>
      <c r="F679">
        <v>3.42</v>
      </c>
      <c r="G679">
        <v>1.5</v>
      </c>
      <c r="H679" t="s">
        <v>72</v>
      </c>
      <c r="I679" t="s">
        <v>75</v>
      </c>
      <c r="J679" t="s">
        <v>95</v>
      </c>
      <c r="K679" t="s">
        <v>79</v>
      </c>
      <c r="L679" t="s">
        <v>79</v>
      </c>
      <c r="M679">
        <v>1.4273858921161826</v>
      </c>
      <c r="N679" s="5">
        <v>44958</v>
      </c>
      <c r="O679" s="5">
        <v>44983</v>
      </c>
      <c r="P679">
        <v>0.7</v>
      </c>
      <c r="Q679" s="4">
        <v>85</v>
      </c>
      <c r="R679">
        <v>0.4</v>
      </c>
      <c r="S679" t="s">
        <v>70</v>
      </c>
      <c r="T679" s="6">
        <v>1</v>
      </c>
      <c r="U679" s="5">
        <v>45019</v>
      </c>
      <c r="V679" s="6">
        <v>2</v>
      </c>
      <c r="W679" t="s">
        <v>71</v>
      </c>
      <c r="X679" s="6">
        <v>36</v>
      </c>
      <c r="Y679">
        <v>5.1036999999999999</v>
      </c>
      <c r="Z679">
        <v>1.4923099415204679</v>
      </c>
      <c r="AA679" s="6">
        <v>118.00007837451261</v>
      </c>
      <c r="AB679" s="4">
        <v>86.033857142857144</v>
      </c>
      <c r="AC679" s="6">
        <v>8.4745706424547151</v>
      </c>
      <c r="AD679">
        <v>0.22429378499999997</v>
      </c>
      <c r="AE679">
        <v>1.2490411924456331</v>
      </c>
      <c r="AF679">
        <v>6025</v>
      </c>
      <c r="AG679" s="4">
        <v>0</v>
      </c>
      <c r="AH679" s="4">
        <v>8600</v>
      </c>
      <c r="AI679" t="s">
        <v>73</v>
      </c>
      <c r="AJ679" t="s">
        <v>73</v>
      </c>
      <c r="AK679" t="s">
        <v>144</v>
      </c>
      <c r="AL679">
        <v>117.99999999999999</v>
      </c>
      <c r="AM679">
        <v>5.0968800000000005</v>
      </c>
      <c r="AN679" t="s">
        <v>73</v>
      </c>
      <c r="AO679" t="s">
        <v>144</v>
      </c>
      <c r="AP679" s="5">
        <v>44985</v>
      </c>
      <c r="AQ679" t="s">
        <v>134</v>
      </c>
      <c r="AR679" s="5">
        <v>45015</v>
      </c>
      <c r="AS679">
        <v>119.85427043125576</v>
      </c>
      <c r="AT679" s="6"/>
      <c r="AU679">
        <v>54.862158825949805</v>
      </c>
      <c r="AV679">
        <v>38.696749417089563</v>
      </c>
      <c r="AW679">
        <v>59.152495248545172</v>
      </c>
      <c r="AX679">
        <v>152.71140349158452</v>
      </c>
      <c r="AY679">
        <v>18.519056762740757</v>
      </c>
      <c r="AZ679">
        <v>53.760556067166959</v>
      </c>
      <c r="BA679">
        <v>17.595795207398556</v>
      </c>
      <c r="BB679">
        <v>27.564733428688992</v>
      </c>
      <c r="BC679">
        <v>21.451417598996809</v>
      </c>
      <c r="BD679">
        <v>138.89155906499207</v>
      </c>
      <c r="BE679">
        <v>-171.74869212532082</v>
      </c>
      <c r="BF679">
        <v>7.2290671473636774</v>
      </c>
      <c r="BG679">
        <v>6.216676136920273</v>
      </c>
      <c r="BH679">
        <v>13.445743284283949</v>
      </c>
      <c r="BI679">
        <v>305.04870584086052</v>
      </c>
      <c r="BJ679" s="6">
        <v>150</v>
      </c>
      <c r="BK679">
        <v>-185.19443540960478</v>
      </c>
      <c r="BL679" s="4">
        <v>-945.17683999999986</v>
      </c>
      <c r="BM679" t="s">
        <v>230</v>
      </c>
      <c r="BN679" t="s">
        <v>65</v>
      </c>
      <c r="BO679">
        <v>4</v>
      </c>
      <c r="BP679">
        <v>2023</v>
      </c>
      <c r="BQ679" t="str">
        <f t="shared" si="51"/>
        <v>Tamai24</v>
      </c>
      <c r="BR679">
        <f t="shared" si="52"/>
        <v>-791.3220799999998</v>
      </c>
      <c r="BS679">
        <f t="shared" si="53"/>
        <v>611.70024000000001</v>
      </c>
      <c r="BT679" s="6">
        <f t="shared" si="54"/>
        <v>-155.04870584086052</v>
      </c>
    </row>
    <row r="680" spans="1:72">
      <c r="A680" s="3" t="s">
        <v>113</v>
      </c>
      <c r="B680" s="3" t="s">
        <v>209</v>
      </c>
      <c r="C680" s="3" t="s">
        <v>226</v>
      </c>
      <c r="D680" s="2" t="s">
        <v>231</v>
      </c>
      <c r="E680" s="4" t="str">
        <f t="shared" si="50"/>
        <v>Tamai2C1-093-0008</v>
      </c>
      <c r="F680">
        <v>3.63</v>
      </c>
      <c r="G680">
        <v>1.5</v>
      </c>
      <c r="H680" t="s">
        <v>72</v>
      </c>
      <c r="I680" t="s">
        <v>75</v>
      </c>
      <c r="J680" t="s">
        <v>95</v>
      </c>
      <c r="K680" t="s">
        <v>79</v>
      </c>
      <c r="L680" t="s">
        <v>79</v>
      </c>
      <c r="M680">
        <v>2.9754820280885506</v>
      </c>
      <c r="N680" s="5">
        <v>45005</v>
      </c>
      <c r="O680" s="5">
        <v>45034</v>
      </c>
      <c r="P680">
        <v>0.8</v>
      </c>
      <c r="Q680" s="4">
        <v>92</v>
      </c>
      <c r="R680">
        <v>0.40200000000000002</v>
      </c>
      <c r="S680" t="s">
        <v>70</v>
      </c>
      <c r="T680" s="6">
        <v>1</v>
      </c>
      <c r="U680" s="5">
        <v>45079</v>
      </c>
      <c r="V680" s="6">
        <v>2</v>
      </c>
      <c r="W680" t="s">
        <v>71</v>
      </c>
      <c r="X680" s="6">
        <v>45</v>
      </c>
      <c r="Y680">
        <v>5.1695200000000003</v>
      </c>
      <c r="Z680">
        <v>1.4241101928374658</v>
      </c>
      <c r="AA680" s="6">
        <v>107.00877450904532</v>
      </c>
      <c r="AB680" s="4">
        <v>69.147999999999996</v>
      </c>
      <c r="AC680" s="6">
        <v>9.3450280557644483</v>
      </c>
      <c r="AD680">
        <v>0.19875098699999999</v>
      </c>
      <c r="AE680">
        <v>1.7329714210283147</v>
      </c>
      <c r="AF680">
        <v>8402</v>
      </c>
      <c r="AG680" s="4">
        <v>6000</v>
      </c>
      <c r="AH680" s="4">
        <v>25000</v>
      </c>
      <c r="AI680" t="s">
        <v>73</v>
      </c>
      <c r="AJ680" t="s">
        <v>73</v>
      </c>
      <c r="AK680" t="s">
        <v>170</v>
      </c>
      <c r="AL680">
        <v>107</v>
      </c>
      <c r="AM680">
        <v>5.1638999999999999</v>
      </c>
      <c r="AN680" t="s">
        <v>73</v>
      </c>
      <c r="AO680" t="s">
        <v>74</v>
      </c>
      <c r="AP680" s="5">
        <v>45034</v>
      </c>
      <c r="AQ680" t="s">
        <v>157</v>
      </c>
      <c r="AR680" s="5">
        <v>45062</v>
      </c>
      <c r="AS680">
        <v>93.441290487317957</v>
      </c>
      <c r="AT680" s="6"/>
      <c r="AU680">
        <v>61.901298379733511</v>
      </c>
      <c r="AV680">
        <v>53.871864312353956</v>
      </c>
      <c r="AW680">
        <v>76.058568300345129</v>
      </c>
      <c r="AX680">
        <v>191.8317309924326</v>
      </c>
      <c r="AY680">
        <v>27.700150110648572</v>
      </c>
      <c r="AZ680">
        <v>77.400596186880023</v>
      </c>
      <c r="BA680">
        <v>14.429422847769228</v>
      </c>
      <c r="BB680">
        <v>29.882704777232703</v>
      </c>
      <c r="BC680">
        <v>29.351282130642691</v>
      </c>
      <c r="BD680">
        <v>178.76415605317322</v>
      </c>
      <c r="BE680">
        <v>-277.15459655828784</v>
      </c>
      <c r="BF680">
        <v>12.434253083458424</v>
      </c>
      <c r="BG680">
        <v>9.0545756665996056</v>
      </c>
      <c r="BH680">
        <v>21.48882875005803</v>
      </c>
      <c r="BI680">
        <v>392.08471579566378</v>
      </c>
      <c r="BJ680" s="6">
        <v>150</v>
      </c>
      <c r="BK680">
        <v>-298.64342530834585</v>
      </c>
      <c r="BL680" s="4">
        <v>-1543.8431600000001</v>
      </c>
      <c r="BM680" t="s">
        <v>232</v>
      </c>
      <c r="BN680" t="s">
        <v>65</v>
      </c>
      <c r="BO680">
        <v>6</v>
      </c>
      <c r="BP680">
        <v>2023</v>
      </c>
      <c r="BQ680" t="str">
        <f t="shared" si="51"/>
        <v>Tamai26</v>
      </c>
      <c r="BR680">
        <f t="shared" si="52"/>
        <v>-1251.4617799999999</v>
      </c>
      <c r="BS680">
        <f t="shared" si="53"/>
        <v>483.04661999999996</v>
      </c>
      <c r="BT680" s="6">
        <f t="shared" si="54"/>
        <v>-242.08471579566378</v>
      </c>
    </row>
    <row r="681" spans="1:72">
      <c r="A681" s="3" t="s">
        <v>113</v>
      </c>
      <c r="B681" s="3" t="s">
        <v>209</v>
      </c>
      <c r="C681" s="3" t="s">
        <v>226</v>
      </c>
      <c r="D681" s="2" t="s">
        <v>227</v>
      </c>
      <c r="E681" s="4" t="str">
        <f t="shared" si="50"/>
        <v>Tamai2C1-057-0010</v>
      </c>
      <c r="F681">
        <v>3.29</v>
      </c>
      <c r="G681">
        <v>1.5</v>
      </c>
      <c r="H681" t="s">
        <v>72</v>
      </c>
      <c r="I681" t="s">
        <v>75</v>
      </c>
      <c r="J681" t="s">
        <v>95</v>
      </c>
      <c r="K681" t="s">
        <v>79</v>
      </c>
      <c r="L681" t="s">
        <v>79</v>
      </c>
      <c r="M681">
        <v>2.6923076923076925</v>
      </c>
      <c r="N681" s="5">
        <v>45022</v>
      </c>
      <c r="O681" s="5">
        <v>45051</v>
      </c>
      <c r="P681">
        <v>0.8</v>
      </c>
      <c r="Q681" s="4">
        <v>101</v>
      </c>
      <c r="R681">
        <v>0.4</v>
      </c>
      <c r="S681" t="s">
        <v>70</v>
      </c>
      <c r="T681" s="6">
        <v>1</v>
      </c>
      <c r="U681" s="5">
        <v>45084</v>
      </c>
      <c r="V681" s="6">
        <v>2</v>
      </c>
      <c r="W681" t="s">
        <v>71</v>
      </c>
      <c r="X681" s="6">
        <v>33</v>
      </c>
      <c r="Y681">
        <v>4.5171599999999996</v>
      </c>
      <c r="Z681">
        <v>1.3729969604863221</v>
      </c>
      <c r="AA681" s="6">
        <v>154.99982289757281</v>
      </c>
      <c r="AB681" s="4">
        <v>87.519874999999999</v>
      </c>
      <c r="AC681" s="6">
        <v>6.4516202748232905</v>
      </c>
      <c r="AD681">
        <v>0.18338220899999999</v>
      </c>
      <c r="AE681">
        <v>1.2388149305787173</v>
      </c>
      <c r="AF681">
        <v>5200</v>
      </c>
      <c r="AG681" s="4">
        <v>7500</v>
      </c>
      <c r="AH681" s="4">
        <v>14000</v>
      </c>
      <c r="AI681" t="s">
        <v>73</v>
      </c>
      <c r="AJ681" t="s">
        <v>73</v>
      </c>
      <c r="AK681" t="s">
        <v>136</v>
      </c>
      <c r="AL681">
        <v>155</v>
      </c>
      <c r="AM681">
        <v>4.5171599999999996</v>
      </c>
      <c r="AN681" t="s">
        <v>73</v>
      </c>
      <c r="AO681" t="s">
        <v>157</v>
      </c>
      <c r="AP681" s="5">
        <v>45052</v>
      </c>
      <c r="AQ681" t="s">
        <v>123</v>
      </c>
      <c r="AR681" s="5">
        <v>45076</v>
      </c>
      <c r="AS681">
        <v>92.15848232075021</v>
      </c>
      <c r="AT681" s="6"/>
      <c r="AU681">
        <v>70.840970875505846</v>
      </c>
      <c r="AV681">
        <v>36.158958283523283</v>
      </c>
      <c r="AW681">
        <v>74.156945957194353</v>
      </c>
      <c r="AX681">
        <v>181.15687511622349</v>
      </c>
      <c r="AY681">
        <v>39.992406733434279</v>
      </c>
      <c r="AZ681">
        <v>97.779058080740995</v>
      </c>
      <c r="BA681">
        <v>23.072306493460495</v>
      </c>
      <c r="BB681">
        <v>35.552927060365356</v>
      </c>
      <c r="BC681">
        <v>40.268976525073278</v>
      </c>
      <c r="BD681">
        <v>236.66567489307442</v>
      </c>
      <c r="BE681">
        <v>-325.66406768854768</v>
      </c>
      <c r="BF681">
        <v>21.66583207147854</v>
      </c>
      <c r="BG681">
        <v>12.844273835772919</v>
      </c>
      <c r="BH681">
        <v>34.510105907251457</v>
      </c>
      <c r="BI681">
        <v>452.33265591654936</v>
      </c>
      <c r="BJ681" s="6">
        <v>150</v>
      </c>
      <c r="BK681">
        <v>-360.17417359579918</v>
      </c>
      <c r="BL681" s="4">
        <v>-1626.9643700000001</v>
      </c>
      <c r="BM681" t="s">
        <v>228</v>
      </c>
      <c r="BN681" t="s">
        <v>65</v>
      </c>
      <c r="BO681">
        <v>6</v>
      </c>
      <c r="BP681">
        <v>2023</v>
      </c>
      <c r="BQ681" t="str">
        <f t="shared" si="51"/>
        <v>Tamai26</v>
      </c>
      <c r="BR681">
        <f t="shared" si="52"/>
        <v>-1365.68498</v>
      </c>
      <c r="BS681">
        <f t="shared" si="53"/>
        <v>416.29460999999998</v>
      </c>
      <c r="BT681" s="6">
        <f t="shared" si="54"/>
        <v>-302.33265591654936</v>
      </c>
    </row>
    <row r="682" spans="1:72">
      <c r="A682" s="3" t="s">
        <v>113</v>
      </c>
      <c r="B682" s="3" t="s">
        <v>209</v>
      </c>
      <c r="C682" s="3" t="s">
        <v>226</v>
      </c>
      <c r="D682" s="2" t="s">
        <v>246</v>
      </c>
      <c r="E682" s="4" t="str">
        <f t="shared" si="50"/>
        <v>Tamai2A1-006-0027</v>
      </c>
      <c r="F682">
        <v>5.23</v>
      </c>
      <c r="G682">
        <v>1.5</v>
      </c>
      <c r="H682" t="s">
        <v>72</v>
      </c>
      <c r="I682" t="s">
        <v>75</v>
      </c>
      <c r="J682" t="s">
        <v>95</v>
      </c>
      <c r="K682" t="s">
        <v>79</v>
      </c>
      <c r="L682" t="s">
        <v>79</v>
      </c>
      <c r="M682">
        <v>0</v>
      </c>
      <c r="N682" s="5">
        <v>45084</v>
      </c>
      <c r="O682" s="5">
        <v>45113</v>
      </c>
      <c r="P682">
        <v>1</v>
      </c>
      <c r="Q682" s="4">
        <v>80</v>
      </c>
      <c r="R682">
        <v>0.6</v>
      </c>
      <c r="S682" t="s">
        <v>70</v>
      </c>
      <c r="T682" s="6"/>
      <c r="U682" s="5">
        <v>45127</v>
      </c>
      <c r="V682" s="6">
        <v>3</v>
      </c>
      <c r="W682" t="s">
        <v>2831</v>
      </c>
      <c r="X682" s="6"/>
      <c r="AA682" s="6"/>
      <c r="AB682" s="4"/>
      <c r="AC682" s="6"/>
      <c r="AF682">
        <v>2503</v>
      </c>
      <c r="AG682" s="4">
        <v>12000</v>
      </c>
      <c r="AH682" s="4">
        <v>0</v>
      </c>
      <c r="AI682" t="s">
        <v>73</v>
      </c>
      <c r="AJ682" t="s">
        <v>73</v>
      </c>
      <c r="AK682" t="s">
        <v>90</v>
      </c>
      <c r="AN682" t="s">
        <v>73</v>
      </c>
      <c r="AO682" t="s">
        <v>106</v>
      </c>
      <c r="AP682" s="5">
        <v>45115</v>
      </c>
      <c r="AQ682" t="s">
        <v>106</v>
      </c>
      <c r="AR682" s="5">
        <v>45125</v>
      </c>
      <c r="AT682" s="6"/>
      <c r="BJ682" s="6"/>
      <c r="BL682" s="4">
        <v>-2515.0174700000002</v>
      </c>
      <c r="BM682" t="s">
        <v>2872</v>
      </c>
      <c r="BN682" t="s">
        <v>65</v>
      </c>
      <c r="BO682">
        <v>7</v>
      </c>
      <c r="BP682">
        <v>2023</v>
      </c>
      <c r="BQ682" t="str">
        <f t="shared" si="51"/>
        <v>Tamai27</v>
      </c>
      <c r="BR682">
        <f t="shared" si="52"/>
        <v>0</v>
      </c>
      <c r="BS682">
        <f t="shared" si="53"/>
        <v>0</v>
      </c>
      <c r="BT682" s="6">
        <f t="shared" si="54"/>
        <v>0</v>
      </c>
    </row>
    <row r="683" spans="1:72">
      <c r="A683" s="3" t="s">
        <v>113</v>
      </c>
      <c r="B683" s="3" t="s">
        <v>209</v>
      </c>
      <c r="C683" s="3" t="s">
        <v>226</v>
      </c>
      <c r="D683" s="2" t="s">
        <v>247</v>
      </c>
      <c r="E683" s="4" t="str">
        <f t="shared" si="50"/>
        <v>Tamai2A1-032-0033</v>
      </c>
      <c r="F683">
        <v>5.28</v>
      </c>
      <c r="G683">
        <v>1.5</v>
      </c>
      <c r="H683" t="s">
        <v>72</v>
      </c>
      <c r="I683" t="s">
        <v>75</v>
      </c>
      <c r="J683" t="s">
        <v>112</v>
      </c>
      <c r="K683" t="s">
        <v>79</v>
      </c>
      <c r="L683" t="s">
        <v>79</v>
      </c>
      <c r="N683" s="5">
        <v>45170</v>
      </c>
      <c r="O683" s="5">
        <v>45216</v>
      </c>
      <c r="P683">
        <v>2</v>
      </c>
      <c r="Q683" s="4">
        <v>158</v>
      </c>
      <c r="R683">
        <v>0.4</v>
      </c>
      <c r="S683" t="s">
        <v>70</v>
      </c>
      <c r="T683" s="6"/>
      <c r="U683" s="5">
        <v>45223</v>
      </c>
      <c r="V683" s="6">
        <v>3</v>
      </c>
      <c r="W683" t="s">
        <v>2831</v>
      </c>
      <c r="X683" s="6"/>
      <c r="AA683" s="6"/>
      <c r="AB683" s="4"/>
      <c r="AC683" s="6"/>
      <c r="AF683">
        <v>1600</v>
      </c>
      <c r="AG683" s="4">
        <v>12000</v>
      </c>
      <c r="AH683" s="4"/>
      <c r="AI683" t="s">
        <v>100</v>
      </c>
      <c r="AN683" t="s">
        <v>100</v>
      </c>
      <c r="AO683" t="s">
        <v>104</v>
      </c>
      <c r="AP683" s="5">
        <v>45218</v>
      </c>
      <c r="AQ683" t="s">
        <v>104</v>
      </c>
      <c r="AR683" s="5">
        <v>45220</v>
      </c>
      <c r="AT683" s="6"/>
      <c r="BJ683" s="6"/>
      <c r="BL683" s="4">
        <v>-4075.2297000000003</v>
      </c>
      <c r="BM683" t="s">
        <v>2873</v>
      </c>
      <c r="BN683" t="s">
        <v>65</v>
      </c>
      <c r="BO683">
        <v>10</v>
      </c>
      <c r="BP683">
        <v>2023</v>
      </c>
      <c r="BQ683" t="str">
        <f t="shared" si="51"/>
        <v>Tamai210</v>
      </c>
      <c r="BR683">
        <f t="shared" si="52"/>
        <v>0</v>
      </c>
      <c r="BS683">
        <f t="shared" si="53"/>
        <v>0</v>
      </c>
      <c r="BT683" s="6">
        <f t="shared" si="54"/>
        <v>0</v>
      </c>
    </row>
    <row r="684" spans="1:72">
      <c r="A684" s="3" t="s">
        <v>113</v>
      </c>
      <c r="B684" s="3" t="s">
        <v>138</v>
      </c>
      <c r="C684" s="3" t="s">
        <v>163</v>
      </c>
      <c r="D684" s="2" t="s">
        <v>164</v>
      </c>
      <c r="E684" s="4" t="str">
        <f t="shared" si="50"/>
        <v>Chantaburi3B1-023-0029</v>
      </c>
      <c r="F684">
        <v>2.2999999999999998</v>
      </c>
      <c r="G684">
        <v>1.6</v>
      </c>
      <c r="H684" t="s">
        <v>72</v>
      </c>
      <c r="I684" t="s">
        <v>75</v>
      </c>
      <c r="J684" t="s">
        <v>95</v>
      </c>
      <c r="K684" t="s">
        <v>79</v>
      </c>
      <c r="L684" t="s">
        <v>79</v>
      </c>
      <c r="M684">
        <v>2.7783902976846746</v>
      </c>
      <c r="N684" s="5">
        <v>45076</v>
      </c>
      <c r="O684" s="5">
        <v>45097</v>
      </c>
      <c r="P684">
        <v>0.7</v>
      </c>
      <c r="Q684" s="4">
        <v>119</v>
      </c>
      <c r="R684">
        <v>0.95</v>
      </c>
      <c r="S684" t="s">
        <v>70</v>
      </c>
      <c r="T684" s="6">
        <v>3</v>
      </c>
      <c r="U684" s="5">
        <v>45161</v>
      </c>
      <c r="V684" s="6">
        <v>1</v>
      </c>
      <c r="W684" t="s">
        <v>86</v>
      </c>
      <c r="X684" s="6">
        <v>64</v>
      </c>
      <c r="Y684">
        <v>15.015040000000001</v>
      </c>
      <c r="Z684">
        <v>6.5282782608695662</v>
      </c>
      <c r="AA684" s="6">
        <v>46.193616533822087</v>
      </c>
      <c r="AB684" s="4">
        <v>99.085571428571427</v>
      </c>
      <c r="AC684" s="6">
        <v>21.648012756650456</v>
      </c>
      <c r="AD684">
        <v>0.33237847199999998</v>
      </c>
      <c r="AE684">
        <v>1.5801173502808323</v>
      </c>
      <c r="AF684">
        <v>22675</v>
      </c>
      <c r="AG684" s="4">
        <v>5520</v>
      </c>
      <c r="AH684" s="4">
        <v>63000</v>
      </c>
      <c r="AL684">
        <v>45</v>
      </c>
      <c r="AM684">
        <v>7.44658</v>
      </c>
      <c r="AN684" t="s">
        <v>126</v>
      </c>
      <c r="AO684" t="s">
        <v>97</v>
      </c>
      <c r="AP684" s="5">
        <v>45099</v>
      </c>
      <c r="AQ684" t="s">
        <v>93</v>
      </c>
      <c r="AR684" s="5">
        <v>45157</v>
      </c>
      <c r="AS684">
        <v>151.68222861877157</v>
      </c>
      <c r="AT684" s="6"/>
      <c r="AU684">
        <v>25.640957333446995</v>
      </c>
      <c r="AV684">
        <v>45.425220312433382</v>
      </c>
      <c r="AW684">
        <v>7.7462637462171253</v>
      </c>
      <c r="AX684">
        <v>78.812441392097497</v>
      </c>
      <c r="AY684">
        <v>22.024019916030856</v>
      </c>
      <c r="AZ684">
        <v>23.44161187715784</v>
      </c>
      <c r="BA684">
        <v>10.002844481266779</v>
      </c>
      <c r="BB684">
        <v>5.5020273006265716</v>
      </c>
      <c r="BC684">
        <v>10.027096164911978</v>
      </c>
      <c r="BD684">
        <v>70.99759973999403</v>
      </c>
      <c r="BE684">
        <v>1.8721874866800476</v>
      </c>
      <c r="BF684">
        <v>2.5908202708750689</v>
      </c>
      <c r="BG684">
        <v>2.6742392960658115</v>
      </c>
      <c r="BH684">
        <v>5.2650595669408808</v>
      </c>
      <c r="BI684">
        <v>155.07510069903242</v>
      </c>
      <c r="BJ684" s="6">
        <v>174</v>
      </c>
      <c r="BK684">
        <v>-3.3928720802608496</v>
      </c>
      <c r="BL684" s="4">
        <v>-50.944109999999867</v>
      </c>
      <c r="BM684" t="s">
        <v>165</v>
      </c>
      <c r="BN684" t="s">
        <v>65</v>
      </c>
      <c r="BO684">
        <v>8</v>
      </c>
      <c r="BP684">
        <v>2023</v>
      </c>
      <c r="BQ684" t="str">
        <f t="shared" si="51"/>
        <v>Chantaburi38</v>
      </c>
      <c r="BR684">
        <f t="shared" si="52"/>
        <v>284.15812000000028</v>
      </c>
      <c r="BS684">
        <f t="shared" si="53"/>
        <v>2277.5147299999999</v>
      </c>
      <c r="BT684" s="6">
        <f t="shared" si="54"/>
        <v>18.924899300967581</v>
      </c>
    </row>
    <row r="685" spans="1:72">
      <c r="A685" s="3" t="s">
        <v>113</v>
      </c>
      <c r="B685" s="3" t="s">
        <v>138</v>
      </c>
      <c r="C685" s="3" t="s">
        <v>163</v>
      </c>
      <c r="D685" s="2" t="s">
        <v>909</v>
      </c>
      <c r="E685" s="4" t="str">
        <f t="shared" si="50"/>
        <v>Chantaburi3A1-008-0045</v>
      </c>
      <c r="F685">
        <v>4.0999999999999996</v>
      </c>
      <c r="G685">
        <v>1.8</v>
      </c>
      <c r="H685" t="s">
        <v>72</v>
      </c>
      <c r="I685" t="s">
        <v>75</v>
      </c>
      <c r="J685" t="s">
        <v>112</v>
      </c>
      <c r="K685" t="s">
        <v>79</v>
      </c>
      <c r="L685" t="s">
        <v>79</v>
      </c>
      <c r="N685" s="5">
        <v>45153</v>
      </c>
      <c r="O685" s="5">
        <v>45176</v>
      </c>
      <c r="P685">
        <v>2</v>
      </c>
      <c r="Q685" s="4">
        <v>169</v>
      </c>
      <c r="R685">
        <v>0.43</v>
      </c>
      <c r="S685" t="s">
        <v>70</v>
      </c>
      <c r="T685" s="6">
        <v>4</v>
      </c>
      <c r="U685" s="5">
        <v>45238</v>
      </c>
      <c r="V685" s="6">
        <v>2</v>
      </c>
      <c r="W685" t="s">
        <v>71</v>
      </c>
      <c r="X685" s="6">
        <v>61.999999999999993</v>
      </c>
      <c r="Y685">
        <v>23.65193</v>
      </c>
      <c r="Z685">
        <v>5.7687634146341464</v>
      </c>
      <c r="AA685" s="6">
        <v>63.572232794533043</v>
      </c>
      <c r="AB685" s="4">
        <v>75.180300000000003</v>
      </c>
      <c r="AC685" s="6">
        <v>15.730138081385682</v>
      </c>
      <c r="AD685">
        <v>0.253210198</v>
      </c>
      <c r="AE685">
        <v>1.4654219647447555</v>
      </c>
      <c r="AF685">
        <v>33400</v>
      </c>
      <c r="AG685" s="4">
        <v>0</v>
      </c>
      <c r="AH685" s="4"/>
      <c r="AI685" t="s">
        <v>73</v>
      </c>
      <c r="AJ685" t="s">
        <v>73</v>
      </c>
      <c r="AK685" t="s">
        <v>333</v>
      </c>
      <c r="AL685">
        <v>62</v>
      </c>
      <c r="AM685">
        <v>7.2742899999999997</v>
      </c>
      <c r="AN685" t="s">
        <v>73</v>
      </c>
      <c r="AO685" t="s">
        <v>94</v>
      </c>
      <c r="AP685" s="5">
        <v>45183</v>
      </c>
      <c r="AQ685" t="s">
        <v>93</v>
      </c>
      <c r="AR685" s="5">
        <v>45235</v>
      </c>
      <c r="AS685">
        <v>151.59368516649593</v>
      </c>
      <c r="AT685" s="6"/>
      <c r="AU685">
        <v>38.051862998072458</v>
      </c>
      <c r="AV685">
        <v>42.520743550314926</v>
      </c>
      <c r="AW685">
        <v>46.036995712400639</v>
      </c>
      <c r="AX685">
        <v>126.60960226078802</v>
      </c>
      <c r="AY685">
        <v>43.425059181216923</v>
      </c>
      <c r="AZ685">
        <v>30.937506157002836</v>
      </c>
      <c r="BA685">
        <v>44.359774445468076</v>
      </c>
      <c r="BB685">
        <v>73.145118812714216</v>
      </c>
      <c r="BC685">
        <v>32.876366114731432</v>
      </c>
      <c r="BD685">
        <v>224.7438247111335</v>
      </c>
      <c r="BE685">
        <v>-199.75974180542559</v>
      </c>
      <c r="BF685">
        <v>14.634844175507032</v>
      </c>
      <c r="BG685">
        <v>9.1323101328305984</v>
      </c>
      <c r="BH685">
        <v>23.767154308337631</v>
      </c>
      <c r="BI685">
        <v>375.12058128025916</v>
      </c>
      <c r="BJ685" s="6">
        <v>158</v>
      </c>
      <c r="BK685">
        <v>-223.52689611376323</v>
      </c>
      <c r="BL685" s="4">
        <v>-5286.8424999999997</v>
      </c>
      <c r="BM685" t="s">
        <v>2662</v>
      </c>
      <c r="BN685" t="s">
        <v>65</v>
      </c>
      <c r="BO685">
        <v>11</v>
      </c>
      <c r="BP685">
        <v>2023</v>
      </c>
      <c r="BQ685" t="str">
        <f t="shared" si="51"/>
        <v>Chantaburi311</v>
      </c>
      <c r="BR685">
        <f t="shared" si="52"/>
        <v>-5135.3207899999998</v>
      </c>
      <c r="BS685">
        <f t="shared" si="53"/>
        <v>3585.4832300000003</v>
      </c>
      <c r="BT685" s="6">
        <f t="shared" si="54"/>
        <v>-217.12058128025916</v>
      </c>
    </row>
    <row r="686" spans="1:72">
      <c r="A686" s="3" t="s">
        <v>113</v>
      </c>
      <c r="B686" s="3" t="s">
        <v>138</v>
      </c>
      <c r="C686" s="3" t="s">
        <v>140</v>
      </c>
      <c r="D686" s="2" t="s">
        <v>161</v>
      </c>
      <c r="E686" s="4" t="str">
        <f t="shared" si="50"/>
        <v>Chantaburi3B1-024-0042</v>
      </c>
      <c r="F686">
        <v>2.5</v>
      </c>
      <c r="G686">
        <v>1.6</v>
      </c>
      <c r="H686" t="s">
        <v>72</v>
      </c>
      <c r="I686" t="s">
        <v>75</v>
      </c>
      <c r="J686" t="s">
        <v>95</v>
      </c>
      <c r="K686" t="s">
        <v>79</v>
      </c>
      <c r="L686" t="s">
        <v>79</v>
      </c>
      <c r="M686">
        <v>2.2633053221288515</v>
      </c>
      <c r="N686" s="5">
        <v>44980</v>
      </c>
      <c r="O686" s="5">
        <v>45013</v>
      </c>
      <c r="P686">
        <v>1</v>
      </c>
      <c r="Q686" s="4">
        <v>156</v>
      </c>
      <c r="R686">
        <v>0.5</v>
      </c>
      <c r="S686" t="s">
        <v>70</v>
      </c>
      <c r="T686" s="6">
        <v>6</v>
      </c>
      <c r="U686" s="5">
        <v>45120</v>
      </c>
      <c r="V686" s="6">
        <v>1</v>
      </c>
      <c r="W686" t="s">
        <v>86</v>
      </c>
      <c r="X686" s="6">
        <v>107</v>
      </c>
      <c r="Y686">
        <v>29.751999999999999</v>
      </c>
      <c r="Z686">
        <v>11.9008</v>
      </c>
      <c r="AA686" s="6">
        <v>35.90397284216187</v>
      </c>
      <c r="AB686" s="4">
        <v>106.82149999999999</v>
      </c>
      <c r="AC686" s="6">
        <v>27.852070978220677</v>
      </c>
      <c r="AD686">
        <v>0.35478073300000001</v>
      </c>
      <c r="AE686">
        <v>1.5255367154382606</v>
      </c>
      <c r="AF686">
        <v>44625</v>
      </c>
      <c r="AG686" s="4">
        <v>6000</v>
      </c>
      <c r="AH686" s="4">
        <v>101000</v>
      </c>
      <c r="AL686">
        <v>26</v>
      </c>
      <c r="AM686">
        <v>7.94339</v>
      </c>
      <c r="AN686" t="s">
        <v>81</v>
      </c>
      <c r="AO686" t="s">
        <v>157</v>
      </c>
      <c r="AP686" s="5">
        <v>45015</v>
      </c>
      <c r="AQ686" t="s">
        <v>94</v>
      </c>
      <c r="AR686" s="5">
        <v>45119</v>
      </c>
      <c r="AS686">
        <v>187.33165198978219</v>
      </c>
      <c r="AT686" s="6"/>
      <c r="AU686">
        <v>15.125033611185801</v>
      </c>
      <c r="AV686">
        <v>47.607435466523249</v>
      </c>
      <c r="AW686">
        <v>6.8096339741866094</v>
      </c>
      <c r="AX686">
        <v>69.542103051895666</v>
      </c>
      <c r="AY686">
        <v>14.597471094380211</v>
      </c>
      <c r="AZ686">
        <v>18.503806130680292</v>
      </c>
      <c r="BA686">
        <v>9.7879171148158104</v>
      </c>
      <c r="BB686">
        <v>3.8880276956171009</v>
      </c>
      <c r="BC686">
        <v>9.6699969749932766</v>
      </c>
      <c r="BD686">
        <v>56.447219010486698</v>
      </c>
      <c r="BE686">
        <v>61.342329927399824</v>
      </c>
      <c r="BF686">
        <v>1.8940000672223716</v>
      </c>
      <c r="BG686">
        <v>1.7138333557407905</v>
      </c>
      <c r="BH686">
        <v>3.6078334229631626</v>
      </c>
      <c r="BI686">
        <v>129.5971554853455</v>
      </c>
      <c r="BJ686" s="6">
        <v>186</v>
      </c>
      <c r="BK686">
        <v>57.734496504436699</v>
      </c>
      <c r="BL686" s="4">
        <v>1717.7167400000008</v>
      </c>
      <c r="BM686" t="s">
        <v>162</v>
      </c>
      <c r="BN686" t="s">
        <v>65</v>
      </c>
      <c r="BO686">
        <v>7</v>
      </c>
      <c r="BP686">
        <v>2023</v>
      </c>
      <c r="BQ686" t="str">
        <f t="shared" si="51"/>
        <v>Chantaburi37</v>
      </c>
      <c r="BR686">
        <f t="shared" si="52"/>
        <v>1678.0974300000007</v>
      </c>
      <c r="BS686">
        <f t="shared" si="53"/>
        <v>5573.4913099999994</v>
      </c>
      <c r="BT686" s="6">
        <f t="shared" si="54"/>
        <v>56.402844514654504</v>
      </c>
    </row>
    <row r="687" spans="1:72">
      <c r="A687" s="3" t="s">
        <v>113</v>
      </c>
      <c r="B687" s="3" t="s">
        <v>138</v>
      </c>
      <c r="C687" s="3" t="s">
        <v>140</v>
      </c>
      <c r="D687" s="2" t="s">
        <v>159</v>
      </c>
      <c r="E687" s="4" t="str">
        <f t="shared" si="50"/>
        <v>Chantaburi3A1-011-0043</v>
      </c>
      <c r="F687">
        <v>3.8</v>
      </c>
      <c r="G687">
        <v>1.5</v>
      </c>
      <c r="H687" t="s">
        <v>72</v>
      </c>
      <c r="I687" t="s">
        <v>75</v>
      </c>
      <c r="J687" t="s">
        <v>95</v>
      </c>
      <c r="K687" t="s">
        <v>79</v>
      </c>
      <c r="L687" t="s">
        <v>79</v>
      </c>
      <c r="M687">
        <v>1.390644753476612</v>
      </c>
      <c r="N687" s="5">
        <v>44946</v>
      </c>
      <c r="O687" s="5">
        <v>44957</v>
      </c>
      <c r="P687">
        <v>1.5</v>
      </c>
      <c r="Q687" s="4">
        <v>164</v>
      </c>
      <c r="R687">
        <v>0.48</v>
      </c>
      <c r="S687" t="s">
        <v>70</v>
      </c>
      <c r="T687" s="6">
        <v>5</v>
      </c>
      <c r="U687" s="5">
        <v>45044</v>
      </c>
      <c r="V687" s="6">
        <v>1</v>
      </c>
      <c r="W687" t="s">
        <v>86</v>
      </c>
      <c r="X687" s="6">
        <v>87</v>
      </c>
      <c r="Y687">
        <v>24.043400000000002</v>
      </c>
      <c r="Z687">
        <v>6.3272105263157901</v>
      </c>
      <c r="AA687" s="6">
        <v>51.492010281407786</v>
      </c>
      <c r="AB687" s="4">
        <v>82.536200000000008</v>
      </c>
      <c r="AC687" s="6">
        <v>19.420488626000875</v>
      </c>
      <c r="AD687">
        <v>0.31376756099999997</v>
      </c>
      <c r="AE687">
        <v>1.6957088062810253</v>
      </c>
      <c r="AF687">
        <v>39550</v>
      </c>
      <c r="AG687" s="4">
        <v>6080</v>
      </c>
      <c r="AH687" s="4">
        <v>55000</v>
      </c>
      <c r="AL687">
        <v>36</v>
      </c>
      <c r="AM687">
        <v>1.5724100000000001</v>
      </c>
      <c r="AN687" t="s">
        <v>81</v>
      </c>
      <c r="AO687" t="s">
        <v>134</v>
      </c>
      <c r="AP687" s="5">
        <v>44957</v>
      </c>
      <c r="AQ687" t="s">
        <v>74</v>
      </c>
      <c r="AR687" s="5">
        <v>45043</v>
      </c>
      <c r="AS687">
        <v>191.08485655107012</v>
      </c>
      <c r="AT687" s="6"/>
      <c r="AU687">
        <v>28.074232429689648</v>
      </c>
      <c r="AV687">
        <v>53.794514087025952</v>
      </c>
      <c r="AW687">
        <v>38.408165650448758</v>
      </c>
      <c r="AX687">
        <v>120.27691216716435</v>
      </c>
      <c r="AY687">
        <v>15.106504903632596</v>
      </c>
      <c r="AZ687">
        <v>21.591601853315254</v>
      </c>
      <c r="BA687">
        <v>9.7349438931265944</v>
      </c>
      <c r="BB687">
        <v>10.237139090145321</v>
      </c>
      <c r="BC687">
        <v>10.039029837710142</v>
      </c>
      <c r="BD687">
        <v>66.709219577929915</v>
      </c>
      <c r="BE687">
        <v>4.0987248059758485</v>
      </c>
      <c r="BF687">
        <v>2.1528344576890124</v>
      </c>
      <c r="BG687">
        <v>2.5829009208348235</v>
      </c>
      <c r="BH687">
        <v>4.7357353785238354</v>
      </c>
      <c r="BI687">
        <v>191.72186712361813</v>
      </c>
      <c r="BJ687" s="6">
        <v>167</v>
      </c>
      <c r="BK687">
        <v>-0.63701057254799121</v>
      </c>
      <c r="BL687" s="4">
        <v>-15.315900000000372</v>
      </c>
      <c r="BM687" t="s">
        <v>160</v>
      </c>
      <c r="BN687" t="s">
        <v>65</v>
      </c>
      <c r="BO687">
        <v>4</v>
      </c>
      <c r="BP687">
        <v>2023</v>
      </c>
      <c r="BQ687" t="str">
        <f t="shared" si="51"/>
        <v>Chantaburi34</v>
      </c>
      <c r="BR687">
        <f t="shared" si="52"/>
        <v>-594.39774000000011</v>
      </c>
      <c r="BS687">
        <f t="shared" si="53"/>
        <v>4594.3296399999999</v>
      </c>
      <c r="BT687" s="6">
        <f t="shared" si="54"/>
        <v>-24.721867123618125</v>
      </c>
    </row>
    <row r="688" spans="1:72">
      <c r="A688" s="3" t="s">
        <v>113</v>
      </c>
      <c r="B688" s="3" t="s">
        <v>138</v>
      </c>
      <c r="C688" s="3" t="s">
        <v>140</v>
      </c>
      <c r="D688" s="2" t="s">
        <v>155</v>
      </c>
      <c r="E688" s="4" t="str">
        <f t="shared" si="50"/>
        <v>Chantaburi3B1-023-0027</v>
      </c>
      <c r="F688">
        <v>2.2999999999999998</v>
      </c>
      <c r="G688">
        <v>2</v>
      </c>
      <c r="H688" t="s">
        <v>72</v>
      </c>
      <c r="I688" t="s">
        <v>75</v>
      </c>
      <c r="J688" t="s">
        <v>95</v>
      </c>
      <c r="K688" t="s">
        <v>79</v>
      </c>
      <c r="L688" t="s">
        <v>79</v>
      </c>
      <c r="M688">
        <v>1.2672176308539944</v>
      </c>
      <c r="N688" s="5">
        <v>44907</v>
      </c>
      <c r="O688" s="5">
        <v>44913</v>
      </c>
      <c r="P688">
        <v>1.1000000000000001</v>
      </c>
      <c r="Q688" s="4">
        <v>149</v>
      </c>
      <c r="R688">
        <v>0.3</v>
      </c>
      <c r="S688" t="s">
        <v>70</v>
      </c>
      <c r="T688" s="6">
        <v>4</v>
      </c>
      <c r="U688" s="5">
        <v>44999</v>
      </c>
      <c r="V688" s="6">
        <v>1</v>
      </c>
      <c r="W688" t="s">
        <v>86</v>
      </c>
      <c r="X688" s="6">
        <v>86</v>
      </c>
      <c r="Y688">
        <v>24.69219</v>
      </c>
      <c r="Z688">
        <v>10.735734782608697</v>
      </c>
      <c r="AA688" s="6">
        <v>52.14737939405132</v>
      </c>
      <c r="AB688" s="4">
        <v>117.05754545454545</v>
      </c>
      <c r="AC688" s="6">
        <v>19.176419057293497</v>
      </c>
      <c r="AD688">
        <v>0.26692806899999999</v>
      </c>
      <c r="AE688">
        <v>1.4900089359489079</v>
      </c>
      <c r="AF688">
        <v>36300</v>
      </c>
      <c r="AG688" s="4">
        <v>3680</v>
      </c>
      <c r="AH688" s="4">
        <v>46000</v>
      </c>
      <c r="AI688" t="s">
        <v>73</v>
      </c>
      <c r="AJ688" t="s">
        <v>73</v>
      </c>
      <c r="AK688" t="s">
        <v>156</v>
      </c>
      <c r="AL688">
        <v>43</v>
      </c>
      <c r="AM688">
        <v>8.5885699999999989</v>
      </c>
      <c r="AN688" t="s">
        <v>73</v>
      </c>
      <c r="AO688" t="s">
        <v>123</v>
      </c>
      <c r="AP688" s="5">
        <v>44914</v>
      </c>
      <c r="AQ688" t="s">
        <v>157</v>
      </c>
      <c r="AR688" s="5">
        <v>44998</v>
      </c>
      <c r="AS688">
        <v>205.16460346368632</v>
      </c>
      <c r="AT688" s="6"/>
      <c r="AU688">
        <v>17.819399575331317</v>
      </c>
      <c r="AV688">
        <v>47.332575603865038</v>
      </c>
      <c r="AW688">
        <v>5.1417865325027874</v>
      </c>
      <c r="AX688">
        <v>70.293761711699148</v>
      </c>
      <c r="AY688">
        <v>9.5671914884827967</v>
      </c>
      <c r="AZ688">
        <v>11.815623482566755</v>
      </c>
      <c r="BA688">
        <v>5.9789467843881008</v>
      </c>
      <c r="BB688">
        <v>1.0877455584134093</v>
      </c>
      <c r="BC688">
        <v>5.879628740909574</v>
      </c>
      <c r="BD688">
        <v>34.329136054760639</v>
      </c>
      <c r="BE688">
        <v>100.54170569722653</v>
      </c>
      <c r="BF688">
        <v>2.7832804623648206</v>
      </c>
      <c r="BG688">
        <v>1.3793065742649799</v>
      </c>
      <c r="BH688">
        <v>4.1625870366298008</v>
      </c>
      <c r="BI688">
        <v>108.78548480308957</v>
      </c>
      <c r="BJ688" s="6">
        <v>166</v>
      </c>
      <c r="BK688">
        <v>96.379118660596731</v>
      </c>
      <c r="BL688" s="4">
        <v>2379.81151</v>
      </c>
      <c r="BM688" t="s">
        <v>158</v>
      </c>
      <c r="BN688" t="s">
        <v>65</v>
      </c>
      <c r="BO688">
        <v>3</v>
      </c>
      <c r="BP688">
        <v>2023</v>
      </c>
      <c r="BQ688" t="str">
        <f t="shared" si="51"/>
        <v>Chantaburi33</v>
      </c>
      <c r="BR688">
        <f t="shared" si="52"/>
        <v>1412.7516799999996</v>
      </c>
      <c r="BS688">
        <f t="shared" si="53"/>
        <v>5065.9633700000004</v>
      </c>
      <c r="BT688" s="6">
        <f t="shared" si="54"/>
        <v>57.214515196910426</v>
      </c>
    </row>
    <row r="689" spans="1:72">
      <c r="A689" s="3" t="s">
        <v>113</v>
      </c>
      <c r="B689" s="3" t="s">
        <v>138</v>
      </c>
      <c r="C689" s="3" t="s">
        <v>140</v>
      </c>
      <c r="D689" s="2" t="s">
        <v>154</v>
      </c>
      <c r="E689" s="4" t="str">
        <f t="shared" si="50"/>
        <v>Chantaburi3A1-009-0042</v>
      </c>
      <c r="F689">
        <v>4.2</v>
      </c>
      <c r="G689">
        <v>1.5</v>
      </c>
      <c r="H689" t="s">
        <v>72</v>
      </c>
      <c r="I689" t="s">
        <v>75</v>
      </c>
      <c r="J689" t="s">
        <v>95</v>
      </c>
      <c r="K689" t="s">
        <v>79</v>
      </c>
      <c r="L689" t="s">
        <v>79</v>
      </c>
      <c r="M689">
        <v>1.3469915464942814</v>
      </c>
      <c r="N689" s="5">
        <v>44931</v>
      </c>
      <c r="O689" s="5">
        <v>44955</v>
      </c>
      <c r="P689">
        <v>1.6</v>
      </c>
      <c r="Q689" s="4">
        <v>159</v>
      </c>
      <c r="R689">
        <v>0.39</v>
      </c>
      <c r="S689" t="s">
        <v>70</v>
      </c>
      <c r="T689" s="6">
        <v>4</v>
      </c>
      <c r="U689" s="5">
        <v>45050</v>
      </c>
      <c r="V689" s="6">
        <v>1</v>
      </c>
      <c r="W689" t="s">
        <v>86</v>
      </c>
      <c r="X689" s="6">
        <v>95</v>
      </c>
      <c r="Y689">
        <v>28.92933</v>
      </c>
      <c r="Z689">
        <v>6.8879357142857138</v>
      </c>
      <c r="AA689" s="6">
        <v>54.308101846810828</v>
      </c>
      <c r="AB689" s="4">
        <v>98.193562499999999</v>
      </c>
      <c r="AC689" s="6">
        <v>18.413458876186514</v>
      </c>
      <c r="AD689">
        <v>0.252634146</v>
      </c>
      <c r="AE689">
        <v>1.7761785399476773</v>
      </c>
      <c r="AF689">
        <v>50275</v>
      </c>
      <c r="AG689" s="4">
        <v>6720</v>
      </c>
      <c r="AH689" s="4">
        <v>67720</v>
      </c>
      <c r="AL689">
        <v>41</v>
      </c>
      <c r="AM689">
        <v>11.35605</v>
      </c>
      <c r="AN689" t="s">
        <v>73</v>
      </c>
      <c r="AO689" t="s">
        <v>134</v>
      </c>
      <c r="AP689" s="5">
        <v>44956</v>
      </c>
      <c r="AQ689" t="s">
        <v>74</v>
      </c>
      <c r="AR689" s="5">
        <v>45043</v>
      </c>
      <c r="AS689">
        <v>177.42769742679835</v>
      </c>
      <c r="AT689" s="6"/>
      <c r="AU689">
        <v>22.122876679134979</v>
      </c>
      <c r="AV689">
        <v>56.772540532393954</v>
      </c>
      <c r="AW689">
        <v>43.36974620566739</v>
      </c>
      <c r="AX689">
        <v>122.26516341719633</v>
      </c>
      <c r="AY689">
        <v>17.203197585288009</v>
      </c>
      <c r="AZ689">
        <v>23.185996703000029</v>
      </c>
      <c r="BA689">
        <v>10.919929358889405</v>
      </c>
      <c r="BB689">
        <v>11.008929346099615</v>
      </c>
      <c r="BC689">
        <v>10.909292057576168</v>
      </c>
      <c r="BD689">
        <v>73.227345050853245</v>
      </c>
      <c r="BE689">
        <v>-18.064811041251232</v>
      </c>
      <c r="BF689">
        <v>2.4307051010168572</v>
      </c>
      <c r="BG689">
        <v>2.9478525772978497</v>
      </c>
      <c r="BH689">
        <v>5.3785576783147064</v>
      </c>
      <c r="BI689">
        <v>200.87106614636426</v>
      </c>
      <c r="BJ689" s="6">
        <v>166</v>
      </c>
      <c r="BK689">
        <v>-23.443368719565928</v>
      </c>
      <c r="BL689" s="4">
        <v>-678.20095000000015</v>
      </c>
      <c r="BM689" t="s">
        <v>139</v>
      </c>
      <c r="BN689" t="s">
        <v>65</v>
      </c>
      <c r="BO689">
        <v>5</v>
      </c>
      <c r="BP689">
        <v>2023</v>
      </c>
      <c r="BQ689" t="str">
        <f t="shared" si="51"/>
        <v>Chantaburi35</v>
      </c>
      <c r="BR689">
        <f t="shared" si="52"/>
        <v>-1008.7965799999998</v>
      </c>
      <c r="BS689">
        <f t="shared" si="53"/>
        <v>5132.8644100000001</v>
      </c>
      <c r="BT689" s="6">
        <f t="shared" si="54"/>
        <v>-34.871066146364257</v>
      </c>
    </row>
    <row r="690" spans="1:72">
      <c r="A690" s="3" t="s">
        <v>113</v>
      </c>
      <c r="B690" s="3" t="s">
        <v>138</v>
      </c>
      <c r="C690" s="3" t="s">
        <v>140</v>
      </c>
      <c r="D690" s="2" t="s">
        <v>150</v>
      </c>
      <c r="E690" s="4" t="str">
        <f t="shared" si="50"/>
        <v>Chantaburi3A1-010-0047</v>
      </c>
      <c r="F690">
        <v>3.9</v>
      </c>
      <c r="G690">
        <v>1.6</v>
      </c>
      <c r="H690" t="s">
        <v>72</v>
      </c>
      <c r="I690" t="s">
        <v>75</v>
      </c>
      <c r="J690" t="s">
        <v>95</v>
      </c>
      <c r="K690" t="s">
        <v>79</v>
      </c>
      <c r="L690" t="s">
        <v>79</v>
      </c>
      <c r="M690">
        <v>2.4164524421593829</v>
      </c>
      <c r="N690" s="5">
        <v>45045</v>
      </c>
      <c r="O690" s="5">
        <v>45068</v>
      </c>
      <c r="P690">
        <v>1.3</v>
      </c>
      <c r="Q690" s="4">
        <v>130</v>
      </c>
      <c r="R690">
        <v>0.76900000000000002</v>
      </c>
      <c r="S690" t="s">
        <v>70</v>
      </c>
      <c r="T690" s="6">
        <v>1</v>
      </c>
      <c r="U690" s="5">
        <v>45118</v>
      </c>
      <c r="V690" s="6">
        <v>2</v>
      </c>
      <c r="W690" t="s">
        <v>71</v>
      </c>
      <c r="X690" s="6">
        <v>50</v>
      </c>
      <c r="Y690">
        <v>14.336219999999999</v>
      </c>
      <c r="Z690">
        <v>3.6759538461538459</v>
      </c>
      <c r="AA690" s="6">
        <v>74.999965123303085</v>
      </c>
      <c r="AB690" s="4">
        <v>82.708923076923085</v>
      </c>
      <c r="AC690" s="6">
        <v>13.33333953363789</v>
      </c>
      <c r="AD690">
        <v>0.25128666700000002</v>
      </c>
      <c r="AE690">
        <v>1.4584342489850948</v>
      </c>
      <c r="AF690">
        <v>19450</v>
      </c>
      <c r="AG690" s="4">
        <v>1000</v>
      </c>
      <c r="AH690" s="4">
        <v>47000</v>
      </c>
      <c r="AL690">
        <v>75</v>
      </c>
      <c r="AM690">
        <v>14.336219999999999</v>
      </c>
      <c r="AN690" t="s">
        <v>126</v>
      </c>
      <c r="AO690" t="s">
        <v>144</v>
      </c>
      <c r="AP690" s="5">
        <v>45069</v>
      </c>
      <c r="AQ690" t="s">
        <v>94</v>
      </c>
      <c r="AR690" s="5">
        <v>45115</v>
      </c>
      <c r="AS690">
        <v>121.4204915940185</v>
      </c>
      <c r="AT690" s="6"/>
      <c r="AU690">
        <v>45.339706003395598</v>
      </c>
      <c r="AV690">
        <v>42.603915816024028</v>
      </c>
      <c r="AW690">
        <v>38.492241330001903</v>
      </c>
      <c r="AX690">
        <v>126.43586314942152</v>
      </c>
      <c r="AY690">
        <v>19.976536353376275</v>
      </c>
      <c r="AZ690">
        <v>22.239624531431581</v>
      </c>
      <c r="BA690">
        <v>13.16241798744718</v>
      </c>
      <c r="BB690">
        <v>31.641907001985185</v>
      </c>
      <c r="BC690">
        <v>16.487703871731881</v>
      </c>
      <c r="BD690">
        <v>103.5081897459721</v>
      </c>
      <c r="BE690">
        <v>-108.52356130137512</v>
      </c>
      <c r="BF690">
        <v>3.58658767792347</v>
      </c>
      <c r="BG690">
        <v>3.6059888868892913</v>
      </c>
      <c r="BH690">
        <v>7.1925765648127618</v>
      </c>
      <c r="BI690">
        <v>237.13662946020639</v>
      </c>
      <c r="BJ690" s="6">
        <v>150</v>
      </c>
      <c r="BK690">
        <v>-115.71613786618791</v>
      </c>
      <c r="BL690" s="4">
        <v>-1658.9320100000002</v>
      </c>
      <c r="BM690" t="s">
        <v>151</v>
      </c>
      <c r="BN690" t="s">
        <v>65</v>
      </c>
      <c r="BO690">
        <v>7</v>
      </c>
      <c r="BP690">
        <v>2023</v>
      </c>
      <c r="BQ690" t="str">
        <f t="shared" si="51"/>
        <v>Chantaburi37</v>
      </c>
      <c r="BR690">
        <f t="shared" si="52"/>
        <v>-1249.2098900000001</v>
      </c>
      <c r="BS690">
        <f t="shared" si="53"/>
        <v>1740.7108799999999</v>
      </c>
      <c r="BT690" s="6">
        <f t="shared" si="54"/>
        <v>-87.136629460206393</v>
      </c>
    </row>
    <row r="691" spans="1:72">
      <c r="A691" s="3" t="s">
        <v>113</v>
      </c>
      <c r="B691" s="3" t="s">
        <v>138</v>
      </c>
      <c r="C691" s="3" t="s">
        <v>140</v>
      </c>
      <c r="D691" s="2" t="s">
        <v>146</v>
      </c>
      <c r="E691" s="4" t="str">
        <f t="shared" si="50"/>
        <v>Chantaburi3A1-011-0044</v>
      </c>
      <c r="F691">
        <v>3.8</v>
      </c>
      <c r="G691">
        <v>1.6</v>
      </c>
      <c r="H691" t="s">
        <v>72</v>
      </c>
      <c r="I691" t="s">
        <v>75</v>
      </c>
      <c r="J691" t="s">
        <v>95</v>
      </c>
      <c r="K691" t="s">
        <v>79</v>
      </c>
      <c r="L691" t="s">
        <v>79</v>
      </c>
      <c r="M691">
        <v>2.527659574468085</v>
      </c>
      <c r="N691" s="5">
        <v>45045</v>
      </c>
      <c r="O691" s="5">
        <v>45073</v>
      </c>
      <c r="P691">
        <v>1.3</v>
      </c>
      <c r="Q691" s="4">
        <v>134</v>
      </c>
      <c r="R691">
        <v>0.65</v>
      </c>
      <c r="S691" t="s">
        <v>70</v>
      </c>
      <c r="T691" s="6">
        <v>1</v>
      </c>
      <c r="U691" s="5">
        <v>45117</v>
      </c>
      <c r="V691" s="6">
        <v>2</v>
      </c>
      <c r="W691" t="s">
        <v>71</v>
      </c>
      <c r="X691" s="6">
        <v>44</v>
      </c>
      <c r="Y691">
        <v>12.99869</v>
      </c>
      <c r="Z691">
        <v>3.4207078947368421</v>
      </c>
      <c r="AA691" s="6">
        <v>89.999992306917079</v>
      </c>
      <c r="AB691" s="4">
        <v>89.990923076923082</v>
      </c>
      <c r="AC691" s="6">
        <v>11.111112060874516</v>
      </c>
      <c r="AD691">
        <v>0.23775252499999999</v>
      </c>
      <c r="AE691">
        <v>1.3535151075324554</v>
      </c>
      <c r="AF691">
        <v>16450</v>
      </c>
      <c r="AG691" s="4">
        <v>6080</v>
      </c>
      <c r="AH691" s="4">
        <v>41580</v>
      </c>
      <c r="AI691" t="s">
        <v>73</v>
      </c>
      <c r="AJ691" t="s">
        <v>73</v>
      </c>
      <c r="AK691" t="s">
        <v>147</v>
      </c>
      <c r="AL691">
        <v>90</v>
      </c>
      <c r="AM691">
        <v>12.99211</v>
      </c>
      <c r="AN691" t="s">
        <v>73</v>
      </c>
      <c r="AO691" t="s">
        <v>123</v>
      </c>
      <c r="AP691" s="5">
        <v>45073</v>
      </c>
      <c r="AQ691" t="s">
        <v>148</v>
      </c>
      <c r="AR691" s="5">
        <v>45115</v>
      </c>
      <c r="AS691">
        <v>104.28468407201031</v>
      </c>
      <c r="AT691" s="6"/>
      <c r="AU691">
        <v>50.005038969311521</v>
      </c>
      <c r="AV691">
        <v>39.734563252143097</v>
      </c>
      <c r="AW691">
        <v>42.719699446636525</v>
      </c>
      <c r="AX691">
        <v>132.45930166809114</v>
      </c>
      <c r="AY691">
        <v>20.919354181075171</v>
      </c>
      <c r="AZ691">
        <v>23.52340658943324</v>
      </c>
      <c r="BA691">
        <v>13.68421510167563</v>
      </c>
      <c r="BB691">
        <v>32.85978587073005</v>
      </c>
      <c r="BC691">
        <v>17.168443897038856</v>
      </c>
      <c r="BD691">
        <v>108.15520563995294</v>
      </c>
      <c r="BE691">
        <v>-136.32982323603377</v>
      </c>
      <c r="BF691">
        <v>3.6854344553181901</v>
      </c>
      <c r="BG691">
        <v>3.7646047409392791</v>
      </c>
      <c r="BH691">
        <v>7.4500391962574684</v>
      </c>
      <c r="BI691">
        <v>248.06454650430157</v>
      </c>
      <c r="BJ691" s="6">
        <v>150</v>
      </c>
      <c r="BK691">
        <v>-143.77986243229128</v>
      </c>
      <c r="BL691" s="4">
        <v>-1868.9498600000004</v>
      </c>
      <c r="BM691" t="s">
        <v>149</v>
      </c>
      <c r="BN691" t="s">
        <v>65</v>
      </c>
      <c r="BO691">
        <v>7</v>
      </c>
      <c r="BP691">
        <v>2023</v>
      </c>
      <c r="BQ691" t="str">
        <f t="shared" si="51"/>
        <v>Chantaburi37</v>
      </c>
      <c r="BR691">
        <f t="shared" si="52"/>
        <v>-1274.7106399999998</v>
      </c>
      <c r="BS691">
        <f t="shared" si="53"/>
        <v>1355.5642799999996</v>
      </c>
      <c r="BT691" s="6">
        <f t="shared" si="54"/>
        <v>-98.064546504301575</v>
      </c>
    </row>
    <row r="692" spans="1:72">
      <c r="A692" s="3" t="s">
        <v>113</v>
      </c>
      <c r="B692" s="3" t="s">
        <v>138</v>
      </c>
      <c r="C692" s="3" t="s">
        <v>140</v>
      </c>
      <c r="D692" s="2" t="s">
        <v>143</v>
      </c>
      <c r="E692" s="4" t="str">
        <f t="shared" si="50"/>
        <v>Chantaburi3B1-024-0041</v>
      </c>
      <c r="F692">
        <v>2.5</v>
      </c>
      <c r="G692">
        <v>1.5</v>
      </c>
      <c r="H692" t="s">
        <v>72</v>
      </c>
      <c r="I692" t="s">
        <v>75</v>
      </c>
      <c r="J692" t="s">
        <v>95</v>
      </c>
      <c r="K692" t="s">
        <v>79</v>
      </c>
      <c r="L692" t="s">
        <v>79</v>
      </c>
      <c r="M692">
        <v>2.0547945205479454</v>
      </c>
      <c r="N692" s="5">
        <v>44918</v>
      </c>
      <c r="O692" s="5">
        <v>44935</v>
      </c>
      <c r="P692">
        <v>0.9</v>
      </c>
      <c r="Q692" s="4">
        <v>150</v>
      </c>
      <c r="R692">
        <v>0.42</v>
      </c>
      <c r="S692" t="s">
        <v>70</v>
      </c>
      <c r="T692" s="6">
        <v>1</v>
      </c>
      <c r="U692" s="5">
        <v>44979</v>
      </c>
      <c r="V692" s="6">
        <v>2</v>
      </c>
      <c r="W692" t="s">
        <v>71</v>
      </c>
      <c r="X692" s="6">
        <v>44</v>
      </c>
      <c r="Y692">
        <v>9.1286000000000005</v>
      </c>
      <c r="Z692">
        <v>3.65144</v>
      </c>
      <c r="AA692" s="6">
        <v>98.000021909164602</v>
      </c>
      <c r="AB692" s="4">
        <v>99.400333333333336</v>
      </c>
      <c r="AC692" s="6">
        <v>10.204079351399448</v>
      </c>
      <c r="AD692">
        <v>0.222365492</v>
      </c>
      <c r="AE692">
        <v>1.2513427650675382</v>
      </c>
      <c r="AF692">
        <v>10950</v>
      </c>
      <c r="AG692" s="4">
        <v>0</v>
      </c>
      <c r="AH692" s="4">
        <v>22500</v>
      </c>
      <c r="AI692" t="s">
        <v>73</v>
      </c>
      <c r="AJ692" t="s">
        <v>73</v>
      </c>
      <c r="AK692" t="s">
        <v>103</v>
      </c>
      <c r="AL692">
        <v>98</v>
      </c>
      <c r="AM692">
        <v>9.1286000000000005</v>
      </c>
      <c r="AN692" t="s">
        <v>73</v>
      </c>
      <c r="AO692" t="s">
        <v>144</v>
      </c>
      <c r="AP692" s="5">
        <v>44935</v>
      </c>
      <c r="AQ692" t="s">
        <v>134</v>
      </c>
      <c r="AR692" s="5">
        <v>44973</v>
      </c>
      <c r="AS692">
        <v>138.41311920776459</v>
      </c>
      <c r="AT692" s="6"/>
      <c r="AU692">
        <v>44.366058322196167</v>
      </c>
      <c r="AV692">
        <v>38.833574699296705</v>
      </c>
      <c r="AW692">
        <v>12.320143285936505</v>
      </c>
      <c r="AX692">
        <v>95.519776307429382</v>
      </c>
      <c r="AY692">
        <v>15.69266262077427</v>
      </c>
      <c r="AZ692">
        <v>19.892852135048088</v>
      </c>
      <c r="BA692">
        <v>10.553397015971782</v>
      </c>
      <c r="BB692">
        <v>1.5828495059483381</v>
      </c>
      <c r="BC692">
        <v>8.9562934075323692</v>
      </c>
      <c r="BD692">
        <v>56.678054685274844</v>
      </c>
      <c r="BE692">
        <v>-13.784711784939631</v>
      </c>
      <c r="BF692">
        <v>4.8746346646802348</v>
      </c>
      <c r="BG692">
        <v>2.4116282891133358</v>
      </c>
      <c r="BH692">
        <v>7.2862629537935701</v>
      </c>
      <c r="BI692">
        <v>159.48409394649778</v>
      </c>
      <c r="BJ692" s="6">
        <v>150</v>
      </c>
      <c r="BK692">
        <v>-21.070974738733184</v>
      </c>
      <c r="BL692" s="4">
        <v>-192.34849999999977</v>
      </c>
      <c r="BM692" t="s">
        <v>145</v>
      </c>
      <c r="BN692" t="s">
        <v>65</v>
      </c>
      <c r="BO692">
        <v>2</v>
      </c>
      <c r="BP692">
        <v>2023</v>
      </c>
      <c r="BQ692" t="str">
        <f t="shared" si="51"/>
        <v>Chantaburi32</v>
      </c>
      <c r="BR692">
        <f t="shared" si="52"/>
        <v>-86.576499999999641</v>
      </c>
      <c r="BS692">
        <f t="shared" si="53"/>
        <v>1263.518</v>
      </c>
      <c r="BT692" s="6">
        <f t="shared" si="54"/>
        <v>-9.4840939464977794</v>
      </c>
    </row>
    <row r="693" spans="1:72">
      <c r="A693" s="3" t="s">
        <v>113</v>
      </c>
      <c r="B693" s="3" t="s">
        <v>138</v>
      </c>
      <c r="C693" s="3" t="s">
        <v>140</v>
      </c>
      <c r="D693" s="2" t="s">
        <v>141</v>
      </c>
      <c r="E693" s="4" t="str">
        <f t="shared" si="50"/>
        <v>Chantaburi3A1-009-0043</v>
      </c>
      <c r="F693">
        <v>4.2</v>
      </c>
      <c r="G693">
        <v>1.6</v>
      </c>
      <c r="H693" t="s">
        <v>72</v>
      </c>
      <c r="I693" t="s">
        <v>75</v>
      </c>
      <c r="J693" t="s">
        <v>95</v>
      </c>
      <c r="K693" t="s">
        <v>79</v>
      </c>
      <c r="L693" t="s">
        <v>79</v>
      </c>
      <c r="M693">
        <v>2.3788546255506606</v>
      </c>
      <c r="N693" s="5">
        <v>45051</v>
      </c>
      <c r="O693" s="5">
        <v>45088</v>
      </c>
      <c r="P693">
        <v>1.1000000000000001</v>
      </c>
      <c r="Q693" s="4">
        <v>102</v>
      </c>
      <c r="R693">
        <v>0.43</v>
      </c>
      <c r="S693" t="s">
        <v>70</v>
      </c>
      <c r="T693" s="6">
        <v>1</v>
      </c>
      <c r="U693" s="5">
        <v>45125</v>
      </c>
      <c r="V693" s="6">
        <v>2</v>
      </c>
      <c r="W693" t="s">
        <v>71</v>
      </c>
      <c r="X693" s="6">
        <v>37</v>
      </c>
      <c r="Y693">
        <v>9.8153899999999989</v>
      </c>
      <c r="Z693">
        <v>2.3369976190476187</v>
      </c>
      <c r="AA693" s="6">
        <v>120.00002037616437</v>
      </c>
      <c r="AB693" s="4">
        <v>107.077</v>
      </c>
      <c r="AC693" s="6">
        <v>8.333331918322159</v>
      </c>
      <c r="AD693">
        <v>0.213603604</v>
      </c>
      <c r="AE693">
        <v>1.2148613399010773</v>
      </c>
      <c r="AF693">
        <v>11350</v>
      </c>
      <c r="AG693" s="4">
        <v>10080</v>
      </c>
      <c r="AH693" s="4">
        <v>27000</v>
      </c>
      <c r="AI693" t="s">
        <v>73</v>
      </c>
      <c r="AJ693" t="s">
        <v>73</v>
      </c>
      <c r="AK693" t="s">
        <v>127</v>
      </c>
      <c r="AL693">
        <v>119.99999999999999</v>
      </c>
      <c r="AM693">
        <v>9.8153899999999989</v>
      </c>
      <c r="AN693" t="s">
        <v>73</v>
      </c>
      <c r="AO693" t="s">
        <v>108</v>
      </c>
      <c r="AP693" s="5">
        <v>45088</v>
      </c>
      <c r="AQ693" t="s">
        <v>94</v>
      </c>
      <c r="AR693" s="5">
        <v>45123</v>
      </c>
      <c r="AS693">
        <v>99.758195038607738</v>
      </c>
      <c r="AT693" s="6"/>
      <c r="AU693">
        <v>50.431006816845795</v>
      </c>
      <c r="AV693">
        <v>35.941279969517254</v>
      </c>
      <c r="AW693">
        <v>58.905214158581572</v>
      </c>
      <c r="AX693">
        <v>145.27750094494462</v>
      </c>
      <c r="AY693">
        <v>32.143018260099701</v>
      </c>
      <c r="AZ693">
        <v>32.14557343111175</v>
      </c>
      <c r="BA693">
        <v>22.313868323112992</v>
      </c>
      <c r="BB693">
        <v>55.370333731008152</v>
      </c>
      <c r="BC693">
        <v>28.110612008284949</v>
      </c>
      <c r="BD693">
        <v>170.08340575361754</v>
      </c>
      <c r="BE693">
        <v>-215.60271165995442</v>
      </c>
      <c r="BF693">
        <v>6.6385614835477762</v>
      </c>
      <c r="BG693">
        <v>5.9369296584241686</v>
      </c>
      <c r="BH693">
        <v>12.575491141971945</v>
      </c>
      <c r="BI693">
        <v>327.93639784053414</v>
      </c>
      <c r="BJ693" s="6">
        <v>150</v>
      </c>
      <c r="BK693">
        <v>-228.1782028019264</v>
      </c>
      <c r="BL693" s="4">
        <v>-2239.6580500000005</v>
      </c>
      <c r="BM693" t="s">
        <v>142</v>
      </c>
      <c r="BN693" t="s">
        <v>65</v>
      </c>
      <c r="BO693">
        <v>7</v>
      </c>
      <c r="BP693">
        <v>2023</v>
      </c>
      <c r="BQ693" t="str">
        <f t="shared" si="51"/>
        <v>Chantaburi37</v>
      </c>
      <c r="BR693">
        <f t="shared" si="52"/>
        <v>-1746.5151400000002</v>
      </c>
      <c r="BS693">
        <f t="shared" si="53"/>
        <v>979.16558999999995</v>
      </c>
      <c r="BT693" s="6">
        <f t="shared" si="54"/>
        <v>-177.93639784053414</v>
      </c>
    </row>
    <row r="694" spans="1:72">
      <c r="A694" s="3" t="s">
        <v>113</v>
      </c>
      <c r="B694" s="3" t="s">
        <v>138</v>
      </c>
      <c r="C694" s="3" t="s">
        <v>140</v>
      </c>
      <c r="D694" s="2" t="s">
        <v>152</v>
      </c>
      <c r="E694" s="4" t="str">
        <f t="shared" si="50"/>
        <v>Chantaburi3A1-010-0046</v>
      </c>
      <c r="F694">
        <v>3.9</v>
      </c>
      <c r="G694">
        <v>1.5</v>
      </c>
      <c r="H694" t="s">
        <v>72</v>
      </c>
      <c r="I694" t="s">
        <v>75</v>
      </c>
      <c r="J694" t="s">
        <v>95</v>
      </c>
      <c r="K694" t="s">
        <v>79</v>
      </c>
      <c r="L694" t="s">
        <v>79</v>
      </c>
      <c r="M694">
        <v>1.048999309868875</v>
      </c>
      <c r="N694" s="5">
        <v>44926</v>
      </c>
      <c r="O694" s="5">
        <v>44952</v>
      </c>
      <c r="P694">
        <v>1.5</v>
      </c>
      <c r="Q694" s="4">
        <v>160</v>
      </c>
      <c r="R694">
        <v>0.3</v>
      </c>
      <c r="S694" t="s">
        <v>70</v>
      </c>
      <c r="T694" s="6">
        <v>3</v>
      </c>
      <c r="U694" s="5">
        <v>45024</v>
      </c>
      <c r="V694" s="6">
        <v>2</v>
      </c>
      <c r="W694" t="s">
        <v>71</v>
      </c>
      <c r="X694" s="6">
        <v>72</v>
      </c>
      <c r="Y694">
        <v>16.692619999999998</v>
      </c>
      <c r="Z694">
        <v>4.2801589743589741</v>
      </c>
      <c r="AA694" s="6">
        <v>71.349674287199974</v>
      </c>
      <c r="AB694" s="4">
        <v>79.400866666666673</v>
      </c>
      <c r="AC694" s="6">
        <v>14.015480939334834</v>
      </c>
      <c r="AD694">
        <v>0.212847222</v>
      </c>
      <c r="AE694">
        <v>2.2302436429590795</v>
      </c>
      <c r="AF694">
        <v>36225</v>
      </c>
      <c r="AG694" s="4">
        <v>6240</v>
      </c>
      <c r="AH694" s="4">
        <v>38000</v>
      </c>
      <c r="AL694">
        <v>64</v>
      </c>
      <c r="AM694">
        <v>6.8320699999999999</v>
      </c>
      <c r="AN694" t="s">
        <v>77</v>
      </c>
      <c r="AO694" t="s">
        <v>134</v>
      </c>
      <c r="AP694" s="5">
        <v>44952</v>
      </c>
      <c r="AQ694" t="s">
        <v>134</v>
      </c>
      <c r="AR694" s="5">
        <v>45022</v>
      </c>
      <c r="AS694">
        <v>158.5526777701763</v>
      </c>
      <c r="AT694" s="6"/>
      <c r="AU694">
        <v>35.94402795966122</v>
      </c>
      <c r="AV694">
        <v>71.061648800487859</v>
      </c>
      <c r="AW694">
        <v>61.361647242913349</v>
      </c>
      <c r="AX694">
        <v>168.36732400306244</v>
      </c>
      <c r="AY694">
        <v>22.293155298569072</v>
      </c>
      <c r="AZ694">
        <v>29.357647271668558</v>
      </c>
      <c r="BA694">
        <v>14.064345201651989</v>
      </c>
      <c r="BB694">
        <v>14.247101413678621</v>
      </c>
      <c r="BC694">
        <v>14.259597954065928</v>
      </c>
      <c r="BD694">
        <v>94.221847139634164</v>
      </c>
      <c r="BE694">
        <v>-104.0364933725203</v>
      </c>
      <c r="BF694">
        <v>2.9897499613601703</v>
      </c>
      <c r="BG694">
        <v>3.832176734389209</v>
      </c>
      <c r="BH694">
        <v>6.8219266957493785</v>
      </c>
      <c r="BI694">
        <v>269.41109783844598</v>
      </c>
      <c r="BJ694" s="6">
        <v>150</v>
      </c>
      <c r="BK694">
        <v>-110.85842006826969</v>
      </c>
      <c r="BL694" s="4">
        <v>-1850.51748</v>
      </c>
      <c r="BM694" t="s">
        <v>153</v>
      </c>
      <c r="BN694" t="s">
        <v>65</v>
      </c>
      <c r="BO694">
        <v>4</v>
      </c>
      <c r="BP694">
        <v>2023</v>
      </c>
      <c r="BQ694" t="str">
        <f t="shared" si="51"/>
        <v>Chantaburi34</v>
      </c>
      <c r="BR694">
        <f t="shared" si="52"/>
        <v>-1993.2840799999999</v>
      </c>
      <c r="BS694">
        <f t="shared" si="53"/>
        <v>2646.6596</v>
      </c>
      <c r="BT694" s="6">
        <f t="shared" si="54"/>
        <v>-119.41109783844598</v>
      </c>
    </row>
    <row r="695" spans="1:72">
      <c r="A695" s="3" t="s">
        <v>113</v>
      </c>
      <c r="B695" s="3" t="s">
        <v>138</v>
      </c>
      <c r="C695" s="3" t="s">
        <v>140</v>
      </c>
      <c r="D695" s="2" t="s">
        <v>2874</v>
      </c>
      <c r="E695" s="4" t="str">
        <f t="shared" si="50"/>
        <v>Chantaburi3B1-023-0028</v>
      </c>
      <c r="F695">
        <v>2.2999999999999998</v>
      </c>
      <c r="G695">
        <v>1.8</v>
      </c>
      <c r="H695" t="s">
        <v>72</v>
      </c>
      <c r="I695" t="s">
        <v>75</v>
      </c>
      <c r="J695" t="s">
        <v>95</v>
      </c>
      <c r="K695" t="s">
        <v>79</v>
      </c>
      <c r="L695" t="s">
        <v>79</v>
      </c>
      <c r="M695">
        <v>2.0935323383084579</v>
      </c>
      <c r="N695" s="5">
        <v>45022</v>
      </c>
      <c r="O695" s="5">
        <v>45045</v>
      </c>
      <c r="P695">
        <v>1.2</v>
      </c>
      <c r="Q695" s="4">
        <v>181</v>
      </c>
      <c r="R695">
        <v>0.73</v>
      </c>
      <c r="S695" t="s">
        <v>70</v>
      </c>
      <c r="T695" s="6"/>
      <c r="U695" s="5">
        <v>45065</v>
      </c>
      <c r="V695" s="6">
        <v>3</v>
      </c>
      <c r="W695" t="s">
        <v>2831</v>
      </c>
      <c r="X695" s="6"/>
      <c r="AA695" s="6"/>
      <c r="AB695" s="4"/>
      <c r="AC695" s="6"/>
      <c r="AF695">
        <v>5025</v>
      </c>
      <c r="AG695" s="4">
        <v>0</v>
      </c>
      <c r="AH695" s="4">
        <v>10520</v>
      </c>
      <c r="AI695" t="s">
        <v>73</v>
      </c>
      <c r="AJ695" t="s">
        <v>73</v>
      </c>
      <c r="AK695" t="s">
        <v>93</v>
      </c>
      <c r="AN695" t="s">
        <v>73</v>
      </c>
      <c r="AO695" t="s">
        <v>134</v>
      </c>
      <c r="AP695" s="5">
        <v>45050</v>
      </c>
      <c r="AQ695" t="s">
        <v>74</v>
      </c>
      <c r="AR695" s="5">
        <v>45057</v>
      </c>
      <c r="AT695" s="6"/>
      <c r="BJ695" s="6"/>
      <c r="BL695" s="4">
        <v>-1278.6331100000002</v>
      </c>
      <c r="BM695" t="s">
        <v>2875</v>
      </c>
      <c r="BN695" t="s">
        <v>65</v>
      </c>
      <c r="BO695">
        <v>5</v>
      </c>
      <c r="BP695">
        <v>2023</v>
      </c>
      <c r="BQ695" t="str">
        <f t="shared" si="51"/>
        <v>Chantaburi35</v>
      </c>
      <c r="BR695">
        <f t="shared" si="52"/>
        <v>0</v>
      </c>
      <c r="BS695">
        <f t="shared" si="53"/>
        <v>0</v>
      </c>
      <c r="BT695" s="6">
        <f t="shared" si="54"/>
        <v>0</v>
      </c>
    </row>
    <row r="696" spans="1:72">
      <c r="A696" s="3" t="s">
        <v>113</v>
      </c>
      <c r="B696" s="3" t="s">
        <v>248</v>
      </c>
      <c r="C696" s="3" t="s">
        <v>250</v>
      </c>
      <c r="D696" s="2" t="s">
        <v>276</v>
      </c>
      <c r="E696" s="4" t="str">
        <f t="shared" si="50"/>
        <v>Lucky3B1-025-0010</v>
      </c>
      <c r="F696">
        <v>1.5</v>
      </c>
      <c r="G696">
        <v>2</v>
      </c>
      <c r="H696" t="s">
        <v>72</v>
      </c>
      <c r="I696" t="s">
        <v>75</v>
      </c>
      <c r="J696" t="s">
        <v>112</v>
      </c>
      <c r="K696" t="s">
        <v>79</v>
      </c>
      <c r="L696" t="s">
        <v>79</v>
      </c>
      <c r="M696">
        <v>1.5163979988882712</v>
      </c>
      <c r="N696" s="5">
        <v>44941</v>
      </c>
      <c r="O696" s="5">
        <v>44960</v>
      </c>
      <c r="P696">
        <v>0.7</v>
      </c>
      <c r="Q696" s="4">
        <v>146</v>
      </c>
      <c r="R696">
        <v>0.52</v>
      </c>
      <c r="S696" t="s">
        <v>70</v>
      </c>
      <c r="T696" s="6">
        <v>4</v>
      </c>
      <c r="U696" s="5">
        <v>45076</v>
      </c>
      <c r="V696" s="6">
        <v>1</v>
      </c>
      <c r="W696" t="s">
        <v>86</v>
      </c>
      <c r="X696" s="6">
        <v>116</v>
      </c>
      <c r="Y696">
        <v>13.32352</v>
      </c>
      <c r="Z696">
        <v>8.8823466666666668</v>
      </c>
      <c r="AA696" s="6">
        <v>31.173068378326448</v>
      </c>
      <c r="AB696" s="4">
        <v>59.333571428571432</v>
      </c>
      <c r="AC696" s="6">
        <v>32.078972395776901</v>
      </c>
      <c r="AD696">
        <v>0.32708222799999992</v>
      </c>
      <c r="AE696">
        <v>2.082257866629011</v>
      </c>
      <c r="AF696">
        <v>26985</v>
      </c>
      <c r="AG696" s="4">
        <v>8400</v>
      </c>
      <c r="AH696" s="4">
        <v>40920</v>
      </c>
      <c r="AL696">
        <v>26</v>
      </c>
      <c r="AM696">
        <v>4.3525499999999999</v>
      </c>
      <c r="AN696" t="s">
        <v>81</v>
      </c>
      <c r="AO696" t="s">
        <v>144</v>
      </c>
      <c r="AP696" s="5">
        <v>44963</v>
      </c>
      <c r="AQ696" t="s">
        <v>116</v>
      </c>
      <c r="AR696" s="5">
        <v>45071</v>
      </c>
      <c r="AS696">
        <v>227.33901026155246</v>
      </c>
      <c r="AT696" s="6"/>
      <c r="AU696">
        <v>23.642400806993951</v>
      </c>
      <c r="AV696">
        <v>65.564663842588203</v>
      </c>
      <c r="AW696">
        <v>30.154702360937648</v>
      </c>
      <c r="AX696">
        <v>119.3617670105198</v>
      </c>
      <c r="AY696">
        <v>20.977894730521665</v>
      </c>
      <c r="AZ696">
        <v>32.598497994523974</v>
      </c>
      <c r="BA696">
        <v>13.551823392016525</v>
      </c>
      <c r="BB696">
        <v>20.195205171005863</v>
      </c>
      <c r="BC696">
        <v>12.846434725958304</v>
      </c>
      <c r="BD696">
        <v>100.16985601402632</v>
      </c>
      <c r="BE696">
        <v>7.8073872370063384</v>
      </c>
      <c r="BF696">
        <v>7.1548584758382159</v>
      </c>
      <c r="BH696">
        <v>7.1548584758382159</v>
      </c>
      <c r="BI696">
        <v>226.68648150038428</v>
      </c>
      <c r="BJ696" s="6">
        <v>194</v>
      </c>
      <c r="BK696">
        <v>0.65252876116818348</v>
      </c>
      <c r="BL696" s="4">
        <v>8.6939799999995149</v>
      </c>
      <c r="BM696" t="s">
        <v>277</v>
      </c>
      <c r="BN696" t="s">
        <v>65</v>
      </c>
      <c r="BO696">
        <v>5</v>
      </c>
      <c r="BP696">
        <v>2023</v>
      </c>
      <c r="BQ696" t="str">
        <f t="shared" si="51"/>
        <v>Lucky35</v>
      </c>
      <c r="BR696">
        <f t="shared" si="52"/>
        <v>-435.49898999999988</v>
      </c>
      <c r="BS696">
        <f t="shared" si="53"/>
        <v>3028.9558499999994</v>
      </c>
      <c r="BT696" s="6">
        <f t="shared" si="54"/>
        <v>-32.686481500384275</v>
      </c>
    </row>
    <row r="697" spans="1:72">
      <c r="A697" s="3" t="s">
        <v>113</v>
      </c>
      <c r="B697" s="3" t="s">
        <v>248</v>
      </c>
      <c r="C697" s="3" t="s">
        <v>250</v>
      </c>
      <c r="D697" s="2" t="s">
        <v>274</v>
      </c>
      <c r="E697" s="4" t="str">
        <f t="shared" si="50"/>
        <v>Lucky3B1-024-0009</v>
      </c>
      <c r="F697">
        <v>1.5</v>
      </c>
      <c r="G697">
        <v>2</v>
      </c>
      <c r="H697" t="s">
        <v>72</v>
      </c>
      <c r="I697" t="s">
        <v>75</v>
      </c>
      <c r="J697" t="s">
        <v>112</v>
      </c>
      <c r="K697" t="s">
        <v>79</v>
      </c>
      <c r="L697" t="s">
        <v>79</v>
      </c>
      <c r="M697">
        <v>1.599078341013825</v>
      </c>
      <c r="N697" s="5">
        <v>44941</v>
      </c>
      <c r="O697" s="5">
        <v>44960</v>
      </c>
      <c r="P697">
        <v>0.7</v>
      </c>
      <c r="Q697" s="4">
        <v>146</v>
      </c>
      <c r="R697">
        <v>0.52</v>
      </c>
      <c r="S697" t="s">
        <v>70</v>
      </c>
      <c r="T697" s="6">
        <v>3</v>
      </c>
      <c r="U697" s="5">
        <v>45073</v>
      </c>
      <c r="V697" s="6">
        <v>1</v>
      </c>
      <c r="W697" t="s">
        <v>86</v>
      </c>
      <c r="X697" s="6">
        <v>113.00000000000001</v>
      </c>
      <c r="Y697">
        <v>13.00886</v>
      </c>
      <c r="Z697">
        <v>8.6725733333333341</v>
      </c>
      <c r="AA697" s="6">
        <v>32.590634383028181</v>
      </c>
      <c r="AB697" s="4">
        <v>60.566714285714284</v>
      </c>
      <c r="AC697" s="6">
        <v>30.68366170008515</v>
      </c>
      <c r="AD697">
        <v>0.31145385599999997</v>
      </c>
      <c r="AE697">
        <v>2.0593396668836195</v>
      </c>
      <c r="AF697">
        <v>26040</v>
      </c>
      <c r="AG697" s="4">
        <v>8400</v>
      </c>
      <c r="AH697" s="4">
        <v>41640</v>
      </c>
      <c r="AL697">
        <v>28</v>
      </c>
      <c r="AM697">
        <v>8.395010000000001</v>
      </c>
      <c r="AN697" t="s">
        <v>81</v>
      </c>
      <c r="AO697" t="s">
        <v>144</v>
      </c>
      <c r="AP697" s="5">
        <v>44963</v>
      </c>
      <c r="AQ697" t="s">
        <v>116</v>
      </c>
      <c r="AR697" s="5">
        <v>45071</v>
      </c>
      <c r="AS697">
        <v>202.15723745201348</v>
      </c>
      <c r="AT697" s="6"/>
      <c r="AU697">
        <v>24.214266276983533</v>
      </c>
      <c r="AV697">
        <v>64.759112635542266</v>
      </c>
      <c r="AW697">
        <v>30.923461394772485</v>
      </c>
      <c r="AX697">
        <v>119.89684030729829</v>
      </c>
      <c r="AY697">
        <v>20.926127270183549</v>
      </c>
      <c r="AZ697">
        <v>32.711715707602352</v>
      </c>
      <c r="BA697">
        <v>13.685708048207143</v>
      </c>
      <c r="BB697">
        <v>20.113300473677167</v>
      </c>
      <c r="BC697">
        <v>12.905485184712571</v>
      </c>
      <c r="BD697">
        <v>100.34233668438279</v>
      </c>
      <c r="BE697">
        <v>-18.081939539667601</v>
      </c>
      <c r="BF697">
        <v>7.1958626659061595</v>
      </c>
      <c r="BH697">
        <v>7.1958626659061595</v>
      </c>
      <c r="BI697">
        <v>227.4350396575872</v>
      </c>
      <c r="BJ697" s="6">
        <v>192</v>
      </c>
      <c r="BK697">
        <v>-25.277802205573714</v>
      </c>
      <c r="BL697" s="4">
        <v>-328.83538999999968</v>
      </c>
      <c r="BM697" t="s">
        <v>275</v>
      </c>
      <c r="BN697" t="s">
        <v>65</v>
      </c>
      <c r="BO697">
        <v>5</v>
      </c>
      <c r="BP697">
        <v>2023</v>
      </c>
      <c r="BQ697" t="str">
        <f t="shared" si="51"/>
        <v>Lucky35</v>
      </c>
      <c r="BR697">
        <f t="shared" si="52"/>
        <v>-460.96946999999977</v>
      </c>
      <c r="BS697">
        <f t="shared" si="53"/>
        <v>2629.8352</v>
      </c>
      <c r="BT697" s="6">
        <f t="shared" si="54"/>
        <v>-35.435039657587197</v>
      </c>
    </row>
    <row r="698" spans="1:72">
      <c r="A698" s="3" t="s">
        <v>113</v>
      </c>
      <c r="B698" s="3" t="s">
        <v>248</v>
      </c>
      <c r="C698" s="3" t="s">
        <v>250</v>
      </c>
      <c r="D698" s="2" t="s">
        <v>265</v>
      </c>
      <c r="E698" s="4" t="str">
        <f t="shared" si="50"/>
        <v>Lucky3B1-011-0028</v>
      </c>
      <c r="F698">
        <v>3.82</v>
      </c>
      <c r="G698">
        <v>1.7</v>
      </c>
      <c r="H698" t="s">
        <v>72</v>
      </c>
      <c r="I698" t="s">
        <v>75</v>
      </c>
      <c r="J698" t="s">
        <v>95</v>
      </c>
      <c r="K698" t="s">
        <v>79</v>
      </c>
      <c r="L698" t="s">
        <v>79</v>
      </c>
      <c r="M698">
        <v>0.51800822659933787</v>
      </c>
      <c r="N698" s="5">
        <v>45010</v>
      </c>
      <c r="O698" s="5">
        <v>45039</v>
      </c>
      <c r="P698">
        <v>2</v>
      </c>
      <c r="Q698" s="4">
        <v>192</v>
      </c>
      <c r="R698">
        <v>1.0609999999999999</v>
      </c>
      <c r="S698" t="s">
        <v>70</v>
      </c>
      <c r="T698" s="6">
        <v>2</v>
      </c>
      <c r="U698" s="5">
        <v>45103</v>
      </c>
      <c r="V698" s="6">
        <v>1</v>
      </c>
      <c r="W698" t="s">
        <v>86</v>
      </c>
      <c r="X698" s="6">
        <v>64</v>
      </c>
      <c r="Y698">
        <v>18.32009</v>
      </c>
      <c r="Z698">
        <v>4.795835078534032</v>
      </c>
      <c r="AA698" s="6">
        <v>48.912914729130698</v>
      </c>
      <c r="AB698" s="4">
        <v>44.804450000000003</v>
      </c>
      <c r="AC698" s="6">
        <v>20.444498258543515</v>
      </c>
      <c r="AD698">
        <v>0.295921875</v>
      </c>
      <c r="AE698">
        <v>1.8461878502157167</v>
      </c>
      <c r="AF698">
        <v>29903</v>
      </c>
      <c r="AG698" s="4">
        <v>0</v>
      </c>
      <c r="AH698" s="4">
        <v>15490</v>
      </c>
      <c r="AI698" t="s">
        <v>73</v>
      </c>
      <c r="AJ698" t="s">
        <v>73</v>
      </c>
      <c r="AK698" t="s">
        <v>266</v>
      </c>
      <c r="AL698">
        <v>50</v>
      </c>
      <c r="AM698">
        <v>11.681749999999999</v>
      </c>
      <c r="AN698" t="s">
        <v>73</v>
      </c>
      <c r="AO698" t="s">
        <v>134</v>
      </c>
      <c r="AP698" s="5">
        <v>45040</v>
      </c>
      <c r="AQ698" t="s">
        <v>131</v>
      </c>
      <c r="AR698" s="5">
        <v>45099</v>
      </c>
      <c r="AS698">
        <v>131.70262864429159</v>
      </c>
      <c r="AT698" s="6"/>
      <c r="AU698">
        <v>60.043373149367717</v>
      </c>
      <c r="AV698">
        <v>52.896742319497342</v>
      </c>
      <c r="AW698">
        <v>29.274576707865517</v>
      </c>
      <c r="AX698">
        <v>142.21469217673058</v>
      </c>
      <c r="AY698">
        <v>29.589851359900525</v>
      </c>
      <c r="AZ698">
        <v>35.48119032166327</v>
      </c>
      <c r="BA698">
        <v>15.408364260219246</v>
      </c>
      <c r="BB698">
        <v>37.902837267720848</v>
      </c>
      <c r="BC698">
        <v>20.724756810692522</v>
      </c>
      <c r="BD698">
        <v>139.10700002019641</v>
      </c>
      <c r="BE698">
        <v>-149.6190635526354</v>
      </c>
      <c r="BF698">
        <v>10.717619837020452</v>
      </c>
      <c r="BH698">
        <v>10.717619837020452</v>
      </c>
      <c r="BI698">
        <v>292.0393120339474</v>
      </c>
      <c r="BJ698" s="6">
        <v>169</v>
      </c>
      <c r="BK698">
        <v>-160.3366833896558</v>
      </c>
      <c r="BL698" s="4">
        <v>-2937.3824699999991</v>
      </c>
      <c r="BM698" t="s">
        <v>267</v>
      </c>
      <c r="BN698" t="s">
        <v>65</v>
      </c>
      <c r="BO698">
        <v>6</v>
      </c>
      <c r="BP698">
        <v>2023</v>
      </c>
      <c r="BQ698" t="str">
        <f t="shared" si="51"/>
        <v>Lucky36</v>
      </c>
      <c r="BR698">
        <f t="shared" si="52"/>
        <v>-2254.0912699999994</v>
      </c>
      <c r="BS698">
        <f t="shared" si="53"/>
        <v>2412.8040099999998</v>
      </c>
      <c r="BT698" s="6">
        <f t="shared" si="54"/>
        <v>-123.0393120339474</v>
      </c>
    </row>
    <row r="699" spans="1:72">
      <c r="A699" s="3" t="s">
        <v>113</v>
      </c>
      <c r="B699" s="3" t="s">
        <v>248</v>
      </c>
      <c r="C699" s="3" t="s">
        <v>250</v>
      </c>
      <c r="D699" s="2" t="s">
        <v>263</v>
      </c>
      <c r="E699" s="4" t="str">
        <f t="shared" si="50"/>
        <v>Lucky3B1-023-0012</v>
      </c>
      <c r="F699">
        <v>1.5</v>
      </c>
      <c r="G699">
        <v>2</v>
      </c>
      <c r="H699" t="s">
        <v>72</v>
      </c>
      <c r="I699" t="s">
        <v>75</v>
      </c>
      <c r="J699" t="s">
        <v>95</v>
      </c>
      <c r="K699" t="s">
        <v>79</v>
      </c>
      <c r="L699" t="s">
        <v>79</v>
      </c>
      <c r="M699">
        <v>0.86678705375746634</v>
      </c>
      <c r="N699" s="5">
        <v>45004</v>
      </c>
      <c r="O699" s="5">
        <v>45032</v>
      </c>
      <c r="P699">
        <v>0.8</v>
      </c>
      <c r="Q699" s="4">
        <v>167</v>
      </c>
      <c r="R699">
        <v>1</v>
      </c>
      <c r="S699" t="s">
        <v>70</v>
      </c>
      <c r="T699" s="6">
        <v>1</v>
      </c>
      <c r="U699" s="5">
        <v>45072</v>
      </c>
      <c r="V699" s="6">
        <v>2</v>
      </c>
      <c r="W699" t="s">
        <v>71</v>
      </c>
      <c r="X699" s="6">
        <v>40</v>
      </c>
      <c r="Y699">
        <v>4.7491400000000006</v>
      </c>
      <c r="Z699">
        <v>3.1660933333333339</v>
      </c>
      <c r="AA699" s="6">
        <v>82.011269408777167</v>
      </c>
      <c r="AB699" s="4">
        <v>48.685375000000001</v>
      </c>
      <c r="AC699" s="6">
        <v>12.193446183787225</v>
      </c>
      <c r="AD699">
        <v>0.27987804900000002</v>
      </c>
      <c r="AE699">
        <v>1.8229285363395573</v>
      </c>
      <c r="AF699">
        <v>7199</v>
      </c>
      <c r="AG699" s="4">
        <v>0</v>
      </c>
      <c r="AH699" s="4">
        <v>6240</v>
      </c>
      <c r="AL699">
        <v>82</v>
      </c>
      <c r="AM699">
        <v>4.7358900000000004</v>
      </c>
      <c r="AN699" t="s">
        <v>259</v>
      </c>
      <c r="AO699" t="s">
        <v>127</v>
      </c>
      <c r="AP699" s="5">
        <v>45036</v>
      </c>
      <c r="AQ699" t="s">
        <v>116</v>
      </c>
      <c r="AR699" s="5">
        <v>45071</v>
      </c>
      <c r="AS699">
        <v>108.31978210791848</v>
      </c>
      <c r="AT699" s="6"/>
      <c r="AU699">
        <v>92.648353175522303</v>
      </c>
      <c r="AV699">
        <v>48.577618263517166</v>
      </c>
      <c r="AW699">
        <v>34.455061337421085</v>
      </c>
      <c r="AX699">
        <v>175.68103277646054</v>
      </c>
      <c r="AY699">
        <v>31.641695127960006</v>
      </c>
      <c r="AZ699">
        <v>40.574977785451679</v>
      </c>
      <c r="BA699">
        <v>18.323801783059668</v>
      </c>
      <c r="BB699">
        <v>35.407619063662047</v>
      </c>
      <c r="BC699">
        <v>19.255288325886372</v>
      </c>
      <c r="BD699">
        <v>145.20338208601979</v>
      </c>
      <c r="BE699">
        <v>-212.56463275456184</v>
      </c>
      <c r="BF699">
        <v>9.6487785156891555</v>
      </c>
      <c r="BH699">
        <v>9.6487785156891555</v>
      </c>
      <c r="BI699">
        <v>330.53319337816953</v>
      </c>
      <c r="BJ699" s="6">
        <v>150</v>
      </c>
      <c r="BK699">
        <v>-222.21341127025104</v>
      </c>
      <c r="BL699" s="4">
        <v>-1055.3226000000002</v>
      </c>
      <c r="BM699" t="s">
        <v>264</v>
      </c>
      <c r="BN699" t="s">
        <v>65</v>
      </c>
      <c r="BO699">
        <v>5</v>
      </c>
      <c r="BP699">
        <v>2023</v>
      </c>
      <c r="BQ699" t="str">
        <f t="shared" si="51"/>
        <v>Lucky35</v>
      </c>
      <c r="BR699">
        <f t="shared" si="52"/>
        <v>-857.37741000000017</v>
      </c>
      <c r="BS699">
        <f t="shared" si="53"/>
        <v>514.42581000000007</v>
      </c>
      <c r="BT699" s="6">
        <f t="shared" si="54"/>
        <v>-180.53319337816953</v>
      </c>
    </row>
    <row r="700" spans="1:72">
      <c r="A700" s="3" t="s">
        <v>113</v>
      </c>
      <c r="B700" s="3" t="s">
        <v>248</v>
      </c>
      <c r="C700" s="3" t="s">
        <v>250</v>
      </c>
      <c r="D700" s="2" t="s">
        <v>280</v>
      </c>
      <c r="E700" s="4" t="str">
        <f t="shared" si="50"/>
        <v>Lucky3B1-011-0027</v>
      </c>
      <c r="F700">
        <v>3.82</v>
      </c>
      <c r="G700">
        <v>1.7</v>
      </c>
      <c r="H700" t="s">
        <v>72</v>
      </c>
      <c r="I700" t="s">
        <v>75</v>
      </c>
      <c r="J700" t="s">
        <v>95</v>
      </c>
      <c r="K700" t="s">
        <v>79</v>
      </c>
      <c r="L700" t="s">
        <v>79</v>
      </c>
      <c r="M700">
        <v>1.8464907397097576</v>
      </c>
      <c r="N700" s="5">
        <v>44842</v>
      </c>
      <c r="O700" s="5">
        <v>44848</v>
      </c>
      <c r="P700">
        <v>1</v>
      </c>
      <c r="Q700" s="4">
        <v>96</v>
      </c>
      <c r="R700">
        <v>0.15</v>
      </c>
      <c r="S700" t="s">
        <v>70</v>
      </c>
      <c r="T700" s="6">
        <v>5</v>
      </c>
      <c r="U700" s="5">
        <v>44989</v>
      </c>
      <c r="V700" s="6">
        <v>1</v>
      </c>
      <c r="W700" t="s">
        <v>86</v>
      </c>
      <c r="X700" s="6">
        <v>141</v>
      </c>
      <c r="Y700">
        <v>27.521189999999997</v>
      </c>
      <c r="Z700">
        <v>7.2044999999999995</v>
      </c>
      <c r="AA700" s="6">
        <v>29.396766636907781</v>
      </c>
      <c r="AB700" s="4">
        <v>80.903400000000005</v>
      </c>
      <c r="AC700" s="6">
        <v>34.017346613368531</v>
      </c>
      <c r="AD700">
        <v>0.27171303899999999</v>
      </c>
      <c r="AE700">
        <v>1.9687123577747261</v>
      </c>
      <c r="AF700">
        <v>53886</v>
      </c>
      <c r="AG700" s="4">
        <v>0</v>
      </c>
      <c r="AH700" s="4">
        <v>99500</v>
      </c>
      <c r="AL700">
        <v>26</v>
      </c>
      <c r="AM700">
        <v>8.1129800000000003</v>
      </c>
      <c r="AN700" t="s">
        <v>81</v>
      </c>
      <c r="AO700" t="s">
        <v>105</v>
      </c>
      <c r="AP700" s="5">
        <v>44851</v>
      </c>
      <c r="AQ700" t="s">
        <v>127</v>
      </c>
      <c r="AR700" s="5">
        <v>44987</v>
      </c>
      <c r="AS700">
        <v>276.42778746122548</v>
      </c>
      <c r="AT700" s="6"/>
      <c r="AU700">
        <v>14.534255241143278</v>
      </c>
      <c r="AV700">
        <v>60.776861756341212</v>
      </c>
      <c r="AW700">
        <v>30.763270774265219</v>
      </c>
      <c r="AX700">
        <v>106.07438777174971</v>
      </c>
      <c r="AY700">
        <v>21.28392013572088</v>
      </c>
      <c r="AZ700">
        <v>39.316445982168645</v>
      </c>
      <c r="BA700">
        <v>10.631076999214063</v>
      </c>
      <c r="BB700">
        <v>17.980989557500969</v>
      </c>
      <c r="BC700">
        <v>16.569721367426339</v>
      </c>
      <c r="BD700">
        <v>105.7821540420309</v>
      </c>
      <c r="BE700">
        <v>64.571245647444869</v>
      </c>
      <c r="BF700">
        <v>13.065967350975736</v>
      </c>
      <c r="BH700">
        <v>13.065967350975736</v>
      </c>
      <c r="BI700">
        <v>224.92250916475632</v>
      </c>
      <c r="BJ700" s="6">
        <v>200</v>
      </c>
      <c r="BK700">
        <v>51.505278296469143</v>
      </c>
      <c r="BL700" s="4">
        <v>1417.4865500000035</v>
      </c>
      <c r="BM700" t="s">
        <v>249</v>
      </c>
      <c r="BN700" t="s">
        <v>65</v>
      </c>
      <c r="BO700">
        <v>3</v>
      </c>
      <c r="BP700">
        <v>2023</v>
      </c>
      <c r="BQ700" t="str">
        <f t="shared" si="51"/>
        <v>Lucky33</v>
      </c>
      <c r="BR700">
        <f t="shared" si="52"/>
        <v>-685.89710999999988</v>
      </c>
      <c r="BS700">
        <f t="shared" si="53"/>
        <v>7607.6216600000034</v>
      </c>
      <c r="BT700" s="6">
        <f t="shared" si="54"/>
        <v>-24.92250916475632</v>
      </c>
    </row>
    <row r="701" spans="1:72">
      <c r="A701" s="3" t="s">
        <v>113</v>
      </c>
      <c r="B701" s="3" t="s">
        <v>248</v>
      </c>
      <c r="C701" s="3" t="s">
        <v>250</v>
      </c>
      <c r="D701" s="2" t="s">
        <v>261</v>
      </c>
      <c r="E701" s="4" t="str">
        <f t="shared" si="50"/>
        <v>Lucky3BG-027-0011</v>
      </c>
      <c r="F701">
        <v>1.5</v>
      </c>
      <c r="G701">
        <v>2</v>
      </c>
      <c r="H701" t="s">
        <v>72</v>
      </c>
      <c r="I701" t="s">
        <v>67</v>
      </c>
      <c r="J701" t="s">
        <v>95</v>
      </c>
      <c r="K701" t="s">
        <v>89</v>
      </c>
      <c r="L701" t="s">
        <v>89</v>
      </c>
      <c r="M701">
        <v>1.8721321505047415</v>
      </c>
      <c r="N701" s="5">
        <v>44997</v>
      </c>
      <c r="O701" s="5">
        <v>45025</v>
      </c>
      <c r="P701">
        <v>0.8</v>
      </c>
      <c r="Q701" s="4">
        <v>167</v>
      </c>
      <c r="R701">
        <v>0.75800000000000001</v>
      </c>
      <c r="S701" t="s">
        <v>70</v>
      </c>
      <c r="T701" s="6">
        <v>1</v>
      </c>
      <c r="U701" s="5">
        <v>45065</v>
      </c>
      <c r="V701" s="6">
        <v>2</v>
      </c>
      <c r="W701" t="s">
        <v>71</v>
      </c>
      <c r="X701" s="6">
        <v>40</v>
      </c>
      <c r="Y701">
        <v>4.6718900000000003</v>
      </c>
      <c r="Z701">
        <v>3.1145933333333335</v>
      </c>
      <c r="AA701" s="6">
        <v>86.999907960161721</v>
      </c>
      <c r="AB701" s="4">
        <v>50.806750000000001</v>
      </c>
      <c r="AC701" s="6">
        <v>11.49426503368155</v>
      </c>
      <c r="AD701">
        <v>0.26840632199999997</v>
      </c>
      <c r="AE701">
        <v>1.6080120219681298</v>
      </c>
      <c r="AF701">
        <v>6538</v>
      </c>
      <c r="AG701" s="4">
        <v>3000</v>
      </c>
      <c r="AH701" s="4">
        <v>12240</v>
      </c>
      <c r="AL701">
        <v>87</v>
      </c>
      <c r="AM701">
        <v>4.6718900000000003</v>
      </c>
      <c r="AN701" t="s">
        <v>256</v>
      </c>
      <c r="AO701" t="s">
        <v>127</v>
      </c>
      <c r="AP701" s="5">
        <v>45026</v>
      </c>
      <c r="AQ701" t="s">
        <v>134</v>
      </c>
      <c r="AR701" s="5">
        <v>45061</v>
      </c>
      <c r="AS701">
        <v>117.16413057670448</v>
      </c>
      <c r="AT701" s="6"/>
      <c r="AU701">
        <v>85.618454201618604</v>
      </c>
      <c r="AV701">
        <v>44.274458516788705</v>
      </c>
      <c r="AW701">
        <v>35.88364666120134</v>
      </c>
      <c r="AX701">
        <v>165.77655937960867</v>
      </c>
      <c r="AY701">
        <v>18.064235245264761</v>
      </c>
      <c r="AZ701">
        <v>23.625761736684723</v>
      </c>
      <c r="BA701">
        <v>46.340793554642765</v>
      </c>
      <c r="BB701">
        <v>11.933707771373042</v>
      </c>
      <c r="BC701">
        <v>40.970630729747484</v>
      </c>
      <c r="BD701">
        <v>140.93512903771278</v>
      </c>
      <c r="BE701">
        <v>-189.54755784061697</v>
      </c>
      <c r="BF701">
        <v>34.025584934576798</v>
      </c>
      <c r="BH701">
        <v>34.025584934576798</v>
      </c>
      <c r="BI701">
        <v>340.73727335189824</v>
      </c>
      <c r="BJ701" s="6">
        <v>150</v>
      </c>
      <c r="BK701">
        <v>-223.57314277519379</v>
      </c>
      <c r="BL701" s="4">
        <v>-1044.5091300000001</v>
      </c>
      <c r="BM701" t="s">
        <v>262</v>
      </c>
      <c r="BN701" t="s">
        <v>65</v>
      </c>
      <c r="BO701">
        <v>5</v>
      </c>
      <c r="BP701">
        <v>2023</v>
      </c>
      <c r="BQ701" t="str">
        <f t="shared" si="51"/>
        <v>Lucky35</v>
      </c>
      <c r="BR701">
        <f t="shared" si="52"/>
        <v>-891.1035599999999</v>
      </c>
      <c r="BS701">
        <f t="shared" si="53"/>
        <v>547.37792999999988</v>
      </c>
      <c r="BT701" s="6">
        <f t="shared" si="54"/>
        <v>-190.73727335189824</v>
      </c>
    </row>
    <row r="702" spans="1:72">
      <c r="A702" s="3" t="s">
        <v>113</v>
      </c>
      <c r="B702" s="3" t="s">
        <v>248</v>
      </c>
      <c r="C702" s="3" t="s">
        <v>250</v>
      </c>
      <c r="D702" s="2" t="s">
        <v>272</v>
      </c>
      <c r="E702" s="4" t="str">
        <f t="shared" si="50"/>
        <v>Lucky3B1-022-0011</v>
      </c>
      <c r="F702">
        <v>1.5</v>
      </c>
      <c r="G702">
        <v>2</v>
      </c>
      <c r="H702" t="s">
        <v>72</v>
      </c>
      <c r="I702" t="s">
        <v>75</v>
      </c>
      <c r="J702" t="s">
        <v>95</v>
      </c>
      <c r="K702" t="s">
        <v>79</v>
      </c>
      <c r="L702" t="s">
        <v>79</v>
      </c>
      <c r="M702">
        <v>2.1292716870264421</v>
      </c>
      <c r="N702" s="5">
        <v>44854</v>
      </c>
      <c r="O702" s="5">
        <v>44886</v>
      </c>
      <c r="P702">
        <v>0.7</v>
      </c>
      <c r="Q702" s="4">
        <v>146</v>
      </c>
      <c r="R702">
        <v>0.27</v>
      </c>
      <c r="S702" t="s">
        <v>70</v>
      </c>
      <c r="T702" s="6">
        <v>4</v>
      </c>
      <c r="U702" s="5">
        <v>45004</v>
      </c>
      <c r="V702" s="6">
        <v>1</v>
      </c>
      <c r="W702" t="s">
        <v>86</v>
      </c>
      <c r="X702" s="6">
        <v>118</v>
      </c>
      <c r="Y702">
        <v>14.09369</v>
      </c>
      <c r="Z702">
        <v>9.3957933333333337</v>
      </c>
      <c r="AA702" s="6">
        <v>35.830006194261401</v>
      </c>
      <c r="AB702" s="4">
        <v>72.139571428571429</v>
      </c>
      <c r="AC702" s="6">
        <v>27.909568158549799</v>
      </c>
      <c r="AD702">
        <v>0.262542373</v>
      </c>
      <c r="AE702">
        <v>1.8603821593752314</v>
      </c>
      <c r="AF702">
        <v>25868</v>
      </c>
      <c r="AG702" s="4">
        <v>3600</v>
      </c>
      <c r="AH702" s="4">
        <v>55080</v>
      </c>
      <c r="AL702">
        <v>32</v>
      </c>
      <c r="AM702">
        <v>8.3225099999999994</v>
      </c>
      <c r="AN702" t="s">
        <v>81</v>
      </c>
      <c r="AO702" t="s">
        <v>108</v>
      </c>
      <c r="AP702" s="5">
        <v>44886</v>
      </c>
      <c r="AQ702" t="s">
        <v>117</v>
      </c>
      <c r="AR702" s="5">
        <v>44999</v>
      </c>
      <c r="AS702">
        <v>234.28326648308564</v>
      </c>
      <c r="AT702" s="6"/>
      <c r="AU702">
        <v>19.867046884102034</v>
      </c>
      <c r="AV702">
        <v>58.079847080501992</v>
      </c>
      <c r="AW702">
        <v>27.271593883503908</v>
      </c>
      <c r="AX702">
        <v>105.21848784810793</v>
      </c>
      <c r="AY702">
        <v>17.274119127070339</v>
      </c>
      <c r="AZ702">
        <v>32.440430433761492</v>
      </c>
      <c r="BA702">
        <v>10.851197237912851</v>
      </c>
      <c r="BB702">
        <v>16.238491835708036</v>
      </c>
      <c r="BC702">
        <v>13.107629726494622</v>
      </c>
      <c r="BD702">
        <v>89.911868360947338</v>
      </c>
      <c r="BE702">
        <v>39.152910274030361</v>
      </c>
      <c r="BF702">
        <v>9.7247853472014771</v>
      </c>
      <c r="BH702">
        <v>9.7247853472014771</v>
      </c>
      <c r="BI702">
        <v>204.85514155625674</v>
      </c>
      <c r="BJ702" s="6">
        <v>187</v>
      </c>
      <c r="BK702">
        <v>29.428124926828897</v>
      </c>
      <c r="BL702" s="4">
        <v>414.75086999999917</v>
      </c>
      <c r="BM702" t="s">
        <v>273</v>
      </c>
      <c r="BN702" t="s">
        <v>65</v>
      </c>
      <c r="BO702">
        <v>3</v>
      </c>
      <c r="BP702">
        <v>2023</v>
      </c>
      <c r="BQ702" t="str">
        <f t="shared" si="51"/>
        <v>Lucky33</v>
      </c>
      <c r="BR702">
        <f t="shared" si="52"/>
        <v>-251.64483000000007</v>
      </c>
      <c r="BS702">
        <f t="shared" si="53"/>
        <v>3301.9157299999993</v>
      </c>
      <c r="BT702" s="6">
        <f t="shared" si="54"/>
        <v>-17.85514155625674</v>
      </c>
    </row>
    <row r="703" spans="1:72">
      <c r="A703" s="3" t="s">
        <v>113</v>
      </c>
      <c r="B703" s="3" t="s">
        <v>248</v>
      </c>
      <c r="C703" s="3" t="s">
        <v>250</v>
      </c>
      <c r="D703" s="2" t="s">
        <v>258</v>
      </c>
      <c r="E703" s="4" t="str">
        <f t="shared" si="50"/>
        <v>Lucky3B1-022-0012</v>
      </c>
      <c r="F703">
        <v>1.5</v>
      </c>
      <c r="G703">
        <v>2</v>
      </c>
      <c r="H703" t="s">
        <v>72</v>
      </c>
      <c r="I703" t="s">
        <v>75</v>
      </c>
      <c r="J703" t="s">
        <v>95</v>
      </c>
      <c r="K703" t="s">
        <v>79</v>
      </c>
      <c r="L703" t="s">
        <v>79</v>
      </c>
      <c r="M703">
        <v>0.94315655763734518</v>
      </c>
      <c r="N703" s="5">
        <v>45005</v>
      </c>
      <c r="O703" s="5">
        <v>45032</v>
      </c>
      <c r="P703">
        <v>0.8</v>
      </c>
      <c r="Q703" s="4">
        <v>167</v>
      </c>
      <c r="R703">
        <v>1.23</v>
      </c>
      <c r="S703" t="s">
        <v>70</v>
      </c>
      <c r="T703" s="6">
        <v>1</v>
      </c>
      <c r="U703" s="5">
        <v>45072</v>
      </c>
      <c r="V703" s="6">
        <v>2</v>
      </c>
      <c r="W703" t="s">
        <v>71</v>
      </c>
      <c r="X703" s="6">
        <v>40</v>
      </c>
      <c r="Y703">
        <v>2.60189</v>
      </c>
      <c r="Z703">
        <v>1.7345933333333334</v>
      </c>
      <c r="AA703" s="6">
        <v>91.017683299447711</v>
      </c>
      <c r="AB703" s="4">
        <v>29.602250000000002</v>
      </c>
      <c r="AC703" s="6">
        <v>10.986875997601533</v>
      </c>
      <c r="AD703">
        <v>0.24397527499999999</v>
      </c>
      <c r="AE703">
        <v>3.8927244744698344</v>
      </c>
      <c r="AF703">
        <v>6298</v>
      </c>
      <c r="AG703" s="4">
        <v>0</v>
      </c>
      <c r="AH703" s="4">
        <v>5940</v>
      </c>
      <c r="AL703">
        <v>91</v>
      </c>
      <c r="AM703">
        <v>2.5904499999999997</v>
      </c>
      <c r="AN703" t="s">
        <v>259</v>
      </c>
      <c r="AO703" t="s">
        <v>117</v>
      </c>
      <c r="AP703" s="5">
        <v>45036</v>
      </c>
      <c r="AQ703" t="s">
        <v>116</v>
      </c>
      <c r="AR703" s="5">
        <v>45071</v>
      </c>
      <c r="AS703">
        <v>97.942245828993535</v>
      </c>
      <c r="AT703" s="6"/>
      <c r="AU703">
        <v>169.10784083877491</v>
      </c>
      <c r="AV703">
        <v>77.548835654082225</v>
      </c>
      <c r="AW703">
        <v>62.316124048287982</v>
      </c>
      <c r="AX703">
        <v>308.97280054114509</v>
      </c>
      <c r="AY703">
        <v>56.826091802497416</v>
      </c>
      <c r="AZ703">
        <v>72.743098286245768</v>
      </c>
      <c r="BA703">
        <v>32.303656188386128</v>
      </c>
      <c r="BB703">
        <v>63.615141301131118</v>
      </c>
      <c r="BC703">
        <v>34.64661457632721</v>
      </c>
      <c r="BD703">
        <v>260.1346021545877</v>
      </c>
      <c r="BE703">
        <v>-471.16515686673927</v>
      </c>
      <c r="BF703">
        <v>17.283566945566491</v>
      </c>
      <c r="BH703">
        <v>17.283566945566491</v>
      </c>
      <c r="BI703">
        <v>586.39096964129931</v>
      </c>
      <c r="BJ703" s="6">
        <v>150</v>
      </c>
      <c r="BK703">
        <v>-488.44872381230573</v>
      </c>
      <c r="BL703" s="4">
        <v>-1270.88985</v>
      </c>
      <c r="BM703" t="s">
        <v>260</v>
      </c>
      <c r="BN703" t="s">
        <v>65</v>
      </c>
      <c r="BO703">
        <v>5</v>
      </c>
      <c r="BP703">
        <v>2023</v>
      </c>
      <c r="BQ703" t="str">
        <f t="shared" si="51"/>
        <v>Lucky35</v>
      </c>
      <c r="BR703">
        <f t="shared" si="52"/>
        <v>-1135.4413000000002</v>
      </c>
      <c r="BS703">
        <f t="shared" si="53"/>
        <v>254.83494999999999</v>
      </c>
      <c r="BT703" s="6">
        <f t="shared" si="54"/>
        <v>-436.39096964129931</v>
      </c>
    </row>
    <row r="704" spans="1:72">
      <c r="A704" s="3" t="s">
        <v>113</v>
      </c>
      <c r="B704" s="3" t="s">
        <v>248</v>
      </c>
      <c r="C704" s="3" t="s">
        <v>250</v>
      </c>
      <c r="D704" s="2" t="s">
        <v>278</v>
      </c>
      <c r="E704" s="4" t="str">
        <f t="shared" si="50"/>
        <v>Lucky3BG-026-0010</v>
      </c>
      <c r="F704">
        <v>1.5</v>
      </c>
      <c r="G704">
        <v>2</v>
      </c>
      <c r="H704" t="s">
        <v>72</v>
      </c>
      <c r="I704" t="s">
        <v>67</v>
      </c>
      <c r="J704" t="s">
        <v>95</v>
      </c>
      <c r="K704" t="s">
        <v>89</v>
      </c>
      <c r="L704" t="s">
        <v>89</v>
      </c>
      <c r="M704">
        <v>2.6491321604170368</v>
      </c>
      <c r="N704" s="5">
        <v>44830</v>
      </c>
      <c r="O704" s="5">
        <v>44854</v>
      </c>
      <c r="P704">
        <v>0.7</v>
      </c>
      <c r="Q704" s="4">
        <v>146</v>
      </c>
      <c r="R704">
        <v>0.19</v>
      </c>
      <c r="S704" t="s">
        <v>70</v>
      </c>
      <c r="T704" s="6">
        <v>2</v>
      </c>
      <c r="U704" s="5">
        <v>44995</v>
      </c>
      <c r="V704" s="6">
        <v>2</v>
      </c>
      <c r="W704" t="s">
        <v>71</v>
      </c>
      <c r="X704" s="6">
        <v>141</v>
      </c>
      <c r="Y704">
        <v>11.130979999999999</v>
      </c>
      <c r="Z704">
        <v>7.4206533333333331</v>
      </c>
      <c r="AA704" s="6">
        <v>30.655521795924528</v>
      </c>
      <c r="AB704" s="4">
        <v>48.746571428571428</v>
      </c>
      <c r="AC704" s="6">
        <v>32.620550602826277</v>
      </c>
      <c r="AD704">
        <v>0.24321105400000004</v>
      </c>
      <c r="AE704">
        <v>2.3023815325751325</v>
      </c>
      <c r="AF704">
        <v>25321.5</v>
      </c>
      <c r="AG704" s="4">
        <v>0</v>
      </c>
      <c r="AH704" s="4">
        <v>67080</v>
      </c>
      <c r="AL704">
        <v>29.000000000000004</v>
      </c>
      <c r="AM704">
        <v>9.0727000000000011</v>
      </c>
      <c r="AN704" t="s">
        <v>81</v>
      </c>
      <c r="AO704" t="s">
        <v>105</v>
      </c>
      <c r="AP704" s="5">
        <v>44854</v>
      </c>
      <c r="AQ704" t="s">
        <v>144</v>
      </c>
      <c r="AR704" s="5">
        <v>44992</v>
      </c>
      <c r="AS704">
        <v>255.93991274802394</v>
      </c>
      <c r="AT704" s="6"/>
      <c r="AU704">
        <v>25.155017797175088</v>
      </c>
      <c r="AV704">
        <v>71.124367306382737</v>
      </c>
      <c r="AW704">
        <v>46.342515214293797</v>
      </c>
      <c r="AX704">
        <v>142.62190031785161</v>
      </c>
      <c r="AY704">
        <v>47.846758326760096</v>
      </c>
      <c r="AZ704">
        <v>53.342100156500145</v>
      </c>
      <c r="BA704">
        <v>30.388450073578426</v>
      </c>
      <c r="BB704">
        <v>34.748837928017124</v>
      </c>
      <c r="BC704">
        <v>41.713339705937834</v>
      </c>
      <c r="BD704">
        <v>208.03948619079367</v>
      </c>
      <c r="BE704">
        <v>-94.721473760621336</v>
      </c>
      <c r="BF704">
        <v>35.616598897850864</v>
      </c>
      <c r="BH704">
        <v>35.616598897850864</v>
      </c>
      <c r="BI704">
        <v>386.27798540649616</v>
      </c>
      <c r="BJ704" s="6">
        <v>197</v>
      </c>
      <c r="BK704">
        <v>-130.33807265847221</v>
      </c>
      <c r="BL704" s="4">
        <v>-1450.790480000001</v>
      </c>
      <c r="BM704" t="s">
        <v>279</v>
      </c>
      <c r="BN704" t="s">
        <v>65</v>
      </c>
      <c r="BO704">
        <v>3</v>
      </c>
      <c r="BP704">
        <v>2023</v>
      </c>
      <c r="BQ704" t="str">
        <f t="shared" si="51"/>
        <v>Lucky33</v>
      </c>
      <c r="BR704">
        <f t="shared" si="52"/>
        <v>-2106.8494700000006</v>
      </c>
      <c r="BS704">
        <f t="shared" si="53"/>
        <v>2848.8620499999993</v>
      </c>
      <c r="BT704" s="6">
        <f t="shared" si="54"/>
        <v>-189.27798540649616</v>
      </c>
    </row>
    <row r="705" spans="1:72">
      <c r="A705" s="3" t="s">
        <v>113</v>
      </c>
      <c r="B705" s="3" t="s">
        <v>248</v>
      </c>
      <c r="C705" s="3" t="s">
        <v>250</v>
      </c>
      <c r="D705" s="2" t="s">
        <v>270</v>
      </c>
      <c r="E705" s="4" t="str">
        <f t="shared" si="50"/>
        <v>Lucky3BG-027-0010</v>
      </c>
      <c r="F705">
        <v>1.5</v>
      </c>
      <c r="G705">
        <v>2</v>
      </c>
      <c r="H705" t="s">
        <v>72</v>
      </c>
      <c r="I705" t="s">
        <v>67</v>
      </c>
      <c r="J705" t="s">
        <v>95</v>
      </c>
      <c r="K705" t="s">
        <v>89</v>
      </c>
      <c r="L705" t="s">
        <v>89</v>
      </c>
      <c r="M705">
        <v>2.6869937198507325</v>
      </c>
      <c r="N705" s="5">
        <v>44830</v>
      </c>
      <c r="O705" s="5">
        <v>44854</v>
      </c>
      <c r="P705">
        <v>0.7</v>
      </c>
      <c r="Q705" s="4">
        <v>146</v>
      </c>
      <c r="R705">
        <v>0.19</v>
      </c>
      <c r="S705" t="s">
        <v>70</v>
      </c>
      <c r="T705" s="6">
        <v>3</v>
      </c>
      <c r="U705" s="5">
        <v>44996</v>
      </c>
      <c r="V705" s="6">
        <v>1</v>
      </c>
      <c r="W705" t="s">
        <v>86</v>
      </c>
      <c r="X705" s="6">
        <v>142</v>
      </c>
      <c r="Y705">
        <v>12.492100000000001</v>
      </c>
      <c r="Z705">
        <v>8.3280666666666665</v>
      </c>
      <c r="AA705" s="6">
        <v>35.953042322747976</v>
      </c>
      <c r="AB705" s="4">
        <v>64.161285714285711</v>
      </c>
      <c r="AC705" s="6">
        <v>27.814057876467565</v>
      </c>
      <c r="AD705">
        <v>0.2414983</v>
      </c>
      <c r="AE705">
        <v>2.222453271235989</v>
      </c>
      <c r="AF705">
        <v>27467.5</v>
      </c>
      <c r="AG705" s="4">
        <v>0</v>
      </c>
      <c r="AH705" s="4">
        <v>73805</v>
      </c>
      <c r="AL705">
        <v>29</v>
      </c>
      <c r="AM705">
        <v>8.084439999999999</v>
      </c>
      <c r="AN705" t="s">
        <v>81</v>
      </c>
      <c r="AO705" t="s">
        <v>105</v>
      </c>
      <c r="AP705" s="5">
        <v>44854</v>
      </c>
      <c r="AQ705" t="s">
        <v>144</v>
      </c>
      <c r="AR705" s="5">
        <v>44992</v>
      </c>
      <c r="AS705">
        <v>244.76330961167463</v>
      </c>
      <c r="AT705" s="6"/>
      <c r="AU705">
        <v>22.414165752755736</v>
      </c>
      <c r="AV705">
        <v>68.547261869501483</v>
      </c>
      <c r="AW705">
        <v>40.657853363325636</v>
      </c>
      <c r="AX705">
        <v>131.61928098558286</v>
      </c>
      <c r="AY705">
        <v>42.738056051424508</v>
      </c>
      <c r="AZ705">
        <v>47.635323924720417</v>
      </c>
      <c r="BA705">
        <v>27.452062503502216</v>
      </c>
      <c r="BB705">
        <v>31.133544400060835</v>
      </c>
      <c r="BC705">
        <v>37.366856653404952</v>
      </c>
      <c r="BD705">
        <v>186.32584353311296</v>
      </c>
      <c r="BE705">
        <v>-73.181814907021192</v>
      </c>
      <c r="BF705">
        <v>31.903104361956757</v>
      </c>
      <c r="BH705">
        <v>31.903104361956757</v>
      </c>
      <c r="BI705">
        <v>349.84822888065258</v>
      </c>
      <c r="BJ705" s="6">
        <v>186</v>
      </c>
      <c r="BK705">
        <v>-105.08491926897798</v>
      </c>
      <c r="BL705" s="4">
        <v>-1312.7313199999999</v>
      </c>
      <c r="BM705" t="s">
        <v>271</v>
      </c>
      <c r="BN705" t="s">
        <v>65</v>
      </c>
      <c r="BO705">
        <v>3</v>
      </c>
      <c r="BP705">
        <v>2023</v>
      </c>
      <c r="BQ705" t="str">
        <f t="shared" si="51"/>
        <v>Lucky33</v>
      </c>
      <c r="BR705">
        <f t="shared" si="52"/>
        <v>-2046.8084600000002</v>
      </c>
      <c r="BS705">
        <f t="shared" si="53"/>
        <v>3057.6077400000008</v>
      </c>
      <c r="BT705" s="6">
        <f t="shared" si="54"/>
        <v>-163.84822888065258</v>
      </c>
    </row>
    <row r="706" spans="1:72">
      <c r="A706" s="3" t="s">
        <v>113</v>
      </c>
      <c r="B706" s="3" t="s">
        <v>248</v>
      </c>
      <c r="C706" s="3" t="s">
        <v>250</v>
      </c>
      <c r="D706" s="2" t="s">
        <v>255</v>
      </c>
      <c r="E706" s="4" t="str">
        <f t="shared" si="50"/>
        <v>Lucky3BG-026-0011</v>
      </c>
      <c r="F706">
        <v>1.5</v>
      </c>
      <c r="G706">
        <v>2</v>
      </c>
      <c r="H706" t="s">
        <v>72</v>
      </c>
      <c r="I706" t="s">
        <v>67</v>
      </c>
      <c r="J706" t="s">
        <v>95</v>
      </c>
      <c r="K706" t="s">
        <v>89</v>
      </c>
      <c r="L706" t="s">
        <v>89</v>
      </c>
      <c r="M706">
        <v>1.9391634980988592</v>
      </c>
      <c r="N706" s="5">
        <v>44996</v>
      </c>
      <c r="O706" s="5">
        <v>45025</v>
      </c>
      <c r="P706">
        <v>0.8</v>
      </c>
      <c r="Q706" s="4">
        <v>167</v>
      </c>
      <c r="R706">
        <v>0.75800000000000001</v>
      </c>
      <c r="S706" t="s">
        <v>70</v>
      </c>
      <c r="T706" s="6">
        <v>1</v>
      </c>
      <c r="U706" s="5">
        <v>45065</v>
      </c>
      <c r="V706" s="6">
        <v>2</v>
      </c>
      <c r="W706" t="s">
        <v>71</v>
      </c>
      <c r="X706" s="6">
        <v>40</v>
      </c>
      <c r="Y706">
        <v>4.0302199999999999</v>
      </c>
      <c r="Z706">
        <v>2.6868133333333333</v>
      </c>
      <c r="AA706" s="6">
        <v>97.00016376277226</v>
      </c>
      <c r="AB706" s="4">
        <v>48.866500000000002</v>
      </c>
      <c r="AC706" s="6">
        <v>10.309260945637604</v>
      </c>
      <c r="AD706">
        <v>0.23878195900000002</v>
      </c>
      <c r="AE706">
        <v>1.843339505055166</v>
      </c>
      <c r="AF706">
        <v>6312</v>
      </c>
      <c r="AG706" s="4">
        <v>3000</v>
      </c>
      <c r="AH706" s="4">
        <v>12240</v>
      </c>
      <c r="AL706">
        <v>97</v>
      </c>
      <c r="AM706">
        <v>4.0302199999999999</v>
      </c>
      <c r="AN706" t="s">
        <v>256</v>
      </c>
      <c r="AO706" t="s">
        <v>127</v>
      </c>
      <c r="AP706" s="5">
        <v>45026</v>
      </c>
      <c r="AQ706" t="s">
        <v>134</v>
      </c>
      <c r="AR706" s="5">
        <v>45061</v>
      </c>
      <c r="AS706">
        <v>103.99465041610632</v>
      </c>
      <c r="AT706" s="6"/>
      <c r="AU706">
        <v>99.250165003399317</v>
      </c>
      <c r="AV706">
        <v>49.557140801246582</v>
      </c>
      <c r="AW706">
        <v>41.933733146081359</v>
      </c>
      <c r="AX706">
        <v>190.74103895072727</v>
      </c>
      <c r="AY706">
        <v>21.264588533628437</v>
      </c>
      <c r="AZ706">
        <v>27.713727786572445</v>
      </c>
      <c r="BA706">
        <v>54.880324151038906</v>
      </c>
      <c r="BB706">
        <v>14.363421847938822</v>
      </c>
      <c r="BC706">
        <v>48.109232250348612</v>
      </c>
      <c r="BD706">
        <v>166.33129456952722</v>
      </c>
      <c r="BE706">
        <v>-253.07768310414815</v>
      </c>
      <c r="BF706">
        <v>39.961411535846679</v>
      </c>
      <c r="BH706">
        <v>39.961411535846679</v>
      </c>
      <c r="BI706">
        <v>397.03374505610122</v>
      </c>
      <c r="BJ706" s="6">
        <v>150</v>
      </c>
      <c r="BK706">
        <v>-293.03909463999486</v>
      </c>
      <c r="BL706" s="4">
        <v>-1181.0120200000001</v>
      </c>
      <c r="BM706" t="s">
        <v>257</v>
      </c>
      <c r="BN706" t="s">
        <v>65</v>
      </c>
      <c r="BO706">
        <v>5</v>
      </c>
      <c r="BP706">
        <v>2023</v>
      </c>
      <c r="BQ706" t="str">
        <f t="shared" si="51"/>
        <v>Lucky35</v>
      </c>
      <c r="BR706">
        <f t="shared" si="52"/>
        <v>-995.6003400000003</v>
      </c>
      <c r="BS706">
        <f t="shared" si="53"/>
        <v>419.12132000000003</v>
      </c>
      <c r="BT706" s="6">
        <f t="shared" si="54"/>
        <v>-247.03374505610122</v>
      </c>
    </row>
    <row r="707" spans="1:72">
      <c r="A707" s="3" t="s">
        <v>113</v>
      </c>
      <c r="B707" s="3" t="s">
        <v>248</v>
      </c>
      <c r="C707" s="3" t="s">
        <v>250</v>
      </c>
      <c r="D707" s="2" t="s">
        <v>253</v>
      </c>
      <c r="E707" s="4" t="str">
        <f t="shared" si="50"/>
        <v>Lucky3B1-024-0010</v>
      </c>
      <c r="F707">
        <v>1.5</v>
      </c>
      <c r="G707">
        <v>2</v>
      </c>
      <c r="H707" t="s">
        <v>72</v>
      </c>
      <c r="I707" t="s">
        <v>75</v>
      </c>
      <c r="J707" t="s">
        <v>112</v>
      </c>
      <c r="K707" t="s">
        <v>79</v>
      </c>
      <c r="N707" s="5">
        <v>45074</v>
      </c>
      <c r="O707" s="5">
        <v>45117</v>
      </c>
      <c r="P707">
        <v>0.8</v>
      </c>
      <c r="Q707" s="4">
        <v>167</v>
      </c>
      <c r="R707">
        <v>0.68</v>
      </c>
      <c r="S707" t="s">
        <v>70</v>
      </c>
      <c r="T707" s="6">
        <v>1</v>
      </c>
      <c r="U707" s="5">
        <v>45141</v>
      </c>
      <c r="V707" s="6">
        <v>2</v>
      </c>
      <c r="W707" t="s">
        <v>71</v>
      </c>
      <c r="X707" s="6">
        <v>24</v>
      </c>
      <c r="Y707">
        <v>4.7294999999999998</v>
      </c>
      <c r="Z707">
        <v>3.153</v>
      </c>
      <c r="AA707" s="6">
        <v>161.00010571942065</v>
      </c>
      <c r="AB707" s="4">
        <v>95.181249999999991</v>
      </c>
      <c r="AC707" s="6">
        <v>6.2111760457022793</v>
      </c>
      <c r="AD707">
        <v>0.23046583900000001</v>
      </c>
      <c r="AE707">
        <v>0.93060928028900247</v>
      </c>
      <c r="AF707">
        <v>3895</v>
      </c>
      <c r="AG707" s="4"/>
      <c r="AH707" s="4"/>
      <c r="AI707" t="s">
        <v>73</v>
      </c>
      <c r="AJ707" t="s">
        <v>73</v>
      </c>
      <c r="AK707" t="s">
        <v>96</v>
      </c>
      <c r="AL707">
        <v>161</v>
      </c>
      <c r="AM707">
        <v>4.7294999999999998</v>
      </c>
      <c r="AN707" t="s">
        <v>73</v>
      </c>
      <c r="AO707" t="s">
        <v>123</v>
      </c>
      <c r="AP707" s="5">
        <v>45117</v>
      </c>
      <c r="AQ707" t="s">
        <v>131</v>
      </c>
      <c r="AR707" s="5">
        <v>45138</v>
      </c>
      <c r="AS707">
        <v>88.739771646051381</v>
      </c>
      <c r="AT707" s="6"/>
      <c r="AU707">
        <v>84.575536526059835</v>
      </c>
      <c r="AV707">
        <v>29.382835394862035</v>
      </c>
      <c r="AW707">
        <v>52.390726292419913</v>
      </c>
      <c r="AX707">
        <v>166.34909821334179</v>
      </c>
      <c r="AY707">
        <v>53.596815731049794</v>
      </c>
      <c r="AZ707">
        <v>37.52304260492653</v>
      </c>
      <c r="BA707">
        <v>31.373971878634109</v>
      </c>
      <c r="BB707">
        <v>51.455481551961093</v>
      </c>
      <c r="BC707">
        <v>41.123080663917968</v>
      </c>
      <c r="BD707">
        <v>215.07239243048949</v>
      </c>
      <c r="BE707">
        <v>-292.68171899777991</v>
      </c>
      <c r="BF707">
        <v>29.114952954857809</v>
      </c>
      <c r="BH707">
        <v>29.114952954857809</v>
      </c>
      <c r="BI707">
        <v>410.53644359868906</v>
      </c>
      <c r="BJ707" s="6">
        <v>150</v>
      </c>
      <c r="BK707">
        <v>-321.79667195263767</v>
      </c>
      <c r="BL707" s="4">
        <v>-1521.9373599999999</v>
      </c>
      <c r="BM707" t="s">
        <v>254</v>
      </c>
      <c r="BN707" t="s">
        <v>65</v>
      </c>
      <c r="BO707">
        <v>8</v>
      </c>
      <c r="BP707">
        <v>2023</v>
      </c>
      <c r="BQ707" t="str">
        <f t="shared" si="51"/>
        <v>Lucky38</v>
      </c>
      <c r="BR707">
        <f t="shared" si="52"/>
        <v>-1232.2071099999998</v>
      </c>
      <c r="BS707">
        <f t="shared" si="53"/>
        <v>419.69475</v>
      </c>
      <c r="BT707" s="6">
        <f t="shared" si="54"/>
        <v>-260.53644359868906</v>
      </c>
    </row>
    <row r="708" spans="1:72">
      <c r="A708" s="3" t="s">
        <v>113</v>
      </c>
      <c r="B708" s="3" t="s">
        <v>248</v>
      </c>
      <c r="C708" s="3" t="s">
        <v>250</v>
      </c>
      <c r="D708" s="2" t="s">
        <v>268</v>
      </c>
      <c r="E708" s="4" t="str">
        <f t="shared" ref="E708:E771" si="55">B708&amp;D708</f>
        <v>Lucky3B1-023-0011</v>
      </c>
      <c r="F708">
        <v>1.5</v>
      </c>
      <c r="G708">
        <v>2</v>
      </c>
      <c r="H708" t="s">
        <v>72</v>
      </c>
      <c r="I708" t="s">
        <v>75</v>
      </c>
      <c r="J708" t="s">
        <v>95</v>
      </c>
      <c r="K708" t="s">
        <v>79</v>
      </c>
      <c r="L708" t="s">
        <v>79</v>
      </c>
      <c r="M708">
        <v>2.4281094309937941</v>
      </c>
      <c r="N708" s="5">
        <v>44854</v>
      </c>
      <c r="O708" s="5">
        <v>44886</v>
      </c>
      <c r="P708">
        <v>0.7</v>
      </c>
      <c r="Q708" s="4">
        <v>146</v>
      </c>
      <c r="R708">
        <v>0.27</v>
      </c>
      <c r="S708" t="s">
        <v>70</v>
      </c>
      <c r="T708" s="6">
        <v>2</v>
      </c>
      <c r="U708" s="5">
        <v>45003</v>
      </c>
      <c r="V708" s="6">
        <v>1</v>
      </c>
      <c r="W708" t="s">
        <v>86</v>
      </c>
      <c r="X708" s="6">
        <v>117</v>
      </c>
      <c r="Y708">
        <v>11.685979999999999</v>
      </c>
      <c r="Z708">
        <v>7.7906533333333323</v>
      </c>
      <c r="AA708" s="6">
        <v>42.314380137566559</v>
      </c>
      <c r="AB708" s="4">
        <v>70.640714285714296</v>
      </c>
      <c r="AC708" s="6">
        <v>23.632627885577921</v>
      </c>
      <c r="AD708">
        <v>0.228692539</v>
      </c>
      <c r="AE708">
        <v>1.9902652527276776</v>
      </c>
      <c r="AF708">
        <v>22882</v>
      </c>
      <c r="AG708" s="4">
        <v>3600</v>
      </c>
      <c r="AH708" s="4">
        <v>55560</v>
      </c>
      <c r="AL708">
        <v>37</v>
      </c>
      <c r="AM708">
        <v>9.7332900000000002</v>
      </c>
      <c r="AN708" t="s">
        <v>81</v>
      </c>
      <c r="AO708" t="s">
        <v>108</v>
      </c>
      <c r="AP708" s="5">
        <v>44886</v>
      </c>
      <c r="AQ708" t="s">
        <v>117</v>
      </c>
      <c r="AR708" s="5">
        <v>44999</v>
      </c>
      <c r="AS708">
        <v>213.66261023893591</v>
      </c>
      <c r="AT708" s="6"/>
      <c r="AU708">
        <v>23.960335376237168</v>
      </c>
      <c r="AV708">
        <v>62.007722929527525</v>
      </c>
      <c r="AW708">
        <v>32.415322463327854</v>
      </c>
      <c r="AX708">
        <v>118.38338076909254</v>
      </c>
      <c r="AY708">
        <v>20.626470351652152</v>
      </c>
      <c r="AZ708">
        <v>38.831031714926773</v>
      </c>
      <c r="BA708">
        <v>12.832613097061609</v>
      </c>
      <c r="BB708">
        <v>19.358592946419556</v>
      </c>
      <c r="BC708">
        <v>15.697064345480655</v>
      </c>
      <c r="BD708">
        <v>107.34577245554075</v>
      </c>
      <c r="BE708">
        <v>-12.066542985697382</v>
      </c>
      <c r="BF708">
        <v>11.655384486367428</v>
      </c>
      <c r="BH708">
        <v>11.655384486367428</v>
      </c>
      <c r="BI708">
        <v>237.38453771100072</v>
      </c>
      <c r="BJ708" s="6">
        <v>180</v>
      </c>
      <c r="BK708">
        <v>-23.721927472064795</v>
      </c>
      <c r="BL708" s="4">
        <v>-277.21396999999973</v>
      </c>
      <c r="BM708" t="s">
        <v>269</v>
      </c>
      <c r="BN708" t="s">
        <v>65</v>
      </c>
      <c r="BO708">
        <v>3</v>
      </c>
      <c r="BP708">
        <v>2023</v>
      </c>
      <c r="BQ708" t="str">
        <f t="shared" ref="BQ708:BQ771" si="56">B708&amp;BO708</f>
        <v>Lucky33</v>
      </c>
      <c r="BR708">
        <f t="shared" ref="BR708:BR771" si="57">BT708*Y708</f>
        <v>-670.59456000000011</v>
      </c>
      <c r="BS708">
        <f t="shared" ref="BS708:BS771" si="58">Y708*AS708</f>
        <v>2496.8569900000002</v>
      </c>
      <c r="BT708" s="6">
        <f t="shared" ref="BT708:BT771" si="59">BJ708-BI708</f>
        <v>-57.384537711000718</v>
      </c>
    </row>
    <row r="709" spans="1:72">
      <c r="A709" s="3" t="s">
        <v>113</v>
      </c>
      <c r="B709" s="3" t="s">
        <v>248</v>
      </c>
      <c r="C709" s="3" t="s">
        <v>250</v>
      </c>
      <c r="D709" s="2" t="s">
        <v>251</v>
      </c>
      <c r="E709" s="4" t="str">
        <f t="shared" si="55"/>
        <v>Lucky3BG-027-0012</v>
      </c>
      <c r="F709">
        <v>1.5</v>
      </c>
      <c r="G709">
        <v>2</v>
      </c>
      <c r="H709" t="s">
        <v>72</v>
      </c>
      <c r="I709" t="s">
        <v>67</v>
      </c>
      <c r="J709" t="s">
        <v>95</v>
      </c>
      <c r="K709" t="s">
        <v>89</v>
      </c>
      <c r="N709" s="5">
        <v>45066</v>
      </c>
      <c r="O709" s="5">
        <v>45094</v>
      </c>
      <c r="P709">
        <v>0.8</v>
      </c>
      <c r="Q709" s="4">
        <v>167</v>
      </c>
      <c r="R709">
        <v>0.85</v>
      </c>
      <c r="S709" t="s">
        <v>70</v>
      </c>
      <c r="T709" s="6">
        <v>1</v>
      </c>
      <c r="U709" s="5">
        <v>45121</v>
      </c>
      <c r="V709" s="6">
        <v>2</v>
      </c>
      <c r="W709" t="s">
        <v>71</v>
      </c>
      <c r="X709" s="6">
        <v>27</v>
      </c>
      <c r="Y709">
        <v>4.4683599999999997</v>
      </c>
      <c r="Z709">
        <v>2.9789066666666666</v>
      </c>
      <c r="AA709" s="6">
        <v>172.00001790366042</v>
      </c>
      <c r="AB709" s="4">
        <v>96.069749999999999</v>
      </c>
      <c r="AC709" s="6">
        <v>5.8139528831916385</v>
      </c>
      <c r="AD709">
        <v>0.18385012900000003</v>
      </c>
      <c r="AE709">
        <v>0.86581000749664772</v>
      </c>
      <c r="AF709">
        <v>3280</v>
      </c>
      <c r="AG709" s="4"/>
      <c r="AH709" s="4"/>
      <c r="AI709" t="s">
        <v>73</v>
      </c>
      <c r="AJ709" t="s">
        <v>73</v>
      </c>
      <c r="AK709" t="s">
        <v>176</v>
      </c>
      <c r="AL709">
        <v>172</v>
      </c>
      <c r="AM709">
        <v>4.4683599999999997</v>
      </c>
      <c r="AN709" t="s">
        <v>73</v>
      </c>
      <c r="AO709" t="s">
        <v>170</v>
      </c>
      <c r="AP709" s="5">
        <v>45099</v>
      </c>
      <c r="AQ709" t="s">
        <v>123</v>
      </c>
      <c r="AR709" s="5">
        <v>45113</v>
      </c>
      <c r="AS709">
        <v>87.800640503450936</v>
      </c>
      <c r="AT709" s="6"/>
      <c r="AU709">
        <v>98.470132218532086</v>
      </c>
      <c r="AV709">
        <v>32.820050309285747</v>
      </c>
      <c r="AW709">
        <v>43.958512742930282</v>
      </c>
      <c r="AX709">
        <v>175.24869527074813</v>
      </c>
      <c r="AY709">
        <v>28.574987243641964</v>
      </c>
      <c r="AZ709">
        <v>21.721282528712997</v>
      </c>
      <c r="BA709">
        <v>24.135450142781693</v>
      </c>
      <c r="BB709">
        <v>9.9131292017653028</v>
      </c>
      <c r="BC709">
        <v>30.046370480444729</v>
      </c>
      <c r="BD709">
        <v>114.39121959734669</v>
      </c>
      <c r="BE709">
        <v>-201.83927436464387</v>
      </c>
      <c r="BF709">
        <v>33.593307164149721</v>
      </c>
      <c r="BH709">
        <v>33.593307164149721</v>
      </c>
      <c r="BI709">
        <v>323.2332220322445</v>
      </c>
      <c r="BJ709" s="6">
        <v>150</v>
      </c>
      <c r="BK709">
        <v>-235.43258152879352</v>
      </c>
      <c r="BL709" s="4">
        <v>-1051.9975299999999</v>
      </c>
      <c r="BM709" t="s">
        <v>252</v>
      </c>
      <c r="BN709" t="s">
        <v>65</v>
      </c>
      <c r="BO709">
        <v>7</v>
      </c>
      <c r="BP709">
        <v>2023</v>
      </c>
      <c r="BQ709" t="str">
        <f t="shared" si="56"/>
        <v>Lucky37</v>
      </c>
      <c r="BR709">
        <f t="shared" si="57"/>
        <v>-774.0684</v>
      </c>
      <c r="BS709">
        <f t="shared" si="58"/>
        <v>392.32486999999998</v>
      </c>
      <c r="BT709" s="6">
        <f t="shared" si="59"/>
        <v>-173.2332220322445</v>
      </c>
    </row>
    <row r="710" spans="1:72">
      <c r="A710" s="3" t="s">
        <v>113</v>
      </c>
      <c r="B710" s="3" t="s">
        <v>248</v>
      </c>
      <c r="C710" s="3" t="s">
        <v>250</v>
      </c>
      <c r="D710" s="2" t="s">
        <v>281</v>
      </c>
      <c r="E710" s="4" t="str">
        <f t="shared" si="55"/>
        <v>Lucky3B1-025-0011</v>
      </c>
      <c r="F710">
        <v>1.5</v>
      </c>
      <c r="G710">
        <v>2</v>
      </c>
      <c r="H710" t="s">
        <v>72</v>
      </c>
      <c r="I710" t="s">
        <v>75</v>
      </c>
      <c r="J710" t="s">
        <v>112</v>
      </c>
      <c r="K710" t="s">
        <v>79</v>
      </c>
      <c r="N710" s="5">
        <v>45077</v>
      </c>
      <c r="O710" s="5">
        <v>45136</v>
      </c>
      <c r="P710">
        <v>0.8</v>
      </c>
      <c r="Q710" s="4">
        <v>167</v>
      </c>
      <c r="R710">
        <v>0.35</v>
      </c>
      <c r="S710" t="s">
        <v>70</v>
      </c>
      <c r="T710" s="6"/>
      <c r="U710" s="5">
        <v>45158</v>
      </c>
      <c r="V710" s="6">
        <v>3</v>
      </c>
      <c r="W710" t="s">
        <v>2831</v>
      </c>
      <c r="X710" s="6"/>
      <c r="AA710" s="6"/>
      <c r="AB710" s="4"/>
      <c r="AC710" s="6"/>
      <c r="AF710">
        <v>3100</v>
      </c>
      <c r="AG710" s="4"/>
      <c r="AH710" s="4"/>
      <c r="AI710" t="s">
        <v>73</v>
      </c>
      <c r="AJ710" t="s">
        <v>73</v>
      </c>
      <c r="AK710" t="s">
        <v>215</v>
      </c>
      <c r="AN710" t="s">
        <v>73</v>
      </c>
      <c r="AO710" t="s">
        <v>136</v>
      </c>
      <c r="AP710" s="5">
        <v>45138</v>
      </c>
      <c r="AQ710" t="s">
        <v>170</v>
      </c>
      <c r="AR710" s="5">
        <v>45155</v>
      </c>
      <c r="AT710" s="6"/>
      <c r="BJ710" s="6"/>
      <c r="BL710" s="4">
        <v>-2858.0765499999998</v>
      </c>
      <c r="BM710" t="s">
        <v>2876</v>
      </c>
      <c r="BN710" t="s">
        <v>65</v>
      </c>
      <c r="BO710">
        <v>8</v>
      </c>
      <c r="BP710">
        <v>2023</v>
      </c>
      <c r="BQ710" t="str">
        <f t="shared" si="56"/>
        <v>Lucky38</v>
      </c>
      <c r="BR710">
        <f t="shared" si="57"/>
        <v>0</v>
      </c>
      <c r="BS710">
        <f t="shared" si="58"/>
        <v>0</v>
      </c>
      <c r="BT710" s="6">
        <f t="shared" si="59"/>
        <v>0</v>
      </c>
    </row>
    <row r="711" spans="1:72">
      <c r="A711" s="3" t="s">
        <v>113</v>
      </c>
      <c r="B711" s="3" t="s">
        <v>540</v>
      </c>
      <c r="C711" s="3" t="s">
        <v>542</v>
      </c>
      <c r="D711" s="2" t="s">
        <v>565</v>
      </c>
      <c r="E711" s="4" t="str">
        <f t="shared" si="55"/>
        <v>TachalabA1-012-0017</v>
      </c>
      <c r="F711">
        <v>2.2999999999999998</v>
      </c>
      <c r="G711">
        <v>2</v>
      </c>
      <c r="H711" t="s">
        <v>72</v>
      </c>
      <c r="I711" t="s">
        <v>75</v>
      </c>
      <c r="J711" t="s">
        <v>95</v>
      </c>
      <c r="K711" t="s">
        <v>79</v>
      </c>
      <c r="N711" s="5">
        <v>45002</v>
      </c>
      <c r="O711" s="5">
        <v>45032</v>
      </c>
      <c r="P711">
        <v>0.7</v>
      </c>
      <c r="Q711" s="4">
        <v>95</v>
      </c>
      <c r="R711">
        <v>0.6</v>
      </c>
      <c r="S711" t="s">
        <v>70</v>
      </c>
      <c r="T711" s="6">
        <v>4</v>
      </c>
      <c r="U711" s="5">
        <v>45144</v>
      </c>
      <c r="V711" s="6">
        <v>1</v>
      </c>
      <c r="W711" t="s">
        <v>86</v>
      </c>
      <c r="X711" s="6">
        <v>112</v>
      </c>
      <c r="Y711">
        <v>19.73556</v>
      </c>
      <c r="Z711">
        <v>8.5806782608695649</v>
      </c>
      <c r="AA711" s="6">
        <v>30.37192762708532</v>
      </c>
      <c r="AB711" s="4">
        <v>85.629571428571424</v>
      </c>
      <c r="AC711" s="6">
        <v>32.925141014369203</v>
      </c>
      <c r="AD711">
        <v>0.366666667</v>
      </c>
      <c r="AE711">
        <v>1.8831967595037367</v>
      </c>
      <c r="AF711">
        <v>36375</v>
      </c>
      <c r="AG711" s="4"/>
      <c r="AH711" s="4"/>
      <c r="AL711">
        <v>24</v>
      </c>
      <c r="AM711">
        <v>7.3128000000000002</v>
      </c>
      <c r="AN711" t="s">
        <v>81</v>
      </c>
      <c r="AO711" t="s">
        <v>103</v>
      </c>
      <c r="AP711" s="5">
        <v>45033</v>
      </c>
      <c r="AQ711" t="s">
        <v>90</v>
      </c>
      <c r="AR711" s="5">
        <v>45131</v>
      </c>
      <c r="AS711">
        <v>197.07726459244125</v>
      </c>
      <c r="AT711" s="6"/>
      <c r="AU711">
        <v>15.961036828952407</v>
      </c>
      <c r="AV711">
        <v>57.7704620492147</v>
      </c>
      <c r="AW711">
        <v>38.589317962094832</v>
      </c>
      <c r="AX711">
        <v>112.32081684026193</v>
      </c>
      <c r="AY711">
        <v>12.912264967398947</v>
      </c>
      <c r="AZ711">
        <v>27.482331385580135</v>
      </c>
      <c r="BA711">
        <v>4.0863218474672118</v>
      </c>
      <c r="BB711">
        <v>8.7101627721736818</v>
      </c>
      <c r="BC711">
        <v>9.9337115339012421</v>
      </c>
      <c r="BD711">
        <v>63.124792506521224</v>
      </c>
      <c r="BE711">
        <v>21.631655245658102</v>
      </c>
      <c r="BF711">
        <v>3.8495958564134987</v>
      </c>
      <c r="BG711">
        <v>3.3373448739230103</v>
      </c>
      <c r="BH711">
        <v>7.1869407303365085</v>
      </c>
      <c r="BI711">
        <v>182.63255007711967</v>
      </c>
      <c r="BJ711" s="6">
        <v>197</v>
      </c>
      <c r="BK711">
        <v>14.444714515321571</v>
      </c>
      <c r="BL711" s="4">
        <v>285.07452999999981</v>
      </c>
      <c r="BM711" t="s">
        <v>566</v>
      </c>
      <c r="BN711" t="s">
        <v>65</v>
      </c>
      <c r="BO711">
        <v>8</v>
      </c>
      <c r="BP711">
        <v>2023</v>
      </c>
      <c r="BQ711" t="str">
        <f t="shared" si="56"/>
        <v>Tachalab8</v>
      </c>
      <c r="BR711">
        <f t="shared" si="57"/>
        <v>283.54967000000005</v>
      </c>
      <c r="BS711">
        <f t="shared" si="58"/>
        <v>3889.4301799999998</v>
      </c>
      <c r="BT711" s="6">
        <f t="shared" si="59"/>
        <v>14.367449922880326</v>
      </c>
    </row>
    <row r="712" spans="1:72">
      <c r="A712" s="3" t="s">
        <v>113</v>
      </c>
      <c r="B712" s="3" t="s">
        <v>540</v>
      </c>
      <c r="C712" s="3" t="s">
        <v>542</v>
      </c>
      <c r="D712" s="2" t="s">
        <v>561</v>
      </c>
      <c r="E712" s="4" t="str">
        <f t="shared" si="55"/>
        <v>TachalabA1-013-0012</v>
      </c>
      <c r="F712">
        <v>2.2999999999999998</v>
      </c>
      <c r="G712">
        <v>2</v>
      </c>
      <c r="H712" t="s">
        <v>72</v>
      </c>
      <c r="I712" t="s">
        <v>75</v>
      </c>
      <c r="J712" t="s">
        <v>95</v>
      </c>
      <c r="K712" t="s">
        <v>79</v>
      </c>
      <c r="N712" s="5">
        <v>44998</v>
      </c>
      <c r="O712" s="5">
        <v>45027</v>
      </c>
      <c r="P712">
        <v>0.7</v>
      </c>
      <c r="Q712" s="4">
        <v>95</v>
      </c>
      <c r="R712">
        <v>0.84899999999999998</v>
      </c>
      <c r="S712" t="s">
        <v>70</v>
      </c>
      <c r="T712" s="6">
        <v>4</v>
      </c>
      <c r="U712" s="5">
        <v>45134</v>
      </c>
      <c r="V712" s="6">
        <v>1</v>
      </c>
      <c r="W712" t="s">
        <v>86</v>
      </c>
      <c r="X712" s="6">
        <v>107</v>
      </c>
      <c r="Y712">
        <v>18.432639999999999</v>
      </c>
      <c r="Z712">
        <v>8.0141913043478272</v>
      </c>
      <c r="AA712" s="6">
        <v>32.956320961077743</v>
      </c>
      <c r="AB712" s="4">
        <v>86.781714285714287</v>
      </c>
      <c r="AC712" s="6">
        <v>30.343192772670999</v>
      </c>
      <c r="AD712">
        <v>0.35151905100000003</v>
      </c>
      <c r="AE712">
        <v>2.1932725813178582</v>
      </c>
      <c r="AF712">
        <v>39125</v>
      </c>
      <c r="AG712" s="4"/>
      <c r="AH712" s="4"/>
      <c r="AL712">
        <v>26</v>
      </c>
      <c r="AM712">
        <v>4.2800200000000004</v>
      </c>
      <c r="AN712" t="s">
        <v>81</v>
      </c>
      <c r="AO712" t="s">
        <v>103</v>
      </c>
      <c r="AP712" s="5">
        <v>45033</v>
      </c>
      <c r="AQ712" t="s">
        <v>90</v>
      </c>
      <c r="AR712" s="5">
        <v>45131</v>
      </c>
      <c r="AS712">
        <v>188.22672606853931</v>
      </c>
      <c r="AT712" s="6"/>
      <c r="AU712">
        <v>20.886861567306688</v>
      </c>
      <c r="AV712">
        <v>66.429064420506251</v>
      </c>
      <c r="AW712">
        <v>39.937877591055866</v>
      </c>
      <c r="AX712">
        <v>127.25380357886881</v>
      </c>
      <c r="AY712">
        <v>12.136369505399118</v>
      </c>
      <c r="AZ712">
        <v>27.665383797437588</v>
      </c>
      <c r="BA712">
        <v>3.5081892772820393</v>
      </c>
      <c r="BB712">
        <v>5.7939741675636247</v>
      </c>
      <c r="BC712">
        <v>9.4852560457970228</v>
      </c>
      <c r="BD712">
        <v>58.589172793479392</v>
      </c>
      <c r="BE712">
        <v>2.3837496961911029</v>
      </c>
      <c r="BF712">
        <v>3.0095287490017708</v>
      </c>
      <c r="BG712">
        <v>3.0187287333773138</v>
      </c>
      <c r="BH712">
        <v>6.0282574823790851</v>
      </c>
      <c r="BI712">
        <v>191.87123385472728</v>
      </c>
      <c r="BJ712" s="6">
        <v>191</v>
      </c>
      <c r="BK712">
        <v>-3.6445077861879747</v>
      </c>
      <c r="BL712" s="4">
        <v>-67.177899999999909</v>
      </c>
      <c r="BM712" t="s">
        <v>562</v>
      </c>
      <c r="BN712" t="s">
        <v>65</v>
      </c>
      <c r="BO712">
        <v>7</v>
      </c>
      <c r="BP712">
        <v>2023</v>
      </c>
      <c r="BQ712" t="str">
        <f t="shared" si="56"/>
        <v>Tachalab7</v>
      </c>
      <c r="BR712">
        <f t="shared" si="57"/>
        <v>-16.059140000000237</v>
      </c>
      <c r="BS712">
        <f t="shared" si="58"/>
        <v>3469.51548</v>
      </c>
      <c r="BT712" s="6">
        <f t="shared" si="59"/>
        <v>-0.87123385472727932</v>
      </c>
    </row>
    <row r="713" spans="1:72">
      <c r="A713" s="3" t="s">
        <v>113</v>
      </c>
      <c r="B713" s="3" t="s">
        <v>540</v>
      </c>
      <c r="C713" s="3" t="s">
        <v>542</v>
      </c>
      <c r="D713" s="2" t="s">
        <v>563</v>
      </c>
      <c r="E713" s="4" t="str">
        <f t="shared" si="55"/>
        <v>TachalabA1-011-0018</v>
      </c>
      <c r="F713">
        <v>2.8</v>
      </c>
      <c r="G713">
        <v>2</v>
      </c>
      <c r="H713" t="s">
        <v>72</v>
      </c>
      <c r="I713" t="s">
        <v>75</v>
      </c>
      <c r="J713" t="s">
        <v>95</v>
      </c>
      <c r="K713" t="s">
        <v>79</v>
      </c>
      <c r="N713" s="5">
        <v>44988</v>
      </c>
      <c r="O713" s="5">
        <v>45019</v>
      </c>
      <c r="P713">
        <v>1</v>
      </c>
      <c r="Q713" s="4">
        <v>112</v>
      </c>
      <c r="R713">
        <v>0.6</v>
      </c>
      <c r="S713" t="s">
        <v>70</v>
      </c>
      <c r="T713" s="6">
        <v>6</v>
      </c>
      <c r="U713" s="5">
        <v>45139</v>
      </c>
      <c r="V713" s="6">
        <v>1</v>
      </c>
      <c r="W713" t="s">
        <v>86</v>
      </c>
      <c r="X713" s="6">
        <v>120</v>
      </c>
      <c r="Y713">
        <v>28.588000000000001</v>
      </c>
      <c r="Z713">
        <v>10.210000000000001</v>
      </c>
      <c r="AA713" s="6">
        <v>31.55908073317476</v>
      </c>
      <c r="AB713" s="4">
        <v>90.221099999999993</v>
      </c>
      <c r="AC713" s="6">
        <v>31.686601027919188</v>
      </c>
      <c r="AD713">
        <v>0.34222222200000002</v>
      </c>
      <c r="AE713">
        <v>2.033903755352731</v>
      </c>
      <c r="AF713">
        <v>56925</v>
      </c>
      <c r="AG713" s="4"/>
      <c r="AH713" s="4"/>
      <c r="AL713">
        <v>24</v>
      </c>
      <c r="AM713">
        <v>3.9826799999999998</v>
      </c>
      <c r="AN713" t="s">
        <v>81</v>
      </c>
      <c r="AO713" t="s">
        <v>103</v>
      </c>
      <c r="AP713" s="5">
        <v>45026</v>
      </c>
      <c r="AQ713" t="s">
        <v>102</v>
      </c>
      <c r="AR713" s="5">
        <v>45131</v>
      </c>
      <c r="AS713">
        <v>198.79295473625294</v>
      </c>
      <c r="AT713" s="6"/>
      <c r="AU713">
        <v>15.740870295228769</v>
      </c>
      <c r="AV713">
        <v>62.587806772072213</v>
      </c>
      <c r="AW713">
        <v>35.050827969777544</v>
      </c>
      <c r="AX713">
        <v>113.37950503707853</v>
      </c>
      <c r="AY713">
        <v>10.542683643486777</v>
      </c>
      <c r="AZ713">
        <v>23.819240590457536</v>
      </c>
      <c r="BA713">
        <v>3.2867248495872401</v>
      </c>
      <c r="BB713">
        <v>5.1658615503008276</v>
      </c>
      <c r="BC713">
        <v>8.0173272002238711</v>
      </c>
      <c r="BD713">
        <v>50.831837834056252</v>
      </c>
      <c r="BE713">
        <v>34.581611865118155</v>
      </c>
      <c r="BF713">
        <v>2.619057296767874</v>
      </c>
      <c r="BG713">
        <v>2.6321355114033862</v>
      </c>
      <c r="BH713">
        <v>5.2511928081712602</v>
      </c>
      <c r="BI713">
        <v>169.462535679306</v>
      </c>
      <c r="BJ713" s="6">
        <v>194</v>
      </c>
      <c r="BK713">
        <v>29.330419056946955</v>
      </c>
      <c r="BL713" s="4">
        <v>838.49801999999954</v>
      </c>
      <c r="BM713" t="s">
        <v>564</v>
      </c>
      <c r="BN713" t="s">
        <v>65</v>
      </c>
      <c r="BO713">
        <v>8</v>
      </c>
      <c r="BP713">
        <v>2023</v>
      </c>
      <c r="BQ713" t="str">
        <f t="shared" si="56"/>
        <v>Tachalab8</v>
      </c>
      <c r="BR713">
        <f t="shared" si="57"/>
        <v>701.47703000000013</v>
      </c>
      <c r="BS713">
        <f t="shared" si="58"/>
        <v>5683.0929899999992</v>
      </c>
      <c r="BT713" s="6">
        <f t="shared" si="59"/>
        <v>24.537464320693999</v>
      </c>
    </row>
    <row r="714" spans="1:72">
      <c r="A714" s="3" t="s">
        <v>113</v>
      </c>
      <c r="B714" s="3" t="s">
        <v>540</v>
      </c>
      <c r="C714" s="3" t="s">
        <v>542</v>
      </c>
      <c r="D714" s="2" t="s">
        <v>558</v>
      </c>
      <c r="E714" s="4" t="str">
        <f t="shared" si="55"/>
        <v>TachalabA1-005-0024</v>
      </c>
      <c r="F714">
        <v>4</v>
      </c>
      <c r="G714">
        <v>1.6</v>
      </c>
      <c r="H714" t="s">
        <v>72</v>
      </c>
      <c r="I714" t="s">
        <v>75</v>
      </c>
      <c r="J714" t="s">
        <v>95</v>
      </c>
      <c r="K714" t="s">
        <v>79</v>
      </c>
      <c r="N714" s="5">
        <v>45000</v>
      </c>
      <c r="O714" s="5">
        <v>45014</v>
      </c>
      <c r="P714">
        <v>1.2</v>
      </c>
      <c r="Q714" s="4">
        <v>117</v>
      </c>
      <c r="R714">
        <v>0.5</v>
      </c>
      <c r="S714" t="s">
        <v>70</v>
      </c>
      <c r="T714" s="6">
        <v>5</v>
      </c>
      <c r="U714" s="5">
        <v>45122</v>
      </c>
      <c r="V714" s="6">
        <v>1</v>
      </c>
      <c r="W714" t="s">
        <v>86</v>
      </c>
      <c r="X714" s="6">
        <v>108</v>
      </c>
      <c r="Y714">
        <v>32.890309999999999</v>
      </c>
      <c r="Z714">
        <v>8.2225774999999999</v>
      </c>
      <c r="AA714" s="6">
        <v>36.095768024077614</v>
      </c>
      <c r="AB714" s="4">
        <v>98.933416666666659</v>
      </c>
      <c r="AC714" s="6">
        <v>27.704078753302934</v>
      </c>
      <c r="AD714">
        <v>0.29405615299999999</v>
      </c>
      <c r="AE714">
        <v>1.7528478357748811</v>
      </c>
      <c r="AF714">
        <v>56600</v>
      </c>
      <c r="AG714" s="4"/>
      <c r="AH714" s="4"/>
      <c r="AL714">
        <v>31</v>
      </c>
      <c r="AM714">
        <v>6.88802</v>
      </c>
      <c r="AN714" t="s">
        <v>81</v>
      </c>
      <c r="AO714" t="s">
        <v>83</v>
      </c>
      <c r="AP714" s="5">
        <v>45019</v>
      </c>
      <c r="AQ714" t="s">
        <v>93</v>
      </c>
      <c r="AR714" s="5">
        <v>45117</v>
      </c>
      <c r="AS714">
        <v>171.95443825248228</v>
      </c>
      <c r="AT714" s="6"/>
      <c r="AU714">
        <v>24.826584182392931</v>
      </c>
      <c r="AV714">
        <v>54.245963324760375</v>
      </c>
      <c r="AW714">
        <v>30.977120312943239</v>
      </c>
      <c r="AX714">
        <v>110.04966782009654</v>
      </c>
      <c r="AY714">
        <v>10.745005139811695</v>
      </c>
      <c r="AZ714">
        <v>23.696264644510798</v>
      </c>
      <c r="BA714">
        <v>2.9795024735248772</v>
      </c>
      <c r="BB714">
        <v>4.6166953123883605</v>
      </c>
      <c r="BC714">
        <v>8.5273586658198113</v>
      </c>
      <c r="BD714">
        <v>50.564826236055545</v>
      </c>
      <c r="BE714">
        <v>11.339944196330187</v>
      </c>
      <c r="BF714">
        <v>2.5935942835443018</v>
      </c>
      <c r="BG714">
        <v>2.58343445227485</v>
      </c>
      <c r="BH714">
        <v>5.1770287358191522</v>
      </c>
      <c r="BI714">
        <v>165.79152279197126</v>
      </c>
      <c r="BJ714" s="6">
        <v>186</v>
      </c>
      <c r="BK714">
        <v>6.1629154605110195</v>
      </c>
      <c r="BL714" s="4">
        <v>202.70020000000019</v>
      </c>
      <c r="BM714" t="s">
        <v>559</v>
      </c>
      <c r="BN714" t="s">
        <v>65</v>
      </c>
      <c r="BO714">
        <v>7</v>
      </c>
      <c r="BP714">
        <v>2023</v>
      </c>
      <c r="BQ714" t="str">
        <f t="shared" si="56"/>
        <v>Tachalab7</v>
      </c>
      <c r="BR714">
        <f t="shared" si="57"/>
        <v>664.6630799999997</v>
      </c>
      <c r="BS714">
        <f t="shared" si="58"/>
        <v>5655.6347800000003</v>
      </c>
      <c r="BT714" s="6">
        <f t="shared" si="59"/>
        <v>20.208477208028739</v>
      </c>
    </row>
    <row r="715" spans="1:72">
      <c r="A715" s="3" t="s">
        <v>113</v>
      </c>
      <c r="B715" s="3" t="s">
        <v>540</v>
      </c>
      <c r="C715" s="3" t="s">
        <v>542</v>
      </c>
      <c r="D715" s="2" t="s">
        <v>548</v>
      </c>
      <c r="E715" s="4" t="str">
        <f t="shared" si="55"/>
        <v>TachalabB1-025-0015</v>
      </c>
      <c r="F715">
        <v>3.2</v>
      </c>
      <c r="G715">
        <v>2</v>
      </c>
      <c r="H715" t="s">
        <v>72</v>
      </c>
      <c r="I715" t="s">
        <v>75</v>
      </c>
      <c r="J715" t="s">
        <v>95</v>
      </c>
      <c r="K715" t="s">
        <v>79</v>
      </c>
      <c r="N715" s="5">
        <v>44962</v>
      </c>
      <c r="O715" s="5">
        <v>44986</v>
      </c>
      <c r="P715">
        <v>2.6</v>
      </c>
      <c r="Q715" s="4">
        <v>254</v>
      </c>
      <c r="R715">
        <v>0.68300000000000005</v>
      </c>
      <c r="S715" t="s">
        <v>70</v>
      </c>
      <c r="T715" s="6">
        <v>5</v>
      </c>
      <c r="U715" s="5">
        <v>45102</v>
      </c>
      <c r="V715" s="6">
        <v>1</v>
      </c>
      <c r="W715" t="s">
        <v>86</v>
      </c>
      <c r="X715" s="6">
        <v>116</v>
      </c>
      <c r="Y715">
        <v>28.106750000000002</v>
      </c>
      <c r="Z715">
        <v>8.7833593749999999</v>
      </c>
      <c r="AA715" s="6">
        <v>45.548453663265938</v>
      </c>
      <c r="AB715" s="4">
        <v>49.239192307692306</v>
      </c>
      <c r="AC715" s="6">
        <v>21.954642135447141</v>
      </c>
      <c r="AD715">
        <v>0.272198832</v>
      </c>
      <c r="AE715">
        <v>2.359489324853731</v>
      </c>
      <c r="AF715">
        <v>62125</v>
      </c>
      <c r="AG715" s="4"/>
      <c r="AH715" s="4"/>
      <c r="AI715" t="s">
        <v>73</v>
      </c>
      <c r="AJ715" t="s">
        <v>73</v>
      </c>
      <c r="AK715" t="s">
        <v>549</v>
      </c>
      <c r="AL715">
        <v>31.000000000000004</v>
      </c>
      <c r="AM715">
        <v>5.1199899999999996</v>
      </c>
      <c r="AN715" t="s">
        <v>73</v>
      </c>
      <c r="AO715" t="s">
        <v>157</v>
      </c>
      <c r="AP715" s="5">
        <v>44991</v>
      </c>
      <c r="AQ715" t="s">
        <v>93</v>
      </c>
      <c r="AR715" s="5">
        <v>45098</v>
      </c>
      <c r="AS715">
        <v>159.18235228192509</v>
      </c>
      <c r="AT715" s="6"/>
      <c r="AU715">
        <v>67.348367207165552</v>
      </c>
      <c r="AV715">
        <v>70.741435420317146</v>
      </c>
      <c r="AW715">
        <v>61.658171435687187</v>
      </c>
      <c r="AX715">
        <v>199.74797406316989</v>
      </c>
      <c r="AY715">
        <v>23.692921451252815</v>
      </c>
      <c r="AZ715">
        <v>32.506962206587382</v>
      </c>
      <c r="BA715">
        <v>6.5877335515490065</v>
      </c>
      <c r="BB715">
        <v>10.806680245848415</v>
      </c>
      <c r="BC715">
        <v>12.867936349809209</v>
      </c>
      <c r="BD715">
        <v>86.462233805046822</v>
      </c>
      <c r="BE715">
        <v>-127.02785558629162</v>
      </c>
      <c r="BF715">
        <v>18.919739564339526</v>
      </c>
      <c r="BG715">
        <v>4.3677177190532523</v>
      </c>
      <c r="BH715">
        <v>23.287457283392779</v>
      </c>
      <c r="BI715">
        <v>309.4976651516094</v>
      </c>
      <c r="BJ715" s="6">
        <v>175</v>
      </c>
      <c r="BK715">
        <v>-150.31531286968433</v>
      </c>
      <c r="BL715" s="4">
        <v>-4224.8749200000002</v>
      </c>
      <c r="BM715" t="s">
        <v>550</v>
      </c>
      <c r="BN715" t="s">
        <v>65</v>
      </c>
      <c r="BO715">
        <v>6</v>
      </c>
      <c r="BP715">
        <v>2023</v>
      </c>
      <c r="BQ715" t="str">
        <f t="shared" si="56"/>
        <v>Tachalab6</v>
      </c>
      <c r="BR715">
        <f t="shared" si="57"/>
        <v>-3780.2922499999977</v>
      </c>
      <c r="BS715">
        <f t="shared" si="58"/>
        <v>4474.098579999998</v>
      </c>
      <c r="BT715" s="6">
        <f t="shared" si="59"/>
        <v>-134.4976651516094</v>
      </c>
    </row>
    <row r="716" spans="1:72">
      <c r="A716" s="3" t="s">
        <v>113</v>
      </c>
      <c r="B716" s="3" t="s">
        <v>540</v>
      </c>
      <c r="C716" s="3" t="s">
        <v>542</v>
      </c>
      <c r="D716" s="2" t="s">
        <v>2809</v>
      </c>
      <c r="E716" s="4" t="str">
        <f t="shared" si="55"/>
        <v>TachalabA1-006-0017</v>
      </c>
      <c r="F716">
        <v>4</v>
      </c>
      <c r="G716">
        <v>1.8</v>
      </c>
      <c r="H716" t="s">
        <v>72</v>
      </c>
      <c r="I716" t="s">
        <v>75</v>
      </c>
      <c r="J716" t="s">
        <v>95</v>
      </c>
      <c r="K716" t="s">
        <v>79</v>
      </c>
      <c r="N716" s="5">
        <v>45154</v>
      </c>
      <c r="O716" s="5">
        <v>45184</v>
      </c>
      <c r="P716">
        <v>1.5</v>
      </c>
      <c r="Q716" s="4">
        <v>130</v>
      </c>
      <c r="R716">
        <v>0.221</v>
      </c>
      <c r="S716" t="s">
        <v>70</v>
      </c>
      <c r="T716" s="6">
        <v>4</v>
      </c>
      <c r="U716" s="5">
        <v>45261</v>
      </c>
      <c r="V716" s="6">
        <v>1</v>
      </c>
      <c r="W716" t="s">
        <v>86</v>
      </c>
      <c r="X716" s="6">
        <v>77</v>
      </c>
      <c r="Y716">
        <v>30.141549999999999</v>
      </c>
      <c r="Z716">
        <v>7.5353874999999997</v>
      </c>
      <c r="AA716" s="6">
        <v>55.601818751855831</v>
      </c>
      <c r="AB716" s="4">
        <v>111.72833333333334</v>
      </c>
      <c r="AC716" s="6">
        <v>17.985023196145413</v>
      </c>
      <c r="AD716">
        <v>0.24688012000000001</v>
      </c>
      <c r="AE716">
        <v>1.456699054529353</v>
      </c>
      <c r="AF716">
        <v>43425</v>
      </c>
      <c r="AG716" s="4"/>
      <c r="AH716" s="4"/>
      <c r="AL716">
        <v>52</v>
      </c>
      <c r="AM716">
        <v>11.03233</v>
      </c>
      <c r="AN716" t="s">
        <v>2726</v>
      </c>
      <c r="AO716" t="s">
        <v>92</v>
      </c>
      <c r="AP716" s="5">
        <v>45187</v>
      </c>
      <c r="AQ716" t="s">
        <v>108</v>
      </c>
      <c r="AR716" s="5">
        <v>45257</v>
      </c>
      <c r="AS716">
        <v>173.84335410753596</v>
      </c>
      <c r="AT716" s="6"/>
      <c r="AU716">
        <v>19.906076495734293</v>
      </c>
      <c r="AV716">
        <v>43.28831330837334</v>
      </c>
      <c r="AW716">
        <v>54.204952963600086</v>
      </c>
      <c r="AX716">
        <v>117.39934276770771</v>
      </c>
      <c r="AY716">
        <v>24.650161653929544</v>
      </c>
      <c r="AZ716">
        <v>19.680993180509958</v>
      </c>
      <c r="BA716">
        <v>16.239473749691044</v>
      </c>
      <c r="BB716">
        <v>51.365370062256261</v>
      </c>
      <c r="BC716">
        <v>21.046500926461974</v>
      </c>
      <c r="BD716">
        <v>132.98249957284878</v>
      </c>
      <c r="BE716">
        <v>-76.53848823302053</v>
      </c>
      <c r="BF716">
        <v>15.351153142423003</v>
      </c>
      <c r="BG716">
        <v>7.5440499907934404</v>
      </c>
      <c r="BH716">
        <v>22.895203133216441</v>
      </c>
      <c r="BI716">
        <v>273.277045473773</v>
      </c>
      <c r="BJ716" s="6">
        <v>165</v>
      </c>
      <c r="BK716">
        <v>-99.433691366237042</v>
      </c>
      <c r="BL716" s="4">
        <v>-2997.0855800000018</v>
      </c>
      <c r="BM716" t="s">
        <v>2810</v>
      </c>
      <c r="BN716" t="s">
        <v>65</v>
      </c>
      <c r="BO716">
        <v>12</v>
      </c>
      <c r="BP716">
        <v>2023</v>
      </c>
      <c r="BQ716" t="str">
        <f t="shared" si="56"/>
        <v>Tachalab12</v>
      </c>
      <c r="BR716">
        <f t="shared" si="57"/>
        <v>-3263.6379800000022</v>
      </c>
      <c r="BS716">
        <f t="shared" si="58"/>
        <v>5239.9081500000002</v>
      </c>
      <c r="BT716" s="6">
        <f t="shared" si="59"/>
        <v>-108.277045473773</v>
      </c>
    </row>
    <row r="717" spans="1:72">
      <c r="A717" s="3" t="s">
        <v>113</v>
      </c>
      <c r="B717" s="3" t="s">
        <v>540</v>
      </c>
      <c r="C717" s="3" t="s">
        <v>542</v>
      </c>
      <c r="D717" s="2" t="s">
        <v>263</v>
      </c>
      <c r="E717" s="4" t="str">
        <f t="shared" si="55"/>
        <v>TachalabB1-023-0012</v>
      </c>
      <c r="F717">
        <v>3.4</v>
      </c>
      <c r="G717">
        <v>1.7</v>
      </c>
      <c r="H717" t="s">
        <v>72</v>
      </c>
      <c r="I717" t="s">
        <v>75</v>
      </c>
      <c r="J717" t="s">
        <v>95</v>
      </c>
      <c r="K717" t="s">
        <v>79</v>
      </c>
      <c r="L717" t="s">
        <v>79</v>
      </c>
      <c r="M717">
        <v>0.1911589008363202</v>
      </c>
      <c r="N717" s="5">
        <v>44835</v>
      </c>
      <c r="O717" s="5">
        <v>44859</v>
      </c>
      <c r="P717">
        <v>0.9</v>
      </c>
      <c r="Q717" s="4">
        <v>97</v>
      </c>
      <c r="R717">
        <v>0.45</v>
      </c>
      <c r="S717" t="s">
        <v>70</v>
      </c>
      <c r="T717" s="6">
        <v>4</v>
      </c>
      <c r="U717" s="5">
        <v>44983</v>
      </c>
      <c r="V717" s="6">
        <v>1</v>
      </c>
      <c r="W717" t="s">
        <v>86</v>
      </c>
      <c r="X717" s="6">
        <v>124.00000000000001</v>
      </c>
      <c r="Y717">
        <v>22.691200000000002</v>
      </c>
      <c r="Z717">
        <v>6.6738823529411775</v>
      </c>
      <c r="AA717" s="6">
        <v>35.109778240022564</v>
      </c>
      <c r="AB717" s="4">
        <v>88.52033333333334</v>
      </c>
      <c r="AC717" s="6">
        <v>28.482093881757237</v>
      </c>
      <c r="AD717">
        <v>0.24075024400000003</v>
      </c>
      <c r="AE717">
        <v>1.8778369472159551</v>
      </c>
      <c r="AF717">
        <v>41850</v>
      </c>
      <c r="AG717" s="4">
        <v>9000</v>
      </c>
      <c r="AH717" s="4">
        <v>8000</v>
      </c>
      <c r="AL717">
        <v>33</v>
      </c>
      <c r="AM717">
        <v>5.1770800000000001</v>
      </c>
      <c r="AN717" t="s">
        <v>81</v>
      </c>
      <c r="AO717" t="s">
        <v>109</v>
      </c>
      <c r="AP717" s="5">
        <v>44865</v>
      </c>
      <c r="AQ717" t="s">
        <v>134</v>
      </c>
      <c r="AR717" s="5">
        <v>44977</v>
      </c>
      <c r="AS717">
        <v>241.27452845155827</v>
      </c>
      <c r="AT717" s="6"/>
      <c r="AU717">
        <v>17.848328867578626</v>
      </c>
      <c r="AV717">
        <v>58.225685728388093</v>
      </c>
      <c r="AW717">
        <v>47.610044422507407</v>
      </c>
      <c r="AX717">
        <v>123.68405901847413</v>
      </c>
      <c r="AY717">
        <v>13.572805316598505</v>
      </c>
      <c r="AZ717">
        <v>30.113279597376955</v>
      </c>
      <c r="BA717">
        <v>6.5880023974051607</v>
      </c>
      <c r="BB717">
        <v>13.120184476801578</v>
      </c>
      <c r="BC717">
        <v>9.2154729586800155</v>
      </c>
      <c r="BD717">
        <v>72.609744746862205</v>
      </c>
      <c r="BE717">
        <v>44.980724686221933</v>
      </c>
      <c r="BF717">
        <v>11.879133761105626</v>
      </c>
      <c r="BG717">
        <v>2.6936160273586238</v>
      </c>
      <c r="BH717">
        <v>14.57274978846425</v>
      </c>
      <c r="BI717">
        <v>210.86655355380057</v>
      </c>
      <c r="BJ717" s="6">
        <v>187</v>
      </c>
      <c r="BK717">
        <v>30.407974897757697</v>
      </c>
      <c r="BL717" s="4">
        <v>689.99343999999951</v>
      </c>
      <c r="BM717" t="s">
        <v>560</v>
      </c>
      <c r="BN717" t="s">
        <v>65</v>
      </c>
      <c r="BO717">
        <v>2</v>
      </c>
      <c r="BP717">
        <v>2023</v>
      </c>
      <c r="BQ717" t="str">
        <f t="shared" si="56"/>
        <v>Tachalab2</v>
      </c>
      <c r="BR717">
        <f t="shared" si="57"/>
        <v>-541.56073999999956</v>
      </c>
      <c r="BS717">
        <f t="shared" si="58"/>
        <v>5474.8085799999999</v>
      </c>
      <c r="BT717" s="6">
        <f t="shared" si="59"/>
        <v>-23.866553553800571</v>
      </c>
    </row>
    <row r="718" spans="1:72">
      <c r="A718" s="3" t="s">
        <v>113</v>
      </c>
      <c r="B718" s="3" t="s">
        <v>540</v>
      </c>
      <c r="C718" s="3" t="s">
        <v>542</v>
      </c>
      <c r="D718" s="2" t="s">
        <v>557</v>
      </c>
      <c r="E718" s="4" t="str">
        <f t="shared" si="55"/>
        <v>TachalabA1-003-0023</v>
      </c>
      <c r="F718">
        <v>3.8</v>
      </c>
      <c r="G718">
        <v>1.6</v>
      </c>
      <c r="H718" t="s">
        <v>72</v>
      </c>
      <c r="I718" t="s">
        <v>75</v>
      </c>
      <c r="J718" t="s">
        <v>95</v>
      </c>
      <c r="K718" t="s">
        <v>79</v>
      </c>
      <c r="L718" t="s">
        <v>79</v>
      </c>
      <c r="M718">
        <v>0</v>
      </c>
      <c r="N718" s="5">
        <v>44805</v>
      </c>
      <c r="O718" s="5">
        <v>44874</v>
      </c>
      <c r="P718">
        <v>0.96</v>
      </c>
      <c r="Q718" s="4">
        <v>99</v>
      </c>
      <c r="R718">
        <v>0.253</v>
      </c>
      <c r="S718" t="s">
        <v>70</v>
      </c>
      <c r="T718" s="6">
        <v>2</v>
      </c>
      <c r="U718" s="5">
        <v>44999</v>
      </c>
      <c r="V718" s="6">
        <v>1</v>
      </c>
      <c r="W718" t="s">
        <v>86</v>
      </c>
      <c r="X718" s="6">
        <v>125</v>
      </c>
      <c r="Y718">
        <v>15.998959999999999</v>
      </c>
      <c r="Z718">
        <v>4.210252631578947</v>
      </c>
      <c r="AA718" s="6">
        <v>37.861523499027442</v>
      </c>
      <c r="AB718" s="4">
        <v>63.098437500000003</v>
      </c>
      <c r="AC718" s="6">
        <v>26.412038068824337</v>
      </c>
      <c r="AD718">
        <v>0.220198222</v>
      </c>
      <c r="AE718">
        <v>2.3784650379919725</v>
      </c>
      <c r="AF718">
        <v>37475</v>
      </c>
      <c r="AG718" s="4">
        <v>0</v>
      </c>
      <c r="AH718" s="4">
        <v>0</v>
      </c>
      <c r="AL718">
        <v>36</v>
      </c>
      <c r="AM718">
        <v>11.724069999999999</v>
      </c>
      <c r="AN718" t="s">
        <v>544</v>
      </c>
      <c r="AO718" t="s">
        <v>99</v>
      </c>
      <c r="AP718" s="5">
        <v>44886</v>
      </c>
      <c r="AQ718" t="s">
        <v>83</v>
      </c>
      <c r="AR718" s="5">
        <v>44998</v>
      </c>
      <c r="AS718">
        <v>235.55472418207188</v>
      </c>
      <c r="AT718" s="6"/>
      <c r="AU718">
        <v>24.001560101406593</v>
      </c>
      <c r="AV718">
        <v>74.24563034097217</v>
      </c>
      <c r="AW718">
        <v>87.946414016911092</v>
      </c>
      <c r="AX718">
        <v>186.19360445928987</v>
      </c>
      <c r="AY718">
        <v>42.373026121697912</v>
      </c>
      <c r="AZ718">
        <v>51.51683984458991</v>
      </c>
      <c r="BA718">
        <v>13.999820613339867</v>
      </c>
      <c r="BB718">
        <v>45.050005750373785</v>
      </c>
      <c r="BC718">
        <v>20.43022733977709</v>
      </c>
      <c r="BD718">
        <v>173.36991966977857</v>
      </c>
      <c r="BE718">
        <v>-124.00879994699656</v>
      </c>
      <c r="BF718">
        <v>10.162116162550566</v>
      </c>
      <c r="BG718">
        <v>9.3359893393070568</v>
      </c>
      <c r="BH718">
        <v>19.498105501857623</v>
      </c>
      <c r="BI718">
        <v>379.06162963092606</v>
      </c>
      <c r="BJ718" s="6">
        <v>185</v>
      </c>
      <c r="BK718">
        <v>-143.50690544885418</v>
      </c>
      <c r="BL718" s="4">
        <v>-2295.9612400000001</v>
      </c>
      <c r="BM718" t="s">
        <v>541</v>
      </c>
      <c r="BN718" t="s">
        <v>65</v>
      </c>
      <c r="BO718">
        <v>3</v>
      </c>
      <c r="BP718">
        <v>2023</v>
      </c>
      <c r="BQ718" t="str">
        <f t="shared" si="56"/>
        <v>Tachalab3</v>
      </c>
      <c r="BR718">
        <f t="shared" si="57"/>
        <v>-3104.7842500000006</v>
      </c>
      <c r="BS718">
        <f t="shared" si="58"/>
        <v>3768.6306100000002</v>
      </c>
      <c r="BT718" s="6">
        <f t="shared" si="59"/>
        <v>-194.06162963092606</v>
      </c>
    </row>
    <row r="719" spans="1:72">
      <c r="A719" s="3" t="s">
        <v>113</v>
      </c>
      <c r="B719" s="3" t="s">
        <v>540</v>
      </c>
      <c r="C719" s="3" t="s">
        <v>542</v>
      </c>
      <c r="D719" s="2" t="s">
        <v>555</v>
      </c>
      <c r="E719" s="4" t="str">
        <f t="shared" si="55"/>
        <v>TachalabA1-013-0011</v>
      </c>
      <c r="F719">
        <v>2.2999999999999998</v>
      </c>
      <c r="G719">
        <v>2</v>
      </c>
      <c r="H719" t="s">
        <v>72</v>
      </c>
      <c r="I719" t="s">
        <v>75</v>
      </c>
      <c r="J719" t="s">
        <v>95</v>
      </c>
      <c r="K719" t="s">
        <v>79</v>
      </c>
      <c r="L719" t="s">
        <v>79</v>
      </c>
      <c r="M719">
        <v>0</v>
      </c>
      <c r="N719" s="5">
        <v>44835</v>
      </c>
      <c r="O719" s="5">
        <v>44877</v>
      </c>
      <c r="P719">
        <v>0.9</v>
      </c>
      <c r="Q719" s="4">
        <v>122</v>
      </c>
      <c r="R719">
        <v>0.3</v>
      </c>
      <c r="S719" t="s">
        <v>70</v>
      </c>
      <c r="T719" s="6">
        <v>2</v>
      </c>
      <c r="U719" s="5">
        <v>44997</v>
      </c>
      <c r="V719" s="6">
        <v>1</v>
      </c>
      <c r="W719" t="s">
        <v>86</v>
      </c>
      <c r="X719" s="6">
        <v>120</v>
      </c>
      <c r="Y719">
        <v>13.369759999999999</v>
      </c>
      <c r="Z719">
        <v>5.8129391304347831</v>
      </c>
      <c r="AA719" s="6">
        <v>41.434999581144311</v>
      </c>
      <c r="AB719" s="4">
        <v>61.552888888888887</v>
      </c>
      <c r="AC719" s="6">
        <v>24.134186318540877</v>
      </c>
      <c r="AD719">
        <v>0.211175214</v>
      </c>
      <c r="AE719">
        <v>2.3511881133700161</v>
      </c>
      <c r="AF719">
        <v>30800</v>
      </c>
      <c r="AG719" s="4">
        <v>0</v>
      </c>
      <c r="AH719" s="4">
        <v>0</v>
      </c>
      <c r="AL719">
        <v>39</v>
      </c>
      <c r="AM719">
        <v>7.9359899999999994</v>
      </c>
      <c r="AN719" t="s">
        <v>81</v>
      </c>
      <c r="AO719" t="s">
        <v>105</v>
      </c>
      <c r="AP719" s="5">
        <v>44886</v>
      </c>
      <c r="AQ719" t="s">
        <v>157</v>
      </c>
      <c r="AR719" s="5">
        <v>44991</v>
      </c>
      <c r="AS719">
        <v>224.22189403549501</v>
      </c>
      <c r="AT719" s="6"/>
      <c r="AU719">
        <v>26.926436974186522</v>
      </c>
      <c r="AV719">
        <v>72.912953560871685</v>
      </c>
      <c r="AW719">
        <v>61.373347015952405</v>
      </c>
      <c r="AX719">
        <v>161.21273755101063</v>
      </c>
      <c r="AY719">
        <v>17.722663682818538</v>
      </c>
      <c r="AZ719">
        <v>32.911842097389922</v>
      </c>
      <c r="BA719">
        <v>6.1640478213520673</v>
      </c>
      <c r="BB719">
        <v>15.085444316128338</v>
      </c>
      <c r="BC719">
        <v>11.429091472098229</v>
      </c>
      <c r="BD719">
        <v>83.313089389787095</v>
      </c>
      <c r="BE719">
        <v>-20.303932905302716</v>
      </c>
      <c r="BF719">
        <v>4.4099594906714863</v>
      </c>
      <c r="BG719">
        <v>4.0741860736467963</v>
      </c>
      <c r="BH719">
        <v>8.4841455643182808</v>
      </c>
      <c r="BI719">
        <v>253.00997250511605</v>
      </c>
      <c r="BJ719" s="6">
        <v>181</v>
      </c>
      <c r="BK719">
        <v>-28.788078469621045</v>
      </c>
      <c r="BL719" s="4">
        <v>-384.88970000000063</v>
      </c>
      <c r="BM719" t="s">
        <v>556</v>
      </c>
      <c r="BN719" t="s">
        <v>65</v>
      </c>
      <c r="BO719">
        <v>3</v>
      </c>
      <c r="BP719">
        <v>2023</v>
      </c>
      <c r="BQ719" t="str">
        <f t="shared" si="56"/>
        <v>Tachalab3</v>
      </c>
      <c r="BR719">
        <f t="shared" si="57"/>
        <v>-962.75605000000041</v>
      </c>
      <c r="BS719">
        <f t="shared" si="58"/>
        <v>2997.7929099999997</v>
      </c>
      <c r="BT719" s="6">
        <f t="shared" si="59"/>
        <v>-72.009972505116053</v>
      </c>
    </row>
    <row r="720" spans="1:72">
      <c r="A720" s="3" t="s">
        <v>113</v>
      </c>
      <c r="B720" s="3" t="s">
        <v>540</v>
      </c>
      <c r="C720" s="3" t="s">
        <v>542</v>
      </c>
      <c r="D720" s="2" t="s">
        <v>553</v>
      </c>
      <c r="E720" s="4" t="str">
        <f t="shared" si="55"/>
        <v>TachalabA1-006-0016</v>
      </c>
      <c r="F720">
        <v>4</v>
      </c>
      <c r="G720">
        <v>1.8</v>
      </c>
      <c r="H720" t="s">
        <v>72</v>
      </c>
      <c r="I720" t="s">
        <v>75</v>
      </c>
      <c r="J720" t="s">
        <v>95</v>
      </c>
      <c r="K720" t="s">
        <v>79</v>
      </c>
      <c r="L720" t="s">
        <v>79</v>
      </c>
      <c r="M720">
        <v>0</v>
      </c>
      <c r="N720" s="5">
        <v>44835</v>
      </c>
      <c r="O720" s="5">
        <v>44877</v>
      </c>
      <c r="P720">
        <v>0.84</v>
      </c>
      <c r="Q720" s="4">
        <v>73</v>
      </c>
      <c r="R720">
        <v>0.3</v>
      </c>
      <c r="S720" t="s">
        <v>70</v>
      </c>
      <c r="T720" s="6">
        <v>2</v>
      </c>
      <c r="U720" s="5">
        <v>44996</v>
      </c>
      <c r="V720" s="6">
        <v>1</v>
      </c>
      <c r="W720" t="s">
        <v>86</v>
      </c>
      <c r="X720" s="6">
        <v>119</v>
      </c>
      <c r="Y720">
        <v>15.465959999999999</v>
      </c>
      <c r="Z720">
        <v>3.8664899999999998</v>
      </c>
      <c r="AA720" s="6">
        <v>42.325403660684501</v>
      </c>
      <c r="AB720" s="4">
        <v>77.928928571428571</v>
      </c>
      <c r="AC720" s="6">
        <v>23.626472839262881</v>
      </c>
      <c r="AD720">
        <v>0.20243902400000002</v>
      </c>
      <c r="AE720">
        <v>1.9521544686590475</v>
      </c>
      <c r="AF720">
        <v>29700</v>
      </c>
      <c r="AG720" s="4">
        <v>0</v>
      </c>
      <c r="AH720" s="4">
        <v>0</v>
      </c>
      <c r="AL720">
        <v>41</v>
      </c>
      <c r="AM720">
        <v>10.330500000000001</v>
      </c>
      <c r="AN720" t="s">
        <v>544</v>
      </c>
      <c r="AO720" t="s">
        <v>92</v>
      </c>
      <c r="AP720" s="5">
        <v>44886</v>
      </c>
      <c r="AQ720" t="s">
        <v>157</v>
      </c>
      <c r="AR720" s="5">
        <v>44991</v>
      </c>
      <c r="AS720">
        <v>225.39939195497723</v>
      </c>
      <c r="AT720" s="6"/>
      <c r="AU720">
        <v>21.725130544757654</v>
      </c>
      <c r="AV720">
        <v>61.023294383277857</v>
      </c>
      <c r="AW720">
        <v>78.160716825854948</v>
      </c>
      <c r="AX720">
        <v>160.90914175389045</v>
      </c>
      <c r="AY720">
        <v>26.456483141040067</v>
      </c>
      <c r="AZ720">
        <v>49.190045105509128</v>
      </c>
      <c r="BA720">
        <v>9.1560873039888904</v>
      </c>
      <c r="BB720">
        <v>22.601269497658084</v>
      </c>
      <c r="BC720">
        <v>17.087243856831389</v>
      </c>
      <c r="BD720">
        <v>124.49112890502755</v>
      </c>
      <c r="BE720">
        <v>-60.000878703940771</v>
      </c>
      <c r="BF720">
        <v>6.5888706552971827</v>
      </c>
      <c r="BG720">
        <v>6.0842236757369097</v>
      </c>
      <c r="BH720">
        <v>12.673094331034092</v>
      </c>
      <c r="BI720">
        <v>298.07336498995215</v>
      </c>
      <c r="BJ720" s="6">
        <v>180</v>
      </c>
      <c r="BK720">
        <v>-72.673973034974921</v>
      </c>
      <c r="BL720" s="4">
        <v>-1123.9727600000008</v>
      </c>
      <c r="BM720" t="s">
        <v>554</v>
      </c>
      <c r="BN720" t="s">
        <v>65</v>
      </c>
      <c r="BO720">
        <v>3</v>
      </c>
      <c r="BP720">
        <v>2023</v>
      </c>
      <c r="BQ720" t="str">
        <f t="shared" si="56"/>
        <v>Tachalab3</v>
      </c>
      <c r="BR720">
        <f t="shared" si="57"/>
        <v>-1826.1179400000003</v>
      </c>
      <c r="BS720">
        <f t="shared" si="58"/>
        <v>3486.0179799999996</v>
      </c>
      <c r="BT720" s="6">
        <f t="shared" si="59"/>
        <v>-118.07336498995215</v>
      </c>
    </row>
    <row r="721" spans="1:72">
      <c r="A721" s="3" t="s">
        <v>113</v>
      </c>
      <c r="B721" s="3" t="s">
        <v>540</v>
      </c>
      <c r="C721" s="3" t="s">
        <v>542</v>
      </c>
      <c r="D721" s="2" t="s">
        <v>546</v>
      </c>
      <c r="E721" s="4" t="str">
        <f t="shared" si="55"/>
        <v>TachalabA1-011-0017</v>
      </c>
      <c r="F721">
        <v>2.8</v>
      </c>
      <c r="G721">
        <v>1.5</v>
      </c>
      <c r="H721" t="s">
        <v>72</v>
      </c>
      <c r="I721" t="s">
        <v>75</v>
      </c>
      <c r="J721" t="s">
        <v>95</v>
      </c>
      <c r="K721" t="s">
        <v>79</v>
      </c>
      <c r="L721" t="s">
        <v>79</v>
      </c>
      <c r="M721">
        <v>0</v>
      </c>
      <c r="N721" s="5">
        <v>44866</v>
      </c>
      <c r="O721" s="5">
        <v>44881</v>
      </c>
      <c r="P721">
        <v>0.9</v>
      </c>
      <c r="Q721" s="4">
        <v>134</v>
      </c>
      <c r="R721">
        <v>0.25</v>
      </c>
      <c r="S721" t="s">
        <v>70</v>
      </c>
      <c r="T721" s="6">
        <v>1</v>
      </c>
      <c r="U721" s="5">
        <v>44987</v>
      </c>
      <c r="V721" s="6">
        <v>1</v>
      </c>
      <c r="W721" t="s">
        <v>86</v>
      </c>
      <c r="X721" s="6">
        <v>106</v>
      </c>
      <c r="Y721">
        <v>13.575610000000001</v>
      </c>
      <c r="Z721">
        <v>4.8484321428571437</v>
      </c>
      <c r="AA721" s="6">
        <v>47.000760923450216</v>
      </c>
      <c r="AB721" s="4">
        <v>70.896000000000001</v>
      </c>
      <c r="AC721" s="6">
        <v>21.27625128513754</v>
      </c>
      <c r="AD721">
        <v>0.19836411100000001</v>
      </c>
      <c r="AE721">
        <v>1.9755755197917086</v>
      </c>
      <c r="AF721">
        <v>26375</v>
      </c>
      <c r="AG721" s="4">
        <v>7000</v>
      </c>
      <c r="AH721" s="4">
        <v>0</v>
      </c>
      <c r="AL721">
        <v>47</v>
      </c>
      <c r="AM721">
        <v>13.56589</v>
      </c>
      <c r="AN721" t="s">
        <v>544</v>
      </c>
      <c r="AO721" t="s">
        <v>93</v>
      </c>
      <c r="AP721" s="5">
        <v>44886</v>
      </c>
      <c r="AQ721" t="s">
        <v>157</v>
      </c>
      <c r="AR721" s="5">
        <v>44984</v>
      </c>
      <c r="AS721">
        <v>190.67691764863605</v>
      </c>
      <c r="AT721" s="6"/>
      <c r="AU721">
        <v>26.518145409303894</v>
      </c>
      <c r="AV721">
        <v>61.241544947151532</v>
      </c>
      <c r="AW721">
        <v>58.80165679479596</v>
      </c>
      <c r="AX721">
        <v>146.5613471512514</v>
      </c>
      <c r="AY721">
        <v>14.320684669049861</v>
      </c>
      <c r="AZ721">
        <v>34.280355726188354</v>
      </c>
      <c r="BA721">
        <v>4.3075567138419562</v>
      </c>
      <c r="BB721">
        <v>12.753413658760085</v>
      </c>
      <c r="BC721">
        <v>10.365761096554778</v>
      </c>
      <c r="BD721">
        <v>76.027771864395035</v>
      </c>
      <c r="BE721">
        <v>-31.912201367010383</v>
      </c>
      <c r="BF721">
        <v>3.671516786354351</v>
      </c>
      <c r="BG721">
        <v>3.3305059588482582</v>
      </c>
      <c r="BH721">
        <v>7.0020227452026091</v>
      </c>
      <c r="BI721">
        <v>229.59114176084907</v>
      </c>
      <c r="BJ721" s="6">
        <v>172</v>
      </c>
      <c r="BK721">
        <v>-38.914224112213006</v>
      </c>
      <c r="BL721" s="4">
        <v>-528.28433000000007</v>
      </c>
      <c r="BM721" t="s">
        <v>547</v>
      </c>
      <c r="BN721" t="s">
        <v>65</v>
      </c>
      <c r="BO721">
        <v>3</v>
      </c>
      <c r="BP721">
        <v>2023</v>
      </c>
      <c r="BQ721" t="str">
        <f t="shared" si="56"/>
        <v>Tachalab3</v>
      </c>
      <c r="BR721">
        <f t="shared" si="57"/>
        <v>-781.83488000000034</v>
      </c>
      <c r="BS721">
        <f t="shared" si="58"/>
        <v>2588.5554700000002</v>
      </c>
      <c r="BT721" s="6">
        <f t="shared" si="59"/>
        <v>-57.591141760849069</v>
      </c>
    </row>
    <row r="722" spans="1:72">
      <c r="A722" s="3" t="s">
        <v>113</v>
      </c>
      <c r="B722" s="3" t="s">
        <v>540</v>
      </c>
      <c r="C722" s="3" t="s">
        <v>542</v>
      </c>
      <c r="D722" s="2" t="s">
        <v>551</v>
      </c>
      <c r="E722" s="4" t="str">
        <f t="shared" si="55"/>
        <v>TachalabB1-025-0014</v>
      </c>
      <c r="F722">
        <v>3.2</v>
      </c>
      <c r="G722">
        <v>1.58</v>
      </c>
      <c r="H722" t="s">
        <v>72</v>
      </c>
      <c r="I722" t="s">
        <v>75</v>
      </c>
      <c r="J722" t="s">
        <v>95</v>
      </c>
      <c r="K722" t="s">
        <v>79</v>
      </c>
      <c r="L722" t="s">
        <v>79</v>
      </c>
      <c r="M722">
        <v>0.9813874788494078</v>
      </c>
      <c r="N722" s="5">
        <v>44805</v>
      </c>
      <c r="O722" s="5">
        <v>44833</v>
      </c>
      <c r="P722">
        <v>0.9</v>
      </c>
      <c r="Q722" s="4">
        <v>111</v>
      </c>
      <c r="R722">
        <v>0.35099999999999998</v>
      </c>
      <c r="S722" t="s">
        <v>70</v>
      </c>
      <c r="T722" s="6">
        <v>3</v>
      </c>
      <c r="U722" s="5">
        <v>44961</v>
      </c>
      <c r="V722" s="6">
        <v>1</v>
      </c>
      <c r="W722" t="s">
        <v>86</v>
      </c>
      <c r="X722" s="6">
        <v>128</v>
      </c>
      <c r="Y722">
        <v>11.8858</v>
      </c>
      <c r="Z722">
        <v>3.7143124999999997</v>
      </c>
      <c r="AA722" s="6">
        <v>43.999899039189621</v>
      </c>
      <c r="AB722" s="4">
        <v>58.108222222222224</v>
      </c>
      <c r="AC722" s="6">
        <v>22.727324876571302</v>
      </c>
      <c r="AD722">
        <v>0.174814631</v>
      </c>
      <c r="AE722">
        <v>2.5540587494014599</v>
      </c>
      <c r="AF722">
        <v>29550</v>
      </c>
      <c r="AG722" s="4">
        <v>8000</v>
      </c>
      <c r="AH722" s="4">
        <v>29000</v>
      </c>
      <c r="AL722">
        <v>44</v>
      </c>
      <c r="AM722">
        <v>1.3382799999999999</v>
      </c>
      <c r="AN722" t="s">
        <v>111</v>
      </c>
      <c r="AO722" t="s">
        <v>105</v>
      </c>
      <c r="AP722" s="5">
        <v>44837</v>
      </c>
      <c r="AQ722" t="s">
        <v>134</v>
      </c>
      <c r="AR722" s="5">
        <v>44956</v>
      </c>
      <c r="AS722">
        <v>236.83868145181646</v>
      </c>
      <c r="AT722" s="6"/>
      <c r="AU722">
        <v>30.288243113631395</v>
      </c>
      <c r="AV722">
        <v>77.46314930421174</v>
      </c>
      <c r="AW722">
        <v>99.632306617981101</v>
      </c>
      <c r="AX722">
        <v>207.38369903582424</v>
      </c>
      <c r="AY722">
        <v>30.811459893318077</v>
      </c>
      <c r="AZ722">
        <v>50.099322721230379</v>
      </c>
      <c r="BA722">
        <v>23.725206548991231</v>
      </c>
      <c r="BB722">
        <v>50.368907435763688</v>
      </c>
      <c r="BC722">
        <v>17.713444614582105</v>
      </c>
      <c r="BD722">
        <v>172.71834121388551</v>
      </c>
      <c r="BE722">
        <v>-143.26335879789329</v>
      </c>
      <c r="BF722">
        <v>28.330273098992073</v>
      </c>
      <c r="BG722">
        <v>6.2600077403287973</v>
      </c>
      <c r="BH722">
        <v>34.590280839320869</v>
      </c>
      <c r="BI722">
        <v>414.69232108903066</v>
      </c>
      <c r="BJ722" s="6">
        <v>177</v>
      </c>
      <c r="BK722">
        <v>-177.8536396372142</v>
      </c>
      <c r="BL722" s="4">
        <v>-2113.9327900000003</v>
      </c>
      <c r="BM722" t="s">
        <v>552</v>
      </c>
      <c r="BN722" t="s">
        <v>65</v>
      </c>
      <c r="BO722">
        <v>2</v>
      </c>
      <c r="BP722">
        <v>2023</v>
      </c>
      <c r="BQ722" t="str">
        <f t="shared" si="56"/>
        <v>Tachalab2</v>
      </c>
      <c r="BR722">
        <f t="shared" si="57"/>
        <v>-2825.1633900000006</v>
      </c>
      <c r="BS722">
        <f t="shared" si="58"/>
        <v>2815.0171999999998</v>
      </c>
      <c r="BT722" s="6">
        <f t="shared" si="59"/>
        <v>-237.69232108903066</v>
      </c>
    </row>
    <row r="723" spans="1:72">
      <c r="A723" s="3" t="s">
        <v>113</v>
      </c>
      <c r="B723" s="3" t="s">
        <v>540</v>
      </c>
      <c r="C723" s="3" t="s">
        <v>542</v>
      </c>
      <c r="D723" s="2" t="s">
        <v>543</v>
      </c>
      <c r="E723" s="4" t="str">
        <f t="shared" si="55"/>
        <v>TachalabA1-012-0016</v>
      </c>
      <c r="F723">
        <v>2.2999999999999998</v>
      </c>
      <c r="G723">
        <v>2</v>
      </c>
      <c r="H723" t="s">
        <v>72</v>
      </c>
      <c r="I723" t="s">
        <v>75</v>
      </c>
      <c r="J723" t="s">
        <v>95</v>
      </c>
      <c r="K723" t="s">
        <v>79</v>
      </c>
      <c r="N723" s="5">
        <v>44896</v>
      </c>
      <c r="O723" s="5">
        <v>44915</v>
      </c>
      <c r="P723">
        <v>1.1000000000000001</v>
      </c>
      <c r="Q723" s="4">
        <v>149</v>
      </c>
      <c r="R723">
        <v>0.4</v>
      </c>
      <c r="S723" t="s">
        <v>70</v>
      </c>
      <c r="T723" s="6">
        <v>3</v>
      </c>
      <c r="U723" s="5">
        <v>45001</v>
      </c>
      <c r="V723" s="6">
        <v>2</v>
      </c>
      <c r="W723" t="s">
        <v>71</v>
      </c>
      <c r="X723" s="6">
        <v>86</v>
      </c>
      <c r="Y723">
        <v>10.574969999999999</v>
      </c>
      <c r="Z723">
        <v>4.5978130434782605</v>
      </c>
      <c r="AA723" s="6">
        <v>77.054781242878235</v>
      </c>
      <c r="AB723" s="4">
        <v>74.077454545454543</v>
      </c>
      <c r="AC723" s="6">
        <v>12.977780014039359</v>
      </c>
      <c r="AD723">
        <v>0.15463523400000001</v>
      </c>
      <c r="AE723">
        <v>1.7390283345683313</v>
      </c>
      <c r="AF723">
        <v>17625</v>
      </c>
      <c r="AG723" s="4"/>
      <c r="AH723" s="4"/>
      <c r="AL723">
        <v>73</v>
      </c>
      <c r="AM723">
        <v>2.4958200000000001</v>
      </c>
      <c r="AN723" t="s">
        <v>544</v>
      </c>
      <c r="AO723" t="s">
        <v>198</v>
      </c>
      <c r="AP723" s="5">
        <v>44921</v>
      </c>
      <c r="AQ723" t="s">
        <v>74</v>
      </c>
      <c r="AR723" s="5">
        <v>44998</v>
      </c>
      <c r="AS723">
        <v>171.0656313918621</v>
      </c>
      <c r="AT723" s="6"/>
      <c r="AU723">
        <v>41.607683047800613</v>
      </c>
      <c r="AV723">
        <v>53.912555780300103</v>
      </c>
      <c r="AW723">
        <v>49.441480212237025</v>
      </c>
      <c r="AX723">
        <v>144.96171904033775</v>
      </c>
      <c r="AY723">
        <v>12.629348357489429</v>
      </c>
      <c r="AZ723">
        <v>32.266014939049469</v>
      </c>
      <c r="BA723">
        <v>4.0492086502373059</v>
      </c>
      <c r="BB723">
        <v>9.5223939169567391</v>
      </c>
      <c r="BC723">
        <v>6.9642230663538527</v>
      </c>
      <c r="BD723">
        <v>65.43118893008679</v>
      </c>
      <c r="BE723">
        <v>-39.327276578562447</v>
      </c>
      <c r="BF723">
        <v>3.3046958998465246</v>
      </c>
      <c r="BG723">
        <v>3.0137381004390562</v>
      </c>
      <c r="BH723">
        <v>6.3184340002855803</v>
      </c>
      <c r="BI723">
        <v>216.71134197071004</v>
      </c>
      <c r="BJ723" s="6">
        <v>150</v>
      </c>
      <c r="BK723">
        <v>-45.64571057884794</v>
      </c>
      <c r="BL723" s="4">
        <v>-482.70201999999955</v>
      </c>
      <c r="BM723" t="s">
        <v>545</v>
      </c>
      <c r="BN723" t="s">
        <v>65</v>
      </c>
      <c r="BO723">
        <v>3</v>
      </c>
      <c r="BP723">
        <v>2023</v>
      </c>
      <c r="BQ723" t="str">
        <f t="shared" si="56"/>
        <v>Tachalab3</v>
      </c>
      <c r="BR723">
        <f t="shared" si="57"/>
        <v>-705.47043999999948</v>
      </c>
      <c r="BS723">
        <f t="shared" si="58"/>
        <v>1809.0139199999996</v>
      </c>
      <c r="BT723" s="6">
        <f t="shared" si="59"/>
        <v>-66.711341970710038</v>
      </c>
    </row>
    <row r="724" spans="1:72">
      <c r="A724" s="3" t="s">
        <v>631</v>
      </c>
      <c r="B724" s="3" t="s">
        <v>893</v>
      </c>
      <c r="C724" s="3" t="s">
        <v>895</v>
      </c>
      <c r="D724" s="2" t="s">
        <v>911</v>
      </c>
      <c r="E724" s="4" t="str">
        <f t="shared" si="55"/>
        <v>AndamanA1-014-0018</v>
      </c>
      <c r="F724">
        <v>1.5</v>
      </c>
      <c r="G724">
        <v>1.8</v>
      </c>
      <c r="H724" t="s">
        <v>72</v>
      </c>
      <c r="I724" t="s">
        <v>75</v>
      </c>
      <c r="J724" t="s">
        <v>95</v>
      </c>
      <c r="K724" t="s">
        <v>79</v>
      </c>
      <c r="L724" t="s">
        <v>79</v>
      </c>
      <c r="M724">
        <v>3.2175873731679818</v>
      </c>
      <c r="N724" s="5">
        <v>44956</v>
      </c>
      <c r="O724" s="5">
        <v>44974</v>
      </c>
      <c r="P724">
        <v>0.65</v>
      </c>
      <c r="Q724" s="4">
        <v>150</v>
      </c>
      <c r="R724">
        <v>2.2000000000000002</v>
      </c>
      <c r="S724" t="s">
        <v>70</v>
      </c>
      <c r="T724" s="6">
        <v>4</v>
      </c>
      <c r="U724" s="5">
        <v>45076</v>
      </c>
      <c r="V724" s="6">
        <v>1</v>
      </c>
      <c r="W724" t="s">
        <v>86</v>
      </c>
      <c r="X724" s="6">
        <v>102</v>
      </c>
      <c r="Y724">
        <v>12.68608</v>
      </c>
      <c r="Z724">
        <v>8.4573866666666664</v>
      </c>
      <c r="AA724" s="6">
        <v>31.267578322066392</v>
      </c>
      <c r="AB724" s="4">
        <v>61.025076923076924</v>
      </c>
      <c r="AC724" s="6">
        <v>31.982009917738736</v>
      </c>
      <c r="AD724">
        <v>0.40468883200000005</v>
      </c>
      <c r="AE724">
        <v>1.9700464104732731</v>
      </c>
      <c r="AF724">
        <v>22175</v>
      </c>
      <c r="AG724" s="4">
        <v>0</v>
      </c>
      <c r="AH724" s="4">
        <v>71350</v>
      </c>
      <c r="AL724">
        <v>23</v>
      </c>
      <c r="AM724">
        <v>5.3074700000000004</v>
      </c>
      <c r="AN724" t="s">
        <v>81</v>
      </c>
      <c r="AO724" t="s">
        <v>176</v>
      </c>
      <c r="AP724" s="5">
        <v>44974</v>
      </c>
      <c r="AQ724" t="s">
        <v>123</v>
      </c>
      <c r="AR724" s="5">
        <v>45075</v>
      </c>
      <c r="AS724">
        <v>246.45489702098683</v>
      </c>
      <c r="AT724" s="6"/>
      <c r="AU724">
        <v>61.484713954192301</v>
      </c>
      <c r="AV724">
        <v>56.22758093910808</v>
      </c>
      <c r="AW724">
        <v>13.408732248259518</v>
      </c>
      <c r="AX724">
        <v>131.12102714155992</v>
      </c>
      <c r="AY724">
        <v>12.250654260417715</v>
      </c>
      <c r="AZ724">
        <v>22.874854170870758</v>
      </c>
      <c r="BA724">
        <v>10.311996298304916</v>
      </c>
      <c r="BB724">
        <v>6.7317484991423671</v>
      </c>
      <c r="BC724">
        <v>9.8645846471092735</v>
      </c>
      <c r="BD724">
        <v>62.03383787584503</v>
      </c>
      <c r="BE724">
        <v>53.300032003581883</v>
      </c>
      <c r="BF724">
        <v>5.192392764352741</v>
      </c>
      <c r="BH724">
        <v>5.192392764352741</v>
      </c>
      <c r="BI724">
        <v>198.34725778175763</v>
      </c>
      <c r="BJ724" s="6">
        <v>194</v>
      </c>
      <c r="BK724">
        <v>48.107639239229201</v>
      </c>
      <c r="BL724" s="4">
        <v>610.29736000000082</v>
      </c>
      <c r="BM724" t="s">
        <v>912</v>
      </c>
      <c r="BN724" t="s">
        <v>65</v>
      </c>
      <c r="BO724">
        <v>5</v>
      </c>
      <c r="BP724">
        <v>2023</v>
      </c>
      <c r="BQ724" t="str">
        <f t="shared" si="56"/>
        <v>Andaman5</v>
      </c>
      <c r="BR724">
        <f t="shared" si="57"/>
        <v>-55.149659999999884</v>
      </c>
      <c r="BS724">
        <f t="shared" si="58"/>
        <v>3126.5465400000007</v>
      </c>
      <c r="BT724" s="6">
        <f t="shared" si="59"/>
        <v>-4.3472577817576337</v>
      </c>
    </row>
    <row r="725" spans="1:72">
      <c r="A725" s="3" t="s">
        <v>631</v>
      </c>
      <c r="B725" s="3" t="s">
        <v>893</v>
      </c>
      <c r="C725" s="3" t="s">
        <v>895</v>
      </c>
      <c r="D725" s="2" t="s">
        <v>920</v>
      </c>
      <c r="E725" s="4" t="str">
        <f t="shared" si="55"/>
        <v>AndamanA1-013-0018</v>
      </c>
      <c r="F725">
        <v>1.5</v>
      </c>
      <c r="G725">
        <v>1.8</v>
      </c>
      <c r="H725" t="s">
        <v>72</v>
      </c>
      <c r="I725" t="s">
        <v>75</v>
      </c>
      <c r="J725" t="s">
        <v>95</v>
      </c>
      <c r="K725" t="s">
        <v>79</v>
      </c>
      <c r="L725" t="s">
        <v>79</v>
      </c>
      <c r="M725">
        <v>3.5015015015015014</v>
      </c>
      <c r="N725" s="5">
        <v>44956</v>
      </c>
      <c r="O725" s="5">
        <v>44965</v>
      </c>
      <c r="P725">
        <v>0.8</v>
      </c>
      <c r="Q725" s="4">
        <v>185</v>
      </c>
      <c r="R725">
        <v>1</v>
      </c>
      <c r="S725" t="s">
        <v>70</v>
      </c>
      <c r="T725" s="6">
        <v>5</v>
      </c>
      <c r="U725" s="5">
        <v>45093</v>
      </c>
      <c r="V725" s="6">
        <v>1</v>
      </c>
      <c r="W725" t="s">
        <v>86</v>
      </c>
      <c r="X725" s="6">
        <v>128</v>
      </c>
      <c r="Y725">
        <v>12.89151</v>
      </c>
      <c r="Z725">
        <v>8.5943400000000008</v>
      </c>
      <c r="AA725" s="6">
        <v>27.59583632949127</v>
      </c>
      <c r="AB725" s="4">
        <v>44.468999999999994</v>
      </c>
      <c r="AC725" s="6">
        <v>36.237350738716856</v>
      </c>
      <c r="AD725">
        <v>0.40337171100000002</v>
      </c>
      <c r="AE725">
        <v>2.065498850019559</v>
      </c>
      <c r="AF725">
        <v>24975</v>
      </c>
      <c r="AG725" s="4">
        <v>0</v>
      </c>
      <c r="AH725" s="4">
        <v>87450</v>
      </c>
      <c r="AL725">
        <v>19</v>
      </c>
      <c r="AM725">
        <v>3.85894</v>
      </c>
      <c r="AN725" t="s">
        <v>85</v>
      </c>
      <c r="AO725" t="s">
        <v>108</v>
      </c>
      <c r="AP725" s="5">
        <v>44965</v>
      </c>
      <c r="AQ725" t="s">
        <v>96</v>
      </c>
      <c r="AR725" s="5">
        <v>45092</v>
      </c>
      <c r="AS725">
        <v>258.83843707990758</v>
      </c>
      <c r="AT725" s="6"/>
      <c r="AU725">
        <v>52.747893768844754</v>
      </c>
      <c r="AV725">
        <v>62.289435450152844</v>
      </c>
      <c r="AW725">
        <v>15.60379815863309</v>
      </c>
      <c r="AX725">
        <v>130.64112737763068</v>
      </c>
      <c r="AY725">
        <v>13.836780175479833</v>
      </c>
      <c r="AZ725">
        <v>25.618659101998141</v>
      </c>
      <c r="BA725">
        <v>12.269522344550793</v>
      </c>
      <c r="BB725">
        <v>7.2782885790725844</v>
      </c>
      <c r="BC725">
        <v>10.885416060647668</v>
      </c>
      <c r="BD725">
        <v>69.888666261749023</v>
      </c>
      <c r="BE725">
        <v>58.308643440527874</v>
      </c>
      <c r="BF725">
        <v>5.6662927771843634</v>
      </c>
      <c r="BH725">
        <v>5.6662927771843634</v>
      </c>
      <c r="BI725">
        <v>206.19608641656413</v>
      </c>
      <c r="BJ725" s="6">
        <v>207</v>
      </c>
      <c r="BK725">
        <v>52.64235066334345</v>
      </c>
      <c r="BL725" s="4">
        <v>678.63938999999868</v>
      </c>
      <c r="BM725" t="s">
        <v>921</v>
      </c>
      <c r="BN725" t="s">
        <v>65</v>
      </c>
      <c r="BO725">
        <v>6</v>
      </c>
      <c r="BP725">
        <v>2023</v>
      </c>
      <c r="BQ725" t="str">
        <f t="shared" si="56"/>
        <v>Andaman6</v>
      </c>
      <c r="BR725">
        <f t="shared" si="57"/>
        <v>10.363659999999374</v>
      </c>
      <c r="BS725">
        <f t="shared" si="58"/>
        <v>3336.8182999999995</v>
      </c>
      <c r="BT725" s="6">
        <f t="shared" si="59"/>
        <v>0.80391358343587171</v>
      </c>
    </row>
    <row r="726" spans="1:72">
      <c r="A726" s="3" t="s">
        <v>631</v>
      </c>
      <c r="B726" s="3" t="s">
        <v>893</v>
      </c>
      <c r="C726" s="3" t="s">
        <v>895</v>
      </c>
      <c r="D726" s="2" t="s">
        <v>922</v>
      </c>
      <c r="E726" s="4" t="str">
        <f t="shared" si="55"/>
        <v>AndamanA1-009-0046</v>
      </c>
      <c r="F726">
        <v>2.5</v>
      </c>
      <c r="G726">
        <v>1.8</v>
      </c>
      <c r="H726" t="s">
        <v>72</v>
      </c>
      <c r="I726" t="s">
        <v>75</v>
      </c>
      <c r="J726" t="s">
        <v>95</v>
      </c>
      <c r="K726" t="s">
        <v>79</v>
      </c>
      <c r="L726" t="s">
        <v>79</v>
      </c>
      <c r="M726">
        <v>4.5423155044008121</v>
      </c>
      <c r="N726" s="5">
        <v>44834</v>
      </c>
      <c r="O726" s="5">
        <v>44863</v>
      </c>
      <c r="P726">
        <v>1.1200000000000001</v>
      </c>
      <c r="Q726" s="4">
        <v>156</v>
      </c>
      <c r="R726">
        <v>0.65</v>
      </c>
      <c r="S726" t="s">
        <v>70</v>
      </c>
      <c r="T726" s="6">
        <v>5</v>
      </c>
      <c r="U726" s="5">
        <v>44997</v>
      </c>
      <c r="V726" s="6">
        <v>1</v>
      </c>
      <c r="W726" t="s">
        <v>86</v>
      </c>
      <c r="X726" s="6">
        <v>134</v>
      </c>
      <c r="Y726">
        <v>21.285169999999997</v>
      </c>
      <c r="Z726">
        <v>8.5140679999999982</v>
      </c>
      <c r="AA726" s="6">
        <v>25.720583861909493</v>
      </c>
      <c r="AB726" s="4">
        <v>48.880982142857142</v>
      </c>
      <c r="AC726" s="6">
        <v>38.87936624490608</v>
      </c>
      <c r="AD726">
        <v>0.38792223100000001</v>
      </c>
      <c r="AE726">
        <v>1.7962294990258771</v>
      </c>
      <c r="AF726">
        <v>36925</v>
      </c>
      <c r="AG726" s="4"/>
      <c r="AH726" s="4">
        <v>167725</v>
      </c>
      <c r="AL726">
        <v>19</v>
      </c>
      <c r="AM726">
        <v>2.7580999999999998</v>
      </c>
      <c r="AN726" t="s">
        <v>81</v>
      </c>
      <c r="AO726" t="s">
        <v>92</v>
      </c>
      <c r="AP726" s="5">
        <v>44863</v>
      </c>
      <c r="AQ726" t="s">
        <v>198</v>
      </c>
      <c r="AR726" s="5">
        <v>44996</v>
      </c>
      <c r="AS726">
        <v>327.72286338328524</v>
      </c>
      <c r="AT726" s="6"/>
      <c r="AU726">
        <v>26.309397575870904</v>
      </c>
      <c r="AV726">
        <v>54.39688524921344</v>
      </c>
      <c r="AW726">
        <v>23.361874488200005</v>
      </c>
      <c r="AX726">
        <v>104.06815731328435</v>
      </c>
      <c r="AY726">
        <v>34.268808752760734</v>
      </c>
      <c r="AZ726">
        <v>29.12873986912015</v>
      </c>
      <c r="BA726">
        <v>39.402277736095122</v>
      </c>
      <c r="BB726">
        <v>33.404967871997272</v>
      </c>
      <c r="BC726">
        <v>17.780278475577131</v>
      </c>
      <c r="BD726">
        <v>153.98507270555041</v>
      </c>
      <c r="BE726">
        <v>69.669633364450476</v>
      </c>
      <c r="BF726">
        <v>15.687463619036167</v>
      </c>
      <c r="BH726">
        <v>15.687463619036167</v>
      </c>
      <c r="BI726">
        <v>273.74069363787089</v>
      </c>
      <c r="BJ726" s="6">
        <v>214</v>
      </c>
      <c r="BK726">
        <v>53.982169745414353</v>
      </c>
      <c r="BL726" s="4">
        <v>1149.0196600000011</v>
      </c>
      <c r="BM726" t="s">
        <v>923</v>
      </c>
      <c r="BN726" t="s">
        <v>65</v>
      </c>
      <c r="BO726">
        <v>3</v>
      </c>
      <c r="BP726">
        <v>2023</v>
      </c>
      <c r="BQ726" t="str">
        <f t="shared" si="56"/>
        <v>Andaman3</v>
      </c>
      <c r="BR726">
        <f t="shared" si="57"/>
        <v>-1271.5908200000001</v>
      </c>
      <c r="BS726">
        <f t="shared" si="58"/>
        <v>6975.6368600000005</v>
      </c>
      <c r="BT726" s="6">
        <f t="shared" si="59"/>
        <v>-59.740693637870891</v>
      </c>
    </row>
    <row r="727" spans="1:72">
      <c r="A727" s="3" t="s">
        <v>631</v>
      </c>
      <c r="B727" s="3" t="s">
        <v>893</v>
      </c>
      <c r="C727" s="3" t="s">
        <v>895</v>
      </c>
      <c r="D727" s="2" t="s">
        <v>915</v>
      </c>
      <c r="E727" s="4" t="str">
        <f t="shared" si="55"/>
        <v>AndamanA1-016-0015</v>
      </c>
      <c r="F727">
        <v>1.5</v>
      </c>
      <c r="G727">
        <v>1.8</v>
      </c>
      <c r="H727" t="s">
        <v>72</v>
      </c>
      <c r="I727" t="s">
        <v>75</v>
      </c>
      <c r="J727" t="s">
        <v>95</v>
      </c>
      <c r="K727" t="s">
        <v>79</v>
      </c>
      <c r="L727" t="s">
        <v>79</v>
      </c>
      <c r="M727">
        <v>2.758955223880597</v>
      </c>
      <c r="N727" s="5">
        <v>45022</v>
      </c>
      <c r="O727" s="5">
        <v>45051</v>
      </c>
      <c r="P727">
        <v>0.7</v>
      </c>
      <c r="Q727" s="4">
        <v>162</v>
      </c>
      <c r="R727">
        <v>0.42</v>
      </c>
      <c r="S727" t="s">
        <v>70</v>
      </c>
      <c r="T727" s="6">
        <v>4</v>
      </c>
      <c r="U727" s="5">
        <v>45177</v>
      </c>
      <c r="V727" s="6">
        <v>1</v>
      </c>
      <c r="W727" t="s">
        <v>86</v>
      </c>
      <c r="X727" s="6">
        <v>126</v>
      </c>
      <c r="Y727">
        <v>15.372770000000001</v>
      </c>
      <c r="Z727">
        <v>10.248513333333333</v>
      </c>
      <c r="AA727" s="6">
        <v>30.553764871262629</v>
      </c>
      <c r="AB727" s="4">
        <v>67.099428571428575</v>
      </c>
      <c r="AC727" s="6">
        <v>32.729190795748742</v>
      </c>
      <c r="AD727">
        <v>0.37459561600000002</v>
      </c>
      <c r="AE727">
        <v>2.2216666213490885</v>
      </c>
      <c r="AF727">
        <v>33500</v>
      </c>
      <c r="AG727" s="4">
        <v>0</v>
      </c>
      <c r="AH727" s="4">
        <v>92425</v>
      </c>
      <c r="AI727" t="s">
        <v>73</v>
      </c>
      <c r="AL727">
        <v>21</v>
      </c>
      <c r="AM727">
        <v>6.2300800000000001</v>
      </c>
      <c r="AN727" t="s">
        <v>916</v>
      </c>
      <c r="AO727" t="s">
        <v>127</v>
      </c>
      <c r="AP727" s="5">
        <v>45052</v>
      </c>
      <c r="AQ727" t="s">
        <v>105</v>
      </c>
      <c r="AR727" s="5">
        <v>45176</v>
      </c>
      <c r="AS727">
        <v>185.02519845154779</v>
      </c>
      <c r="AT727" s="6"/>
      <c r="AU727">
        <v>20.490776873653864</v>
      </c>
      <c r="AV727">
        <v>67.726853390768213</v>
      </c>
      <c r="AW727">
        <v>28.000928264717416</v>
      </c>
      <c r="AX727">
        <v>116.2185585291395</v>
      </c>
      <c r="AY727">
        <v>30.951440761814556</v>
      </c>
      <c r="AZ727">
        <v>32.813318614667359</v>
      </c>
      <c r="BA727">
        <v>23.630721073690687</v>
      </c>
      <c r="BB727">
        <v>21.314098239939838</v>
      </c>
      <c r="BC727">
        <v>31.43815655864233</v>
      </c>
      <c r="BD727">
        <v>140.14773524875477</v>
      </c>
      <c r="BE727">
        <v>-71.341095326346476</v>
      </c>
      <c r="BF727">
        <v>9.7947539708198317</v>
      </c>
      <c r="BH727">
        <v>9.7947539708198317</v>
      </c>
      <c r="BI727">
        <v>266.16104774871411</v>
      </c>
      <c r="BJ727" s="6">
        <v>197</v>
      </c>
      <c r="BK727">
        <v>-81.135849297166317</v>
      </c>
      <c r="BL727" s="4">
        <v>-1247.2827499999996</v>
      </c>
      <c r="BM727" t="s">
        <v>917</v>
      </c>
      <c r="BN727" t="s">
        <v>65</v>
      </c>
      <c r="BO727">
        <v>9</v>
      </c>
      <c r="BP727">
        <v>2023</v>
      </c>
      <c r="BQ727" t="str">
        <f t="shared" si="56"/>
        <v>Andaman9</v>
      </c>
      <c r="BR727">
        <f t="shared" si="57"/>
        <v>-1063.19688</v>
      </c>
      <c r="BS727">
        <f t="shared" si="58"/>
        <v>2844.3498200000004</v>
      </c>
      <c r="BT727" s="6">
        <f t="shared" si="59"/>
        <v>-69.161047748714111</v>
      </c>
    </row>
    <row r="728" spans="1:72">
      <c r="A728" s="3" t="s">
        <v>631</v>
      </c>
      <c r="B728" s="3" t="s">
        <v>893</v>
      </c>
      <c r="C728" s="3" t="s">
        <v>895</v>
      </c>
      <c r="D728" s="2" t="s">
        <v>913</v>
      </c>
      <c r="E728" s="4" t="str">
        <f t="shared" si="55"/>
        <v>AndamanA1-009-0047</v>
      </c>
      <c r="F728">
        <v>2.5</v>
      </c>
      <c r="G728">
        <v>1.8</v>
      </c>
      <c r="H728" t="s">
        <v>72</v>
      </c>
      <c r="I728" t="s">
        <v>75</v>
      </c>
      <c r="J728" t="s">
        <v>95</v>
      </c>
      <c r="K728" t="s">
        <v>79</v>
      </c>
      <c r="L728" t="s">
        <v>79</v>
      </c>
      <c r="M728">
        <v>3.4311091854419411</v>
      </c>
      <c r="N728" s="5">
        <v>44998</v>
      </c>
      <c r="O728" s="5">
        <v>45026</v>
      </c>
      <c r="P728">
        <v>1.2</v>
      </c>
      <c r="Q728" s="4">
        <v>167</v>
      </c>
      <c r="R728">
        <v>0.78300000000000003</v>
      </c>
      <c r="S728" t="s">
        <v>70</v>
      </c>
      <c r="T728" s="6">
        <v>4</v>
      </c>
      <c r="U728" s="5">
        <v>45151</v>
      </c>
      <c r="V728" s="6">
        <v>1</v>
      </c>
      <c r="W728" t="s">
        <v>86</v>
      </c>
      <c r="X728" s="6">
        <v>125</v>
      </c>
      <c r="Y728">
        <v>26.02814</v>
      </c>
      <c r="Z728">
        <v>10.411256</v>
      </c>
      <c r="AA728" s="6">
        <v>30.741151691976455</v>
      </c>
      <c r="AB728" s="4">
        <v>66.677916666666675</v>
      </c>
      <c r="AC728" s="6">
        <v>32.529685615552374</v>
      </c>
      <c r="AD728">
        <v>0.357372364</v>
      </c>
      <c r="AE728">
        <v>2.2998915025187201</v>
      </c>
      <c r="AF728">
        <v>57700</v>
      </c>
      <c r="AG728" s="4">
        <v>0</v>
      </c>
      <c r="AH728" s="4">
        <v>197975</v>
      </c>
      <c r="AL728">
        <v>22</v>
      </c>
      <c r="AM728">
        <v>7.3085399999999998</v>
      </c>
      <c r="AN728" t="s">
        <v>76</v>
      </c>
      <c r="AO728" t="s">
        <v>127</v>
      </c>
      <c r="AP728" s="5">
        <v>45026</v>
      </c>
      <c r="AQ728" t="s">
        <v>90</v>
      </c>
      <c r="AR728" s="5">
        <v>45150</v>
      </c>
      <c r="AS728">
        <v>193.37621627976492</v>
      </c>
      <c r="AT728" s="6"/>
      <c r="AU728">
        <v>39.188355372300904</v>
      </c>
      <c r="AV728">
        <v>68.753534059675403</v>
      </c>
      <c r="AW728">
        <v>16.893325070481406</v>
      </c>
      <c r="AX728">
        <v>124.83521450245773</v>
      </c>
      <c r="AY728">
        <v>13.588597955904648</v>
      </c>
      <c r="AZ728">
        <v>24.116314496541051</v>
      </c>
      <c r="BA728">
        <v>10.652404282442005</v>
      </c>
      <c r="BB728">
        <v>8.1517184862229879</v>
      </c>
      <c r="BC728">
        <v>11.290832153200343</v>
      </c>
      <c r="BD728">
        <v>67.799867374311034</v>
      </c>
      <c r="BE728">
        <v>0.74113440299615263</v>
      </c>
      <c r="BF728">
        <v>5.0295668457292768</v>
      </c>
      <c r="BH728">
        <v>5.0295668457292768</v>
      </c>
      <c r="BI728">
        <v>197.66464872249801</v>
      </c>
      <c r="BJ728" s="6">
        <v>197</v>
      </c>
      <c r="BK728">
        <v>-4.2884324427330958</v>
      </c>
      <c r="BL728" s="4">
        <v>-111.619919999999</v>
      </c>
      <c r="BM728" t="s">
        <v>914</v>
      </c>
      <c r="BN728" t="s">
        <v>65</v>
      </c>
      <c r="BO728">
        <v>8</v>
      </c>
      <c r="BP728">
        <v>2023</v>
      </c>
      <c r="BQ728" t="str">
        <f t="shared" si="56"/>
        <v>Andaman8</v>
      </c>
      <c r="BR728">
        <f t="shared" si="57"/>
        <v>-17.299569999999481</v>
      </c>
      <c r="BS728">
        <f t="shared" si="58"/>
        <v>5033.2232300000005</v>
      </c>
      <c r="BT728" s="6">
        <f t="shared" si="59"/>
        <v>-0.66464872249801488</v>
      </c>
    </row>
    <row r="729" spans="1:72">
      <c r="A729" s="3" t="s">
        <v>631</v>
      </c>
      <c r="B729" s="3" t="s">
        <v>893</v>
      </c>
      <c r="C729" s="3" t="s">
        <v>895</v>
      </c>
      <c r="D729" s="2" t="s">
        <v>900</v>
      </c>
      <c r="E729" s="4" t="str">
        <f t="shared" si="55"/>
        <v>AndamanA1-014-0019</v>
      </c>
      <c r="F729">
        <v>1.5</v>
      </c>
      <c r="G729">
        <v>1.8</v>
      </c>
      <c r="H729" t="s">
        <v>72</v>
      </c>
      <c r="I729" t="s">
        <v>75</v>
      </c>
      <c r="J729" t="s">
        <v>95</v>
      </c>
      <c r="K729" t="s">
        <v>79</v>
      </c>
      <c r="L729" t="s">
        <v>79</v>
      </c>
      <c r="M729">
        <v>1.2389380530973451</v>
      </c>
      <c r="N729" s="5">
        <v>45077</v>
      </c>
      <c r="O729" s="5">
        <v>45105</v>
      </c>
      <c r="P729">
        <v>0.85</v>
      </c>
      <c r="Q729" s="4">
        <v>197</v>
      </c>
      <c r="R729">
        <v>0.65</v>
      </c>
      <c r="S729" t="s">
        <v>70</v>
      </c>
      <c r="T729" s="6">
        <v>2</v>
      </c>
      <c r="U729" s="5">
        <v>45174</v>
      </c>
      <c r="V729" s="6">
        <v>1</v>
      </c>
      <c r="W729" t="s">
        <v>86</v>
      </c>
      <c r="X729" s="6">
        <v>69</v>
      </c>
      <c r="Y729">
        <v>7.6838800000000003</v>
      </c>
      <c r="Z729">
        <v>5.1225866666666668</v>
      </c>
      <c r="AA729" s="6">
        <v>45.918858701593464</v>
      </c>
      <c r="AB729" s="4">
        <v>41.510000000000005</v>
      </c>
      <c r="AC729" s="6">
        <v>21.777544744710703</v>
      </c>
      <c r="AD729">
        <v>0.34406150600000002</v>
      </c>
      <c r="AE729">
        <v>2.3768724005149187</v>
      </c>
      <c r="AF729">
        <v>16950</v>
      </c>
      <c r="AG729" s="4">
        <v>0</v>
      </c>
      <c r="AH729" s="4">
        <v>21000</v>
      </c>
      <c r="AI729" t="s">
        <v>73</v>
      </c>
      <c r="AL729">
        <v>41</v>
      </c>
      <c r="AM729">
        <v>4.2399799999999992</v>
      </c>
      <c r="AN729" t="s">
        <v>73</v>
      </c>
      <c r="AO729" t="s">
        <v>97</v>
      </c>
      <c r="AP729" s="5">
        <v>45105</v>
      </c>
      <c r="AQ729" t="s">
        <v>105</v>
      </c>
      <c r="AR729" s="5">
        <v>45173</v>
      </c>
      <c r="AS729">
        <v>148.77575131313864</v>
      </c>
      <c r="AT729" s="6"/>
      <c r="AU729">
        <v>55.310598291488155</v>
      </c>
      <c r="AV729">
        <v>66.713830772994882</v>
      </c>
      <c r="AW729">
        <v>39.676440808549849</v>
      </c>
      <c r="AX729">
        <v>161.70086987303287</v>
      </c>
      <c r="AY729">
        <v>38.967962800043722</v>
      </c>
      <c r="AZ729">
        <v>43.561807316095518</v>
      </c>
      <c r="BA729">
        <v>30.999920613023626</v>
      </c>
      <c r="BB729">
        <v>28.074302305606018</v>
      </c>
      <c r="BC729">
        <v>38.884232965637153</v>
      </c>
      <c r="BD729">
        <v>180.48822600040603</v>
      </c>
      <c r="BE729">
        <v>-193.41334456030026</v>
      </c>
      <c r="BF729">
        <v>11.952661936417542</v>
      </c>
      <c r="BH729">
        <v>11.952661936417542</v>
      </c>
      <c r="BI729">
        <v>354.14175780985647</v>
      </c>
      <c r="BJ729" s="6">
        <v>174</v>
      </c>
      <c r="BK729">
        <v>-205.36600649671783</v>
      </c>
      <c r="BL729" s="4">
        <v>-1578.0077500000002</v>
      </c>
      <c r="BM729" t="s">
        <v>901</v>
      </c>
      <c r="BN729" t="s">
        <v>65</v>
      </c>
      <c r="BO729">
        <v>9</v>
      </c>
      <c r="BP729">
        <v>2023</v>
      </c>
      <c r="BQ729" t="str">
        <f t="shared" si="56"/>
        <v>Andaman9</v>
      </c>
      <c r="BR729">
        <f t="shared" si="57"/>
        <v>-1384.1876500000001</v>
      </c>
      <c r="BS729">
        <f t="shared" si="58"/>
        <v>1143.1750199999997</v>
      </c>
      <c r="BT729" s="6">
        <f t="shared" si="59"/>
        <v>-180.14175780985647</v>
      </c>
    </row>
    <row r="730" spans="1:72">
      <c r="A730" s="3" t="s">
        <v>631</v>
      </c>
      <c r="B730" s="3" t="s">
        <v>893</v>
      </c>
      <c r="C730" s="3" t="s">
        <v>895</v>
      </c>
      <c r="D730" s="2" t="s">
        <v>918</v>
      </c>
      <c r="E730" s="4" t="str">
        <f t="shared" si="55"/>
        <v>AndamanA1-012-0022</v>
      </c>
      <c r="F730">
        <v>2.5</v>
      </c>
      <c r="G730">
        <v>1.8</v>
      </c>
      <c r="H730" t="s">
        <v>72</v>
      </c>
      <c r="I730" t="s">
        <v>75</v>
      </c>
      <c r="J730" t="s">
        <v>95</v>
      </c>
      <c r="K730" t="s">
        <v>79</v>
      </c>
      <c r="L730" t="s">
        <v>79</v>
      </c>
      <c r="M730">
        <v>4.5801144492131618</v>
      </c>
      <c r="N730" s="5">
        <v>44834</v>
      </c>
      <c r="O730" s="5">
        <v>44864</v>
      </c>
      <c r="P730">
        <v>1</v>
      </c>
      <c r="Q730" s="4">
        <v>139</v>
      </c>
      <c r="R730">
        <v>0.65</v>
      </c>
      <c r="S730" t="s">
        <v>70</v>
      </c>
      <c r="T730" s="6">
        <v>6</v>
      </c>
      <c r="U730" s="5">
        <v>45010</v>
      </c>
      <c r="V730" s="6">
        <v>1</v>
      </c>
      <c r="W730" t="s">
        <v>86</v>
      </c>
      <c r="X730" s="6">
        <v>146</v>
      </c>
      <c r="Y730">
        <v>19.23311</v>
      </c>
      <c r="Z730">
        <v>7.693244</v>
      </c>
      <c r="AA730" s="6">
        <v>29.445991833873979</v>
      </c>
      <c r="AB730" s="4">
        <v>56.633800000000001</v>
      </c>
      <c r="AC730" s="6">
        <v>33.960479431011166</v>
      </c>
      <c r="AD730">
        <v>0.338013699</v>
      </c>
      <c r="AE730">
        <v>1.8807603330156579</v>
      </c>
      <c r="AF730">
        <v>34950</v>
      </c>
      <c r="AG730" s="4"/>
      <c r="AH730" s="4">
        <v>160075</v>
      </c>
      <c r="AL730">
        <v>20</v>
      </c>
      <c r="AM730">
        <v>5.9395699999999998</v>
      </c>
      <c r="AN730" t="s">
        <v>81</v>
      </c>
      <c r="AO730" t="s">
        <v>106</v>
      </c>
      <c r="AP730" s="5">
        <v>44864</v>
      </c>
      <c r="AQ730" t="s">
        <v>123</v>
      </c>
      <c r="AR730" s="5">
        <v>45010</v>
      </c>
      <c r="AS730">
        <v>309.67736783078755</v>
      </c>
      <c r="AT730" s="6"/>
      <c r="AU730">
        <v>25.996835665162841</v>
      </c>
      <c r="AV730">
        <v>57.152898829154502</v>
      </c>
      <c r="AW730">
        <v>26.169581518537559</v>
      </c>
      <c r="AX730">
        <v>109.3193160128549</v>
      </c>
      <c r="AY730">
        <v>39.378260718105395</v>
      </c>
      <c r="AZ730">
        <v>35.261801133566024</v>
      </c>
      <c r="BA730">
        <v>43.72031876280019</v>
      </c>
      <c r="BB730">
        <v>38.511145103418009</v>
      </c>
      <c r="BC730">
        <v>20.980889726102539</v>
      </c>
      <c r="BD730">
        <v>177.85241544399216</v>
      </c>
      <c r="BE730">
        <v>22.50563637394049</v>
      </c>
      <c r="BF730">
        <v>17.959858286049425</v>
      </c>
      <c r="BH730">
        <v>17.959858286049425</v>
      </c>
      <c r="BI730">
        <v>305.13158974289655</v>
      </c>
      <c r="BJ730" s="6">
        <v>200</v>
      </c>
      <c r="BK730">
        <v>4.5457780878910059</v>
      </c>
      <c r="BL730" s="4">
        <v>87.429449999997388</v>
      </c>
      <c r="BM730" t="s">
        <v>919</v>
      </c>
      <c r="BN730" t="s">
        <v>65</v>
      </c>
      <c r="BO730">
        <v>3</v>
      </c>
      <c r="BP730">
        <v>2023</v>
      </c>
      <c r="BQ730" t="str">
        <f t="shared" si="56"/>
        <v>Andaman3</v>
      </c>
      <c r="BR730">
        <f t="shared" si="57"/>
        <v>-2022.007430000001</v>
      </c>
      <c r="BS730">
        <f t="shared" si="58"/>
        <v>5956.0588799999987</v>
      </c>
      <c r="BT730" s="6">
        <f t="shared" si="59"/>
        <v>-105.13158974289655</v>
      </c>
    </row>
    <row r="731" spans="1:72">
      <c r="A731" s="3" t="s">
        <v>631</v>
      </c>
      <c r="B731" s="3" t="s">
        <v>893</v>
      </c>
      <c r="C731" s="3" t="s">
        <v>895</v>
      </c>
      <c r="D731" s="2" t="s">
        <v>906</v>
      </c>
      <c r="E731" s="4" t="str">
        <f t="shared" si="55"/>
        <v>AndamanA1-012-0023</v>
      </c>
      <c r="F731">
        <v>2.5</v>
      </c>
      <c r="G731">
        <v>1.8</v>
      </c>
      <c r="H731" t="s">
        <v>72</v>
      </c>
      <c r="I731" t="s">
        <v>75</v>
      </c>
      <c r="J731" t="s">
        <v>95</v>
      </c>
      <c r="K731" t="s">
        <v>79</v>
      </c>
      <c r="L731" t="s">
        <v>79</v>
      </c>
      <c r="M731">
        <v>3.580279232111693</v>
      </c>
      <c r="N731" s="5">
        <v>45011</v>
      </c>
      <c r="O731" s="5">
        <v>45040</v>
      </c>
      <c r="P731">
        <v>0.8</v>
      </c>
      <c r="Q731" s="4">
        <v>111</v>
      </c>
      <c r="R731">
        <v>0.25</v>
      </c>
      <c r="S731" t="s">
        <v>70</v>
      </c>
      <c r="T731" s="6">
        <v>3</v>
      </c>
      <c r="U731" s="5">
        <v>45127</v>
      </c>
      <c r="V731" s="6">
        <v>1</v>
      </c>
      <c r="W731" t="s">
        <v>86</v>
      </c>
      <c r="X731" s="6">
        <v>87</v>
      </c>
      <c r="Y731">
        <v>17.262599999999999</v>
      </c>
      <c r="Z731">
        <v>6.9050399999999996</v>
      </c>
      <c r="AA731" s="6">
        <v>37.984197050270531</v>
      </c>
      <c r="AB731" s="4">
        <v>81.963250000000002</v>
      </c>
      <c r="AC731" s="6">
        <v>26.326737897777356</v>
      </c>
      <c r="AD731">
        <v>0.33519269800000001</v>
      </c>
      <c r="AE731">
        <v>1.6791110381770658</v>
      </c>
      <c r="AF731">
        <v>28650</v>
      </c>
      <c r="AG731" s="4">
        <v>0</v>
      </c>
      <c r="AH731" s="4">
        <v>102575</v>
      </c>
      <c r="AL731">
        <v>34</v>
      </c>
      <c r="AM731">
        <v>6.8805200000000006</v>
      </c>
      <c r="AN731" t="s">
        <v>81</v>
      </c>
      <c r="AO731" t="s">
        <v>127</v>
      </c>
      <c r="AP731" s="5">
        <v>45040</v>
      </c>
      <c r="AQ731" t="s">
        <v>148</v>
      </c>
      <c r="AR731" s="5">
        <v>45126</v>
      </c>
      <c r="AS731">
        <v>165.93559313197318</v>
      </c>
      <c r="AT731" s="6"/>
      <c r="AU731">
        <v>18.537184433399378</v>
      </c>
      <c r="AV731">
        <v>51.539926198834507</v>
      </c>
      <c r="AW731">
        <v>17.430555072816375</v>
      </c>
      <c r="AX731">
        <v>87.507665705050258</v>
      </c>
      <c r="AY731">
        <v>14.559808487713324</v>
      </c>
      <c r="AZ731">
        <v>25.500253148424918</v>
      </c>
      <c r="BA731">
        <v>12.273422311818615</v>
      </c>
      <c r="BB731">
        <v>6.9819082872800173</v>
      </c>
      <c r="BC731">
        <v>11.685770973086326</v>
      </c>
      <c r="BD731">
        <v>71.001163208323192</v>
      </c>
      <c r="BE731">
        <v>7.4267642185997289</v>
      </c>
      <c r="BF731">
        <v>5.3996402627645903</v>
      </c>
      <c r="BH731">
        <v>5.3996402627645903</v>
      </c>
      <c r="BI731">
        <v>163.90846917613806</v>
      </c>
      <c r="BJ731" s="6">
        <v>184</v>
      </c>
      <c r="BK731">
        <v>2.0271239558351408</v>
      </c>
      <c r="BL731" s="4">
        <v>34.993429999999705</v>
      </c>
      <c r="BM731" t="s">
        <v>907</v>
      </c>
      <c r="BN731" t="s">
        <v>65</v>
      </c>
      <c r="BO731">
        <v>7</v>
      </c>
      <c r="BP731">
        <v>2023</v>
      </c>
      <c r="BQ731" t="str">
        <f t="shared" si="56"/>
        <v>Andaman7</v>
      </c>
      <c r="BR731">
        <f t="shared" si="57"/>
        <v>346.83205999999916</v>
      </c>
      <c r="BS731">
        <f t="shared" si="58"/>
        <v>2864.4797699999999</v>
      </c>
      <c r="BT731" s="6">
        <f t="shared" si="59"/>
        <v>20.091530823861945</v>
      </c>
    </row>
    <row r="732" spans="1:72">
      <c r="A732" s="3" t="s">
        <v>631</v>
      </c>
      <c r="B732" s="3" t="s">
        <v>893</v>
      </c>
      <c r="C732" s="3" t="s">
        <v>895</v>
      </c>
      <c r="D732" s="2" t="s">
        <v>908</v>
      </c>
      <c r="E732" s="4" t="str">
        <f t="shared" si="55"/>
        <v>AndamanA1-004-0047</v>
      </c>
      <c r="F732">
        <v>2</v>
      </c>
      <c r="G732">
        <v>1.8</v>
      </c>
      <c r="H732" t="s">
        <v>72</v>
      </c>
      <c r="I732" t="s">
        <v>75</v>
      </c>
      <c r="J732" t="s">
        <v>95</v>
      </c>
      <c r="K732" t="s">
        <v>79</v>
      </c>
      <c r="L732" t="s">
        <v>79</v>
      </c>
      <c r="M732">
        <v>4.3951670220326937</v>
      </c>
      <c r="N732" s="5">
        <v>44886</v>
      </c>
      <c r="O732" s="5">
        <v>44893</v>
      </c>
      <c r="P732">
        <v>1.1000000000000001</v>
      </c>
      <c r="Q732" s="4">
        <v>191</v>
      </c>
      <c r="R732">
        <v>0.38</v>
      </c>
      <c r="S732" t="s">
        <v>70</v>
      </c>
      <c r="T732" s="6">
        <v>5</v>
      </c>
      <c r="U732" s="5">
        <v>45046</v>
      </c>
      <c r="V732" s="6">
        <v>1</v>
      </c>
      <c r="W732" t="s">
        <v>86</v>
      </c>
      <c r="X732" s="6">
        <v>153</v>
      </c>
      <c r="Y732">
        <v>16.674520000000001</v>
      </c>
      <c r="Z732">
        <v>8.3372600000000006</v>
      </c>
      <c r="AA732" s="6">
        <v>35.046945879101763</v>
      </c>
      <c r="AB732" s="4">
        <v>53.12645454545455</v>
      </c>
      <c r="AC732" s="6">
        <v>28.533156739237945</v>
      </c>
      <c r="AD732">
        <v>0.324313725</v>
      </c>
      <c r="AE732">
        <v>2.1637365746835133</v>
      </c>
      <c r="AF732">
        <v>35175</v>
      </c>
      <c r="AG732" s="4">
        <v>0</v>
      </c>
      <c r="AH732" s="4">
        <v>154600</v>
      </c>
      <c r="AL732">
        <v>20.000000000000004</v>
      </c>
      <c r="AM732">
        <v>7.3984100000000002</v>
      </c>
      <c r="AN732" t="s">
        <v>81</v>
      </c>
      <c r="AO732" t="s">
        <v>92</v>
      </c>
      <c r="AP732" s="5">
        <v>44893</v>
      </c>
      <c r="AQ732" t="s">
        <v>127</v>
      </c>
      <c r="AR732" s="5">
        <v>45045</v>
      </c>
      <c r="AS732">
        <v>287.75852258415836</v>
      </c>
      <c r="AT732" s="6"/>
      <c r="AU732">
        <v>26.387566178816542</v>
      </c>
      <c r="AV732">
        <v>67.487540870741739</v>
      </c>
      <c r="AW732">
        <v>21.628765925495905</v>
      </c>
      <c r="AX732">
        <v>115.50387297505419</v>
      </c>
      <c r="AY732">
        <v>18.670941652293436</v>
      </c>
      <c r="AZ732">
        <v>31.296228617075631</v>
      </c>
      <c r="BA732">
        <v>15.929190765311384</v>
      </c>
      <c r="BB732">
        <v>16.11191746449073</v>
      </c>
      <c r="BC732">
        <v>14.028017598107771</v>
      </c>
      <c r="BD732">
        <v>96.036296097278949</v>
      </c>
      <c r="BE732">
        <v>76.2183535118252</v>
      </c>
      <c r="BF732">
        <v>9.479169415371473</v>
      </c>
      <c r="BH732">
        <v>9.479169415371473</v>
      </c>
      <c r="BI732">
        <v>221.0193384877046</v>
      </c>
      <c r="BJ732" s="6">
        <v>187</v>
      </c>
      <c r="BK732">
        <v>66.739184096453741</v>
      </c>
      <c r="BL732" s="4">
        <v>1112.8438599999999</v>
      </c>
      <c r="BM732" t="s">
        <v>894</v>
      </c>
      <c r="BN732" t="s">
        <v>65</v>
      </c>
      <c r="BO732">
        <v>4</v>
      </c>
      <c r="BP732">
        <v>2023</v>
      </c>
      <c r="BQ732" t="str">
        <f t="shared" si="56"/>
        <v>Andaman4</v>
      </c>
      <c r="BR732">
        <f t="shared" si="57"/>
        <v>-567.25614000000019</v>
      </c>
      <c r="BS732">
        <f t="shared" si="58"/>
        <v>4798.2352400000009</v>
      </c>
      <c r="BT732" s="6">
        <f t="shared" si="59"/>
        <v>-34.019338487704601</v>
      </c>
    </row>
    <row r="733" spans="1:72">
      <c r="A733" s="3" t="s">
        <v>631</v>
      </c>
      <c r="B733" s="3" t="s">
        <v>893</v>
      </c>
      <c r="C733" s="3" t="s">
        <v>895</v>
      </c>
      <c r="D733" s="2" t="s">
        <v>909</v>
      </c>
      <c r="E733" s="4" t="str">
        <f t="shared" si="55"/>
        <v>AndamanA1-008-0045</v>
      </c>
      <c r="F733">
        <v>2.5</v>
      </c>
      <c r="G733">
        <v>1.8</v>
      </c>
      <c r="H733" t="s">
        <v>72</v>
      </c>
      <c r="I733" t="s">
        <v>75</v>
      </c>
      <c r="J733" t="s">
        <v>95</v>
      </c>
      <c r="K733" t="s">
        <v>79</v>
      </c>
      <c r="L733" t="s">
        <v>79</v>
      </c>
      <c r="M733">
        <v>4.5687732342007434</v>
      </c>
      <c r="N733" s="5">
        <v>44860</v>
      </c>
      <c r="O733" s="5">
        <v>44889</v>
      </c>
      <c r="P733">
        <v>1.1000000000000001</v>
      </c>
      <c r="Q733" s="4">
        <v>153</v>
      </c>
      <c r="R733">
        <v>0.32700000000000001</v>
      </c>
      <c r="S733" t="s">
        <v>70</v>
      </c>
      <c r="T733" s="6">
        <v>4</v>
      </c>
      <c r="U733" s="5">
        <v>45016</v>
      </c>
      <c r="V733" s="6">
        <v>1</v>
      </c>
      <c r="W733" t="s">
        <v>86</v>
      </c>
      <c r="X733" s="6">
        <v>127</v>
      </c>
      <c r="Y733">
        <v>23.620459999999998</v>
      </c>
      <c r="Z733">
        <v>9.4481839999999995</v>
      </c>
      <c r="AA733" s="6">
        <v>34.224693337894351</v>
      </c>
      <c r="AB733" s="4">
        <v>73.491181818181815</v>
      </c>
      <c r="AC733" s="6">
        <v>29.218669401276344</v>
      </c>
      <c r="AD733">
        <v>0.312385827</v>
      </c>
      <c r="AE733">
        <v>1.7347056782699202</v>
      </c>
      <c r="AF733">
        <v>40350</v>
      </c>
      <c r="AG733" s="4">
        <v>0</v>
      </c>
      <c r="AH733" s="4">
        <v>184350</v>
      </c>
      <c r="AL733">
        <v>25.000000000000004</v>
      </c>
      <c r="AM733">
        <v>10.492629999999998</v>
      </c>
      <c r="AN733" t="s">
        <v>81</v>
      </c>
      <c r="AO733" t="s">
        <v>106</v>
      </c>
      <c r="AP733" s="5">
        <v>44889</v>
      </c>
      <c r="AQ733" t="s">
        <v>116</v>
      </c>
      <c r="AR733" s="5">
        <v>45015</v>
      </c>
      <c r="AS733">
        <v>269.76273493403602</v>
      </c>
      <c r="AT733" s="6"/>
      <c r="AU733">
        <v>18.627918338592899</v>
      </c>
      <c r="AV733">
        <v>54.729158111230717</v>
      </c>
      <c r="AW733">
        <v>15.870275600051819</v>
      </c>
      <c r="AX733">
        <v>89.227352049875435</v>
      </c>
      <c r="AY733">
        <v>18.067737884867611</v>
      </c>
      <c r="AZ733">
        <v>25.564381472672419</v>
      </c>
      <c r="BA733">
        <v>16.556645382858761</v>
      </c>
      <c r="BB733">
        <v>19.179541380650502</v>
      </c>
      <c r="BC733">
        <v>12.527729773255897</v>
      </c>
      <c r="BD733">
        <v>91.896035894305186</v>
      </c>
      <c r="BE733">
        <v>88.639346989855397</v>
      </c>
      <c r="BF733">
        <v>9.4420028229763506</v>
      </c>
      <c r="BH733">
        <v>9.4420028229763506</v>
      </c>
      <c r="BI733">
        <v>190.565390767157</v>
      </c>
      <c r="BJ733" s="6">
        <v>189</v>
      </c>
      <c r="BK733">
        <v>79.197344166878992</v>
      </c>
      <c r="BL733" s="4">
        <v>1870.6776999999984</v>
      </c>
      <c r="BM733" t="s">
        <v>910</v>
      </c>
      <c r="BN733" t="s">
        <v>65</v>
      </c>
      <c r="BO733">
        <v>3</v>
      </c>
      <c r="BP733">
        <v>2023</v>
      </c>
      <c r="BQ733" t="str">
        <f t="shared" si="56"/>
        <v>Andaman3</v>
      </c>
      <c r="BR733">
        <f t="shared" si="57"/>
        <v>-36.975250000001189</v>
      </c>
      <c r="BS733">
        <f t="shared" si="58"/>
        <v>6371.9198900000001</v>
      </c>
      <c r="BT733" s="6">
        <f t="shared" si="59"/>
        <v>-1.5653907671569982</v>
      </c>
    </row>
    <row r="734" spans="1:72">
      <c r="A734" s="3" t="s">
        <v>631</v>
      </c>
      <c r="B734" s="3" t="s">
        <v>893</v>
      </c>
      <c r="C734" s="3" t="s">
        <v>895</v>
      </c>
      <c r="D734" s="2" t="s">
        <v>902</v>
      </c>
      <c r="E734" s="4" t="str">
        <f t="shared" si="55"/>
        <v>AndamanA1-016-0014</v>
      </c>
      <c r="F734">
        <v>1.5</v>
      </c>
      <c r="G734">
        <v>1.8</v>
      </c>
      <c r="H734" t="s">
        <v>72</v>
      </c>
      <c r="I734" t="s">
        <v>75</v>
      </c>
      <c r="J734" t="s">
        <v>95</v>
      </c>
      <c r="K734" t="s">
        <v>79</v>
      </c>
      <c r="L734" t="s">
        <v>79</v>
      </c>
      <c r="M734">
        <v>4.6352530541012218</v>
      </c>
      <c r="N734" s="5">
        <v>44886</v>
      </c>
      <c r="O734" s="5">
        <v>44905</v>
      </c>
      <c r="P734">
        <v>0.9</v>
      </c>
      <c r="Q734" s="4">
        <v>208</v>
      </c>
      <c r="R734">
        <v>0.09</v>
      </c>
      <c r="S734" t="s">
        <v>70</v>
      </c>
      <c r="T734" s="6">
        <v>4</v>
      </c>
      <c r="U734" s="5">
        <v>45021</v>
      </c>
      <c r="V734" s="6">
        <v>1</v>
      </c>
      <c r="W734" t="s">
        <v>86</v>
      </c>
      <c r="X734" s="6">
        <v>116</v>
      </c>
      <c r="Y734">
        <v>12.495649999999999</v>
      </c>
      <c r="Z734">
        <v>8.3304333333333336</v>
      </c>
      <c r="AA734" s="6">
        <v>38.910100715048841</v>
      </c>
      <c r="AB734" s="4">
        <v>54.022999999999996</v>
      </c>
      <c r="AC734" s="6">
        <v>25.700267581503347</v>
      </c>
      <c r="AD734">
        <v>0.29648929800000001</v>
      </c>
      <c r="AE734">
        <v>2.3077573673039513</v>
      </c>
      <c r="AF734">
        <v>28650</v>
      </c>
      <c r="AG734" s="4">
        <v>0</v>
      </c>
      <c r="AH734" s="4">
        <v>132800</v>
      </c>
      <c r="AI734" t="s">
        <v>98</v>
      </c>
      <c r="AJ734" t="s">
        <v>98</v>
      </c>
      <c r="AK734" t="s">
        <v>93</v>
      </c>
      <c r="AL734">
        <v>28.999999999999996</v>
      </c>
      <c r="AM734">
        <v>2.6268200000000004</v>
      </c>
      <c r="AN734" t="s">
        <v>76</v>
      </c>
      <c r="AO734" t="s">
        <v>92</v>
      </c>
      <c r="AP734" s="5">
        <v>44905</v>
      </c>
      <c r="AQ734" t="s">
        <v>127</v>
      </c>
      <c r="AR734" s="5">
        <v>45021</v>
      </c>
      <c r="AS734">
        <v>224.76839380104278</v>
      </c>
      <c r="AT734" s="6"/>
      <c r="AU734">
        <v>14.405012944504692</v>
      </c>
      <c r="AV734">
        <v>74.089162228455507</v>
      </c>
      <c r="AW734">
        <v>16.465498793580164</v>
      </c>
      <c r="AX734">
        <v>104.95967396654035</v>
      </c>
      <c r="AY734">
        <v>16.19033743742823</v>
      </c>
      <c r="AZ734">
        <v>27.184368160119725</v>
      </c>
      <c r="BA734">
        <v>14.33725896612021</v>
      </c>
      <c r="BB734">
        <v>15.510945008863088</v>
      </c>
      <c r="BC734">
        <v>11.858843677599804</v>
      </c>
      <c r="BD734">
        <v>85.081753250131058</v>
      </c>
      <c r="BE734">
        <v>34.726966584371368</v>
      </c>
      <c r="BF734">
        <v>8.441704913309831</v>
      </c>
      <c r="BH734">
        <v>8.441704913309831</v>
      </c>
      <c r="BI734">
        <v>198.48313212998124</v>
      </c>
      <c r="BJ734" s="6">
        <v>183</v>
      </c>
      <c r="BK734">
        <v>26.285261671061544</v>
      </c>
      <c r="BL734" s="4">
        <v>328.45143000000019</v>
      </c>
      <c r="BM734" t="s">
        <v>903</v>
      </c>
      <c r="BN734" t="s">
        <v>65</v>
      </c>
      <c r="BO734">
        <v>4</v>
      </c>
      <c r="BP734">
        <v>2023</v>
      </c>
      <c r="BQ734" t="str">
        <f t="shared" si="56"/>
        <v>Andaman4</v>
      </c>
      <c r="BR734">
        <f t="shared" si="57"/>
        <v>-193.47180000000012</v>
      </c>
      <c r="BS734">
        <f t="shared" si="58"/>
        <v>2808.62718</v>
      </c>
      <c r="BT734" s="6">
        <f t="shared" si="59"/>
        <v>-15.483132129981243</v>
      </c>
    </row>
    <row r="735" spans="1:72">
      <c r="A735" s="3" t="s">
        <v>631</v>
      </c>
      <c r="B735" s="3" t="s">
        <v>893</v>
      </c>
      <c r="C735" s="3" t="s">
        <v>895</v>
      </c>
      <c r="D735" s="2" t="s">
        <v>904</v>
      </c>
      <c r="E735" s="4" t="str">
        <f t="shared" si="55"/>
        <v>AndamanA1-008-0046</v>
      </c>
      <c r="F735">
        <v>2.5</v>
      </c>
      <c r="G735">
        <v>1.8</v>
      </c>
      <c r="H735" t="s">
        <v>72</v>
      </c>
      <c r="I735" t="s">
        <v>75</v>
      </c>
      <c r="J735" t="s">
        <v>95</v>
      </c>
      <c r="K735" t="s">
        <v>79</v>
      </c>
      <c r="L735" t="s">
        <v>79</v>
      </c>
      <c r="M735">
        <v>3.5085341365461846</v>
      </c>
      <c r="N735" s="5">
        <v>45017</v>
      </c>
      <c r="O735" s="5">
        <v>45047</v>
      </c>
      <c r="P735">
        <v>1</v>
      </c>
      <c r="Q735" s="4">
        <v>139</v>
      </c>
      <c r="R735">
        <v>0.25</v>
      </c>
      <c r="S735" t="s">
        <v>70</v>
      </c>
      <c r="T735" s="6">
        <v>4</v>
      </c>
      <c r="U735" s="5">
        <v>45152</v>
      </c>
      <c r="V735" s="6">
        <v>1</v>
      </c>
      <c r="W735" t="s">
        <v>86</v>
      </c>
      <c r="X735" s="6">
        <v>104.99999999999999</v>
      </c>
      <c r="Y735">
        <v>24.19117</v>
      </c>
      <c r="Z735">
        <v>9.6764679999999998</v>
      </c>
      <c r="AA735" s="6">
        <v>38.443572592809694</v>
      </c>
      <c r="AB735" s="4">
        <v>92.999499999999998</v>
      </c>
      <c r="AC735" s="6">
        <v>26.012150602960229</v>
      </c>
      <c r="AD735">
        <v>0.27773109200000001</v>
      </c>
      <c r="AE735">
        <v>2.0800988422871565</v>
      </c>
      <c r="AF735">
        <v>49800</v>
      </c>
      <c r="AG735" s="4">
        <v>0</v>
      </c>
      <c r="AH735" s="4">
        <v>174725</v>
      </c>
      <c r="AL735">
        <v>34</v>
      </c>
      <c r="AM735">
        <v>7.0842200000000002</v>
      </c>
      <c r="AN735" t="s">
        <v>76</v>
      </c>
      <c r="AO735" t="s">
        <v>127</v>
      </c>
      <c r="AP735" s="5">
        <v>45047</v>
      </c>
      <c r="AQ735" t="s">
        <v>92</v>
      </c>
      <c r="AR735" s="5">
        <v>45151</v>
      </c>
      <c r="AS735">
        <v>149.77711206196309</v>
      </c>
      <c r="AT735" s="6"/>
      <c r="AU735">
        <v>16.534958830019384</v>
      </c>
      <c r="AV735">
        <v>63.411756438402939</v>
      </c>
      <c r="AW735">
        <v>14.935333016137712</v>
      </c>
      <c r="AX735">
        <v>94.882048284560028</v>
      </c>
      <c r="AY735">
        <v>13.097815855950746</v>
      </c>
      <c r="AZ735">
        <v>22.704549221885507</v>
      </c>
      <c r="BA735">
        <v>11.497417032743767</v>
      </c>
      <c r="BB735">
        <v>7.1369875867930332</v>
      </c>
      <c r="BC735">
        <v>10.782572318742748</v>
      </c>
      <c r="BD735">
        <v>65.219342016115803</v>
      </c>
      <c r="BE735">
        <v>-10.324278238712736</v>
      </c>
      <c r="BF735">
        <v>4.7783356489165261</v>
      </c>
      <c r="BH735">
        <v>4.7783356489165261</v>
      </c>
      <c r="BI735">
        <v>164.87972594959237</v>
      </c>
      <c r="BJ735" s="6">
        <v>184</v>
      </c>
      <c r="BK735">
        <v>-15.102613887629282</v>
      </c>
      <c r="BL735" s="4">
        <v>-365.34990000000084</v>
      </c>
      <c r="BM735" t="s">
        <v>905</v>
      </c>
      <c r="BN735" t="s">
        <v>65</v>
      </c>
      <c r="BO735">
        <v>8</v>
      </c>
      <c r="BP735">
        <v>2023</v>
      </c>
      <c r="BQ735" t="str">
        <f t="shared" si="56"/>
        <v>Andaman8</v>
      </c>
      <c r="BR735">
        <f t="shared" si="57"/>
        <v>462.54179999999957</v>
      </c>
      <c r="BS735">
        <f t="shared" si="58"/>
        <v>3623.2835799999998</v>
      </c>
      <c r="BT735" s="6">
        <f t="shared" si="59"/>
        <v>19.12027405040763</v>
      </c>
    </row>
    <row r="736" spans="1:72">
      <c r="A736" s="3" t="s">
        <v>631</v>
      </c>
      <c r="B736" s="3" t="s">
        <v>893</v>
      </c>
      <c r="C736" s="3" t="s">
        <v>895</v>
      </c>
      <c r="D736" s="2" t="s">
        <v>898</v>
      </c>
      <c r="E736" s="4" t="str">
        <f t="shared" si="55"/>
        <v>AndamanA1-004-0048</v>
      </c>
      <c r="F736">
        <v>2</v>
      </c>
      <c r="G736">
        <v>1.8</v>
      </c>
      <c r="H736" t="s">
        <v>72</v>
      </c>
      <c r="I736" t="s">
        <v>75</v>
      </c>
      <c r="J736" t="s">
        <v>95</v>
      </c>
      <c r="K736" t="s">
        <v>79</v>
      </c>
      <c r="L736" t="s">
        <v>79</v>
      </c>
      <c r="M736">
        <v>2.6606189967982923</v>
      </c>
      <c r="N736" s="5">
        <v>45047</v>
      </c>
      <c r="O736" s="5">
        <v>45072</v>
      </c>
      <c r="P736">
        <v>0.9</v>
      </c>
      <c r="Q736" s="4">
        <v>156</v>
      </c>
      <c r="R736">
        <v>0.62</v>
      </c>
      <c r="S736" t="s">
        <v>70</v>
      </c>
      <c r="T736" s="6">
        <v>3</v>
      </c>
      <c r="U736" s="5">
        <v>45155</v>
      </c>
      <c r="V736" s="6">
        <v>1</v>
      </c>
      <c r="W736" t="s">
        <v>86</v>
      </c>
      <c r="X736" s="6">
        <v>83</v>
      </c>
      <c r="Y736">
        <v>12.03027</v>
      </c>
      <c r="Z736">
        <v>6.0151349999999999</v>
      </c>
      <c r="AA736" s="6">
        <v>47.234185101415015</v>
      </c>
      <c r="AB736" s="4">
        <v>63.137777777777785</v>
      </c>
      <c r="AC736" s="6">
        <v>21.17110727861467</v>
      </c>
      <c r="AD736">
        <v>0.27272065000000001</v>
      </c>
      <c r="AE736">
        <v>2.0418801161409208</v>
      </c>
      <c r="AF736">
        <v>23425</v>
      </c>
      <c r="AG736" s="4">
        <v>0</v>
      </c>
      <c r="AH736" s="4">
        <v>62325</v>
      </c>
      <c r="AL736">
        <v>43</v>
      </c>
      <c r="AM736">
        <v>2.2263999999999999</v>
      </c>
      <c r="AN736" t="s">
        <v>85</v>
      </c>
      <c r="AO736" t="s">
        <v>116</v>
      </c>
      <c r="AP736" s="5">
        <v>45072</v>
      </c>
      <c r="AQ736" t="s">
        <v>102</v>
      </c>
      <c r="AR736" s="5">
        <v>45154</v>
      </c>
      <c r="AS736">
        <v>145.71035230298239</v>
      </c>
      <c r="AT736" s="6"/>
      <c r="AU736">
        <v>37.405644262348225</v>
      </c>
      <c r="AV736">
        <v>59.441105644345463</v>
      </c>
      <c r="AW736">
        <v>23.515065746654066</v>
      </c>
      <c r="AX736">
        <v>120.36181565334775</v>
      </c>
      <c r="AY736">
        <v>17.723156670631667</v>
      </c>
      <c r="AZ736">
        <v>30.962061533116042</v>
      </c>
      <c r="BA736">
        <v>16.642284005263388</v>
      </c>
      <c r="BB736">
        <v>11.223614266346473</v>
      </c>
      <c r="BC736">
        <v>14.441285191437933</v>
      </c>
      <c r="BD736">
        <v>90.992401666795502</v>
      </c>
      <c r="BE736">
        <v>-65.643865017160863</v>
      </c>
      <c r="BF736">
        <v>6.2511805636947466</v>
      </c>
      <c r="BH736">
        <v>6.2511805636947466</v>
      </c>
      <c r="BI736">
        <v>217.60539788383804</v>
      </c>
      <c r="BJ736" s="6">
        <v>172</v>
      </c>
      <c r="BK736">
        <v>-71.895045580855651</v>
      </c>
      <c r="BL736" s="4">
        <v>-864.91681000000028</v>
      </c>
      <c r="BM736" t="s">
        <v>899</v>
      </c>
      <c r="BN736" t="s">
        <v>65</v>
      </c>
      <c r="BO736">
        <v>8</v>
      </c>
      <c r="BP736">
        <v>2023</v>
      </c>
      <c r="BQ736" t="str">
        <f t="shared" si="56"/>
        <v>Andaman8</v>
      </c>
      <c r="BR736">
        <f t="shared" si="57"/>
        <v>-548.64525000000026</v>
      </c>
      <c r="BS736">
        <f t="shared" si="58"/>
        <v>1752.9348799999998</v>
      </c>
      <c r="BT736" s="6">
        <f t="shared" si="59"/>
        <v>-45.605397883838037</v>
      </c>
    </row>
    <row r="737" spans="1:72">
      <c r="A737" s="3" t="s">
        <v>631</v>
      </c>
      <c r="B737" s="3" t="s">
        <v>893</v>
      </c>
      <c r="C737" s="3" t="s">
        <v>895</v>
      </c>
      <c r="D737" s="2" t="s">
        <v>896</v>
      </c>
      <c r="E737" s="4" t="str">
        <f t="shared" si="55"/>
        <v>AndamanA1-013-0019</v>
      </c>
      <c r="F737">
        <v>1.5</v>
      </c>
      <c r="G737">
        <v>1.8</v>
      </c>
      <c r="H737" t="s">
        <v>72</v>
      </c>
      <c r="I737" t="s">
        <v>75</v>
      </c>
      <c r="J737" t="s">
        <v>95</v>
      </c>
      <c r="K737" t="s">
        <v>79</v>
      </c>
      <c r="L737" t="s">
        <v>79</v>
      </c>
      <c r="M737">
        <v>1.3420289855072465</v>
      </c>
      <c r="N737" s="5">
        <v>45094</v>
      </c>
      <c r="O737" s="5">
        <v>45117</v>
      </c>
      <c r="P737">
        <v>1</v>
      </c>
      <c r="Q737" s="4">
        <v>231</v>
      </c>
      <c r="R737">
        <v>0.82</v>
      </c>
      <c r="S737" t="s">
        <v>70</v>
      </c>
      <c r="T737" s="6">
        <v>1</v>
      </c>
      <c r="U737" s="5">
        <v>45161</v>
      </c>
      <c r="V737" s="6">
        <v>2</v>
      </c>
      <c r="W737" t="s">
        <v>71</v>
      </c>
      <c r="X737" s="6">
        <v>44</v>
      </c>
      <c r="Y737">
        <v>5.0317799999999995</v>
      </c>
      <c r="Z737">
        <v>3.3545199999999995</v>
      </c>
      <c r="AA737" s="6">
        <v>86.001772732512151</v>
      </c>
      <c r="AB737" s="4">
        <v>43.2742</v>
      </c>
      <c r="AC737" s="6">
        <v>11.62766729367614</v>
      </c>
      <c r="AD737">
        <v>0.24563424900000003</v>
      </c>
      <c r="AE737">
        <v>2.0478277592846732</v>
      </c>
      <c r="AF737">
        <v>8625</v>
      </c>
      <c r="AG737" s="4">
        <v>0</v>
      </c>
      <c r="AH737" s="4">
        <v>11575</v>
      </c>
      <c r="AI737" t="s">
        <v>73</v>
      </c>
      <c r="AL737">
        <v>86</v>
      </c>
      <c r="AM737">
        <v>5.0226199999999999</v>
      </c>
      <c r="AN737" t="s">
        <v>73</v>
      </c>
      <c r="AO737" t="s">
        <v>94</v>
      </c>
      <c r="AP737" s="5">
        <v>45117</v>
      </c>
      <c r="AQ737" t="s">
        <v>102</v>
      </c>
      <c r="AR737" s="5">
        <v>45160</v>
      </c>
      <c r="AS737">
        <v>101.98560747886435</v>
      </c>
      <c r="AT737" s="6"/>
      <c r="AU737">
        <v>109.30525579417224</v>
      </c>
      <c r="AV737">
        <v>51.80340754166518</v>
      </c>
      <c r="AW737">
        <v>36.462550031996628</v>
      </c>
      <c r="AX737">
        <v>197.57121336783405</v>
      </c>
      <c r="AY737">
        <v>22.390978937870894</v>
      </c>
      <c r="AZ737">
        <v>39.403962414890948</v>
      </c>
      <c r="BA737">
        <v>19.69314039962002</v>
      </c>
      <c r="BB737">
        <v>16.24089089745577</v>
      </c>
      <c r="BC737">
        <v>19.219626056783088</v>
      </c>
      <c r="BD737">
        <v>116.94859870662073</v>
      </c>
      <c r="BE737">
        <v>-212.53420459559044</v>
      </c>
      <c r="BF737">
        <v>7.5687251827385147</v>
      </c>
      <c r="BH737">
        <v>7.5687251827385147</v>
      </c>
      <c r="BI737">
        <v>322.08853725719325</v>
      </c>
      <c r="BJ737" s="6">
        <v>150</v>
      </c>
      <c r="BK737">
        <v>-220.10292977832896</v>
      </c>
      <c r="BL737" s="4">
        <v>-1107.5095200000001</v>
      </c>
      <c r="BM737" t="s">
        <v>897</v>
      </c>
      <c r="BN737" t="s">
        <v>65</v>
      </c>
      <c r="BO737">
        <v>8</v>
      </c>
      <c r="BP737">
        <v>2023</v>
      </c>
      <c r="BQ737" t="str">
        <f t="shared" si="56"/>
        <v>Andaman8</v>
      </c>
      <c r="BR737">
        <f t="shared" si="57"/>
        <v>-865.91165999999976</v>
      </c>
      <c r="BS737">
        <f t="shared" si="58"/>
        <v>513.16913999999997</v>
      </c>
      <c r="BT737" s="6">
        <f t="shared" si="59"/>
        <v>-172.08853725719325</v>
      </c>
    </row>
    <row r="738" spans="1:72">
      <c r="A738" s="3" t="s">
        <v>631</v>
      </c>
      <c r="B738" s="3" t="s">
        <v>835</v>
      </c>
      <c r="C738" s="3" t="s">
        <v>863</v>
      </c>
      <c r="D738" s="2" t="s">
        <v>866</v>
      </c>
      <c r="E738" s="4" t="str">
        <f t="shared" si="55"/>
        <v>SR4H1-048-0014</v>
      </c>
      <c r="F738">
        <v>3.3</v>
      </c>
      <c r="G738">
        <v>1.8</v>
      </c>
      <c r="H738" t="s">
        <v>72</v>
      </c>
      <c r="I738" t="s">
        <v>75</v>
      </c>
      <c r="J738" t="s">
        <v>68</v>
      </c>
      <c r="K738" t="s">
        <v>79</v>
      </c>
      <c r="L738" t="s">
        <v>79</v>
      </c>
      <c r="M738">
        <v>2.2855582642613359</v>
      </c>
      <c r="N738" s="5">
        <v>45024</v>
      </c>
      <c r="O738" s="5">
        <v>45053</v>
      </c>
      <c r="P738">
        <v>1.5</v>
      </c>
      <c r="Q738" s="4">
        <v>158</v>
      </c>
      <c r="R738">
        <v>0.34</v>
      </c>
      <c r="S738" t="s">
        <v>70</v>
      </c>
      <c r="T738" s="6">
        <v>5</v>
      </c>
      <c r="U738" s="5">
        <v>45185</v>
      </c>
      <c r="V738" s="6">
        <v>1</v>
      </c>
      <c r="W738" t="s">
        <v>86</v>
      </c>
      <c r="X738" s="6">
        <v>132</v>
      </c>
      <c r="Y738">
        <v>24.374650000000003</v>
      </c>
      <c r="Z738">
        <v>7.3862575757575772</v>
      </c>
      <c r="AA738" s="6">
        <v>25.047703249072292</v>
      </c>
      <c r="AB738" s="4">
        <v>40.701933333333336</v>
      </c>
      <c r="AC738" s="6">
        <v>39.923820162514808</v>
      </c>
      <c r="AD738">
        <v>0.39614832500000002</v>
      </c>
      <c r="AE738">
        <v>2.1485754033685804</v>
      </c>
      <c r="AF738">
        <v>51275</v>
      </c>
      <c r="AG738" s="4">
        <v>0</v>
      </c>
      <c r="AH738" s="4">
        <v>117192</v>
      </c>
      <c r="AL738">
        <v>19</v>
      </c>
      <c r="AM738">
        <v>4.7846299999999999</v>
      </c>
      <c r="AN738" t="s">
        <v>85</v>
      </c>
      <c r="AO738" t="s">
        <v>94</v>
      </c>
      <c r="AP738" s="5">
        <v>45053</v>
      </c>
      <c r="AQ738" t="s">
        <v>438</v>
      </c>
      <c r="AR738" s="5">
        <v>45184</v>
      </c>
      <c r="AS738">
        <v>232.67159405365814</v>
      </c>
      <c r="AT738" s="6"/>
      <c r="AU738">
        <v>24.615738072136413</v>
      </c>
      <c r="AV738">
        <v>73.661822015905884</v>
      </c>
      <c r="AW738">
        <v>41.267360146709798</v>
      </c>
      <c r="AX738">
        <v>139.54492023475208</v>
      </c>
      <c r="AY738">
        <v>23.364801956130655</v>
      </c>
      <c r="AZ738">
        <v>28.328691899165729</v>
      </c>
      <c r="BA738">
        <v>16.935231890509193</v>
      </c>
      <c r="BB738">
        <v>28.96230222792941</v>
      </c>
      <c r="BC738">
        <v>25.250444621768928</v>
      </c>
      <c r="BD738">
        <v>122.8414725955039</v>
      </c>
      <c r="BE738">
        <v>-29.714798776597846</v>
      </c>
      <c r="BF738">
        <v>1.8007963191266334</v>
      </c>
      <c r="BG738">
        <v>-0.26438410397687762</v>
      </c>
      <c r="BH738">
        <v>1.5364122151497557</v>
      </c>
      <c r="BI738">
        <v>263.92280504540582</v>
      </c>
      <c r="BJ738" s="6">
        <v>214</v>
      </c>
      <c r="BK738">
        <v>-31.251210991747691</v>
      </c>
      <c r="BL738" s="4">
        <v>-761.73733000000288</v>
      </c>
      <c r="BM738" t="s">
        <v>867</v>
      </c>
      <c r="BN738" t="s">
        <v>65</v>
      </c>
      <c r="BO738">
        <v>9</v>
      </c>
      <c r="BP738">
        <v>2023</v>
      </c>
      <c r="BQ738" t="str">
        <f t="shared" si="56"/>
        <v>SR49</v>
      </c>
      <c r="BR738">
        <f t="shared" si="57"/>
        <v>-1216.8509000000013</v>
      </c>
      <c r="BS738">
        <f t="shared" si="58"/>
        <v>5671.288669999999</v>
      </c>
      <c r="BT738" s="6">
        <f t="shared" si="59"/>
        <v>-49.922805045405823</v>
      </c>
    </row>
    <row r="739" spans="1:72">
      <c r="A739" s="3" t="s">
        <v>631</v>
      </c>
      <c r="B739" s="3" t="s">
        <v>835</v>
      </c>
      <c r="C739" s="3" t="s">
        <v>863</v>
      </c>
      <c r="D739" s="2" t="s">
        <v>865</v>
      </c>
      <c r="E739" s="4" t="str">
        <f t="shared" si="55"/>
        <v>SR4H1-047-0012</v>
      </c>
      <c r="F739">
        <v>2.8</v>
      </c>
      <c r="G739">
        <v>1.8</v>
      </c>
      <c r="H739" t="s">
        <v>72</v>
      </c>
      <c r="I739" t="s">
        <v>75</v>
      </c>
      <c r="N739" s="5">
        <v>45127</v>
      </c>
      <c r="O739" s="5">
        <v>45156</v>
      </c>
      <c r="P739">
        <v>1.5</v>
      </c>
      <c r="Q739" s="4">
        <v>186</v>
      </c>
      <c r="R739">
        <v>0.32300000000000001</v>
      </c>
      <c r="S739" t="s">
        <v>70</v>
      </c>
      <c r="T739" s="6">
        <v>2</v>
      </c>
      <c r="U739" s="5">
        <v>45225</v>
      </c>
      <c r="V739" s="6">
        <v>1</v>
      </c>
      <c r="W739" t="s">
        <v>86</v>
      </c>
      <c r="X739" s="6">
        <v>69</v>
      </c>
      <c r="Y739">
        <v>20.76529</v>
      </c>
      <c r="Z739">
        <v>7.4161750000000008</v>
      </c>
      <c r="AA739" s="6">
        <v>42.858972833993647</v>
      </c>
      <c r="AB739" s="4">
        <v>59.331933333333332</v>
      </c>
      <c r="AC739" s="6">
        <v>23.332337055143999</v>
      </c>
      <c r="AD739">
        <v>0.340384403</v>
      </c>
      <c r="AE739">
        <v>1.6875991418268672</v>
      </c>
      <c r="AF739">
        <v>34225</v>
      </c>
      <c r="AG739" s="4"/>
      <c r="AH739" s="4"/>
      <c r="AI739" t="s">
        <v>73</v>
      </c>
      <c r="AL739">
        <v>42</v>
      </c>
      <c r="AM739">
        <v>14.782629999999999</v>
      </c>
      <c r="AN739" t="s">
        <v>73</v>
      </c>
      <c r="AO739" t="s">
        <v>92</v>
      </c>
      <c r="AP739" s="5">
        <v>45156</v>
      </c>
      <c r="AQ739" t="s">
        <v>215</v>
      </c>
      <c r="AR739" s="5">
        <v>45224</v>
      </c>
      <c r="AS739">
        <v>181.34439104871637</v>
      </c>
      <c r="AT739" s="6"/>
      <c r="AU739">
        <v>28.894371328307958</v>
      </c>
      <c r="AV739">
        <v>49.163025414044313</v>
      </c>
      <c r="AW739">
        <v>29.390491536597864</v>
      </c>
      <c r="AX739">
        <v>107.44788827895013</v>
      </c>
      <c r="AY739">
        <v>18.545168403619694</v>
      </c>
      <c r="AZ739">
        <v>21.486723758733923</v>
      </c>
      <c r="BA739">
        <v>8.2764623080149615</v>
      </c>
      <c r="BB739">
        <v>6.519138427635732</v>
      </c>
      <c r="BC739">
        <v>16.641738689900308</v>
      </c>
      <c r="BD739">
        <v>71.46923158790463</v>
      </c>
      <c r="BE739">
        <v>2.4272711818616131</v>
      </c>
      <c r="BF739">
        <v>2.5279998497492686</v>
      </c>
      <c r="BG739">
        <v>-0.52663507227686202</v>
      </c>
      <c r="BH739">
        <v>2.001364777472407</v>
      </c>
      <c r="BI739">
        <v>180.91848464432709</v>
      </c>
      <c r="BJ739" s="6">
        <v>180</v>
      </c>
      <c r="BK739">
        <v>0.42590640438926197</v>
      </c>
      <c r="BL739" s="4">
        <v>8.8440700000002987</v>
      </c>
      <c r="BM739" t="s">
        <v>864</v>
      </c>
      <c r="BN739" t="s">
        <v>65</v>
      </c>
      <c r="BO739">
        <v>10</v>
      </c>
      <c r="BP739">
        <v>2023</v>
      </c>
      <c r="BQ739" t="str">
        <f t="shared" si="56"/>
        <v>SR410</v>
      </c>
      <c r="BR739">
        <f t="shared" si="57"/>
        <v>-19.072599999998967</v>
      </c>
      <c r="BS739">
        <f t="shared" si="58"/>
        <v>3765.6688699999995</v>
      </c>
      <c r="BT739" s="6">
        <f t="shared" si="59"/>
        <v>-0.9184846443270942</v>
      </c>
    </row>
    <row r="740" spans="1:72">
      <c r="A740" s="3" t="s">
        <v>631</v>
      </c>
      <c r="B740" s="3" t="s">
        <v>835</v>
      </c>
      <c r="C740" s="3" t="s">
        <v>868</v>
      </c>
      <c r="D740" s="2" t="s">
        <v>890</v>
      </c>
      <c r="E740" s="4" t="str">
        <f t="shared" si="55"/>
        <v>SR4G2-058-0007</v>
      </c>
      <c r="F740">
        <v>1.85</v>
      </c>
      <c r="G740">
        <v>2</v>
      </c>
      <c r="H740" t="s">
        <v>72</v>
      </c>
      <c r="I740" t="s">
        <v>67</v>
      </c>
      <c r="J740" t="s">
        <v>68</v>
      </c>
      <c r="K740" t="s">
        <v>79</v>
      </c>
      <c r="L740" t="s">
        <v>79</v>
      </c>
      <c r="M740">
        <v>0.33632148377125193</v>
      </c>
      <c r="N740" s="5">
        <v>45000</v>
      </c>
      <c r="O740" s="5">
        <v>45022</v>
      </c>
      <c r="P740">
        <v>1</v>
      </c>
      <c r="Q740" s="4">
        <v>169</v>
      </c>
      <c r="R740">
        <v>0.46</v>
      </c>
      <c r="S740" t="s">
        <v>70</v>
      </c>
      <c r="T740" s="6">
        <v>3</v>
      </c>
      <c r="U740" s="5">
        <v>45133</v>
      </c>
      <c r="V740" s="6">
        <v>2</v>
      </c>
      <c r="W740" t="s">
        <v>71</v>
      </c>
      <c r="X740" s="6">
        <v>111</v>
      </c>
      <c r="Y740">
        <v>14.40225</v>
      </c>
      <c r="Z740">
        <v>7.7850000000000001</v>
      </c>
      <c r="AA740" s="6">
        <v>19.472582408998594</v>
      </c>
      <c r="AB740" s="4">
        <v>28.044900000000002</v>
      </c>
      <c r="AC740" s="6">
        <v>51.354256923718751</v>
      </c>
      <c r="AD740">
        <v>0.49635635600000005</v>
      </c>
      <c r="AE740">
        <v>2.3202854632501926</v>
      </c>
      <c r="AF740">
        <v>32350</v>
      </c>
      <c r="AG740" s="4">
        <v>0</v>
      </c>
      <c r="AH740" s="4">
        <v>10880</v>
      </c>
      <c r="AL740">
        <v>18</v>
      </c>
      <c r="AM740">
        <v>5.49573</v>
      </c>
      <c r="AN740" t="s">
        <v>85</v>
      </c>
      <c r="AO740" t="s">
        <v>215</v>
      </c>
      <c r="AP740" s="5">
        <v>45022</v>
      </c>
      <c r="AQ740" t="s">
        <v>97</v>
      </c>
      <c r="AR740" s="5">
        <v>45132</v>
      </c>
      <c r="AS740">
        <v>285.89114895242062</v>
      </c>
      <c r="AT740" s="6"/>
      <c r="AU740">
        <v>31.245117950320267</v>
      </c>
      <c r="AV740">
        <v>79.020634275894409</v>
      </c>
      <c r="AW740">
        <v>22.711163880643646</v>
      </c>
      <c r="AX740">
        <v>132.97691610685831</v>
      </c>
      <c r="AY740">
        <v>19.684096582131268</v>
      </c>
      <c r="AZ740">
        <v>44.455154576541858</v>
      </c>
      <c r="BA740">
        <v>2.4201565727577297</v>
      </c>
      <c r="BB740">
        <v>4.6052297384089291</v>
      </c>
      <c r="BC740">
        <v>17.308901734104047</v>
      </c>
      <c r="BD740">
        <v>88.47353920394383</v>
      </c>
      <c r="BE740">
        <v>64.440693641618481</v>
      </c>
      <c r="BF740">
        <v>16.27847037789234</v>
      </c>
      <c r="BH740">
        <v>16.27847037789234</v>
      </c>
      <c r="BI740">
        <v>237.72892568869449</v>
      </c>
      <c r="BJ740" s="6">
        <v>241</v>
      </c>
      <c r="BK740">
        <v>48.162223263726148</v>
      </c>
      <c r="BL740" s="4">
        <v>693.64437999999984</v>
      </c>
      <c r="BM740" t="s">
        <v>891</v>
      </c>
      <c r="BN740" t="s">
        <v>65</v>
      </c>
      <c r="BO740">
        <v>7</v>
      </c>
      <c r="BP740">
        <v>2023</v>
      </c>
      <c r="BQ740" t="str">
        <f t="shared" si="56"/>
        <v>SR47</v>
      </c>
      <c r="BR740">
        <f t="shared" si="57"/>
        <v>47.110829999999808</v>
      </c>
      <c r="BS740">
        <f t="shared" si="58"/>
        <v>4117.4758000000002</v>
      </c>
      <c r="BT740" s="6">
        <f t="shared" si="59"/>
        <v>3.2710743113055116</v>
      </c>
    </row>
    <row r="741" spans="1:72">
      <c r="A741" s="3" t="s">
        <v>631</v>
      </c>
      <c r="B741" s="3" t="s">
        <v>835</v>
      </c>
      <c r="C741" s="3" t="s">
        <v>868</v>
      </c>
      <c r="D741" s="2" t="s">
        <v>884</v>
      </c>
      <c r="E741" s="4" t="str">
        <f t="shared" si="55"/>
        <v>SR4G2-059-0011</v>
      </c>
      <c r="F741">
        <v>1.85</v>
      </c>
      <c r="G741">
        <v>2</v>
      </c>
      <c r="H741" t="s">
        <v>72</v>
      </c>
      <c r="I741" t="s">
        <v>67</v>
      </c>
      <c r="J741" t="s">
        <v>68</v>
      </c>
      <c r="K741" t="s">
        <v>79</v>
      </c>
      <c r="L741" t="s">
        <v>79</v>
      </c>
      <c r="M741">
        <v>0.30333528379169106</v>
      </c>
      <c r="N741" s="5">
        <v>45021</v>
      </c>
      <c r="O741" s="5">
        <v>45051</v>
      </c>
      <c r="P741">
        <v>1</v>
      </c>
      <c r="Q741" s="4">
        <v>169</v>
      </c>
      <c r="R741">
        <v>0.47</v>
      </c>
      <c r="S741" t="s">
        <v>70</v>
      </c>
      <c r="T741" s="6">
        <v>3</v>
      </c>
      <c r="U741" s="5">
        <v>45167</v>
      </c>
      <c r="V741" s="6">
        <v>1</v>
      </c>
      <c r="W741" t="s">
        <v>86</v>
      </c>
      <c r="X741" s="6">
        <v>116</v>
      </c>
      <c r="Y741">
        <v>20.43629</v>
      </c>
      <c r="Z741">
        <v>11.046643243243242</v>
      </c>
      <c r="AA741" s="6">
        <v>24.337343030461987</v>
      </c>
      <c r="AB741" s="4">
        <v>49.736499999999999</v>
      </c>
      <c r="AC741" s="6">
        <v>41.089119660611424</v>
      </c>
      <c r="AD741">
        <v>0.44966878399999999</v>
      </c>
      <c r="AE741">
        <v>2.1398567285159134</v>
      </c>
      <c r="AF741">
        <v>42725</v>
      </c>
      <c r="AG741" s="4">
        <v>0</v>
      </c>
      <c r="AH741" s="4">
        <v>12960</v>
      </c>
      <c r="AL741">
        <v>19</v>
      </c>
      <c r="AM741">
        <v>14.702159999999999</v>
      </c>
      <c r="AN741" t="s">
        <v>81</v>
      </c>
      <c r="AO741" t="s">
        <v>97</v>
      </c>
      <c r="AP741" s="5">
        <v>45051</v>
      </c>
      <c r="AQ741" t="s">
        <v>148</v>
      </c>
      <c r="AR741" s="5">
        <v>45166</v>
      </c>
      <c r="AS741">
        <v>216.04022011823085</v>
      </c>
      <c r="AT741" s="6"/>
      <c r="AU741">
        <v>22.019652295010495</v>
      </c>
      <c r="AV741">
        <v>72.662821382941843</v>
      </c>
      <c r="AW741">
        <v>19.144609417854209</v>
      </c>
      <c r="AX741">
        <v>113.82708309580654</v>
      </c>
      <c r="AY741">
        <v>14.074584966253662</v>
      </c>
      <c r="AZ741">
        <v>36.267538286058752</v>
      </c>
      <c r="BA741">
        <v>2.8101367714002881</v>
      </c>
      <c r="BB741">
        <v>4.0077841917490895</v>
      </c>
      <c r="BC741">
        <v>12.73179818841874</v>
      </c>
      <c r="BD741">
        <v>69.891842403880531</v>
      </c>
      <c r="BE741">
        <v>32.321294618543774</v>
      </c>
      <c r="BF741">
        <v>11.893160157739002</v>
      </c>
      <c r="BH741">
        <v>11.893160157739002</v>
      </c>
      <c r="BI741">
        <v>195.61208565742609</v>
      </c>
      <c r="BJ741" s="6">
        <v>219</v>
      </c>
      <c r="BK741">
        <v>20.428134460804742</v>
      </c>
      <c r="BL741" s="4">
        <v>417.47527999999932</v>
      </c>
      <c r="BM741" t="s">
        <v>885</v>
      </c>
      <c r="BN741" t="s">
        <v>65</v>
      </c>
      <c r="BO741">
        <v>8</v>
      </c>
      <c r="BP741">
        <v>2023</v>
      </c>
      <c r="BQ741" t="str">
        <f t="shared" si="56"/>
        <v>SR48</v>
      </c>
      <c r="BR741">
        <f t="shared" si="57"/>
        <v>477.96219999999971</v>
      </c>
      <c r="BS741">
        <f t="shared" si="58"/>
        <v>4415.06059</v>
      </c>
      <c r="BT741" s="6">
        <f t="shared" si="59"/>
        <v>23.387914342573907</v>
      </c>
    </row>
    <row r="742" spans="1:72">
      <c r="A742" s="3" t="s">
        <v>631</v>
      </c>
      <c r="B742" s="3" t="s">
        <v>835</v>
      </c>
      <c r="C742" s="3" t="s">
        <v>868</v>
      </c>
      <c r="D742" s="2" t="s">
        <v>1884</v>
      </c>
      <c r="E742" s="4" t="str">
        <f t="shared" si="55"/>
        <v>SR4G1-052-0012</v>
      </c>
      <c r="F742">
        <v>2</v>
      </c>
      <c r="G742">
        <v>2</v>
      </c>
      <c r="H742" t="s">
        <v>72</v>
      </c>
      <c r="I742" t="s">
        <v>67</v>
      </c>
      <c r="J742" t="s">
        <v>68</v>
      </c>
      <c r="K742" t="s">
        <v>79</v>
      </c>
      <c r="L742" t="s">
        <v>79</v>
      </c>
      <c r="M742">
        <v>0.25702811244979917</v>
      </c>
      <c r="N742" s="5">
        <v>45092</v>
      </c>
      <c r="O742" s="5">
        <v>45122</v>
      </c>
      <c r="P742">
        <v>1</v>
      </c>
      <c r="Q742" s="4">
        <v>156</v>
      </c>
      <c r="R742">
        <v>1.05</v>
      </c>
      <c r="S742" t="s">
        <v>70</v>
      </c>
      <c r="T742" s="6">
        <v>5</v>
      </c>
      <c r="U742" s="5">
        <v>45231</v>
      </c>
      <c r="V742" s="6">
        <v>1</v>
      </c>
      <c r="W742" t="s">
        <v>86</v>
      </c>
      <c r="X742" s="6">
        <v>109</v>
      </c>
      <c r="Y742">
        <v>17.580740000000002</v>
      </c>
      <c r="Z742">
        <v>8.7903700000000011</v>
      </c>
      <c r="AA742" s="6">
        <v>23.320349427839783</v>
      </c>
      <c r="AB742" s="4">
        <v>40.998899999999999</v>
      </c>
      <c r="AC742" s="6">
        <v>42.881004124500905</v>
      </c>
      <c r="AD742">
        <v>0.44908256899999999</v>
      </c>
      <c r="AE742">
        <v>2.6359981464834603</v>
      </c>
      <c r="AF742">
        <v>43575</v>
      </c>
      <c r="AG742" s="4">
        <v>0</v>
      </c>
      <c r="AH742" s="4">
        <v>11200</v>
      </c>
      <c r="AL742">
        <v>20</v>
      </c>
      <c r="AM742">
        <v>10.99005</v>
      </c>
      <c r="AN742" t="s">
        <v>81</v>
      </c>
      <c r="AO742" t="s">
        <v>94</v>
      </c>
      <c r="AP742" s="5">
        <v>45122</v>
      </c>
      <c r="AQ742" t="s">
        <v>93</v>
      </c>
      <c r="AR742" s="5">
        <v>45230</v>
      </c>
      <c r="AS742">
        <v>218.85378601810839</v>
      </c>
      <c r="AT742" s="6"/>
      <c r="AU742">
        <v>31.284234907063073</v>
      </c>
      <c r="AV742">
        <v>79.936084032867825</v>
      </c>
      <c r="AW742">
        <v>29.11424035620799</v>
      </c>
      <c r="AX742">
        <v>140.33455929613888</v>
      </c>
      <c r="AY742">
        <v>16.764807965990055</v>
      </c>
      <c r="AZ742">
        <v>41.81819195323974</v>
      </c>
      <c r="BA742">
        <v>3.2250616299427666</v>
      </c>
      <c r="BB742">
        <v>3.1948416278268148</v>
      </c>
      <c r="BC742">
        <v>16.634725273225129</v>
      </c>
      <c r="BD742">
        <v>81.637628450224511</v>
      </c>
      <c r="BE742">
        <v>-3.1184017282549945</v>
      </c>
      <c r="BF742">
        <v>13.361020070827507</v>
      </c>
      <c r="BG742">
        <v>-0.52424812607432913</v>
      </c>
      <c r="BH742">
        <v>12.836771944753178</v>
      </c>
      <c r="BI742">
        <v>234.80895969111648</v>
      </c>
      <c r="BJ742" s="6">
        <v>223</v>
      </c>
      <c r="BK742">
        <v>-15.955173673008089</v>
      </c>
      <c r="BL742" s="4">
        <v>-280.50376000000023</v>
      </c>
      <c r="BM742" t="s">
        <v>1885</v>
      </c>
      <c r="BN742" t="s">
        <v>65</v>
      </c>
      <c r="BO742">
        <v>11</v>
      </c>
      <c r="BP742">
        <v>2023</v>
      </c>
      <c r="BQ742" t="str">
        <f t="shared" si="56"/>
        <v>SR411</v>
      </c>
      <c r="BR742">
        <f t="shared" si="57"/>
        <v>-207.61024999999924</v>
      </c>
      <c r="BS742">
        <f t="shared" si="58"/>
        <v>3847.6115099999993</v>
      </c>
      <c r="BT742" s="6">
        <f t="shared" si="59"/>
        <v>-11.808959691116485</v>
      </c>
    </row>
    <row r="743" spans="1:72">
      <c r="A743" s="3" t="s">
        <v>631</v>
      </c>
      <c r="B743" s="3" t="s">
        <v>835</v>
      </c>
      <c r="C743" s="3" t="s">
        <v>868</v>
      </c>
      <c r="D743" s="2" t="s">
        <v>888</v>
      </c>
      <c r="E743" s="4" t="str">
        <f t="shared" si="55"/>
        <v>SR4G1-053-0009</v>
      </c>
      <c r="F743">
        <v>2</v>
      </c>
      <c r="G743">
        <v>2</v>
      </c>
      <c r="H743" t="s">
        <v>72</v>
      </c>
      <c r="I743" t="s">
        <v>67</v>
      </c>
      <c r="J743" t="s">
        <v>68</v>
      </c>
      <c r="K743" t="s">
        <v>79</v>
      </c>
      <c r="L743" t="s">
        <v>79</v>
      </c>
      <c r="M743">
        <v>0.29760348583877994</v>
      </c>
      <c r="N743" s="5">
        <v>45060</v>
      </c>
      <c r="O743" s="5">
        <v>45093</v>
      </c>
      <c r="P743">
        <v>1</v>
      </c>
      <c r="Q743" s="4">
        <v>156</v>
      </c>
      <c r="R743">
        <v>0.4</v>
      </c>
      <c r="S743" t="s">
        <v>70</v>
      </c>
      <c r="T743" s="6">
        <v>3</v>
      </c>
      <c r="U743" s="5">
        <v>45210</v>
      </c>
      <c r="V743" s="6">
        <v>1</v>
      </c>
      <c r="W743" t="s">
        <v>86</v>
      </c>
      <c r="X743" s="6">
        <v>117</v>
      </c>
      <c r="Y743">
        <v>20.64678</v>
      </c>
      <c r="Z743">
        <v>10.32339</v>
      </c>
      <c r="AA743" s="6">
        <v>22.185008994138556</v>
      </c>
      <c r="AB743" s="4">
        <v>45.804899999999996</v>
      </c>
      <c r="AC743" s="6">
        <v>45.075483190663</v>
      </c>
      <c r="AD743">
        <v>0.44642375200000001</v>
      </c>
      <c r="AE743">
        <v>2.2670271519718197</v>
      </c>
      <c r="AF743">
        <v>45900</v>
      </c>
      <c r="AG743" s="4">
        <v>0</v>
      </c>
      <c r="AH743" s="4">
        <v>13660</v>
      </c>
      <c r="AL743">
        <v>19</v>
      </c>
      <c r="AM743">
        <v>10.340999999999999</v>
      </c>
      <c r="AN743" t="s">
        <v>81</v>
      </c>
      <c r="AO743" t="s">
        <v>97</v>
      </c>
      <c r="AP743" s="5">
        <v>45093</v>
      </c>
      <c r="AQ743" t="s">
        <v>438</v>
      </c>
      <c r="AR743" s="5">
        <v>45209</v>
      </c>
      <c r="AS743">
        <v>219.79109236403934</v>
      </c>
      <c r="AT743" s="6"/>
      <c r="AU743">
        <v>19.373480998005505</v>
      </c>
      <c r="AV743">
        <v>75.592098138305317</v>
      </c>
      <c r="AW743">
        <v>20.501756690389499</v>
      </c>
      <c r="AX743">
        <v>115.46733582670034</v>
      </c>
      <c r="AY743">
        <v>15.807889656401629</v>
      </c>
      <c r="AZ743">
        <v>34.443923459251273</v>
      </c>
      <c r="BA743">
        <v>2.8420518841194613</v>
      </c>
      <c r="BB743">
        <v>3.473522747857051</v>
      </c>
      <c r="BC743">
        <v>16.053712491729947</v>
      </c>
      <c r="BD743">
        <v>72.621100239359365</v>
      </c>
      <c r="BE743">
        <v>31.702656297979644</v>
      </c>
      <c r="BF743">
        <v>12.299882596705155</v>
      </c>
      <c r="BG743">
        <v>-0.44639696843769339</v>
      </c>
      <c r="BH743">
        <v>11.853485628267462</v>
      </c>
      <c r="BI743">
        <v>199.94192169432716</v>
      </c>
      <c r="BJ743" s="6">
        <v>228</v>
      </c>
      <c r="BK743">
        <v>19.849170669712176</v>
      </c>
      <c r="BL743" s="4">
        <v>409.82145999999995</v>
      </c>
      <c r="BM743" t="s">
        <v>889</v>
      </c>
      <c r="BN743" t="s">
        <v>65</v>
      </c>
      <c r="BO743">
        <v>10</v>
      </c>
      <c r="BP743">
        <v>2023</v>
      </c>
      <c r="BQ743" t="str">
        <f t="shared" si="56"/>
        <v>SR410</v>
      </c>
      <c r="BR743">
        <f t="shared" si="57"/>
        <v>579.30896999999982</v>
      </c>
      <c r="BS743">
        <f t="shared" si="58"/>
        <v>4537.9783299999999</v>
      </c>
      <c r="BT743" s="6">
        <f t="shared" si="59"/>
        <v>28.058078305672836</v>
      </c>
    </row>
    <row r="744" spans="1:72">
      <c r="A744" s="3" t="s">
        <v>631</v>
      </c>
      <c r="B744" s="3" t="s">
        <v>835</v>
      </c>
      <c r="C744" s="3" t="s">
        <v>868</v>
      </c>
      <c r="D744" s="2" t="s">
        <v>886</v>
      </c>
      <c r="E744" s="4" t="str">
        <f t="shared" si="55"/>
        <v>SR4G1-051-0010</v>
      </c>
      <c r="F744">
        <v>2</v>
      </c>
      <c r="G744">
        <v>2</v>
      </c>
      <c r="H744" t="s">
        <v>72</v>
      </c>
      <c r="I744" t="s">
        <v>67</v>
      </c>
      <c r="J744" t="s">
        <v>68</v>
      </c>
      <c r="K744" t="s">
        <v>79</v>
      </c>
      <c r="L744" t="s">
        <v>79</v>
      </c>
      <c r="M744">
        <v>0.20619977037887485</v>
      </c>
      <c r="N744" s="5">
        <v>45075</v>
      </c>
      <c r="O744" s="5">
        <v>45114</v>
      </c>
      <c r="P744">
        <v>1</v>
      </c>
      <c r="Q744" s="4">
        <v>156</v>
      </c>
      <c r="R744">
        <v>0.49</v>
      </c>
      <c r="S744" t="s">
        <v>70</v>
      </c>
      <c r="T744" s="6">
        <v>4</v>
      </c>
      <c r="U744" s="5">
        <v>45229</v>
      </c>
      <c r="V744" s="6">
        <v>1</v>
      </c>
      <c r="W744" t="s">
        <v>86</v>
      </c>
      <c r="X744" s="6">
        <v>115.00000000000001</v>
      </c>
      <c r="Y744">
        <v>18.741139999999998</v>
      </c>
      <c r="Z744">
        <v>9.370569999999999</v>
      </c>
      <c r="AA744" s="6">
        <v>23.644399433545665</v>
      </c>
      <c r="AB744" s="4">
        <v>44.3123</v>
      </c>
      <c r="AC744" s="6">
        <v>42.293313594645277</v>
      </c>
      <c r="AD744">
        <v>0.43052173900000001</v>
      </c>
      <c r="AE744">
        <v>2.3861523170607426</v>
      </c>
      <c r="AF744">
        <v>43550</v>
      </c>
      <c r="AG744" s="4">
        <v>0</v>
      </c>
      <c r="AH744" s="4">
        <v>8980</v>
      </c>
      <c r="AL744">
        <v>20</v>
      </c>
      <c r="AM744">
        <v>11.68683</v>
      </c>
      <c r="AN744" t="s">
        <v>81</v>
      </c>
      <c r="AO744" t="s">
        <v>93</v>
      </c>
      <c r="AP744" s="5">
        <v>45114</v>
      </c>
      <c r="AQ744" t="s">
        <v>148</v>
      </c>
      <c r="AR744" s="5">
        <v>45228</v>
      </c>
      <c r="AS744">
        <v>218.26629169837057</v>
      </c>
      <c r="AT744" s="6"/>
      <c r="AU744">
        <v>24.011346161439487</v>
      </c>
      <c r="AV744">
        <v>75.354273005804316</v>
      </c>
      <c r="AW744">
        <v>27.082430417786735</v>
      </c>
      <c r="AX744">
        <v>126.44804958503055</v>
      </c>
      <c r="AY744">
        <v>17.560087593390801</v>
      </c>
      <c r="AZ744">
        <v>41.077067350225221</v>
      </c>
      <c r="BA744">
        <v>3.7484245888990753</v>
      </c>
      <c r="BB744">
        <v>3.5741811864166211</v>
      </c>
      <c r="BC744">
        <v>18.74367034235911</v>
      </c>
      <c r="BD744">
        <v>84.703431061290829</v>
      </c>
      <c r="BE744">
        <v>7.1148110520491912</v>
      </c>
      <c r="BF744">
        <v>13.918781354816193</v>
      </c>
      <c r="BG744">
        <v>-0.49178811961278773</v>
      </c>
      <c r="BH744">
        <v>13.426993235203406</v>
      </c>
      <c r="BI744">
        <v>224.57847388152484</v>
      </c>
      <c r="BJ744" s="6">
        <v>223</v>
      </c>
      <c r="BK744">
        <v>-6.3121821831542668</v>
      </c>
      <c r="BL744" s="4">
        <v>-118.29748999999975</v>
      </c>
      <c r="BM744" t="s">
        <v>887</v>
      </c>
      <c r="BN744" t="s">
        <v>65</v>
      </c>
      <c r="BO744">
        <v>10</v>
      </c>
      <c r="BP744">
        <v>2023</v>
      </c>
      <c r="BQ744" t="str">
        <f t="shared" si="56"/>
        <v>SR410</v>
      </c>
      <c r="BR744">
        <f t="shared" si="57"/>
        <v>-29.582400000000494</v>
      </c>
      <c r="BS744">
        <f t="shared" si="58"/>
        <v>4090.5591300000001</v>
      </c>
      <c r="BT744" s="6">
        <f t="shared" si="59"/>
        <v>-1.5784738815248431</v>
      </c>
    </row>
    <row r="745" spans="1:72">
      <c r="A745" s="3" t="s">
        <v>631</v>
      </c>
      <c r="B745" s="3" t="s">
        <v>835</v>
      </c>
      <c r="C745" s="3" t="s">
        <v>868</v>
      </c>
      <c r="D745" s="2" t="s">
        <v>2807</v>
      </c>
      <c r="E745" s="4" t="str">
        <f t="shared" si="55"/>
        <v>SR4G2-058-0008</v>
      </c>
      <c r="F745">
        <v>1.85</v>
      </c>
      <c r="G745">
        <v>2</v>
      </c>
      <c r="H745" t="s">
        <v>72</v>
      </c>
      <c r="I745" t="s">
        <v>67</v>
      </c>
      <c r="J745" t="s">
        <v>68</v>
      </c>
      <c r="K745" t="s">
        <v>79</v>
      </c>
      <c r="L745" t="s">
        <v>79</v>
      </c>
      <c r="M745">
        <v>0.12736318407960198</v>
      </c>
      <c r="N745" s="5">
        <v>45134</v>
      </c>
      <c r="O745" s="5">
        <v>45163</v>
      </c>
      <c r="P745">
        <v>1</v>
      </c>
      <c r="Q745" s="4">
        <v>169</v>
      </c>
      <c r="R745">
        <v>0.31</v>
      </c>
      <c r="S745" t="s">
        <v>70</v>
      </c>
      <c r="T745" s="6">
        <v>3</v>
      </c>
      <c r="U745" s="5">
        <v>45271</v>
      </c>
      <c r="V745" s="6">
        <v>2</v>
      </c>
      <c r="W745" t="s">
        <v>71</v>
      </c>
      <c r="X745" s="6">
        <v>108</v>
      </c>
      <c r="Y745">
        <v>10.820200000000002</v>
      </c>
      <c r="Z745">
        <v>5.8487567567567575</v>
      </c>
      <c r="AA745" s="6">
        <v>34.013696604498989</v>
      </c>
      <c r="AB745" s="4">
        <v>36.8035</v>
      </c>
      <c r="AC745" s="6">
        <v>29.399921203146445</v>
      </c>
      <c r="AD745">
        <v>0.38293209900000003</v>
      </c>
      <c r="AE745">
        <v>2.8686418907347147</v>
      </c>
      <c r="AF745">
        <v>30150</v>
      </c>
      <c r="AG745" s="4">
        <v>0</v>
      </c>
      <c r="AH745" s="4">
        <v>3840</v>
      </c>
      <c r="AL745">
        <v>24</v>
      </c>
      <c r="AM745">
        <v>2.4669499999999998</v>
      </c>
      <c r="AN745" t="s">
        <v>85</v>
      </c>
      <c r="AO745" t="s">
        <v>94</v>
      </c>
      <c r="AP745" s="5">
        <v>45163</v>
      </c>
      <c r="AQ745" t="s">
        <v>438</v>
      </c>
      <c r="AR745" s="5">
        <v>45270</v>
      </c>
      <c r="AS745">
        <v>201.72155505443524</v>
      </c>
      <c r="AT745" s="6"/>
      <c r="AU745">
        <v>36.967893384595477</v>
      </c>
      <c r="AV745">
        <v>83.115666993216379</v>
      </c>
      <c r="AW745">
        <v>67.203952792000166</v>
      </c>
      <c r="AX745">
        <v>187.287513169812</v>
      </c>
      <c r="AY745">
        <v>22.04440490933624</v>
      </c>
      <c r="AZ745">
        <v>72.315647585072355</v>
      </c>
      <c r="BA745">
        <v>9.0825354429677816</v>
      </c>
      <c r="BB745">
        <v>7.1069970980203694</v>
      </c>
      <c r="BC745">
        <v>17.680867266778801</v>
      </c>
      <c r="BD745">
        <v>128.23045230217556</v>
      </c>
      <c r="BE745">
        <v>-113.79641041755232</v>
      </c>
      <c r="BF745">
        <v>20.949685772906232</v>
      </c>
      <c r="BG745">
        <v>-0.86137224820243619</v>
      </c>
      <c r="BH745">
        <v>20.088313524703793</v>
      </c>
      <c r="BI745">
        <v>335.60627899669134</v>
      </c>
      <c r="BJ745" s="6">
        <v>189</v>
      </c>
      <c r="BK745">
        <v>-133.88472394225613</v>
      </c>
      <c r="BL745" s="4">
        <v>-1448.6594899999998</v>
      </c>
      <c r="BM745" t="s">
        <v>2808</v>
      </c>
      <c r="BN745" t="s">
        <v>65</v>
      </c>
      <c r="BO745">
        <v>12</v>
      </c>
      <c r="BP745">
        <v>2023</v>
      </c>
      <c r="BQ745" t="str">
        <f t="shared" si="56"/>
        <v>SR412</v>
      </c>
      <c r="BR745">
        <f t="shared" si="57"/>
        <v>-1586.30926</v>
      </c>
      <c r="BS745">
        <f t="shared" si="58"/>
        <v>2182.6675700000005</v>
      </c>
      <c r="BT745" s="6">
        <f t="shared" si="59"/>
        <v>-146.60627899669134</v>
      </c>
    </row>
    <row r="746" spans="1:72">
      <c r="A746" s="3" t="s">
        <v>631</v>
      </c>
      <c r="B746" s="3" t="s">
        <v>835</v>
      </c>
      <c r="C746" s="3" t="s">
        <v>868</v>
      </c>
      <c r="D746" s="2" t="s">
        <v>879</v>
      </c>
      <c r="E746" s="4" t="str">
        <f t="shared" si="55"/>
        <v>SR4G1-052-0011</v>
      </c>
      <c r="F746">
        <v>2</v>
      </c>
      <c r="G746">
        <v>2</v>
      </c>
      <c r="H746" t="s">
        <v>72</v>
      </c>
      <c r="I746" t="s">
        <v>67</v>
      </c>
      <c r="J746" t="s">
        <v>68</v>
      </c>
      <c r="K746" t="s">
        <v>79</v>
      </c>
      <c r="L746" t="s">
        <v>79</v>
      </c>
      <c r="M746">
        <v>0.30319548872180452</v>
      </c>
      <c r="N746" s="5">
        <v>44920</v>
      </c>
      <c r="O746" s="5">
        <v>44950</v>
      </c>
      <c r="P746">
        <v>1</v>
      </c>
      <c r="Q746" s="4">
        <v>156</v>
      </c>
      <c r="R746">
        <v>0.17599999999999999</v>
      </c>
      <c r="S746" t="s">
        <v>70</v>
      </c>
      <c r="T746" s="6">
        <v>5</v>
      </c>
      <c r="U746" s="5">
        <v>45091</v>
      </c>
      <c r="V746" s="6">
        <v>1</v>
      </c>
      <c r="W746" t="s">
        <v>86</v>
      </c>
      <c r="X746" s="6">
        <v>141</v>
      </c>
      <c r="Y746">
        <v>22.82686</v>
      </c>
      <c r="Z746">
        <v>11.41343</v>
      </c>
      <c r="AA746" s="6">
        <v>28.240809292211019</v>
      </c>
      <c r="AB746" s="4">
        <v>64.4649</v>
      </c>
      <c r="AC746" s="6">
        <v>35.409750112076495</v>
      </c>
      <c r="AD746">
        <v>0.37202538299999999</v>
      </c>
      <c r="AE746">
        <v>2.3486966940769576</v>
      </c>
      <c r="AF746">
        <v>53200</v>
      </c>
      <c r="AG746" s="4">
        <v>0</v>
      </c>
      <c r="AH746" s="4">
        <v>16130</v>
      </c>
      <c r="AL746">
        <v>19</v>
      </c>
      <c r="AM746">
        <v>7.3142100000000001</v>
      </c>
      <c r="AN746" t="s">
        <v>880</v>
      </c>
      <c r="AO746" t="s">
        <v>106</v>
      </c>
      <c r="AP746" s="5">
        <v>44950</v>
      </c>
      <c r="AQ746" t="s">
        <v>189</v>
      </c>
      <c r="AR746" s="5">
        <v>45090</v>
      </c>
      <c r="AS746">
        <v>258.8053696391006</v>
      </c>
      <c r="AT746" s="6"/>
      <c r="AU746">
        <v>17.52321607089192</v>
      </c>
      <c r="AV746">
        <v>84.430991822791199</v>
      </c>
      <c r="AW746">
        <v>26.245697831414383</v>
      </c>
      <c r="AX746">
        <v>128.19990572509749</v>
      </c>
      <c r="AY746">
        <v>16.873603728239452</v>
      </c>
      <c r="AZ746">
        <v>34.536077673407547</v>
      </c>
      <c r="BA746">
        <v>2.4166801741457213</v>
      </c>
      <c r="BB746">
        <v>3.1012745511209157</v>
      </c>
      <c r="BC746">
        <v>11.734489106254651</v>
      </c>
      <c r="BD746">
        <v>68.662125233168283</v>
      </c>
      <c r="BE746">
        <v>61.943338680834827</v>
      </c>
      <c r="BF746">
        <v>14.315894082672779</v>
      </c>
      <c r="BH746">
        <v>14.315894082672779</v>
      </c>
      <c r="BI746">
        <v>211.17792504093859</v>
      </c>
      <c r="BJ746" s="6">
        <v>204</v>
      </c>
      <c r="BK746">
        <v>47.627444598162022</v>
      </c>
      <c r="BL746" s="4">
        <v>1087.1850100000006</v>
      </c>
      <c r="BM746" t="s">
        <v>881</v>
      </c>
      <c r="BN746" t="s">
        <v>65</v>
      </c>
      <c r="BO746">
        <v>6</v>
      </c>
      <c r="BP746">
        <v>2023</v>
      </c>
      <c r="BQ746" t="str">
        <f t="shared" si="56"/>
        <v>SR46</v>
      </c>
      <c r="BR746">
        <f t="shared" si="57"/>
        <v>-163.84948999999946</v>
      </c>
      <c r="BS746">
        <f t="shared" si="58"/>
        <v>5907.7139399999996</v>
      </c>
      <c r="BT746" s="6">
        <f t="shared" si="59"/>
        <v>-7.1779250409385895</v>
      </c>
    </row>
    <row r="747" spans="1:72">
      <c r="A747" s="3" t="s">
        <v>631</v>
      </c>
      <c r="B747" s="3" t="s">
        <v>835</v>
      </c>
      <c r="C747" s="3" t="s">
        <v>868</v>
      </c>
      <c r="D747" s="2" t="s">
        <v>882</v>
      </c>
      <c r="E747" s="4" t="str">
        <f t="shared" si="55"/>
        <v>SR4G2-057-0010</v>
      </c>
      <c r="F747">
        <v>1.85</v>
      </c>
      <c r="G747">
        <v>2</v>
      </c>
      <c r="H747" t="s">
        <v>72</v>
      </c>
      <c r="I747" t="s">
        <v>67</v>
      </c>
      <c r="J747" t="s">
        <v>68</v>
      </c>
      <c r="K747" t="s">
        <v>79</v>
      </c>
      <c r="L747" t="s">
        <v>79</v>
      </c>
      <c r="M747">
        <v>0.36069757549978732</v>
      </c>
      <c r="N747" s="5">
        <v>45003</v>
      </c>
      <c r="O747" s="5">
        <v>45032</v>
      </c>
      <c r="P747">
        <v>1</v>
      </c>
      <c r="Q747" s="4">
        <v>169</v>
      </c>
      <c r="R747">
        <v>0.18</v>
      </c>
      <c r="S747" t="s">
        <v>70</v>
      </c>
      <c r="T747" s="6">
        <v>5</v>
      </c>
      <c r="U747" s="5">
        <v>45170</v>
      </c>
      <c r="V747" s="6">
        <v>1</v>
      </c>
      <c r="W747" t="s">
        <v>86</v>
      </c>
      <c r="X747" s="6">
        <v>138</v>
      </c>
      <c r="Y747">
        <v>29.413650000000001</v>
      </c>
      <c r="Z747">
        <v>15.89927027027027</v>
      </c>
      <c r="AA747" s="6">
        <v>25.953358389727217</v>
      </c>
      <c r="AB747" s="4">
        <v>76.338300000000004</v>
      </c>
      <c r="AC747" s="6">
        <v>38.530658922192401</v>
      </c>
      <c r="AD747">
        <v>0.36101449299999994</v>
      </c>
      <c r="AE747">
        <v>2.0105255416275423</v>
      </c>
      <c r="AF747">
        <v>58775</v>
      </c>
      <c r="AG747" s="4">
        <v>0</v>
      </c>
      <c r="AH747" s="4">
        <v>21200</v>
      </c>
      <c r="AL747">
        <v>20</v>
      </c>
      <c r="AM747">
        <v>11.71899</v>
      </c>
      <c r="AN747" t="s">
        <v>81</v>
      </c>
      <c r="AO747" t="s">
        <v>96</v>
      </c>
      <c r="AP747" s="5">
        <v>45032</v>
      </c>
      <c r="AQ747" t="s">
        <v>94</v>
      </c>
      <c r="AR747" s="5">
        <v>45169</v>
      </c>
      <c r="AS747">
        <v>195.38292765433738</v>
      </c>
      <c r="AT747" s="6"/>
      <c r="AU747">
        <v>13.599128295876236</v>
      </c>
      <c r="AV747">
        <v>70.479073151410986</v>
      </c>
      <c r="AW747">
        <v>15.621530139918031</v>
      </c>
      <c r="AX747">
        <v>99.699731587205264</v>
      </c>
      <c r="AY747">
        <v>11.403379723359732</v>
      </c>
      <c r="AZ747">
        <v>28.162476265271394</v>
      </c>
      <c r="BA747">
        <v>1.8870351010500228</v>
      </c>
      <c r="BB747">
        <v>2.9651773921291644</v>
      </c>
      <c r="BC747">
        <v>9.9964924448342867</v>
      </c>
      <c r="BD747">
        <v>54.414560926644604</v>
      </c>
      <c r="BE747">
        <v>41.268635140487511</v>
      </c>
      <c r="BF747">
        <v>9.7238258427634765</v>
      </c>
      <c r="BH747">
        <v>9.7238258427634765</v>
      </c>
      <c r="BI747">
        <v>163.83811835661331</v>
      </c>
      <c r="BJ747" s="6">
        <v>210</v>
      </c>
      <c r="BK747">
        <v>31.544809297724061</v>
      </c>
      <c r="BL747" s="4">
        <v>927.84798000000137</v>
      </c>
      <c r="BM747" t="s">
        <v>883</v>
      </c>
      <c r="BN747" t="s">
        <v>65</v>
      </c>
      <c r="BO747">
        <v>9</v>
      </c>
      <c r="BP747">
        <v>2023</v>
      </c>
      <c r="BQ747" t="str">
        <f t="shared" si="56"/>
        <v>SR49</v>
      </c>
      <c r="BR747">
        <f t="shared" si="57"/>
        <v>1357.7894300000009</v>
      </c>
      <c r="BS747">
        <f t="shared" si="58"/>
        <v>5746.9250500000007</v>
      </c>
      <c r="BT747" s="6">
        <f t="shared" si="59"/>
        <v>46.161881643386693</v>
      </c>
    </row>
    <row r="748" spans="1:72">
      <c r="A748" s="3" t="s">
        <v>631</v>
      </c>
      <c r="B748" s="3" t="s">
        <v>835</v>
      </c>
      <c r="C748" s="3" t="s">
        <v>868</v>
      </c>
      <c r="D748" s="2" t="s">
        <v>876</v>
      </c>
      <c r="E748" s="4" t="str">
        <f t="shared" si="55"/>
        <v>SR4G1-053-0008</v>
      </c>
      <c r="F748">
        <v>2</v>
      </c>
      <c r="G748">
        <v>2</v>
      </c>
      <c r="H748" t="s">
        <v>72</v>
      </c>
      <c r="I748" t="s">
        <v>67</v>
      </c>
      <c r="J748" t="s">
        <v>68</v>
      </c>
      <c r="K748" t="s">
        <v>79</v>
      </c>
      <c r="L748" t="s">
        <v>79</v>
      </c>
      <c r="M748">
        <v>0.54785847299813784</v>
      </c>
      <c r="N748" s="5">
        <v>44912</v>
      </c>
      <c r="O748" s="5">
        <v>44942</v>
      </c>
      <c r="P748">
        <v>1</v>
      </c>
      <c r="Q748" s="4">
        <v>156</v>
      </c>
      <c r="R748">
        <v>0.35</v>
      </c>
      <c r="S748" t="s">
        <v>70</v>
      </c>
      <c r="T748" s="6">
        <v>2</v>
      </c>
      <c r="U748" s="5">
        <v>45059</v>
      </c>
      <c r="V748" s="6">
        <v>2</v>
      </c>
      <c r="W748" t="s">
        <v>71</v>
      </c>
      <c r="X748" s="6">
        <v>117.00000000000001</v>
      </c>
      <c r="Y748">
        <v>7.5345399999999998</v>
      </c>
      <c r="Z748">
        <v>3.7672699999999999</v>
      </c>
      <c r="AA748" s="6">
        <v>33.85090529747005</v>
      </c>
      <c r="AB748" s="4">
        <v>25.505100000000002</v>
      </c>
      <c r="AC748" s="6">
        <v>29.541307424789554</v>
      </c>
      <c r="AD748">
        <v>0.35313390299999997</v>
      </c>
      <c r="AE748">
        <v>3.7371912467604051</v>
      </c>
      <c r="AF748">
        <v>26850</v>
      </c>
      <c r="AG748" s="4">
        <v>0</v>
      </c>
      <c r="AH748" s="4">
        <v>14710</v>
      </c>
      <c r="AL748">
        <v>24</v>
      </c>
      <c r="AM748">
        <v>4.9749699999999999</v>
      </c>
      <c r="AN748" t="s">
        <v>81</v>
      </c>
      <c r="AO748" t="s">
        <v>105</v>
      </c>
      <c r="AP748" s="5">
        <v>44942</v>
      </c>
      <c r="AQ748" t="s">
        <v>97</v>
      </c>
      <c r="AR748" s="5">
        <v>45058</v>
      </c>
      <c r="AS748">
        <v>243.67501931106611</v>
      </c>
      <c r="AT748" s="6"/>
      <c r="AU748">
        <v>53.088841521844728</v>
      </c>
      <c r="AV748">
        <v>130.09542188375136</v>
      </c>
      <c r="AW748">
        <v>53.649163718023921</v>
      </c>
      <c r="AX748">
        <v>236.83342712362005</v>
      </c>
      <c r="AY748">
        <v>43.793460516501334</v>
      </c>
      <c r="AZ748">
        <v>93.152866664720079</v>
      </c>
      <c r="BA748">
        <v>6.5600806419502717</v>
      </c>
      <c r="BB748">
        <v>6.3035752680322892</v>
      </c>
      <c r="BC748">
        <v>27.486812731765973</v>
      </c>
      <c r="BD748">
        <v>177.29679582296995</v>
      </c>
      <c r="BE748">
        <v>-170.4552036355239</v>
      </c>
      <c r="BF748">
        <v>37.888660754339348</v>
      </c>
      <c r="BH748">
        <v>37.888660754339348</v>
      </c>
      <c r="BI748">
        <v>452.01888370092939</v>
      </c>
      <c r="BJ748" s="6">
        <v>191</v>
      </c>
      <c r="BK748">
        <v>-208.34386438986328</v>
      </c>
      <c r="BL748" s="4">
        <v>-1569.7751800000003</v>
      </c>
      <c r="BM748" t="s">
        <v>877</v>
      </c>
      <c r="BN748" t="s">
        <v>65</v>
      </c>
      <c r="BO748">
        <v>5</v>
      </c>
      <c r="BP748">
        <v>2023</v>
      </c>
      <c r="BQ748" t="str">
        <f t="shared" si="56"/>
        <v>SR45</v>
      </c>
      <c r="BR748">
        <f t="shared" si="57"/>
        <v>-1966.6572200000005</v>
      </c>
      <c r="BS748">
        <f t="shared" si="58"/>
        <v>1835.97918</v>
      </c>
      <c r="BT748" s="6">
        <f t="shared" si="59"/>
        <v>-261.01888370092939</v>
      </c>
    </row>
    <row r="749" spans="1:72">
      <c r="A749" s="3" t="s">
        <v>631</v>
      </c>
      <c r="B749" s="3" t="s">
        <v>835</v>
      </c>
      <c r="C749" s="3" t="s">
        <v>868</v>
      </c>
      <c r="D749" s="2" t="s">
        <v>878</v>
      </c>
      <c r="E749" s="4" t="str">
        <f t="shared" si="55"/>
        <v>SR4G1-051-0009</v>
      </c>
      <c r="F749">
        <v>2</v>
      </c>
      <c r="G749">
        <v>2</v>
      </c>
      <c r="H749" t="s">
        <v>72</v>
      </c>
      <c r="I749" t="s">
        <v>67</v>
      </c>
      <c r="J749" t="s">
        <v>68</v>
      </c>
      <c r="K749" t="s">
        <v>79</v>
      </c>
      <c r="L749" t="s">
        <v>79</v>
      </c>
      <c r="M749">
        <v>0.33269904857285931</v>
      </c>
      <c r="N749" s="5">
        <v>44918</v>
      </c>
      <c r="O749" s="5">
        <v>44947</v>
      </c>
      <c r="P749">
        <v>1</v>
      </c>
      <c r="Q749" s="4">
        <v>156</v>
      </c>
      <c r="R749">
        <v>0.16</v>
      </c>
      <c r="S749" t="s">
        <v>70</v>
      </c>
      <c r="T749" s="6">
        <v>4</v>
      </c>
      <c r="U749" s="5">
        <v>45074</v>
      </c>
      <c r="V749" s="6">
        <v>1</v>
      </c>
      <c r="W749" t="s">
        <v>86</v>
      </c>
      <c r="X749" s="6">
        <v>127</v>
      </c>
      <c r="Y749">
        <v>23.390499999999999</v>
      </c>
      <c r="Z749">
        <v>11.69525</v>
      </c>
      <c r="AA749" s="6">
        <v>28.305807913469142</v>
      </c>
      <c r="AB749" s="4">
        <v>66.208699999999993</v>
      </c>
      <c r="AC749" s="6">
        <v>35.328438709716401</v>
      </c>
      <c r="AD749">
        <v>0.34108866799999998</v>
      </c>
      <c r="AE749">
        <v>2.1491143109274446</v>
      </c>
      <c r="AF749">
        <v>49925</v>
      </c>
      <c r="AG749" s="4">
        <v>0</v>
      </c>
      <c r="AH749" s="4">
        <v>16610</v>
      </c>
      <c r="AL749">
        <v>23</v>
      </c>
      <c r="AM749">
        <v>11.60702</v>
      </c>
      <c r="AN749" t="s">
        <v>81</v>
      </c>
      <c r="AO749" t="s">
        <v>106</v>
      </c>
      <c r="AP749" s="5">
        <v>44947</v>
      </c>
      <c r="AQ749" t="s">
        <v>108</v>
      </c>
      <c r="AR749" s="5">
        <v>45073</v>
      </c>
      <c r="AS749">
        <v>255.55067057138587</v>
      </c>
      <c r="AT749" s="6"/>
      <c r="AU749">
        <v>17.10095979136829</v>
      </c>
      <c r="AV749">
        <v>77.692114319916186</v>
      </c>
      <c r="AW749">
        <v>21.838197131314008</v>
      </c>
      <c r="AX749">
        <v>116.63127124259847</v>
      </c>
      <c r="AY749">
        <v>15.018441675039011</v>
      </c>
      <c r="AZ749">
        <v>31.858810200722516</v>
      </c>
      <c r="BA749">
        <v>2.0855321604925079</v>
      </c>
      <c r="BB749">
        <v>2.5406566768559888</v>
      </c>
      <c r="BC749">
        <v>9.090697077873493</v>
      </c>
      <c r="BD749">
        <v>60.594137790983517</v>
      </c>
      <c r="BE749">
        <v>78.325261537803868</v>
      </c>
      <c r="BF749">
        <v>12.871938180030352</v>
      </c>
      <c r="BH749">
        <v>12.871938180030352</v>
      </c>
      <c r="BI749">
        <v>190.09734721361235</v>
      </c>
      <c r="BJ749" s="6">
        <v>204</v>
      </c>
      <c r="BK749">
        <v>65.453323357773499</v>
      </c>
      <c r="BL749" s="4">
        <v>1530.9859600000009</v>
      </c>
      <c r="BM749" t="s">
        <v>869</v>
      </c>
      <c r="BN749" t="s">
        <v>65</v>
      </c>
      <c r="BO749">
        <v>5</v>
      </c>
      <c r="BP749">
        <v>2023</v>
      </c>
      <c r="BQ749" t="str">
        <f t="shared" si="56"/>
        <v>SR45</v>
      </c>
      <c r="BR749">
        <f t="shared" si="57"/>
        <v>325.19000000000028</v>
      </c>
      <c r="BS749">
        <f t="shared" si="58"/>
        <v>5977.4579600000006</v>
      </c>
      <c r="BT749" s="6">
        <f t="shared" si="59"/>
        <v>13.902652786387648</v>
      </c>
    </row>
    <row r="750" spans="1:72">
      <c r="A750" s="3" t="s">
        <v>631</v>
      </c>
      <c r="B750" s="3" t="s">
        <v>835</v>
      </c>
      <c r="C750" s="3" t="s">
        <v>868</v>
      </c>
      <c r="D750" s="2" t="s">
        <v>2805</v>
      </c>
      <c r="E750" s="4" t="str">
        <f t="shared" si="55"/>
        <v>SR4G2-059-0012</v>
      </c>
      <c r="F750">
        <v>1.85</v>
      </c>
      <c r="G750">
        <v>2</v>
      </c>
      <c r="H750" t="s">
        <v>72</v>
      </c>
      <c r="I750" t="s">
        <v>67</v>
      </c>
      <c r="J750" t="s">
        <v>68</v>
      </c>
      <c r="K750" t="s">
        <v>79</v>
      </c>
      <c r="L750" t="s">
        <v>79</v>
      </c>
      <c r="M750">
        <v>0</v>
      </c>
      <c r="N750" s="5">
        <v>45168</v>
      </c>
      <c r="O750" s="5">
        <v>45195</v>
      </c>
      <c r="P750">
        <v>1</v>
      </c>
      <c r="Q750" s="4">
        <v>169</v>
      </c>
      <c r="R750">
        <v>0.14000000000000001</v>
      </c>
      <c r="S750" t="s">
        <v>70</v>
      </c>
      <c r="T750" s="6">
        <v>2</v>
      </c>
      <c r="U750" s="5">
        <v>45280</v>
      </c>
      <c r="V750" s="6">
        <v>2</v>
      </c>
      <c r="W750" t="s">
        <v>71</v>
      </c>
      <c r="X750" s="6">
        <v>85</v>
      </c>
      <c r="Y750">
        <v>10.566000000000001</v>
      </c>
      <c r="Z750">
        <v>5.7113513513513512</v>
      </c>
      <c r="AA750" s="6">
        <v>39.599469998107139</v>
      </c>
      <c r="AB750" s="4">
        <v>41.840800000000002</v>
      </c>
      <c r="AC750" s="6">
        <v>25.25286323397258</v>
      </c>
      <c r="AD750">
        <v>0.32515032700000002</v>
      </c>
      <c r="AE750">
        <v>2.3642816036831</v>
      </c>
      <c r="AF750">
        <v>24650</v>
      </c>
      <c r="AG750" s="4">
        <v>0</v>
      </c>
      <c r="AH750" s="4">
        <v>0</v>
      </c>
      <c r="AI750" t="s">
        <v>73</v>
      </c>
      <c r="AL750">
        <v>36</v>
      </c>
      <c r="AM750">
        <v>8.1890000000000001</v>
      </c>
      <c r="AN750" t="s">
        <v>73</v>
      </c>
      <c r="AO750" t="s">
        <v>438</v>
      </c>
      <c r="AP750" s="5">
        <v>45195</v>
      </c>
      <c r="AQ750" t="s">
        <v>215</v>
      </c>
      <c r="AR750" s="5">
        <v>45279</v>
      </c>
      <c r="AS750">
        <v>187.1448107136097</v>
      </c>
      <c r="AT750" s="6"/>
      <c r="AU750">
        <v>28.392958546280521</v>
      </c>
      <c r="AV750">
        <v>70.388469619534348</v>
      </c>
      <c r="AW750">
        <v>47.808560477001691</v>
      </c>
      <c r="AX750">
        <v>146.58998864281656</v>
      </c>
      <c r="AY750">
        <v>19.12638841567291</v>
      </c>
      <c r="AZ750">
        <v>38.316971417755063</v>
      </c>
      <c r="BA750">
        <v>10.720604770017035</v>
      </c>
      <c r="BB750">
        <v>5.7726310808252892</v>
      </c>
      <c r="BC750">
        <v>15.299022335794056</v>
      </c>
      <c r="BD750">
        <v>89.235618020064365</v>
      </c>
      <c r="BE750">
        <v>-48.680795949271229</v>
      </c>
      <c r="BF750">
        <v>17.873878478137421</v>
      </c>
      <c r="BG750">
        <v>-0.88209634677266713</v>
      </c>
      <c r="BH750">
        <v>16.991782131364754</v>
      </c>
      <c r="BI750">
        <v>252.81738879424569</v>
      </c>
      <c r="BJ750" s="6">
        <v>183</v>
      </c>
      <c r="BK750">
        <v>-65.672578080635972</v>
      </c>
      <c r="BL750" s="4">
        <v>-693.89645999999971</v>
      </c>
      <c r="BM750" t="s">
        <v>2806</v>
      </c>
      <c r="BN750" t="s">
        <v>65</v>
      </c>
      <c r="BO750">
        <v>12</v>
      </c>
      <c r="BP750">
        <v>2023</v>
      </c>
      <c r="BQ750" t="str">
        <f t="shared" si="56"/>
        <v>SR412</v>
      </c>
      <c r="BR750">
        <f t="shared" si="57"/>
        <v>-737.69052999999997</v>
      </c>
      <c r="BS750">
        <f t="shared" si="58"/>
        <v>1977.3720700000001</v>
      </c>
      <c r="BT750" s="6">
        <f t="shared" si="59"/>
        <v>-69.817388794245687</v>
      </c>
    </row>
    <row r="751" spans="1:72">
      <c r="A751" s="3" t="s">
        <v>631</v>
      </c>
      <c r="B751" s="3" t="s">
        <v>835</v>
      </c>
      <c r="C751" s="3" t="s">
        <v>868</v>
      </c>
      <c r="D751" s="2" t="s">
        <v>874</v>
      </c>
      <c r="E751" s="4" t="str">
        <f t="shared" si="55"/>
        <v>SR4G2-059-0010</v>
      </c>
      <c r="F751">
        <v>1.85</v>
      </c>
      <c r="G751">
        <v>2</v>
      </c>
      <c r="H751" t="s">
        <v>72</v>
      </c>
      <c r="I751" t="s">
        <v>67</v>
      </c>
      <c r="J751" t="s">
        <v>68</v>
      </c>
      <c r="K751" t="s">
        <v>79</v>
      </c>
      <c r="L751" t="s">
        <v>79</v>
      </c>
      <c r="M751">
        <v>0.62606072034697346</v>
      </c>
      <c r="N751" s="5">
        <v>44876</v>
      </c>
      <c r="O751" s="5">
        <v>44905</v>
      </c>
      <c r="P751">
        <v>1.1000000000000001</v>
      </c>
      <c r="Q751" s="4">
        <v>186</v>
      </c>
      <c r="R751">
        <v>4.0000000000000001E-3</v>
      </c>
      <c r="S751" t="s">
        <v>70</v>
      </c>
      <c r="T751" s="6">
        <v>3</v>
      </c>
      <c r="U751" s="5">
        <v>45020</v>
      </c>
      <c r="V751" s="6">
        <v>2</v>
      </c>
      <c r="W751" t="s">
        <v>71</v>
      </c>
      <c r="X751" s="6">
        <v>115</v>
      </c>
      <c r="Y751">
        <v>9.2876700000000003</v>
      </c>
      <c r="Z751">
        <v>5.0203621621621624</v>
      </c>
      <c r="AA751" s="6">
        <v>39.889229483821019</v>
      </c>
      <c r="AB751" s="4">
        <v>33.679818181818185</v>
      </c>
      <c r="AC751" s="6">
        <v>25.069423825436331</v>
      </c>
      <c r="AD751">
        <v>0.29981529200000001</v>
      </c>
      <c r="AE751">
        <v>2.8562133817070925</v>
      </c>
      <c r="AF751">
        <v>26515</v>
      </c>
      <c r="AG751" s="4">
        <v>0</v>
      </c>
      <c r="AH751" s="4">
        <v>16600</v>
      </c>
      <c r="AL751">
        <v>29</v>
      </c>
      <c r="AM751">
        <v>3.3236599999999998</v>
      </c>
      <c r="AN751" t="s">
        <v>85</v>
      </c>
      <c r="AO751" t="s">
        <v>106</v>
      </c>
      <c r="AP751" s="5">
        <v>44905</v>
      </c>
      <c r="AQ751" t="s">
        <v>215</v>
      </c>
      <c r="AR751" s="5">
        <v>45019</v>
      </c>
      <c r="AS751">
        <v>232.53771613332512</v>
      </c>
      <c r="AT751" s="6"/>
      <c r="AU751">
        <v>23.68731877855264</v>
      </c>
      <c r="AV751">
        <v>99.938835036128509</v>
      </c>
      <c r="AW751">
        <v>61.289136026581481</v>
      </c>
      <c r="AX751">
        <v>184.91528984126262</v>
      </c>
      <c r="AY751">
        <v>43.289567781801033</v>
      </c>
      <c r="AZ751">
        <v>75.001381401363318</v>
      </c>
      <c r="BA751">
        <v>8.2567500783296559</v>
      </c>
      <c r="BB751">
        <v>8.0903832715848019</v>
      </c>
      <c r="BC751">
        <v>26.08415781353127</v>
      </c>
      <c r="BD751">
        <v>160.72224034661008</v>
      </c>
      <c r="BE751">
        <v>-113.09981405454758</v>
      </c>
      <c r="BF751">
        <v>36.260440993273875</v>
      </c>
      <c r="BH751">
        <v>36.260440993273875</v>
      </c>
      <c r="BI751">
        <v>381.89797118114666</v>
      </c>
      <c r="BJ751" s="6">
        <v>183</v>
      </c>
      <c r="BK751">
        <v>-149.36025504782154</v>
      </c>
      <c r="BL751" s="4">
        <v>-1387.2087600000007</v>
      </c>
      <c r="BM751" t="s">
        <v>875</v>
      </c>
      <c r="BN751" t="s">
        <v>65</v>
      </c>
      <c r="BO751">
        <v>4</v>
      </c>
      <c r="BP751">
        <v>2023</v>
      </c>
      <c r="BQ751" t="str">
        <f t="shared" si="56"/>
        <v>SR44</v>
      </c>
      <c r="BR751">
        <f t="shared" si="57"/>
        <v>-1847.2987200000005</v>
      </c>
      <c r="BS751">
        <f t="shared" si="58"/>
        <v>2159.7335699999999</v>
      </c>
      <c r="BT751" s="6">
        <f t="shared" si="59"/>
        <v>-198.89797118114666</v>
      </c>
    </row>
    <row r="752" spans="1:72">
      <c r="A752" s="3" t="s">
        <v>631</v>
      </c>
      <c r="B752" s="3" t="s">
        <v>835</v>
      </c>
      <c r="C752" s="3" t="s">
        <v>868</v>
      </c>
      <c r="D752" s="2" t="s">
        <v>872</v>
      </c>
      <c r="E752" s="4" t="str">
        <f t="shared" si="55"/>
        <v>SR4G2-058-0006</v>
      </c>
      <c r="F752">
        <v>2</v>
      </c>
      <c r="G752">
        <v>2</v>
      </c>
      <c r="H752" t="s">
        <v>72</v>
      </c>
      <c r="I752" t="s">
        <v>67</v>
      </c>
      <c r="J752" t="s">
        <v>68</v>
      </c>
      <c r="K752" t="s">
        <v>79</v>
      </c>
      <c r="L752" t="s">
        <v>79</v>
      </c>
      <c r="M752">
        <v>0.80208877284595304</v>
      </c>
      <c r="N752" s="5">
        <v>44896</v>
      </c>
      <c r="O752" s="5">
        <v>44923</v>
      </c>
      <c r="P752">
        <v>0.9</v>
      </c>
      <c r="Q752" s="4">
        <v>141</v>
      </c>
      <c r="R752">
        <v>0.26</v>
      </c>
      <c r="S752" t="s">
        <v>70</v>
      </c>
      <c r="T752" s="6">
        <v>1</v>
      </c>
      <c r="U752" s="5">
        <v>44969</v>
      </c>
      <c r="V752" s="6">
        <v>2</v>
      </c>
      <c r="W752" t="s">
        <v>71</v>
      </c>
      <c r="X752" s="6">
        <v>46</v>
      </c>
      <c r="Y752">
        <v>6.4811899999999998</v>
      </c>
      <c r="Z752">
        <v>3.2405949999999999</v>
      </c>
      <c r="AA752" s="6">
        <v>123.9999135961143</v>
      </c>
      <c r="AB752" s="4">
        <v>89.296333333333337</v>
      </c>
      <c r="AC752" s="6">
        <v>8.0645217484356078</v>
      </c>
      <c r="AD752">
        <v>0.169663394</v>
      </c>
      <c r="AE752">
        <v>1.5327087245142155</v>
      </c>
      <c r="AF752">
        <v>9575</v>
      </c>
      <c r="AG752" s="4">
        <v>0</v>
      </c>
      <c r="AH752" s="4">
        <v>7680</v>
      </c>
      <c r="AI752" t="s">
        <v>73</v>
      </c>
      <c r="AL752">
        <v>124</v>
      </c>
      <c r="AM752">
        <v>6.4811899999999998</v>
      </c>
      <c r="AN752" t="s">
        <v>73</v>
      </c>
      <c r="AO752" t="s">
        <v>99</v>
      </c>
      <c r="AP752" s="5">
        <v>44923</v>
      </c>
      <c r="AQ752" t="s">
        <v>106</v>
      </c>
      <c r="AR752" s="5">
        <v>44968</v>
      </c>
      <c r="AS752">
        <v>125.89190873898158</v>
      </c>
      <c r="AT752" s="6"/>
      <c r="AU752">
        <v>55.545355096826356</v>
      </c>
      <c r="AV752">
        <v>51.25641433131878</v>
      </c>
      <c r="AW752">
        <v>28.709119775843632</v>
      </c>
      <c r="AX752">
        <v>135.51088920398877</v>
      </c>
      <c r="AY752">
        <v>31.54286481340618</v>
      </c>
      <c r="AZ752">
        <v>54.468938574551899</v>
      </c>
      <c r="BA752">
        <v>6.9866089406420739</v>
      </c>
      <c r="BB752">
        <v>5.1301180801673762</v>
      </c>
      <c r="BC752">
        <v>17.019502591345109</v>
      </c>
      <c r="BD752">
        <v>115.14803300011263</v>
      </c>
      <c r="BE752">
        <v>-124.76701346511982</v>
      </c>
      <c r="BF752">
        <v>25.685557744796871</v>
      </c>
      <c r="BH752">
        <v>25.685557744796871</v>
      </c>
      <c r="BI752">
        <v>276.34447994889831</v>
      </c>
      <c r="BJ752" s="6">
        <v>150</v>
      </c>
      <c r="BK752">
        <v>-150.45257120991673</v>
      </c>
      <c r="BL752" s="4">
        <v>-975.11170000000004</v>
      </c>
      <c r="BM752" t="s">
        <v>873</v>
      </c>
      <c r="BN752" t="s">
        <v>65</v>
      </c>
      <c r="BO752">
        <v>2</v>
      </c>
      <c r="BP752">
        <v>2023</v>
      </c>
      <c r="BQ752" t="str">
        <f t="shared" si="56"/>
        <v>SR42</v>
      </c>
      <c r="BR752">
        <f t="shared" si="57"/>
        <v>-818.86258000000021</v>
      </c>
      <c r="BS752">
        <f t="shared" si="58"/>
        <v>815.92938000000004</v>
      </c>
      <c r="BT752" s="6">
        <f t="shared" si="59"/>
        <v>-126.34447994889831</v>
      </c>
    </row>
    <row r="753" spans="1:72">
      <c r="A753" s="3" t="s">
        <v>631</v>
      </c>
      <c r="B753" s="3" t="s">
        <v>835</v>
      </c>
      <c r="C753" s="3" t="s">
        <v>868</v>
      </c>
      <c r="D753" s="2" t="s">
        <v>870</v>
      </c>
      <c r="E753" s="4" t="str">
        <f t="shared" si="55"/>
        <v>SR4G2-057-0008</v>
      </c>
      <c r="F753">
        <v>2</v>
      </c>
      <c r="G753">
        <v>2</v>
      </c>
      <c r="H753" t="s">
        <v>72</v>
      </c>
      <c r="I753" t="s">
        <v>67</v>
      </c>
      <c r="J753" t="s">
        <v>68</v>
      </c>
      <c r="K753" t="s">
        <v>79</v>
      </c>
      <c r="L753" t="s">
        <v>79</v>
      </c>
      <c r="M753">
        <v>0.72057318321392017</v>
      </c>
      <c r="N753" s="5">
        <v>44862</v>
      </c>
      <c r="O753" s="5">
        <v>44891</v>
      </c>
      <c r="P753">
        <v>1.1000000000000001</v>
      </c>
      <c r="Q753" s="4">
        <v>172</v>
      </c>
      <c r="R753">
        <v>4.0000000000000001E-3</v>
      </c>
      <c r="S753" t="s">
        <v>70</v>
      </c>
      <c r="T753" s="6">
        <v>1</v>
      </c>
      <c r="U753" s="5">
        <v>44940</v>
      </c>
      <c r="V753" s="6">
        <v>2</v>
      </c>
      <c r="W753" t="s">
        <v>71</v>
      </c>
      <c r="X753" s="6">
        <v>49</v>
      </c>
      <c r="Y753">
        <v>3.6078399999999999</v>
      </c>
      <c r="Z753">
        <v>1.80392</v>
      </c>
      <c r="AA753" s="6">
        <v>183.00007760876312</v>
      </c>
      <c r="AB753" s="4">
        <v>60.021363636363631</v>
      </c>
      <c r="AC753" s="6">
        <v>5.4644785568774763</v>
      </c>
      <c r="AD753">
        <v>0.111438385</v>
      </c>
      <c r="AE753">
        <v>1.3556490464667095</v>
      </c>
      <c r="AF753">
        <v>4885</v>
      </c>
      <c r="AG753" s="4">
        <v>0</v>
      </c>
      <c r="AH753" s="4">
        <v>3520</v>
      </c>
      <c r="AI753" t="s">
        <v>73</v>
      </c>
      <c r="AL753">
        <v>182.99999999999997</v>
      </c>
      <c r="AM753">
        <v>3.6078399999999999</v>
      </c>
      <c r="AN753" t="s">
        <v>73</v>
      </c>
      <c r="AO753" t="s">
        <v>106</v>
      </c>
      <c r="AP753" s="5">
        <v>44891</v>
      </c>
      <c r="AQ753" t="s">
        <v>106</v>
      </c>
      <c r="AR753" s="5">
        <v>44939</v>
      </c>
      <c r="AS753">
        <v>98.612820967670416</v>
      </c>
      <c r="AT753" s="6"/>
      <c r="AU753">
        <v>60.978313894186002</v>
      </c>
      <c r="AV753">
        <v>43.55056488092599</v>
      </c>
      <c r="AW753">
        <v>59.405059537008285</v>
      </c>
      <c r="AX753">
        <v>163.93393831212029</v>
      </c>
      <c r="AY753">
        <v>52.322830280721988</v>
      </c>
      <c r="AZ753">
        <v>83.496094616169245</v>
      </c>
      <c r="BA753">
        <v>10.347601334870728</v>
      </c>
      <c r="BB753">
        <v>15.744550756131092</v>
      </c>
      <c r="BC753">
        <v>39.082356756397182</v>
      </c>
      <c r="BD753">
        <v>200.9934337442902</v>
      </c>
      <c r="BE753">
        <v>-266.31455108874007</v>
      </c>
      <c r="BF753">
        <v>42.747486030422635</v>
      </c>
      <c r="BH753">
        <v>42.747486030422635</v>
      </c>
      <c r="BI753">
        <v>407.67485808683307</v>
      </c>
      <c r="BJ753" s="6">
        <v>150</v>
      </c>
      <c r="BK753">
        <v>-309.06203711916265</v>
      </c>
      <c r="BL753" s="4">
        <v>-1115.04638</v>
      </c>
      <c r="BM753" t="s">
        <v>871</v>
      </c>
      <c r="BN753" t="s">
        <v>65</v>
      </c>
      <c r="BO753">
        <v>1</v>
      </c>
      <c r="BP753">
        <v>2023</v>
      </c>
      <c r="BQ753" t="str">
        <f t="shared" si="56"/>
        <v>SR41</v>
      </c>
      <c r="BR753">
        <f t="shared" si="57"/>
        <v>-929.64965999999981</v>
      </c>
      <c r="BS753">
        <f t="shared" si="58"/>
        <v>355.77928000000003</v>
      </c>
      <c r="BT753" s="6">
        <f t="shared" si="59"/>
        <v>-257.67485808683307</v>
      </c>
    </row>
    <row r="754" spans="1:72">
      <c r="A754" s="3" t="s">
        <v>631</v>
      </c>
      <c r="B754" s="3" t="s">
        <v>835</v>
      </c>
      <c r="C754" s="3" t="s">
        <v>868</v>
      </c>
      <c r="D754" s="2" t="s">
        <v>892</v>
      </c>
      <c r="E754" s="4" t="str">
        <f t="shared" si="55"/>
        <v>SR4G2-057-0009</v>
      </c>
      <c r="F754">
        <v>2</v>
      </c>
      <c r="G754">
        <v>2</v>
      </c>
      <c r="H754" t="s">
        <v>72</v>
      </c>
      <c r="I754" t="s">
        <v>67</v>
      </c>
      <c r="J754" t="s">
        <v>68</v>
      </c>
      <c r="K754" t="s">
        <v>79</v>
      </c>
      <c r="L754" t="s">
        <v>79</v>
      </c>
      <c r="N754" s="5">
        <v>44972</v>
      </c>
      <c r="O754" s="5">
        <v>45001</v>
      </c>
      <c r="P754">
        <v>0.3</v>
      </c>
      <c r="Q754" s="4">
        <v>47</v>
      </c>
      <c r="R754">
        <v>0.63</v>
      </c>
      <c r="S754" t="s">
        <v>70</v>
      </c>
      <c r="T754" s="6"/>
      <c r="U754" s="5">
        <v>45002</v>
      </c>
      <c r="V754" s="6">
        <v>3</v>
      </c>
      <c r="W754" t="s">
        <v>2831</v>
      </c>
      <c r="X754" s="6"/>
      <c r="AA754" s="6"/>
      <c r="AB754" s="4"/>
      <c r="AC754" s="6"/>
      <c r="AG754" s="4">
        <v>0</v>
      </c>
      <c r="AH754" s="4">
        <v>0</v>
      </c>
      <c r="AN754" t="s">
        <v>73</v>
      </c>
      <c r="AO754" t="s">
        <v>94</v>
      </c>
      <c r="AP754" s="5">
        <v>45001</v>
      </c>
      <c r="AQ754" t="s">
        <v>94</v>
      </c>
      <c r="AR754" s="5">
        <v>45001</v>
      </c>
      <c r="AT754" s="6"/>
      <c r="BJ754" s="6"/>
      <c r="BL754" s="4">
        <v>-495.42318999999998</v>
      </c>
      <c r="BM754" t="s">
        <v>2877</v>
      </c>
      <c r="BN754" t="s">
        <v>65</v>
      </c>
      <c r="BO754">
        <v>3</v>
      </c>
      <c r="BP754">
        <v>2023</v>
      </c>
      <c r="BQ754" t="str">
        <f t="shared" si="56"/>
        <v>SR43</v>
      </c>
      <c r="BR754">
        <f t="shared" si="57"/>
        <v>0</v>
      </c>
      <c r="BS754">
        <f t="shared" si="58"/>
        <v>0</v>
      </c>
      <c r="BT754" s="6">
        <f t="shared" si="59"/>
        <v>0</v>
      </c>
    </row>
    <row r="755" spans="1:72">
      <c r="A755" s="3" t="s">
        <v>631</v>
      </c>
      <c r="B755" s="3" t="s">
        <v>835</v>
      </c>
      <c r="C755" s="3" t="s">
        <v>837</v>
      </c>
      <c r="D755" s="2" t="s">
        <v>839</v>
      </c>
      <c r="E755" s="4" t="str">
        <f t="shared" si="55"/>
        <v>SR4F1-022-0003</v>
      </c>
      <c r="F755">
        <v>5.5</v>
      </c>
      <c r="G755">
        <v>2.5</v>
      </c>
      <c r="H755" t="s">
        <v>72</v>
      </c>
      <c r="I755" t="s">
        <v>75</v>
      </c>
      <c r="J755" t="s">
        <v>68</v>
      </c>
      <c r="K755" t="s">
        <v>79</v>
      </c>
      <c r="L755" t="s">
        <v>79</v>
      </c>
      <c r="M755">
        <v>2.1396825396825396</v>
      </c>
      <c r="N755" s="5">
        <v>44958</v>
      </c>
      <c r="O755" s="5">
        <v>45022</v>
      </c>
      <c r="P755">
        <v>4</v>
      </c>
      <c r="Q755" s="4">
        <v>182</v>
      </c>
      <c r="R755">
        <v>0.4</v>
      </c>
      <c r="S755" t="s">
        <v>70</v>
      </c>
      <c r="T755" s="6">
        <v>6</v>
      </c>
      <c r="U755" s="5">
        <v>45122</v>
      </c>
      <c r="V755" s="6">
        <v>1</v>
      </c>
      <c r="W755" t="s">
        <v>86</v>
      </c>
      <c r="X755" s="6">
        <v>100</v>
      </c>
      <c r="Y755">
        <v>58.747</v>
      </c>
      <c r="Z755">
        <v>10.681272727272727</v>
      </c>
      <c r="AA755" s="6">
        <v>38.074046334280901</v>
      </c>
      <c r="AB755" s="4">
        <v>55.918399999999998</v>
      </c>
      <c r="AC755" s="6">
        <v>26.264610575409883</v>
      </c>
      <c r="AD755">
        <v>0.318580645</v>
      </c>
      <c r="AE755">
        <v>1.984356134180272</v>
      </c>
      <c r="AF755">
        <v>113400</v>
      </c>
      <c r="AG755" s="4">
        <v>0</v>
      </c>
      <c r="AH755" s="4">
        <v>242640</v>
      </c>
      <c r="AL755">
        <v>31</v>
      </c>
      <c r="AM755">
        <v>9.4180499999999991</v>
      </c>
      <c r="AN755" t="s">
        <v>81</v>
      </c>
      <c r="AO755" t="s">
        <v>92</v>
      </c>
      <c r="AP755" s="5">
        <v>45022</v>
      </c>
      <c r="AQ755" t="s">
        <v>96</v>
      </c>
      <c r="AR755" s="5">
        <v>45121</v>
      </c>
      <c r="AS755">
        <v>170.46230684120039</v>
      </c>
      <c r="AT755" s="6"/>
      <c r="AU755">
        <v>27.235433298721627</v>
      </c>
      <c r="AV755">
        <v>67.628059815820365</v>
      </c>
      <c r="AW755">
        <v>28.232654944082249</v>
      </c>
      <c r="AX755">
        <v>123.09614805862424</v>
      </c>
      <c r="AY755">
        <v>24.553598822067514</v>
      </c>
      <c r="AZ755">
        <v>24.013524605511773</v>
      </c>
      <c r="BA755">
        <v>12.883744361414202</v>
      </c>
      <c r="BB755">
        <v>8.0253788278550395</v>
      </c>
      <c r="BC755">
        <v>13.533672357737412</v>
      </c>
      <c r="BD755">
        <v>83.009918974585929</v>
      </c>
      <c r="BE755">
        <v>-35.643760192009779</v>
      </c>
      <c r="BF755">
        <v>2.1108119563552177</v>
      </c>
      <c r="BH755">
        <v>2.1108119563552177</v>
      </c>
      <c r="BI755">
        <v>208.2168789895654</v>
      </c>
      <c r="BJ755" s="6">
        <v>184</v>
      </c>
      <c r="BK755">
        <v>-37.754572148365014</v>
      </c>
      <c r="BL755" s="4">
        <v>-2217.9678499999995</v>
      </c>
      <c r="BM755" t="s">
        <v>838</v>
      </c>
      <c r="BN755" t="s">
        <v>65</v>
      </c>
      <c r="BO755">
        <v>7</v>
      </c>
      <c r="BP755">
        <v>2023</v>
      </c>
      <c r="BQ755" t="str">
        <f t="shared" si="56"/>
        <v>SR47</v>
      </c>
      <c r="BR755">
        <f t="shared" si="57"/>
        <v>-1422.6689899999985</v>
      </c>
      <c r="BS755">
        <f t="shared" si="58"/>
        <v>10014.14914</v>
      </c>
      <c r="BT755" s="6">
        <f t="shared" si="59"/>
        <v>-24.216878989565402</v>
      </c>
    </row>
    <row r="756" spans="1:72">
      <c r="A756" s="3" t="s">
        <v>631</v>
      </c>
      <c r="B756" s="3" t="s">
        <v>835</v>
      </c>
      <c r="C756" s="3" t="s">
        <v>840</v>
      </c>
      <c r="D756" s="2" t="s">
        <v>861</v>
      </c>
      <c r="E756" s="4" t="str">
        <f t="shared" si="55"/>
        <v>SR4B1-066-0008</v>
      </c>
      <c r="F756">
        <v>1.85</v>
      </c>
      <c r="G756">
        <v>1.6</v>
      </c>
      <c r="H756" t="s">
        <v>72</v>
      </c>
      <c r="I756" t="s">
        <v>75</v>
      </c>
      <c r="J756" t="s">
        <v>68</v>
      </c>
      <c r="K756" t="s">
        <v>79</v>
      </c>
      <c r="L756" t="s">
        <v>79</v>
      </c>
      <c r="M756">
        <v>3.3026957637997434</v>
      </c>
      <c r="N756" s="5">
        <v>44972</v>
      </c>
      <c r="O756" s="5">
        <v>44996</v>
      </c>
      <c r="P756">
        <v>0.6</v>
      </c>
      <c r="Q756" s="4">
        <v>127</v>
      </c>
      <c r="R756">
        <v>0.45</v>
      </c>
      <c r="S756" t="s">
        <v>70</v>
      </c>
      <c r="T756" s="6">
        <v>2</v>
      </c>
      <c r="U756" s="5">
        <v>45115</v>
      </c>
      <c r="V756" s="6">
        <v>1</v>
      </c>
      <c r="W756" t="s">
        <v>86</v>
      </c>
      <c r="X756" s="6">
        <v>119</v>
      </c>
      <c r="Y756">
        <v>9.3589500000000001</v>
      </c>
      <c r="Z756">
        <v>5.0588918918918919</v>
      </c>
      <c r="AA756" s="6">
        <v>23.232734441363611</v>
      </c>
      <c r="AB756" s="4">
        <v>36.238999999999997</v>
      </c>
      <c r="AC756" s="6">
        <v>43.042716410496986</v>
      </c>
      <c r="AD756">
        <v>0.41638655499999999</v>
      </c>
      <c r="AE756">
        <v>2.1427117543830696</v>
      </c>
      <c r="AF756">
        <v>19475</v>
      </c>
      <c r="AG756" s="4">
        <v>0</v>
      </c>
      <c r="AH756" s="4">
        <v>64320</v>
      </c>
      <c r="AL756">
        <v>20</v>
      </c>
      <c r="AM756">
        <v>5.5673599999999999</v>
      </c>
      <c r="AN756" t="s">
        <v>81</v>
      </c>
      <c r="AO756" t="s">
        <v>92</v>
      </c>
      <c r="AP756" s="5">
        <v>44996</v>
      </c>
      <c r="AQ756" t="s">
        <v>94</v>
      </c>
      <c r="AR756" s="5">
        <v>45114</v>
      </c>
      <c r="AS756">
        <v>259.45184555959804</v>
      </c>
      <c r="AT756" s="6"/>
      <c r="AU756">
        <v>28.849390155946978</v>
      </c>
      <c r="AV756">
        <v>73.516268384808114</v>
      </c>
      <c r="AW756">
        <v>59.622835895052312</v>
      </c>
      <c r="AX756">
        <v>161.98849443580738</v>
      </c>
      <c r="AY756">
        <v>40.635698449078149</v>
      </c>
      <c r="AZ756">
        <v>53.346720518861623</v>
      </c>
      <c r="BA756">
        <v>18.522808648406066</v>
      </c>
      <c r="BB756">
        <v>8.0840500269795221</v>
      </c>
      <c r="BC756">
        <v>23.681607445279649</v>
      </c>
      <c r="BD756">
        <v>144.27088508860501</v>
      </c>
      <c r="BE756">
        <v>-46.807533964814354</v>
      </c>
      <c r="BF756">
        <v>12.616183439381553</v>
      </c>
      <c r="BH756">
        <v>12.616183439381553</v>
      </c>
      <c r="BI756">
        <v>318.87556296379404</v>
      </c>
      <c r="BJ756" s="6">
        <v>223</v>
      </c>
      <c r="BK756">
        <v>-59.42371740419599</v>
      </c>
      <c r="BL756" s="4">
        <v>-556.14360000000011</v>
      </c>
      <c r="BM756" t="s">
        <v>862</v>
      </c>
      <c r="BN756" t="s">
        <v>65</v>
      </c>
      <c r="BO756">
        <v>7</v>
      </c>
      <c r="BP756">
        <v>2023</v>
      </c>
      <c r="BQ756" t="str">
        <f t="shared" si="56"/>
        <v>SR47</v>
      </c>
      <c r="BR756">
        <f t="shared" si="57"/>
        <v>-897.29460000000017</v>
      </c>
      <c r="BS756">
        <f t="shared" si="58"/>
        <v>2428.1968500000003</v>
      </c>
      <c r="BT756" s="6">
        <f t="shared" si="59"/>
        <v>-95.875562963794039</v>
      </c>
    </row>
    <row r="757" spans="1:72">
      <c r="A757" s="3" t="s">
        <v>631</v>
      </c>
      <c r="B757" s="3" t="s">
        <v>835</v>
      </c>
      <c r="C757" s="3" t="s">
        <v>840</v>
      </c>
      <c r="D757" s="2" t="s">
        <v>855</v>
      </c>
      <c r="E757" s="4" t="str">
        <f t="shared" si="55"/>
        <v>SR4B1-063-0009</v>
      </c>
      <c r="F757">
        <v>1.85</v>
      </c>
      <c r="G757">
        <v>1.6</v>
      </c>
      <c r="H757" t="s">
        <v>72</v>
      </c>
      <c r="I757" t="s">
        <v>75</v>
      </c>
      <c r="J757" t="s">
        <v>68</v>
      </c>
      <c r="K757" t="s">
        <v>79</v>
      </c>
      <c r="L757" t="s">
        <v>79</v>
      </c>
      <c r="M757">
        <v>2.4777849323889245</v>
      </c>
      <c r="N757" s="5">
        <v>45038</v>
      </c>
      <c r="O757" s="5">
        <v>45074</v>
      </c>
      <c r="P757">
        <v>1</v>
      </c>
      <c r="Q757" s="4">
        <v>211</v>
      </c>
      <c r="R757">
        <v>0.318</v>
      </c>
      <c r="S757" t="s">
        <v>70</v>
      </c>
      <c r="T757" s="6">
        <v>4</v>
      </c>
      <c r="U757" s="5">
        <v>45214</v>
      </c>
      <c r="V757" s="6">
        <v>1</v>
      </c>
      <c r="W757" t="s">
        <v>86</v>
      </c>
      <c r="X757" s="6">
        <v>140</v>
      </c>
      <c r="Y757">
        <v>18.209259999999997</v>
      </c>
      <c r="Z757">
        <v>9.8428432432432409</v>
      </c>
      <c r="AA757" s="6">
        <v>26.915975717849054</v>
      </c>
      <c r="AB757" s="4">
        <v>49.012</v>
      </c>
      <c r="AC757" s="6">
        <v>37.152656492287598</v>
      </c>
      <c r="AD757">
        <v>0.37366842099999992</v>
      </c>
      <c r="AE757">
        <v>2.1699933377152387</v>
      </c>
      <c r="AF757">
        <v>38825</v>
      </c>
      <c r="AG757" s="4">
        <v>0</v>
      </c>
      <c r="AH757" s="4">
        <v>96200</v>
      </c>
      <c r="AL757">
        <v>19</v>
      </c>
      <c r="AM757">
        <v>7.0660699999999999</v>
      </c>
      <c r="AN757" t="s">
        <v>81</v>
      </c>
      <c r="AO757" t="s">
        <v>97</v>
      </c>
      <c r="AP757" s="5">
        <v>45074</v>
      </c>
      <c r="AQ757" t="s">
        <v>92</v>
      </c>
      <c r="AR757" s="5">
        <v>45213</v>
      </c>
      <c r="AS757">
        <v>198.83745962219226</v>
      </c>
      <c r="AT757" s="6"/>
      <c r="AU757">
        <v>21.966845440177142</v>
      </c>
      <c r="AV757">
        <v>74.66852085147886</v>
      </c>
      <c r="AW757">
        <v>47.310672701691324</v>
      </c>
      <c r="AX757">
        <v>143.94603899334734</v>
      </c>
      <c r="AY757">
        <v>22.255857184751061</v>
      </c>
      <c r="AZ757">
        <v>33.628733951846478</v>
      </c>
      <c r="BA757">
        <v>8.5128154576297987</v>
      </c>
      <c r="BB757">
        <v>6.94700114117762</v>
      </c>
      <c r="BC757">
        <v>20.221921703572804</v>
      </c>
      <c r="BD757">
        <v>91.56632943897776</v>
      </c>
      <c r="BE757">
        <v>-36.674908810132848</v>
      </c>
      <c r="BF757">
        <v>7.1003440007995939</v>
      </c>
      <c r="BG757">
        <v>-0.72307551212954291</v>
      </c>
      <c r="BH757">
        <v>6.377268488670051</v>
      </c>
      <c r="BI757">
        <v>241.88963692099523</v>
      </c>
      <c r="BJ757" s="6">
        <v>207</v>
      </c>
      <c r="BK757">
        <v>-43.052177298802945</v>
      </c>
      <c r="BL757" s="4">
        <v>-783.9482900000005</v>
      </c>
      <c r="BM757" t="s">
        <v>856</v>
      </c>
      <c r="BN757" t="s">
        <v>65</v>
      </c>
      <c r="BO757">
        <v>10</v>
      </c>
      <c r="BP757">
        <v>2023</v>
      </c>
      <c r="BQ757" t="str">
        <f t="shared" si="56"/>
        <v>SR410</v>
      </c>
      <c r="BR757">
        <f t="shared" si="57"/>
        <v>-635.31447000000151</v>
      </c>
      <c r="BS757">
        <f t="shared" si="58"/>
        <v>3620.683</v>
      </c>
      <c r="BT757" s="6">
        <f t="shared" si="59"/>
        <v>-34.88963692099523</v>
      </c>
    </row>
    <row r="758" spans="1:72">
      <c r="A758" s="3" t="s">
        <v>631</v>
      </c>
      <c r="B758" s="3" t="s">
        <v>835</v>
      </c>
      <c r="C758" s="3" t="s">
        <v>840</v>
      </c>
      <c r="D758" s="2" t="s">
        <v>857</v>
      </c>
      <c r="E758" s="4" t="str">
        <f t="shared" si="55"/>
        <v>SR4B1-068-0003</v>
      </c>
      <c r="F758">
        <v>1.85</v>
      </c>
      <c r="G758">
        <v>1.6</v>
      </c>
      <c r="H758" t="s">
        <v>72</v>
      </c>
      <c r="I758" t="s">
        <v>75</v>
      </c>
      <c r="J758" t="s">
        <v>68</v>
      </c>
      <c r="K758" t="s">
        <v>79</v>
      </c>
      <c r="L758" t="s">
        <v>79</v>
      </c>
      <c r="M758">
        <v>2.9</v>
      </c>
      <c r="N758" s="5">
        <v>44951</v>
      </c>
      <c r="O758" s="5">
        <v>44981</v>
      </c>
      <c r="P758">
        <v>0.6</v>
      </c>
      <c r="Q758" s="4">
        <v>127</v>
      </c>
      <c r="R758">
        <v>0.35</v>
      </c>
      <c r="S758" t="s">
        <v>70</v>
      </c>
      <c r="T758" s="6">
        <v>3</v>
      </c>
      <c r="U758" s="5">
        <v>45106</v>
      </c>
      <c r="V758" s="6">
        <v>1</v>
      </c>
      <c r="W758" t="s">
        <v>86</v>
      </c>
      <c r="X758" s="6">
        <v>125</v>
      </c>
      <c r="Y758">
        <v>11.59568</v>
      </c>
      <c r="Z758">
        <v>6.2679351351351347</v>
      </c>
      <c r="AA758" s="6">
        <v>26.772211720226842</v>
      </c>
      <c r="AB758" s="4">
        <v>51.740333333333332</v>
      </c>
      <c r="AC758" s="6">
        <v>37.352162400706092</v>
      </c>
      <c r="AD758">
        <v>0.36083636400000002</v>
      </c>
      <c r="AE758">
        <v>2.2484383892749489</v>
      </c>
      <c r="AF758">
        <v>25600</v>
      </c>
      <c r="AG758" s="4">
        <v>0</v>
      </c>
      <c r="AH758" s="4">
        <v>74240</v>
      </c>
      <c r="AL758">
        <v>22</v>
      </c>
      <c r="AM758">
        <v>5.3063599999999997</v>
      </c>
      <c r="AN758" t="s">
        <v>81</v>
      </c>
      <c r="AO758" t="s">
        <v>106</v>
      </c>
      <c r="AP758" s="5">
        <v>44981</v>
      </c>
      <c r="AQ758" t="s">
        <v>148</v>
      </c>
      <c r="AR758" s="5">
        <v>45105</v>
      </c>
      <c r="AS758">
        <v>244.64395016074948</v>
      </c>
      <c r="AT758" s="6"/>
      <c r="AU758">
        <v>20.697363155933932</v>
      </c>
      <c r="AV758">
        <v>78.769786679177059</v>
      </c>
      <c r="AW758">
        <v>55.240869875677845</v>
      </c>
      <c r="AX758">
        <v>154.70801971078885</v>
      </c>
      <c r="AY758">
        <v>38.402474024809237</v>
      </c>
      <c r="AZ758">
        <v>43.093211437362882</v>
      </c>
      <c r="BA758">
        <v>17.447172567714873</v>
      </c>
      <c r="BB758">
        <v>6.8810608778441642</v>
      </c>
      <c r="BC758">
        <v>19.458375877913152</v>
      </c>
      <c r="BD758">
        <v>125.28229478564431</v>
      </c>
      <c r="BE758">
        <v>-35.346364335683674</v>
      </c>
      <c r="BF758">
        <v>11.993539835524951</v>
      </c>
      <c r="BH758">
        <v>11.993539835524951</v>
      </c>
      <c r="BI758">
        <v>291.98385433195813</v>
      </c>
      <c r="BJ758" s="6">
        <v>210</v>
      </c>
      <c r="BK758">
        <v>-47.339904171208659</v>
      </c>
      <c r="BL758" s="4">
        <v>-548.93838000000085</v>
      </c>
      <c r="BM758" t="s">
        <v>858</v>
      </c>
      <c r="BN758" t="s">
        <v>65</v>
      </c>
      <c r="BO758">
        <v>6</v>
      </c>
      <c r="BP758">
        <v>2023</v>
      </c>
      <c r="BQ758" t="str">
        <f t="shared" si="56"/>
        <v>SR46</v>
      </c>
      <c r="BR758">
        <f t="shared" si="57"/>
        <v>-950.65854000000024</v>
      </c>
      <c r="BS758">
        <f t="shared" si="58"/>
        <v>2836.8129599999993</v>
      </c>
      <c r="BT758" s="6">
        <f t="shared" si="59"/>
        <v>-81.983854331958128</v>
      </c>
    </row>
    <row r="759" spans="1:72">
      <c r="A759" s="3" t="s">
        <v>631</v>
      </c>
      <c r="B759" s="3" t="s">
        <v>835</v>
      </c>
      <c r="C759" s="3" t="s">
        <v>840</v>
      </c>
      <c r="D759" s="2" t="s">
        <v>859</v>
      </c>
      <c r="E759" s="4" t="str">
        <f t="shared" si="55"/>
        <v>SR4B1-065-0002</v>
      </c>
      <c r="F759">
        <v>1.85</v>
      </c>
      <c r="G759">
        <v>1.6</v>
      </c>
      <c r="H759" t="s">
        <v>72</v>
      </c>
      <c r="I759" t="s">
        <v>75</v>
      </c>
      <c r="J759" t="s">
        <v>68</v>
      </c>
      <c r="K759" t="s">
        <v>79</v>
      </c>
      <c r="L759" t="s">
        <v>79</v>
      </c>
      <c r="M759">
        <v>2.6855045871559633</v>
      </c>
      <c r="N759" s="5">
        <v>44941</v>
      </c>
      <c r="O759" s="5">
        <v>44967</v>
      </c>
      <c r="P759">
        <v>0.6</v>
      </c>
      <c r="Q759" s="4">
        <v>127</v>
      </c>
      <c r="R759">
        <v>0.25</v>
      </c>
      <c r="S759" t="s">
        <v>70</v>
      </c>
      <c r="T759" s="6">
        <v>3</v>
      </c>
      <c r="U759" s="5">
        <v>45099</v>
      </c>
      <c r="V759" s="6">
        <v>1</v>
      </c>
      <c r="W759" t="s">
        <v>86</v>
      </c>
      <c r="X759" s="6">
        <v>132</v>
      </c>
      <c r="Y759">
        <v>12.776530000000001</v>
      </c>
      <c r="Z759">
        <v>6.9062324324324322</v>
      </c>
      <c r="AA759" s="6">
        <v>25.364789970359713</v>
      </c>
      <c r="AB759" s="4">
        <v>54.012333333333331</v>
      </c>
      <c r="AC759" s="6">
        <v>39.424730154224036</v>
      </c>
      <c r="AD759">
        <v>0.35885642099999998</v>
      </c>
      <c r="AE759">
        <v>2.1581542989245657</v>
      </c>
      <c r="AF759">
        <v>27250</v>
      </c>
      <c r="AG759" s="4">
        <v>0</v>
      </c>
      <c r="AH759" s="4">
        <v>73180</v>
      </c>
      <c r="AL759">
        <v>21</v>
      </c>
      <c r="AM759">
        <v>5.4834700000000005</v>
      </c>
      <c r="AN759" t="s">
        <v>81</v>
      </c>
      <c r="AO759" t="s">
        <v>106</v>
      </c>
      <c r="AP759" s="5">
        <v>44967</v>
      </c>
      <c r="AQ759" t="s">
        <v>94</v>
      </c>
      <c r="AR759" s="5">
        <v>45098</v>
      </c>
      <c r="AS759">
        <v>258.24689254437629</v>
      </c>
      <c r="AT759" s="6"/>
      <c r="AU759">
        <v>18.784443037350517</v>
      </c>
      <c r="AV759">
        <v>77.571165253789573</v>
      </c>
      <c r="AW759">
        <v>55.60324516907172</v>
      </c>
      <c r="AX759">
        <v>151.9588534602118</v>
      </c>
      <c r="AY759">
        <v>36.674514911325687</v>
      </c>
      <c r="AZ759">
        <v>38.549808124741226</v>
      </c>
      <c r="BA759">
        <v>16.935354121972082</v>
      </c>
      <c r="BB759">
        <v>6.410472953141424</v>
      </c>
      <c r="BC759">
        <v>17.708878701807141</v>
      </c>
      <c r="BD759">
        <v>116.27902881298756</v>
      </c>
      <c r="BE759">
        <v>-9.9909897288230667</v>
      </c>
      <c r="BF759">
        <v>11.923080053817429</v>
      </c>
      <c r="BH759">
        <v>11.923080053817429</v>
      </c>
      <c r="BI759">
        <v>280.16096232701688</v>
      </c>
      <c r="BJ759" s="6">
        <v>214</v>
      </c>
      <c r="BK759">
        <v>-21.914069782640549</v>
      </c>
      <c r="BL759" s="4">
        <v>-279.98577000000046</v>
      </c>
      <c r="BM759" t="s">
        <v>860</v>
      </c>
      <c r="BN759" t="s">
        <v>65</v>
      </c>
      <c r="BO759">
        <v>6</v>
      </c>
      <c r="BP759">
        <v>2023</v>
      </c>
      <c r="BQ759" t="str">
        <f t="shared" si="56"/>
        <v>SR46</v>
      </c>
      <c r="BR759">
        <f t="shared" si="57"/>
        <v>-845.30752000000098</v>
      </c>
      <c r="BS759">
        <f t="shared" si="58"/>
        <v>3299.4991700000005</v>
      </c>
      <c r="BT759" s="6">
        <f t="shared" si="59"/>
        <v>-66.160962327016875</v>
      </c>
    </row>
    <row r="760" spans="1:72">
      <c r="A760" s="3" t="s">
        <v>631</v>
      </c>
      <c r="B760" s="3" t="s">
        <v>835</v>
      </c>
      <c r="C760" s="3" t="s">
        <v>840</v>
      </c>
      <c r="D760" s="2" t="s">
        <v>853</v>
      </c>
      <c r="E760" s="4" t="str">
        <f t="shared" si="55"/>
        <v>SR4B1-064-0008</v>
      </c>
      <c r="F760">
        <v>1.85</v>
      </c>
      <c r="G760">
        <v>1.6</v>
      </c>
      <c r="H760" t="s">
        <v>72</v>
      </c>
      <c r="I760" t="s">
        <v>75</v>
      </c>
      <c r="J760" t="s">
        <v>68</v>
      </c>
      <c r="K760" t="s">
        <v>79</v>
      </c>
      <c r="L760" t="s">
        <v>79</v>
      </c>
      <c r="M760">
        <v>2.5269584736251405</v>
      </c>
      <c r="N760" s="5">
        <v>45037</v>
      </c>
      <c r="O760" s="5">
        <v>45070</v>
      </c>
      <c r="P760">
        <v>1</v>
      </c>
      <c r="Q760" s="4">
        <v>211</v>
      </c>
      <c r="R760">
        <v>0.2</v>
      </c>
      <c r="S760" t="s">
        <v>70</v>
      </c>
      <c r="T760" s="6">
        <v>6</v>
      </c>
      <c r="U760" s="5">
        <v>45219</v>
      </c>
      <c r="V760" s="6">
        <v>1</v>
      </c>
      <c r="W760" t="s">
        <v>86</v>
      </c>
      <c r="X760" s="6">
        <v>149</v>
      </c>
      <c r="Y760">
        <v>20.18478</v>
      </c>
      <c r="Z760">
        <v>10.910691891891892</v>
      </c>
      <c r="AA760" s="6">
        <v>28.551958455826618</v>
      </c>
      <c r="AB760" s="4">
        <v>57.631500000000003</v>
      </c>
      <c r="AC760" s="6">
        <v>35.023867155982408</v>
      </c>
      <c r="AD760">
        <v>0.33422818799999998</v>
      </c>
      <c r="AE760">
        <v>2.229196418474459</v>
      </c>
      <c r="AF760">
        <v>44550</v>
      </c>
      <c r="AG760" s="4">
        <v>0</v>
      </c>
      <c r="AH760" s="4">
        <v>112576</v>
      </c>
      <c r="AL760">
        <v>20</v>
      </c>
      <c r="AM760">
        <v>4.4743199999999996</v>
      </c>
      <c r="AN760" t="s">
        <v>81</v>
      </c>
      <c r="AO760" t="s">
        <v>176</v>
      </c>
      <c r="AP760" s="5">
        <v>45070</v>
      </c>
      <c r="AQ760" t="s">
        <v>92</v>
      </c>
      <c r="AR760" s="5">
        <v>45218</v>
      </c>
      <c r="AS760">
        <v>187.97827917866832</v>
      </c>
      <c r="AT760" s="6"/>
      <c r="AU760">
        <v>14.862683665613401</v>
      </c>
      <c r="AV760">
        <v>76.798478853869057</v>
      </c>
      <c r="AW760">
        <v>41.487564887999774</v>
      </c>
      <c r="AX760">
        <v>133.14872740748223</v>
      </c>
      <c r="AY760">
        <v>20.755461293112933</v>
      </c>
      <c r="AZ760">
        <v>31.738091770135725</v>
      </c>
      <c r="BA760">
        <v>8.0144004542036136</v>
      </c>
      <c r="BB760">
        <v>6.654531780876483</v>
      </c>
      <c r="BC760">
        <v>18.870429600917127</v>
      </c>
      <c r="BD760">
        <v>86.032914899245881</v>
      </c>
      <c r="BE760">
        <v>-31.203363128059792</v>
      </c>
      <c r="BF760">
        <v>6.6673077437554431</v>
      </c>
      <c r="BG760">
        <v>-0.65230683713173976</v>
      </c>
      <c r="BH760">
        <v>6.0150009066237029</v>
      </c>
      <c r="BI760">
        <v>225.19664321335182</v>
      </c>
      <c r="BJ760" s="6">
        <v>204</v>
      </c>
      <c r="BK760">
        <v>-37.218364034683503</v>
      </c>
      <c r="BL760" s="4">
        <v>-751.24448999999879</v>
      </c>
      <c r="BM760" t="s">
        <v>854</v>
      </c>
      <c r="BN760" t="s">
        <v>65</v>
      </c>
      <c r="BO760">
        <v>10</v>
      </c>
      <c r="BP760">
        <v>2023</v>
      </c>
      <c r="BQ760" t="str">
        <f t="shared" si="56"/>
        <v>SR410</v>
      </c>
      <c r="BR760">
        <f t="shared" si="57"/>
        <v>-427.84957999999955</v>
      </c>
      <c r="BS760">
        <f t="shared" si="58"/>
        <v>3794.3002100000008</v>
      </c>
      <c r="BT760" s="6">
        <f t="shared" si="59"/>
        <v>-21.19664321335182</v>
      </c>
    </row>
    <row r="761" spans="1:72">
      <c r="A761" s="3" t="s">
        <v>631</v>
      </c>
      <c r="B761" s="3" t="s">
        <v>835</v>
      </c>
      <c r="C761" s="3" t="s">
        <v>840</v>
      </c>
      <c r="D761" s="2" t="s">
        <v>851</v>
      </c>
      <c r="E761" s="4" t="str">
        <f t="shared" si="55"/>
        <v>SR4B1-067-0010</v>
      </c>
      <c r="F761">
        <v>1.85</v>
      </c>
      <c r="G761">
        <v>1.6</v>
      </c>
      <c r="H761" t="s">
        <v>72</v>
      </c>
      <c r="I761" t="s">
        <v>75</v>
      </c>
      <c r="J761" t="s">
        <v>68</v>
      </c>
      <c r="K761" t="s">
        <v>79</v>
      </c>
      <c r="L761" t="s">
        <v>79</v>
      </c>
      <c r="M761">
        <v>3.2221453287197233</v>
      </c>
      <c r="N761" s="5">
        <v>44935</v>
      </c>
      <c r="O761" s="5">
        <v>44965</v>
      </c>
      <c r="P761">
        <v>0.6</v>
      </c>
      <c r="Q761" s="4">
        <v>127</v>
      </c>
      <c r="R761">
        <v>0.35</v>
      </c>
      <c r="S761" t="s">
        <v>70</v>
      </c>
      <c r="T761" s="6">
        <v>3</v>
      </c>
      <c r="U761" s="5">
        <v>45100</v>
      </c>
      <c r="V761" s="6">
        <v>1</v>
      </c>
      <c r="W761" t="s">
        <v>86</v>
      </c>
      <c r="X761" s="6">
        <v>135</v>
      </c>
      <c r="Y761">
        <v>12.46278</v>
      </c>
      <c r="Z761">
        <v>6.7366378378378373</v>
      </c>
      <c r="AA761" s="6">
        <v>29.283434354132865</v>
      </c>
      <c r="AB761" s="4">
        <v>60.825499999999998</v>
      </c>
      <c r="AC761" s="6">
        <v>34.149000008220234</v>
      </c>
      <c r="AD761">
        <v>0.33410774399999998</v>
      </c>
      <c r="AE761">
        <v>2.3586484046885685</v>
      </c>
      <c r="AF761">
        <v>28900</v>
      </c>
      <c r="AG761" s="4">
        <v>0</v>
      </c>
      <c r="AH761" s="4">
        <v>93120</v>
      </c>
      <c r="AL761">
        <v>22</v>
      </c>
      <c r="AM761">
        <v>5.1760799999999998</v>
      </c>
      <c r="AN761" t="s">
        <v>81</v>
      </c>
      <c r="AO761" t="s">
        <v>106</v>
      </c>
      <c r="AP761" s="5">
        <v>44965</v>
      </c>
      <c r="AQ761" t="s">
        <v>148</v>
      </c>
      <c r="AR761" s="5">
        <v>45099</v>
      </c>
      <c r="AS761">
        <v>239.63947128971225</v>
      </c>
      <c r="AT761" s="6"/>
      <c r="AU761">
        <v>19.257340657541892</v>
      </c>
      <c r="AV761">
        <v>83.839802195015878</v>
      </c>
      <c r="AW761">
        <v>62.985666119437226</v>
      </c>
      <c r="AX761">
        <v>166.08280897199498</v>
      </c>
      <c r="AY761">
        <v>39.549523461057639</v>
      </c>
      <c r="AZ761">
        <v>40.644221433741102</v>
      </c>
      <c r="BA761">
        <v>18.283807465108104</v>
      </c>
      <c r="BB761">
        <v>6.8830429486840004</v>
      </c>
      <c r="BC761">
        <v>18.843266911555848</v>
      </c>
      <c r="BD761">
        <v>124.20386222014669</v>
      </c>
      <c r="BE761">
        <v>-50.647199902429421</v>
      </c>
      <c r="BF761">
        <v>13.078811469030184</v>
      </c>
      <c r="BH761">
        <v>13.078811469030184</v>
      </c>
      <c r="BI761">
        <v>303.36548266117188</v>
      </c>
      <c r="BJ761" s="6">
        <v>200</v>
      </c>
      <c r="BK761">
        <v>-63.726011371459634</v>
      </c>
      <c r="BL761" s="4">
        <v>-794.20325999999977</v>
      </c>
      <c r="BM761" t="s">
        <v>852</v>
      </c>
      <c r="BN761" t="s">
        <v>65</v>
      </c>
      <c r="BO761">
        <v>6</v>
      </c>
      <c r="BP761">
        <v>2023</v>
      </c>
      <c r="BQ761" t="str">
        <f t="shared" si="56"/>
        <v>SR46</v>
      </c>
      <c r="BR761">
        <f t="shared" si="57"/>
        <v>-1288.2212699999998</v>
      </c>
      <c r="BS761">
        <f t="shared" si="58"/>
        <v>2986.5740100000003</v>
      </c>
      <c r="BT761" s="6">
        <f t="shared" si="59"/>
        <v>-103.36548266117188</v>
      </c>
    </row>
    <row r="762" spans="1:72">
      <c r="A762" s="3" t="s">
        <v>631</v>
      </c>
      <c r="B762" s="3" t="s">
        <v>835</v>
      </c>
      <c r="C762" s="3" t="s">
        <v>840</v>
      </c>
      <c r="D762" s="2" t="s">
        <v>848</v>
      </c>
      <c r="E762" s="4" t="str">
        <f t="shared" si="55"/>
        <v>SR4B1-067-0011</v>
      </c>
      <c r="F762">
        <v>1.85</v>
      </c>
      <c r="G762">
        <v>1.6</v>
      </c>
      <c r="H762" t="s">
        <v>72</v>
      </c>
      <c r="I762" t="s">
        <v>75</v>
      </c>
      <c r="J762" t="s">
        <v>68</v>
      </c>
      <c r="K762" t="s">
        <v>79</v>
      </c>
      <c r="L762" t="s">
        <v>79</v>
      </c>
      <c r="M762">
        <v>2.7851851851851852</v>
      </c>
      <c r="N762" s="5">
        <v>45101</v>
      </c>
      <c r="O762" s="5">
        <v>45131</v>
      </c>
      <c r="P762">
        <v>1</v>
      </c>
      <c r="Q762" s="4">
        <v>211</v>
      </c>
      <c r="R762">
        <v>0.94299999999999995</v>
      </c>
      <c r="S762" t="s">
        <v>70</v>
      </c>
      <c r="T762" s="6">
        <v>3</v>
      </c>
      <c r="U762" s="5">
        <v>45206</v>
      </c>
      <c r="V762" s="6">
        <v>1</v>
      </c>
      <c r="W762" t="s">
        <v>86</v>
      </c>
      <c r="X762" s="6">
        <v>75</v>
      </c>
      <c r="Y762">
        <v>14.08408</v>
      </c>
      <c r="Z762">
        <v>7.6130162162162156</v>
      </c>
      <c r="AA762" s="6">
        <v>47.589547915092787</v>
      </c>
      <c r="AB762" s="4">
        <v>67.025500000000008</v>
      </c>
      <c r="AC762" s="6">
        <v>21.013017433663308</v>
      </c>
      <c r="AD762">
        <v>0.30488698400000003</v>
      </c>
      <c r="AE762">
        <v>1.9005157075054961</v>
      </c>
      <c r="AF762">
        <v>24975</v>
      </c>
      <c r="AG762" s="4">
        <v>0</v>
      </c>
      <c r="AH762" s="4">
        <v>69560</v>
      </c>
      <c r="AI762" t="s">
        <v>73</v>
      </c>
      <c r="AJ762" t="s">
        <v>73</v>
      </c>
      <c r="AK762" t="s">
        <v>849</v>
      </c>
      <c r="AL762">
        <v>42</v>
      </c>
      <c r="AM762">
        <v>9.8214699999999997</v>
      </c>
      <c r="AN762" t="s">
        <v>73</v>
      </c>
      <c r="AO762" t="s">
        <v>94</v>
      </c>
      <c r="AP762" s="5">
        <v>45131</v>
      </c>
      <c r="AQ762" t="s">
        <v>215</v>
      </c>
      <c r="AR762" s="5">
        <v>45205</v>
      </c>
      <c r="AS762">
        <v>165.82452598962794</v>
      </c>
      <c r="AT762" s="6"/>
      <c r="AU762">
        <v>39.051184031899858</v>
      </c>
      <c r="AV762">
        <v>59.334670777217958</v>
      </c>
      <c r="AW762">
        <v>36.586180993007716</v>
      </c>
      <c r="AX762">
        <v>134.97203580212553</v>
      </c>
      <c r="AY762">
        <v>18.184026929696508</v>
      </c>
      <c r="AZ762">
        <v>27.538783505915898</v>
      </c>
      <c r="BA762">
        <v>7.4971748243406759</v>
      </c>
      <c r="BB762">
        <v>4.9995115051888384</v>
      </c>
      <c r="BC762">
        <v>18.494145872502852</v>
      </c>
      <c r="BD762">
        <v>76.713642637644782</v>
      </c>
      <c r="BE762">
        <v>-45.86115245014237</v>
      </c>
      <c r="BF762">
        <v>5.8472601689283215</v>
      </c>
      <c r="BG762">
        <v>-0.93486191501326321</v>
      </c>
      <c r="BH762">
        <v>4.9123982539150584</v>
      </c>
      <c r="BI762">
        <v>216.59807669368533</v>
      </c>
      <c r="BJ762" s="6">
        <v>172</v>
      </c>
      <c r="BK762">
        <v>-50.773550704057378</v>
      </c>
      <c r="BL762" s="4">
        <v>-715.09875000000045</v>
      </c>
      <c r="BM762" t="s">
        <v>850</v>
      </c>
      <c r="BN762" t="s">
        <v>65</v>
      </c>
      <c r="BO762">
        <v>10</v>
      </c>
      <c r="BP762">
        <v>2023</v>
      </c>
      <c r="BQ762" t="str">
        <f t="shared" si="56"/>
        <v>SR410</v>
      </c>
      <c r="BR762">
        <f t="shared" si="57"/>
        <v>-628.12287999999967</v>
      </c>
      <c r="BS762">
        <f t="shared" si="58"/>
        <v>2335.485889999999</v>
      </c>
      <c r="BT762" s="6">
        <f t="shared" si="59"/>
        <v>-44.598076693685329</v>
      </c>
    </row>
    <row r="763" spans="1:72">
      <c r="A763" s="3" t="s">
        <v>631</v>
      </c>
      <c r="B763" s="3" t="s">
        <v>835</v>
      </c>
      <c r="C763" s="3" t="s">
        <v>840</v>
      </c>
      <c r="D763" s="2" t="s">
        <v>846</v>
      </c>
      <c r="E763" s="4" t="str">
        <f t="shared" si="55"/>
        <v>SR4B1-066-0009</v>
      </c>
      <c r="F763">
        <v>1.85</v>
      </c>
      <c r="G763">
        <v>1.6</v>
      </c>
      <c r="H763" t="s">
        <v>72</v>
      </c>
      <c r="I763" t="s">
        <v>75</v>
      </c>
      <c r="J763" t="s">
        <v>68</v>
      </c>
      <c r="K763" t="s">
        <v>79</v>
      </c>
      <c r="L763" t="s">
        <v>79</v>
      </c>
      <c r="M763">
        <v>0.9135802469135802</v>
      </c>
      <c r="N763" s="5">
        <v>45153</v>
      </c>
      <c r="O763" s="5">
        <v>45162</v>
      </c>
      <c r="P763">
        <v>1</v>
      </c>
      <c r="Q763" s="4">
        <v>211</v>
      </c>
      <c r="R763">
        <v>0.24</v>
      </c>
      <c r="S763" t="s">
        <v>70</v>
      </c>
      <c r="T763" s="6">
        <v>2</v>
      </c>
      <c r="U763" s="5">
        <v>45228</v>
      </c>
      <c r="V763" s="6">
        <v>1</v>
      </c>
      <c r="W763" t="s">
        <v>86</v>
      </c>
      <c r="X763" s="6">
        <v>66</v>
      </c>
      <c r="Y763">
        <v>9.8262299999999989</v>
      </c>
      <c r="Z763">
        <v>5.3114756756756751</v>
      </c>
      <c r="AA763" s="6">
        <v>52.986140157517177</v>
      </c>
      <c r="AB763" s="4">
        <v>52.065399999999997</v>
      </c>
      <c r="AC763" s="6">
        <v>18.872859903121842</v>
      </c>
      <c r="AD763">
        <v>0.299393939</v>
      </c>
      <c r="AE763">
        <v>1.6899239847155765</v>
      </c>
      <c r="AF763">
        <v>16200</v>
      </c>
      <c r="AG763" s="4">
        <v>0</v>
      </c>
      <c r="AH763" s="4">
        <v>14800</v>
      </c>
      <c r="AI763" t="s">
        <v>73</v>
      </c>
      <c r="AL763">
        <v>50</v>
      </c>
      <c r="AM763">
        <v>7.5678000000000001</v>
      </c>
      <c r="AN763" t="s">
        <v>73</v>
      </c>
      <c r="AO763" t="s">
        <v>93</v>
      </c>
      <c r="AP763" s="5">
        <v>45162</v>
      </c>
      <c r="AQ763" t="s">
        <v>92</v>
      </c>
      <c r="AR763" s="5">
        <v>45227</v>
      </c>
      <c r="AS763">
        <v>163.33928271575164</v>
      </c>
      <c r="AT763" s="6"/>
      <c r="AU763">
        <v>40.707372003301373</v>
      </c>
      <c r="AV763">
        <v>49.455835045587172</v>
      </c>
      <c r="AW763">
        <v>25.959027012394383</v>
      </c>
      <c r="AX763">
        <v>116.12223406128292</v>
      </c>
      <c r="AY763">
        <v>17.073361808140053</v>
      </c>
      <c r="AZ763">
        <v>31.14056866163321</v>
      </c>
      <c r="BA763">
        <v>9.8916339226743126</v>
      </c>
      <c r="BB763">
        <v>6.796332876393083</v>
      </c>
      <c r="BC763">
        <v>15.446697258256727</v>
      </c>
      <c r="BD763">
        <v>80.348594527097376</v>
      </c>
      <c r="BE763">
        <v>-33.131545872628664</v>
      </c>
      <c r="BF763">
        <v>6.1326785552546603</v>
      </c>
      <c r="BG763">
        <v>-1.3399513343367702</v>
      </c>
      <c r="BH763">
        <v>4.7927272209178904</v>
      </c>
      <c r="BI763">
        <v>201.26355580929817</v>
      </c>
      <c r="BJ763" s="6">
        <v>166</v>
      </c>
      <c r="BK763">
        <v>-37.924273093546546</v>
      </c>
      <c r="BL763" s="4">
        <v>-372.65262999999987</v>
      </c>
      <c r="BM763" t="s">
        <v>847</v>
      </c>
      <c r="BN763" t="s">
        <v>65</v>
      </c>
      <c r="BO763">
        <v>10</v>
      </c>
      <c r="BP763">
        <v>2023</v>
      </c>
      <c r="BQ763" t="str">
        <f t="shared" si="56"/>
        <v>SR410</v>
      </c>
      <c r="BR763">
        <f t="shared" si="57"/>
        <v>-346.50780999999989</v>
      </c>
      <c r="BS763">
        <f t="shared" si="58"/>
        <v>1605.00936</v>
      </c>
      <c r="BT763" s="6">
        <f t="shared" si="59"/>
        <v>-35.263555809298168</v>
      </c>
    </row>
    <row r="764" spans="1:72">
      <c r="A764" s="3" t="s">
        <v>631</v>
      </c>
      <c r="B764" s="3" t="s">
        <v>835</v>
      </c>
      <c r="C764" s="3" t="s">
        <v>840</v>
      </c>
      <c r="D764" s="2" t="s">
        <v>844</v>
      </c>
      <c r="E764" s="4" t="str">
        <f t="shared" si="55"/>
        <v>SR4A1-085-0008</v>
      </c>
      <c r="F764">
        <v>2</v>
      </c>
      <c r="G764">
        <v>1.6</v>
      </c>
      <c r="H764" t="s">
        <v>72</v>
      </c>
      <c r="I764" t="s">
        <v>75</v>
      </c>
      <c r="J764" t="s">
        <v>68</v>
      </c>
      <c r="K764" t="s">
        <v>79</v>
      </c>
      <c r="L764" t="s">
        <v>79</v>
      </c>
      <c r="M764">
        <v>7.0659546832154714</v>
      </c>
      <c r="N764" s="5">
        <v>44832</v>
      </c>
      <c r="O764" s="5">
        <v>44878</v>
      </c>
      <c r="P764">
        <v>0.8</v>
      </c>
      <c r="Q764" s="4">
        <v>156</v>
      </c>
      <c r="R764">
        <v>4.0000000000000001E-3</v>
      </c>
      <c r="S764" t="s">
        <v>70</v>
      </c>
      <c r="T764" s="6">
        <v>1</v>
      </c>
      <c r="U764" s="5">
        <v>44951</v>
      </c>
      <c r="V764" s="6">
        <v>2</v>
      </c>
      <c r="W764" t="s">
        <v>71</v>
      </c>
      <c r="X764" s="6">
        <v>73</v>
      </c>
      <c r="Y764">
        <v>4.5847499999999997</v>
      </c>
      <c r="Z764">
        <v>2.2923749999999998</v>
      </c>
      <c r="AA764" s="6">
        <v>67.999781885598992</v>
      </c>
      <c r="AB764" s="4">
        <v>38.97025</v>
      </c>
      <c r="AC764" s="6">
        <v>14.705929523161901</v>
      </c>
      <c r="AD764">
        <v>0.20139564900000001</v>
      </c>
      <c r="AE764">
        <v>1.5123702677041613</v>
      </c>
      <c r="AF764">
        <v>6929</v>
      </c>
      <c r="AG764" s="4">
        <v>0</v>
      </c>
      <c r="AH764" s="4">
        <v>48960</v>
      </c>
      <c r="AI764" t="s">
        <v>73</v>
      </c>
      <c r="AL764">
        <v>68</v>
      </c>
      <c r="AM764">
        <v>4.5847499999999997</v>
      </c>
      <c r="AN764" t="s">
        <v>126</v>
      </c>
      <c r="AO764" t="s">
        <v>106</v>
      </c>
      <c r="AP764" s="5">
        <v>44878</v>
      </c>
      <c r="AQ764" t="s">
        <v>106</v>
      </c>
      <c r="AR764" s="5">
        <v>44950</v>
      </c>
      <c r="AS764">
        <v>191.53758438300886</v>
      </c>
      <c r="AT764" s="6"/>
      <c r="AU764">
        <v>34.898304160532199</v>
      </c>
      <c r="AV764">
        <v>49.609368013523081</v>
      </c>
      <c r="AW764">
        <v>113.39502481051314</v>
      </c>
      <c r="AX764">
        <v>197.90269698456842</v>
      </c>
      <c r="AY764">
        <v>92.788623152843641</v>
      </c>
      <c r="AZ764">
        <v>64.783355690059452</v>
      </c>
      <c r="BA764">
        <v>64.72764490975517</v>
      </c>
      <c r="BB764">
        <v>32.046041768907791</v>
      </c>
      <c r="BC764">
        <v>55.596586509624302</v>
      </c>
      <c r="BD764">
        <v>309.94225203119038</v>
      </c>
      <c r="BE764">
        <v>-316.30736463274991</v>
      </c>
      <c r="BF764">
        <v>46.045987240307539</v>
      </c>
      <c r="BH764">
        <v>46.045987240307539</v>
      </c>
      <c r="BI764">
        <v>553.89093625606642</v>
      </c>
      <c r="BJ764" s="6">
        <v>149</v>
      </c>
      <c r="BK764">
        <v>-362.35335187305759</v>
      </c>
      <c r="BL764" s="4">
        <v>-1661.2995300000007</v>
      </c>
      <c r="BM764" t="s">
        <v>845</v>
      </c>
      <c r="BN764" t="s">
        <v>65</v>
      </c>
      <c r="BO764">
        <v>1</v>
      </c>
      <c r="BP764">
        <v>2023</v>
      </c>
      <c r="BQ764" t="str">
        <f t="shared" si="56"/>
        <v>SR41</v>
      </c>
      <c r="BR764">
        <f t="shared" si="57"/>
        <v>-1856.3237200000003</v>
      </c>
      <c r="BS764">
        <f t="shared" si="58"/>
        <v>878.15193999999985</v>
      </c>
      <c r="BT764" s="6">
        <f t="shared" si="59"/>
        <v>-404.89093625606642</v>
      </c>
    </row>
    <row r="765" spans="1:72">
      <c r="A765" s="3" t="s">
        <v>631</v>
      </c>
      <c r="B765" s="3" t="s">
        <v>835</v>
      </c>
      <c r="C765" s="3" t="s">
        <v>840</v>
      </c>
      <c r="D765" s="2" t="s">
        <v>842</v>
      </c>
      <c r="E765" s="4" t="str">
        <f t="shared" si="55"/>
        <v>SR4B1-067-0009</v>
      </c>
      <c r="F765">
        <v>2</v>
      </c>
      <c r="G765">
        <v>1.6</v>
      </c>
      <c r="H765" t="s">
        <v>72</v>
      </c>
      <c r="I765" t="s">
        <v>75</v>
      </c>
      <c r="J765" t="s">
        <v>68</v>
      </c>
      <c r="K765" t="s">
        <v>79</v>
      </c>
      <c r="L765" t="s">
        <v>79</v>
      </c>
      <c r="M765">
        <v>4.6695976552091656</v>
      </c>
      <c r="N765" s="5">
        <v>44831</v>
      </c>
      <c r="O765" s="5">
        <v>44882</v>
      </c>
      <c r="P765">
        <v>0.8</v>
      </c>
      <c r="Q765" s="4">
        <v>156</v>
      </c>
      <c r="R765">
        <v>4.0000000000000001E-3</v>
      </c>
      <c r="S765" t="s">
        <v>70</v>
      </c>
      <c r="T765" s="6">
        <v>1</v>
      </c>
      <c r="U765" s="5">
        <v>44934</v>
      </c>
      <c r="V765" s="6">
        <v>2</v>
      </c>
      <c r="W765" t="s">
        <v>71</v>
      </c>
      <c r="X765" s="6">
        <v>52</v>
      </c>
      <c r="Y765">
        <v>2.8400599999999998</v>
      </c>
      <c r="Z765">
        <v>1.4200299999999999</v>
      </c>
      <c r="AA765" s="6">
        <v>114.00005633683796</v>
      </c>
      <c r="AB765" s="4">
        <v>40.470874999999999</v>
      </c>
      <c r="AC765" s="6">
        <v>8.7719254896267991</v>
      </c>
      <c r="AD765">
        <v>0.168614035</v>
      </c>
      <c r="AE765">
        <v>1.3229415621497007</v>
      </c>
      <c r="AF765">
        <v>3753</v>
      </c>
      <c r="AG765" s="4">
        <v>1000</v>
      </c>
      <c r="AH765" s="4">
        <v>17525</v>
      </c>
      <c r="AI765" t="s">
        <v>73</v>
      </c>
      <c r="AJ765" t="s">
        <v>73</v>
      </c>
      <c r="AK765" t="s">
        <v>78</v>
      </c>
      <c r="AL765">
        <v>113.99999999999999</v>
      </c>
      <c r="AM765">
        <v>2.8400599999999998</v>
      </c>
      <c r="AN765" t="s">
        <v>73</v>
      </c>
      <c r="AO765" t="s">
        <v>106</v>
      </c>
      <c r="AP765" s="5">
        <v>44882</v>
      </c>
      <c r="AQ765" t="s">
        <v>105</v>
      </c>
      <c r="AR765" s="5">
        <v>44933</v>
      </c>
      <c r="AS765">
        <v>134.06527326887462</v>
      </c>
      <c r="AT765" s="6"/>
      <c r="AU765">
        <v>56.336837954127731</v>
      </c>
      <c r="AV765">
        <v>43.050069364731733</v>
      </c>
      <c r="AW765">
        <v>90.012865925367791</v>
      </c>
      <c r="AX765">
        <v>189.39977324422728</v>
      </c>
      <c r="AY765">
        <v>95.896523312887766</v>
      </c>
      <c r="AZ765">
        <v>88.166130293021979</v>
      </c>
      <c r="BA765">
        <v>55.342679380013088</v>
      </c>
      <c r="BB765">
        <v>28.945652556636134</v>
      </c>
      <c r="BC765">
        <v>56.116346133532396</v>
      </c>
      <c r="BD765">
        <v>324.46733167609136</v>
      </c>
      <c r="BE765">
        <v>-379.80183165144399</v>
      </c>
      <c r="BF765">
        <v>32.685105244255411</v>
      </c>
      <c r="BH765">
        <v>32.685105244255411</v>
      </c>
      <c r="BI765">
        <v>546.55221016457392</v>
      </c>
      <c r="BJ765" s="6">
        <v>150</v>
      </c>
      <c r="BK765">
        <v>-412.48693689569939</v>
      </c>
      <c r="BL765" s="4">
        <v>-1171.4876499999998</v>
      </c>
      <c r="BM765" t="s">
        <v>843</v>
      </c>
      <c r="BN765" t="s">
        <v>65</v>
      </c>
      <c r="BO765">
        <v>1</v>
      </c>
      <c r="BP765">
        <v>2023</v>
      </c>
      <c r="BQ765" t="str">
        <f t="shared" si="56"/>
        <v>SR41</v>
      </c>
      <c r="BR765">
        <f t="shared" si="57"/>
        <v>-1126.2320699999998</v>
      </c>
      <c r="BS765">
        <f t="shared" si="58"/>
        <v>380.75342000000001</v>
      </c>
      <c r="BT765" s="6">
        <f t="shared" si="59"/>
        <v>-396.55221016457392</v>
      </c>
    </row>
    <row r="766" spans="1:72">
      <c r="A766" s="3" t="s">
        <v>631</v>
      </c>
      <c r="B766" s="3" t="s">
        <v>835</v>
      </c>
      <c r="C766" s="3" t="s">
        <v>840</v>
      </c>
      <c r="D766" s="2" t="s">
        <v>237</v>
      </c>
      <c r="E766" s="4" t="str">
        <f t="shared" si="55"/>
        <v>SR4A1-082-0008</v>
      </c>
      <c r="F766">
        <v>2</v>
      </c>
      <c r="G766">
        <v>2</v>
      </c>
      <c r="H766" t="s">
        <v>72</v>
      </c>
      <c r="I766" t="s">
        <v>75</v>
      </c>
      <c r="J766" t="s">
        <v>68</v>
      </c>
      <c r="K766" t="s">
        <v>79</v>
      </c>
      <c r="L766" t="s">
        <v>79</v>
      </c>
      <c r="M766">
        <v>5.4300760678759508</v>
      </c>
      <c r="N766" s="5">
        <v>44839</v>
      </c>
      <c r="O766" s="5">
        <v>44881</v>
      </c>
      <c r="P766">
        <v>0.8</v>
      </c>
      <c r="Q766" s="4">
        <v>125</v>
      </c>
      <c r="R766">
        <v>4.0000000000000001E-3</v>
      </c>
      <c r="S766" t="s">
        <v>70</v>
      </c>
      <c r="T766" s="6">
        <v>1</v>
      </c>
      <c r="U766" s="5">
        <v>44934</v>
      </c>
      <c r="V766" s="6">
        <v>2</v>
      </c>
      <c r="W766" t="s">
        <v>71</v>
      </c>
      <c r="X766" s="6">
        <v>53</v>
      </c>
      <c r="Y766">
        <v>2.8840400000000002</v>
      </c>
      <c r="Z766">
        <v>1.4420200000000001</v>
      </c>
      <c r="AA766" s="6">
        <v>138.9998058279358</v>
      </c>
      <c r="AB766" s="4">
        <v>50.110125000000004</v>
      </c>
      <c r="AC766" s="6">
        <v>7.1942546541242915</v>
      </c>
      <c r="AD766">
        <v>0.13566499300000001</v>
      </c>
      <c r="AE766">
        <v>1.186459504866636</v>
      </c>
      <c r="AF766">
        <v>3418</v>
      </c>
      <c r="AG766" s="4">
        <v>0</v>
      </c>
      <c r="AH766" s="4">
        <v>18560</v>
      </c>
      <c r="AI766" t="s">
        <v>73</v>
      </c>
      <c r="AJ766" t="s">
        <v>73</v>
      </c>
      <c r="AK766" t="s">
        <v>841</v>
      </c>
      <c r="AL766">
        <v>139</v>
      </c>
      <c r="AM766">
        <v>2.8840400000000002</v>
      </c>
      <c r="AN766" t="s">
        <v>73</v>
      </c>
      <c r="AO766" t="s">
        <v>106</v>
      </c>
      <c r="AP766" s="5">
        <v>44881</v>
      </c>
      <c r="AQ766" t="s">
        <v>106</v>
      </c>
      <c r="AR766" s="5">
        <v>44933</v>
      </c>
      <c r="AS766">
        <v>119.2167965770239</v>
      </c>
      <c r="AT766" s="6"/>
      <c r="AU766">
        <v>55.477732625067624</v>
      </c>
      <c r="AV766">
        <v>38.722281937837202</v>
      </c>
      <c r="AW766">
        <v>100.25410188485597</v>
      </c>
      <c r="AX766">
        <v>194.45411644776081</v>
      </c>
      <c r="AY766">
        <v>97.351891790682515</v>
      </c>
      <c r="AZ766">
        <v>64.163010915243902</v>
      </c>
      <c r="BA766">
        <v>66.259431214546268</v>
      </c>
      <c r="BB766">
        <v>38.998699740641598</v>
      </c>
      <c r="BC766">
        <v>66.714553196210872</v>
      </c>
      <c r="BD766">
        <v>333.48758685732514</v>
      </c>
      <c r="BE766">
        <v>-408.72490672806202</v>
      </c>
      <c r="BF766">
        <v>46.766154422268762</v>
      </c>
      <c r="BH766">
        <v>46.766154422268762</v>
      </c>
      <c r="BI766">
        <v>574.70785772735462</v>
      </c>
      <c r="BJ766" s="6">
        <v>150</v>
      </c>
      <c r="BK766">
        <v>-455.49106115033078</v>
      </c>
      <c r="BL766" s="4">
        <v>-1313.65444</v>
      </c>
      <c r="BM766" t="s">
        <v>836</v>
      </c>
      <c r="BN766" t="s">
        <v>65</v>
      </c>
      <c r="BO766">
        <v>1</v>
      </c>
      <c r="BP766">
        <v>2023</v>
      </c>
      <c r="BQ766" t="str">
        <f t="shared" si="56"/>
        <v>SR41</v>
      </c>
      <c r="BR766">
        <f t="shared" si="57"/>
        <v>-1224.8744499999998</v>
      </c>
      <c r="BS766">
        <f t="shared" si="58"/>
        <v>343.82601000000005</v>
      </c>
      <c r="BT766" s="6">
        <f t="shared" si="59"/>
        <v>-424.70785772735462</v>
      </c>
    </row>
    <row r="767" spans="1:72">
      <c r="A767" s="3" t="s">
        <v>631</v>
      </c>
      <c r="B767" s="3" t="s">
        <v>924</v>
      </c>
      <c r="C767" s="3" t="s">
        <v>949</v>
      </c>
      <c r="D767" s="2" t="s">
        <v>945</v>
      </c>
      <c r="E767" s="4" t="str">
        <f t="shared" si="55"/>
        <v>KanchanaditD1-051-0006</v>
      </c>
      <c r="F767">
        <v>2</v>
      </c>
      <c r="G767">
        <v>2</v>
      </c>
      <c r="H767" t="s">
        <v>72</v>
      </c>
      <c r="I767" t="s">
        <v>75</v>
      </c>
      <c r="J767" t="s">
        <v>68</v>
      </c>
      <c r="K767" t="s">
        <v>79</v>
      </c>
      <c r="L767" t="s">
        <v>79</v>
      </c>
      <c r="N767" s="5">
        <v>45000</v>
      </c>
      <c r="O767" s="5">
        <v>45015</v>
      </c>
      <c r="P767">
        <v>1.1499999999999999</v>
      </c>
      <c r="Q767" s="4">
        <v>180</v>
      </c>
      <c r="R767">
        <v>0.37</v>
      </c>
      <c r="S767" t="s">
        <v>70</v>
      </c>
      <c r="T767" s="6">
        <v>4</v>
      </c>
      <c r="U767" s="5">
        <v>45139</v>
      </c>
      <c r="V767" s="6">
        <v>1</v>
      </c>
      <c r="W767" t="s">
        <v>86</v>
      </c>
      <c r="X767" s="6">
        <v>124.00000000000001</v>
      </c>
      <c r="Y767">
        <v>20.048830000000002</v>
      </c>
      <c r="Z767">
        <v>10.024415000000001</v>
      </c>
      <c r="AA767" s="6">
        <v>23.971523525312946</v>
      </c>
      <c r="AB767" s="4">
        <v>41.791391304347826</v>
      </c>
      <c r="AC767" s="6">
        <v>41.716163720008907</v>
      </c>
      <c r="AD767">
        <v>0.44504480300000004</v>
      </c>
      <c r="AE767">
        <v>1.8434689729011333</v>
      </c>
      <c r="AF767">
        <v>36175</v>
      </c>
      <c r="AG767" s="4">
        <v>0</v>
      </c>
      <c r="AH767" s="4"/>
      <c r="AL767">
        <v>18</v>
      </c>
      <c r="AM767">
        <v>8.6064699999999998</v>
      </c>
      <c r="AN767" t="s">
        <v>81</v>
      </c>
      <c r="AO767" t="s">
        <v>90</v>
      </c>
      <c r="AP767" s="5">
        <v>45015</v>
      </c>
      <c r="AQ767" t="s">
        <v>94</v>
      </c>
      <c r="AR767" s="5">
        <v>45138</v>
      </c>
      <c r="AS767">
        <v>254.4332043316243</v>
      </c>
      <c r="AT767" s="6"/>
      <c r="AU767">
        <v>22.943982267294395</v>
      </c>
      <c r="AV767">
        <v>64.059174525396244</v>
      </c>
      <c r="AW767">
        <v>27.788834061638507</v>
      </c>
      <c r="AX767">
        <v>114.79199085432916</v>
      </c>
      <c r="AY767">
        <v>11.923710261396799</v>
      </c>
      <c r="AZ767">
        <v>44.084850836682243</v>
      </c>
      <c r="BA767">
        <v>4.0088957809508079</v>
      </c>
      <c r="BB767">
        <v>4.0038201730475054</v>
      </c>
      <c r="BC767">
        <v>9.6467848747283469</v>
      </c>
      <c r="BD767">
        <v>73.668061926805706</v>
      </c>
      <c r="BE767">
        <v>65.973151550489433</v>
      </c>
      <c r="BF767">
        <v>7.6390208306419884</v>
      </c>
      <c r="BH767">
        <v>7.6390208306419884</v>
      </c>
      <c r="BI767">
        <v>196.09907361177684</v>
      </c>
      <c r="BJ767" s="6">
        <v>219</v>
      </c>
      <c r="BK767">
        <v>58.334130719847458</v>
      </c>
      <c r="BL767" s="4">
        <v>1169.5310699999993</v>
      </c>
      <c r="BM767" t="s">
        <v>946</v>
      </c>
      <c r="BN767" t="s">
        <v>65</v>
      </c>
      <c r="BO767">
        <v>8</v>
      </c>
      <c r="BP767">
        <v>2023</v>
      </c>
      <c r="BQ767" t="str">
        <f t="shared" si="56"/>
        <v>Kanchanadit8</v>
      </c>
      <c r="BR767">
        <f t="shared" si="57"/>
        <v>459.1367800000001</v>
      </c>
      <c r="BS767">
        <f t="shared" si="58"/>
        <v>5101.08806</v>
      </c>
      <c r="BT767" s="6">
        <f t="shared" si="59"/>
        <v>22.900926388223155</v>
      </c>
    </row>
    <row r="768" spans="1:72">
      <c r="A768" s="3" t="s">
        <v>631</v>
      </c>
      <c r="B768" s="3" t="s">
        <v>924</v>
      </c>
      <c r="C768" s="3" t="s">
        <v>949</v>
      </c>
      <c r="D768" s="2" t="s">
        <v>937</v>
      </c>
      <c r="E768" s="4" t="str">
        <f t="shared" si="55"/>
        <v>KanchanaditD1-052-0013</v>
      </c>
      <c r="F768">
        <v>2</v>
      </c>
      <c r="G768">
        <v>2</v>
      </c>
      <c r="H768" t="s">
        <v>72</v>
      </c>
      <c r="I768" t="s">
        <v>75</v>
      </c>
      <c r="J768" t="s">
        <v>68</v>
      </c>
      <c r="K768" t="s">
        <v>79</v>
      </c>
      <c r="N768" s="5">
        <v>45003</v>
      </c>
      <c r="O768" s="5">
        <v>45040</v>
      </c>
      <c r="P768">
        <v>1</v>
      </c>
      <c r="Q768" s="4">
        <v>156</v>
      </c>
      <c r="R768">
        <v>0.19</v>
      </c>
      <c r="S768" t="s">
        <v>70</v>
      </c>
      <c r="T768" s="6">
        <v>3</v>
      </c>
      <c r="U768" s="5">
        <v>45158</v>
      </c>
      <c r="V768" s="6">
        <v>1</v>
      </c>
      <c r="W768" t="s">
        <v>86</v>
      </c>
      <c r="X768" s="6">
        <v>118</v>
      </c>
      <c r="Y768">
        <v>20.60839</v>
      </c>
      <c r="Z768">
        <v>10.304195</v>
      </c>
      <c r="AA768" s="6">
        <v>29.918591408644733</v>
      </c>
      <c r="AB768" s="4">
        <v>61.657399999999996</v>
      </c>
      <c r="AC768" s="6">
        <v>33.424033449350766</v>
      </c>
      <c r="AD768">
        <v>0.40194108200000001</v>
      </c>
      <c r="AE768">
        <v>1.9590183163315031</v>
      </c>
      <c r="AF768">
        <v>40000</v>
      </c>
      <c r="AG768" s="4"/>
      <c r="AH768" s="4"/>
      <c r="AL768">
        <v>21</v>
      </c>
      <c r="AM768">
        <v>11.32915</v>
      </c>
      <c r="AN768" t="s">
        <v>81</v>
      </c>
      <c r="AO768" t="s">
        <v>96</v>
      </c>
      <c r="AP768" s="5">
        <v>45040</v>
      </c>
      <c r="AQ768" t="s">
        <v>148</v>
      </c>
      <c r="AR768" s="5">
        <v>45157</v>
      </c>
      <c r="AS768">
        <v>198.83283119156809</v>
      </c>
      <c r="AT768" s="6"/>
      <c r="AU768">
        <v>19.409570568103575</v>
      </c>
      <c r="AV768">
        <v>69.607761693174481</v>
      </c>
      <c r="AW768">
        <v>33.215272032410091</v>
      </c>
      <c r="AX768">
        <v>122.23260429368814</v>
      </c>
      <c r="AY768">
        <v>13.403228005681182</v>
      </c>
      <c r="AZ768">
        <v>48.505150572169875</v>
      </c>
      <c r="BA768">
        <v>4.8647905052262699</v>
      </c>
      <c r="BB768">
        <v>5.3364886825220204</v>
      </c>
      <c r="BC768">
        <v>11.569492813363874</v>
      </c>
      <c r="BD768">
        <v>83.679150578963217</v>
      </c>
      <c r="BE768">
        <v>-7.0789236810832676</v>
      </c>
      <c r="BF768">
        <v>9.0437486868212424</v>
      </c>
      <c r="BH768">
        <v>9.0437486868212424</v>
      </c>
      <c r="BI768">
        <v>214.95550355947262</v>
      </c>
      <c r="BJ768" s="6">
        <v>197</v>
      </c>
      <c r="BK768">
        <v>-16.122672367904521</v>
      </c>
      <c r="BL768" s="4">
        <v>-332.26231999999982</v>
      </c>
      <c r="BM768" t="s">
        <v>938</v>
      </c>
      <c r="BN768" t="s">
        <v>65</v>
      </c>
      <c r="BO768">
        <v>8</v>
      </c>
      <c r="BP768">
        <v>2023</v>
      </c>
      <c r="BQ768" t="str">
        <f t="shared" si="56"/>
        <v>Kanchanadit8</v>
      </c>
      <c r="BR768">
        <f t="shared" si="57"/>
        <v>-370.03401999999988</v>
      </c>
      <c r="BS768">
        <f t="shared" si="58"/>
        <v>4097.62453</v>
      </c>
      <c r="BT768" s="6">
        <f t="shared" si="59"/>
        <v>-17.955503559472618</v>
      </c>
    </row>
    <row r="769" spans="1:72">
      <c r="A769" s="3" t="s">
        <v>631</v>
      </c>
      <c r="B769" s="3" t="s">
        <v>924</v>
      </c>
      <c r="C769" s="3" t="s">
        <v>949</v>
      </c>
      <c r="D769" s="2" t="s">
        <v>954</v>
      </c>
      <c r="E769" s="4" t="str">
        <f t="shared" si="55"/>
        <v>KanchanaditC1-043-0014</v>
      </c>
      <c r="F769">
        <v>1.53</v>
      </c>
      <c r="G769">
        <v>1.6</v>
      </c>
      <c r="H769" t="s">
        <v>72</v>
      </c>
      <c r="I769" t="s">
        <v>75</v>
      </c>
      <c r="J769" t="s">
        <v>95</v>
      </c>
      <c r="K769" t="s">
        <v>79</v>
      </c>
      <c r="L769" t="s">
        <v>79</v>
      </c>
      <c r="N769" s="5">
        <v>44986</v>
      </c>
      <c r="O769" s="5">
        <v>44995</v>
      </c>
      <c r="P769">
        <v>0.5</v>
      </c>
      <c r="Q769" s="4">
        <v>128</v>
      </c>
      <c r="R769">
        <v>0.36</v>
      </c>
      <c r="S769" t="s">
        <v>70</v>
      </c>
      <c r="T769" s="6">
        <v>2</v>
      </c>
      <c r="U769" s="5">
        <v>45119</v>
      </c>
      <c r="V769" s="6">
        <v>1</v>
      </c>
      <c r="W769" t="s">
        <v>86</v>
      </c>
      <c r="X769" s="6">
        <v>124</v>
      </c>
      <c r="Y769">
        <v>7.6888900000000007</v>
      </c>
      <c r="Z769">
        <v>5.0254183006535955</v>
      </c>
      <c r="AA769" s="6">
        <v>27.8741144690586</v>
      </c>
      <c r="AB769" s="4">
        <v>42.864200000000004</v>
      </c>
      <c r="AC769" s="6">
        <v>35.87557915463254</v>
      </c>
      <c r="AD769">
        <v>0.38112135199999997</v>
      </c>
      <c r="AE769">
        <v>2.1574427112396104</v>
      </c>
      <c r="AF769">
        <v>16200</v>
      </c>
      <c r="AG769" s="4">
        <v>0</v>
      </c>
      <c r="AH769" s="4"/>
      <c r="AL769">
        <v>21</v>
      </c>
      <c r="AM769">
        <v>5.6436099999999998</v>
      </c>
      <c r="AN769" t="s">
        <v>81</v>
      </c>
      <c r="AO769" t="s">
        <v>105</v>
      </c>
      <c r="AP769" s="5">
        <v>44995</v>
      </c>
      <c r="AQ769" t="s">
        <v>94</v>
      </c>
      <c r="AR769" s="5">
        <v>45118</v>
      </c>
      <c r="AS769">
        <v>249.95098122095644</v>
      </c>
      <c r="AT769" s="6"/>
      <c r="AU769">
        <v>26.011556934746107</v>
      </c>
      <c r="AV769">
        <v>75.357965844224594</v>
      </c>
      <c r="AW769">
        <v>57.202559797317953</v>
      </c>
      <c r="AX769">
        <v>158.57208257628866</v>
      </c>
      <c r="AY769">
        <v>29.12640446150224</v>
      </c>
      <c r="AZ769">
        <v>52.375999656647437</v>
      </c>
      <c r="BA769">
        <v>9.5271567157287986</v>
      </c>
      <c r="BB769">
        <v>12.399655867101755</v>
      </c>
      <c r="BC769">
        <v>20.207078004757513</v>
      </c>
      <c r="BD769">
        <v>123.63629470573774</v>
      </c>
      <c r="BE769">
        <v>-32.257396061069969</v>
      </c>
      <c r="BF769">
        <v>7.3277898370245893</v>
      </c>
      <c r="BH769">
        <v>7.3277898370245893</v>
      </c>
      <c r="BI769">
        <v>289.53616711905096</v>
      </c>
      <c r="BJ769" s="6">
        <v>207</v>
      </c>
      <c r="BK769">
        <v>-39.585185898094508</v>
      </c>
      <c r="BL769" s="4">
        <v>-304.36613999999992</v>
      </c>
      <c r="BM769" t="s">
        <v>955</v>
      </c>
      <c r="BN769" t="s">
        <v>65</v>
      </c>
      <c r="BO769">
        <v>7</v>
      </c>
      <c r="BP769">
        <v>2023</v>
      </c>
      <c r="BQ769" t="str">
        <f t="shared" si="56"/>
        <v>Kanchanadit7</v>
      </c>
      <c r="BR769">
        <f t="shared" si="57"/>
        <v>-634.61150999999973</v>
      </c>
      <c r="BS769">
        <f t="shared" si="58"/>
        <v>1921.8455999999999</v>
      </c>
      <c r="BT769" s="6">
        <f t="shared" si="59"/>
        <v>-82.536167119050958</v>
      </c>
    </row>
    <row r="770" spans="1:72">
      <c r="A770" s="3" t="s">
        <v>631</v>
      </c>
      <c r="B770" s="3" t="s">
        <v>924</v>
      </c>
      <c r="C770" s="3" t="s">
        <v>949</v>
      </c>
      <c r="D770" s="2" t="s">
        <v>947</v>
      </c>
      <c r="E770" s="4" t="str">
        <f t="shared" si="55"/>
        <v>KanchanaditD1-053-0006</v>
      </c>
      <c r="F770">
        <v>2</v>
      </c>
      <c r="G770">
        <v>2</v>
      </c>
      <c r="H770" t="s">
        <v>72</v>
      </c>
      <c r="I770" t="s">
        <v>75</v>
      </c>
      <c r="J770" t="s">
        <v>68</v>
      </c>
      <c r="K770" t="s">
        <v>79</v>
      </c>
      <c r="N770" s="5">
        <v>45010</v>
      </c>
      <c r="O770" s="5">
        <v>45028</v>
      </c>
      <c r="P770">
        <v>1</v>
      </c>
      <c r="Q770" s="4">
        <v>156</v>
      </c>
      <c r="R770">
        <v>0.45</v>
      </c>
      <c r="S770" t="s">
        <v>70</v>
      </c>
      <c r="T770" s="6">
        <v>4</v>
      </c>
      <c r="U770" s="5">
        <v>45165</v>
      </c>
      <c r="V770" s="6">
        <v>1</v>
      </c>
      <c r="W770" t="s">
        <v>86</v>
      </c>
      <c r="X770" s="6">
        <v>137</v>
      </c>
      <c r="Y770">
        <v>22.652979999999999</v>
      </c>
      <c r="Z770">
        <v>11.32649</v>
      </c>
      <c r="AA770" s="6">
        <v>23.223302188056493</v>
      </c>
      <c r="AB770" s="4">
        <v>52.607700000000001</v>
      </c>
      <c r="AC770" s="6">
        <v>43.060198412019531</v>
      </c>
      <c r="AD770">
        <v>0.38088743800000002</v>
      </c>
      <c r="AE770">
        <v>1.8465989700481646</v>
      </c>
      <c r="AF770">
        <v>41000</v>
      </c>
      <c r="AG770" s="4"/>
      <c r="AH770" s="4"/>
      <c r="AL770">
        <v>19</v>
      </c>
      <c r="AM770">
        <v>8.4827199999999987</v>
      </c>
      <c r="AN770" t="s">
        <v>81</v>
      </c>
      <c r="AO770" t="s">
        <v>93</v>
      </c>
      <c r="AP770" s="5">
        <v>45028</v>
      </c>
      <c r="AQ770" t="s">
        <v>94</v>
      </c>
      <c r="AR770" s="5">
        <v>45164</v>
      </c>
      <c r="AS770">
        <v>232.38085761784978</v>
      </c>
      <c r="AT770" s="6"/>
      <c r="AU770">
        <v>19.864936092293377</v>
      </c>
      <c r="AV770">
        <v>64.464813900864257</v>
      </c>
      <c r="AW770">
        <v>33.329051188850194</v>
      </c>
      <c r="AX770">
        <v>117.65880118200783</v>
      </c>
      <c r="AY770">
        <v>12.247921024077183</v>
      </c>
      <c r="AZ770">
        <v>44.462830938799222</v>
      </c>
      <c r="BA770">
        <v>4.6085993984014468</v>
      </c>
      <c r="BB770">
        <v>5.2137815863519954</v>
      </c>
      <c r="BC770">
        <v>10.870014011401594</v>
      </c>
      <c r="BD770">
        <v>77.403146959031432</v>
      </c>
      <c r="BE770">
        <v>37.318909476810518</v>
      </c>
      <c r="BF770">
        <v>8.4272780005103094</v>
      </c>
      <c r="BH770">
        <v>8.4272780005103094</v>
      </c>
      <c r="BI770">
        <v>203.48922614154964</v>
      </c>
      <c r="BJ770" s="6">
        <v>223</v>
      </c>
      <c r="BK770">
        <v>28.891631476300159</v>
      </c>
      <c r="BL770" s="4">
        <v>654.48154999999792</v>
      </c>
      <c r="BM770" t="s">
        <v>948</v>
      </c>
      <c r="BN770" t="s">
        <v>65</v>
      </c>
      <c r="BO770">
        <v>8</v>
      </c>
      <c r="BP770">
        <v>2023</v>
      </c>
      <c r="BQ770" t="str">
        <f t="shared" si="56"/>
        <v>Kanchanadit8</v>
      </c>
      <c r="BR770">
        <f t="shared" si="57"/>
        <v>441.97716999999892</v>
      </c>
      <c r="BS770">
        <f t="shared" si="58"/>
        <v>5264.118919999999</v>
      </c>
      <c r="BT770" s="6">
        <f t="shared" si="59"/>
        <v>19.510773858450364</v>
      </c>
    </row>
    <row r="771" spans="1:72">
      <c r="A771" s="3" t="s">
        <v>631</v>
      </c>
      <c r="B771" s="3" t="s">
        <v>924</v>
      </c>
      <c r="C771" s="3" t="s">
        <v>949</v>
      </c>
      <c r="D771" s="2" t="s">
        <v>2669</v>
      </c>
      <c r="E771" s="4" t="str">
        <f t="shared" si="55"/>
        <v>KanchanaditC1-044-0016</v>
      </c>
      <c r="F771">
        <v>1.53</v>
      </c>
      <c r="G771">
        <v>1.6</v>
      </c>
      <c r="H771" t="s">
        <v>72</v>
      </c>
      <c r="I771" t="s">
        <v>75</v>
      </c>
      <c r="J771" t="s">
        <v>95</v>
      </c>
      <c r="K771" t="s">
        <v>79</v>
      </c>
      <c r="N771" s="5">
        <v>45139</v>
      </c>
      <c r="O771" s="5">
        <v>45161</v>
      </c>
      <c r="P771">
        <v>0.7</v>
      </c>
      <c r="Q771" s="4">
        <v>179</v>
      </c>
      <c r="R771">
        <v>0.3</v>
      </c>
      <c r="S771" t="s">
        <v>70</v>
      </c>
      <c r="T771" s="6">
        <v>2</v>
      </c>
      <c r="U771" s="5">
        <v>45261</v>
      </c>
      <c r="V771" s="6">
        <v>1</v>
      </c>
      <c r="W771" t="s">
        <v>86</v>
      </c>
      <c r="X771" s="6">
        <v>100</v>
      </c>
      <c r="Y771">
        <v>10.33677</v>
      </c>
      <c r="Z771">
        <v>6.7560588235294112</v>
      </c>
      <c r="AA771" s="6">
        <v>32.583292459830297</v>
      </c>
      <c r="AB771" s="4">
        <v>48.115142857142857</v>
      </c>
      <c r="AC771" s="6">
        <v>30.690575583570361</v>
      </c>
      <c r="AD771">
        <v>0.36737037</v>
      </c>
      <c r="AE771">
        <v>1.9033709662607128</v>
      </c>
      <c r="AF771">
        <v>19275</v>
      </c>
      <c r="AG771" s="4"/>
      <c r="AH771" s="4"/>
      <c r="AL771">
        <v>27</v>
      </c>
      <c r="AM771">
        <v>7.9245600000000005</v>
      </c>
      <c r="AN771" t="s">
        <v>81</v>
      </c>
      <c r="AO771" t="s">
        <v>215</v>
      </c>
      <c r="AP771" s="5">
        <v>45161</v>
      </c>
      <c r="AQ771" t="s">
        <v>99</v>
      </c>
      <c r="AR771" s="5">
        <v>45260</v>
      </c>
      <c r="AS771">
        <v>207.36453843899008</v>
      </c>
      <c r="AT771" s="6"/>
      <c r="AU771">
        <v>27.087765327079929</v>
      </c>
      <c r="AV771">
        <v>56.066209270400712</v>
      </c>
      <c r="AW771">
        <v>41.242778933844903</v>
      </c>
      <c r="AX771">
        <v>124.39675353132553</v>
      </c>
      <c r="AY771">
        <v>21.436683799678242</v>
      </c>
      <c r="AZ771">
        <v>40.032159949384578</v>
      </c>
      <c r="BA771">
        <v>13.859637972016401</v>
      </c>
      <c r="BB771">
        <v>8.3970650406268099</v>
      </c>
      <c r="BC771">
        <v>21.849587443659868</v>
      </c>
      <c r="BD771">
        <v>105.5751342053659</v>
      </c>
      <c r="BE771">
        <v>-22.607349297701347</v>
      </c>
      <c r="BF771">
        <v>7.3371498059838816</v>
      </c>
      <c r="BH771">
        <v>7.3371498059838816</v>
      </c>
      <c r="BI771">
        <v>237.30903754267536</v>
      </c>
      <c r="BJ771" s="6">
        <v>192</v>
      </c>
      <c r="BK771">
        <v>-29.944499103685274</v>
      </c>
      <c r="BL771" s="4">
        <v>-309.52940000000086</v>
      </c>
      <c r="BM771" t="s">
        <v>2670</v>
      </c>
      <c r="BN771" t="s">
        <v>65</v>
      </c>
      <c r="BO771">
        <v>12</v>
      </c>
      <c r="BP771">
        <v>2023</v>
      </c>
      <c r="BQ771" t="str">
        <f t="shared" si="56"/>
        <v>Kanchanadit12</v>
      </c>
      <c r="BR771">
        <f t="shared" si="57"/>
        <v>-468.34910000000031</v>
      </c>
      <c r="BS771">
        <f t="shared" si="58"/>
        <v>2143.4795399999994</v>
      </c>
      <c r="BT771" s="6">
        <f t="shared" si="59"/>
        <v>-45.309037542675355</v>
      </c>
    </row>
    <row r="772" spans="1:72">
      <c r="A772" s="3" t="s">
        <v>631</v>
      </c>
      <c r="B772" s="3" t="s">
        <v>924</v>
      </c>
      <c r="C772" s="3" t="s">
        <v>949</v>
      </c>
      <c r="D772" s="2" t="s">
        <v>958</v>
      </c>
      <c r="E772" s="4" t="str">
        <f t="shared" ref="E772:E835" si="60">B772&amp;D772</f>
        <v>KanchanaditC1-041-0015</v>
      </c>
      <c r="F772">
        <v>1.53</v>
      </c>
      <c r="G772">
        <v>1.6</v>
      </c>
      <c r="H772" t="s">
        <v>72</v>
      </c>
      <c r="I772" t="s">
        <v>75</v>
      </c>
      <c r="J772" t="s">
        <v>95</v>
      </c>
      <c r="K772" t="s">
        <v>79</v>
      </c>
      <c r="N772" s="5">
        <v>45000</v>
      </c>
      <c r="O772" s="5">
        <v>45017</v>
      </c>
      <c r="P772">
        <v>0.5</v>
      </c>
      <c r="Q772" s="4">
        <v>128</v>
      </c>
      <c r="R772">
        <v>0.37</v>
      </c>
      <c r="S772" t="s">
        <v>70</v>
      </c>
      <c r="T772" s="6">
        <v>2</v>
      </c>
      <c r="U772" s="5">
        <v>45162</v>
      </c>
      <c r="V772" s="6">
        <v>1</v>
      </c>
      <c r="W772" t="s">
        <v>86</v>
      </c>
      <c r="X772" s="6">
        <v>145</v>
      </c>
      <c r="Y772">
        <v>8.5238799999999983</v>
      </c>
      <c r="Z772">
        <v>5.5711633986928089</v>
      </c>
      <c r="AA772" s="6">
        <v>26.728555540434641</v>
      </c>
      <c r="AB772" s="4">
        <v>45.566200000000002</v>
      </c>
      <c r="AC772" s="6">
        <v>37.413170288503316</v>
      </c>
      <c r="AD772">
        <v>0.360424682</v>
      </c>
      <c r="AE772">
        <v>2.7341801297056683</v>
      </c>
      <c r="AF772">
        <v>22800</v>
      </c>
      <c r="AG772" s="4"/>
      <c r="AH772" s="4"/>
      <c r="AL772">
        <v>19</v>
      </c>
      <c r="AM772">
        <v>4.3990299999999998</v>
      </c>
      <c r="AN772" t="s">
        <v>81</v>
      </c>
      <c r="AO772" t="s">
        <v>438</v>
      </c>
      <c r="AP772" s="5">
        <v>45017</v>
      </c>
      <c r="AQ772" t="s">
        <v>148</v>
      </c>
      <c r="AR772" s="5">
        <v>45161</v>
      </c>
      <c r="AS772">
        <v>207.26754365382902</v>
      </c>
      <c r="AT772" s="6"/>
      <c r="AU772">
        <v>23.463493151006347</v>
      </c>
      <c r="AV772">
        <v>95.224448255958535</v>
      </c>
      <c r="AW772">
        <v>65.322508059709904</v>
      </c>
      <c r="AX772">
        <v>184.0104494666748</v>
      </c>
      <c r="AY772">
        <v>36.072237056364017</v>
      </c>
      <c r="AZ772">
        <v>58.023671145065393</v>
      </c>
      <c r="BA772">
        <v>17.526113694702413</v>
      </c>
      <c r="BB772">
        <v>18.539811682003972</v>
      </c>
      <c r="BC772">
        <v>26.004453371000064</v>
      </c>
      <c r="BD772">
        <v>156.16628694913587</v>
      </c>
      <c r="BE772">
        <v>-132.90919276198164</v>
      </c>
      <c r="BF772">
        <v>9.7941242720451243</v>
      </c>
      <c r="BH772">
        <v>9.7941242720451243</v>
      </c>
      <c r="BI772">
        <v>349.97086068785575</v>
      </c>
      <c r="BJ772" s="6">
        <v>210</v>
      </c>
      <c r="BK772">
        <v>-142.70331703402672</v>
      </c>
      <c r="BL772" s="4">
        <v>-1216.3859499999996</v>
      </c>
      <c r="BM772" t="s">
        <v>959</v>
      </c>
      <c r="BN772" t="s">
        <v>65</v>
      </c>
      <c r="BO772">
        <v>8</v>
      </c>
      <c r="BP772">
        <v>2023</v>
      </c>
      <c r="BQ772" t="str">
        <f t="shared" ref="BQ772:BQ835" si="61">B772&amp;BO772</f>
        <v>Kanchanadit8</v>
      </c>
      <c r="BR772">
        <f t="shared" ref="BR772:BR835" si="62">BT772*Y772</f>
        <v>-1193.0948199999996</v>
      </c>
      <c r="BS772">
        <f t="shared" ref="BS772:BS835" si="63">Y772*AS772</f>
        <v>1766.7236699999999</v>
      </c>
      <c r="BT772" s="6">
        <f t="shared" ref="BT772:BT835" si="64">BJ772-BI772</f>
        <v>-139.97086068785575</v>
      </c>
    </row>
    <row r="773" spans="1:72">
      <c r="A773" s="3" t="s">
        <v>631</v>
      </c>
      <c r="B773" s="3" t="s">
        <v>924</v>
      </c>
      <c r="C773" s="3" t="s">
        <v>949</v>
      </c>
      <c r="D773" s="2" t="s">
        <v>2675</v>
      </c>
      <c r="E773" s="4" t="str">
        <f t="shared" si="60"/>
        <v>KanchanaditC1-047-0008</v>
      </c>
      <c r="F773">
        <v>1.53</v>
      </c>
      <c r="G773">
        <v>1.6</v>
      </c>
      <c r="H773" t="s">
        <v>72</v>
      </c>
      <c r="I773" t="s">
        <v>75</v>
      </c>
      <c r="J773" t="s">
        <v>95</v>
      </c>
      <c r="K773" t="s">
        <v>79</v>
      </c>
      <c r="N773" s="5">
        <v>45139</v>
      </c>
      <c r="O773" s="5">
        <v>45158</v>
      </c>
      <c r="P773">
        <v>0.5</v>
      </c>
      <c r="Q773" s="4">
        <v>128</v>
      </c>
      <c r="R773">
        <v>0.36</v>
      </c>
      <c r="S773" t="s">
        <v>70</v>
      </c>
      <c r="T773" s="6">
        <v>3</v>
      </c>
      <c r="U773" s="5">
        <v>45260</v>
      </c>
      <c r="V773" s="6">
        <v>1</v>
      </c>
      <c r="W773" t="s">
        <v>86</v>
      </c>
      <c r="X773" s="6">
        <v>102</v>
      </c>
      <c r="Y773">
        <v>9.5494900000000005</v>
      </c>
      <c r="Z773">
        <v>6.2414967320261443</v>
      </c>
      <c r="AA773" s="6">
        <v>29.036000875439424</v>
      </c>
      <c r="AB773" s="4">
        <v>55.455799999999996</v>
      </c>
      <c r="AC773" s="6">
        <v>34.440004472029976</v>
      </c>
      <c r="AD773">
        <v>0.35957879399999998</v>
      </c>
      <c r="AE773">
        <v>1.9824985137931734</v>
      </c>
      <c r="AF773">
        <v>18575</v>
      </c>
      <c r="AG773" s="4"/>
      <c r="AH773" s="4"/>
      <c r="AL773">
        <v>27</v>
      </c>
      <c r="AM773">
        <v>3.6780500000000003</v>
      </c>
      <c r="AN773" t="s">
        <v>81</v>
      </c>
      <c r="AO773" t="s">
        <v>438</v>
      </c>
      <c r="AP773" s="5">
        <v>45159</v>
      </c>
      <c r="AQ773" t="s">
        <v>99</v>
      </c>
      <c r="AR773" s="5">
        <v>45259</v>
      </c>
      <c r="AS773">
        <v>209.26078460734553</v>
      </c>
      <c r="AT773" s="6"/>
      <c r="AU773">
        <v>20.943526827087105</v>
      </c>
      <c r="AV773">
        <v>58.412474383448775</v>
      </c>
      <c r="AW773">
        <v>44.774803680615406</v>
      </c>
      <c r="AX773">
        <v>124.1308048911513</v>
      </c>
      <c r="AY773">
        <v>23.092186074858446</v>
      </c>
      <c r="AZ773">
        <v>42.915681360994157</v>
      </c>
      <c r="BA773">
        <v>14.876972487535983</v>
      </c>
      <c r="BB773">
        <v>8.9890276862952891</v>
      </c>
      <c r="BC773">
        <v>23.441703169488637</v>
      </c>
      <c r="BD773">
        <v>113.31557077917252</v>
      </c>
      <c r="BE773">
        <v>-28.18559106297829</v>
      </c>
      <c r="BF773">
        <v>7.8863740367286619</v>
      </c>
      <c r="BH773">
        <v>7.8863740367286619</v>
      </c>
      <c r="BI773">
        <v>245.33274970705244</v>
      </c>
      <c r="BJ773" s="6">
        <v>200</v>
      </c>
      <c r="BK773">
        <v>-36.071965099706908</v>
      </c>
      <c r="BL773" s="4">
        <v>-344.46887000000009</v>
      </c>
      <c r="BM773" t="s">
        <v>2676</v>
      </c>
      <c r="BN773" t="s">
        <v>65</v>
      </c>
      <c r="BO773">
        <v>11</v>
      </c>
      <c r="BP773">
        <v>2023</v>
      </c>
      <c r="BQ773" t="str">
        <f t="shared" si="61"/>
        <v>Kanchanadit11</v>
      </c>
      <c r="BR773">
        <f t="shared" si="62"/>
        <v>-432.90464000000026</v>
      </c>
      <c r="BS773">
        <f t="shared" si="63"/>
        <v>1998.3337700000002</v>
      </c>
      <c r="BT773" s="6">
        <f t="shared" si="64"/>
        <v>-45.332749707052443</v>
      </c>
    </row>
    <row r="774" spans="1:72">
      <c r="A774" s="3" t="s">
        <v>631</v>
      </c>
      <c r="B774" s="3" t="s">
        <v>924</v>
      </c>
      <c r="C774" s="3" t="s">
        <v>949</v>
      </c>
      <c r="D774" s="2" t="s">
        <v>943</v>
      </c>
      <c r="E774" s="4" t="str">
        <f t="shared" si="60"/>
        <v>KanchanaditD1-050-0013</v>
      </c>
      <c r="F774">
        <v>2</v>
      </c>
      <c r="G774">
        <v>2</v>
      </c>
      <c r="H774" t="s">
        <v>72</v>
      </c>
      <c r="I774" t="s">
        <v>75</v>
      </c>
      <c r="J774" t="s">
        <v>68</v>
      </c>
      <c r="K774" t="s">
        <v>79</v>
      </c>
      <c r="N774" s="5">
        <v>45000</v>
      </c>
      <c r="O774" s="5">
        <v>45019</v>
      </c>
      <c r="P774">
        <v>1.2</v>
      </c>
      <c r="Q774" s="4">
        <v>188</v>
      </c>
      <c r="R774">
        <v>0.54</v>
      </c>
      <c r="S774" t="s">
        <v>70</v>
      </c>
      <c r="T774" s="6">
        <v>4</v>
      </c>
      <c r="U774" s="5">
        <v>45166</v>
      </c>
      <c r="V774" s="6">
        <v>1</v>
      </c>
      <c r="W774" t="s">
        <v>86</v>
      </c>
      <c r="X774" s="6">
        <v>147</v>
      </c>
      <c r="Y774">
        <v>21.650029999999997</v>
      </c>
      <c r="Z774">
        <v>10.825014999999999</v>
      </c>
      <c r="AA774" s="6">
        <v>24.539550291616226</v>
      </c>
      <c r="AB774" s="4">
        <v>44.273499999999999</v>
      </c>
      <c r="AC774" s="6">
        <v>40.750543026114187</v>
      </c>
      <c r="AD774">
        <v>0.35436448300000001</v>
      </c>
      <c r="AE774">
        <v>2.1212235198216556</v>
      </c>
      <c r="AF774">
        <v>44550</v>
      </c>
      <c r="AG774" s="4"/>
      <c r="AH774" s="4"/>
      <c r="AL774">
        <v>19</v>
      </c>
      <c r="AM774">
        <v>11.12125</v>
      </c>
      <c r="AN774" t="s">
        <v>81</v>
      </c>
      <c r="AO774" t="s">
        <v>215</v>
      </c>
      <c r="AP774" s="5">
        <v>45019</v>
      </c>
      <c r="AQ774" t="s">
        <v>94</v>
      </c>
      <c r="AR774" s="5">
        <v>45165</v>
      </c>
      <c r="AS774">
        <v>224.10263126656179</v>
      </c>
      <c r="AT774" s="6"/>
      <c r="AU774">
        <v>24.942228717465987</v>
      </c>
      <c r="AV774">
        <v>73.642248070787915</v>
      </c>
      <c r="AW774">
        <v>36.325704860455168</v>
      </c>
      <c r="AX774">
        <v>134.91018164870906</v>
      </c>
      <c r="AY774">
        <v>13.897270350202751</v>
      </c>
      <c r="AZ774">
        <v>49.593560840331406</v>
      </c>
      <c r="BA774">
        <v>5.123687126530541</v>
      </c>
      <c r="BB774">
        <v>5.7513767879305489</v>
      </c>
      <c r="BC774">
        <v>12.18163254277246</v>
      </c>
      <c r="BD774">
        <v>86.547527647767694</v>
      </c>
      <c r="BE774">
        <v>2.6449219700850364</v>
      </c>
      <c r="BF774">
        <v>9.5124653406946766</v>
      </c>
      <c r="BH774">
        <v>9.5124653406946766</v>
      </c>
      <c r="BI774">
        <v>230.97017463717145</v>
      </c>
      <c r="BJ774" s="6">
        <v>219</v>
      </c>
      <c r="BK774">
        <v>-6.8675433706096705</v>
      </c>
      <c r="BL774" s="4">
        <v>-148.68252000000049</v>
      </c>
      <c r="BM774" t="s">
        <v>944</v>
      </c>
      <c r="BN774" t="s">
        <v>65</v>
      </c>
      <c r="BO774">
        <v>8</v>
      </c>
      <c r="BP774">
        <v>2023</v>
      </c>
      <c r="BQ774" t="str">
        <f t="shared" si="61"/>
        <v>Kanchanadit8</v>
      </c>
      <c r="BR774">
        <f t="shared" si="62"/>
        <v>-259.15464000000105</v>
      </c>
      <c r="BS774">
        <f t="shared" si="63"/>
        <v>4851.8286900000003</v>
      </c>
      <c r="BT774" s="6">
        <f t="shared" si="64"/>
        <v>-11.970174637171453</v>
      </c>
    </row>
    <row r="775" spans="1:72">
      <c r="A775" s="3" t="s">
        <v>631</v>
      </c>
      <c r="B775" s="3" t="s">
        <v>924</v>
      </c>
      <c r="C775" s="3" t="s">
        <v>949</v>
      </c>
      <c r="D775" s="2" t="s">
        <v>2667</v>
      </c>
      <c r="E775" s="4" t="str">
        <f t="shared" si="60"/>
        <v>KanchanaditD1-049-0012</v>
      </c>
      <c r="F775">
        <v>2</v>
      </c>
      <c r="G775">
        <v>2</v>
      </c>
      <c r="H775" t="s">
        <v>72</v>
      </c>
      <c r="I775" t="s">
        <v>75</v>
      </c>
      <c r="J775" t="s">
        <v>68</v>
      </c>
      <c r="K775" t="s">
        <v>79</v>
      </c>
      <c r="N775" s="5">
        <v>45153</v>
      </c>
      <c r="O775" s="5">
        <v>45164</v>
      </c>
      <c r="P775">
        <v>1</v>
      </c>
      <c r="Q775" s="4">
        <v>156</v>
      </c>
      <c r="R775">
        <v>0.30599999999999999</v>
      </c>
      <c r="S775" t="s">
        <v>70</v>
      </c>
      <c r="T775" s="6">
        <v>4</v>
      </c>
      <c r="U775" s="5">
        <v>45268</v>
      </c>
      <c r="V775" s="6">
        <v>1</v>
      </c>
      <c r="W775" t="s">
        <v>86</v>
      </c>
      <c r="X775" s="6">
        <v>104</v>
      </c>
      <c r="Y775">
        <v>17.29251</v>
      </c>
      <c r="Z775">
        <v>8.646255</v>
      </c>
      <c r="AA775" s="6">
        <v>33.962276153085938</v>
      </c>
      <c r="AB775" s="4">
        <v>58.729299999999995</v>
      </c>
      <c r="AC775" s="6">
        <v>29.444434038886886</v>
      </c>
      <c r="AD775">
        <v>0.353183048</v>
      </c>
      <c r="AE775">
        <v>1.8558844636125962</v>
      </c>
      <c r="AF775">
        <v>31525</v>
      </c>
      <c r="AG775" s="4"/>
      <c r="AH775" s="4"/>
      <c r="AL775">
        <v>27</v>
      </c>
      <c r="AM775">
        <v>9.3040099999999999</v>
      </c>
      <c r="AN775" t="s">
        <v>81</v>
      </c>
      <c r="AO775" t="s">
        <v>94</v>
      </c>
      <c r="AP775" s="5">
        <v>45164</v>
      </c>
      <c r="AQ775" t="s">
        <v>105</v>
      </c>
      <c r="AR775" s="5">
        <v>45268</v>
      </c>
      <c r="AS775">
        <v>203.44321154071906</v>
      </c>
      <c r="AT775" s="6"/>
      <c r="AU775">
        <v>23.131401976925272</v>
      </c>
      <c r="AV775">
        <v>54.317416037347968</v>
      </c>
      <c r="AW775">
        <v>30.596291111007044</v>
      </c>
      <c r="AX775">
        <v>108.04510912528028</v>
      </c>
      <c r="AY775">
        <v>14.689485794716905</v>
      </c>
      <c r="AZ775">
        <v>40.911034314856558</v>
      </c>
      <c r="BA775">
        <v>5.7196150240769006</v>
      </c>
      <c r="BB775">
        <v>9.5832594574182703</v>
      </c>
      <c r="BC775">
        <v>14.991436754988143</v>
      </c>
      <c r="BD775">
        <v>85.894831346056776</v>
      </c>
      <c r="BE775">
        <v>9.5032710693820093</v>
      </c>
      <c r="BF775">
        <v>10.614571279704334</v>
      </c>
      <c r="BH775">
        <v>10.614571279704334</v>
      </c>
      <c r="BI775">
        <v>204.55451175104136</v>
      </c>
      <c r="BJ775" s="6">
        <v>189</v>
      </c>
      <c r="BK775">
        <v>-1.1113002103222951</v>
      </c>
      <c r="BL775" s="4">
        <v>-19.21717000000039</v>
      </c>
      <c r="BM775" t="s">
        <v>2668</v>
      </c>
      <c r="BN775" t="s">
        <v>65</v>
      </c>
      <c r="BO775">
        <v>12</v>
      </c>
      <c r="BP775">
        <v>2023</v>
      </c>
      <c r="BQ775" t="str">
        <f t="shared" si="61"/>
        <v>Kanchanadit12</v>
      </c>
      <c r="BR775">
        <f t="shared" si="62"/>
        <v>-268.97655000000026</v>
      </c>
      <c r="BS775">
        <f t="shared" si="63"/>
        <v>3518.0437699999998</v>
      </c>
      <c r="BT775" s="6">
        <f t="shared" si="64"/>
        <v>-15.55451175104136</v>
      </c>
    </row>
    <row r="776" spans="1:72">
      <c r="A776" s="3" t="s">
        <v>631</v>
      </c>
      <c r="B776" s="3" t="s">
        <v>924</v>
      </c>
      <c r="C776" s="3" t="s">
        <v>949</v>
      </c>
      <c r="D776" s="2" t="s">
        <v>952</v>
      </c>
      <c r="E776" s="4" t="str">
        <f t="shared" si="60"/>
        <v>KanchanaditC1-042-0005</v>
      </c>
      <c r="F776">
        <v>1.53</v>
      </c>
      <c r="G776">
        <v>1.5</v>
      </c>
      <c r="H776" t="s">
        <v>72</v>
      </c>
      <c r="I776" t="s">
        <v>75</v>
      </c>
      <c r="J776" t="s">
        <v>357</v>
      </c>
      <c r="K776" t="s">
        <v>79</v>
      </c>
      <c r="N776" s="5">
        <v>45010</v>
      </c>
      <c r="O776" s="5">
        <v>45040</v>
      </c>
      <c r="P776">
        <v>0.7</v>
      </c>
      <c r="Q776" s="4">
        <v>191</v>
      </c>
      <c r="R776">
        <v>0.31</v>
      </c>
      <c r="S776" t="s">
        <v>70</v>
      </c>
      <c r="T776" s="6">
        <v>4</v>
      </c>
      <c r="U776" s="5">
        <v>45169</v>
      </c>
      <c r="V776" s="6">
        <v>1</v>
      </c>
      <c r="W776" t="s">
        <v>86</v>
      </c>
      <c r="X776" s="6">
        <v>129</v>
      </c>
      <c r="Y776">
        <v>11.342079999999999</v>
      </c>
      <c r="Z776">
        <v>7.4131241830065351</v>
      </c>
      <c r="AA776" s="6">
        <v>30.076141236880712</v>
      </c>
      <c r="AB776" s="4">
        <v>48.732285714285716</v>
      </c>
      <c r="AC776" s="6">
        <v>33.248946137204435</v>
      </c>
      <c r="AD776">
        <v>0.349957717</v>
      </c>
      <c r="AE776">
        <v>2.3685222937722696</v>
      </c>
      <c r="AF776">
        <v>26350</v>
      </c>
      <c r="AG776" s="4"/>
      <c r="AH776" s="4"/>
      <c r="AL776">
        <v>22</v>
      </c>
      <c r="AM776">
        <v>5.9065399999999997</v>
      </c>
      <c r="AN776" t="s">
        <v>81</v>
      </c>
      <c r="AO776" t="s">
        <v>94</v>
      </c>
      <c r="AP776" s="5">
        <v>45040</v>
      </c>
      <c r="AQ776" t="s">
        <v>148</v>
      </c>
      <c r="AR776" s="5">
        <v>45168</v>
      </c>
      <c r="AS776">
        <v>193.06532576035434</v>
      </c>
      <c r="AT776" s="6"/>
      <c r="AU776">
        <v>24.686829928901926</v>
      </c>
      <c r="AV776">
        <v>83.698221137569121</v>
      </c>
      <c r="AW776">
        <v>45.459926221645411</v>
      </c>
      <c r="AX776">
        <v>153.84497728811644</v>
      </c>
      <c r="AY776">
        <v>26.865420628315082</v>
      </c>
      <c r="AZ776">
        <v>42.891750895779253</v>
      </c>
      <c r="BA776">
        <v>13.992827594233155</v>
      </c>
      <c r="BB776">
        <v>14.163719529398488</v>
      </c>
      <c r="BC776">
        <v>19.64151460754994</v>
      </c>
      <c r="BD776">
        <v>117.55523325527592</v>
      </c>
      <c r="BE776">
        <v>-78.334884783038021</v>
      </c>
      <c r="BF776">
        <v>7.4538171129105066</v>
      </c>
      <c r="BH776">
        <v>7.4538171129105066</v>
      </c>
      <c r="BI776">
        <v>278.85402765630289</v>
      </c>
      <c r="BJ776" s="6">
        <v>197</v>
      </c>
      <c r="BK776">
        <v>-85.788701895948563</v>
      </c>
      <c r="BL776" s="4">
        <v>-973.02232000000026</v>
      </c>
      <c r="BM776" t="s">
        <v>953</v>
      </c>
      <c r="BN776" t="s">
        <v>65</v>
      </c>
      <c r="BO776">
        <v>8</v>
      </c>
      <c r="BP776">
        <v>2023</v>
      </c>
      <c r="BQ776" t="str">
        <f t="shared" si="61"/>
        <v>Kanchanadit8</v>
      </c>
      <c r="BR776">
        <f t="shared" si="62"/>
        <v>-928.39492999999982</v>
      </c>
      <c r="BS776">
        <f t="shared" si="63"/>
        <v>2189.7623699999995</v>
      </c>
      <c r="BT776" s="6">
        <f t="shared" si="64"/>
        <v>-81.85402765630289</v>
      </c>
    </row>
    <row r="777" spans="1:72">
      <c r="A777" s="3" t="s">
        <v>631</v>
      </c>
      <c r="B777" s="3" t="s">
        <v>924</v>
      </c>
      <c r="C777" s="3" t="s">
        <v>949</v>
      </c>
      <c r="D777" s="2" t="s">
        <v>2671</v>
      </c>
      <c r="E777" s="4" t="str">
        <f t="shared" si="60"/>
        <v>KanchanaditC1-046-0013</v>
      </c>
      <c r="F777">
        <v>1.53</v>
      </c>
      <c r="G777">
        <v>1.6</v>
      </c>
      <c r="H777" t="s">
        <v>72</v>
      </c>
      <c r="I777" t="s">
        <v>75</v>
      </c>
      <c r="J777" t="s">
        <v>95</v>
      </c>
      <c r="K777" t="s">
        <v>79</v>
      </c>
      <c r="N777" s="5">
        <v>45132</v>
      </c>
      <c r="O777" s="5">
        <v>45155</v>
      </c>
      <c r="P777">
        <v>0.5</v>
      </c>
      <c r="Q777" s="4">
        <v>128</v>
      </c>
      <c r="R777">
        <v>0.28000000000000003</v>
      </c>
      <c r="S777" t="s">
        <v>70</v>
      </c>
      <c r="T777" s="6">
        <v>2</v>
      </c>
      <c r="U777" s="5">
        <v>45257</v>
      </c>
      <c r="V777" s="6">
        <v>1</v>
      </c>
      <c r="W777" t="s">
        <v>86</v>
      </c>
      <c r="X777" s="6">
        <v>102.00000000000001</v>
      </c>
      <c r="Y777">
        <v>10.308909999999999</v>
      </c>
      <c r="Z777">
        <v>6.7378496732026134</v>
      </c>
      <c r="AA777" s="6">
        <v>30.880568362707599</v>
      </c>
      <c r="AB777" s="4">
        <v>63.668999999999997</v>
      </c>
      <c r="AC777" s="6">
        <v>32.382823666148361</v>
      </c>
      <c r="AD777">
        <v>0.33532116299999998</v>
      </c>
      <c r="AE777">
        <v>1.9766130293217268</v>
      </c>
      <c r="AF777">
        <v>20100</v>
      </c>
      <c r="AG777" s="4"/>
      <c r="AH777" s="4"/>
      <c r="AL777">
        <v>29</v>
      </c>
      <c r="AM777">
        <v>8.1439900000000005</v>
      </c>
      <c r="AN777" t="s">
        <v>81</v>
      </c>
      <c r="AO777" t="s">
        <v>148</v>
      </c>
      <c r="AP777" s="5">
        <v>45155</v>
      </c>
      <c r="AQ777" t="s">
        <v>106</v>
      </c>
      <c r="AR777" s="5">
        <v>45256</v>
      </c>
      <c r="AS777">
        <v>205.33742655625088</v>
      </c>
      <c r="AT777" s="6"/>
      <c r="AU777">
        <v>19.400693186767565</v>
      </c>
      <c r="AV777">
        <v>58.457302469417215</v>
      </c>
      <c r="AW777">
        <v>45.019402633256078</v>
      </c>
      <c r="AX777">
        <v>122.87739828944086</v>
      </c>
      <c r="AY777">
        <v>23.271810501789226</v>
      </c>
      <c r="AZ777">
        <v>41.224065395856591</v>
      </c>
      <c r="BA777">
        <v>14.856377638373017</v>
      </c>
      <c r="BB777">
        <v>9.6512579894479629</v>
      </c>
      <c r="BC777">
        <v>22.640337339253133</v>
      </c>
      <c r="BD777">
        <v>111.64384886471993</v>
      </c>
      <c r="BE777">
        <v>-29.183820597909914</v>
      </c>
      <c r="BF777">
        <v>7.7298094560918669</v>
      </c>
      <c r="BH777">
        <v>7.7298094560918669</v>
      </c>
      <c r="BI777">
        <v>242.25105661025268</v>
      </c>
      <c r="BJ777" s="6">
        <v>197</v>
      </c>
      <c r="BK777">
        <v>-36.913630054001786</v>
      </c>
      <c r="BL777" s="4">
        <v>-380.5392899999996</v>
      </c>
      <c r="BM777" t="s">
        <v>2672</v>
      </c>
      <c r="BN777" t="s">
        <v>65</v>
      </c>
      <c r="BO777">
        <v>11</v>
      </c>
      <c r="BP777">
        <v>2023</v>
      </c>
      <c r="BQ777" t="str">
        <f t="shared" si="61"/>
        <v>Kanchanadit11</v>
      </c>
      <c r="BR777">
        <f t="shared" si="62"/>
        <v>-466.48906999999986</v>
      </c>
      <c r="BS777">
        <f t="shared" si="63"/>
        <v>2116.8050499999999</v>
      </c>
      <c r="BT777" s="6">
        <f t="shared" si="64"/>
        <v>-45.251056610252675</v>
      </c>
    </row>
    <row r="778" spans="1:72">
      <c r="A778" s="3" t="s">
        <v>631</v>
      </c>
      <c r="B778" s="3" t="s">
        <v>924</v>
      </c>
      <c r="C778" s="3" t="s">
        <v>949</v>
      </c>
      <c r="D778" s="2" t="s">
        <v>2673</v>
      </c>
      <c r="E778" s="4" t="str">
        <f t="shared" si="60"/>
        <v>KanchanaditC1-045-0012</v>
      </c>
      <c r="F778">
        <v>1.53</v>
      </c>
      <c r="G778">
        <v>1.6</v>
      </c>
      <c r="H778" t="s">
        <v>72</v>
      </c>
      <c r="I778" t="s">
        <v>75</v>
      </c>
      <c r="J778" t="s">
        <v>95</v>
      </c>
      <c r="K778" t="s">
        <v>79</v>
      </c>
      <c r="N778" s="5">
        <v>45139</v>
      </c>
      <c r="O778" s="5">
        <v>45161</v>
      </c>
      <c r="P778">
        <v>0.5</v>
      </c>
      <c r="Q778" s="4">
        <v>128</v>
      </c>
      <c r="R778">
        <v>0.28399999999999997</v>
      </c>
      <c r="S778" t="s">
        <v>70</v>
      </c>
      <c r="T778" s="6">
        <v>3</v>
      </c>
      <c r="U778" s="5">
        <v>45267</v>
      </c>
      <c r="V778" s="6">
        <v>1</v>
      </c>
      <c r="W778" t="s">
        <v>86</v>
      </c>
      <c r="X778" s="6">
        <v>106</v>
      </c>
      <c r="Y778">
        <v>8.6442700000000006</v>
      </c>
      <c r="Z778">
        <v>5.6498496732026142</v>
      </c>
      <c r="AA778" s="6">
        <v>29.855615338252967</v>
      </c>
      <c r="AB778" s="4">
        <v>51.615999999999993</v>
      </c>
      <c r="AC778" s="6">
        <v>33.494536577805334</v>
      </c>
      <c r="AD778">
        <v>0.334247978</v>
      </c>
      <c r="AE778">
        <v>2.0465122843664103</v>
      </c>
      <c r="AF778">
        <v>17400</v>
      </c>
      <c r="AG778" s="4"/>
      <c r="AH778" s="4"/>
      <c r="AL778">
        <v>27.999999999999996</v>
      </c>
      <c r="AM778">
        <v>5.3879399999999995</v>
      </c>
      <c r="AN778" t="s">
        <v>81</v>
      </c>
      <c r="AO778" t="s">
        <v>93</v>
      </c>
      <c r="AP778" s="5">
        <v>45161</v>
      </c>
      <c r="AQ778" t="s">
        <v>105</v>
      </c>
      <c r="AR778" s="5">
        <v>45266</v>
      </c>
      <c r="AS778">
        <v>212.49356741517792</v>
      </c>
      <c r="AT778" s="6"/>
      <c r="AU778">
        <v>23.136713684324992</v>
      </c>
      <c r="AV778">
        <v>60.12780142221375</v>
      </c>
      <c r="AW778">
        <v>50.892066073826946</v>
      </c>
      <c r="AX778">
        <v>134.15658118036569</v>
      </c>
      <c r="AY778">
        <v>27.23745671988496</v>
      </c>
      <c r="AZ778">
        <v>49.849619458901685</v>
      </c>
      <c r="BA778">
        <v>17.828184450508836</v>
      </c>
      <c r="BB778">
        <v>11.362379934916426</v>
      </c>
      <c r="BC778">
        <v>27.861516357078152</v>
      </c>
      <c r="BD778">
        <v>134.13915692129007</v>
      </c>
      <c r="BE778">
        <v>-55.802170686477837</v>
      </c>
      <c r="BF778">
        <v>9.4980871721961488</v>
      </c>
      <c r="BH778">
        <v>9.4980871721961488</v>
      </c>
      <c r="BI778">
        <v>277.79382527385189</v>
      </c>
      <c r="BJ778" s="6">
        <v>200</v>
      </c>
      <c r="BK778">
        <v>-65.30025785867393</v>
      </c>
      <c r="BL778" s="4">
        <v>-564.47305999999935</v>
      </c>
      <c r="BM778" t="s">
        <v>2674</v>
      </c>
      <c r="BN778" t="s">
        <v>65</v>
      </c>
      <c r="BO778">
        <v>12</v>
      </c>
      <c r="BP778">
        <v>2023</v>
      </c>
      <c r="BQ778" t="str">
        <f t="shared" si="61"/>
        <v>Kanchanadit12</v>
      </c>
      <c r="BR778">
        <f t="shared" si="62"/>
        <v>-672.47082999999975</v>
      </c>
      <c r="BS778">
        <f t="shared" si="63"/>
        <v>1836.8517700000002</v>
      </c>
      <c r="BT778" s="6">
        <f t="shared" si="64"/>
        <v>-77.793825273851894</v>
      </c>
    </row>
    <row r="779" spans="1:72">
      <c r="A779" s="3" t="s">
        <v>631</v>
      </c>
      <c r="B779" s="3" t="s">
        <v>924</v>
      </c>
      <c r="C779" s="3" t="s">
        <v>949</v>
      </c>
      <c r="D779" s="2" t="s">
        <v>961</v>
      </c>
      <c r="E779" s="4" t="str">
        <f t="shared" si="60"/>
        <v>KanchanaditC1-045-0011</v>
      </c>
      <c r="F779">
        <v>1.53</v>
      </c>
      <c r="G779">
        <v>1.6</v>
      </c>
      <c r="H779" t="s">
        <v>72</v>
      </c>
      <c r="I779" t="s">
        <v>75</v>
      </c>
      <c r="J779" t="s">
        <v>95</v>
      </c>
      <c r="K779" t="s">
        <v>79</v>
      </c>
      <c r="N779" s="5">
        <v>44958</v>
      </c>
      <c r="O779" s="5">
        <v>44964</v>
      </c>
      <c r="P779">
        <v>0.5</v>
      </c>
      <c r="Q779" s="4">
        <v>128</v>
      </c>
      <c r="R779">
        <v>0.52800000000000002</v>
      </c>
      <c r="S779" t="s">
        <v>70</v>
      </c>
      <c r="T779" s="6">
        <v>3</v>
      </c>
      <c r="U779" s="5">
        <v>45099</v>
      </c>
      <c r="V779" s="6">
        <v>1</v>
      </c>
      <c r="W779" t="s">
        <v>86</v>
      </c>
      <c r="X779" s="6">
        <v>135</v>
      </c>
      <c r="Y779">
        <v>10.702830000000001</v>
      </c>
      <c r="Z779">
        <v>6.9953137254901963</v>
      </c>
      <c r="AA779" s="6">
        <v>26.319767762358179</v>
      </c>
      <c r="AB779" s="4">
        <v>56.339199999999998</v>
      </c>
      <c r="AC779" s="6">
        <v>37.994256219470635</v>
      </c>
      <c r="AD779">
        <v>0.33278922599999999</v>
      </c>
      <c r="AE779">
        <v>2.6343948507639268</v>
      </c>
      <c r="AF779">
        <v>27500</v>
      </c>
      <c r="AG779" s="4"/>
      <c r="AH779" s="4"/>
      <c r="AL779">
        <v>22</v>
      </c>
      <c r="AM779">
        <v>6.0622199999999999</v>
      </c>
      <c r="AN779" t="s">
        <v>81</v>
      </c>
      <c r="AO779" t="s">
        <v>101</v>
      </c>
      <c r="AP779" s="5">
        <v>44964</v>
      </c>
      <c r="AQ779" t="s">
        <v>96</v>
      </c>
      <c r="AR779" s="5">
        <v>45098</v>
      </c>
      <c r="AS779">
        <v>243.84434397257547</v>
      </c>
      <c r="AT779" s="6"/>
      <c r="AU779">
        <v>21.022477232657156</v>
      </c>
      <c r="AV779">
        <v>92.816911975617671</v>
      </c>
      <c r="AW779">
        <v>52.444322669798574</v>
      </c>
      <c r="AX779">
        <v>166.2837118780734</v>
      </c>
      <c r="AY779">
        <v>22.629979173732558</v>
      </c>
      <c r="AZ779">
        <v>39.053412975820414</v>
      </c>
      <c r="BA779">
        <v>8.8015095072985368</v>
      </c>
      <c r="BB779">
        <v>6.5180340153024954</v>
      </c>
      <c r="BC779">
        <v>14.189472317134813</v>
      </c>
      <c r="BD779">
        <v>91.192407989288824</v>
      </c>
      <c r="BE779">
        <v>-13.631775894786756</v>
      </c>
      <c r="BF779">
        <v>6.3821185611655995</v>
      </c>
      <c r="BH779">
        <v>6.3821185611655995</v>
      </c>
      <c r="BI779">
        <v>263.85823842852778</v>
      </c>
      <c r="BJ779" s="6">
        <v>210</v>
      </c>
      <c r="BK779">
        <v>-20.013894455952311</v>
      </c>
      <c r="BL779" s="4">
        <v>-214.20531000000005</v>
      </c>
      <c r="BM779" t="s">
        <v>962</v>
      </c>
      <c r="BN779" t="s">
        <v>65</v>
      </c>
      <c r="BO779">
        <v>6</v>
      </c>
      <c r="BP779">
        <v>2023</v>
      </c>
      <c r="BQ779" t="str">
        <f t="shared" si="61"/>
        <v>Kanchanadit6</v>
      </c>
      <c r="BR779">
        <f t="shared" si="62"/>
        <v>-576.4355700000001</v>
      </c>
      <c r="BS779">
        <f t="shared" si="63"/>
        <v>2609.82456</v>
      </c>
      <c r="BT779" s="6">
        <f t="shared" si="64"/>
        <v>-53.858238428527784</v>
      </c>
    </row>
    <row r="780" spans="1:72">
      <c r="A780" s="3" t="s">
        <v>631</v>
      </c>
      <c r="B780" s="3" t="s">
        <v>924</v>
      </c>
      <c r="C780" s="3" t="s">
        <v>949</v>
      </c>
      <c r="D780" s="2" t="s">
        <v>2665</v>
      </c>
      <c r="E780" s="4" t="str">
        <f t="shared" si="60"/>
        <v>KanchanaditD1-048-0013</v>
      </c>
      <c r="F780">
        <v>2</v>
      </c>
      <c r="G780">
        <v>2</v>
      </c>
      <c r="H780" t="s">
        <v>72</v>
      </c>
      <c r="I780" t="s">
        <v>75</v>
      </c>
      <c r="J780" t="s">
        <v>68</v>
      </c>
      <c r="K780" t="s">
        <v>79</v>
      </c>
      <c r="N780" s="5">
        <v>45153</v>
      </c>
      <c r="O780" s="5">
        <v>45159</v>
      </c>
      <c r="P780">
        <v>1</v>
      </c>
      <c r="Q780" s="4">
        <v>156</v>
      </c>
      <c r="R780">
        <v>0.24</v>
      </c>
      <c r="S780" t="s">
        <v>70</v>
      </c>
      <c r="T780" s="6">
        <v>5</v>
      </c>
      <c r="U780" s="5">
        <v>45266</v>
      </c>
      <c r="V780" s="6">
        <v>1</v>
      </c>
      <c r="W780" t="s">
        <v>86</v>
      </c>
      <c r="X780" s="6">
        <v>107</v>
      </c>
      <c r="Y780">
        <v>17.249980000000001</v>
      </c>
      <c r="Z780">
        <v>8.6249900000000004</v>
      </c>
      <c r="AA780" s="6">
        <v>34.48131534065547</v>
      </c>
      <c r="AB780" s="4">
        <v>59.480200000000004</v>
      </c>
      <c r="AC780" s="6">
        <v>29.00121384931456</v>
      </c>
      <c r="AD780">
        <v>0.33153538100000002</v>
      </c>
      <c r="AE780">
        <v>1.8312778733425907</v>
      </c>
      <c r="AF780">
        <v>31150</v>
      </c>
      <c r="AG780" s="4"/>
      <c r="AH780" s="4"/>
      <c r="AL780">
        <v>28</v>
      </c>
      <c r="AM780">
        <v>2.7458899999999997</v>
      </c>
      <c r="AN780" t="s">
        <v>81</v>
      </c>
      <c r="AO780" t="s">
        <v>94</v>
      </c>
      <c r="AP780" s="5">
        <v>45159</v>
      </c>
      <c r="AQ780" t="s">
        <v>105</v>
      </c>
      <c r="AR780" s="5">
        <v>45265</v>
      </c>
      <c r="AS780">
        <v>201.07635950882263</v>
      </c>
      <c r="AT780" s="6"/>
      <c r="AU780">
        <v>23.188432682240791</v>
      </c>
      <c r="AV780">
        <v>53.985359983026079</v>
      </c>
      <c r="AW780">
        <v>30.670403675830347</v>
      </c>
      <c r="AX780">
        <v>107.8441963410972</v>
      </c>
      <c r="AY780">
        <v>14.519401761625231</v>
      </c>
      <c r="AZ780">
        <v>40.465326916321068</v>
      </c>
      <c r="BA780">
        <v>5.5924650347420686</v>
      </c>
      <c r="BB780">
        <v>9.4970915908308307</v>
      </c>
      <c r="BC780">
        <v>14.729150990319987</v>
      </c>
      <c r="BD780">
        <v>84.803436293839184</v>
      </c>
      <c r="BE780">
        <v>8.428726873886248</v>
      </c>
      <c r="BF780">
        <v>10.481759978852152</v>
      </c>
      <c r="BH780">
        <v>10.481759978852152</v>
      </c>
      <c r="BI780">
        <v>203.12939261378861</v>
      </c>
      <c r="BJ780" s="6">
        <v>189</v>
      </c>
      <c r="BK780">
        <v>-2.053033104965988</v>
      </c>
      <c r="BL780" s="4">
        <v>-35.414780000001194</v>
      </c>
      <c r="BM780" t="s">
        <v>2666</v>
      </c>
      <c r="BN780" t="s">
        <v>65</v>
      </c>
      <c r="BO780">
        <v>12</v>
      </c>
      <c r="BP780">
        <v>2023</v>
      </c>
      <c r="BQ780" t="str">
        <f t="shared" si="61"/>
        <v>Kanchanadit12</v>
      </c>
      <c r="BR780">
        <f t="shared" si="62"/>
        <v>-243.73174000000125</v>
      </c>
      <c r="BS780">
        <f t="shared" si="63"/>
        <v>3468.5631800000006</v>
      </c>
      <c r="BT780" s="6">
        <f t="shared" si="64"/>
        <v>-14.12939261378861</v>
      </c>
    </row>
    <row r="781" spans="1:72">
      <c r="A781" s="3" t="s">
        <v>631</v>
      </c>
      <c r="B781" s="3" t="s">
        <v>924</v>
      </c>
      <c r="C781" s="3" t="s">
        <v>949</v>
      </c>
      <c r="D781" s="2" t="s">
        <v>960</v>
      </c>
      <c r="E781" s="4" t="str">
        <f t="shared" si="60"/>
        <v>KanchanaditC1-040-0015</v>
      </c>
      <c r="F781">
        <v>1.53</v>
      </c>
      <c r="G781">
        <v>1.6</v>
      </c>
      <c r="H781" t="s">
        <v>72</v>
      </c>
      <c r="I781" t="s">
        <v>75</v>
      </c>
      <c r="J781" t="s">
        <v>95</v>
      </c>
      <c r="K781" t="s">
        <v>79</v>
      </c>
      <c r="N781" s="5">
        <v>44979</v>
      </c>
      <c r="O781" s="5">
        <v>44984</v>
      </c>
      <c r="P781">
        <v>0.5</v>
      </c>
      <c r="Q781" s="4">
        <v>128</v>
      </c>
      <c r="R781">
        <v>0.67</v>
      </c>
      <c r="S781" t="s">
        <v>70</v>
      </c>
      <c r="T781" s="6">
        <v>3</v>
      </c>
      <c r="U781" s="5">
        <v>45136</v>
      </c>
      <c r="V781" s="6">
        <v>1</v>
      </c>
      <c r="W781" t="s">
        <v>86</v>
      </c>
      <c r="X781" s="6">
        <v>152</v>
      </c>
      <c r="Y781">
        <v>10.947010000000001</v>
      </c>
      <c r="Z781">
        <v>7.154908496732026</v>
      </c>
      <c r="AA781" s="6">
        <v>26.507603446055132</v>
      </c>
      <c r="AB781" s="4">
        <v>58.035800000000002</v>
      </c>
      <c r="AC781" s="6">
        <v>37.725024898424763</v>
      </c>
      <c r="AD781">
        <v>0.32453947399999999</v>
      </c>
      <c r="AE781">
        <v>2.4877567501604321</v>
      </c>
      <c r="AF781">
        <v>26400</v>
      </c>
      <c r="AG781" s="4"/>
      <c r="AH781" s="4"/>
      <c r="AL781">
        <v>20</v>
      </c>
      <c r="AM781">
        <v>6.9005299999999998</v>
      </c>
      <c r="AN781" t="s">
        <v>81</v>
      </c>
      <c r="AO781" t="s">
        <v>109</v>
      </c>
      <c r="AP781" s="5">
        <v>44984</v>
      </c>
      <c r="AQ781" t="s">
        <v>148</v>
      </c>
      <c r="AR781" s="5">
        <v>45135</v>
      </c>
      <c r="AS781">
        <v>246.52690369333726</v>
      </c>
      <c r="AT781" s="6"/>
      <c r="AU781">
        <v>22.837286163071013</v>
      </c>
      <c r="AV781">
        <v>86.487861982404297</v>
      </c>
      <c r="AW781">
        <v>49.020745390750527</v>
      </c>
      <c r="AX781">
        <v>158.34589353622584</v>
      </c>
      <c r="AY781">
        <v>27.080976449277024</v>
      </c>
      <c r="AZ781">
        <v>44.779305947468764</v>
      </c>
      <c r="BA781">
        <v>10.991188461506839</v>
      </c>
      <c r="BB781">
        <v>12.604005111898136</v>
      </c>
      <c r="BC781">
        <v>18.383951416870904</v>
      </c>
      <c r="BD781">
        <v>113.83942738702167</v>
      </c>
      <c r="BE781">
        <v>-25.658417229910256</v>
      </c>
      <c r="BF781">
        <v>7.0559175519160018</v>
      </c>
      <c r="BH781">
        <v>7.0559175519160018</v>
      </c>
      <c r="BI781">
        <v>279.24123847516358</v>
      </c>
      <c r="BJ781" s="6">
        <v>210</v>
      </c>
      <c r="BK781">
        <v>-32.714334781826302</v>
      </c>
      <c r="BL781" s="4">
        <v>-358.12415000000038</v>
      </c>
      <c r="BM781" t="s">
        <v>925</v>
      </c>
      <c r="BN781" t="s">
        <v>65</v>
      </c>
      <c r="BO781">
        <v>7</v>
      </c>
      <c r="BP781">
        <v>2023</v>
      </c>
      <c r="BQ781" t="str">
        <f t="shared" si="61"/>
        <v>Kanchanadit7</v>
      </c>
      <c r="BR781">
        <f t="shared" si="62"/>
        <v>-757.98453000000052</v>
      </c>
      <c r="BS781">
        <f t="shared" si="63"/>
        <v>2698.7324800000001</v>
      </c>
      <c r="BT781" s="6">
        <f t="shared" si="64"/>
        <v>-69.241238475163584</v>
      </c>
    </row>
    <row r="782" spans="1:72">
      <c r="A782" s="3" t="s">
        <v>631</v>
      </c>
      <c r="B782" s="3" t="s">
        <v>924</v>
      </c>
      <c r="C782" s="3" t="s">
        <v>949</v>
      </c>
      <c r="D782" s="2" t="s">
        <v>963</v>
      </c>
      <c r="E782" s="4" t="str">
        <f t="shared" si="60"/>
        <v>KanchanaditC1-047-0006</v>
      </c>
      <c r="F782">
        <v>1.53</v>
      </c>
      <c r="G782">
        <v>1.6</v>
      </c>
      <c r="H782" t="s">
        <v>72</v>
      </c>
      <c r="I782" t="s">
        <v>75</v>
      </c>
      <c r="J782" t="s">
        <v>95</v>
      </c>
      <c r="K782" t="s">
        <v>79</v>
      </c>
      <c r="L782" t="s">
        <v>79</v>
      </c>
      <c r="N782" s="5">
        <v>44951</v>
      </c>
      <c r="O782" s="5">
        <v>44957</v>
      </c>
      <c r="P782">
        <v>0.5</v>
      </c>
      <c r="Q782" s="4">
        <v>128</v>
      </c>
      <c r="R782">
        <v>0.28000000000000003</v>
      </c>
      <c r="S782" t="s">
        <v>70</v>
      </c>
      <c r="T782" s="6">
        <v>3</v>
      </c>
      <c r="U782" s="5">
        <v>45102</v>
      </c>
      <c r="V782" s="6">
        <v>1</v>
      </c>
      <c r="W782" t="s">
        <v>86</v>
      </c>
      <c r="X782" s="6">
        <v>145</v>
      </c>
      <c r="Y782">
        <v>12.138530000000001</v>
      </c>
      <c r="Z782">
        <v>7.9336797385620921</v>
      </c>
      <c r="AA782" s="6">
        <v>25.92719217236354</v>
      </c>
      <c r="AB782" s="4">
        <v>62.943599999999996</v>
      </c>
      <c r="AC782" s="6">
        <v>38.569544798835786</v>
      </c>
      <c r="AD782">
        <v>0.31154858899999999</v>
      </c>
      <c r="AE782">
        <v>2.5836498304375617</v>
      </c>
      <c r="AF782">
        <v>31000</v>
      </c>
      <c r="AG782" s="4">
        <v>0</v>
      </c>
      <c r="AH782" s="4"/>
      <c r="AL782">
        <v>22</v>
      </c>
      <c r="AM782">
        <v>7.6109499999999999</v>
      </c>
      <c r="AN782" t="s">
        <v>81</v>
      </c>
      <c r="AO782" t="s">
        <v>109</v>
      </c>
      <c r="AP782" s="5">
        <v>44957</v>
      </c>
      <c r="AQ782" t="s">
        <v>96</v>
      </c>
      <c r="AR782" s="5">
        <v>45102</v>
      </c>
      <c r="AS782">
        <v>243.00292951452931</v>
      </c>
      <c r="AT782" s="6"/>
      <c r="AU782">
        <v>16.476459670157752</v>
      </c>
      <c r="AV782">
        <v>92.326899550439805</v>
      </c>
      <c r="AW782">
        <v>63.227488831019897</v>
      </c>
      <c r="AX782">
        <v>172.03084805161745</v>
      </c>
      <c r="AY782">
        <v>23.975786194868739</v>
      </c>
      <c r="AZ782">
        <v>38.127269941253189</v>
      </c>
      <c r="BA782">
        <v>8.2941122195191657</v>
      </c>
      <c r="BB782">
        <v>6.2926186284500671</v>
      </c>
      <c r="BC782">
        <v>14.442516515591262</v>
      </c>
      <c r="BD782">
        <v>91.132303499682408</v>
      </c>
      <c r="BE782">
        <v>-20.160222036770548</v>
      </c>
      <c r="BF782">
        <v>7.0554193959235585</v>
      </c>
      <c r="BH782">
        <v>7.0554193959235585</v>
      </c>
      <c r="BI782">
        <v>270.21857094722338</v>
      </c>
      <c r="BJ782" s="6">
        <v>210</v>
      </c>
      <c r="BK782">
        <v>-27.215641432694103</v>
      </c>
      <c r="BL782" s="4">
        <v>-330.35788000000036</v>
      </c>
      <c r="BM782" t="s">
        <v>964</v>
      </c>
      <c r="BN782" t="s">
        <v>65</v>
      </c>
      <c r="BO782">
        <v>6</v>
      </c>
      <c r="BP782">
        <v>2023</v>
      </c>
      <c r="BQ782" t="str">
        <f t="shared" si="61"/>
        <v>Kanchanadit6</v>
      </c>
      <c r="BR782">
        <f t="shared" si="62"/>
        <v>-730.96492999999953</v>
      </c>
      <c r="BS782">
        <f t="shared" si="63"/>
        <v>2949.6983499999997</v>
      </c>
      <c r="BT782" s="6">
        <f t="shared" si="64"/>
        <v>-60.218570947223384</v>
      </c>
    </row>
    <row r="783" spans="1:72">
      <c r="A783" s="3" t="s">
        <v>631</v>
      </c>
      <c r="B783" s="3" t="s">
        <v>924</v>
      </c>
      <c r="C783" s="3" t="s">
        <v>949</v>
      </c>
      <c r="D783" s="2" t="s">
        <v>956</v>
      </c>
      <c r="E783" s="4" t="str">
        <f t="shared" si="60"/>
        <v>KanchanaditC1-044-0014</v>
      </c>
      <c r="F783">
        <v>1.53</v>
      </c>
      <c r="G783">
        <v>1.6</v>
      </c>
      <c r="H783" t="s">
        <v>72</v>
      </c>
      <c r="I783" t="s">
        <v>75</v>
      </c>
      <c r="J783" t="s">
        <v>95</v>
      </c>
      <c r="K783" t="s">
        <v>79</v>
      </c>
      <c r="L783" t="s">
        <v>79</v>
      </c>
      <c r="N783" s="5">
        <v>44951</v>
      </c>
      <c r="O783" s="5">
        <v>44958</v>
      </c>
      <c r="P783">
        <v>0.5</v>
      </c>
      <c r="Q783" s="4">
        <v>128</v>
      </c>
      <c r="R783">
        <v>0.39</v>
      </c>
      <c r="S783" t="s">
        <v>70</v>
      </c>
      <c r="T783" s="6">
        <v>3</v>
      </c>
      <c r="U783" s="5">
        <v>45100</v>
      </c>
      <c r="V783" s="6">
        <v>1</v>
      </c>
      <c r="W783" t="s">
        <v>86</v>
      </c>
      <c r="X783" s="6">
        <v>142</v>
      </c>
      <c r="Y783">
        <v>13.145809999999999</v>
      </c>
      <c r="Z783">
        <v>8.592032679738562</v>
      </c>
      <c r="AA783" s="6">
        <v>27.317829787590114</v>
      </c>
      <c r="AB783" s="4">
        <v>71.823000000000008</v>
      </c>
      <c r="AC783" s="6">
        <v>36.60612895590549</v>
      </c>
      <c r="AD783">
        <v>0.29068075100000001</v>
      </c>
      <c r="AE783">
        <v>2.3241861294733828</v>
      </c>
      <c r="AF783">
        <v>30100</v>
      </c>
      <c r="AG783" s="4">
        <v>0</v>
      </c>
      <c r="AH783" s="4"/>
      <c r="AL783">
        <v>24</v>
      </c>
      <c r="AM783">
        <v>8.5042500000000008</v>
      </c>
      <c r="AN783" t="s">
        <v>81</v>
      </c>
      <c r="AO783" t="s">
        <v>109</v>
      </c>
      <c r="AP783" s="5">
        <v>44958</v>
      </c>
      <c r="AQ783" t="s">
        <v>96</v>
      </c>
      <c r="AR783" s="5">
        <v>45099</v>
      </c>
      <c r="AS783">
        <v>231.30276491140526</v>
      </c>
      <c r="AT783" s="6"/>
      <c r="AU783">
        <v>15.213973121473689</v>
      </c>
      <c r="AV783">
        <v>82.758838747859599</v>
      </c>
      <c r="AW783">
        <v>59.401150632787207</v>
      </c>
      <c r="AX783">
        <v>157.37396250212049</v>
      </c>
      <c r="AY783">
        <v>21.854512578532624</v>
      </c>
      <c r="AZ783">
        <v>34.717163871986585</v>
      </c>
      <c r="BA783">
        <v>7.6297200400736056</v>
      </c>
      <c r="BB783">
        <v>5.648060484671543</v>
      </c>
      <c r="BC783">
        <v>13.137960308265525</v>
      </c>
      <c r="BD783">
        <v>82.987417283529879</v>
      </c>
      <c r="BE783">
        <v>-9.0586148742451087</v>
      </c>
      <c r="BF783">
        <v>6.4429175531975602</v>
      </c>
      <c r="BH783">
        <v>6.4429175531975602</v>
      </c>
      <c r="BI783">
        <v>246.80429733884793</v>
      </c>
      <c r="BJ783" s="6">
        <v>207</v>
      </c>
      <c r="BK783">
        <v>-15.501532427442676</v>
      </c>
      <c r="BL783" s="4">
        <v>-203.78020000000018</v>
      </c>
      <c r="BM783" t="s">
        <v>957</v>
      </c>
      <c r="BN783" t="s">
        <v>65</v>
      </c>
      <c r="BO783">
        <v>6</v>
      </c>
      <c r="BP783">
        <v>2023</v>
      </c>
      <c r="BQ783" t="str">
        <f t="shared" si="61"/>
        <v>Kanchanadit6</v>
      </c>
      <c r="BR783">
        <f t="shared" si="62"/>
        <v>-523.25973000000045</v>
      </c>
      <c r="BS783">
        <f t="shared" si="63"/>
        <v>3040.6622000000002</v>
      </c>
      <c r="BT783" s="6">
        <f t="shared" si="64"/>
        <v>-39.804297338847931</v>
      </c>
    </row>
    <row r="784" spans="1:72">
      <c r="A784" s="3" t="s">
        <v>631</v>
      </c>
      <c r="B784" s="3" t="s">
        <v>924</v>
      </c>
      <c r="C784" s="3" t="s">
        <v>949</v>
      </c>
      <c r="D784" s="2" t="s">
        <v>965</v>
      </c>
      <c r="E784" s="4" t="str">
        <f t="shared" si="60"/>
        <v>KanchanaditC1-046-0012</v>
      </c>
      <c r="F784">
        <v>1.53</v>
      </c>
      <c r="G784">
        <v>1.6</v>
      </c>
      <c r="H784" t="s">
        <v>72</v>
      </c>
      <c r="I784" t="s">
        <v>75</v>
      </c>
      <c r="J784" t="s">
        <v>95</v>
      </c>
      <c r="K784" t="s">
        <v>79</v>
      </c>
      <c r="L784" t="s">
        <v>79</v>
      </c>
      <c r="M784">
        <v>0.99396031061259704</v>
      </c>
      <c r="N784" s="5">
        <v>44885</v>
      </c>
      <c r="O784" s="5">
        <v>44894</v>
      </c>
      <c r="P784">
        <v>0.5</v>
      </c>
      <c r="Q784" s="4">
        <v>128</v>
      </c>
      <c r="R784">
        <v>0.85499999999999998</v>
      </c>
      <c r="S784" t="s">
        <v>70</v>
      </c>
      <c r="T784" s="6">
        <v>1</v>
      </c>
      <c r="U784" s="5">
        <v>45041</v>
      </c>
      <c r="V784" s="6">
        <v>1</v>
      </c>
      <c r="W784" t="s">
        <v>86</v>
      </c>
      <c r="X784" s="6">
        <v>147</v>
      </c>
      <c r="Y784">
        <v>9.5419199999999993</v>
      </c>
      <c r="Z784">
        <v>6.2365490196078426</v>
      </c>
      <c r="AA784" s="6">
        <v>25.001362409242585</v>
      </c>
      <c r="AB784" s="4">
        <v>47.712199999999996</v>
      </c>
      <c r="AC784" s="6">
        <v>39.997820263999564</v>
      </c>
      <c r="AD784">
        <v>0.26629251700000001</v>
      </c>
      <c r="AE784">
        <v>3.1790283967602986</v>
      </c>
      <c r="AF784">
        <v>28975</v>
      </c>
      <c r="AG784" s="4">
        <v>4000</v>
      </c>
      <c r="AH784" s="4">
        <v>28800</v>
      </c>
      <c r="AL784">
        <v>25</v>
      </c>
      <c r="AM784">
        <v>9.5074500000000004</v>
      </c>
      <c r="AN784" t="s">
        <v>81</v>
      </c>
      <c r="AO784" t="s">
        <v>109</v>
      </c>
      <c r="AP784" s="5">
        <v>44895</v>
      </c>
      <c r="AQ784" t="s">
        <v>94</v>
      </c>
      <c r="AR784" s="5">
        <v>45040</v>
      </c>
      <c r="AS784">
        <v>298.9939257507923</v>
      </c>
      <c r="AT784" s="6"/>
      <c r="AU784">
        <v>28.820195516206383</v>
      </c>
      <c r="AV784">
        <v>105.96124784110538</v>
      </c>
      <c r="AW784">
        <v>95.853248612438591</v>
      </c>
      <c r="AX784">
        <v>230.63469196975035</v>
      </c>
      <c r="AY784">
        <v>52.980794221708003</v>
      </c>
      <c r="AZ784">
        <v>54.836079111960693</v>
      </c>
      <c r="BA784">
        <v>12.845823482066503</v>
      </c>
      <c r="BB784">
        <v>15.010906609990444</v>
      </c>
      <c r="BC784">
        <v>31.897635905561977</v>
      </c>
      <c r="BD784">
        <v>167.57123933128761</v>
      </c>
      <c r="BE784">
        <v>-99.212005550245664</v>
      </c>
      <c r="BF784">
        <v>17.779043421030568</v>
      </c>
      <c r="BH784">
        <v>17.779043421030568</v>
      </c>
      <c r="BI784">
        <v>415.98497472206844</v>
      </c>
      <c r="BJ784" s="6">
        <v>214</v>
      </c>
      <c r="BK784">
        <v>-116.99104897127611</v>
      </c>
      <c r="BL784" s="4">
        <v>-1116.3192299999992</v>
      </c>
      <c r="BM784" t="s">
        <v>966</v>
      </c>
      <c r="BN784" t="s">
        <v>65</v>
      </c>
      <c r="BO784">
        <v>4</v>
      </c>
      <c r="BP784">
        <v>2023</v>
      </c>
      <c r="BQ784" t="str">
        <f t="shared" si="61"/>
        <v>Kanchanadit4</v>
      </c>
      <c r="BR784">
        <f t="shared" si="62"/>
        <v>-1927.3244699999991</v>
      </c>
      <c r="BS784">
        <f t="shared" si="63"/>
        <v>2852.9761199999998</v>
      </c>
      <c r="BT784" s="6">
        <f t="shared" si="64"/>
        <v>-201.98497472206844</v>
      </c>
    </row>
    <row r="785" spans="1:72">
      <c r="A785" s="3" t="s">
        <v>631</v>
      </c>
      <c r="B785" s="3" t="s">
        <v>924</v>
      </c>
      <c r="C785" s="3" t="s">
        <v>949</v>
      </c>
      <c r="D785" s="2" t="s">
        <v>950</v>
      </c>
      <c r="E785" s="4" t="str">
        <f t="shared" si="60"/>
        <v>KanchanaditC1-043-0013</v>
      </c>
      <c r="F785">
        <v>1.53</v>
      </c>
      <c r="G785">
        <v>1.6</v>
      </c>
      <c r="H785" t="s">
        <v>72</v>
      </c>
      <c r="I785" t="s">
        <v>75</v>
      </c>
      <c r="J785" t="s">
        <v>95</v>
      </c>
      <c r="K785" t="s">
        <v>79</v>
      </c>
      <c r="L785" t="s">
        <v>79</v>
      </c>
      <c r="M785">
        <v>3.6876876876876876</v>
      </c>
      <c r="N785" s="5">
        <v>44873</v>
      </c>
      <c r="O785" s="5">
        <v>44877</v>
      </c>
      <c r="P785">
        <v>0.7</v>
      </c>
      <c r="Q785" s="4">
        <v>179</v>
      </c>
      <c r="R785">
        <v>0.41</v>
      </c>
      <c r="S785" t="s">
        <v>70</v>
      </c>
      <c r="T785" s="6">
        <v>1</v>
      </c>
      <c r="U785" s="5">
        <v>44935</v>
      </c>
      <c r="V785" s="6">
        <v>2</v>
      </c>
      <c r="W785" t="s">
        <v>71</v>
      </c>
      <c r="X785" s="6">
        <v>58.000000000000007</v>
      </c>
      <c r="Y785">
        <v>6.0183599999999995</v>
      </c>
      <c r="Z785">
        <v>3.9335686274509798</v>
      </c>
      <c r="AA785" s="6">
        <v>80.999973414684405</v>
      </c>
      <c r="AB785" s="4">
        <v>69.640999999999991</v>
      </c>
      <c r="AC785" s="6">
        <v>12.345683064368895</v>
      </c>
      <c r="AD785">
        <v>0.205787569</v>
      </c>
      <c r="AE785">
        <v>1.4525348259400912</v>
      </c>
      <c r="AF785">
        <v>8325</v>
      </c>
      <c r="AG785" s="4"/>
      <c r="AH785" s="4">
        <v>30700</v>
      </c>
      <c r="AI785" t="s">
        <v>73</v>
      </c>
      <c r="AJ785" t="s">
        <v>73</v>
      </c>
      <c r="AK785" t="s">
        <v>579</v>
      </c>
      <c r="AL785">
        <v>81</v>
      </c>
      <c r="AM785">
        <v>6.0183599999999995</v>
      </c>
      <c r="AN785" t="s">
        <v>73</v>
      </c>
      <c r="AO785" t="s">
        <v>109</v>
      </c>
      <c r="AP785" s="5">
        <v>44877</v>
      </c>
      <c r="AQ785" t="s">
        <v>194</v>
      </c>
      <c r="AR785" s="5">
        <v>44934</v>
      </c>
      <c r="AS785">
        <v>167.36134262490114</v>
      </c>
      <c r="AT785" s="6"/>
      <c r="AU785">
        <v>52.339840089326664</v>
      </c>
      <c r="AV785">
        <v>45.430150406423024</v>
      </c>
      <c r="AW785">
        <v>46.006127915246026</v>
      </c>
      <c r="AX785">
        <v>143.77611841099571</v>
      </c>
      <c r="AY785">
        <v>43.150032567011614</v>
      </c>
      <c r="AZ785">
        <v>35.475674436225155</v>
      </c>
      <c r="BA785">
        <v>11.33034580849268</v>
      </c>
      <c r="BB785">
        <v>21.887552422919203</v>
      </c>
      <c r="BC785">
        <v>32.253386304574668</v>
      </c>
      <c r="BD785">
        <v>144.09699153922332</v>
      </c>
      <c r="BE785">
        <v>-120.51176732531789</v>
      </c>
      <c r="BF785">
        <v>14.407762247522578</v>
      </c>
      <c r="BH785">
        <v>14.407762247522578</v>
      </c>
      <c r="BI785">
        <v>302.28087219774153</v>
      </c>
      <c r="BJ785" s="6">
        <v>150</v>
      </c>
      <c r="BK785">
        <v>-134.91952957284039</v>
      </c>
      <c r="BL785" s="4">
        <v>-811.99429999999973</v>
      </c>
      <c r="BM785" t="s">
        <v>951</v>
      </c>
      <c r="BN785" t="s">
        <v>65</v>
      </c>
      <c r="BO785">
        <v>1</v>
      </c>
      <c r="BP785">
        <v>2023</v>
      </c>
      <c r="BQ785" t="str">
        <f t="shared" si="61"/>
        <v>Kanchanadit1</v>
      </c>
      <c r="BR785">
        <f t="shared" si="62"/>
        <v>-916.4811099999996</v>
      </c>
      <c r="BS785">
        <f t="shared" si="63"/>
        <v>1007.2408099999999</v>
      </c>
      <c r="BT785" s="6">
        <f t="shared" si="64"/>
        <v>-152.28087219774153</v>
      </c>
    </row>
    <row r="786" spans="1:72">
      <c r="A786" s="3" t="s">
        <v>631</v>
      </c>
      <c r="B786" s="3" t="s">
        <v>924</v>
      </c>
      <c r="C786" s="3" t="s">
        <v>949</v>
      </c>
      <c r="D786" s="2" t="s">
        <v>2878</v>
      </c>
      <c r="E786" s="4" t="str">
        <f t="shared" si="60"/>
        <v>KanchanaditC1-040-0016</v>
      </c>
      <c r="F786">
        <v>1.53</v>
      </c>
      <c r="G786">
        <v>1.6</v>
      </c>
      <c r="H786" t="s">
        <v>72</v>
      </c>
      <c r="I786" t="s">
        <v>75</v>
      </c>
      <c r="J786" t="s">
        <v>95</v>
      </c>
      <c r="K786" t="s">
        <v>79</v>
      </c>
      <c r="N786" s="5">
        <v>45245</v>
      </c>
      <c r="O786" s="5">
        <v>45251</v>
      </c>
      <c r="P786">
        <v>0.7</v>
      </c>
      <c r="Q786" s="4">
        <v>179</v>
      </c>
      <c r="R786">
        <v>0.41</v>
      </c>
      <c r="S786" t="s">
        <v>70</v>
      </c>
      <c r="T786" s="6">
        <v>1</v>
      </c>
      <c r="U786" s="5">
        <v>45291</v>
      </c>
      <c r="V786" s="6">
        <v>2</v>
      </c>
      <c r="W786" t="s">
        <v>71</v>
      </c>
      <c r="X786" s="6">
        <v>40</v>
      </c>
      <c r="Y786">
        <v>4.0044000000000004</v>
      </c>
      <c r="Z786">
        <v>2.6172549019607847</v>
      </c>
      <c r="AA786" s="6">
        <v>125</v>
      </c>
      <c r="AB786" s="4">
        <v>71.507142857142853</v>
      </c>
      <c r="AC786" s="6">
        <v>8</v>
      </c>
      <c r="AD786">
        <v>0.18975</v>
      </c>
      <c r="AE786">
        <v>1.8426014843029181</v>
      </c>
      <c r="AF786">
        <v>6850</v>
      </c>
      <c r="AG786" s="4"/>
      <c r="AH786" s="4"/>
      <c r="AI786" t="s">
        <v>73</v>
      </c>
      <c r="AJ786" t="s">
        <v>73</v>
      </c>
      <c r="AK786" t="s">
        <v>157</v>
      </c>
      <c r="AL786">
        <v>125</v>
      </c>
      <c r="AM786">
        <v>4.0044000000000004</v>
      </c>
      <c r="AN786" t="s">
        <v>100</v>
      </c>
      <c r="AO786" t="s">
        <v>99</v>
      </c>
      <c r="AP786" s="5">
        <v>45251</v>
      </c>
      <c r="AQ786" t="s">
        <v>104</v>
      </c>
      <c r="AR786" s="5">
        <v>45291</v>
      </c>
      <c r="AS786">
        <v>55.280426530816094</v>
      </c>
      <c r="AT786" s="6"/>
      <c r="AU786">
        <v>78.202727000299674</v>
      </c>
      <c r="AV786">
        <v>50.669938068125063</v>
      </c>
      <c r="AW786">
        <v>61.311926880431514</v>
      </c>
      <c r="AX786">
        <v>190.18459194885625</v>
      </c>
      <c r="AY786">
        <v>21.573978623514133</v>
      </c>
      <c r="AZ786">
        <v>162.49664618919186</v>
      </c>
      <c r="BA786">
        <v>22.464726301068819</v>
      </c>
      <c r="BB786">
        <v>18.087828388772348</v>
      </c>
      <c r="BC786">
        <v>26.696885925481968</v>
      </c>
      <c r="BD786">
        <v>251.32006542802915</v>
      </c>
      <c r="BE786">
        <v>-386.2242308460693</v>
      </c>
      <c r="BF786">
        <v>9.9427579662371368</v>
      </c>
      <c r="BH786">
        <v>9.9427579662371368</v>
      </c>
      <c r="BI786">
        <v>451.44741534312249</v>
      </c>
      <c r="BJ786" s="6">
        <v>150</v>
      </c>
      <c r="BK786">
        <v>-396.16698881230644</v>
      </c>
      <c r="BL786" s="4">
        <v>-1586.4110899999998</v>
      </c>
      <c r="BM786" t="s">
        <v>2879</v>
      </c>
      <c r="BN786" t="s">
        <v>65</v>
      </c>
      <c r="BO786">
        <v>12</v>
      </c>
      <c r="BP786">
        <v>2023</v>
      </c>
      <c r="BQ786" t="str">
        <f t="shared" si="61"/>
        <v>Kanchanadit12</v>
      </c>
      <c r="BR786">
        <f t="shared" si="62"/>
        <v>-1207.1160299999999</v>
      </c>
      <c r="BS786">
        <f t="shared" si="63"/>
        <v>221.36493999999999</v>
      </c>
      <c r="BT786" s="6">
        <f t="shared" si="64"/>
        <v>-301.44741534312249</v>
      </c>
    </row>
    <row r="787" spans="1:72">
      <c r="A787" s="3" t="s">
        <v>631</v>
      </c>
      <c r="B787" s="3" t="s">
        <v>924</v>
      </c>
      <c r="C787" s="3" t="s">
        <v>926</v>
      </c>
      <c r="D787" s="2" t="s">
        <v>941</v>
      </c>
      <c r="E787" s="4" t="str">
        <f t="shared" si="60"/>
        <v>KanchanaditD1-049-0011</v>
      </c>
      <c r="F787">
        <v>2</v>
      </c>
      <c r="G787">
        <v>2</v>
      </c>
      <c r="H787" t="s">
        <v>72</v>
      </c>
      <c r="I787" t="s">
        <v>75</v>
      </c>
      <c r="J787" t="s">
        <v>68</v>
      </c>
      <c r="K787" t="s">
        <v>79</v>
      </c>
      <c r="N787" s="5">
        <v>44976</v>
      </c>
      <c r="O787" s="5">
        <v>44985</v>
      </c>
      <c r="P787">
        <v>1</v>
      </c>
      <c r="Q787" s="4">
        <v>156</v>
      </c>
      <c r="R787">
        <v>0.43</v>
      </c>
      <c r="S787" t="s">
        <v>70</v>
      </c>
      <c r="T787" s="6">
        <v>5</v>
      </c>
      <c r="U787" s="5">
        <v>45118</v>
      </c>
      <c r="V787" s="6">
        <v>1</v>
      </c>
      <c r="W787" t="s">
        <v>86</v>
      </c>
      <c r="X787" s="6">
        <v>133</v>
      </c>
      <c r="Y787">
        <v>24.481459999999998</v>
      </c>
      <c r="Z787">
        <v>12.240729999999999</v>
      </c>
      <c r="AA787" s="6">
        <v>28.438295755236823</v>
      </c>
      <c r="AB787" s="4">
        <v>69.621099999999998</v>
      </c>
      <c r="AC787" s="6">
        <v>35.163851188791902</v>
      </c>
      <c r="AD787">
        <v>0.35480486900000002</v>
      </c>
      <c r="AE787">
        <v>1.9393833056288476</v>
      </c>
      <c r="AF787">
        <v>46645</v>
      </c>
      <c r="AG787" s="4"/>
      <c r="AH787" s="4"/>
      <c r="AL787">
        <v>21</v>
      </c>
      <c r="AM787">
        <v>7.03186</v>
      </c>
      <c r="AN787" t="s">
        <v>81</v>
      </c>
      <c r="AO787" t="s">
        <v>101</v>
      </c>
      <c r="AP787" s="5">
        <v>44985</v>
      </c>
      <c r="AQ787" t="s">
        <v>96</v>
      </c>
      <c r="AR787" s="5">
        <v>45117</v>
      </c>
      <c r="AS787">
        <v>234.58697479643783</v>
      </c>
      <c r="AT787" s="6"/>
      <c r="AU787">
        <v>18.381256673417361</v>
      </c>
      <c r="AV787">
        <v>68.358950814207986</v>
      </c>
      <c r="AW787">
        <v>29.964265203137394</v>
      </c>
      <c r="AX787">
        <v>116.70447269076274</v>
      </c>
      <c r="AY787">
        <v>13.966029395305672</v>
      </c>
      <c r="AZ787">
        <v>42.62204950194964</v>
      </c>
      <c r="BA787">
        <v>7.52561203457637</v>
      </c>
      <c r="BB787">
        <v>3.1157341106290226</v>
      </c>
      <c r="BC787">
        <v>9.1182891053066282</v>
      </c>
      <c r="BD787">
        <v>76.347714147767334</v>
      </c>
      <c r="BE787">
        <v>41.534787957907753</v>
      </c>
      <c r="BF787">
        <v>9.1909555230774647</v>
      </c>
      <c r="BH787">
        <v>9.1909555230774647</v>
      </c>
      <c r="BI787">
        <v>202.24314236160754</v>
      </c>
      <c r="BJ787" s="6">
        <v>204</v>
      </c>
      <c r="BK787">
        <v>32.343832434830283</v>
      </c>
      <c r="BL787" s="4">
        <v>791.82424000000026</v>
      </c>
      <c r="BM787" t="s">
        <v>942</v>
      </c>
      <c r="BN787" t="s">
        <v>65</v>
      </c>
      <c r="BO787">
        <v>7</v>
      </c>
      <c r="BP787">
        <v>2023</v>
      </c>
      <c r="BQ787" t="str">
        <f t="shared" si="61"/>
        <v>Kanchanadit7</v>
      </c>
      <c r="BR787">
        <f t="shared" si="62"/>
        <v>43.010439999999491</v>
      </c>
      <c r="BS787">
        <f t="shared" si="63"/>
        <v>5743.0316400000002</v>
      </c>
      <c r="BT787" s="6">
        <f t="shared" si="64"/>
        <v>1.7568576383924608</v>
      </c>
    </row>
    <row r="788" spans="1:72">
      <c r="A788" s="3" t="s">
        <v>631</v>
      </c>
      <c r="B788" s="3" t="s">
        <v>924</v>
      </c>
      <c r="C788" s="3" t="s">
        <v>926</v>
      </c>
      <c r="D788" s="2" t="s">
        <v>939</v>
      </c>
      <c r="E788" s="4" t="str">
        <f t="shared" si="60"/>
        <v>KanchanaditD1-048-0012</v>
      </c>
      <c r="F788">
        <v>2</v>
      </c>
      <c r="G788">
        <v>2</v>
      </c>
      <c r="H788" t="s">
        <v>72</v>
      </c>
      <c r="I788" t="s">
        <v>75</v>
      </c>
      <c r="J788" t="s">
        <v>68</v>
      </c>
      <c r="K788" t="s">
        <v>79</v>
      </c>
      <c r="L788" t="s">
        <v>79</v>
      </c>
      <c r="N788" s="5">
        <v>44972</v>
      </c>
      <c r="O788" s="5">
        <v>44979</v>
      </c>
      <c r="P788">
        <v>1</v>
      </c>
      <c r="Q788" s="4">
        <v>156</v>
      </c>
      <c r="R788">
        <v>0.433</v>
      </c>
      <c r="S788" t="s">
        <v>70</v>
      </c>
      <c r="T788" s="6">
        <v>4</v>
      </c>
      <c r="U788" s="5">
        <v>45113</v>
      </c>
      <c r="V788" s="6">
        <v>1</v>
      </c>
      <c r="W788" t="s">
        <v>86</v>
      </c>
      <c r="X788" s="6">
        <v>134</v>
      </c>
      <c r="Y788">
        <v>20.918849999999999</v>
      </c>
      <c r="Z788">
        <v>10.459425</v>
      </c>
      <c r="AA788" s="6">
        <v>29.872913663992048</v>
      </c>
      <c r="AB788" s="4">
        <v>62.490699999999997</v>
      </c>
      <c r="AC788" s="6">
        <v>33.475141100995828</v>
      </c>
      <c r="AD788">
        <v>0.35213468399999998</v>
      </c>
      <c r="AE788">
        <v>2.0724263081718179</v>
      </c>
      <c r="AF788">
        <v>42455</v>
      </c>
      <c r="AG788" s="4">
        <v>0</v>
      </c>
      <c r="AH788" s="4"/>
      <c r="AL788">
        <v>21</v>
      </c>
      <c r="AM788">
        <v>7.4918999999999993</v>
      </c>
      <c r="AN788" t="s">
        <v>81</v>
      </c>
      <c r="AO788" t="s">
        <v>109</v>
      </c>
      <c r="AP788" s="5">
        <v>44980</v>
      </c>
      <c r="AQ788" t="s">
        <v>96</v>
      </c>
      <c r="AR788" s="5">
        <v>45112</v>
      </c>
      <c r="AS788">
        <v>232.47714334200975</v>
      </c>
      <c r="AT788" s="6"/>
      <c r="AU788">
        <v>21.511698778852569</v>
      </c>
      <c r="AV788">
        <v>73.063478632907646</v>
      </c>
      <c r="AW788">
        <v>41.876830705320828</v>
      </c>
      <c r="AX788">
        <v>136.45200811708102</v>
      </c>
      <c r="AY788">
        <v>18.088673134517439</v>
      </c>
      <c r="AZ788">
        <v>52.403607750904094</v>
      </c>
      <c r="BA788">
        <v>10.757043527727383</v>
      </c>
      <c r="BB788">
        <v>3.5872153583968536</v>
      </c>
      <c r="BC788">
        <v>11.169972536731226</v>
      </c>
      <c r="BD788">
        <v>96.006512308276996</v>
      </c>
      <c r="BE788">
        <v>1.8622916651736432E-2</v>
      </c>
      <c r="BF788">
        <v>11.997779036610522</v>
      </c>
      <c r="BH788">
        <v>11.997779036610522</v>
      </c>
      <c r="BI788">
        <v>244.45629946196857</v>
      </c>
      <c r="BJ788" s="6">
        <v>200</v>
      </c>
      <c r="BK788">
        <v>-11.979156119958835</v>
      </c>
      <c r="BL788" s="4">
        <v>-250.59017000000085</v>
      </c>
      <c r="BM788" t="s">
        <v>940</v>
      </c>
      <c r="BN788" t="s">
        <v>65</v>
      </c>
      <c r="BO788">
        <v>7</v>
      </c>
      <c r="BP788">
        <v>2023</v>
      </c>
      <c r="BQ788" t="str">
        <f t="shared" si="61"/>
        <v>Kanchanadit7</v>
      </c>
      <c r="BR788">
        <f t="shared" si="62"/>
        <v>-929.97466000000122</v>
      </c>
      <c r="BS788">
        <f t="shared" si="63"/>
        <v>4863.1544900000008</v>
      </c>
      <c r="BT788" s="6">
        <f t="shared" si="64"/>
        <v>-44.45629946196857</v>
      </c>
    </row>
    <row r="789" spans="1:72">
      <c r="A789" s="3" t="s">
        <v>631</v>
      </c>
      <c r="B789" s="3" t="s">
        <v>924</v>
      </c>
      <c r="C789" s="3" t="s">
        <v>926</v>
      </c>
      <c r="D789" s="2" t="s">
        <v>935</v>
      </c>
      <c r="E789" s="4" t="str">
        <f t="shared" si="60"/>
        <v>KanchanaditD1-050-0012</v>
      </c>
      <c r="F789">
        <v>2</v>
      </c>
      <c r="G789">
        <v>2</v>
      </c>
      <c r="H789" t="s">
        <v>72</v>
      </c>
      <c r="I789" t="s">
        <v>75</v>
      </c>
      <c r="J789" t="s">
        <v>68</v>
      </c>
      <c r="K789" t="s">
        <v>79</v>
      </c>
      <c r="L789" t="s">
        <v>79</v>
      </c>
      <c r="M789">
        <v>3.0721793973370706</v>
      </c>
      <c r="N789" s="5">
        <v>44809</v>
      </c>
      <c r="O789" s="5">
        <v>44845</v>
      </c>
      <c r="P789">
        <v>1.2</v>
      </c>
      <c r="Q789" s="4">
        <v>188</v>
      </c>
      <c r="R789">
        <v>0.45</v>
      </c>
      <c r="S789" t="s">
        <v>70</v>
      </c>
      <c r="T789" s="6">
        <v>3</v>
      </c>
      <c r="U789" s="5">
        <v>44952</v>
      </c>
      <c r="V789" s="6">
        <v>1</v>
      </c>
      <c r="W789" t="s">
        <v>86</v>
      </c>
      <c r="X789" s="6">
        <v>107.00000000000001</v>
      </c>
      <c r="Y789">
        <v>13.685589999999999</v>
      </c>
      <c r="Z789">
        <v>6.8427949999999997</v>
      </c>
      <c r="AA789" s="6">
        <v>34.870692458271805</v>
      </c>
      <c r="AB789" s="4">
        <v>39.768833333333333</v>
      </c>
      <c r="AC789" s="6">
        <v>28.677377175593953</v>
      </c>
      <c r="AD789">
        <v>0.30732087200000002</v>
      </c>
      <c r="AE789">
        <v>2.7138378726249641</v>
      </c>
      <c r="AF789">
        <v>35675</v>
      </c>
      <c r="AG789" s="4">
        <v>5000</v>
      </c>
      <c r="AH789" s="4">
        <v>109600</v>
      </c>
      <c r="AI789" t="s">
        <v>98</v>
      </c>
      <c r="AJ789" t="s">
        <v>98</v>
      </c>
      <c r="AK789" t="s">
        <v>123</v>
      </c>
      <c r="AL789">
        <v>29.999999999999996</v>
      </c>
      <c r="AM789">
        <v>5.7829899999999999</v>
      </c>
      <c r="AN789" t="s">
        <v>98</v>
      </c>
      <c r="AO789" t="s">
        <v>101</v>
      </c>
      <c r="AP789" s="5">
        <v>44845</v>
      </c>
      <c r="AQ789" t="s">
        <v>101</v>
      </c>
      <c r="AR789" s="5">
        <v>44951</v>
      </c>
      <c r="AS789">
        <v>240.70019706859551</v>
      </c>
      <c r="AT789" s="6"/>
      <c r="AU789">
        <v>39.457560835886504</v>
      </c>
      <c r="AV789">
        <v>87.065665418882233</v>
      </c>
      <c r="AW789">
        <v>77.731147871593393</v>
      </c>
      <c r="AX789">
        <v>204.25437412636211</v>
      </c>
      <c r="AY789">
        <v>23.67541772039057</v>
      </c>
      <c r="AZ789">
        <v>62.737317864995227</v>
      </c>
      <c r="BA789">
        <v>6.1675338805268884</v>
      </c>
      <c r="BB789">
        <v>10.425221711303642</v>
      </c>
      <c r="BC789">
        <v>16.127813269285433</v>
      </c>
      <c r="BD789">
        <v>119.13330444650178</v>
      </c>
      <c r="BE789">
        <v>-82.687481504268376</v>
      </c>
      <c r="BF789">
        <v>12.949718645670375</v>
      </c>
      <c r="BH789">
        <v>12.949718645670375</v>
      </c>
      <c r="BI789">
        <v>336.33739721853419</v>
      </c>
      <c r="BJ789" s="6">
        <v>189</v>
      </c>
      <c r="BK789">
        <v>-95.637200149938707</v>
      </c>
      <c r="BL789" s="4">
        <v>-1308.8515099999997</v>
      </c>
      <c r="BM789" t="s">
        <v>936</v>
      </c>
      <c r="BN789" t="s">
        <v>65</v>
      </c>
      <c r="BO789">
        <v>1</v>
      </c>
      <c r="BP789">
        <v>2023</v>
      </c>
      <c r="BQ789" t="str">
        <f t="shared" si="61"/>
        <v>Kanchanadit1</v>
      </c>
      <c r="BR789">
        <f t="shared" si="62"/>
        <v>-2016.3992099999994</v>
      </c>
      <c r="BS789">
        <f t="shared" si="63"/>
        <v>3294.1242099999999</v>
      </c>
      <c r="BT789" s="6">
        <f t="shared" si="64"/>
        <v>-147.33739721853419</v>
      </c>
    </row>
    <row r="790" spans="1:72">
      <c r="A790" s="3" t="s">
        <v>631</v>
      </c>
      <c r="B790" s="3" t="s">
        <v>924</v>
      </c>
      <c r="C790" s="3" t="s">
        <v>926</v>
      </c>
      <c r="D790" s="2" t="s">
        <v>933</v>
      </c>
      <c r="E790" s="4" t="str">
        <f t="shared" si="60"/>
        <v>KanchanaditD1-053-0005</v>
      </c>
      <c r="F790">
        <v>2</v>
      </c>
      <c r="G790">
        <v>2</v>
      </c>
      <c r="H790" t="s">
        <v>72</v>
      </c>
      <c r="I790" t="s">
        <v>75</v>
      </c>
      <c r="J790" t="s">
        <v>68</v>
      </c>
      <c r="K790" t="s">
        <v>79</v>
      </c>
      <c r="L790" t="s">
        <v>79</v>
      </c>
      <c r="M790">
        <v>3.2350597609561751</v>
      </c>
      <c r="N790" s="5">
        <v>44845</v>
      </c>
      <c r="O790" s="5">
        <v>44877</v>
      </c>
      <c r="P790">
        <v>0.8</v>
      </c>
      <c r="Q790" s="4">
        <v>125</v>
      </c>
      <c r="R790">
        <v>0.41</v>
      </c>
      <c r="S790" t="s">
        <v>70</v>
      </c>
      <c r="T790" s="6">
        <v>1</v>
      </c>
      <c r="U790" s="5">
        <v>44956</v>
      </c>
      <c r="V790" s="6">
        <v>1</v>
      </c>
      <c r="W790" t="s">
        <v>86</v>
      </c>
      <c r="X790" s="6">
        <v>79</v>
      </c>
      <c r="Y790">
        <v>16.167719999999999</v>
      </c>
      <c r="Z790">
        <v>8.0838599999999996</v>
      </c>
      <c r="AA790" s="6">
        <v>45.999064803200454</v>
      </c>
      <c r="AB790" s="4">
        <v>92.962500000000006</v>
      </c>
      <c r="AC790" s="6">
        <v>21.739572408229122</v>
      </c>
      <c r="AD790">
        <v>0.26998899300000001</v>
      </c>
      <c r="AE790">
        <v>1.5846239706257434</v>
      </c>
      <c r="AF790">
        <v>25100</v>
      </c>
      <c r="AG790" s="4">
        <v>5000</v>
      </c>
      <c r="AH790" s="4">
        <v>81200</v>
      </c>
      <c r="AL790">
        <v>46</v>
      </c>
      <c r="AM790">
        <v>16.153290000000002</v>
      </c>
      <c r="AN790" t="s">
        <v>126</v>
      </c>
      <c r="AO790" t="s">
        <v>109</v>
      </c>
      <c r="AP790" s="5">
        <v>44877</v>
      </c>
      <c r="AQ790" t="s">
        <v>109</v>
      </c>
      <c r="AR790" s="5">
        <v>44955</v>
      </c>
      <c r="AS790">
        <v>217.0051967748081</v>
      </c>
      <c r="AT790" s="6"/>
      <c r="AU790">
        <v>22.266590465445965</v>
      </c>
      <c r="AV790">
        <v>51.180685959430271</v>
      </c>
      <c r="AW790">
        <v>41.116226035581988</v>
      </c>
      <c r="AX790">
        <v>114.56350246045821</v>
      </c>
      <c r="AY790">
        <v>14.820327788952307</v>
      </c>
      <c r="AZ790">
        <v>44.886147211851764</v>
      </c>
      <c r="BA790">
        <v>4.26816458968859</v>
      </c>
      <c r="BB790">
        <v>6.4706043894872005</v>
      </c>
      <c r="BC790">
        <v>12.900923568691194</v>
      </c>
      <c r="BD790">
        <v>83.346167548671062</v>
      </c>
      <c r="BE790">
        <v>19.095526765678827</v>
      </c>
      <c r="BF790">
        <v>10.109575128713264</v>
      </c>
      <c r="BH790">
        <v>10.109575128713264</v>
      </c>
      <c r="BI790">
        <v>208.01924513784255</v>
      </c>
      <c r="BJ790" s="6">
        <v>174</v>
      </c>
      <c r="BK790">
        <v>8.9859516369655434</v>
      </c>
      <c r="BL790" s="4">
        <v>145.28235000000055</v>
      </c>
      <c r="BM790" t="s">
        <v>934</v>
      </c>
      <c r="BN790" t="s">
        <v>65</v>
      </c>
      <c r="BO790">
        <v>1</v>
      </c>
      <c r="BP790">
        <v>2023</v>
      </c>
      <c r="BQ790" t="str">
        <f t="shared" si="61"/>
        <v>Kanchanadit1</v>
      </c>
      <c r="BR790">
        <f t="shared" si="62"/>
        <v>-550.01362999999969</v>
      </c>
      <c r="BS790">
        <f t="shared" si="63"/>
        <v>3508.4792600000001</v>
      </c>
      <c r="BT790" s="6">
        <f t="shared" si="64"/>
        <v>-34.019245137842546</v>
      </c>
    </row>
    <row r="791" spans="1:72">
      <c r="A791" s="3" t="s">
        <v>631</v>
      </c>
      <c r="B791" s="3" t="s">
        <v>924</v>
      </c>
      <c r="C791" s="3" t="s">
        <v>926</v>
      </c>
      <c r="D791" s="2" t="s">
        <v>932</v>
      </c>
      <c r="E791" s="4" t="str">
        <f t="shared" si="60"/>
        <v>KanchanaditD1-048-0011</v>
      </c>
      <c r="F791">
        <v>2</v>
      </c>
      <c r="G791">
        <v>2</v>
      </c>
      <c r="H791" t="s">
        <v>72</v>
      </c>
      <c r="I791" t="s">
        <v>75</v>
      </c>
      <c r="J791" t="s">
        <v>68</v>
      </c>
      <c r="K791" t="s">
        <v>79</v>
      </c>
      <c r="L791" t="s">
        <v>79</v>
      </c>
      <c r="M791">
        <v>3.127371273712737</v>
      </c>
      <c r="N791" s="5">
        <v>44854</v>
      </c>
      <c r="O791" s="5">
        <v>44863</v>
      </c>
      <c r="P791">
        <v>0.7</v>
      </c>
      <c r="Q791" s="4">
        <v>109</v>
      </c>
      <c r="R791">
        <v>0.4</v>
      </c>
      <c r="S791" t="s">
        <v>70</v>
      </c>
      <c r="T791" s="6">
        <v>1</v>
      </c>
      <c r="U791" s="5">
        <v>44934</v>
      </c>
      <c r="V791" s="6">
        <v>1</v>
      </c>
      <c r="W791" t="s">
        <v>86</v>
      </c>
      <c r="X791" s="6">
        <v>71</v>
      </c>
      <c r="Y791">
        <v>8.48325</v>
      </c>
      <c r="Z791">
        <v>4.241625</v>
      </c>
      <c r="AA791" s="6">
        <v>57.996758317861669</v>
      </c>
      <c r="AB791" s="4">
        <v>70.285857142857139</v>
      </c>
      <c r="AC791" s="6">
        <v>17.242343003367878</v>
      </c>
      <c r="AD791">
        <v>0.237202525</v>
      </c>
      <c r="AE791">
        <v>2.249108585012038</v>
      </c>
      <c r="AF791">
        <v>18450</v>
      </c>
      <c r="AG791" s="4">
        <v>5000</v>
      </c>
      <c r="AH791" s="4">
        <v>57700</v>
      </c>
      <c r="AL791">
        <v>58</v>
      </c>
      <c r="AM791">
        <v>8.4696299999999987</v>
      </c>
      <c r="AN791" t="s">
        <v>126</v>
      </c>
      <c r="AO791" t="s">
        <v>109</v>
      </c>
      <c r="AP791" s="5">
        <v>44863</v>
      </c>
      <c r="AQ791" t="s">
        <v>194</v>
      </c>
      <c r="AR791" s="5">
        <v>44933</v>
      </c>
      <c r="AS791">
        <v>193.59274334718418</v>
      </c>
      <c r="AT791" s="6"/>
      <c r="AU791">
        <v>33.006218135738067</v>
      </c>
      <c r="AV791">
        <v>71.820351869861199</v>
      </c>
      <c r="AW791">
        <v>78.04976866177465</v>
      </c>
      <c r="AX791">
        <v>182.87633866737391</v>
      </c>
      <c r="AY791">
        <v>18.070409336044559</v>
      </c>
      <c r="AZ791">
        <v>50.963196887985148</v>
      </c>
      <c r="BA791">
        <v>6.7842324580791553</v>
      </c>
      <c r="BB791">
        <v>9.6085474317036503</v>
      </c>
      <c r="BC791">
        <v>16.41364807119913</v>
      </c>
      <c r="BD791">
        <v>101.84003418501166</v>
      </c>
      <c r="BE791">
        <v>-91.123629505201393</v>
      </c>
      <c r="BF791">
        <v>11.86330946276486</v>
      </c>
      <c r="BH791">
        <v>11.86330946276486</v>
      </c>
      <c r="BI791">
        <v>296.57968231515048</v>
      </c>
      <c r="BJ791" s="6">
        <v>163</v>
      </c>
      <c r="BK791">
        <v>-102.98693896796631</v>
      </c>
      <c r="BL791" s="4">
        <v>-873.66395000000023</v>
      </c>
      <c r="BM791" t="s">
        <v>927</v>
      </c>
      <c r="BN791" t="s">
        <v>65</v>
      </c>
      <c r="BO791">
        <v>1</v>
      </c>
      <c r="BP791">
        <v>2023</v>
      </c>
      <c r="BQ791" t="str">
        <f t="shared" si="61"/>
        <v>Kanchanadit1</v>
      </c>
      <c r="BR791">
        <f t="shared" si="62"/>
        <v>-1133.1898400000002</v>
      </c>
      <c r="BS791">
        <f t="shared" si="63"/>
        <v>1642.2956400000003</v>
      </c>
      <c r="BT791" s="6">
        <f t="shared" si="64"/>
        <v>-133.57968231515048</v>
      </c>
    </row>
    <row r="792" spans="1:72">
      <c r="A792" s="3" t="s">
        <v>631</v>
      </c>
      <c r="B792" s="3" t="s">
        <v>924</v>
      </c>
      <c r="C792" s="3" t="s">
        <v>926</v>
      </c>
      <c r="D792" s="2" t="s">
        <v>930</v>
      </c>
      <c r="E792" s="4" t="str">
        <f t="shared" si="60"/>
        <v>KanchanaditD1-052-0011</v>
      </c>
      <c r="F792">
        <v>2</v>
      </c>
      <c r="G792">
        <v>2</v>
      </c>
      <c r="H792" t="s">
        <v>72</v>
      </c>
      <c r="I792" t="s">
        <v>75</v>
      </c>
      <c r="J792" t="s">
        <v>68</v>
      </c>
      <c r="K792" t="s">
        <v>79</v>
      </c>
      <c r="L792" t="s">
        <v>79</v>
      </c>
      <c r="M792">
        <v>2.7453294001966571</v>
      </c>
      <c r="N792" s="5">
        <v>44835</v>
      </c>
      <c r="O792" s="5">
        <v>44864</v>
      </c>
      <c r="P792">
        <v>1.1000000000000001</v>
      </c>
      <c r="Q792" s="4">
        <v>172</v>
      </c>
      <c r="R792">
        <v>0.4</v>
      </c>
      <c r="S792" t="s">
        <v>70</v>
      </c>
      <c r="T792" s="6">
        <v>2</v>
      </c>
      <c r="U792" s="5">
        <v>44939</v>
      </c>
      <c r="V792" s="6">
        <v>1</v>
      </c>
      <c r="W792" t="s">
        <v>86</v>
      </c>
      <c r="X792" s="6">
        <v>75</v>
      </c>
      <c r="Y792">
        <v>14.374559999999999</v>
      </c>
      <c r="Z792">
        <v>7.1872799999999994</v>
      </c>
      <c r="AA792" s="6">
        <v>58.999927649959375</v>
      </c>
      <c r="AB792" s="4">
        <v>77.099818181818179</v>
      </c>
      <c r="AC792" s="6">
        <v>16.949173326667438</v>
      </c>
      <c r="AD792">
        <v>0.22065536699999999</v>
      </c>
      <c r="AE792">
        <v>1.824600130897567</v>
      </c>
      <c r="AF792">
        <v>25425</v>
      </c>
      <c r="AG792" s="4">
        <v>5000</v>
      </c>
      <c r="AH792" s="4">
        <v>69800</v>
      </c>
      <c r="AI792" t="s">
        <v>98</v>
      </c>
      <c r="AJ792" t="s">
        <v>98</v>
      </c>
      <c r="AK792" t="s">
        <v>123</v>
      </c>
      <c r="AL792">
        <v>59</v>
      </c>
      <c r="AM792">
        <v>5.8686099999999994</v>
      </c>
      <c r="AN792" t="s">
        <v>98</v>
      </c>
      <c r="AO792" t="s">
        <v>101</v>
      </c>
      <c r="AP792" s="5">
        <v>44864</v>
      </c>
      <c r="AQ792" t="s">
        <v>194</v>
      </c>
      <c r="AR792" s="5">
        <v>44938</v>
      </c>
      <c r="AS792">
        <v>199.8573653732706</v>
      </c>
      <c r="AT792" s="6"/>
      <c r="AU792">
        <v>30.609632573101369</v>
      </c>
      <c r="AV792">
        <v>58.631012010106744</v>
      </c>
      <c r="AW792">
        <v>49.560322542046514</v>
      </c>
      <c r="AX792">
        <v>138.80096712525463</v>
      </c>
      <c r="AY792">
        <v>13.831242138889818</v>
      </c>
      <c r="AZ792">
        <v>38.375377750692884</v>
      </c>
      <c r="BA792">
        <v>5.0994110428423545</v>
      </c>
      <c r="BB792">
        <v>7.0334584154228024</v>
      </c>
      <c r="BC792">
        <v>12.798800798076602</v>
      </c>
      <c r="BD792">
        <v>77.138290145924472</v>
      </c>
      <c r="BE792">
        <v>-16.081891897908505</v>
      </c>
      <c r="BF792">
        <v>8.6819464387083851</v>
      </c>
      <c r="BH792">
        <v>8.6819464387083851</v>
      </c>
      <c r="BI792">
        <v>224.62120370988742</v>
      </c>
      <c r="BJ792" s="6">
        <v>163</v>
      </c>
      <c r="BK792">
        <v>-24.763838336616836</v>
      </c>
      <c r="BL792" s="4">
        <v>-355.96927999999889</v>
      </c>
      <c r="BM792" t="s">
        <v>931</v>
      </c>
      <c r="BN792" t="s">
        <v>65</v>
      </c>
      <c r="BO792">
        <v>1</v>
      </c>
      <c r="BP792">
        <v>2023</v>
      </c>
      <c r="BQ792" t="str">
        <f t="shared" si="61"/>
        <v>Kanchanadit1</v>
      </c>
      <c r="BR792">
        <f t="shared" si="62"/>
        <v>-885.77768999999932</v>
      </c>
      <c r="BS792">
        <f t="shared" si="63"/>
        <v>2872.8616900000002</v>
      </c>
      <c r="BT792" s="6">
        <f t="shared" si="64"/>
        <v>-61.621203709887425</v>
      </c>
    </row>
    <row r="793" spans="1:72">
      <c r="A793" s="3" t="s">
        <v>631</v>
      </c>
      <c r="B793" s="3" t="s">
        <v>924</v>
      </c>
      <c r="C793" s="3" t="s">
        <v>926</v>
      </c>
      <c r="D793" s="2" t="s">
        <v>928</v>
      </c>
      <c r="E793" s="4" t="str">
        <f t="shared" si="60"/>
        <v>KanchanaditD1-051-0005</v>
      </c>
      <c r="F793">
        <v>2</v>
      </c>
      <c r="G793">
        <v>2</v>
      </c>
      <c r="H793" t="s">
        <v>72</v>
      </c>
      <c r="I793" t="s">
        <v>75</v>
      </c>
      <c r="J793" t="s">
        <v>68</v>
      </c>
      <c r="K793" t="s">
        <v>79</v>
      </c>
      <c r="L793" t="s">
        <v>79</v>
      </c>
      <c r="M793">
        <v>3.9446366782006921</v>
      </c>
      <c r="N793" s="5">
        <v>44840</v>
      </c>
      <c r="O793" s="5">
        <v>44883</v>
      </c>
      <c r="P793">
        <v>0.8</v>
      </c>
      <c r="Q793" s="4">
        <v>125</v>
      </c>
      <c r="R793">
        <v>4.0000000000000001E-3</v>
      </c>
      <c r="S793" t="s">
        <v>70</v>
      </c>
      <c r="T793" s="6">
        <v>1</v>
      </c>
      <c r="U793" s="5">
        <v>44937</v>
      </c>
      <c r="V793" s="6">
        <v>2</v>
      </c>
      <c r="W793" t="s">
        <v>71</v>
      </c>
      <c r="X793" s="6">
        <v>54</v>
      </c>
      <c r="Y793">
        <v>6.3130800000000002</v>
      </c>
      <c r="Z793">
        <v>3.1565400000000001</v>
      </c>
      <c r="AA793" s="6">
        <v>101.99997465579401</v>
      </c>
      <c r="AB793" s="4">
        <v>80.491749999999996</v>
      </c>
      <c r="AC793" s="6">
        <v>9.8039240046340144</v>
      </c>
      <c r="AD793">
        <v>0.18148002899999999</v>
      </c>
      <c r="AE793">
        <v>1.1450296994554572</v>
      </c>
      <c r="AF793">
        <v>7225</v>
      </c>
      <c r="AG793" s="4">
        <v>5000</v>
      </c>
      <c r="AH793" s="4">
        <v>28500</v>
      </c>
      <c r="AI793" t="s">
        <v>73</v>
      </c>
      <c r="AL793">
        <v>102</v>
      </c>
      <c r="AM793">
        <v>6.3130800000000002</v>
      </c>
      <c r="AN793" t="s">
        <v>73</v>
      </c>
      <c r="AO793" t="s">
        <v>109</v>
      </c>
      <c r="AP793" s="5">
        <v>44883</v>
      </c>
      <c r="AQ793" t="s">
        <v>194</v>
      </c>
      <c r="AR793" s="5">
        <v>44936</v>
      </c>
      <c r="AS793">
        <v>147.37907804114633</v>
      </c>
      <c r="AT793" s="6"/>
      <c r="AU793">
        <v>15.206523598623809</v>
      </c>
      <c r="AV793">
        <v>37.674558218809203</v>
      </c>
      <c r="AW793">
        <v>96.431348882003704</v>
      </c>
      <c r="AX793">
        <v>149.31243069943673</v>
      </c>
      <c r="AY793">
        <v>29.237980510305587</v>
      </c>
      <c r="AZ793">
        <v>81.098329183219604</v>
      </c>
      <c r="BA793">
        <v>10.932538475672731</v>
      </c>
      <c r="BB793">
        <v>15.121862862501347</v>
      </c>
      <c r="BC793">
        <v>27.011609230359824</v>
      </c>
      <c r="BD793">
        <v>163.40232026205908</v>
      </c>
      <c r="BE793">
        <v>-165.33567292034948</v>
      </c>
      <c r="BF793">
        <v>18.477689178657641</v>
      </c>
      <c r="BH793">
        <v>18.477689178657641</v>
      </c>
      <c r="BI793">
        <v>331.19244014015345</v>
      </c>
      <c r="BJ793" s="6">
        <v>150</v>
      </c>
      <c r="BK793">
        <v>-183.81336209900715</v>
      </c>
      <c r="BL793" s="4">
        <v>-1160.4284599999999</v>
      </c>
      <c r="BM793" t="s">
        <v>929</v>
      </c>
      <c r="BN793" t="s">
        <v>65</v>
      </c>
      <c r="BO793">
        <v>1</v>
      </c>
      <c r="BP793">
        <v>2023</v>
      </c>
      <c r="BQ793" t="str">
        <f t="shared" si="61"/>
        <v>Kanchanadit1</v>
      </c>
      <c r="BR793">
        <f t="shared" si="62"/>
        <v>-1143.88237</v>
      </c>
      <c r="BS793">
        <f t="shared" si="63"/>
        <v>930.41591000000005</v>
      </c>
      <c r="BT793" s="6">
        <f t="shared" si="64"/>
        <v>-181.19244014015345</v>
      </c>
    </row>
    <row r="794" spans="1:72">
      <c r="A794" s="3" t="s">
        <v>631</v>
      </c>
      <c r="B794" s="3" t="s">
        <v>924</v>
      </c>
      <c r="C794" s="3" t="s">
        <v>926</v>
      </c>
      <c r="D794" s="2" t="s">
        <v>2880</v>
      </c>
      <c r="E794" s="4" t="str">
        <f t="shared" si="60"/>
        <v>KanchanaditD1-052-0012</v>
      </c>
      <c r="F794">
        <v>2</v>
      </c>
      <c r="G794">
        <v>2</v>
      </c>
      <c r="H794" t="s">
        <v>72</v>
      </c>
      <c r="I794" t="s">
        <v>75</v>
      </c>
      <c r="J794" t="s">
        <v>68</v>
      </c>
      <c r="K794" t="s">
        <v>79</v>
      </c>
      <c r="L794" t="s">
        <v>79</v>
      </c>
      <c r="N794" s="5">
        <v>44986</v>
      </c>
      <c r="O794" s="5">
        <v>44998</v>
      </c>
      <c r="P794">
        <v>1</v>
      </c>
      <c r="Q794" s="4">
        <v>156</v>
      </c>
      <c r="R794">
        <v>0.49099999999999999</v>
      </c>
      <c r="S794" t="s">
        <v>70</v>
      </c>
      <c r="T794" s="6"/>
      <c r="U794" s="5">
        <v>45002</v>
      </c>
      <c r="V794" s="6">
        <v>3</v>
      </c>
      <c r="W794" t="s">
        <v>2831</v>
      </c>
      <c r="X794" s="6"/>
      <c r="AA794" s="6"/>
      <c r="AB794" s="4"/>
      <c r="AC794" s="6"/>
      <c r="AF794">
        <v>50</v>
      </c>
      <c r="AG794" s="4">
        <v>0</v>
      </c>
      <c r="AH794" s="4"/>
      <c r="AN794" t="s">
        <v>73</v>
      </c>
      <c r="AO794" t="s">
        <v>105</v>
      </c>
      <c r="AP794" s="5">
        <v>44998</v>
      </c>
      <c r="AQ794" t="s">
        <v>105</v>
      </c>
      <c r="AR794" s="5">
        <v>45001</v>
      </c>
      <c r="AT794" s="6"/>
      <c r="BJ794" s="6"/>
      <c r="BL794" s="4">
        <v>-311.62083000000001</v>
      </c>
      <c r="BM794" t="s">
        <v>2881</v>
      </c>
      <c r="BN794" t="s">
        <v>65</v>
      </c>
      <c r="BO794">
        <v>3</v>
      </c>
      <c r="BP794">
        <v>2023</v>
      </c>
      <c r="BQ794" t="str">
        <f t="shared" si="61"/>
        <v>Kanchanadit3</v>
      </c>
      <c r="BR794">
        <f t="shared" si="62"/>
        <v>0</v>
      </c>
      <c r="BS794">
        <f t="shared" si="63"/>
        <v>0</v>
      </c>
      <c r="BT794" s="6">
        <f t="shared" si="64"/>
        <v>0</v>
      </c>
    </row>
    <row r="795" spans="1:72">
      <c r="A795" s="3" t="s">
        <v>631</v>
      </c>
      <c r="B795" s="3" t="s">
        <v>724</v>
      </c>
      <c r="C795" s="3" t="s">
        <v>726</v>
      </c>
      <c r="D795" s="2" t="s">
        <v>2723</v>
      </c>
      <c r="E795" s="4" t="str">
        <f t="shared" si="60"/>
        <v>Pakpanang1C1-139-0010</v>
      </c>
      <c r="F795">
        <v>1.5</v>
      </c>
      <c r="G795">
        <v>1.8</v>
      </c>
      <c r="H795" t="s">
        <v>72</v>
      </c>
      <c r="I795" t="s">
        <v>75</v>
      </c>
      <c r="J795" t="s">
        <v>95</v>
      </c>
      <c r="K795" t="s">
        <v>79</v>
      </c>
      <c r="L795" t="s">
        <v>79</v>
      </c>
      <c r="M795">
        <v>3</v>
      </c>
      <c r="N795" s="5">
        <v>45097</v>
      </c>
      <c r="O795" s="5">
        <v>45136</v>
      </c>
      <c r="P795">
        <v>0.6</v>
      </c>
      <c r="Q795" s="4">
        <v>139</v>
      </c>
      <c r="R795">
        <v>0.67</v>
      </c>
      <c r="S795" t="s">
        <v>70</v>
      </c>
      <c r="T795" s="6">
        <v>3</v>
      </c>
      <c r="U795" s="5">
        <v>45252</v>
      </c>
      <c r="V795" s="6">
        <v>1</v>
      </c>
      <c r="W795" t="s">
        <v>86</v>
      </c>
      <c r="X795" s="6">
        <v>116</v>
      </c>
      <c r="Y795">
        <v>15.96889</v>
      </c>
      <c r="Z795">
        <v>10.645926666666666</v>
      </c>
      <c r="AA795" s="6">
        <v>21.800137642628886</v>
      </c>
      <c r="AB795" s="4">
        <v>58.020666666666664</v>
      </c>
      <c r="AC795" s="6">
        <v>45.871270007238799</v>
      </c>
      <c r="AD795">
        <v>0.50132352899999999</v>
      </c>
      <c r="AE795">
        <v>1.9817702829531141</v>
      </c>
      <c r="AF795">
        <v>30850</v>
      </c>
      <c r="AG795" s="4">
        <v>0</v>
      </c>
      <c r="AH795" s="4">
        <v>92550</v>
      </c>
      <c r="AL795">
        <v>17</v>
      </c>
      <c r="AM795">
        <v>8.2255400000000005</v>
      </c>
      <c r="AN795" t="s">
        <v>81</v>
      </c>
      <c r="AO795" t="s">
        <v>116</v>
      </c>
      <c r="AP795" s="5">
        <v>45136</v>
      </c>
      <c r="AQ795" t="s">
        <v>96</v>
      </c>
      <c r="AR795" s="5">
        <v>45251</v>
      </c>
      <c r="AS795">
        <v>229.05051697394123</v>
      </c>
      <c r="AT795" s="6"/>
      <c r="AU795">
        <v>15.029222444390312</v>
      </c>
      <c r="AV795">
        <v>57.652961476971768</v>
      </c>
      <c r="AW795">
        <v>31.83582014779989</v>
      </c>
      <c r="AX795">
        <v>104.51800406916198</v>
      </c>
      <c r="AY795">
        <v>24.565428780585247</v>
      </c>
      <c r="AZ795">
        <v>43.838840395293595</v>
      </c>
      <c r="BA795">
        <v>8.4146963251672453</v>
      </c>
      <c r="BB795">
        <v>25.554456821983241</v>
      </c>
      <c r="BC795">
        <v>21.792091372662721</v>
      </c>
      <c r="BD795">
        <v>124.16551369569204</v>
      </c>
      <c r="BE795">
        <v>0.3669992090872114</v>
      </c>
      <c r="BF795">
        <v>5.276001650709599</v>
      </c>
      <c r="BH795">
        <v>5.276001650709599</v>
      </c>
      <c r="BI795">
        <v>233.95951941556362</v>
      </c>
      <c r="BJ795" s="6">
        <v>232</v>
      </c>
      <c r="BK795">
        <v>-4.9090024416223903</v>
      </c>
      <c r="BL795" s="4">
        <v>-78.391319999999368</v>
      </c>
      <c r="BM795" t="s">
        <v>2724</v>
      </c>
      <c r="BN795" t="s">
        <v>65</v>
      </c>
      <c r="BO795">
        <v>11</v>
      </c>
      <c r="BP795">
        <v>2023</v>
      </c>
      <c r="BQ795" t="str">
        <f t="shared" si="61"/>
        <v>Pakpanang111</v>
      </c>
      <c r="BR795">
        <f t="shared" si="62"/>
        <v>-31.291349999999724</v>
      </c>
      <c r="BS795">
        <f t="shared" si="63"/>
        <v>3657.6825100000005</v>
      </c>
      <c r="BT795" s="6">
        <f t="shared" si="64"/>
        <v>-1.9595194155636193</v>
      </c>
    </row>
    <row r="796" spans="1:72">
      <c r="A796" s="3" t="s">
        <v>631</v>
      </c>
      <c r="B796" s="3" t="s">
        <v>724</v>
      </c>
      <c r="C796" s="3" t="s">
        <v>726</v>
      </c>
      <c r="D796" s="2" t="s">
        <v>2717</v>
      </c>
      <c r="E796" s="4" t="str">
        <f t="shared" si="60"/>
        <v>Pakpanang1C1-138-0011</v>
      </c>
      <c r="F796">
        <v>1.5</v>
      </c>
      <c r="G796">
        <v>1.8</v>
      </c>
      <c r="H796" t="s">
        <v>72</v>
      </c>
      <c r="I796" t="s">
        <v>75</v>
      </c>
      <c r="J796" t="s">
        <v>641</v>
      </c>
      <c r="K796" t="s">
        <v>79</v>
      </c>
      <c r="L796" t="s">
        <v>79</v>
      </c>
      <c r="M796">
        <v>3</v>
      </c>
      <c r="N796" s="5">
        <v>45097</v>
      </c>
      <c r="O796" s="5">
        <v>45148</v>
      </c>
      <c r="P796">
        <v>0.7</v>
      </c>
      <c r="Q796" s="4">
        <v>162</v>
      </c>
      <c r="R796">
        <v>1.8069999999999999</v>
      </c>
      <c r="S796" t="s">
        <v>70</v>
      </c>
      <c r="T796" s="6">
        <v>5</v>
      </c>
      <c r="U796" s="5">
        <v>45251</v>
      </c>
      <c r="V796" s="6">
        <v>1</v>
      </c>
      <c r="W796" t="s">
        <v>86</v>
      </c>
      <c r="X796" s="6">
        <v>103</v>
      </c>
      <c r="Y796">
        <v>24.964779999999998</v>
      </c>
      <c r="Z796">
        <v>16.643186666666665</v>
      </c>
      <c r="AA796" s="6">
        <v>32.803453505298265</v>
      </c>
      <c r="AB796" s="4">
        <v>116.99014285714287</v>
      </c>
      <c r="AC796" s="6">
        <v>30.484595161252901</v>
      </c>
      <c r="AD796">
        <v>0.46789320400000001</v>
      </c>
      <c r="AE796">
        <v>1.6719564485408727</v>
      </c>
      <c r="AF796">
        <v>39625</v>
      </c>
      <c r="AG796" s="4">
        <v>0</v>
      </c>
      <c r="AH796" s="4">
        <v>118875</v>
      </c>
      <c r="AL796">
        <v>20</v>
      </c>
      <c r="AM796">
        <v>2.53471</v>
      </c>
      <c r="AN796" t="s">
        <v>81</v>
      </c>
      <c r="AO796" t="s">
        <v>144</v>
      </c>
      <c r="AP796" s="5">
        <v>45148</v>
      </c>
      <c r="AQ796" t="s">
        <v>96</v>
      </c>
      <c r="AR796" s="5">
        <v>45250</v>
      </c>
      <c r="AS796">
        <v>193.73039738383429</v>
      </c>
      <c r="AT796" s="6"/>
      <c r="AU796">
        <v>28.039502050488725</v>
      </c>
      <c r="AV796">
        <v>47.305886132383307</v>
      </c>
      <c r="AW796">
        <v>17.493959490129694</v>
      </c>
      <c r="AX796">
        <v>92.83934767300174</v>
      </c>
      <c r="AY796">
        <v>15.637928313407929</v>
      </c>
      <c r="AZ796">
        <v>27.720916427062445</v>
      </c>
      <c r="BA796">
        <v>5.3600504390585453</v>
      </c>
      <c r="BB796">
        <v>16.20242117094563</v>
      </c>
      <c r="BC796">
        <v>13.854860727793318</v>
      </c>
      <c r="BD796">
        <v>78.776177078267864</v>
      </c>
      <c r="BE796">
        <v>22.114872632564683</v>
      </c>
      <c r="BF796">
        <v>3.3675017364463051</v>
      </c>
      <c r="BH796">
        <v>3.3675017364463051</v>
      </c>
      <c r="BI796">
        <v>174.9830264877159</v>
      </c>
      <c r="BJ796" s="6">
        <v>192</v>
      </c>
      <c r="BK796">
        <v>18.747370896118387</v>
      </c>
      <c r="BL796" s="4">
        <v>468.02398999999838</v>
      </c>
      <c r="BM796" t="s">
        <v>2718</v>
      </c>
      <c r="BN796" t="s">
        <v>65</v>
      </c>
      <c r="BO796">
        <v>11</v>
      </c>
      <c r="BP796">
        <v>2023</v>
      </c>
      <c r="BQ796" t="str">
        <f t="shared" si="61"/>
        <v>Pakpanang111</v>
      </c>
      <c r="BR796">
        <f t="shared" si="62"/>
        <v>424.8249999999997</v>
      </c>
      <c r="BS796">
        <f t="shared" si="63"/>
        <v>4836.436749999998</v>
      </c>
      <c r="BT796" s="6">
        <f t="shared" si="64"/>
        <v>17.016973512284096</v>
      </c>
    </row>
    <row r="797" spans="1:72">
      <c r="A797" s="3" t="s">
        <v>631</v>
      </c>
      <c r="B797" s="3" t="s">
        <v>724</v>
      </c>
      <c r="C797" s="3" t="s">
        <v>726</v>
      </c>
      <c r="D797" s="2" t="s">
        <v>2721</v>
      </c>
      <c r="E797" s="4" t="str">
        <f t="shared" si="60"/>
        <v>Pakpanang1D1-174-0009</v>
      </c>
      <c r="F797">
        <v>1.8</v>
      </c>
      <c r="G797">
        <v>1.8</v>
      </c>
      <c r="H797" t="s">
        <v>72</v>
      </c>
      <c r="I797" t="s">
        <v>75</v>
      </c>
      <c r="J797" t="s">
        <v>95</v>
      </c>
      <c r="K797" t="s">
        <v>79</v>
      </c>
      <c r="L797" t="s">
        <v>79</v>
      </c>
      <c r="M797">
        <v>2.8733668341708545</v>
      </c>
      <c r="N797" s="5">
        <v>45066</v>
      </c>
      <c r="O797" s="5">
        <v>45124</v>
      </c>
      <c r="P797">
        <v>0.8</v>
      </c>
      <c r="Q797" s="4">
        <v>154</v>
      </c>
      <c r="R797">
        <v>0.72</v>
      </c>
      <c r="S797" t="s">
        <v>70</v>
      </c>
      <c r="T797" s="6">
        <v>4</v>
      </c>
      <c r="U797" s="5">
        <v>45253</v>
      </c>
      <c r="V797" s="6">
        <v>1</v>
      </c>
      <c r="W797" t="s">
        <v>86</v>
      </c>
      <c r="X797" s="6">
        <v>129</v>
      </c>
      <c r="Y797">
        <v>24.455299999999998</v>
      </c>
      <c r="Z797">
        <v>13.586277777777775</v>
      </c>
      <c r="AA797" s="6">
        <v>25.834481686996277</v>
      </c>
      <c r="AB797" s="4">
        <v>78.973749999999995</v>
      </c>
      <c r="AC797" s="6">
        <v>38.707956757783435</v>
      </c>
      <c r="AD797">
        <v>0.45041495699999995</v>
      </c>
      <c r="AE797">
        <v>2.0833944043585868</v>
      </c>
      <c r="AF797">
        <v>49750</v>
      </c>
      <c r="AG797" s="4">
        <v>0</v>
      </c>
      <c r="AH797" s="4">
        <v>142950</v>
      </c>
      <c r="AL797">
        <v>17</v>
      </c>
      <c r="AM797">
        <v>11.20294</v>
      </c>
      <c r="AN797" t="s">
        <v>81</v>
      </c>
      <c r="AO797" t="s">
        <v>123</v>
      </c>
      <c r="AP797" s="5">
        <v>45125</v>
      </c>
      <c r="AQ797" t="s">
        <v>97</v>
      </c>
      <c r="AR797" s="5">
        <v>45252</v>
      </c>
      <c r="AS797">
        <v>218.52312668419529</v>
      </c>
      <c r="AT797" s="6"/>
      <c r="AU797">
        <v>16.356372647238022</v>
      </c>
      <c r="AV797">
        <v>61.165430397500756</v>
      </c>
      <c r="AW797">
        <v>31.623108692185344</v>
      </c>
      <c r="AX797">
        <v>109.14491173692413</v>
      </c>
      <c r="AY797">
        <v>20.25017153745814</v>
      </c>
      <c r="AZ797">
        <v>42.56874951442019</v>
      </c>
      <c r="BA797">
        <v>7.2611487080510164</v>
      </c>
      <c r="BB797">
        <v>25.553796109636767</v>
      </c>
      <c r="BC797">
        <v>21.089205611871456</v>
      </c>
      <c r="BD797">
        <v>116.72307148143756</v>
      </c>
      <c r="BE797">
        <v>-7.3448565341663965</v>
      </c>
      <c r="BF797">
        <v>10.776644735497008</v>
      </c>
      <c r="BH797">
        <v>10.776644735497008</v>
      </c>
      <c r="BI797">
        <v>236.64462795385867</v>
      </c>
      <c r="BJ797" s="6">
        <v>214</v>
      </c>
      <c r="BK797">
        <v>-18.121501269663391</v>
      </c>
      <c r="BL797" s="4">
        <v>-443.16674999999907</v>
      </c>
      <c r="BM797" t="s">
        <v>2722</v>
      </c>
      <c r="BN797" t="s">
        <v>65</v>
      </c>
      <c r="BO797">
        <v>11</v>
      </c>
      <c r="BP797">
        <v>2023</v>
      </c>
      <c r="BQ797" t="str">
        <f t="shared" si="61"/>
        <v>Pakpanang111</v>
      </c>
      <c r="BR797">
        <f t="shared" si="62"/>
        <v>-553.78116999999997</v>
      </c>
      <c r="BS797">
        <f t="shared" si="63"/>
        <v>5344.0486200000005</v>
      </c>
      <c r="BT797" s="6">
        <f t="shared" si="64"/>
        <v>-22.644627953858674</v>
      </c>
    </row>
    <row r="798" spans="1:72">
      <c r="A798" s="3" t="s">
        <v>631</v>
      </c>
      <c r="B798" s="3" t="s">
        <v>724</v>
      </c>
      <c r="C798" s="3" t="s">
        <v>726</v>
      </c>
      <c r="D798" s="2" t="s">
        <v>2715</v>
      </c>
      <c r="E798" s="4" t="str">
        <f t="shared" si="60"/>
        <v>Pakpanang1C1-140-0010</v>
      </c>
      <c r="F798">
        <v>1.5</v>
      </c>
      <c r="G798">
        <v>1.8</v>
      </c>
      <c r="H798" t="s">
        <v>72</v>
      </c>
      <c r="I798" t="s">
        <v>75</v>
      </c>
      <c r="J798" t="s">
        <v>95</v>
      </c>
      <c r="K798" t="s">
        <v>79</v>
      </c>
      <c r="L798" t="s">
        <v>79</v>
      </c>
      <c r="M798">
        <v>3</v>
      </c>
      <c r="N798" s="5">
        <v>45066</v>
      </c>
      <c r="O798" s="5">
        <v>45154</v>
      </c>
      <c r="P798">
        <v>0.6</v>
      </c>
      <c r="Q798" s="4">
        <v>139</v>
      </c>
      <c r="R798">
        <v>0.34</v>
      </c>
      <c r="S798" t="s">
        <v>70</v>
      </c>
      <c r="T798" s="6">
        <v>3</v>
      </c>
      <c r="U798" s="5">
        <v>45247</v>
      </c>
      <c r="V798" s="6">
        <v>1</v>
      </c>
      <c r="W798" t="s">
        <v>86</v>
      </c>
      <c r="X798" s="6">
        <v>93</v>
      </c>
      <c r="Y798">
        <v>14.961799999999998</v>
      </c>
      <c r="Z798">
        <v>9.9745333333333317</v>
      </c>
      <c r="AA798" s="6">
        <v>33.989827427181226</v>
      </c>
      <c r="AB798" s="4">
        <v>84.758166666666668</v>
      </c>
      <c r="AC798" s="6">
        <v>29.420567142989167</v>
      </c>
      <c r="AD798">
        <v>0.42645161300000001</v>
      </c>
      <c r="AE798">
        <v>1.7600861917087913</v>
      </c>
      <c r="AF798">
        <v>25975</v>
      </c>
      <c r="AG798" s="4">
        <v>0</v>
      </c>
      <c r="AH798" s="4">
        <v>77925</v>
      </c>
      <c r="AL798">
        <v>25</v>
      </c>
      <c r="AM798">
        <v>3.3204600000000002</v>
      </c>
      <c r="AN798" t="s">
        <v>81</v>
      </c>
      <c r="AO798" t="s">
        <v>127</v>
      </c>
      <c r="AP798" s="5">
        <v>45154</v>
      </c>
      <c r="AQ798" t="s">
        <v>131</v>
      </c>
      <c r="AR798" s="5">
        <v>45246</v>
      </c>
      <c r="AS798">
        <v>196.9578954403882</v>
      </c>
      <c r="AT798" s="6"/>
      <c r="AU798">
        <v>16.040850699782112</v>
      </c>
      <c r="AV798">
        <v>51.684652247724209</v>
      </c>
      <c r="AW798">
        <v>39.925208196874706</v>
      </c>
      <c r="AX798">
        <v>107.65071114438103</v>
      </c>
      <c r="AY798">
        <v>29.706272640992399</v>
      </c>
      <c r="AZ798">
        <v>47.650671710623058</v>
      </c>
      <c r="BA798">
        <v>10.675414722827467</v>
      </c>
      <c r="BB798">
        <v>30.40291542461469</v>
      </c>
      <c r="BC798">
        <v>26.772948442032376</v>
      </c>
      <c r="BD798">
        <v>145.20822294108999</v>
      </c>
      <c r="BE798">
        <v>-55.901038645082821</v>
      </c>
      <c r="BF798">
        <v>6.9570138619684796</v>
      </c>
      <c r="BH798">
        <v>6.9570138619684796</v>
      </c>
      <c r="BI798">
        <v>259.8159479474395</v>
      </c>
      <c r="BJ798" s="6">
        <v>189</v>
      </c>
      <c r="BK798">
        <v>-62.858052507051283</v>
      </c>
      <c r="BL798" s="4">
        <v>-940.46960999999988</v>
      </c>
      <c r="BM798" t="s">
        <v>2716</v>
      </c>
      <c r="BN798" t="s">
        <v>65</v>
      </c>
      <c r="BO798">
        <v>11</v>
      </c>
      <c r="BP798">
        <v>2023</v>
      </c>
      <c r="BQ798" t="str">
        <f t="shared" si="61"/>
        <v>Pakpanang111</v>
      </c>
      <c r="BR798">
        <f t="shared" si="62"/>
        <v>-1059.5340500000002</v>
      </c>
      <c r="BS798">
        <f t="shared" si="63"/>
        <v>2946.8446399999998</v>
      </c>
      <c r="BT798" s="6">
        <f t="shared" si="64"/>
        <v>-70.815947947439497</v>
      </c>
    </row>
    <row r="799" spans="1:72">
      <c r="A799" s="3" t="s">
        <v>631</v>
      </c>
      <c r="B799" s="3" t="s">
        <v>724</v>
      </c>
      <c r="C799" s="3" t="s">
        <v>726</v>
      </c>
      <c r="D799" s="2" t="s">
        <v>754</v>
      </c>
      <c r="E799" s="4" t="str">
        <f t="shared" si="60"/>
        <v>Pakpanang1D1-173-0009</v>
      </c>
      <c r="F799">
        <v>1.8</v>
      </c>
      <c r="G799">
        <v>2</v>
      </c>
      <c r="H799" t="s">
        <v>72</v>
      </c>
      <c r="I799" t="s">
        <v>75</v>
      </c>
      <c r="J799" t="s">
        <v>95</v>
      </c>
      <c r="K799" t="s">
        <v>79</v>
      </c>
      <c r="L799" t="s">
        <v>79</v>
      </c>
      <c r="M799">
        <v>3</v>
      </c>
      <c r="N799" s="5">
        <v>45066</v>
      </c>
      <c r="O799" s="5">
        <v>45119</v>
      </c>
      <c r="P799">
        <v>0.8</v>
      </c>
      <c r="Q799" s="4">
        <v>139</v>
      </c>
      <c r="R799">
        <v>0.54</v>
      </c>
      <c r="S799" t="s">
        <v>70</v>
      </c>
      <c r="T799" s="6">
        <v>5</v>
      </c>
      <c r="U799" s="5">
        <v>45212</v>
      </c>
      <c r="V799" s="6">
        <v>1</v>
      </c>
      <c r="W799" t="s">
        <v>86</v>
      </c>
      <c r="X799" s="6">
        <v>93</v>
      </c>
      <c r="Y799">
        <v>24.95879</v>
      </c>
      <c r="Z799">
        <v>13.865994444444445</v>
      </c>
      <c r="AA799" s="6">
        <v>28.731040246742729</v>
      </c>
      <c r="AB799" s="4">
        <v>89.636499999999998</v>
      </c>
      <c r="AC799" s="6">
        <v>34.805561908374379</v>
      </c>
      <c r="AD799">
        <v>0.42430107500000003</v>
      </c>
      <c r="AE799">
        <v>1.5727700200474664</v>
      </c>
      <c r="AF799">
        <v>38575</v>
      </c>
      <c r="AG799" s="4">
        <v>0</v>
      </c>
      <c r="AH799" s="4">
        <v>115725</v>
      </c>
      <c r="AL799">
        <v>25</v>
      </c>
      <c r="AM799">
        <v>4.8804999999999996</v>
      </c>
      <c r="AN799" t="s">
        <v>81</v>
      </c>
      <c r="AO799" t="s">
        <v>123</v>
      </c>
      <c r="AP799" s="5">
        <v>45119</v>
      </c>
      <c r="AQ799" t="s">
        <v>144</v>
      </c>
      <c r="AR799" s="5">
        <v>45211</v>
      </c>
      <c r="AS799">
        <v>197.13512634226259</v>
      </c>
      <c r="AT799" s="6"/>
      <c r="AU799">
        <v>14.423776152609962</v>
      </c>
      <c r="AV799">
        <v>46.773656896027404</v>
      </c>
      <c r="AW799">
        <v>27.013172112910919</v>
      </c>
      <c r="AX799">
        <v>88.210605161548287</v>
      </c>
      <c r="AY799">
        <v>15.859083312933041</v>
      </c>
      <c r="AZ799">
        <v>30.518473451637675</v>
      </c>
      <c r="BA799">
        <v>5.5380897872052293</v>
      </c>
      <c r="BB799">
        <v>18.364552929048244</v>
      </c>
      <c r="BC799">
        <v>15.081124125007662</v>
      </c>
      <c r="BD799">
        <v>85.361323605831856</v>
      </c>
      <c r="BE799">
        <v>23.563197574882452</v>
      </c>
      <c r="BF799">
        <v>9.9151048588493289</v>
      </c>
      <c r="BH799">
        <v>9.9151048588493289</v>
      </c>
      <c r="BI799">
        <v>183.48703362622948</v>
      </c>
      <c r="BJ799" s="6">
        <v>204</v>
      </c>
      <c r="BK799">
        <v>13.64809271603314</v>
      </c>
      <c r="BL799" s="4">
        <v>340.6398800000008</v>
      </c>
      <c r="BM799" t="s">
        <v>755</v>
      </c>
      <c r="BN799" t="s">
        <v>65</v>
      </c>
      <c r="BO799">
        <v>10</v>
      </c>
      <c r="BP799">
        <v>2023</v>
      </c>
      <c r="BQ799" t="str">
        <f t="shared" si="61"/>
        <v>Pakpanang110</v>
      </c>
      <c r="BR799">
        <f t="shared" si="62"/>
        <v>511.97882000000004</v>
      </c>
      <c r="BS799">
        <f t="shared" si="63"/>
        <v>4920.2542200000007</v>
      </c>
      <c r="BT799" s="6">
        <f t="shared" si="64"/>
        <v>20.512966373770524</v>
      </c>
    </row>
    <row r="800" spans="1:72">
      <c r="A800" s="3" t="s">
        <v>631</v>
      </c>
      <c r="B800" s="3" t="s">
        <v>724</v>
      </c>
      <c r="C800" s="3" t="s">
        <v>726</v>
      </c>
      <c r="D800" s="2" t="s">
        <v>2719</v>
      </c>
      <c r="E800" s="4" t="str">
        <f t="shared" si="60"/>
        <v>Pakpanang1A1-183-0011</v>
      </c>
      <c r="F800">
        <v>1.8</v>
      </c>
      <c r="G800">
        <v>1.8</v>
      </c>
      <c r="H800" t="s">
        <v>72</v>
      </c>
      <c r="I800" t="s">
        <v>75</v>
      </c>
      <c r="J800" t="s">
        <v>641</v>
      </c>
      <c r="K800" t="s">
        <v>79</v>
      </c>
      <c r="L800" t="s">
        <v>79</v>
      </c>
      <c r="M800">
        <v>3</v>
      </c>
      <c r="N800" s="5">
        <v>45059</v>
      </c>
      <c r="O800" s="5">
        <v>45118</v>
      </c>
      <c r="P800">
        <v>0.8</v>
      </c>
      <c r="Q800" s="4">
        <v>154</v>
      </c>
      <c r="R800">
        <v>0.438</v>
      </c>
      <c r="S800" t="s">
        <v>70</v>
      </c>
      <c r="T800" s="6">
        <v>4</v>
      </c>
      <c r="U800" s="5">
        <v>45244</v>
      </c>
      <c r="V800" s="6">
        <v>1</v>
      </c>
      <c r="W800" t="s">
        <v>86</v>
      </c>
      <c r="X800" s="6">
        <v>126</v>
      </c>
      <c r="Y800">
        <v>23.717290000000002</v>
      </c>
      <c r="Z800">
        <v>13.176272222222224</v>
      </c>
      <c r="AA800" s="6">
        <v>27.711597741563221</v>
      </c>
      <c r="AB800" s="4">
        <v>82.155500000000004</v>
      </c>
      <c r="AC800" s="6">
        <v>36.085974158759917</v>
      </c>
      <c r="AD800">
        <v>0.39334920600000001</v>
      </c>
      <c r="AE800">
        <v>1.7706375022520797</v>
      </c>
      <c r="AF800">
        <v>41375</v>
      </c>
      <c r="AG800" s="4">
        <v>0</v>
      </c>
      <c r="AH800" s="4">
        <v>124125</v>
      </c>
      <c r="AL800">
        <v>20</v>
      </c>
      <c r="AM800">
        <v>11.61051</v>
      </c>
      <c r="AN800" t="s">
        <v>81</v>
      </c>
      <c r="AO800" t="s">
        <v>116</v>
      </c>
      <c r="AP800" s="5">
        <v>45119</v>
      </c>
      <c r="AQ800" t="s">
        <v>123</v>
      </c>
      <c r="AR800" s="5">
        <v>45243</v>
      </c>
      <c r="AS800">
        <v>209.80355091159234</v>
      </c>
      <c r="AT800" s="6"/>
      <c r="AU800">
        <v>15.178799938778839</v>
      </c>
      <c r="AV800">
        <v>52.439179181095291</v>
      </c>
      <c r="AW800">
        <v>19.583706232879052</v>
      </c>
      <c r="AX800">
        <v>87.201685352753188</v>
      </c>
      <c r="AY800">
        <v>23.869164647394371</v>
      </c>
      <c r="AZ800">
        <v>34.857888063939853</v>
      </c>
      <c r="BA800">
        <v>45.727947417263941</v>
      </c>
      <c r="BB800">
        <v>32.04007919960501</v>
      </c>
      <c r="BC800">
        <v>22.28671361694359</v>
      </c>
      <c r="BD800">
        <v>158.78179294514678</v>
      </c>
      <c r="BE800">
        <v>-36.179927386307625</v>
      </c>
      <c r="BF800">
        <v>19.843881826296343</v>
      </c>
      <c r="BH800">
        <v>19.843881826296343</v>
      </c>
      <c r="BI800">
        <v>265.82736012419628</v>
      </c>
      <c r="BJ800" s="6">
        <v>207</v>
      </c>
      <c r="BK800">
        <v>-56.023809212603958</v>
      </c>
      <c r="BL800" s="4">
        <v>-1328.7329299999997</v>
      </c>
      <c r="BM800" t="s">
        <v>2720</v>
      </c>
      <c r="BN800" t="s">
        <v>65</v>
      </c>
      <c r="BO800">
        <v>11</v>
      </c>
      <c r="BP800">
        <v>2023</v>
      </c>
      <c r="BQ800" t="str">
        <f t="shared" si="61"/>
        <v>Pakpanang111</v>
      </c>
      <c r="BR800">
        <f t="shared" si="62"/>
        <v>-1395.2255599999992</v>
      </c>
      <c r="BS800">
        <f t="shared" si="63"/>
        <v>4975.9716600000002</v>
      </c>
      <c r="BT800" s="6">
        <f t="shared" si="64"/>
        <v>-58.827360124196275</v>
      </c>
    </row>
    <row r="801" spans="1:72">
      <c r="A801" s="3" t="s">
        <v>631</v>
      </c>
      <c r="B801" s="3" t="s">
        <v>724</v>
      </c>
      <c r="C801" s="3" t="s">
        <v>726</v>
      </c>
      <c r="D801" s="2" t="s">
        <v>758</v>
      </c>
      <c r="E801" s="4" t="str">
        <f t="shared" si="60"/>
        <v>Pakpanang1C1-137-0010</v>
      </c>
      <c r="F801">
        <v>1.5</v>
      </c>
      <c r="G801">
        <v>1.8</v>
      </c>
      <c r="H801" t="s">
        <v>72</v>
      </c>
      <c r="I801" t="s">
        <v>75</v>
      </c>
      <c r="J801" t="s">
        <v>641</v>
      </c>
      <c r="K801" t="s">
        <v>79</v>
      </c>
      <c r="L801" t="s">
        <v>79</v>
      </c>
      <c r="M801">
        <v>2.8343023255813953</v>
      </c>
      <c r="N801" s="5">
        <v>44947</v>
      </c>
      <c r="O801" s="5">
        <v>44962</v>
      </c>
      <c r="P801">
        <v>0.7</v>
      </c>
      <c r="Q801" s="4">
        <v>162</v>
      </c>
      <c r="R801">
        <v>0.24099999999999999</v>
      </c>
      <c r="S801" t="s">
        <v>70</v>
      </c>
      <c r="T801" s="6">
        <v>4</v>
      </c>
      <c r="U801" s="5">
        <v>45075</v>
      </c>
      <c r="V801" s="6">
        <v>1</v>
      </c>
      <c r="W801" t="s">
        <v>86</v>
      </c>
      <c r="X801" s="6">
        <v>112.99999999999999</v>
      </c>
      <c r="Y801">
        <v>22.874479999999998</v>
      </c>
      <c r="Z801">
        <v>15.249653333333333</v>
      </c>
      <c r="AA801" s="6">
        <v>28.02341299124614</v>
      </c>
      <c r="AB801" s="4">
        <v>91.57442857142857</v>
      </c>
      <c r="AC801" s="6">
        <v>35.684447155397407</v>
      </c>
      <c r="AD801">
        <v>0.33823485399999997</v>
      </c>
      <c r="AE801">
        <v>1.8938159422306862</v>
      </c>
      <c r="AF801">
        <v>43000</v>
      </c>
      <c r="AG801" s="4"/>
      <c r="AH801" s="4">
        <v>121875</v>
      </c>
      <c r="AI801" t="s">
        <v>98</v>
      </c>
      <c r="AJ801" t="s">
        <v>98</v>
      </c>
      <c r="AK801" t="s">
        <v>110</v>
      </c>
      <c r="AL801">
        <v>26</v>
      </c>
      <c r="AM801">
        <v>4.0622699999999998</v>
      </c>
      <c r="AN801" t="s">
        <v>126</v>
      </c>
      <c r="AO801" t="s">
        <v>215</v>
      </c>
      <c r="AP801" s="5">
        <v>44962</v>
      </c>
      <c r="AQ801" t="s">
        <v>127</v>
      </c>
      <c r="AR801" s="5">
        <v>45074</v>
      </c>
      <c r="AS801">
        <v>231.07399862204525</v>
      </c>
      <c r="AT801" s="6"/>
      <c r="AU801">
        <v>12.240715417355936</v>
      </c>
      <c r="AV801">
        <v>60.286633838233705</v>
      </c>
      <c r="AW801">
        <v>28.37076427529718</v>
      </c>
      <c r="AX801">
        <v>100.89811353088682</v>
      </c>
      <c r="AY801">
        <v>13.176303024156173</v>
      </c>
      <c r="AZ801">
        <v>20.677660432062279</v>
      </c>
      <c r="BA801">
        <v>6.883846102731078</v>
      </c>
      <c r="BB801">
        <v>11.303968002769899</v>
      </c>
      <c r="BC801">
        <v>9.6510622317971819</v>
      </c>
      <c r="BD801">
        <v>61.692839793516612</v>
      </c>
      <c r="BE801">
        <v>68.483045297641809</v>
      </c>
      <c r="BF801">
        <v>5.2991114989280614</v>
      </c>
      <c r="BH801">
        <v>5.2991114989280614</v>
      </c>
      <c r="BI801">
        <v>167.89006482333147</v>
      </c>
      <c r="BJ801" s="6">
        <v>204</v>
      </c>
      <c r="BK801">
        <v>63.183933798713774</v>
      </c>
      <c r="BL801" s="4">
        <v>1445.2996300000023</v>
      </c>
      <c r="BM801" t="s">
        <v>759</v>
      </c>
      <c r="BN801" t="s">
        <v>65</v>
      </c>
      <c r="BO801">
        <v>5</v>
      </c>
      <c r="BP801">
        <v>2023</v>
      </c>
      <c r="BQ801" t="str">
        <f t="shared" si="61"/>
        <v>Pakpanang15</v>
      </c>
      <c r="BR801">
        <f t="shared" si="62"/>
        <v>825.99599000000069</v>
      </c>
      <c r="BS801">
        <f t="shared" si="63"/>
        <v>5285.6975600000014</v>
      </c>
      <c r="BT801" s="6">
        <f t="shared" si="64"/>
        <v>36.109935176668529</v>
      </c>
    </row>
    <row r="802" spans="1:72">
      <c r="A802" s="3" t="s">
        <v>631</v>
      </c>
      <c r="B802" s="3" t="s">
        <v>724</v>
      </c>
      <c r="C802" s="3" t="s">
        <v>726</v>
      </c>
      <c r="D802" s="2" t="s">
        <v>756</v>
      </c>
      <c r="E802" s="4" t="str">
        <f t="shared" si="60"/>
        <v>Pakpanang1C1-136-0009</v>
      </c>
      <c r="F802">
        <v>1.5</v>
      </c>
      <c r="G802">
        <v>2</v>
      </c>
      <c r="H802" t="s">
        <v>72</v>
      </c>
      <c r="I802" t="s">
        <v>75</v>
      </c>
      <c r="J802" t="s">
        <v>641</v>
      </c>
      <c r="K802" t="s">
        <v>79</v>
      </c>
      <c r="L802" t="s">
        <v>79</v>
      </c>
      <c r="M802">
        <v>2.8160851567120049</v>
      </c>
      <c r="N802" s="5">
        <v>44947</v>
      </c>
      <c r="O802" s="5">
        <v>44960</v>
      </c>
      <c r="P802">
        <v>0.7</v>
      </c>
      <c r="Q802" s="4">
        <v>146</v>
      </c>
      <c r="R802">
        <v>0.24099999999999999</v>
      </c>
      <c r="S802" t="s">
        <v>70</v>
      </c>
      <c r="T802" s="6">
        <v>2</v>
      </c>
      <c r="U802" s="5">
        <v>45075</v>
      </c>
      <c r="V802" s="6">
        <v>1</v>
      </c>
      <c r="W802" t="s">
        <v>86</v>
      </c>
      <c r="X802" s="6">
        <v>115</v>
      </c>
      <c r="Y802">
        <v>19.594049999999999</v>
      </c>
      <c r="Z802">
        <v>13.0627</v>
      </c>
      <c r="AA802" s="6">
        <v>28.579083956609278</v>
      </c>
      <c r="AB802" s="4">
        <v>79.997142857142862</v>
      </c>
      <c r="AC802" s="6">
        <v>34.990624665166614</v>
      </c>
      <c r="AD802">
        <v>0.33235250799999999</v>
      </c>
      <c r="AE802">
        <v>2.176313574482434</v>
      </c>
      <c r="AF802">
        <v>42275</v>
      </c>
      <c r="AG802" s="4"/>
      <c r="AH802" s="4">
        <v>119050</v>
      </c>
      <c r="AI802" t="s">
        <v>98</v>
      </c>
      <c r="AJ802" t="s">
        <v>98</v>
      </c>
      <c r="AK802" t="s">
        <v>110</v>
      </c>
      <c r="AL802">
        <v>25.999999999999996</v>
      </c>
      <c r="AM802">
        <v>15.350110000000001</v>
      </c>
      <c r="AN802" t="s">
        <v>126</v>
      </c>
      <c r="AO802" t="s">
        <v>102</v>
      </c>
      <c r="AP802" s="5">
        <v>44961</v>
      </c>
      <c r="AQ802" t="s">
        <v>127</v>
      </c>
      <c r="AR802" s="5">
        <v>45074</v>
      </c>
      <c r="AS802">
        <v>215.35926263329935</v>
      </c>
      <c r="AT802" s="6"/>
      <c r="AU802">
        <v>14.290052337316689</v>
      </c>
      <c r="AV802">
        <v>69.14542782120084</v>
      </c>
      <c r="AW802">
        <v>33.846444711532328</v>
      </c>
      <c r="AX802">
        <v>117.28192487004986</v>
      </c>
      <c r="AY802">
        <v>15.382275741870618</v>
      </c>
      <c r="AZ802">
        <v>24.139508167020093</v>
      </c>
      <c r="BA802">
        <v>8.0363375616577475</v>
      </c>
      <c r="BB802">
        <v>13.196474950303793</v>
      </c>
      <c r="BC802">
        <v>11.266840699089775</v>
      </c>
      <c r="BD802">
        <v>72.021437119942036</v>
      </c>
      <c r="BE802">
        <v>26.055900643307453</v>
      </c>
      <c r="BF802">
        <v>6.1862876740643209</v>
      </c>
      <c r="BH802">
        <v>6.1862876740643209</v>
      </c>
      <c r="BI802">
        <v>195.4896496640562</v>
      </c>
      <c r="BJ802" s="6">
        <v>204</v>
      </c>
      <c r="BK802">
        <v>19.869612969243164</v>
      </c>
      <c r="BL802" s="4">
        <v>389.32618999999903</v>
      </c>
      <c r="BM802" t="s">
        <v>757</v>
      </c>
      <c r="BN802" t="s">
        <v>65</v>
      </c>
      <c r="BO802">
        <v>5</v>
      </c>
      <c r="BP802">
        <v>2023</v>
      </c>
      <c r="BQ802" t="str">
        <f t="shared" si="61"/>
        <v>Pakpanang15</v>
      </c>
      <c r="BR802">
        <f t="shared" si="62"/>
        <v>166.75222999999957</v>
      </c>
      <c r="BS802">
        <f t="shared" si="63"/>
        <v>4219.7601599999989</v>
      </c>
      <c r="BT802" s="6">
        <f t="shared" si="64"/>
        <v>8.510350335943798</v>
      </c>
    </row>
    <row r="803" spans="1:72">
      <c r="A803" s="3" t="s">
        <v>631</v>
      </c>
      <c r="B803" s="3" t="s">
        <v>724</v>
      </c>
      <c r="C803" s="3" t="s">
        <v>726</v>
      </c>
      <c r="D803" s="2" t="s">
        <v>752</v>
      </c>
      <c r="E803" s="4" t="str">
        <f t="shared" si="60"/>
        <v>Pakpanang1D1-171-0009</v>
      </c>
      <c r="F803">
        <v>1.8</v>
      </c>
      <c r="G803">
        <v>1.8</v>
      </c>
      <c r="H803" t="s">
        <v>72</v>
      </c>
      <c r="I803" t="s">
        <v>75</v>
      </c>
      <c r="J803" t="s">
        <v>641</v>
      </c>
      <c r="K803" t="s">
        <v>79</v>
      </c>
      <c r="L803" t="s">
        <v>79</v>
      </c>
      <c r="M803">
        <v>2.5354241071428572</v>
      </c>
      <c r="N803" s="5">
        <v>44947</v>
      </c>
      <c r="O803" s="5">
        <v>44960</v>
      </c>
      <c r="P803">
        <v>0.8</v>
      </c>
      <c r="Q803" s="4">
        <v>154</v>
      </c>
      <c r="R803">
        <v>0.24399999999999999</v>
      </c>
      <c r="S803" t="s">
        <v>70</v>
      </c>
      <c r="T803" s="6">
        <v>3</v>
      </c>
      <c r="U803" s="5">
        <v>45074</v>
      </c>
      <c r="V803" s="6">
        <v>1</v>
      </c>
      <c r="W803" t="s">
        <v>86</v>
      </c>
      <c r="X803" s="6">
        <v>114</v>
      </c>
      <c r="Y803">
        <v>22.143349999999998</v>
      </c>
      <c r="Z803">
        <v>12.30186111111111</v>
      </c>
      <c r="AA803" s="6">
        <v>30.40407165130841</v>
      </c>
      <c r="AB803" s="4">
        <v>84.155999999999992</v>
      </c>
      <c r="AC803" s="6">
        <v>32.890331645990777</v>
      </c>
      <c r="AD803">
        <v>0.32274593899999998</v>
      </c>
      <c r="AE803">
        <v>2.041155713299633</v>
      </c>
      <c r="AF803">
        <v>44800</v>
      </c>
      <c r="AG803" s="4"/>
      <c r="AH803" s="4">
        <v>113587</v>
      </c>
      <c r="AI803" t="s">
        <v>98</v>
      </c>
      <c r="AJ803" t="s">
        <v>98</v>
      </c>
      <c r="AK803" t="s">
        <v>110</v>
      </c>
      <c r="AL803">
        <v>27</v>
      </c>
      <c r="AM803">
        <v>14.11331</v>
      </c>
      <c r="AN803" t="s">
        <v>126</v>
      </c>
      <c r="AO803" t="s">
        <v>102</v>
      </c>
      <c r="AP803" s="5">
        <v>44961</v>
      </c>
      <c r="AQ803" t="s">
        <v>127</v>
      </c>
      <c r="AR803" s="5">
        <v>45073</v>
      </c>
      <c r="AS803">
        <v>201.22300013322285</v>
      </c>
      <c r="AT803" s="6"/>
      <c r="AU803">
        <v>14.451291245452925</v>
      </c>
      <c r="AV803">
        <v>64.95025459110748</v>
      </c>
      <c r="AW803">
        <v>32.854534205528971</v>
      </c>
      <c r="AX803">
        <v>112.25608004208939</v>
      </c>
      <c r="AY803">
        <v>16.154710104839605</v>
      </c>
      <c r="AZ803">
        <v>42.433802021825969</v>
      </c>
      <c r="BA803">
        <v>6.0673064373728458</v>
      </c>
      <c r="BB803">
        <v>9.0359769411584061</v>
      </c>
      <c r="BC803">
        <v>12.079488875892759</v>
      </c>
      <c r="BD803">
        <v>85.771284381089586</v>
      </c>
      <c r="BE803">
        <v>3.1956357100438737</v>
      </c>
      <c r="BF803">
        <v>8.7177658303734535</v>
      </c>
      <c r="BH803">
        <v>8.7177658303734535</v>
      </c>
      <c r="BI803">
        <v>206.74513025355236</v>
      </c>
      <c r="BJ803" s="6">
        <v>197</v>
      </c>
      <c r="BK803">
        <v>-5.5221301203294946</v>
      </c>
      <c r="BL803" s="4">
        <v>-122.27845999999811</v>
      </c>
      <c r="BM803" t="s">
        <v>753</v>
      </c>
      <c r="BN803" t="s">
        <v>65</v>
      </c>
      <c r="BO803">
        <v>5</v>
      </c>
      <c r="BP803">
        <v>2023</v>
      </c>
      <c r="BQ803" t="str">
        <f t="shared" si="61"/>
        <v>Pakpanang15</v>
      </c>
      <c r="BR803">
        <f t="shared" si="62"/>
        <v>-215.78982999999866</v>
      </c>
      <c r="BS803">
        <f t="shared" si="63"/>
        <v>4455.7513200000003</v>
      </c>
      <c r="BT803" s="6">
        <f t="shared" si="64"/>
        <v>-9.745130253552361</v>
      </c>
    </row>
    <row r="804" spans="1:72">
      <c r="A804" s="3" t="s">
        <v>631</v>
      </c>
      <c r="B804" s="3" t="s">
        <v>724</v>
      </c>
      <c r="C804" s="3" t="s">
        <v>726</v>
      </c>
      <c r="D804" s="2" t="s">
        <v>750</v>
      </c>
      <c r="E804" s="4" t="str">
        <f t="shared" si="60"/>
        <v>Pakpanang1A1-184-0010</v>
      </c>
      <c r="F804">
        <v>1.8</v>
      </c>
      <c r="G804">
        <v>1.8</v>
      </c>
      <c r="H804" t="s">
        <v>72</v>
      </c>
      <c r="I804" t="s">
        <v>75</v>
      </c>
      <c r="J804" t="s">
        <v>641</v>
      </c>
      <c r="K804" t="s">
        <v>79</v>
      </c>
      <c r="L804" t="s">
        <v>79</v>
      </c>
      <c r="M804">
        <v>2.8846644951140066</v>
      </c>
      <c r="N804" s="5">
        <v>44947</v>
      </c>
      <c r="O804" s="5">
        <v>44962</v>
      </c>
      <c r="P804">
        <v>0.8</v>
      </c>
      <c r="Q804" s="4">
        <v>154</v>
      </c>
      <c r="R804">
        <v>0.24399999999999999</v>
      </c>
      <c r="S804" t="s">
        <v>70</v>
      </c>
      <c r="T804" s="6">
        <v>2</v>
      </c>
      <c r="U804" s="5">
        <v>45062</v>
      </c>
      <c r="V804" s="6">
        <v>1</v>
      </c>
      <c r="W804" t="s">
        <v>86</v>
      </c>
      <c r="X804" s="6">
        <v>100</v>
      </c>
      <c r="Y804">
        <v>16.41384</v>
      </c>
      <c r="Z804">
        <v>9.1188000000000002</v>
      </c>
      <c r="AA804" s="6">
        <v>34.108776495932702</v>
      </c>
      <c r="AB804" s="4">
        <v>69.981999999999999</v>
      </c>
      <c r="AC804" s="6">
        <v>29.317967477351317</v>
      </c>
      <c r="AD804">
        <v>0.31006</v>
      </c>
      <c r="AE804">
        <v>2.3660755023170585</v>
      </c>
      <c r="AF804">
        <v>38375</v>
      </c>
      <c r="AG804" s="4"/>
      <c r="AH804" s="4">
        <v>110699</v>
      </c>
      <c r="AI804" t="s">
        <v>73</v>
      </c>
      <c r="AL804">
        <v>32</v>
      </c>
      <c r="AM804">
        <v>12.5588</v>
      </c>
      <c r="AN804" t="s">
        <v>73</v>
      </c>
      <c r="AO804" t="s">
        <v>215</v>
      </c>
      <c r="AP804" s="5">
        <v>44962</v>
      </c>
      <c r="AQ804" t="s">
        <v>117</v>
      </c>
      <c r="AR804" s="5">
        <v>45061</v>
      </c>
      <c r="AS804">
        <v>174.59186150224443</v>
      </c>
      <c r="AT804" s="6"/>
      <c r="AU804">
        <v>19.495742617205966</v>
      </c>
      <c r="AV804">
        <v>75.246349422194925</v>
      </c>
      <c r="AW804">
        <v>33.61909400847091</v>
      </c>
      <c r="AX804">
        <v>128.3611860478718</v>
      </c>
      <c r="AY804">
        <v>19.455457102055334</v>
      </c>
      <c r="AZ804">
        <v>31.150421839130875</v>
      </c>
      <c r="BA804">
        <v>10.398008631740044</v>
      </c>
      <c r="BB804">
        <v>14.981396796849491</v>
      </c>
      <c r="BC804">
        <v>13.168079498764458</v>
      </c>
      <c r="BD804">
        <v>89.153363868540211</v>
      </c>
      <c r="BE804">
        <v>-42.922688414167581</v>
      </c>
      <c r="BF804">
        <v>7.6811891671906158</v>
      </c>
      <c r="BH804">
        <v>7.6811891671906158</v>
      </c>
      <c r="BI804">
        <v>225.19573908360263</v>
      </c>
      <c r="BJ804" s="6">
        <v>189</v>
      </c>
      <c r="BK804">
        <v>-50.603877581358184</v>
      </c>
      <c r="BL804" s="4">
        <v>-830.60395000000017</v>
      </c>
      <c r="BM804" t="s">
        <v>751</v>
      </c>
      <c r="BN804" t="s">
        <v>65</v>
      </c>
      <c r="BO804">
        <v>5</v>
      </c>
      <c r="BP804">
        <v>2023</v>
      </c>
      <c r="BQ804" t="str">
        <f t="shared" si="61"/>
        <v>Pakpanang15</v>
      </c>
      <c r="BR804">
        <f t="shared" si="62"/>
        <v>-594.11107000000027</v>
      </c>
      <c r="BS804">
        <f t="shared" si="63"/>
        <v>2865.7228799999998</v>
      </c>
      <c r="BT804" s="6">
        <f t="shared" si="64"/>
        <v>-36.195739083602632</v>
      </c>
    </row>
    <row r="805" spans="1:72">
      <c r="A805" s="3" t="s">
        <v>631</v>
      </c>
      <c r="B805" s="3" t="s">
        <v>724</v>
      </c>
      <c r="C805" s="3" t="s">
        <v>726</v>
      </c>
      <c r="D805" s="2" t="s">
        <v>744</v>
      </c>
      <c r="E805" s="4" t="str">
        <f t="shared" si="60"/>
        <v>Pakpanang1D1-172-0008</v>
      </c>
      <c r="F805">
        <v>1.8</v>
      </c>
      <c r="G805">
        <v>1.8</v>
      </c>
      <c r="H805" t="s">
        <v>72</v>
      </c>
      <c r="I805" t="s">
        <v>75</v>
      </c>
      <c r="J805" t="s">
        <v>95</v>
      </c>
      <c r="K805" t="s">
        <v>79</v>
      </c>
      <c r="L805" t="s">
        <v>79</v>
      </c>
      <c r="M805">
        <v>2.8394024276377219</v>
      </c>
      <c r="N805" s="5">
        <v>44977</v>
      </c>
      <c r="O805" s="5">
        <v>44981</v>
      </c>
      <c r="P805">
        <v>0.8</v>
      </c>
      <c r="Q805" s="4">
        <v>154</v>
      </c>
      <c r="R805">
        <v>0.55000000000000004</v>
      </c>
      <c r="S805" t="s">
        <v>70</v>
      </c>
      <c r="T805" s="6">
        <v>2</v>
      </c>
      <c r="U805" s="5">
        <v>45057</v>
      </c>
      <c r="V805" s="6">
        <v>1</v>
      </c>
      <c r="W805" t="s">
        <v>86</v>
      </c>
      <c r="X805" s="6">
        <v>76</v>
      </c>
      <c r="Y805">
        <v>14.676410000000001</v>
      </c>
      <c r="Z805">
        <v>8.1535611111111113</v>
      </c>
      <c r="AA805" s="6">
        <v>45.147621250700958</v>
      </c>
      <c r="AB805" s="4">
        <v>82.825625000000002</v>
      </c>
      <c r="AC805" s="6">
        <v>22.149561201620873</v>
      </c>
      <c r="AD805">
        <v>0.29180622000000001</v>
      </c>
      <c r="AE805">
        <v>1.8807410014181947</v>
      </c>
      <c r="AF805">
        <v>26775</v>
      </c>
      <c r="AG805" s="4"/>
      <c r="AH805" s="4">
        <v>76025</v>
      </c>
      <c r="AL805">
        <v>44</v>
      </c>
      <c r="AM805">
        <v>9.0625</v>
      </c>
      <c r="AN805" t="s">
        <v>126</v>
      </c>
      <c r="AO805" t="s">
        <v>215</v>
      </c>
      <c r="AP805" s="5">
        <v>44981</v>
      </c>
      <c r="AQ805" t="s">
        <v>117</v>
      </c>
      <c r="AR805" s="5">
        <v>45056</v>
      </c>
      <c r="AS805">
        <v>166.34073591566332</v>
      </c>
      <c r="AT805" s="6"/>
      <c r="AU805">
        <v>24.529159378894427</v>
      </c>
      <c r="AV805">
        <v>58.369067094745951</v>
      </c>
      <c r="AW805">
        <v>29.603871110169308</v>
      </c>
      <c r="AX805">
        <v>112.50209758380967</v>
      </c>
      <c r="AY805">
        <v>12.341757963970759</v>
      </c>
      <c r="AZ805">
        <v>42.382522020030777</v>
      </c>
      <c r="BA805">
        <v>3.9738866657445522</v>
      </c>
      <c r="BB805">
        <v>6.9701132633934311</v>
      </c>
      <c r="BC805">
        <v>10.365918504593425</v>
      </c>
      <c r="BD805">
        <v>76.034198417732952</v>
      </c>
      <c r="BE805">
        <v>-22.195560085879308</v>
      </c>
      <c r="BF805">
        <v>6.549994174324647</v>
      </c>
      <c r="BH805">
        <v>6.549994174324647</v>
      </c>
      <c r="BI805">
        <v>195.08629017586728</v>
      </c>
      <c r="BJ805" s="6">
        <v>175</v>
      </c>
      <c r="BK805">
        <v>-28.745554260203964</v>
      </c>
      <c r="BL805" s="4">
        <v>-421.88154000000003</v>
      </c>
      <c r="BM805" t="s">
        <v>745</v>
      </c>
      <c r="BN805" t="s">
        <v>65</v>
      </c>
      <c r="BO805">
        <v>5</v>
      </c>
      <c r="BP805">
        <v>2023</v>
      </c>
      <c r="BQ805" t="str">
        <f t="shared" si="61"/>
        <v>Pakpanang15</v>
      </c>
      <c r="BR805">
        <f t="shared" si="62"/>
        <v>-294.79463000000027</v>
      </c>
      <c r="BS805">
        <f t="shared" si="63"/>
        <v>2441.2848400000003</v>
      </c>
      <c r="BT805" s="6">
        <f t="shared" si="64"/>
        <v>-20.086290175867276</v>
      </c>
    </row>
    <row r="806" spans="1:72">
      <c r="A806" s="3" t="s">
        <v>631</v>
      </c>
      <c r="B806" s="3" t="s">
        <v>724</v>
      </c>
      <c r="C806" s="3" t="s">
        <v>726</v>
      </c>
      <c r="D806" s="2" t="s">
        <v>748</v>
      </c>
      <c r="E806" s="4" t="str">
        <f t="shared" si="60"/>
        <v>Pakpanang1C1-138-0010</v>
      </c>
      <c r="F806">
        <v>1.5</v>
      </c>
      <c r="G806">
        <v>1.8</v>
      </c>
      <c r="H806" t="s">
        <v>72</v>
      </c>
      <c r="I806" t="s">
        <v>75</v>
      </c>
      <c r="J806" t="s">
        <v>641</v>
      </c>
      <c r="K806" t="s">
        <v>79</v>
      </c>
      <c r="L806" t="s">
        <v>79</v>
      </c>
      <c r="M806">
        <v>2.7219411296738265</v>
      </c>
      <c r="N806" s="5">
        <v>44947</v>
      </c>
      <c r="O806" s="5">
        <v>44976</v>
      </c>
      <c r="P806">
        <v>0.7</v>
      </c>
      <c r="Q806" s="4">
        <v>162</v>
      </c>
      <c r="R806">
        <v>0.32</v>
      </c>
      <c r="S806" t="s">
        <v>70</v>
      </c>
      <c r="T806" s="6">
        <v>2</v>
      </c>
      <c r="U806" s="5">
        <v>45069</v>
      </c>
      <c r="V806" s="6">
        <v>1</v>
      </c>
      <c r="W806" t="s">
        <v>86</v>
      </c>
      <c r="X806" s="6">
        <v>93</v>
      </c>
      <c r="Y806">
        <v>14.621589999999999</v>
      </c>
      <c r="Z806">
        <v>9.7477266666666669</v>
      </c>
      <c r="AA806" s="6">
        <v>35.684149261468825</v>
      </c>
      <c r="AB806" s="4">
        <v>74.536999999999992</v>
      </c>
      <c r="AC806" s="6">
        <v>28.023646932779311</v>
      </c>
      <c r="AD806">
        <v>0.28717233399999997</v>
      </c>
      <c r="AE806">
        <v>2.1826569585604259</v>
      </c>
      <c r="AF806">
        <v>31425</v>
      </c>
      <c r="AG806" s="4">
        <v>0</v>
      </c>
      <c r="AH806" s="4">
        <v>85537</v>
      </c>
      <c r="AL806">
        <v>37</v>
      </c>
      <c r="AM806">
        <v>8.1871200000000002</v>
      </c>
      <c r="AN806" t="s">
        <v>73</v>
      </c>
      <c r="AO806" t="s">
        <v>215</v>
      </c>
      <c r="AP806" s="5">
        <v>44976</v>
      </c>
      <c r="AQ806" t="s">
        <v>127</v>
      </c>
      <c r="AR806" s="5">
        <v>45068</v>
      </c>
      <c r="AS806">
        <v>169.882576381912</v>
      </c>
      <c r="AT806" s="6"/>
      <c r="AU806">
        <v>19.149764150136885</v>
      </c>
      <c r="AV806">
        <v>68.671536406095385</v>
      </c>
      <c r="AW806">
        <v>44.662052485400018</v>
      </c>
      <c r="AX806">
        <v>132.48335304163231</v>
      </c>
      <c r="AY806">
        <v>19.499623501958411</v>
      </c>
      <c r="AZ806">
        <v>30.868077958689856</v>
      </c>
      <c r="BA806">
        <v>10.288301067120608</v>
      </c>
      <c r="BB806">
        <v>15.990674748779035</v>
      </c>
      <c r="BC806">
        <v>13.81537370422779</v>
      </c>
      <c r="BD806">
        <v>90.462050980775686</v>
      </c>
      <c r="BE806">
        <v>-53.062827640495996</v>
      </c>
      <c r="BF806">
        <v>7.7803296358330378</v>
      </c>
      <c r="BH806">
        <v>7.7803296358330378</v>
      </c>
      <c r="BI806">
        <v>230.72573365824101</v>
      </c>
      <c r="BJ806" s="6">
        <v>187</v>
      </c>
      <c r="BK806">
        <v>-60.843157276328995</v>
      </c>
      <c r="BL806" s="4">
        <v>-889.6236999999993</v>
      </c>
      <c r="BM806" t="s">
        <v>749</v>
      </c>
      <c r="BN806" t="s">
        <v>65</v>
      </c>
      <c r="BO806">
        <v>5</v>
      </c>
      <c r="BP806">
        <v>2023</v>
      </c>
      <c r="BQ806" t="str">
        <f t="shared" si="61"/>
        <v>Pakpanang15</v>
      </c>
      <c r="BR806">
        <f t="shared" si="62"/>
        <v>-639.33975000000021</v>
      </c>
      <c r="BS806">
        <f t="shared" si="63"/>
        <v>2483.9533800000008</v>
      </c>
      <c r="BT806" s="6">
        <f t="shared" si="64"/>
        <v>-43.725733658241012</v>
      </c>
    </row>
    <row r="807" spans="1:72">
      <c r="A807" s="3" t="s">
        <v>631</v>
      </c>
      <c r="B807" s="3" t="s">
        <v>724</v>
      </c>
      <c r="C807" s="3" t="s">
        <v>726</v>
      </c>
      <c r="D807" s="2" t="s">
        <v>746</v>
      </c>
      <c r="E807" s="4" t="str">
        <f t="shared" si="60"/>
        <v>Pakpanang1A1-183-0010</v>
      </c>
      <c r="F807">
        <v>1.8</v>
      </c>
      <c r="G807">
        <v>2</v>
      </c>
      <c r="H807" t="s">
        <v>72</v>
      </c>
      <c r="I807" t="s">
        <v>75</v>
      </c>
      <c r="J807" t="s">
        <v>641</v>
      </c>
      <c r="K807" t="s">
        <v>79</v>
      </c>
      <c r="L807" t="s">
        <v>79</v>
      </c>
      <c r="M807">
        <v>2.8489626556016598</v>
      </c>
      <c r="N807" s="5">
        <v>44947</v>
      </c>
      <c r="O807" s="5">
        <v>44975</v>
      </c>
      <c r="P807">
        <v>0.9</v>
      </c>
      <c r="Q807" s="4">
        <v>156</v>
      </c>
      <c r="R807">
        <v>0.32</v>
      </c>
      <c r="S807" t="s">
        <v>70</v>
      </c>
      <c r="T807" s="6">
        <v>1</v>
      </c>
      <c r="U807" s="5">
        <v>45058</v>
      </c>
      <c r="V807" s="6">
        <v>1</v>
      </c>
      <c r="W807" t="s">
        <v>86</v>
      </c>
      <c r="X807" s="6">
        <v>83</v>
      </c>
      <c r="Y807">
        <v>14.36708</v>
      </c>
      <c r="Z807">
        <v>7.9817111111111103</v>
      </c>
      <c r="AA807" s="6">
        <v>42.001575824732654</v>
      </c>
      <c r="AB807" s="4">
        <v>67.048888888888897</v>
      </c>
      <c r="AC807" s="6">
        <v>23.808630518361394</v>
      </c>
      <c r="AD807">
        <v>0.28300631100000001</v>
      </c>
      <c r="AE807">
        <v>2.1396994689993947</v>
      </c>
      <c r="AF807">
        <v>30125</v>
      </c>
      <c r="AG807" s="4">
        <v>0</v>
      </c>
      <c r="AH807" s="4">
        <v>85825</v>
      </c>
      <c r="AI807" t="s">
        <v>642</v>
      </c>
      <c r="AJ807" t="s">
        <v>98</v>
      </c>
      <c r="AK807" t="s">
        <v>147</v>
      </c>
      <c r="AL807">
        <v>42</v>
      </c>
      <c r="AM807">
        <v>14.35544</v>
      </c>
      <c r="AN807" t="s">
        <v>73</v>
      </c>
      <c r="AO807" t="s">
        <v>438</v>
      </c>
      <c r="AP807" s="5">
        <v>44975</v>
      </c>
      <c r="AQ807" t="s">
        <v>117</v>
      </c>
      <c r="AR807" s="5">
        <v>45057</v>
      </c>
      <c r="AS807">
        <v>154.56702684191919</v>
      </c>
      <c r="AT807" s="6"/>
      <c r="AU807">
        <v>25.057283734760297</v>
      </c>
      <c r="AV807">
        <v>67.177347797882391</v>
      </c>
      <c r="AW807">
        <v>36.059323119242052</v>
      </c>
      <c r="AX807">
        <v>128.29395465188475</v>
      </c>
      <c r="AY807">
        <v>21.320287768982983</v>
      </c>
      <c r="AZ807">
        <v>34.382615674166225</v>
      </c>
      <c r="BA807">
        <v>11.487705922149804</v>
      </c>
      <c r="BB807">
        <v>15.736781586794256</v>
      </c>
      <c r="BC807">
        <v>13.999399321226026</v>
      </c>
      <c r="BD807">
        <v>96.926790273319284</v>
      </c>
      <c r="BE807">
        <v>-70.653718083284843</v>
      </c>
      <c r="BF807">
        <v>8.3604260573477696</v>
      </c>
      <c r="BH807">
        <v>8.3604260573477696</v>
      </c>
      <c r="BI807">
        <v>233.58117098255175</v>
      </c>
      <c r="BJ807" s="6">
        <v>180</v>
      </c>
      <c r="BK807">
        <v>-79.014144140632567</v>
      </c>
      <c r="BL807" s="4">
        <v>-1135.2025299999993</v>
      </c>
      <c r="BM807" t="s">
        <v>747</v>
      </c>
      <c r="BN807" t="s">
        <v>65</v>
      </c>
      <c r="BO807">
        <v>5</v>
      </c>
      <c r="BP807">
        <v>2023</v>
      </c>
      <c r="BQ807" t="str">
        <f t="shared" si="61"/>
        <v>Pakpanang15</v>
      </c>
      <c r="BR807">
        <f t="shared" si="62"/>
        <v>-769.80496999999968</v>
      </c>
      <c r="BS807">
        <f t="shared" si="63"/>
        <v>2220.6768400000001</v>
      </c>
      <c r="BT807" s="6">
        <f t="shared" si="64"/>
        <v>-53.581170982551754</v>
      </c>
    </row>
    <row r="808" spans="1:72">
      <c r="A808" s="3" t="s">
        <v>631</v>
      </c>
      <c r="B808" s="3" t="s">
        <v>724</v>
      </c>
      <c r="C808" s="3" t="s">
        <v>726</v>
      </c>
      <c r="D808" s="2" t="s">
        <v>736</v>
      </c>
      <c r="E808" s="4" t="str">
        <f t="shared" si="60"/>
        <v>Pakpanang1A1-181-0008</v>
      </c>
      <c r="F808">
        <v>1.8</v>
      </c>
      <c r="G808">
        <v>1.8</v>
      </c>
      <c r="H808" t="s">
        <v>72</v>
      </c>
      <c r="I808" t="s">
        <v>75</v>
      </c>
      <c r="J808" t="s">
        <v>95</v>
      </c>
      <c r="K808" t="s">
        <v>79</v>
      </c>
      <c r="L808" t="s">
        <v>79</v>
      </c>
      <c r="M808">
        <v>3</v>
      </c>
      <c r="N808" s="5">
        <v>44982</v>
      </c>
      <c r="O808" s="5">
        <v>44991</v>
      </c>
      <c r="P808">
        <v>0.8</v>
      </c>
      <c r="Q808" s="4">
        <v>154</v>
      </c>
      <c r="R808">
        <v>0.32</v>
      </c>
      <c r="S808" t="s">
        <v>70</v>
      </c>
      <c r="T808" s="6">
        <v>1</v>
      </c>
      <c r="U808" s="5">
        <v>45039</v>
      </c>
      <c r="V808" s="6">
        <v>2</v>
      </c>
      <c r="W808" t="s">
        <v>71</v>
      </c>
      <c r="X808" s="6">
        <v>48</v>
      </c>
      <c r="Y808">
        <v>10.38907</v>
      </c>
      <c r="Z808">
        <v>5.7717055555555552</v>
      </c>
      <c r="AA808" s="6">
        <v>74.99997593624839</v>
      </c>
      <c r="AB808" s="4">
        <v>97.397500000000008</v>
      </c>
      <c r="AC808" s="6">
        <v>13.333337611334992</v>
      </c>
      <c r="AD808">
        <v>0.27111111100000002</v>
      </c>
      <c r="AE808">
        <v>1.3051326004853416</v>
      </c>
      <c r="AF808">
        <v>13225</v>
      </c>
      <c r="AG808" s="4">
        <v>0</v>
      </c>
      <c r="AH808" s="4">
        <v>39675</v>
      </c>
      <c r="AI808" t="s">
        <v>73</v>
      </c>
      <c r="AL808">
        <v>75</v>
      </c>
      <c r="AM808">
        <v>10.370089999999999</v>
      </c>
      <c r="AN808" t="s">
        <v>73</v>
      </c>
      <c r="AO808" t="s">
        <v>93</v>
      </c>
      <c r="AP808" s="5">
        <v>44991</v>
      </c>
      <c r="AQ808" t="s">
        <v>117</v>
      </c>
      <c r="AR808" s="5">
        <v>45038</v>
      </c>
      <c r="AS808">
        <v>137.3378752862383</v>
      </c>
      <c r="AT808" s="6"/>
      <c r="AU808">
        <v>30.801602068327579</v>
      </c>
      <c r="AV808">
        <v>40.825260586366248</v>
      </c>
      <c r="AW808">
        <v>22.356552607692507</v>
      </c>
      <c r="AX808">
        <v>93.983415262386345</v>
      </c>
      <c r="AY808">
        <v>10.446598203689071</v>
      </c>
      <c r="AZ808">
        <v>26.772239478605876</v>
      </c>
      <c r="BA808">
        <v>4.4238492954614808</v>
      </c>
      <c r="BB808">
        <v>8.3426697481102732</v>
      </c>
      <c r="BC808">
        <v>9.5958608422120548</v>
      </c>
      <c r="BD808">
        <v>59.581217568078756</v>
      </c>
      <c r="BE808">
        <v>-16.2267575442268</v>
      </c>
      <c r="BF808">
        <v>4.2906862693195826</v>
      </c>
      <c r="BH808">
        <v>4.2906862693195826</v>
      </c>
      <c r="BI808">
        <v>157.85531909978471</v>
      </c>
      <c r="BJ808" s="6">
        <v>150</v>
      </c>
      <c r="BK808">
        <v>-20.517443813546389</v>
      </c>
      <c r="BL808" s="4">
        <v>-213.15716000000037</v>
      </c>
      <c r="BM808" t="s">
        <v>737</v>
      </c>
      <c r="BN808" t="s">
        <v>65</v>
      </c>
      <c r="BO808">
        <v>4</v>
      </c>
      <c r="BP808">
        <v>2023</v>
      </c>
      <c r="BQ808" t="str">
        <f t="shared" si="61"/>
        <v>Pakpanang14</v>
      </c>
      <c r="BR808">
        <f t="shared" si="62"/>
        <v>-81.609460000000325</v>
      </c>
      <c r="BS808">
        <f t="shared" si="63"/>
        <v>1426.8127999999997</v>
      </c>
      <c r="BT808" s="6">
        <f t="shared" si="64"/>
        <v>-7.8553190997847082</v>
      </c>
    </row>
    <row r="809" spans="1:72">
      <c r="A809" s="3" t="s">
        <v>631</v>
      </c>
      <c r="B809" s="3" t="s">
        <v>724</v>
      </c>
      <c r="C809" s="3" t="s">
        <v>726</v>
      </c>
      <c r="D809" s="2" t="s">
        <v>742</v>
      </c>
      <c r="E809" s="4" t="str">
        <f t="shared" si="60"/>
        <v>Pakpanang1A1-192-0009</v>
      </c>
      <c r="F809">
        <v>1.8</v>
      </c>
      <c r="G809">
        <v>1.8</v>
      </c>
      <c r="H809" t="s">
        <v>72</v>
      </c>
      <c r="I809" t="s">
        <v>75</v>
      </c>
      <c r="J809" t="s">
        <v>95</v>
      </c>
      <c r="K809" t="s">
        <v>79</v>
      </c>
      <c r="L809" t="s">
        <v>79</v>
      </c>
      <c r="M809">
        <v>2.7653333333333334</v>
      </c>
      <c r="N809" s="5">
        <v>44982</v>
      </c>
      <c r="O809" s="5">
        <v>44995</v>
      </c>
      <c r="P809">
        <v>0.8</v>
      </c>
      <c r="Q809" s="4">
        <v>154</v>
      </c>
      <c r="R809">
        <v>0.35</v>
      </c>
      <c r="S809" t="s">
        <v>70</v>
      </c>
      <c r="T809" s="6">
        <v>1</v>
      </c>
      <c r="U809" s="5">
        <v>45066</v>
      </c>
      <c r="V809" s="6">
        <v>1</v>
      </c>
      <c r="W809" t="s">
        <v>86</v>
      </c>
      <c r="X809" s="6">
        <v>71</v>
      </c>
      <c r="Y809">
        <v>10.38721</v>
      </c>
      <c r="Z809">
        <v>5.7706722222222222</v>
      </c>
      <c r="AA809" s="6">
        <v>53.999967267437555</v>
      </c>
      <c r="AB809" s="4">
        <v>70.113624999999999</v>
      </c>
      <c r="AC809" s="6">
        <v>18.51852974368391</v>
      </c>
      <c r="AD809">
        <v>0.25589462699999999</v>
      </c>
      <c r="AE809">
        <v>1.9293158052518946</v>
      </c>
      <c r="AF809">
        <v>19500</v>
      </c>
      <c r="AG809" s="4">
        <v>0</v>
      </c>
      <c r="AH809" s="4">
        <v>53924</v>
      </c>
      <c r="AI809" t="s">
        <v>73</v>
      </c>
      <c r="AL809">
        <v>54</v>
      </c>
      <c r="AM809">
        <v>10.38721</v>
      </c>
      <c r="AN809" t="s">
        <v>73</v>
      </c>
      <c r="AO809" t="s">
        <v>148</v>
      </c>
      <c r="AP809" s="5">
        <v>44995</v>
      </c>
      <c r="AQ809" t="s">
        <v>117</v>
      </c>
      <c r="AR809" s="5">
        <v>45065</v>
      </c>
      <c r="AS809">
        <v>127.51652561178607</v>
      </c>
      <c r="AT809" s="6"/>
      <c r="AU809">
        <v>30.807117599432381</v>
      </c>
      <c r="AV809">
        <v>59.762199859249996</v>
      </c>
      <c r="AW809">
        <v>38.727539926505777</v>
      </c>
      <c r="AX809">
        <v>129.29685738518816</v>
      </c>
      <c r="AY809">
        <v>17.755470429499358</v>
      </c>
      <c r="AZ809">
        <v>39.08721783809127</v>
      </c>
      <c r="BA809">
        <v>7.8858779210201773</v>
      </c>
      <c r="BB809">
        <v>17.873414516506358</v>
      </c>
      <c r="BC809">
        <v>17.72077487602542</v>
      </c>
      <c r="BD809">
        <v>100.3227555811426</v>
      </c>
      <c r="BE809">
        <v>-102.1030873545447</v>
      </c>
      <c r="BF809">
        <v>7.5680437769141093</v>
      </c>
      <c r="BH809">
        <v>7.5680437769141093</v>
      </c>
      <c r="BI809">
        <v>237.18765674324484</v>
      </c>
      <c r="BJ809" s="6">
        <v>166</v>
      </c>
      <c r="BK809">
        <v>-109.67113113145878</v>
      </c>
      <c r="BL809" s="4">
        <v>-1139.1770699999997</v>
      </c>
      <c r="BM809" t="s">
        <v>743</v>
      </c>
      <c r="BN809" t="s">
        <v>65</v>
      </c>
      <c r="BO809">
        <v>5</v>
      </c>
      <c r="BP809">
        <v>2023</v>
      </c>
      <c r="BQ809" t="str">
        <f t="shared" si="61"/>
        <v>Pakpanang15</v>
      </c>
      <c r="BR809">
        <f t="shared" si="62"/>
        <v>-739.44114000000025</v>
      </c>
      <c r="BS809">
        <f t="shared" si="63"/>
        <v>1324.5409300000003</v>
      </c>
      <c r="BT809" s="6">
        <f t="shared" si="64"/>
        <v>-71.187656743244844</v>
      </c>
    </row>
    <row r="810" spans="1:72">
      <c r="A810" s="3" t="s">
        <v>631</v>
      </c>
      <c r="B810" s="3" t="s">
        <v>724</v>
      </c>
      <c r="C810" s="3" t="s">
        <v>726</v>
      </c>
      <c r="D810" s="2" t="s">
        <v>738</v>
      </c>
      <c r="E810" s="4" t="str">
        <f t="shared" si="60"/>
        <v>Pakpanang1D1-173-0008</v>
      </c>
      <c r="F810">
        <v>1.8</v>
      </c>
      <c r="G810">
        <v>2</v>
      </c>
      <c r="H810" t="s">
        <v>72</v>
      </c>
      <c r="I810" t="s">
        <v>75</v>
      </c>
      <c r="J810" t="s">
        <v>95</v>
      </c>
      <c r="K810" t="s">
        <v>79</v>
      </c>
      <c r="L810" t="s">
        <v>79</v>
      </c>
      <c r="M810">
        <v>2.9458753709198815</v>
      </c>
      <c r="N810" s="5">
        <v>44977</v>
      </c>
      <c r="O810" s="5">
        <v>44982</v>
      </c>
      <c r="P810">
        <v>0.8</v>
      </c>
      <c r="Q810" s="4">
        <v>139</v>
      </c>
      <c r="R810">
        <v>0.56000000000000005</v>
      </c>
      <c r="S810" t="s">
        <v>70</v>
      </c>
      <c r="T810" s="6">
        <v>1</v>
      </c>
      <c r="U810" s="5">
        <v>45050</v>
      </c>
      <c r="V810" s="6">
        <v>1</v>
      </c>
      <c r="W810" t="s">
        <v>86</v>
      </c>
      <c r="X810" s="6">
        <v>68</v>
      </c>
      <c r="Y810">
        <v>8.026720000000001</v>
      </c>
      <c r="Z810">
        <v>4.4592888888888895</v>
      </c>
      <c r="AA810" s="6">
        <v>56.00008471704507</v>
      </c>
      <c r="AB810" s="4">
        <v>56.187125000000002</v>
      </c>
      <c r="AC810" s="6">
        <v>17.857115842819862</v>
      </c>
      <c r="AD810">
        <v>0.25436974800000001</v>
      </c>
      <c r="AE810">
        <v>2.2233305888065531</v>
      </c>
      <c r="AF810">
        <v>16850</v>
      </c>
      <c r="AG810" s="4"/>
      <c r="AH810" s="4">
        <v>49638</v>
      </c>
      <c r="AI810" t="s">
        <v>73</v>
      </c>
      <c r="AL810">
        <v>56</v>
      </c>
      <c r="AM810">
        <v>8.0177800000000001</v>
      </c>
      <c r="AN810" t="s">
        <v>73</v>
      </c>
      <c r="AO810" t="s">
        <v>215</v>
      </c>
      <c r="AP810" s="5">
        <v>44982</v>
      </c>
      <c r="AQ810" t="s">
        <v>117</v>
      </c>
      <c r="AR810" s="5">
        <v>45049</v>
      </c>
      <c r="AS810">
        <v>138.24698506986664</v>
      </c>
      <c r="AT810" s="6"/>
      <c r="AU810">
        <v>44.850200330894815</v>
      </c>
      <c r="AV810">
        <v>67.470842386429311</v>
      </c>
      <c r="AW810">
        <v>52.935915292921642</v>
      </c>
      <c r="AX810">
        <v>165.2569580102458</v>
      </c>
      <c r="AY810">
        <v>19.313329728706123</v>
      </c>
      <c r="AZ810">
        <v>70.312949747842197</v>
      </c>
      <c r="BA810">
        <v>6.5460212888950906</v>
      </c>
      <c r="BB810">
        <v>10.048615125480893</v>
      </c>
      <c r="BC810">
        <v>15.280663832798453</v>
      </c>
      <c r="BD810">
        <v>121.50157972372277</v>
      </c>
      <c r="BE810">
        <v>-148.51155266410194</v>
      </c>
      <c r="BF810">
        <v>10.061102168756353</v>
      </c>
      <c r="BH810">
        <v>10.061102168756353</v>
      </c>
      <c r="BI810">
        <v>296.81963990272493</v>
      </c>
      <c r="BJ810" s="6">
        <v>165</v>
      </c>
      <c r="BK810">
        <v>-158.57265483285826</v>
      </c>
      <c r="BL810" s="4">
        <v>-1272.8183000000001</v>
      </c>
      <c r="BM810" t="s">
        <v>739</v>
      </c>
      <c r="BN810" t="s">
        <v>65</v>
      </c>
      <c r="BO810">
        <v>5</v>
      </c>
      <c r="BP810">
        <v>2023</v>
      </c>
      <c r="BQ810" t="str">
        <f t="shared" si="61"/>
        <v>Pakpanang15</v>
      </c>
      <c r="BR810">
        <f t="shared" si="62"/>
        <v>-1058.0793400000005</v>
      </c>
      <c r="BS810">
        <f t="shared" si="63"/>
        <v>1109.66984</v>
      </c>
      <c r="BT810" s="6">
        <f t="shared" si="64"/>
        <v>-131.81963990272493</v>
      </c>
    </row>
    <row r="811" spans="1:72">
      <c r="A811" s="3" t="s">
        <v>631</v>
      </c>
      <c r="B811" s="3" t="s">
        <v>724</v>
      </c>
      <c r="C811" s="3" t="s">
        <v>726</v>
      </c>
      <c r="D811" s="2" t="s">
        <v>740</v>
      </c>
      <c r="E811" s="4" t="str">
        <f t="shared" si="60"/>
        <v>Pakpanang1C1-139-0009</v>
      </c>
      <c r="F811">
        <v>1.5</v>
      </c>
      <c r="G811">
        <v>1.8</v>
      </c>
      <c r="H811" t="s">
        <v>72</v>
      </c>
      <c r="I811" t="s">
        <v>75</v>
      </c>
      <c r="J811" t="s">
        <v>95</v>
      </c>
      <c r="K811" t="s">
        <v>79</v>
      </c>
      <c r="L811" t="s">
        <v>79</v>
      </c>
      <c r="M811">
        <v>2.7611812627291243</v>
      </c>
      <c r="N811" s="5">
        <v>44982</v>
      </c>
      <c r="O811" s="5">
        <v>44996</v>
      </c>
      <c r="P811">
        <v>0.7</v>
      </c>
      <c r="Q811" s="4">
        <v>162</v>
      </c>
      <c r="R811">
        <v>0.42</v>
      </c>
      <c r="S811" t="s">
        <v>70</v>
      </c>
      <c r="T811" s="6">
        <v>1</v>
      </c>
      <c r="U811" s="5">
        <v>45068</v>
      </c>
      <c r="V811" s="6">
        <v>1</v>
      </c>
      <c r="W811" t="s">
        <v>86</v>
      </c>
      <c r="X811" s="6">
        <v>72</v>
      </c>
      <c r="Y811">
        <v>7.3742600000000005</v>
      </c>
      <c r="Z811">
        <v>4.916173333333334</v>
      </c>
      <c r="AA811" s="6">
        <v>53.999994575726916</v>
      </c>
      <c r="AB811" s="4">
        <v>56.887142857142855</v>
      </c>
      <c r="AC811" s="6">
        <v>18.51852037869466</v>
      </c>
      <c r="AD811">
        <v>0.25136831300000001</v>
      </c>
      <c r="AE811">
        <v>3.4673867908805609</v>
      </c>
      <c r="AF811">
        <v>24550</v>
      </c>
      <c r="AG811" s="4">
        <v>0</v>
      </c>
      <c r="AH811" s="4">
        <v>67787</v>
      </c>
      <c r="AI811" t="s">
        <v>73</v>
      </c>
      <c r="AL811">
        <v>54</v>
      </c>
      <c r="AM811">
        <v>7.3742600000000005</v>
      </c>
      <c r="AN811" t="s">
        <v>73</v>
      </c>
      <c r="AO811" t="s">
        <v>93</v>
      </c>
      <c r="AP811" s="5">
        <v>44996</v>
      </c>
      <c r="AQ811" t="s">
        <v>117</v>
      </c>
      <c r="AR811" s="5">
        <v>45067</v>
      </c>
      <c r="AS811">
        <v>103.80474786622658</v>
      </c>
      <c r="AT811" s="6"/>
      <c r="AU811">
        <v>42.716150501880868</v>
      </c>
      <c r="AV811">
        <v>105.87243058964562</v>
      </c>
      <c r="AW811">
        <v>55.478321892637346</v>
      </c>
      <c r="AX811">
        <v>204.06690298416382</v>
      </c>
      <c r="AY811">
        <v>21.577765091005745</v>
      </c>
      <c r="AZ811">
        <v>46.859762199868193</v>
      </c>
      <c r="BA811">
        <v>9.5744644208368026</v>
      </c>
      <c r="BB811">
        <v>22.099418789139516</v>
      </c>
      <c r="BC811">
        <v>21.648901720308206</v>
      </c>
      <c r="BD811">
        <v>121.76031222115847</v>
      </c>
      <c r="BE811">
        <v>-222.02246733909573</v>
      </c>
      <c r="BF811">
        <v>9.2203977077021957</v>
      </c>
      <c r="BH811">
        <v>9.2203977077021957</v>
      </c>
      <c r="BI811">
        <v>335.04761291302441</v>
      </c>
      <c r="BJ811" s="6">
        <v>166</v>
      </c>
      <c r="BK811">
        <v>-231.24286504679782</v>
      </c>
      <c r="BL811" s="4">
        <v>-1705.2450099999994</v>
      </c>
      <c r="BM811" t="s">
        <v>741</v>
      </c>
      <c r="BN811" t="s">
        <v>65</v>
      </c>
      <c r="BO811">
        <v>5</v>
      </c>
      <c r="BP811">
        <v>2023</v>
      </c>
      <c r="BQ811" t="str">
        <f t="shared" si="61"/>
        <v>Pakpanang15</v>
      </c>
      <c r="BR811">
        <f t="shared" si="62"/>
        <v>-1246.6010499999995</v>
      </c>
      <c r="BS811">
        <f t="shared" si="63"/>
        <v>765.48320000000001</v>
      </c>
      <c r="BT811" s="6">
        <f t="shared" si="64"/>
        <v>-169.04761291302441</v>
      </c>
    </row>
    <row r="812" spans="1:72">
      <c r="A812" s="3" t="s">
        <v>631</v>
      </c>
      <c r="B812" s="3" t="s">
        <v>724</v>
      </c>
      <c r="C812" s="3" t="s">
        <v>726</v>
      </c>
      <c r="D812" s="2" t="s">
        <v>728</v>
      </c>
      <c r="E812" s="4" t="str">
        <f t="shared" si="60"/>
        <v>Pakpanang1C1-140-0009</v>
      </c>
      <c r="F812">
        <v>1.5</v>
      </c>
      <c r="G812">
        <v>1.8</v>
      </c>
      <c r="H812" t="s">
        <v>72</v>
      </c>
      <c r="I812" t="s">
        <v>75</v>
      </c>
      <c r="J812" t="s">
        <v>95</v>
      </c>
      <c r="K812" t="s">
        <v>79</v>
      </c>
      <c r="L812" t="s">
        <v>79</v>
      </c>
      <c r="M812">
        <v>2.9976851851851851</v>
      </c>
      <c r="N812" s="5">
        <v>44982</v>
      </c>
      <c r="O812" s="5">
        <v>44997</v>
      </c>
      <c r="P812">
        <v>0.7</v>
      </c>
      <c r="Q812" s="4">
        <v>162</v>
      </c>
      <c r="R812">
        <v>0.46</v>
      </c>
      <c r="S812" t="s">
        <v>70</v>
      </c>
      <c r="T812" s="6">
        <v>1</v>
      </c>
      <c r="U812" s="5">
        <v>45041</v>
      </c>
      <c r="V812" s="6">
        <v>2</v>
      </c>
      <c r="W812" t="s">
        <v>71</v>
      </c>
      <c r="X812" s="6">
        <v>44</v>
      </c>
      <c r="Y812">
        <v>6.9070499999999999</v>
      </c>
      <c r="Z812">
        <v>4.6047000000000002</v>
      </c>
      <c r="AA812" s="6">
        <v>86.999949327136761</v>
      </c>
      <c r="AB812" s="4">
        <v>85.844714285714289</v>
      </c>
      <c r="AC812" s="6">
        <v>11.494259568356817</v>
      </c>
      <c r="AD812">
        <v>0.25077847399999997</v>
      </c>
      <c r="AE812">
        <v>1.6400786630321713</v>
      </c>
      <c r="AF812">
        <v>10800</v>
      </c>
      <c r="AG812" s="4">
        <v>0</v>
      </c>
      <c r="AH812" s="4">
        <v>32375</v>
      </c>
      <c r="AI812" t="s">
        <v>73</v>
      </c>
      <c r="AJ812" t="s">
        <v>73</v>
      </c>
      <c r="AK812" t="s">
        <v>123</v>
      </c>
      <c r="AL812">
        <v>87</v>
      </c>
      <c r="AM812">
        <v>6.9070499999999999</v>
      </c>
      <c r="AN812" t="s">
        <v>73</v>
      </c>
      <c r="AO812" t="s">
        <v>92</v>
      </c>
      <c r="AP812" s="5">
        <v>44997</v>
      </c>
      <c r="AQ812" t="s">
        <v>127</v>
      </c>
      <c r="AR812" s="5">
        <v>45040</v>
      </c>
      <c r="AS812">
        <v>126.36304934812981</v>
      </c>
      <c r="AT812" s="6"/>
      <c r="AU812">
        <v>45.605576910547917</v>
      </c>
      <c r="AV812">
        <v>50.135458697996981</v>
      </c>
      <c r="AW812">
        <v>36.290443821892133</v>
      </c>
      <c r="AX812">
        <v>132.03147943043703</v>
      </c>
      <c r="AY812">
        <v>13.516863204986208</v>
      </c>
      <c r="AZ812">
        <v>34.932665899334737</v>
      </c>
      <c r="BA812">
        <v>5.8233239950485371</v>
      </c>
      <c r="BB812">
        <v>10.604263759492113</v>
      </c>
      <c r="BC812">
        <v>12.422582723449228</v>
      </c>
      <c r="BD812">
        <v>77.299699582310822</v>
      </c>
      <c r="BE812">
        <v>-82.968129664618047</v>
      </c>
      <c r="BF812">
        <v>5.5503594153799378</v>
      </c>
      <c r="BH812">
        <v>5.5503594153799378</v>
      </c>
      <c r="BI812">
        <v>214.88153842812775</v>
      </c>
      <c r="BJ812" s="6">
        <v>150</v>
      </c>
      <c r="BK812">
        <v>-88.518489079997934</v>
      </c>
      <c r="BL812" s="4">
        <v>-611.40162999999973</v>
      </c>
      <c r="BM812" t="s">
        <v>729</v>
      </c>
      <c r="BN812" t="s">
        <v>65</v>
      </c>
      <c r="BO812">
        <v>4</v>
      </c>
      <c r="BP812">
        <v>2023</v>
      </c>
      <c r="BQ812" t="str">
        <f t="shared" si="61"/>
        <v>Pakpanang14</v>
      </c>
      <c r="BR812">
        <f t="shared" si="62"/>
        <v>-448.1400299999998</v>
      </c>
      <c r="BS812">
        <f t="shared" si="63"/>
        <v>872.79589999999996</v>
      </c>
      <c r="BT812" s="6">
        <f t="shared" si="64"/>
        <v>-64.881538428127755</v>
      </c>
    </row>
    <row r="813" spans="1:72">
      <c r="A813" s="3" t="s">
        <v>631</v>
      </c>
      <c r="B813" s="3" t="s">
        <v>724</v>
      </c>
      <c r="C813" s="3" t="s">
        <v>726</v>
      </c>
      <c r="D813" s="2" t="s">
        <v>734</v>
      </c>
      <c r="E813" s="4" t="str">
        <f t="shared" si="60"/>
        <v>Pakpanang1C1-141-0009</v>
      </c>
      <c r="F813">
        <v>1.5</v>
      </c>
      <c r="G813">
        <v>1.8</v>
      </c>
      <c r="H813" t="s">
        <v>72</v>
      </c>
      <c r="I813" t="s">
        <v>75</v>
      </c>
      <c r="J813" t="s">
        <v>95</v>
      </c>
      <c r="K813" t="s">
        <v>79</v>
      </c>
      <c r="L813" t="s">
        <v>79</v>
      </c>
      <c r="M813">
        <v>2.9554140127388533</v>
      </c>
      <c r="N813" s="5">
        <v>44982</v>
      </c>
      <c r="O813" s="5">
        <v>44997</v>
      </c>
      <c r="P813">
        <v>0.7</v>
      </c>
      <c r="Q813" s="4">
        <v>162</v>
      </c>
      <c r="R813">
        <v>0.72099999999999997</v>
      </c>
      <c r="S813" t="s">
        <v>70</v>
      </c>
      <c r="T813" s="6">
        <v>1</v>
      </c>
      <c r="U813" s="5">
        <v>45048</v>
      </c>
      <c r="V813" s="6">
        <v>2</v>
      </c>
      <c r="W813" t="s">
        <v>71</v>
      </c>
      <c r="X813" s="6">
        <v>51</v>
      </c>
      <c r="Y813">
        <v>6.2929899999999996</v>
      </c>
      <c r="Z813">
        <v>4.1953266666666664</v>
      </c>
      <c r="AA813" s="6">
        <v>80.000127125579411</v>
      </c>
      <c r="AB813" s="4">
        <v>71.92</v>
      </c>
      <c r="AC813" s="6">
        <v>12.499980136659781</v>
      </c>
      <c r="AD813">
        <v>0.230960784</v>
      </c>
      <c r="AE813">
        <v>2.0343849937543084</v>
      </c>
      <c r="AF813">
        <v>11775</v>
      </c>
      <c r="AG813" s="4">
        <v>0</v>
      </c>
      <c r="AH813" s="4">
        <v>34800</v>
      </c>
      <c r="AI813" t="s">
        <v>73</v>
      </c>
      <c r="AL813">
        <v>80</v>
      </c>
      <c r="AM813">
        <v>6.2814100000000002</v>
      </c>
      <c r="AN813" t="s">
        <v>73</v>
      </c>
      <c r="AO813" t="s">
        <v>93</v>
      </c>
      <c r="AP813" s="5">
        <v>44998</v>
      </c>
      <c r="AQ813" t="s">
        <v>117</v>
      </c>
      <c r="AR813" s="5">
        <v>45047</v>
      </c>
      <c r="AS813">
        <v>124.86979639249388</v>
      </c>
      <c r="AT813" s="6"/>
      <c r="AU813">
        <v>55.617440993867781</v>
      </c>
      <c r="AV813">
        <v>59.953035043755023</v>
      </c>
      <c r="AW813">
        <v>44.625073295841872</v>
      </c>
      <c r="AX813">
        <v>160.19554933346467</v>
      </c>
      <c r="AY813">
        <v>16.658968153453287</v>
      </c>
      <c r="AZ813">
        <v>43.443312320534432</v>
      </c>
      <c r="BA813">
        <v>7.4942038681135674</v>
      </c>
      <c r="BB813">
        <v>12.779696138083805</v>
      </c>
      <c r="BC813">
        <v>15.431494408858113</v>
      </c>
      <c r="BD813">
        <v>95.807674889043213</v>
      </c>
      <c r="BE813">
        <v>-131.133427830014</v>
      </c>
      <c r="BF813">
        <v>6.8565038240963352</v>
      </c>
      <c r="BH813">
        <v>6.8565038240963352</v>
      </c>
      <c r="BI813">
        <v>262.85972804660429</v>
      </c>
      <c r="BJ813" s="6">
        <v>150</v>
      </c>
      <c r="BK813">
        <v>-137.98993165411039</v>
      </c>
      <c r="BL813" s="4">
        <v>-868.36926000000017</v>
      </c>
      <c r="BM813" t="s">
        <v>735</v>
      </c>
      <c r="BN813" t="s">
        <v>65</v>
      </c>
      <c r="BO813">
        <v>5</v>
      </c>
      <c r="BP813">
        <v>2023</v>
      </c>
      <c r="BQ813" t="str">
        <f t="shared" si="61"/>
        <v>Pakpanang15</v>
      </c>
      <c r="BR813">
        <f t="shared" si="62"/>
        <v>-710.22514000000024</v>
      </c>
      <c r="BS813">
        <f t="shared" si="63"/>
        <v>785.80438000000004</v>
      </c>
      <c r="BT813" s="6">
        <f t="shared" si="64"/>
        <v>-112.85972804660429</v>
      </c>
    </row>
    <row r="814" spans="1:72">
      <c r="A814" s="3" t="s">
        <v>631</v>
      </c>
      <c r="B814" s="3" t="s">
        <v>724</v>
      </c>
      <c r="C814" s="3" t="s">
        <v>726</v>
      </c>
      <c r="D814" s="2" t="s">
        <v>2713</v>
      </c>
      <c r="E814" s="4" t="str">
        <f t="shared" si="60"/>
        <v>Pakpanang1A1-004-0020</v>
      </c>
      <c r="F814">
        <v>5.6</v>
      </c>
      <c r="G814">
        <v>2</v>
      </c>
      <c r="H814" t="s">
        <v>72</v>
      </c>
      <c r="I814" t="s">
        <v>75</v>
      </c>
      <c r="J814" t="s">
        <v>641</v>
      </c>
      <c r="K814" t="s">
        <v>79</v>
      </c>
      <c r="L814" t="s">
        <v>79</v>
      </c>
      <c r="M814">
        <v>2.4222560975609757</v>
      </c>
      <c r="N814" s="5">
        <v>45153</v>
      </c>
      <c r="O814" s="5">
        <v>45189</v>
      </c>
      <c r="P814">
        <v>2.77</v>
      </c>
      <c r="Q814" s="4">
        <v>155</v>
      </c>
      <c r="R814">
        <v>0.59399999999999997</v>
      </c>
      <c r="S814" t="s">
        <v>70</v>
      </c>
      <c r="T814" s="6">
        <v>1</v>
      </c>
      <c r="U814" s="5">
        <v>45249</v>
      </c>
      <c r="V814" s="6">
        <v>2</v>
      </c>
      <c r="W814" t="s">
        <v>71</v>
      </c>
      <c r="X814" s="6">
        <v>60</v>
      </c>
      <c r="Y814">
        <v>21.34468</v>
      </c>
      <c r="Z814">
        <v>3.8115500000000004</v>
      </c>
      <c r="AA814" s="6">
        <v>73.999985007973876</v>
      </c>
      <c r="AB814" s="4">
        <v>57.021877256317687</v>
      </c>
      <c r="AC814" s="6">
        <v>13.513516251283631</v>
      </c>
      <c r="AD814">
        <v>0.21532522500000004</v>
      </c>
      <c r="AE814">
        <v>2.4975024975024973</v>
      </c>
      <c r="AF814">
        <v>49200</v>
      </c>
      <c r="AG814" s="4">
        <v>0</v>
      </c>
      <c r="AH814" s="4">
        <v>119175</v>
      </c>
      <c r="AI814" t="s">
        <v>73</v>
      </c>
      <c r="AJ814" t="s">
        <v>73</v>
      </c>
      <c r="AK814" t="s">
        <v>123</v>
      </c>
      <c r="AL814">
        <v>74</v>
      </c>
      <c r="AM814">
        <v>21.34468</v>
      </c>
      <c r="AN814" t="s">
        <v>73</v>
      </c>
      <c r="AO814" t="s">
        <v>127</v>
      </c>
      <c r="AP814" s="5">
        <v>45189</v>
      </c>
      <c r="AQ814" t="s">
        <v>97</v>
      </c>
      <c r="AR814" s="5">
        <v>45248</v>
      </c>
      <c r="AS814">
        <v>124.77018160965636</v>
      </c>
      <c r="AT814" s="6"/>
      <c r="AU814">
        <v>62.076358137015887</v>
      </c>
      <c r="AV814">
        <v>68.186191594345757</v>
      </c>
      <c r="AW814">
        <v>22.575245916078387</v>
      </c>
      <c r="AX814">
        <v>152.83779564744003</v>
      </c>
      <c r="AY814">
        <v>26.326400302089318</v>
      </c>
      <c r="AZ814">
        <v>32.472057205823646</v>
      </c>
      <c r="BA814">
        <v>19.993931040427874</v>
      </c>
      <c r="BB814">
        <v>23.982131378872865</v>
      </c>
      <c r="BC814">
        <v>31.612807969011481</v>
      </c>
      <c r="BD814">
        <v>134.38732789622517</v>
      </c>
      <c r="BE814">
        <v>-162.45494193400884</v>
      </c>
      <c r="BF814">
        <v>26.937600844800677</v>
      </c>
      <c r="BH814">
        <v>26.937600844800677</v>
      </c>
      <c r="BI814">
        <v>314.1627243884659</v>
      </c>
      <c r="BJ814" s="6">
        <v>150</v>
      </c>
      <c r="BK814">
        <v>-189.39254277880951</v>
      </c>
      <c r="BL814" s="4">
        <v>-4042.52322</v>
      </c>
      <c r="BM814" t="s">
        <v>2714</v>
      </c>
      <c r="BN814" t="s">
        <v>65</v>
      </c>
      <c r="BO814">
        <v>11</v>
      </c>
      <c r="BP814">
        <v>2023</v>
      </c>
      <c r="BQ814" t="str">
        <f t="shared" si="61"/>
        <v>Pakpanang111</v>
      </c>
      <c r="BR814">
        <f t="shared" si="62"/>
        <v>-3504.0008200000007</v>
      </c>
      <c r="BS814">
        <f t="shared" si="63"/>
        <v>2663.1795999999999</v>
      </c>
      <c r="BT814" s="6">
        <f t="shared" si="64"/>
        <v>-164.1627243884659</v>
      </c>
    </row>
    <row r="815" spans="1:72">
      <c r="A815" s="3" t="s">
        <v>631</v>
      </c>
      <c r="B815" s="3" t="s">
        <v>724</v>
      </c>
      <c r="C815" s="3" t="s">
        <v>726</v>
      </c>
      <c r="D815" s="2" t="s">
        <v>2711</v>
      </c>
      <c r="E815" s="4" t="str">
        <f t="shared" si="60"/>
        <v>Pakpanang1D1-171-0011</v>
      </c>
      <c r="F815">
        <v>1.8</v>
      </c>
      <c r="G815">
        <v>1.8</v>
      </c>
      <c r="H815" t="s">
        <v>72</v>
      </c>
      <c r="I815" t="s">
        <v>75</v>
      </c>
      <c r="J815" t="s">
        <v>641</v>
      </c>
      <c r="K815" t="s">
        <v>79</v>
      </c>
      <c r="L815" t="s">
        <v>79</v>
      </c>
      <c r="M815">
        <v>2.981366459627329</v>
      </c>
      <c r="N815" s="5">
        <v>45181</v>
      </c>
      <c r="O815" s="5">
        <v>45214</v>
      </c>
      <c r="P815">
        <v>0.94</v>
      </c>
      <c r="Q815" s="4">
        <v>181</v>
      </c>
      <c r="R815">
        <v>0.85</v>
      </c>
      <c r="S815" t="s">
        <v>70</v>
      </c>
      <c r="T815" s="6">
        <v>1</v>
      </c>
      <c r="U815" s="5">
        <v>45256</v>
      </c>
      <c r="V815" s="6">
        <v>2</v>
      </c>
      <c r="W815" t="s">
        <v>71</v>
      </c>
      <c r="X815" s="6">
        <v>42</v>
      </c>
      <c r="Y815">
        <v>4.88598</v>
      </c>
      <c r="Z815">
        <v>2.7144333333333335</v>
      </c>
      <c r="AA815" s="6">
        <v>104.99981579949161</v>
      </c>
      <c r="AB815" s="4">
        <v>54.577340425531915</v>
      </c>
      <c r="AC815" s="6">
        <v>9.5238262313679396</v>
      </c>
      <c r="AD815">
        <v>0.206519274</v>
      </c>
      <c r="AE815">
        <v>1.9696695359409639</v>
      </c>
      <c r="AF815">
        <v>8050</v>
      </c>
      <c r="AG815" s="4">
        <v>0</v>
      </c>
      <c r="AH815" s="4">
        <v>24000</v>
      </c>
      <c r="AI815" t="s">
        <v>73</v>
      </c>
      <c r="AJ815" t="s">
        <v>73</v>
      </c>
      <c r="AK815" t="s">
        <v>170</v>
      </c>
      <c r="AL815">
        <v>105</v>
      </c>
      <c r="AM815">
        <v>4.88598</v>
      </c>
      <c r="AN815" t="s">
        <v>73</v>
      </c>
      <c r="AO815" t="s">
        <v>144</v>
      </c>
      <c r="AP815" s="5">
        <v>45214</v>
      </c>
      <c r="AQ815" t="s">
        <v>96</v>
      </c>
      <c r="AR815" s="5">
        <v>45255</v>
      </c>
      <c r="AS815">
        <v>102.38870195948408</v>
      </c>
      <c r="AT815" s="6"/>
      <c r="AU815">
        <v>105.81295871043271</v>
      </c>
      <c r="AV815">
        <v>48.975435838869572</v>
      </c>
      <c r="AW815">
        <v>49.299270565986774</v>
      </c>
      <c r="AX815">
        <v>204.08766511528907</v>
      </c>
      <c r="AY815">
        <v>35.248879446907281</v>
      </c>
      <c r="AZ815">
        <v>61.724917007437604</v>
      </c>
      <c r="BA815">
        <v>11.685886966381361</v>
      </c>
      <c r="BB815">
        <v>54.544322735664082</v>
      </c>
      <c r="BC815">
        <v>47.352641639957596</v>
      </c>
      <c r="BD815">
        <v>210.55664779634796</v>
      </c>
      <c r="BE815">
        <v>-312.25561095215295</v>
      </c>
      <c r="BF815">
        <v>10.028127417631675</v>
      </c>
      <c r="BH815">
        <v>10.028127417631675</v>
      </c>
      <c r="BI815">
        <v>424.67244032926868</v>
      </c>
      <c r="BJ815" s="6">
        <v>150</v>
      </c>
      <c r="BK815">
        <v>-322.2837383697846</v>
      </c>
      <c r="BL815" s="4">
        <v>-1574.6719000000001</v>
      </c>
      <c r="BM815" t="s">
        <v>2712</v>
      </c>
      <c r="BN815" t="s">
        <v>65</v>
      </c>
      <c r="BO815">
        <v>11</v>
      </c>
      <c r="BP815">
        <v>2023</v>
      </c>
      <c r="BQ815" t="str">
        <f t="shared" si="61"/>
        <v>Pakpanang111</v>
      </c>
      <c r="BR815">
        <f t="shared" si="62"/>
        <v>-1342.0440500000002</v>
      </c>
      <c r="BS815">
        <f t="shared" si="63"/>
        <v>500.26915000000002</v>
      </c>
      <c r="BT815" s="6">
        <f t="shared" si="64"/>
        <v>-274.67244032926868</v>
      </c>
    </row>
    <row r="816" spans="1:72">
      <c r="A816" s="3" t="s">
        <v>631</v>
      </c>
      <c r="B816" s="3" t="s">
        <v>724</v>
      </c>
      <c r="C816" s="3" t="s">
        <v>726</v>
      </c>
      <c r="D816" s="2" t="s">
        <v>730</v>
      </c>
      <c r="E816" s="4" t="str">
        <f t="shared" si="60"/>
        <v>Pakpanang1D1-174-0008</v>
      </c>
      <c r="F816">
        <v>1.8</v>
      </c>
      <c r="G816">
        <v>1.8</v>
      </c>
      <c r="H816" t="s">
        <v>72</v>
      </c>
      <c r="I816" t="s">
        <v>75</v>
      </c>
      <c r="J816" t="s">
        <v>95</v>
      </c>
      <c r="K816" t="s">
        <v>79</v>
      </c>
      <c r="L816" t="s">
        <v>79</v>
      </c>
      <c r="M816">
        <v>2.99438202247191</v>
      </c>
      <c r="N816" s="5">
        <v>44977</v>
      </c>
      <c r="O816" s="5">
        <v>44983</v>
      </c>
      <c r="P816">
        <v>0.83</v>
      </c>
      <c r="Q816" s="4">
        <v>160</v>
      </c>
      <c r="R816">
        <v>0.55900000000000005</v>
      </c>
      <c r="S816" t="s">
        <v>70</v>
      </c>
      <c r="T816" s="6">
        <v>1</v>
      </c>
      <c r="U816" s="5">
        <v>45040</v>
      </c>
      <c r="V816" s="6">
        <v>2</v>
      </c>
      <c r="W816" t="s">
        <v>71</v>
      </c>
      <c r="X816" s="6">
        <v>57</v>
      </c>
      <c r="Y816">
        <v>6.7791399999999999</v>
      </c>
      <c r="Z816">
        <v>3.7661888888888888</v>
      </c>
      <c r="AA816" s="6">
        <v>81.999929194558604</v>
      </c>
      <c r="AB816" s="4">
        <v>66.974578313253005</v>
      </c>
      <c r="AC816" s="6">
        <v>12.195132481484613</v>
      </c>
      <c r="AD816">
        <v>0.20414249000000001</v>
      </c>
      <c r="AE816">
        <v>2.1139673863128925</v>
      </c>
      <c r="AF816">
        <v>13350</v>
      </c>
      <c r="AG816" s="4"/>
      <c r="AH816" s="4">
        <v>39975</v>
      </c>
      <c r="AI816" t="s">
        <v>645</v>
      </c>
      <c r="AJ816" t="s">
        <v>642</v>
      </c>
      <c r="AK816" t="s">
        <v>123</v>
      </c>
      <c r="AL816">
        <v>82</v>
      </c>
      <c r="AM816">
        <v>6.7791399999999999</v>
      </c>
      <c r="AN816" t="s">
        <v>73</v>
      </c>
      <c r="AO816" t="s">
        <v>215</v>
      </c>
      <c r="AP816" s="5">
        <v>44983</v>
      </c>
      <c r="AQ816" t="s">
        <v>116</v>
      </c>
      <c r="AR816" s="5">
        <v>45039</v>
      </c>
      <c r="AS816">
        <v>126.4416799181017</v>
      </c>
      <c r="AT816" s="6"/>
      <c r="AU816">
        <v>55.095484087952158</v>
      </c>
      <c r="AV816">
        <v>63.503622878418206</v>
      </c>
      <c r="AW816">
        <v>53.231871594332027</v>
      </c>
      <c r="AX816">
        <v>171.83097856070239</v>
      </c>
      <c r="AY816">
        <v>19.394117837955847</v>
      </c>
      <c r="AZ816">
        <v>70.302678510843563</v>
      </c>
      <c r="BA816">
        <v>6.4830022687243511</v>
      </c>
      <c r="BB816">
        <v>9.6158450776942193</v>
      </c>
      <c r="BC816">
        <v>14.592787580725579</v>
      </c>
      <c r="BD816">
        <v>120.38843127594356</v>
      </c>
      <c r="BE816">
        <v>-165.77772991854425</v>
      </c>
      <c r="BF816">
        <v>9.9177211268685994</v>
      </c>
      <c r="BH816">
        <v>9.9177211268685994</v>
      </c>
      <c r="BI816">
        <v>302.13713096351449</v>
      </c>
      <c r="BJ816" s="6">
        <v>150</v>
      </c>
      <c r="BK816">
        <v>-175.69545104541285</v>
      </c>
      <c r="BL816" s="4">
        <v>-1191.0640600000002</v>
      </c>
      <c r="BM816" t="s">
        <v>731</v>
      </c>
      <c r="BN816" t="s">
        <v>65</v>
      </c>
      <c r="BO816">
        <v>4</v>
      </c>
      <c r="BP816">
        <v>2023</v>
      </c>
      <c r="BQ816" t="str">
        <f t="shared" si="61"/>
        <v>Pakpanang14</v>
      </c>
      <c r="BR816">
        <f t="shared" si="62"/>
        <v>-1031.3589099999997</v>
      </c>
      <c r="BS816">
        <f t="shared" si="63"/>
        <v>857.16584999999998</v>
      </c>
      <c r="BT816" s="6">
        <f t="shared" si="64"/>
        <v>-152.13713096351449</v>
      </c>
    </row>
    <row r="817" spans="1:72">
      <c r="A817" s="3" t="s">
        <v>631</v>
      </c>
      <c r="B817" s="3" t="s">
        <v>724</v>
      </c>
      <c r="C817" s="3" t="s">
        <v>726</v>
      </c>
      <c r="D817" s="2" t="s">
        <v>732</v>
      </c>
      <c r="E817" s="4" t="str">
        <f t="shared" si="60"/>
        <v>Pakpanang1D1-177-0009</v>
      </c>
      <c r="F817">
        <v>1.8</v>
      </c>
      <c r="G817">
        <v>1.8</v>
      </c>
      <c r="H817" t="s">
        <v>72</v>
      </c>
      <c r="I817" t="s">
        <v>75</v>
      </c>
      <c r="J817" t="s">
        <v>641</v>
      </c>
      <c r="K817" t="s">
        <v>79</v>
      </c>
      <c r="L817" t="s">
        <v>79</v>
      </c>
      <c r="M817">
        <v>2.7420560747663552</v>
      </c>
      <c r="N817" s="5">
        <v>44947</v>
      </c>
      <c r="O817" s="5">
        <v>44974</v>
      </c>
      <c r="P817">
        <v>0.8</v>
      </c>
      <c r="Q817" s="4">
        <v>154</v>
      </c>
      <c r="R817">
        <v>0.3</v>
      </c>
      <c r="S817" t="s">
        <v>70</v>
      </c>
      <c r="T817" s="6">
        <v>1</v>
      </c>
      <c r="U817" s="5">
        <v>45042</v>
      </c>
      <c r="V817" s="6">
        <v>2</v>
      </c>
      <c r="W817" t="s">
        <v>71</v>
      </c>
      <c r="X817" s="6">
        <v>68</v>
      </c>
      <c r="Y817">
        <v>6.9843700000000002</v>
      </c>
      <c r="Z817">
        <v>3.8802055555555555</v>
      </c>
      <c r="AA817" s="6">
        <v>81.000004295305089</v>
      </c>
      <c r="AB817" s="4">
        <v>70.71674999999999</v>
      </c>
      <c r="AC817" s="6">
        <v>12.345678357673394</v>
      </c>
      <c r="AD817">
        <v>0.17714233800000001</v>
      </c>
      <c r="AE817">
        <v>1.9831355634403214</v>
      </c>
      <c r="AF817">
        <v>13375</v>
      </c>
      <c r="AG817" s="4">
        <v>0</v>
      </c>
      <c r="AH817" s="4">
        <v>36675</v>
      </c>
      <c r="AI817" t="s">
        <v>73</v>
      </c>
      <c r="AJ817" t="s">
        <v>73</v>
      </c>
      <c r="AK817" t="s">
        <v>123</v>
      </c>
      <c r="AL817">
        <v>81</v>
      </c>
      <c r="AM817">
        <v>6.9843700000000002</v>
      </c>
      <c r="AN817" t="s">
        <v>73</v>
      </c>
      <c r="AO817" t="s">
        <v>215</v>
      </c>
      <c r="AP817" s="5">
        <v>44974</v>
      </c>
      <c r="AQ817" t="s">
        <v>127</v>
      </c>
      <c r="AR817" s="5">
        <v>45041</v>
      </c>
      <c r="AS817">
        <v>126.34710646772723</v>
      </c>
      <c r="AT817" s="6"/>
      <c r="AU817">
        <v>45.816587609190236</v>
      </c>
      <c r="AV817">
        <v>61.934323353430592</v>
      </c>
      <c r="AW817">
        <v>78.499611274889503</v>
      </c>
      <c r="AX817">
        <v>186.25052223751032</v>
      </c>
      <c r="AY817">
        <v>35.534039576941083</v>
      </c>
      <c r="AZ817">
        <v>96.248457627531181</v>
      </c>
      <c r="BA817">
        <v>15.418650501047338</v>
      </c>
      <c r="BB817">
        <v>16.063972842217694</v>
      </c>
      <c r="BC817">
        <v>20.881691548414533</v>
      </c>
      <c r="BD817">
        <v>184.14681209615179</v>
      </c>
      <c r="BE817">
        <v>-244.05022786593489</v>
      </c>
      <c r="BF817">
        <v>18.4399595095907</v>
      </c>
      <c r="BH817">
        <v>18.4399595095907</v>
      </c>
      <c r="BI817">
        <v>388.83729384325284</v>
      </c>
      <c r="BJ817" s="6">
        <v>150</v>
      </c>
      <c r="BK817">
        <v>-262.49018737552564</v>
      </c>
      <c r="BL817" s="4">
        <v>-1833.3285899999998</v>
      </c>
      <c r="BM817" t="s">
        <v>733</v>
      </c>
      <c r="BN817" t="s">
        <v>65</v>
      </c>
      <c r="BO817">
        <v>4</v>
      </c>
      <c r="BP817">
        <v>2023</v>
      </c>
      <c r="BQ817" t="str">
        <f t="shared" si="61"/>
        <v>Pakpanang14</v>
      </c>
      <c r="BR817">
        <f t="shared" si="62"/>
        <v>-1668.1280299999999</v>
      </c>
      <c r="BS817">
        <f t="shared" si="63"/>
        <v>882.45494000000008</v>
      </c>
      <c r="BT817" s="6">
        <f t="shared" si="64"/>
        <v>-238.83729384325284</v>
      </c>
    </row>
    <row r="818" spans="1:72">
      <c r="A818" s="3" t="s">
        <v>631</v>
      </c>
      <c r="B818" s="3" t="s">
        <v>724</v>
      </c>
      <c r="C818" s="3" t="s">
        <v>726</v>
      </c>
      <c r="D818" s="2" t="s">
        <v>2709</v>
      </c>
      <c r="E818" s="4" t="str">
        <f t="shared" si="60"/>
        <v>Pakpanang1D1-172-0010</v>
      </c>
      <c r="F818">
        <v>1.8</v>
      </c>
      <c r="G818">
        <v>1.8</v>
      </c>
      <c r="H818" t="s">
        <v>72</v>
      </c>
      <c r="I818" t="s">
        <v>75</v>
      </c>
      <c r="J818" t="s">
        <v>95</v>
      </c>
      <c r="K818" t="s">
        <v>79</v>
      </c>
      <c r="L818" t="s">
        <v>79</v>
      </c>
      <c r="M818">
        <v>2.9555555555555557</v>
      </c>
      <c r="N818" s="5">
        <v>45179</v>
      </c>
      <c r="O818" s="5">
        <v>45228</v>
      </c>
      <c r="P818">
        <v>1</v>
      </c>
      <c r="Q818" s="4">
        <v>193</v>
      </c>
      <c r="R818">
        <v>0.65</v>
      </c>
      <c r="S818" t="s">
        <v>70</v>
      </c>
      <c r="T818" s="6">
        <v>1</v>
      </c>
      <c r="U818" s="5">
        <v>45258</v>
      </c>
      <c r="V818" s="6">
        <v>2</v>
      </c>
      <c r="W818" t="s">
        <v>71</v>
      </c>
      <c r="X818" s="6">
        <v>30</v>
      </c>
      <c r="Y818">
        <v>2.7003200000000001</v>
      </c>
      <c r="Z818">
        <v>1.5001777777777778</v>
      </c>
      <c r="AA818" s="6">
        <v>172.99986668246726</v>
      </c>
      <c r="AB818" s="4">
        <v>46.715499999999999</v>
      </c>
      <c r="AC818" s="6">
        <v>5.7803512752726611</v>
      </c>
      <c r="AD818">
        <v>0.17101156100000001</v>
      </c>
      <c r="AE818">
        <v>1.6460845136368956</v>
      </c>
      <c r="AF818">
        <v>3375</v>
      </c>
      <c r="AG818" s="4">
        <v>0</v>
      </c>
      <c r="AH818" s="4">
        <v>9975</v>
      </c>
      <c r="AI818" t="s">
        <v>73</v>
      </c>
      <c r="AL818">
        <v>173</v>
      </c>
      <c r="AM818">
        <v>2.7003200000000001</v>
      </c>
      <c r="AN818" t="s">
        <v>73</v>
      </c>
      <c r="AO818" t="s">
        <v>144</v>
      </c>
      <c r="AP818" s="5">
        <v>45230</v>
      </c>
      <c r="AQ818" t="s">
        <v>94</v>
      </c>
      <c r="AR818" s="5">
        <v>45256</v>
      </c>
      <c r="AS818">
        <v>65.340078212952534</v>
      </c>
      <c r="AT818" s="6"/>
      <c r="AU818">
        <v>185.16323991230669</v>
      </c>
      <c r="AV818">
        <v>37.500470314629368</v>
      </c>
      <c r="AW818">
        <v>88.303726965692945</v>
      </c>
      <c r="AX818">
        <v>310.96743719262901</v>
      </c>
      <c r="AY818">
        <v>67.446543372637308</v>
      </c>
      <c r="AZ818">
        <v>80.397645464241265</v>
      </c>
      <c r="BA818">
        <v>37.919135509865498</v>
      </c>
      <c r="BB818">
        <v>105.05133095336846</v>
      </c>
      <c r="BC818">
        <v>89.89917861586774</v>
      </c>
      <c r="BD818">
        <v>380.71383391598027</v>
      </c>
      <c r="BE818">
        <v>-626.34119289565672</v>
      </c>
      <c r="BF818">
        <v>19.469411032766484</v>
      </c>
      <c r="BH818">
        <v>19.469411032766484</v>
      </c>
      <c r="BI818">
        <v>711.1506821413758</v>
      </c>
      <c r="BJ818" s="6">
        <v>150</v>
      </c>
      <c r="BK818">
        <v>-645.81060392842323</v>
      </c>
      <c r="BL818" s="4">
        <v>-1743.8952899999999</v>
      </c>
      <c r="BM818" t="s">
        <v>2710</v>
      </c>
      <c r="BN818" t="s">
        <v>65</v>
      </c>
      <c r="BO818">
        <v>11</v>
      </c>
      <c r="BP818">
        <v>2023</v>
      </c>
      <c r="BQ818" t="str">
        <f t="shared" si="61"/>
        <v>Pakpanang111</v>
      </c>
      <c r="BR818">
        <f t="shared" si="62"/>
        <v>-1515.2864099999999</v>
      </c>
      <c r="BS818">
        <f t="shared" si="63"/>
        <v>176.43912</v>
      </c>
      <c r="BT818" s="6">
        <f t="shared" si="64"/>
        <v>-561.1506821413758</v>
      </c>
    </row>
    <row r="819" spans="1:72">
      <c r="A819" s="3" t="s">
        <v>631</v>
      </c>
      <c r="B819" s="3" t="s">
        <v>724</v>
      </c>
      <c r="C819" s="3" t="s">
        <v>726</v>
      </c>
      <c r="D819" s="2" t="s">
        <v>727</v>
      </c>
      <c r="E819" s="4" t="str">
        <f t="shared" si="60"/>
        <v>Pakpanang1A1-180-0009</v>
      </c>
      <c r="F819">
        <v>1.8</v>
      </c>
      <c r="G819">
        <v>1.8</v>
      </c>
      <c r="H819" t="s">
        <v>72</v>
      </c>
      <c r="I819" t="s">
        <v>75</v>
      </c>
      <c r="J819" t="s">
        <v>95</v>
      </c>
      <c r="K819" t="s">
        <v>79</v>
      </c>
      <c r="L819" t="s">
        <v>79</v>
      </c>
      <c r="M819">
        <v>2.9167123287671233</v>
      </c>
      <c r="N819" s="5">
        <v>44982</v>
      </c>
      <c r="O819" s="5">
        <v>44990</v>
      </c>
      <c r="P819">
        <v>0.8</v>
      </c>
      <c r="Q819" s="4">
        <v>154</v>
      </c>
      <c r="R819">
        <v>0.32</v>
      </c>
      <c r="S819" t="s">
        <v>70</v>
      </c>
      <c r="T819" s="6">
        <v>1</v>
      </c>
      <c r="U819" s="5">
        <v>45047</v>
      </c>
      <c r="V819" s="6">
        <v>2</v>
      </c>
      <c r="W819" t="s">
        <v>71</v>
      </c>
      <c r="X819" s="6">
        <v>57</v>
      </c>
      <c r="Y819">
        <v>5.7981800000000003</v>
      </c>
      <c r="Z819">
        <v>3.2212111111111112</v>
      </c>
      <c r="AA819" s="6">
        <v>115.99984822823713</v>
      </c>
      <c r="AB819" s="4">
        <v>84.073499999999996</v>
      </c>
      <c r="AC819" s="6">
        <v>8.6207009343015351</v>
      </c>
      <c r="AD819">
        <v>0.14562613399999999</v>
      </c>
      <c r="AE819">
        <v>1.9757568321490819</v>
      </c>
      <c r="AF819">
        <v>10950</v>
      </c>
      <c r="AG819" s="4">
        <v>0</v>
      </c>
      <c r="AH819" s="4">
        <v>31938</v>
      </c>
      <c r="AI819" t="s">
        <v>73</v>
      </c>
      <c r="AJ819" t="s">
        <v>73</v>
      </c>
      <c r="AK819" t="s">
        <v>123</v>
      </c>
      <c r="AL819">
        <v>116.00000000000001</v>
      </c>
      <c r="AM819">
        <v>5.7911000000000001</v>
      </c>
      <c r="AN819" t="s">
        <v>73</v>
      </c>
      <c r="AO819" t="s">
        <v>93</v>
      </c>
      <c r="AP819" s="5">
        <v>44990</v>
      </c>
      <c r="AQ819" t="s">
        <v>127</v>
      </c>
      <c r="AR819" s="5">
        <v>45046</v>
      </c>
      <c r="AS819">
        <v>98.061493434146556</v>
      </c>
      <c r="AT819" s="6"/>
      <c r="AU819">
        <v>55.189731950370629</v>
      </c>
      <c r="AV819">
        <v>60.700216274762084</v>
      </c>
      <c r="AW819">
        <v>48.315447261037086</v>
      </c>
      <c r="AX819">
        <v>164.20539548616981</v>
      </c>
      <c r="AY819">
        <v>21.135006157104471</v>
      </c>
      <c r="AZ819">
        <v>55.834061722816465</v>
      </c>
      <c r="BA819">
        <v>9.5179090680178948</v>
      </c>
      <c r="BB819">
        <v>15.790182436557679</v>
      </c>
      <c r="BC819">
        <v>19.450957024445604</v>
      </c>
      <c r="BD819">
        <v>121.72811640894211</v>
      </c>
      <c r="BE819">
        <v>-187.87201846096536</v>
      </c>
      <c r="BF819">
        <v>8.6728904587301514</v>
      </c>
      <c r="BH819">
        <v>8.6728904587301514</v>
      </c>
      <c r="BI819">
        <v>294.60640235384204</v>
      </c>
      <c r="BJ819" s="6">
        <v>150</v>
      </c>
      <c r="BK819">
        <v>-196.54490891969547</v>
      </c>
      <c r="BL819" s="4">
        <v>-1139.60276</v>
      </c>
      <c r="BM819" t="s">
        <v>725</v>
      </c>
      <c r="BN819" t="s">
        <v>65</v>
      </c>
      <c r="BO819">
        <v>5</v>
      </c>
      <c r="BP819">
        <v>2023</v>
      </c>
      <c r="BQ819" t="str">
        <f t="shared" si="61"/>
        <v>Pakpanang15</v>
      </c>
      <c r="BR819">
        <f t="shared" si="62"/>
        <v>-838.45394999999985</v>
      </c>
      <c r="BS819">
        <f t="shared" si="63"/>
        <v>568.57818999999995</v>
      </c>
      <c r="BT819" s="6">
        <f t="shared" si="64"/>
        <v>-144.60640235384204</v>
      </c>
    </row>
    <row r="820" spans="1:72">
      <c r="A820" s="3" t="s">
        <v>631</v>
      </c>
      <c r="B820" s="3" t="s">
        <v>760</v>
      </c>
      <c r="C820" s="3" t="s">
        <v>829</v>
      </c>
      <c r="D820" s="2" t="s">
        <v>830</v>
      </c>
      <c r="E820" s="4" t="str">
        <f t="shared" si="60"/>
        <v>SR1A1-028-0037</v>
      </c>
      <c r="F820">
        <v>4</v>
      </c>
      <c r="G820">
        <v>1.6</v>
      </c>
      <c r="H820" t="s">
        <v>72</v>
      </c>
      <c r="I820" t="s">
        <v>75</v>
      </c>
      <c r="J820" t="s">
        <v>95</v>
      </c>
      <c r="K820" t="s">
        <v>79</v>
      </c>
      <c r="L820" t="s">
        <v>79</v>
      </c>
      <c r="M820">
        <v>1.6824204486176317</v>
      </c>
      <c r="N820" s="5">
        <v>45131</v>
      </c>
      <c r="O820" s="5">
        <v>45137</v>
      </c>
      <c r="P820">
        <v>1.7</v>
      </c>
      <c r="Q820" s="4">
        <v>166</v>
      </c>
      <c r="R820">
        <v>0.28999999999999998</v>
      </c>
      <c r="S820" t="s">
        <v>70</v>
      </c>
      <c r="T820" s="6">
        <v>1</v>
      </c>
      <c r="U820" s="5">
        <v>45215</v>
      </c>
      <c r="V820" s="6">
        <v>1</v>
      </c>
      <c r="W820" t="s">
        <v>86</v>
      </c>
      <c r="X820" s="6">
        <v>78</v>
      </c>
      <c r="Y820">
        <v>29.019849999999998</v>
      </c>
      <c r="Z820">
        <v>7.2549624999999995</v>
      </c>
      <c r="AA820" s="6">
        <v>34.999974155621068</v>
      </c>
      <c r="AB820" s="4">
        <v>59.746705882352948</v>
      </c>
      <c r="AC820" s="6">
        <v>28.571449668896339</v>
      </c>
      <c r="AD820">
        <v>0.36258241800000002</v>
      </c>
      <c r="AE820">
        <v>1.6799962140930387</v>
      </c>
      <c r="AF820">
        <v>47925</v>
      </c>
      <c r="AG820" s="4"/>
      <c r="AH820" s="4">
        <v>80630</v>
      </c>
      <c r="AI820" t="s">
        <v>73</v>
      </c>
      <c r="AL820">
        <v>35</v>
      </c>
      <c r="AM820">
        <v>29.019849999999998</v>
      </c>
      <c r="AN820" t="s">
        <v>81</v>
      </c>
      <c r="AO820" t="s">
        <v>92</v>
      </c>
      <c r="AP820" s="5">
        <v>45140</v>
      </c>
      <c r="AQ820" t="s">
        <v>92</v>
      </c>
      <c r="AR820" s="5">
        <v>45213</v>
      </c>
      <c r="AS820">
        <v>178.51343442505734</v>
      </c>
      <c r="AT820" s="6"/>
      <c r="AU820">
        <v>23.432236899915054</v>
      </c>
      <c r="AV820">
        <v>52.23043813114127</v>
      </c>
      <c r="AW820">
        <v>26.355945327077833</v>
      </c>
      <c r="AX820">
        <v>102.01862035813417</v>
      </c>
      <c r="AY820">
        <v>13.926236007422506</v>
      </c>
      <c r="AZ820">
        <v>40.137877004877687</v>
      </c>
      <c r="BA820">
        <v>9.986603307735912</v>
      </c>
      <c r="BB820">
        <v>6.1052162571481245</v>
      </c>
      <c r="BC820">
        <v>8.7499825119702557</v>
      </c>
      <c r="BD820">
        <v>78.90591508915449</v>
      </c>
      <c r="BE820">
        <v>-2.4111010222313212</v>
      </c>
      <c r="BF820">
        <v>7.463309079819501</v>
      </c>
      <c r="BH820">
        <v>7.463309079819501</v>
      </c>
      <c r="BI820">
        <v>188.38784452710826</v>
      </c>
      <c r="BJ820" s="6">
        <v>187</v>
      </c>
      <c r="BK820">
        <v>-9.8744101020509145</v>
      </c>
      <c r="BL820" s="4">
        <v>-286.55390000000222</v>
      </c>
      <c r="BM820" t="s">
        <v>831</v>
      </c>
      <c r="BN820" t="s">
        <v>65</v>
      </c>
      <c r="BO820">
        <v>10</v>
      </c>
      <c r="BP820">
        <v>2023</v>
      </c>
      <c r="BQ820" t="str">
        <f t="shared" si="61"/>
        <v>SR110</v>
      </c>
      <c r="BR820">
        <f t="shared" si="62"/>
        <v>-40.275040000002548</v>
      </c>
      <c r="BS820">
        <f t="shared" si="63"/>
        <v>5180.4330899999995</v>
      </c>
      <c r="BT820" s="6">
        <f t="shared" si="64"/>
        <v>-1.3878445271082569</v>
      </c>
    </row>
    <row r="821" spans="1:72">
      <c r="A821" s="3" t="s">
        <v>631</v>
      </c>
      <c r="B821" s="3" t="s">
        <v>760</v>
      </c>
      <c r="C821" s="3" t="s">
        <v>829</v>
      </c>
      <c r="D821" s="2" t="s">
        <v>832</v>
      </c>
      <c r="E821" s="4" t="str">
        <f t="shared" si="60"/>
        <v>SR1A1-027-0032</v>
      </c>
      <c r="F821">
        <v>3.78</v>
      </c>
      <c r="G821">
        <v>1.6</v>
      </c>
      <c r="H821" t="s">
        <v>72</v>
      </c>
      <c r="I821" t="s">
        <v>75</v>
      </c>
      <c r="J821" t="s">
        <v>112</v>
      </c>
      <c r="K821" t="s">
        <v>79</v>
      </c>
      <c r="L821" t="s">
        <v>79</v>
      </c>
      <c r="M821">
        <v>1.6549828178694157</v>
      </c>
      <c r="N821" s="5">
        <v>45013</v>
      </c>
      <c r="O821" s="5">
        <v>45042</v>
      </c>
      <c r="P821">
        <v>1.5</v>
      </c>
      <c r="Q821" s="4">
        <v>155</v>
      </c>
      <c r="R821">
        <v>0.28499999999999998</v>
      </c>
      <c r="S821" t="s">
        <v>70</v>
      </c>
      <c r="T821" s="6">
        <v>4</v>
      </c>
      <c r="U821" s="5">
        <v>45188</v>
      </c>
      <c r="V821" s="6">
        <v>1</v>
      </c>
      <c r="W821" t="s">
        <v>86</v>
      </c>
      <c r="X821" s="6">
        <v>146</v>
      </c>
      <c r="Y821">
        <v>41.250219999999999</v>
      </c>
      <c r="Z821">
        <v>10.912756613756613</v>
      </c>
      <c r="AA821" s="6">
        <v>24.597032452190557</v>
      </c>
      <c r="AB821" s="4">
        <v>67.642200000000003</v>
      </c>
      <c r="AC821" s="6">
        <v>40.655310836529068</v>
      </c>
      <c r="AD821">
        <v>0.32420580599999993</v>
      </c>
      <c r="AE821">
        <v>2.3167075831234434</v>
      </c>
      <c r="AF821">
        <v>94575</v>
      </c>
      <c r="AG821" s="4">
        <v>0</v>
      </c>
      <c r="AH821" s="4">
        <v>156520</v>
      </c>
      <c r="AI821" t="s">
        <v>100</v>
      </c>
      <c r="AL821">
        <v>21</v>
      </c>
      <c r="AM821">
        <v>22.329810000000002</v>
      </c>
      <c r="AN821" t="s">
        <v>100</v>
      </c>
      <c r="AO821" t="s">
        <v>92</v>
      </c>
      <c r="AP821" s="5">
        <v>45042</v>
      </c>
      <c r="AQ821" t="s">
        <v>106</v>
      </c>
      <c r="AR821" s="5">
        <v>45188</v>
      </c>
      <c r="AS821">
        <v>205.95082450469351</v>
      </c>
      <c r="AT821" s="6"/>
      <c r="AU821">
        <v>14.545376970110704</v>
      </c>
      <c r="AV821">
        <v>80.570080595933788</v>
      </c>
      <c r="AW821">
        <v>25.597170633271773</v>
      </c>
      <c r="AX821">
        <v>120.71262819931626</v>
      </c>
      <c r="AY821">
        <v>12.212627956893321</v>
      </c>
      <c r="AZ821">
        <v>29.334223429596253</v>
      </c>
      <c r="BA821">
        <v>9.7807643207721071</v>
      </c>
      <c r="BB821">
        <v>6.1553482623850231</v>
      </c>
      <c r="BC821">
        <v>6.7056430244493237</v>
      </c>
      <c r="BD821">
        <v>64.18860699409602</v>
      </c>
      <c r="BE821">
        <v>21.049589311281238</v>
      </c>
      <c r="BF821">
        <v>5.1229738895938004</v>
      </c>
      <c r="BH821">
        <v>5.1229738895938004</v>
      </c>
      <c r="BI821">
        <v>190.02420908300607</v>
      </c>
      <c r="BJ821" s="6">
        <v>219</v>
      </c>
      <c r="BK821">
        <v>15.926615421687439</v>
      </c>
      <c r="BL821" s="4">
        <v>656.9763899999997</v>
      </c>
      <c r="BM821" t="s">
        <v>833</v>
      </c>
      <c r="BN821" t="s">
        <v>65</v>
      </c>
      <c r="BO821">
        <v>9</v>
      </c>
      <c r="BP821">
        <v>2023</v>
      </c>
      <c r="BQ821" t="str">
        <f t="shared" si="61"/>
        <v>SR19</v>
      </c>
      <c r="BR821">
        <f t="shared" si="62"/>
        <v>1195.2577500000014</v>
      </c>
      <c r="BS821">
        <f t="shared" si="63"/>
        <v>8495.5168199999989</v>
      </c>
      <c r="BT821" s="6">
        <f t="shared" si="64"/>
        <v>28.97579091699393</v>
      </c>
    </row>
    <row r="822" spans="1:72">
      <c r="A822" s="3" t="s">
        <v>631</v>
      </c>
      <c r="B822" s="3" t="s">
        <v>760</v>
      </c>
      <c r="C822" s="3" t="s">
        <v>829</v>
      </c>
      <c r="D822" s="2" t="s">
        <v>834</v>
      </c>
      <c r="E822" s="4" t="str">
        <f t="shared" si="60"/>
        <v>SR1A1-026-0028</v>
      </c>
      <c r="F822">
        <v>3.85</v>
      </c>
      <c r="G822">
        <v>1.6</v>
      </c>
      <c r="H822" t="s">
        <v>72</v>
      </c>
      <c r="I822" t="s">
        <v>75</v>
      </c>
      <c r="J822" t="s">
        <v>112</v>
      </c>
      <c r="K822" t="s">
        <v>79</v>
      </c>
      <c r="L822" t="s">
        <v>79</v>
      </c>
      <c r="M822">
        <v>2.4092159559834938</v>
      </c>
      <c r="N822" s="5">
        <v>44982</v>
      </c>
      <c r="O822" s="5">
        <v>45009</v>
      </c>
      <c r="P822">
        <v>1.2529999999999999</v>
      </c>
      <c r="Q822" s="4">
        <v>127</v>
      </c>
      <c r="R822">
        <v>0.39300000000000002</v>
      </c>
      <c r="S822" t="s">
        <v>70</v>
      </c>
      <c r="T822" s="6">
        <v>5</v>
      </c>
      <c r="U822" s="5">
        <v>45174</v>
      </c>
      <c r="V822" s="6">
        <v>1</v>
      </c>
      <c r="W822" t="s">
        <v>86</v>
      </c>
      <c r="X822" s="6">
        <v>165.00000000000003</v>
      </c>
      <c r="Y822">
        <v>27.041409999999999</v>
      </c>
      <c r="Z822">
        <v>7.0237428571428566</v>
      </c>
      <c r="AA822" s="6">
        <v>23.716810624889753</v>
      </c>
      <c r="AB822" s="4">
        <v>51.18403830806065</v>
      </c>
      <c r="AC822" s="6">
        <v>42.164185388002544</v>
      </c>
      <c r="AD822">
        <v>0.316597448</v>
      </c>
      <c r="AE822">
        <v>2.7383844661656966</v>
      </c>
      <c r="AF822">
        <v>72700</v>
      </c>
      <c r="AG822" s="4">
        <v>0</v>
      </c>
      <c r="AH822" s="4">
        <v>175150</v>
      </c>
      <c r="AL822">
        <v>19</v>
      </c>
      <c r="AM822">
        <v>5.6298599999999999</v>
      </c>
      <c r="AN822" t="s">
        <v>81</v>
      </c>
      <c r="AO822" t="s">
        <v>94</v>
      </c>
      <c r="AP822" s="5">
        <v>45009</v>
      </c>
      <c r="AQ822" t="s">
        <v>102</v>
      </c>
      <c r="AR822" s="5">
        <v>45173</v>
      </c>
      <c r="AS822">
        <v>223.39235269166809</v>
      </c>
      <c r="AT822" s="6"/>
      <c r="AU822">
        <v>19.741943929698923</v>
      </c>
      <c r="AV822">
        <v>96.260313718848224</v>
      </c>
      <c r="AW822">
        <v>39.786493381817003</v>
      </c>
      <c r="AX822">
        <v>155.78875103036415</v>
      </c>
      <c r="AY822">
        <v>18.675675565734181</v>
      </c>
      <c r="AZ822">
        <v>45.779139845148599</v>
      </c>
      <c r="BA822">
        <v>16.13487906140989</v>
      </c>
      <c r="BB822">
        <v>9.7747920689046897</v>
      </c>
      <c r="BC822">
        <v>10.444930571297871</v>
      </c>
      <c r="BD822">
        <v>100.80941711249524</v>
      </c>
      <c r="BE822">
        <v>-33.205815451191299</v>
      </c>
      <c r="BF822">
        <v>7.9871837304341744</v>
      </c>
      <c r="BH822">
        <v>7.9871837304341744</v>
      </c>
      <c r="BI822">
        <v>264.58535187329358</v>
      </c>
      <c r="BJ822" s="6">
        <v>223</v>
      </c>
      <c r="BK822">
        <v>-41.192999181625488</v>
      </c>
      <c r="BL822" s="4">
        <v>-1113.9167799999993</v>
      </c>
      <c r="BM822" t="s">
        <v>761</v>
      </c>
      <c r="BN822" t="s">
        <v>65</v>
      </c>
      <c r="BO822">
        <v>9</v>
      </c>
      <c r="BP822">
        <v>2023</v>
      </c>
      <c r="BQ822" t="str">
        <f t="shared" si="61"/>
        <v>SR19</v>
      </c>
      <c r="BR822">
        <f t="shared" si="62"/>
        <v>-1124.5265499999996</v>
      </c>
      <c r="BS822">
        <f t="shared" si="63"/>
        <v>6040.8442000000005</v>
      </c>
      <c r="BT822" s="6">
        <f t="shared" si="64"/>
        <v>-41.585351873293575</v>
      </c>
    </row>
    <row r="823" spans="1:72">
      <c r="A823" s="3" t="s">
        <v>631</v>
      </c>
      <c r="B823" s="3" t="s">
        <v>760</v>
      </c>
      <c r="C823" s="3" t="s">
        <v>829</v>
      </c>
      <c r="D823" s="2" t="s">
        <v>2801</v>
      </c>
      <c r="E823" s="4" t="str">
        <f t="shared" si="60"/>
        <v>SR1A1-026-0029</v>
      </c>
      <c r="F823">
        <v>3.85</v>
      </c>
      <c r="G823">
        <v>1.6</v>
      </c>
      <c r="H823" t="s">
        <v>72</v>
      </c>
      <c r="I823" t="s">
        <v>75</v>
      </c>
      <c r="J823" t="s">
        <v>112</v>
      </c>
      <c r="K823" t="s">
        <v>79</v>
      </c>
      <c r="L823" t="s">
        <v>79</v>
      </c>
      <c r="M823">
        <v>0.33566433566433568</v>
      </c>
      <c r="N823" s="5">
        <v>45216</v>
      </c>
      <c r="O823" s="5">
        <v>45235</v>
      </c>
      <c r="P823">
        <v>2</v>
      </c>
      <c r="Q823" s="4">
        <v>203</v>
      </c>
      <c r="R823">
        <v>2.3260000000000001</v>
      </c>
      <c r="S823" t="s">
        <v>70</v>
      </c>
      <c r="T823" s="6">
        <v>1</v>
      </c>
      <c r="U823" s="5">
        <v>45270</v>
      </c>
      <c r="V823" s="6">
        <v>2</v>
      </c>
      <c r="W823" t="s">
        <v>71</v>
      </c>
      <c r="X823" s="6">
        <v>35</v>
      </c>
      <c r="Y823">
        <v>22.286110000000001</v>
      </c>
      <c r="Z823">
        <v>5.7885999999999997</v>
      </c>
      <c r="AA823" s="6">
        <v>88.999964551911475</v>
      </c>
      <c r="AB823" s="4">
        <v>99.173149999999993</v>
      </c>
      <c r="AC823" s="6">
        <v>11.23595953138526</v>
      </c>
      <c r="AD823">
        <v>0.254570144</v>
      </c>
      <c r="AE823">
        <v>1.6218107460272724</v>
      </c>
      <c r="AF823">
        <v>28600</v>
      </c>
      <c r="AG823" s="4">
        <v>0</v>
      </c>
      <c r="AH823" s="4">
        <v>9600</v>
      </c>
      <c r="AI823" t="s">
        <v>100</v>
      </c>
      <c r="AL823">
        <v>89</v>
      </c>
      <c r="AM823">
        <v>22.286110000000001</v>
      </c>
      <c r="AN823" t="s">
        <v>100</v>
      </c>
      <c r="AO823" t="s">
        <v>106</v>
      </c>
      <c r="AP823" s="5">
        <v>45235</v>
      </c>
      <c r="AQ823" t="s">
        <v>105</v>
      </c>
      <c r="AR823" s="5">
        <v>45269</v>
      </c>
      <c r="AS823">
        <v>120.75782763344522</v>
      </c>
      <c r="AT823" s="6"/>
      <c r="AU823">
        <v>104.99813561002794</v>
      </c>
      <c r="AV823">
        <v>38.603989211217204</v>
      </c>
      <c r="AW823">
        <v>39.066780609087893</v>
      </c>
      <c r="AX823">
        <v>182.66890543033304</v>
      </c>
      <c r="AY823">
        <v>29.795181841963444</v>
      </c>
      <c r="AZ823">
        <v>24.844402185935543</v>
      </c>
      <c r="BA823">
        <v>17.434971379033847</v>
      </c>
      <c r="BB823">
        <v>14.42058573703531</v>
      </c>
      <c r="BC823">
        <v>24.196355487790377</v>
      </c>
      <c r="BD823">
        <v>110.69149663175851</v>
      </c>
      <c r="BE823">
        <v>-172.60257442864634</v>
      </c>
      <c r="BF823">
        <v>15.636735616938081</v>
      </c>
      <c r="BH823">
        <v>15.636735616938081</v>
      </c>
      <c r="BI823">
        <v>308.99713767902966</v>
      </c>
      <c r="BJ823" s="6">
        <v>150</v>
      </c>
      <c r="BK823">
        <v>-188.23931004558446</v>
      </c>
      <c r="BL823" s="4">
        <v>-4195.1219700000011</v>
      </c>
      <c r="BM823" t="s">
        <v>2802</v>
      </c>
      <c r="BN823" t="s">
        <v>65</v>
      </c>
      <c r="BO823">
        <v>12</v>
      </c>
      <c r="BP823">
        <v>2023</v>
      </c>
      <c r="BQ823" t="str">
        <f t="shared" si="61"/>
        <v>SR112</v>
      </c>
      <c r="BR823">
        <f t="shared" si="62"/>
        <v>-3543.4276999999997</v>
      </c>
      <c r="BS823">
        <f t="shared" si="63"/>
        <v>2691.2222299999999</v>
      </c>
      <c r="BT823" s="6">
        <f t="shared" si="64"/>
        <v>-158.99713767902966</v>
      </c>
    </row>
    <row r="824" spans="1:72">
      <c r="A824" s="3" t="s">
        <v>631</v>
      </c>
      <c r="B824" s="3" t="s">
        <v>760</v>
      </c>
      <c r="C824" s="3" t="s">
        <v>798</v>
      </c>
      <c r="D824" s="2" t="s">
        <v>819</v>
      </c>
      <c r="E824" s="4" t="str">
        <f t="shared" si="60"/>
        <v>SR1C1-050-0015</v>
      </c>
      <c r="F824">
        <v>1.8</v>
      </c>
      <c r="G824">
        <v>1.6</v>
      </c>
      <c r="H824" t="s">
        <v>72</v>
      </c>
      <c r="I824" t="s">
        <v>75</v>
      </c>
      <c r="J824" t="s">
        <v>95</v>
      </c>
      <c r="K824" t="s">
        <v>79</v>
      </c>
      <c r="L824" t="s">
        <v>79</v>
      </c>
      <c r="M824">
        <v>3.1148936170212767</v>
      </c>
      <c r="N824" s="5">
        <v>45081</v>
      </c>
      <c r="O824" s="5">
        <v>45086</v>
      </c>
      <c r="P824">
        <v>0.32000008000000002</v>
      </c>
      <c r="Q824" s="4">
        <v>69</v>
      </c>
      <c r="R824">
        <v>24.39</v>
      </c>
      <c r="S824" t="s">
        <v>70</v>
      </c>
      <c r="T824" s="6">
        <v>1</v>
      </c>
      <c r="U824" s="5">
        <v>45106</v>
      </c>
      <c r="V824" s="6">
        <v>1</v>
      </c>
      <c r="W824" t="s">
        <v>86</v>
      </c>
      <c r="X824" s="6">
        <v>20</v>
      </c>
      <c r="Y824">
        <v>10.58244</v>
      </c>
      <c r="Z824">
        <v>5.8791333333333329</v>
      </c>
      <c r="AA824" s="6">
        <v>28.999266709756917</v>
      </c>
      <c r="AB824" s="4">
        <v>95.90091352477161</v>
      </c>
      <c r="AC824" s="6">
        <v>34.483630569304914</v>
      </c>
      <c r="AD824">
        <v>0.50463793099999998</v>
      </c>
      <c r="AE824">
        <v>2.1151658290009934</v>
      </c>
      <c r="AF824">
        <v>5875</v>
      </c>
      <c r="AG824" s="4">
        <v>0</v>
      </c>
      <c r="AH824" s="4">
        <v>18300</v>
      </c>
      <c r="AL824">
        <v>29</v>
      </c>
      <c r="AM824">
        <v>10.574440000000001</v>
      </c>
      <c r="AN824" t="s">
        <v>81</v>
      </c>
      <c r="AO824" t="s">
        <v>92</v>
      </c>
      <c r="AP824" s="5">
        <v>45089</v>
      </c>
      <c r="AQ824" t="s">
        <v>215</v>
      </c>
      <c r="AR824" s="5">
        <v>45105</v>
      </c>
      <c r="AS824">
        <v>165.02807292080087</v>
      </c>
      <c r="AT824" s="6"/>
      <c r="AU824">
        <v>17.092569388534212</v>
      </c>
      <c r="AV824">
        <v>49.581500107725617</v>
      </c>
      <c r="AW824">
        <v>15.866311550077295</v>
      </c>
      <c r="AX824">
        <v>82.540381046337131</v>
      </c>
      <c r="AY824">
        <v>12.322940645068623</v>
      </c>
      <c r="AZ824">
        <v>37.520841129266969</v>
      </c>
      <c r="BA824">
        <v>6.0493685766231602</v>
      </c>
      <c r="BB824">
        <v>3.116629057192859</v>
      </c>
      <c r="BC824">
        <v>6.2878409894126488</v>
      </c>
      <c r="BD824">
        <v>65.297620397564259</v>
      </c>
      <c r="BE824">
        <v>17.190071476899476</v>
      </c>
      <c r="BF824">
        <v>4.6847503978288554</v>
      </c>
      <c r="BH824">
        <v>4.6847503978288554</v>
      </c>
      <c r="BI824">
        <v>152.52275184173027</v>
      </c>
      <c r="BJ824" s="6">
        <v>200</v>
      </c>
      <c r="BK824">
        <v>12.505321079070594</v>
      </c>
      <c r="BL824" s="4">
        <v>132.33680999999982</v>
      </c>
      <c r="BM824" t="s">
        <v>820</v>
      </c>
      <c r="BN824" t="s">
        <v>65</v>
      </c>
      <c r="BO824">
        <v>6</v>
      </c>
      <c r="BP824">
        <v>2023</v>
      </c>
      <c r="BQ824" t="str">
        <f t="shared" si="61"/>
        <v>SR16</v>
      </c>
      <c r="BR824">
        <f t="shared" si="62"/>
        <v>502.42512999999991</v>
      </c>
      <c r="BS824">
        <f t="shared" si="63"/>
        <v>1746.39968</v>
      </c>
      <c r="BT824" s="6">
        <f t="shared" si="64"/>
        <v>47.477248158269731</v>
      </c>
    </row>
    <row r="825" spans="1:72">
      <c r="A825" s="3" t="s">
        <v>631</v>
      </c>
      <c r="B825" s="3" t="s">
        <v>760</v>
      </c>
      <c r="C825" s="3" t="s">
        <v>798</v>
      </c>
      <c r="D825" s="2" t="s">
        <v>827</v>
      </c>
      <c r="E825" s="4" t="str">
        <f t="shared" si="60"/>
        <v>SR1C1-050-0016</v>
      </c>
      <c r="F825">
        <v>1.8</v>
      </c>
      <c r="G825">
        <v>1.6</v>
      </c>
      <c r="H825" t="s">
        <v>72</v>
      </c>
      <c r="I825" t="s">
        <v>75</v>
      </c>
      <c r="J825" t="s">
        <v>95</v>
      </c>
      <c r="K825" t="s">
        <v>79</v>
      </c>
      <c r="L825" t="s">
        <v>79</v>
      </c>
      <c r="M825">
        <v>3.2801843317972352</v>
      </c>
      <c r="N825" s="5">
        <v>45107</v>
      </c>
      <c r="O825" s="5">
        <v>45115</v>
      </c>
      <c r="P825">
        <v>0.40000004</v>
      </c>
      <c r="Q825" s="4">
        <v>87</v>
      </c>
      <c r="R825">
        <v>22.726999999999997</v>
      </c>
      <c r="S825" t="s">
        <v>70</v>
      </c>
      <c r="T825" s="6">
        <v>2</v>
      </c>
      <c r="U825" s="5">
        <v>45184</v>
      </c>
      <c r="V825" s="6">
        <v>1</v>
      </c>
      <c r="W825" t="s">
        <v>86</v>
      </c>
      <c r="X825" s="6">
        <v>69</v>
      </c>
      <c r="Y825">
        <v>18.57236</v>
      </c>
      <c r="Z825">
        <v>10.317977777777777</v>
      </c>
      <c r="AA825" s="6">
        <v>22.254414624743436</v>
      </c>
      <c r="AB825" s="4">
        <v>103.32923966707604</v>
      </c>
      <c r="AC825" s="6">
        <v>44.934904685749679</v>
      </c>
      <c r="AD825">
        <v>0.39526086999999999</v>
      </c>
      <c r="AE825">
        <v>2.2886794741310661</v>
      </c>
      <c r="AF825">
        <v>21700</v>
      </c>
      <c r="AG825" s="4">
        <v>0</v>
      </c>
      <c r="AH825" s="4">
        <v>71180</v>
      </c>
      <c r="AL825">
        <v>20</v>
      </c>
      <c r="AM825">
        <v>15.35158</v>
      </c>
      <c r="AN825" t="s">
        <v>81</v>
      </c>
      <c r="AO825" t="s">
        <v>438</v>
      </c>
      <c r="AP825" s="5">
        <v>45118</v>
      </c>
      <c r="AQ825" t="s">
        <v>102</v>
      </c>
      <c r="AR825" s="5">
        <v>45183</v>
      </c>
      <c r="AS825">
        <v>218.00806790305592</v>
      </c>
      <c r="AT825" s="6"/>
      <c r="AU825">
        <v>7.86301471649268</v>
      </c>
      <c r="AV825">
        <v>60.81229418339943</v>
      </c>
      <c r="AW825">
        <v>19.18489303459549</v>
      </c>
      <c r="AX825">
        <v>87.860201934487606</v>
      </c>
      <c r="AY825">
        <v>15.231749223038966</v>
      </c>
      <c r="AZ825">
        <v>48.152987019420252</v>
      </c>
      <c r="BA825">
        <v>11.29667527444008</v>
      </c>
      <c r="BB825">
        <v>7.6086787031911935</v>
      </c>
      <c r="BC825">
        <v>8.8513430711013559</v>
      </c>
      <c r="BD825">
        <v>91.141433291191859</v>
      </c>
      <c r="BE825">
        <v>39.006432677376452</v>
      </c>
      <c r="BF825">
        <v>9.2706123508267098</v>
      </c>
      <c r="BH825">
        <v>9.2706123508267098</v>
      </c>
      <c r="BI825">
        <v>188.27224757650612</v>
      </c>
      <c r="BJ825" s="6">
        <v>228</v>
      </c>
      <c r="BK825">
        <v>29.735820326549817</v>
      </c>
      <c r="BL825" s="4">
        <v>552.26436000000081</v>
      </c>
      <c r="BM825" t="s">
        <v>828</v>
      </c>
      <c r="BN825" t="s">
        <v>65</v>
      </c>
      <c r="BO825">
        <v>9</v>
      </c>
      <c r="BP825">
        <v>2023</v>
      </c>
      <c r="BQ825" t="str">
        <f t="shared" si="61"/>
        <v>SR19</v>
      </c>
      <c r="BR825">
        <f t="shared" si="62"/>
        <v>737.8381200000008</v>
      </c>
      <c r="BS825">
        <f t="shared" si="63"/>
        <v>4048.9243199999996</v>
      </c>
      <c r="BT825" s="6">
        <f t="shared" si="64"/>
        <v>39.727752423493882</v>
      </c>
    </row>
    <row r="826" spans="1:72">
      <c r="A826" s="3" t="s">
        <v>631</v>
      </c>
      <c r="B826" s="3" t="s">
        <v>760</v>
      </c>
      <c r="C826" s="3" t="s">
        <v>798</v>
      </c>
      <c r="D826" s="2" t="s">
        <v>825</v>
      </c>
      <c r="E826" s="4" t="str">
        <f t="shared" si="60"/>
        <v>SR1C1-061-0039</v>
      </c>
      <c r="F826">
        <v>1.9</v>
      </c>
      <c r="G826">
        <v>1.6</v>
      </c>
      <c r="H826" t="s">
        <v>72</v>
      </c>
      <c r="I826" t="s">
        <v>75</v>
      </c>
      <c r="J826" t="s">
        <v>95</v>
      </c>
      <c r="K826" t="s">
        <v>79</v>
      </c>
      <c r="L826" t="s">
        <v>79</v>
      </c>
      <c r="M826">
        <v>2.2404571428571427</v>
      </c>
      <c r="N826" s="5">
        <v>45002</v>
      </c>
      <c r="O826" s="5">
        <v>45040</v>
      </c>
      <c r="P826">
        <v>1</v>
      </c>
      <c r="Q826" s="4">
        <v>206</v>
      </c>
      <c r="R826">
        <v>0.19</v>
      </c>
      <c r="S826" t="s">
        <v>70</v>
      </c>
      <c r="T826" s="6">
        <v>5</v>
      </c>
      <c r="U826" s="5">
        <v>45175</v>
      </c>
      <c r="V826" s="6">
        <v>1</v>
      </c>
      <c r="W826" t="s">
        <v>86</v>
      </c>
      <c r="X826" s="6">
        <v>135</v>
      </c>
      <c r="Y826">
        <v>24.595490000000002</v>
      </c>
      <c r="Z826">
        <v>12.944994736842107</v>
      </c>
      <c r="AA826" s="6">
        <v>25.198481510228092</v>
      </c>
      <c r="AB826" s="4">
        <v>61.976900000000001</v>
      </c>
      <c r="AC826" s="6">
        <v>39.684930998484923</v>
      </c>
      <c r="AD826">
        <v>0.38845614000000001</v>
      </c>
      <c r="AE826">
        <v>1.7926294452600622</v>
      </c>
      <c r="AF826">
        <v>43750</v>
      </c>
      <c r="AG826" s="4">
        <v>0</v>
      </c>
      <c r="AH826" s="4">
        <v>98020</v>
      </c>
      <c r="AL826">
        <v>19</v>
      </c>
      <c r="AM826">
        <v>12.416889999999999</v>
      </c>
      <c r="AN826" t="s">
        <v>81</v>
      </c>
      <c r="AO826" t="s">
        <v>215</v>
      </c>
      <c r="AP826" s="5">
        <v>45040</v>
      </c>
      <c r="AQ826" t="s">
        <v>102</v>
      </c>
      <c r="AR826" s="5">
        <v>45174</v>
      </c>
      <c r="AS826">
        <v>212.05028035627674</v>
      </c>
      <c r="AT826" s="6"/>
      <c r="AU826">
        <v>16.26314417805866</v>
      </c>
      <c r="AV826">
        <v>63.054840541904206</v>
      </c>
      <c r="AW826">
        <v>19.435766882465035</v>
      </c>
      <c r="AX826">
        <v>98.753751602427883</v>
      </c>
      <c r="AY826">
        <v>14.065335961999537</v>
      </c>
      <c r="AZ826">
        <v>47.745937974807575</v>
      </c>
      <c r="BA826">
        <v>8.8754739181858149</v>
      </c>
      <c r="BB826">
        <v>6.3120852644122971</v>
      </c>
      <c r="BC826">
        <v>8.053032486850233</v>
      </c>
      <c r="BD826">
        <v>85.051865606255461</v>
      </c>
      <c r="BE826">
        <v>28.2446631475934</v>
      </c>
      <c r="BF826">
        <v>8.198018823776227</v>
      </c>
      <c r="BH826">
        <v>8.198018823776227</v>
      </c>
      <c r="BI826">
        <v>192.00363603245964</v>
      </c>
      <c r="BJ826" s="6">
        <v>214</v>
      </c>
      <c r="BK826">
        <v>20.046644323817127</v>
      </c>
      <c r="BL826" s="4">
        <v>493.057040000001</v>
      </c>
      <c r="BM826" t="s">
        <v>826</v>
      </c>
      <c r="BN826" t="s">
        <v>65</v>
      </c>
      <c r="BO826">
        <v>9</v>
      </c>
      <c r="BP826">
        <v>2023</v>
      </c>
      <c r="BQ826" t="str">
        <f t="shared" si="61"/>
        <v>SR19</v>
      </c>
      <c r="BR826">
        <f t="shared" si="62"/>
        <v>541.01134999999931</v>
      </c>
      <c r="BS826">
        <f t="shared" si="63"/>
        <v>5215.4805500000011</v>
      </c>
      <c r="BT826" s="6">
        <f t="shared" si="64"/>
        <v>21.996363967540361</v>
      </c>
    </row>
    <row r="827" spans="1:72">
      <c r="A827" s="3" t="s">
        <v>631</v>
      </c>
      <c r="B827" s="3" t="s">
        <v>760</v>
      </c>
      <c r="C827" s="3" t="s">
        <v>798</v>
      </c>
      <c r="D827" s="2" t="s">
        <v>817</v>
      </c>
      <c r="E827" s="4" t="str">
        <f t="shared" si="60"/>
        <v>SR1C1-059-0036</v>
      </c>
      <c r="F827">
        <v>3</v>
      </c>
      <c r="G827">
        <v>1.6</v>
      </c>
      <c r="H827" t="s">
        <v>72</v>
      </c>
      <c r="I827" t="s">
        <v>75</v>
      </c>
      <c r="J827" t="s">
        <v>95</v>
      </c>
      <c r="K827" t="s">
        <v>79</v>
      </c>
      <c r="L827" t="s">
        <v>79</v>
      </c>
      <c r="M827">
        <v>2.6575788402848421</v>
      </c>
      <c r="N827" s="5">
        <v>45002</v>
      </c>
      <c r="O827" s="5">
        <v>45020</v>
      </c>
      <c r="P827">
        <v>1.47</v>
      </c>
      <c r="Q827" s="4">
        <v>191</v>
      </c>
      <c r="R827">
        <v>0.441</v>
      </c>
      <c r="S827" t="s">
        <v>70</v>
      </c>
      <c r="T827" s="6">
        <v>4</v>
      </c>
      <c r="U827" s="5">
        <v>45136</v>
      </c>
      <c r="V827" s="6">
        <v>1</v>
      </c>
      <c r="W827" t="s">
        <v>86</v>
      </c>
      <c r="X827" s="6">
        <v>116</v>
      </c>
      <c r="Y827">
        <v>26.795669999999998</v>
      </c>
      <c r="Z827">
        <v>8.9318899999999992</v>
      </c>
      <c r="AA827" s="6">
        <v>29.198302561570582</v>
      </c>
      <c r="AB827" s="4">
        <v>53.223678911564619</v>
      </c>
      <c r="AC827" s="6">
        <v>34.248566261387829</v>
      </c>
      <c r="AD827">
        <v>0.37101086999999999</v>
      </c>
      <c r="AE827">
        <v>1.8797229712855585</v>
      </c>
      <c r="AF827">
        <v>49150</v>
      </c>
      <c r="AG827" s="4">
        <v>0</v>
      </c>
      <c r="AH827" s="4">
        <v>130620</v>
      </c>
      <c r="AL827">
        <v>23</v>
      </c>
      <c r="AM827">
        <v>7.4670200000000007</v>
      </c>
      <c r="AN827" t="s">
        <v>81</v>
      </c>
      <c r="AO827" t="s">
        <v>92</v>
      </c>
      <c r="AP827" s="5">
        <v>45020</v>
      </c>
      <c r="AQ827" t="s">
        <v>90</v>
      </c>
      <c r="AR827" s="5">
        <v>45134</v>
      </c>
      <c r="AS827">
        <v>197.42726306153196</v>
      </c>
      <c r="AT827" s="6"/>
      <c r="AU827">
        <v>23.25002509733849</v>
      </c>
      <c r="AV827">
        <v>64.602980257631174</v>
      </c>
      <c r="AW827">
        <v>20.874699904872688</v>
      </c>
      <c r="AX827">
        <v>108.72770525984234</v>
      </c>
      <c r="AY827">
        <v>15.702026857324338</v>
      </c>
      <c r="AZ827">
        <v>50.755664254709814</v>
      </c>
      <c r="BA827">
        <v>8.7285359910761695</v>
      </c>
      <c r="BB827">
        <v>5.1565237965686244</v>
      </c>
      <c r="BC827">
        <v>8.9917292607350383</v>
      </c>
      <c r="BD827">
        <v>89.334480160413989</v>
      </c>
      <c r="BE827">
        <v>-0.63492235872436709</v>
      </c>
      <c r="BF827">
        <v>6.2312358675860695</v>
      </c>
      <c r="BH827">
        <v>6.2312358675860695</v>
      </c>
      <c r="BI827">
        <v>204.29342128784239</v>
      </c>
      <c r="BJ827" s="6">
        <v>200</v>
      </c>
      <c r="BK827">
        <v>-6.8661582263104304</v>
      </c>
      <c r="BL827" s="4">
        <v>-183.98330999999959</v>
      </c>
      <c r="BM827" t="s">
        <v>818</v>
      </c>
      <c r="BN827" t="s">
        <v>65</v>
      </c>
      <c r="BO827">
        <v>7</v>
      </c>
      <c r="BP827">
        <v>2023</v>
      </c>
      <c r="BQ827" t="str">
        <f t="shared" si="61"/>
        <v>SR17</v>
      </c>
      <c r="BR827">
        <f t="shared" si="62"/>
        <v>-115.04509999999974</v>
      </c>
      <c r="BS827">
        <f t="shared" si="63"/>
        <v>5290.1957899999998</v>
      </c>
      <c r="BT827" s="6">
        <f t="shared" si="64"/>
        <v>-4.2934212878423921</v>
      </c>
    </row>
    <row r="828" spans="1:72">
      <c r="A828" s="3" t="s">
        <v>631</v>
      </c>
      <c r="B828" s="3" t="s">
        <v>760</v>
      </c>
      <c r="C828" s="3" t="s">
        <v>798</v>
      </c>
      <c r="D828" s="2" t="s">
        <v>821</v>
      </c>
      <c r="E828" s="4" t="str">
        <f t="shared" si="60"/>
        <v>SR1D1-068-0006</v>
      </c>
      <c r="F828">
        <v>1.6</v>
      </c>
      <c r="G828">
        <v>1.6</v>
      </c>
      <c r="H828" t="s">
        <v>72</v>
      </c>
      <c r="I828" t="s">
        <v>75</v>
      </c>
      <c r="J828" t="s">
        <v>95</v>
      </c>
      <c r="K828" t="s">
        <v>79</v>
      </c>
      <c r="L828" t="s">
        <v>79</v>
      </c>
      <c r="M828">
        <v>2.6650415512465373</v>
      </c>
      <c r="N828" s="5">
        <v>45002</v>
      </c>
      <c r="O828" s="5">
        <v>45042</v>
      </c>
      <c r="P828">
        <v>0.8</v>
      </c>
      <c r="Q828" s="4">
        <v>195</v>
      </c>
      <c r="R828">
        <v>0.19</v>
      </c>
      <c r="S828" t="s">
        <v>70</v>
      </c>
      <c r="T828" s="6">
        <v>5</v>
      </c>
      <c r="U828" s="5">
        <v>45194</v>
      </c>
      <c r="V828" s="6">
        <v>1</v>
      </c>
      <c r="W828" t="s">
        <v>86</v>
      </c>
      <c r="X828" s="6">
        <v>152</v>
      </c>
      <c r="Y828">
        <v>25.064509999999999</v>
      </c>
      <c r="Z828">
        <v>15.665318749999999</v>
      </c>
      <c r="AA828" s="6">
        <v>26.048226755679647</v>
      </c>
      <c r="AB828" s="4">
        <v>81.610754999999997</v>
      </c>
      <c r="AC828" s="6">
        <v>38.390329191293475</v>
      </c>
      <c r="AD828">
        <v>0.364247076</v>
      </c>
      <c r="AE828">
        <v>1.8113367805932274</v>
      </c>
      <c r="AF828">
        <v>45125</v>
      </c>
      <c r="AG828" s="4">
        <v>0</v>
      </c>
      <c r="AH828" s="4">
        <v>120260</v>
      </c>
      <c r="AL828">
        <v>18</v>
      </c>
      <c r="AM828">
        <v>7.6677700000000009</v>
      </c>
      <c r="AN828" t="s">
        <v>81</v>
      </c>
      <c r="AO828" t="s">
        <v>215</v>
      </c>
      <c r="AP828" s="5">
        <v>45042</v>
      </c>
      <c r="AQ828" t="s">
        <v>90</v>
      </c>
      <c r="AR828" s="5">
        <v>45193</v>
      </c>
      <c r="AS828">
        <v>216.52741984582983</v>
      </c>
      <c r="AT828" s="6"/>
      <c r="AU828">
        <v>12.767055888984073</v>
      </c>
      <c r="AV828">
        <v>62.719896778353139</v>
      </c>
      <c r="AW828">
        <v>19.838335957894252</v>
      </c>
      <c r="AX828">
        <v>95.32528862523148</v>
      </c>
      <c r="AY828">
        <v>21.710629491659724</v>
      </c>
      <c r="AZ828">
        <v>25.298078438397564</v>
      </c>
      <c r="BA828">
        <v>14.919359684270699</v>
      </c>
      <c r="BB828">
        <v>6.5097953241455757</v>
      </c>
      <c r="BC828">
        <v>10.834499058629111</v>
      </c>
      <c r="BD828">
        <v>79.272361997102678</v>
      </c>
      <c r="BE828">
        <v>41.929769223495668</v>
      </c>
      <c r="BF828">
        <v>6.7753157751737412</v>
      </c>
      <c r="BH828">
        <v>6.7753157751737412</v>
      </c>
      <c r="BI828">
        <v>181.37296639750789</v>
      </c>
      <c r="BJ828" s="6">
        <v>210</v>
      </c>
      <c r="BK828">
        <v>35.154453448321931</v>
      </c>
      <c r="BL828" s="4">
        <v>881.12914999999941</v>
      </c>
      <c r="BM828" t="s">
        <v>822</v>
      </c>
      <c r="BN828" t="s">
        <v>65</v>
      </c>
      <c r="BO828">
        <v>9</v>
      </c>
      <c r="BP828">
        <v>2023</v>
      </c>
      <c r="BQ828" t="str">
        <f t="shared" si="61"/>
        <v>SR19</v>
      </c>
      <c r="BR828">
        <f t="shared" si="62"/>
        <v>717.5225699999994</v>
      </c>
      <c r="BS828">
        <f t="shared" si="63"/>
        <v>5427.1536799999994</v>
      </c>
      <c r="BT828" s="6">
        <f t="shared" si="64"/>
        <v>28.627033602492105</v>
      </c>
    </row>
    <row r="829" spans="1:72">
      <c r="A829" s="3" t="s">
        <v>631</v>
      </c>
      <c r="B829" s="3" t="s">
        <v>760</v>
      </c>
      <c r="C829" s="3" t="s">
        <v>798</v>
      </c>
      <c r="D829" s="2" t="s">
        <v>813</v>
      </c>
      <c r="E829" s="4" t="str">
        <f t="shared" si="60"/>
        <v>SR1D1-067-0005</v>
      </c>
      <c r="F829">
        <v>2.5</v>
      </c>
      <c r="G829">
        <v>1.6</v>
      </c>
      <c r="H829" t="s">
        <v>72</v>
      </c>
      <c r="I829" t="s">
        <v>75</v>
      </c>
      <c r="J829" t="s">
        <v>95</v>
      </c>
      <c r="K829" t="s">
        <v>79</v>
      </c>
      <c r="L829" t="s">
        <v>79</v>
      </c>
      <c r="M829">
        <v>2.1993127147766325</v>
      </c>
      <c r="N829" s="5">
        <v>45071</v>
      </c>
      <c r="O829" s="5">
        <v>45083</v>
      </c>
      <c r="P829">
        <v>1.2</v>
      </c>
      <c r="Q829" s="4">
        <v>188</v>
      </c>
      <c r="R829">
        <v>0.41</v>
      </c>
      <c r="S829" t="s">
        <v>70</v>
      </c>
      <c r="T829" s="6">
        <v>3</v>
      </c>
      <c r="U829" s="5">
        <v>45180</v>
      </c>
      <c r="V829" s="6">
        <v>1</v>
      </c>
      <c r="W829" t="s">
        <v>86</v>
      </c>
      <c r="X829" s="6">
        <v>97</v>
      </c>
      <c r="Y829">
        <v>17.734389999999998</v>
      </c>
      <c r="Z829">
        <v>7.0937559999999991</v>
      </c>
      <c r="AA829" s="6">
        <v>30.641764391106772</v>
      </c>
      <c r="AB829" s="4">
        <v>45.284416666666665</v>
      </c>
      <c r="AC829" s="6">
        <v>32.635196434387836</v>
      </c>
      <c r="AD829">
        <v>0.36396170799999999</v>
      </c>
      <c r="AE829">
        <v>2.1096263337043184</v>
      </c>
      <c r="AF829">
        <v>36375</v>
      </c>
      <c r="AG829" s="4">
        <v>0</v>
      </c>
      <c r="AH829" s="4">
        <v>80000</v>
      </c>
      <c r="AL829">
        <v>28</v>
      </c>
      <c r="AM829">
        <v>9.9383900000000001</v>
      </c>
      <c r="AN829" t="s">
        <v>81</v>
      </c>
      <c r="AO829" t="s">
        <v>102</v>
      </c>
      <c r="AP829" s="5">
        <v>45083</v>
      </c>
      <c r="AQ829" t="s">
        <v>90</v>
      </c>
      <c r="AR829" s="5">
        <v>45179</v>
      </c>
      <c r="AS829">
        <v>179.65342760591147</v>
      </c>
      <c r="AT829" s="6"/>
      <c r="AU829">
        <v>30.449313452563072</v>
      </c>
      <c r="AV829">
        <v>74.011026034726882</v>
      </c>
      <c r="AW829">
        <v>22.681977220530282</v>
      </c>
      <c r="AX829">
        <v>127.14231670782021</v>
      </c>
      <c r="AY829">
        <v>15.843422299836645</v>
      </c>
      <c r="AZ829">
        <v>30.034863336150835</v>
      </c>
      <c r="BA829">
        <v>14.442217634776275</v>
      </c>
      <c r="BB829">
        <v>4.059724072832501</v>
      </c>
      <c r="BC829">
        <v>11.543037567122409</v>
      </c>
      <c r="BD829">
        <v>75.923264910718672</v>
      </c>
      <c r="BE829">
        <v>-23.412154012627411</v>
      </c>
      <c r="BF829">
        <v>6.3315873847366611</v>
      </c>
      <c r="BH829">
        <v>6.3315873847366611</v>
      </c>
      <c r="BI829">
        <v>209.39716900327556</v>
      </c>
      <c r="BJ829" s="6">
        <v>197</v>
      </c>
      <c r="BK829">
        <v>-29.743741397364097</v>
      </c>
      <c r="BL829" s="4">
        <v>-527.48710999999992</v>
      </c>
      <c r="BM829" t="s">
        <v>814</v>
      </c>
      <c r="BN829" t="s">
        <v>65</v>
      </c>
      <c r="BO829">
        <v>9</v>
      </c>
      <c r="BP829">
        <v>2023</v>
      </c>
      <c r="BQ829" t="str">
        <f t="shared" si="61"/>
        <v>SR19</v>
      </c>
      <c r="BR829">
        <f t="shared" si="62"/>
        <v>-219.85623000000012</v>
      </c>
      <c r="BS829">
        <f t="shared" si="63"/>
        <v>3186.0439499999998</v>
      </c>
      <c r="BT829" s="6">
        <f t="shared" si="64"/>
        <v>-12.397169003275565</v>
      </c>
    </row>
    <row r="830" spans="1:72">
      <c r="A830" s="3" t="s">
        <v>631</v>
      </c>
      <c r="B830" s="3" t="s">
        <v>760</v>
      </c>
      <c r="C830" s="3" t="s">
        <v>798</v>
      </c>
      <c r="D830" s="2" t="s">
        <v>811</v>
      </c>
      <c r="E830" s="4" t="str">
        <f t="shared" si="60"/>
        <v>SR1C1-051-0032</v>
      </c>
      <c r="F830">
        <v>3.6</v>
      </c>
      <c r="G830">
        <v>1.6</v>
      </c>
      <c r="H830" t="s">
        <v>72</v>
      </c>
      <c r="I830" t="s">
        <v>75</v>
      </c>
      <c r="J830" t="s">
        <v>112</v>
      </c>
      <c r="K830" t="s">
        <v>79</v>
      </c>
      <c r="L830" t="s">
        <v>79</v>
      </c>
      <c r="M830">
        <v>2.4543165467625898</v>
      </c>
      <c r="N830" s="5">
        <v>45002</v>
      </c>
      <c r="O830" s="5">
        <v>45040</v>
      </c>
      <c r="P830">
        <v>1.2</v>
      </c>
      <c r="Q830" s="4">
        <v>130</v>
      </c>
      <c r="R830">
        <v>0.32</v>
      </c>
      <c r="S830" t="s">
        <v>70</v>
      </c>
      <c r="T830" s="6">
        <v>3</v>
      </c>
      <c r="U830" s="5">
        <v>45153</v>
      </c>
      <c r="V830" s="6">
        <v>1</v>
      </c>
      <c r="W830" t="s">
        <v>86</v>
      </c>
      <c r="X830" s="6">
        <v>113</v>
      </c>
      <c r="Y830">
        <v>32.824800000000003</v>
      </c>
      <c r="Z830">
        <v>9.1180000000000003</v>
      </c>
      <c r="AA830" s="6">
        <v>31.521806682752064</v>
      </c>
      <c r="AB830" s="4">
        <v>86.22475</v>
      </c>
      <c r="AC830" s="6">
        <v>31.724069945114369</v>
      </c>
      <c r="AD830">
        <v>0.337535739</v>
      </c>
      <c r="AE830">
        <v>1.7138911494167837</v>
      </c>
      <c r="AF830">
        <v>55600</v>
      </c>
      <c r="AG830" s="4">
        <v>0</v>
      </c>
      <c r="AH830" s="4">
        <v>136460</v>
      </c>
      <c r="AL830">
        <v>26</v>
      </c>
      <c r="AM830">
        <v>16.75291</v>
      </c>
      <c r="AN830" t="s">
        <v>81</v>
      </c>
      <c r="AO830" t="s">
        <v>93</v>
      </c>
      <c r="AP830" s="5">
        <v>45040</v>
      </c>
      <c r="AQ830" t="s">
        <v>90</v>
      </c>
      <c r="AR830" s="5">
        <v>45152</v>
      </c>
      <c r="AS830">
        <v>178.07717183349172</v>
      </c>
      <c r="AT830" s="6"/>
      <c r="AU830">
        <v>14.62308985888718</v>
      </c>
      <c r="AV830">
        <v>60.185275767102922</v>
      </c>
      <c r="AW830">
        <v>22.071347883307737</v>
      </c>
      <c r="AX830">
        <v>96.879713509297829</v>
      </c>
      <c r="AY830">
        <v>17.285983159074842</v>
      </c>
      <c r="AZ830">
        <v>57.592786856279389</v>
      </c>
      <c r="BA830">
        <v>10.131149009285661</v>
      </c>
      <c r="BB830">
        <v>6.6978903146401505</v>
      </c>
      <c r="BC830">
        <v>9.9428572298993441</v>
      </c>
      <c r="BD830">
        <v>101.65066656917939</v>
      </c>
      <c r="BE830">
        <v>-20.453208244985504</v>
      </c>
      <c r="BF830">
        <v>8.4876977163607989</v>
      </c>
      <c r="BH830">
        <v>8.4876977163607989</v>
      </c>
      <c r="BI830">
        <v>207.01807779483804</v>
      </c>
      <c r="BJ830" s="6">
        <v>194</v>
      </c>
      <c r="BK830">
        <v>-28.940905961346303</v>
      </c>
      <c r="BL830" s="4">
        <v>-949.97945000000016</v>
      </c>
      <c r="BM830" t="s">
        <v>812</v>
      </c>
      <c r="BN830" t="s">
        <v>65</v>
      </c>
      <c r="BO830">
        <v>8</v>
      </c>
      <c r="BP830">
        <v>2023</v>
      </c>
      <c r="BQ830" t="str">
        <f t="shared" si="61"/>
        <v>SR18</v>
      </c>
      <c r="BR830">
        <f t="shared" si="62"/>
        <v>-427.31579999999957</v>
      </c>
      <c r="BS830">
        <f t="shared" si="63"/>
        <v>5845.3475499999995</v>
      </c>
      <c r="BT830" s="6">
        <f t="shared" si="64"/>
        <v>-13.018077794838035</v>
      </c>
    </row>
    <row r="831" spans="1:72">
      <c r="A831" s="3" t="s">
        <v>631</v>
      </c>
      <c r="B831" s="3" t="s">
        <v>760</v>
      </c>
      <c r="C831" s="3" t="s">
        <v>798</v>
      </c>
      <c r="D831" s="2" t="s">
        <v>823</v>
      </c>
      <c r="E831" s="4" t="str">
        <f t="shared" si="60"/>
        <v>SR1C1-060-0035</v>
      </c>
      <c r="F831">
        <v>3</v>
      </c>
      <c r="G831">
        <v>1.6</v>
      </c>
      <c r="H831" t="s">
        <v>72</v>
      </c>
      <c r="I831" t="s">
        <v>75</v>
      </c>
      <c r="J831" t="s">
        <v>95</v>
      </c>
      <c r="K831" t="s">
        <v>79</v>
      </c>
      <c r="L831" t="s">
        <v>79</v>
      </c>
      <c r="M831">
        <v>3.7526284701712935</v>
      </c>
      <c r="N831" s="5">
        <v>44857</v>
      </c>
      <c r="O831" s="5">
        <v>44858</v>
      </c>
      <c r="P831">
        <v>1.0900000000000001</v>
      </c>
      <c r="Q831" s="4">
        <v>142</v>
      </c>
      <c r="R831">
        <v>0.92900000000000005</v>
      </c>
      <c r="S831" t="s">
        <v>70</v>
      </c>
      <c r="T831" s="6">
        <v>3</v>
      </c>
      <c r="U831" s="5">
        <v>44980</v>
      </c>
      <c r="V831" s="6">
        <v>1</v>
      </c>
      <c r="W831" t="s">
        <v>86</v>
      </c>
      <c r="X831" s="6">
        <v>122</v>
      </c>
      <c r="Y831">
        <v>19.678650000000001</v>
      </c>
      <c r="Z831">
        <v>6.5595500000000007</v>
      </c>
      <c r="AA831" s="6">
        <v>25.752020590843372</v>
      </c>
      <c r="AB831" s="4">
        <v>46.492201834862385</v>
      </c>
      <c r="AC831" s="6">
        <v>38.831904334356167</v>
      </c>
      <c r="AD831">
        <v>0.32025409799999999</v>
      </c>
      <c r="AE831">
        <v>2.2675099178446199</v>
      </c>
      <c r="AF831">
        <v>42325</v>
      </c>
      <c r="AG831" s="4">
        <v>0</v>
      </c>
      <c r="AH831" s="4">
        <v>158830</v>
      </c>
      <c r="AL831">
        <v>25</v>
      </c>
      <c r="AM831">
        <v>6.1775600000000006</v>
      </c>
      <c r="AN831" t="s">
        <v>126</v>
      </c>
      <c r="AO831" t="s">
        <v>105</v>
      </c>
      <c r="AP831" s="5">
        <v>44860</v>
      </c>
      <c r="AQ831" t="s">
        <v>105</v>
      </c>
      <c r="AR831" s="5">
        <v>44978</v>
      </c>
      <c r="AS831">
        <v>300.90782802682099</v>
      </c>
      <c r="AT831" s="6"/>
      <c r="AU831">
        <v>29.321117048171494</v>
      </c>
      <c r="AV831">
        <v>71.645464500867718</v>
      </c>
      <c r="AW831">
        <v>27.402819299088108</v>
      </c>
      <c r="AX831">
        <v>128.3694008481273</v>
      </c>
      <c r="AY831">
        <v>28.742427453102721</v>
      </c>
      <c r="AZ831">
        <v>54.746599487261577</v>
      </c>
      <c r="BA831">
        <v>32.396390504429938</v>
      </c>
      <c r="BB831">
        <v>13.404513520998643</v>
      </c>
      <c r="BC831">
        <v>9.0114164335459979</v>
      </c>
      <c r="BD831">
        <v>138.30134739933888</v>
      </c>
      <c r="BE831">
        <v>34.237079779354815</v>
      </c>
      <c r="BF831">
        <v>8.5497714528181561</v>
      </c>
      <c r="BH831">
        <v>8.5497714528181561</v>
      </c>
      <c r="BI831">
        <v>275.22051970028429</v>
      </c>
      <c r="BJ831" s="6">
        <v>214</v>
      </c>
      <c r="BK831">
        <v>25.687308326536712</v>
      </c>
      <c r="BL831" s="4">
        <v>505.49155000000167</v>
      </c>
      <c r="BM831" t="s">
        <v>824</v>
      </c>
      <c r="BN831" t="s">
        <v>65</v>
      </c>
      <c r="BO831">
        <v>2</v>
      </c>
      <c r="BP831">
        <v>2023</v>
      </c>
      <c r="BQ831" t="str">
        <f t="shared" si="61"/>
        <v>SR12</v>
      </c>
      <c r="BR831">
        <f t="shared" si="62"/>
        <v>-1204.7371799999994</v>
      </c>
      <c r="BS831">
        <f t="shared" si="63"/>
        <v>5921.4598300000016</v>
      </c>
      <c r="BT831" s="6">
        <f t="shared" si="64"/>
        <v>-61.220519700284285</v>
      </c>
    </row>
    <row r="832" spans="1:72">
      <c r="A832" s="3" t="s">
        <v>631</v>
      </c>
      <c r="B832" s="3" t="s">
        <v>760</v>
      </c>
      <c r="C832" s="3" t="s">
        <v>798</v>
      </c>
      <c r="D832" s="2" t="s">
        <v>2803</v>
      </c>
      <c r="E832" s="4" t="str">
        <f t="shared" si="60"/>
        <v>SR1C1-060-0036</v>
      </c>
      <c r="F832">
        <v>3</v>
      </c>
      <c r="G832">
        <v>1.6</v>
      </c>
      <c r="H832" t="s">
        <v>72</v>
      </c>
      <c r="I832" t="s">
        <v>75</v>
      </c>
      <c r="J832" t="s">
        <v>95</v>
      </c>
      <c r="K832" t="s">
        <v>79</v>
      </c>
      <c r="L832" t="s">
        <v>79</v>
      </c>
      <c r="M832">
        <v>1.5470613844144536</v>
      </c>
      <c r="N832" s="5">
        <v>45154</v>
      </c>
      <c r="O832" s="5">
        <v>45164</v>
      </c>
      <c r="P832">
        <v>1.5</v>
      </c>
      <c r="Q832" s="4">
        <v>195</v>
      </c>
      <c r="R832">
        <v>0.34</v>
      </c>
      <c r="S832" t="s">
        <v>70</v>
      </c>
      <c r="T832" s="6">
        <v>6</v>
      </c>
      <c r="U832" s="5">
        <v>45273</v>
      </c>
      <c r="V832" s="6">
        <v>1</v>
      </c>
      <c r="W832" t="s">
        <v>86</v>
      </c>
      <c r="X832" s="6">
        <v>108.99999999999999</v>
      </c>
      <c r="Y832">
        <v>29.627040000000001</v>
      </c>
      <c r="Z832">
        <v>9.8756800000000009</v>
      </c>
      <c r="AA832" s="6">
        <v>34.017539382942068</v>
      </c>
      <c r="AB832" s="4">
        <v>67.189266666666668</v>
      </c>
      <c r="AC832" s="6">
        <v>29.396600052190877</v>
      </c>
      <c r="AD832">
        <v>0.31323631800000001</v>
      </c>
      <c r="AE832">
        <v>1.9722128348211219</v>
      </c>
      <c r="AF832">
        <v>57425</v>
      </c>
      <c r="AG832" s="4">
        <v>0</v>
      </c>
      <c r="AH832" s="4">
        <v>88840</v>
      </c>
      <c r="AL832">
        <v>29</v>
      </c>
      <c r="AM832">
        <v>6.0187299999999997</v>
      </c>
      <c r="AN832" t="s">
        <v>81</v>
      </c>
      <c r="AO832" t="s">
        <v>102</v>
      </c>
      <c r="AP832" s="5">
        <v>45164</v>
      </c>
      <c r="AQ832" t="s">
        <v>101</v>
      </c>
      <c r="AR832" s="5">
        <v>45272</v>
      </c>
      <c r="AS832">
        <v>207.43267265308987</v>
      </c>
      <c r="AT832" s="6"/>
      <c r="AU832">
        <v>20.251770004698415</v>
      </c>
      <c r="AV832">
        <v>57.678458597281399</v>
      </c>
      <c r="AW832">
        <v>20.349583353585103</v>
      </c>
      <c r="AX832">
        <v>98.279811955564909</v>
      </c>
      <c r="AY832">
        <v>14.054147157461564</v>
      </c>
      <c r="AZ832">
        <v>31.657575309582057</v>
      </c>
      <c r="BA832">
        <v>8.3134231431827157</v>
      </c>
      <c r="BB832">
        <v>8.7386782479788749</v>
      </c>
      <c r="BC832">
        <v>9.953892120171302</v>
      </c>
      <c r="BD832">
        <v>72.717715978376518</v>
      </c>
      <c r="BE832">
        <v>36.43514471914844</v>
      </c>
      <c r="BF832">
        <v>10.322607995938847</v>
      </c>
      <c r="BH832">
        <v>10.322607995938847</v>
      </c>
      <c r="BI832">
        <v>181.32013592988025</v>
      </c>
      <c r="BJ832" s="6">
        <v>189</v>
      </c>
      <c r="BK832">
        <v>26.112536723209605</v>
      </c>
      <c r="BL832" s="4">
        <v>773.63716999999997</v>
      </c>
      <c r="BM832" t="s">
        <v>2804</v>
      </c>
      <c r="BN832" t="s">
        <v>65</v>
      </c>
      <c r="BO832">
        <v>12</v>
      </c>
      <c r="BP832">
        <v>2023</v>
      </c>
      <c r="BQ832" t="str">
        <f t="shared" si="61"/>
        <v>SR112</v>
      </c>
      <c r="BR832">
        <f t="shared" si="62"/>
        <v>227.53164000000061</v>
      </c>
      <c r="BS832">
        <f t="shared" si="63"/>
        <v>6145.6160899999995</v>
      </c>
      <c r="BT832" s="6">
        <f t="shared" si="64"/>
        <v>7.6798640701197485</v>
      </c>
    </row>
    <row r="833" spans="1:72">
      <c r="A833" s="3" t="s">
        <v>631</v>
      </c>
      <c r="B833" s="3" t="s">
        <v>760</v>
      </c>
      <c r="C833" s="3" t="s">
        <v>798</v>
      </c>
      <c r="D833" s="2" t="s">
        <v>815</v>
      </c>
      <c r="E833" s="4" t="str">
        <f t="shared" si="60"/>
        <v>SR1D1-067-0004</v>
      </c>
      <c r="F833">
        <v>2.5</v>
      </c>
      <c r="G833">
        <v>1.6</v>
      </c>
      <c r="H833" t="s">
        <v>72</v>
      </c>
      <c r="I833" t="s">
        <v>75</v>
      </c>
      <c r="J833" t="s">
        <v>95</v>
      </c>
      <c r="K833" t="s">
        <v>79</v>
      </c>
      <c r="L833" t="s">
        <v>79</v>
      </c>
      <c r="M833">
        <v>3.6713524804177546</v>
      </c>
      <c r="N833" s="5">
        <v>44834</v>
      </c>
      <c r="O833" s="5">
        <v>44847</v>
      </c>
      <c r="P833">
        <v>1.26</v>
      </c>
      <c r="Q833" s="4">
        <v>197</v>
      </c>
      <c r="R833">
        <v>1.0940000000000001</v>
      </c>
      <c r="S833" t="s">
        <v>70</v>
      </c>
      <c r="T833" s="6">
        <v>6</v>
      </c>
      <c r="U833" s="5">
        <v>44989</v>
      </c>
      <c r="V833" s="6">
        <v>1</v>
      </c>
      <c r="W833" t="s">
        <v>86</v>
      </c>
      <c r="X833" s="6">
        <v>142</v>
      </c>
      <c r="Y833">
        <v>20.570910000000001</v>
      </c>
      <c r="Z833">
        <v>8.2283640000000009</v>
      </c>
      <c r="AA833" s="6">
        <v>29.793334373637336</v>
      </c>
      <c r="AB833" s="4">
        <v>48.640952380952378</v>
      </c>
      <c r="AC833" s="6">
        <v>33.564554657059503</v>
      </c>
      <c r="AD833">
        <v>0.31239820699999998</v>
      </c>
      <c r="AE833">
        <v>2.4944626836198083</v>
      </c>
      <c r="AF833">
        <v>47875</v>
      </c>
      <c r="AG833" s="4">
        <v>0</v>
      </c>
      <c r="AH833" s="4">
        <v>175766</v>
      </c>
      <c r="AL833">
        <v>22</v>
      </c>
      <c r="AM833">
        <v>3.4096799999999998</v>
      </c>
      <c r="AN833" t="s">
        <v>81</v>
      </c>
      <c r="AO833" t="s">
        <v>106</v>
      </c>
      <c r="AP833" s="5">
        <v>44847</v>
      </c>
      <c r="AQ833" t="s">
        <v>92</v>
      </c>
      <c r="AR833" s="5">
        <v>44988</v>
      </c>
      <c r="AS833">
        <v>287.62097350092927</v>
      </c>
      <c r="AT833" s="6"/>
      <c r="AU833">
        <v>40.348239334088774</v>
      </c>
      <c r="AV833">
        <v>74.957316424018188</v>
      </c>
      <c r="AW833">
        <v>27.062390531094632</v>
      </c>
      <c r="AX833">
        <v>142.3679462892016</v>
      </c>
      <c r="AY833">
        <v>27.226084796443136</v>
      </c>
      <c r="AZ833">
        <v>28.550169632748378</v>
      </c>
      <c r="BA833">
        <v>21.355374166723788</v>
      </c>
      <c r="BB833">
        <v>23.564476729517555</v>
      </c>
      <c r="BC833">
        <v>18.202403296694214</v>
      </c>
      <c r="BD833">
        <v>118.89850862212707</v>
      </c>
      <c r="BE833">
        <v>26.354518589600602</v>
      </c>
      <c r="BF833">
        <v>8.4909573762171906</v>
      </c>
      <c r="BH833">
        <v>8.4909573762171906</v>
      </c>
      <c r="BI833">
        <v>269.75741228754583</v>
      </c>
      <c r="BJ833" s="6">
        <v>200</v>
      </c>
      <c r="BK833">
        <v>17.863561213383456</v>
      </c>
      <c r="BL833" s="4">
        <v>367.46971000000184</v>
      </c>
      <c r="BM833" t="s">
        <v>816</v>
      </c>
      <c r="BN833" t="s">
        <v>65</v>
      </c>
      <c r="BO833">
        <v>3</v>
      </c>
      <c r="BP833">
        <v>2023</v>
      </c>
      <c r="BQ833" t="str">
        <f t="shared" si="61"/>
        <v>SR13</v>
      </c>
      <c r="BR833">
        <f t="shared" si="62"/>
        <v>-1434.9734499999995</v>
      </c>
      <c r="BS833">
        <f t="shared" si="63"/>
        <v>5916.6251600000014</v>
      </c>
      <c r="BT833" s="6">
        <f t="shared" si="64"/>
        <v>-69.757412287545833</v>
      </c>
    </row>
    <row r="834" spans="1:72">
      <c r="A834" s="3" t="s">
        <v>631</v>
      </c>
      <c r="B834" s="3" t="s">
        <v>760</v>
      </c>
      <c r="C834" s="3" t="s">
        <v>798</v>
      </c>
      <c r="D834" s="2" t="s">
        <v>2882</v>
      </c>
      <c r="E834" s="4" t="str">
        <f t="shared" si="60"/>
        <v>SR1D1-062-0038</v>
      </c>
      <c r="F834">
        <v>3.2</v>
      </c>
      <c r="G834">
        <v>1.6</v>
      </c>
      <c r="H834" t="s">
        <v>72</v>
      </c>
      <c r="I834" t="s">
        <v>75</v>
      </c>
      <c r="N834" s="5">
        <v>45195</v>
      </c>
      <c r="O834" s="5">
        <v>45211</v>
      </c>
      <c r="P834">
        <v>1.5</v>
      </c>
      <c r="Q834" s="4">
        <v>183</v>
      </c>
      <c r="R834">
        <v>0.70199999999999996</v>
      </c>
      <c r="S834" t="s">
        <v>70</v>
      </c>
      <c r="T834" s="6">
        <v>2</v>
      </c>
      <c r="U834" s="5">
        <v>45287</v>
      </c>
      <c r="V834" s="6">
        <v>1</v>
      </c>
      <c r="W834" t="s">
        <v>86</v>
      </c>
      <c r="X834" s="6">
        <v>76</v>
      </c>
      <c r="Y834">
        <v>22.54616</v>
      </c>
      <c r="Z834">
        <v>7.0456750000000001</v>
      </c>
      <c r="AA834" s="6">
        <v>42.178401998389084</v>
      </c>
      <c r="AB834" s="4">
        <v>63.397400000000005</v>
      </c>
      <c r="AC834" s="6">
        <v>23.708816660199524</v>
      </c>
      <c r="AD834">
        <v>0.31168741999999999</v>
      </c>
      <c r="AE834">
        <v>1.9284774472820798</v>
      </c>
      <c r="AF834">
        <v>41450</v>
      </c>
      <c r="AG834" s="4"/>
      <c r="AH834" s="4"/>
      <c r="AL834">
        <v>41</v>
      </c>
      <c r="AM834">
        <v>15.9041</v>
      </c>
      <c r="AN834" t="s">
        <v>73</v>
      </c>
      <c r="AO834" t="s">
        <v>102</v>
      </c>
      <c r="AP834" s="5">
        <v>45211</v>
      </c>
      <c r="AQ834" t="s">
        <v>104</v>
      </c>
      <c r="AR834" s="5">
        <v>45286</v>
      </c>
      <c r="AS834">
        <v>197.16762056155019</v>
      </c>
      <c r="AT834" s="6"/>
      <c r="AU834">
        <v>33.819506292867608</v>
      </c>
      <c r="AV834">
        <v>54.729056300496389</v>
      </c>
      <c r="AW834">
        <v>20.875005765948604</v>
      </c>
      <c r="AX834">
        <v>109.4235683593126</v>
      </c>
      <c r="AY834">
        <v>10.927919876378061</v>
      </c>
      <c r="AZ834">
        <v>20.707013966014607</v>
      </c>
      <c r="BA834">
        <v>10.700793394529267</v>
      </c>
      <c r="BB834">
        <v>6.9359846643508227</v>
      </c>
      <c r="BC834">
        <v>11.902508453767737</v>
      </c>
      <c r="BD834">
        <v>61.174220355040497</v>
      </c>
      <c r="BE834">
        <v>26.569831847197101</v>
      </c>
      <c r="BF834">
        <v>5.1143551717897857</v>
      </c>
      <c r="BH834">
        <v>5.1143551717897857</v>
      </c>
      <c r="BI834">
        <v>175.71214388614291</v>
      </c>
      <c r="BJ834" s="6">
        <v>180</v>
      </c>
      <c r="BK834">
        <v>21.45547667540729</v>
      </c>
      <c r="BL834" s="4">
        <v>483.73861000000079</v>
      </c>
      <c r="BM834" t="s">
        <v>2883</v>
      </c>
      <c r="BN834" t="s">
        <v>65</v>
      </c>
      <c r="BO834">
        <v>12</v>
      </c>
      <c r="BP834">
        <v>2023</v>
      </c>
      <c r="BQ834" t="str">
        <f t="shared" si="61"/>
        <v>SR112</v>
      </c>
      <c r="BR834">
        <f t="shared" si="62"/>
        <v>96.67469000000014</v>
      </c>
      <c r="BS834">
        <f t="shared" si="63"/>
        <v>4445.3727200000003</v>
      </c>
      <c r="BT834" s="6">
        <f t="shared" si="64"/>
        <v>4.2878561138570888</v>
      </c>
    </row>
    <row r="835" spans="1:72">
      <c r="A835" s="3" t="s">
        <v>631</v>
      </c>
      <c r="B835" s="3" t="s">
        <v>760</v>
      </c>
      <c r="C835" s="3" t="s">
        <v>798</v>
      </c>
      <c r="D835" s="2" t="s">
        <v>807</v>
      </c>
      <c r="E835" s="4" t="str">
        <f t="shared" si="60"/>
        <v>SR1C1-061-0038</v>
      </c>
      <c r="F835">
        <v>1.9</v>
      </c>
      <c r="G835">
        <v>1.6</v>
      </c>
      <c r="H835" t="s">
        <v>72</v>
      </c>
      <c r="I835" t="s">
        <v>75</v>
      </c>
      <c r="J835" t="s">
        <v>95</v>
      </c>
      <c r="K835" t="s">
        <v>79</v>
      </c>
      <c r="L835" t="s">
        <v>79</v>
      </c>
      <c r="M835">
        <v>3.6527942925089181</v>
      </c>
      <c r="N835" s="5">
        <v>44862</v>
      </c>
      <c r="O835" s="5">
        <v>44873</v>
      </c>
      <c r="P835">
        <v>0.8</v>
      </c>
      <c r="Q835" s="4">
        <v>164</v>
      </c>
      <c r="R835">
        <v>0.76500000000000001</v>
      </c>
      <c r="S835" t="s">
        <v>70</v>
      </c>
      <c r="T835" s="6">
        <v>2</v>
      </c>
      <c r="U835" s="5">
        <v>44951</v>
      </c>
      <c r="V835" s="6">
        <v>1</v>
      </c>
      <c r="W835" t="s">
        <v>86</v>
      </c>
      <c r="X835" s="6">
        <v>78</v>
      </c>
      <c r="Y835">
        <v>13.56691</v>
      </c>
      <c r="Z835">
        <v>7.1404789473684218</v>
      </c>
      <c r="AA835" s="6">
        <v>47.999949878048874</v>
      </c>
      <c r="AB835" s="4">
        <v>81.401375000000002</v>
      </c>
      <c r="AC835" s="6">
        <v>20.833355087675116</v>
      </c>
      <c r="AD835">
        <v>0.25728632499999998</v>
      </c>
      <c r="AE835">
        <v>1.6229367861297377</v>
      </c>
      <c r="AF835">
        <v>21025</v>
      </c>
      <c r="AG835" s="4">
        <v>0</v>
      </c>
      <c r="AH835" s="4">
        <v>76800</v>
      </c>
      <c r="AL835">
        <v>48</v>
      </c>
      <c r="AM835">
        <v>1.5153599999999998</v>
      </c>
      <c r="AN835" t="s">
        <v>126</v>
      </c>
      <c r="AO835" t="s">
        <v>99</v>
      </c>
      <c r="AP835" s="5">
        <v>44873</v>
      </c>
      <c r="AQ835" t="s">
        <v>106</v>
      </c>
      <c r="AR835" s="5">
        <v>44949</v>
      </c>
      <c r="AS835">
        <v>217.91026401737761</v>
      </c>
      <c r="AT835" s="6"/>
      <c r="AU835">
        <v>30.95767569770862</v>
      </c>
      <c r="AV835">
        <v>50.450178412033409</v>
      </c>
      <c r="AW835">
        <v>20.464805176713046</v>
      </c>
      <c r="AX835">
        <v>101.87265928645508</v>
      </c>
      <c r="AY835">
        <v>17.473914104243338</v>
      </c>
      <c r="AZ835">
        <v>35.385055255765685</v>
      </c>
      <c r="BA835">
        <v>18.018622516107207</v>
      </c>
      <c r="BB835">
        <v>8.8327533683056796</v>
      </c>
      <c r="BC835">
        <v>5.6299312076220751</v>
      </c>
      <c r="BD835">
        <v>85.340276452043994</v>
      </c>
      <c r="BE835">
        <v>30.697328278878544</v>
      </c>
      <c r="BF835">
        <v>4.9845845516775737</v>
      </c>
      <c r="BH835">
        <v>4.9845845516775737</v>
      </c>
      <c r="BI835">
        <v>192.19752029017658</v>
      </c>
      <c r="BJ835" s="6">
        <v>170</v>
      </c>
      <c r="BK835">
        <v>25.71274372720103</v>
      </c>
      <c r="BL835" s="4">
        <v>348.84248000000093</v>
      </c>
      <c r="BM835" t="s">
        <v>808</v>
      </c>
      <c r="BN835" t="s">
        <v>65</v>
      </c>
      <c r="BO835">
        <v>1</v>
      </c>
      <c r="BP835">
        <v>2023</v>
      </c>
      <c r="BQ835" t="str">
        <f t="shared" si="61"/>
        <v>SR11</v>
      </c>
      <c r="BR835">
        <f t="shared" si="62"/>
        <v>-301.15175999999963</v>
      </c>
      <c r="BS835">
        <f t="shared" si="63"/>
        <v>2956.3689400000007</v>
      </c>
      <c r="BT835" s="6">
        <f t="shared" si="64"/>
        <v>-22.197520290176584</v>
      </c>
    </row>
    <row r="836" spans="1:72">
      <c r="A836" s="3" t="s">
        <v>631</v>
      </c>
      <c r="B836" s="3" t="s">
        <v>760</v>
      </c>
      <c r="C836" s="3" t="s">
        <v>798</v>
      </c>
      <c r="D836" s="2" t="s">
        <v>809</v>
      </c>
      <c r="E836" s="4" t="str">
        <f t="shared" ref="E836:E899" si="65">B836&amp;D836</f>
        <v>SR1C1-062-0037</v>
      </c>
      <c r="F836">
        <v>3.2</v>
      </c>
      <c r="G836">
        <v>1.6</v>
      </c>
      <c r="H836" t="s">
        <v>72</v>
      </c>
      <c r="I836" t="s">
        <v>75</v>
      </c>
      <c r="J836" t="s">
        <v>95</v>
      </c>
      <c r="K836" t="s">
        <v>79</v>
      </c>
      <c r="L836" t="s">
        <v>79</v>
      </c>
      <c r="M836">
        <v>3.357496740547588</v>
      </c>
      <c r="N836" s="5">
        <v>44879</v>
      </c>
      <c r="O836" s="5">
        <v>44886</v>
      </c>
      <c r="P836">
        <v>1.6</v>
      </c>
      <c r="Q836" s="4">
        <v>195</v>
      </c>
      <c r="R836">
        <v>0.84299999999999997</v>
      </c>
      <c r="S836" t="s">
        <v>70</v>
      </c>
      <c r="T836" s="6">
        <v>3</v>
      </c>
      <c r="U836" s="5">
        <v>44982</v>
      </c>
      <c r="V836" s="6">
        <v>1</v>
      </c>
      <c r="W836" t="s">
        <v>86</v>
      </c>
      <c r="X836" s="6">
        <v>96</v>
      </c>
      <c r="Y836">
        <v>17.713889999999999</v>
      </c>
      <c r="Z836">
        <v>5.5355906249999993</v>
      </c>
      <c r="AA836" s="6">
        <v>43.111761448219447</v>
      </c>
      <c r="AB836" s="4">
        <v>47.729812500000001</v>
      </c>
      <c r="AC836" s="6">
        <v>23.195526380917588</v>
      </c>
      <c r="AD836">
        <v>0.23923462300000001</v>
      </c>
      <c r="AE836">
        <v>2.343359981033144</v>
      </c>
      <c r="AF836">
        <v>38350</v>
      </c>
      <c r="AG836" s="4">
        <v>0</v>
      </c>
      <c r="AH836" s="4">
        <v>128760</v>
      </c>
      <c r="AL836">
        <v>42</v>
      </c>
      <c r="AM836">
        <v>2.4083200000000002</v>
      </c>
      <c r="AN836" t="s">
        <v>126</v>
      </c>
      <c r="AO836" t="s">
        <v>99</v>
      </c>
      <c r="AP836" s="5">
        <v>44887</v>
      </c>
      <c r="AQ836" t="s">
        <v>92</v>
      </c>
      <c r="AR836" s="5">
        <v>44980</v>
      </c>
      <c r="AS836">
        <v>221.97459225500441</v>
      </c>
      <c r="AT836" s="6"/>
      <c r="AU836">
        <v>36.556900827542691</v>
      </c>
      <c r="AV836">
        <v>75.532587139244967</v>
      </c>
      <c r="AW836">
        <v>23.780803651823511</v>
      </c>
      <c r="AX836">
        <v>135.87029161861116</v>
      </c>
      <c r="AY836">
        <v>21.396015781965453</v>
      </c>
      <c r="AZ836">
        <v>54.914283649723473</v>
      </c>
      <c r="BA836">
        <v>25.091139213351784</v>
      </c>
      <c r="BB836">
        <v>7.7368771060450303</v>
      </c>
      <c r="BC836">
        <v>7.3710698214790753</v>
      </c>
      <c r="BD836">
        <v>116.50938557256482</v>
      </c>
      <c r="BE836">
        <v>-30.405084936171576</v>
      </c>
      <c r="BF836">
        <v>6.8282398727778029</v>
      </c>
      <c r="BH836">
        <v>6.8282398727778029</v>
      </c>
      <c r="BI836">
        <v>259.20791706395369</v>
      </c>
      <c r="BJ836" s="6">
        <v>178</v>
      </c>
      <c r="BK836">
        <v>-37.233324808949284</v>
      </c>
      <c r="BL836" s="4">
        <v>-659.54701999999861</v>
      </c>
      <c r="BM836" t="s">
        <v>810</v>
      </c>
      <c r="BN836" t="s">
        <v>65</v>
      </c>
      <c r="BO836">
        <v>2</v>
      </c>
      <c r="BP836">
        <v>2023</v>
      </c>
      <c r="BQ836" t="str">
        <f t="shared" ref="BQ836:BQ899" si="66">B836&amp;BO836</f>
        <v>SR12</v>
      </c>
      <c r="BR836">
        <f t="shared" ref="BR836:BR899" si="67">BT836*Y836</f>
        <v>-1438.5081099999986</v>
      </c>
      <c r="BS836">
        <f t="shared" ref="BS836:BS899" si="68">Y836*AS836</f>
        <v>3932.0335099999998</v>
      </c>
      <c r="BT836" s="6">
        <f t="shared" ref="BT836:BT899" si="69">BJ836-BI836</f>
        <v>-81.207917063953687</v>
      </c>
    </row>
    <row r="837" spans="1:72">
      <c r="A837" s="3" t="s">
        <v>631</v>
      </c>
      <c r="B837" s="3" t="s">
        <v>760</v>
      </c>
      <c r="C837" s="3" t="s">
        <v>798</v>
      </c>
      <c r="D837" s="2" t="s">
        <v>805</v>
      </c>
      <c r="E837" s="4" t="str">
        <f t="shared" si="65"/>
        <v>SR1D1-066-0037</v>
      </c>
      <c r="F837">
        <v>3.4</v>
      </c>
      <c r="G837">
        <v>1.6</v>
      </c>
      <c r="H837" t="s">
        <v>72</v>
      </c>
      <c r="I837" t="s">
        <v>75</v>
      </c>
      <c r="J837" t="s">
        <v>95</v>
      </c>
      <c r="K837" t="s">
        <v>79</v>
      </c>
      <c r="L837" t="s">
        <v>79</v>
      </c>
      <c r="M837">
        <v>2.589486169356547</v>
      </c>
      <c r="N837" s="5">
        <v>44885</v>
      </c>
      <c r="O837" s="5">
        <v>44910</v>
      </c>
      <c r="P837">
        <v>2.1</v>
      </c>
      <c r="Q837" s="4">
        <v>241</v>
      </c>
      <c r="R837">
        <v>0.17799999999999999</v>
      </c>
      <c r="S837" t="s">
        <v>70</v>
      </c>
      <c r="T837" s="6">
        <v>1</v>
      </c>
      <c r="U837" s="5">
        <v>45015</v>
      </c>
      <c r="V837" s="6">
        <v>1</v>
      </c>
      <c r="W837" t="s">
        <v>86</v>
      </c>
      <c r="X837" s="6">
        <v>105</v>
      </c>
      <c r="Y837">
        <v>14.59531</v>
      </c>
      <c r="Z837">
        <v>4.2927382352941175</v>
      </c>
      <c r="AA837" s="6">
        <v>53.999949298781594</v>
      </c>
      <c r="AB837" s="4">
        <v>37.530761904761903</v>
      </c>
      <c r="AC837" s="6">
        <v>18.518535905783953</v>
      </c>
      <c r="AD837">
        <v>0.17467160500000001</v>
      </c>
      <c r="AE837">
        <v>1.6600296888437596</v>
      </c>
      <c r="AF837">
        <v>23607</v>
      </c>
      <c r="AG837" s="4">
        <v>1000</v>
      </c>
      <c r="AH837" s="4">
        <v>61130</v>
      </c>
      <c r="AL837">
        <v>54</v>
      </c>
      <c r="AM837">
        <v>14.59531</v>
      </c>
      <c r="AN837" t="s">
        <v>126</v>
      </c>
      <c r="AO837" t="s">
        <v>105</v>
      </c>
      <c r="AP837" s="5">
        <v>44910</v>
      </c>
      <c r="AQ837" t="s">
        <v>93</v>
      </c>
      <c r="AR837" s="5">
        <v>45014</v>
      </c>
      <c r="AS837">
        <v>158.44581855404235</v>
      </c>
      <c r="AT837" s="6"/>
      <c r="AU837">
        <v>42.479399204264922</v>
      </c>
      <c r="AV837">
        <v>59.880959705549238</v>
      </c>
      <c r="AW837">
        <v>37.246338721137136</v>
      </c>
      <c r="AX837">
        <v>139.60669763095132</v>
      </c>
      <c r="AY837">
        <v>37.277586430161477</v>
      </c>
      <c r="AZ837">
        <v>52.131308619001587</v>
      </c>
      <c r="BA837">
        <v>26.114121591113861</v>
      </c>
      <c r="BB837">
        <v>20.547158642056939</v>
      </c>
      <c r="BC837">
        <v>18.77262216424317</v>
      </c>
      <c r="BD837">
        <v>154.84279744657701</v>
      </c>
      <c r="BE837">
        <v>-136.00367652348598</v>
      </c>
      <c r="BF837">
        <v>9.7850288894172177</v>
      </c>
      <c r="BH837">
        <v>9.7850288894172177</v>
      </c>
      <c r="BI837">
        <v>304.23452396694552</v>
      </c>
      <c r="BJ837" s="6">
        <v>166</v>
      </c>
      <c r="BK837">
        <v>-145.78870541290317</v>
      </c>
      <c r="BL837" s="4">
        <v>-2127.8313499999995</v>
      </c>
      <c r="BM837" t="s">
        <v>806</v>
      </c>
      <c r="BN837" t="s">
        <v>65</v>
      </c>
      <c r="BO837">
        <v>3</v>
      </c>
      <c r="BP837">
        <v>2023</v>
      </c>
      <c r="BQ837" t="str">
        <f t="shared" si="66"/>
        <v>SR13</v>
      </c>
      <c r="BR837">
        <f t="shared" si="67"/>
        <v>-2017.5757299999996</v>
      </c>
      <c r="BS837">
        <f t="shared" si="68"/>
        <v>2312.5658399999998</v>
      </c>
      <c r="BT837" s="6">
        <f t="shared" si="69"/>
        <v>-138.23452396694552</v>
      </c>
    </row>
    <row r="838" spans="1:72">
      <c r="A838" s="3" t="s">
        <v>631</v>
      </c>
      <c r="B838" s="3" t="s">
        <v>760</v>
      </c>
      <c r="C838" s="3" t="s">
        <v>798</v>
      </c>
      <c r="D838" s="2" t="s">
        <v>804</v>
      </c>
      <c r="E838" s="4" t="str">
        <f t="shared" si="65"/>
        <v>SR1A1-027-0031</v>
      </c>
      <c r="F838">
        <v>3.78</v>
      </c>
      <c r="G838">
        <v>1.6</v>
      </c>
      <c r="H838" t="s">
        <v>72</v>
      </c>
      <c r="I838" t="s">
        <v>75</v>
      </c>
      <c r="J838" t="s">
        <v>112</v>
      </c>
      <c r="K838" t="s">
        <v>79</v>
      </c>
      <c r="L838" t="s">
        <v>79</v>
      </c>
      <c r="M838">
        <v>3.6986301369863015</v>
      </c>
      <c r="N838" s="5">
        <v>44882</v>
      </c>
      <c r="O838" s="5">
        <v>44893</v>
      </c>
      <c r="P838">
        <v>1.2</v>
      </c>
      <c r="Q838" s="4">
        <v>124</v>
      </c>
      <c r="R838">
        <v>1.0249999999999999</v>
      </c>
      <c r="S838" t="s">
        <v>70</v>
      </c>
      <c r="T838" s="6">
        <v>1</v>
      </c>
      <c r="U838" s="5">
        <v>44930</v>
      </c>
      <c r="V838" s="6">
        <v>2</v>
      </c>
      <c r="W838" t="s">
        <v>71</v>
      </c>
      <c r="X838" s="6">
        <v>37</v>
      </c>
      <c r="Y838">
        <v>5.71007</v>
      </c>
      <c r="Z838">
        <v>1.5106005291005291</v>
      </c>
      <c r="AA838" s="6">
        <v>135.9999089328152</v>
      </c>
      <c r="AB838" s="4">
        <v>64.714083333333335</v>
      </c>
      <c r="AC838" s="6">
        <v>7.35294610008898</v>
      </c>
      <c r="AD838">
        <v>0.171025437</v>
      </c>
      <c r="AE838">
        <v>1.6294388257326338</v>
      </c>
      <c r="AF838">
        <v>7300</v>
      </c>
      <c r="AG838" s="4">
        <v>0</v>
      </c>
      <c r="AH838" s="4">
        <v>27000</v>
      </c>
      <c r="AI838" t="s">
        <v>100</v>
      </c>
      <c r="AL838">
        <v>136</v>
      </c>
      <c r="AM838">
        <v>5.71007</v>
      </c>
      <c r="AN838" t="s">
        <v>100</v>
      </c>
      <c r="AO838" t="s">
        <v>99</v>
      </c>
      <c r="AP838" s="5">
        <v>44893</v>
      </c>
      <c r="AQ838" t="s">
        <v>105</v>
      </c>
      <c r="AR838" s="5">
        <v>44930</v>
      </c>
      <c r="AS838">
        <v>122.76218680331414</v>
      </c>
      <c r="AT838" s="6"/>
      <c r="AU838">
        <v>107.95420371378987</v>
      </c>
      <c r="AV838">
        <v>41.022047015185464</v>
      </c>
      <c r="AW838">
        <v>46.668207219876471</v>
      </c>
      <c r="AX838">
        <v>195.64445794885179</v>
      </c>
      <c r="AY838">
        <v>39.365618985406485</v>
      </c>
      <c r="AZ838">
        <v>56.411989695397786</v>
      </c>
      <c r="BA838">
        <v>56.687359349359987</v>
      </c>
      <c r="BB838">
        <v>38.327798083035759</v>
      </c>
      <c r="BC838">
        <v>21.887337633338998</v>
      </c>
      <c r="BD838">
        <v>212.68010374653903</v>
      </c>
      <c r="BE838">
        <v>-285.56237489207672</v>
      </c>
      <c r="BF838">
        <v>14.241130143763561</v>
      </c>
      <c r="BH838">
        <v>14.241130143763561</v>
      </c>
      <c r="BI838">
        <v>422.56569183915445</v>
      </c>
      <c r="BJ838" s="6">
        <v>150</v>
      </c>
      <c r="BK838">
        <v>-299.80350503584032</v>
      </c>
      <c r="BL838" s="4">
        <v>-1711.8990000000008</v>
      </c>
      <c r="BM838" t="s">
        <v>799</v>
      </c>
      <c r="BN838" t="s">
        <v>65</v>
      </c>
      <c r="BO838">
        <v>1</v>
      </c>
      <c r="BP838">
        <v>2023</v>
      </c>
      <c r="BQ838" t="str">
        <f t="shared" si="66"/>
        <v>SR11</v>
      </c>
      <c r="BR838">
        <f t="shared" si="67"/>
        <v>-1556.3691800000006</v>
      </c>
      <c r="BS838">
        <f t="shared" si="68"/>
        <v>700.98068000000001</v>
      </c>
      <c r="BT838" s="6">
        <f t="shared" si="69"/>
        <v>-272.56569183915445</v>
      </c>
    </row>
    <row r="839" spans="1:72">
      <c r="A839" s="3" t="s">
        <v>631</v>
      </c>
      <c r="B839" s="3" t="s">
        <v>760</v>
      </c>
      <c r="C839" s="3" t="s">
        <v>798</v>
      </c>
      <c r="D839" s="2" t="s">
        <v>802</v>
      </c>
      <c r="E839" s="4" t="str">
        <f t="shared" si="65"/>
        <v>SR1C1-063-0004</v>
      </c>
      <c r="F839">
        <v>2.5</v>
      </c>
      <c r="G839">
        <v>1.6</v>
      </c>
      <c r="H839" t="s">
        <v>72</v>
      </c>
      <c r="I839" t="s">
        <v>75</v>
      </c>
      <c r="J839" t="s">
        <v>95</v>
      </c>
      <c r="K839" t="s">
        <v>79</v>
      </c>
      <c r="L839" t="s">
        <v>79</v>
      </c>
      <c r="M839">
        <v>2.1132075471698113</v>
      </c>
      <c r="N839" s="5">
        <v>44972</v>
      </c>
      <c r="O839" s="5">
        <v>44974</v>
      </c>
      <c r="P839">
        <v>1</v>
      </c>
      <c r="Q839" s="4">
        <v>156</v>
      </c>
      <c r="R839">
        <v>0.86</v>
      </c>
      <c r="S839" t="s">
        <v>70</v>
      </c>
      <c r="T839" s="6">
        <v>1</v>
      </c>
      <c r="U839" s="5">
        <v>45005</v>
      </c>
      <c r="V839" s="6">
        <v>2</v>
      </c>
      <c r="W839" t="s">
        <v>71</v>
      </c>
      <c r="X839" s="6">
        <v>31</v>
      </c>
      <c r="Y839">
        <v>5.6879600000000003</v>
      </c>
      <c r="Z839">
        <v>2.2751840000000003</v>
      </c>
      <c r="AA839" s="6">
        <v>162.9999156112209</v>
      </c>
      <c r="AB839" s="4">
        <v>92.713700000000003</v>
      </c>
      <c r="AC839" s="6">
        <v>6.1349725013671117</v>
      </c>
      <c r="AD839">
        <v>0.17016030100000001</v>
      </c>
      <c r="AE839">
        <v>1.0978085256224366</v>
      </c>
      <c r="AF839">
        <v>5300</v>
      </c>
      <c r="AG839" s="4"/>
      <c r="AH839" s="4">
        <v>11200</v>
      </c>
      <c r="AI839" t="s">
        <v>73</v>
      </c>
      <c r="AJ839" t="s">
        <v>73</v>
      </c>
      <c r="AK839" t="s">
        <v>96</v>
      </c>
      <c r="AL839">
        <v>163</v>
      </c>
      <c r="AM839">
        <v>5.6879600000000003</v>
      </c>
      <c r="AN839" t="s">
        <v>73</v>
      </c>
      <c r="AO839" t="s">
        <v>106</v>
      </c>
      <c r="AP839" s="5">
        <v>44978</v>
      </c>
      <c r="AQ839" t="s">
        <v>102</v>
      </c>
      <c r="AR839" s="5">
        <v>45004</v>
      </c>
      <c r="AS839">
        <v>105.19312372098257</v>
      </c>
      <c r="AT839" s="6"/>
      <c r="AU839">
        <v>96.695476058200128</v>
      </c>
      <c r="AV839">
        <v>34.482250226794847</v>
      </c>
      <c r="AW839">
        <v>25.693162399172994</v>
      </c>
      <c r="AX839">
        <v>156.87088868416797</v>
      </c>
      <c r="AY839">
        <v>20.417116154122038</v>
      </c>
      <c r="AZ839">
        <v>41.763753612894604</v>
      </c>
      <c r="BA839">
        <v>17.963630194305164</v>
      </c>
      <c r="BB839">
        <v>5.386924310297541</v>
      </c>
      <c r="BC839">
        <v>7.2904468385853631</v>
      </c>
      <c r="BD839">
        <v>92.821871110204711</v>
      </c>
      <c r="BE839">
        <v>-144.49963607339009</v>
      </c>
      <c r="BF839">
        <v>8.2157012355923751</v>
      </c>
      <c r="BH839">
        <v>8.2157012355923751</v>
      </c>
      <c r="BI839">
        <v>257.90846102996505</v>
      </c>
      <c r="BJ839" s="6">
        <v>150</v>
      </c>
      <c r="BK839">
        <v>-152.71533730898247</v>
      </c>
      <c r="BL839" s="4">
        <v>-868.63873000000001</v>
      </c>
      <c r="BM839" t="s">
        <v>803</v>
      </c>
      <c r="BN839" t="s">
        <v>65</v>
      </c>
      <c r="BO839">
        <v>3</v>
      </c>
      <c r="BP839">
        <v>2023</v>
      </c>
      <c r="BQ839" t="str">
        <f t="shared" si="66"/>
        <v>SR13</v>
      </c>
      <c r="BR839">
        <f t="shared" si="67"/>
        <v>-613.77901000000008</v>
      </c>
      <c r="BS839">
        <f t="shared" si="68"/>
        <v>598.33428000000004</v>
      </c>
      <c r="BT839" s="6">
        <f t="shared" si="69"/>
        <v>-107.90846102996505</v>
      </c>
    </row>
    <row r="840" spans="1:72">
      <c r="A840" s="3" t="s">
        <v>631</v>
      </c>
      <c r="B840" s="3" t="s">
        <v>760</v>
      </c>
      <c r="C840" s="3" t="s">
        <v>798</v>
      </c>
      <c r="D840" s="2" t="s">
        <v>800</v>
      </c>
      <c r="E840" s="4" t="str">
        <f t="shared" si="65"/>
        <v>SR1C1-050-0014</v>
      </c>
      <c r="F840">
        <v>1.8</v>
      </c>
      <c r="G840">
        <v>1.6</v>
      </c>
      <c r="H840" t="s">
        <v>72</v>
      </c>
      <c r="I840" t="s">
        <v>75</v>
      </c>
      <c r="J840" t="s">
        <v>95</v>
      </c>
      <c r="K840" t="s">
        <v>79</v>
      </c>
      <c r="L840" t="s">
        <v>79</v>
      </c>
      <c r="M840">
        <v>4.5940594059405937</v>
      </c>
      <c r="N840" s="5">
        <v>44937</v>
      </c>
      <c r="O840" s="5">
        <v>44941</v>
      </c>
      <c r="P840">
        <v>1</v>
      </c>
      <c r="Q840" s="4">
        <v>217</v>
      </c>
      <c r="R840">
        <v>0.35</v>
      </c>
      <c r="S840" t="s">
        <v>70</v>
      </c>
      <c r="T840" s="6">
        <v>1</v>
      </c>
      <c r="U840" s="5">
        <v>44985</v>
      </c>
      <c r="V840" s="6">
        <v>2</v>
      </c>
      <c r="W840" t="s">
        <v>71</v>
      </c>
      <c r="X840" s="6">
        <v>44</v>
      </c>
      <c r="Y840">
        <v>4.0393600000000003</v>
      </c>
      <c r="Z840">
        <v>2.2440888888888888</v>
      </c>
      <c r="AA840" s="6">
        <v>180.99996038976471</v>
      </c>
      <c r="AB840" s="4">
        <v>73.112399999999994</v>
      </c>
      <c r="AC840" s="6">
        <v>5.5248630875200382</v>
      </c>
      <c r="AD840">
        <v>0.11761049699999999</v>
      </c>
      <c r="AE840">
        <v>1.3688010928724765</v>
      </c>
      <c r="AF840">
        <v>5050</v>
      </c>
      <c r="AG840" s="4"/>
      <c r="AH840" s="4">
        <v>23200</v>
      </c>
      <c r="AI840" t="s">
        <v>73</v>
      </c>
      <c r="AJ840" t="s">
        <v>73</v>
      </c>
      <c r="AK840" t="s">
        <v>123</v>
      </c>
      <c r="AL840">
        <v>181</v>
      </c>
      <c r="AM840">
        <v>4.0393600000000003</v>
      </c>
      <c r="AN840" t="s">
        <v>73</v>
      </c>
      <c r="AO840" t="s">
        <v>105</v>
      </c>
      <c r="AP840" s="5">
        <v>44941</v>
      </c>
      <c r="AQ840" t="s">
        <v>90</v>
      </c>
      <c r="AR840" s="5">
        <v>44984</v>
      </c>
      <c r="AS840">
        <v>103.70441357046661</v>
      </c>
      <c r="AT840" s="6"/>
      <c r="AU840">
        <v>99.025588211993977</v>
      </c>
      <c r="AV840">
        <v>45.744098074942549</v>
      </c>
      <c r="AW840">
        <v>41.329188287253423</v>
      </c>
      <c r="AX840">
        <v>186.09887457418992</v>
      </c>
      <c r="AY840">
        <v>23.802698942406721</v>
      </c>
      <c r="AZ840">
        <v>67.710179335340257</v>
      </c>
      <c r="BA840">
        <v>29.327331557474448</v>
      </c>
      <c r="BB840">
        <v>3.3134976828012359</v>
      </c>
      <c r="BC840">
        <v>7.5296680662283135</v>
      </c>
      <c r="BD840">
        <v>131.68337558425097</v>
      </c>
      <c r="BE840">
        <v>-214.07783658797428</v>
      </c>
      <c r="BF840">
        <v>8.5304602709340092</v>
      </c>
      <c r="BH840">
        <v>8.5304602709340092</v>
      </c>
      <c r="BI840">
        <v>326.31271042937499</v>
      </c>
      <c r="BJ840" s="6">
        <v>150</v>
      </c>
      <c r="BK840">
        <v>-222.6082968589084</v>
      </c>
      <c r="BL840" s="4">
        <v>-899.19505000000026</v>
      </c>
      <c r="BM840" t="s">
        <v>801</v>
      </c>
      <c r="BN840" t="s">
        <v>65</v>
      </c>
      <c r="BO840">
        <v>2</v>
      </c>
      <c r="BP840">
        <v>2023</v>
      </c>
      <c r="BQ840" t="str">
        <f t="shared" si="66"/>
        <v>SR12</v>
      </c>
      <c r="BR840">
        <f t="shared" si="67"/>
        <v>-712.19051000000024</v>
      </c>
      <c r="BS840">
        <f t="shared" si="68"/>
        <v>418.89946000000003</v>
      </c>
      <c r="BT840" s="6">
        <f t="shared" si="69"/>
        <v>-176.31271042937499</v>
      </c>
    </row>
    <row r="841" spans="1:72">
      <c r="A841" s="3" t="s">
        <v>631</v>
      </c>
      <c r="B841" s="3" t="s">
        <v>760</v>
      </c>
      <c r="C841" s="3" t="s">
        <v>772</v>
      </c>
      <c r="D841" s="2" t="s">
        <v>793</v>
      </c>
      <c r="E841" s="4" t="str">
        <f t="shared" si="65"/>
        <v>SR1G1-130-0009</v>
      </c>
      <c r="F841">
        <v>2</v>
      </c>
      <c r="G841">
        <v>1.8</v>
      </c>
      <c r="H841" t="s">
        <v>72</v>
      </c>
      <c r="I841" t="s">
        <v>67</v>
      </c>
      <c r="J841" t="s">
        <v>68</v>
      </c>
      <c r="K841" t="s">
        <v>79</v>
      </c>
      <c r="L841" t="s">
        <v>79</v>
      </c>
      <c r="M841">
        <v>2.4426610348468847</v>
      </c>
      <c r="N841" s="5">
        <v>45006</v>
      </c>
      <c r="O841" s="5">
        <v>45036</v>
      </c>
      <c r="P841">
        <v>1</v>
      </c>
      <c r="Q841" s="4">
        <v>174</v>
      </c>
      <c r="R841">
        <v>0.28999999999999998</v>
      </c>
      <c r="S841" t="s">
        <v>70</v>
      </c>
      <c r="T841" s="6">
        <v>2</v>
      </c>
      <c r="U841" s="5">
        <v>45123</v>
      </c>
      <c r="V841" s="6">
        <v>2</v>
      </c>
      <c r="W841" t="s">
        <v>71</v>
      </c>
      <c r="X841" s="6">
        <v>87</v>
      </c>
      <c r="Y841">
        <v>12.924299999999999</v>
      </c>
      <c r="Z841">
        <v>6.4621499999999994</v>
      </c>
      <c r="AA841" s="6">
        <v>29.255897804910131</v>
      </c>
      <c r="AB841" s="4">
        <v>37.811199999999999</v>
      </c>
      <c r="AC841" s="6">
        <v>34.181142095463777</v>
      </c>
      <c r="AD841">
        <v>0.40717569799999997</v>
      </c>
      <c r="AE841">
        <v>1.8738671711135562</v>
      </c>
      <c r="AF841">
        <v>23675</v>
      </c>
      <c r="AG841" s="4">
        <v>0</v>
      </c>
      <c r="AH841" s="4">
        <v>57830</v>
      </c>
      <c r="AL841">
        <v>28</v>
      </c>
      <c r="AM841">
        <v>8.8665000000000003</v>
      </c>
      <c r="AN841" t="s">
        <v>126</v>
      </c>
      <c r="AO841" t="s">
        <v>92</v>
      </c>
      <c r="AP841" s="5">
        <v>45036</v>
      </c>
      <c r="AQ841" t="s">
        <v>198</v>
      </c>
      <c r="AR841" s="5">
        <v>45122</v>
      </c>
      <c r="AS841">
        <v>178.18607738910424</v>
      </c>
      <c r="AT841" s="6"/>
      <c r="AU841">
        <v>30.949451807834858</v>
      </c>
      <c r="AV841">
        <v>65.095815634115596</v>
      </c>
      <c r="AW841">
        <v>22.51437602036474</v>
      </c>
      <c r="AX841">
        <v>118.55964346231519</v>
      </c>
      <c r="AY841">
        <v>21.080843063067249</v>
      </c>
      <c r="AZ841">
        <v>51.149729579164834</v>
      </c>
      <c r="BA841">
        <v>10.289713949691665</v>
      </c>
      <c r="BB841">
        <v>6.8558235262257918</v>
      </c>
      <c r="BC841">
        <v>16.084587172999701</v>
      </c>
      <c r="BD841">
        <v>105.46069729114924</v>
      </c>
      <c r="BE841">
        <v>-45.834263364360197</v>
      </c>
      <c r="BF841">
        <v>20.803609479817087</v>
      </c>
      <c r="BH841">
        <v>20.803609479817087</v>
      </c>
      <c r="BI841">
        <v>244.82395023328152</v>
      </c>
      <c r="BJ841" s="6">
        <v>200</v>
      </c>
      <c r="BK841">
        <v>-66.637872844177281</v>
      </c>
      <c r="BL841" s="4">
        <v>-861.24786000000029</v>
      </c>
      <c r="BM841" t="s">
        <v>794</v>
      </c>
      <c r="BN841" t="s">
        <v>65</v>
      </c>
      <c r="BO841">
        <v>7</v>
      </c>
      <c r="BP841">
        <v>2023</v>
      </c>
      <c r="BQ841" t="str">
        <f t="shared" si="66"/>
        <v>SR17</v>
      </c>
      <c r="BR841">
        <f t="shared" si="67"/>
        <v>-579.31818000000032</v>
      </c>
      <c r="BS841">
        <f t="shared" si="68"/>
        <v>2302.9303199999999</v>
      </c>
      <c r="BT841" s="6">
        <f t="shared" si="69"/>
        <v>-44.823950233281522</v>
      </c>
    </row>
    <row r="842" spans="1:72">
      <c r="A842" s="3" t="s">
        <v>631</v>
      </c>
      <c r="B842" s="3" t="s">
        <v>760</v>
      </c>
      <c r="C842" s="3" t="s">
        <v>772</v>
      </c>
      <c r="D842" s="2" t="s">
        <v>2799</v>
      </c>
      <c r="E842" s="4" t="str">
        <f t="shared" si="65"/>
        <v>SR1G1-128-0006</v>
      </c>
      <c r="F842">
        <v>2</v>
      </c>
      <c r="G842">
        <v>1.6</v>
      </c>
      <c r="H842" t="s">
        <v>72</v>
      </c>
      <c r="I842" t="s">
        <v>67</v>
      </c>
      <c r="J842" t="s">
        <v>357</v>
      </c>
      <c r="K842" t="s">
        <v>89</v>
      </c>
      <c r="L842" t="s">
        <v>89</v>
      </c>
      <c r="M842">
        <v>0.4199404761904762</v>
      </c>
      <c r="N842" s="5">
        <v>45105</v>
      </c>
      <c r="O842" s="5">
        <v>45134</v>
      </c>
      <c r="P842">
        <v>1</v>
      </c>
      <c r="Q842" s="4">
        <v>195</v>
      </c>
      <c r="R842">
        <v>0.44</v>
      </c>
      <c r="S842" t="s">
        <v>70</v>
      </c>
      <c r="T842" s="6">
        <v>6</v>
      </c>
      <c r="U842" s="5">
        <v>45259</v>
      </c>
      <c r="V842" s="6">
        <v>2</v>
      </c>
      <c r="W842" t="s">
        <v>71</v>
      </c>
      <c r="X842" s="6">
        <v>125</v>
      </c>
      <c r="Y842">
        <v>13.082420000000001</v>
      </c>
      <c r="Z842">
        <v>6.5412100000000004</v>
      </c>
      <c r="AA842" s="6">
        <v>23.92141515101946</v>
      </c>
      <c r="AB842" s="4">
        <v>31.295000000000002</v>
      </c>
      <c r="AC842" s="6">
        <v>41.803546892474834</v>
      </c>
      <c r="AD842">
        <v>0.36011636400000002</v>
      </c>
      <c r="AE842">
        <v>2.6577190126573869</v>
      </c>
      <c r="AF842">
        <v>33600</v>
      </c>
      <c r="AG842" s="4">
        <v>0</v>
      </c>
      <c r="AH842" s="4">
        <v>14110</v>
      </c>
      <c r="AL842">
        <v>22</v>
      </c>
      <c r="AM842">
        <v>6.0957499999999998</v>
      </c>
      <c r="AN842" t="s">
        <v>85</v>
      </c>
      <c r="AO842" t="s">
        <v>198</v>
      </c>
      <c r="AP842" s="5">
        <v>45134</v>
      </c>
      <c r="AQ842" t="s">
        <v>176</v>
      </c>
      <c r="AR842" s="5">
        <v>45258</v>
      </c>
      <c r="AS842">
        <v>221.56482745547072</v>
      </c>
      <c r="AT842" s="6"/>
      <c r="AU842">
        <v>34.39730569726396</v>
      </c>
      <c r="AV842">
        <v>81.74797858500186</v>
      </c>
      <c r="AW842">
        <v>42.299417080326137</v>
      </c>
      <c r="AX842">
        <v>158.44470136259196</v>
      </c>
      <c r="AY842">
        <v>28.55321263191367</v>
      </c>
      <c r="AZ842">
        <v>44.046220041857701</v>
      </c>
      <c r="BA842">
        <v>24.238828901686382</v>
      </c>
      <c r="BB842">
        <v>9.4994611088774104</v>
      </c>
      <c r="BC842">
        <v>28.431941490947388</v>
      </c>
      <c r="BD842">
        <v>134.76966417528254</v>
      </c>
      <c r="BE842">
        <v>-71.64953808240378</v>
      </c>
      <c r="BF842">
        <v>29.251690436478874</v>
      </c>
      <c r="BH842">
        <v>29.251690436478874</v>
      </c>
      <c r="BI842">
        <v>322.46605597435337</v>
      </c>
      <c r="BJ842" s="6">
        <v>219</v>
      </c>
      <c r="BK842">
        <v>-100.90122851888263</v>
      </c>
      <c r="BL842" s="4">
        <v>-1320.0322500000004</v>
      </c>
      <c r="BM842" t="s">
        <v>2800</v>
      </c>
      <c r="BN842" t="s">
        <v>65</v>
      </c>
      <c r="BO842">
        <v>11</v>
      </c>
      <c r="BP842">
        <v>2023</v>
      </c>
      <c r="BQ842" t="str">
        <f t="shared" si="66"/>
        <v>SR111</v>
      </c>
      <c r="BR842">
        <f t="shared" si="67"/>
        <v>-1353.5864000000001</v>
      </c>
      <c r="BS842">
        <f t="shared" si="68"/>
        <v>2898.6041299999993</v>
      </c>
      <c r="BT842" s="6">
        <f t="shared" si="69"/>
        <v>-103.46605597435337</v>
      </c>
    </row>
    <row r="843" spans="1:72">
      <c r="A843" s="3" t="s">
        <v>631</v>
      </c>
      <c r="B843" s="3" t="s">
        <v>760</v>
      </c>
      <c r="C843" s="3" t="s">
        <v>772</v>
      </c>
      <c r="D843" s="2" t="s">
        <v>790</v>
      </c>
      <c r="E843" s="4" t="str">
        <f t="shared" si="65"/>
        <v>SR1G1-129-0009</v>
      </c>
      <c r="F843">
        <v>2</v>
      </c>
      <c r="G843">
        <v>1.8</v>
      </c>
      <c r="H843" t="s">
        <v>72</v>
      </c>
      <c r="I843" t="s">
        <v>67</v>
      </c>
      <c r="J843" t="s">
        <v>68</v>
      </c>
      <c r="K843" t="s">
        <v>79</v>
      </c>
      <c r="L843" t="s">
        <v>79</v>
      </c>
      <c r="M843">
        <v>2.753299492385787</v>
      </c>
      <c r="N843" s="5">
        <v>45000</v>
      </c>
      <c r="O843" s="5">
        <v>45032</v>
      </c>
      <c r="P843">
        <v>1</v>
      </c>
      <c r="Q843" s="4">
        <v>174</v>
      </c>
      <c r="R843">
        <v>0.58299999999999996</v>
      </c>
      <c r="S843" t="s">
        <v>70</v>
      </c>
      <c r="T843" s="6">
        <v>1</v>
      </c>
      <c r="U843" s="5">
        <v>45115</v>
      </c>
      <c r="V843" s="6">
        <v>2</v>
      </c>
      <c r="W843" t="s">
        <v>71</v>
      </c>
      <c r="X843" s="6">
        <v>83</v>
      </c>
      <c r="Y843">
        <v>10.930819999999999</v>
      </c>
      <c r="Z843">
        <v>5.4654099999999994</v>
      </c>
      <c r="AA843" s="6">
        <v>33.000085995378207</v>
      </c>
      <c r="AB843" s="4">
        <v>36.071799999999996</v>
      </c>
      <c r="AC843" s="6">
        <v>30.302951335946638</v>
      </c>
      <c r="AD843">
        <v>0.35807265399999999</v>
      </c>
      <c r="AE843">
        <v>1.9036906473707811</v>
      </c>
      <c r="AF843">
        <v>19700</v>
      </c>
      <c r="AG843" s="4">
        <v>0</v>
      </c>
      <c r="AH843" s="4">
        <v>54240</v>
      </c>
      <c r="AL843">
        <v>33</v>
      </c>
      <c r="AM843">
        <v>10.919559999999999</v>
      </c>
      <c r="AN843" t="s">
        <v>791</v>
      </c>
      <c r="AO843" t="s">
        <v>438</v>
      </c>
      <c r="AP843" s="5">
        <v>45032</v>
      </c>
      <c r="AQ843" t="s">
        <v>176</v>
      </c>
      <c r="AR843" s="5">
        <v>45114</v>
      </c>
      <c r="AS843">
        <v>177.39229170364166</v>
      </c>
      <c r="AT843" s="6"/>
      <c r="AU843">
        <v>43.455111327421001</v>
      </c>
      <c r="AV843">
        <v>64.557246391396092</v>
      </c>
      <c r="AW843">
        <v>23.042026124298086</v>
      </c>
      <c r="AX843">
        <v>131.05438384311518</v>
      </c>
      <c r="AY843">
        <v>24.759554178003118</v>
      </c>
      <c r="AZ843">
        <v>59.26713183457418</v>
      </c>
      <c r="BA843">
        <v>11.954165378260734</v>
      </c>
      <c r="BB843">
        <v>7.4147044777976392</v>
      </c>
      <c r="BC843">
        <v>18.233349373606007</v>
      </c>
      <c r="BD843">
        <v>121.62890524224169</v>
      </c>
      <c r="BE843">
        <v>-75.290997381715201</v>
      </c>
      <c r="BF843">
        <v>24.03511904870815</v>
      </c>
      <c r="BH843">
        <v>24.03511904870815</v>
      </c>
      <c r="BI843">
        <v>276.71840813406499</v>
      </c>
      <c r="BJ843" s="6">
        <v>191</v>
      </c>
      <c r="BK843">
        <v>-99.326116430423312</v>
      </c>
      <c r="BL843" s="4">
        <v>-1085.7158999999997</v>
      </c>
      <c r="BM843" t="s">
        <v>792</v>
      </c>
      <c r="BN843" t="s">
        <v>65</v>
      </c>
      <c r="BO843">
        <v>7</v>
      </c>
      <c r="BP843">
        <v>2023</v>
      </c>
      <c r="BQ843" t="str">
        <f t="shared" si="66"/>
        <v>SR17</v>
      </c>
      <c r="BR843">
        <f t="shared" si="67"/>
        <v>-936.97249000000011</v>
      </c>
      <c r="BS843">
        <f t="shared" si="68"/>
        <v>1939.04321</v>
      </c>
      <c r="BT843" s="6">
        <f t="shared" si="69"/>
        <v>-85.718408134064987</v>
      </c>
    </row>
    <row r="844" spans="1:72">
      <c r="A844" s="3" t="s">
        <v>631</v>
      </c>
      <c r="B844" s="3" t="s">
        <v>760</v>
      </c>
      <c r="C844" s="3" t="s">
        <v>772</v>
      </c>
      <c r="D844" s="2" t="s">
        <v>796</v>
      </c>
      <c r="E844" s="4" t="str">
        <f t="shared" si="65"/>
        <v>SR1G1-128-0005</v>
      </c>
      <c r="F844">
        <v>2</v>
      </c>
      <c r="G844">
        <v>1.6</v>
      </c>
      <c r="H844" t="s">
        <v>72</v>
      </c>
      <c r="I844" t="s">
        <v>67</v>
      </c>
      <c r="J844" t="s">
        <v>68</v>
      </c>
      <c r="K844" t="s">
        <v>79</v>
      </c>
      <c r="L844" t="s">
        <v>79</v>
      </c>
      <c r="M844">
        <v>3.0095118898623281</v>
      </c>
      <c r="N844" s="5">
        <v>44919</v>
      </c>
      <c r="O844" s="5">
        <v>44956</v>
      </c>
      <c r="P844">
        <v>1</v>
      </c>
      <c r="Q844" s="4">
        <v>195</v>
      </c>
      <c r="R844">
        <v>0.24</v>
      </c>
      <c r="S844" t="s">
        <v>70</v>
      </c>
      <c r="T844" s="6">
        <v>2</v>
      </c>
      <c r="U844" s="5">
        <v>45104</v>
      </c>
      <c r="V844" s="6">
        <v>2</v>
      </c>
      <c r="W844" t="s">
        <v>71</v>
      </c>
      <c r="X844" s="6">
        <v>148</v>
      </c>
      <c r="Y844">
        <v>12.94116</v>
      </c>
      <c r="Z844">
        <v>6.47058</v>
      </c>
      <c r="AA844" s="6">
        <v>21.947877933662824</v>
      </c>
      <c r="AB844" s="4">
        <v>28.403099999999998</v>
      </c>
      <c r="AC844" s="6">
        <v>45.56249141819027</v>
      </c>
      <c r="AD844">
        <v>0.33621621600000001</v>
      </c>
      <c r="AE844">
        <v>3.1453819966050345</v>
      </c>
      <c r="AF844">
        <v>39950</v>
      </c>
      <c r="AG844" s="4">
        <v>0</v>
      </c>
      <c r="AH844" s="4">
        <v>120230</v>
      </c>
      <c r="AL844">
        <v>20</v>
      </c>
      <c r="AM844">
        <v>9.3286100000000012</v>
      </c>
      <c r="AN844" t="s">
        <v>85</v>
      </c>
      <c r="AO844" t="s">
        <v>92</v>
      </c>
      <c r="AP844" s="5">
        <v>44956</v>
      </c>
      <c r="AQ844" t="s">
        <v>136</v>
      </c>
      <c r="AR844" s="5">
        <v>45103</v>
      </c>
      <c r="AS844">
        <v>276.96363386280672</v>
      </c>
      <c r="AT844" s="6"/>
      <c r="AU844">
        <v>30.909130247983953</v>
      </c>
      <c r="AV844">
        <v>112.20093948301385</v>
      </c>
      <c r="AW844">
        <v>49.370173925675914</v>
      </c>
      <c r="AX844">
        <v>192.48024365667374</v>
      </c>
      <c r="AY844">
        <v>33.70198884798581</v>
      </c>
      <c r="AZ844">
        <v>68.636425173632034</v>
      </c>
      <c r="BA844">
        <v>19.684760098785578</v>
      </c>
      <c r="BB844">
        <v>7.6615612510779565</v>
      </c>
      <c r="BC844">
        <v>21.291574325640049</v>
      </c>
      <c r="BD844">
        <v>150.97630969712145</v>
      </c>
      <c r="BE844">
        <v>-66.49291949098847</v>
      </c>
      <c r="BF844">
        <v>32.494933220824102</v>
      </c>
      <c r="BH844">
        <v>32.494933220824102</v>
      </c>
      <c r="BI844">
        <v>375.95148657461925</v>
      </c>
      <c r="BJ844" s="6">
        <v>228</v>
      </c>
      <c r="BK844">
        <v>-98.98785271181255</v>
      </c>
      <c r="BL844" s="4">
        <v>-1281.01764</v>
      </c>
      <c r="BM844" t="s">
        <v>797</v>
      </c>
      <c r="BN844" t="s">
        <v>65</v>
      </c>
      <c r="BO844">
        <v>6</v>
      </c>
      <c r="BP844">
        <v>2023</v>
      </c>
      <c r="BQ844" t="str">
        <f t="shared" si="66"/>
        <v>SR16</v>
      </c>
      <c r="BR844">
        <f t="shared" si="67"/>
        <v>-1914.6638599999997</v>
      </c>
      <c r="BS844">
        <f t="shared" si="68"/>
        <v>3584.2306999999996</v>
      </c>
      <c r="BT844" s="6">
        <f t="shared" si="69"/>
        <v>-147.95148657461925</v>
      </c>
    </row>
    <row r="845" spans="1:72">
      <c r="A845" s="3" t="s">
        <v>631</v>
      </c>
      <c r="B845" s="3" t="s">
        <v>760</v>
      </c>
      <c r="C845" s="3" t="s">
        <v>772</v>
      </c>
      <c r="D845" s="2" t="s">
        <v>795</v>
      </c>
      <c r="E845" s="4" t="str">
        <f t="shared" si="65"/>
        <v>SR1A1-028-0036</v>
      </c>
      <c r="F845">
        <v>4</v>
      </c>
      <c r="G845">
        <v>1.6</v>
      </c>
      <c r="H845" t="s">
        <v>72</v>
      </c>
      <c r="I845" t="s">
        <v>75</v>
      </c>
      <c r="J845" t="s">
        <v>95</v>
      </c>
      <c r="K845" t="s">
        <v>79</v>
      </c>
      <c r="L845" t="s">
        <v>79</v>
      </c>
      <c r="M845">
        <v>2.3393125246937969</v>
      </c>
      <c r="N845" s="5">
        <v>44918</v>
      </c>
      <c r="O845" s="5">
        <v>44930</v>
      </c>
      <c r="P845">
        <v>1</v>
      </c>
      <c r="Q845" s="4">
        <v>98</v>
      </c>
      <c r="R845">
        <v>0.38400000000000001</v>
      </c>
      <c r="S845" t="s">
        <v>70</v>
      </c>
      <c r="T845" s="6">
        <v>3</v>
      </c>
      <c r="U845" s="5">
        <v>45077</v>
      </c>
      <c r="V845" s="6">
        <v>1</v>
      </c>
      <c r="W845" t="s">
        <v>86</v>
      </c>
      <c r="X845" s="6">
        <v>147</v>
      </c>
      <c r="Y845">
        <v>28.134900000000002</v>
      </c>
      <c r="Z845">
        <v>7.0337250000000004</v>
      </c>
      <c r="AA845" s="6">
        <v>22.680336521544415</v>
      </c>
      <c r="AB845" s="4">
        <v>63.810900000000004</v>
      </c>
      <c r="AC845" s="6">
        <v>44.091056543631261</v>
      </c>
      <c r="AD845">
        <v>0.30660235000000002</v>
      </c>
      <c r="AE845">
        <v>2.2801062307889111</v>
      </c>
      <c r="AF845">
        <v>63275</v>
      </c>
      <c r="AG845" s="4">
        <v>0</v>
      </c>
      <c r="AH845" s="4">
        <v>148020</v>
      </c>
      <c r="AL845">
        <v>22</v>
      </c>
      <c r="AM845">
        <v>12.254040000000002</v>
      </c>
      <c r="AN845" t="s">
        <v>81</v>
      </c>
      <c r="AO845" t="s">
        <v>105</v>
      </c>
      <c r="AP845" s="5">
        <v>44930</v>
      </c>
      <c r="AQ845" t="s">
        <v>215</v>
      </c>
      <c r="AR845" s="5">
        <v>45076</v>
      </c>
      <c r="AS845">
        <v>289.08853168129258</v>
      </c>
      <c r="AT845" s="6"/>
      <c r="AU845">
        <v>14.217217761570145</v>
      </c>
      <c r="AV845">
        <v>82.048946326448615</v>
      </c>
      <c r="AW845">
        <v>30.232326043454933</v>
      </c>
      <c r="AX845">
        <v>126.4984901314737</v>
      </c>
      <c r="AY845">
        <v>20.841178394094168</v>
      </c>
      <c r="AZ845">
        <v>44.288276482233805</v>
      </c>
      <c r="BA845">
        <v>11.990146757230344</v>
      </c>
      <c r="BB845">
        <v>5.228945189071224</v>
      </c>
      <c r="BC845">
        <v>7.9130606470966658</v>
      </c>
      <c r="BD845">
        <v>90.261607469726201</v>
      </c>
      <c r="BE845">
        <v>72.328434080092663</v>
      </c>
      <c r="BF845">
        <v>6.8713821623677349</v>
      </c>
      <c r="BH845">
        <v>6.8713821623677349</v>
      </c>
      <c r="BI845">
        <v>223.6314797635676</v>
      </c>
      <c r="BJ845" s="6">
        <v>228</v>
      </c>
      <c r="BK845">
        <v>65.457051917724996</v>
      </c>
      <c r="BL845" s="4">
        <v>1841.6276100000014</v>
      </c>
      <c r="BM845" t="s">
        <v>773</v>
      </c>
      <c r="BN845" t="s">
        <v>65</v>
      </c>
      <c r="BO845">
        <v>5</v>
      </c>
      <c r="BP845">
        <v>2023</v>
      </c>
      <c r="BQ845" t="str">
        <f t="shared" si="66"/>
        <v>SR15</v>
      </c>
      <c r="BR845">
        <f t="shared" si="67"/>
        <v>122.90788000000201</v>
      </c>
      <c r="BS845">
        <f t="shared" si="68"/>
        <v>8133.4769299999989</v>
      </c>
      <c r="BT845" s="6">
        <f t="shared" si="69"/>
        <v>4.3685202364324027</v>
      </c>
    </row>
    <row r="846" spans="1:72">
      <c r="A846" s="3" t="s">
        <v>631</v>
      </c>
      <c r="B846" s="3" t="s">
        <v>760</v>
      </c>
      <c r="C846" s="3" t="s">
        <v>772</v>
      </c>
      <c r="D846" s="2" t="s">
        <v>788</v>
      </c>
      <c r="E846" s="4" t="str">
        <f t="shared" si="65"/>
        <v>SR1G1-129-0010</v>
      </c>
      <c r="F846">
        <v>2</v>
      </c>
      <c r="G846">
        <v>1.6</v>
      </c>
      <c r="H846" t="s">
        <v>72</v>
      </c>
      <c r="I846" t="s">
        <v>67</v>
      </c>
      <c r="J846" t="s">
        <v>68</v>
      </c>
      <c r="K846" t="s">
        <v>79</v>
      </c>
      <c r="L846" t="s">
        <v>79</v>
      </c>
      <c r="M846">
        <v>0.17359855334538879</v>
      </c>
      <c r="N846" s="5">
        <v>45147</v>
      </c>
      <c r="O846" s="5">
        <v>45154</v>
      </c>
      <c r="P846">
        <v>1</v>
      </c>
      <c r="Q846" s="4">
        <v>195</v>
      </c>
      <c r="R846">
        <v>0.18</v>
      </c>
      <c r="S846" t="s">
        <v>70</v>
      </c>
      <c r="T846" s="6">
        <v>1</v>
      </c>
      <c r="U846" s="5">
        <v>45209</v>
      </c>
      <c r="V846" s="6">
        <v>2</v>
      </c>
      <c r="W846" t="s">
        <v>71</v>
      </c>
      <c r="X846" s="6">
        <v>55</v>
      </c>
      <c r="Y846">
        <v>8.1433099999999996</v>
      </c>
      <c r="Z846">
        <v>4.0716549999999998</v>
      </c>
      <c r="AA846" s="6">
        <v>60.9998882518288</v>
      </c>
      <c r="AB846" s="4">
        <v>49.674099999999996</v>
      </c>
      <c r="AC846" s="6">
        <v>16.393472654763752</v>
      </c>
      <c r="AD846">
        <v>0.29478986600000001</v>
      </c>
      <c r="AE846">
        <v>1.7360871295981193</v>
      </c>
      <c r="AF846">
        <v>13825</v>
      </c>
      <c r="AG846" s="4">
        <v>0</v>
      </c>
      <c r="AH846" s="4">
        <v>2400</v>
      </c>
      <c r="AI846" t="s">
        <v>73</v>
      </c>
      <c r="AL846">
        <v>61</v>
      </c>
      <c r="AM846">
        <v>8.1433099999999996</v>
      </c>
      <c r="AN846" t="s">
        <v>73</v>
      </c>
      <c r="AO846" t="s">
        <v>170</v>
      </c>
      <c r="AP846" s="5">
        <v>45155</v>
      </c>
      <c r="AQ846" t="s">
        <v>136</v>
      </c>
      <c r="AR846" s="5">
        <v>45208</v>
      </c>
      <c r="AS846">
        <v>127.16549290153512</v>
      </c>
      <c r="AT846" s="6"/>
      <c r="AU846">
        <v>36.84005643896645</v>
      </c>
      <c r="AV846">
        <v>51.289524775551946</v>
      </c>
      <c r="AW846">
        <v>25.840443259559066</v>
      </c>
      <c r="AX846">
        <v>113.97002447407746</v>
      </c>
      <c r="AY846">
        <v>13.352983000769958</v>
      </c>
      <c r="AZ846">
        <v>24.639533555765411</v>
      </c>
      <c r="BA846">
        <v>13.545638075917532</v>
      </c>
      <c r="BB846">
        <v>3.0545097755089756</v>
      </c>
      <c r="BC846">
        <v>15.882043051289957</v>
      </c>
      <c r="BD846">
        <v>70.474707459251832</v>
      </c>
      <c r="BE846">
        <v>-57.279239031794177</v>
      </c>
      <c r="BF846">
        <v>16.05878813406342</v>
      </c>
      <c r="BH846">
        <v>16.05878813406342</v>
      </c>
      <c r="BI846">
        <v>200.50352006739274</v>
      </c>
      <c r="BJ846" s="6">
        <v>161</v>
      </c>
      <c r="BK846">
        <v>-73.338027165857625</v>
      </c>
      <c r="BL846" s="4">
        <v>-597.21429000000001</v>
      </c>
      <c r="BM846" t="s">
        <v>789</v>
      </c>
      <c r="BN846" t="s">
        <v>65</v>
      </c>
      <c r="BO846">
        <v>10</v>
      </c>
      <c r="BP846">
        <v>2023</v>
      </c>
      <c r="BQ846" t="str">
        <f t="shared" si="66"/>
        <v>SR110</v>
      </c>
      <c r="BR846">
        <f t="shared" si="67"/>
        <v>-321.68940999999995</v>
      </c>
      <c r="BS846">
        <f t="shared" si="68"/>
        <v>1035.5480299999999</v>
      </c>
      <c r="BT846" s="6">
        <f t="shared" si="69"/>
        <v>-39.503520067392742</v>
      </c>
    </row>
    <row r="847" spans="1:72">
      <c r="A847" s="3" t="s">
        <v>631</v>
      </c>
      <c r="B847" s="3" t="s">
        <v>760</v>
      </c>
      <c r="C847" s="3" t="s">
        <v>772</v>
      </c>
      <c r="D847" s="2" t="s">
        <v>786</v>
      </c>
      <c r="E847" s="4" t="str">
        <f t="shared" si="65"/>
        <v>SR1G1-129-0008</v>
      </c>
      <c r="F847">
        <v>2</v>
      </c>
      <c r="G847">
        <v>1.6</v>
      </c>
      <c r="H847" t="s">
        <v>72</v>
      </c>
      <c r="I847" t="s">
        <v>67</v>
      </c>
      <c r="J847" t="s">
        <v>68</v>
      </c>
      <c r="K847" t="s">
        <v>79</v>
      </c>
      <c r="L847" t="s">
        <v>79</v>
      </c>
      <c r="M847">
        <v>2.6781362007168457</v>
      </c>
      <c r="N847" s="5">
        <v>44905</v>
      </c>
      <c r="O847" s="5">
        <v>44921</v>
      </c>
      <c r="P847">
        <v>1</v>
      </c>
      <c r="Q847" s="4">
        <v>195</v>
      </c>
      <c r="R847">
        <v>0.215</v>
      </c>
      <c r="S847" t="s">
        <v>70</v>
      </c>
      <c r="T847" s="6">
        <v>1</v>
      </c>
      <c r="U847" s="5">
        <v>44983</v>
      </c>
      <c r="V847" s="6">
        <v>2</v>
      </c>
      <c r="W847" t="s">
        <v>71</v>
      </c>
      <c r="X847" s="6">
        <v>62</v>
      </c>
      <c r="Y847">
        <v>7.9256099999999998</v>
      </c>
      <c r="Z847">
        <v>3.9628049999999999</v>
      </c>
      <c r="AA847" s="6">
        <v>73.999982335744505</v>
      </c>
      <c r="AB847" s="4">
        <v>58.649499999999996</v>
      </c>
      <c r="AC847" s="6">
        <v>13.51351673927314</v>
      </c>
      <c r="AD847">
        <v>0.21449215299999999</v>
      </c>
      <c r="AE847">
        <v>1.8091953814289661</v>
      </c>
      <c r="AF847">
        <v>13950</v>
      </c>
      <c r="AG847" s="4">
        <v>0</v>
      </c>
      <c r="AH847" s="4">
        <v>37360</v>
      </c>
      <c r="AL847">
        <v>74</v>
      </c>
      <c r="AM847">
        <v>7.9256099999999998</v>
      </c>
      <c r="AN847" t="s">
        <v>73</v>
      </c>
      <c r="AO847" t="s">
        <v>90</v>
      </c>
      <c r="AP847" s="5">
        <v>44921</v>
      </c>
      <c r="AQ847" t="s">
        <v>93</v>
      </c>
      <c r="AR847" s="5">
        <v>44982</v>
      </c>
      <c r="AS847">
        <v>176.29038017263022</v>
      </c>
      <c r="AT847" s="6"/>
      <c r="AU847">
        <v>50.469301416547118</v>
      </c>
      <c r="AV847">
        <v>64.114672561481072</v>
      </c>
      <c r="AW847">
        <v>35.256490036729026</v>
      </c>
      <c r="AX847">
        <v>149.8404640147572</v>
      </c>
      <c r="AY847">
        <v>22.42109818676418</v>
      </c>
      <c r="AZ847">
        <v>34.306809191973869</v>
      </c>
      <c r="BA847">
        <v>23.051178395101452</v>
      </c>
      <c r="BB847">
        <v>3.7858234255785992</v>
      </c>
      <c r="BC847">
        <v>14.326305483111081</v>
      </c>
      <c r="BD847">
        <v>97.891214682529167</v>
      </c>
      <c r="BE847">
        <v>-71.441298524656148</v>
      </c>
      <c r="BF847">
        <v>21.557751390744691</v>
      </c>
      <c r="BH847">
        <v>21.557751390744691</v>
      </c>
      <c r="BI847">
        <v>269.28943008803111</v>
      </c>
      <c r="BJ847" s="6">
        <v>150</v>
      </c>
      <c r="BK847">
        <v>-92.99904991540086</v>
      </c>
      <c r="BL847" s="4">
        <v>-737.07420000000013</v>
      </c>
      <c r="BM847" t="s">
        <v>787</v>
      </c>
      <c r="BN847" t="s">
        <v>65</v>
      </c>
      <c r="BO847">
        <v>2</v>
      </c>
      <c r="BP847">
        <v>2023</v>
      </c>
      <c r="BQ847" t="str">
        <f t="shared" si="66"/>
        <v>SR12</v>
      </c>
      <c r="BR847">
        <f t="shared" si="67"/>
        <v>-945.44150000000025</v>
      </c>
      <c r="BS847">
        <f t="shared" si="68"/>
        <v>1397.2087999999999</v>
      </c>
      <c r="BT847" s="6">
        <f t="shared" si="69"/>
        <v>-119.28943008803111</v>
      </c>
    </row>
    <row r="848" spans="1:72">
      <c r="A848" s="3" t="s">
        <v>631</v>
      </c>
      <c r="B848" s="3" t="s">
        <v>760</v>
      </c>
      <c r="C848" s="3" t="s">
        <v>772</v>
      </c>
      <c r="D848" s="2" t="s">
        <v>776</v>
      </c>
      <c r="E848" s="4" t="str">
        <f t="shared" si="65"/>
        <v>SR1G1-130-0010</v>
      </c>
      <c r="F848">
        <v>2</v>
      </c>
      <c r="G848">
        <v>1.6</v>
      </c>
      <c r="H848" t="s">
        <v>72</v>
      </c>
      <c r="I848" t="s">
        <v>67</v>
      </c>
      <c r="J848" t="s">
        <v>68</v>
      </c>
      <c r="K848" t="s">
        <v>79</v>
      </c>
      <c r="L848" t="s">
        <v>79</v>
      </c>
      <c r="M848">
        <v>0.10526315789473684</v>
      </c>
      <c r="N848" s="5">
        <v>45155</v>
      </c>
      <c r="O848" s="5">
        <v>45168</v>
      </c>
      <c r="P848">
        <v>1.3</v>
      </c>
      <c r="Q848" s="4">
        <v>254</v>
      </c>
      <c r="R848">
        <v>0.49</v>
      </c>
      <c r="S848" t="s">
        <v>70</v>
      </c>
      <c r="T848" s="6">
        <v>1</v>
      </c>
      <c r="U848" s="5">
        <v>45207</v>
      </c>
      <c r="V848" s="6">
        <v>2</v>
      </c>
      <c r="W848" t="s">
        <v>71</v>
      </c>
      <c r="X848" s="6">
        <v>39</v>
      </c>
      <c r="Y848">
        <v>6.69217</v>
      </c>
      <c r="Z848">
        <v>3.346085</v>
      </c>
      <c r="AA848" s="6">
        <v>117.0000164371198</v>
      </c>
      <c r="AB848" s="4">
        <v>60.229538461538453</v>
      </c>
      <c r="AC848" s="6">
        <v>8.5470073462548406</v>
      </c>
      <c r="AD848">
        <v>0.20658996299999999</v>
      </c>
      <c r="AE848">
        <v>1.5689072313411514</v>
      </c>
      <c r="AF848">
        <v>9500</v>
      </c>
      <c r="AG848" s="4">
        <v>0</v>
      </c>
      <c r="AH848" s="4">
        <v>1000</v>
      </c>
      <c r="AI848" t="s">
        <v>73</v>
      </c>
      <c r="AJ848" t="s">
        <v>73</v>
      </c>
      <c r="AK848" t="s">
        <v>123</v>
      </c>
      <c r="AL848">
        <v>117</v>
      </c>
      <c r="AM848">
        <v>6.69217</v>
      </c>
      <c r="AN848" t="s">
        <v>73</v>
      </c>
      <c r="AO848" t="s">
        <v>198</v>
      </c>
      <c r="AP848" s="5">
        <v>45168</v>
      </c>
      <c r="AQ848" t="s">
        <v>131</v>
      </c>
      <c r="AR848" s="5">
        <v>45206</v>
      </c>
      <c r="AS848">
        <v>94</v>
      </c>
      <c r="AT848" s="6"/>
      <c r="AU848">
        <v>87.415591654127141</v>
      </c>
      <c r="AV848">
        <v>42.321324772084388</v>
      </c>
      <c r="AW848">
        <v>39.009283984118753</v>
      </c>
      <c r="AX848">
        <v>168.74620041033029</v>
      </c>
      <c r="AY848">
        <v>13.487472673288336</v>
      </c>
      <c r="AZ848">
        <v>26.291767842119967</v>
      </c>
      <c r="BA848">
        <v>12.124811533478676</v>
      </c>
      <c r="BB848">
        <v>2.9788603696558815</v>
      </c>
      <c r="BC848">
        <v>16.5521363025745</v>
      </c>
      <c r="BD848">
        <v>71.435048721117369</v>
      </c>
      <c r="BE848">
        <v>-146.18124913144766</v>
      </c>
      <c r="BF848">
        <v>15.960370104166509</v>
      </c>
      <c r="BH848">
        <v>15.960370104166509</v>
      </c>
      <c r="BI848">
        <v>256.14161923561414</v>
      </c>
      <c r="BJ848" s="6">
        <v>150</v>
      </c>
      <c r="BK848">
        <v>-162.14161923561412</v>
      </c>
      <c r="BL848" s="4">
        <v>-1085.0792799999997</v>
      </c>
      <c r="BM848" t="s">
        <v>777</v>
      </c>
      <c r="BN848" t="s">
        <v>65</v>
      </c>
      <c r="BO848">
        <v>10</v>
      </c>
      <c r="BP848">
        <v>2023</v>
      </c>
      <c r="BQ848" t="str">
        <f t="shared" si="66"/>
        <v>SR110</v>
      </c>
      <c r="BR848">
        <f t="shared" si="67"/>
        <v>-710.31775999999991</v>
      </c>
      <c r="BS848">
        <f t="shared" si="68"/>
        <v>629.06398000000002</v>
      </c>
      <c r="BT848" s="6">
        <f t="shared" si="69"/>
        <v>-106.14161923561414</v>
      </c>
    </row>
    <row r="849" spans="1:72">
      <c r="A849" s="3" t="s">
        <v>631</v>
      </c>
      <c r="B849" s="3" t="s">
        <v>760</v>
      </c>
      <c r="C849" s="3" t="s">
        <v>772</v>
      </c>
      <c r="D849" s="2" t="s">
        <v>782</v>
      </c>
      <c r="E849" s="4" t="str">
        <f t="shared" si="65"/>
        <v>SR1H1-095-0037</v>
      </c>
      <c r="F849">
        <v>2.5</v>
      </c>
      <c r="G849">
        <v>1.6</v>
      </c>
      <c r="H849" t="s">
        <v>72</v>
      </c>
      <c r="I849" t="s">
        <v>75</v>
      </c>
      <c r="J849" t="s">
        <v>68</v>
      </c>
      <c r="K849" t="s">
        <v>79</v>
      </c>
      <c r="L849" t="s">
        <v>79</v>
      </c>
      <c r="M849">
        <v>3.7916666666666665</v>
      </c>
      <c r="N849" s="5">
        <v>44885</v>
      </c>
      <c r="O849" s="5">
        <v>44901</v>
      </c>
      <c r="P849">
        <v>1.1000000000000001</v>
      </c>
      <c r="Q849" s="4">
        <v>172</v>
      </c>
      <c r="R849">
        <v>0.71</v>
      </c>
      <c r="S849" t="s">
        <v>70</v>
      </c>
      <c r="T849" s="6">
        <v>1</v>
      </c>
      <c r="U849" s="5">
        <v>44952</v>
      </c>
      <c r="V849" s="6">
        <v>2</v>
      </c>
      <c r="W849" t="s">
        <v>71</v>
      </c>
      <c r="X849" s="6">
        <v>51</v>
      </c>
      <c r="Y849">
        <v>4.9201899999999998</v>
      </c>
      <c r="Z849">
        <v>1.9680759999999999</v>
      </c>
      <c r="AA849" s="6">
        <v>89.000018291976531</v>
      </c>
      <c r="AB849" s="4">
        <v>39.808818181818182</v>
      </c>
      <c r="AC849" s="6">
        <v>11.235952746878832</v>
      </c>
      <c r="AD849">
        <v>0.20639127600000001</v>
      </c>
      <c r="AE849">
        <v>1.4495589716828656</v>
      </c>
      <c r="AF849">
        <v>6000</v>
      </c>
      <c r="AG849" s="4">
        <v>0</v>
      </c>
      <c r="AH849" s="4">
        <v>22750</v>
      </c>
      <c r="AL849">
        <v>89</v>
      </c>
      <c r="AM849">
        <v>4.9201899999999998</v>
      </c>
      <c r="AN849" t="s">
        <v>73</v>
      </c>
      <c r="AO849" t="s">
        <v>90</v>
      </c>
      <c r="AP849" s="5">
        <v>44901</v>
      </c>
      <c r="AQ849" t="s">
        <v>438</v>
      </c>
      <c r="AR849" s="5">
        <v>44951</v>
      </c>
      <c r="AS849">
        <v>159.98357990240214</v>
      </c>
      <c r="AT849" s="6"/>
      <c r="AU849">
        <v>79.265231627233916</v>
      </c>
      <c r="AV849">
        <v>41.795327009729299</v>
      </c>
      <c r="AW849">
        <v>71.229251309400652</v>
      </c>
      <c r="AX849">
        <v>192.28980994636385</v>
      </c>
      <c r="AY849">
        <v>36.241787410648783</v>
      </c>
      <c r="AZ849">
        <v>69.452134978527255</v>
      </c>
      <c r="BA849">
        <v>45.254189370735688</v>
      </c>
      <c r="BB849">
        <v>13.869480650137495</v>
      </c>
      <c r="BC849">
        <v>22.636241689853442</v>
      </c>
      <c r="BD849">
        <v>187.45383409990265</v>
      </c>
      <c r="BE849">
        <v>-219.76006414386435</v>
      </c>
      <c r="BF849">
        <v>9.6610374802599086</v>
      </c>
      <c r="BH849">
        <v>9.6610374802599086</v>
      </c>
      <c r="BI849">
        <v>389.40468152652642</v>
      </c>
      <c r="BJ849" s="6">
        <v>150</v>
      </c>
      <c r="BK849">
        <v>-229.42110162412422</v>
      </c>
      <c r="BL849" s="4">
        <v>-1128.7954099999997</v>
      </c>
      <c r="BM849" t="s">
        <v>783</v>
      </c>
      <c r="BN849" t="s">
        <v>65</v>
      </c>
      <c r="BO849">
        <v>1</v>
      </c>
      <c r="BP849">
        <v>2023</v>
      </c>
      <c r="BQ849" t="str">
        <f t="shared" si="66"/>
        <v>SR11</v>
      </c>
      <c r="BR849">
        <f t="shared" si="67"/>
        <v>-1177.91652</v>
      </c>
      <c r="BS849">
        <f t="shared" si="68"/>
        <v>787.14960999999994</v>
      </c>
      <c r="BT849" s="6">
        <f t="shared" si="69"/>
        <v>-239.40468152652642</v>
      </c>
    </row>
    <row r="850" spans="1:72">
      <c r="A850" s="3" t="s">
        <v>631</v>
      </c>
      <c r="B850" s="3" t="s">
        <v>760</v>
      </c>
      <c r="C850" s="3" t="s">
        <v>772</v>
      </c>
      <c r="D850" s="2" t="s">
        <v>784</v>
      </c>
      <c r="E850" s="4" t="str">
        <f t="shared" si="65"/>
        <v>SR1H1-092-0039</v>
      </c>
      <c r="F850">
        <v>2.5</v>
      </c>
      <c r="G850">
        <v>1.6</v>
      </c>
      <c r="H850" t="s">
        <v>72</v>
      </c>
      <c r="I850" t="s">
        <v>75</v>
      </c>
      <c r="J850" t="s">
        <v>68</v>
      </c>
      <c r="K850" t="s">
        <v>79</v>
      </c>
      <c r="L850" t="s">
        <v>79</v>
      </c>
      <c r="M850">
        <v>3.661290322580645</v>
      </c>
      <c r="N850" s="5">
        <v>44875</v>
      </c>
      <c r="O850" s="5">
        <v>44891</v>
      </c>
      <c r="P850">
        <v>1.08</v>
      </c>
      <c r="Q850" s="4">
        <v>169</v>
      </c>
      <c r="R850">
        <v>1.1200000000000001</v>
      </c>
      <c r="S850" t="s">
        <v>70</v>
      </c>
      <c r="T850" s="6">
        <v>1</v>
      </c>
      <c r="U850" s="5">
        <v>44945</v>
      </c>
      <c r="V850" s="6">
        <v>2</v>
      </c>
      <c r="W850" t="s">
        <v>71</v>
      </c>
      <c r="X850" s="6">
        <v>54</v>
      </c>
      <c r="Y850">
        <v>4.4413</v>
      </c>
      <c r="Z850">
        <v>1.7765200000000001</v>
      </c>
      <c r="AA850" s="6">
        <v>81.99986490441988</v>
      </c>
      <c r="AB850" s="4">
        <v>33.720925925925926</v>
      </c>
      <c r="AC850" s="6">
        <v>12.195142042802305</v>
      </c>
      <c r="AD850">
        <v>0.20509485100000002</v>
      </c>
      <c r="AE850">
        <v>1.9182574796571885</v>
      </c>
      <c r="AF850">
        <v>6200</v>
      </c>
      <c r="AG850" s="4">
        <v>4200</v>
      </c>
      <c r="AH850" s="4">
        <v>22700</v>
      </c>
      <c r="AI850" t="s">
        <v>73</v>
      </c>
      <c r="AJ850" t="s">
        <v>73</v>
      </c>
      <c r="AK850" t="s">
        <v>147</v>
      </c>
      <c r="AL850">
        <v>82</v>
      </c>
      <c r="AM850">
        <v>4.4413</v>
      </c>
      <c r="AN850" t="s">
        <v>73</v>
      </c>
      <c r="AO850" t="s">
        <v>92</v>
      </c>
      <c r="AP850" s="5">
        <v>44893</v>
      </c>
      <c r="AQ850" t="s">
        <v>92</v>
      </c>
      <c r="AR850" s="5">
        <v>44944</v>
      </c>
      <c r="AS850">
        <v>169.91777857834413</v>
      </c>
      <c r="AT850" s="6"/>
      <c r="AU850">
        <v>124.91478395965143</v>
      </c>
      <c r="AV850">
        <v>44.976970706775049</v>
      </c>
      <c r="AW850">
        <v>50.470823857879438</v>
      </c>
      <c r="AX850">
        <v>220.36257852430592</v>
      </c>
      <c r="AY850">
        <v>42.909031139531216</v>
      </c>
      <c r="AZ850">
        <v>70.731144034404338</v>
      </c>
      <c r="BA850">
        <v>53.990464503636318</v>
      </c>
      <c r="BB850">
        <v>17.377601152815615</v>
      </c>
      <c r="BC850">
        <v>26.815626055434219</v>
      </c>
      <c r="BD850">
        <v>211.8238668858217</v>
      </c>
      <c r="BE850">
        <v>-262.26866683178349</v>
      </c>
      <c r="BF850">
        <v>11.400898385607817</v>
      </c>
      <c r="BH850">
        <v>11.400898385607817</v>
      </c>
      <c r="BI850">
        <v>443.58734379573548</v>
      </c>
      <c r="BJ850" s="6">
        <v>150</v>
      </c>
      <c r="BK850">
        <v>-273.66956521739132</v>
      </c>
      <c r="BL850" s="4">
        <v>-1215.4486400000001</v>
      </c>
      <c r="BM850" t="s">
        <v>785</v>
      </c>
      <c r="BN850" t="s">
        <v>65</v>
      </c>
      <c r="BO850">
        <v>1</v>
      </c>
      <c r="BP850">
        <v>2023</v>
      </c>
      <c r="BQ850" t="str">
        <f t="shared" si="66"/>
        <v>SR11</v>
      </c>
      <c r="BR850">
        <f t="shared" si="67"/>
        <v>-1303.9094700000001</v>
      </c>
      <c r="BS850">
        <f t="shared" si="68"/>
        <v>754.65582999999981</v>
      </c>
      <c r="BT850" s="6">
        <f t="shared" si="69"/>
        <v>-293.58734379573548</v>
      </c>
    </row>
    <row r="851" spans="1:72">
      <c r="A851" s="3" t="s">
        <v>631</v>
      </c>
      <c r="B851" s="3" t="s">
        <v>760</v>
      </c>
      <c r="C851" s="3" t="s">
        <v>772</v>
      </c>
      <c r="D851" s="2" t="s">
        <v>778</v>
      </c>
      <c r="E851" s="4" t="str">
        <f t="shared" si="65"/>
        <v>SR1H1-126-0008</v>
      </c>
      <c r="F851">
        <v>2</v>
      </c>
      <c r="G851">
        <v>1.6</v>
      </c>
      <c r="H851" t="s">
        <v>72</v>
      </c>
      <c r="I851" t="s">
        <v>75</v>
      </c>
      <c r="J851" t="s">
        <v>68</v>
      </c>
      <c r="K851" t="s">
        <v>79</v>
      </c>
      <c r="L851" t="s">
        <v>79</v>
      </c>
      <c r="M851">
        <v>2.3222672064777328</v>
      </c>
      <c r="N851" s="5">
        <v>44916</v>
      </c>
      <c r="O851" s="5">
        <v>44932</v>
      </c>
      <c r="P851">
        <v>0.7</v>
      </c>
      <c r="Q851" s="4">
        <v>137</v>
      </c>
      <c r="R851">
        <v>0.49</v>
      </c>
      <c r="S851" t="s">
        <v>70</v>
      </c>
      <c r="T851" s="6">
        <v>1</v>
      </c>
      <c r="U851" s="5">
        <v>44977</v>
      </c>
      <c r="V851" s="6">
        <v>2</v>
      </c>
      <c r="W851" t="s">
        <v>71</v>
      </c>
      <c r="X851" s="6">
        <v>45</v>
      </c>
      <c r="Y851">
        <v>5.7699499999999997</v>
      </c>
      <c r="Z851">
        <v>2.8849749999999998</v>
      </c>
      <c r="AA851" s="6">
        <v>108.00024263641799</v>
      </c>
      <c r="AB851" s="4">
        <v>89.022285714285715</v>
      </c>
      <c r="AC851" s="6">
        <v>9.2592384571439581</v>
      </c>
      <c r="AD851">
        <v>0.19487242799999999</v>
      </c>
      <c r="AE851">
        <v>1.1378398547987361</v>
      </c>
      <c r="AF851">
        <v>6175</v>
      </c>
      <c r="AG851" s="4">
        <v>0</v>
      </c>
      <c r="AH851" s="4">
        <v>14340</v>
      </c>
      <c r="AI851" t="s">
        <v>73</v>
      </c>
      <c r="AJ851" t="s">
        <v>73</v>
      </c>
      <c r="AK851" t="s">
        <v>123</v>
      </c>
      <c r="AL851">
        <v>108</v>
      </c>
      <c r="AM851">
        <v>5.7699499999999997</v>
      </c>
      <c r="AN851" t="s">
        <v>73</v>
      </c>
      <c r="AO851" t="s">
        <v>102</v>
      </c>
      <c r="AP851" s="5">
        <v>44932</v>
      </c>
      <c r="AQ851" t="s">
        <v>438</v>
      </c>
      <c r="AR851" s="5">
        <v>44976</v>
      </c>
      <c r="AS851">
        <v>136.5333408435082</v>
      </c>
      <c r="AT851" s="6"/>
      <c r="AU851">
        <v>54.59319404847529</v>
      </c>
      <c r="AV851">
        <v>38.84001421156163</v>
      </c>
      <c r="AW851">
        <v>55.520054766505787</v>
      </c>
      <c r="AX851">
        <v>148.95326302654269</v>
      </c>
      <c r="AY851">
        <v>32.749238728238545</v>
      </c>
      <c r="AZ851">
        <v>52.195760795154207</v>
      </c>
      <c r="BA851">
        <v>39.953483132436162</v>
      </c>
      <c r="BB851">
        <v>6.8618410904773866</v>
      </c>
      <c r="BC851">
        <v>12.705434189204412</v>
      </c>
      <c r="BD851">
        <v>144.46575793551071</v>
      </c>
      <c r="BE851">
        <v>-156.8856801185452</v>
      </c>
      <c r="BF851">
        <v>7.6248095737398076</v>
      </c>
      <c r="BH851">
        <v>7.6248095737398076</v>
      </c>
      <c r="BI851">
        <v>301.04383053579318</v>
      </c>
      <c r="BJ851" s="6">
        <v>150</v>
      </c>
      <c r="BK851">
        <v>-164.51048969228495</v>
      </c>
      <c r="BL851" s="4">
        <v>-949.21729999999957</v>
      </c>
      <c r="BM851" t="s">
        <v>779</v>
      </c>
      <c r="BN851" t="s">
        <v>65</v>
      </c>
      <c r="BO851">
        <v>2</v>
      </c>
      <c r="BP851">
        <v>2023</v>
      </c>
      <c r="BQ851" t="str">
        <f t="shared" si="66"/>
        <v>SR12</v>
      </c>
      <c r="BR851">
        <f t="shared" si="67"/>
        <v>-871.51534999999978</v>
      </c>
      <c r="BS851">
        <f t="shared" si="68"/>
        <v>787.79055000000005</v>
      </c>
      <c r="BT851" s="6">
        <f t="shared" si="69"/>
        <v>-151.04383053579318</v>
      </c>
    </row>
    <row r="852" spans="1:72">
      <c r="A852" s="3" t="s">
        <v>631</v>
      </c>
      <c r="B852" s="3" t="s">
        <v>760</v>
      </c>
      <c r="C852" s="3" t="s">
        <v>772</v>
      </c>
      <c r="D852" s="2" t="s">
        <v>780</v>
      </c>
      <c r="E852" s="4" t="str">
        <f t="shared" si="65"/>
        <v>SR1G1-130-0008</v>
      </c>
      <c r="F852">
        <v>2</v>
      </c>
      <c r="G852">
        <v>1.6</v>
      </c>
      <c r="H852" t="s">
        <v>72</v>
      </c>
      <c r="I852" t="s">
        <v>67</v>
      </c>
      <c r="J852" t="s">
        <v>68</v>
      </c>
      <c r="K852" t="s">
        <v>79</v>
      </c>
      <c r="L852" t="s">
        <v>79</v>
      </c>
      <c r="M852">
        <v>3.2818604651162793</v>
      </c>
      <c r="N852" s="5">
        <v>44905</v>
      </c>
      <c r="O852" s="5">
        <v>44929</v>
      </c>
      <c r="P852">
        <v>0.9</v>
      </c>
      <c r="Q852" s="4">
        <v>176</v>
      </c>
      <c r="R852">
        <v>0.37</v>
      </c>
      <c r="S852" t="s">
        <v>70</v>
      </c>
      <c r="T852" s="6">
        <v>1</v>
      </c>
      <c r="U852" s="5">
        <v>44984</v>
      </c>
      <c r="V852" s="6">
        <v>2</v>
      </c>
      <c r="W852" t="s">
        <v>71</v>
      </c>
      <c r="X852" s="6">
        <v>55</v>
      </c>
      <c r="Y852">
        <v>7.2154499999999997</v>
      </c>
      <c r="Z852">
        <v>3.6077249999999998</v>
      </c>
      <c r="AA852" s="6">
        <v>91.000006929574738</v>
      </c>
      <c r="AB852" s="4">
        <v>72.956222222222223</v>
      </c>
      <c r="AC852" s="6">
        <v>10.989010152206955</v>
      </c>
      <c r="AD852">
        <v>0.19307292700000001</v>
      </c>
      <c r="AE852">
        <v>1.5619347067703695</v>
      </c>
      <c r="AF852">
        <v>10750</v>
      </c>
      <c r="AG852" s="4">
        <v>0</v>
      </c>
      <c r="AH852" s="4">
        <v>35280</v>
      </c>
      <c r="AL852">
        <v>91</v>
      </c>
      <c r="AM852">
        <v>7.2154499999999997</v>
      </c>
      <c r="AN852" t="s">
        <v>73</v>
      </c>
      <c r="AO852" t="s">
        <v>90</v>
      </c>
      <c r="AP852" s="5">
        <v>44929</v>
      </c>
      <c r="AQ852" t="s">
        <v>93</v>
      </c>
      <c r="AR852" s="5">
        <v>44983</v>
      </c>
      <c r="AS852">
        <v>146.59889819761761</v>
      </c>
      <c r="AT852" s="6"/>
      <c r="AU852">
        <v>49.89293807039062</v>
      </c>
      <c r="AV852">
        <v>54.727728693290103</v>
      </c>
      <c r="AW852">
        <v>33.930331441559446</v>
      </c>
      <c r="AX852">
        <v>138.55099820524018</v>
      </c>
      <c r="AY852">
        <v>24.951926768254229</v>
      </c>
      <c r="AZ852">
        <v>38.306915022625063</v>
      </c>
      <c r="BA852">
        <v>25.442895453506019</v>
      </c>
      <c r="BB852">
        <v>4.1820884352327292</v>
      </c>
      <c r="BC852">
        <v>15.861502747576381</v>
      </c>
      <c r="BD852">
        <v>108.74532842719442</v>
      </c>
      <c r="BE852">
        <v>-100.69742843481698</v>
      </c>
      <c r="BF852">
        <v>23.990570234704698</v>
      </c>
      <c r="BH852">
        <v>23.990570234704698</v>
      </c>
      <c r="BI852">
        <v>271.28689686713926</v>
      </c>
      <c r="BJ852" s="6">
        <v>150</v>
      </c>
      <c r="BK852">
        <v>-124.68799866952162</v>
      </c>
      <c r="BL852" s="4">
        <v>-899.68001999999979</v>
      </c>
      <c r="BM852" t="s">
        <v>781</v>
      </c>
      <c r="BN852" t="s">
        <v>65</v>
      </c>
      <c r="BO852">
        <v>2</v>
      </c>
      <c r="BP852">
        <v>2023</v>
      </c>
      <c r="BQ852" t="str">
        <f t="shared" si="66"/>
        <v>SR12</v>
      </c>
      <c r="BR852">
        <f t="shared" si="67"/>
        <v>-875.1395399999999</v>
      </c>
      <c r="BS852">
        <f t="shared" si="68"/>
        <v>1057.77702</v>
      </c>
      <c r="BT852" s="6">
        <f t="shared" si="69"/>
        <v>-121.28689686713926</v>
      </c>
    </row>
    <row r="853" spans="1:72">
      <c r="A853" s="3" t="s">
        <v>631</v>
      </c>
      <c r="B853" s="3" t="s">
        <v>760</v>
      </c>
      <c r="C853" s="3" t="s">
        <v>772</v>
      </c>
      <c r="D853" s="2" t="s">
        <v>774</v>
      </c>
      <c r="E853" s="4" t="str">
        <f t="shared" si="65"/>
        <v>SR1H1-125-0010</v>
      </c>
      <c r="F853">
        <v>2</v>
      </c>
      <c r="G853">
        <v>1.6</v>
      </c>
      <c r="H853" t="s">
        <v>72</v>
      </c>
      <c r="I853" t="s">
        <v>75</v>
      </c>
      <c r="J853" t="s">
        <v>68</v>
      </c>
      <c r="K853" t="s">
        <v>79</v>
      </c>
      <c r="L853" t="s">
        <v>79</v>
      </c>
      <c r="M853">
        <v>2.193548387096774</v>
      </c>
      <c r="N853" s="5">
        <v>44933</v>
      </c>
      <c r="O853" s="5">
        <v>44943</v>
      </c>
      <c r="P853">
        <v>0.8</v>
      </c>
      <c r="Q853" s="4">
        <v>156</v>
      </c>
      <c r="R853">
        <v>0.35</v>
      </c>
      <c r="S853" t="s">
        <v>70</v>
      </c>
      <c r="T853" s="6">
        <v>1</v>
      </c>
      <c r="U853" s="5">
        <v>44990</v>
      </c>
      <c r="V853" s="6">
        <v>2</v>
      </c>
      <c r="W853" t="s">
        <v>71</v>
      </c>
      <c r="X853" s="6">
        <v>47</v>
      </c>
      <c r="Y853">
        <v>4.17455</v>
      </c>
      <c r="Z853">
        <v>2.087275</v>
      </c>
      <c r="AA853" s="6">
        <v>132.99996406798337</v>
      </c>
      <c r="AB853" s="4">
        <v>69.401875000000004</v>
      </c>
      <c r="AC853" s="6">
        <v>7.5187990238015905</v>
      </c>
      <c r="AD853">
        <v>0.15252759599999999</v>
      </c>
      <c r="AE853">
        <v>1.3929722304245675</v>
      </c>
      <c r="AF853">
        <v>5425</v>
      </c>
      <c r="AG853" s="4">
        <v>0</v>
      </c>
      <c r="AH853" s="4">
        <v>11900</v>
      </c>
      <c r="AL853">
        <v>133</v>
      </c>
      <c r="AM853">
        <v>4.17455</v>
      </c>
      <c r="AN853" t="s">
        <v>126</v>
      </c>
      <c r="AO853" t="s">
        <v>92</v>
      </c>
      <c r="AP853" s="5">
        <v>44943</v>
      </c>
      <c r="AQ853" t="s">
        <v>94</v>
      </c>
      <c r="AR853" s="5">
        <v>44989</v>
      </c>
      <c r="AS853">
        <v>117.81699823933118</v>
      </c>
      <c r="AT853" s="6"/>
      <c r="AU853">
        <v>76.654968799032233</v>
      </c>
      <c r="AV853">
        <v>48.006101256422845</v>
      </c>
      <c r="AW853">
        <v>100.12743169922507</v>
      </c>
      <c r="AX853">
        <v>224.78850175468017</v>
      </c>
      <c r="AY853">
        <v>64.40623540261825</v>
      </c>
      <c r="AZ853">
        <v>71.220184211471903</v>
      </c>
      <c r="BA853">
        <v>66.684603130876383</v>
      </c>
      <c r="BB853">
        <v>8.7715729839144334</v>
      </c>
      <c r="BC853">
        <v>20.367040758884194</v>
      </c>
      <c r="BD853">
        <v>231.44963648776516</v>
      </c>
      <c r="BE853">
        <v>-338.42114000311415</v>
      </c>
      <c r="BF853">
        <v>14.305563473907366</v>
      </c>
      <c r="BH853">
        <v>14.305563473907366</v>
      </c>
      <c r="BI853">
        <v>470.5437017163527</v>
      </c>
      <c r="BJ853" s="6">
        <v>150</v>
      </c>
      <c r="BK853">
        <v>-352.72670347702154</v>
      </c>
      <c r="BL853" s="4">
        <v>-1472.4752600000002</v>
      </c>
      <c r="BM853" t="s">
        <v>775</v>
      </c>
      <c r="BN853" t="s">
        <v>65</v>
      </c>
      <c r="BO853">
        <v>3</v>
      </c>
      <c r="BP853">
        <v>2023</v>
      </c>
      <c r="BQ853" t="str">
        <f t="shared" si="66"/>
        <v>SR13</v>
      </c>
      <c r="BR853">
        <f t="shared" si="67"/>
        <v>-1338.1257100000003</v>
      </c>
      <c r="BS853">
        <f t="shared" si="68"/>
        <v>491.83294999999998</v>
      </c>
      <c r="BT853" s="6">
        <f t="shared" si="69"/>
        <v>-320.5437017163527</v>
      </c>
    </row>
    <row r="854" spans="1:72">
      <c r="A854" s="3" t="s">
        <v>631</v>
      </c>
      <c r="B854" s="3" t="s">
        <v>760</v>
      </c>
      <c r="C854" s="3" t="s">
        <v>762</v>
      </c>
      <c r="D854" s="2" t="s">
        <v>769</v>
      </c>
      <c r="E854" s="4" t="str">
        <f t="shared" si="65"/>
        <v>SR1H1-126-0009</v>
      </c>
      <c r="F854">
        <v>2</v>
      </c>
      <c r="G854">
        <v>2</v>
      </c>
      <c r="H854" t="s">
        <v>72</v>
      </c>
      <c r="I854" t="s">
        <v>75</v>
      </c>
      <c r="J854" t="s">
        <v>68</v>
      </c>
      <c r="K854" t="s">
        <v>79</v>
      </c>
      <c r="L854" t="s">
        <v>79</v>
      </c>
      <c r="M854">
        <v>1.433502538071066</v>
      </c>
      <c r="N854" s="5">
        <v>45013</v>
      </c>
      <c r="O854" s="5">
        <v>45043</v>
      </c>
      <c r="P854">
        <v>0.8</v>
      </c>
      <c r="Q854" s="4">
        <v>125</v>
      </c>
      <c r="R854">
        <v>0.19</v>
      </c>
      <c r="S854" t="s">
        <v>70</v>
      </c>
      <c r="T854" s="6">
        <v>1</v>
      </c>
      <c r="U854" s="5">
        <v>45106</v>
      </c>
      <c r="V854" s="6">
        <v>1</v>
      </c>
      <c r="W854" t="s">
        <v>86</v>
      </c>
      <c r="X854" s="6">
        <v>62.999999999999993</v>
      </c>
      <c r="Y854">
        <v>9.0760499999999986</v>
      </c>
      <c r="Z854">
        <v>4.5380249999999993</v>
      </c>
      <c r="AA854" s="6">
        <v>56.999796166834699</v>
      </c>
      <c r="AB854" s="4">
        <v>64.666624999999996</v>
      </c>
      <c r="AC854" s="6">
        <v>17.543922386547926</v>
      </c>
      <c r="AD854">
        <v>0.27545808999999999</v>
      </c>
      <c r="AE854">
        <v>1.6556384152935049</v>
      </c>
      <c r="AF854">
        <v>14775</v>
      </c>
      <c r="AG854" s="4">
        <v>0</v>
      </c>
      <c r="AH854" s="4">
        <v>21180</v>
      </c>
      <c r="AL854">
        <v>57</v>
      </c>
      <c r="AM854">
        <v>9.0760499999999986</v>
      </c>
      <c r="AN854" t="s">
        <v>770</v>
      </c>
      <c r="AO854" t="s">
        <v>92</v>
      </c>
      <c r="AP854" s="5">
        <v>45043</v>
      </c>
      <c r="AQ854" t="s">
        <v>94</v>
      </c>
      <c r="AR854" s="5">
        <v>45106</v>
      </c>
      <c r="AS854">
        <v>45.791594360983034</v>
      </c>
      <c r="AT854" s="6"/>
      <c r="AU854">
        <v>35.257628593936793</v>
      </c>
      <c r="AV854">
        <v>58.077456602817314</v>
      </c>
      <c r="AW854">
        <v>34.317110416976547</v>
      </c>
      <c r="AX854">
        <v>127.65219561373065</v>
      </c>
      <c r="AY854">
        <v>27.135225125467578</v>
      </c>
      <c r="AZ854">
        <v>22.98121870196837</v>
      </c>
      <c r="BA854">
        <v>23.214761928371928</v>
      </c>
      <c r="BB854">
        <v>6.5130491788828841</v>
      </c>
      <c r="BC854">
        <v>11.123030393177649</v>
      </c>
      <c r="BD854">
        <v>90.967285327868424</v>
      </c>
      <c r="BE854">
        <v>-172.82788658061605</v>
      </c>
      <c r="BF854">
        <v>5.5486406531475705</v>
      </c>
      <c r="BH854">
        <v>5.5486406531475705</v>
      </c>
      <c r="BI854">
        <v>224.16812159474662</v>
      </c>
      <c r="BJ854" s="6">
        <v>164</v>
      </c>
      <c r="BK854">
        <v>-178.37652723376357</v>
      </c>
      <c r="BL854" s="4">
        <v>-1618.9542799999997</v>
      </c>
      <c r="BM854" t="s">
        <v>771</v>
      </c>
      <c r="BN854" t="s">
        <v>65</v>
      </c>
      <c r="BO854">
        <v>6</v>
      </c>
      <c r="BP854">
        <v>2023</v>
      </c>
      <c r="BQ854" t="str">
        <f t="shared" si="66"/>
        <v>SR16</v>
      </c>
      <c r="BR854">
        <f t="shared" si="67"/>
        <v>-546.08888000000002</v>
      </c>
      <c r="BS854">
        <f t="shared" si="68"/>
        <v>415.60680000000002</v>
      </c>
      <c r="BT854" s="6">
        <f t="shared" si="69"/>
        <v>-60.168121594746623</v>
      </c>
    </row>
    <row r="855" spans="1:72">
      <c r="A855" s="3" t="s">
        <v>631</v>
      </c>
      <c r="B855" s="3" t="s">
        <v>760</v>
      </c>
      <c r="C855" s="3" t="s">
        <v>762</v>
      </c>
      <c r="D855" s="2" t="s">
        <v>767</v>
      </c>
      <c r="E855" s="4" t="str">
        <f t="shared" si="65"/>
        <v>SR1H1-125-0011</v>
      </c>
      <c r="F855">
        <v>2</v>
      </c>
      <c r="G855">
        <v>1.6</v>
      </c>
      <c r="H855" t="s">
        <v>72</v>
      </c>
      <c r="I855" t="s">
        <v>75</v>
      </c>
      <c r="J855" t="s">
        <v>68</v>
      </c>
      <c r="K855" t="s">
        <v>79</v>
      </c>
      <c r="L855" t="s">
        <v>79</v>
      </c>
      <c r="M855">
        <v>1.9927710843373494</v>
      </c>
      <c r="N855" s="5">
        <v>45017</v>
      </c>
      <c r="O855" s="5">
        <v>45057</v>
      </c>
      <c r="P855">
        <v>0.8</v>
      </c>
      <c r="Q855" s="4">
        <v>156</v>
      </c>
      <c r="R855">
        <v>0.38800000000000001</v>
      </c>
      <c r="S855" t="s">
        <v>70</v>
      </c>
      <c r="T855" s="6">
        <v>1</v>
      </c>
      <c r="U855" s="5">
        <v>45119</v>
      </c>
      <c r="V855" s="6">
        <v>2</v>
      </c>
      <c r="W855" t="s">
        <v>71</v>
      </c>
      <c r="X855" s="6">
        <v>62.000000000000007</v>
      </c>
      <c r="Y855">
        <v>4.8553599999999992</v>
      </c>
      <c r="Z855">
        <v>2.4276799999999996</v>
      </c>
      <c r="AA855" s="6">
        <v>60.000082383180654</v>
      </c>
      <c r="AB855" s="4">
        <v>36.41525</v>
      </c>
      <c r="AC855" s="6">
        <v>16.666643782481241</v>
      </c>
      <c r="AD855">
        <v>0.26255914000000002</v>
      </c>
      <c r="AE855">
        <v>1.8260379815900172</v>
      </c>
      <c r="AF855">
        <v>8300</v>
      </c>
      <c r="AG855" s="4">
        <v>0</v>
      </c>
      <c r="AH855" s="4">
        <v>16540</v>
      </c>
      <c r="AL855">
        <v>60</v>
      </c>
      <c r="AM855">
        <v>4.8553599999999992</v>
      </c>
      <c r="AN855" t="s">
        <v>126</v>
      </c>
      <c r="AO855" t="s">
        <v>92</v>
      </c>
      <c r="AP855" s="5">
        <v>45057</v>
      </c>
      <c r="AQ855" t="s">
        <v>438</v>
      </c>
      <c r="AR855" s="5">
        <v>45118</v>
      </c>
      <c r="AS855">
        <v>120.44531610426418</v>
      </c>
      <c r="AT855" s="6"/>
      <c r="AU855">
        <v>71.05549331048573</v>
      </c>
      <c r="AV855">
        <v>60.908381664799307</v>
      </c>
      <c r="AW855">
        <v>98.327335151255525</v>
      </c>
      <c r="AX855">
        <v>230.29121012654059</v>
      </c>
      <c r="AY855">
        <v>63.131730705859098</v>
      </c>
      <c r="AZ855">
        <v>56.522914881697751</v>
      </c>
      <c r="BA855">
        <v>61.023009622355517</v>
      </c>
      <c r="BB855">
        <v>17.765934966717197</v>
      </c>
      <c r="BC855">
        <v>28.611149327753246</v>
      </c>
      <c r="BD855">
        <v>227.05473950438281</v>
      </c>
      <c r="BE855">
        <v>-336.90063352665925</v>
      </c>
      <c r="BF855">
        <v>9.8777866110854813</v>
      </c>
      <c r="BH855">
        <v>9.8777866110854813</v>
      </c>
      <c r="BI855">
        <v>467.22373624200884</v>
      </c>
      <c r="BJ855" s="6">
        <v>162</v>
      </c>
      <c r="BK855">
        <v>-346.77842013774466</v>
      </c>
      <c r="BL855" s="4">
        <v>-1683.7340699999997</v>
      </c>
      <c r="BM855" t="s">
        <v>768</v>
      </c>
      <c r="BN855" t="s">
        <v>65</v>
      </c>
      <c r="BO855">
        <v>7</v>
      </c>
      <c r="BP855">
        <v>2023</v>
      </c>
      <c r="BQ855" t="str">
        <f t="shared" si="66"/>
        <v>SR17</v>
      </c>
      <c r="BR855">
        <f t="shared" si="67"/>
        <v>-1481.9711199999997</v>
      </c>
      <c r="BS855">
        <f t="shared" si="68"/>
        <v>584.80537000000004</v>
      </c>
      <c r="BT855" s="6">
        <f t="shared" si="69"/>
        <v>-305.22373624200884</v>
      </c>
    </row>
    <row r="856" spans="1:72">
      <c r="A856" s="3" t="s">
        <v>631</v>
      </c>
      <c r="B856" s="3" t="s">
        <v>760</v>
      </c>
      <c r="C856" s="3" t="s">
        <v>762</v>
      </c>
      <c r="D856" s="2" t="s">
        <v>764</v>
      </c>
      <c r="E856" s="4" t="str">
        <f t="shared" si="65"/>
        <v>SR1H1-095-0038</v>
      </c>
      <c r="F856">
        <v>2.5</v>
      </c>
      <c r="G856">
        <v>1.6</v>
      </c>
      <c r="H856" t="s">
        <v>72</v>
      </c>
      <c r="I856" t="s">
        <v>75</v>
      </c>
      <c r="J856" t="s">
        <v>68</v>
      </c>
      <c r="K856" t="s">
        <v>79</v>
      </c>
      <c r="L856" t="s">
        <v>79</v>
      </c>
      <c r="M856">
        <v>1.8354285714285714</v>
      </c>
      <c r="N856" s="5">
        <v>45014</v>
      </c>
      <c r="O856" s="5">
        <v>45049</v>
      </c>
      <c r="P856">
        <v>0.8</v>
      </c>
      <c r="Q856" s="4">
        <v>125</v>
      </c>
      <c r="R856">
        <v>0.4</v>
      </c>
      <c r="S856" t="s">
        <v>70</v>
      </c>
      <c r="T856" s="6">
        <v>1</v>
      </c>
      <c r="U856" s="5">
        <v>45099</v>
      </c>
      <c r="V856" s="6">
        <v>2</v>
      </c>
      <c r="W856" t="s">
        <v>71</v>
      </c>
      <c r="X856" s="6">
        <v>50</v>
      </c>
      <c r="Y856">
        <v>6.35039</v>
      </c>
      <c r="Z856">
        <v>2.5401560000000001</v>
      </c>
      <c r="AA856" s="6">
        <v>82.000003149412862</v>
      </c>
      <c r="AB856" s="4">
        <v>65.091499999999996</v>
      </c>
      <c r="AC856" s="6">
        <v>12.195121482835702</v>
      </c>
      <c r="AD856">
        <v>0.23590243899999999</v>
      </c>
      <c r="AE856">
        <v>1.4509840988725438</v>
      </c>
      <c r="AF856">
        <v>8750</v>
      </c>
      <c r="AG856" s="4">
        <v>0</v>
      </c>
      <c r="AH856" s="4">
        <v>16060</v>
      </c>
      <c r="AL856">
        <v>82</v>
      </c>
      <c r="AM856">
        <v>6.35039</v>
      </c>
      <c r="AN856" t="s">
        <v>126</v>
      </c>
      <c r="AO856" t="s">
        <v>92</v>
      </c>
      <c r="AP856" s="5">
        <v>45049</v>
      </c>
      <c r="AQ856" t="s">
        <v>92</v>
      </c>
      <c r="AR856" s="5">
        <v>45098</v>
      </c>
      <c r="AS856">
        <v>110.37717998422144</v>
      </c>
      <c r="AT856" s="6"/>
      <c r="AU856">
        <v>50.390605931289258</v>
      </c>
      <c r="AV856">
        <v>49.102938559679011</v>
      </c>
      <c r="AW856">
        <v>45.704803956922305</v>
      </c>
      <c r="AX856">
        <v>145.19834844789057</v>
      </c>
      <c r="AY856">
        <v>42.092154970009709</v>
      </c>
      <c r="AZ856">
        <v>35.836869861536073</v>
      </c>
      <c r="BA856">
        <v>34.436724358661429</v>
      </c>
      <c r="BB856">
        <v>10.946650520676682</v>
      </c>
      <c r="BC856">
        <v>17.234013973944904</v>
      </c>
      <c r="BD856">
        <v>140.54641368482879</v>
      </c>
      <c r="BE856">
        <v>-175.36758214849792</v>
      </c>
      <c r="BF856">
        <v>8.5921463091243204</v>
      </c>
      <c r="BH856">
        <v>8.5921463091243204</v>
      </c>
      <c r="BI856">
        <v>294.33690844184372</v>
      </c>
      <c r="BJ856" s="6">
        <v>150</v>
      </c>
      <c r="BK856">
        <v>-183.95972845762228</v>
      </c>
      <c r="BL856" s="4">
        <v>-1168.2160200000001</v>
      </c>
      <c r="BM856" t="s">
        <v>765</v>
      </c>
      <c r="BN856" t="s">
        <v>65</v>
      </c>
      <c r="BO856">
        <v>6</v>
      </c>
      <c r="BP856">
        <v>2023</v>
      </c>
      <c r="BQ856" t="str">
        <f t="shared" si="66"/>
        <v>SR16</v>
      </c>
      <c r="BR856">
        <f t="shared" si="67"/>
        <v>-916.59565999999995</v>
      </c>
      <c r="BS856">
        <f t="shared" si="68"/>
        <v>700.93813999999998</v>
      </c>
      <c r="BT856" s="6">
        <f t="shared" si="69"/>
        <v>-144.33690844184372</v>
      </c>
    </row>
    <row r="857" spans="1:72">
      <c r="A857" s="3" t="s">
        <v>631</v>
      </c>
      <c r="B857" s="3" t="s">
        <v>760</v>
      </c>
      <c r="C857" s="3" t="s">
        <v>762</v>
      </c>
      <c r="D857" s="2" t="s">
        <v>766</v>
      </c>
      <c r="E857" s="4" t="str">
        <f t="shared" si="65"/>
        <v>SR1H1-094-0029</v>
      </c>
      <c r="F857">
        <v>2.5</v>
      </c>
      <c r="G857">
        <v>1.6</v>
      </c>
      <c r="H857" t="s">
        <v>72</v>
      </c>
      <c r="I857" t="s">
        <v>75</v>
      </c>
      <c r="J857" t="s">
        <v>68</v>
      </c>
      <c r="K857" t="s">
        <v>79</v>
      </c>
      <c r="L857" t="s">
        <v>79</v>
      </c>
      <c r="M857">
        <v>0.45714285714285713</v>
      </c>
      <c r="N857" s="5">
        <v>45015</v>
      </c>
      <c r="O857" s="5">
        <v>45065</v>
      </c>
      <c r="P857">
        <v>1</v>
      </c>
      <c r="Q857" s="4">
        <v>156</v>
      </c>
      <c r="R857">
        <v>0.2</v>
      </c>
      <c r="S857" t="s">
        <v>70</v>
      </c>
      <c r="T857" s="6">
        <v>1</v>
      </c>
      <c r="U857" s="5">
        <v>45121</v>
      </c>
      <c r="V857" s="6">
        <v>2</v>
      </c>
      <c r="W857" t="s">
        <v>71</v>
      </c>
      <c r="X857" s="6">
        <v>56</v>
      </c>
      <c r="Y857">
        <v>7.3662900000000002</v>
      </c>
      <c r="Z857">
        <v>2.9465159999999999</v>
      </c>
      <c r="AA857" s="6">
        <v>78.000051586348079</v>
      </c>
      <c r="AB857" s="4">
        <v>57.457100000000004</v>
      </c>
      <c r="AC857" s="6">
        <v>12.820504341500007</v>
      </c>
      <c r="AD857">
        <v>0.22536629999999999</v>
      </c>
      <c r="AE857">
        <v>1.367513734442787</v>
      </c>
      <c r="AF857">
        <v>9800</v>
      </c>
      <c r="AG857" s="4">
        <v>0</v>
      </c>
      <c r="AH857" s="4">
        <v>4480</v>
      </c>
      <c r="AL857">
        <v>78</v>
      </c>
      <c r="AM857">
        <v>7.3662900000000002</v>
      </c>
      <c r="AN857" t="s">
        <v>126</v>
      </c>
      <c r="AO857" t="s">
        <v>438</v>
      </c>
      <c r="AP857" s="5">
        <v>45065</v>
      </c>
      <c r="AQ857" t="s">
        <v>136</v>
      </c>
      <c r="AR857" s="5">
        <v>45120</v>
      </c>
      <c r="AS857">
        <v>111.14648622305123</v>
      </c>
      <c r="AT857" s="6"/>
      <c r="AU857">
        <v>54.30141903183285</v>
      </c>
      <c r="AV857">
        <v>47.455200650531005</v>
      </c>
      <c r="AW857">
        <v>68.428850886945796</v>
      </c>
      <c r="AX857">
        <v>170.18547056930964</v>
      </c>
      <c r="AY857">
        <v>61.505057498415084</v>
      </c>
      <c r="AZ857">
        <v>51.729368515222717</v>
      </c>
      <c r="BA857">
        <v>55.801788960250001</v>
      </c>
      <c r="BB857">
        <v>16.070733028430865</v>
      </c>
      <c r="BC857">
        <v>27.268825962594466</v>
      </c>
      <c r="BD857">
        <v>212.37577396491315</v>
      </c>
      <c r="BE857">
        <v>-271.41475831117157</v>
      </c>
      <c r="BF857">
        <v>9.8167734368318378</v>
      </c>
      <c r="BH857">
        <v>9.8167734368318378</v>
      </c>
      <c r="BI857">
        <v>392.37801797105465</v>
      </c>
      <c r="BJ857" s="6">
        <v>150</v>
      </c>
      <c r="BK857">
        <v>-281.23153174800342</v>
      </c>
      <c r="BL857" s="4">
        <v>-2071.6330200000002</v>
      </c>
      <c r="BM857" t="s">
        <v>763</v>
      </c>
      <c r="BN857" t="s">
        <v>65</v>
      </c>
      <c r="BO857">
        <v>7</v>
      </c>
      <c r="BP857">
        <v>2023</v>
      </c>
      <c r="BQ857" t="str">
        <f t="shared" si="66"/>
        <v>SR17</v>
      </c>
      <c r="BR857">
        <f t="shared" si="67"/>
        <v>-1785.4267700000003</v>
      </c>
      <c r="BS857">
        <f t="shared" si="68"/>
        <v>818.73725000000002</v>
      </c>
      <c r="BT857" s="6">
        <f t="shared" si="69"/>
        <v>-242.37801797105465</v>
      </c>
    </row>
    <row r="858" spans="1:72">
      <c r="A858" s="3" t="s">
        <v>631</v>
      </c>
      <c r="B858" s="3" t="s">
        <v>651</v>
      </c>
      <c r="C858" s="3" t="s">
        <v>701</v>
      </c>
      <c r="D858" s="2" t="s">
        <v>718</v>
      </c>
      <c r="E858" s="4" t="str">
        <f t="shared" si="65"/>
        <v>NakornfarmBG-113-0010</v>
      </c>
      <c r="F858">
        <v>1.5</v>
      </c>
      <c r="G858">
        <v>2</v>
      </c>
      <c r="H858" t="s">
        <v>72</v>
      </c>
      <c r="I858" t="s">
        <v>67</v>
      </c>
      <c r="J858" t="s">
        <v>95</v>
      </c>
      <c r="K858" t="s">
        <v>508</v>
      </c>
      <c r="L858" t="s">
        <v>508</v>
      </c>
      <c r="M858">
        <v>0.19170506912442398</v>
      </c>
      <c r="N858" s="5">
        <v>45071</v>
      </c>
      <c r="O858" s="5">
        <v>45102</v>
      </c>
      <c r="P858">
        <v>0.8</v>
      </c>
      <c r="Q858" s="4">
        <v>167</v>
      </c>
      <c r="R858">
        <v>0.3</v>
      </c>
      <c r="S858" t="s">
        <v>70</v>
      </c>
      <c r="T858" s="6">
        <v>3</v>
      </c>
      <c r="U858" s="5">
        <v>45222</v>
      </c>
      <c r="V858" s="6">
        <v>1</v>
      </c>
      <c r="W858" t="s">
        <v>86</v>
      </c>
      <c r="X858" s="6">
        <v>120</v>
      </c>
      <c r="Y858">
        <v>16.777720000000002</v>
      </c>
      <c r="Z858">
        <v>11.185146666666668</v>
      </c>
      <c r="AA858" s="6">
        <v>26.196288887882261</v>
      </c>
      <c r="AB858" s="4">
        <v>54.939249999999994</v>
      </c>
      <c r="AC858" s="6">
        <v>38.173346014006384</v>
      </c>
      <c r="AD858">
        <v>0.460462963</v>
      </c>
      <c r="AE858">
        <v>1.968227784724859</v>
      </c>
      <c r="AF858">
        <v>32550</v>
      </c>
      <c r="AG858" s="4">
        <v>0</v>
      </c>
      <c r="AH858" s="4">
        <v>6240</v>
      </c>
      <c r="AL858">
        <v>18</v>
      </c>
      <c r="AM858">
        <v>8.3560400000000001</v>
      </c>
      <c r="AN858" t="s">
        <v>81</v>
      </c>
      <c r="AO858" t="s">
        <v>134</v>
      </c>
      <c r="AP858" s="5">
        <v>45103</v>
      </c>
      <c r="AQ858" t="s">
        <v>134</v>
      </c>
      <c r="AR858" s="5">
        <v>45220</v>
      </c>
      <c r="AS858">
        <v>214.53944576497875</v>
      </c>
      <c r="AT858" s="6"/>
      <c r="AU858">
        <v>19.072913363675159</v>
      </c>
      <c r="AV858">
        <v>58.293032068719683</v>
      </c>
      <c r="AW858">
        <v>33.323746611577725</v>
      </c>
      <c r="AX858">
        <v>110.68969204397257</v>
      </c>
      <c r="AY858">
        <v>21.24135699010354</v>
      </c>
      <c r="AZ858">
        <v>40.815910624327977</v>
      </c>
      <c r="BA858">
        <v>17.624145593084158</v>
      </c>
      <c r="BB858">
        <v>13.422087744937928</v>
      </c>
      <c r="BC858">
        <v>23.852217106972812</v>
      </c>
      <c r="BD858">
        <v>116.95571805942643</v>
      </c>
      <c r="BE858">
        <v>-13.10596433842025</v>
      </c>
      <c r="BF858">
        <v>26.525003397362692</v>
      </c>
      <c r="BH858">
        <v>26.525003397362692</v>
      </c>
      <c r="BI858">
        <v>254.17041350076167</v>
      </c>
      <c r="BJ858" s="6">
        <v>210</v>
      </c>
      <c r="BK858">
        <v>-39.630967735782917</v>
      </c>
      <c r="BL858" s="4">
        <v>-664.91727999999978</v>
      </c>
      <c r="BM858" t="s">
        <v>719</v>
      </c>
      <c r="BN858" t="s">
        <v>65</v>
      </c>
      <c r="BO858">
        <v>10</v>
      </c>
      <c r="BP858">
        <v>2023</v>
      </c>
      <c r="BQ858" t="str">
        <f t="shared" si="66"/>
        <v>Nakornfarm10</v>
      </c>
      <c r="BR858">
        <f t="shared" si="67"/>
        <v>-741.07882999999913</v>
      </c>
      <c r="BS858">
        <f t="shared" si="68"/>
        <v>3599.4827499999997</v>
      </c>
      <c r="BT858" s="6">
        <f t="shared" si="69"/>
        <v>-44.170413500761669</v>
      </c>
    </row>
    <row r="859" spans="1:72">
      <c r="A859" s="3" t="s">
        <v>631</v>
      </c>
      <c r="B859" s="3" t="s">
        <v>651</v>
      </c>
      <c r="C859" s="3" t="s">
        <v>701</v>
      </c>
      <c r="D859" s="2" t="s">
        <v>720</v>
      </c>
      <c r="E859" s="4" t="str">
        <f t="shared" si="65"/>
        <v>NakornfarmBG-101-0010</v>
      </c>
      <c r="F859">
        <v>1.5</v>
      </c>
      <c r="G859">
        <v>1.5</v>
      </c>
      <c r="H859" t="s">
        <v>72</v>
      </c>
      <c r="I859" t="s">
        <v>67</v>
      </c>
      <c r="J859" t="s">
        <v>95</v>
      </c>
      <c r="K859" t="s">
        <v>79</v>
      </c>
      <c r="L859" t="s">
        <v>79</v>
      </c>
      <c r="M859">
        <v>0.18586956521739131</v>
      </c>
      <c r="N859" s="5">
        <v>44986</v>
      </c>
      <c r="O859" s="5">
        <v>44999</v>
      </c>
      <c r="P859">
        <v>0.7</v>
      </c>
      <c r="Q859" s="4">
        <v>194</v>
      </c>
      <c r="R859">
        <v>0.56000000000000005</v>
      </c>
      <c r="S859" t="s">
        <v>70</v>
      </c>
      <c r="T859" s="6">
        <v>2</v>
      </c>
      <c r="U859" s="5">
        <v>45118</v>
      </c>
      <c r="V859" s="6">
        <v>1</v>
      </c>
      <c r="W859" t="s">
        <v>86</v>
      </c>
      <c r="X859" s="6">
        <v>119</v>
      </c>
      <c r="Y859">
        <v>15.559200000000001</v>
      </c>
      <c r="Z859">
        <v>10.3728</v>
      </c>
      <c r="AA859" s="6">
        <v>22.770579464239805</v>
      </c>
      <c r="AB859" s="4">
        <v>50.613142857142854</v>
      </c>
      <c r="AC859" s="6">
        <v>43.916317613719762</v>
      </c>
      <c r="AD859">
        <v>0.39545418199999999</v>
      </c>
      <c r="AE859">
        <v>2.4262883063452714</v>
      </c>
      <c r="AF859">
        <v>36800</v>
      </c>
      <c r="AG859" s="4">
        <v>0</v>
      </c>
      <c r="AH859" s="4">
        <v>6840</v>
      </c>
      <c r="AL859">
        <v>21</v>
      </c>
      <c r="AM859">
        <v>12.090780000000001</v>
      </c>
      <c r="AN859" t="s">
        <v>81</v>
      </c>
      <c r="AO859" t="s">
        <v>170</v>
      </c>
      <c r="AP859" s="5">
        <v>44999</v>
      </c>
      <c r="AQ859" t="s">
        <v>134</v>
      </c>
      <c r="AR859" s="5">
        <v>45117</v>
      </c>
      <c r="AS859">
        <v>246.6538549539822</v>
      </c>
      <c r="AT859" s="6"/>
      <c r="AU859">
        <v>20.245256825543727</v>
      </c>
      <c r="AV859">
        <v>75.939270656589031</v>
      </c>
      <c r="AW859">
        <v>38.337746156614728</v>
      </c>
      <c r="AX859">
        <v>134.52227363874749</v>
      </c>
      <c r="AY859">
        <v>26.164960923440791</v>
      </c>
      <c r="AZ859">
        <v>41.06035785901588</v>
      </c>
      <c r="BA859">
        <v>6.9467993213018673</v>
      </c>
      <c r="BB859">
        <v>8.3498251838140778</v>
      </c>
      <c r="BC859">
        <v>18.708691320890537</v>
      </c>
      <c r="BD859">
        <v>101.23063460846315</v>
      </c>
      <c r="BE859">
        <v>10.900946706771563</v>
      </c>
      <c r="BF859">
        <v>22.029724535965858</v>
      </c>
      <c r="BH859">
        <v>22.029724535965858</v>
      </c>
      <c r="BI859">
        <v>257.78263278317655</v>
      </c>
      <c r="BJ859" s="6">
        <v>228</v>
      </c>
      <c r="BK859">
        <v>-11.128777829194325</v>
      </c>
      <c r="BL859" s="4">
        <v>-173.15488000000036</v>
      </c>
      <c r="BM859" t="s">
        <v>721</v>
      </c>
      <c r="BN859" t="s">
        <v>65</v>
      </c>
      <c r="BO859">
        <v>7</v>
      </c>
      <c r="BP859">
        <v>2023</v>
      </c>
      <c r="BQ859" t="str">
        <f t="shared" si="66"/>
        <v>Nakornfarm7</v>
      </c>
      <c r="BR859">
        <f t="shared" si="67"/>
        <v>-463.39394000000061</v>
      </c>
      <c r="BS859">
        <f t="shared" si="68"/>
        <v>3837.73666</v>
      </c>
      <c r="BT859" s="6">
        <f t="shared" si="69"/>
        <v>-29.782632783176552</v>
      </c>
    </row>
    <row r="860" spans="1:72">
      <c r="A860" s="3" t="s">
        <v>631</v>
      </c>
      <c r="B860" s="3" t="s">
        <v>651</v>
      </c>
      <c r="C860" s="3" t="s">
        <v>701</v>
      </c>
      <c r="D860" s="2" t="s">
        <v>714</v>
      </c>
      <c r="E860" s="4" t="str">
        <f t="shared" si="65"/>
        <v>NakornfarmBG-119-0010</v>
      </c>
      <c r="F860">
        <v>1.48</v>
      </c>
      <c r="G860">
        <v>1.8</v>
      </c>
      <c r="H860" t="s">
        <v>72</v>
      </c>
      <c r="I860" t="s">
        <v>67</v>
      </c>
      <c r="J860" t="s">
        <v>95</v>
      </c>
      <c r="K860" t="s">
        <v>79</v>
      </c>
      <c r="L860" t="s">
        <v>79</v>
      </c>
      <c r="M860">
        <v>2.4089680589680591</v>
      </c>
      <c r="N860" s="5">
        <v>44869</v>
      </c>
      <c r="O860" s="5">
        <v>44949</v>
      </c>
      <c r="P860">
        <v>0.7</v>
      </c>
      <c r="Q860" s="4">
        <v>164</v>
      </c>
      <c r="R860">
        <v>0.15</v>
      </c>
      <c r="S860" t="s">
        <v>70</v>
      </c>
      <c r="T860" s="6">
        <v>4</v>
      </c>
      <c r="U860" s="5">
        <v>45072</v>
      </c>
      <c r="V860" s="6">
        <v>1</v>
      </c>
      <c r="W860" t="s">
        <v>86</v>
      </c>
      <c r="X860" s="6">
        <v>122.99999999999999</v>
      </c>
      <c r="Y860">
        <v>20.44444</v>
      </c>
      <c r="Z860">
        <v>13.813810810810811</v>
      </c>
      <c r="AA860" s="6">
        <v>27.94104411761829</v>
      </c>
      <c r="AB860" s="4">
        <v>81.605571428571437</v>
      </c>
      <c r="AC860" s="6">
        <v>35.789643214136284</v>
      </c>
      <c r="AD860">
        <v>0.38592721600000002</v>
      </c>
      <c r="AE860">
        <v>2.0010383766711377</v>
      </c>
      <c r="AF860">
        <v>40700</v>
      </c>
      <c r="AG860" s="4">
        <v>0</v>
      </c>
      <c r="AH860" s="4">
        <v>98045</v>
      </c>
      <c r="AL860">
        <v>21</v>
      </c>
      <c r="AM860">
        <v>7.2580799999999996</v>
      </c>
      <c r="AN860" t="s">
        <v>81</v>
      </c>
      <c r="AO860" t="s">
        <v>96</v>
      </c>
      <c r="AP860" s="5">
        <v>44949</v>
      </c>
      <c r="AQ860" t="s">
        <v>117</v>
      </c>
      <c r="AR860" s="5">
        <v>45071</v>
      </c>
      <c r="AS860">
        <v>272.4187759606034</v>
      </c>
      <c r="AT860" s="6"/>
      <c r="AU860">
        <v>10.271741363422036</v>
      </c>
      <c r="AV860">
        <v>64.338094856107588</v>
      </c>
      <c r="AW860">
        <v>33.247319564634687</v>
      </c>
      <c r="AX860">
        <v>107.85715578416431</v>
      </c>
      <c r="AY860">
        <v>36.213369992036952</v>
      </c>
      <c r="AZ860">
        <v>38.9304730283637</v>
      </c>
      <c r="BA860">
        <v>11.398197749608208</v>
      </c>
      <c r="BB860">
        <v>13.498568804036697</v>
      </c>
      <c r="BC860">
        <v>19.190217976134345</v>
      </c>
      <c r="BD860">
        <v>119.23082755017991</v>
      </c>
      <c r="BE860">
        <v>45.330792626259168</v>
      </c>
      <c r="BF860">
        <v>24.994995705433855</v>
      </c>
      <c r="BH860">
        <v>24.994995705433855</v>
      </c>
      <c r="BI860">
        <v>252.08297903977811</v>
      </c>
      <c r="BJ860" s="6">
        <v>204</v>
      </c>
      <c r="BK860">
        <v>20.335796920825302</v>
      </c>
      <c r="BL860" s="4">
        <v>415.75397999999763</v>
      </c>
      <c r="BM860" t="s">
        <v>715</v>
      </c>
      <c r="BN860" t="s">
        <v>65</v>
      </c>
      <c r="BO860">
        <v>5</v>
      </c>
      <c r="BP860">
        <v>2023</v>
      </c>
      <c r="BQ860" t="str">
        <f t="shared" si="66"/>
        <v>Nakornfarm5</v>
      </c>
      <c r="BR860">
        <f t="shared" si="67"/>
        <v>-983.02958000000115</v>
      </c>
      <c r="BS860">
        <f t="shared" si="68"/>
        <v>5569.4493199999988</v>
      </c>
      <c r="BT860" s="6">
        <f t="shared" si="69"/>
        <v>-48.08297903977811</v>
      </c>
    </row>
    <row r="861" spans="1:72">
      <c r="A861" s="3" t="s">
        <v>631</v>
      </c>
      <c r="B861" s="3" t="s">
        <v>651</v>
      </c>
      <c r="C861" s="3" t="s">
        <v>701</v>
      </c>
      <c r="D861" s="2" t="s">
        <v>712</v>
      </c>
      <c r="E861" s="4" t="str">
        <f t="shared" si="65"/>
        <v>NakornfarmBG-116-0011</v>
      </c>
      <c r="F861">
        <v>1.5</v>
      </c>
      <c r="G861">
        <v>2</v>
      </c>
      <c r="H861" t="s">
        <v>72</v>
      </c>
      <c r="I861" t="s">
        <v>67</v>
      </c>
      <c r="J861" t="s">
        <v>95</v>
      </c>
      <c r="K861" t="s">
        <v>79</v>
      </c>
      <c r="L861" t="s">
        <v>79</v>
      </c>
      <c r="M861">
        <v>0.12631578947368421</v>
      </c>
      <c r="N861" s="5">
        <v>45047</v>
      </c>
      <c r="O861" s="5">
        <v>45077</v>
      </c>
      <c r="P861">
        <v>0.8</v>
      </c>
      <c r="Q861" s="4">
        <v>167</v>
      </c>
      <c r="R861">
        <v>0.28000000000000003</v>
      </c>
      <c r="S861" t="s">
        <v>70</v>
      </c>
      <c r="T861" s="6">
        <v>4</v>
      </c>
      <c r="U861" s="5">
        <v>45202</v>
      </c>
      <c r="V861" s="6">
        <v>1</v>
      </c>
      <c r="W861" t="s">
        <v>86</v>
      </c>
      <c r="X861" s="6">
        <v>125</v>
      </c>
      <c r="Y861">
        <v>23.165659999999999</v>
      </c>
      <c r="Z861">
        <v>15.443773333333333</v>
      </c>
      <c r="AA861" s="6">
        <v>28.654698376821553</v>
      </c>
      <c r="AB861" s="4">
        <v>82.975624999999994</v>
      </c>
      <c r="AC861" s="6">
        <v>34.89829091374726</v>
      </c>
      <c r="AD861">
        <v>0.37871238099999999</v>
      </c>
      <c r="AE861">
        <v>1.7806034959981101</v>
      </c>
      <c r="AF861">
        <v>40850</v>
      </c>
      <c r="AG861" s="4">
        <v>0</v>
      </c>
      <c r="AH861" s="4">
        <v>5160</v>
      </c>
      <c r="AL861">
        <v>21</v>
      </c>
      <c r="AM861">
        <v>11.836219999999999</v>
      </c>
      <c r="AN861" t="s">
        <v>81</v>
      </c>
      <c r="AO861" t="s">
        <v>134</v>
      </c>
      <c r="AP861" s="5">
        <v>45077</v>
      </c>
      <c r="AQ861" t="s">
        <v>74</v>
      </c>
      <c r="AR861" s="5">
        <v>45201</v>
      </c>
      <c r="AS861">
        <v>199.16690782822511</v>
      </c>
      <c r="AT861" s="6"/>
      <c r="AU861">
        <v>13.813549883750342</v>
      </c>
      <c r="AV861">
        <v>54.183058889753219</v>
      </c>
      <c r="AW861">
        <v>25.632716270548727</v>
      </c>
      <c r="AX861">
        <v>93.629325044052294</v>
      </c>
      <c r="AY861">
        <v>16.414903784308322</v>
      </c>
      <c r="AZ861">
        <v>32.995389296052871</v>
      </c>
      <c r="BA861">
        <v>13.672866648306158</v>
      </c>
      <c r="BB861">
        <v>10.617845552425445</v>
      </c>
      <c r="BC861">
        <v>16.958776913759422</v>
      </c>
      <c r="BD861">
        <v>90.659782194852227</v>
      </c>
      <c r="BE861">
        <v>14.877800589320586</v>
      </c>
      <c r="BF861">
        <v>18.531873039663022</v>
      </c>
      <c r="BH861">
        <v>18.531873039663022</v>
      </c>
      <c r="BI861">
        <v>202.82098027856748</v>
      </c>
      <c r="BJ861" s="6">
        <v>204</v>
      </c>
      <c r="BK861">
        <v>-3.6540724503423663</v>
      </c>
      <c r="BL861" s="4">
        <v>-84.648999999998139</v>
      </c>
      <c r="BM861" t="s">
        <v>713</v>
      </c>
      <c r="BN861" t="s">
        <v>65</v>
      </c>
      <c r="BO861">
        <v>10</v>
      </c>
      <c r="BP861">
        <v>2023</v>
      </c>
      <c r="BQ861" t="str">
        <f t="shared" si="66"/>
        <v>Nakornfarm10</v>
      </c>
      <c r="BR861">
        <f t="shared" si="67"/>
        <v>27.31277000000058</v>
      </c>
      <c r="BS861">
        <f t="shared" si="68"/>
        <v>4613.8328700000011</v>
      </c>
      <c r="BT861" s="6">
        <f t="shared" si="69"/>
        <v>1.1790197214325246</v>
      </c>
    </row>
    <row r="862" spans="1:72">
      <c r="A862" s="3" t="s">
        <v>631</v>
      </c>
      <c r="B862" s="3" t="s">
        <v>651</v>
      </c>
      <c r="C862" s="3" t="s">
        <v>701</v>
      </c>
      <c r="D862" s="2" t="s">
        <v>708</v>
      </c>
      <c r="E862" s="4" t="str">
        <f t="shared" si="65"/>
        <v>NakornfarmBG-119-0011</v>
      </c>
      <c r="F862">
        <v>1.48</v>
      </c>
      <c r="G862">
        <v>2</v>
      </c>
      <c r="H862" t="s">
        <v>72</v>
      </c>
      <c r="I862" t="s">
        <v>67</v>
      </c>
      <c r="J862" t="s">
        <v>95</v>
      </c>
      <c r="K862" t="s">
        <v>79</v>
      </c>
      <c r="L862" t="s">
        <v>79</v>
      </c>
      <c r="M862">
        <v>0.34549266247379457</v>
      </c>
      <c r="N862" s="5">
        <v>45073</v>
      </c>
      <c r="O862" s="5">
        <v>45102</v>
      </c>
      <c r="P862">
        <v>0.8</v>
      </c>
      <c r="Q862" s="4">
        <v>169</v>
      </c>
      <c r="R862">
        <v>0.8</v>
      </c>
      <c r="S862" t="s">
        <v>70</v>
      </c>
      <c r="T862" s="6">
        <v>5</v>
      </c>
      <c r="U862" s="5">
        <v>45230</v>
      </c>
      <c r="V862" s="6">
        <v>1</v>
      </c>
      <c r="W862" t="s">
        <v>86</v>
      </c>
      <c r="X862" s="6">
        <v>128</v>
      </c>
      <c r="Y862">
        <v>19.523259999999997</v>
      </c>
      <c r="Z862">
        <v>13.19139189189189</v>
      </c>
      <c r="AA862" s="6">
        <v>30.858883198810037</v>
      </c>
      <c r="AB862" s="4">
        <v>75.308250000000001</v>
      </c>
      <c r="AC862" s="6">
        <v>32.405579733960089</v>
      </c>
      <c r="AD862">
        <v>0.36577380999999998</v>
      </c>
      <c r="AE862">
        <v>1.8945351597128888</v>
      </c>
      <c r="AF862">
        <v>35775</v>
      </c>
      <c r="AG862" s="4">
        <v>0</v>
      </c>
      <c r="AH862" s="4">
        <v>12360</v>
      </c>
      <c r="AL862">
        <v>21</v>
      </c>
      <c r="AM862">
        <v>9.59999</v>
      </c>
      <c r="AN862" t="s">
        <v>81</v>
      </c>
      <c r="AO862" t="s">
        <v>134</v>
      </c>
      <c r="AP862" s="5">
        <v>45102</v>
      </c>
      <c r="AQ862" t="s">
        <v>127</v>
      </c>
      <c r="AR862" s="5">
        <v>45229</v>
      </c>
      <c r="AS862">
        <v>202.69788856983928</v>
      </c>
      <c r="AT862" s="6"/>
      <c r="AU862">
        <v>20.488381551031949</v>
      </c>
      <c r="AV862">
        <v>54.907771550448032</v>
      </c>
      <c r="AW862">
        <v>29.718922454549094</v>
      </c>
      <c r="AX862">
        <v>105.11507555602908</v>
      </c>
      <c r="AY862">
        <v>18.816658181061975</v>
      </c>
      <c r="AZ862">
        <v>36.908705820646766</v>
      </c>
      <c r="BA862">
        <v>15.073468262984768</v>
      </c>
      <c r="BB862">
        <v>11.547165278749555</v>
      </c>
      <c r="BC862">
        <v>21.414895872922862</v>
      </c>
      <c r="BD862">
        <v>103.76089341636592</v>
      </c>
      <c r="BE862">
        <v>-6.1780804025557217</v>
      </c>
      <c r="BF862">
        <v>23.789896769289559</v>
      </c>
      <c r="BH862">
        <v>23.789896769289559</v>
      </c>
      <c r="BI862">
        <v>232.66586574168451</v>
      </c>
      <c r="BJ862" s="6">
        <v>197</v>
      </c>
      <c r="BK862">
        <v>-29.967977171845249</v>
      </c>
      <c r="BL862" s="4">
        <v>-585.07260999999937</v>
      </c>
      <c r="BM862" t="s">
        <v>709</v>
      </c>
      <c r="BN862" t="s">
        <v>65</v>
      </c>
      <c r="BO862">
        <v>10</v>
      </c>
      <c r="BP862">
        <v>2023</v>
      </c>
      <c r="BQ862" t="str">
        <f t="shared" si="66"/>
        <v>Nakornfarm10</v>
      </c>
      <c r="BR862">
        <f t="shared" si="67"/>
        <v>-696.31396999999947</v>
      </c>
      <c r="BS862">
        <f t="shared" si="68"/>
        <v>3957.3235799999998</v>
      </c>
      <c r="BT862" s="6">
        <f t="shared" si="69"/>
        <v>-35.665865741684513</v>
      </c>
    </row>
    <row r="863" spans="1:72">
      <c r="A863" s="3" t="s">
        <v>631</v>
      </c>
      <c r="B863" s="3" t="s">
        <v>651</v>
      </c>
      <c r="C863" s="3" t="s">
        <v>701</v>
      </c>
      <c r="D863" s="2" t="s">
        <v>716</v>
      </c>
      <c r="E863" s="4" t="str">
        <f t="shared" si="65"/>
        <v>NakornfarmBG-110-0011</v>
      </c>
      <c r="F863">
        <v>1.5</v>
      </c>
      <c r="G863">
        <v>1.8</v>
      </c>
      <c r="H863" t="s">
        <v>72</v>
      </c>
      <c r="I863" t="s">
        <v>67</v>
      </c>
      <c r="J863" t="s">
        <v>95</v>
      </c>
      <c r="K863" t="s">
        <v>79</v>
      </c>
      <c r="L863" t="s">
        <v>79</v>
      </c>
      <c r="M863">
        <v>1.0808964781216648</v>
      </c>
      <c r="N863" s="5">
        <v>44872</v>
      </c>
      <c r="O863" s="5">
        <v>44953</v>
      </c>
      <c r="P863">
        <v>0.7</v>
      </c>
      <c r="Q863" s="4">
        <v>162</v>
      </c>
      <c r="R863">
        <v>0.3</v>
      </c>
      <c r="S863" t="s">
        <v>70</v>
      </c>
      <c r="T863" s="6">
        <v>3</v>
      </c>
      <c r="U863" s="5">
        <v>45100</v>
      </c>
      <c r="V863" s="6">
        <v>1</v>
      </c>
      <c r="W863" t="s">
        <v>86</v>
      </c>
      <c r="X863" s="6">
        <v>147</v>
      </c>
      <c r="Y863">
        <v>17.827110000000001</v>
      </c>
      <c r="Z863">
        <v>11.884740000000001</v>
      </c>
      <c r="AA863" s="6">
        <v>26.614801838323764</v>
      </c>
      <c r="AB863" s="4">
        <v>67.780714285714282</v>
      </c>
      <c r="AC863" s="6">
        <v>37.573077044671372</v>
      </c>
      <c r="AD863">
        <v>0.35599713599999999</v>
      </c>
      <c r="AE863">
        <v>2.6593465102959564</v>
      </c>
      <c r="AF863">
        <v>46850</v>
      </c>
      <c r="AG863" s="4">
        <v>0</v>
      </c>
      <c r="AH863" s="4">
        <v>50640</v>
      </c>
      <c r="AL863">
        <v>19</v>
      </c>
      <c r="AM863">
        <v>10.66122</v>
      </c>
      <c r="AN863" t="s">
        <v>81</v>
      </c>
      <c r="AO863" t="s">
        <v>108</v>
      </c>
      <c r="AP863" s="5">
        <v>44953</v>
      </c>
      <c r="AQ863" t="s">
        <v>134</v>
      </c>
      <c r="AR863" s="5">
        <v>45099</v>
      </c>
      <c r="AS863">
        <v>255.27242834088077</v>
      </c>
      <c r="AT863" s="6"/>
      <c r="AU863">
        <v>15.706415678144133</v>
      </c>
      <c r="AV863">
        <v>85.227671226575751</v>
      </c>
      <c r="AW863">
        <v>51.828040551721479</v>
      </c>
      <c r="AX863">
        <v>152.76212745644136</v>
      </c>
      <c r="AY863">
        <v>45.238679741135819</v>
      </c>
      <c r="AZ863">
        <v>51.327029451212226</v>
      </c>
      <c r="BA863">
        <v>14.670905155126098</v>
      </c>
      <c r="BB863">
        <v>17.548877524175257</v>
      </c>
      <c r="BC863">
        <v>25.973070789376401</v>
      </c>
      <c r="BD863">
        <v>154.75856266102582</v>
      </c>
      <c r="BE863">
        <v>-52.248261776586418</v>
      </c>
      <c r="BF863">
        <v>32.190287713488054</v>
      </c>
      <c r="BH863">
        <v>32.190287713488054</v>
      </c>
      <c r="BI863">
        <v>339.71097783095519</v>
      </c>
      <c r="BJ863" s="6">
        <v>210</v>
      </c>
      <c r="BK863">
        <v>-84.438549490074408</v>
      </c>
      <c r="BL863" s="4">
        <v>-1505.2953100000004</v>
      </c>
      <c r="BM863" t="s">
        <v>717</v>
      </c>
      <c r="BN863" t="s">
        <v>65</v>
      </c>
      <c r="BO863">
        <v>6</v>
      </c>
      <c r="BP863">
        <v>2023</v>
      </c>
      <c r="BQ863" t="str">
        <f t="shared" si="66"/>
        <v>Nakornfarm6</v>
      </c>
      <c r="BR863">
        <f t="shared" si="67"/>
        <v>-2312.3718699999995</v>
      </c>
      <c r="BS863">
        <f t="shared" si="68"/>
        <v>4550.769659999999</v>
      </c>
      <c r="BT863" s="6">
        <f t="shared" si="69"/>
        <v>-129.71097783095519</v>
      </c>
    </row>
    <row r="864" spans="1:72">
      <c r="A864" s="3" t="s">
        <v>631</v>
      </c>
      <c r="B864" s="3" t="s">
        <v>651</v>
      </c>
      <c r="C864" s="3" t="s">
        <v>701</v>
      </c>
      <c r="D864" s="2" t="s">
        <v>706</v>
      </c>
      <c r="E864" s="4" t="str">
        <f t="shared" si="65"/>
        <v>NakornfarmBG-102-0011</v>
      </c>
      <c r="F864">
        <v>1.5</v>
      </c>
      <c r="G864">
        <v>2</v>
      </c>
      <c r="H864" t="s">
        <v>72</v>
      </c>
      <c r="I864" t="s">
        <v>67</v>
      </c>
      <c r="J864" t="s">
        <v>95</v>
      </c>
      <c r="K864" t="s">
        <v>79</v>
      </c>
      <c r="L864" t="s">
        <v>79</v>
      </c>
      <c r="M864">
        <v>9.7327188940092166E-2</v>
      </c>
      <c r="N864" s="5">
        <v>45061</v>
      </c>
      <c r="O864" s="5">
        <v>45091</v>
      </c>
      <c r="P864">
        <v>0.8</v>
      </c>
      <c r="Q864" s="4">
        <v>167</v>
      </c>
      <c r="R864">
        <v>0.84</v>
      </c>
      <c r="S864" t="s">
        <v>70</v>
      </c>
      <c r="T864" s="6">
        <v>4</v>
      </c>
      <c r="U864" s="5">
        <v>45174</v>
      </c>
      <c r="V864" s="6">
        <v>1</v>
      </c>
      <c r="W864" t="s">
        <v>86</v>
      </c>
      <c r="X864" s="6">
        <v>82.999999999999986</v>
      </c>
      <c r="Y864">
        <v>15.355979999999999</v>
      </c>
      <c r="Z864">
        <v>10.237319999999999</v>
      </c>
      <c r="AA864" s="6">
        <v>39.691833409525152</v>
      </c>
      <c r="AB864" s="4">
        <v>76.188374999999994</v>
      </c>
      <c r="AC864" s="6">
        <v>25.194099493525094</v>
      </c>
      <c r="AD864">
        <v>0.35497626900000001</v>
      </c>
      <c r="AE864">
        <v>1.8472512220801174</v>
      </c>
      <c r="AF864">
        <v>27125</v>
      </c>
      <c r="AG864" s="4">
        <v>0</v>
      </c>
      <c r="AH864" s="4">
        <v>2640</v>
      </c>
      <c r="AL864">
        <v>33</v>
      </c>
      <c r="AM864">
        <v>3.7424499999999998</v>
      </c>
      <c r="AN864" t="s">
        <v>81</v>
      </c>
      <c r="AO864" t="s">
        <v>134</v>
      </c>
      <c r="AP864" s="5">
        <v>45091</v>
      </c>
      <c r="AQ864" t="s">
        <v>74</v>
      </c>
      <c r="AR864" s="5">
        <v>45173</v>
      </c>
      <c r="AS864">
        <v>169.01948621970075</v>
      </c>
      <c r="AT864" s="6"/>
      <c r="AU864">
        <v>28.653332447684871</v>
      </c>
      <c r="AV864">
        <v>54.009622961217708</v>
      </c>
      <c r="AW864">
        <v>27.050851850549421</v>
      </c>
      <c r="AX864">
        <v>109.713807259452</v>
      </c>
      <c r="AY864">
        <v>16.031422937513593</v>
      </c>
      <c r="AZ864">
        <v>33.945801570463097</v>
      </c>
      <c r="BA864">
        <v>13.039785152103608</v>
      </c>
      <c r="BB864">
        <v>9.3411843464239972</v>
      </c>
      <c r="BC864">
        <v>16.532236952639956</v>
      </c>
      <c r="BD864">
        <v>88.890430959144268</v>
      </c>
      <c r="BE864">
        <v>-29.584751998895513</v>
      </c>
      <c r="BF864">
        <v>19.077410884880031</v>
      </c>
      <c r="BH864">
        <v>19.077410884880031</v>
      </c>
      <c r="BI864">
        <v>217.6816491034763</v>
      </c>
      <c r="BJ864" s="6">
        <v>183</v>
      </c>
      <c r="BK864">
        <v>-48.662162883775558</v>
      </c>
      <c r="BL864" s="4">
        <v>-747.25519999999972</v>
      </c>
      <c r="BM864" t="s">
        <v>707</v>
      </c>
      <c r="BN864" t="s">
        <v>65</v>
      </c>
      <c r="BO864">
        <v>9</v>
      </c>
      <c r="BP864">
        <v>2023</v>
      </c>
      <c r="BQ864" t="str">
        <f t="shared" si="66"/>
        <v>Nakornfarm9</v>
      </c>
      <c r="BR864">
        <f t="shared" si="67"/>
        <v>-532.57070999999996</v>
      </c>
      <c r="BS864">
        <f t="shared" si="68"/>
        <v>2595.4598500000002</v>
      </c>
      <c r="BT864" s="6">
        <f t="shared" si="69"/>
        <v>-34.681649103476303</v>
      </c>
    </row>
    <row r="865" spans="1:72">
      <c r="A865" s="3" t="s">
        <v>631</v>
      </c>
      <c r="B865" s="3" t="s">
        <v>651</v>
      </c>
      <c r="C865" s="3" t="s">
        <v>701</v>
      </c>
      <c r="D865" s="2" t="s">
        <v>710</v>
      </c>
      <c r="E865" s="4" t="str">
        <f t="shared" si="65"/>
        <v>NakornfarmBG-111-0010</v>
      </c>
      <c r="F865">
        <v>2</v>
      </c>
      <c r="G865">
        <v>1.8</v>
      </c>
      <c r="H865" t="s">
        <v>72</v>
      </c>
      <c r="I865" t="s">
        <v>67</v>
      </c>
      <c r="J865" t="s">
        <v>95</v>
      </c>
      <c r="K865" t="s">
        <v>79</v>
      </c>
      <c r="L865" t="s">
        <v>79</v>
      </c>
      <c r="M865">
        <v>1.0545454545454545</v>
      </c>
      <c r="N865" s="5">
        <v>44861</v>
      </c>
      <c r="O865" s="5">
        <v>44926</v>
      </c>
      <c r="P865">
        <v>0.8</v>
      </c>
      <c r="Q865" s="4">
        <v>139</v>
      </c>
      <c r="R865">
        <v>0.125</v>
      </c>
      <c r="S865" t="s">
        <v>70</v>
      </c>
      <c r="T865" s="6">
        <v>4</v>
      </c>
      <c r="U865" s="5">
        <v>45102</v>
      </c>
      <c r="V865" s="6">
        <v>1</v>
      </c>
      <c r="W865" t="s">
        <v>86</v>
      </c>
      <c r="X865" s="6">
        <v>176</v>
      </c>
      <c r="Y865">
        <v>29.698509999999999</v>
      </c>
      <c r="Z865">
        <v>14.849254999999999</v>
      </c>
      <c r="AA865" s="6">
        <v>29.356624288558585</v>
      </c>
      <c r="AB865" s="4">
        <v>108.98099999999999</v>
      </c>
      <c r="AC865" s="6">
        <v>34.063862049348053</v>
      </c>
      <c r="AD865">
        <v>0.25755423599999999</v>
      </c>
      <c r="AE865">
        <v>2.620064320805338</v>
      </c>
      <c r="AF865">
        <v>77550</v>
      </c>
      <c r="AG865" s="4">
        <v>0</v>
      </c>
      <c r="AH865" s="4">
        <v>81780</v>
      </c>
      <c r="AL865">
        <v>22</v>
      </c>
      <c r="AM865">
        <v>17.53293</v>
      </c>
      <c r="AN865" t="s">
        <v>81</v>
      </c>
      <c r="AO865" t="s">
        <v>94</v>
      </c>
      <c r="AP865" s="5">
        <v>44929</v>
      </c>
      <c r="AQ865" t="s">
        <v>134</v>
      </c>
      <c r="AR865" s="5">
        <v>45101</v>
      </c>
      <c r="AS865">
        <v>228.57010031816412</v>
      </c>
      <c r="AT865" s="6"/>
      <c r="AU865">
        <v>8.7546479604532337</v>
      </c>
      <c r="AV865">
        <v>84.528887139455819</v>
      </c>
      <c r="AW865">
        <v>44.573934180536327</v>
      </c>
      <c r="AX865">
        <v>137.85746928044537</v>
      </c>
      <c r="AY865">
        <v>37.360066212075964</v>
      </c>
      <c r="AZ865">
        <v>42.966086177387346</v>
      </c>
      <c r="BA865">
        <v>12.891448762917737</v>
      </c>
      <c r="BB865">
        <v>15.09909049309208</v>
      </c>
      <c r="BC865">
        <v>22.18854851640705</v>
      </c>
      <c r="BD865">
        <v>130.50524016188018</v>
      </c>
      <c r="BE865">
        <v>-39.79260912416143</v>
      </c>
      <c r="BF865">
        <v>26.767461061177816</v>
      </c>
      <c r="BH865">
        <v>26.767461061177816</v>
      </c>
      <c r="BI865">
        <v>295.13017050350339</v>
      </c>
      <c r="BJ865" s="6">
        <v>200</v>
      </c>
      <c r="BK865">
        <v>-66.560070185339271</v>
      </c>
      <c r="BL865" s="4">
        <v>-1976.7349100000001</v>
      </c>
      <c r="BM865" t="s">
        <v>711</v>
      </c>
      <c r="BN865" t="s">
        <v>65</v>
      </c>
      <c r="BO865">
        <v>6</v>
      </c>
      <c r="BP865">
        <v>2023</v>
      </c>
      <c r="BQ865" t="str">
        <f t="shared" si="66"/>
        <v>Nakornfarm6</v>
      </c>
      <c r="BR865">
        <f t="shared" si="67"/>
        <v>-2825.2243200000003</v>
      </c>
      <c r="BS865">
        <f t="shared" si="68"/>
        <v>6788.1914100000004</v>
      </c>
      <c r="BT865" s="6">
        <f t="shared" si="69"/>
        <v>-95.130170503503393</v>
      </c>
    </row>
    <row r="866" spans="1:72">
      <c r="A866" s="3" t="s">
        <v>631</v>
      </c>
      <c r="B866" s="3" t="s">
        <v>651</v>
      </c>
      <c r="C866" s="3" t="s">
        <v>701</v>
      </c>
      <c r="D866" s="2" t="s">
        <v>704</v>
      </c>
      <c r="E866" s="4" t="str">
        <f t="shared" si="65"/>
        <v>NakornfarmBG-116-0009</v>
      </c>
      <c r="F866">
        <v>1.47</v>
      </c>
      <c r="G866">
        <v>1.5</v>
      </c>
      <c r="H866" t="s">
        <v>72</v>
      </c>
      <c r="I866" t="s">
        <v>67</v>
      </c>
      <c r="J866" t="s">
        <v>95</v>
      </c>
      <c r="K866" t="s">
        <v>79</v>
      </c>
      <c r="L866" t="s">
        <v>79</v>
      </c>
      <c r="M866">
        <v>3.6074418604651162</v>
      </c>
      <c r="N866" s="5">
        <v>44951</v>
      </c>
      <c r="O866" s="5">
        <v>44965</v>
      </c>
      <c r="P866">
        <v>0.7</v>
      </c>
      <c r="Q866" s="4">
        <v>198</v>
      </c>
      <c r="R866">
        <v>0.42</v>
      </c>
      <c r="S866" t="s">
        <v>70</v>
      </c>
      <c r="T866" s="6">
        <v>1</v>
      </c>
      <c r="U866" s="5">
        <v>45007</v>
      </c>
      <c r="V866" s="6">
        <v>2</v>
      </c>
      <c r="W866" t="s">
        <v>71</v>
      </c>
      <c r="X866" s="6">
        <v>42</v>
      </c>
      <c r="Y866">
        <v>3.4699299999999997</v>
      </c>
      <c r="Z866">
        <v>2.3604965986394557</v>
      </c>
      <c r="AA866" s="6">
        <v>117.00005475614782</v>
      </c>
      <c r="AB866" s="4">
        <v>57.997428571428564</v>
      </c>
      <c r="AC866" s="6">
        <v>8.5470045469996201</v>
      </c>
      <c r="AD866">
        <v>0.19350020400000001</v>
      </c>
      <c r="AE866">
        <v>1.6924176540414935</v>
      </c>
      <c r="AF866">
        <v>5375</v>
      </c>
      <c r="AG866" s="4">
        <v>0</v>
      </c>
      <c r="AH866" s="4">
        <v>19390</v>
      </c>
      <c r="AI866" t="s">
        <v>73</v>
      </c>
      <c r="AJ866" t="s">
        <v>73</v>
      </c>
      <c r="AK866" t="s">
        <v>74</v>
      </c>
      <c r="AL866">
        <v>117</v>
      </c>
      <c r="AM866">
        <v>3.4699299999999997</v>
      </c>
      <c r="AN866" t="s">
        <v>73</v>
      </c>
      <c r="AO866" t="s">
        <v>108</v>
      </c>
      <c r="AP866" s="5">
        <v>44965</v>
      </c>
      <c r="AQ866" t="s">
        <v>116</v>
      </c>
      <c r="AR866" s="5">
        <v>45006</v>
      </c>
      <c r="AS866">
        <v>128.58377258330859</v>
      </c>
      <c r="AT866" s="6"/>
      <c r="AU866">
        <v>90.779929278112263</v>
      </c>
      <c r="AV866">
        <v>51.00022767029882</v>
      </c>
      <c r="AW866">
        <v>63.193851172790239</v>
      </c>
      <c r="AX866">
        <v>204.97400812120134</v>
      </c>
      <c r="AY866">
        <v>80.928122469329352</v>
      </c>
      <c r="AZ866">
        <v>81.688348179934465</v>
      </c>
      <c r="BA866">
        <v>13.162553711458157</v>
      </c>
      <c r="BB866">
        <v>23.655298521872204</v>
      </c>
      <c r="BC866">
        <v>25.529137475395757</v>
      </c>
      <c r="BD866">
        <v>224.9634603579899</v>
      </c>
      <c r="BE866">
        <v>-301.35369589588265</v>
      </c>
      <c r="BF866">
        <v>48.760905839599069</v>
      </c>
      <c r="BH866">
        <v>48.760905839599069</v>
      </c>
      <c r="BI866">
        <v>478.69837431879034</v>
      </c>
      <c r="BJ866" s="6">
        <v>150</v>
      </c>
      <c r="BK866">
        <v>-350.11460173548176</v>
      </c>
      <c r="BL866" s="4">
        <v>-1214.8731600000001</v>
      </c>
      <c r="BM866" t="s">
        <v>705</v>
      </c>
      <c r="BN866" t="s">
        <v>65</v>
      </c>
      <c r="BO866">
        <v>3</v>
      </c>
      <c r="BP866">
        <v>2023</v>
      </c>
      <c r="BQ866" t="str">
        <f t="shared" si="66"/>
        <v>Nakornfarm3</v>
      </c>
      <c r="BR866">
        <f t="shared" si="67"/>
        <v>-1140.5603500000002</v>
      </c>
      <c r="BS866">
        <f t="shared" si="68"/>
        <v>446.17668999999995</v>
      </c>
      <c r="BT866" s="6">
        <f t="shared" si="69"/>
        <v>-328.69837431879034</v>
      </c>
    </row>
    <row r="867" spans="1:72">
      <c r="A867" s="3" t="s">
        <v>631</v>
      </c>
      <c r="B867" s="3" t="s">
        <v>651</v>
      </c>
      <c r="C867" s="3" t="s">
        <v>701</v>
      </c>
      <c r="D867" s="2" t="s">
        <v>702</v>
      </c>
      <c r="E867" s="4" t="str">
        <f t="shared" si="65"/>
        <v>NakornfarmBG-102-0010</v>
      </c>
      <c r="F867">
        <v>1.47</v>
      </c>
      <c r="G867">
        <v>1.8</v>
      </c>
      <c r="H867" t="s">
        <v>72</v>
      </c>
      <c r="I867" t="s">
        <v>67</v>
      </c>
      <c r="J867" t="s">
        <v>95</v>
      </c>
      <c r="K867" t="s">
        <v>79</v>
      </c>
      <c r="L867" t="s">
        <v>79</v>
      </c>
      <c r="M867">
        <v>2.0751401869158879</v>
      </c>
      <c r="N867" s="5">
        <v>44844</v>
      </c>
      <c r="O867" s="5">
        <v>44923</v>
      </c>
      <c r="P867">
        <v>0.7</v>
      </c>
      <c r="Q867" s="4">
        <v>165</v>
      </c>
      <c r="R867">
        <v>0.18</v>
      </c>
      <c r="S867" t="s">
        <v>70</v>
      </c>
      <c r="T867" s="6">
        <v>1</v>
      </c>
      <c r="U867" s="5">
        <v>44969</v>
      </c>
      <c r="V867" s="6">
        <v>2</v>
      </c>
      <c r="W867" t="s">
        <v>71</v>
      </c>
      <c r="X867" s="6">
        <v>46</v>
      </c>
      <c r="Y867">
        <v>3.9880800000000001</v>
      </c>
      <c r="Z867">
        <v>2.712979591836735</v>
      </c>
      <c r="AA867" s="6">
        <v>121.00008023911256</v>
      </c>
      <c r="AB867" s="4">
        <v>68.93685714285715</v>
      </c>
      <c r="AC867" s="6">
        <v>8.2644573294816368</v>
      </c>
      <c r="AD867">
        <v>0.17574919200000003</v>
      </c>
      <c r="AE867">
        <v>1.3852638992460022</v>
      </c>
      <c r="AF867">
        <v>5350</v>
      </c>
      <c r="AG867" s="4">
        <v>0</v>
      </c>
      <c r="AH867" s="4">
        <v>11102</v>
      </c>
      <c r="AI867" t="s">
        <v>73</v>
      </c>
      <c r="AJ867" t="s">
        <v>73</v>
      </c>
      <c r="AK867" t="s">
        <v>509</v>
      </c>
      <c r="AL867">
        <v>121</v>
      </c>
      <c r="AM867">
        <v>3.9880800000000001</v>
      </c>
      <c r="AN867" t="s">
        <v>73</v>
      </c>
      <c r="AO867" t="s">
        <v>93</v>
      </c>
      <c r="AP867" s="5">
        <v>44923</v>
      </c>
      <c r="AQ867" t="s">
        <v>108</v>
      </c>
      <c r="AR867" s="5">
        <v>44968</v>
      </c>
      <c r="AS867">
        <v>124.1698060219454</v>
      </c>
      <c r="AT867" s="6"/>
      <c r="AU867">
        <v>70.209223485988247</v>
      </c>
      <c r="AV867">
        <v>42.513620589356286</v>
      </c>
      <c r="AW867">
        <v>88.2440171711701</v>
      </c>
      <c r="AX867">
        <v>200.96686124651464</v>
      </c>
      <c r="AY867">
        <v>91.76033580068605</v>
      </c>
      <c r="AZ867">
        <v>92.599927784798695</v>
      </c>
      <c r="BA867">
        <v>48.579063108062023</v>
      </c>
      <c r="BB867">
        <v>60.415355258670843</v>
      </c>
      <c r="BC867">
        <v>62.470163587490724</v>
      </c>
      <c r="BD867">
        <v>355.82484553970835</v>
      </c>
      <c r="BE867">
        <v>-432.6219007642776</v>
      </c>
      <c r="BF867">
        <v>64.021539186776593</v>
      </c>
      <c r="BH867">
        <v>64.021539186776593</v>
      </c>
      <c r="BI867">
        <v>620.81324597299954</v>
      </c>
      <c r="BJ867" s="6">
        <v>150</v>
      </c>
      <c r="BK867">
        <v>-496.64343995105418</v>
      </c>
      <c r="BL867" s="4">
        <v>-1980.6537700000001</v>
      </c>
      <c r="BM867" t="s">
        <v>703</v>
      </c>
      <c r="BN867" t="s">
        <v>65</v>
      </c>
      <c r="BO867">
        <v>2</v>
      </c>
      <c r="BP867">
        <v>2023</v>
      </c>
      <c r="BQ867" t="str">
        <f t="shared" si="66"/>
        <v>Nakornfarm2</v>
      </c>
      <c r="BR867">
        <f t="shared" si="67"/>
        <v>-1877.6408900000001</v>
      </c>
      <c r="BS867">
        <f t="shared" si="68"/>
        <v>495.19912000000005</v>
      </c>
      <c r="BT867" s="6">
        <f t="shared" si="69"/>
        <v>-470.81324597299954</v>
      </c>
    </row>
    <row r="868" spans="1:72">
      <c r="A868" s="3" t="s">
        <v>631</v>
      </c>
      <c r="B868" s="3" t="s">
        <v>651</v>
      </c>
      <c r="C868" s="3" t="s">
        <v>701</v>
      </c>
      <c r="D868" s="2" t="s">
        <v>722</v>
      </c>
      <c r="E868" s="4" t="str">
        <f t="shared" si="65"/>
        <v>NakornfarmBG-110-0012</v>
      </c>
      <c r="F868">
        <v>1.5</v>
      </c>
      <c r="G868">
        <v>2</v>
      </c>
      <c r="H868" t="s">
        <v>72</v>
      </c>
      <c r="I868" t="s">
        <v>67</v>
      </c>
      <c r="J868" t="s">
        <v>95</v>
      </c>
      <c r="K868" t="s">
        <v>79</v>
      </c>
      <c r="L868" t="s">
        <v>79</v>
      </c>
      <c r="M868">
        <v>0.18823529411764706</v>
      </c>
      <c r="N868" s="5">
        <v>45101</v>
      </c>
      <c r="O868" s="5">
        <v>45137</v>
      </c>
      <c r="P868">
        <v>0.67200000000000004</v>
      </c>
      <c r="Q868" s="4">
        <v>140</v>
      </c>
      <c r="R868">
        <v>0.52</v>
      </c>
      <c r="S868" t="s">
        <v>70</v>
      </c>
      <c r="T868" s="6"/>
      <c r="U868" s="5">
        <v>45155</v>
      </c>
      <c r="V868" s="6">
        <v>3</v>
      </c>
      <c r="W868" t="s">
        <v>2831</v>
      </c>
      <c r="X868" s="6"/>
      <c r="AA868" s="6"/>
      <c r="AB868" s="4"/>
      <c r="AC868" s="6"/>
      <c r="AF868">
        <v>1275</v>
      </c>
      <c r="AG868" s="4">
        <v>0</v>
      </c>
      <c r="AH868" s="4">
        <v>240</v>
      </c>
      <c r="AI868" t="s">
        <v>73</v>
      </c>
      <c r="AJ868" t="s">
        <v>73</v>
      </c>
      <c r="AK868" t="s">
        <v>215</v>
      </c>
      <c r="AN868" t="s">
        <v>73</v>
      </c>
      <c r="AO868" t="s">
        <v>134</v>
      </c>
      <c r="AP868" s="5">
        <v>45137</v>
      </c>
      <c r="AQ868" t="s">
        <v>157</v>
      </c>
      <c r="AR868" s="5">
        <v>45155</v>
      </c>
      <c r="AT868" s="6"/>
      <c r="BJ868" s="6"/>
      <c r="BL868" s="4">
        <v>-1373.4160400000001</v>
      </c>
      <c r="BM868" t="s">
        <v>2884</v>
      </c>
      <c r="BN868" t="s">
        <v>65</v>
      </c>
      <c r="BO868">
        <v>8</v>
      </c>
      <c r="BP868">
        <v>2023</v>
      </c>
      <c r="BQ868" t="str">
        <f t="shared" si="66"/>
        <v>Nakornfarm8</v>
      </c>
      <c r="BR868">
        <f t="shared" si="67"/>
        <v>0</v>
      </c>
      <c r="BS868">
        <f t="shared" si="68"/>
        <v>0</v>
      </c>
      <c r="BT868" s="6">
        <f t="shared" si="69"/>
        <v>0</v>
      </c>
    </row>
    <row r="869" spans="1:72">
      <c r="A869" s="3" t="s">
        <v>631</v>
      </c>
      <c r="B869" s="3" t="s">
        <v>651</v>
      </c>
      <c r="C869" s="3" t="s">
        <v>701</v>
      </c>
      <c r="D869" s="2" t="s">
        <v>723</v>
      </c>
      <c r="E869" s="4" t="str">
        <f t="shared" si="65"/>
        <v>NakornfarmBG-113-0009</v>
      </c>
      <c r="F869">
        <v>1.44</v>
      </c>
      <c r="G869">
        <v>1.8</v>
      </c>
      <c r="H869" t="s">
        <v>72</v>
      </c>
      <c r="I869" t="s">
        <v>67</v>
      </c>
      <c r="J869" t="s">
        <v>95</v>
      </c>
      <c r="K869" t="s">
        <v>79</v>
      </c>
      <c r="L869" t="s">
        <v>79</v>
      </c>
      <c r="M869">
        <v>1.4254545454545455</v>
      </c>
      <c r="N869" s="5">
        <v>44852</v>
      </c>
      <c r="O869" s="5">
        <v>44911</v>
      </c>
      <c r="P869">
        <v>0.7</v>
      </c>
      <c r="Q869" s="4">
        <v>169</v>
      </c>
      <c r="R869">
        <v>0.12</v>
      </c>
      <c r="S869" t="s">
        <v>70</v>
      </c>
      <c r="T869" s="6"/>
      <c r="U869" s="5">
        <v>44945</v>
      </c>
      <c r="V869" s="6">
        <v>3</v>
      </c>
      <c r="W869" t="s">
        <v>2831</v>
      </c>
      <c r="X869" s="6"/>
      <c r="AA869" s="6"/>
      <c r="AB869" s="4"/>
      <c r="AC869" s="6"/>
      <c r="AF869">
        <v>1375</v>
      </c>
      <c r="AG869" s="4">
        <v>0</v>
      </c>
      <c r="AH869" s="4">
        <v>1960</v>
      </c>
      <c r="AI869" t="s">
        <v>73</v>
      </c>
      <c r="AJ869" t="s">
        <v>73</v>
      </c>
      <c r="AK869" t="s">
        <v>144</v>
      </c>
      <c r="AN869" t="s">
        <v>73</v>
      </c>
      <c r="AO869" t="s">
        <v>438</v>
      </c>
      <c r="AP869" s="5">
        <v>44911</v>
      </c>
      <c r="AQ869" t="s">
        <v>94</v>
      </c>
      <c r="AR869" s="5">
        <v>44945</v>
      </c>
      <c r="AT869" s="6"/>
      <c r="BJ869" s="6"/>
      <c r="BL869" s="4">
        <v>-1659.3291200000001</v>
      </c>
      <c r="BM869" t="s">
        <v>2885</v>
      </c>
      <c r="BN869" t="s">
        <v>65</v>
      </c>
      <c r="BO869">
        <v>1</v>
      </c>
      <c r="BP869">
        <v>2023</v>
      </c>
      <c r="BQ869" t="str">
        <f t="shared" si="66"/>
        <v>Nakornfarm1</v>
      </c>
      <c r="BR869">
        <f t="shared" si="67"/>
        <v>0</v>
      </c>
      <c r="BS869">
        <f t="shared" si="68"/>
        <v>0</v>
      </c>
      <c r="BT869" s="6">
        <f t="shared" si="69"/>
        <v>0</v>
      </c>
    </row>
    <row r="870" spans="1:72">
      <c r="A870" s="3" t="s">
        <v>631</v>
      </c>
      <c r="B870" s="3" t="s">
        <v>651</v>
      </c>
      <c r="C870" s="3" t="s">
        <v>653</v>
      </c>
      <c r="D870" s="2" t="s">
        <v>666</v>
      </c>
      <c r="E870" s="4" t="str">
        <f t="shared" si="65"/>
        <v>NakornfarmE1-075-0011</v>
      </c>
      <c r="F870">
        <v>1.7</v>
      </c>
      <c r="G870">
        <v>1.5</v>
      </c>
      <c r="H870" t="s">
        <v>72</v>
      </c>
      <c r="I870" t="s">
        <v>75</v>
      </c>
      <c r="J870" t="s">
        <v>95</v>
      </c>
      <c r="K870" t="s">
        <v>79</v>
      </c>
      <c r="L870" t="s">
        <v>79</v>
      </c>
      <c r="M870">
        <v>0.2207202216066482</v>
      </c>
      <c r="N870" s="5">
        <v>44956</v>
      </c>
      <c r="O870" s="5">
        <v>44980</v>
      </c>
      <c r="P870">
        <v>0.7</v>
      </c>
      <c r="Q870" s="4">
        <v>172</v>
      </c>
      <c r="R870">
        <v>0.66</v>
      </c>
      <c r="S870" t="s">
        <v>70</v>
      </c>
      <c r="T870" s="6">
        <v>1</v>
      </c>
      <c r="U870" s="5">
        <v>45036</v>
      </c>
      <c r="V870" s="6">
        <v>1</v>
      </c>
      <c r="W870" t="s">
        <v>86</v>
      </c>
      <c r="X870" s="6">
        <v>55.999999999999993</v>
      </c>
      <c r="Y870">
        <v>10.69332</v>
      </c>
      <c r="Z870">
        <v>6.2901882352941181</v>
      </c>
      <c r="AA870" s="6">
        <v>56.000007481306085</v>
      </c>
      <c r="AB870" s="4">
        <v>85.546571428571426</v>
      </c>
      <c r="AC870" s="6">
        <v>17.857140471522612</v>
      </c>
      <c r="AD870">
        <v>0.30709183699999998</v>
      </c>
      <c r="AE870">
        <v>1.7641907398067893</v>
      </c>
      <c r="AF870">
        <v>18050</v>
      </c>
      <c r="AG870" s="4">
        <v>0</v>
      </c>
      <c r="AH870" s="4">
        <v>3984</v>
      </c>
      <c r="AI870" t="s">
        <v>73</v>
      </c>
      <c r="AJ870" t="s">
        <v>73</v>
      </c>
      <c r="AK870" t="s">
        <v>667</v>
      </c>
      <c r="AL870">
        <v>56</v>
      </c>
      <c r="AM870">
        <v>10.687860000000001</v>
      </c>
      <c r="AN870" t="s">
        <v>73</v>
      </c>
      <c r="AO870" t="s">
        <v>97</v>
      </c>
      <c r="AP870" s="5">
        <v>44980</v>
      </c>
      <c r="AQ870" t="s">
        <v>117</v>
      </c>
      <c r="AR870" s="5">
        <v>45036</v>
      </c>
      <c r="AS870">
        <v>140.73724717861245</v>
      </c>
      <c r="AT870" s="6"/>
      <c r="AU870">
        <v>32.730714128072478</v>
      </c>
      <c r="AV870">
        <v>54.622267920533567</v>
      </c>
      <c r="AW870">
        <v>34.098597068076138</v>
      </c>
      <c r="AX870">
        <v>121.45157911668218</v>
      </c>
      <c r="AY870">
        <v>15.740308903128309</v>
      </c>
      <c r="AZ870">
        <v>32.70129202156113</v>
      </c>
      <c r="BA870">
        <v>2.8694128670983376</v>
      </c>
      <c r="BB870">
        <v>5.249245323248533</v>
      </c>
      <c r="BC870">
        <v>4.0814312112608615</v>
      </c>
      <c r="BD870">
        <v>60.64169032629718</v>
      </c>
      <c r="BE870">
        <v>-41.356022264366914</v>
      </c>
      <c r="BF870">
        <v>4.3186830656896076</v>
      </c>
      <c r="BH870">
        <v>4.3186830656896076</v>
      </c>
      <c r="BI870">
        <v>186.41195250866897</v>
      </c>
      <c r="BJ870" s="6">
        <v>165</v>
      </c>
      <c r="BK870">
        <v>-45.674705330056497</v>
      </c>
      <c r="BL870" s="4">
        <v>-488.41423999999978</v>
      </c>
      <c r="BM870" t="s">
        <v>668</v>
      </c>
      <c r="BN870" t="s">
        <v>65</v>
      </c>
      <c r="BO870">
        <v>4</v>
      </c>
      <c r="BP870">
        <v>2023</v>
      </c>
      <c r="BQ870" t="str">
        <f t="shared" si="66"/>
        <v>Nakornfarm4</v>
      </c>
      <c r="BR870">
        <f t="shared" si="67"/>
        <v>-228.96486000000013</v>
      </c>
      <c r="BS870">
        <f t="shared" si="68"/>
        <v>1504.9484200000002</v>
      </c>
      <c r="BT870" s="6">
        <f t="shared" si="69"/>
        <v>-21.411952508668975</v>
      </c>
    </row>
    <row r="871" spans="1:72">
      <c r="A871" s="3" t="s">
        <v>631</v>
      </c>
      <c r="B871" s="3" t="s">
        <v>651</v>
      </c>
      <c r="C871" s="3" t="s">
        <v>653</v>
      </c>
      <c r="D871" s="2" t="s">
        <v>2698</v>
      </c>
      <c r="E871" s="4" t="str">
        <f t="shared" si="65"/>
        <v>NakornfarmBG-102-0012</v>
      </c>
      <c r="F871">
        <v>1.5</v>
      </c>
      <c r="G871">
        <v>2</v>
      </c>
      <c r="H871" t="s">
        <v>72</v>
      </c>
      <c r="I871" t="s">
        <v>67</v>
      </c>
      <c r="J871" t="s">
        <v>95</v>
      </c>
      <c r="K871" t="s">
        <v>79</v>
      </c>
      <c r="L871" t="s">
        <v>79</v>
      </c>
      <c r="M871">
        <v>5.6160864864864868</v>
      </c>
      <c r="N871" s="5">
        <v>45175</v>
      </c>
      <c r="O871" s="5">
        <v>45209</v>
      </c>
      <c r="P871">
        <v>1</v>
      </c>
      <c r="Q871" s="4">
        <v>208</v>
      </c>
      <c r="R871">
        <v>0.24</v>
      </c>
      <c r="S871" t="s">
        <v>70</v>
      </c>
      <c r="T871" s="6">
        <v>3</v>
      </c>
      <c r="U871" s="5">
        <v>45272</v>
      </c>
      <c r="V871" s="6">
        <v>1</v>
      </c>
      <c r="W871" t="s">
        <v>86</v>
      </c>
      <c r="X871" s="6">
        <v>63</v>
      </c>
      <c r="Y871">
        <v>14.88063</v>
      </c>
      <c r="Z871">
        <v>9.92042</v>
      </c>
      <c r="AA871" s="6">
        <v>55.500472762241927</v>
      </c>
      <c r="AB871" s="4">
        <v>82.588200000000001</v>
      </c>
      <c r="AC871" s="6">
        <v>18.017864537548945</v>
      </c>
      <c r="AD871">
        <v>0.30144078099999999</v>
      </c>
      <c r="AE871">
        <v>1.5795085320781961</v>
      </c>
      <c r="AF871">
        <v>23125</v>
      </c>
      <c r="AG871" s="4">
        <v>0</v>
      </c>
      <c r="AH871" s="4">
        <v>129872</v>
      </c>
      <c r="AI871" t="s">
        <v>73</v>
      </c>
      <c r="AJ871" t="s">
        <v>73</v>
      </c>
      <c r="AK871" t="s">
        <v>266</v>
      </c>
      <c r="AL871">
        <v>52</v>
      </c>
      <c r="AM871">
        <v>5.6307799999999997</v>
      </c>
      <c r="AN871" t="s">
        <v>73</v>
      </c>
      <c r="AO871" t="s">
        <v>198</v>
      </c>
      <c r="AP871" s="5">
        <v>45209</v>
      </c>
      <c r="AQ871" t="s">
        <v>215</v>
      </c>
      <c r="AR871" s="5">
        <v>45271</v>
      </c>
      <c r="AS871">
        <v>145.08113567772335</v>
      </c>
      <c r="AT871" s="6"/>
      <c r="AU871">
        <v>26.880582340935838</v>
      </c>
      <c r="AV871">
        <v>46.72830115391622</v>
      </c>
      <c r="AW871">
        <v>36.202448417842525</v>
      </c>
      <c r="AX871">
        <v>109.81133191269458</v>
      </c>
      <c r="AY871">
        <v>26.645579521834762</v>
      </c>
      <c r="AZ871">
        <v>30.331170118469448</v>
      </c>
      <c r="BA871">
        <v>12.228399604049024</v>
      </c>
      <c r="BB871">
        <v>16.308312215275834</v>
      </c>
      <c r="BC871">
        <v>40.11890558397058</v>
      </c>
      <c r="BD871">
        <v>125.63236704359964</v>
      </c>
      <c r="BE871">
        <v>-90.362563278570875</v>
      </c>
      <c r="BF871">
        <v>33.110311189781619</v>
      </c>
      <c r="BH871">
        <v>33.110311189781619</v>
      </c>
      <c r="BI871">
        <v>268.55401014607583</v>
      </c>
      <c r="BJ871" s="6">
        <v>165</v>
      </c>
      <c r="BK871">
        <v>-123.47287446835247</v>
      </c>
      <c r="BL871" s="4">
        <v>-1837.3541599999996</v>
      </c>
      <c r="BM871" t="s">
        <v>2699</v>
      </c>
      <c r="BN871" t="s">
        <v>65</v>
      </c>
      <c r="BO871">
        <v>12</v>
      </c>
      <c r="BP871">
        <v>2023</v>
      </c>
      <c r="BQ871" t="str">
        <f t="shared" si="66"/>
        <v>Nakornfarm12</v>
      </c>
      <c r="BR871">
        <f t="shared" si="67"/>
        <v>-1540.9489100000003</v>
      </c>
      <c r="BS871">
        <f t="shared" si="68"/>
        <v>2158.8987000000006</v>
      </c>
      <c r="BT871" s="6">
        <f t="shared" si="69"/>
        <v>-103.55401014607583</v>
      </c>
    </row>
    <row r="872" spans="1:72">
      <c r="A872" s="3" t="s">
        <v>631</v>
      </c>
      <c r="B872" s="3" t="s">
        <v>651</v>
      </c>
      <c r="C872" s="3" t="s">
        <v>653</v>
      </c>
      <c r="D872" s="2" t="s">
        <v>2700</v>
      </c>
      <c r="E872" s="4" t="str">
        <f t="shared" si="65"/>
        <v>NakornfarmBG-101-0011</v>
      </c>
      <c r="F872">
        <v>1.5</v>
      </c>
      <c r="G872">
        <v>2</v>
      </c>
      <c r="H872" t="s">
        <v>72</v>
      </c>
      <c r="I872" t="s">
        <v>67</v>
      </c>
      <c r="J872" t="s">
        <v>95</v>
      </c>
      <c r="K872" t="s">
        <v>79</v>
      </c>
      <c r="L872" t="s">
        <v>79</v>
      </c>
      <c r="M872">
        <v>5.1945469125902166</v>
      </c>
      <c r="N872" s="5">
        <v>45189</v>
      </c>
      <c r="O872" s="5">
        <v>45197</v>
      </c>
      <c r="P872">
        <v>1</v>
      </c>
      <c r="Q872" s="4">
        <v>208</v>
      </c>
      <c r="R872">
        <v>0.13</v>
      </c>
      <c r="S872" t="s">
        <v>70</v>
      </c>
      <c r="T872" s="6">
        <v>4</v>
      </c>
      <c r="U872" s="5">
        <v>45280</v>
      </c>
      <c r="V872" s="6">
        <v>1</v>
      </c>
      <c r="W872" t="s">
        <v>86</v>
      </c>
      <c r="X872" s="6">
        <v>83</v>
      </c>
      <c r="Y872">
        <v>17.61739</v>
      </c>
      <c r="Z872">
        <v>11.744926666666666</v>
      </c>
      <c r="AA872" s="6">
        <v>48.780210916600019</v>
      </c>
      <c r="AB872" s="4">
        <v>85.938000000000002</v>
      </c>
      <c r="AC872" s="6">
        <v>20.500116362959343</v>
      </c>
      <c r="AD872">
        <v>0.299638554</v>
      </c>
      <c r="AE872">
        <v>1.7827131435851777</v>
      </c>
      <c r="AF872">
        <v>31175</v>
      </c>
      <c r="AG872" s="4">
        <v>0</v>
      </c>
      <c r="AH872" s="4">
        <v>161940</v>
      </c>
      <c r="AI872" t="s">
        <v>73</v>
      </c>
      <c r="AJ872" t="s">
        <v>73</v>
      </c>
      <c r="AK872" t="s">
        <v>2701</v>
      </c>
      <c r="AL872">
        <v>40</v>
      </c>
      <c r="AM872">
        <v>8.5855400000000017</v>
      </c>
      <c r="AN872" t="s">
        <v>73</v>
      </c>
      <c r="AO872" t="s">
        <v>123</v>
      </c>
      <c r="AP872" s="5">
        <v>45197</v>
      </c>
      <c r="AQ872" t="s">
        <v>215</v>
      </c>
      <c r="AR872" s="5">
        <v>45279</v>
      </c>
      <c r="AS872">
        <v>169.36943440543692</v>
      </c>
      <c r="AT872" s="6"/>
      <c r="AU872">
        <v>17.028629098861977</v>
      </c>
      <c r="AV872">
        <v>53.221283061792938</v>
      </c>
      <c r="AW872">
        <v>35.480788016840194</v>
      </c>
      <c r="AX872">
        <v>105.73070017749511</v>
      </c>
      <c r="AY872">
        <v>25.88243888566922</v>
      </c>
      <c r="AZ872">
        <v>31.801461510473459</v>
      </c>
      <c r="BA872">
        <v>5.7056005458243249</v>
      </c>
      <c r="BB872">
        <v>15.094819947790228</v>
      </c>
      <c r="BC872">
        <v>42.371696375002202</v>
      </c>
      <c r="BD872">
        <v>120.85601726475942</v>
      </c>
      <c r="BE872">
        <v>-57.217283036817605</v>
      </c>
      <c r="BF872">
        <v>32.420384063700702</v>
      </c>
      <c r="BH872">
        <v>32.420384063700702</v>
      </c>
      <c r="BI872">
        <v>259.00710150595523</v>
      </c>
      <c r="BJ872" s="6">
        <v>170</v>
      </c>
      <c r="BK872">
        <v>-89.637667100518286</v>
      </c>
      <c r="BL872" s="4">
        <v>-1579.1817399999998</v>
      </c>
      <c r="BM872" t="s">
        <v>2702</v>
      </c>
      <c r="BN872" t="s">
        <v>65</v>
      </c>
      <c r="BO872">
        <v>12</v>
      </c>
      <c r="BP872">
        <v>2023</v>
      </c>
      <c r="BQ872" t="str">
        <f t="shared" si="66"/>
        <v>Nakornfarm12</v>
      </c>
      <c r="BR872">
        <f t="shared" si="67"/>
        <v>-1568.0728200000008</v>
      </c>
      <c r="BS872">
        <f t="shared" si="68"/>
        <v>2983.8473800000006</v>
      </c>
      <c r="BT872" s="6">
        <f t="shared" si="69"/>
        <v>-89.007101505955234</v>
      </c>
    </row>
    <row r="873" spans="1:72">
      <c r="A873" s="3" t="s">
        <v>631</v>
      </c>
      <c r="B873" s="3" t="s">
        <v>651</v>
      </c>
      <c r="C873" s="3" t="s">
        <v>653</v>
      </c>
      <c r="D873" s="2" t="s">
        <v>660</v>
      </c>
      <c r="E873" s="4" t="str">
        <f t="shared" si="65"/>
        <v>NakornfarmE1-077-0016</v>
      </c>
      <c r="F873">
        <v>1.5</v>
      </c>
      <c r="G873">
        <v>1.5</v>
      </c>
      <c r="H873" t="s">
        <v>72</v>
      </c>
      <c r="I873" t="s">
        <v>75</v>
      </c>
      <c r="J873" t="s">
        <v>95</v>
      </c>
      <c r="K873" t="s">
        <v>79</v>
      </c>
      <c r="L873" t="s">
        <v>79</v>
      </c>
      <c r="M873">
        <v>2.8941871921182267</v>
      </c>
      <c r="N873" s="5">
        <v>45043</v>
      </c>
      <c r="O873" s="5">
        <v>45096</v>
      </c>
      <c r="P873">
        <v>0.5</v>
      </c>
      <c r="Q873" s="4">
        <v>139</v>
      </c>
      <c r="R873">
        <v>1.4</v>
      </c>
      <c r="S873" t="s">
        <v>70</v>
      </c>
      <c r="T873" s="6">
        <v>1</v>
      </c>
      <c r="U873" s="5">
        <v>45129</v>
      </c>
      <c r="V873" s="6">
        <v>2</v>
      </c>
      <c r="W873" t="s">
        <v>71</v>
      </c>
      <c r="X873" s="6">
        <v>33</v>
      </c>
      <c r="Y873">
        <v>4.3175100000000004</v>
      </c>
      <c r="Z873">
        <v>2.8783400000000001</v>
      </c>
      <c r="AA873" s="6">
        <v>92.000018529198542</v>
      </c>
      <c r="AB873" s="4">
        <v>79.4422</v>
      </c>
      <c r="AC873" s="6">
        <v>10.869563028214223</v>
      </c>
      <c r="AD873">
        <v>0.28695652199999999</v>
      </c>
      <c r="AE873">
        <v>1.4028986789255593</v>
      </c>
      <c r="AF873">
        <v>5075</v>
      </c>
      <c r="AG873" s="4">
        <v>0</v>
      </c>
      <c r="AH873" s="4">
        <v>14688</v>
      </c>
      <c r="AI873" t="s">
        <v>73</v>
      </c>
      <c r="AJ873" t="s">
        <v>73</v>
      </c>
      <c r="AK873" t="s">
        <v>170</v>
      </c>
      <c r="AL873">
        <v>92</v>
      </c>
      <c r="AM873">
        <v>4.3175100000000004</v>
      </c>
      <c r="AN873" t="s">
        <v>73</v>
      </c>
      <c r="AO873" t="s">
        <v>134</v>
      </c>
      <c r="AP873" s="5">
        <v>45096</v>
      </c>
      <c r="AQ873" t="s">
        <v>134</v>
      </c>
      <c r="AR873" s="5">
        <v>45128</v>
      </c>
      <c r="AS873">
        <v>103.81446945114197</v>
      </c>
      <c r="AT873" s="6"/>
      <c r="AU873">
        <v>75.274869079631543</v>
      </c>
      <c r="AV873">
        <v>36.973227624255657</v>
      </c>
      <c r="AW873">
        <v>64.484093841126011</v>
      </c>
      <c r="AX873">
        <v>176.7321905450132</v>
      </c>
      <c r="AY873">
        <v>72.799168965445361</v>
      </c>
      <c r="AZ873">
        <v>60.476927673589636</v>
      </c>
      <c r="BA873">
        <v>54.344119643034986</v>
      </c>
      <c r="BB873">
        <v>18.46043205458702</v>
      </c>
      <c r="BC873">
        <v>41.497830925695602</v>
      </c>
      <c r="BD873">
        <v>247.5784792623526</v>
      </c>
      <c r="BE873">
        <v>-320.49620035622382</v>
      </c>
      <c r="BF873">
        <v>27.574291663481954</v>
      </c>
      <c r="BH873">
        <v>27.574291663481954</v>
      </c>
      <c r="BI873">
        <v>451.88496147084783</v>
      </c>
      <c r="BJ873" s="6">
        <v>150</v>
      </c>
      <c r="BK873">
        <v>-348.07049201970585</v>
      </c>
      <c r="BL873" s="4">
        <v>-1502.7978300000002</v>
      </c>
      <c r="BM873" t="s">
        <v>661</v>
      </c>
      <c r="BN873" t="s">
        <v>65</v>
      </c>
      <c r="BO873">
        <v>7</v>
      </c>
      <c r="BP873">
        <v>2023</v>
      </c>
      <c r="BQ873" t="str">
        <f t="shared" si="66"/>
        <v>Nakornfarm7</v>
      </c>
      <c r="BR873">
        <f t="shared" si="67"/>
        <v>-1303.3913400000004</v>
      </c>
      <c r="BS873">
        <f t="shared" si="68"/>
        <v>448.22001</v>
      </c>
      <c r="BT873" s="6">
        <f t="shared" si="69"/>
        <v>-301.88496147084783</v>
      </c>
    </row>
    <row r="874" spans="1:72">
      <c r="A874" s="3" t="s">
        <v>631</v>
      </c>
      <c r="B874" s="3" t="s">
        <v>651</v>
      </c>
      <c r="C874" s="3" t="s">
        <v>653</v>
      </c>
      <c r="D874" s="2" t="s">
        <v>664</v>
      </c>
      <c r="E874" s="4" t="str">
        <f t="shared" si="65"/>
        <v>NakornfarmE1-074-0012</v>
      </c>
      <c r="F874">
        <v>1.7</v>
      </c>
      <c r="G874">
        <v>1.5</v>
      </c>
      <c r="H874" t="s">
        <v>72</v>
      </c>
      <c r="I874" t="s">
        <v>75</v>
      </c>
      <c r="J874" t="s">
        <v>95</v>
      </c>
      <c r="K874" t="s">
        <v>79</v>
      </c>
      <c r="L874" t="s">
        <v>79</v>
      </c>
      <c r="M874">
        <v>0.31058823529411766</v>
      </c>
      <c r="N874" s="5">
        <v>44956</v>
      </c>
      <c r="O874" s="5">
        <v>44981</v>
      </c>
      <c r="P874">
        <v>0.7</v>
      </c>
      <c r="Q874" s="4">
        <v>172</v>
      </c>
      <c r="R874">
        <v>0.46</v>
      </c>
      <c r="S874" t="s">
        <v>70</v>
      </c>
      <c r="T874" s="6">
        <v>1</v>
      </c>
      <c r="U874" s="5">
        <v>45041</v>
      </c>
      <c r="V874" s="6">
        <v>1</v>
      </c>
      <c r="W874" t="s">
        <v>86</v>
      </c>
      <c r="X874" s="6">
        <v>60</v>
      </c>
      <c r="Y874">
        <v>6.58392</v>
      </c>
      <c r="Z874">
        <v>3.8728941176470588</v>
      </c>
      <c r="AA874" s="6">
        <v>58.002071714115601</v>
      </c>
      <c r="AB874" s="4">
        <v>54.554428571428573</v>
      </c>
      <c r="AC874" s="6">
        <v>17.240763483912527</v>
      </c>
      <c r="AD874">
        <v>0.27968965499999998</v>
      </c>
      <c r="AE874">
        <v>1.9003756036487212</v>
      </c>
      <c r="AF874">
        <v>11900</v>
      </c>
      <c r="AG874" s="4">
        <v>0</v>
      </c>
      <c r="AH874" s="4">
        <v>3696</v>
      </c>
      <c r="AI874" t="s">
        <v>73</v>
      </c>
      <c r="AJ874" t="s">
        <v>73</v>
      </c>
      <c r="AK874" t="s">
        <v>80</v>
      </c>
      <c r="AL874">
        <v>58.000000000000007</v>
      </c>
      <c r="AM874">
        <v>6.5793599999999994</v>
      </c>
      <c r="AN874" t="s">
        <v>73</v>
      </c>
      <c r="AO874" t="s">
        <v>97</v>
      </c>
      <c r="AP874" s="5">
        <v>44981</v>
      </c>
      <c r="AQ874" t="s">
        <v>117</v>
      </c>
      <c r="AR874" s="5">
        <v>45040</v>
      </c>
      <c r="AS874">
        <v>133.27973304657408</v>
      </c>
      <c r="AT874" s="6"/>
      <c r="AU874">
        <v>47.843837713702477</v>
      </c>
      <c r="AV874">
        <v>58.370993268447975</v>
      </c>
      <c r="AW874">
        <v>58.876947168252357</v>
      </c>
      <c r="AX874">
        <v>165.0917781504028</v>
      </c>
      <c r="AY874">
        <v>26.425726618792449</v>
      </c>
      <c r="AZ874">
        <v>57.277696266054278</v>
      </c>
      <c r="BA874">
        <v>5.0243153015224973</v>
      </c>
      <c r="BB874">
        <v>8.6691621404877353</v>
      </c>
      <c r="BC874">
        <v>7.4731315082807805</v>
      </c>
      <c r="BD874">
        <v>104.87003183513775</v>
      </c>
      <c r="BE874">
        <v>-136.68207693896647</v>
      </c>
      <c r="BF874">
        <v>7.3405524368461332</v>
      </c>
      <c r="BH874">
        <v>7.3405524368461332</v>
      </c>
      <c r="BI874">
        <v>277.30236242238664</v>
      </c>
      <c r="BJ874" s="6">
        <v>163</v>
      </c>
      <c r="BK874">
        <v>-144.02262937581256</v>
      </c>
      <c r="BL874" s="4">
        <v>-948.2334699999999</v>
      </c>
      <c r="BM874" t="s">
        <v>665</v>
      </c>
      <c r="BN874" t="s">
        <v>65</v>
      </c>
      <c r="BO874">
        <v>4</v>
      </c>
      <c r="BP874">
        <v>2023</v>
      </c>
      <c r="BQ874" t="str">
        <f t="shared" si="66"/>
        <v>Nakornfarm4</v>
      </c>
      <c r="BR874">
        <f t="shared" si="67"/>
        <v>-752.55760999999984</v>
      </c>
      <c r="BS874">
        <f t="shared" si="68"/>
        <v>877.50310000000002</v>
      </c>
      <c r="BT874" s="6">
        <f t="shared" si="69"/>
        <v>-114.30236242238664</v>
      </c>
    </row>
    <row r="875" spans="1:72">
      <c r="A875" s="3" t="s">
        <v>631</v>
      </c>
      <c r="B875" s="3" t="s">
        <v>651</v>
      </c>
      <c r="C875" s="3" t="s">
        <v>653</v>
      </c>
      <c r="D875" s="2" t="s">
        <v>662</v>
      </c>
      <c r="E875" s="4" t="str">
        <f t="shared" si="65"/>
        <v>NakornfarmD1-081-0013</v>
      </c>
      <c r="F875">
        <v>1.8</v>
      </c>
      <c r="G875">
        <v>2</v>
      </c>
      <c r="H875" t="s">
        <v>72</v>
      </c>
      <c r="I875" t="s">
        <v>75</v>
      </c>
      <c r="J875" t="s">
        <v>95</v>
      </c>
      <c r="K875" t="s">
        <v>79</v>
      </c>
      <c r="L875" t="s">
        <v>79</v>
      </c>
      <c r="M875">
        <v>1.3445378151260505</v>
      </c>
      <c r="N875" s="5">
        <v>44951</v>
      </c>
      <c r="O875" s="5">
        <v>44979</v>
      </c>
      <c r="P875">
        <v>0.8</v>
      </c>
      <c r="Q875" s="4">
        <v>139</v>
      </c>
      <c r="R875">
        <v>0.57999999999999996</v>
      </c>
      <c r="S875" t="s">
        <v>70</v>
      </c>
      <c r="T875" s="6">
        <v>1</v>
      </c>
      <c r="U875" s="5">
        <v>45027</v>
      </c>
      <c r="V875" s="6">
        <v>2</v>
      </c>
      <c r="W875" t="s">
        <v>71</v>
      </c>
      <c r="X875" s="6">
        <v>48</v>
      </c>
      <c r="Y875">
        <v>5.4586699999999997</v>
      </c>
      <c r="Z875">
        <v>3.0325944444444444</v>
      </c>
      <c r="AA875" s="6">
        <v>83.999948705453889</v>
      </c>
      <c r="AB875" s="4">
        <v>57.316000000000003</v>
      </c>
      <c r="AC875" s="6">
        <v>11.904769174401563</v>
      </c>
      <c r="AD875">
        <v>0.23593254</v>
      </c>
      <c r="AE875">
        <v>1.786904840560037</v>
      </c>
      <c r="AF875">
        <v>8925</v>
      </c>
      <c r="AG875" s="4">
        <v>0</v>
      </c>
      <c r="AH875" s="4">
        <v>12000</v>
      </c>
      <c r="AI875" t="s">
        <v>73</v>
      </c>
      <c r="AJ875" t="s">
        <v>73</v>
      </c>
      <c r="AK875" t="s">
        <v>134</v>
      </c>
      <c r="AL875">
        <v>84</v>
      </c>
      <c r="AM875">
        <v>5.4586699999999997</v>
      </c>
      <c r="AN875" t="s">
        <v>73</v>
      </c>
      <c r="AO875" t="s">
        <v>94</v>
      </c>
      <c r="AP875" s="5">
        <v>44979</v>
      </c>
      <c r="AQ875" t="s">
        <v>117</v>
      </c>
      <c r="AR875" s="5">
        <v>45026</v>
      </c>
      <c r="AS875">
        <v>120.80919161627283</v>
      </c>
      <c r="AT875" s="6"/>
      <c r="AU875">
        <v>65.95013070949517</v>
      </c>
      <c r="AV875">
        <v>53.396048854391267</v>
      </c>
      <c r="AW875">
        <v>57.516215488388191</v>
      </c>
      <c r="AX875">
        <v>176.86239505227462</v>
      </c>
      <c r="AY875">
        <v>35.750054500455242</v>
      </c>
      <c r="AZ875">
        <v>68.552361655861233</v>
      </c>
      <c r="BA875">
        <v>8.1669582517353128</v>
      </c>
      <c r="BB875">
        <v>12.578868112562217</v>
      </c>
      <c r="BC875">
        <v>7.914431537352506</v>
      </c>
      <c r="BD875">
        <v>132.96267405796652</v>
      </c>
      <c r="BE875">
        <v>-189.01587749396833</v>
      </c>
      <c r="BF875">
        <v>11.959019321556349</v>
      </c>
      <c r="BH875">
        <v>11.959019321556349</v>
      </c>
      <c r="BI875">
        <v>321.78408843179744</v>
      </c>
      <c r="BJ875" s="6">
        <v>150</v>
      </c>
      <c r="BK875">
        <v>-200.97489681552463</v>
      </c>
      <c r="BL875" s="4">
        <v>-1097.0556399999998</v>
      </c>
      <c r="BM875" t="s">
        <v>663</v>
      </c>
      <c r="BN875" t="s">
        <v>65</v>
      </c>
      <c r="BO875">
        <v>4</v>
      </c>
      <c r="BP875">
        <v>2023</v>
      </c>
      <c r="BQ875" t="str">
        <f t="shared" si="66"/>
        <v>Nakornfarm4</v>
      </c>
      <c r="BR875">
        <f t="shared" si="67"/>
        <v>-937.71264999999971</v>
      </c>
      <c r="BS875">
        <f t="shared" si="68"/>
        <v>659.45750999999996</v>
      </c>
      <c r="BT875" s="6">
        <f t="shared" si="69"/>
        <v>-171.78408843179744</v>
      </c>
    </row>
    <row r="876" spans="1:72">
      <c r="A876" s="3" t="s">
        <v>631</v>
      </c>
      <c r="B876" s="3" t="s">
        <v>651</v>
      </c>
      <c r="C876" s="3" t="s">
        <v>653</v>
      </c>
      <c r="D876" s="2" t="s">
        <v>658</v>
      </c>
      <c r="E876" s="4" t="str">
        <f t="shared" si="65"/>
        <v>NakornfarmE1-077-0015</v>
      </c>
      <c r="F876">
        <v>1.5</v>
      </c>
      <c r="G876">
        <v>1.5</v>
      </c>
      <c r="H876" t="s">
        <v>72</v>
      </c>
      <c r="I876" t="s">
        <v>75</v>
      </c>
      <c r="J876" t="s">
        <v>95</v>
      </c>
      <c r="K876" t="s">
        <v>79</v>
      </c>
      <c r="L876" t="s">
        <v>79</v>
      </c>
      <c r="M876">
        <v>0.10046511627906977</v>
      </c>
      <c r="N876" s="5">
        <v>44972</v>
      </c>
      <c r="O876" s="5">
        <v>44998</v>
      </c>
      <c r="P876">
        <v>0.7</v>
      </c>
      <c r="Q876" s="4">
        <v>194</v>
      </c>
      <c r="R876">
        <v>1.04</v>
      </c>
      <c r="S876" t="s">
        <v>70</v>
      </c>
      <c r="T876" s="6">
        <v>1</v>
      </c>
      <c r="U876" s="5">
        <v>45042</v>
      </c>
      <c r="V876" s="6">
        <v>2</v>
      </c>
      <c r="W876" t="s">
        <v>71</v>
      </c>
      <c r="X876" s="6">
        <v>44</v>
      </c>
      <c r="Y876">
        <v>4.1255800000000002</v>
      </c>
      <c r="Z876">
        <v>2.750386666666667</v>
      </c>
      <c r="AA876" s="6">
        <v>101.99996121757425</v>
      </c>
      <c r="AB876" s="4">
        <v>60.115571428571421</v>
      </c>
      <c r="AC876" s="6">
        <v>9.8039252962745564</v>
      </c>
      <c r="AD876">
        <v>0.199180036</v>
      </c>
      <c r="AE876">
        <v>2.5312133930621208</v>
      </c>
      <c r="AF876">
        <v>8600</v>
      </c>
      <c r="AG876" s="4">
        <v>0</v>
      </c>
      <c r="AH876" s="4">
        <v>864</v>
      </c>
      <c r="AI876" t="s">
        <v>73</v>
      </c>
      <c r="AJ876" t="s">
        <v>73</v>
      </c>
      <c r="AK876" t="s">
        <v>170</v>
      </c>
      <c r="AL876">
        <v>102</v>
      </c>
      <c r="AM876">
        <v>4.1255800000000002</v>
      </c>
      <c r="AN876" t="s">
        <v>73</v>
      </c>
      <c r="AO876" t="s">
        <v>198</v>
      </c>
      <c r="AP876" s="5">
        <v>44998</v>
      </c>
      <c r="AQ876" t="s">
        <v>117</v>
      </c>
      <c r="AR876" s="5">
        <v>45042</v>
      </c>
      <c r="AS876">
        <v>87.273517905361189</v>
      </c>
      <c r="AT876" s="6"/>
      <c r="AU876">
        <v>93.320211945956686</v>
      </c>
      <c r="AV876">
        <v>67.158595882275961</v>
      </c>
      <c r="AW876">
        <v>68.52602543157569</v>
      </c>
      <c r="AX876">
        <v>229.00483325980832</v>
      </c>
      <c r="AY876">
        <v>23.809258334585682</v>
      </c>
      <c r="AZ876">
        <v>65.565930123764417</v>
      </c>
      <c r="BA876">
        <v>4.3301863010776662</v>
      </c>
      <c r="BB876">
        <v>8.0106360802602303</v>
      </c>
      <c r="BC876">
        <v>9.7546647986464929</v>
      </c>
      <c r="BD876">
        <v>111.47067563833448</v>
      </c>
      <c r="BE876">
        <v>-253.20199099278162</v>
      </c>
      <c r="BF876">
        <v>6.7437548175044482</v>
      </c>
      <c r="BH876">
        <v>6.7437548175044482</v>
      </c>
      <c r="BI876">
        <v>347.21926371564729</v>
      </c>
      <c r="BJ876" s="6">
        <v>150</v>
      </c>
      <c r="BK876">
        <v>-259.9457458102861</v>
      </c>
      <c r="BL876" s="4">
        <v>-1072.4269700000002</v>
      </c>
      <c r="BM876" t="s">
        <v>659</v>
      </c>
      <c r="BN876" t="s">
        <v>65</v>
      </c>
      <c r="BO876">
        <v>4</v>
      </c>
      <c r="BP876">
        <v>2023</v>
      </c>
      <c r="BQ876" t="str">
        <f t="shared" si="66"/>
        <v>Nakornfarm4</v>
      </c>
      <c r="BR876">
        <f t="shared" si="67"/>
        <v>-813.64385000000016</v>
      </c>
      <c r="BS876">
        <f t="shared" si="68"/>
        <v>360.05388000000005</v>
      </c>
      <c r="BT876" s="6">
        <f t="shared" si="69"/>
        <v>-197.21926371564729</v>
      </c>
    </row>
    <row r="877" spans="1:72">
      <c r="A877" s="3" t="s">
        <v>631</v>
      </c>
      <c r="B877" s="3" t="s">
        <v>651</v>
      </c>
      <c r="C877" s="3" t="s">
        <v>653</v>
      </c>
      <c r="D877" s="2" t="s">
        <v>657</v>
      </c>
      <c r="E877" s="4" t="str">
        <f t="shared" si="65"/>
        <v>NakornfarmD1-080-0015</v>
      </c>
      <c r="F877">
        <v>1.8</v>
      </c>
      <c r="G877">
        <v>2</v>
      </c>
      <c r="H877" t="s">
        <v>72</v>
      </c>
      <c r="I877" t="s">
        <v>75</v>
      </c>
      <c r="J877" t="s">
        <v>95</v>
      </c>
      <c r="K877" t="s">
        <v>79</v>
      </c>
      <c r="L877" t="s">
        <v>79</v>
      </c>
      <c r="M877">
        <v>0.90299287410926365</v>
      </c>
      <c r="N877" s="5">
        <v>44951</v>
      </c>
      <c r="O877" s="5">
        <v>44973</v>
      </c>
      <c r="P877">
        <v>0.8</v>
      </c>
      <c r="Q877" s="4">
        <v>139</v>
      </c>
      <c r="R877">
        <v>0.3</v>
      </c>
      <c r="S877" t="s">
        <v>70</v>
      </c>
      <c r="T877" s="6">
        <v>1</v>
      </c>
      <c r="U877" s="5">
        <v>45026</v>
      </c>
      <c r="V877" s="6">
        <v>2</v>
      </c>
      <c r="W877" t="s">
        <v>71</v>
      </c>
      <c r="X877" s="6">
        <v>52.999999999999993</v>
      </c>
      <c r="Y877">
        <v>5.34802</v>
      </c>
      <c r="Z877">
        <v>2.9711222222222222</v>
      </c>
      <c r="AA877" s="6">
        <v>108.99996634268382</v>
      </c>
      <c r="AB877" s="4">
        <v>72.866749999999996</v>
      </c>
      <c r="AC877" s="6">
        <v>9.1743147594753456</v>
      </c>
      <c r="AD877">
        <v>0.167439848</v>
      </c>
      <c r="AE877">
        <v>2.0604852760952381</v>
      </c>
      <c r="AF877">
        <v>10525</v>
      </c>
      <c r="AG877" s="4">
        <v>0</v>
      </c>
      <c r="AH877" s="4">
        <v>9504</v>
      </c>
      <c r="AI877" t="s">
        <v>73</v>
      </c>
      <c r="AJ877" t="s">
        <v>73</v>
      </c>
      <c r="AK877" t="s">
        <v>147</v>
      </c>
      <c r="AL877">
        <v>109</v>
      </c>
      <c r="AM877">
        <v>5.34802</v>
      </c>
      <c r="AN877" t="s">
        <v>73</v>
      </c>
      <c r="AO877" t="s">
        <v>215</v>
      </c>
      <c r="AP877" s="5">
        <v>44973</v>
      </c>
      <c r="AQ877" t="s">
        <v>117</v>
      </c>
      <c r="AR877" s="5">
        <v>45026</v>
      </c>
      <c r="AS877">
        <v>100.38215638684972</v>
      </c>
      <c r="AT877" s="6"/>
      <c r="AU877">
        <v>59.835228738860359</v>
      </c>
      <c r="AV877">
        <v>64.381745019652129</v>
      </c>
      <c r="AW877">
        <v>62.31998945404095</v>
      </c>
      <c r="AX877">
        <v>186.53696321255345</v>
      </c>
      <c r="AY877">
        <v>36.265255178552053</v>
      </c>
      <c r="AZ877">
        <v>68.884706863474705</v>
      </c>
      <c r="BA877">
        <v>8.2410536983780904</v>
      </c>
      <c r="BB877">
        <v>12.801696702704925</v>
      </c>
      <c r="BC877">
        <v>7.8580839263877085</v>
      </c>
      <c r="BD877">
        <v>134.05079636949748</v>
      </c>
      <c r="BE877">
        <v>-220.20560319520121</v>
      </c>
      <c r="BF877">
        <v>12.121375761496777</v>
      </c>
      <c r="BH877">
        <v>12.121375761496777</v>
      </c>
      <c r="BI877">
        <v>332.7091353435477</v>
      </c>
      <c r="BJ877" s="6">
        <v>150</v>
      </c>
      <c r="BK877">
        <v>-232.32697895669799</v>
      </c>
      <c r="BL877" s="4">
        <v>-1242.4893300000001</v>
      </c>
      <c r="BM877" t="s">
        <v>654</v>
      </c>
      <c r="BN877" t="s">
        <v>65</v>
      </c>
      <c r="BO877">
        <v>4</v>
      </c>
      <c r="BP877">
        <v>2023</v>
      </c>
      <c r="BQ877" t="str">
        <f t="shared" si="66"/>
        <v>Nakornfarm4</v>
      </c>
      <c r="BR877">
        <f t="shared" si="67"/>
        <v>-977.13211000000001</v>
      </c>
      <c r="BS877">
        <f t="shared" si="68"/>
        <v>536.84577999999999</v>
      </c>
      <c r="BT877" s="6">
        <f t="shared" si="69"/>
        <v>-182.7091353435477</v>
      </c>
    </row>
    <row r="878" spans="1:72">
      <c r="A878" s="3" t="s">
        <v>631</v>
      </c>
      <c r="B878" s="3" t="s">
        <v>651</v>
      </c>
      <c r="C878" s="3" t="s">
        <v>653</v>
      </c>
      <c r="D878" s="2" t="s">
        <v>655</v>
      </c>
      <c r="E878" s="4" t="str">
        <f t="shared" si="65"/>
        <v>NakornfarmD1-083-0013</v>
      </c>
      <c r="F878">
        <v>1.8</v>
      </c>
      <c r="G878">
        <v>1.8</v>
      </c>
      <c r="H878" t="s">
        <v>72</v>
      </c>
      <c r="I878" t="s">
        <v>75</v>
      </c>
      <c r="J878" t="s">
        <v>95</v>
      </c>
      <c r="K878" t="s">
        <v>79</v>
      </c>
      <c r="L878" t="s">
        <v>79</v>
      </c>
      <c r="M878">
        <v>1.5026086956521738</v>
      </c>
      <c r="N878" s="5">
        <v>44972</v>
      </c>
      <c r="O878" s="5">
        <v>45001</v>
      </c>
      <c r="P878">
        <v>0.8</v>
      </c>
      <c r="Q878" s="4">
        <v>154</v>
      </c>
      <c r="R878">
        <v>0.65</v>
      </c>
      <c r="S878" t="s">
        <v>70</v>
      </c>
      <c r="T878" s="6">
        <v>1</v>
      </c>
      <c r="U878" s="5">
        <v>45041</v>
      </c>
      <c r="V878" s="6">
        <v>2</v>
      </c>
      <c r="W878" t="s">
        <v>71</v>
      </c>
      <c r="X878" s="6">
        <v>40</v>
      </c>
      <c r="Y878">
        <v>2.2936000000000001</v>
      </c>
      <c r="Z878">
        <v>1.2742222222222221</v>
      </c>
      <c r="AA878" s="6">
        <v>146.99991280083711</v>
      </c>
      <c r="AB878" s="4">
        <v>42.144874999999999</v>
      </c>
      <c r="AC878" s="6">
        <v>6.8027251237546675</v>
      </c>
      <c r="AD878">
        <v>0.153818027</v>
      </c>
      <c r="AE878">
        <v>2.9177943166441138</v>
      </c>
      <c r="AF878">
        <v>5175</v>
      </c>
      <c r="AG878" s="4">
        <v>0</v>
      </c>
      <c r="AH878" s="4">
        <v>7776</v>
      </c>
      <c r="AI878" t="s">
        <v>73</v>
      </c>
      <c r="AJ878" t="s">
        <v>73</v>
      </c>
      <c r="AK878" t="s">
        <v>170</v>
      </c>
      <c r="AL878">
        <v>147</v>
      </c>
      <c r="AM878">
        <v>2.2936000000000001</v>
      </c>
      <c r="AN878" t="s">
        <v>73</v>
      </c>
      <c r="AO878" t="s">
        <v>198</v>
      </c>
      <c r="AP878" s="5">
        <v>45001</v>
      </c>
      <c r="AQ878" t="s">
        <v>117</v>
      </c>
      <c r="AR878" s="5">
        <v>45041</v>
      </c>
      <c r="AS878">
        <v>78.09391349843041</v>
      </c>
      <c r="AT878" s="6"/>
      <c r="AU878">
        <v>174.39832577607257</v>
      </c>
      <c r="AV878">
        <v>72.771581792814786</v>
      </c>
      <c r="AW878">
        <v>133.71686431810261</v>
      </c>
      <c r="AX878">
        <v>380.88677188698995</v>
      </c>
      <c r="AY878">
        <v>50.868490582490409</v>
      </c>
      <c r="AZ878">
        <v>138.99067840948729</v>
      </c>
      <c r="BA878">
        <v>9.125396756191142</v>
      </c>
      <c r="BB878">
        <v>17.203557725845833</v>
      </c>
      <c r="BC878">
        <v>20.542099755842344</v>
      </c>
      <c r="BD878">
        <v>236.73022322985702</v>
      </c>
      <c r="BE878">
        <v>-539.52308161841654</v>
      </c>
      <c r="BF878">
        <v>14.357930763864667</v>
      </c>
      <c r="BH878">
        <v>14.357930763864667</v>
      </c>
      <c r="BI878">
        <v>631.97492588071157</v>
      </c>
      <c r="BJ878" s="6">
        <v>150</v>
      </c>
      <c r="BK878">
        <v>-553.88101238228114</v>
      </c>
      <c r="BL878" s="4">
        <v>-1270.38149</v>
      </c>
      <c r="BM878" t="s">
        <v>656</v>
      </c>
      <c r="BN878" t="s">
        <v>65</v>
      </c>
      <c r="BO878">
        <v>4</v>
      </c>
      <c r="BP878">
        <v>2023</v>
      </c>
      <c r="BQ878" t="str">
        <f t="shared" si="66"/>
        <v>Nakornfarm4</v>
      </c>
      <c r="BR878">
        <f t="shared" si="67"/>
        <v>-1105.4576900000002</v>
      </c>
      <c r="BS878">
        <f t="shared" si="68"/>
        <v>179.11619999999999</v>
      </c>
      <c r="BT878" s="6">
        <f t="shared" si="69"/>
        <v>-481.97492588071157</v>
      </c>
    </row>
    <row r="879" spans="1:72">
      <c r="A879" s="3" t="s">
        <v>631</v>
      </c>
      <c r="B879" s="3" t="s">
        <v>651</v>
      </c>
      <c r="C879" s="3" t="s">
        <v>684</v>
      </c>
      <c r="D879" s="2" t="s">
        <v>699</v>
      </c>
      <c r="E879" s="4" t="str">
        <f t="shared" si="65"/>
        <v>NakornfarmFG-125-0009</v>
      </c>
      <c r="F879">
        <v>1.4</v>
      </c>
      <c r="G879">
        <v>1.8</v>
      </c>
      <c r="H879" t="s">
        <v>72</v>
      </c>
      <c r="I879" t="s">
        <v>67</v>
      </c>
      <c r="J879" t="s">
        <v>95</v>
      </c>
      <c r="K879" t="s">
        <v>79</v>
      </c>
      <c r="L879" t="s">
        <v>79</v>
      </c>
      <c r="M879">
        <v>3.3993472584856397</v>
      </c>
      <c r="N879" s="5">
        <v>44804</v>
      </c>
      <c r="O879" s="5">
        <v>44894</v>
      </c>
      <c r="P879">
        <v>0.5</v>
      </c>
      <c r="Q879" s="4">
        <v>124</v>
      </c>
      <c r="R879">
        <v>0.14000000000000001</v>
      </c>
      <c r="S879" t="s">
        <v>70</v>
      </c>
      <c r="T879" s="6">
        <v>3</v>
      </c>
      <c r="U879" s="5">
        <v>45035</v>
      </c>
      <c r="V879" s="6">
        <v>1</v>
      </c>
      <c r="W879" t="s">
        <v>86</v>
      </c>
      <c r="X879" s="6">
        <v>141</v>
      </c>
      <c r="Y879">
        <v>17.861039999999999</v>
      </c>
      <c r="Z879">
        <v>12.757885714285715</v>
      </c>
      <c r="AA879" s="6">
        <v>21.769225084317597</v>
      </c>
      <c r="AB879" s="4">
        <v>77.764200000000002</v>
      </c>
      <c r="AC879" s="6">
        <v>45.936407755753933</v>
      </c>
      <c r="AD879">
        <v>0.37228070199999996</v>
      </c>
      <c r="AE879">
        <v>2.152769034300412</v>
      </c>
      <c r="AF879">
        <v>38300</v>
      </c>
      <c r="AG879" s="4">
        <v>0</v>
      </c>
      <c r="AH879" s="4">
        <v>130195</v>
      </c>
      <c r="AL879">
        <v>19</v>
      </c>
      <c r="AM879">
        <v>9.8574099999999998</v>
      </c>
      <c r="AN879" t="s">
        <v>81</v>
      </c>
      <c r="AO879" t="s">
        <v>94</v>
      </c>
      <c r="AP879" s="5">
        <v>44894</v>
      </c>
      <c r="AQ879" t="s">
        <v>117</v>
      </c>
      <c r="AR879" s="5">
        <v>45034</v>
      </c>
      <c r="AS879">
        <v>345.01324950842729</v>
      </c>
      <c r="AT879" s="6"/>
      <c r="AU879">
        <v>11.197556245325018</v>
      </c>
      <c r="AV879">
        <v>69.017608157195795</v>
      </c>
      <c r="AW879">
        <v>47.517010207692266</v>
      </c>
      <c r="AX879">
        <v>127.73217461021308</v>
      </c>
      <c r="AY879">
        <v>102.0357481983132</v>
      </c>
      <c r="AZ879">
        <v>80.113282317267078</v>
      </c>
      <c r="BA879">
        <v>128.03435410256063</v>
      </c>
      <c r="BB879">
        <v>68.244639729825366</v>
      </c>
      <c r="BC879">
        <v>41.079130330596648</v>
      </c>
      <c r="BD879">
        <v>419.50715467856293</v>
      </c>
      <c r="BE879">
        <v>-202.2260797803487</v>
      </c>
      <c r="BF879">
        <v>62.761062065814755</v>
      </c>
      <c r="BH879">
        <v>62.761062065814755</v>
      </c>
      <c r="BI879">
        <v>610.00039135459076</v>
      </c>
      <c r="BJ879" s="6">
        <v>232</v>
      </c>
      <c r="BK879">
        <v>-264.98714184616352</v>
      </c>
      <c r="BL879" s="4">
        <v>-4732.9459400000005</v>
      </c>
      <c r="BM879" t="s">
        <v>700</v>
      </c>
      <c r="BN879" t="s">
        <v>65</v>
      </c>
      <c r="BO879">
        <v>4</v>
      </c>
      <c r="BP879">
        <v>2023</v>
      </c>
      <c r="BQ879" t="str">
        <f t="shared" si="66"/>
        <v>Nakornfarm4</v>
      </c>
      <c r="BR879">
        <f t="shared" si="67"/>
        <v>-6751.4801099999995</v>
      </c>
      <c r="BS879">
        <f t="shared" si="68"/>
        <v>6162.2954499999996</v>
      </c>
      <c r="BT879" s="6">
        <f t="shared" si="69"/>
        <v>-378.00039135459076</v>
      </c>
    </row>
    <row r="880" spans="1:72">
      <c r="A880" s="3" t="s">
        <v>631</v>
      </c>
      <c r="B880" s="3" t="s">
        <v>651</v>
      </c>
      <c r="C880" s="3" t="s">
        <v>684</v>
      </c>
      <c r="D880" s="2" t="s">
        <v>697</v>
      </c>
      <c r="E880" s="4" t="str">
        <f t="shared" si="65"/>
        <v>NakornfarmF1-089-0012</v>
      </c>
      <c r="F880">
        <v>1.8</v>
      </c>
      <c r="G880">
        <v>1.5</v>
      </c>
      <c r="H880" t="s">
        <v>72</v>
      </c>
      <c r="I880" t="s">
        <v>75</v>
      </c>
      <c r="J880" t="s">
        <v>95</v>
      </c>
      <c r="K880" t="s">
        <v>79</v>
      </c>
      <c r="L880" t="s">
        <v>79</v>
      </c>
      <c r="M880">
        <v>2.5584970111016228</v>
      </c>
      <c r="N880" s="5">
        <v>44951</v>
      </c>
      <c r="O880" s="5">
        <v>44958</v>
      </c>
      <c r="P880">
        <v>0.8</v>
      </c>
      <c r="Q880" s="4">
        <v>185</v>
      </c>
      <c r="R880">
        <v>0.34</v>
      </c>
      <c r="S880" t="s">
        <v>70</v>
      </c>
      <c r="T880" s="6">
        <v>2</v>
      </c>
      <c r="U880" s="5">
        <v>45034</v>
      </c>
      <c r="V880" s="6">
        <v>1</v>
      </c>
      <c r="W880" t="s">
        <v>86</v>
      </c>
      <c r="X880" s="6">
        <v>76</v>
      </c>
      <c r="Y880">
        <v>15.40253</v>
      </c>
      <c r="Z880">
        <v>8.5569611111111108</v>
      </c>
      <c r="AA880" s="6">
        <v>37.998887195804841</v>
      </c>
      <c r="AB880" s="4">
        <v>73.159875</v>
      </c>
      <c r="AC880" s="6">
        <v>26.316560136276891</v>
      </c>
      <c r="AD880">
        <v>0.341786704</v>
      </c>
      <c r="AE880">
        <v>1.9348297779390411</v>
      </c>
      <c r="AF880">
        <v>29275</v>
      </c>
      <c r="AG880" s="4">
        <v>0</v>
      </c>
      <c r="AH880" s="4">
        <v>74900</v>
      </c>
      <c r="AI880" t="s">
        <v>642</v>
      </c>
      <c r="AJ880" t="s">
        <v>642</v>
      </c>
      <c r="AK880" t="s">
        <v>102</v>
      </c>
      <c r="AL880">
        <v>38</v>
      </c>
      <c r="AM880">
        <v>11.929950000000002</v>
      </c>
      <c r="AN880" t="s">
        <v>73</v>
      </c>
      <c r="AO880" t="s">
        <v>90</v>
      </c>
      <c r="AP880" s="5">
        <v>44958</v>
      </c>
      <c r="AQ880" t="s">
        <v>117</v>
      </c>
      <c r="AR880" s="5">
        <v>45033</v>
      </c>
      <c r="AS880">
        <v>202.15606462055257</v>
      </c>
      <c r="AT880" s="6"/>
      <c r="AU880">
        <v>20.77580761082757</v>
      </c>
      <c r="AV880">
        <v>61.933724524477441</v>
      </c>
      <c r="AW880">
        <v>30.700868623531321</v>
      </c>
      <c r="AX880">
        <v>113.41040075883633</v>
      </c>
      <c r="AY880">
        <v>13.215411364236912</v>
      </c>
      <c r="AZ880">
        <v>26.934556855269886</v>
      </c>
      <c r="BA880">
        <v>3.1249840123667991</v>
      </c>
      <c r="BB880">
        <v>4.5489280007894806</v>
      </c>
      <c r="BC880">
        <v>3.3398292358463184</v>
      </c>
      <c r="BD880">
        <v>51.163709468509396</v>
      </c>
      <c r="BE880">
        <v>37.581954393206843</v>
      </c>
      <c r="BF880">
        <v>4.4450638953470625</v>
      </c>
      <c r="BH880">
        <v>4.4450638953470625</v>
      </c>
      <c r="BI880">
        <v>169.01917412269282</v>
      </c>
      <c r="BJ880" s="6">
        <v>184</v>
      </c>
      <c r="BK880">
        <v>33.136890497859746</v>
      </c>
      <c r="BL880" s="4">
        <v>510.39194999999972</v>
      </c>
      <c r="BM880" t="s">
        <v>698</v>
      </c>
      <c r="BN880" t="s">
        <v>65</v>
      </c>
      <c r="BO880">
        <v>4</v>
      </c>
      <c r="BP880">
        <v>2023</v>
      </c>
      <c r="BQ880" t="str">
        <f t="shared" si="66"/>
        <v>Nakornfarm4</v>
      </c>
      <c r="BR880">
        <f t="shared" si="67"/>
        <v>230.74262000000022</v>
      </c>
      <c r="BS880">
        <f t="shared" si="68"/>
        <v>3113.7148499999998</v>
      </c>
      <c r="BT880" s="6">
        <f t="shared" si="69"/>
        <v>14.980825877307183</v>
      </c>
    </row>
    <row r="881" spans="1:72">
      <c r="A881" s="3" t="s">
        <v>631</v>
      </c>
      <c r="B881" s="3" t="s">
        <v>651</v>
      </c>
      <c r="C881" s="3" t="s">
        <v>684</v>
      </c>
      <c r="D881" s="2" t="s">
        <v>693</v>
      </c>
      <c r="E881" s="4" t="str">
        <f t="shared" si="65"/>
        <v>NakornfarmF1-090-0012</v>
      </c>
      <c r="F881">
        <v>1.8</v>
      </c>
      <c r="G881">
        <v>2</v>
      </c>
      <c r="H881" t="s">
        <v>72</v>
      </c>
      <c r="I881" t="s">
        <v>75</v>
      </c>
      <c r="J881" t="s">
        <v>95</v>
      </c>
      <c r="K881" t="s">
        <v>79</v>
      </c>
      <c r="L881" t="s">
        <v>79</v>
      </c>
      <c r="M881">
        <v>3.3005934718100889</v>
      </c>
      <c r="N881" s="5">
        <v>44951</v>
      </c>
      <c r="O881" s="5">
        <v>44960</v>
      </c>
      <c r="P881">
        <v>0.8</v>
      </c>
      <c r="Q881" s="4">
        <v>139</v>
      </c>
      <c r="R881">
        <v>0.41</v>
      </c>
      <c r="S881" t="s">
        <v>70</v>
      </c>
      <c r="T881" s="6">
        <v>1</v>
      </c>
      <c r="U881" s="5">
        <v>45012</v>
      </c>
      <c r="V881" s="6">
        <v>1</v>
      </c>
      <c r="W881" t="s">
        <v>86</v>
      </c>
      <c r="X881" s="6">
        <v>51.999999999999993</v>
      </c>
      <c r="Y881">
        <v>11.878399999999999</v>
      </c>
      <c r="Z881">
        <v>6.5991111111111103</v>
      </c>
      <c r="AA881" s="6">
        <v>59.000033674568968</v>
      </c>
      <c r="AB881" s="4">
        <v>87.603250000000003</v>
      </c>
      <c r="AC881" s="6">
        <v>16.949142868557956</v>
      </c>
      <c r="AD881">
        <v>0.31806062600000001</v>
      </c>
      <c r="AE881">
        <v>1.4588239368333564</v>
      </c>
      <c r="AF881">
        <v>16850</v>
      </c>
      <c r="AG881" s="4">
        <v>0</v>
      </c>
      <c r="AH881" s="4">
        <v>55615</v>
      </c>
      <c r="AI881" t="s">
        <v>73</v>
      </c>
      <c r="AJ881" t="s">
        <v>73</v>
      </c>
      <c r="AK881" t="s">
        <v>130</v>
      </c>
      <c r="AL881">
        <v>59</v>
      </c>
      <c r="AM881">
        <v>11.878399999999999</v>
      </c>
      <c r="AN881" t="s">
        <v>73</v>
      </c>
      <c r="AO881" t="s">
        <v>90</v>
      </c>
      <c r="AP881" s="5">
        <v>44960</v>
      </c>
      <c r="AQ881" t="s">
        <v>144</v>
      </c>
      <c r="AR881" s="5">
        <v>45012</v>
      </c>
      <c r="AS881">
        <v>146.97542261584053</v>
      </c>
      <c r="AT881" s="6"/>
      <c r="AU881">
        <v>30.307112068965512</v>
      </c>
      <c r="AV881">
        <v>46.652953259698272</v>
      </c>
      <c r="AW881">
        <v>28.852628300107749</v>
      </c>
      <c r="AX881">
        <v>105.81269362877154</v>
      </c>
      <c r="AY881">
        <v>14.991716056034484</v>
      </c>
      <c r="AZ881">
        <v>24.965290779903015</v>
      </c>
      <c r="BA881">
        <v>3.3079901333512938</v>
      </c>
      <c r="BB881">
        <v>5.3664205616918101</v>
      </c>
      <c r="BC881">
        <v>2.4163818359375</v>
      </c>
      <c r="BD881">
        <v>51.047799366918099</v>
      </c>
      <c r="BE881">
        <v>-9.8850703798491111</v>
      </c>
      <c r="BF881">
        <v>4.9502618197737069</v>
      </c>
      <c r="BH881">
        <v>4.9502618197737069</v>
      </c>
      <c r="BI881">
        <v>161.81075481546338</v>
      </c>
      <c r="BJ881" s="6">
        <v>163</v>
      </c>
      <c r="BK881">
        <v>-14.835332199622846</v>
      </c>
      <c r="BL881" s="4">
        <v>-176.22001</v>
      </c>
      <c r="BM881" t="s">
        <v>694</v>
      </c>
      <c r="BN881" t="s">
        <v>65</v>
      </c>
      <c r="BO881">
        <v>3</v>
      </c>
      <c r="BP881">
        <v>2023</v>
      </c>
      <c r="BQ881" t="str">
        <f t="shared" si="66"/>
        <v>Nakornfarm3</v>
      </c>
      <c r="BR881">
        <f t="shared" si="67"/>
        <v>14.126329999999747</v>
      </c>
      <c r="BS881">
        <f t="shared" si="68"/>
        <v>1745.83286</v>
      </c>
      <c r="BT881" s="6">
        <f t="shared" si="69"/>
        <v>1.1892451845366168</v>
      </c>
    </row>
    <row r="882" spans="1:72">
      <c r="A882" s="3" t="s">
        <v>631</v>
      </c>
      <c r="B882" s="3" t="s">
        <v>651</v>
      </c>
      <c r="C882" s="3" t="s">
        <v>684</v>
      </c>
      <c r="D882" s="2" t="s">
        <v>691</v>
      </c>
      <c r="E882" s="4" t="str">
        <f t="shared" si="65"/>
        <v>NakornfarmF1-089-0013</v>
      </c>
      <c r="F882">
        <v>1.8</v>
      </c>
      <c r="G882">
        <v>1.5</v>
      </c>
      <c r="H882" t="s">
        <v>72</v>
      </c>
      <c r="I882" t="s">
        <v>75</v>
      </c>
      <c r="J882" t="s">
        <v>95</v>
      </c>
      <c r="K882" t="s">
        <v>79</v>
      </c>
      <c r="L882" t="s">
        <v>79</v>
      </c>
      <c r="M882">
        <v>2.5184873949579831</v>
      </c>
      <c r="N882" s="5">
        <v>45035</v>
      </c>
      <c r="O882" s="5">
        <v>45091</v>
      </c>
      <c r="P882">
        <v>0.8</v>
      </c>
      <c r="Q882" s="4">
        <v>185</v>
      </c>
      <c r="R882">
        <v>0.89</v>
      </c>
      <c r="S882" t="s">
        <v>70</v>
      </c>
      <c r="T882" s="6">
        <v>1</v>
      </c>
      <c r="U882" s="5">
        <v>45128</v>
      </c>
      <c r="V882" s="6">
        <v>2</v>
      </c>
      <c r="W882" t="s">
        <v>71</v>
      </c>
      <c r="X882" s="6">
        <v>37</v>
      </c>
      <c r="Y882">
        <v>10.523530000000001</v>
      </c>
      <c r="Z882">
        <v>5.8464055555555561</v>
      </c>
      <c r="AA882" s="6">
        <v>81.999956288431733</v>
      </c>
      <c r="AB882" s="4">
        <v>107.866125</v>
      </c>
      <c r="AC882" s="6">
        <v>12.195128452051096</v>
      </c>
      <c r="AD882">
        <v>0.30554383699999998</v>
      </c>
      <c r="AE882">
        <v>1.2128587488393756</v>
      </c>
      <c r="AF882">
        <v>11900</v>
      </c>
      <c r="AG882" s="4">
        <v>0</v>
      </c>
      <c r="AH882" s="4">
        <v>29970</v>
      </c>
      <c r="AI882" t="s">
        <v>73</v>
      </c>
      <c r="AJ882" t="s">
        <v>73</v>
      </c>
      <c r="AK882" t="s">
        <v>127</v>
      </c>
      <c r="AL882">
        <v>82</v>
      </c>
      <c r="AM882">
        <v>10.523530000000001</v>
      </c>
      <c r="AN882" t="s">
        <v>73</v>
      </c>
      <c r="AO882" t="s">
        <v>134</v>
      </c>
      <c r="AP882" s="5">
        <v>45091</v>
      </c>
      <c r="AQ882" t="s">
        <v>134</v>
      </c>
      <c r="AR882" s="5">
        <v>45127</v>
      </c>
      <c r="AS882">
        <v>113.58850309734471</v>
      </c>
      <c r="AT882" s="6"/>
      <c r="AU882">
        <v>41.811065298431224</v>
      </c>
      <c r="AV882">
        <v>35.936118393732905</v>
      </c>
      <c r="AW882">
        <v>65.134772267480599</v>
      </c>
      <c r="AX882">
        <v>142.88195595964473</v>
      </c>
      <c r="AY882">
        <v>6.7995729569830656</v>
      </c>
      <c r="AZ882">
        <v>11.950196369469179</v>
      </c>
      <c r="BA882">
        <v>6.1584572857206652</v>
      </c>
      <c r="BB882">
        <v>3.4126200999094412</v>
      </c>
      <c r="BC882">
        <v>3.5366706798954337</v>
      </c>
      <c r="BD882">
        <v>31.857517391977787</v>
      </c>
      <c r="BE882">
        <v>-61.150970254277802</v>
      </c>
      <c r="BF882">
        <v>3.1068386748553003</v>
      </c>
      <c r="BH882">
        <v>3.1068386748553003</v>
      </c>
      <c r="BI882">
        <v>177.84631202647782</v>
      </c>
      <c r="BJ882" s="6">
        <v>150</v>
      </c>
      <c r="BK882">
        <v>-64.257808929133105</v>
      </c>
      <c r="BL882" s="4">
        <v>-676.21898000000022</v>
      </c>
      <c r="BM882" t="s">
        <v>692</v>
      </c>
      <c r="BN882" t="s">
        <v>65</v>
      </c>
      <c r="BO882">
        <v>7</v>
      </c>
      <c r="BP882">
        <v>2023</v>
      </c>
      <c r="BQ882" t="str">
        <f t="shared" si="66"/>
        <v>Nakornfarm7</v>
      </c>
      <c r="BR882">
        <f t="shared" si="67"/>
        <v>-293.04150000000016</v>
      </c>
      <c r="BS882">
        <f t="shared" si="68"/>
        <v>1195.35202</v>
      </c>
      <c r="BT882" s="6">
        <f t="shared" si="69"/>
        <v>-27.846312026477818</v>
      </c>
    </row>
    <row r="883" spans="1:72">
      <c r="A883" s="3" t="s">
        <v>631</v>
      </c>
      <c r="B883" s="3" t="s">
        <v>651</v>
      </c>
      <c r="C883" s="3" t="s">
        <v>684</v>
      </c>
      <c r="D883" s="2" t="s">
        <v>2707</v>
      </c>
      <c r="E883" s="4" t="str">
        <f t="shared" si="65"/>
        <v>NakornfarmD1-081-0015</v>
      </c>
      <c r="F883">
        <v>1.8</v>
      </c>
      <c r="G883">
        <v>2</v>
      </c>
      <c r="H883" t="s">
        <v>72</v>
      </c>
      <c r="I883" t="s">
        <v>75</v>
      </c>
      <c r="J883" t="s">
        <v>95</v>
      </c>
      <c r="K883" t="s">
        <v>79</v>
      </c>
      <c r="L883" t="s">
        <v>79</v>
      </c>
      <c r="M883">
        <v>2.2580821917808218</v>
      </c>
      <c r="N883" s="5">
        <v>45170</v>
      </c>
      <c r="O883" s="5">
        <v>45177</v>
      </c>
      <c r="P883">
        <v>1</v>
      </c>
      <c r="Q883" s="4">
        <v>174</v>
      </c>
      <c r="R883">
        <v>0.19</v>
      </c>
      <c r="S883" t="s">
        <v>70</v>
      </c>
      <c r="T883" s="6">
        <v>4</v>
      </c>
      <c r="U883" s="5">
        <v>45248</v>
      </c>
      <c r="V883" s="6">
        <v>1</v>
      </c>
      <c r="W883" t="s">
        <v>86</v>
      </c>
      <c r="X883" s="6">
        <v>71</v>
      </c>
      <c r="Y883">
        <v>16.335830000000001</v>
      </c>
      <c r="Z883">
        <v>9.0754611111111121</v>
      </c>
      <c r="AA883" s="6">
        <v>52.761384025176561</v>
      </c>
      <c r="AB883" s="4">
        <v>86.190100000000001</v>
      </c>
      <c r="AC883" s="6">
        <v>18.9532556523313</v>
      </c>
      <c r="AD883">
        <v>0.29699430599999999</v>
      </c>
      <c r="AE883">
        <v>1.4694196582027681</v>
      </c>
      <c r="AF883">
        <v>23725</v>
      </c>
      <c r="AG883" s="4"/>
      <c r="AH883" s="4">
        <v>53573</v>
      </c>
      <c r="AI883" t="s">
        <v>73</v>
      </c>
      <c r="AJ883" t="s">
        <v>73</v>
      </c>
      <c r="AK883" t="s">
        <v>2678</v>
      </c>
      <c r="AL883">
        <v>47</v>
      </c>
      <c r="AM883">
        <v>5.3543400000000005</v>
      </c>
      <c r="AN883" t="s">
        <v>73</v>
      </c>
      <c r="AO883" t="s">
        <v>157</v>
      </c>
      <c r="AP883" s="5">
        <v>45177</v>
      </c>
      <c r="AQ883" t="s">
        <v>198</v>
      </c>
      <c r="AR883" s="5">
        <v>45247</v>
      </c>
      <c r="AS883">
        <v>164.15818908497457</v>
      </c>
      <c r="AT883" s="6"/>
      <c r="AU883">
        <v>18.364539787693676</v>
      </c>
      <c r="AV883">
        <v>43.092084087554774</v>
      </c>
      <c r="AW883">
        <v>39.670770325107448</v>
      </c>
      <c r="AX883">
        <v>101.12739420035589</v>
      </c>
      <c r="AY883">
        <v>14.758252258991432</v>
      </c>
      <c r="AZ883">
        <v>37.360517341328851</v>
      </c>
      <c r="BA883">
        <v>4.4980371367723588</v>
      </c>
      <c r="BB883">
        <v>17.622387108582796</v>
      </c>
      <c r="BC883">
        <v>23.476429419258157</v>
      </c>
      <c r="BD883">
        <v>97.715623264933583</v>
      </c>
      <c r="BE883">
        <v>-34.684828380314912</v>
      </c>
      <c r="BF883">
        <v>11.119465004226909</v>
      </c>
      <c r="BH883">
        <v>11.119465004226909</v>
      </c>
      <c r="BI883">
        <v>209.9624824695164</v>
      </c>
      <c r="BJ883" s="6">
        <v>166</v>
      </c>
      <c r="BK883">
        <v>-45.804293384541829</v>
      </c>
      <c r="BL883" s="4">
        <v>-748.25114999999994</v>
      </c>
      <c r="BM883" t="s">
        <v>2708</v>
      </c>
      <c r="BN883" t="s">
        <v>65</v>
      </c>
      <c r="BO883">
        <v>11</v>
      </c>
      <c r="BP883">
        <v>2023</v>
      </c>
      <c r="BQ883" t="str">
        <f t="shared" si="66"/>
        <v>Nakornfarm11</v>
      </c>
      <c r="BR883">
        <f t="shared" si="67"/>
        <v>-718.16364000000021</v>
      </c>
      <c r="BS883">
        <f t="shared" si="68"/>
        <v>2681.6602700000003</v>
      </c>
      <c r="BT883" s="6">
        <f t="shared" si="69"/>
        <v>-43.962482469516402</v>
      </c>
    </row>
    <row r="884" spans="1:72">
      <c r="A884" s="3" t="s">
        <v>631</v>
      </c>
      <c r="B884" s="3" t="s">
        <v>651</v>
      </c>
      <c r="C884" s="3" t="s">
        <v>684</v>
      </c>
      <c r="D884" s="2" t="s">
        <v>695</v>
      </c>
      <c r="E884" s="4" t="str">
        <f t="shared" si="65"/>
        <v>NakornfarmFG-125-0010</v>
      </c>
      <c r="F884">
        <v>1.4</v>
      </c>
      <c r="G884">
        <v>2</v>
      </c>
      <c r="H884" t="s">
        <v>72</v>
      </c>
      <c r="I884" t="s">
        <v>67</v>
      </c>
      <c r="K884" t="s">
        <v>79</v>
      </c>
      <c r="L884" t="s">
        <v>79</v>
      </c>
      <c r="M884">
        <v>1.0230650948231677</v>
      </c>
      <c r="N884" s="5">
        <v>45036</v>
      </c>
      <c r="O884" s="5">
        <v>45076</v>
      </c>
      <c r="P884">
        <v>0.8</v>
      </c>
      <c r="Q884" s="4">
        <v>179</v>
      </c>
      <c r="R884">
        <v>0.23</v>
      </c>
      <c r="S884" t="s">
        <v>70</v>
      </c>
      <c r="T884" s="6">
        <v>4</v>
      </c>
      <c r="U884" s="5">
        <v>45162</v>
      </c>
      <c r="V884" s="6">
        <v>1</v>
      </c>
      <c r="W884" t="s">
        <v>86</v>
      </c>
      <c r="X884" s="6">
        <v>86</v>
      </c>
      <c r="Y884">
        <v>14.798780000000001</v>
      </c>
      <c r="Z884">
        <v>10.570557142857144</v>
      </c>
      <c r="AA884" s="6">
        <v>41.742089550625117</v>
      </c>
      <c r="AB884" s="4">
        <v>77.216499999999996</v>
      </c>
      <c r="AC884" s="6">
        <v>23.956634916112492</v>
      </c>
      <c r="AD884">
        <v>0.28802325600000001</v>
      </c>
      <c r="AE884">
        <v>2.0024249424213023</v>
      </c>
      <c r="AF884">
        <v>29265</v>
      </c>
      <c r="AG884" s="4">
        <v>0</v>
      </c>
      <c r="AH884" s="4">
        <v>29940</v>
      </c>
      <c r="AL884">
        <v>40</v>
      </c>
      <c r="AM884">
        <v>2.3544</v>
      </c>
      <c r="AN884" t="s">
        <v>81</v>
      </c>
      <c r="AO884" t="s">
        <v>134</v>
      </c>
      <c r="AP884" s="5">
        <v>45076</v>
      </c>
      <c r="AQ884" t="s">
        <v>74</v>
      </c>
      <c r="AR884" s="5">
        <v>45162</v>
      </c>
      <c r="AS884">
        <v>151.79622103984244</v>
      </c>
      <c r="AT884" s="6"/>
      <c r="AU884">
        <v>21.623404091418347</v>
      </c>
      <c r="AV884">
        <v>61.584463043575219</v>
      </c>
      <c r="AW884">
        <v>45.512158434681787</v>
      </c>
      <c r="AX884">
        <v>128.72002556967536</v>
      </c>
      <c r="AY884">
        <v>16.996604449826268</v>
      </c>
      <c r="AZ884">
        <v>24.465913406375389</v>
      </c>
      <c r="BA884">
        <v>31.298298913829385</v>
      </c>
      <c r="BB884">
        <v>9.2267119316592296</v>
      </c>
      <c r="BC884">
        <v>28.932465378902855</v>
      </c>
      <c r="BD884">
        <v>110.91999408059311</v>
      </c>
      <c r="BE884">
        <v>-87.843798610426035</v>
      </c>
      <c r="BF884">
        <v>22.678359972916688</v>
      </c>
      <c r="BH884">
        <v>22.678359972916688</v>
      </c>
      <c r="BI884">
        <v>262.31837962318514</v>
      </c>
      <c r="BJ884" s="6">
        <v>181</v>
      </c>
      <c r="BK884">
        <v>-110.52215858334273</v>
      </c>
      <c r="BL884" s="4">
        <v>-1635.5931100000007</v>
      </c>
      <c r="BM884" t="s">
        <v>696</v>
      </c>
      <c r="BN884" t="s">
        <v>65</v>
      </c>
      <c r="BO884">
        <v>8</v>
      </c>
      <c r="BP884">
        <v>2023</v>
      </c>
      <c r="BQ884" t="str">
        <f t="shared" si="66"/>
        <v>Nakornfarm8</v>
      </c>
      <c r="BR884">
        <f t="shared" si="67"/>
        <v>-1203.4128099999998</v>
      </c>
      <c r="BS884">
        <f t="shared" si="68"/>
        <v>2246.3988799999997</v>
      </c>
      <c r="BT884" s="6">
        <f t="shared" si="69"/>
        <v>-81.318379623185137</v>
      </c>
    </row>
    <row r="885" spans="1:72">
      <c r="A885" s="3" t="s">
        <v>631</v>
      </c>
      <c r="B885" s="3" t="s">
        <v>651</v>
      </c>
      <c r="C885" s="3" t="s">
        <v>684</v>
      </c>
      <c r="D885" s="2" t="s">
        <v>689</v>
      </c>
      <c r="E885" s="4" t="str">
        <f t="shared" si="65"/>
        <v>NakornfarmF1-124-0008</v>
      </c>
      <c r="F885">
        <v>1.5</v>
      </c>
      <c r="G885">
        <v>1.8</v>
      </c>
      <c r="H885" t="s">
        <v>72</v>
      </c>
      <c r="I885" t="s">
        <v>75</v>
      </c>
      <c r="J885" t="s">
        <v>95</v>
      </c>
      <c r="K885" t="s">
        <v>79</v>
      </c>
      <c r="L885" t="s">
        <v>79</v>
      </c>
      <c r="M885">
        <v>1.9696969696969697</v>
      </c>
      <c r="N885" s="5">
        <v>44972</v>
      </c>
      <c r="O885" s="5">
        <v>44985</v>
      </c>
      <c r="P885">
        <v>0.7</v>
      </c>
      <c r="Q885" s="4">
        <v>162</v>
      </c>
      <c r="R885">
        <v>0.6</v>
      </c>
      <c r="S885" t="s">
        <v>70</v>
      </c>
      <c r="T885" s="6">
        <v>1</v>
      </c>
      <c r="U885" s="5">
        <v>45032</v>
      </c>
      <c r="V885" s="6">
        <v>2</v>
      </c>
      <c r="W885" t="s">
        <v>71</v>
      </c>
      <c r="X885" s="6">
        <v>47</v>
      </c>
      <c r="Y885">
        <v>5.7753100000000002</v>
      </c>
      <c r="Z885">
        <v>3.8502066666666668</v>
      </c>
      <c r="AA885" s="6">
        <v>98.999880525893843</v>
      </c>
      <c r="AB885" s="4">
        <v>81.679285714285712</v>
      </c>
      <c r="AC885" s="6">
        <v>10.101022291016257</v>
      </c>
      <c r="AD885">
        <v>0.202149151</v>
      </c>
      <c r="AE885">
        <v>1.8486324787920771</v>
      </c>
      <c r="AF885">
        <v>9900</v>
      </c>
      <c r="AG885" s="4">
        <v>0</v>
      </c>
      <c r="AH885" s="4">
        <v>19500</v>
      </c>
      <c r="AI885" t="s">
        <v>73</v>
      </c>
      <c r="AJ885" t="s">
        <v>73</v>
      </c>
      <c r="AK885" t="s">
        <v>144</v>
      </c>
      <c r="AL885">
        <v>99</v>
      </c>
      <c r="AM885">
        <v>5.7753100000000002</v>
      </c>
      <c r="AN885" t="s">
        <v>73</v>
      </c>
      <c r="AO885" t="s">
        <v>438</v>
      </c>
      <c r="AP885" s="5">
        <v>44985</v>
      </c>
      <c r="AQ885" t="s">
        <v>117</v>
      </c>
      <c r="AR885" s="5">
        <v>45031</v>
      </c>
      <c r="AS885">
        <v>110.63186911178792</v>
      </c>
      <c r="AT885" s="6"/>
      <c r="AU885">
        <v>54.542526721509319</v>
      </c>
      <c r="AV885">
        <v>55.82071092287687</v>
      </c>
      <c r="AW885">
        <v>46.885365460901653</v>
      </c>
      <c r="AX885">
        <v>157.24860310528783</v>
      </c>
      <c r="AY885">
        <v>15.275955749561495</v>
      </c>
      <c r="AZ885">
        <v>38.456460345851561</v>
      </c>
      <c r="BA885">
        <v>2.3610940365105941</v>
      </c>
      <c r="BB885">
        <v>5.4335663366988083</v>
      </c>
      <c r="BC885">
        <v>5.2697933097963565</v>
      </c>
      <c r="BD885">
        <v>66.796869778418824</v>
      </c>
      <c r="BE885">
        <v>-113.41360377191873</v>
      </c>
      <c r="BF885">
        <v>4.1608796757230353</v>
      </c>
      <c r="BH885">
        <v>4.1608796757230353</v>
      </c>
      <c r="BI885">
        <v>228.20635255942969</v>
      </c>
      <c r="BJ885" s="6">
        <v>150</v>
      </c>
      <c r="BK885">
        <v>-117.57448344764175</v>
      </c>
      <c r="BL885" s="4">
        <v>-679.02909</v>
      </c>
      <c r="BM885" t="s">
        <v>690</v>
      </c>
      <c r="BN885" t="s">
        <v>65</v>
      </c>
      <c r="BO885">
        <v>4</v>
      </c>
      <c r="BP885">
        <v>2023</v>
      </c>
      <c r="BQ885" t="str">
        <f t="shared" si="66"/>
        <v>Nakornfarm4</v>
      </c>
      <c r="BR885">
        <f t="shared" si="67"/>
        <v>-451.66592999999989</v>
      </c>
      <c r="BS885">
        <f t="shared" si="68"/>
        <v>638.93333999999993</v>
      </c>
      <c r="BT885" s="6">
        <f t="shared" si="69"/>
        <v>-78.206352559429689</v>
      </c>
    </row>
    <row r="886" spans="1:72">
      <c r="A886" s="3" t="s">
        <v>631</v>
      </c>
      <c r="B886" s="3" t="s">
        <v>651</v>
      </c>
      <c r="C886" s="3" t="s">
        <v>684</v>
      </c>
      <c r="D886" s="2" t="s">
        <v>1882</v>
      </c>
      <c r="E886" s="4" t="str">
        <f t="shared" si="65"/>
        <v>NakornfarmD1-083-0015</v>
      </c>
      <c r="F886">
        <v>1.8</v>
      </c>
      <c r="G886">
        <v>2</v>
      </c>
      <c r="H886" t="s">
        <v>72</v>
      </c>
      <c r="I886" t="s">
        <v>75</v>
      </c>
      <c r="J886" t="s">
        <v>95</v>
      </c>
      <c r="K886" t="s">
        <v>79</v>
      </c>
      <c r="L886" t="s">
        <v>79</v>
      </c>
      <c r="M886">
        <v>3.1089147286821706</v>
      </c>
      <c r="N886" s="5">
        <v>45170</v>
      </c>
      <c r="O886" s="5">
        <v>45178</v>
      </c>
      <c r="P886">
        <v>1</v>
      </c>
      <c r="Q886" s="4">
        <v>174</v>
      </c>
      <c r="R886">
        <v>0.122</v>
      </c>
      <c r="S886" t="s">
        <v>70</v>
      </c>
      <c r="T886" s="6">
        <v>2</v>
      </c>
      <c r="U886" s="5">
        <v>45235</v>
      </c>
      <c r="V886" s="6">
        <v>2</v>
      </c>
      <c r="W886" t="s">
        <v>71</v>
      </c>
      <c r="X886" s="6">
        <v>57</v>
      </c>
      <c r="Y886">
        <v>7.5093300000000003</v>
      </c>
      <c r="Z886">
        <v>4.1718500000000001</v>
      </c>
      <c r="AA886" s="6">
        <v>89.169073672351601</v>
      </c>
      <c r="AB886" s="4">
        <v>66.959999999999994</v>
      </c>
      <c r="AC886" s="6">
        <v>11.214650537634407</v>
      </c>
      <c r="AD886">
        <v>0.199513208</v>
      </c>
      <c r="AE886">
        <v>1.7462330774447601</v>
      </c>
      <c r="AF886">
        <v>12900</v>
      </c>
      <c r="AG886" s="4"/>
      <c r="AH886" s="4">
        <v>40105</v>
      </c>
      <c r="AI886" t="s">
        <v>73</v>
      </c>
      <c r="AJ886" t="s">
        <v>73</v>
      </c>
      <c r="AK886" t="s">
        <v>78</v>
      </c>
      <c r="AL886">
        <v>87</v>
      </c>
      <c r="AM886">
        <v>5.1823500000000005</v>
      </c>
      <c r="AN886" t="s">
        <v>73</v>
      </c>
      <c r="AO886" t="s">
        <v>157</v>
      </c>
      <c r="AP886" s="5">
        <v>45178</v>
      </c>
      <c r="AQ886" t="s">
        <v>123</v>
      </c>
      <c r="AR886" s="5">
        <v>45234</v>
      </c>
      <c r="AS886">
        <v>109.25462591203211</v>
      </c>
      <c r="AT886" s="6"/>
      <c r="AU886">
        <v>39.950301824530285</v>
      </c>
      <c r="AV886">
        <v>50.841364009838422</v>
      </c>
      <c r="AW886">
        <v>75.4078992400121</v>
      </c>
      <c r="AX886">
        <v>166.19956507438079</v>
      </c>
      <c r="AY886">
        <v>20.524763194585937</v>
      </c>
      <c r="AZ886">
        <v>61.886875393676931</v>
      </c>
      <c r="BA886">
        <v>8.22840120223775</v>
      </c>
      <c r="BB886">
        <v>24.784671868195961</v>
      </c>
      <c r="BC886">
        <v>31.671817592248573</v>
      </c>
      <c r="BD886">
        <v>147.09652925094514</v>
      </c>
      <c r="BE886">
        <v>-204.04146841329381</v>
      </c>
      <c r="BF886">
        <v>16.440418785697258</v>
      </c>
      <c r="BH886">
        <v>16.440418785697258</v>
      </c>
      <c r="BI886">
        <v>329.73651311102321</v>
      </c>
      <c r="BJ886" s="6">
        <v>150</v>
      </c>
      <c r="BK886">
        <v>-220.48188719899113</v>
      </c>
      <c r="BL886" s="4">
        <v>-1655.6712500000001</v>
      </c>
      <c r="BM886" t="s">
        <v>1883</v>
      </c>
      <c r="BN886" t="s">
        <v>65</v>
      </c>
      <c r="BO886">
        <v>11</v>
      </c>
      <c r="BP886">
        <v>2023</v>
      </c>
      <c r="BQ886" t="str">
        <f t="shared" si="66"/>
        <v>Nakornfarm11</v>
      </c>
      <c r="BR886">
        <f t="shared" si="67"/>
        <v>-1349.7007900000001</v>
      </c>
      <c r="BS886">
        <f t="shared" si="68"/>
        <v>820.4290400000001</v>
      </c>
      <c r="BT886" s="6">
        <f t="shared" si="69"/>
        <v>-179.73651311102321</v>
      </c>
    </row>
    <row r="887" spans="1:72">
      <c r="A887" s="3" t="s">
        <v>631</v>
      </c>
      <c r="B887" s="3" t="s">
        <v>651</v>
      </c>
      <c r="C887" s="3" t="s">
        <v>684</v>
      </c>
      <c r="D887" s="2" t="s">
        <v>685</v>
      </c>
      <c r="E887" s="4" t="str">
        <f t="shared" si="65"/>
        <v>NakornfarmF1-090-0013</v>
      </c>
      <c r="F887">
        <v>1.8</v>
      </c>
      <c r="G887">
        <v>2</v>
      </c>
      <c r="H887" t="s">
        <v>72</v>
      </c>
      <c r="I887" t="s">
        <v>75</v>
      </c>
      <c r="J887" t="s">
        <v>95</v>
      </c>
      <c r="K887" t="s">
        <v>79</v>
      </c>
      <c r="L887" t="s">
        <v>79</v>
      </c>
      <c r="M887">
        <v>1.992</v>
      </c>
      <c r="N887" s="5">
        <v>45127</v>
      </c>
      <c r="O887" s="5">
        <v>45194</v>
      </c>
      <c r="P887">
        <v>0.7</v>
      </c>
      <c r="Q887" s="4">
        <v>122</v>
      </c>
      <c r="R887">
        <v>0.4</v>
      </c>
      <c r="S887" t="s">
        <v>70</v>
      </c>
      <c r="T887" s="6">
        <v>1</v>
      </c>
      <c r="U887" s="5">
        <v>45228</v>
      </c>
      <c r="V887" s="6">
        <v>2</v>
      </c>
      <c r="W887" t="s">
        <v>71</v>
      </c>
      <c r="X887" s="6">
        <v>34</v>
      </c>
      <c r="Y887">
        <v>3.0324599999999999</v>
      </c>
      <c r="Z887">
        <v>1.6846999999999999</v>
      </c>
      <c r="AA887" s="6">
        <v>173.00013850141468</v>
      </c>
      <c r="AB887" s="4">
        <v>74.945142857142855</v>
      </c>
      <c r="AC887" s="6">
        <v>5.7803421931469883</v>
      </c>
      <c r="AD887">
        <v>0.15824549500000001</v>
      </c>
      <c r="AE887">
        <v>1.8165568255306161</v>
      </c>
      <c r="AF887">
        <v>5000</v>
      </c>
      <c r="AG887" s="4">
        <v>0</v>
      </c>
      <c r="AH887" s="4">
        <v>9960</v>
      </c>
      <c r="AI887" t="s">
        <v>73</v>
      </c>
      <c r="AJ887" t="s">
        <v>73</v>
      </c>
      <c r="AK887" t="s">
        <v>108</v>
      </c>
      <c r="AL887">
        <v>172.99999999999997</v>
      </c>
      <c r="AM887">
        <v>3.0324599999999999</v>
      </c>
      <c r="AN887" t="s">
        <v>73</v>
      </c>
      <c r="AO887" t="s">
        <v>116</v>
      </c>
      <c r="AP887" s="5">
        <v>45194</v>
      </c>
      <c r="AQ887" t="s">
        <v>123</v>
      </c>
      <c r="AR887" s="5">
        <v>45227</v>
      </c>
      <c r="AS887">
        <v>79.19537273368816</v>
      </c>
      <c r="AT887" s="6"/>
      <c r="AU887">
        <v>92.334276462014344</v>
      </c>
      <c r="AV887">
        <v>48.49354979125858</v>
      </c>
      <c r="AW887">
        <v>135.2435547377377</v>
      </c>
      <c r="AX887">
        <v>276.07138099101064</v>
      </c>
      <c r="AY887">
        <v>39.647022549349373</v>
      </c>
      <c r="AZ887">
        <v>80.698808887833636</v>
      </c>
      <c r="BA887">
        <v>18.580940886277148</v>
      </c>
      <c r="BB887">
        <v>49.608288320373553</v>
      </c>
      <c r="BC887">
        <v>60.704431385739632</v>
      </c>
      <c r="BD887">
        <v>249.23949202957337</v>
      </c>
      <c r="BE887">
        <v>-446.11550028689589</v>
      </c>
      <c r="BF887">
        <v>33.200714931112032</v>
      </c>
      <c r="BH887">
        <v>33.200714931112032</v>
      </c>
      <c r="BI887">
        <v>558.51158795169601</v>
      </c>
      <c r="BJ887" s="6">
        <v>150</v>
      </c>
      <c r="BK887">
        <v>-479.31621521800781</v>
      </c>
      <c r="BL887" s="4">
        <v>-1453.5072500000001</v>
      </c>
      <c r="BM887" t="s">
        <v>686</v>
      </c>
      <c r="BN887" t="s">
        <v>65</v>
      </c>
      <c r="BO887">
        <v>10</v>
      </c>
      <c r="BP887">
        <v>2023</v>
      </c>
      <c r="BQ887" t="str">
        <f t="shared" si="66"/>
        <v>Nakornfarm10</v>
      </c>
      <c r="BR887">
        <f t="shared" si="67"/>
        <v>-1238.7950500000002</v>
      </c>
      <c r="BS887">
        <f t="shared" si="68"/>
        <v>240.1568</v>
      </c>
      <c r="BT887" s="6">
        <f t="shared" si="69"/>
        <v>-408.51158795169601</v>
      </c>
    </row>
    <row r="888" spans="1:72">
      <c r="A888" s="3" t="s">
        <v>631</v>
      </c>
      <c r="B888" s="3" t="s">
        <v>651</v>
      </c>
      <c r="C888" s="3" t="s">
        <v>684</v>
      </c>
      <c r="D888" s="2" t="s">
        <v>2705</v>
      </c>
      <c r="E888" s="4" t="str">
        <f t="shared" si="65"/>
        <v>NakornfarmFG-125-0011</v>
      </c>
      <c r="F888">
        <v>1.4</v>
      </c>
      <c r="G888">
        <v>2</v>
      </c>
      <c r="H888" t="s">
        <v>72</v>
      </c>
      <c r="I888" t="s">
        <v>67</v>
      </c>
      <c r="K888" t="s">
        <v>79</v>
      </c>
      <c r="L888" t="s">
        <v>79</v>
      </c>
      <c r="M888">
        <v>0.82415686274509803</v>
      </c>
      <c r="N888" s="5">
        <v>45163</v>
      </c>
      <c r="O888" s="5">
        <v>45217</v>
      </c>
      <c r="P888">
        <v>0.7</v>
      </c>
      <c r="Q888" s="4">
        <v>156</v>
      </c>
      <c r="R888">
        <v>0.56000000000000005</v>
      </c>
      <c r="S888" t="s">
        <v>70</v>
      </c>
      <c r="T888" s="6">
        <v>1</v>
      </c>
      <c r="U888" s="5">
        <v>45256</v>
      </c>
      <c r="V888" s="6">
        <v>2</v>
      </c>
      <c r="W888" t="s">
        <v>71</v>
      </c>
      <c r="X888" s="6">
        <v>39</v>
      </c>
      <c r="Y888">
        <v>3.1870100000000003</v>
      </c>
      <c r="Z888">
        <v>2.2764357142857148</v>
      </c>
      <c r="AA888" s="6">
        <v>154.00014433591357</v>
      </c>
      <c r="AB888" s="4">
        <v>70.114285714285714</v>
      </c>
      <c r="AC888" s="6">
        <v>6.4935004074979634</v>
      </c>
      <c r="AD888">
        <v>0.15214119200000001</v>
      </c>
      <c r="AE888">
        <v>2.2808505157405516</v>
      </c>
      <c r="AF888">
        <v>6375</v>
      </c>
      <c r="AG888" s="4">
        <v>0</v>
      </c>
      <c r="AH888" s="4">
        <v>5254</v>
      </c>
      <c r="AI888" t="s">
        <v>73</v>
      </c>
      <c r="AJ888" t="s">
        <v>73</v>
      </c>
      <c r="AK888" t="s">
        <v>96</v>
      </c>
      <c r="AL888">
        <v>154</v>
      </c>
      <c r="AM888">
        <v>3.1870100000000003</v>
      </c>
      <c r="AN888" t="s">
        <v>73</v>
      </c>
      <c r="AO888" t="s">
        <v>123</v>
      </c>
      <c r="AP888" s="5">
        <v>45217</v>
      </c>
      <c r="AQ888" t="s">
        <v>96</v>
      </c>
      <c r="AR888" s="5">
        <v>45255</v>
      </c>
      <c r="AS888">
        <v>83.641391147188102</v>
      </c>
      <c r="AT888" s="6"/>
      <c r="AU888">
        <v>98.838723442976331</v>
      </c>
      <c r="AV888">
        <v>59.735438545847053</v>
      </c>
      <c r="AW888">
        <v>172.8519333168079</v>
      </c>
      <c r="AX888">
        <v>331.42609530563129</v>
      </c>
      <c r="AY888">
        <v>77.622009344181535</v>
      </c>
      <c r="AZ888">
        <v>124.18369255195307</v>
      </c>
      <c r="BA888">
        <v>47.719501978343324</v>
      </c>
      <c r="BB888">
        <v>93.264677550431287</v>
      </c>
      <c r="BC888">
        <v>142.88526863737485</v>
      </c>
      <c r="BD888">
        <v>485.67515006228405</v>
      </c>
      <c r="BE888">
        <v>-733.45985422072727</v>
      </c>
      <c r="BF888">
        <v>74.125763646803748</v>
      </c>
      <c r="BH888">
        <v>74.125763646803748</v>
      </c>
      <c r="BI888">
        <v>891.2270090147191</v>
      </c>
      <c r="BJ888" s="6">
        <v>150</v>
      </c>
      <c r="BK888">
        <v>-807.58561786753103</v>
      </c>
      <c r="BL888" s="4">
        <v>-2573.7834400000006</v>
      </c>
      <c r="BM888" t="s">
        <v>2706</v>
      </c>
      <c r="BN888" t="s">
        <v>65</v>
      </c>
      <c r="BO888">
        <v>11</v>
      </c>
      <c r="BP888">
        <v>2023</v>
      </c>
      <c r="BQ888" t="str">
        <f t="shared" si="66"/>
        <v>Nakornfarm11</v>
      </c>
      <c r="BR888">
        <f t="shared" si="67"/>
        <v>-2362.2978900000003</v>
      </c>
      <c r="BS888">
        <f t="shared" si="68"/>
        <v>266.56594999999999</v>
      </c>
      <c r="BT888" s="6">
        <f t="shared" si="69"/>
        <v>-741.2270090147191</v>
      </c>
    </row>
    <row r="889" spans="1:72">
      <c r="A889" s="3" t="s">
        <v>631</v>
      </c>
      <c r="B889" s="3" t="s">
        <v>651</v>
      </c>
      <c r="C889" s="3" t="s">
        <v>684</v>
      </c>
      <c r="D889" s="2" t="s">
        <v>687</v>
      </c>
      <c r="E889" s="4" t="str">
        <f t="shared" si="65"/>
        <v>NakornfarmF1-070-0019</v>
      </c>
      <c r="F889">
        <v>1.3</v>
      </c>
      <c r="G889">
        <v>1.5</v>
      </c>
      <c r="H889" t="s">
        <v>72</v>
      </c>
      <c r="I889" t="s">
        <v>75</v>
      </c>
      <c r="J889" t="s">
        <v>95</v>
      </c>
      <c r="K889" t="s">
        <v>79</v>
      </c>
      <c r="L889" t="s">
        <v>79</v>
      </c>
      <c r="M889">
        <v>0</v>
      </c>
      <c r="N889" s="5">
        <v>45047</v>
      </c>
      <c r="O889" s="5">
        <v>45073</v>
      </c>
      <c r="P889">
        <v>0.8</v>
      </c>
      <c r="Q889" s="4">
        <v>256</v>
      </c>
      <c r="R889">
        <v>0.28000000000000003</v>
      </c>
      <c r="S889" t="s">
        <v>70</v>
      </c>
      <c r="T889" s="6">
        <v>1</v>
      </c>
      <c r="U889" s="5">
        <v>45113</v>
      </c>
      <c r="V889" s="6">
        <v>2</v>
      </c>
      <c r="W889" t="s">
        <v>71</v>
      </c>
      <c r="X889" s="6">
        <v>40</v>
      </c>
      <c r="Y889">
        <v>3.73935</v>
      </c>
      <c r="Z889">
        <v>2.8764230769230767</v>
      </c>
      <c r="AA889" s="6">
        <v>167.00014708438633</v>
      </c>
      <c r="AB889" s="4">
        <v>78.058999999999997</v>
      </c>
      <c r="AC889" s="6">
        <v>5.9880186781793254</v>
      </c>
      <c r="AD889">
        <v>0.14270059900000001</v>
      </c>
      <c r="AE889">
        <v>1.9727765371869088</v>
      </c>
      <c r="AF889">
        <v>6935</v>
      </c>
      <c r="AG889" s="4">
        <v>0</v>
      </c>
      <c r="AH889" s="4">
        <v>0</v>
      </c>
      <c r="AI889" t="s">
        <v>73</v>
      </c>
      <c r="AJ889" t="s">
        <v>73</v>
      </c>
      <c r="AK889" t="s">
        <v>176</v>
      </c>
      <c r="AL889">
        <v>167</v>
      </c>
      <c r="AM889">
        <v>3.73935</v>
      </c>
      <c r="AN889" t="s">
        <v>73</v>
      </c>
      <c r="AO889" t="s">
        <v>134</v>
      </c>
      <c r="AP889" s="5">
        <v>45073</v>
      </c>
      <c r="AQ889" t="s">
        <v>117</v>
      </c>
      <c r="AR889" s="5">
        <v>45112</v>
      </c>
      <c r="AS889">
        <v>62.054854453314086</v>
      </c>
      <c r="AT889" s="6"/>
      <c r="AU889">
        <v>85.576370224771694</v>
      </c>
      <c r="AV889">
        <v>58.518258520865913</v>
      </c>
      <c r="AW889">
        <v>87.714955807827536</v>
      </c>
      <c r="AX889">
        <v>231.80958455346516</v>
      </c>
      <c r="AY889">
        <v>11.038076136226884</v>
      </c>
      <c r="AZ889">
        <v>10.828063700910587</v>
      </c>
      <c r="BA889">
        <v>11.341182291039887</v>
      </c>
      <c r="BB889">
        <v>6.472330752670918</v>
      </c>
      <c r="BC889">
        <v>4.460269832992366</v>
      </c>
      <c r="BD889">
        <v>44.13992271384064</v>
      </c>
      <c r="BE889">
        <v>-213.89465281399171</v>
      </c>
      <c r="BF889">
        <v>5.2602109992378354</v>
      </c>
      <c r="BH889">
        <v>5.2602109992378354</v>
      </c>
      <c r="BI889">
        <v>281.20971826654369</v>
      </c>
      <c r="BJ889" s="6">
        <v>150</v>
      </c>
      <c r="BK889">
        <v>-219.15486381322958</v>
      </c>
      <c r="BL889" s="4">
        <v>-819.49674000000005</v>
      </c>
      <c r="BM889" t="s">
        <v>688</v>
      </c>
      <c r="BN889" t="s">
        <v>65</v>
      </c>
      <c r="BO889">
        <v>7</v>
      </c>
      <c r="BP889">
        <v>2023</v>
      </c>
      <c r="BQ889" t="str">
        <f t="shared" si="66"/>
        <v>Nakornfarm7</v>
      </c>
      <c r="BR889">
        <f t="shared" si="67"/>
        <v>-490.63906000000014</v>
      </c>
      <c r="BS889">
        <f t="shared" si="68"/>
        <v>232.04482000000002</v>
      </c>
      <c r="BT889" s="6">
        <f t="shared" si="69"/>
        <v>-131.20971826654369</v>
      </c>
    </row>
    <row r="890" spans="1:72">
      <c r="A890" s="3" t="s">
        <v>631</v>
      </c>
      <c r="B890" s="3" t="s">
        <v>651</v>
      </c>
      <c r="C890" s="3" t="s">
        <v>684</v>
      </c>
      <c r="D890" s="2" t="s">
        <v>2703</v>
      </c>
      <c r="E890" s="4" t="str">
        <f t="shared" si="65"/>
        <v>NakornfarmE1-075-0013</v>
      </c>
      <c r="F890">
        <v>1.7</v>
      </c>
      <c r="G890">
        <v>2</v>
      </c>
      <c r="H890" t="s">
        <v>72</v>
      </c>
      <c r="I890" t="s">
        <v>75</v>
      </c>
      <c r="J890" t="s">
        <v>95</v>
      </c>
      <c r="K890" t="s">
        <v>79</v>
      </c>
      <c r="L890" t="s">
        <v>79</v>
      </c>
      <c r="M890">
        <v>2.6578199052132701</v>
      </c>
      <c r="N890" s="5">
        <v>45189</v>
      </c>
      <c r="O890" s="5">
        <v>45197</v>
      </c>
      <c r="P890">
        <v>0.7</v>
      </c>
      <c r="Q890" s="4">
        <v>129</v>
      </c>
      <c r="R890">
        <v>0.13</v>
      </c>
      <c r="S890" t="s">
        <v>70</v>
      </c>
      <c r="T890" s="6">
        <v>1</v>
      </c>
      <c r="U890" s="5">
        <v>45241</v>
      </c>
      <c r="V890" s="6">
        <v>2</v>
      </c>
      <c r="W890" t="s">
        <v>71</v>
      </c>
      <c r="X890" s="6">
        <v>44</v>
      </c>
      <c r="Y890">
        <v>2.0750600000000001</v>
      </c>
      <c r="Z890">
        <v>1.2206235294117649</v>
      </c>
      <c r="AA890" s="6">
        <v>161.00016385068383</v>
      </c>
      <c r="AB890" s="4">
        <v>47.726428571428571</v>
      </c>
      <c r="AC890" s="6">
        <v>6.2111738030740682</v>
      </c>
      <c r="AD890">
        <v>0.13820863899999999</v>
      </c>
      <c r="AE890">
        <v>2.6586897573662087</v>
      </c>
      <c r="AF890">
        <v>5275</v>
      </c>
      <c r="AG890" s="4"/>
      <c r="AH890" s="4">
        <v>14020</v>
      </c>
      <c r="AI890" t="s">
        <v>73</v>
      </c>
      <c r="AJ890" t="s">
        <v>73</v>
      </c>
      <c r="AK890" t="s">
        <v>117</v>
      </c>
      <c r="AL890">
        <v>161</v>
      </c>
      <c r="AM890">
        <v>2.0750600000000001</v>
      </c>
      <c r="AN890" t="s">
        <v>73</v>
      </c>
      <c r="AO890" t="s">
        <v>123</v>
      </c>
      <c r="AP890" s="5">
        <v>45197</v>
      </c>
      <c r="AQ890" t="s">
        <v>123</v>
      </c>
      <c r="AR890" s="5">
        <v>45240</v>
      </c>
      <c r="AS890">
        <v>88.195763014081521</v>
      </c>
      <c r="AT890" s="6"/>
      <c r="AU890">
        <v>101.20189295731208</v>
      </c>
      <c r="AV890">
        <v>75.156101510317768</v>
      </c>
      <c r="AW890">
        <v>135.78897477663295</v>
      </c>
      <c r="AX890">
        <v>312.14696924426278</v>
      </c>
      <c r="AY890">
        <v>72.975268185016333</v>
      </c>
      <c r="AZ890">
        <v>149.09000703594114</v>
      </c>
      <c r="BA890">
        <v>31.086301119003785</v>
      </c>
      <c r="BB890">
        <v>74.479470473142939</v>
      </c>
      <c r="BC890">
        <v>109.80519117519495</v>
      </c>
      <c r="BD890">
        <v>437.43623798829918</v>
      </c>
      <c r="BE890">
        <v>-661.38744421848037</v>
      </c>
      <c r="BF890">
        <v>52.500452998949427</v>
      </c>
      <c r="BH890">
        <v>52.500452998949427</v>
      </c>
      <c r="BI890">
        <v>802.08366023151143</v>
      </c>
      <c r="BJ890" s="6">
        <v>150</v>
      </c>
      <c r="BK890">
        <v>-713.8878972174299</v>
      </c>
      <c r="BL890" s="4">
        <v>-1481.36022</v>
      </c>
      <c r="BM890" t="s">
        <v>2704</v>
      </c>
      <c r="BN890" t="s">
        <v>65</v>
      </c>
      <c r="BO890">
        <v>11</v>
      </c>
      <c r="BP890">
        <v>2023</v>
      </c>
      <c r="BQ890" t="str">
        <f t="shared" si="66"/>
        <v>Nakornfarm11</v>
      </c>
      <c r="BR890">
        <f t="shared" si="67"/>
        <v>-1353.1127200000001</v>
      </c>
      <c r="BS890">
        <f t="shared" si="68"/>
        <v>183.01150000000001</v>
      </c>
      <c r="BT890" s="6">
        <f t="shared" si="69"/>
        <v>-652.08366023151143</v>
      </c>
    </row>
    <row r="891" spans="1:72">
      <c r="A891" s="3" t="s">
        <v>631</v>
      </c>
      <c r="B891" s="3" t="s">
        <v>651</v>
      </c>
      <c r="C891" s="3" t="s">
        <v>669</v>
      </c>
      <c r="D891" s="2" t="s">
        <v>680</v>
      </c>
      <c r="E891" s="4" t="str">
        <f t="shared" si="65"/>
        <v>NakornfarmA1-099-0008</v>
      </c>
      <c r="F891">
        <v>1.5</v>
      </c>
      <c r="G891">
        <v>1.5</v>
      </c>
      <c r="H891" t="s">
        <v>72</v>
      </c>
      <c r="I891" t="s">
        <v>75</v>
      </c>
      <c r="J891" t="s">
        <v>95</v>
      </c>
      <c r="K891" t="s">
        <v>79</v>
      </c>
      <c r="L891" t="s">
        <v>79</v>
      </c>
      <c r="M891">
        <v>0.99183673469387756</v>
      </c>
      <c r="N891" s="5">
        <v>45000</v>
      </c>
      <c r="O891" s="5">
        <v>45040</v>
      </c>
      <c r="P891">
        <v>0.6</v>
      </c>
      <c r="Q891" s="4">
        <v>167</v>
      </c>
      <c r="R891">
        <v>0.95799999999999996</v>
      </c>
      <c r="S891" t="s">
        <v>70</v>
      </c>
      <c r="T891" s="6">
        <v>1</v>
      </c>
      <c r="U891" s="5">
        <v>45085</v>
      </c>
      <c r="V891" s="6">
        <v>2</v>
      </c>
      <c r="W891" t="s">
        <v>71</v>
      </c>
      <c r="X891" s="6">
        <v>45</v>
      </c>
      <c r="Y891">
        <v>7.4157099999999998</v>
      </c>
      <c r="Z891">
        <v>4.9438066666666662</v>
      </c>
      <c r="AA891" s="6">
        <v>66.000153727694311</v>
      </c>
      <c r="AB891" s="4">
        <v>81.572999999999993</v>
      </c>
      <c r="AC891" s="6">
        <v>15.151479860574783</v>
      </c>
      <c r="AD891">
        <v>0.31541144799999998</v>
      </c>
      <c r="AE891">
        <v>1.4325998324735298</v>
      </c>
      <c r="AF891">
        <v>9800</v>
      </c>
      <c r="AG891" s="4">
        <v>0</v>
      </c>
      <c r="AH891" s="4">
        <v>9720</v>
      </c>
      <c r="AI891" t="s">
        <v>73</v>
      </c>
      <c r="AJ891" t="s">
        <v>73</v>
      </c>
      <c r="AK891" t="s">
        <v>83</v>
      </c>
      <c r="AL891">
        <v>66</v>
      </c>
      <c r="AM891">
        <v>7.4058900000000003</v>
      </c>
      <c r="AN891" t="s">
        <v>73</v>
      </c>
      <c r="AO891" t="s">
        <v>117</v>
      </c>
      <c r="AP891" s="5">
        <v>45040</v>
      </c>
      <c r="AQ891" t="s">
        <v>134</v>
      </c>
      <c r="AR891" s="5">
        <v>45085</v>
      </c>
      <c r="AS891">
        <v>114.80705286479652</v>
      </c>
      <c r="AT891" s="6"/>
      <c r="AU891">
        <v>44.500122038213469</v>
      </c>
      <c r="AV891">
        <v>41.777294419549854</v>
      </c>
      <c r="AW891">
        <v>18.896701731863846</v>
      </c>
      <c r="AX891">
        <v>105.17411818962718</v>
      </c>
      <c r="AY891">
        <v>52.457099859622339</v>
      </c>
      <c r="AZ891">
        <v>41.678006556351313</v>
      </c>
      <c r="BA891">
        <v>0.52013495673374499</v>
      </c>
      <c r="BB891">
        <v>21.235868177153638</v>
      </c>
      <c r="BC891">
        <v>28.254730834943654</v>
      </c>
      <c r="BD891">
        <v>144.1458403848047</v>
      </c>
      <c r="BE891">
        <v>-134.51290570963536</v>
      </c>
      <c r="BF891">
        <v>24.781840174440479</v>
      </c>
      <c r="BH891">
        <v>24.781840174440479</v>
      </c>
      <c r="BI891">
        <v>274.10179874887234</v>
      </c>
      <c r="BJ891" s="6">
        <v>154</v>
      </c>
      <c r="BK891">
        <v>-159.29474588407584</v>
      </c>
      <c r="BL891" s="4">
        <v>-1181.2836400000001</v>
      </c>
      <c r="BM891" t="s">
        <v>681</v>
      </c>
      <c r="BN891" t="s">
        <v>65</v>
      </c>
      <c r="BO891">
        <v>6</v>
      </c>
      <c r="BP891">
        <v>2023</v>
      </c>
      <c r="BQ891" t="str">
        <f t="shared" si="66"/>
        <v>Nakornfarm6</v>
      </c>
      <c r="BR891">
        <f t="shared" si="67"/>
        <v>-890.64011000000005</v>
      </c>
      <c r="BS891">
        <f t="shared" si="68"/>
        <v>851.37581000000011</v>
      </c>
      <c r="BT891" s="6">
        <f t="shared" si="69"/>
        <v>-120.10179874887234</v>
      </c>
    </row>
    <row r="892" spans="1:72">
      <c r="A892" s="3" t="s">
        <v>631</v>
      </c>
      <c r="B892" s="3" t="s">
        <v>651</v>
      </c>
      <c r="C892" s="3" t="s">
        <v>669</v>
      </c>
      <c r="D892" s="2" t="s">
        <v>682</v>
      </c>
      <c r="E892" s="4" t="str">
        <f t="shared" si="65"/>
        <v>NakornfarmA1-098-0006</v>
      </c>
      <c r="F892">
        <v>1.6</v>
      </c>
      <c r="G892">
        <v>1.5</v>
      </c>
      <c r="H892" t="s">
        <v>72</v>
      </c>
      <c r="I892" t="s">
        <v>75</v>
      </c>
      <c r="J892" t="s">
        <v>95</v>
      </c>
      <c r="K892" t="s">
        <v>79</v>
      </c>
      <c r="L892" t="s">
        <v>79</v>
      </c>
      <c r="M892">
        <v>2.1929693343305909</v>
      </c>
      <c r="N892" s="5">
        <v>44998</v>
      </c>
      <c r="O892" s="5">
        <v>45027</v>
      </c>
      <c r="P892">
        <v>0.8</v>
      </c>
      <c r="Q892" s="4">
        <v>208</v>
      </c>
      <c r="R892">
        <v>0.49</v>
      </c>
      <c r="S892" t="s">
        <v>70</v>
      </c>
      <c r="T892" s="6">
        <v>4</v>
      </c>
      <c r="U892" s="5">
        <v>45116</v>
      </c>
      <c r="V892" s="6">
        <v>1</v>
      </c>
      <c r="W892" t="s">
        <v>86</v>
      </c>
      <c r="X892" s="6">
        <v>89</v>
      </c>
      <c r="Y892">
        <v>17.994040000000002</v>
      </c>
      <c r="Z892">
        <v>11.246275000000001</v>
      </c>
      <c r="AA892" s="6">
        <v>39.994909425565353</v>
      </c>
      <c r="AB892" s="4">
        <v>89.958749999999995</v>
      </c>
      <c r="AC892" s="6">
        <v>25.00318201397863</v>
      </c>
      <c r="AD892">
        <v>0.306604245</v>
      </c>
      <c r="AE892">
        <v>1.8989276242980926</v>
      </c>
      <c r="AF892">
        <v>33425</v>
      </c>
      <c r="AG892" s="4">
        <v>0</v>
      </c>
      <c r="AH892" s="4">
        <v>73300</v>
      </c>
      <c r="AL892">
        <v>36</v>
      </c>
      <c r="AM892">
        <v>5.0810200000000005</v>
      </c>
      <c r="AN892" t="s">
        <v>81</v>
      </c>
      <c r="AO892" t="s">
        <v>117</v>
      </c>
      <c r="AP892" s="5">
        <v>45027</v>
      </c>
      <c r="AQ892" t="s">
        <v>117</v>
      </c>
      <c r="AR892" s="5">
        <v>45115</v>
      </c>
      <c r="AS892">
        <v>162.03431413957063</v>
      </c>
      <c r="AT892" s="6"/>
      <c r="AU892">
        <v>20.006624415639848</v>
      </c>
      <c r="AV892">
        <v>58.930295253317198</v>
      </c>
      <c r="AW892">
        <v>12.263541706031559</v>
      </c>
      <c r="AX892">
        <v>91.200461374988606</v>
      </c>
      <c r="AY892">
        <v>29.668026746633885</v>
      </c>
      <c r="AZ892">
        <v>23.133790410602614</v>
      </c>
      <c r="BA892">
        <v>1.0965847580643366</v>
      </c>
      <c r="BB892">
        <v>10.70962274175227</v>
      </c>
      <c r="BC892">
        <v>16.142732815976842</v>
      </c>
      <c r="BD892">
        <v>80.75075747302995</v>
      </c>
      <c r="BE892">
        <v>-9.9169047084479303</v>
      </c>
      <c r="BF892">
        <v>14.405017439107619</v>
      </c>
      <c r="BH892">
        <v>14.405017439107619</v>
      </c>
      <c r="BI892">
        <v>186.35623628712617</v>
      </c>
      <c r="BJ892" s="6">
        <v>182</v>
      </c>
      <c r="BK892">
        <v>-24.321922147555529</v>
      </c>
      <c r="BL892" s="4">
        <v>-437.64964000000015</v>
      </c>
      <c r="BM892" t="s">
        <v>683</v>
      </c>
      <c r="BN892" t="s">
        <v>65</v>
      </c>
      <c r="BO892">
        <v>7</v>
      </c>
      <c r="BP892">
        <v>2023</v>
      </c>
      <c r="BQ892" t="str">
        <f t="shared" si="66"/>
        <v>Nakornfarm7</v>
      </c>
      <c r="BR892">
        <f t="shared" si="67"/>
        <v>-78.386289999999718</v>
      </c>
      <c r="BS892">
        <f t="shared" si="68"/>
        <v>2915.6519299999995</v>
      </c>
      <c r="BT892" s="6">
        <f t="shared" si="69"/>
        <v>-4.3562362871261655</v>
      </c>
    </row>
    <row r="893" spans="1:72">
      <c r="A893" s="3" t="s">
        <v>631</v>
      </c>
      <c r="B893" s="3" t="s">
        <v>651</v>
      </c>
      <c r="C893" s="3" t="s">
        <v>669</v>
      </c>
      <c r="D893" s="2" t="s">
        <v>676</v>
      </c>
      <c r="E893" s="4" t="str">
        <f t="shared" si="65"/>
        <v>NakornfarmA1-098-0005</v>
      </c>
      <c r="F893">
        <v>1.6</v>
      </c>
      <c r="G893">
        <v>1.8</v>
      </c>
      <c r="H893" t="s">
        <v>72</v>
      </c>
      <c r="I893" t="s">
        <v>75</v>
      </c>
      <c r="J893" t="s">
        <v>95</v>
      </c>
      <c r="K893" t="s">
        <v>79</v>
      </c>
      <c r="L893" t="s">
        <v>79</v>
      </c>
      <c r="M893">
        <v>1.4617283950617284</v>
      </c>
      <c r="N893" s="5">
        <v>44853</v>
      </c>
      <c r="O893" s="5">
        <v>44892</v>
      </c>
      <c r="P893">
        <v>0.55000000000000004</v>
      </c>
      <c r="Q893" s="4">
        <v>119</v>
      </c>
      <c r="R893">
        <v>0.31</v>
      </c>
      <c r="S893" t="s">
        <v>70</v>
      </c>
      <c r="T893" s="6">
        <v>1</v>
      </c>
      <c r="U893" s="5">
        <v>44945</v>
      </c>
      <c r="V893" s="6">
        <v>2</v>
      </c>
      <c r="W893" t="s">
        <v>71</v>
      </c>
      <c r="X893" s="6">
        <v>53</v>
      </c>
      <c r="Y893">
        <v>7.5742200000000004</v>
      </c>
      <c r="Z893">
        <v>4.7338874999999998</v>
      </c>
      <c r="AA893" s="6">
        <v>68.000137307868002</v>
      </c>
      <c r="AB893" s="4">
        <v>93.645090909090911</v>
      </c>
      <c r="AC893" s="6">
        <v>14.705852658393004</v>
      </c>
      <c r="AD893">
        <v>0.27162042199999997</v>
      </c>
      <c r="AE893">
        <v>1.3675557692619384</v>
      </c>
      <c r="AF893">
        <v>10125</v>
      </c>
      <c r="AG893" s="4">
        <v>0</v>
      </c>
      <c r="AH893" s="4">
        <v>14800</v>
      </c>
      <c r="AI893" t="s">
        <v>73</v>
      </c>
      <c r="AJ893" t="s">
        <v>73</v>
      </c>
      <c r="AK893" t="s">
        <v>677</v>
      </c>
      <c r="AL893">
        <v>68</v>
      </c>
      <c r="AM893">
        <v>7.5742200000000004</v>
      </c>
      <c r="AN893" t="s">
        <v>73</v>
      </c>
      <c r="AO893" t="s">
        <v>148</v>
      </c>
      <c r="AP893" s="5">
        <v>44892</v>
      </c>
      <c r="AQ893" t="s">
        <v>148</v>
      </c>
      <c r="AR893" s="5">
        <v>44942</v>
      </c>
      <c r="AS893">
        <v>191.29856407656493</v>
      </c>
      <c r="AT893" s="6"/>
      <c r="AU893">
        <v>29.045895154880633</v>
      </c>
      <c r="AV893">
        <v>40.665788688472219</v>
      </c>
      <c r="AW893">
        <v>32.318456553942191</v>
      </c>
      <c r="AX893">
        <v>102.03014039729504</v>
      </c>
      <c r="AY893">
        <v>32.715833445556108</v>
      </c>
      <c r="AZ893">
        <v>27.310224683201696</v>
      </c>
      <c r="BA893">
        <v>14.177193163124388</v>
      </c>
      <c r="BB893">
        <v>19.649367195566011</v>
      </c>
      <c r="BC893">
        <v>14.494780980747853</v>
      </c>
      <c r="BD893">
        <v>108.34739946819604</v>
      </c>
      <c r="BE893">
        <v>-19.078975788926158</v>
      </c>
      <c r="BF893">
        <v>12.692871345168216</v>
      </c>
      <c r="BH893">
        <v>12.692871345168216</v>
      </c>
      <c r="BI893">
        <v>223.07041121065933</v>
      </c>
      <c r="BJ893" s="6">
        <v>149</v>
      </c>
      <c r="BK893">
        <v>-31.77184713409439</v>
      </c>
      <c r="BL893" s="4">
        <v>-240.64696000000043</v>
      </c>
      <c r="BM893" t="s">
        <v>652</v>
      </c>
      <c r="BN893" t="s">
        <v>65</v>
      </c>
      <c r="BO893">
        <v>1</v>
      </c>
      <c r="BP893">
        <v>2023</v>
      </c>
      <c r="BQ893" t="str">
        <f t="shared" si="66"/>
        <v>Nakornfarm1</v>
      </c>
      <c r="BR893">
        <f t="shared" si="67"/>
        <v>-561.02559000000019</v>
      </c>
      <c r="BS893">
        <f t="shared" si="68"/>
        <v>1448.9374099999998</v>
      </c>
      <c r="BT893" s="6">
        <f t="shared" si="69"/>
        <v>-74.07041121065933</v>
      </c>
    </row>
    <row r="894" spans="1:72">
      <c r="A894" s="3" t="s">
        <v>631</v>
      </c>
      <c r="B894" s="3" t="s">
        <v>651</v>
      </c>
      <c r="C894" s="3" t="s">
        <v>669</v>
      </c>
      <c r="D894" s="2" t="s">
        <v>678</v>
      </c>
      <c r="E894" s="4" t="str">
        <f t="shared" si="65"/>
        <v>NakornfarmA1-099-0007</v>
      </c>
      <c r="F894">
        <v>1.5</v>
      </c>
      <c r="G894">
        <v>1.8</v>
      </c>
      <c r="H894" t="s">
        <v>72</v>
      </c>
      <c r="I894" t="s">
        <v>75</v>
      </c>
      <c r="J894" t="s">
        <v>95</v>
      </c>
      <c r="K894" t="s">
        <v>79</v>
      </c>
      <c r="L894" t="s">
        <v>79</v>
      </c>
      <c r="M894">
        <v>3.0730158730158732</v>
      </c>
      <c r="N894" s="5">
        <v>44853</v>
      </c>
      <c r="O894" s="5">
        <v>44891</v>
      </c>
      <c r="P894">
        <v>0.55000000000000004</v>
      </c>
      <c r="Q894" s="4">
        <v>127</v>
      </c>
      <c r="R894">
        <v>0.31</v>
      </c>
      <c r="S894" t="s">
        <v>70</v>
      </c>
      <c r="T894" s="6">
        <v>1</v>
      </c>
      <c r="U894" s="5">
        <v>44949</v>
      </c>
      <c r="V894" s="6">
        <v>2</v>
      </c>
      <c r="W894" t="s">
        <v>71</v>
      </c>
      <c r="X894" s="6">
        <v>58</v>
      </c>
      <c r="Y894">
        <v>8.7835599999999996</v>
      </c>
      <c r="Z894">
        <v>5.8557066666666664</v>
      </c>
      <c r="AA894" s="6">
        <v>67.999990892075658</v>
      </c>
      <c r="AB894" s="4">
        <v>108.59672727272726</v>
      </c>
      <c r="AC894" s="6">
        <v>14.705884322648261</v>
      </c>
      <c r="AD894">
        <v>0.248204868</v>
      </c>
      <c r="AE894">
        <v>1.2800328803003811</v>
      </c>
      <c r="AF894">
        <v>11025</v>
      </c>
      <c r="AG894" s="4">
        <v>0</v>
      </c>
      <c r="AH894" s="4">
        <v>33880</v>
      </c>
      <c r="AI894" t="s">
        <v>73</v>
      </c>
      <c r="AJ894" t="s">
        <v>73</v>
      </c>
      <c r="AK894" t="s">
        <v>80</v>
      </c>
      <c r="AL894">
        <v>68</v>
      </c>
      <c r="AM894">
        <v>8.7835599999999996</v>
      </c>
      <c r="AN894" t="s">
        <v>73</v>
      </c>
      <c r="AO894" t="s">
        <v>93</v>
      </c>
      <c r="AP894" s="5">
        <v>44891</v>
      </c>
      <c r="AQ894" t="s">
        <v>148</v>
      </c>
      <c r="AR894" s="5">
        <v>44947</v>
      </c>
      <c r="AS894">
        <v>191.33845843826424</v>
      </c>
      <c r="AT894" s="6"/>
      <c r="AU894">
        <v>25.046791961345971</v>
      </c>
      <c r="AV894">
        <v>38.206774929527448</v>
      </c>
      <c r="AW894">
        <v>29.620536547823434</v>
      </c>
      <c r="AX894">
        <v>92.874103438696864</v>
      </c>
      <c r="AY894">
        <v>27.753267467860411</v>
      </c>
      <c r="AZ894">
        <v>23.420852137402147</v>
      </c>
      <c r="BA894">
        <v>11.502029928639415</v>
      </c>
      <c r="BB894">
        <v>16.186249083515115</v>
      </c>
      <c r="BC894">
        <v>12.195193065226402</v>
      </c>
      <c r="BD894">
        <v>91.057591682643476</v>
      </c>
      <c r="BE894">
        <v>7.4067633169239002</v>
      </c>
      <c r="BF894">
        <v>10.771070044492211</v>
      </c>
      <c r="BH894">
        <v>10.771070044492211</v>
      </c>
      <c r="BI894">
        <v>194.70276516583255</v>
      </c>
      <c r="BJ894" s="6">
        <v>149</v>
      </c>
      <c r="BK894">
        <v>-3.3643067275683038</v>
      </c>
      <c r="BL894" s="4">
        <v>-29.55058999999985</v>
      </c>
      <c r="BM894" t="s">
        <v>679</v>
      </c>
      <c r="BN894" t="s">
        <v>65</v>
      </c>
      <c r="BO894">
        <v>1</v>
      </c>
      <c r="BP894">
        <v>2023</v>
      </c>
      <c r="BQ894" t="str">
        <f t="shared" si="66"/>
        <v>Nakornfarm1</v>
      </c>
      <c r="BR894">
        <f t="shared" si="67"/>
        <v>-401.4329800000001</v>
      </c>
      <c r="BS894">
        <f t="shared" si="68"/>
        <v>1680.6328300000002</v>
      </c>
      <c r="BT894" s="6">
        <f t="shared" si="69"/>
        <v>-45.702765165832545</v>
      </c>
    </row>
    <row r="895" spans="1:72">
      <c r="A895" s="3" t="s">
        <v>631</v>
      </c>
      <c r="B895" s="3" t="s">
        <v>651</v>
      </c>
      <c r="C895" s="3" t="s">
        <v>669</v>
      </c>
      <c r="D895" s="2" t="s">
        <v>674</v>
      </c>
      <c r="E895" s="4" t="str">
        <f t="shared" si="65"/>
        <v>NakornfarmB1-108-0006</v>
      </c>
      <c r="F895">
        <v>1.5</v>
      </c>
      <c r="G895">
        <v>2</v>
      </c>
      <c r="H895" t="s">
        <v>72</v>
      </c>
      <c r="I895" t="s">
        <v>75</v>
      </c>
      <c r="J895" t="s">
        <v>95</v>
      </c>
      <c r="K895" t="s">
        <v>79</v>
      </c>
      <c r="L895" t="s">
        <v>79</v>
      </c>
      <c r="M895">
        <v>3.1086350974930363</v>
      </c>
      <c r="N895" s="5">
        <v>45066</v>
      </c>
      <c r="O895" s="5">
        <v>45110</v>
      </c>
      <c r="P895">
        <v>0.8</v>
      </c>
      <c r="Q895" s="4">
        <v>167</v>
      </c>
      <c r="R895">
        <v>0.44</v>
      </c>
      <c r="S895" t="s">
        <v>70</v>
      </c>
      <c r="T895" s="6">
        <v>1</v>
      </c>
      <c r="U895" s="5">
        <v>45150</v>
      </c>
      <c r="V895" s="6">
        <v>2</v>
      </c>
      <c r="W895" t="s">
        <v>71</v>
      </c>
      <c r="X895" s="6">
        <v>40</v>
      </c>
      <c r="Y895">
        <v>6.8764899999999995</v>
      </c>
      <c r="Z895">
        <v>4.5843266666666667</v>
      </c>
      <c r="AA895" s="6">
        <v>102.00000290846057</v>
      </c>
      <c r="AB895" s="4">
        <v>87.675250000000005</v>
      </c>
      <c r="AC895" s="6">
        <v>9.8039212890753085</v>
      </c>
      <c r="AD895">
        <v>0.23409803900000001</v>
      </c>
      <c r="AE895">
        <v>1.3755864443044592</v>
      </c>
      <c r="AF895">
        <v>8975</v>
      </c>
      <c r="AG895" s="4">
        <v>0</v>
      </c>
      <c r="AH895" s="4">
        <v>27900</v>
      </c>
      <c r="AI895" t="s">
        <v>73</v>
      </c>
      <c r="AJ895" t="s">
        <v>73</v>
      </c>
      <c r="AK895" t="s">
        <v>117</v>
      </c>
      <c r="AL895">
        <v>102</v>
      </c>
      <c r="AM895">
        <v>6.8764899999999995</v>
      </c>
      <c r="AN895" t="s">
        <v>73</v>
      </c>
      <c r="AO895" t="s">
        <v>127</v>
      </c>
      <c r="AP895" s="5">
        <v>45110</v>
      </c>
      <c r="AQ895" t="s">
        <v>157</v>
      </c>
      <c r="AR895" s="5">
        <v>45149</v>
      </c>
      <c r="AS895">
        <v>97.159002630702588</v>
      </c>
      <c r="AT895" s="6"/>
      <c r="AU895">
        <v>52.352290194561469</v>
      </c>
      <c r="AV895">
        <v>39.499512105740003</v>
      </c>
      <c r="AW895">
        <v>29.048475312259601</v>
      </c>
      <c r="AX895">
        <v>120.90027761256107</v>
      </c>
      <c r="AY895">
        <v>39.430690657588393</v>
      </c>
      <c r="AZ895">
        <v>30.332810779918248</v>
      </c>
      <c r="BA895">
        <v>12.295245103243079</v>
      </c>
      <c r="BB895">
        <v>14.977577223263612</v>
      </c>
      <c r="BC895">
        <v>28.041505186512307</v>
      </c>
      <c r="BD895">
        <v>125.07782895052564</v>
      </c>
      <c r="BE895">
        <v>-148.81910393238411</v>
      </c>
      <c r="BF895">
        <v>31.009944026676401</v>
      </c>
      <c r="BH895">
        <v>31.009944026676401</v>
      </c>
      <c r="BI895">
        <v>276.98805058976313</v>
      </c>
      <c r="BJ895" s="6">
        <v>150</v>
      </c>
      <c r="BK895">
        <v>-179.82904795906049</v>
      </c>
      <c r="BL895" s="4">
        <v>-1236.5926499999998</v>
      </c>
      <c r="BM895" t="s">
        <v>675</v>
      </c>
      <c r="BN895" t="s">
        <v>65</v>
      </c>
      <c r="BO895">
        <v>8</v>
      </c>
      <c r="BP895">
        <v>2023</v>
      </c>
      <c r="BQ895" t="str">
        <f t="shared" si="66"/>
        <v>Nakornfarm8</v>
      </c>
      <c r="BR895">
        <f t="shared" si="67"/>
        <v>-873.23206000000027</v>
      </c>
      <c r="BS895">
        <f t="shared" si="68"/>
        <v>668.11290999999994</v>
      </c>
      <c r="BT895" s="6">
        <f t="shared" si="69"/>
        <v>-126.98805058976313</v>
      </c>
    </row>
    <row r="896" spans="1:72">
      <c r="A896" s="3" t="s">
        <v>631</v>
      </c>
      <c r="B896" s="3" t="s">
        <v>651</v>
      </c>
      <c r="C896" s="3" t="s">
        <v>669</v>
      </c>
      <c r="D896" s="2" t="s">
        <v>672</v>
      </c>
      <c r="E896" s="4" t="str">
        <f t="shared" si="65"/>
        <v>NakornfarmB1-107-0005</v>
      </c>
      <c r="F896">
        <v>1.5</v>
      </c>
      <c r="G896">
        <v>1.8</v>
      </c>
      <c r="H896" t="s">
        <v>72</v>
      </c>
      <c r="I896" t="s">
        <v>75</v>
      </c>
      <c r="J896" t="s">
        <v>95</v>
      </c>
      <c r="K896" t="s">
        <v>79</v>
      </c>
      <c r="L896" t="s">
        <v>79</v>
      </c>
      <c r="M896">
        <v>0.24978317432784042</v>
      </c>
      <c r="N896" s="5">
        <v>44865</v>
      </c>
      <c r="O896" s="5">
        <v>44935</v>
      </c>
      <c r="P896">
        <v>0.6</v>
      </c>
      <c r="Q896" s="4">
        <v>139</v>
      </c>
      <c r="R896">
        <v>0.14000000000000001</v>
      </c>
      <c r="S896" t="s">
        <v>70</v>
      </c>
      <c r="T896" s="6">
        <v>1</v>
      </c>
      <c r="U896" s="5">
        <v>44976</v>
      </c>
      <c r="V896" s="6">
        <v>2</v>
      </c>
      <c r="W896" t="s">
        <v>71</v>
      </c>
      <c r="X896" s="6">
        <v>41</v>
      </c>
      <c r="Y896">
        <v>5.2034599999999998</v>
      </c>
      <c r="Z896">
        <v>3.468973333333333</v>
      </c>
      <c r="AA896" s="6">
        <v>122.00016911824055</v>
      </c>
      <c r="AB896" s="4">
        <v>105.80383333333334</v>
      </c>
      <c r="AC896" s="6">
        <v>8.1967099490724191</v>
      </c>
      <c r="AD896">
        <v>0.196505398</v>
      </c>
      <c r="AE896">
        <v>1.1260953303668746</v>
      </c>
      <c r="AF896">
        <v>5765</v>
      </c>
      <c r="AG896" s="4">
        <v>0</v>
      </c>
      <c r="AH896" s="4">
        <v>1440</v>
      </c>
      <c r="AI896" t="s">
        <v>73</v>
      </c>
      <c r="AJ896" t="s">
        <v>73</v>
      </c>
      <c r="AK896" t="s">
        <v>157</v>
      </c>
      <c r="AL896">
        <v>122</v>
      </c>
      <c r="AM896">
        <v>5.2034599999999998</v>
      </c>
      <c r="AN896" t="s">
        <v>73</v>
      </c>
      <c r="AO896" t="s">
        <v>438</v>
      </c>
      <c r="AP896" s="5">
        <v>44935</v>
      </c>
      <c r="AQ896" t="s">
        <v>96</v>
      </c>
      <c r="AR896" s="5">
        <v>44975</v>
      </c>
      <c r="AS896">
        <v>116.29052207569578</v>
      </c>
      <c r="AT896" s="6"/>
      <c r="AU896">
        <v>34.592367386316027</v>
      </c>
      <c r="AV896">
        <v>36.094294949898725</v>
      </c>
      <c r="AW896">
        <v>70.841547739388815</v>
      </c>
      <c r="AX896">
        <v>141.52821007560357</v>
      </c>
      <c r="AY896">
        <v>82.69035411053413</v>
      </c>
      <c r="AZ896">
        <v>58.506495677875876</v>
      </c>
      <c r="BA896">
        <v>25.541364784201281</v>
      </c>
      <c r="BB896">
        <v>29.125220526342083</v>
      </c>
      <c r="BC896">
        <v>29.549019306384601</v>
      </c>
      <c r="BD896">
        <v>225.41245440533797</v>
      </c>
      <c r="BE896">
        <v>-250.65014240524576</v>
      </c>
      <c r="BF896">
        <v>28.345898690486713</v>
      </c>
      <c r="BH896">
        <v>28.345898690486713</v>
      </c>
      <c r="BI896">
        <v>395.28656317142821</v>
      </c>
      <c r="BJ896" s="6">
        <v>150</v>
      </c>
      <c r="BK896">
        <v>-278.99604109573238</v>
      </c>
      <c r="BL896" s="4">
        <v>-1451.7447399999999</v>
      </c>
      <c r="BM896" t="s">
        <v>673</v>
      </c>
      <c r="BN896" t="s">
        <v>65</v>
      </c>
      <c r="BO896">
        <v>2</v>
      </c>
      <c r="BP896">
        <v>2023</v>
      </c>
      <c r="BQ896" t="str">
        <f t="shared" si="66"/>
        <v>Nakornfarm2</v>
      </c>
      <c r="BR896">
        <f t="shared" si="67"/>
        <v>-1276.3388199999997</v>
      </c>
      <c r="BS896">
        <f t="shared" si="68"/>
        <v>605.11307999999997</v>
      </c>
      <c r="BT896" s="6">
        <f t="shared" si="69"/>
        <v>-245.28656317142821</v>
      </c>
    </row>
    <row r="897" spans="1:72">
      <c r="A897" s="3" t="s">
        <v>631</v>
      </c>
      <c r="B897" s="3" t="s">
        <v>651</v>
      </c>
      <c r="C897" s="3" t="s">
        <v>669</v>
      </c>
      <c r="D897" s="2" t="s">
        <v>670</v>
      </c>
      <c r="E897" s="4" t="str">
        <f t="shared" si="65"/>
        <v>NakornfarmB1-108-0005</v>
      </c>
      <c r="F897">
        <v>1.5</v>
      </c>
      <c r="G897">
        <v>2</v>
      </c>
      <c r="H897" t="s">
        <v>72</v>
      </c>
      <c r="I897" t="s">
        <v>75</v>
      </c>
      <c r="J897" t="s">
        <v>95</v>
      </c>
      <c r="K897" t="s">
        <v>79</v>
      </c>
      <c r="L897" t="s">
        <v>79</v>
      </c>
      <c r="M897">
        <v>0.11352885525070956</v>
      </c>
      <c r="N897" s="5">
        <v>44873</v>
      </c>
      <c r="O897" s="5">
        <v>44938</v>
      </c>
      <c r="P897">
        <v>0.6</v>
      </c>
      <c r="Q897" s="4">
        <v>125</v>
      </c>
      <c r="R897">
        <v>0.19</v>
      </c>
      <c r="S897" t="s">
        <v>70</v>
      </c>
      <c r="T897" s="6">
        <v>1</v>
      </c>
      <c r="U897" s="5">
        <v>44976</v>
      </c>
      <c r="V897" s="6">
        <v>2</v>
      </c>
      <c r="W897" t="s">
        <v>71</v>
      </c>
      <c r="X897" s="6">
        <v>38</v>
      </c>
      <c r="Y897">
        <v>4.9915000000000003</v>
      </c>
      <c r="Z897">
        <v>3.327666666666667</v>
      </c>
      <c r="AA897" s="6">
        <v>134</v>
      </c>
      <c r="AB897" s="4">
        <v>111.47683333333333</v>
      </c>
      <c r="AC897" s="6">
        <v>7.4626865671641793</v>
      </c>
      <c r="AD897">
        <v>0.19138648899999999</v>
      </c>
      <c r="AE897">
        <v>1.0835468990261405</v>
      </c>
      <c r="AF897">
        <v>5285</v>
      </c>
      <c r="AG897" s="4">
        <v>0</v>
      </c>
      <c r="AH897" s="4">
        <v>600</v>
      </c>
      <c r="AI897" t="s">
        <v>73</v>
      </c>
      <c r="AJ897" t="s">
        <v>73</v>
      </c>
      <c r="AK897" t="s">
        <v>127</v>
      </c>
      <c r="AL897">
        <v>134</v>
      </c>
      <c r="AM897">
        <v>4.9915000000000003</v>
      </c>
      <c r="AN897" t="s">
        <v>73</v>
      </c>
      <c r="AO897" t="s">
        <v>93</v>
      </c>
      <c r="AP897" s="5">
        <v>44938</v>
      </c>
      <c r="AQ897" t="s">
        <v>96</v>
      </c>
      <c r="AR897" s="5">
        <v>44975</v>
      </c>
      <c r="AS897">
        <v>114.43741961334268</v>
      </c>
      <c r="AT897" s="6"/>
      <c r="AU897">
        <v>36.061304217169187</v>
      </c>
      <c r="AV897">
        <v>34.575143744365413</v>
      </c>
      <c r="AW897">
        <v>79.826643293599119</v>
      </c>
      <c r="AX897">
        <v>150.46309125513372</v>
      </c>
      <c r="AY897">
        <v>82.236033256536103</v>
      </c>
      <c r="AZ897">
        <v>58.507903435840923</v>
      </c>
      <c r="BA897">
        <v>24.682129620354601</v>
      </c>
      <c r="BB897">
        <v>29.125431233096261</v>
      </c>
      <c r="BC897">
        <v>28.88413903636182</v>
      </c>
      <c r="BD897">
        <v>223.43563658218966</v>
      </c>
      <c r="BE897">
        <v>-259.46130822398072</v>
      </c>
      <c r="BF897">
        <v>28.035901031753983</v>
      </c>
      <c r="BH897">
        <v>28.035901031753983</v>
      </c>
      <c r="BI897">
        <v>401.93462886907736</v>
      </c>
      <c r="BJ897" s="6">
        <v>150</v>
      </c>
      <c r="BK897">
        <v>-287.49720925573473</v>
      </c>
      <c r="BL897" s="4">
        <v>-1435.0423199999998</v>
      </c>
      <c r="BM897" t="s">
        <v>671</v>
      </c>
      <c r="BN897" t="s">
        <v>65</v>
      </c>
      <c r="BO897">
        <v>2</v>
      </c>
      <c r="BP897">
        <v>2023</v>
      </c>
      <c r="BQ897" t="str">
        <f t="shared" si="66"/>
        <v>Nakornfarm2</v>
      </c>
      <c r="BR897">
        <f t="shared" si="67"/>
        <v>-1257.5316999999998</v>
      </c>
      <c r="BS897">
        <f t="shared" si="68"/>
        <v>571.21438000000001</v>
      </c>
      <c r="BT897" s="6">
        <f t="shared" si="69"/>
        <v>-251.93462886907736</v>
      </c>
    </row>
    <row r="898" spans="1:72">
      <c r="A898" s="3" t="s">
        <v>631</v>
      </c>
      <c r="B898" s="3" t="s">
        <v>651</v>
      </c>
      <c r="C898" s="3" t="s">
        <v>669</v>
      </c>
      <c r="D898" s="2" t="s">
        <v>2886</v>
      </c>
      <c r="E898" s="4" t="str">
        <f t="shared" si="65"/>
        <v>NakornfarmB1-107-0006</v>
      </c>
      <c r="F898">
        <v>1.5</v>
      </c>
      <c r="G898">
        <v>2</v>
      </c>
      <c r="H898" t="s">
        <v>72</v>
      </c>
      <c r="I898" t="s">
        <v>75</v>
      </c>
      <c r="J898" t="s">
        <v>95</v>
      </c>
      <c r="K898" t="s">
        <v>79</v>
      </c>
      <c r="L898" t="s">
        <v>79</v>
      </c>
      <c r="M898">
        <v>0</v>
      </c>
      <c r="N898" s="5">
        <v>45117</v>
      </c>
      <c r="O898" s="5">
        <v>45136</v>
      </c>
      <c r="P898">
        <v>0.57599999999999996</v>
      </c>
      <c r="Q898" s="4">
        <v>120</v>
      </c>
      <c r="R898">
        <v>0.65</v>
      </c>
      <c r="S898" t="s">
        <v>70</v>
      </c>
      <c r="T898" s="6"/>
      <c r="U898" s="5">
        <v>45155</v>
      </c>
      <c r="V898" s="6">
        <v>3</v>
      </c>
      <c r="W898" t="s">
        <v>2831</v>
      </c>
      <c r="X898" s="6"/>
      <c r="AA898" s="6"/>
      <c r="AB898" s="4"/>
      <c r="AC898" s="6"/>
      <c r="AF898">
        <v>1550</v>
      </c>
      <c r="AG898" s="4">
        <v>0</v>
      </c>
      <c r="AH898" s="4">
        <v>0</v>
      </c>
      <c r="AI898" t="s">
        <v>73</v>
      </c>
      <c r="AJ898" t="s">
        <v>73</v>
      </c>
      <c r="AK898" t="s">
        <v>438</v>
      </c>
      <c r="AN898" t="s">
        <v>73</v>
      </c>
      <c r="AO898" t="s">
        <v>144</v>
      </c>
      <c r="AP898" s="5">
        <v>45136</v>
      </c>
      <c r="AQ898" t="s">
        <v>157</v>
      </c>
      <c r="AR898" s="5">
        <v>45155</v>
      </c>
      <c r="AT898" s="6"/>
      <c r="BJ898" s="6"/>
      <c r="BL898" s="4">
        <v>-1088.5708300000001</v>
      </c>
      <c r="BM898" t="s">
        <v>2887</v>
      </c>
      <c r="BN898" t="s">
        <v>65</v>
      </c>
      <c r="BO898">
        <v>8</v>
      </c>
      <c r="BP898">
        <v>2023</v>
      </c>
      <c r="BQ898" t="str">
        <f t="shared" si="66"/>
        <v>Nakornfarm8</v>
      </c>
      <c r="BR898">
        <f t="shared" si="67"/>
        <v>0</v>
      </c>
      <c r="BS898">
        <f t="shared" si="68"/>
        <v>0</v>
      </c>
      <c r="BT898" s="6">
        <f t="shared" si="69"/>
        <v>0</v>
      </c>
    </row>
    <row r="899" spans="1:72">
      <c r="A899" s="3" t="s">
        <v>631</v>
      </c>
      <c r="B899" s="3" t="s">
        <v>632</v>
      </c>
      <c r="C899" s="3" t="s">
        <v>634</v>
      </c>
      <c r="D899" s="2" t="s">
        <v>2755</v>
      </c>
      <c r="E899" s="4" t="str">
        <f t="shared" si="65"/>
        <v>RanodeAG-091-0013</v>
      </c>
      <c r="F899">
        <v>1.8</v>
      </c>
      <c r="G899">
        <v>1.5</v>
      </c>
      <c r="H899" t="s">
        <v>72</v>
      </c>
      <c r="I899" t="s">
        <v>67</v>
      </c>
      <c r="J899" t="s">
        <v>641</v>
      </c>
      <c r="K899" t="s">
        <v>69</v>
      </c>
      <c r="L899" t="s">
        <v>69</v>
      </c>
      <c r="M899">
        <v>3.8112717750199248</v>
      </c>
      <c r="N899" s="5">
        <v>45137</v>
      </c>
      <c r="O899" s="5">
        <v>45153</v>
      </c>
      <c r="P899">
        <v>0.8</v>
      </c>
      <c r="Q899" s="4">
        <v>185</v>
      </c>
      <c r="R899">
        <v>0.48799999999999999</v>
      </c>
      <c r="S899" t="s">
        <v>70</v>
      </c>
      <c r="T899" s="6">
        <v>6</v>
      </c>
      <c r="U899" s="5">
        <v>45259</v>
      </c>
      <c r="V899" s="6">
        <v>1</v>
      </c>
      <c r="W899" t="s">
        <v>86</v>
      </c>
      <c r="X899" s="6">
        <v>105.99999999999999</v>
      </c>
      <c r="Y899">
        <v>27.796240000000001</v>
      </c>
      <c r="Z899">
        <v>15.442355555555556</v>
      </c>
      <c r="AA899" s="6">
        <v>27.986662944340672</v>
      </c>
      <c r="AB899" s="4">
        <v>97.240499999999997</v>
      </c>
      <c r="AC899" s="6">
        <v>35.731305371732972</v>
      </c>
      <c r="AD899">
        <v>0.49192055600000001</v>
      </c>
      <c r="AE899">
        <v>1.602372306452837</v>
      </c>
      <c r="AF899">
        <v>43915</v>
      </c>
      <c r="AG899" s="4">
        <v>4320</v>
      </c>
      <c r="AH899" s="4">
        <v>167372</v>
      </c>
      <c r="AL899">
        <v>19</v>
      </c>
      <c r="AM899">
        <v>12.155569999999999</v>
      </c>
      <c r="AN899" t="s">
        <v>81</v>
      </c>
      <c r="AO899" t="s">
        <v>134</v>
      </c>
      <c r="AP899" s="5">
        <v>45156</v>
      </c>
      <c r="AQ899" t="s">
        <v>215</v>
      </c>
      <c r="AR899" s="5">
        <v>45258</v>
      </c>
      <c r="AS899">
        <v>211.05894502278005</v>
      </c>
      <c r="AT899" s="6"/>
      <c r="AU899">
        <v>12.95139198682987</v>
      </c>
      <c r="AV899">
        <v>47.146132714352738</v>
      </c>
      <c r="AW899">
        <v>23.674979421677168</v>
      </c>
      <c r="AX899">
        <v>83.772504122859772</v>
      </c>
      <c r="AY899">
        <v>8.0547117164048068</v>
      </c>
      <c r="AZ899">
        <v>19.741002380178042</v>
      </c>
      <c r="BA899">
        <v>3.9612145383692186</v>
      </c>
      <c r="BB899">
        <v>7.7155313092706042</v>
      </c>
      <c r="BC899">
        <v>15.210888954765107</v>
      </c>
      <c r="BD899">
        <v>54.683348898987774</v>
      </c>
      <c r="BE899">
        <v>72.603092000932506</v>
      </c>
      <c r="BF899">
        <v>14.894280305537727</v>
      </c>
      <c r="BH899">
        <v>14.894280305537727</v>
      </c>
      <c r="BI899">
        <v>153.35013332738532</v>
      </c>
      <c r="BJ899" s="6">
        <v>204</v>
      </c>
      <c r="BK899">
        <v>57.708811695394722</v>
      </c>
      <c r="BL899" s="4">
        <v>1604.0879799999987</v>
      </c>
      <c r="BM899" t="s">
        <v>2756</v>
      </c>
      <c r="BN899" t="s">
        <v>65</v>
      </c>
      <c r="BO899">
        <v>11</v>
      </c>
      <c r="BP899">
        <v>2023</v>
      </c>
      <c r="BQ899" t="str">
        <f t="shared" si="66"/>
        <v>Ranode11</v>
      </c>
      <c r="BR899">
        <f t="shared" si="67"/>
        <v>1407.875849999999</v>
      </c>
      <c r="BS899">
        <f t="shared" si="68"/>
        <v>5866.64509</v>
      </c>
      <c r="BT899" s="6">
        <f t="shared" si="69"/>
        <v>50.649866672614678</v>
      </c>
    </row>
    <row r="900" spans="1:72">
      <c r="A900" s="3" t="s">
        <v>631</v>
      </c>
      <c r="B900" s="3" t="s">
        <v>632</v>
      </c>
      <c r="C900" s="3" t="s">
        <v>634</v>
      </c>
      <c r="D900" s="2" t="s">
        <v>2757</v>
      </c>
      <c r="E900" s="4" t="str">
        <f t="shared" ref="E900:E909" si="70">B900&amp;D900</f>
        <v>RanodeAG-090-0011</v>
      </c>
      <c r="F900">
        <v>1.8</v>
      </c>
      <c r="G900">
        <v>1.5</v>
      </c>
      <c r="H900" t="s">
        <v>72</v>
      </c>
      <c r="I900" t="s">
        <v>67</v>
      </c>
      <c r="J900" t="s">
        <v>641</v>
      </c>
      <c r="K900" t="s">
        <v>69</v>
      </c>
      <c r="L900" t="s">
        <v>69</v>
      </c>
      <c r="M900">
        <v>3.8088970074678987</v>
      </c>
      <c r="N900" s="5">
        <v>45132</v>
      </c>
      <c r="O900" s="5">
        <v>45149</v>
      </c>
      <c r="P900">
        <v>0.8</v>
      </c>
      <c r="Q900" s="4">
        <v>185</v>
      </c>
      <c r="R900">
        <v>0.01</v>
      </c>
      <c r="S900" t="s">
        <v>70</v>
      </c>
      <c r="T900" s="6">
        <v>3</v>
      </c>
      <c r="U900" s="5">
        <v>45266</v>
      </c>
      <c r="V900" s="6">
        <v>1</v>
      </c>
      <c r="W900" t="s">
        <v>86</v>
      </c>
      <c r="X900" s="6">
        <v>117</v>
      </c>
      <c r="Y900">
        <v>20.21781</v>
      </c>
      <c r="Z900">
        <v>11.232116666666666</v>
      </c>
      <c r="AA900" s="6">
        <v>26.889509793592875</v>
      </c>
      <c r="AB900" s="4">
        <v>67.955874999999992</v>
      </c>
      <c r="AC900" s="6">
        <v>37.189223889766708</v>
      </c>
      <c r="AD900">
        <v>0.427264957</v>
      </c>
      <c r="AE900">
        <v>1.8419767429777913</v>
      </c>
      <c r="AF900">
        <v>37226</v>
      </c>
      <c r="AG900" s="4"/>
      <c r="AH900" s="4">
        <v>141790</v>
      </c>
      <c r="AL900">
        <v>20</v>
      </c>
      <c r="AM900">
        <v>12.42726</v>
      </c>
      <c r="AN900" t="s">
        <v>81</v>
      </c>
      <c r="AO900" t="s">
        <v>117</v>
      </c>
      <c r="AP900" s="5">
        <v>45149</v>
      </c>
      <c r="AQ900" t="s">
        <v>102</v>
      </c>
      <c r="AR900" s="5">
        <v>45265</v>
      </c>
      <c r="AS900">
        <v>213.41026253585329</v>
      </c>
      <c r="AT900" s="6"/>
      <c r="AU900">
        <v>4.7482887612456537</v>
      </c>
      <c r="AV900">
        <v>55.014607417915187</v>
      </c>
      <c r="AW900">
        <v>35.792345461748823</v>
      </c>
      <c r="AX900">
        <v>95.555241640909657</v>
      </c>
      <c r="AY900">
        <v>17.177140352985809</v>
      </c>
      <c r="AZ900">
        <v>33.68145362925064</v>
      </c>
      <c r="BA900">
        <v>15.670585983348344</v>
      </c>
      <c r="BB900">
        <v>17.097753911031905</v>
      </c>
      <c r="BC900">
        <v>30.873332967319403</v>
      </c>
      <c r="BD900">
        <v>114.50026684393609</v>
      </c>
      <c r="BE900">
        <v>3.3547540510075464</v>
      </c>
      <c r="BF900">
        <v>32.638428692326222</v>
      </c>
      <c r="BH900">
        <v>32.638428692326222</v>
      </c>
      <c r="BI900">
        <v>242.69393717717196</v>
      </c>
      <c r="BJ900" s="6">
        <v>210</v>
      </c>
      <c r="BK900">
        <v>-29.283674641318648</v>
      </c>
      <c r="BL900" s="4">
        <v>-592.05176999999867</v>
      </c>
      <c r="BM900" t="s">
        <v>2758</v>
      </c>
      <c r="BN900" t="s">
        <v>65</v>
      </c>
      <c r="BO900">
        <v>12</v>
      </c>
      <c r="BP900">
        <v>2023</v>
      </c>
      <c r="BQ900" t="str">
        <f t="shared" ref="BQ900:BQ909" si="71">B900&amp;BO900</f>
        <v>Ranode12</v>
      </c>
      <c r="BR900">
        <f t="shared" ref="BR900:BR909" si="72">BT900*Y900</f>
        <v>-660.999809999999</v>
      </c>
      <c r="BS900">
        <f t="shared" ref="BS900:BS909" si="73">Y900*AS900</f>
        <v>4314.6881400000002</v>
      </c>
      <c r="BT900" s="6">
        <f t="shared" ref="BT900:BT909" si="74">BJ900-BI900</f>
        <v>-32.693937177171961</v>
      </c>
    </row>
    <row r="901" spans="1:72">
      <c r="A901" s="3" t="s">
        <v>631</v>
      </c>
      <c r="B901" s="3" t="s">
        <v>632</v>
      </c>
      <c r="C901" s="3" t="s">
        <v>634</v>
      </c>
      <c r="D901" s="2" t="s">
        <v>647</v>
      </c>
      <c r="E901" s="4" t="str">
        <f t="shared" si="70"/>
        <v>RanodeAG-091-0012</v>
      </c>
      <c r="F901">
        <v>1.8</v>
      </c>
      <c r="G901">
        <v>1.8</v>
      </c>
      <c r="H901" t="s">
        <v>72</v>
      </c>
      <c r="I901" t="s">
        <v>67</v>
      </c>
      <c r="J901" t="s">
        <v>641</v>
      </c>
      <c r="K901" t="s">
        <v>69</v>
      </c>
      <c r="L901" t="s">
        <v>69</v>
      </c>
      <c r="M901">
        <v>2.2156803044719315</v>
      </c>
      <c r="N901" s="5">
        <v>44927</v>
      </c>
      <c r="O901" s="5">
        <v>44949</v>
      </c>
      <c r="P901">
        <v>0.9</v>
      </c>
      <c r="Q901" s="4">
        <v>174</v>
      </c>
      <c r="R901">
        <v>0.46200000000000002</v>
      </c>
      <c r="S901" t="s">
        <v>70</v>
      </c>
      <c r="T901" s="6">
        <v>5</v>
      </c>
      <c r="U901" s="5">
        <v>45102</v>
      </c>
      <c r="V901" s="6">
        <v>1</v>
      </c>
      <c r="W901" t="s">
        <v>86</v>
      </c>
      <c r="X901" s="6">
        <v>153</v>
      </c>
      <c r="Y901">
        <v>25.143549999999998</v>
      </c>
      <c r="Z901">
        <v>13.968638888888886</v>
      </c>
      <c r="AA901" s="6">
        <v>26.038964267177864</v>
      </c>
      <c r="AB901" s="4">
        <v>72.745777777777775</v>
      </c>
      <c r="AC901" s="6">
        <v>38.403985263749561</v>
      </c>
      <c r="AD901">
        <v>0.38144790499999998</v>
      </c>
      <c r="AE901">
        <v>2.125159993610366</v>
      </c>
      <c r="AF901">
        <v>52550</v>
      </c>
      <c r="AG901" s="4">
        <v>5184</v>
      </c>
      <c r="AH901" s="4">
        <v>116434</v>
      </c>
      <c r="AL901">
        <v>17</v>
      </c>
      <c r="AM901">
        <v>6.5789999999999997</v>
      </c>
      <c r="AN901" t="s">
        <v>81</v>
      </c>
      <c r="AO901" t="s">
        <v>90</v>
      </c>
      <c r="AP901" s="5">
        <v>44949</v>
      </c>
      <c r="AQ901" t="s">
        <v>134</v>
      </c>
      <c r="AR901" s="5">
        <v>45100</v>
      </c>
      <c r="AS901">
        <v>275.61055976582469</v>
      </c>
      <c r="AT901" s="6"/>
      <c r="AU901">
        <v>16.107510673711552</v>
      </c>
      <c r="AV901">
        <v>66.936198746795924</v>
      </c>
      <c r="AW901">
        <v>35.058107546468172</v>
      </c>
      <c r="AX901">
        <v>118.10181696697565</v>
      </c>
      <c r="AY901">
        <v>24.179938791459442</v>
      </c>
      <c r="AZ901">
        <v>36.088481936719361</v>
      </c>
      <c r="BA901">
        <v>5.0322508158155861</v>
      </c>
      <c r="BB901">
        <v>9.6359102036108659</v>
      </c>
      <c r="BC901">
        <v>19.210288523299223</v>
      </c>
      <c r="BD901">
        <v>94.146870270904486</v>
      </c>
      <c r="BE901">
        <v>63.361872527944541</v>
      </c>
      <c r="BF901">
        <v>19.781451704313827</v>
      </c>
      <c r="BH901">
        <v>19.781451704313827</v>
      </c>
      <c r="BI901">
        <v>232.03013894219399</v>
      </c>
      <c r="BJ901" s="6">
        <v>210</v>
      </c>
      <c r="BK901">
        <v>43.580420823630725</v>
      </c>
      <c r="BL901" s="4">
        <v>1095.7664900000002</v>
      </c>
      <c r="BM901" t="s">
        <v>648</v>
      </c>
      <c r="BN901" t="s">
        <v>65</v>
      </c>
      <c r="BO901">
        <v>6</v>
      </c>
      <c r="BP901">
        <v>2023</v>
      </c>
      <c r="BQ901" t="str">
        <f t="shared" si="71"/>
        <v>Ranode6</v>
      </c>
      <c r="BR901">
        <f t="shared" si="72"/>
        <v>-553.91590000000156</v>
      </c>
      <c r="BS901">
        <f t="shared" si="73"/>
        <v>6929.8278900000005</v>
      </c>
      <c r="BT901" s="6">
        <f t="shared" si="74"/>
        <v>-22.030138942193986</v>
      </c>
    </row>
    <row r="902" spans="1:72">
      <c r="A902" s="3" t="s">
        <v>631</v>
      </c>
      <c r="B902" s="3" t="s">
        <v>632</v>
      </c>
      <c r="C902" s="3" t="s">
        <v>634</v>
      </c>
      <c r="D902" s="2" t="s">
        <v>649</v>
      </c>
      <c r="E902" s="4" t="str">
        <f t="shared" si="70"/>
        <v>RanodeAG-090-0010</v>
      </c>
      <c r="F902">
        <v>1.8</v>
      </c>
      <c r="G902">
        <v>1.8</v>
      </c>
      <c r="H902" t="s">
        <v>72</v>
      </c>
      <c r="I902" t="s">
        <v>67</v>
      </c>
      <c r="J902" t="s">
        <v>641</v>
      </c>
      <c r="K902" t="s">
        <v>69</v>
      </c>
      <c r="L902" t="s">
        <v>69</v>
      </c>
      <c r="M902">
        <v>2.3481044267877413</v>
      </c>
      <c r="N902" s="5">
        <v>44927</v>
      </c>
      <c r="O902" s="5">
        <v>44948</v>
      </c>
      <c r="P902">
        <v>0.9</v>
      </c>
      <c r="Q902" s="4">
        <v>174</v>
      </c>
      <c r="R902">
        <v>0.35599999999999998</v>
      </c>
      <c r="S902" t="s">
        <v>70</v>
      </c>
      <c r="T902" s="6">
        <v>4</v>
      </c>
      <c r="U902" s="5">
        <v>45090</v>
      </c>
      <c r="V902" s="6">
        <v>1</v>
      </c>
      <c r="W902" t="s">
        <v>86</v>
      </c>
      <c r="X902" s="6">
        <v>142</v>
      </c>
      <c r="Y902">
        <v>19.8203</v>
      </c>
      <c r="Z902">
        <v>11.011277777777778</v>
      </c>
      <c r="AA902" s="6">
        <v>24.726820482031052</v>
      </c>
      <c r="AB902" s="4">
        <v>54.454777777777771</v>
      </c>
      <c r="AC902" s="6">
        <v>40.441916126122997</v>
      </c>
      <c r="AD902">
        <v>0.349605634</v>
      </c>
      <c r="AE902">
        <v>2.2589396060573428</v>
      </c>
      <c r="AF902">
        <v>44050</v>
      </c>
      <c r="AG902" s="4">
        <v>0</v>
      </c>
      <c r="AH902" s="4">
        <v>103434</v>
      </c>
      <c r="AL902">
        <v>20</v>
      </c>
      <c r="AM902">
        <v>5.2770799999999998</v>
      </c>
      <c r="AN902" t="s">
        <v>81</v>
      </c>
      <c r="AO902" t="s">
        <v>90</v>
      </c>
      <c r="AP902" s="5">
        <v>44949</v>
      </c>
      <c r="AQ902" t="s">
        <v>134</v>
      </c>
      <c r="AR902" s="5">
        <v>45089</v>
      </c>
      <c r="AS902">
        <v>281.02895617119822</v>
      </c>
      <c r="AT902" s="6"/>
      <c r="AU902">
        <v>18.163196318925543</v>
      </c>
      <c r="AV902">
        <v>71.213748026013747</v>
      </c>
      <c r="AW902">
        <v>39.508910561394117</v>
      </c>
      <c r="AX902">
        <v>128.88585490633338</v>
      </c>
      <c r="AY902">
        <v>27.923009238003459</v>
      </c>
      <c r="AZ902">
        <v>42.337402562019747</v>
      </c>
      <c r="BA902">
        <v>5.963542428722068</v>
      </c>
      <c r="BB902">
        <v>9.576157777632023</v>
      </c>
      <c r="BC902">
        <v>20.516260601504523</v>
      </c>
      <c r="BD902">
        <v>106.31637260788182</v>
      </c>
      <c r="BE902">
        <v>45.826728656983022</v>
      </c>
      <c r="BF902">
        <v>22.58763843130528</v>
      </c>
      <c r="BH902">
        <v>22.58763843130528</v>
      </c>
      <c r="BI902">
        <v>257.78986594552055</v>
      </c>
      <c r="BJ902" s="6">
        <v>219</v>
      </c>
      <c r="BK902">
        <v>23.239090225677678</v>
      </c>
      <c r="BL902" s="4">
        <v>460.60573999999929</v>
      </c>
      <c r="BM902" t="s">
        <v>650</v>
      </c>
      <c r="BN902" t="s">
        <v>65</v>
      </c>
      <c r="BO902">
        <v>6</v>
      </c>
      <c r="BP902">
        <v>2023</v>
      </c>
      <c r="BQ902" t="str">
        <f t="shared" si="71"/>
        <v>Ranode6</v>
      </c>
      <c r="BR902">
        <f t="shared" si="72"/>
        <v>-768.82678000000089</v>
      </c>
      <c r="BS902">
        <f t="shared" si="73"/>
        <v>5570.0782200000003</v>
      </c>
      <c r="BT902" s="6">
        <f t="shared" si="74"/>
        <v>-38.789865945520546</v>
      </c>
    </row>
    <row r="903" spans="1:72">
      <c r="A903" s="3" t="s">
        <v>631</v>
      </c>
      <c r="B903" s="3" t="s">
        <v>632</v>
      </c>
      <c r="C903" s="3" t="s">
        <v>634</v>
      </c>
      <c r="D903" s="2" t="s">
        <v>2752</v>
      </c>
      <c r="E903" s="4" t="str">
        <f t="shared" si="70"/>
        <v>RanodeA1-016-0028</v>
      </c>
      <c r="F903">
        <v>5.0199999999999996</v>
      </c>
      <c r="G903">
        <v>1.5</v>
      </c>
      <c r="H903" t="s">
        <v>72</v>
      </c>
      <c r="I903" t="s">
        <v>75</v>
      </c>
      <c r="J903" t="s">
        <v>112</v>
      </c>
      <c r="K903" t="s">
        <v>79</v>
      </c>
      <c r="L903" t="s">
        <v>79</v>
      </c>
      <c r="M903">
        <v>4.2962278056951426</v>
      </c>
      <c r="N903" s="5">
        <v>45159</v>
      </c>
      <c r="O903" s="5">
        <v>45175</v>
      </c>
      <c r="P903">
        <v>2.5</v>
      </c>
      <c r="Q903" s="4">
        <v>208</v>
      </c>
      <c r="R903">
        <v>0.622</v>
      </c>
      <c r="S903" t="s">
        <v>70</v>
      </c>
      <c r="T903" s="6">
        <v>6</v>
      </c>
      <c r="U903" s="5">
        <v>45258</v>
      </c>
      <c r="V903" s="6">
        <v>1</v>
      </c>
      <c r="W903" t="s">
        <v>86</v>
      </c>
      <c r="X903" s="6">
        <v>83</v>
      </c>
      <c r="Y903">
        <v>49.899180000000001</v>
      </c>
      <c r="Z903">
        <v>9.9400756972111566</v>
      </c>
      <c r="AA903" s="6">
        <v>44.71684705039241</v>
      </c>
      <c r="AB903" s="4">
        <v>89.253360000000001</v>
      </c>
      <c r="AC903" s="6">
        <v>22.362936252483941</v>
      </c>
      <c r="AD903">
        <v>0.30956372900000001</v>
      </c>
      <c r="AE903">
        <v>1.5436510382643425</v>
      </c>
      <c r="AF903">
        <v>74625</v>
      </c>
      <c r="AG903" s="4">
        <v>12048</v>
      </c>
      <c r="AH903" s="4">
        <v>320606</v>
      </c>
      <c r="AI903" t="s">
        <v>73</v>
      </c>
      <c r="AJ903" t="s">
        <v>73</v>
      </c>
      <c r="AK903" t="s">
        <v>2753</v>
      </c>
      <c r="AL903">
        <v>38</v>
      </c>
      <c r="AM903">
        <v>5.9917600000000002</v>
      </c>
      <c r="AN903" t="s">
        <v>81</v>
      </c>
      <c r="AO903" t="s">
        <v>134</v>
      </c>
      <c r="AP903" s="5">
        <v>45177</v>
      </c>
      <c r="AQ903" t="s">
        <v>93</v>
      </c>
      <c r="AR903" s="5">
        <v>45254</v>
      </c>
      <c r="AS903">
        <v>170.57214727777091</v>
      </c>
      <c r="AT903" s="6"/>
      <c r="AU903">
        <v>25.050511852098566</v>
      </c>
      <c r="AV903">
        <v>44.236891868764182</v>
      </c>
      <c r="AW903">
        <v>22.141313143823204</v>
      </c>
      <c r="AX903">
        <v>91.428716864685953</v>
      </c>
      <c r="AY903">
        <v>19.235944558607979</v>
      </c>
      <c r="AZ903">
        <v>21.29702732589994</v>
      </c>
      <c r="BA903">
        <v>24.780312021159467</v>
      </c>
      <c r="BB903">
        <v>10.890495996126589</v>
      </c>
      <c r="BC903">
        <v>25.261749992685253</v>
      </c>
      <c r="BD903">
        <v>101.46552989447923</v>
      </c>
      <c r="BE903">
        <v>-22.322099481394275</v>
      </c>
      <c r="BF903">
        <v>14.959101732733888</v>
      </c>
      <c r="BH903">
        <v>14.959101732733888</v>
      </c>
      <c r="BI903">
        <v>207.85334849189911</v>
      </c>
      <c r="BJ903" s="6">
        <v>177</v>
      </c>
      <c r="BK903">
        <v>-37.281201214128188</v>
      </c>
      <c r="BL903" s="4">
        <v>-1860.301370000001</v>
      </c>
      <c r="BM903" t="s">
        <v>2754</v>
      </c>
      <c r="BN903" t="s">
        <v>65</v>
      </c>
      <c r="BO903">
        <v>11</v>
      </c>
      <c r="BP903">
        <v>2023</v>
      </c>
      <c r="BQ903" t="str">
        <f t="shared" si="71"/>
        <v>Ranode11</v>
      </c>
      <c r="BR903">
        <f t="shared" si="72"/>
        <v>-1539.5567900000024</v>
      </c>
      <c r="BS903">
        <f t="shared" si="73"/>
        <v>8511.4102800000001</v>
      </c>
      <c r="BT903" s="6">
        <f t="shared" si="74"/>
        <v>-30.853348491899112</v>
      </c>
    </row>
    <row r="904" spans="1:72">
      <c r="A904" s="3" t="s">
        <v>631</v>
      </c>
      <c r="B904" s="3" t="s">
        <v>632</v>
      </c>
      <c r="C904" s="3" t="s">
        <v>634</v>
      </c>
      <c r="D904" s="2" t="s">
        <v>640</v>
      </c>
      <c r="E904" s="4" t="str">
        <f t="shared" si="70"/>
        <v>RanodeAG-093-0013</v>
      </c>
      <c r="F904">
        <v>1.8</v>
      </c>
      <c r="G904">
        <v>1.8</v>
      </c>
      <c r="H904" t="s">
        <v>72</v>
      </c>
      <c r="I904" t="s">
        <v>67</v>
      </c>
      <c r="J904" t="s">
        <v>641</v>
      </c>
      <c r="K904" t="s">
        <v>69</v>
      </c>
      <c r="L904" t="s">
        <v>69</v>
      </c>
      <c r="M904">
        <v>3.0459661016949151</v>
      </c>
      <c r="N904" s="5">
        <v>45023</v>
      </c>
      <c r="O904" s="5">
        <v>45053</v>
      </c>
      <c r="P904">
        <v>1</v>
      </c>
      <c r="Q904" s="4">
        <v>193</v>
      </c>
      <c r="R904">
        <v>0.23</v>
      </c>
      <c r="S904" t="s">
        <v>70</v>
      </c>
      <c r="T904" s="6">
        <v>1</v>
      </c>
      <c r="U904" s="5">
        <v>45098</v>
      </c>
      <c r="V904" s="6">
        <v>2</v>
      </c>
      <c r="W904" t="s">
        <v>71</v>
      </c>
      <c r="X904" s="6">
        <v>45</v>
      </c>
      <c r="Y904">
        <v>11.059959999999998</v>
      </c>
      <c r="Z904">
        <v>6.1444222222222216</v>
      </c>
      <c r="AA904" s="6">
        <v>74.999909583759802</v>
      </c>
      <c r="AB904" s="4">
        <v>82.949600000000004</v>
      </c>
      <c r="AC904" s="6">
        <v>13.333349407350969</v>
      </c>
      <c r="AD904">
        <v>0.29118518500000001</v>
      </c>
      <c r="AE904">
        <v>1.3619625557250443</v>
      </c>
      <c r="AF904">
        <v>14750</v>
      </c>
      <c r="AG904" s="4">
        <v>9800</v>
      </c>
      <c r="AH904" s="4">
        <v>44928</v>
      </c>
      <c r="AI904" t="s">
        <v>642</v>
      </c>
      <c r="AJ904" t="s">
        <v>642</v>
      </c>
      <c r="AK904" t="s">
        <v>123</v>
      </c>
      <c r="AL904">
        <v>75</v>
      </c>
      <c r="AM904">
        <v>11.059959999999998</v>
      </c>
      <c r="AN904" t="s">
        <v>73</v>
      </c>
      <c r="AO904" t="s">
        <v>127</v>
      </c>
      <c r="AP904" s="5">
        <v>45053</v>
      </c>
      <c r="AQ904" t="s">
        <v>157</v>
      </c>
      <c r="AR904" s="5">
        <v>45096</v>
      </c>
      <c r="AS904">
        <v>119.40886223819979</v>
      </c>
      <c r="AT904" s="6"/>
      <c r="AU904">
        <v>36.166496081360151</v>
      </c>
      <c r="AV904">
        <v>41.763170933710441</v>
      </c>
      <c r="AW904">
        <v>30.166967149971608</v>
      </c>
      <c r="AX904">
        <v>108.09663416504219</v>
      </c>
      <c r="AY904">
        <v>23.035359079056349</v>
      </c>
      <c r="AZ904">
        <v>39.821202789160182</v>
      </c>
      <c r="BA904">
        <v>6.5812914332420744</v>
      </c>
      <c r="BB904">
        <v>14.6905223888694</v>
      </c>
      <c r="BC904">
        <v>27.387444439220396</v>
      </c>
      <c r="BD904">
        <v>111.5158201295484</v>
      </c>
      <c r="BE904">
        <v>-100.2035920563908</v>
      </c>
      <c r="BF904">
        <v>20.818739850777039</v>
      </c>
      <c r="BH904">
        <v>20.818739850777039</v>
      </c>
      <c r="BI904">
        <v>240.43119414536764</v>
      </c>
      <c r="BJ904" s="6">
        <v>150</v>
      </c>
      <c r="BK904">
        <v>-121.02233190716785</v>
      </c>
      <c r="BL904" s="4">
        <v>-1338.50215</v>
      </c>
      <c r="BM904" t="s">
        <v>643</v>
      </c>
      <c r="BN904" t="s">
        <v>65</v>
      </c>
      <c r="BO904">
        <v>6</v>
      </c>
      <c r="BP904">
        <v>2023</v>
      </c>
      <c r="BQ904" t="str">
        <f t="shared" si="71"/>
        <v>Ranode6</v>
      </c>
      <c r="BR904">
        <f t="shared" si="72"/>
        <v>-1000.1653900000001</v>
      </c>
      <c r="BS904">
        <f t="shared" si="73"/>
        <v>1320.65724</v>
      </c>
      <c r="BT904" s="6">
        <f t="shared" si="74"/>
        <v>-90.431194145367641</v>
      </c>
    </row>
    <row r="905" spans="1:72">
      <c r="A905" s="3" t="s">
        <v>631</v>
      </c>
      <c r="B905" s="3" t="s">
        <v>632</v>
      </c>
      <c r="C905" s="3" t="s">
        <v>634</v>
      </c>
      <c r="D905" s="2" t="s">
        <v>644</v>
      </c>
      <c r="E905" s="4" t="str">
        <f t="shared" si="70"/>
        <v>RanodeAG-093-0012</v>
      </c>
      <c r="F905">
        <v>1.8</v>
      </c>
      <c r="G905">
        <v>1.8</v>
      </c>
      <c r="H905" t="s">
        <v>72</v>
      </c>
      <c r="I905" t="s">
        <v>67</v>
      </c>
      <c r="J905" t="s">
        <v>641</v>
      </c>
      <c r="K905" t="s">
        <v>69</v>
      </c>
      <c r="L905" t="s">
        <v>69</v>
      </c>
      <c r="M905">
        <v>2.2664634146341465</v>
      </c>
      <c r="N905" s="5">
        <v>44927</v>
      </c>
      <c r="O905" s="5">
        <v>44951</v>
      </c>
      <c r="P905">
        <v>0.73</v>
      </c>
      <c r="Q905" s="4">
        <v>141</v>
      </c>
      <c r="R905">
        <v>0.57499999999999996</v>
      </c>
      <c r="S905" t="s">
        <v>70</v>
      </c>
      <c r="T905" s="6">
        <v>1</v>
      </c>
      <c r="U905" s="5">
        <v>45022</v>
      </c>
      <c r="V905" s="6">
        <v>2</v>
      </c>
      <c r="W905" t="s">
        <v>71</v>
      </c>
      <c r="X905" s="6">
        <v>71</v>
      </c>
      <c r="Y905">
        <v>7.8501400000000006</v>
      </c>
      <c r="Z905">
        <v>4.361188888888889</v>
      </c>
      <c r="AA905" s="6">
        <v>58.999966879571573</v>
      </c>
      <c r="AB905" s="4">
        <v>63.446301369863015</v>
      </c>
      <c r="AC905" s="6">
        <v>16.949162057008625</v>
      </c>
      <c r="AD905">
        <v>0.23062186700000001</v>
      </c>
      <c r="AE905">
        <v>2.2072262433816858</v>
      </c>
      <c r="AF905">
        <v>16400</v>
      </c>
      <c r="AG905" s="4">
        <v>5184</v>
      </c>
      <c r="AH905" s="4">
        <v>37170</v>
      </c>
      <c r="AI905" t="s">
        <v>645</v>
      </c>
      <c r="AJ905" t="s">
        <v>642</v>
      </c>
      <c r="AK905" t="s">
        <v>123</v>
      </c>
      <c r="AL905">
        <v>59</v>
      </c>
      <c r="AM905">
        <v>7.8501400000000006</v>
      </c>
      <c r="AN905" t="s">
        <v>73</v>
      </c>
      <c r="AO905" t="s">
        <v>92</v>
      </c>
      <c r="AP905" s="5">
        <v>44953</v>
      </c>
      <c r="AQ905" t="s">
        <v>176</v>
      </c>
      <c r="AR905" s="5">
        <v>45021</v>
      </c>
      <c r="AS905">
        <v>143.49846244780346</v>
      </c>
      <c r="AT905" s="6"/>
      <c r="AU905">
        <v>41.846387452962624</v>
      </c>
      <c r="AV905">
        <v>67.486995136392466</v>
      </c>
      <c r="AW905">
        <v>47.356625486933993</v>
      </c>
      <c r="AX905">
        <v>156.69000807628908</v>
      </c>
      <c r="AY905">
        <v>42.290982071657318</v>
      </c>
      <c r="AZ905">
        <v>55.666923137676527</v>
      </c>
      <c r="BA905">
        <v>6.2027008435518356</v>
      </c>
      <c r="BB905">
        <v>7.918814186753357</v>
      </c>
      <c r="BC905">
        <v>19.393256680772573</v>
      </c>
      <c r="BD905">
        <v>131.4726769204116</v>
      </c>
      <c r="BE905">
        <v>-144.66422254889721</v>
      </c>
      <c r="BF905">
        <v>31.578331087088891</v>
      </c>
      <c r="BH905">
        <v>31.578331087088891</v>
      </c>
      <c r="BI905">
        <v>319.74101608378953</v>
      </c>
      <c r="BJ905" s="6">
        <v>163</v>
      </c>
      <c r="BK905">
        <v>-176.24255363598607</v>
      </c>
      <c r="BL905" s="4">
        <v>-1383.5287199999998</v>
      </c>
      <c r="BM905" t="s">
        <v>646</v>
      </c>
      <c r="BN905" t="s">
        <v>65</v>
      </c>
      <c r="BO905">
        <v>4</v>
      </c>
      <c r="BP905">
        <v>2023</v>
      </c>
      <c r="BQ905" t="str">
        <f t="shared" si="71"/>
        <v>Ranode4</v>
      </c>
      <c r="BR905">
        <f t="shared" si="72"/>
        <v>-1230.4389199999996</v>
      </c>
      <c r="BS905">
        <f t="shared" si="73"/>
        <v>1126.4830199999999</v>
      </c>
      <c r="BT905" s="6">
        <f t="shared" si="74"/>
        <v>-156.74101608378953</v>
      </c>
    </row>
    <row r="906" spans="1:72">
      <c r="A906" s="3" t="s">
        <v>631</v>
      </c>
      <c r="B906" s="3" t="s">
        <v>632</v>
      </c>
      <c r="C906" s="3" t="s">
        <v>634</v>
      </c>
      <c r="D906" s="2" t="s">
        <v>2750</v>
      </c>
      <c r="E906" s="4" t="str">
        <f t="shared" si="70"/>
        <v>RanodeAG-093-0014</v>
      </c>
      <c r="F906">
        <v>1.8</v>
      </c>
      <c r="G906">
        <v>1.8</v>
      </c>
      <c r="H906" t="s">
        <v>72</v>
      </c>
      <c r="I906" t="s">
        <v>67</v>
      </c>
      <c r="J906" t="s">
        <v>641</v>
      </c>
      <c r="K906" t="s">
        <v>69</v>
      </c>
      <c r="L906" t="s">
        <v>69</v>
      </c>
      <c r="M906">
        <v>5.042584615384615</v>
      </c>
      <c r="N906" s="5">
        <v>45214</v>
      </c>
      <c r="O906" s="5">
        <v>45230</v>
      </c>
      <c r="P906">
        <v>1</v>
      </c>
      <c r="Q906" s="4">
        <v>193</v>
      </c>
      <c r="R906">
        <v>0.52200000000000002</v>
      </c>
      <c r="S906" t="s">
        <v>70</v>
      </c>
      <c r="T906" s="6">
        <v>1</v>
      </c>
      <c r="U906" s="5">
        <v>45265</v>
      </c>
      <c r="V906" s="6">
        <v>2</v>
      </c>
      <c r="W906" t="s">
        <v>71</v>
      </c>
      <c r="X906" s="6">
        <v>35</v>
      </c>
      <c r="Y906">
        <v>5.7732999999999999</v>
      </c>
      <c r="Z906">
        <v>3.2073888888888886</v>
      </c>
      <c r="AA906" s="6">
        <v>132.00613167512515</v>
      </c>
      <c r="AB906" s="4">
        <v>76.211100000000002</v>
      </c>
      <c r="AC906" s="6">
        <v>7.5754056823743525</v>
      </c>
      <c r="AD906">
        <v>0.201535931</v>
      </c>
      <c r="AE906">
        <v>1.5472359225334678</v>
      </c>
      <c r="AF906">
        <v>8125</v>
      </c>
      <c r="AG906" s="4">
        <v>5184</v>
      </c>
      <c r="AH906" s="4">
        <v>40971</v>
      </c>
      <c r="AI906" t="s">
        <v>73</v>
      </c>
      <c r="AJ906" t="s">
        <v>73</v>
      </c>
      <c r="AK906" t="s">
        <v>189</v>
      </c>
      <c r="AL906">
        <v>132</v>
      </c>
      <c r="AM906">
        <v>5.7563399999999998</v>
      </c>
      <c r="AN906" t="s">
        <v>73</v>
      </c>
      <c r="AO906" t="s">
        <v>123</v>
      </c>
      <c r="AP906" s="5">
        <v>45230</v>
      </c>
      <c r="AQ906" t="s">
        <v>90</v>
      </c>
      <c r="AR906" s="5">
        <v>45261</v>
      </c>
      <c r="AS906">
        <v>103.75748358824242</v>
      </c>
      <c r="AT906" s="6"/>
      <c r="AU906">
        <v>77.945022777267766</v>
      </c>
      <c r="AV906">
        <v>42.052422358096749</v>
      </c>
      <c r="AW906">
        <v>45.256179308194611</v>
      </c>
      <c r="AX906">
        <v>165.25362444355915</v>
      </c>
      <c r="AY906">
        <v>21.265868740581642</v>
      </c>
      <c r="AZ906">
        <v>38.125874283338817</v>
      </c>
      <c r="BA906">
        <v>27.399023089047859</v>
      </c>
      <c r="BB906">
        <v>19.76316145012385</v>
      </c>
      <c r="BC906">
        <v>41.981509708485618</v>
      </c>
      <c r="BD906">
        <v>148.53543727157779</v>
      </c>
      <c r="BE906">
        <v>-210.03157812689452</v>
      </c>
      <c r="BF906">
        <v>35.718386364817349</v>
      </c>
      <c r="BH906">
        <v>35.718386364817349</v>
      </c>
      <c r="BI906">
        <v>349.50744807995426</v>
      </c>
      <c r="BJ906" s="6">
        <v>150</v>
      </c>
      <c r="BK906">
        <v>-245.74996449171184</v>
      </c>
      <c r="BL906" s="4">
        <v>-1418.78827</v>
      </c>
      <c r="BM906" t="s">
        <v>2751</v>
      </c>
      <c r="BN906" t="s">
        <v>65</v>
      </c>
      <c r="BO906">
        <v>12</v>
      </c>
      <c r="BP906">
        <v>2023</v>
      </c>
      <c r="BQ906" t="str">
        <f t="shared" si="71"/>
        <v>Ranode12</v>
      </c>
      <c r="BR906">
        <f t="shared" si="72"/>
        <v>-1151.8163499999998</v>
      </c>
      <c r="BS906">
        <f t="shared" si="73"/>
        <v>599.02307999999994</v>
      </c>
      <c r="BT906" s="6">
        <f t="shared" si="74"/>
        <v>-199.50744807995426</v>
      </c>
    </row>
    <row r="907" spans="1:72">
      <c r="A907" s="3" t="s">
        <v>631</v>
      </c>
      <c r="B907" s="3" t="s">
        <v>632</v>
      </c>
      <c r="C907" s="3" t="s">
        <v>634</v>
      </c>
      <c r="D907" s="2" t="s">
        <v>638</v>
      </c>
      <c r="E907" s="4" t="str">
        <f t="shared" si="70"/>
        <v>RanodeA1-082-0016</v>
      </c>
      <c r="F907">
        <v>1.5</v>
      </c>
      <c r="G907">
        <v>1.8</v>
      </c>
      <c r="H907" t="s">
        <v>72</v>
      </c>
      <c r="I907" t="s">
        <v>75</v>
      </c>
      <c r="J907" t="s">
        <v>95</v>
      </c>
      <c r="K907" t="s">
        <v>79</v>
      </c>
      <c r="L907" t="s">
        <v>79</v>
      </c>
      <c r="M907">
        <v>1.1269076305220884</v>
      </c>
      <c r="N907" s="5">
        <v>44927</v>
      </c>
      <c r="O907" s="5">
        <v>44950</v>
      </c>
      <c r="P907">
        <v>0.7</v>
      </c>
      <c r="Q907" s="4">
        <v>162</v>
      </c>
      <c r="R907">
        <v>0.32</v>
      </c>
      <c r="S907" t="s">
        <v>70</v>
      </c>
      <c r="T907" s="6">
        <v>1</v>
      </c>
      <c r="U907" s="5">
        <v>44994</v>
      </c>
      <c r="V907" s="6">
        <v>2</v>
      </c>
      <c r="W907" t="s">
        <v>71</v>
      </c>
      <c r="X907" s="6">
        <v>44</v>
      </c>
      <c r="Y907">
        <v>4.82986</v>
      </c>
      <c r="Z907">
        <v>3.2199066666666667</v>
      </c>
      <c r="AA907" s="6">
        <v>144.00003312725423</v>
      </c>
      <c r="AB907" s="4">
        <v>99.357142857142861</v>
      </c>
      <c r="AC907" s="6">
        <v>6.9444428468727528</v>
      </c>
      <c r="AD907">
        <v>0.15055555600000001</v>
      </c>
      <c r="AE907">
        <v>1.3515391262435246</v>
      </c>
      <c r="AF907">
        <v>6225</v>
      </c>
      <c r="AG907" s="4">
        <v>4320</v>
      </c>
      <c r="AH907" s="4">
        <v>7015</v>
      </c>
      <c r="AI907" t="s">
        <v>73</v>
      </c>
      <c r="AJ907" t="s">
        <v>73</v>
      </c>
      <c r="AK907" t="s">
        <v>123</v>
      </c>
      <c r="AL907">
        <v>144</v>
      </c>
      <c r="AM907">
        <v>4.82986</v>
      </c>
      <c r="AN907" t="s">
        <v>73</v>
      </c>
      <c r="AO907" t="s">
        <v>92</v>
      </c>
      <c r="AP907" s="5">
        <v>44953</v>
      </c>
      <c r="AQ907" t="s">
        <v>438</v>
      </c>
      <c r="AR907" s="5">
        <v>44993</v>
      </c>
      <c r="AS907">
        <v>113.81572136666487</v>
      </c>
      <c r="AT907" s="6"/>
      <c r="AU907">
        <v>57.972694860720601</v>
      </c>
      <c r="AV907">
        <v>42.166449959212066</v>
      </c>
      <c r="AW907">
        <v>63.295054100947027</v>
      </c>
      <c r="AX907">
        <v>163.43419892087971</v>
      </c>
      <c r="AY907">
        <v>87.773173549543884</v>
      </c>
      <c r="AZ907">
        <v>51.750299180514546</v>
      </c>
      <c r="BA907">
        <v>14.576679241220244</v>
      </c>
      <c r="BB907">
        <v>20.955087725110047</v>
      </c>
      <c r="BC907">
        <v>57.796784999979302</v>
      </c>
      <c r="BD907">
        <v>232.85202469636806</v>
      </c>
      <c r="BE907">
        <v>-282.47050225058291</v>
      </c>
      <c r="BF907">
        <v>59.93578488817483</v>
      </c>
      <c r="BH907">
        <v>59.93578488817483</v>
      </c>
      <c r="BI907">
        <v>456.22200850542259</v>
      </c>
      <c r="BJ907" s="6">
        <v>150</v>
      </c>
      <c r="BK907">
        <v>-342.4062871387577</v>
      </c>
      <c r="BL907" s="4">
        <v>-1653.7744300000002</v>
      </c>
      <c r="BM907" t="s">
        <v>639</v>
      </c>
      <c r="BN907" t="s">
        <v>65</v>
      </c>
      <c r="BO907">
        <v>3</v>
      </c>
      <c r="BP907">
        <v>2023</v>
      </c>
      <c r="BQ907" t="str">
        <f t="shared" si="71"/>
        <v>Ranode3</v>
      </c>
      <c r="BR907">
        <f t="shared" si="72"/>
        <v>-1479.0094300000003</v>
      </c>
      <c r="BS907">
        <f t="shared" si="73"/>
        <v>549.71400000000006</v>
      </c>
      <c r="BT907" s="6">
        <f t="shared" si="74"/>
        <v>-306.22200850542259</v>
      </c>
    </row>
    <row r="908" spans="1:72">
      <c r="A908" s="3" t="s">
        <v>631</v>
      </c>
      <c r="B908" s="3" t="s">
        <v>632</v>
      </c>
      <c r="C908" s="3" t="s">
        <v>634</v>
      </c>
      <c r="D908" s="2" t="s">
        <v>636</v>
      </c>
      <c r="E908" s="4" t="str">
        <f t="shared" si="70"/>
        <v>RanodeA1-083-0016</v>
      </c>
      <c r="F908">
        <v>1.5</v>
      </c>
      <c r="G908">
        <v>1.8</v>
      </c>
      <c r="H908" t="s">
        <v>72</v>
      </c>
      <c r="I908" t="s">
        <v>75</v>
      </c>
      <c r="J908" t="s">
        <v>95</v>
      </c>
      <c r="K908" t="s">
        <v>79</v>
      </c>
      <c r="L908" t="s">
        <v>79</v>
      </c>
      <c r="M908">
        <v>1.6416279069767441</v>
      </c>
      <c r="N908" s="5">
        <v>44927</v>
      </c>
      <c r="O908" s="5">
        <v>44950</v>
      </c>
      <c r="P908">
        <v>0.7</v>
      </c>
      <c r="Q908" s="4">
        <v>162</v>
      </c>
      <c r="R908">
        <v>0.32</v>
      </c>
      <c r="S908" t="s">
        <v>70</v>
      </c>
      <c r="T908" s="6">
        <v>1</v>
      </c>
      <c r="U908" s="5">
        <v>44989</v>
      </c>
      <c r="V908" s="6">
        <v>2</v>
      </c>
      <c r="W908" t="s">
        <v>71</v>
      </c>
      <c r="X908" s="6">
        <v>39</v>
      </c>
      <c r="Y908">
        <v>3.1501999999999999</v>
      </c>
      <c r="Z908">
        <v>2.1001333333333334</v>
      </c>
      <c r="AA908" s="6">
        <v>183.00012697606502</v>
      </c>
      <c r="AB908" s="4">
        <v>82.355285714285714</v>
      </c>
      <c r="AC908" s="6">
        <v>5.4644770827442768</v>
      </c>
      <c r="AD908">
        <v>0.13190976600000001</v>
      </c>
      <c r="AE908">
        <v>1.4694826054268335</v>
      </c>
      <c r="AF908">
        <v>4300</v>
      </c>
      <c r="AG908" s="4">
        <v>4320</v>
      </c>
      <c r="AH908" s="4">
        <v>7059</v>
      </c>
      <c r="AI908" t="s">
        <v>73</v>
      </c>
      <c r="AJ908" t="s">
        <v>73</v>
      </c>
      <c r="AK908" t="s">
        <v>123</v>
      </c>
      <c r="AL908">
        <v>183</v>
      </c>
      <c r="AM908">
        <v>3.1501999999999999</v>
      </c>
      <c r="AN908" t="s">
        <v>73</v>
      </c>
      <c r="AO908" t="s">
        <v>92</v>
      </c>
      <c r="AP908" s="5">
        <v>44953</v>
      </c>
      <c r="AQ908" t="s">
        <v>438</v>
      </c>
      <c r="AR908" s="5">
        <v>44987</v>
      </c>
      <c r="AS908">
        <v>102.37629356866231</v>
      </c>
      <c r="AT908" s="6"/>
      <c r="AU908">
        <v>88.883245508221705</v>
      </c>
      <c r="AV908">
        <v>44.418160751698295</v>
      </c>
      <c r="AW908">
        <v>72.966913211859591</v>
      </c>
      <c r="AX908">
        <v>206.26831947177956</v>
      </c>
      <c r="AY908">
        <v>98.38021712907117</v>
      </c>
      <c r="AZ908">
        <v>63.63246460542188</v>
      </c>
      <c r="BA908">
        <v>17.558151863373755</v>
      </c>
      <c r="BB908">
        <v>17.3029617167164</v>
      </c>
      <c r="BC908">
        <v>59.613303917211603</v>
      </c>
      <c r="BD908">
        <v>256.48709923179479</v>
      </c>
      <c r="BE908">
        <v>-360.37912513491204</v>
      </c>
      <c r="BF908">
        <v>64.884502571265315</v>
      </c>
      <c r="BH908">
        <v>64.884502571265315</v>
      </c>
      <c r="BI908">
        <v>527.63992127483971</v>
      </c>
      <c r="BJ908" s="6">
        <v>150</v>
      </c>
      <c r="BK908">
        <v>-425.26362770617732</v>
      </c>
      <c r="BL908" s="4">
        <v>-1339.6654799999997</v>
      </c>
      <c r="BM908" t="s">
        <v>637</v>
      </c>
      <c r="BN908" t="s">
        <v>65</v>
      </c>
      <c r="BO908">
        <v>3</v>
      </c>
      <c r="BP908">
        <v>2023</v>
      </c>
      <c r="BQ908" t="str">
        <f t="shared" si="71"/>
        <v>Ranode3</v>
      </c>
      <c r="BR908">
        <f t="shared" si="72"/>
        <v>-1189.6412800000001</v>
      </c>
      <c r="BS908">
        <f t="shared" si="73"/>
        <v>322.50579999999997</v>
      </c>
      <c r="BT908" s="6">
        <f t="shared" si="74"/>
        <v>-377.63992127483971</v>
      </c>
    </row>
    <row r="909" spans="1:72">
      <c r="A909" s="3" t="s">
        <v>631</v>
      </c>
      <c r="B909" s="3" t="s">
        <v>632</v>
      </c>
      <c r="C909" s="3" t="s">
        <v>634</v>
      </c>
      <c r="D909" s="2" t="s">
        <v>635</v>
      </c>
      <c r="E909" s="4" t="str">
        <f t="shared" si="70"/>
        <v>RanodeA1-015-0033</v>
      </c>
      <c r="F909">
        <v>5</v>
      </c>
      <c r="G909">
        <v>1.9</v>
      </c>
      <c r="H909" t="s">
        <v>72</v>
      </c>
      <c r="I909" t="s">
        <v>75</v>
      </c>
      <c r="J909" t="s">
        <v>112</v>
      </c>
      <c r="K909" t="s">
        <v>79</v>
      </c>
      <c r="L909" t="s">
        <v>79</v>
      </c>
      <c r="M909">
        <v>3.4732626619552414</v>
      </c>
      <c r="N909" s="5">
        <v>45041</v>
      </c>
      <c r="O909" s="5">
        <v>45071</v>
      </c>
      <c r="P909">
        <v>4</v>
      </c>
      <c r="Q909" s="4">
        <v>263</v>
      </c>
      <c r="R909">
        <v>0.216</v>
      </c>
      <c r="S909" t="s">
        <v>70</v>
      </c>
      <c r="T909" s="6">
        <v>1</v>
      </c>
      <c r="U909" s="5">
        <v>45111</v>
      </c>
      <c r="V909" s="6">
        <v>2</v>
      </c>
      <c r="W909" t="s">
        <v>71</v>
      </c>
      <c r="X909" s="6">
        <v>40</v>
      </c>
      <c r="Y909">
        <v>11.61844</v>
      </c>
      <c r="Z909">
        <v>2.3236879999999998</v>
      </c>
      <c r="AA909" s="6">
        <v>207.00007918446883</v>
      </c>
      <c r="AB909" s="4">
        <v>60.125450000000001</v>
      </c>
      <c r="AC909" s="6">
        <v>4.8309160264081186</v>
      </c>
      <c r="AD909">
        <v>0.11537294700000002</v>
      </c>
      <c r="AE909">
        <v>1.9732364983210058</v>
      </c>
      <c r="AF909">
        <v>21225</v>
      </c>
      <c r="AG909" s="4">
        <v>14400</v>
      </c>
      <c r="AH909" s="4">
        <v>73720</v>
      </c>
      <c r="AI909" t="s">
        <v>73</v>
      </c>
      <c r="AJ909" t="s">
        <v>73</v>
      </c>
      <c r="AK909" t="s">
        <v>170</v>
      </c>
      <c r="AL909">
        <v>207</v>
      </c>
      <c r="AM909">
        <v>11.61844</v>
      </c>
      <c r="AN909" t="s">
        <v>73</v>
      </c>
      <c r="AO909" t="s">
        <v>134</v>
      </c>
      <c r="AP909" s="5">
        <v>45071</v>
      </c>
      <c r="AQ909" t="s">
        <v>74</v>
      </c>
      <c r="AR909" s="5">
        <v>45110</v>
      </c>
      <c r="AS909">
        <v>69.575715844812208</v>
      </c>
      <c r="AT909" s="6"/>
      <c r="AU909">
        <v>137.71211969937443</v>
      </c>
      <c r="AV909">
        <v>57.699818564282296</v>
      </c>
      <c r="AW909">
        <v>50.886841951243042</v>
      </c>
      <c r="AX909">
        <v>246.29878021489975</v>
      </c>
      <c r="AY909">
        <v>94.158828551853773</v>
      </c>
      <c r="AZ909">
        <v>64.924064676497011</v>
      </c>
      <c r="BA909">
        <v>95.722270803997773</v>
      </c>
      <c r="BB909">
        <v>76.388782831430035</v>
      </c>
      <c r="BC909">
        <v>84.078262658325897</v>
      </c>
      <c r="BD909">
        <v>415.2722095221045</v>
      </c>
      <c r="BE909">
        <v>-591.99527389219202</v>
      </c>
      <c r="BF909">
        <v>59.61439143292904</v>
      </c>
      <c r="BH909">
        <v>59.61439143292904</v>
      </c>
      <c r="BI909">
        <v>721.18538116993329</v>
      </c>
      <c r="BJ909" s="6">
        <v>150</v>
      </c>
      <c r="BK909">
        <v>-651.609665325121</v>
      </c>
      <c r="BL909" s="4">
        <v>-7570.6877999999997</v>
      </c>
      <c r="BM909" t="s">
        <v>633</v>
      </c>
      <c r="BN909" t="s">
        <v>65</v>
      </c>
      <c r="BO909">
        <v>7</v>
      </c>
      <c r="BP909">
        <v>2023</v>
      </c>
      <c r="BQ909" t="str">
        <f t="shared" si="71"/>
        <v>Ranode7</v>
      </c>
      <c r="BR909">
        <f t="shared" si="72"/>
        <v>-6636.2830799999992</v>
      </c>
      <c r="BS909">
        <f t="shared" si="73"/>
        <v>808.36127999999997</v>
      </c>
      <c r="BT909" s="6">
        <f t="shared" si="74"/>
        <v>-571.18538116993329</v>
      </c>
    </row>
    <row r="910" spans="1:72">
      <c r="A910" s="3"/>
      <c r="B910" s="3"/>
      <c r="C910" s="3"/>
      <c r="D910" s="2"/>
      <c r="E910" s="4"/>
      <c r="N910" s="5"/>
      <c r="O910" s="5"/>
      <c r="Q910" s="4"/>
      <c r="T910" s="6"/>
      <c r="U910" s="5"/>
      <c r="V910" s="6"/>
      <c r="X910" s="6"/>
      <c r="AA910" s="6"/>
      <c r="AB910" s="4"/>
      <c r="AC910" s="6"/>
      <c r="AG910" s="4"/>
      <c r="AH910" s="4"/>
      <c r="AP910" s="5"/>
      <c r="AR910" s="5"/>
      <c r="AT910" s="6"/>
      <c r="BJ910" s="425"/>
      <c r="BL910" s="4"/>
      <c r="BT910" s="6"/>
    </row>
    <row r="911" spans="1:72">
      <c r="A911" s="3"/>
      <c r="B911" s="3"/>
      <c r="C911" s="3"/>
      <c r="D911" s="2"/>
      <c r="E911" s="4"/>
      <c r="N911" s="5"/>
      <c r="O911" s="5"/>
      <c r="Q911" s="4"/>
      <c r="T911" s="6"/>
      <c r="U911" s="5"/>
      <c r="V911" s="6"/>
      <c r="X911" s="6"/>
      <c r="AA911" s="6"/>
      <c r="AB911" s="4"/>
      <c r="AC911" s="6"/>
      <c r="AG911" s="4"/>
      <c r="AH911" s="4"/>
      <c r="AP911" s="5"/>
      <c r="AR911" s="5"/>
      <c r="AT911" s="6"/>
      <c r="BJ911" s="425"/>
      <c r="BL911" s="4"/>
      <c r="BT911" s="6"/>
    </row>
    <row r="912" spans="1:72">
      <c r="A912" s="3"/>
      <c r="B912" s="3"/>
      <c r="C912" s="3"/>
      <c r="D912" s="2"/>
      <c r="E912" s="4"/>
      <c r="N912" s="5"/>
      <c r="O912" s="5"/>
      <c r="Q912" s="4"/>
      <c r="T912" s="6"/>
      <c r="U912" s="5"/>
      <c r="V912" s="6"/>
      <c r="X912" s="6"/>
      <c r="AA912" s="6"/>
      <c r="AB912" s="4"/>
      <c r="AC912" s="6"/>
      <c r="AG912" s="4"/>
      <c r="AH912" s="4"/>
      <c r="AP912" s="5"/>
      <c r="AR912" s="5"/>
      <c r="AT912" s="6"/>
      <c r="BJ912" s="425"/>
      <c r="BL912" s="4"/>
      <c r="BT912" s="6"/>
    </row>
    <row r="913" spans="1:72">
      <c r="A913" s="3"/>
      <c r="B913" s="3"/>
      <c r="C913" s="3"/>
      <c r="D913" s="2"/>
      <c r="E913" s="4"/>
      <c r="N913" s="5"/>
      <c r="O913" s="5"/>
      <c r="Q913" s="4"/>
      <c r="T913" s="6"/>
      <c r="U913" s="5"/>
      <c r="V913" s="6"/>
      <c r="X913" s="6"/>
      <c r="AA913" s="6"/>
      <c r="AB913" s="4"/>
      <c r="AC913" s="6"/>
      <c r="AG913" s="4"/>
      <c r="AH913" s="4"/>
      <c r="AP913" s="5"/>
      <c r="AR913" s="5"/>
      <c r="AT913" s="6"/>
      <c r="BJ913" s="425"/>
      <c r="BL913" s="4"/>
      <c r="BT913" s="6"/>
    </row>
    <row r="914" spans="1:72">
      <c r="A914" s="3"/>
      <c r="B914" s="3"/>
      <c r="C914" s="3"/>
      <c r="D914" s="2"/>
      <c r="E914" s="4"/>
      <c r="N914" s="5"/>
      <c r="O914" s="5"/>
      <c r="Q914" s="4"/>
      <c r="T914" s="6"/>
      <c r="U914" s="5"/>
      <c r="V914" s="6"/>
      <c r="X914" s="6"/>
      <c r="AA914" s="6"/>
      <c r="AB914" s="4"/>
      <c r="AC914" s="6"/>
      <c r="AG914" s="4"/>
      <c r="AH914" s="4"/>
      <c r="AP914" s="5"/>
      <c r="AR914" s="5"/>
      <c r="AT914" s="6"/>
      <c r="BJ914" s="425"/>
      <c r="BL914" s="4"/>
      <c r="BT914" s="6"/>
    </row>
    <row r="915" spans="1:72">
      <c r="A915" s="3"/>
      <c r="B915" s="3"/>
      <c r="C915" s="3"/>
      <c r="D915" s="2"/>
      <c r="E915" s="4"/>
      <c r="N915" s="5"/>
      <c r="O915" s="5"/>
      <c r="Q915" s="4"/>
      <c r="T915" s="6"/>
      <c r="U915" s="5"/>
      <c r="V915" s="6"/>
      <c r="X915" s="6"/>
      <c r="AA915" s="6"/>
      <c r="AB915" s="4"/>
      <c r="AC915" s="6"/>
      <c r="AG915" s="4"/>
      <c r="AH915" s="4"/>
      <c r="AP915" s="5"/>
      <c r="AR915" s="5"/>
      <c r="AT915" s="6"/>
      <c r="BJ915" s="425"/>
      <c r="BL915" s="4"/>
      <c r="BT915" s="6"/>
    </row>
    <row r="916" spans="1:72">
      <c r="A916" s="3"/>
      <c r="B916" s="3"/>
      <c r="C916" s="3"/>
      <c r="D916" s="2"/>
      <c r="E916" s="4"/>
      <c r="N916" s="5"/>
      <c r="O916" s="5"/>
      <c r="Q916" s="4"/>
      <c r="T916" s="6"/>
      <c r="U916" s="5"/>
      <c r="V916" s="6"/>
      <c r="X916" s="6"/>
      <c r="AA916" s="6"/>
      <c r="AB916" s="4"/>
      <c r="AC916" s="6"/>
      <c r="AG916" s="4"/>
      <c r="AH916" s="4"/>
      <c r="AP916" s="5"/>
      <c r="AR916" s="5"/>
      <c r="AT916" s="6"/>
      <c r="BJ916" s="425"/>
      <c r="BL916" s="4"/>
      <c r="BT916" s="6"/>
    </row>
    <row r="917" spans="1:72">
      <c r="A917" s="3"/>
      <c r="B917" s="3"/>
      <c r="C917" s="3"/>
      <c r="D917" s="2"/>
      <c r="E917" s="4"/>
      <c r="N917" s="5"/>
      <c r="O917" s="5"/>
      <c r="Q917" s="4"/>
      <c r="T917" s="6"/>
      <c r="U917" s="5"/>
      <c r="V917" s="6"/>
      <c r="X917" s="6"/>
      <c r="AA917" s="6"/>
      <c r="AB917" s="4"/>
      <c r="AC917" s="6"/>
      <c r="AG917" s="4"/>
      <c r="AH917" s="4"/>
      <c r="AP917" s="5"/>
      <c r="AR917" s="5"/>
      <c r="AT917" s="6"/>
      <c r="BJ917" s="425"/>
      <c r="BL917" s="4"/>
      <c r="BT917" s="6"/>
    </row>
    <row r="918" spans="1:72">
      <c r="A918" s="3"/>
      <c r="B918" s="3"/>
      <c r="C918" s="3"/>
      <c r="D918" s="2"/>
      <c r="E918" s="4"/>
      <c r="N918" s="5"/>
      <c r="O918" s="5"/>
      <c r="Q918" s="4"/>
      <c r="T918" s="6"/>
      <c r="U918" s="5"/>
      <c r="V918" s="6"/>
      <c r="X918" s="6"/>
      <c r="AA918" s="6"/>
      <c r="AB918" s="4"/>
      <c r="AC918" s="6"/>
      <c r="AG918" s="4"/>
      <c r="AH918" s="4"/>
      <c r="AP918" s="5"/>
      <c r="AR918" s="5"/>
      <c r="AT918" s="6"/>
      <c r="BJ918" s="425"/>
      <c r="BL918" s="4"/>
      <c r="BT918" s="6"/>
    </row>
    <row r="919" spans="1:72">
      <c r="A919" s="3"/>
      <c r="B919" s="3"/>
      <c r="C919" s="3"/>
      <c r="D919" s="2"/>
      <c r="E919" s="4"/>
      <c r="N919" s="5"/>
      <c r="O919" s="5"/>
      <c r="Q919" s="4"/>
      <c r="T919" s="6"/>
      <c r="U919" s="5"/>
      <c r="V919" s="6"/>
      <c r="X919" s="6"/>
      <c r="AA919" s="6"/>
      <c r="AB919" s="4"/>
      <c r="AC919" s="6"/>
      <c r="AG919" s="4"/>
      <c r="AH919" s="4"/>
      <c r="AP919" s="5"/>
      <c r="AR919" s="5"/>
      <c r="AT919" s="6"/>
      <c r="BJ919" s="425"/>
      <c r="BL919" s="4"/>
      <c r="BT919" s="6"/>
    </row>
    <row r="920" spans="1:72">
      <c r="A920" s="3"/>
      <c r="B920" s="3"/>
      <c r="C920" s="3"/>
      <c r="D920" s="2"/>
      <c r="E920" s="4"/>
      <c r="N920" s="5"/>
      <c r="O920" s="5"/>
      <c r="Q920" s="4"/>
      <c r="T920" s="6"/>
      <c r="U920" s="5"/>
      <c r="V920" s="6"/>
      <c r="X920" s="6"/>
      <c r="AA920" s="6"/>
      <c r="AB920" s="4"/>
      <c r="AC920" s="6"/>
      <c r="AG920" s="4"/>
      <c r="AH920" s="4"/>
      <c r="AP920" s="5"/>
      <c r="AR920" s="5"/>
      <c r="AT920" s="6"/>
      <c r="BJ920" s="425"/>
      <c r="BL920" s="4"/>
      <c r="BT920" s="6"/>
    </row>
    <row r="921" spans="1:72">
      <c r="A921" s="3"/>
      <c r="B921" s="3"/>
      <c r="C921" s="3"/>
      <c r="D921" s="2"/>
      <c r="E921" s="4"/>
      <c r="N921" s="5"/>
      <c r="O921" s="5"/>
      <c r="Q921" s="4"/>
      <c r="T921" s="6"/>
      <c r="U921" s="5"/>
      <c r="V921" s="6"/>
      <c r="X921" s="6"/>
      <c r="AA921" s="6"/>
      <c r="AB921" s="4"/>
      <c r="AC921" s="6"/>
      <c r="AG921" s="4"/>
      <c r="AH921" s="4"/>
      <c r="AP921" s="5"/>
      <c r="AR921" s="5"/>
      <c r="AT921" s="6"/>
      <c r="BJ921" s="425"/>
      <c r="BL921" s="4"/>
      <c r="BT921" s="6"/>
    </row>
    <row r="922" spans="1:72">
      <c r="A922" s="3"/>
      <c r="B922" s="3"/>
      <c r="C922" s="3"/>
      <c r="D922" s="2"/>
      <c r="E922" s="4"/>
      <c r="N922" s="5"/>
      <c r="O922" s="5"/>
      <c r="Q922" s="4"/>
      <c r="T922" s="6"/>
      <c r="U922" s="5"/>
      <c r="V922" s="6"/>
      <c r="X922" s="6"/>
      <c r="AA922" s="6"/>
      <c r="AB922" s="4"/>
      <c r="AC922" s="6"/>
      <c r="AG922" s="4"/>
      <c r="AH922" s="4"/>
      <c r="AP922" s="5"/>
      <c r="AR922" s="5"/>
      <c r="AT922" s="6"/>
      <c r="BJ922" s="425"/>
      <c r="BL922" s="4"/>
      <c r="BT922" s="6"/>
    </row>
    <row r="923" spans="1:72">
      <c r="A923" s="3"/>
      <c r="B923" s="3"/>
      <c r="C923" s="3"/>
      <c r="D923" s="2"/>
      <c r="E923" s="4"/>
      <c r="N923" s="5"/>
      <c r="O923" s="5"/>
      <c r="Q923" s="4"/>
      <c r="T923" s="6"/>
      <c r="U923" s="5"/>
      <c r="V923" s="6"/>
      <c r="X923" s="6"/>
      <c r="AA923" s="6"/>
      <c r="AB923" s="4"/>
      <c r="AC923" s="6"/>
      <c r="AG923" s="4"/>
      <c r="AH923" s="4"/>
      <c r="AP923" s="5"/>
      <c r="AR923" s="5"/>
      <c r="AT923" s="6"/>
      <c r="BJ923" s="425"/>
      <c r="BL923" s="4"/>
      <c r="BT923" s="6"/>
    </row>
    <row r="924" spans="1:72">
      <c r="A924" s="3"/>
      <c r="B924" s="3"/>
      <c r="C924" s="3"/>
      <c r="D924" s="2"/>
      <c r="E924" s="4"/>
      <c r="N924" s="5"/>
      <c r="O924" s="5"/>
      <c r="Q924" s="4"/>
      <c r="T924" s="6"/>
      <c r="U924" s="5"/>
      <c r="V924" s="6"/>
      <c r="X924" s="6"/>
      <c r="AA924" s="6"/>
      <c r="AB924" s="4"/>
      <c r="AC924" s="6"/>
      <c r="AG924" s="4"/>
      <c r="AH924" s="4"/>
      <c r="AP924" s="5"/>
      <c r="AR924" s="5"/>
      <c r="AT924" s="6"/>
      <c r="BJ924" s="425"/>
      <c r="BL924" s="4"/>
      <c r="BT924" s="6"/>
    </row>
    <row r="925" spans="1:72">
      <c r="A925" s="3"/>
      <c r="B925" s="3"/>
      <c r="C925" s="3"/>
      <c r="D925" s="2"/>
      <c r="E925" s="4"/>
      <c r="N925" s="5"/>
      <c r="O925" s="5"/>
      <c r="Q925" s="4"/>
      <c r="T925" s="6"/>
      <c r="U925" s="5"/>
      <c r="V925" s="6"/>
      <c r="X925" s="6"/>
      <c r="AA925" s="6"/>
      <c r="AB925" s="4"/>
      <c r="AC925" s="6"/>
      <c r="AG925" s="4"/>
      <c r="AH925" s="4"/>
      <c r="AP925" s="5"/>
      <c r="AR925" s="5"/>
      <c r="AT925" s="6"/>
      <c r="BJ925" s="425"/>
      <c r="BL925" s="4"/>
      <c r="BT925" s="6"/>
    </row>
    <row r="926" spans="1:72">
      <c r="A926" s="3"/>
      <c r="B926" s="3"/>
      <c r="C926" s="3"/>
      <c r="D926" s="2"/>
      <c r="E926" s="4"/>
      <c r="N926" s="5"/>
      <c r="O926" s="5"/>
      <c r="Q926" s="4"/>
      <c r="T926" s="6"/>
      <c r="U926" s="5"/>
      <c r="V926" s="6"/>
      <c r="X926" s="6"/>
      <c r="AA926" s="6"/>
      <c r="AB926" s="4"/>
      <c r="AC926" s="6"/>
      <c r="AG926" s="4"/>
      <c r="AH926" s="4"/>
      <c r="AP926" s="5"/>
      <c r="AR926" s="5"/>
      <c r="AT926" s="6"/>
      <c r="BJ926" s="425"/>
      <c r="BL926" s="4"/>
      <c r="BT926" s="6"/>
    </row>
    <row r="927" spans="1:72">
      <c r="A927" s="3"/>
      <c r="B927" s="3"/>
      <c r="C927" s="3"/>
      <c r="D927" s="2"/>
      <c r="E927" s="4"/>
      <c r="N927" s="5"/>
      <c r="O927" s="5"/>
      <c r="Q927" s="4"/>
      <c r="T927" s="6"/>
      <c r="U927" s="5"/>
      <c r="V927" s="6"/>
      <c r="X927" s="6"/>
      <c r="AA927" s="6"/>
      <c r="AB927" s="4"/>
      <c r="AC927" s="6"/>
      <c r="AG927" s="4"/>
      <c r="AH927" s="4"/>
      <c r="AP927" s="5"/>
      <c r="AR927" s="5"/>
      <c r="AT927" s="6"/>
      <c r="BJ927" s="425"/>
      <c r="BL927" s="4"/>
      <c r="BT927" s="6"/>
    </row>
    <row r="928" spans="1:72">
      <c r="A928" s="3"/>
      <c r="B928" s="3"/>
      <c r="C928" s="3"/>
      <c r="D928" s="2"/>
      <c r="E928" s="4"/>
      <c r="N928" s="5"/>
      <c r="O928" s="5"/>
      <c r="Q928" s="4"/>
      <c r="T928" s="6"/>
      <c r="U928" s="5"/>
      <c r="V928" s="6"/>
      <c r="X928" s="6"/>
      <c r="AA928" s="6"/>
      <c r="AB928" s="4"/>
      <c r="AC928" s="6"/>
      <c r="AG928" s="4"/>
      <c r="AH928" s="4"/>
      <c r="AP928" s="5"/>
      <c r="AR928" s="5"/>
      <c r="AT928" s="6"/>
      <c r="BJ928" s="425"/>
      <c r="BL928" s="4"/>
      <c r="BT928" s="6"/>
    </row>
    <row r="929" spans="1:72">
      <c r="A929" s="3"/>
      <c r="B929" s="3"/>
      <c r="C929" s="3"/>
      <c r="D929" s="2"/>
      <c r="E929" s="4"/>
      <c r="N929" s="5"/>
      <c r="O929" s="5"/>
      <c r="Q929" s="4"/>
      <c r="T929" s="6"/>
      <c r="U929" s="5"/>
      <c r="V929" s="6"/>
      <c r="X929" s="6"/>
      <c r="AA929" s="6"/>
      <c r="AB929" s="4"/>
      <c r="AC929" s="6"/>
      <c r="AG929" s="4"/>
      <c r="AH929" s="4"/>
      <c r="AP929" s="5"/>
      <c r="AR929" s="5"/>
      <c r="AT929" s="6"/>
      <c r="BJ929" s="425"/>
      <c r="BL929" s="4"/>
      <c r="BT929" s="6"/>
    </row>
    <row r="930" spans="1:72">
      <c r="A930" s="3"/>
      <c r="B930" s="3"/>
      <c r="C930" s="3"/>
      <c r="D930" s="2"/>
      <c r="E930" s="4"/>
      <c r="N930" s="5"/>
      <c r="O930" s="5"/>
      <c r="Q930" s="4"/>
      <c r="T930" s="6"/>
      <c r="U930" s="5"/>
      <c r="V930" s="6"/>
      <c r="X930" s="6"/>
      <c r="AA930" s="6"/>
      <c r="AB930" s="4"/>
      <c r="AC930" s="6"/>
      <c r="AG930" s="4"/>
      <c r="AH930" s="4"/>
      <c r="AP930" s="5"/>
      <c r="AR930" s="5"/>
      <c r="AT930" s="6"/>
      <c r="BJ930" s="425"/>
      <c r="BL930" s="4"/>
      <c r="BT930" s="6"/>
    </row>
    <row r="931" spans="1:72">
      <c r="A931" s="3"/>
      <c r="B931" s="3"/>
      <c r="C931" s="3"/>
      <c r="D931" s="2"/>
      <c r="E931" s="4"/>
      <c r="N931" s="5"/>
      <c r="O931" s="5"/>
      <c r="Q931" s="4"/>
      <c r="T931" s="6"/>
      <c r="U931" s="5"/>
      <c r="V931" s="6"/>
      <c r="X931" s="6"/>
      <c r="AA931" s="6"/>
      <c r="AB931" s="4"/>
      <c r="AC931" s="6"/>
      <c r="AG931" s="4"/>
      <c r="AH931" s="4"/>
      <c r="AP931" s="5"/>
      <c r="AR931" s="5"/>
      <c r="AT931" s="6"/>
      <c r="BJ931" s="425"/>
      <c r="BL931" s="4"/>
      <c r="BT931" s="6"/>
    </row>
    <row r="932" spans="1:72">
      <c r="A932" s="3"/>
      <c r="B932" s="3"/>
      <c r="C932" s="3"/>
      <c r="D932" s="2"/>
      <c r="E932" s="4"/>
      <c r="N932" s="5"/>
      <c r="O932" s="5"/>
      <c r="Q932" s="4"/>
      <c r="T932" s="6"/>
      <c r="U932" s="5"/>
      <c r="V932" s="6"/>
      <c r="X932" s="6"/>
      <c r="AA932" s="6"/>
      <c r="AB932" s="4"/>
      <c r="AC932" s="6"/>
      <c r="AG932" s="4"/>
      <c r="AH932" s="4"/>
      <c r="AP932" s="5"/>
      <c r="AR932" s="5"/>
      <c r="AT932" s="6"/>
      <c r="BJ932" s="425"/>
      <c r="BL932" s="4"/>
      <c r="BT932" s="6"/>
    </row>
    <row r="933" spans="1:72">
      <c r="A933" s="3"/>
      <c r="B933" s="3"/>
      <c r="C933" s="3"/>
      <c r="D933" s="2"/>
      <c r="E933" s="4"/>
      <c r="N933" s="5"/>
      <c r="O933" s="5"/>
      <c r="Q933" s="4"/>
      <c r="T933" s="6"/>
      <c r="U933" s="5"/>
      <c r="V933" s="6"/>
      <c r="X933" s="6"/>
      <c r="AA933" s="6"/>
      <c r="AB933" s="4"/>
      <c r="AC933" s="6"/>
      <c r="AG933" s="4"/>
      <c r="AH933" s="4"/>
      <c r="AP933" s="5"/>
      <c r="AR933" s="5"/>
      <c r="AT933" s="6"/>
      <c r="BJ933" s="425"/>
      <c r="BL933" s="4"/>
      <c r="BT933" s="6"/>
    </row>
    <row r="934" spans="1:72">
      <c r="A934" s="3"/>
      <c r="B934" s="3"/>
      <c r="C934" s="3"/>
      <c r="D934" s="2"/>
      <c r="E934" s="4"/>
      <c r="N934" s="5"/>
      <c r="O934" s="5"/>
      <c r="Q934" s="4"/>
      <c r="T934" s="6"/>
      <c r="U934" s="5"/>
      <c r="V934" s="6"/>
      <c r="X934" s="6"/>
      <c r="AA934" s="6"/>
      <c r="AB934" s="4"/>
      <c r="AC934" s="6"/>
      <c r="AG934" s="4"/>
      <c r="AH934" s="4"/>
      <c r="AP934" s="5"/>
      <c r="AR934" s="5"/>
      <c r="AT934" s="6"/>
      <c r="BJ934" s="425"/>
      <c r="BL934" s="4"/>
      <c r="BT934" s="6"/>
    </row>
    <row r="935" spans="1:72">
      <c r="A935" s="3"/>
      <c r="B935" s="3"/>
      <c r="C935" s="3"/>
      <c r="D935" s="2"/>
      <c r="E935" s="4"/>
      <c r="N935" s="5"/>
      <c r="O935" s="5"/>
      <c r="Q935" s="4"/>
      <c r="T935" s="6"/>
      <c r="U935" s="5"/>
      <c r="V935" s="6"/>
      <c r="X935" s="6"/>
      <c r="AA935" s="6"/>
      <c r="AB935" s="4"/>
      <c r="AC935" s="6"/>
      <c r="AG935" s="4"/>
      <c r="AH935" s="4"/>
      <c r="AP935" s="5"/>
      <c r="AR935" s="5"/>
      <c r="AT935" s="6"/>
      <c r="BJ935" s="425"/>
      <c r="BL935" s="4"/>
      <c r="BT935" s="6"/>
    </row>
    <row r="936" spans="1:72">
      <c r="A936" s="3"/>
      <c r="B936" s="3"/>
      <c r="C936" s="3"/>
      <c r="D936" s="2"/>
      <c r="E936" s="4"/>
      <c r="N936" s="5"/>
      <c r="O936" s="5"/>
      <c r="Q936" s="4"/>
      <c r="T936" s="6"/>
      <c r="U936" s="5"/>
      <c r="V936" s="6"/>
      <c r="X936" s="6"/>
      <c r="AA936" s="6"/>
      <c r="AB936" s="4"/>
      <c r="AC936" s="6"/>
      <c r="AG936" s="4"/>
      <c r="AH936" s="4"/>
      <c r="AP936" s="5"/>
      <c r="AR936" s="5"/>
      <c r="AT936" s="6"/>
      <c r="BJ936" s="425"/>
      <c r="BL936" s="4"/>
      <c r="BT936" s="6"/>
    </row>
    <row r="937" spans="1:72">
      <c r="A937" s="3"/>
      <c r="B937" s="3"/>
      <c r="C937" s="3"/>
      <c r="D937" s="2"/>
      <c r="E937" s="4"/>
      <c r="N937" s="5"/>
      <c r="O937" s="5"/>
      <c r="Q937" s="4"/>
      <c r="T937" s="6"/>
      <c r="U937" s="5"/>
      <c r="V937" s="6"/>
      <c r="X937" s="6"/>
      <c r="AA937" s="6"/>
      <c r="AB937" s="4"/>
      <c r="AC937" s="6"/>
      <c r="AG937" s="4"/>
      <c r="AH937" s="4"/>
      <c r="AP937" s="5"/>
      <c r="AR937" s="5"/>
      <c r="AT937" s="6"/>
      <c r="BJ937" s="425"/>
      <c r="BL937" s="4"/>
      <c r="BT937" s="6"/>
    </row>
    <row r="938" spans="1:72">
      <c r="A938" s="3"/>
      <c r="B938" s="3"/>
      <c r="C938" s="3"/>
      <c r="D938" s="2"/>
      <c r="E938" s="4"/>
      <c r="N938" s="5"/>
      <c r="O938" s="5"/>
      <c r="Q938" s="4"/>
      <c r="T938" s="6"/>
      <c r="U938" s="5"/>
      <c r="V938" s="6"/>
      <c r="X938" s="6"/>
      <c r="AA938" s="6"/>
      <c r="AB938" s="4"/>
      <c r="AC938" s="6"/>
      <c r="AG938" s="4"/>
      <c r="AH938" s="4"/>
      <c r="AP938" s="5"/>
      <c r="AR938" s="5"/>
      <c r="AT938" s="6"/>
      <c r="BJ938" s="425"/>
      <c r="BL938" s="4"/>
      <c r="BT938" s="6"/>
    </row>
    <row r="939" spans="1:72">
      <c r="A939" s="3"/>
      <c r="B939" s="3"/>
      <c r="C939" s="3"/>
      <c r="D939" s="2"/>
      <c r="E939" s="4"/>
      <c r="N939" s="5"/>
      <c r="O939" s="5"/>
      <c r="Q939" s="4"/>
      <c r="T939" s="6"/>
      <c r="U939" s="5"/>
      <c r="V939" s="6"/>
      <c r="X939" s="6"/>
      <c r="AA939" s="6"/>
      <c r="AB939" s="4"/>
      <c r="AC939" s="6"/>
      <c r="AG939" s="4"/>
      <c r="AH939" s="4"/>
      <c r="AP939" s="5"/>
      <c r="AR939" s="5"/>
      <c r="AT939" s="6"/>
      <c r="BJ939" s="425"/>
      <c r="BL939" s="4"/>
      <c r="BT939" s="6"/>
    </row>
    <row r="940" spans="1:72">
      <c r="A940" s="3"/>
      <c r="B940" s="3"/>
      <c r="C940" s="3"/>
      <c r="D940" s="2"/>
      <c r="E940" s="4"/>
      <c r="N940" s="5"/>
      <c r="O940" s="5"/>
      <c r="Q940" s="4"/>
      <c r="T940" s="6"/>
      <c r="U940" s="5"/>
      <c r="V940" s="6"/>
      <c r="X940" s="6"/>
      <c r="AA940" s="6"/>
      <c r="AB940" s="4"/>
      <c r="AC940" s="6"/>
      <c r="AG940" s="4"/>
      <c r="AH940" s="4"/>
      <c r="AP940" s="5"/>
      <c r="AR940" s="5"/>
      <c r="AT940" s="6"/>
      <c r="BJ940" s="425"/>
      <c r="BL940" s="4"/>
      <c r="BT940" s="6"/>
    </row>
    <row r="941" spans="1:72">
      <c r="A941" s="3"/>
      <c r="B941" s="3"/>
      <c r="C941" s="3"/>
      <c r="D941" s="2"/>
      <c r="E941" s="4"/>
      <c r="N941" s="5"/>
      <c r="O941" s="5"/>
      <c r="Q941" s="4"/>
      <c r="T941" s="6"/>
      <c r="U941" s="5"/>
      <c r="V941" s="6"/>
      <c r="X941" s="6"/>
      <c r="AA941" s="6"/>
      <c r="AB941" s="4"/>
      <c r="AC941" s="6"/>
      <c r="AG941" s="4"/>
      <c r="AH941" s="4"/>
      <c r="AP941" s="5"/>
      <c r="AR941" s="5"/>
      <c r="AT941" s="6"/>
      <c r="BJ941" s="425"/>
      <c r="BL941" s="4"/>
      <c r="BT941" s="6"/>
    </row>
    <row r="942" spans="1:72">
      <c r="A942" s="3"/>
      <c r="B942" s="3"/>
      <c r="C942" s="3"/>
      <c r="D942" s="2"/>
      <c r="E942" s="4"/>
      <c r="N942" s="5"/>
      <c r="O942" s="5"/>
      <c r="Q942" s="4"/>
      <c r="T942" s="6"/>
      <c r="U942" s="5"/>
      <c r="V942" s="6"/>
      <c r="X942" s="6"/>
      <c r="AA942" s="6"/>
      <c r="AB942" s="4"/>
      <c r="AC942" s="6"/>
      <c r="AG942" s="4"/>
      <c r="AH942" s="4"/>
      <c r="AP942" s="5"/>
      <c r="AR942" s="5"/>
      <c r="AT942" s="6"/>
      <c r="BJ942" s="425"/>
      <c r="BL942" s="4"/>
      <c r="BT942" s="6"/>
    </row>
    <row r="943" spans="1:72">
      <c r="A943" s="3"/>
      <c r="B943" s="3"/>
      <c r="C943" s="3"/>
      <c r="D943" s="2"/>
      <c r="E943" s="4"/>
      <c r="N943" s="5"/>
      <c r="O943" s="5"/>
      <c r="Q943" s="4"/>
      <c r="T943" s="6"/>
      <c r="U943" s="5"/>
      <c r="V943" s="6"/>
      <c r="X943" s="6"/>
      <c r="AA943" s="6"/>
      <c r="AB943" s="4"/>
      <c r="AC943" s="6"/>
      <c r="AG943" s="4"/>
      <c r="AH943" s="4"/>
      <c r="AP943" s="5"/>
      <c r="AR943" s="5"/>
      <c r="AT943" s="6"/>
      <c r="BJ943" s="425"/>
      <c r="BL943" s="4"/>
      <c r="BT943" s="6"/>
    </row>
    <row r="944" spans="1:72">
      <c r="A944" s="3"/>
      <c r="B944" s="3"/>
      <c r="C944" s="3"/>
      <c r="D944" s="2"/>
      <c r="E944" s="4"/>
      <c r="N944" s="5"/>
      <c r="O944" s="5"/>
      <c r="Q944" s="4"/>
      <c r="T944" s="6"/>
      <c r="U944" s="5"/>
      <c r="V944" s="6"/>
      <c r="X944" s="6"/>
      <c r="AA944" s="6"/>
      <c r="AB944" s="4"/>
      <c r="AC944" s="6"/>
      <c r="AG944" s="4"/>
      <c r="AH944" s="4"/>
      <c r="AP944" s="5"/>
      <c r="AR944" s="5"/>
      <c r="AT944" s="6"/>
      <c r="BJ944" s="425"/>
      <c r="BL944" s="4"/>
      <c r="BT944" s="6"/>
    </row>
    <row r="945" spans="1:72">
      <c r="A945" s="3"/>
      <c r="B945" s="3"/>
      <c r="C945" s="3"/>
      <c r="D945" s="2"/>
      <c r="E945" s="4"/>
      <c r="N945" s="5"/>
      <c r="O945" s="5"/>
      <c r="Q945" s="4"/>
      <c r="T945" s="6"/>
      <c r="U945" s="5"/>
      <c r="V945" s="6"/>
      <c r="X945" s="6"/>
      <c r="AA945" s="6"/>
      <c r="AB945" s="4"/>
      <c r="AC945" s="6"/>
      <c r="AG945" s="4"/>
      <c r="AH945" s="4"/>
      <c r="AP945" s="5"/>
      <c r="AR945" s="5"/>
      <c r="AT945" s="6"/>
      <c r="BJ945" s="425"/>
      <c r="BL945" s="4"/>
      <c r="BT945" s="6"/>
    </row>
    <row r="946" spans="1:72">
      <c r="A946" s="3"/>
      <c r="B946" s="3"/>
      <c r="C946" s="3"/>
      <c r="D946" s="2"/>
      <c r="E946" s="4"/>
      <c r="N946" s="5"/>
      <c r="O946" s="5"/>
      <c r="Q946" s="4"/>
      <c r="T946" s="6"/>
      <c r="U946" s="5"/>
      <c r="V946" s="6"/>
      <c r="X946" s="6"/>
      <c r="AA946" s="6"/>
      <c r="AB946" s="4"/>
      <c r="AC946" s="6"/>
      <c r="AG946" s="4"/>
      <c r="AH946" s="4"/>
      <c r="AP946" s="5"/>
      <c r="AR946" s="5"/>
      <c r="AT946" s="6"/>
      <c r="BJ946" s="425"/>
      <c r="BL946" s="4"/>
      <c r="BT946" s="6"/>
    </row>
    <row r="947" spans="1:72">
      <c r="A947" s="3"/>
      <c r="B947" s="3"/>
      <c r="C947" s="3"/>
      <c r="D947" s="2"/>
      <c r="E947" s="4"/>
      <c r="N947" s="5"/>
      <c r="O947" s="5"/>
      <c r="Q947" s="4"/>
      <c r="T947" s="6"/>
      <c r="U947" s="5"/>
      <c r="V947" s="6"/>
      <c r="X947" s="6"/>
      <c r="AA947" s="6"/>
      <c r="AB947" s="4"/>
      <c r="AC947" s="6"/>
      <c r="AG947" s="4"/>
      <c r="AH947" s="4"/>
      <c r="AP947" s="5"/>
      <c r="AR947" s="5"/>
      <c r="AT947" s="6"/>
      <c r="BJ947" s="425"/>
      <c r="BL947" s="4"/>
      <c r="BT947" s="6"/>
    </row>
    <row r="948" spans="1:72">
      <c r="A948" s="3"/>
      <c r="B948" s="3"/>
      <c r="C948" s="3"/>
      <c r="D948" s="2"/>
      <c r="E948" s="4"/>
      <c r="N948" s="5"/>
      <c r="O948" s="5"/>
      <c r="Q948" s="4"/>
      <c r="T948" s="6"/>
      <c r="U948" s="5"/>
      <c r="V948" s="6"/>
      <c r="X948" s="6"/>
      <c r="AA948" s="6"/>
      <c r="AB948" s="4"/>
      <c r="AC948" s="6"/>
      <c r="AG948" s="4"/>
      <c r="AH948" s="4"/>
      <c r="AP948" s="5"/>
      <c r="AR948" s="5"/>
      <c r="AT948" s="6"/>
      <c r="BJ948" s="425"/>
      <c r="BL948" s="4"/>
      <c r="BT948" s="6"/>
    </row>
    <row r="949" spans="1:72">
      <c r="A949" s="3"/>
      <c r="B949" s="3"/>
      <c r="C949" s="3"/>
      <c r="D949" s="2"/>
      <c r="E949" s="4"/>
      <c r="N949" s="5"/>
      <c r="O949" s="5"/>
      <c r="Q949" s="4"/>
      <c r="T949" s="6"/>
      <c r="U949" s="5"/>
      <c r="V949" s="6"/>
      <c r="X949" s="6"/>
      <c r="AA949" s="6"/>
      <c r="AB949" s="4"/>
      <c r="AC949" s="6"/>
      <c r="AG949" s="4"/>
      <c r="AH949" s="4"/>
      <c r="AP949" s="5"/>
      <c r="AR949" s="5"/>
      <c r="AT949" s="6"/>
      <c r="BJ949" s="425"/>
      <c r="BL949" s="4"/>
      <c r="BT949" s="6"/>
    </row>
    <row r="950" spans="1:72">
      <c r="A950" s="3"/>
      <c r="B950" s="3"/>
      <c r="C950" s="3"/>
      <c r="D950" s="2"/>
      <c r="E950" s="4"/>
      <c r="N950" s="5"/>
      <c r="O950" s="5"/>
      <c r="Q950" s="4"/>
      <c r="T950" s="6"/>
      <c r="U950" s="5"/>
      <c r="V950" s="6"/>
      <c r="X950" s="6"/>
      <c r="AA950" s="6"/>
      <c r="AB950" s="4"/>
      <c r="AC950" s="6"/>
      <c r="AG950" s="4"/>
      <c r="AH950" s="4"/>
      <c r="AP950" s="5"/>
      <c r="AR950" s="5"/>
      <c r="AT950" s="6"/>
      <c r="BJ950" s="425"/>
      <c r="BL950" s="4"/>
      <c r="BT950" s="6"/>
    </row>
    <row r="951" spans="1:72">
      <c r="A951" s="3"/>
      <c r="B951" s="3"/>
      <c r="C951" s="3"/>
      <c r="D951" s="2"/>
      <c r="E951" s="4"/>
      <c r="N951" s="5"/>
      <c r="O951" s="5"/>
      <c r="Q951" s="4"/>
      <c r="T951" s="6"/>
      <c r="U951" s="5"/>
      <c r="V951" s="6"/>
      <c r="X951" s="6"/>
      <c r="AA951" s="6"/>
      <c r="AB951" s="4"/>
      <c r="AC951" s="6"/>
      <c r="AG951" s="4"/>
      <c r="AH951" s="4"/>
      <c r="AP951" s="5"/>
      <c r="AR951" s="5"/>
      <c r="AT951" s="6"/>
      <c r="BJ951" s="425"/>
      <c r="BL951" s="4"/>
      <c r="BT951" s="6"/>
    </row>
    <row r="952" spans="1:72">
      <c r="A952" s="3"/>
      <c r="B952" s="3"/>
      <c r="C952" s="3"/>
      <c r="D952" s="2"/>
      <c r="E952" s="4"/>
      <c r="N952" s="5"/>
      <c r="O952" s="5"/>
      <c r="Q952" s="4"/>
      <c r="T952" s="6"/>
      <c r="U952" s="5"/>
      <c r="V952" s="6"/>
      <c r="X952" s="6"/>
      <c r="AA952" s="6"/>
      <c r="AB952" s="4"/>
      <c r="AC952" s="6"/>
      <c r="AG952" s="4"/>
      <c r="AH952" s="4"/>
      <c r="AP952" s="5"/>
      <c r="AR952" s="5"/>
      <c r="AT952" s="6"/>
      <c r="BJ952" s="425"/>
      <c r="BL952" s="4"/>
      <c r="BT952" s="6"/>
    </row>
    <row r="953" spans="1:72">
      <c r="A953" s="3"/>
      <c r="B953" s="3"/>
      <c r="C953" s="3"/>
      <c r="D953" s="2"/>
      <c r="E953" s="4"/>
      <c r="N953" s="5"/>
      <c r="O953" s="5"/>
      <c r="Q953" s="4"/>
      <c r="T953" s="6"/>
      <c r="U953" s="5"/>
      <c r="V953" s="6"/>
      <c r="X953" s="6"/>
      <c r="AA953" s="6"/>
      <c r="AB953" s="4"/>
      <c r="AC953" s="6"/>
      <c r="AG953" s="4"/>
      <c r="AH953" s="4"/>
      <c r="AP953" s="5"/>
      <c r="AR953" s="5"/>
      <c r="AT953" s="6"/>
      <c r="BJ953" s="425"/>
      <c r="BL953" s="4"/>
      <c r="BT953" s="6"/>
    </row>
    <row r="954" spans="1:72">
      <c r="A954" s="3"/>
      <c r="B954" s="3"/>
      <c r="C954" s="3"/>
      <c r="D954" s="2"/>
      <c r="E954" s="4"/>
      <c r="N954" s="5"/>
      <c r="O954" s="5"/>
      <c r="Q954" s="4"/>
      <c r="T954" s="6"/>
      <c r="U954" s="5"/>
      <c r="V954" s="6"/>
      <c r="X954" s="6"/>
      <c r="AA954" s="6"/>
      <c r="AB954" s="4"/>
      <c r="AC954" s="6"/>
      <c r="AG954" s="4"/>
      <c r="AH954" s="4"/>
      <c r="AP954" s="5"/>
      <c r="AR954" s="5"/>
      <c r="AT954" s="6"/>
      <c r="BJ954" s="425"/>
      <c r="BL954" s="4"/>
      <c r="BT954" s="6"/>
    </row>
    <row r="955" spans="1:72">
      <c r="A955" s="3"/>
      <c r="B955" s="3"/>
      <c r="C955" s="3"/>
      <c r="D955" s="2"/>
      <c r="E955" s="4"/>
      <c r="N955" s="5"/>
      <c r="O955" s="5"/>
      <c r="Q955" s="4"/>
      <c r="T955" s="6"/>
      <c r="U955" s="5"/>
      <c r="V955" s="6"/>
      <c r="X955" s="6"/>
      <c r="AA955" s="6"/>
      <c r="AB955" s="4"/>
      <c r="AC955" s="6"/>
      <c r="AG955" s="4"/>
      <c r="AH955" s="4"/>
      <c r="AP955" s="5"/>
      <c r="AR955" s="5"/>
      <c r="AT955" s="6"/>
      <c r="BJ955" s="425"/>
      <c r="BL955" s="4"/>
      <c r="BT955" s="6"/>
    </row>
    <row r="956" spans="1:72">
      <c r="A956" s="3"/>
      <c r="B956" s="3"/>
      <c r="C956" s="3"/>
      <c r="D956" s="2"/>
      <c r="E956" s="4"/>
      <c r="N956" s="5"/>
      <c r="O956" s="5"/>
      <c r="Q956" s="4"/>
      <c r="T956" s="6"/>
      <c r="U956" s="5"/>
      <c r="V956" s="6"/>
      <c r="X956" s="6"/>
      <c r="AA956" s="6"/>
      <c r="AB956" s="4"/>
      <c r="AC956" s="6"/>
      <c r="AG956" s="4"/>
      <c r="AH956" s="4"/>
      <c r="AP956" s="5"/>
      <c r="AR956" s="5"/>
      <c r="AT956" s="6"/>
      <c r="BJ956" s="425"/>
      <c r="BL956" s="4"/>
      <c r="BT956" s="6"/>
    </row>
    <row r="957" spans="1:72">
      <c r="A957" s="3"/>
      <c r="B957" s="3"/>
      <c r="C957" s="3"/>
      <c r="D957" s="2"/>
      <c r="E957" s="4"/>
      <c r="N957" s="5"/>
      <c r="O957" s="5"/>
      <c r="Q957" s="4"/>
      <c r="T957" s="6"/>
      <c r="U957" s="5"/>
      <c r="V957" s="6"/>
      <c r="X957" s="6"/>
      <c r="AA957" s="6"/>
      <c r="AB957" s="4"/>
      <c r="AC957" s="6"/>
      <c r="AG957" s="4"/>
      <c r="AH957" s="4"/>
      <c r="AP957" s="5"/>
      <c r="AR957" s="5"/>
      <c r="AT957" s="6"/>
      <c r="BJ957" s="425"/>
      <c r="BL957" s="4"/>
      <c r="BT957" s="6"/>
    </row>
    <row r="958" spans="1:72">
      <c r="A958" s="3"/>
      <c r="B958" s="3"/>
      <c r="C958" s="3"/>
      <c r="D958" s="2"/>
      <c r="E958" s="4"/>
      <c r="N958" s="5"/>
      <c r="O958" s="5"/>
      <c r="Q958" s="4"/>
      <c r="T958" s="6"/>
      <c r="U958" s="5"/>
      <c r="V958" s="6"/>
      <c r="X958" s="6"/>
      <c r="AA958" s="6"/>
      <c r="AB958" s="4"/>
      <c r="AC958" s="6"/>
      <c r="AG958" s="4"/>
      <c r="AH958" s="4"/>
      <c r="AP958" s="5"/>
      <c r="AR958" s="5"/>
      <c r="AT958" s="6"/>
      <c r="BJ958" s="425"/>
      <c r="BL958" s="4"/>
      <c r="BT958" s="6"/>
    </row>
    <row r="959" spans="1:72">
      <c r="A959" s="3"/>
      <c r="B959" s="3"/>
      <c r="C959" s="3"/>
      <c r="D959" s="2"/>
      <c r="E959" s="4"/>
      <c r="N959" s="5"/>
      <c r="O959" s="5"/>
      <c r="Q959" s="4"/>
      <c r="T959" s="6"/>
      <c r="U959" s="5"/>
      <c r="V959" s="6"/>
      <c r="X959" s="6"/>
      <c r="AA959" s="6"/>
      <c r="AB959" s="4"/>
      <c r="AC959" s="6"/>
      <c r="AG959" s="4"/>
      <c r="AH959" s="4"/>
      <c r="AP959" s="5"/>
      <c r="AR959" s="5"/>
      <c r="AT959" s="6"/>
      <c r="BJ959" s="425"/>
      <c r="BL959" s="4"/>
      <c r="BT959" s="6"/>
    </row>
    <row r="960" spans="1:72">
      <c r="A960" s="3"/>
      <c r="B960" s="3"/>
      <c r="C960" s="3"/>
      <c r="D960" s="2"/>
      <c r="E960" s="4"/>
      <c r="N960" s="5"/>
      <c r="O960" s="5"/>
      <c r="Q960" s="4"/>
      <c r="T960" s="6"/>
      <c r="U960" s="5"/>
      <c r="V960" s="6"/>
      <c r="X960" s="6"/>
      <c r="AA960" s="6"/>
      <c r="AB960" s="4"/>
      <c r="AC960" s="6"/>
      <c r="AG960" s="4"/>
      <c r="AH960" s="4"/>
      <c r="AP960" s="5"/>
      <c r="AR960" s="5"/>
      <c r="AT960" s="6"/>
      <c r="BJ960" s="425"/>
      <c r="BL960" s="4"/>
      <c r="BT960" s="6"/>
    </row>
    <row r="961" spans="1:72">
      <c r="A961" s="3"/>
      <c r="B961" s="3"/>
      <c r="C961" s="3"/>
      <c r="D961" s="2"/>
      <c r="E961" s="4"/>
      <c r="N961" s="5"/>
      <c r="O961" s="5"/>
      <c r="Q961" s="4"/>
      <c r="T961" s="6"/>
      <c r="U961" s="5"/>
      <c r="V961" s="6"/>
      <c r="X961" s="6"/>
      <c r="AA961" s="6"/>
      <c r="AB961" s="4"/>
      <c r="AC961" s="6"/>
      <c r="AG961" s="4"/>
      <c r="AH961" s="4"/>
      <c r="AP961" s="5"/>
      <c r="AR961" s="5"/>
      <c r="AT961" s="6"/>
      <c r="BJ961" s="425"/>
      <c r="BL961" s="4"/>
      <c r="BT961" s="6"/>
    </row>
    <row r="962" spans="1:72">
      <c r="A962" s="3"/>
      <c r="B962" s="3"/>
      <c r="C962" s="3"/>
      <c r="D962" s="2"/>
      <c r="E962" s="4"/>
      <c r="N962" s="5"/>
      <c r="O962" s="5"/>
      <c r="Q962" s="4"/>
      <c r="T962" s="6"/>
      <c r="U962" s="5"/>
      <c r="V962" s="6"/>
      <c r="X962" s="6"/>
      <c r="AA962" s="6"/>
      <c r="AB962" s="4"/>
      <c r="AC962" s="6"/>
      <c r="AG962" s="4"/>
      <c r="AH962" s="4"/>
      <c r="AP962" s="5"/>
      <c r="AR962" s="5"/>
      <c r="AT962" s="6"/>
      <c r="BJ962" s="425"/>
      <c r="BL962" s="4"/>
      <c r="BT962" s="6"/>
    </row>
    <row r="963" spans="1:72">
      <c r="A963" s="3"/>
      <c r="B963" s="3"/>
      <c r="C963" s="3"/>
      <c r="D963" s="2"/>
      <c r="E963" s="4"/>
      <c r="N963" s="5"/>
      <c r="O963" s="5"/>
      <c r="Q963" s="4"/>
      <c r="T963" s="6"/>
      <c r="U963" s="5"/>
      <c r="V963" s="6"/>
      <c r="X963" s="6"/>
      <c r="AA963" s="6"/>
      <c r="AB963" s="4"/>
      <c r="AC963" s="6"/>
      <c r="AG963" s="4"/>
      <c r="AH963" s="4"/>
      <c r="AP963" s="5"/>
      <c r="AR963" s="5"/>
      <c r="AT963" s="6"/>
      <c r="BJ963" s="425"/>
      <c r="BL963" s="4"/>
      <c r="BT963" s="6"/>
    </row>
    <row r="964" spans="1:72">
      <c r="A964" s="3"/>
      <c r="B964" s="3"/>
      <c r="C964" s="3"/>
      <c r="D964" s="2"/>
      <c r="E964" s="4"/>
      <c r="N964" s="5"/>
      <c r="O964" s="5"/>
      <c r="Q964" s="4"/>
      <c r="T964" s="6"/>
      <c r="U964" s="5"/>
      <c r="V964" s="6"/>
      <c r="X964" s="6"/>
      <c r="AA964" s="6"/>
      <c r="AB964" s="4"/>
      <c r="AC964" s="6"/>
      <c r="AG964" s="4"/>
      <c r="AH964" s="4"/>
      <c r="AP964" s="5"/>
      <c r="AR964" s="5"/>
      <c r="AT964" s="6"/>
      <c r="BJ964" s="425"/>
      <c r="BL964" s="4"/>
      <c r="BT964" s="6"/>
    </row>
    <row r="965" spans="1:72">
      <c r="A965" s="3"/>
      <c r="B965" s="3"/>
      <c r="C965" s="3"/>
      <c r="D965" s="2"/>
      <c r="E965" s="4"/>
      <c r="N965" s="5"/>
      <c r="O965" s="5"/>
      <c r="Q965" s="4"/>
      <c r="T965" s="6"/>
      <c r="U965" s="5"/>
      <c r="V965" s="6"/>
      <c r="X965" s="6"/>
      <c r="AA965" s="6"/>
      <c r="AB965" s="4"/>
      <c r="AC965" s="6"/>
      <c r="AG965" s="4"/>
      <c r="AH965" s="4"/>
      <c r="AP965" s="5"/>
      <c r="AR965" s="5"/>
      <c r="AT965" s="6"/>
      <c r="BJ965" s="425"/>
      <c r="BL965" s="4"/>
      <c r="BT965" s="6"/>
    </row>
    <row r="966" spans="1:72">
      <c r="A966" s="3"/>
      <c r="B966" s="3"/>
      <c r="C966" s="3"/>
      <c r="D966" s="2"/>
      <c r="E966" s="4"/>
      <c r="N966" s="5"/>
      <c r="O966" s="5"/>
      <c r="Q966" s="4"/>
      <c r="T966" s="6"/>
      <c r="U966" s="5"/>
      <c r="V966" s="6"/>
      <c r="X966" s="6"/>
      <c r="AA966" s="6"/>
      <c r="AB966" s="4"/>
      <c r="AC966" s="6"/>
      <c r="AG966" s="4"/>
      <c r="AH966" s="4"/>
      <c r="AP966" s="5"/>
      <c r="AR966" s="5"/>
      <c r="AT966" s="6"/>
      <c r="BJ966" s="425"/>
      <c r="BL966" s="4"/>
      <c r="BT966" s="6"/>
    </row>
    <row r="967" spans="1:72">
      <c r="A967" s="3"/>
      <c r="B967" s="3"/>
      <c r="C967" s="3"/>
      <c r="D967" s="2"/>
      <c r="E967" s="4"/>
      <c r="N967" s="5"/>
      <c r="O967" s="5"/>
      <c r="Q967" s="4"/>
      <c r="T967" s="6"/>
      <c r="U967" s="5"/>
      <c r="V967" s="6"/>
      <c r="X967" s="6"/>
      <c r="AA967" s="6"/>
      <c r="AB967" s="4"/>
      <c r="AC967" s="6"/>
      <c r="AG967" s="4"/>
      <c r="AH967" s="4"/>
      <c r="AP967" s="5"/>
      <c r="AR967" s="5"/>
      <c r="AT967" s="6"/>
      <c r="BJ967" s="425"/>
      <c r="BL967" s="4"/>
      <c r="BT967" s="6"/>
    </row>
    <row r="968" spans="1:72">
      <c r="A968" s="3"/>
      <c r="B968" s="3"/>
      <c r="C968" s="3"/>
      <c r="D968" s="2"/>
      <c r="E968" s="4"/>
      <c r="N968" s="5"/>
      <c r="O968" s="5"/>
      <c r="Q968" s="4"/>
      <c r="T968" s="6"/>
      <c r="U968" s="5"/>
      <c r="V968" s="6"/>
      <c r="X968" s="6"/>
      <c r="AA968" s="6"/>
      <c r="AB968" s="4"/>
      <c r="AC968" s="6"/>
      <c r="AG968" s="4"/>
      <c r="AH968" s="4"/>
      <c r="AP968" s="5"/>
      <c r="AR968" s="5"/>
      <c r="AT968" s="6"/>
      <c r="BJ968" s="425"/>
      <c r="BL968" s="4"/>
      <c r="BT968" s="6"/>
    </row>
    <row r="969" spans="1:72">
      <c r="A969" s="3"/>
      <c r="B969" s="3"/>
      <c r="C969" s="3"/>
      <c r="D969" s="2"/>
      <c r="E969" s="4"/>
      <c r="N969" s="5"/>
      <c r="O969" s="5"/>
      <c r="Q969" s="4"/>
      <c r="T969" s="6"/>
      <c r="U969" s="5"/>
      <c r="V969" s="6"/>
      <c r="X969" s="6"/>
      <c r="AA969" s="6"/>
      <c r="AB969" s="4"/>
      <c r="AC969" s="6"/>
      <c r="AG969" s="4"/>
      <c r="AH969" s="4"/>
      <c r="AP969" s="5"/>
      <c r="AR969" s="5"/>
      <c r="AT969" s="6"/>
      <c r="BJ969" s="425"/>
      <c r="BL969" s="4"/>
      <c r="BT969" s="6"/>
    </row>
    <row r="970" spans="1:72">
      <c r="A970" s="3"/>
      <c r="B970" s="3"/>
      <c r="C970" s="3"/>
      <c r="D970" s="2"/>
      <c r="E970" s="4"/>
      <c r="N970" s="5"/>
      <c r="O970" s="5"/>
      <c r="Q970" s="4"/>
      <c r="T970" s="6"/>
      <c r="U970" s="5"/>
      <c r="V970" s="6"/>
      <c r="X970" s="6"/>
      <c r="AA970" s="6"/>
      <c r="AB970" s="4"/>
      <c r="AC970" s="6"/>
      <c r="AG970" s="4"/>
      <c r="AH970" s="4"/>
      <c r="AP970" s="5"/>
      <c r="AR970" s="5"/>
      <c r="AT970" s="6"/>
      <c r="BJ970" s="425"/>
      <c r="BL970" s="4"/>
      <c r="BT970" s="6"/>
    </row>
    <row r="971" spans="1:72">
      <c r="A971" s="3"/>
      <c r="B971" s="3"/>
      <c r="C971" s="3"/>
      <c r="D971" s="2"/>
      <c r="E971" s="4"/>
      <c r="N971" s="5"/>
      <c r="O971" s="5"/>
      <c r="Q971" s="4"/>
      <c r="T971" s="6"/>
      <c r="U971" s="5"/>
      <c r="V971" s="6"/>
      <c r="X971" s="6"/>
      <c r="AA971" s="6"/>
      <c r="AB971" s="4"/>
      <c r="AC971" s="6"/>
      <c r="AG971" s="4"/>
      <c r="AH971" s="4"/>
      <c r="AP971" s="5"/>
      <c r="AR971" s="5"/>
      <c r="AT971" s="6"/>
      <c r="BJ971" s="425"/>
      <c r="BL971" s="4"/>
      <c r="BT971" s="6"/>
    </row>
    <row r="972" spans="1:72">
      <c r="A972" s="3"/>
      <c r="B972" s="3"/>
      <c r="C972" s="3"/>
      <c r="D972" s="2"/>
      <c r="E972" s="4"/>
      <c r="N972" s="5"/>
      <c r="O972" s="5"/>
      <c r="Q972" s="4"/>
      <c r="T972" s="6"/>
      <c r="U972" s="5"/>
      <c r="V972" s="6"/>
      <c r="X972" s="6"/>
      <c r="AA972" s="6"/>
      <c r="AB972" s="4"/>
      <c r="AC972" s="6"/>
      <c r="AG972" s="4"/>
      <c r="AH972" s="4"/>
      <c r="AP972" s="5"/>
      <c r="AR972" s="5"/>
      <c r="AT972" s="6"/>
      <c r="BJ972" s="425"/>
      <c r="BL972" s="4"/>
      <c r="BT972" s="6"/>
    </row>
    <row r="973" spans="1:72">
      <c r="A973" s="3"/>
      <c r="B973" s="3"/>
      <c r="C973" s="3"/>
      <c r="D973" s="2"/>
      <c r="E973" s="4"/>
      <c r="N973" s="5"/>
      <c r="O973" s="5"/>
      <c r="Q973" s="4"/>
      <c r="T973" s="6"/>
      <c r="U973" s="5"/>
      <c r="V973" s="6"/>
      <c r="X973" s="6"/>
      <c r="AA973" s="6"/>
      <c r="AB973" s="4"/>
      <c r="AC973" s="6"/>
      <c r="AG973" s="4"/>
      <c r="AH973" s="4"/>
      <c r="AP973" s="5"/>
      <c r="AR973" s="5"/>
      <c r="AT973" s="6"/>
      <c r="BJ973" s="425"/>
      <c r="BL973" s="4"/>
      <c r="BT973" s="6"/>
    </row>
    <row r="974" spans="1:72">
      <c r="A974" s="3"/>
      <c r="B974" s="3"/>
      <c r="C974" s="3"/>
      <c r="D974" s="2"/>
      <c r="E974" s="4"/>
      <c r="N974" s="5"/>
      <c r="O974" s="5"/>
      <c r="Q974" s="4"/>
      <c r="T974" s="6"/>
      <c r="U974" s="5"/>
      <c r="V974" s="6"/>
      <c r="X974" s="6"/>
      <c r="AA974" s="6"/>
      <c r="AB974" s="4"/>
      <c r="AC974" s="6"/>
      <c r="AG974" s="4"/>
      <c r="AH974" s="4"/>
      <c r="AP974" s="5"/>
      <c r="AR974" s="5"/>
      <c r="AT974" s="6"/>
      <c r="BJ974" s="425"/>
      <c r="BL974" s="4"/>
      <c r="BT974" s="6"/>
    </row>
    <row r="975" spans="1:72">
      <c r="A975" s="3"/>
      <c r="B975" s="3"/>
      <c r="C975" s="3"/>
      <c r="D975" s="2"/>
      <c r="E975" s="4"/>
      <c r="N975" s="5"/>
      <c r="O975" s="5"/>
      <c r="Q975" s="4"/>
      <c r="T975" s="6"/>
      <c r="U975" s="5"/>
      <c r="V975" s="6"/>
      <c r="X975" s="6"/>
      <c r="AA975" s="6"/>
      <c r="AB975" s="4"/>
      <c r="AC975" s="6"/>
      <c r="AG975" s="4"/>
      <c r="AH975" s="4"/>
      <c r="AP975" s="5"/>
      <c r="AR975" s="5"/>
      <c r="AT975" s="6"/>
      <c r="BJ975" s="425"/>
      <c r="BL975" s="4"/>
      <c r="BT975" s="6"/>
    </row>
    <row r="976" spans="1:72">
      <c r="A976" s="3"/>
      <c r="B976" s="3"/>
      <c r="C976" s="3"/>
      <c r="D976" s="2"/>
      <c r="E976" s="4"/>
      <c r="N976" s="5"/>
      <c r="O976" s="5"/>
      <c r="Q976" s="4"/>
      <c r="T976" s="6"/>
      <c r="U976" s="5"/>
      <c r="V976" s="6"/>
      <c r="X976" s="6"/>
      <c r="AA976" s="6"/>
      <c r="AB976" s="4"/>
      <c r="AC976" s="6"/>
      <c r="AG976" s="4"/>
      <c r="AH976" s="4"/>
      <c r="AP976" s="5"/>
      <c r="AR976" s="5"/>
      <c r="AT976" s="6"/>
      <c r="BJ976" s="425"/>
      <c r="BL976" s="4"/>
      <c r="BT976" s="6"/>
    </row>
    <row r="977" spans="1:72">
      <c r="A977" s="3"/>
      <c r="B977" s="3"/>
      <c r="C977" s="3"/>
      <c r="D977" s="2"/>
      <c r="E977" s="4"/>
      <c r="N977" s="5"/>
      <c r="O977" s="5"/>
      <c r="Q977" s="4"/>
      <c r="T977" s="6"/>
      <c r="U977" s="5"/>
      <c r="V977" s="6"/>
      <c r="X977" s="6"/>
      <c r="AA977" s="6"/>
      <c r="AB977" s="4"/>
      <c r="AC977" s="6"/>
      <c r="AG977" s="4"/>
      <c r="AH977" s="4"/>
      <c r="AP977" s="5"/>
      <c r="AR977" s="5"/>
      <c r="AT977" s="6"/>
      <c r="BJ977" s="425"/>
      <c r="BL977" s="4"/>
      <c r="BT977" s="6"/>
    </row>
    <row r="978" spans="1:72">
      <c r="A978" s="3"/>
      <c r="B978" s="3"/>
      <c r="C978" s="3"/>
      <c r="D978" s="2"/>
      <c r="E978" s="4"/>
      <c r="N978" s="5"/>
      <c r="O978" s="5"/>
      <c r="Q978" s="4"/>
      <c r="T978" s="6"/>
      <c r="U978" s="5"/>
      <c r="V978" s="6"/>
      <c r="X978" s="6"/>
      <c r="AA978" s="6"/>
      <c r="AB978" s="4"/>
      <c r="AC978" s="6"/>
      <c r="AG978" s="4"/>
      <c r="AH978" s="4"/>
      <c r="AP978" s="5"/>
      <c r="AR978" s="5"/>
      <c r="AT978" s="6"/>
      <c r="BJ978" s="425"/>
      <c r="BL978" s="4"/>
      <c r="BT978" s="6"/>
    </row>
    <row r="979" spans="1:72">
      <c r="A979" s="3"/>
      <c r="B979" s="3"/>
      <c r="C979" s="3"/>
      <c r="D979" s="2"/>
      <c r="E979" s="4"/>
      <c r="N979" s="5"/>
      <c r="O979" s="5"/>
      <c r="Q979" s="4"/>
      <c r="T979" s="6"/>
      <c r="U979" s="5"/>
      <c r="V979" s="6"/>
      <c r="X979" s="6"/>
      <c r="AA979" s="6"/>
      <c r="AB979" s="4"/>
      <c r="AC979" s="6"/>
      <c r="AG979" s="4"/>
      <c r="AH979" s="4"/>
      <c r="AP979" s="5"/>
      <c r="AR979" s="5"/>
      <c r="AT979" s="6"/>
      <c r="BJ979" s="425"/>
      <c r="BL979" s="4"/>
      <c r="BT979" s="6"/>
    </row>
    <row r="980" spans="1:72">
      <c r="A980" s="3"/>
      <c r="B980" s="3"/>
      <c r="C980" s="3"/>
      <c r="D980" s="2"/>
      <c r="E980" s="4"/>
      <c r="N980" s="5"/>
      <c r="O980" s="5"/>
      <c r="Q980" s="4"/>
      <c r="T980" s="6"/>
      <c r="U980" s="5"/>
      <c r="V980" s="6"/>
      <c r="X980" s="6"/>
      <c r="AA980" s="6"/>
      <c r="AB980" s="4"/>
      <c r="AC980" s="6"/>
      <c r="AG980" s="4"/>
      <c r="AH980" s="4"/>
      <c r="AP980" s="5"/>
      <c r="AR980" s="5"/>
      <c r="AT980" s="6"/>
      <c r="BJ980" s="425"/>
      <c r="BL980" s="4"/>
      <c r="BT980" s="6"/>
    </row>
    <row r="981" spans="1:72">
      <c r="A981" s="3"/>
      <c r="B981" s="3"/>
      <c r="C981" s="3"/>
      <c r="D981" s="2"/>
      <c r="E981" s="4"/>
      <c r="N981" s="5"/>
      <c r="O981" s="5"/>
      <c r="Q981" s="4"/>
      <c r="T981" s="6"/>
      <c r="U981" s="5"/>
      <c r="V981" s="6"/>
      <c r="X981" s="6"/>
      <c r="AA981" s="6"/>
      <c r="AB981" s="4"/>
      <c r="AC981" s="6"/>
      <c r="AG981" s="4"/>
      <c r="AH981" s="4"/>
      <c r="AP981" s="5"/>
      <c r="AR981" s="5"/>
      <c r="AT981" s="6"/>
      <c r="BJ981" s="425"/>
      <c r="BL981" s="4"/>
      <c r="BT981" s="6"/>
    </row>
    <row r="982" spans="1:72">
      <c r="A982" s="3"/>
      <c r="B982" s="3"/>
      <c r="C982" s="3"/>
      <c r="D982" s="2"/>
      <c r="E982" s="4"/>
      <c r="N982" s="5"/>
      <c r="O982" s="5"/>
      <c r="Q982" s="4"/>
      <c r="T982" s="6"/>
      <c r="U982" s="5"/>
      <c r="V982" s="6"/>
      <c r="X982" s="6"/>
      <c r="AA982" s="6"/>
      <c r="AB982" s="4"/>
      <c r="AC982" s="6"/>
      <c r="AG982" s="4"/>
      <c r="AH982" s="4"/>
      <c r="AP982" s="5"/>
      <c r="AR982" s="5"/>
      <c r="AT982" s="6"/>
      <c r="BJ982" s="425"/>
      <c r="BL982" s="4"/>
      <c r="BT982" s="6"/>
    </row>
    <row r="983" spans="1:72">
      <c r="A983" s="3"/>
      <c r="B983" s="3"/>
      <c r="C983" s="3"/>
      <c r="D983" s="2"/>
      <c r="E983" s="4"/>
      <c r="N983" s="5"/>
      <c r="O983" s="5"/>
      <c r="Q983" s="4"/>
      <c r="T983" s="6"/>
      <c r="U983" s="5"/>
      <c r="V983" s="6"/>
      <c r="X983" s="6"/>
      <c r="AA983" s="6"/>
      <c r="AB983" s="4"/>
      <c r="AC983" s="6"/>
      <c r="AG983" s="4"/>
      <c r="AH983" s="4"/>
      <c r="AP983" s="5"/>
      <c r="AR983" s="5"/>
      <c r="AT983" s="6"/>
      <c r="BJ983" s="425"/>
      <c r="BL983" s="4"/>
      <c r="BT983" s="6"/>
    </row>
    <row r="984" spans="1:72">
      <c r="A984" s="3"/>
      <c r="B984" s="3"/>
      <c r="C984" s="3"/>
      <c r="D984" s="2"/>
      <c r="E984" s="4"/>
      <c r="N984" s="5"/>
      <c r="O984" s="5"/>
      <c r="Q984" s="4"/>
      <c r="T984" s="6"/>
      <c r="U984" s="5"/>
      <c r="V984" s="6"/>
      <c r="X984" s="6"/>
      <c r="AA984" s="6"/>
      <c r="AB984" s="4"/>
      <c r="AC984" s="6"/>
      <c r="AG984" s="4"/>
      <c r="AH984" s="4"/>
      <c r="AP984" s="5"/>
      <c r="AR984" s="5"/>
      <c r="AT984" s="6"/>
      <c r="BJ984" s="425"/>
      <c r="BL984" s="4"/>
      <c r="BT984" s="6"/>
    </row>
    <row r="985" spans="1:72">
      <c r="A985" s="3"/>
      <c r="B985" s="3"/>
      <c r="C985" s="3"/>
      <c r="D985" s="2"/>
      <c r="E985" s="4"/>
      <c r="N985" s="5"/>
      <c r="O985" s="5"/>
      <c r="Q985" s="4"/>
      <c r="T985" s="6"/>
      <c r="U985" s="5"/>
      <c r="V985" s="6"/>
      <c r="X985" s="6"/>
      <c r="AA985" s="6"/>
      <c r="AB985" s="4"/>
      <c r="AC985" s="6"/>
      <c r="AG985" s="4"/>
      <c r="AH985" s="4"/>
      <c r="AP985" s="5"/>
      <c r="AR985" s="5"/>
      <c r="AT985" s="6"/>
      <c r="BJ985" s="425"/>
      <c r="BL985" s="4"/>
      <c r="BT985" s="6"/>
    </row>
    <row r="986" spans="1:72">
      <c r="A986" s="3"/>
      <c r="B986" s="3"/>
      <c r="C986" s="3"/>
      <c r="D986" s="2"/>
      <c r="E986" s="4"/>
      <c r="N986" s="5"/>
      <c r="O986" s="5"/>
      <c r="Q986" s="4"/>
      <c r="T986" s="6"/>
      <c r="U986" s="5"/>
      <c r="V986" s="6"/>
      <c r="X986" s="6"/>
      <c r="AA986" s="6"/>
      <c r="AB986" s="4"/>
      <c r="AC986" s="6"/>
      <c r="AG986" s="4"/>
      <c r="AH986" s="4"/>
      <c r="AP986" s="5"/>
      <c r="AR986" s="5"/>
      <c r="AT986" s="6"/>
      <c r="BJ986" s="425"/>
      <c r="BL986" s="4"/>
      <c r="BT986" s="6"/>
    </row>
    <row r="987" spans="1:72">
      <c r="A987" s="3"/>
      <c r="B987" s="3"/>
      <c r="C987" s="3"/>
      <c r="D987" s="2"/>
      <c r="E987" s="4"/>
      <c r="N987" s="5"/>
      <c r="O987" s="5"/>
      <c r="Q987" s="4"/>
      <c r="T987" s="6"/>
      <c r="U987" s="5"/>
      <c r="V987" s="6"/>
      <c r="X987" s="6"/>
      <c r="AA987" s="6"/>
      <c r="AB987" s="4"/>
      <c r="AC987" s="6"/>
      <c r="AG987" s="4"/>
      <c r="AH987" s="4"/>
      <c r="AP987" s="5"/>
      <c r="AR987" s="5"/>
      <c r="AT987" s="6"/>
      <c r="BJ987" s="425"/>
      <c r="BL987" s="4"/>
      <c r="BT987" s="6"/>
    </row>
    <row r="988" spans="1:72">
      <c r="A988" s="3"/>
      <c r="B988" s="3"/>
      <c r="C988" s="3"/>
      <c r="D988" s="2"/>
      <c r="E988" s="4"/>
      <c r="N988" s="5"/>
      <c r="O988" s="5"/>
      <c r="Q988" s="4"/>
      <c r="T988" s="6"/>
      <c r="U988" s="5"/>
      <c r="V988" s="6"/>
      <c r="X988" s="6"/>
      <c r="AA988" s="6"/>
      <c r="AB988" s="4"/>
      <c r="AC988" s="6"/>
      <c r="AG988" s="4"/>
      <c r="AH988" s="4"/>
      <c r="AP988" s="5"/>
      <c r="AR988" s="5"/>
      <c r="AT988" s="6"/>
      <c r="BJ988" s="425"/>
      <c r="BL988" s="4"/>
      <c r="BT988" s="6"/>
    </row>
    <row r="989" spans="1:72">
      <c r="A989" s="3"/>
      <c r="B989" s="3"/>
      <c r="C989" s="3"/>
      <c r="D989" s="2"/>
      <c r="E989" s="4"/>
      <c r="N989" s="5"/>
      <c r="O989" s="5"/>
      <c r="Q989" s="4"/>
      <c r="T989" s="6"/>
      <c r="U989" s="5"/>
      <c r="V989" s="6"/>
      <c r="X989" s="6"/>
      <c r="AA989" s="6"/>
      <c r="AB989" s="4"/>
      <c r="AC989" s="6"/>
      <c r="AG989" s="4"/>
      <c r="AH989" s="4"/>
      <c r="AP989" s="5"/>
      <c r="AR989" s="5"/>
      <c r="AT989" s="6"/>
      <c r="BJ989" s="425"/>
      <c r="BL989" s="4"/>
      <c r="BT989" s="6"/>
    </row>
    <row r="990" spans="1:72">
      <c r="A990" s="3"/>
      <c r="B990" s="3"/>
      <c r="C990" s="3"/>
      <c r="D990" s="2"/>
      <c r="E990" s="4"/>
      <c r="N990" s="5"/>
      <c r="O990" s="5"/>
      <c r="Q990" s="4"/>
      <c r="T990" s="6"/>
      <c r="U990" s="5"/>
      <c r="V990" s="6"/>
      <c r="X990" s="6"/>
      <c r="AA990" s="6"/>
      <c r="AB990" s="4"/>
      <c r="AC990" s="6"/>
      <c r="AG990" s="4"/>
      <c r="AH990" s="4"/>
      <c r="AP990" s="5"/>
      <c r="AR990" s="5"/>
      <c r="AT990" s="6"/>
      <c r="BJ990" s="425"/>
      <c r="BL990" s="4"/>
      <c r="BT990" s="6"/>
    </row>
    <row r="991" spans="1:72">
      <c r="A991" s="3"/>
      <c r="B991" s="3"/>
      <c r="C991" s="3"/>
      <c r="D991" s="2"/>
      <c r="E991" s="4"/>
      <c r="N991" s="5"/>
      <c r="O991" s="5"/>
      <c r="Q991" s="4"/>
      <c r="T991" s="6"/>
      <c r="U991" s="5"/>
      <c r="V991" s="6"/>
      <c r="X991" s="6"/>
      <c r="AA991" s="6"/>
      <c r="AB991" s="4"/>
      <c r="AC991" s="6"/>
      <c r="AG991" s="4"/>
      <c r="AH991" s="4"/>
      <c r="AP991" s="5"/>
      <c r="AR991" s="5"/>
      <c r="AT991" s="6"/>
      <c r="BJ991" s="425"/>
      <c r="BL991" s="4"/>
      <c r="BT991" s="6"/>
    </row>
    <row r="992" spans="1:72">
      <c r="A992" s="3"/>
      <c r="B992" s="3"/>
      <c r="C992" s="3"/>
      <c r="D992" s="2"/>
      <c r="E992" s="4"/>
      <c r="N992" s="5"/>
      <c r="O992" s="5"/>
      <c r="Q992" s="4"/>
      <c r="T992" s="6"/>
      <c r="U992" s="5"/>
      <c r="V992" s="6"/>
      <c r="X992" s="6"/>
      <c r="AA992" s="6"/>
      <c r="AB992" s="4"/>
      <c r="AC992" s="6"/>
      <c r="AG992" s="4"/>
      <c r="AH992" s="4"/>
      <c r="AP992" s="5"/>
      <c r="AR992" s="5"/>
      <c r="AT992" s="6"/>
      <c r="BJ992" s="425"/>
      <c r="BL992" s="4"/>
      <c r="BT992" s="6"/>
    </row>
    <row r="993" spans="1:72">
      <c r="A993" s="3"/>
      <c r="B993" s="3"/>
      <c r="C993" s="3"/>
      <c r="D993" s="2"/>
      <c r="E993" s="4"/>
      <c r="N993" s="5"/>
      <c r="O993" s="5"/>
      <c r="Q993" s="4"/>
      <c r="T993" s="6"/>
      <c r="U993" s="5"/>
      <c r="V993" s="6"/>
      <c r="X993" s="6"/>
      <c r="AA993" s="6"/>
      <c r="AB993" s="4"/>
      <c r="AC993" s="6"/>
      <c r="AG993" s="4"/>
      <c r="AH993" s="4"/>
      <c r="AP993" s="5"/>
      <c r="AR993" s="5"/>
      <c r="AT993" s="6"/>
      <c r="BJ993" s="425"/>
      <c r="BL993" s="4"/>
      <c r="BT993" s="6"/>
    </row>
    <row r="994" spans="1:72">
      <c r="A994" s="3"/>
      <c r="B994" s="3"/>
      <c r="C994" s="3"/>
      <c r="D994" s="2"/>
      <c r="E994" s="4"/>
      <c r="N994" s="5"/>
      <c r="O994" s="5"/>
      <c r="Q994" s="4"/>
      <c r="T994" s="6"/>
      <c r="U994" s="5"/>
      <c r="V994" s="6"/>
      <c r="X994" s="6"/>
      <c r="AA994" s="6"/>
      <c r="AB994" s="4"/>
      <c r="AC994" s="6"/>
      <c r="AG994" s="4"/>
      <c r="AH994" s="4"/>
      <c r="AP994" s="5"/>
      <c r="AR994" s="5"/>
      <c r="AT994" s="6"/>
      <c r="BJ994" s="425"/>
      <c r="BL994" s="4"/>
      <c r="BT994" s="6"/>
    </row>
    <row r="995" spans="1:72">
      <c r="A995" s="3"/>
      <c r="B995" s="3"/>
      <c r="C995" s="3"/>
      <c r="D995" s="2"/>
      <c r="E995" s="4"/>
      <c r="N995" s="5"/>
      <c r="O995" s="5"/>
      <c r="Q995" s="4"/>
      <c r="T995" s="6"/>
      <c r="U995" s="5"/>
      <c r="V995" s="6"/>
      <c r="X995" s="6"/>
      <c r="AA995" s="6"/>
      <c r="AB995" s="4"/>
      <c r="AC995" s="6"/>
      <c r="AG995" s="4"/>
      <c r="AH995" s="4"/>
      <c r="AP995" s="5"/>
      <c r="AR995" s="5"/>
      <c r="AT995" s="6"/>
      <c r="BJ995" s="425"/>
      <c r="BL995" s="4"/>
      <c r="BT995" s="6"/>
    </row>
    <row r="996" spans="1:72">
      <c r="A996" s="3"/>
      <c r="B996" s="3"/>
      <c r="C996" s="3"/>
      <c r="D996" s="2"/>
      <c r="E996" s="4"/>
      <c r="N996" s="5"/>
      <c r="O996" s="5"/>
      <c r="Q996" s="4"/>
      <c r="T996" s="6"/>
      <c r="U996" s="5"/>
      <c r="V996" s="6"/>
      <c r="X996" s="6"/>
      <c r="AA996" s="6"/>
      <c r="AB996" s="4"/>
      <c r="AC996" s="6"/>
      <c r="AG996" s="4"/>
      <c r="AH996" s="4"/>
      <c r="AP996" s="5"/>
      <c r="AR996" s="5"/>
      <c r="AT996" s="6"/>
      <c r="BJ996" s="425"/>
      <c r="BL996" s="4"/>
      <c r="BT996" s="6"/>
    </row>
    <row r="997" spans="1:72">
      <c r="A997" s="3"/>
      <c r="B997" s="3"/>
      <c r="C997" s="3"/>
      <c r="D997" s="2"/>
      <c r="E997" s="4"/>
      <c r="N997" s="5"/>
      <c r="O997" s="5"/>
      <c r="Q997" s="4"/>
      <c r="T997" s="6"/>
      <c r="U997" s="5"/>
      <c r="V997" s="6"/>
      <c r="X997" s="6"/>
      <c r="AA997" s="6"/>
      <c r="AB997" s="4"/>
      <c r="AC997" s="6"/>
      <c r="AG997" s="4"/>
      <c r="AH997" s="4"/>
      <c r="AP997" s="5"/>
      <c r="AR997" s="5"/>
      <c r="AT997" s="6"/>
      <c r="BJ997" s="425"/>
      <c r="BL997" s="4"/>
      <c r="BT997" s="6"/>
    </row>
    <row r="998" spans="1:72">
      <c r="A998" s="3"/>
      <c r="B998" s="3"/>
      <c r="C998" s="3"/>
      <c r="D998" s="2"/>
      <c r="E998" s="4"/>
      <c r="N998" s="5"/>
      <c r="O998" s="5"/>
      <c r="Q998" s="4"/>
      <c r="T998" s="6"/>
      <c r="U998" s="5"/>
      <c r="V998" s="6"/>
      <c r="X998" s="6"/>
      <c r="AA998" s="6"/>
      <c r="AB998" s="4"/>
      <c r="AC998" s="6"/>
      <c r="AG998" s="4"/>
      <c r="AH998" s="4"/>
      <c r="AP998" s="5"/>
      <c r="AR998" s="5"/>
      <c r="AT998" s="6"/>
      <c r="BJ998" s="425"/>
      <c r="BL998" s="4"/>
      <c r="BT998" s="6"/>
    </row>
    <row r="999" spans="1:72">
      <c r="A999" s="3"/>
      <c r="B999" s="3"/>
      <c r="C999" s="3"/>
      <c r="D999" s="2"/>
      <c r="E999" s="4"/>
      <c r="N999" s="5"/>
      <c r="O999" s="5"/>
      <c r="Q999" s="4"/>
      <c r="T999" s="6"/>
      <c r="U999" s="5"/>
      <c r="V999" s="6"/>
      <c r="X999" s="6"/>
      <c r="AA999" s="6"/>
      <c r="AB999" s="4"/>
      <c r="AC999" s="6"/>
      <c r="AG999" s="4"/>
      <c r="AH999" s="4"/>
      <c r="AP999" s="5"/>
      <c r="AR999" s="5"/>
      <c r="AT999" s="6"/>
      <c r="BJ999" s="425"/>
      <c r="BL999" s="4"/>
      <c r="BT999" s="6"/>
    </row>
    <row r="1000" spans="1:72">
      <c r="A1000" s="3"/>
      <c r="B1000" s="3"/>
      <c r="C1000" s="3"/>
      <c r="D1000" s="2"/>
      <c r="E1000" s="4"/>
      <c r="N1000" s="5"/>
      <c r="O1000" s="5"/>
      <c r="Q1000" s="4"/>
      <c r="T1000" s="6"/>
      <c r="U1000" s="5"/>
      <c r="V1000" s="6"/>
      <c r="X1000" s="6"/>
      <c r="AA1000" s="6"/>
      <c r="AB1000" s="4"/>
      <c r="AC1000" s="6"/>
      <c r="AG1000" s="4"/>
      <c r="AH1000" s="4"/>
      <c r="AP1000" s="5"/>
      <c r="AR1000" s="5"/>
      <c r="AT1000" s="6"/>
      <c r="BJ1000" s="425"/>
      <c r="BL1000" s="4"/>
      <c r="BT1000" s="6"/>
    </row>
    <row r="1001" spans="1:72">
      <c r="A1001" s="3"/>
      <c r="B1001" s="3"/>
      <c r="C1001" s="3"/>
      <c r="D1001" s="2"/>
      <c r="E1001" s="4"/>
      <c r="N1001" s="5"/>
      <c r="O1001" s="5"/>
      <c r="Q1001" s="4"/>
      <c r="T1001" s="6"/>
      <c r="U1001" s="5"/>
      <c r="V1001" s="6"/>
      <c r="X1001" s="6"/>
      <c r="AA1001" s="6"/>
      <c r="AB1001" s="4"/>
      <c r="AC1001" s="6"/>
      <c r="AG1001" s="4"/>
      <c r="AH1001" s="4"/>
      <c r="AP1001" s="5"/>
      <c r="AR1001" s="5"/>
      <c r="AT1001" s="6"/>
      <c r="BJ1001" s="425"/>
      <c r="BL1001" s="4"/>
      <c r="BT1001" s="6"/>
    </row>
    <row r="1002" spans="1:72">
      <c r="A1002" s="3"/>
      <c r="B1002" s="3"/>
      <c r="C1002" s="3"/>
      <c r="D1002" s="2"/>
      <c r="E1002" s="4"/>
      <c r="N1002" s="5"/>
      <c r="O1002" s="5"/>
      <c r="Q1002" s="4"/>
      <c r="T1002" s="6"/>
      <c r="U1002" s="5"/>
      <c r="V1002" s="6"/>
      <c r="X1002" s="6"/>
      <c r="AA1002" s="6"/>
      <c r="AB1002" s="4"/>
      <c r="AC1002" s="6"/>
      <c r="AG1002" s="4"/>
      <c r="AH1002" s="4"/>
      <c r="AP1002" s="5"/>
      <c r="AR1002" s="5"/>
      <c r="AT1002" s="6"/>
      <c r="BJ1002" s="425"/>
      <c r="BL1002" s="4"/>
      <c r="BT1002" s="6"/>
    </row>
    <row r="1003" spans="1:72">
      <c r="A1003" s="3"/>
      <c r="B1003" s="3"/>
      <c r="C1003" s="3"/>
      <c r="D1003" s="2"/>
      <c r="E1003" s="4"/>
      <c r="N1003" s="5"/>
      <c r="O1003" s="5"/>
      <c r="Q1003" s="4"/>
      <c r="T1003" s="6"/>
      <c r="U1003" s="5"/>
      <c r="V1003" s="6"/>
      <c r="X1003" s="6"/>
      <c r="AA1003" s="6"/>
      <c r="AB1003" s="4"/>
      <c r="AC1003" s="6"/>
      <c r="AG1003" s="4"/>
      <c r="AH1003" s="4"/>
      <c r="AP1003" s="5"/>
      <c r="AR1003" s="5"/>
      <c r="AT1003" s="6"/>
      <c r="BJ1003" s="425"/>
      <c r="BL1003" s="4"/>
      <c r="BT1003" s="6"/>
    </row>
    <row r="1004" spans="1:72">
      <c r="A1004" s="3"/>
      <c r="B1004" s="3"/>
      <c r="C1004" s="3"/>
      <c r="D1004" s="2"/>
      <c r="E1004" s="4"/>
      <c r="N1004" s="5"/>
      <c r="O1004" s="5"/>
      <c r="Q1004" s="4"/>
      <c r="T1004" s="6"/>
      <c r="U1004" s="5"/>
      <c r="V1004" s="6"/>
      <c r="X1004" s="6"/>
      <c r="AA1004" s="6"/>
      <c r="AB1004" s="4"/>
      <c r="AC1004" s="6"/>
      <c r="AG1004" s="4"/>
      <c r="AH1004" s="4"/>
      <c r="AP1004" s="5"/>
      <c r="AR1004" s="5"/>
      <c r="AT1004" s="6"/>
      <c r="BJ1004" s="425"/>
      <c r="BL1004" s="4"/>
      <c r="BT1004" s="6"/>
    </row>
    <row r="1005" spans="1:72">
      <c r="A1005" s="3"/>
      <c r="B1005" s="3"/>
      <c r="C1005" s="3"/>
      <c r="D1005" s="2"/>
      <c r="E1005" s="4"/>
      <c r="N1005" s="5"/>
      <c r="O1005" s="5"/>
      <c r="Q1005" s="4"/>
      <c r="T1005" s="6"/>
      <c r="U1005" s="5"/>
      <c r="V1005" s="6"/>
      <c r="X1005" s="6"/>
      <c r="AA1005" s="6"/>
      <c r="AB1005" s="4"/>
      <c r="AC1005" s="6"/>
      <c r="AG1005" s="4"/>
      <c r="AH1005" s="4"/>
      <c r="AP1005" s="5"/>
      <c r="AR1005" s="5"/>
      <c r="AT1005" s="6"/>
      <c r="BJ1005" s="425"/>
      <c r="BL1005" s="4"/>
      <c r="BT1005" s="6"/>
    </row>
    <row r="1006" spans="1:72">
      <c r="A1006" s="3"/>
      <c r="B1006" s="3"/>
      <c r="C1006" s="3"/>
      <c r="D1006" s="2"/>
      <c r="E1006" s="4"/>
      <c r="N1006" s="5"/>
      <c r="O1006" s="5"/>
      <c r="Q1006" s="4"/>
      <c r="T1006" s="6"/>
      <c r="U1006" s="5"/>
      <c r="V1006" s="6"/>
      <c r="X1006" s="6"/>
      <c r="AA1006" s="6"/>
      <c r="AB1006" s="4"/>
      <c r="AC1006" s="6"/>
      <c r="AG1006" s="4"/>
      <c r="AH1006" s="4"/>
      <c r="AP1006" s="5"/>
      <c r="AR1006" s="5"/>
      <c r="AT1006" s="6"/>
      <c r="BJ1006" s="425"/>
      <c r="BL1006" s="4"/>
      <c r="BT1006" s="6"/>
    </row>
    <row r="1007" spans="1:72">
      <c r="A1007" s="3"/>
      <c r="B1007" s="3"/>
      <c r="C1007" s="3"/>
      <c r="D1007" s="2"/>
      <c r="E1007" s="4"/>
      <c r="N1007" s="5"/>
      <c r="O1007" s="5"/>
      <c r="Q1007" s="4"/>
      <c r="T1007" s="6"/>
      <c r="U1007" s="5"/>
      <c r="V1007" s="6"/>
      <c r="X1007" s="6"/>
      <c r="AA1007" s="6"/>
      <c r="AB1007" s="4"/>
      <c r="AC1007" s="6"/>
      <c r="AG1007" s="4"/>
      <c r="AH1007" s="4"/>
      <c r="AP1007" s="5"/>
      <c r="AR1007" s="5"/>
      <c r="AT1007" s="6"/>
      <c r="BJ1007" s="425"/>
      <c r="BL1007" s="4"/>
      <c r="BT1007" s="6"/>
    </row>
    <row r="1008" spans="1:72">
      <c r="A1008" s="3"/>
      <c r="B1008" s="3"/>
      <c r="C1008" s="3"/>
      <c r="D1008" s="2"/>
      <c r="E1008" s="4"/>
      <c r="N1008" s="5"/>
      <c r="O1008" s="5"/>
      <c r="Q1008" s="4"/>
      <c r="T1008" s="6"/>
      <c r="U1008" s="5"/>
      <c r="V1008" s="6"/>
      <c r="X1008" s="6"/>
      <c r="AA1008" s="6"/>
      <c r="AB1008" s="4"/>
      <c r="AC1008" s="6"/>
      <c r="AG1008" s="4"/>
      <c r="AH1008" s="4"/>
      <c r="AP1008" s="5"/>
      <c r="AR1008" s="5"/>
      <c r="AT1008" s="6"/>
      <c r="BJ1008" s="425"/>
      <c r="BL1008" s="4"/>
      <c r="BT1008" s="6"/>
    </row>
    <row r="1009" spans="1:72">
      <c r="A1009" s="3"/>
      <c r="B1009" s="3"/>
      <c r="C1009" s="3"/>
      <c r="D1009" s="2"/>
      <c r="E1009" s="4"/>
      <c r="N1009" s="5"/>
      <c r="O1009" s="5"/>
      <c r="Q1009" s="4"/>
      <c r="T1009" s="6"/>
      <c r="U1009" s="5"/>
      <c r="V1009" s="6"/>
      <c r="X1009" s="6"/>
      <c r="AA1009" s="6"/>
      <c r="AB1009" s="4"/>
      <c r="AC1009" s="6"/>
      <c r="AG1009" s="4"/>
      <c r="AH1009" s="4"/>
      <c r="AP1009" s="5"/>
      <c r="AR1009" s="5"/>
      <c r="AT1009" s="6"/>
      <c r="BJ1009" s="425"/>
      <c r="BL1009" s="4"/>
      <c r="BT1009" s="6"/>
    </row>
    <row r="1010" spans="1:72">
      <c r="A1010" s="3"/>
      <c r="B1010" s="3"/>
      <c r="C1010" s="3"/>
      <c r="D1010" s="2"/>
      <c r="E1010" s="4"/>
      <c r="N1010" s="5"/>
      <c r="O1010" s="5"/>
      <c r="Q1010" s="4"/>
      <c r="T1010" s="6"/>
      <c r="U1010" s="5"/>
      <c r="V1010" s="6"/>
      <c r="X1010" s="6"/>
      <c r="AA1010" s="6"/>
      <c r="AB1010" s="4"/>
      <c r="AC1010" s="6"/>
      <c r="AG1010" s="4"/>
      <c r="AH1010" s="4"/>
      <c r="AP1010" s="5"/>
      <c r="AR1010" s="5"/>
      <c r="AT1010" s="6"/>
      <c r="BJ1010" s="425"/>
      <c r="BL1010" s="4"/>
      <c r="BT1010" s="6"/>
    </row>
    <row r="1011" spans="1:72">
      <c r="A1011" s="3"/>
      <c r="B1011" s="3"/>
      <c r="C1011" s="3"/>
      <c r="D1011" s="2"/>
      <c r="E1011" s="4"/>
      <c r="N1011" s="5"/>
      <c r="O1011" s="5"/>
      <c r="Q1011" s="4"/>
      <c r="T1011" s="6"/>
      <c r="U1011" s="5"/>
      <c r="V1011" s="6"/>
      <c r="X1011" s="6"/>
      <c r="AA1011" s="6"/>
      <c r="AB1011" s="4"/>
      <c r="AC1011" s="6"/>
      <c r="AG1011" s="4"/>
      <c r="AH1011" s="4"/>
      <c r="AP1011" s="5"/>
      <c r="AR1011" s="5"/>
      <c r="AT1011" s="6"/>
      <c r="BJ1011" s="425"/>
      <c r="BL1011" s="4"/>
      <c r="BT1011" s="6"/>
    </row>
    <row r="1012" spans="1:72">
      <c r="A1012" s="3"/>
      <c r="B1012" s="3"/>
      <c r="C1012" s="3"/>
      <c r="D1012" s="2"/>
      <c r="E1012" s="4"/>
      <c r="N1012" s="5"/>
      <c r="O1012" s="5"/>
      <c r="Q1012" s="4"/>
      <c r="T1012" s="6"/>
      <c r="U1012" s="5"/>
      <c r="V1012" s="6"/>
      <c r="X1012" s="6"/>
      <c r="AA1012" s="6"/>
      <c r="AB1012" s="4"/>
      <c r="AC1012" s="6"/>
      <c r="AG1012" s="4"/>
      <c r="AH1012" s="4"/>
      <c r="AP1012" s="5"/>
      <c r="AR1012" s="5"/>
      <c r="AT1012" s="6"/>
      <c r="BJ1012" s="425"/>
      <c r="BL1012" s="4"/>
      <c r="BT1012" s="6"/>
    </row>
    <row r="1013" spans="1:72">
      <c r="A1013" s="3"/>
      <c r="B1013" s="3"/>
      <c r="C1013" s="3"/>
      <c r="D1013" s="2"/>
      <c r="E1013" s="4"/>
      <c r="N1013" s="5"/>
      <c r="O1013" s="5"/>
      <c r="Q1013" s="4"/>
      <c r="T1013" s="6"/>
      <c r="U1013" s="5"/>
      <c r="V1013" s="6"/>
      <c r="X1013" s="6"/>
      <c r="AA1013" s="6"/>
      <c r="AB1013" s="4"/>
      <c r="AC1013" s="6"/>
      <c r="AG1013" s="4"/>
      <c r="AH1013" s="4"/>
      <c r="AP1013" s="5"/>
      <c r="AR1013" s="5"/>
      <c r="AT1013" s="6"/>
      <c r="BJ1013" s="425"/>
      <c r="BL1013" s="4"/>
      <c r="BT1013" s="6"/>
    </row>
    <row r="1014" spans="1:72">
      <c r="A1014" s="3"/>
      <c r="B1014" s="3"/>
      <c r="C1014" s="3"/>
      <c r="D1014" s="2"/>
      <c r="E1014" s="4"/>
      <c r="N1014" s="5"/>
      <c r="O1014" s="5"/>
      <c r="Q1014" s="4"/>
      <c r="T1014" s="6"/>
      <c r="U1014" s="5"/>
      <c r="V1014" s="6"/>
      <c r="X1014" s="6"/>
      <c r="AA1014" s="6"/>
      <c r="AB1014" s="4"/>
      <c r="AC1014" s="6"/>
      <c r="AG1014" s="4"/>
      <c r="AH1014" s="4"/>
      <c r="AP1014" s="5"/>
      <c r="AR1014" s="5"/>
      <c r="AT1014" s="6"/>
      <c r="BJ1014" s="425"/>
      <c r="BL1014" s="4"/>
      <c r="BT1014" s="6"/>
    </row>
    <row r="1015" spans="1:72">
      <c r="A1015" s="3"/>
      <c r="B1015" s="3"/>
      <c r="C1015" s="3"/>
      <c r="D1015" s="2"/>
      <c r="E1015" s="4"/>
      <c r="N1015" s="5"/>
      <c r="O1015" s="5"/>
      <c r="Q1015" s="4"/>
      <c r="T1015" s="6"/>
      <c r="U1015" s="5"/>
      <c r="V1015" s="6"/>
      <c r="X1015" s="6"/>
      <c r="AA1015" s="6"/>
      <c r="AB1015" s="4"/>
      <c r="AC1015" s="6"/>
      <c r="AG1015" s="4"/>
      <c r="AH1015" s="4"/>
      <c r="AP1015" s="5"/>
      <c r="AR1015" s="5"/>
      <c r="AT1015" s="6"/>
      <c r="BJ1015" s="425"/>
      <c r="BL1015" s="4"/>
      <c r="BT1015" s="6"/>
    </row>
    <row r="1016" spans="1:72">
      <c r="A1016" s="3"/>
      <c r="B1016" s="3"/>
      <c r="C1016" s="3"/>
      <c r="D1016" s="2"/>
      <c r="E1016" s="4"/>
      <c r="N1016" s="5"/>
      <c r="O1016" s="5"/>
      <c r="Q1016" s="4"/>
      <c r="T1016" s="6"/>
      <c r="U1016" s="5"/>
      <c r="V1016" s="6"/>
      <c r="X1016" s="6"/>
      <c r="AA1016" s="6"/>
      <c r="AB1016" s="4"/>
      <c r="AC1016" s="6"/>
      <c r="AG1016" s="4"/>
      <c r="AH1016" s="4"/>
      <c r="AP1016" s="5"/>
      <c r="AR1016" s="5"/>
      <c r="AT1016" s="6"/>
      <c r="BJ1016" s="425"/>
      <c r="BL1016" s="4"/>
      <c r="BT1016" s="6"/>
    </row>
    <row r="1017" spans="1:72">
      <c r="A1017" s="3"/>
      <c r="B1017" s="3"/>
      <c r="C1017" s="3"/>
      <c r="D1017" s="2"/>
      <c r="E1017" s="4"/>
      <c r="N1017" s="5"/>
      <c r="O1017" s="5"/>
      <c r="Q1017" s="4"/>
      <c r="T1017" s="6"/>
      <c r="U1017" s="5"/>
      <c r="V1017" s="6"/>
      <c r="X1017" s="6"/>
      <c r="AA1017" s="6"/>
      <c r="AB1017" s="4"/>
      <c r="AC1017" s="6"/>
      <c r="AG1017" s="4"/>
      <c r="AH1017" s="4"/>
      <c r="AP1017" s="5"/>
      <c r="AR1017" s="5"/>
      <c r="AT1017" s="6"/>
      <c r="BJ1017" s="425"/>
      <c r="BL1017" s="4"/>
      <c r="BT1017" s="6"/>
    </row>
    <row r="1018" spans="1:72">
      <c r="A1018" s="3"/>
      <c r="B1018" s="3"/>
      <c r="C1018" s="3"/>
      <c r="D1018" s="2"/>
      <c r="E1018" s="4"/>
      <c r="N1018" s="5"/>
      <c r="O1018" s="5"/>
      <c r="Q1018" s="4"/>
      <c r="T1018" s="6"/>
      <c r="U1018" s="5"/>
      <c r="V1018" s="6"/>
      <c r="X1018" s="6"/>
      <c r="AA1018" s="6"/>
      <c r="AB1018" s="4"/>
      <c r="AC1018" s="6"/>
      <c r="AG1018" s="4"/>
      <c r="AH1018" s="4"/>
      <c r="AP1018" s="5"/>
      <c r="AR1018" s="5"/>
      <c r="AT1018" s="6"/>
      <c r="BJ1018" s="425"/>
      <c r="BL1018" s="4"/>
      <c r="BT1018" s="6"/>
    </row>
    <row r="1019" spans="1:72">
      <c r="A1019" s="3"/>
      <c r="B1019" s="3"/>
      <c r="C1019" s="3"/>
      <c r="D1019" s="2"/>
      <c r="E1019" s="4"/>
      <c r="N1019" s="5"/>
      <c r="O1019" s="5"/>
      <c r="Q1019" s="4"/>
      <c r="T1019" s="6"/>
      <c r="U1019" s="5"/>
      <c r="V1019" s="6"/>
      <c r="X1019" s="6"/>
      <c r="AA1019" s="6"/>
      <c r="AB1019" s="4"/>
      <c r="AC1019" s="6"/>
      <c r="AG1019" s="4"/>
      <c r="AH1019" s="4"/>
      <c r="AP1019" s="5"/>
      <c r="AR1019" s="5"/>
      <c r="AT1019" s="6"/>
      <c r="BJ1019" s="425"/>
      <c r="BL1019" s="4"/>
      <c r="BT1019" s="6"/>
    </row>
    <row r="1020" spans="1:72">
      <c r="A1020" s="3"/>
      <c r="B1020" s="3"/>
      <c r="C1020" s="3"/>
      <c r="D1020" s="2"/>
      <c r="E1020" s="4"/>
      <c r="N1020" s="5"/>
      <c r="O1020" s="5"/>
      <c r="Q1020" s="4"/>
      <c r="T1020" s="6"/>
      <c r="U1020" s="5"/>
      <c r="V1020" s="6"/>
      <c r="X1020" s="6"/>
      <c r="AA1020" s="6"/>
      <c r="AB1020" s="4"/>
      <c r="AC1020" s="6"/>
      <c r="AG1020" s="4"/>
      <c r="AH1020" s="4"/>
      <c r="AP1020" s="5"/>
      <c r="AR1020" s="5"/>
      <c r="AT1020" s="6"/>
      <c r="BJ1020" s="425"/>
      <c r="BL1020" s="4"/>
      <c r="BT1020" s="6"/>
    </row>
    <row r="1021" spans="1:72">
      <c r="A1021" s="3"/>
      <c r="B1021" s="3"/>
      <c r="C1021" s="3"/>
      <c r="D1021" s="2"/>
      <c r="E1021" s="4"/>
      <c r="N1021" s="5"/>
      <c r="O1021" s="5"/>
      <c r="Q1021" s="4"/>
      <c r="T1021" s="6"/>
      <c r="U1021" s="5"/>
      <c r="V1021" s="6"/>
      <c r="X1021" s="6"/>
      <c r="AA1021" s="6"/>
      <c r="AB1021" s="4"/>
      <c r="AC1021" s="6"/>
      <c r="AG1021" s="4"/>
      <c r="AH1021" s="4"/>
      <c r="AP1021" s="5"/>
      <c r="AR1021" s="5"/>
      <c r="AT1021" s="6"/>
      <c r="BJ1021" s="425"/>
      <c r="BL1021" s="4"/>
      <c r="BT1021" s="6"/>
    </row>
    <row r="1022" spans="1:72">
      <c r="A1022" s="3"/>
      <c r="B1022" s="3"/>
      <c r="C1022" s="3"/>
      <c r="D1022" s="2"/>
      <c r="E1022" s="4"/>
      <c r="N1022" s="5"/>
      <c r="O1022" s="5"/>
      <c r="Q1022" s="4"/>
      <c r="T1022" s="6"/>
      <c r="U1022" s="5"/>
      <c r="V1022" s="6"/>
      <c r="X1022" s="6"/>
      <c r="AA1022" s="6"/>
      <c r="AB1022" s="4"/>
      <c r="AC1022" s="6"/>
      <c r="AG1022" s="4"/>
      <c r="AH1022" s="4"/>
      <c r="AP1022" s="5"/>
      <c r="AR1022" s="5"/>
      <c r="AT1022" s="6"/>
      <c r="BJ1022" s="425"/>
      <c r="BL1022" s="4"/>
      <c r="BT1022" s="6"/>
    </row>
    <row r="1023" spans="1:72">
      <c r="A1023" s="3"/>
      <c r="B1023" s="3"/>
      <c r="C1023" s="3"/>
      <c r="D1023" s="2"/>
      <c r="E1023" s="4"/>
      <c r="N1023" s="5"/>
      <c r="O1023" s="5"/>
      <c r="Q1023" s="4"/>
      <c r="T1023" s="6"/>
      <c r="U1023" s="5"/>
      <c r="V1023" s="6"/>
      <c r="X1023" s="6"/>
      <c r="AA1023" s="6"/>
      <c r="AB1023" s="4"/>
      <c r="AC1023" s="6"/>
      <c r="AG1023" s="4"/>
      <c r="AH1023" s="4"/>
      <c r="AP1023" s="5"/>
      <c r="AR1023" s="5"/>
      <c r="AT1023" s="6"/>
      <c r="BJ1023" s="425"/>
      <c r="BL1023" s="4"/>
      <c r="BT1023" s="6"/>
    </row>
    <row r="1024" spans="1:72">
      <c r="A1024" s="3"/>
      <c r="B1024" s="3"/>
      <c r="C1024" s="3"/>
      <c r="D1024" s="2"/>
      <c r="E1024" s="4"/>
      <c r="N1024" s="5"/>
      <c r="O1024" s="5"/>
      <c r="Q1024" s="4"/>
      <c r="T1024" s="6"/>
      <c r="U1024" s="5"/>
      <c r="V1024" s="6"/>
      <c r="X1024" s="6"/>
      <c r="AA1024" s="6"/>
      <c r="AB1024" s="4"/>
      <c r="AC1024" s="6"/>
      <c r="AG1024" s="4"/>
      <c r="AH1024" s="4"/>
      <c r="AP1024" s="5"/>
      <c r="AR1024" s="5"/>
      <c r="AT1024" s="6"/>
      <c r="BJ1024" s="425"/>
      <c r="BL1024" s="4"/>
      <c r="BT1024" s="6"/>
    </row>
    <row r="1025" spans="1:72">
      <c r="A1025" s="3"/>
      <c r="B1025" s="3"/>
      <c r="C1025" s="3"/>
      <c r="D1025" s="2"/>
      <c r="E1025" s="4"/>
      <c r="N1025" s="5"/>
      <c r="O1025" s="5"/>
      <c r="Q1025" s="4"/>
      <c r="T1025" s="6"/>
      <c r="U1025" s="5"/>
      <c r="V1025" s="6"/>
      <c r="X1025" s="6"/>
      <c r="AA1025" s="6"/>
      <c r="AB1025" s="4"/>
      <c r="AC1025" s="6"/>
      <c r="AG1025" s="4"/>
      <c r="AH1025" s="4"/>
      <c r="AP1025" s="5"/>
      <c r="AR1025" s="5"/>
      <c r="AT1025" s="6"/>
      <c r="BJ1025" s="425"/>
      <c r="BL1025" s="4"/>
      <c r="BT1025" s="6"/>
    </row>
    <row r="1026" spans="1:72">
      <c r="A1026" s="3"/>
      <c r="B1026" s="3"/>
      <c r="C1026" s="3"/>
      <c r="D1026" s="2"/>
      <c r="E1026" s="4"/>
      <c r="N1026" s="5"/>
      <c r="O1026" s="5"/>
      <c r="Q1026" s="4"/>
      <c r="T1026" s="6"/>
      <c r="U1026" s="5"/>
      <c r="V1026" s="6"/>
      <c r="X1026" s="6"/>
      <c r="AA1026" s="6"/>
      <c r="AB1026" s="4"/>
      <c r="AC1026" s="6"/>
      <c r="AG1026" s="4"/>
      <c r="AH1026" s="4"/>
      <c r="AP1026" s="5"/>
      <c r="AR1026" s="5"/>
      <c r="AT1026" s="6"/>
      <c r="BJ1026" s="425"/>
      <c r="BL1026" s="4"/>
      <c r="BT1026" s="6"/>
    </row>
    <row r="1027" spans="1:72">
      <c r="A1027" s="3"/>
      <c r="B1027" s="3"/>
      <c r="C1027" s="3"/>
      <c r="D1027" s="2"/>
      <c r="E1027" s="4"/>
      <c r="N1027" s="5"/>
      <c r="O1027" s="5"/>
      <c r="Q1027" s="4"/>
      <c r="T1027" s="6"/>
      <c r="U1027" s="5"/>
      <c r="V1027" s="6"/>
      <c r="X1027" s="6"/>
      <c r="AA1027" s="6"/>
      <c r="AB1027" s="4"/>
      <c r="AC1027" s="6"/>
      <c r="AG1027" s="4"/>
      <c r="AH1027" s="4"/>
      <c r="AP1027" s="5"/>
      <c r="AR1027" s="5"/>
      <c r="AT1027" s="6"/>
      <c r="BJ1027" s="425"/>
      <c r="BL1027" s="4"/>
      <c r="BT1027" s="6"/>
    </row>
    <row r="1028" spans="1:72">
      <c r="A1028" s="3"/>
      <c r="B1028" s="3"/>
      <c r="C1028" s="3"/>
      <c r="D1028" s="2"/>
      <c r="E1028" s="4"/>
      <c r="N1028" s="5"/>
      <c r="O1028" s="5"/>
      <c r="Q1028" s="4"/>
      <c r="T1028" s="6"/>
      <c r="U1028" s="5"/>
      <c r="V1028" s="6"/>
      <c r="X1028" s="6"/>
      <c r="AA1028" s="6"/>
      <c r="AB1028" s="4"/>
      <c r="AC1028" s="6"/>
      <c r="AG1028" s="4"/>
      <c r="AH1028" s="4"/>
      <c r="AP1028" s="5"/>
      <c r="AR1028" s="5"/>
      <c r="AT1028" s="6"/>
      <c r="BJ1028" s="425"/>
      <c r="BL1028" s="4"/>
      <c r="BT1028" s="6"/>
    </row>
    <row r="1029" spans="1:72">
      <c r="A1029" s="3"/>
      <c r="B1029" s="3"/>
      <c r="C1029" s="3"/>
      <c r="D1029" s="2"/>
      <c r="E1029" s="4"/>
      <c r="N1029" s="5"/>
      <c r="O1029" s="5"/>
      <c r="Q1029" s="4"/>
      <c r="T1029" s="6"/>
      <c r="U1029" s="5"/>
      <c r="V1029" s="6"/>
      <c r="X1029" s="6"/>
      <c r="AA1029" s="6"/>
      <c r="AB1029" s="4"/>
      <c r="AC1029" s="6"/>
      <c r="AG1029" s="4"/>
      <c r="AH1029" s="4"/>
      <c r="AP1029" s="5"/>
      <c r="AR1029" s="5"/>
      <c r="AT1029" s="6"/>
      <c r="BJ1029" s="425"/>
      <c r="BL1029" s="4"/>
      <c r="BT1029" s="6"/>
    </row>
    <row r="1030" spans="1:72">
      <c r="A1030" s="3"/>
      <c r="B1030" s="3"/>
      <c r="C1030" s="3"/>
      <c r="D1030" s="2"/>
      <c r="E1030" s="4"/>
      <c r="N1030" s="5"/>
      <c r="O1030" s="5"/>
      <c r="Q1030" s="4"/>
      <c r="T1030" s="6"/>
      <c r="U1030" s="5"/>
      <c r="V1030" s="6"/>
      <c r="X1030" s="6"/>
      <c r="AA1030" s="6"/>
      <c r="AB1030" s="4"/>
      <c r="AC1030" s="6"/>
      <c r="AG1030" s="4"/>
      <c r="AH1030" s="4"/>
      <c r="AP1030" s="5"/>
      <c r="AR1030" s="5"/>
      <c r="AT1030" s="6"/>
      <c r="BJ1030" s="425"/>
      <c r="BL1030" s="4"/>
      <c r="BT1030" s="6"/>
    </row>
    <row r="1031" spans="1:72">
      <c r="A1031" s="3"/>
      <c r="B1031" s="3"/>
      <c r="C1031" s="3"/>
      <c r="D1031" s="2"/>
      <c r="E1031" s="4"/>
      <c r="N1031" s="5"/>
      <c r="O1031" s="5"/>
      <c r="Q1031" s="4"/>
      <c r="T1031" s="6"/>
      <c r="U1031" s="5"/>
      <c r="V1031" s="6"/>
      <c r="X1031" s="6"/>
      <c r="AA1031" s="6"/>
      <c r="AB1031" s="4"/>
      <c r="AC1031" s="6"/>
      <c r="AG1031" s="4"/>
      <c r="AH1031" s="4"/>
      <c r="AP1031" s="5"/>
      <c r="AR1031" s="5"/>
      <c r="AT1031" s="6"/>
      <c r="BJ1031" s="425"/>
      <c r="BL1031" s="4"/>
      <c r="BT1031" s="6"/>
    </row>
    <row r="1032" spans="1:72">
      <c r="A1032" s="3"/>
      <c r="B1032" s="3"/>
      <c r="C1032" s="3"/>
      <c r="D1032" s="2"/>
      <c r="E1032" s="4"/>
      <c r="N1032" s="5"/>
      <c r="O1032" s="5"/>
      <c r="Q1032" s="4"/>
      <c r="T1032" s="6"/>
      <c r="U1032" s="5"/>
      <c r="V1032" s="6"/>
      <c r="X1032" s="6"/>
      <c r="AA1032" s="6"/>
      <c r="AB1032" s="4"/>
      <c r="AC1032" s="6"/>
      <c r="AG1032" s="4"/>
      <c r="AH1032" s="4"/>
      <c r="AP1032" s="5"/>
      <c r="AR1032" s="5"/>
      <c r="AT1032" s="6"/>
      <c r="BJ1032" s="425"/>
      <c r="BL1032" s="4"/>
      <c r="BT1032" s="6"/>
    </row>
    <row r="1033" spans="1:72">
      <c r="A1033" s="3"/>
      <c r="B1033" s="3"/>
      <c r="C1033" s="3"/>
      <c r="D1033" s="2"/>
      <c r="E1033" s="4"/>
      <c r="N1033" s="5"/>
      <c r="O1033" s="5"/>
      <c r="Q1033" s="4"/>
      <c r="T1033" s="6"/>
      <c r="U1033" s="5"/>
      <c r="V1033" s="6"/>
      <c r="X1033" s="6"/>
      <c r="AA1033" s="6"/>
      <c r="AB1033" s="4"/>
      <c r="AC1033" s="6"/>
      <c r="AG1033" s="4"/>
      <c r="AH1033" s="4"/>
      <c r="AP1033" s="5"/>
      <c r="AR1033" s="5"/>
      <c r="AT1033" s="6"/>
      <c r="BJ1033" s="425"/>
      <c r="BL1033" s="4"/>
      <c r="BT1033" s="6"/>
    </row>
    <row r="1034" spans="1:72">
      <c r="A1034" s="3"/>
      <c r="B1034" s="3"/>
      <c r="C1034" s="3"/>
      <c r="D1034" s="2"/>
      <c r="E1034" s="4"/>
      <c r="N1034" s="5"/>
      <c r="O1034" s="5"/>
      <c r="Q1034" s="4"/>
      <c r="T1034" s="6"/>
      <c r="U1034" s="5"/>
      <c r="V1034" s="6"/>
      <c r="X1034" s="6"/>
      <c r="AA1034" s="6"/>
      <c r="AB1034" s="4"/>
      <c r="AC1034" s="6"/>
      <c r="AG1034" s="4"/>
      <c r="AH1034" s="4"/>
      <c r="AP1034" s="5"/>
      <c r="AR1034" s="5"/>
      <c r="AT1034" s="6"/>
      <c r="BJ1034" s="425"/>
      <c r="BL1034" s="4"/>
      <c r="BT1034" s="6"/>
    </row>
    <row r="1035" spans="1:72">
      <c r="A1035" s="3"/>
      <c r="B1035" s="3"/>
      <c r="C1035" s="3"/>
      <c r="D1035" s="2"/>
      <c r="E1035" s="4"/>
      <c r="N1035" s="5"/>
      <c r="O1035" s="5"/>
      <c r="Q1035" s="4"/>
      <c r="T1035" s="6"/>
      <c r="U1035" s="5"/>
      <c r="V1035" s="6"/>
      <c r="X1035" s="6"/>
      <c r="AA1035" s="6"/>
      <c r="AB1035" s="4"/>
      <c r="AC1035" s="6"/>
      <c r="AG1035" s="4"/>
      <c r="AH1035" s="4"/>
      <c r="AP1035" s="5"/>
      <c r="AR1035" s="5"/>
      <c r="AT1035" s="6"/>
      <c r="BJ1035" s="425"/>
      <c r="BL1035" s="4"/>
      <c r="BT1035" s="6"/>
    </row>
    <row r="1036" spans="1:72">
      <c r="A1036" s="3"/>
      <c r="B1036" s="3"/>
      <c r="C1036" s="3"/>
      <c r="D1036" s="2"/>
      <c r="E1036" s="4"/>
      <c r="N1036" s="5"/>
      <c r="O1036" s="5"/>
      <c r="Q1036" s="4"/>
      <c r="T1036" s="6"/>
      <c r="U1036" s="5"/>
      <c r="V1036" s="6"/>
      <c r="X1036" s="6"/>
      <c r="AA1036" s="6"/>
      <c r="AB1036" s="4"/>
      <c r="AC1036" s="6"/>
      <c r="AG1036" s="4"/>
      <c r="AH1036" s="4"/>
      <c r="AP1036" s="5"/>
      <c r="AR1036" s="5"/>
      <c r="AT1036" s="6"/>
      <c r="BJ1036" s="425"/>
      <c r="BL1036" s="4"/>
      <c r="BT1036" s="6"/>
    </row>
    <row r="1037" spans="1:72">
      <c r="A1037" s="3"/>
      <c r="B1037" s="3"/>
      <c r="C1037" s="3"/>
      <c r="D1037" s="2"/>
      <c r="E1037" s="4"/>
      <c r="N1037" s="5"/>
      <c r="O1037" s="5"/>
      <c r="Q1037" s="4"/>
      <c r="T1037" s="6"/>
      <c r="U1037" s="5"/>
      <c r="V1037" s="6"/>
      <c r="X1037" s="6"/>
      <c r="AA1037" s="6"/>
      <c r="AB1037" s="4"/>
      <c r="AC1037" s="6"/>
      <c r="AG1037" s="4"/>
      <c r="AH1037" s="4"/>
      <c r="AP1037" s="5"/>
      <c r="AR1037" s="5"/>
      <c r="AT1037" s="6"/>
      <c r="BJ1037" s="425"/>
      <c r="BL1037" s="4"/>
      <c r="BT1037" s="6"/>
    </row>
    <row r="1038" spans="1:72">
      <c r="A1038" s="3"/>
      <c r="B1038" s="3"/>
      <c r="C1038" s="3"/>
      <c r="D1038" s="2"/>
      <c r="E1038" s="4"/>
      <c r="N1038" s="5"/>
      <c r="O1038" s="5"/>
      <c r="Q1038" s="4"/>
      <c r="T1038" s="6"/>
      <c r="U1038" s="5"/>
      <c r="V1038" s="6"/>
      <c r="X1038" s="6"/>
      <c r="AA1038" s="6"/>
      <c r="AB1038" s="4"/>
      <c r="AC1038" s="6"/>
      <c r="AG1038" s="4"/>
      <c r="AH1038" s="4"/>
      <c r="AP1038" s="5"/>
      <c r="AR1038" s="5"/>
      <c r="AT1038" s="6"/>
      <c r="BJ1038" s="425"/>
      <c r="BL1038" s="4"/>
      <c r="BT1038" s="6"/>
    </row>
    <row r="1039" spans="1:72">
      <c r="A1039" s="3"/>
      <c r="B1039" s="3"/>
      <c r="C1039" s="3"/>
      <c r="D1039" s="2"/>
      <c r="E1039" s="4"/>
      <c r="N1039" s="5"/>
      <c r="O1039" s="5"/>
      <c r="Q1039" s="4"/>
      <c r="T1039" s="6"/>
      <c r="U1039" s="5"/>
      <c r="V1039" s="6"/>
      <c r="X1039" s="6"/>
      <c r="AA1039" s="6"/>
      <c r="AB1039" s="4"/>
      <c r="AC1039" s="6"/>
      <c r="AG1039" s="4"/>
      <c r="AH1039" s="4"/>
      <c r="AP1039" s="5"/>
      <c r="AR1039" s="5"/>
      <c r="AT1039" s="6"/>
      <c r="BJ1039" s="425"/>
      <c r="BL1039" s="4"/>
      <c r="BT1039" s="6"/>
    </row>
    <row r="1040" spans="1:72">
      <c r="A1040" s="3"/>
      <c r="B1040" s="3"/>
      <c r="C1040" s="3"/>
      <c r="D1040" s="2"/>
      <c r="E1040" s="4"/>
      <c r="N1040" s="5"/>
      <c r="O1040" s="5"/>
      <c r="Q1040" s="4"/>
      <c r="T1040" s="6"/>
      <c r="U1040" s="5"/>
      <c r="V1040" s="6"/>
      <c r="X1040" s="6"/>
      <c r="AA1040" s="6"/>
      <c r="AB1040" s="4"/>
      <c r="AC1040" s="6"/>
      <c r="AG1040" s="4"/>
      <c r="AH1040" s="4"/>
      <c r="AP1040" s="5"/>
      <c r="AR1040" s="5"/>
      <c r="AT1040" s="6"/>
      <c r="BJ1040" s="425"/>
      <c r="BL1040" s="4"/>
      <c r="BT1040" s="6"/>
    </row>
    <row r="1041" spans="1:72">
      <c r="A1041" s="3"/>
      <c r="B1041" s="3"/>
      <c r="C1041" s="3"/>
      <c r="D1041" s="2"/>
      <c r="E1041" s="4"/>
      <c r="N1041" s="5"/>
      <c r="O1041" s="5"/>
      <c r="Q1041" s="4"/>
      <c r="T1041" s="6"/>
      <c r="U1041" s="5"/>
      <c r="V1041" s="6"/>
      <c r="X1041" s="6"/>
      <c r="AA1041" s="6"/>
      <c r="AB1041" s="4"/>
      <c r="AC1041" s="6"/>
      <c r="AG1041" s="4"/>
      <c r="AH1041" s="4"/>
      <c r="AP1041" s="5"/>
      <c r="AR1041" s="5"/>
      <c r="AT1041" s="6"/>
      <c r="BJ1041" s="425"/>
      <c r="BL1041" s="4"/>
      <c r="BT1041" s="6"/>
    </row>
    <row r="1042" spans="1:72">
      <c r="A1042" s="3"/>
      <c r="B1042" s="3"/>
      <c r="C1042" s="3"/>
      <c r="D1042" s="2"/>
      <c r="E1042" s="4"/>
      <c r="N1042" s="5"/>
      <c r="O1042" s="5"/>
      <c r="Q1042" s="4"/>
      <c r="T1042" s="6"/>
      <c r="U1042" s="5"/>
      <c r="V1042" s="6"/>
      <c r="X1042" s="6"/>
      <c r="AA1042" s="6"/>
      <c r="AB1042" s="4"/>
      <c r="AC1042" s="6"/>
      <c r="AG1042" s="4"/>
      <c r="AH1042" s="4"/>
      <c r="AP1042" s="5"/>
      <c r="AR1042" s="5"/>
      <c r="AT1042" s="6"/>
      <c r="BJ1042" s="425"/>
      <c r="BL1042" s="4"/>
      <c r="BT1042" s="6"/>
    </row>
    <row r="1043" spans="1:72">
      <c r="A1043" s="3"/>
      <c r="B1043" s="3"/>
      <c r="C1043" s="3"/>
      <c r="D1043" s="2"/>
      <c r="E1043" s="4"/>
      <c r="N1043" s="5"/>
      <c r="O1043" s="5"/>
      <c r="Q1043" s="4"/>
      <c r="T1043" s="6"/>
      <c r="U1043" s="5"/>
      <c r="V1043" s="6"/>
      <c r="X1043" s="6"/>
      <c r="AA1043" s="6"/>
      <c r="AB1043" s="4"/>
      <c r="AC1043" s="6"/>
      <c r="AG1043" s="4"/>
      <c r="AH1043" s="4"/>
      <c r="AP1043" s="5"/>
      <c r="AR1043" s="5"/>
      <c r="AT1043" s="6"/>
      <c r="BJ1043" s="425"/>
      <c r="BL1043" s="4"/>
      <c r="BT1043" s="6"/>
    </row>
    <row r="1044" spans="1:72">
      <c r="A1044" s="3"/>
      <c r="B1044" s="3"/>
      <c r="C1044" s="3"/>
      <c r="D1044" s="2"/>
      <c r="E1044" s="4"/>
      <c r="N1044" s="5"/>
      <c r="O1044" s="5"/>
      <c r="Q1044" s="4"/>
      <c r="T1044" s="6"/>
      <c r="U1044" s="5"/>
      <c r="V1044" s="6"/>
      <c r="X1044" s="6"/>
      <c r="AA1044" s="6"/>
      <c r="AB1044" s="4"/>
      <c r="AC1044" s="6"/>
      <c r="AG1044" s="4"/>
      <c r="AH1044" s="4"/>
      <c r="AP1044" s="5"/>
      <c r="AR1044" s="5"/>
      <c r="AT1044" s="6"/>
      <c r="BJ1044" s="425"/>
      <c r="BL1044" s="4"/>
      <c r="BT1044" s="6"/>
    </row>
    <row r="1045" spans="1:72">
      <c r="A1045" s="3"/>
      <c r="B1045" s="3"/>
      <c r="C1045" s="3"/>
      <c r="D1045" s="2"/>
      <c r="E1045" s="4"/>
      <c r="N1045" s="5"/>
      <c r="O1045" s="5"/>
      <c r="Q1045" s="4"/>
      <c r="T1045" s="6"/>
      <c r="U1045" s="5"/>
      <c r="V1045" s="6"/>
      <c r="X1045" s="6"/>
      <c r="AA1045" s="6"/>
      <c r="AB1045" s="4"/>
      <c r="AC1045" s="6"/>
      <c r="AG1045" s="4"/>
      <c r="AH1045" s="4"/>
      <c r="AP1045" s="5"/>
      <c r="AR1045" s="5"/>
      <c r="AT1045" s="6"/>
      <c r="BJ1045" s="425"/>
      <c r="BL1045" s="4"/>
      <c r="BT1045" s="6"/>
    </row>
    <row r="1046" spans="1:72">
      <c r="A1046" s="3"/>
      <c r="B1046" s="3"/>
      <c r="C1046" s="3"/>
      <c r="D1046" s="2"/>
      <c r="E1046" s="4"/>
      <c r="N1046" s="5"/>
      <c r="O1046" s="5"/>
      <c r="Q1046" s="4"/>
      <c r="T1046" s="6"/>
      <c r="U1046" s="5"/>
      <c r="V1046" s="6"/>
      <c r="X1046" s="6"/>
      <c r="AA1046" s="6"/>
      <c r="AB1046" s="4"/>
      <c r="AC1046" s="6"/>
      <c r="AG1046" s="4"/>
      <c r="AH1046" s="4"/>
      <c r="AP1046" s="5"/>
      <c r="AR1046" s="5"/>
      <c r="AT1046" s="6"/>
      <c r="BJ1046" s="425"/>
      <c r="BL1046" s="4"/>
      <c r="BT1046" s="6"/>
    </row>
    <row r="1047" spans="1:72">
      <c r="A1047" s="3"/>
      <c r="B1047" s="3"/>
      <c r="C1047" s="3"/>
      <c r="D1047" s="2"/>
      <c r="E1047" s="4"/>
      <c r="N1047" s="5"/>
      <c r="O1047" s="5"/>
      <c r="Q1047" s="4"/>
      <c r="T1047" s="6"/>
      <c r="U1047" s="5"/>
      <c r="V1047" s="6"/>
      <c r="X1047" s="6"/>
      <c r="AA1047" s="6"/>
      <c r="AB1047" s="4"/>
      <c r="AC1047" s="6"/>
      <c r="AG1047" s="4"/>
      <c r="AH1047" s="4"/>
      <c r="AP1047" s="5"/>
      <c r="AR1047" s="5"/>
      <c r="AT1047" s="6"/>
      <c r="BJ1047" s="425"/>
      <c r="BL1047" s="4"/>
      <c r="BT1047" s="6"/>
    </row>
    <row r="1048" spans="1:72">
      <c r="A1048" s="3"/>
      <c r="B1048" s="3"/>
      <c r="C1048" s="3"/>
      <c r="D1048" s="2"/>
      <c r="E1048" s="4"/>
      <c r="N1048" s="5"/>
      <c r="O1048" s="5"/>
      <c r="Q1048" s="4"/>
      <c r="T1048" s="6"/>
      <c r="U1048" s="5"/>
      <c r="V1048" s="6"/>
      <c r="X1048" s="6"/>
      <c r="AA1048" s="6"/>
      <c r="AB1048" s="4"/>
      <c r="AC1048" s="6"/>
      <c r="AG1048" s="4"/>
      <c r="AH1048" s="4"/>
      <c r="AP1048" s="5"/>
      <c r="AR1048" s="5"/>
      <c r="AT1048" s="6"/>
      <c r="BJ1048" s="425"/>
      <c r="BL1048" s="4"/>
      <c r="BT1048" s="6"/>
    </row>
    <row r="1049" spans="1:72">
      <c r="A1049" s="3"/>
      <c r="B1049" s="3"/>
      <c r="C1049" s="3"/>
      <c r="D1049" s="2"/>
      <c r="E1049" s="4"/>
      <c r="N1049" s="5"/>
      <c r="O1049" s="5"/>
      <c r="Q1049" s="4"/>
      <c r="T1049" s="6"/>
      <c r="U1049" s="5"/>
      <c r="V1049" s="6"/>
      <c r="X1049" s="6"/>
      <c r="AA1049" s="6"/>
      <c r="AB1049" s="4"/>
      <c r="AC1049" s="6"/>
      <c r="AG1049" s="4"/>
      <c r="AH1049" s="4"/>
      <c r="AP1049" s="5"/>
      <c r="AR1049" s="5"/>
      <c r="AT1049" s="6"/>
      <c r="BJ1049" s="425"/>
      <c r="BL1049" s="4"/>
      <c r="BT1049" s="6"/>
    </row>
    <row r="1050" spans="1:72">
      <c r="A1050" s="3"/>
      <c r="B1050" s="3"/>
      <c r="C1050" s="3"/>
      <c r="D1050" s="2"/>
      <c r="E1050" s="4"/>
      <c r="N1050" s="5"/>
      <c r="O1050" s="5"/>
      <c r="Q1050" s="4"/>
      <c r="T1050" s="6"/>
      <c r="U1050" s="5"/>
      <c r="V1050" s="6"/>
      <c r="X1050" s="6"/>
      <c r="AA1050" s="6"/>
      <c r="AB1050" s="4"/>
      <c r="AC1050" s="6"/>
      <c r="AG1050" s="4"/>
      <c r="AH1050" s="4"/>
      <c r="AP1050" s="5"/>
      <c r="AR1050" s="5"/>
      <c r="AT1050" s="6"/>
      <c r="BJ1050" s="425"/>
      <c r="BL1050" s="4"/>
      <c r="BT1050" s="6"/>
    </row>
    <row r="1051" spans="1:72">
      <c r="A1051" s="3"/>
      <c r="B1051" s="3"/>
      <c r="C1051" s="3"/>
      <c r="D1051" s="2"/>
      <c r="E1051" s="4"/>
      <c r="N1051" s="5"/>
      <c r="O1051" s="5"/>
      <c r="Q1051" s="4"/>
      <c r="T1051" s="6"/>
      <c r="U1051" s="5"/>
      <c r="V1051" s="6"/>
      <c r="X1051" s="6"/>
      <c r="AA1051" s="6"/>
      <c r="AB1051" s="4"/>
      <c r="AC1051" s="6"/>
      <c r="AG1051" s="4"/>
      <c r="AH1051" s="4"/>
      <c r="AP1051" s="5"/>
      <c r="AR1051" s="5"/>
      <c r="AT1051" s="6"/>
      <c r="BJ1051" s="425"/>
      <c r="BL1051" s="4"/>
      <c r="BT1051" s="6"/>
    </row>
    <row r="1052" spans="1:72">
      <c r="A1052" s="3"/>
      <c r="B1052" s="3"/>
      <c r="C1052" s="3"/>
      <c r="D1052" s="2"/>
      <c r="E1052" s="4"/>
      <c r="N1052" s="5"/>
      <c r="O1052" s="5"/>
      <c r="Q1052" s="4"/>
      <c r="T1052" s="6"/>
      <c r="U1052" s="5"/>
      <c r="V1052" s="6"/>
      <c r="X1052" s="6"/>
      <c r="AA1052" s="6"/>
      <c r="AB1052" s="4"/>
      <c r="AC1052" s="6"/>
      <c r="AG1052" s="4"/>
      <c r="AH1052" s="4"/>
      <c r="AP1052" s="5"/>
      <c r="AR1052" s="5"/>
      <c r="AT1052" s="6"/>
      <c r="BJ1052" s="425"/>
      <c r="BL1052" s="4"/>
      <c r="BT1052" s="6"/>
    </row>
    <row r="1053" spans="1:72">
      <c r="A1053" s="3"/>
      <c r="B1053" s="3"/>
      <c r="C1053" s="3"/>
      <c r="D1053" s="2"/>
      <c r="E1053" s="4"/>
      <c r="N1053" s="5"/>
      <c r="O1053" s="5"/>
      <c r="Q1053" s="4"/>
      <c r="T1053" s="6"/>
      <c r="U1053" s="5"/>
      <c r="V1053" s="6"/>
      <c r="X1053" s="6"/>
      <c r="AA1053" s="6"/>
      <c r="AB1053" s="4"/>
      <c r="AC1053" s="6"/>
      <c r="AG1053" s="4"/>
      <c r="AH1053" s="4"/>
      <c r="AP1053" s="5"/>
      <c r="AR1053" s="5"/>
      <c r="AT1053" s="6"/>
      <c r="BJ1053" s="425"/>
      <c r="BL1053" s="4"/>
      <c r="BT1053" s="6"/>
    </row>
    <row r="1054" spans="1:72">
      <c r="A1054" s="3"/>
      <c r="B1054" s="3"/>
      <c r="C1054" s="3"/>
      <c r="D1054" s="2"/>
      <c r="E1054" s="4"/>
      <c r="N1054" s="5"/>
      <c r="O1054" s="5"/>
      <c r="Q1054" s="4"/>
      <c r="T1054" s="6"/>
      <c r="U1054" s="5"/>
      <c r="V1054" s="6"/>
      <c r="X1054" s="6"/>
      <c r="AA1054" s="6"/>
      <c r="AB1054" s="4"/>
      <c r="AC1054" s="6"/>
      <c r="AG1054" s="4"/>
      <c r="AH1054" s="4"/>
      <c r="AP1054" s="5"/>
      <c r="AR1054" s="5"/>
      <c r="AT1054" s="6"/>
      <c r="BJ1054" s="425"/>
      <c r="BL1054" s="4"/>
      <c r="BT1054" s="6"/>
    </row>
    <row r="1055" spans="1:72">
      <c r="A1055" s="3"/>
      <c r="B1055" s="3"/>
      <c r="C1055" s="3"/>
      <c r="D1055" s="2"/>
      <c r="E1055" s="4"/>
      <c r="N1055" s="5"/>
      <c r="O1055" s="5"/>
      <c r="Q1055" s="4"/>
      <c r="T1055" s="6"/>
      <c r="U1055" s="5"/>
      <c r="V1055" s="6"/>
      <c r="X1055" s="6"/>
      <c r="AA1055" s="6"/>
      <c r="AB1055" s="4"/>
      <c r="AC1055" s="6"/>
      <c r="AG1055" s="4"/>
      <c r="AH1055" s="4"/>
      <c r="AP1055" s="5"/>
      <c r="AR1055" s="5"/>
      <c r="AT1055" s="6"/>
      <c r="BJ1055" s="425"/>
      <c r="BL1055" s="4"/>
      <c r="BT1055" s="6"/>
    </row>
    <row r="1056" spans="1:72">
      <c r="A1056" s="3"/>
      <c r="B1056" s="3"/>
      <c r="C1056" s="3"/>
      <c r="D1056" s="2"/>
      <c r="E1056" s="4"/>
      <c r="N1056" s="5"/>
      <c r="O1056" s="5"/>
      <c r="Q1056" s="4"/>
      <c r="T1056" s="6"/>
      <c r="U1056" s="5"/>
      <c r="V1056" s="6"/>
      <c r="X1056" s="6"/>
      <c r="AA1056" s="6"/>
      <c r="AB1056" s="4"/>
      <c r="AC1056" s="6"/>
      <c r="AG1056" s="4"/>
      <c r="AH1056" s="4"/>
      <c r="AP1056" s="5"/>
      <c r="AR1056" s="5"/>
      <c r="AT1056" s="6"/>
      <c r="BJ1056" s="425"/>
      <c r="BL1056" s="4"/>
      <c r="BT1056" s="6"/>
    </row>
    <row r="1057" spans="1:72">
      <c r="A1057" s="3"/>
      <c r="B1057" s="3"/>
      <c r="C1057" s="3"/>
      <c r="D1057" s="2"/>
      <c r="E1057" s="4"/>
      <c r="N1057" s="5"/>
      <c r="O1057" s="5"/>
      <c r="Q1057" s="4"/>
      <c r="T1057" s="6"/>
      <c r="U1057" s="5"/>
      <c r="V1057" s="6"/>
      <c r="X1057" s="6"/>
      <c r="AA1057" s="6"/>
      <c r="AB1057" s="4"/>
      <c r="AC1057" s="6"/>
      <c r="AG1057" s="4"/>
      <c r="AH1057" s="4"/>
      <c r="AP1057" s="5"/>
      <c r="AR1057" s="5"/>
      <c r="AT1057" s="6"/>
      <c r="BJ1057" s="425"/>
      <c r="BL1057" s="4"/>
      <c r="BT1057" s="6"/>
    </row>
    <row r="1058" spans="1:72">
      <c r="A1058" s="3"/>
      <c r="B1058" s="3"/>
      <c r="C1058" s="3"/>
      <c r="D1058" s="2"/>
      <c r="E1058" s="4"/>
      <c r="N1058" s="5"/>
      <c r="O1058" s="5"/>
      <c r="Q1058" s="4"/>
      <c r="T1058" s="6"/>
      <c r="U1058" s="5"/>
      <c r="V1058" s="6"/>
      <c r="X1058" s="6"/>
      <c r="AA1058" s="6"/>
      <c r="AB1058" s="4"/>
      <c r="AC1058" s="6"/>
      <c r="AG1058" s="4"/>
      <c r="AH1058" s="4"/>
      <c r="AP1058" s="5"/>
      <c r="AR1058" s="5"/>
      <c r="AT1058" s="6"/>
      <c r="BJ1058" s="425"/>
      <c r="BL1058" s="4"/>
      <c r="BT1058" s="6"/>
    </row>
    <row r="1059" spans="1:72">
      <c r="A1059" s="3"/>
      <c r="B1059" s="3"/>
      <c r="C1059" s="3"/>
      <c r="D1059" s="2"/>
      <c r="E1059" s="4"/>
      <c r="N1059" s="5"/>
      <c r="O1059" s="5"/>
      <c r="Q1059" s="4"/>
      <c r="T1059" s="6"/>
      <c r="U1059" s="5"/>
      <c r="V1059" s="6"/>
      <c r="X1059" s="6"/>
      <c r="AA1059" s="6"/>
      <c r="AB1059" s="4"/>
      <c r="AC1059" s="6"/>
      <c r="AG1059" s="4"/>
      <c r="AH1059" s="4"/>
      <c r="AP1059" s="5"/>
      <c r="AR1059" s="5"/>
      <c r="AT1059" s="6"/>
      <c r="BJ1059" s="425"/>
      <c r="BL1059" s="4"/>
      <c r="BT1059" s="6"/>
    </row>
    <row r="1060" spans="1:72">
      <c r="A1060" s="3"/>
      <c r="B1060" s="3"/>
      <c r="C1060" s="3"/>
      <c r="D1060" s="2"/>
      <c r="E1060" s="4"/>
      <c r="N1060" s="5"/>
      <c r="O1060" s="5"/>
      <c r="Q1060" s="4"/>
      <c r="T1060" s="6"/>
      <c r="U1060" s="5"/>
      <c r="V1060" s="6"/>
      <c r="X1060" s="6"/>
      <c r="AA1060" s="6"/>
      <c r="AB1060" s="4"/>
      <c r="AC1060" s="6"/>
      <c r="AG1060" s="4"/>
      <c r="AH1060" s="4"/>
      <c r="AP1060" s="5"/>
      <c r="AR1060" s="5"/>
      <c r="AT1060" s="6"/>
      <c r="BJ1060" s="425"/>
      <c r="BL1060" s="4"/>
      <c r="BT1060" s="6"/>
    </row>
    <row r="1061" spans="1:72">
      <c r="A1061" s="3"/>
      <c r="B1061" s="3"/>
      <c r="C1061" s="3"/>
      <c r="D1061" s="2"/>
      <c r="E1061" s="4"/>
      <c r="N1061" s="5"/>
      <c r="O1061" s="5"/>
      <c r="Q1061" s="4"/>
      <c r="T1061" s="6"/>
      <c r="U1061" s="5"/>
      <c r="V1061" s="6"/>
      <c r="X1061" s="6"/>
      <c r="AA1061" s="6"/>
      <c r="AB1061" s="4"/>
      <c r="AC1061" s="6"/>
      <c r="AG1061" s="4"/>
      <c r="AH1061" s="4"/>
      <c r="AP1061" s="5"/>
      <c r="AR1061" s="5"/>
      <c r="AT1061" s="6"/>
      <c r="BJ1061" s="425"/>
      <c r="BL1061" s="4"/>
      <c r="BT1061" s="6"/>
    </row>
    <row r="1062" spans="1:72">
      <c r="A1062" s="3"/>
      <c r="B1062" s="3"/>
      <c r="C1062" s="3"/>
      <c r="D1062" s="2"/>
      <c r="E1062" s="4"/>
      <c r="N1062" s="5"/>
      <c r="O1062" s="5"/>
      <c r="Q1062" s="4"/>
      <c r="T1062" s="6"/>
      <c r="U1062" s="5"/>
      <c r="V1062" s="6"/>
      <c r="X1062" s="6"/>
      <c r="AA1062" s="6"/>
      <c r="AB1062" s="4"/>
      <c r="AC1062" s="6"/>
      <c r="AG1062" s="4"/>
      <c r="AH1062" s="4"/>
      <c r="AP1062" s="5"/>
      <c r="AR1062" s="5"/>
      <c r="AT1062" s="6"/>
      <c r="BJ1062" s="425"/>
      <c r="BL1062" s="4"/>
      <c r="BT1062" s="6"/>
    </row>
    <row r="1063" spans="1:72">
      <c r="A1063" s="3"/>
      <c r="B1063" s="3"/>
      <c r="C1063" s="3"/>
      <c r="D1063" s="2"/>
      <c r="E1063" s="4"/>
      <c r="N1063" s="5"/>
      <c r="O1063" s="5"/>
      <c r="Q1063" s="4"/>
      <c r="T1063" s="6"/>
      <c r="U1063" s="5"/>
      <c r="V1063" s="6"/>
      <c r="X1063" s="6"/>
      <c r="AA1063" s="6"/>
      <c r="AB1063" s="4"/>
      <c r="AC1063" s="6"/>
      <c r="AG1063" s="4"/>
      <c r="AH1063" s="4"/>
      <c r="AP1063" s="5"/>
      <c r="AR1063" s="5"/>
      <c r="AT1063" s="6"/>
      <c r="BJ1063" s="425"/>
      <c r="BL1063" s="4"/>
      <c r="BT1063" s="6"/>
    </row>
    <row r="1064" spans="1:72">
      <c r="A1064" s="3"/>
      <c r="B1064" s="3"/>
      <c r="C1064" s="3"/>
      <c r="D1064" s="2"/>
      <c r="E1064" s="4"/>
      <c r="N1064" s="5"/>
      <c r="O1064" s="5"/>
      <c r="Q1064" s="4"/>
      <c r="T1064" s="6"/>
      <c r="U1064" s="5"/>
      <c r="V1064" s="6"/>
      <c r="X1064" s="6"/>
      <c r="AA1064" s="6"/>
      <c r="AB1064" s="4"/>
      <c r="AC1064" s="6"/>
      <c r="AG1064" s="4"/>
      <c r="AH1064" s="4"/>
      <c r="AP1064" s="5"/>
      <c r="AR1064" s="5"/>
      <c r="AT1064" s="6"/>
      <c r="BJ1064" s="425"/>
      <c r="BL1064" s="4"/>
      <c r="BT1064" s="6"/>
    </row>
    <row r="1065" spans="1:72">
      <c r="A1065" s="3"/>
      <c r="B1065" s="3"/>
      <c r="C1065" s="3"/>
      <c r="D1065" s="2"/>
      <c r="E1065" s="4"/>
      <c r="N1065" s="5"/>
      <c r="O1065" s="5"/>
      <c r="Q1065" s="4"/>
      <c r="T1065" s="6"/>
      <c r="U1065" s="5"/>
      <c r="V1065" s="6"/>
      <c r="X1065" s="6"/>
      <c r="AA1065" s="6"/>
      <c r="AB1065" s="4"/>
      <c r="AC1065" s="6"/>
      <c r="AG1065" s="4"/>
      <c r="AH1065" s="4"/>
      <c r="AP1065" s="5"/>
      <c r="AR1065" s="5"/>
      <c r="AT1065" s="6"/>
      <c r="BJ1065" s="425"/>
      <c r="BL1065" s="4"/>
      <c r="BT1065" s="6"/>
    </row>
    <row r="1066" spans="1:72">
      <c r="A1066" s="3"/>
      <c r="B1066" s="3"/>
      <c r="C1066" s="3"/>
      <c r="D1066" s="2"/>
      <c r="E1066" s="4"/>
      <c r="N1066" s="5"/>
      <c r="O1066" s="5"/>
      <c r="Q1066" s="4"/>
      <c r="T1066" s="6"/>
      <c r="U1066" s="5"/>
      <c r="V1066" s="6"/>
      <c r="X1066" s="6"/>
      <c r="AA1066" s="6"/>
      <c r="AB1066" s="4"/>
      <c r="AC1066" s="6"/>
      <c r="AG1066" s="4"/>
      <c r="AH1066" s="4"/>
      <c r="AP1066" s="5"/>
      <c r="AR1066" s="5"/>
      <c r="AT1066" s="6"/>
      <c r="BJ1066" s="425"/>
      <c r="BL1066" s="4"/>
      <c r="BT1066" s="6"/>
    </row>
    <row r="1067" spans="1:72">
      <c r="A1067" s="3"/>
      <c r="B1067" s="3"/>
      <c r="C1067" s="3"/>
      <c r="D1067" s="2"/>
      <c r="E1067" s="4"/>
      <c r="N1067" s="5"/>
      <c r="O1067" s="5"/>
      <c r="Q1067" s="4"/>
      <c r="T1067" s="6"/>
      <c r="U1067" s="5"/>
      <c r="V1067" s="6"/>
      <c r="X1067" s="6"/>
      <c r="AA1067" s="6"/>
      <c r="AB1067" s="4"/>
      <c r="AC1067" s="6"/>
      <c r="AG1067" s="4"/>
      <c r="AH1067" s="4"/>
      <c r="AP1067" s="5"/>
      <c r="AR1067" s="5"/>
      <c r="AT1067" s="6"/>
      <c r="BJ1067" s="425"/>
      <c r="BL1067" s="4"/>
      <c r="BT1067" s="6"/>
    </row>
    <row r="1068" spans="1:72">
      <c r="A1068" s="3"/>
      <c r="B1068" s="3"/>
      <c r="C1068" s="3"/>
      <c r="D1068" s="2"/>
      <c r="E1068" s="4"/>
      <c r="N1068" s="5"/>
      <c r="O1068" s="5"/>
      <c r="Q1068" s="4"/>
      <c r="T1068" s="6"/>
      <c r="U1068" s="5"/>
      <c r="V1068" s="6"/>
      <c r="X1068" s="6"/>
      <c r="AA1068" s="6"/>
      <c r="AB1068" s="4"/>
      <c r="AC1068" s="6"/>
      <c r="AG1068" s="4"/>
      <c r="AH1068" s="4"/>
      <c r="AP1068" s="5"/>
      <c r="AR1068" s="5"/>
      <c r="AT1068" s="6"/>
      <c r="BJ1068" s="425"/>
      <c r="BL1068" s="4"/>
      <c r="BT1068" s="6"/>
    </row>
    <row r="1069" spans="1:72">
      <c r="A1069" s="3"/>
      <c r="B1069" s="3"/>
      <c r="C1069" s="3"/>
      <c r="D1069" s="2"/>
      <c r="E1069" s="4"/>
      <c r="N1069" s="5"/>
      <c r="O1069" s="5"/>
      <c r="Q1069" s="4"/>
      <c r="T1069" s="6"/>
      <c r="U1069" s="5"/>
      <c r="V1069" s="6"/>
      <c r="X1069" s="6"/>
      <c r="AA1069" s="6"/>
      <c r="AB1069" s="4"/>
      <c r="AC1069" s="6"/>
      <c r="AG1069" s="4"/>
      <c r="AH1069" s="4"/>
      <c r="AP1069" s="5"/>
      <c r="AR1069" s="5"/>
      <c r="AT1069" s="6"/>
      <c r="BJ1069" s="425"/>
      <c r="BL1069" s="4"/>
      <c r="BT1069" s="6"/>
    </row>
    <row r="1070" spans="1:72">
      <c r="A1070" s="3"/>
      <c r="B1070" s="3"/>
      <c r="C1070" s="3"/>
      <c r="D1070" s="2"/>
      <c r="E1070" s="4"/>
      <c r="N1070" s="5"/>
      <c r="O1070" s="5"/>
      <c r="Q1070" s="4"/>
      <c r="T1070" s="6"/>
      <c r="U1070" s="5"/>
      <c r="V1070" s="6"/>
      <c r="X1070" s="6"/>
      <c r="AA1070" s="6"/>
      <c r="AB1070" s="4"/>
      <c r="AC1070" s="6"/>
      <c r="AG1070" s="4"/>
      <c r="AH1070" s="4"/>
      <c r="AP1070" s="5"/>
      <c r="AR1070" s="5"/>
      <c r="AT1070" s="6"/>
      <c r="BJ1070" s="425"/>
      <c r="BL1070" s="4"/>
      <c r="BT1070" s="6"/>
    </row>
    <row r="1071" spans="1:72">
      <c r="A1071" s="3"/>
      <c r="B1071" s="3"/>
      <c r="C1071" s="3"/>
      <c r="D1071" s="2"/>
      <c r="E1071" s="4"/>
      <c r="N1071" s="5"/>
      <c r="O1071" s="5"/>
      <c r="Q1071" s="4"/>
      <c r="T1071" s="6"/>
      <c r="U1071" s="5"/>
      <c r="V1071" s="6"/>
      <c r="X1071" s="6"/>
      <c r="AA1071" s="6"/>
      <c r="AB1071" s="4"/>
      <c r="AC1071" s="6"/>
      <c r="AG1071" s="4"/>
      <c r="AH1071" s="4"/>
      <c r="AP1071" s="5"/>
      <c r="AR1071" s="5"/>
      <c r="AT1071" s="6"/>
      <c r="BJ1071" s="425"/>
      <c r="BL1071" s="4"/>
      <c r="BT1071" s="6"/>
    </row>
    <row r="1072" spans="1:72">
      <c r="A1072" s="3"/>
      <c r="B1072" s="3"/>
      <c r="C1072" s="3"/>
      <c r="D1072" s="2"/>
      <c r="E1072" s="4"/>
      <c r="N1072" s="5"/>
      <c r="O1072" s="5"/>
      <c r="Q1072" s="4"/>
      <c r="T1072" s="6"/>
      <c r="U1072" s="5"/>
      <c r="V1072" s="6"/>
      <c r="X1072" s="6"/>
      <c r="AA1072" s="6"/>
      <c r="AB1072" s="4"/>
      <c r="AC1072" s="6"/>
      <c r="AG1072" s="4"/>
      <c r="AH1072" s="4"/>
      <c r="AP1072" s="5"/>
      <c r="AR1072" s="5"/>
      <c r="AT1072" s="6"/>
      <c r="BJ1072" s="425"/>
      <c r="BL1072" s="4"/>
      <c r="BT1072" s="6"/>
    </row>
    <row r="1073" spans="1:72">
      <c r="A1073" s="3"/>
      <c r="B1073" s="3"/>
      <c r="C1073" s="3"/>
      <c r="D1073" s="2"/>
      <c r="E1073" s="4"/>
      <c r="N1073" s="5"/>
      <c r="O1073" s="5"/>
      <c r="Q1073" s="4"/>
      <c r="T1073" s="6"/>
      <c r="U1073" s="5"/>
      <c r="V1073" s="6"/>
      <c r="X1073" s="6"/>
      <c r="AA1073" s="6"/>
      <c r="AB1073" s="4"/>
      <c r="AC1073" s="6"/>
      <c r="AG1073" s="4"/>
      <c r="AH1073" s="4"/>
      <c r="AP1073" s="5"/>
      <c r="AR1073" s="5"/>
      <c r="AT1073" s="6"/>
      <c r="BJ1073" s="425"/>
      <c r="BL1073" s="4"/>
      <c r="BT1073" s="6"/>
    </row>
    <row r="1074" spans="1:72">
      <c r="A1074" s="3"/>
      <c r="B1074" s="3"/>
      <c r="C1074" s="3"/>
      <c r="D1074" s="2"/>
      <c r="E1074" s="4"/>
      <c r="N1074" s="5"/>
      <c r="O1074" s="5"/>
      <c r="Q1074" s="4"/>
      <c r="T1074" s="6"/>
      <c r="U1074" s="5"/>
      <c r="V1074" s="6"/>
      <c r="X1074" s="6"/>
      <c r="AA1074" s="6"/>
      <c r="AB1074" s="4"/>
      <c r="AC1074" s="6"/>
      <c r="AG1074" s="4"/>
      <c r="AH1074" s="4"/>
      <c r="AP1074" s="5"/>
      <c r="AR1074" s="5"/>
      <c r="AT1074" s="6"/>
      <c r="BJ1074" s="425"/>
      <c r="BL1074" s="4"/>
      <c r="BT1074" s="6"/>
    </row>
    <row r="1075" spans="1:72">
      <c r="A1075" s="3"/>
      <c r="B1075" s="3"/>
      <c r="C1075" s="3"/>
      <c r="D1075" s="2"/>
      <c r="E1075" s="4"/>
      <c r="N1075" s="5"/>
      <c r="O1075" s="5"/>
      <c r="Q1075" s="4"/>
      <c r="T1075" s="6"/>
      <c r="U1075" s="5"/>
      <c r="V1075" s="6"/>
      <c r="X1075" s="6"/>
      <c r="AA1075" s="6"/>
      <c r="AB1075" s="4"/>
      <c r="AC1075" s="6"/>
      <c r="AG1075" s="4"/>
      <c r="AH1075" s="4"/>
      <c r="AP1075" s="5"/>
      <c r="AR1075" s="5"/>
      <c r="AT1075" s="6"/>
      <c r="BJ1075" s="425"/>
      <c r="BL1075" s="4"/>
      <c r="BT1075" s="6"/>
    </row>
    <row r="1076" spans="1:72">
      <c r="A1076" s="3"/>
      <c r="B1076" s="3"/>
      <c r="C1076" s="3"/>
      <c r="D1076" s="2"/>
      <c r="E1076" s="4"/>
      <c r="N1076" s="5"/>
      <c r="O1076" s="5"/>
      <c r="Q1076" s="4"/>
      <c r="T1076" s="6"/>
      <c r="U1076" s="5"/>
      <c r="V1076" s="6"/>
      <c r="X1076" s="6"/>
      <c r="AA1076" s="6"/>
      <c r="AB1076" s="4"/>
      <c r="AC1076" s="6"/>
      <c r="AG1076" s="4"/>
      <c r="AH1076" s="4"/>
      <c r="AP1076" s="5"/>
      <c r="AR1076" s="5"/>
      <c r="AT1076" s="6"/>
      <c r="BJ1076" s="425"/>
      <c r="BL1076" s="4"/>
      <c r="BT1076" s="6"/>
    </row>
    <row r="1077" spans="1:72">
      <c r="A1077" s="3"/>
      <c r="B1077" s="3"/>
      <c r="C1077" s="3"/>
      <c r="D1077" s="2"/>
      <c r="E1077" s="4"/>
      <c r="N1077" s="5"/>
      <c r="O1077" s="5"/>
      <c r="Q1077" s="4"/>
      <c r="T1077" s="6"/>
      <c r="U1077" s="5"/>
      <c r="V1077" s="6"/>
      <c r="X1077" s="6"/>
      <c r="AA1077" s="6"/>
      <c r="AB1077" s="4"/>
      <c r="AC1077" s="6"/>
      <c r="AG1077" s="4"/>
      <c r="AH1077" s="4"/>
      <c r="AP1077" s="5"/>
      <c r="AR1077" s="5"/>
      <c r="AT1077" s="6"/>
      <c r="BJ1077" s="425"/>
      <c r="BL1077" s="4"/>
      <c r="BT1077" s="6"/>
    </row>
    <row r="1078" spans="1:72">
      <c r="A1078" s="3"/>
      <c r="B1078" s="3"/>
      <c r="C1078" s="3"/>
      <c r="D1078" s="2"/>
      <c r="E1078" s="4"/>
      <c r="N1078" s="5"/>
      <c r="O1078" s="5"/>
      <c r="Q1078" s="4"/>
      <c r="T1078" s="6"/>
      <c r="U1078" s="5"/>
      <c r="V1078" s="6"/>
      <c r="X1078" s="6"/>
      <c r="AA1078" s="6"/>
      <c r="AB1078" s="4"/>
      <c r="AC1078" s="6"/>
      <c r="AG1078" s="4"/>
      <c r="AH1078" s="4"/>
      <c r="AP1078" s="5"/>
      <c r="AR1078" s="5"/>
      <c r="AT1078" s="6"/>
      <c r="BJ1078" s="425"/>
      <c r="BL1078" s="4"/>
      <c r="BT1078" s="6"/>
    </row>
    <row r="1079" spans="1:72">
      <c r="A1079" s="3"/>
      <c r="B1079" s="3"/>
      <c r="C1079" s="3"/>
      <c r="D1079" s="2"/>
      <c r="E1079" s="4"/>
      <c r="N1079" s="5"/>
      <c r="O1079" s="5"/>
      <c r="Q1079" s="4"/>
      <c r="T1079" s="6"/>
      <c r="U1079" s="5"/>
      <c r="V1079" s="6"/>
      <c r="X1079" s="6"/>
      <c r="AA1079" s="6"/>
      <c r="AB1079" s="4"/>
      <c r="AC1079" s="6"/>
      <c r="AG1079" s="4"/>
      <c r="AH1079" s="4"/>
      <c r="AP1079" s="5"/>
      <c r="AR1079" s="5"/>
      <c r="AT1079" s="6"/>
      <c r="BJ1079" s="425"/>
      <c r="BL1079" s="4"/>
      <c r="BT1079" s="6"/>
    </row>
    <row r="1080" spans="1:72">
      <c r="A1080" s="3"/>
      <c r="B1080" s="3"/>
      <c r="C1080" s="3"/>
      <c r="D1080" s="2"/>
      <c r="E1080" s="4"/>
      <c r="N1080" s="5"/>
      <c r="O1080" s="5"/>
      <c r="Q1080" s="4"/>
      <c r="T1080" s="6"/>
      <c r="U1080" s="5"/>
      <c r="V1080" s="6"/>
      <c r="X1080" s="6"/>
      <c r="AA1080" s="6"/>
      <c r="AB1080" s="4"/>
      <c r="AC1080" s="6"/>
      <c r="AG1080" s="4"/>
      <c r="AH1080" s="4"/>
      <c r="AP1080" s="5"/>
      <c r="AR1080" s="5"/>
      <c r="AT1080" s="6"/>
      <c r="BJ1080" s="425"/>
      <c r="BL1080" s="4"/>
      <c r="BT1080" s="6"/>
    </row>
    <row r="1081" spans="1:72">
      <c r="A1081" s="3"/>
      <c r="B1081" s="3"/>
      <c r="C1081" s="3"/>
      <c r="D1081" s="2"/>
      <c r="E1081" s="4"/>
      <c r="N1081" s="5"/>
      <c r="O1081" s="5"/>
      <c r="Q1081" s="4"/>
      <c r="T1081" s="6"/>
      <c r="U1081" s="5"/>
      <c r="V1081" s="6"/>
      <c r="X1081" s="6"/>
      <c r="AA1081" s="6"/>
      <c r="AB1081" s="4"/>
      <c r="AC1081" s="6"/>
      <c r="AG1081" s="4"/>
      <c r="AH1081" s="4"/>
      <c r="AP1081" s="5"/>
      <c r="AR1081" s="5"/>
      <c r="AT1081" s="6"/>
      <c r="BJ1081" s="425"/>
      <c r="BL1081" s="4"/>
      <c r="BT1081" s="6"/>
    </row>
    <row r="1082" spans="1:72">
      <c r="A1082" s="3"/>
      <c r="B1082" s="3"/>
      <c r="C1082" s="3"/>
      <c r="D1082" s="2"/>
      <c r="E1082" s="4"/>
      <c r="N1082" s="5"/>
      <c r="O1082" s="5"/>
      <c r="Q1082" s="4"/>
      <c r="T1082" s="6"/>
      <c r="U1082" s="5"/>
      <c r="V1082" s="6"/>
      <c r="X1082" s="6"/>
      <c r="AA1082" s="6"/>
      <c r="AB1082" s="4"/>
      <c r="AC1082" s="6"/>
      <c r="AG1082" s="4"/>
      <c r="AH1082" s="4"/>
      <c r="AP1082" s="5"/>
      <c r="AR1082" s="5"/>
      <c r="AT1082" s="6"/>
      <c r="BJ1082" s="425"/>
      <c r="BL1082" s="4"/>
      <c r="BT1082" s="6"/>
    </row>
    <row r="1083" spans="1:72">
      <c r="A1083" s="3"/>
      <c r="B1083" s="3"/>
      <c r="C1083" s="3"/>
      <c r="D1083" s="2"/>
      <c r="E1083" s="4"/>
      <c r="N1083" s="5"/>
      <c r="O1083" s="5"/>
      <c r="Q1083" s="4"/>
      <c r="T1083" s="6"/>
      <c r="U1083" s="5"/>
      <c r="V1083" s="6"/>
      <c r="X1083" s="6"/>
      <c r="AA1083" s="6"/>
      <c r="AB1083" s="4"/>
      <c r="AC1083" s="6"/>
      <c r="AG1083" s="4"/>
      <c r="AH1083" s="4"/>
      <c r="AP1083" s="5"/>
      <c r="AR1083" s="5"/>
      <c r="AT1083" s="6"/>
      <c r="BJ1083" s="425"/>
      <c r="BL1083" s="4"/>
      <c r="BT1083" s="6"/>
    </row>
    <row r="1084" spans="1:72">
      <c r="A1084" s="3"/>
      <c r="B1084" s="3"/>
      <c r="C1084" s="3"/>
      <c r="D1084" s="2"/>
      <c r="E1084" s="4"/>
      <c r="N1084" s="5"/>
      <c r="O1084" s="5"/>
      <c r="Q1084" s="4"/>
      <c r="T1084" s="6"/>
      <c r="U1084" s="5"/>
      <c r="V1084" s="6"/>
      <c r="X1084" s="6"/>
      <c r="AA1084" s="6"/>
      <c r="AB1084" s="4"/>
      <c r="AC1084" s="6"/>
      <c r="AG1084" s="4"/>
      <c r="AH1084" s="4"/>
      <c r="AP1084" s="5"/>
      <c r="AR1084" s="5"/>
      <c r="AT1084" s="6"/>
      <c r="BJ1084" s="425"/>
      <c r="BL1084" s="4"/>
      <c r="BT1084" s="6"/>
    </row>
    <row r="1085" spans="1:72">
      <c r="A1085" s="3"/>
      <c r="B1085" s="3"/>
      <c r="C1085" s="3"/>
      <c r="D1085" s="2"/>
      <c r="E1085" s="4"/>
      <c r="N1085" s="5"/>
      <c r="O1085" s="5"/>
      <c r="Q1085" s="4"/>
      <c r="T1085" s="6"/>
      <c r="U1085" s="5"/>
      <c r="V1085" s="6"/>
      <c r="X1085" s="6"/>
      <c r="AA1085" s="6"/>
      <c r="AB1085" s="4"/>
      <c r="AC1085" s="6"/>
      <c r="AG1085" s="4"/>
      <c r="AH1085" s="4"/>
      <c r="AP1085" s="5"/>
      <c r="AR1085" s="5"/>
      <c r="AT1085" s="6"/>
      <c r="BJ1085" s="425"/>
      <c r="BL1085" s="4"/>
      <c r="BT1085" s="6"/>
    </row>
    <row r="1086" spans="1:72">
      <c r="A1086" s="3"/>
      <c r="B1086" s="3"/>
      <c r="C1086" s="3"/>
      <c r="D1086" s="2"/>
      <c r="E1086" s="4"/>
      <c r="N1086" s="5"/>
      <c r="O1086" s="5"/>
      <c r="Q1086" s="4"/>
      <c r="T1086" s="6"/>
      <c r="U1086" s="5"/>
      <c r="V1086" s="6"/>
      <c r="X1086" s="6"/>
      <c r="AA1086" s="6"/>
      <c r="AB1086" s="4"/>
      <c r="AC1086" s="6"/>
      <c r="AG1086" s="4"/>
      <c r="AH1086" s="4"/>
      <c r="AP1086" s="5"/>
      <c r="AR1086" s="5"/>
      <c r="AT1086" s="6"/>
      <c r="BJ1086" s="425"/>
      <c r="BL1086" s="4"/>
      <c r="BT1086" s="6"/>
    </row>
    <row r="1087" spans="1:72">
      <c r="A1087" s="3"/>
      <c r="B1087" s="3"/>
      <c r="C1087" s="3"/>
      <c r="D1087" s="2"/>
      <c r="E1087" s="4"/>
      <c r="N1087" s="5"/>
      <c r="O1087" s="5"/>
      <c r="Q1087" s="4"/>
      <c r="T1087" s="6"/>
      <c r="U1087" s="5"/>
      <c r="V1087" s="6"/>
      <c r="X1087" s="6"/>
      <c r="AA1087" s="6"/>
      <c r="AB1087" s="4"/>
      <c r="AC1087" s="6"/>
      <c r="AG1087" s="4"/>
      <c r="AH1087" s="4"/>
      <c r="AP1087" s="5"/>
      <c r="AR1087" s="5"/>
      <c r="AT1087" s="6"/>
      <c r="BJ1087" s="425"/>
      <c r="BL1087" s="4"/>
      <c r="BT1087" s="6"/>
    </row>
    <row r="1088" spans="1:72">
      <c r="A1088" s="3"/>
      <c r="B1088" s="3"/>
      <c r="C1088" s="3"/>
      <c r="D1088" s="2"/>
      <c r="E1088" s="4"/>
      <c r="N1088" s="5"/>
      <c r="O1088" s="5"/>
      <c r="Q1088" s="4"/>
      <c r="T1088" s="6"/>
      <c r="U1088" s="5"/>
      <c r="V1088" s="6"/>
      <c r="X1088" s="6"/>
      <c r="AA1088" s="6"/>
      <c r="AB1088" s="4"/>
      <c r="AC1088" s="6"/>
      <c r="AG1088" s="4"/>
      <c r="AH1088" s="4"/>
      <c r="AP1088" s="5"/>
      <c r="AR1088" s="5"/>
      <c r="AT1088" s="6"/>
      <c r="BJ1088" s="425"/>
      <c r="BL1088" s="4"/>
      <c r="BT1088" s="6"/>
    </row>
    <row r="1089" spans="1:72">
      <c r="A1089" s="3"/>
      <c r="B1089" s="3"/>
      <c r="C1089" s="3"/>
      <c r="D1089" s="2"/>
      <c r="E1089" s="4"/>
      <c r="N1089" s="5"/>
      <c r="O1089" s="5"/>
      <c r="Q1089" s="4"/>
      <c r="T1089" s="6"/>
      <c r="U1089" s="5"/>
      <c r="V1089" s="6"/>
      <c r="X1089" s="6"/>
      <c r="AA1089" s="6"/>
      <c r="AB1089" s="4"/>
      <c r="AC1089" s="6"/>
      <c r="AG1089" s="4"/>
      <c r="AH1089" s="4"/>
      <c r="AP1089" s="5"/>
      <c r="AR1089" s="5"/>
      <c r="AT1089" s="6"/>
      <c r="BJ1089" s="425"/>
      <c r="BL1089" s="4"/>
      <c r="BT1089" s="6"/>
    </row>
    <row r="1090" spans="1:72">
      <c r="A1090" s="3"/>
      <c r="B1090" s="3"/>
      <c r="C1090" s="3"/>
      <c r="D1090" s="2"/>
      <c r="E1090" s="4"/>
      <c r="N1090" s="5"/>
      <c r="O1090" s="5"/>
      <c r="Q1090" s="4"/>
      <c r="T1090" s="6"/>
      <c r="U1090" s="5"/>
      <c r="V1090" s="6"/>
      <c r="X1090" s="6"/>
      <c r="AA1090" s="6"/>
      <c r="AB1090" s="4"/>
      <c r="AC1090" s="6"/>
      <c r="AG1090" s="4"/>
      <c r="AH1090" s="4"/>
      <c r="AP1090" s="5"/>
      <c r="AR1090" s="5"/>
      <c r="AT1090" s="6"/>
      <c r="BJ1090" s="425"/>
      <c r="BL1090" s="4"/>
      <c r="BT1090" s="6"/>
    </row>
    <row r="1091" spans="1:72">
      <c r="A1091" s="3"/>
      <c r="B1091" s="3"/>
      <c r="C1091" s="3"/>
      <c r="D1091" s="2"/>
      <c r="E1091" s="4"/>
      <c r="N1091" s="5"/>
      <c r="O1091" s="5"/>
      <c r="Q1091" s="4"/>
      <c r="T1091" s="6"/>
      <c r="U1091" s="5"/>
      <c r="V1091" s="6"/>
      <c r="X1091" s="6"/>
      <c r="AA1091" s="6"/>
      <c r="AB1091" s="4"/>
      <c r="AC1091" s="6"/>
      <c r="AG1091" s="4"/>
      <c r="AH1091" s="4"/>
      <c r="AP1091" s="5"/>
      <c r="AR1091" s="5"/>
      <c r="AT1091" s="6"/>
      <c r="BJ1091" s="425"/>
      <c r="BL1091" s="4"/>
      <c r="BT1091" s="6"/>
    </row>
    <row r="1092" spans="1:72">
      <c r="A1092" s="3"/>
      <c r="B1092" s="3"/>
      <c r="C1092" s="3"/>
      <c r="D1092" s="2"/>
      <c r="E1092" s="4"/>
      <c r="N1092" s="5"/>
      <c r="O1092" s="5"/>
      <c r="Q1092" s="4"/>
      <c r="T1092" s="6"/>
      <c r="U1092" s="5"/>
      <c r="V1092" s="6"/>
      <c r="X1092" s="6"/>
      <c r="AA1092" s="6"/>
      <c r="AB1092" s="4"/>
      <c r="AC1092" s="6"/>
      <c r="AG1092" s="4"/>
      <c r="AH1092" s="4"/>
      <c r="AP1092" s="5"/>
      <c r="AR1092" s="5"/>
      <c r="AT1092" s="6"/>
      <c r="BJ1092" s="425"/>
      <c r="BL1092" s="4"/>
      <c r="BT1092" s="6"/>
    </row>
    <row r="1093" spans="1:72">
      <c r="A1093" s="3"/>
      <c r="B1093" s="3"/>
      <c r="C1093" s="3"/>
      <c r="D1093" s="2"/>
      <c r="E1093" s="4"/>
      <c r="N1093" s="5"/>
      <c r="O1093" s="5"/>
      <c r="Q1093" s="4"/>
      <c r="T1093" s="6"/>
      <c r="U1093" s="5"/>
      <c r="V1093" s="6"/>
      <c r="X1093" s="6"/>
      <c r="AA1093" s="6"/>
      <c r="AB1093" s="4"/>
      <c r="AC1093" s="6"/>
      <c r="AG1093" s="4"/>
      <c r="AH1093" s="4"/>
      <c r="AP1093" s="5"/>
      <c r="AR1093" s="5"/>
      <c r="AT1093" s="6"/>
      <c r="BJ1093" s="425"/>
      <c r="BL1093" s="4"/>
      <c r="BT1093" s="6"/>
    </row>
    <row r="1094" spans="1:72">
      <c r="A1094" s="3"/>
      <c r="B1094" s="3"/>
      <c r="C1094" s="3"/>
      <c r="D1094" s="2"/>
      <c r="E1094" s="4"/>
      <c r="N1094" s="5"/>
      <c r="O1094" s="5"/>
      <c r="Q1094" s="4"/>
      <c r="T1094" s="6"/>
      <c r="U1094" s="5"/>
      <c r="V1094" s="6"/>
      <c r="X1094" s="6"/>
      <c r="AA1094" s="6"/>
      <c r="AB1094" s="4"/>
      <c r="AC1094" s="6"/>
      <c r="AG1094" s="4"/>
      <c r="AH1094" s="4"/>
      <c r="AP1094" s="5"/>
      <c r="AR1094" s="5"/>
      <c r="AT1094" s="6"/>
      <c r="BJ1094" s="425"/>
      <c r="BL1094" s="4"/>
      <c r="BT1094" s="6"/>
    </row>
    <row r="1095" spans="1:72">
      <c r="A1095" s="3"/>
      <c r="B1095" s="3"/>
      <c r="C1095" s="3"/>
      <c r="D1095" s="2"/>
      <c r="E1095" s="4"/>
      <c r="N1095" s="5"/>
      <c r="O1095" s="5"/>
      <c r="Q1095" s="4"/>
      <c r="T1095" s="6"/>
      <c r="U1095" s="5"/>
      <c r="V1095" s="6"/>
      <c r="X1095" s="6"/>
      <c r="AA1095" s="6"/>
      <c r="AB1095" s="4"/>
      <c r="AC1095" s="6"/>
      <c r="AG1095" s="4"/>
      <c r="AH1095" s="4"/>
      <c r="AP1095" s="5"/>
      <c r="AR1095" s="5"/>
      <c r="AT1095" s="6"/>
      <c r="BJ1095" s="425"/>
      <c r="BL1095" s="4"/>
      <c r="BT1095" s="6"/>
    </row>
    <row r="1096" spans="1:72">
      <c r="A1096" s="3"/>
      <c r="B1096" s="3"/>
      <c r="C1096" s="3"/>
      <c r="D1096" s="2"/>
      <c r="E1096" s="4"/>
      <c r="N1096" s="5"/>
      <c r="O1096" s="5"/>
      <c r="Q1096" s="4"/>
      <c r="T1096" s="6"/>
      <c r="U1096" s="5"/>
      <c r="V1096" s="6"/>
      <c r="X1096" s="6"/>
      <c r="AA1096" s="6"/>
      <c r="AB1096" s="4"/>
      <c r="AC1096" s="6"/>
      <c r="AG1096" s="4"/>
      <c r="AH1096" s="4"/>
      <c r="AP1096" s="5"/>
      <c r="AR1096" s="5"/>
      <c r="AT1096" s="6"/>
      <c r="BJ1096" s="425"/>
      <c r="BL1096" s="4"/>
      <c r="BT1096" s="6"/>
    </row>
    <row r="1097" spans="1:72">
      <c r="A1097" s="3"/>
      <c r="B1097" s="3"/>
      <c r="C1097" s="3"/>
      <c r="D1097" s="2"/>
      <c r="E1097" s="4"/>
      <c r="N1097" s="5"/>
      <c r="O1097" s="5"/>
      <c r="Q1097" s="4"/>
      <c r="T1097" s="6"/>
      <c r="U1097" s="5"/>
      <c r="V1097" s="6"/>
      <c r="X1097" s="6"/>
      <c r="AA1097" s="6"/>
      <c r="AB1097" s="4"/>
      <c r="AC1097" s="6"/>
      <c r="AG1097" s="4"/>
      <c r="AH1097" s="4"/>
      <c r="AP1097" s="5"/>
      <c r="AR1097" s="5"/>
      <c r="AT1097" s="6"/>
      <c r="BJ1097" s="425"/>
      <c r="BL1097" s="4"/>
      <c r="BT1097" s="6"/>
    </row>
    <row r="1098" spans="1:72">
      <c r="A1098" s="3"/>
      <c r="B1098" s="3"/>
      <c r="C1098" s="3"/>
      <c r="D1098" s="2"/>
      <c r="E1098" s="4"/>
      <c r="N1098" s="5"/>
      <c r="O1098" s="5"/>
      <c r="Q1098" s="4"/>
      <c r="T1098" s="6"/>
      <c r="U1098" s="5"/>
      <c r="V1098" s="6"/>
      <c r="X1098" s="6"/>
      <c r="AA1098" s="6"/>
      <c r="AB1098" s="4"/>
      <c r="AC1098" s="6"/>
      <c r="AG1098" s="4"/>
      <c r="AH1098" s="4"/>
      <c r="AP1098" s="5"/>
      <c r="AR1098" s="5"/>
      <c r="AT1098" s="6"/>
      <c r="BJ1098" s="425"/>
      <c r="BL1098" s="4"/>
      <c r="BT1098" s="6"/>
    </row>
    <row r="1099" spans="1:72">
      <c r="A1099" s="3"/>
      <c r="B1099" s="3"/>
      <c r="C1099" s="3"/>
      <c r="D1099" s="2"/>
      <c r="E1099" s="4"/>
      <c r="N1099" s="5"/>
      <c r="O1099" s="5"/>
      <c r="Q1099" s="4"/>
      <c r="T1099" s="6"/>
      <c r="U1099" s="5"/>
      <c r="V1099" s="6"/>
      <c r="X1099" s="6"/>
      <c r="AA1099" s="6"/>
      <c r="AB1099" s="4"/>
      <c r="AC1099" s="6"/>
      <c r="AG1099" s="4"/>
      <c r="AH1099" s="4"/>
      <c r="AP1099" s="5"/>
      <c r="AR1099" s="5"/>
      <c r="AT1099" s="6"/>
      <c r="BJ1099" s="425"/>
      <c r="BL1099" s="4"/>
      <c r="BT1099" s="6"/>
    </row>
    <row r="1100" spans="1:72">
      <c r="A1100" s="3"/>
      <c r="B1100" s="3"/>
      <c r="C1100" s="3"/>
      <c r="D1100" s="2"/>
      <c r="E1100" s="4"/>
      <c r="N1100" s="5"/>
      <c r="O1100" s="5"/>
      <c r="Q1100" s="4"/>
      <c r="T1100" s="6"/>
      <c r="U1100" s="5"/>
      <c r="V1100" s="6"/>
      <c r="X1100" s="6"/>
      <c r="AA1100" s="6"/>
      <c r="AB1100" s="4"/>
      <c r="AC1100" s="6"/>
      <c r="AG1100" s="4"/>
      <c r="AH1100" s="4"/>
      <c r="AP1100" s="5"/>
      <c r="AR1100" s="5"/>
      <c r="AT1100" s="6"/>
      <c r="BJ1100" s="425"/>
      <c r="BL1100" s="4"/>
      <c r="BT1100" s="6"/>
    </row>
    <row r="1101" spans="1:72">
      <c r="A1101" s="3"/>
      <c r="B1101" s="3"/>
      <c r="C1101" s="3"/>
      <c r="D1101" s="2"/>
      <c r="E1101" s="4"/>
      <c r="N1101" s="5"/>
      <c r="O1101" s="5"/>
      <c r="Q1101" s="4"/>
      <c r="T1101" s="6"/>
      <c r="U1101" s="5"/>
      <c r="V1101" s="6"/>
      <c r="X1101" s="6"/>
      <c r="AA1101" s="6"/>
      <c r="AB1101" s="4"/>
      <c r="AC1101" s="6"/>
      <c r="AG1101" s="4"/>
      <c r="AH1101" s="4"/>
      <c r="AP1101" s="5"/>
      <c r="AR1101" s="5"/>
      <c r="AT1101" s="6"/>
      <c r="BJ1101" s="425"/>
      <c r="BL1101" s="4"/>
      <c r="BT1101" s="6"/>
    </row>
    <row r="1102" spans="1:72">
      <c r="A1102" s="3"/>
      <c r="B1102" s="3"/>
      <c r="C1102" s="3"/>
      <c r="D1102" s="2"/>
      <c r="E1102" s="4"/>
      <c r="N1102" s="5"/>
      <c r="O1102" s="5"/>
      <c r="Q1102" s="4"/>
      <c r="T1102" s="6"/>
      <c r="U1102" s="5"/>
      <c r="V1102" s="6"/>
      <c r="X1102" s="6"/>
      <c r="AA1102" s="6"/>
      <c r="AB1102" s="4"/>
      <c r="AC1102" s="6"/>
      <c r="AG1102" s="4"/>
      <c r="AH1102" s="4"/>
      <c r="AP1102" s="5"/>
      <c r="AR1102" s="5"/>
      <c r="AT1102" s="6"/>
      <c r="BJ1102" s="425"/>
      <c r="BL1102" s="4"/>
      <c r="BT1102" s="6"/>
    </row>
    <row r="1103" spans="1:72">
      <c r="A1103" s="3"/>
      <c r="B1103" s="3"/>
      <c r="C1103" s="3"/>
      <c r="D1103" s="2"/>
      <c r="E1103" s="4"/>
      <c r="N1103" s="5"/>
      <c r="O1103" s="5"/>
      <c r="Q1103" s="4"/>
      <c r="T1103" s="6"/>
      <c r="U1103" s="5"/>
      <c r="V1103" s="6"/>
      <c r="X1103" s="6"/>
      <c r="AA1103" s="6"/>
      <c r="AB1103" s="4"/>
      <c r="AC1103" s="6"/>
      <c r="AG1103" s="4"/>
      <c r="AH1103" s="4"/>
      <c r="AP1103" s="5"/>
      <c r="AR1103" s="5"/>
      <c r="AT1103" s="6"/>
      <c r="BJ1103" s="425"/>
      <c r="BL1103" s="4"/>
      <c r="BT1103" s="6"/>
    </row>
    <row r="1104" spans="1:72">
      <c r="A1104" s="3"/>
      <c r="B1104" s="3"/>
      <c r="C1104" s="3"/>
      <c r="D1104" s="2"/>
      <c r="E1104" s="4"/>
      <c r="N1104" s="5"/>
      <c r="O1104" s="5"/>
      <c r="Q1104" s="4"/>
      <c r="T1104" s="6"/>
      <c r="U1104" s="5"/>
      <c r="V1104" s="6"/>
      <c r="X1104" s="6"/>
      <c r="AA1104" s="6"/>
      <c r="AB1104" s="4"/>
      <c r="AC1104" s="6"/>
      <c r="AG1104" s="4"/>
      <c r="AH1104" s="4"/>
      <c r="AP1104" s="5"/>
      <c r="AR1104" s="5"/>
      <c r="AT1104" s="6"/>
      <c r="BJ1104" s="425"/>
      <c r="BL1104" s="4"/>
      <c r="BT1104" s="6"/>
    </row>
    <row r="1105" spans="1:72">
      <c r="A1105" s="3"/>
      <c r="B1105" s="3"/>
      <c r="C1105" s="3"/>
      <c r="D1105" s="2"/>
      <c r="E1105" s="4"/>
      <c r="N1105" s="5"/>
      <c r="O1105" s="5"/>
      <c r="Q1105" s="4"/>
      <c r="T1105" s="6"/>
      <c r="U1105" s="5"/>
      <c r="V1105" s="6"/>
      <c r="X1105" s="6"/>
      <c r="AA1105" s="6"/>
      <c r="AB1105" s="4"/>
      <c r="AC1105" s="6"/>
      <c r="AG1105" s="4"/>
      <c r="AH1105" s="4"/>
      <c r="AP1105" s="5"/>
      <c r="AR1105" s="5"/>
      <c r="AT1105" s="6"/>
      <c r="BJ1105" s="425"/>
      <c r="BL1105" s="4"/>
      <c r="BT1105" s="6"/>
    </row>
    <row r="1106" spans="1:72">
      <c r="A1106" s="3"/>
      <c r="B1106" s="3"/>
      <c r="C1106" s="3"/>
      <c r="D1106" s="2"/>
      <c r="E1106" s="4"/>
      <c r="N1106" s="5"/>
      <c r="O1106" s="5"/>
      <c r="Q1106" s="4"/>
      <c r="T1106" s="6"/>
      <c r="U1106" s="5"/>
      <c r="V1106" s="6"/>
      <c r="X1106" s="6"/>
      <c r="AA1106" s="6"/>
      <c r="AB1106" s="4"/>
      <c r="AC1106" s="6"/>
      <c r="AG1106" s="4"/>
      <c r="AH1106" s="4"/>
      <c r="AP1106" s="5"/>
      <c r="AR1106" s="5"/>
      <c r="AT1106" s="6"/>
      <c r="BJ1106" s="425"/>
      <c r="BL1106" s="4"/>
      <c r="BT1106" s="6"/>
    </row>
    <row r="1107" spans="1:72">
      <c r="A1107" s="3"/>
      <c r="B1107" s="3"/>
      <c r="C1107" s="3"/>
      <c r="D1107" s="2"/>
      <c r="E1107" s="4"/>
      <c r="N1107" s="5"/>
      <c r="O1107" s="5"/>
      <c r="Q1107" s="4"/>
      <c r="T1107" s="6"/>
      <c r="U1107" s="5"/>
      <c r="V1107" s="6"/>
      <c r="X1107" s="6"/>
      <c r="AA1107" s="6"/>
      <c r="AB1107" s="4"/>
      <c r="AC1107" s="6"/>
      <c r="AG1107" s="4"/>
      <c r="AH1107" s="4"/>
      <c r="AP1107" s="5"/>
      <c r="AR1107" s="5"/>
      <c r="AT1107" s="6"/>
      <c r="BJ1107" s="425"/>
      <c r="BL1107" s="4"/>
      <c r="BT1107" s="6"/>
    </row>
    <row r="1108" spans="1:72">
      <c r="A1108" s="3"/>
      <c r="B1108" s="3"/>
      <c r="C1108" s="3"/>
      <c r="D1108" s="2"/>
      <c r="E1108" s="4"/>
      <c r="N1108" s="5"/>
      <c r="O1108" s="5"/>
      <c r="Q1108" s="4"/>
      <c r="T1108" s="6"/>
      <c r="U1108" s="5"/>
      <c r="V1108" s="6"/>
      <c r="X1108" s="6"/>
      <c r="AA1108" s="6"/>
      <c r="AB1108" s="4"/>
      <c r="AC1108" s="6"/>
      <c r="AG1108" s="4"/>
      <c r="AH1108" s="4"/>
      <c r="AP1108" s="5"/>
      <c r="AR1108" s="5"/>
      <c r="AT1108" s="6"/>
      <c r="BJ1108" s="425"/>
      <c r="BL1108" s="4"/>
      <c r="BT1108" s="6"/>
    </row>
    <row r="1109" spans="1:72">
      <c r="A1109" s="3"/>
      <c r="B1109" s="3"/>
      <c r="C1109" s="3"/>
      <c r="D1109" s="2"/>
      <c r="E1109" s="4"/>
      <c r="N1109" s="5"/>
      <c r="O1109" s="5"/>
      <c r="Q1109" s="4"/>
      <c r="T1109" s="6"/>
      <c r="U1109" s="5"/>
      <c r="V1109" s="6"/>
      <c r="X1109" s="6"/>
      <c r="AA1109" s="6"/>
      <c r="AB1109" s="4"/>
      <c r="AC1109" s="6"/>
      <c r="AG1109" s="4"/>
      <c r="AH1109" s="4"/>
      <c r="AP1109" s="5"/>
      <c r="AR1109" s="5"/>
      <c r="AT1109" s="6"/>
      <c r="BJ1109" s="425"/>
      <c r="BL1109" s="4"/>
      <c r="BT1109" s="6"/>
    </row>
    <row r="1110" spans="1:72">
      <c r="A1110" s="3"/>
      <c r="B1110" s="3"/>
      <c r="C1110" s="3"/>
      <c r="D1110" s="2"/>
      <c r="E1110" s="4"/>
      <c r="N1110" s="5"/>
      <c r="O1110" s="5"/>
      <c r="Q1110" s="4"/>
      <c r="T1110" s="6"/>
      <c r="U1110" s="5"/>
      <c r="V1110" s="6"/>
      <c r="X1110" s="6"/>
      <c r="AA1110" s="6"/>
      <c r="AB1110" s="4"/>
      <c r="AC1110" s="6"/>
      <c r="AG1110" s="4"/>
      <c r="AH1110" s="4"/>
      <c r="AP1110" s="5"/>
      <c r="AR1110" s="5"/>
      <c r="AT1110" s="6"/>
      <c r="BJ1110" s="425"/>
      <c r="BL1110" s="4"/>
      <c r="BT1110" s="6"/>
    </row>
    <row r="1111" spans="1:72">
      <c r="A1111" s="3"/>
      <c r="B1111" s="3"/>
      <c r="C1111" s="3"/>
      <c r="D1111" s="2"/>
      <c r="E1111" s="4"/>
      <c r="N1111" s="5"/>
      <c r="O1111" s="5"/>
      <c r="Q1111" s="4"/>
      <c r="T1111" s="6"/>
      <c r="U1111" s="5"/>
      <c r="V1111" s="6"/>
      <c r="X1111" s="6"/>
      <c r="AA1111" s="6"/>
      <c r="AB1111" s="4"/>
      <c r="AC1111" s="6"/>
      <c r="AG1111" s="4"/>
      <c r="AH1111" s="4"/>
      <c r="AP1111" s="5"/>
      <c r="AR1111" s="5"/>
      <c r="AT1111" s="6"/>
      <c r="BJ1111" s="425"/>
      <c r="BL1111" s="4"/>
      <c r="BT1111" s="6"/>
    </row>
    <row r="1112" spans="1:72">
      <c r="A1112" s="3"/>
      <c r="B1112" s="3"/>
      <c r="C1112" s="3"/>
      <c r="D1112" s="2"/>
      <c r="E1112" s="4"/>
      <c r="N1112" s="5"/>
      <c r="O1112" s="5"/>
      <c r="Q1112" s="4"/>
      <c r="T1112" s="6"/>
      <c r="U1112" s="5"/>
      <c r="V1112" s="6"/>
      <c r="X1112" s="6"/>
      <c r="AA1112" s="6"/>
      <c r="AB1112" s="4"/>
      <c r="AC1112" s="6"/>
      <c r="AG1112" s="4"/>
      <c r="AH1112" s="4"/>
      <c r="AP1112" s="5"/>
      <c r="AR1112" s="5"/>
      <c r="AT1112" s="6"/>
      <c r="BJ1112" s="425"/>
      <c r="BL1112" s="4"/>
      <c r="BT1112" s="6"/>
    </row>
    <row r="1113" spans="1:72">
      <c r="A1113" s="3"/>
      <c r="B1113" s="3"/>
      <c r="C1113" s="3"/>
      <c r="D1113" s="2"/>
      <c r="E1113" s="4"/>
      <c r="N1113" s="5"/>
      <c r="O1113" s="5"/>
      <c r="Q1113" s="4"/>
      <c r="T1113" s="6"/>
      <c r="U1113" s="5"/>
      <c r="V1113" s="6"/>
      <c r="X1113" s="6"/>
      <c r="AA1113" s="6"/>
      <c r="AB1113" s="4"/>
      <c r="AC1113" s="6"/>
      <c r="AG1113" s="4"/>
      <c r="AH1113" s="4"/>
      <c r="AP1113" s="5"/>
      <c r="AR1113" s="5"/>
      <c r="AT1113" s="6"/>
      <c r="BJ1113" s="425"/>
      <c r="BL1113" s="4"/>
      <c r="BT1113" s="6"/>
    </row>
    <row r="1114" spans="1:72">
      <c r="A1114" s="3"/>
      <c r="B1114" s="3"/>
      <c r="C1114" s="3"/>
      <c r="D1114" s="2"/>
      <c r="E1114" s="4"/>
      <c r="N1114" s="5"/>
      <c r="O1114" s="5"/>
      <c r="Q1114" s="4"/>
      <c r="T1114" s="6"/>
      <c r="U1114" s="5"/>
      <c r="V1114" s="6"/>
      <c r="X1114" s="6"/>
      <c r="AA1114" s="6"/>
      <c r="AB1114" s="4"/>
      <c r="AC1114" s="6"/>
      <c r="AG1114" s="4"/>
      <c r="AH1114" s="4"/>
      <c r="AP1114" s="5"/>
      <c r="AR1114" s="5"/>
      <c r="AT1114" s="6"/>
      <c r="BJ1114" s="425"/>
      <c r="BL1114" s="4"/>
      <c r="BT1114" s="6"/>
    </row>
    <row r="1115" spans="1:72">
      <c r="A1115" s="3"/>
      <c r="B1115" s="3"/>
      <c r="C1115" s="3"/>
      <c r="D1115" s="2"/>
      <c r="E1115" s="4"/>
      <c r="N1115" s="5"/>
      <c r="O1115" s="5"/>
      <c r="Q1115" s="4"/>
      <c r="T1115" s="6"/>
      <c r="U1115" s="5"/>
      <c r="V1115" s="6"/>
      <c r="X1115" s="6"/>
      <c r="AA1115" s="6"/>
      <c r="AB1115" s="4"/>
      <c r="AC1115" s="6"/>
      <c r="AG1115" s="4"/>
      <c r="AH1115" s="4"/>
      <c r="AP1115" s="5"/>
      <c r="AR1115" s="5"/>
      <c r="AT1115" s="6"/>
      <c r="BJ1115" s="425"/>
      <c r="BL1115" s="4"/>
      <c r="BT1115" s="6"/>
    </row>
    <row r="1116" spans="1:72">
      <c r="A1116" s="3"/>
      <c r="B1116" s="3"/>
      <c r="C1116" s="3"/>
      <c r="D1116" s="2"/>
      <c r="E1116" s="4"/>
      <c r="N1116" s="5"/>
      <c r="O1116" s="5"/>
      <c r="Q1116" s="4"/>
      <c r="T1116" s="6"/>
      <c r="U1116" s="5"/>
      <c r="V1116" s="6"/>
      <c r="X1116" s="6"/>
      <c r="AA1116" s="6"/>
      <c r="AB1116" s="4"/>
      <c r="AC1116" s="6"/>
      <c r="AG1116" s="4"/>
      <c r="AH1116" s="4"/>
      <c r="AP1116" s="5"/>
      <c r="AR1116" s="5"/>
      <c r="AT1116" s="6"/>
      <c r="BJ1116" s="425"/>
      <c r="BL1116" s="4"/>
      <c r="BT1116" s="6"/>
    </row>
    <row r="1117" spans="1:72">
      <c r="A1117" s="3"/>
      <c r="B1117" s="3"/>
      <c r="C1117" s="3"/>
      <c r="D1117" s="2"/>
      <c r="E1117" s="4"/>
      <c r="N1117" s="5"/>
      <c r="O1117" s="5"/>
      <c r="Q1117" s="4"/>
      <c r="T1117" s="6"/>
      <c r="U1117" s="5"/>
      <c r="V1117" s="6"/>
      <c r="X1117" s="6"/>
      <c r="AA1117" s="6"/>
      <c r="AB1117" s="4"/>
      <c r="AC1117" s="6"/>
      <c r="AG1117" s="4"/>
      <c r="AH1117" s="4"/>
      <c r="AP1117" s="5"/>
      <c r="AR1117" s="5"/>
      <c r="AT1117" s="6"/>
      <c r="BJ1117" s="425"/>
      <c r="BL1117" s="4"/>
      <c r="BT1117" s="6"/>
    </row>
    <row r="1118" spans="1:72">
      <c r="A1118" s="3"/>
      <c r="B1118" s="3"/>
      <c r="C1118" s="3"/>
      <c r="D1118" s="2"/>
      <c r="E1118" s="4"/>
      <c r="N1118" s="5"/>
      <c r="O1118" s="5"/>
      <c r="Q1118" s="4"/>
      <c r="T1118" s="6"/>
      <c r="U1118" s="5"/>
      <c r="V1118" s="6"/>
      <c r="X1118" s="6"/>
      <c r="AA1118" s="6"/>
      <c r="AB1118" s="4"/>
      <c r="AC1118" s="6"/>
      <c r="AG1118" s="4"/>
      <c r="AH1118" s="4"/>
      <c r="AP1118" s="5"/>
      <c r="AR1118" s="5"/>
      <c r="AT1118" s="6"/>
      <c r="BJ1118" s="425"/>
      <c r="BL1118" s="4"/>
      <c r="BT1118" s="6"/>
    </row>
    <row r="1119" spans="1:72">
      <c r="A1119" s="3"/>
      <c r="B1119" s="3"/>
      <c r="C1119" s="3"/>
      <c r="D1119" s="2"/>
      <c r="E1119" s="4"/>
      <c r="N1119" s="5"/>
      <c r="O1119" s="5"/>
      <c r="Q1119" s="4"/>
      <c r="T1119" s="6"/>
      <c r="U1119" s="5"/>
      <c r="V1119" s="6"/>
      <c r="X1119" s="6"/>
      <c r="AA1119" s="6"/>
      <c r="AB1119" s="4"/>
      <c r="AC1119" s="6"/>
      <c r="AG1119" s="4"/>
      <c r="AH1119" s="4"/>
      <c r="AP1119" s="5"/>
      <c r="AR1119" s="5"/>
      <c r="AT1119" s="6"/>
      <c r="BJ1119" s="425"/>
      <c r="BL1119" s="4"/>
      <c r="BT1119" s="6"/>
    </row>
    <row r="1120" spans="1:72">
      <c r="A1120" s="3"/>
      <c r="B1120" s="3"/>
      <c r="C1120" s="3"/>
      <c r="D1120" s="2"/>
      <c r="E1120" s="4"/>
      <c r="N1120" s="5"/>
      <c r="O1120" s="5"/>
      <c r="Q1120" s="4"/>
      <c r="T1120" s="6"/>
      <c r="U1120" s="5"/>
      <c r="V1120" s="6"/>
      <c r="X1120" s="6"/>
      <c r="AA1120" s="6"/>
      <c r="AB1120" s="4"/>
      <c r="AC1120" s="6"/>
      <c r="AG1120" s="4"/>
      <c r="AH1120" s="4"/>
      <c r="AP1120" s="5"/>
      <c r="AR1120" s="5"/>
      <c r="AT1120" s="6"/>
      <c r="BJ1120" s="425"/>
      <c r="BL1120" s="4"/>
      <c r="BT1120" s="6"/>
    </row>
    <row r="1121" spans="1:72">
      <c r="A1121" s="3"/>
      <c r="B1121" s="3"/>
      <c r="C1121" s="3"/>
      <c r="D1121" s="2"/>
      <c r="E1121" s="4"/>
      <c r="N1121" s="5"/>
      <c r="O1121" s="5"/>
      <c r="Q1121" s="4"/>
      <c r="T1121" s="6"/>
      <c r="U1121" s="5"/>
      <c r="V1121" s="6"/>
      <c r="X1121" s="6"/>
      <c r="AA1121" s="6"/>
      <c r="AB1121" s="4"/>
      <c r="AC1121" s="6"/>
      <c r="AG1121" s="4"/>
      <c r="AH1121" s="4"/>
      <c r="AP1121" s="5"/>
      <c r="AR1121" s="5"/>
      <c r="AT1121" s="6"/>
      <c r="BJ1121" s="425"/>
      <c r="BL1121" s="4"/>
      <c r="BT1121" s="6"/>
    </row>
    <row r="1122" spans="1:72">
      <c r="A1122" s="3"/>
      <c r="B1122" s="3"/>
      <c r="C1122" s="3"/>
      <c r="D1122" s="2"/>
      <c r="E1122" s="4"/>
      <c r="N1122" s="5"/>
      <c r="O1122" s="5"/>
      <c r="Q1122" s="4"/>
      <c r="T1122" s="6"/>
      <c r="U1122" s="5"/>
      <c r="V1122" s="6"/>
      <c r="X1122" s="6"/>
      <c r="AA1122" s="6"/>
      <c r="AB1122" s="4"/>
      <c r="AC1122" s="6"/>
      <c r="AG1122" s="4"/>
      <c r="AH1122" s="4"/>
      <c r="AP1122" s="5"/>
      <c r="AR1122" s="5"/>
      <c r="AT1122" s="6"/>
      <c r="BJ1122" s="425"/>
      <c r="BL1122" s="4"/>
      <c r="BT1122" s="6"/>
    </row>
    <row r="1123" spans="1:72">
      <c r="A1123" s="3"/>
      <c r="B1123" s="3"/>
      <c r="C1123" s="3"/>
      <c r="D1123" s="2"/>
      <c r="E1123" s="4"/>
      <c r="N1123" s="5"/>
      <c r="O1123" s="5"/>
      <c r="Q1123" s="4"/>
      <c r="T1123" s="6"/>
      <c r="U1123" s="5"/>
      <c r="V1123" s="6"/>
      <c r="X1123" s="6"/>
      <c r="AA1123" s="6"/>
      <c r="AB1123" s="4"/>
      <c r="AC1123" s="6"/>
      <c r="AG1123" s="4"/>
      <c r="AH1123" s="4"/>
      <c r="AP1123" s="5"/>
      <c r="AR1123" s="5"/>
      <c r="AT1123" s="6"/>
      <c r="BJ1123" s="425"/>
      <c r="BL1123" s="4"/>
      <c r="BT1123" s="6"/>
    </row>
    <row r="1124" spans="1:72">
      <c r="A1124" s="3"/>
      <c r="B1124" s="3"/>
      <c r="C1124" s="3"/>
      <c r="D1124" s="2"/>
      <c r="E1124" s="4"/>
      <c r="N1124" s="5"/>
      <c r="O1124" s="5"/>
      <c r="Q1124" s="4"/>
      <c r="T1124" s="6"/>
      <c r="U1124" s="5"/>
      <c r="V1124" s="6"/>
      <c r="X1124" s="6"/>
      <c r="AA1124" s="6"/>
      <c r="AB1124" s="4"/>
      <c r="AC1124" s="6"/>
      <c r="AG1124" s="4"/>
      <c r="AH1124" s="4"/>
      <c r="AP1124" s="5"/>
      <c r="AR1124" s="5"/>
      <c r="AT1124" s="6"/>
      <c r="BJ1124" s="425"/>
      <c r="BL1124" s="4"/>
      <c r="BT1124" s="6"/>
    </row>
    <row r="1125" spans="1:72">
      <c r="A1125" s="3"/>
      <c r="B1125" s="3"/>
      <c r="C1125" s="3"/>
      <c r="D1125" s="2"/>
      <c r="E1125" s="4"/>
      <c r="N1125" s="5"/>
      <c r="O1125" s="5"/>
      <c r="Q1125" s="4"/>
      <c r="T1125" s="6"/>
      <c r="U1125" s="5"/>
      <c r="V1125" s="6"/>
      <c r="X1125" s="6"/>
      <c r="AA1125" s="6"/>
      <c r="AB1125" s="4"/>
      <c r="AC1125" s="6"/>
      <c r="AG1125" s="4"/>
      <c r="AH1125" s="4"/>
      <c r="AP1125" s="5"/>
      <c r="AR1125" s="5"/>
      <c r="AT1125" s="6"/>
      <c r="BJ1125" s="425"/>
      <c r="BL1125" s="4"/>
      <c r="BT1125" s="6"/>
    </row>
    <row r="1126" spans="1:72">
      <c r="A1126" s="3"/>
      <c r="B1126" s="3"/>
      <c r="C1126" s="3"/>
      <c r="D1126" s="2"/>
      <c r="E1126" s="4"/>
      <c r="N1126" s="5"/>
      <c r="O1126" s="5"/>
      <c r="Q1126" s="4"/>
      <c r="T1126" s="6"/>
      <c r="U1126" s="5"/>
      <c r="V1126" s="6"/>
      <c r="X1126" s="6"/>
      <c r="AA1126" s="6"/>
      <c r="AB1126" s="4"/>
      <c r="AC1126" s="6"/>
      <c r="AG1126" s="4"/>
      <c r="AH1126" s="4"/>
      <c r="AP1126" s="5"/>
      <c r="AR1126" s="5"/>
      <c r="AT1126" s="6"/>
      <c r="BJ1126" s="425"/>
      <c r="BL1126" s="4"/>
      <c r="BT1126" s="6"/>
    </row>
    <row r="1127" spans="1:72">
      <c r="A1127" s="3"/>
      <c r="B1127" s="3"/>
      <c r="C1127" s="3"/>
      <c r="D1127" s="2"/>
      <c r="E1127" s="4"/>
      <c r="N1127" s="5"/>
      <c r="O1127" s="5"/>
      <c r="Q1127" s="4"/>
      <c r="T1127" s="6"/>
      <c r="U1127" s="5"/>
      <c r="V1127" s="6"/>
      <c r="X1127" s="6"/>
      <c r="AA1127" s="6"/>
      <c r="AB1127" s="4"/>
      <c r="AC1127" s="6"/>
      <c r="AG1127" s="4"/>
      <c r="AH1127" s="4"/>
      <c r="AP1127" s="5"/>
      <c r="AR1127" s="5"/>
      <c r="AT1127" s="6"/>
      <c r="BJ1127" s="425"/>
      <c r="BL1127" s="4"/>
      <c r="BT1127" s="6"/>
    </row>
    <row r="1128" spans="1:72">
      <c r="A1128" s="3"/>
      <c r="B1128" s="3"/>
      <c r="C1128" s="3"/>
      <c r="D1128" s="2"/>
      <c r="E1128" s="4"/>
      <c r="N1128" s="5"/>
      <c r="O1128" s="5"/>
      <c r="Q1128" s="4"/>
      <c r="T1128" s="6"/>
      <c r="U1128" s="5"/>
      <c r="V1128" s="6"/>
      <c r="X1128" s="6"/>
      <c r="AA1128" s="6"/>
      <c r="AB1128" s="4"/>
      <c r="AC1128" s="6"/>
      <c r="AG1128" s="4"/>
      <c r="AH1128" s="4"/>
      <c r="AP1128" s="5"/>
      <c r="AR1128" s="5"/>
      <c r="AT1128" s="6"/>
      <c r="BJ1128" s="425"/>
      <c r="BL1128" s="4"/>
      <c r="BT1128" s="6"/>
    </row>
    <row r="1129" spans="1:72">
      <c r="A1129" s="3"/>
      <c r="B1129" s="3"/>
      <c r="C1129" s="3"/>
      <c r="D1129" s="2"/>
      <c r="E1129" s="4"/>
      <c r="N1129" s="5"/>
      <c r="O1129" s="5"/>
      <c r="Q1129" s="4"/>
      <c r="T1129" s="6"/>
      <c r="U1129" s="5"/>
      <c r="V1129" s="6"/>
      <c r="X1129" s="6"/>
      <c r="AA1129" s="6"/>
      <c r="AB1129" s="4"/>
      <c r="AC1129" s="6"/>
      <c r="AG1129" s="4"/>
      <c r="AH1129" s="4"/>
      <c r="AP1129" s="5"/>
      <c r="AR1129" s="5"/>
      <c r="AT1129" s="6"/>
      <c r="BJ1129" s="425"/>
      <c r="BL1129" s="4"/>
      <c r="BT1129" s="6"/>
    </row>
    <row r="1130" spans="1:72">
      <c r="A1130" s="3"/>
      <c r="B1130" s="3"/>
      <c r="C1130" s="3"/>
      <c r="D1130" s="2"/>
      <c r="E1130" s="4"/>
      <c r="N1130" s="5"/>
      <c r="O1130" s="5"/>
      <c r="Q1130" s="4"/>
      <c r="T1130" s="6"/>
      <c r="U1130" s="5"/>
      <c r="V1130" s="6"/>
      <c r="X1130" s="6"/>
      <c r="AA1130" s="6"/>
      <c r="AB1130" s="4"/>
      <c r="AC1130" s="6"/>
      <c r="AG1130" s="4"/>
      <c r="AH1130" s="4"/>
      <c r="AP1130" s="5"/>
      <c r="AR1130" s="5"/>
      <c r="AT1130" s="6"/>
      <c r="BJ1130" s="425"/>
      <c r="BL1130" s="4"/>
      <c r="BT1130" s="6"/>
    </row>
    <row r="1131" spans="1:72">
      <c r="A1131" s="3"/>
      <c r="B1131" s="3"/>
      <c r="C1131" s="3"/>
      <c r="D1131" s="2"/>
      <c r="E1131" s="4"/>
      <c r="N1131" s="5"/>
      <c r="O1131" s="5"/>
      <c r="Q1131" s="4"/>
      <c r="T1131" s="6"/>
      <c r="U1131" s="5"/>
      <c r="V1131" s="6"/>
      <c r="X1131" s="6"/>
      <c r="AA1131" s="6"/>
      <c r="AB1131" s="4"/>
      <c r="AC1131" s="6"/>
      <c r="AG1131" s="4"/>
      <c r="AH1131" s="4"/>
      <c r="AP1131" s="5"/>
      <c r="AR1131" s="5"/>
      <c r="AT1131" s="6"/>
      <c r="BJ1131" s="425"/>
      <c r="BL1131" s="4"/>
      <c r="BT1131" s="6"/>
    </row>
    <row r="1132" spans="1:72">
      <c r="A1132" s="3"/>
      <c r="B1132" s="3"/>
      <c r="C1132" s="3"/>
      <c r="D1132" s="2"/>
      <c r="E1132" s="4"/>
      <c r="N1132" s="5"/>
      <c r="O1132" s="5"/>
      <c r="Q1132" s="4"/>
      <c r="T1132" s="6"/>
      <c r="U1132" s="5"/>
      <c r="V1132" s="6"/>
      <c r="X1132" s="6"/>
      <c r="AA1132" s="6"/>
      <c r="AB1132" s="4"/>
      <c r="AC1132" s="6"/>
      <c r="AG1132" s="4"/>
      <c r="AH1132" s="4"/>
      <c r="AP1132" s="5"/>
      <c r="AR1132" s="5"/>
      <c r="AT1132" s="6"/>
      <c r="BJ1132" s="425"/>
      <c r="BL1132" s="4"/>
      <c r="BT1132" s="6"/>
    </row>
    <row r="1133" spans="1:72">
      <c r="A1133" s="3"/>
      <c r="B1133" s="3"/>
      <c r="C1133" s="3"/>
      <c r="D1133" s="2"/>
      <c r="E1133" s="4"/>
      <c r="N1133" s="5"/>
      <c r="O1133" s="5"/>
      <c r="Q1133" s="4"/>
      <c r="T1133" s="6"/>
      <c r="U1133" s="5"/>
      <c r="V1133" s="6"/>
      <c r="X1133" s="6"/>
      <c r="AA1133" s="6"/>
      <c r="AB1133" s="4"/>
      <c r="AC1133" s="6"/>
      <c r="AG1133" s="4"/>
      <c r="AH1133" s="4"/>
      <c r="AP1133" s="5"/>
      <c r="AR1133" s="5"/>
      <c r="AT1133" s="6"/>
      <c r="BJ1133" s="425"/>
      <c r="BL1133" s="4"/>
      <c r="BT1133" s="6"/>
    </row>
    <row r="1134" spans="1:72">
      <c r="A1134" s="3"/>
      <c r="B1134" s="3"/>
      <c r="C1134" s="3"/>
      <c r="D1134" s="2"/>
      <c r="E1134" s="4"/>
      <c r="N1134" s="5"/>
      <c r="O1134" s="5"/>
      <c r="Q1134" s="4"/>
      <c r="T1134" s="6"/>
      <c r="U1134" s="5"/>
      <c r="V1134" s="6"/>
      <c r="X1134" s="6"/>
      <c r="AA1134" s="6"/>
      <c r="AB1134" s="4"/>
      <c r="AC1134" s="6"/>
      <c r="AG1134" s="4"/>
      <c r="AH1134" s="4"/>
      <c r="AP1134" s="5"/>
      <c r="AR1134" s="5"/>
      <c r="AT1134" s="6"/>
      <c r="BJ1134" s="425"/>
      <c r="BL1134" s="4"/>
      <c r="BT1134" s="6"/>
    </row>
    <row r="1135" spans="1:72">
      <c r="A1135" s="3"/>
      <c r="B1135" s="3"/>
      <c r="C1135" s="3"/>
      <c r="D1135" s="2"/>
      <c r="E1135" s="4"/>
      <c r="N1135" s="5"/>
      <c r="O1135" s="5"/>
      <c r="Q1135" s="4"/>
      <c r="T1135" s="6"/>
      <c r="U1135" s="5"/>
      <c r="V1135" s="6"/>
      <c r="X1135" s="6"/>
      <c r="AA1135" s="6"/>
      <c r="AB1135" s="4"/>
      <c r="AC1135" s="6"/>
      <c r="AG1135" s="4"/>
      <c r="AH1135" s="4"/>
      <c r="AP1135" s="5"/>
      <c r="AR1135" s="5"/>
      <c r="AT1135" s="6"/>
      <c r="BJ1135" s="425"/>
      <c r="BL1135" s="4"/>
      <c r="BT1135" s="6"/>
    </row>
    <row r="1136" spans="1:72">
      <c r="A1136" s="3"/>
      <c r="B1136" s="3"/>
      <c r="C1136" s="3"/>
      <c r="D1136" s="2"/>
      <c r="E1136" s="4"/>
      <c r="N1136" s="5"/>
      <c r="O1136" s="5"/>
      <c r="Q1136" s="4"/>
      <c r="T1136" s="6"/>
      <c r="U1136" s="5"/>
      <c r="V1136" s="6"/>
      <c r="X1136" s="6"/>
      <c r="AA1136" s="6"/>
      <c r="AB1136" s="4"/>
      <c r="AC1136" s="6"/>
      <c r="AG1136" s="4"/>
      <c r="AH1136" s="4"/>
      <c r="AP1136" s="5"/>
      <c r="AR1136" s="5"/>
      <c r="AT1136" s="6"/>
      <c r="BJ1136" s="425"/>
      <c r="BL1136" s="4"/>
      <c r="BT1136" s="6"/>
    </row>
    <row r="1137" spans="1:72">
      <c r="A1137" s="3"/>
      <c r="B1137" s="3"/>
      <c r="C1137" s="3"/>
      <c r="D1137" s="2"/>
      <c r="E1137" s="4"/>
      <c r="N1137" s="5"/>
      <c r="O1137" s="5"/>
      <c r="Q1137" s="4"/>
      <c r="T1137" s="6"/>
      <c r="U1137" s="5"/>
      <c r="V1137" s="6"/>
      <c r="X1137" s="6"/>
      <c r="AA1137" s="6"/>
      <c r="AB1137" s="4"/>
      <c r="AC1137" s="6"/>
      <c r="AG1137" s="4"/>
      <c r="AH1137" s="4"/>
      <c r="AP1137" s="5"/>
      <c r="AR1137" s="5"/>
      <c r="AT1137" s="6"/>
      <c r="BJ1137" s="425"/>
      <c r="BL1137" s="4"/>
      <c r="BT1137" s="6"/>
    </row>
    <row r="1138" spans="1:72">
      <c r="A1138" s="3"/>
      <c r="B1138" s="3"/>
      <c r="C1138" s="3"/>
      <c r="D1138" s="2"/>
      <c r="E1138" s="4"/>
      <c r="N1138" s="5"/>
      <c r="O1138" s="5"/>
      <c r="Q1138" s="4"/>
      <c r="T1138" s="6"/>
      <c r="U1138" s="5"/>
      <c r="V1138" s="6"/>
      <c r="X1138" s="6"/>
      <c r="AA1138" s="6"/>
      <c r="AB1138" s="4"/>
      <c r="AC1138" s="6"/>
      <c r="AG1138" s="4"/>
      <c r="AH1138" s="4"/>
      <c r="AP1138" s="5"/>
      <c r="AR1138" s="5"/>
      <c r="AT1138" s="6"/>
      <c r="BJ1138" s="425"/>
      <c r="BL1138" s="4"/>
      <c r="BT1138" s="6"/>
    </row>
    <row r="1139" spans="1:72">
      <c r="A1139" s="3"/>
      <c r="B1139" s="3"/>
      <c r="C1139" s="3"/>
      <c r="D1139" s="2"/>
      <c r="E1139" s="4"/>
      <c r="N1139" s="5"/>
      <c r="O1139" s="5"/>
      <c r="Q1139" s="4"/>
      <c r="T1139" s="6"/>
      <c r="U1139" s="5"/>
      <c r="V1139" s="6"/>
      <c r="X1139" s="6"/>
      <c r="AA1139" s="6"/>
      <c r="AB1139" s="4"/>
      <c r="AC1139" s="6"/>
      <c r="AG1139" s="4"/>
      <c r="AH1139" s="4"/>
      <c r="AP1139" s="5"/>
      <c r="AR1139" s="5"/>
      <c r="AT1139" s="6"/>
      <c r="BJ1139" s="425"/>
      <c r="BL1139" s="4"/>
      <c r="BT1139" s="6"/>
    </row>
    <row r="1140" spans="1:72">
      <c r="A1140" s="3"/>
      <c r="B1140" s="3"/>
      <c r="C1140" s="3"/>
      <c r="D1140" s="2"/>
      <c r="E1140" s="4"/>
      <c r="N1140" s="5"/>
      <c r="O1140" s="5"/>
      <c r="Q1140" s="4"/>
      <c r="T1140" s="6"/>
      <c r="U1140" s="5"/>
      <c r="V1140" s="6"/>
      <c r="X1140" s="6"/>
      <c r="AA1140" s="6"/>
      <c r="AB1140" s="4"/>
      <c r="AC1140" s="6"/>
      <c r="AG1140" s="4"/>
      <c r="AH1140" s="4"/>
      <c r="AP1140" s="5"/>
      <c r="AR1140" s="5"/>
      <c r="AT1140" s="6"/>
      <c r="BJ1140" s="425"/>
      <c r="BL1140" s="4"/>
      <c r="BT1140" s="6"/>
    </row>
    <row r="1141" spans="1:72">
      <c r="A1141" s="3"/>
      <c r="B1141" s="3"/>
      <c r="C1141" s="3"/>
      <c r="D1141" s="2"/>
      <c r="E1141" s="4"/>
      <c r="N1141" s="5"/>
      <c r="O1141" s="5"/>
      <c r="Q1141" s="4"/>
      <c r="T1141" s="6"/>
      <c r="U1141" s="5"/>
      <c r="V1141" s="6"/>
      <c r="X1141" s="6"/>
      <c r="AA1141" s="6"/>
      <c r="AB1141" s="4"/>
      <c r="AC1141" s="6"/>
      <c r="AG1141" s="4"/>
      <c r="AH1141" s="4"/>
      <c r="AP1141" s="5"/>
      <c r="AR1141" s="5"/>
      <c r="AT1141" s="6"/>
      <c r="BJ1141" s="425"/>
      <c r="BL1141" s="4"/>
      <c r="BT1141" s="6"/>
    </row>
  </sheetData>
  <pageMargins left="0.7" right="0.7" top="0.75" bottom="0.75" header="0.3" footer="0.3"/>
  <pageSetup paperSize="9"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5186C-566D-B646-918B-544288AE68BC}">
  <dimension ref="A3:C8"/>
  <sheetViews>
    <sheetView workbookViewId="0">
      <selection activeCell="K34" sqref="K34"/>
    </sheetView>
  </sheetViews>
  <sheetFormatPr baseColWidth="10" defaultRowHeight="16"/>
  <cols>
    <col min="1" max="1" width="13" bestFit="1" customWidth="1"/>
    <col min="2" max="2" width="23.33203125" style="25" bestFit="1" customWidth="1"/>
    <col min="3" max="3" width="20.83203125" style="7" bestFit="1" customWidth="1"/>
    <col min="4" max="4" width="19.5" bestFit="1" customWidth="1"/>
  </cols>
  <sheetData>
    <row r="3" spans="1:3">
      <c r="A3" s="200" t="s">
        <v>1956</v>
      </c>
      <c r="B3" t="s">
        <v>1960</v>
      </c>
      <c r="C3" s="267" t="s">
        <v>1959</v>
      </c>
    </row>
    <row r="4" spans="1:3">
      <c r="A4" s="201" t="s">
        <v>67</v>
      </c>
      <c r="B4">
        <v>6.9576078533128571</v>
      </c>
      <c r="C4" s="267">
        <v>4.8685561486318711</v>
      </c>
    </row>
    <row r="5" spans="1:3">
      <c r="A5" s="201" t="s">
        <v>1951</v>
      </c>
      <c r="B5">
        <v>8.3623509569603698</v>
      </c>
      <c r="C5" s="267">
        <v>4.1958722845891252</v>
      </c>
    </row>
    <row r="6" spans="1:3">
      <c r="A6" s="201" t="s">
        <v>1954</v>
      </c>
      <c r="B6">
        <v>6.0832313502371953</v>
      </c>
      <c r="C6" s="267">
        <v>4.3403995893309046</v>
      </c>
    </row>
    <row r="7" spans="1:3">
      <c r="A7" s="201" t="s">
        <v>1955</v>
      </c>
      <c r="B7">
        <v>5.1735142381244819</v>
      </c>
      <c r="C7" s="267">
        <v>5.3925495700007495</v>
      </c>
    </row>
    <row r="8" spans="1:3">
      <c r="A8" s="201" t="s">
        <v>1957</v>
      </c>
      <c r="B8">
        <v>6.6185690798298529</v>
      </c>
      <c r="C8" s="267">
        <v>4.7008992052993506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2EC19-56D4-2C46-8C66-A00257E7BA0D}">
  <dimension ref="B4:K100"/>
  <sheetViews>
    <sheetView topLeftCell="A20" workbookViewId="0">
      <selection activeCell="E39" sqref="E39:E40"/>
    </sheetView>
  </sheetViews>
  <sheetFormatPr baseColWidth="10" defaultRowHeight="25"/>
  <cols>
    <col min="1" max="1" width="10.83203125" style="229"/>
    <col min="2" max="6" width="26.5" style="229" customWidth="1"/>
    <col min="7" max="7" width="11" style="229" bestFit="1" customWidth="1"/>
    <col min="8" max="8" width="11" style="230" bestFit="1" customWidth="1"/>
    <col min="9" max="9" width="11" style="231" bestFit="1" customWidth="1"/>
    <col min="10" max="10" width="11" style="229" bestFit="1" customWidth="1"/>
    <col min="11" max="11" width="12.5" style="229" bestFit="1" customWidth="1"/>
    <col min="12" max="16384" width="10.83203125" style="229"/>
  </cols>
  <sheetData>
    <row r="4" spans="2:11" ht="52">
      <c r="B4" s="226" t="s">
        <v>59</v>
      </c>
      <c r="C4" s="227" t="s">
        <v>60</v>
      </c>
      <c r="D4" s="228" t="s">
        <v>1836</v>
      </c>
      <c r="E4" s="227" t="s">
        <v>1829</v>
      </c>
    </row>
    <row r="9" spans="2:11" ht="130">
      <c r="B9" s="232" t="s">
        <v>1</v>
      </c>
      <c r="C9" s="232" t="s">
        <v>3</v>
      </c>
      <c r="D9" s="232" t="s">
        <v>1903</v>
      </c>
      <c r="E9" s="233" t="s">
        <v>1873</v>
      </c>
      <c r="F9" s="233" t="s">
        <v>1915</v>
      </c>
      <c r="G9" s="226" t="s">
        <v>59</v>
      </c>
      <c r="H9" s="234" t="s">
        <v>1836</v>
      </c>
      <c r="I9" s="235" t="s">
        <v>1829</v>
      </c>
      <c r="J9" s="227" t="s">
        <v>23</v>
      </c>
      <c r="K9" s="232" t="s">
        <v>1854</v>
      </c>
    </row>
    <row r="10" spans="2:11">
      <c r="B10" s="236" t="s">
        <v>1795</v>
      </c>
      <c r="C10" s="236" t="s">
        <v>1801</v>
      </c>
      <c r="D10" s="236" t="s">
        <v>1964</v>
      </c>
      <c r="E10" s="236">
        <v>9</v>
      </c>
      <c r="F10" s="236" t="s">
        <v>1965</v>
      </c>
      <c r="G10" s="237">
        <v>101.89949331946933</v>
      </c>
      <c r="H10" s="238">
        <v>0.4491919280028685</v>
      </c>
      <c r="I10" s="239">
        <v>37.290236160152986</v>
      </c>
      <c r="J10" s="240">
        <v>31.467560000000002</v>
      </c>
      <c r="K10" s="241">
        <v>1173.4327437837837</v>
      </c>
    </row>
    <row r="11" spans="2:11">
      <c r="B11" s="236" t="s">
        <v>1174</v>
      </c>
      <c r="C11" s="236" t="s">
        <v>1444</v>
      </c>
      <c r="D11" s="236" t="s">
        <v>1970</v>
      </c>
      <c r="E11" s="236">
        <v>9</v>
      </c>
      <c r="F11" s="236" t="s">
        <v>1971</v>
      </c>
      <c r="G11" s="237">
        <v>216.16544190936057</v>
      </c>
      <c r="H11" s="238">
        <v>-0.15596492999658057</v>
      </c>
      <c r="I11" s="239">
        <v>5.0152037335157029</v>
      </c>
      <c r="J11" s="240">
        <v>5.8691899999999997</v>
      </c>
      <c r="K11" s="241">
        <v>29.435183600713028</v>
      </c>
    </row>
    <row r="12" spans="2:11">
      <c r="B12" s="236" t="s">
        <v>115</v>
      </c>
      <c r="C12" s="236" t="s">
        <v>129</v>
      </c>
      <c r="D12" s="236" t="s">
        <v>1966</v>
      </c>
      <c r="E12" s="236">
        <v>10</v>
      </c>
      <c r="F12" s="236" t="s">
        <v>1967</v>
      </c>
      <c r="G12" s="237">
        <v>264.69896017844735</v>
      </c>
      <c r="H12" s="238">
        <v>-0.71882441674316466</v>
      </c>
      <c r="I12" s="239">
        <v>-25.003968892968782</v>
      </c>
      <c r="J12" s="240">
        <v>34.183750000000003</v>
      </c>
      <c r="K12" s="241">
        <v>-854.72942164502172</v>
      </c>
    </row>
    <row r="13" spans="2:11">
      <c r="B13" s="236" t="s">
        <v>374</v>
      </c>
      <c r="C13" s="236" t="s">
        <v>400</v>
      </c>
      <c r="D13" s="236" t="s">
        <v>1968</v>
      </c>
      <c r="E13" s="236">
        <v>2</v>
      </c>
      <c r="F13" s="236" t="s">
        <v>1969</v>
      </c>
      <c r="G13" s="237">
        <v>362.70788061696413</v>
      </c>
      <c r="H13" s="238">
        <v>-0.98201027659543239</v>
      </c>
      <c r="I13" s="239">
        <v>-39.040548085089732</v>
      </c>
      <c r="J13" s="240">
        <v>9.3969799999999992</v>
      </c>
      <c r="K13" s="241">
        <v>-366.86324954462646</v>
      </c>
    </row>
    <row r="14" spans="2:11">
      <c r="B14" s="236" t="s">
        <v>1771</v>
      </c>
      <c r="C14" s="236" t="s">
        <v>1776</v>
      </c>
      <c r="D14" s="236" t="s">
        <v>1972</v>
      </c>
      <c r="E14" s="236">
        <v>7</v>
      </c>
      <c r="F14" s="236" t="s">
        <v>1973</v>
      </c>
      <c r="G14" s="237">
        <v>222.05710802324418</v>
      </c>
      <c r="H14" s="238">
        <v>-0.15654743762106346</v>
      </c>
      <c r="I14" s="239">
        <v>4.9841366602099493</v>
      </c>
      <c r="J14" s="240">
        <v>34.892120000000006</v>
      </c>
      <c r="K14" s="241">
        <v>173.90709444444479</v>
      </c>
    </row>
    <row r="15" spans="2:11">
      <c r="B15" s="236" t="s">
        <v>1795</v>
      </c>
      <c r="C15" s="236" t="s">
        <v>258</v>
      </c>
      <c r="D15" s="236" t="s">
        <v>1974</v>
      </c>
      <c r="E15" s="236">
        <v>9</v>
      </c>
      <c r="F15" s="236" t="s">
        <v>1965</v>
      </c>
      <c r="G15" s="237">
        <v>215.12618841732464</v>
      </c>
      <c r="H15" s="238">
        <v>-0.15659241084583139</v>
      </c>
      <c r="I15" s="239">
        <v>4.9817380882223263</v>
      </c>
      <c r="J15" s="240">
        <v>43.273940000000003</v>
      </c>
      <c r="K15" s="241">
        <v>215.57943512544767</v>
      </c>
    </row>
    <row r="20" spans="2:6" ht="26">
      <c r="B20" s="227" t="s">
        <v>1908</v>
      </c>
      <c r="C20" s="242" t="s">
        <v>26</v>
      </c>
      <c r="D20" s="242" t="s">
        <v>1909</v>
      </c>
      <c r="E20" s="242" t="s">
        <v>1910</v>
      </c>
      <c r="F20" s="243" t="s">
        <v>1829</v>
      </c>
    </row>
    <row r="21" spans="2:6">
      <c r="B21" s="244">
        <v>33</v>
      </c>
      <c r="C21" s="244">
        <v>90.92</v>
      </c>
      <c r="D21" s="244">
        <v>91</v>
      </c>
      <c r="E21" s="245">
        <v>0.9991208791208791</v>
      </c>
      <c r="F21" s="246">
        <v>14.973626373626374</v>
      </c>
    </row>
    <row r="22" spans="2:6">
      <c r="B22" s="244">
        <v>33</v>
      </c>
      <c r="C22" s="244">
        <v>75.844800000000006</v>
      </c>
      <c r="D22" s="244">
        <v>91</v>
      </c>
      <c r="E22" s="245">
        <v>0.83345934065934069</v>
      </c>
      <c r="F22" s="246">
        <v>10.003780219780221</v>
      </c>
    </row>
    <row r="23" spans="2:6">
      <c r="B23" s="244">
        <v>39</v>
      </c>
      <c r="C23" s="244">
        <v>65.855388888888882</v>
      </c>
      <c r="D23" s="244">
        <v>90</v>
      </c>
      <c r="E23" s="245">
        <v>0.73172654320987651</v>
      </c>
      <c r="F23" s="246">
        <v>6.9517962962962958</v>
      </c>
    </row>
    <row r="24" spans="2:6">
      <c r="B24" s="244">
        <v>34</v>
      </c>
      <c r="C24" s="244">
        <v>48.616599999999998</v>
      </c>
      <c r="D24" s="244">
        <v>91</v>
      </c>
      <c r="E24" s="245">
        <v>0.5342483516483516</v>
      </c>
      <c r="F24" s="246">
        <v>1.0274505494505481</v>
      </c>
    </row>
    <row r="25" spans="2:6">
      <c r="B25" s="244">
        <v>43</v>
      </c>
      <c r="C25" s="244">
        <v>88.916222222222217</v>
      </c>
      <c r="D25" s="244">
        <v>89</v>
      </c>
      <c r="E25" s="245">
        <v>0.99905867665418224</v>
      </c>
      <c r="F25" s="246">
        <v>14.971760299625467</v>
      </c>
    </row>
    <row r="26" spans="2:6">
      <c r="B26" s="244">
        <v>32</v>
      </c>
      <c r="C26" s="244">
        <v>66.594331797235014</v>
      </c>
      <c r="D26" s="244">
        <v>91</v>
      </c>
      <c r="E26" s="245">
        <v>0.7318058439256595</v>
      </c>
      <c r="F26" s="246">
        <v>6.9541753177697849</v>
      </c>
    </row>
    <row r="27" spans="2:6">
      <c r="B27" s="244">
        <v>38</v>
      </c>
      <c r="C27" s="244">
        <v>89.936000000000007</v>
      </c>
      <c r="D27" s="244">
        <v>90</v>
      </c>
      <c r="E27" s="245">
        <v>0.999288888888889</v>
      </c>
      <c r="F27" s="246">
        <v>14.978666666666671</v>
      </c>
    </row>
    <row r="28" spans="2:6">
      <c r="B28" s="244">
        <v>40</v>
      </c>
      <c r="C28" s="244">
        <v>89.958749999999995</v>
      </c>
      <c r="D28" s="244">
        <v>90</v>
      </c>
      <c r="E28" s="245">
        <v>0.99954166666666666</v>
      </c>
      <c r="F28" s="246">
        <v>14.98625</v>
      </c>
    </row>
    <row r="29" spans="2:6">
      <c r="B29" s="244">
        <v>32</v>
      </c>
      <c r="C29" s="244">
        <v>48.54872340425532</v>
      </c>
      <c r="D29" s="244">
        <v>91</v>
      </c>
      <c r="E29" s="245">
        <v>0.5335024549918167</v>
      </c>
      <c r="F29" s="246">
        <v>1.005073649754501</v>
      </c>
    </row>
    <row r="30" spans="2:6">
      <c r="B30" s="244">
        <v>45</v>
      </c>
      <c r="C30" s="244">
        <v>74.136117647058825</v>
      </c>
      <c r="D30" s="244">
        <v>89</v>
      </c>
      <c r="E30" s="245">
        <v>0.83299008592200929</v>
      </c>
      <c r="F30" s="246">
        <v>9.9897025776602781</v>
      </c>
    </row>
    <row r="31" spans="2:6">
      <c r="B31" s="244">
        <v>24</v>
      </c>
      <c r="C31" s="244">
        <v>49.736499999999999</v>
      </c>
      <c r="D31" s="244">
        <v>93</v>
      </c>
      <c r="E31" s="245">
        <v>0.53480107526881715</v>
      </c>
      <c r="F31" s="246">
        <v>1.0440322580645145</v>
      </c>
    </row>
    <row r="35" spans="2:6">
      <c r="B35" s="250" t="s">
        <v>1911</v>
      </c>
      <c r="C35" s="251" t="s">
        <v>28</v>
      </c>
      <c r="D35" s="250" t="s">
        <v>1912</v>
      </c>
      <c r="E35" s="250" t="s">
        <v>1910</v>
      </c>
      <c r="F35" s="250" t="s">
        <v>1829</v>
      </c>
    </row>
    <row r="36" spans="2:6">
      <c r="B36" s="250">
        <v>40</v>
      </c>
      <c r="C36" s="254">
        <v>0.33053511699999999</v>
      </c>
      <c r="D36" s="250">
        <v>0.33</v>
      </c>
      <c r="E36" s="252">
        <v>1.0016215666666666</v>
      </c>
      <c r="F36" s="253">
        <v>15.048646999999997</v>
      </c>
    </row>
    <row r="37" spans="2:6">
      <c r="B37" s="250">
        <v>42</v>
      </c>
      <c r="C37" s="254">
        <v>0.28300631100000001</v>
      </c>
      <c r="D37" s="250">
        <v>0.34</v>
      </c>
      <c r="E37" s="252">
        <v>0.83237150294117646</v>
      </c>
      <c r="F37" s="253">
        <v>9.9711450882352928</v>
      </c>
    </row>
    <row r="38" spans="2:6">
      <c r="B38" s="250">
        <v>57</v>
      </c>
      <c r="C38" s="254">
        <v>0.27545808999999999</v>
      </c>
      <c r="D38" s="250">
        <v>0.36</v>
      </c>
      <c r="E38" s="252">
        <v>0.7651613611111111</v>
      </c>
      <c r="F38" s="253">
        <v>7.9548408333333329</v>
      </c>
    </row>
    <row r="39" spans="2:6">
      <c r="B39" s="250">
        <v>47</v>
      </c>
      <c r="C39" s="254">
        <v>0.19836411100000001</v>
      </c>
      <c r="D39" s="250">
        <v>0.35</v>
      </c>
      <c r="E39" s="252">
        <v>0.56675460285714296</v>
      </c>
      <c r="F39" s="253">
        <v>2.0026380857142891</v>
      </c>
    </row>
    <row r="42" spans="2:6">
      <c r="B42" s="250" t="s">
        <v>1911</v>
      </c>
      <c r="C42" s="255" t="s">
        <v>29</v>
      </c>
      <c r="D42" s="250" t="s">
        <v>1913</v>
      </c>
      <c r="E42" s="252" t="s">
        <v>1914</v>
      </c>
      <c r="F42" s="256" t="s">
        <v>1829</v>
      </c>
    </row>
    <row r="43" spans="2:6">
      <c r="B43" s="250">
        <v>30</v>
      </c>
      <c r="C43" s="255">
        <v>2.1254928761566072</v>
      </c>
      <c r="D43" s="250">
        <v>1.17</v>
      </c>
      <c r="E43" s="252">
        <v>0.5504605605245011</v>
      </c>
      <c r="F43" s="256">
        <v>1.0092112104900219</v>
      </c>
    </row>
    <row r="44" spans="2:6">
      <c r="B44" s="250">
        <v>44</v>
      </c>
      <c r="C44" s="255">
        <v>1.7444961866178401</v>
      </c>
      <c r="D44" s="250">
        <v>1.31</v>
      </c>
      <c r="E44" s="252">
        <v>0.75093314049586779</v>
      </c>
      <c r="F44" s="256">
        <v>5.0186628099173554</v>
      </c>
    </row>
    <row r="45" spans="2:6">
      <c r="B45" s="250">
        <v>53</v>
      </c>
      <c r="C45" s="255">
        <v>1.5561382747457264</v>
      </c>
      <c r="D45" s="250">
        <v>1.4</v>
      </c>
      <c r="E45" s="252">
        <v>0.89966298157453939</v>
      </c>
      <c r="F45" s="256">
        <v>7.9932596314907878</v>
      </c>
    </row>
    <row r="46" spans="2:6">
      <c r="B46" s="250">
        <v>59</v>
      </c>
      <c r="C46" s="255">
        <v>1.4588239368333564</v>
      </c>
      <c r="D46" s="250">
        <v>1.46</v>
      </c>
      <c r="E46" s="252">
        <v>1.0008061721068249</v>
      </c>
      <c r="F46" s="256">
        <v>10.016123442136497</v>
      </c>
    </row>
    <row r="49" spans="2:9">
      <c r="B49" s="229" t="s">
        <v>7</v>
      </c>
      <c r="C49" s="256" t="s">
        <v>4</v>
      </c>
      <c r="D49" s="256" t="s">
        <v>24</v>
      </c>
      <c r="E49" s="256" t="s">
        <v>1829</v>
      </c>
      <c r="F49" s="230"/>
      <c r="G49" s="231"/>
      <c r="H49" s="229"/>
      <c r="I49" s="229"/>
    </row>
    <row r="50" spans="2:9">
      <c r="B50" s="229" t="s">
        <v>75</v>
      </c>
      <c r="C50" s="63">
        <v>2.79</v>
      </c>
      <c r="D50" s="63">
        <v>2.79</v>
      </c>
      <c r="E50" s="63">
        <v>2.79</v>
      </c>
      <c r="F50" s="230"/>
      <c r="G50" s="231"/>
      <c r="H50" s="229"/>
      <c r="I50" s="229"/>
    </row>
    <row r="51" spans="2:9">
      <c r="B51" s="229" t="s">
        <v>75</v>
      </c>
      <c r="C51" s="254">
        <v>1.5</v>
      </c>
      <c r="D51" s="257">
        <v>12.026986666666666</v>
      </c>
      <c r="E51" s="256">
        <v>10.044977777777778</v>
      </c>
      <c r="F51" s="230"/>
      <c r="G51" s="231"/>
      <c r="H51" s="229"/>
      <c r="I51" s="229"/>
    </row>
    <row r="52" spans="2:9">
      <c r="B52" s="229" t="s">
        <v>67</v>
      </c>
      <c r="C52" s="254">
        <v>4.5999999999999996</v>
      </c>
      <c r="D52" s="257">
        <v>8.202165217391304</v>
      </c>
      <c r="E52" s="256">
        <v>7.0036086956521739</v>
      </c>
      <c r="F52" s="230"/>
      <c r="G52" s="231"/>
      <c r="H52" s="229"/>
      <c r="I52" s="229"/>
    </row>
    <row r="53" spans="2:9">
      <c r="B53" s="229" t="s">
        <v>67</v>
      </c>
      <c r="C53" s="254">
        <v>0.72</v>
      </c>
      <c r="D53" s="257">
        <v>6.9745833333333334</v>
      </c>
      <c r="E53" s="256">
        <v>4.9576388888888889</v>
      </c>
      <c r="F53" s="230"/>
      <c r="G53" s="231"/>
      <c r="H53" s="229"/>
      <c r="I53" s="229"/>
    </row>
    <row r="58" spans="2:9">
      <c r="B58" s="63" t="s">
        <v>7</v>
      </c>
      <c r="C58" s="63" t="s">
        <v>1952</v>
      </c>
      <c r="D58" s="63" t="s">
        <v>4</v>
      </c>
      <c r="E58" s="106" t="s">
        <v>24</v>
      </c>
      <c r="F58" s="108" t="s">
        <v>1834</v>
      </c>
      <c r="G58" s="63" t="s">
        <v>1829</v>
      </c>
      <c r="H58" s="63" t="s">
        <v>1958</v>
      </c>
    </row>
    <row r="59" spans="2:9">
      <c r="B59" s="63" t="s">
        <v>75</v>
      </c>
      <c r="C59" s="63" t="s">
        <v>1954</v>
      </c>
      <c r="D59" s="63">
        <v>2.1</v>
      </c>
      <c r="E59" s="106">
        <v>5.9935857142857136</v>
      </c>
      <c r="F59" s="72">
        <v>2.9935857142857136</v>
      </c>
      <c r="G59" s="109">
        <v>4.9893095238095233</v>
      </c>
      <c r="H59" s="63">
        <v>4.9893095238095233</v>
      </c>
    </row>
    <row r="60" spans="2:9">
      <c r="B60" s="63" t="s">
        <v>67</v>
      </c>
      <c r="C60" s="63" t="s">
        <v>67</v>
      </c>
      <c r="D60" s="63">
        <v>0.72</v>
      </c>
      <c r="E60" s="106">
        <v>6.4015972222222217</v>
      </c>
      <c r="F60" s="72">
        <v>2.4015972222222217</v>
      </c>
      <c r="G60" s="109">
        <v>4.0026620370370365</v>
      </c>
      <c r="H60" s="63">
        <v>4.0026620370370365</v>
      </c>
    </row>
    <row r="61" spans="2:9">
      <c r="B61" s="63" t="s">
        <v>67</v>
      </c>
      <c r="C61" s="63" t="s">
        <v>67</v>
      </c>
      <c r="D61" s="63">
        <v>1.1299999999999999</v>
      </c>
      <c r="E61" s="106">
        <v>6.9734247787610624</v>
      </c>
      <c r="F61" s="72">
        <v>2.9734247787610624</v>
      </c>
      <c r="G61" s="109">
        <v>4.9557079646017712</v>
      </c>
      <c r="H61" s="63">
        <v>4.9557079646017712</v>
      </c>
    </row>
    <row r="62" spans="2:9">
      <c r="B62" s="63" t="s">
        <v>75</v>
      </c>
      <c r="C62" s="63" t="s">
        <v>1954</v>
      </c>
      <c r="D62" s="63">
        <v>3.82</v>
      </c>
      <c r="E62" s="106">
        <v>7.2044999999999995</v>
      </c>
      <c r="F62" s="72">
        <v>4.2044999999999995</v>
      </c>
      <c r="G62" s="109">
        <v>7.0074999999999994</v>
      </c>
      <c r="H62" s="63">
        <v>6.25</v>
      </c>
    </row>
    <row r="63" spans="2:9">
      <c r="B63" s="63" t="s">
        <v>75</v>
      </c>
      <c r="C63" s="63" t="s">
        <v>1954</v>
      </c>
      <c r="D63" s="63">
        <v>3.91</v>
      </c>
      <c r="E63" s="106">
        <v>6.0275677749360614</v>
      </c>
      <c r="F63" s="72">
        <v>3.0275677749360614</v>
      </c>
      <c r="G63" s="109">
        <v>5.045946291560103</v>
      </c>
      <c r="H63" s="63">
        <v>5.045946291560103</v>
      </c>
    </row>
    <row r="64" spans="2:9">
      <c r="B64" s="63" t="s">
        <v>75</v>
      </c>
      <c r="C64" s="63" t="s">
        <v>1951</v>
      </c>
      <c r="D64" s="63">
        <v>1.8</v>
      </c>
      <c r="E64" s="106">
        <v>6.5991111111111103</v>
      </c>
      <c r="F64" s="72">
        <v>0.59911111111111026</v>
      </c>
      <c r="G64" s="109">
        <v>0.99851851851851714</v>
      </c>
      <c r="H64" s="63">
        <v>0.99851851851851714</v>
      </c>
    </row>
    <row r="65" spans="2:9">
      <c r="B65" s="63" t="s">
        <v>75</v>
      </c>
      <c r="C65" s="63" t="s">
        <v>1951</v>
      </c>
      <c r="D65" s="63">
        <v>1.5</v>
      </c>
      <c r="E65" s="106">
        <v>12.026986666666666</v>
      </c>
      <c r="F65" s="72">
        <v>6.0269866666666658</v>
      </c>
      <c r="G65" s="109">
        <v>10.044977777777778</v>
      </c>
      <c r="H65" s="63">
        <v>6.25</v>
      </c>
    </row>
    <row r="66" spans="2:9">
      <c r="B66" s="63" t="s">
        <v>67</v>
      </c>
      <c r="C66" s="63" t="s">
        <v>67</v>
      </c>
      <c r="D66" s="63">
        <v>4.5999999999999996</v>
      </c>
      <c r="E66" s="106">
        <v>8.202165217391304</v>
      </c>
      <c r="F66" s="72">
        <v>4.202165217391304</v>
      </c>
      <c r="G66" s="109">
        <v>7.0036086956521739</v>
      </c>
      <c r="H66" s="63">
        <v>6.25</v>
      </c>
    </row>
    <row r="67" spans="2:9">
      <c r="B67" s="63" t="s">
        <v>75</v>
      </c>
      <c r="C67" s="63" t="s">
        <v>1951</v>
      </c>
      <c r="D67" s="63">
        <v>1.5</v>
      </c>
      <c r="E67" s="106">
        <v>10.178833333333333</v>
      </c>
      <c r="F67" s="72">
        <v>4.1788333333333334</v>
      </c>
      <c r="G67" s="109">
        <v>6.9647222222222229</v>
      </c>
      <c r="H67" s="63">
        <v>6.25</v>
      </c>
    </row>
    <row r="68" spans="2:9">
      <c r="B68" s="63" t="s">
        <v>67</v>
      </c>
      <c r="C68" s="63" t="s">
        <v>67</v>
      </c>
      <c r="D68" s="63">
        <v>0.72</v>
      </c>
      <c r="E68" s="106">
        <v>6.4069722222222234</v>
      </c>
      <c r="F68" s="72">
        <v>2.4069722222222234</v>
      </c>
      <c r="G68" s="109">
        <v>4.0116203703703723</v>
      </c>
      <c r="H68" s="63">
        <v>4.0116203703703723</v>
      </c>
    </row>
    <row r="69" spans="2:9">
      <c r="B69" s="63" t="s">
        <v>75</v>
      </c>
      <c r="C69" s="63" t="s">
        <v>1955</v>
      </c>
      <c r="D69" s="63">
        <v>4.5</v>
      </c>
      <c r="E69" s="106">
        <v>6.1955422222222216</v>
      </c>
      <c r="F69" s="72">
        <v>4.1955422222222216</v>
      </c>
      <c r="G69" s="109">
        <v>6.9925703703703697</v>
      </c>
      <c r="H69" s="63">
        <v>6.25</v>
      </c>
    </row>
    <row r="70" spans="2:9">
      <c r="B70" s="63" t="s">
        <v>75</v>
      </c>
      <c r="C70" s="63" t="s">
        <v>1954</v>
      </c>
      <c r="D70" s="63">
        <v>3.29</v>
      </c>
      <c r="E70" s="106">
        <v>7.1950000000000003</v>
      </c>
      <c r="F70" s="72">
        <v>4.1950000000000003</v>
      </c>
      <c r="G70" s="109">
        <v>6.9916666666666671</v>
      </c>
      <c r="H70" s="63">
        <v>6.25</v>
      </c>
    </row>
    <row r="71" spans="2:9" s="260" customFormat="1">
      <c r="B71" s="111" t="s">
        <v>75</v>
      </c>
      <c r="C71" s="111" t="s">
        <v>1954</v>
      </c>
      <c r="D71" s="111">
        <v>2.79</v>
      </c>
      <c r="E71" s="111">
        <v>2.79</v>
      </c>
      <c r="F71" s="258">
        <v>0.58454121863799324</v>
      </c>
      <c r="G71" s="111">
        <v>2.79</v>
      </c>
      <c r="H71" s="111">
        <v>0.97423536439665548</v>
      </c>
      <c r="I71" s="259"/>
    </row>
    <row r="72" spans="2:9">
      <c r="B72" s="63" t="s">
        <v>67</v>
      </c>
      <c r="C72" s="63" t="s">
        <v>67</v>
      </c>
      <c r="D72" s="63">
        <v>1.1299999999999999</v>
      </c>
      <c r="E72" s="106">
        <v>8.2240442477876119</v>
      </c>
      <c r="F72" s="72">
        <v>4.2240442477876119</v>
      </c>
      <c r="G72" s="109">
        <v>7.0400737463126868</v>
      </c>
      <c r="H72" s="63">
        <v>6.25</v>
      </c>
    </row>
    <row r="73" spans="2:9">
      <c r="B73" s="63" t="s">
        <v>67</v>
      </c>
      <c r="C73" s="63" t="s">
        <v>67</v>
      </c>
      <c r="D73" s="63">
        <v>1.1299999999999999</v>
      </c>
      <c r="E73" s="106">
        <v>6.3897610619469036</v>
      </c>
      <c r="F73" s="72">
        <v>2.3897610619469036</v>
      </c>
      <c r="G73" s="109">
        <v>3.9829351032448397</v>
      </c>
      <c r="H73" s="63">
        <v>3.9829351032448397</v>
      </c>
    </row>
    <row r="74" spans="2:9">
      <c r="B74" s="63" t="s">
        <v>67</v>
      </c>
      <c r="C74" s="63" t="s">
        <v>67</v>
      </c>
      <c r="D74" s="63">
        <v>0.72</v>
      </c>
      <c r="E74" s="106">
        <v>6.9745833333333334</v>
      </c>
      <c r="F74" s="72">
        <v>2.9745833333333334</v>
      </c>
      <c r="G74" s="109">
        <v>4.9576388888888889</v>
      </c>
      <c r="H74" s="63">
        <v>4.9576388888888889</v>
      </c>
    </row>
    <row r="75" spans="2:9">
      <c r="B75" s="63" t="s">
        <v>67</v>
      </c>
      <c r="C75" s="63" t="s">
        <v>67</v>
      </c>
      <c r="D75" s="63">
        <v>0.72</v>
      </c>
      <c r="E75" s="106">
        <v>4.6213055555555558</v>
      </c>
      <c r="F75" s="72">
        <v>0.62130555555555578</v>
      </c>
      <c r="G75" s="109">
        <v>1.0355092592592596</v>
      </c>
      <c r="H75" s="63">
        <v>1.0355092592592596</v>
      </c>
    </row>
    <row r="76" spans="2:9">
      <c r="B76" s="63" t="s">
        <v>75</v>
      </c>
      <c r="C76" s="63" t="s">
        <v>1955</v>
      </c>
      <c r="D76" s="63">
        <v>5.72</v>
      </c>
      <c r="E76" s="106">
        <v>4.4222167832167836</v>
      </c>
      <c r="F76" s="72">
        <v>2.4222167832167836</v>
      </c>
      <c r="G76" s="109">
        <v>4.0370279720279729</v>
      </c>
      <c r="H76" s="63">
        <v>4.0370279720279729</v>
      </c>
    </row>
    <row r="77" spans="2:9">
      <c r="B77" s="63" t="s">
        <v>67</v>
      </c>
      <c r="C77" s="63" t="s">
        <v>67</v>
      </c>
      <c r="D77" s="63">
        <v>1.1299999999999999</v>
      </c>
      <c r="E77" s="106">
        <v>7.0180530973451329</v>
      </c>
      <c r="F77" s="72">
        <v>3.0180530973451329</v>
      </c>
      <c r="G77" s="109">
        <v>5.0300884955752219</v>
      </c>
      <c r="H77" s="63">
        <v>5.0300884955752219</v>
      </c>
    </row>
    <row r="78" spans="2:9">
      <c r="B78" s="63" t="s">
        <v>67</v>
      </c>
      <c r="C78" s="63" t="s">
        <v>67</v>
      </c>
      <c r="D78" s="63">
        <v>0.72</v>
      </c>
      <c r="E78" s="106">
        <v>7.0005138888888894</v>
      </c>
      <c r="F78" s="72">
        <v>3.0005138888888894</v>
      </c>
      <c r="G78" s="109">
        <v>5.0008564814814829</v>
      </c>
      <c r="H78" s="63">
        <v>5.0008564814814829</v>
      </c>
    </row>
    <row r="79" spans="2:9">
      <c r="B79" s="63" t="s">
        <v>67</v>
      </c>
      <c r="C79" s="63" t="s">
        <v>67</v>
      </c>
      <c r="D79" s="63">
        <v>1.1299999999999999</v>
      </c>
      <c r="E79" s="106">
        <v>7.0125663716814168</v>
      </c>
      <c r="F79" s="72">
        <v>3.0125663716814168</v>
      </c>
      <c r="G79" s="109">
        <v>5.0209439528023614</v>
      </c>
      <c r="H79" s="63">
        <v>5.0209439528023614</v>
      </c>
    </row>
    <row r="80" spans="2:9">
      <c r="B80" s="63" t="s">
        <v>75</v>
      </c>
      <c r="C80" s="63" t="s">
        <v>1954</v>
      </c>
      <c r="D80" s="63">
        <v>2</v>
      </c>
      <c r="E80" s="106">
        <v>8.4053550000000001</v>
      </c>
      <c r="F80" s="72">
        <v>2.4053550000000001</v>
      </c>
      <c r="G80" s="109">
        <v>4.0089250000000005</v>
      </c>
      <c r="H80" s="63">
        <v>4.0089250000000005</v>
      </c>
    </row>
    <row r="81" spans="2:9">
      <c r="B81" s="63" t="s">
        <v>75</v>
      </c>
      <c r="C81" s="63" t="s">
        <v>1954</v>
      </c>
      <c r="D81" s="63">
        <v>2.6</v>
      </c>
      <c r="E81" s="106">
        <v>3.5987769230769224</v>
      </c>
      <c r="F81" s="72">
        <v>0.59877692307692243</v>
      </c>
      <c r="G81" s="109">
        <v>0.99796153846153746</v>
      </c>
      <c r="H81" s="63">
        <v>0.99796153846153746</v>
      </c>
    </row>
    <row r="82" spans="2:9">
      <c r="B82" s="63" t="s">
        <v>67</v>
      </c>
      <c r="C82" s="63" t="s">
        <v>67</v>
      </c>
      <c r="D82" s="63">
        <v>1.1299999999999999</v>
      </c>
      <c r="E82" s="106">
        <v>4.6014424778761063</v>
      </c>
      <c r="F82" s="72">
        <v>0.60144247787610627</v>
      </c>
      <c r="G82" s="109">
        <v>1.0024041297935105</v>
      </c>
      <c r="H82" s="63">
        <v>1.0024041297935105</v>
      </c>
    </row>
    <row r="83" spans="2:9">
      <c r="B83" s="63" t="s">
        <v>67</v>
      </c>
      <c r="C83" s="63" t="s">
        <v>67</v>
      </c>
      <c r="D83" s="63">
        <v>1.1299999999999999</v>
      </c>
      <c r="E83" s="106">
        <v>6.3925752212389382</v>
      </c>
      <c r="F83" s="72">
        <v>2.3925752212389382</v>
      </c>
      <c r="G83" s="109">
        <v>3.9876253687315639</v>
      </c>
      <c r="H83" s="63">
        <v>3.9876253687315639</v>
      </c>
    </row>
    <row r="84" spans="2:9">
      <c r="B84" s="63" t="s">
        <v>67</v>
      </c>
      <c r="C84" s="63" t="s">
        <v>67</v>
      </c>
      <c r="D84" s="63">
        <v>1.1299999999999999</v>
      </c>
      <c r="E84" s="106">
        <v>8.2109734513274333</v>
      </c>
      <c r="F84" s="72">
        <v>4.2109734513274333</v>
      </c>
      <c r="G84" s="109">
        <v>7.0182890855457227</v>
      </c>
      <c r="H84" s="63">
        <v>6.25</v>
      </c>
    </row>
    <row r="85" spans="2:9">
      <c r="B85" s="63" t="s">
        <v>67</v>
      </c>
      <c r="C85" s="63" t="s">
        <v>67</v>
      </c>
      <c r="D85" s="63">
        <v>1.1299999999999999</v>
      </c>
      <c r="E85" s="106">
        <v>6.3774247787610623</v>
      </c>
      <c r="F85" s="72">
        <v>2.3774247787610623</v>
      </c>
      <c r="G85" s="109">
        <v>3.9623746312684371</v>
      </c>
      <c r="H85" s="63">
        <v>3.9623746312684371</v>
      </c>
    </row>
    <row r="89" spans="2:9">
      <c r="B89" s="261" t="s">
        <v>7</v>
      </c>
      <c r="C89" s="261" t="s">
        <v>4</v>
      </c>
      <c r="D89" s="262" t="s">
        <v>24</v>
      </c>
      <c r="E89" s="261" t="s">
        <v>1829</v>
      </c>
      <c r="F89" s="231"/>
      <c r="H89" s="229"/>
      <c r="I89" s="229"/>
    </row>
    <row r="90" spans="2:9">
      <c r="B90" s="261" t="s">
        <v>75</v>
      </c>
      <c r="C90" s="261">
        <v>2.1</v>
      </c>
      <c r="D90" s="262">
        <v>5.9935857142857136</v>
      </c>
      <c r="E90" s="263">
        <v>4.9893095238095233</v>
      </c>
      <c r="F90" s="231"/>
      <c r="H90" s="229"/>
      <c r="I90" s="229"/>
    </row>
    <row r="91" spans="2:9">
      <c r="B91" s="261" t="s">
        <v>75</v>
      </c>
      <c r="C91" s="261">
        <v>1.5</v>
      </c>
      <c r="D91" s="262">
        <v>12.026986666666666</v>
      </c>
      <c r="E91" s="263">
        <v>10.044977777777778</v>
      </c>
      <c r="F91" s="231"/>
      <c r="H91" s="229"/>
      <c r="I91" s="229"/>
    </row>
    <row r="92" spans="2:9">
      <c r="B92" s="261" t="s">
        <v>75</v>
      </c>
      <c r="C92" s="261">
        <v>4.5</v>
      </c>
      <c r="D92" s="262">
        <v>6.1955422222222216</v>
      </c>
      <c r="E92" s="263">
        <v>6.9925703703703697</v>
      </c>
      <c r="F92" s="231"/>
      <c r="H92" s="229"/>
      <c r="I92" s="229"/>
    </row>
    <row r="93" spans="2:9">
      <c r="B93" s="261" t="s">
        <v>67</v>
      </c>
      <c r="C93" s="261">
        <v>1.1299999999999999</v>
      </c>
      <c r="D93" s="262">
        <v>4.6014424778761063</v>
      </c>
      <c r="E93" s="263">
        <v>1.0024041297935105</v>
      </c>
      <c r="F93" s="231"/>
      <c r="H93" s="229"/>
      <c r="I93" s="229"/>
    </row>
    <row r="96" spans="2:9">
      <c r="B96" s="264" t="s">
        <v>25</v>
      </c>
      <c r="C96" s="266" t="s">
        <v>1829</v>
      </c>
      <c r="G96" s="230"/>
      <c r="H96" s="231"/>
      <c r="I96" s="229"/>
    </row>
    <row r="97" spans="2:9">
      <c r="B97" s="265">
        <v>29.88900208675572</v>
      </c>
      <c r="C97" s="266">
        <v>10.024666202943171</v>
      </c>
      <c r="G97" s="230"/>
      <c r="H97" s="231"/>
      <c r="I97" s="229"/>
    </row>
    <row r="98" spans="2:9">
      <c r="B98" s="265">
        <v>43.465503887337285</v>
      </c>
      <c r="C98" s="266">
        <v>7.0076658028139365</v>
      </c>
      <c r="G98" s="230"/>
      <c r="H98" s="231"/>
      <c r="I98" s="229"/>
    </row>
    <row r="99" spans="2:9">
      <c r="B99" s="265">
        <v>52.27044316224454</v>
      </c>
      <c r="C99" s="266">
        <v>5.0510126306123242</v>
      </c>
      <c r="G99" s="230"/>
      <c r="H99" s="231"/>
      <c r="I99" s="229"/>
    </row>
    <row r="100" spans="2:9">
      <c r="B100" s="265">
        <v>66.000153727694311</v>
      </c>
      <c r="C100" s="266">
        <v>1.9999658382901531</v>
      </c>
      <c r="G100" s="230"/>
      <c r="H100" s="231"/>
      <c r="I100" s="229"/>
    </row>
  </sheetData>
  <autoFilter ref="B89:E93" xr:uid="{92B2EC19-56D4-2C46-8C66-A00257E7BA0D}"/>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8F6D0-FDBD-2740-A250-D81617525C16}">
  <sheetPr>
    <tabColor rgb="FF7030A0"/>
  </sheetPr>
  <dimension ref="A1:G222"/>
  <sheetViews>
    <sheetView topLeftCell="A78" zoomScale="160" zoomScaleNormal="160" workbookViewId="0">
      <selection activeCell="H2" sqref="H2"/>
    </sheetView>
  </sheetViews>
  <sheetFormatPr baseColWidth="10" defaultColWidth="8.83203125" defaultRowHeight="15"/>
  <cols>
    <col min="1" max="1" width="9.1640625" style="99" customWidth="1"/>
    <col min="2" max="2" width="14.6640625" style="98" customWidth="1"/>
    <col min="3" max="3" width="11.6640625" style="98" customWidth="1"/>
    <col min="4" max="4" width="13.6640625" style="98" hidden="1" customWidth="1"/>
    <col min="5" max="5" width="13" style="98" hidden="1" customWidth="1"/>
    <col min="6" max="6" width="17.83203125" style="98" customWidth="1"/>
    <col min="7" max="7" width="17.1640625" style="98" customWidth="1"/>
    <col min="8" max="8" width="8.83203125" style="98"/>
    <col min="9" max="10" width="13.1640625" style="98" customWidth="1"/>
    <col min="11" max="16384" width="8.83203125" style="98"/>
  </cols>
  <sheetData>
    <row r="1" spans="1:7">
      <c r="B1" s="98">
        <v>1</v>
      </c>
      <c r="C1" s="99">
        <v>2</v>
      </c>
      <c r="D1" s="98">
        <v>3</v>
      </c>
      <c r="E1" s="99">
        <v>4</v>
      </c>
      <c r="F1" s="98">
        <v>5</v>
      </c>
      <c r="G1" s="99">
        <v>6</v>
      </c>
    </row>
    <row r="2" spans="1:7" s="90" customFormat="1">
      <c r="A2" s="85" t="s">
        <v>1855</v>
      </c>
      <c r="B2" s="86" t="s">
        <v>1853</v>
      </c>
      <c r="C2" s="87" t="s">
        <v>1850</v>
      </c>
      <c r="D2" s="88" t="s">
        <v>2889</v>
      </c>
      <c r="E2" s="89" t="s">
        <v>2890</v>
      </c>
      <c r="F2" s="88" t="s">
        <v>2891</v>
      </c>
      <c r="G2" s="89" t="s">
        <v>2892</v>
      </c>
    </row>
    <row r="3" spans="1:7">
      <c r="A3" s="91">
        <v>0</v>
      </c>
      <c r="B3" s="92">
        <v>1</v>
      </c>
      <c r="C3" s="93">
        <v>69</v>
      </c>
      <c r="D3" s="94">
        <v>3</v>
      </c>
      <c r="E3" s="95">
        <v>4</v>
      </c>
      <c r="F3" s="96">
        <v>2.2970000000000002</v>
      </c>
      <c r="G3" s="97">
        <v>0.38</v>
      </c>
    </row>
    <row r="4" spans="1:7">
      <c r="A4" s="91" t="e">
        <v>#N/A</v>
      </c>
      <c r="B4" s="92">
        <v>2</v>
      </c>
      <c r="C4" s="93">
        <v>69</v>
      </c>
      <c r="D4" s="94" t="e">
        <v>#N/A</v>
      </c>
      <c r="E4" s="95" t="e">
        <v>#N/A</v>
      </c>
      <c r="F4" s="96">
        <v>2.2970000000000002</v>
      </c>
      <c r="G4" s="97">
        <v>0.38</v>
      </c>
    </row>
    <row r="5" spans="1:7">
      <c r="A5" s="91" t="e">
        <v>#N/A</v>
      </c>
      <c r="B5" s="92">
        <v>3</v>
      </c>
      <c r="C5" s="93">
        <v>69</v>
      </c>
      <c r="D5" s="94" t="e">
        <v>#N/A</v>
      </c>
      <c r="E5" s="95" t="e">
        <v>#N/A</v>
      </c>
      <c r="F5" s="96">
        <v>2.2970000000000002</v>
      </c>
      <c r="G5" s="97">
        <v>0.38</v>
      </c>
    </row>
    <row r="6" spans="1:7">
      <c r="A6" s="91" t="e">
        <v>#N/A</v>
      </c>
      <c r="B6" s="92">
        <v>4</v>
      </c>
      <c r="C6" s="93">
        <v>69</v>
      </c>
      <c r="D6" s="94" t="e">
        <v>#N/A</v>
      </c>
      <c r="E6" s="95" t="e">
        <v>#N/A</v>
      </c>
      <c r="F6" s="96">
        <v>2.2970000000000002</v>
      </c>
      <c r="G6" s="97">
        <v>0.38</v>
      </c>
    </row>
    <row r="7" spans="1:7">
      <c r="A7" s="91" t="e">
        <v>#N/A</v>
      </c>
      <c r="B7" s="92">
        <v>5</v>
      </c>
      <c r="C7" s="93">
        <v>69</v>
      </c>
      <c r="D7" s="94" t="e">
        <v>#N/A</v>
      </c>
      <c r="E7" s="95" t="e">
        <v>#N/A</v>
      </c>
      <c r="F7" s="96">
        <v>2.2970000000000002</v>
      </c>
      <c r="G7" s="97">
        <v>0.38</v>
      </c>
    </row>
    <row r="8" spans="1:7">
      <c r="A8" s="91" t="e">
        <v>#N/A</v>
      </c>
      <c r="B8" s="92">
        <v>6</v>
      </c>
      <c r="C8" s="93">
        <v>69</v>
      </c>
      <c r="D8" s="94" t="e">
        <v>#N/A</v>
      </c>
      <c r="E8" s="95" t="e">
        <v>#N/A</v>
      </c>
      <c r="F8" s="96">
        <v>2.2970000000000002</v>
      </c>
      <c r="G8" s="97">
        <v>0.38</v>
      </c>
    </row>
    <row r="9" spans="1:7">
      <c r="A9" s="91" t="e">
        <v>#N/A</v>
      </c>
      <c r="B9" s="92">
        <v>7</v>
      </c>
      <c r="C9" s="93">
        <v>69</v>
      </c>
      <c r="D9" s="94" t="e">
        <v>#N/A</v>
      </c>
      <c r="E9" s="95" t="e">
        <v>#N/A</v>
      </c>
      <c r="F9" s="96">
        <v>2.2970000000000002</v>
      </c>
      <c r="G9" s="97">
        <v>0.38</v>
      </c>
    </row>
    <row r="10" spans="1:7">
      <c r="A10" s="91" t="e">
        <v>#N/A</v>
      </c>
      <c r="B10" s="92">
        <v>8</v>
      </c>
      <c r="C10" s="93">
        <v>69</v>
      </c>
      <c r="D10" s="94" t="e">
        <v>#N/A</v>
      </c>
      <c r="E10" s="95" t="e">
        <v>#N/A</v>
      </c>
      <c r="F10" s="96">
        <v>2.2970000000000002</v>
      </c>
      <c r="G10" s="97">
        <v>0.38</v>
      </c>
    </row>
    <row r="11" spans="1:7">
      <c r="A11" s="91" t="e">
        <v>#N/A</v>
      </c>
      <c r="B11" s="92">
        <v>9</v>
      </c>
      <c r="C11" s="93">
        <v>69</v>
      </c>
      <c r="D11" s="94" t="e">
        <v>#N/A</v>
      </c>
      <c r="E11" s="95" t="e">
        <v>#N/A</v>
      </c>
      <c r="F11" s="96">
        <v>2.2970000000000002</v>
      </c>
      <c r="G11" s="97">
        <v>0.38</v>
      </c>
    </row>
    <row r="12" spans="1:7">
      <c r="A12" s="91" t="e">
        <v>#N/A</v>
      </c>
      <c r="B12" s="92">
        <v>10</v>
      </c>
      <c r="C12" s="93">
        <v>69</v>
      </c>
      <c r="D12" s="94" t="e">
        <v>#N/A</v>
      </c>
      <c r="E12" s="95" t="e">
        <v>#N/A</v>
      </c>
      <c r="F12" s="96">
        <v>2.2970000000000002</v>
      </c>
      <c r="G12" s="97">
        <v>0.38</v>
      </c>
    </row>
    <row r="13" spans="1:7">
      <c r="A13" s="91" t="e">
        <v>#N/A</v>
      </c>
      <c r="B13" s="92">
        <v>11</v>
      </c>
      <c r="C13" s="93">
        <v>69</v>
      </c>
      <c r="D13" s="94" t="e">
        <v>#N/A</v>
      </c>
      <c r="E13" s="95" t="e">
        <v>#N/A</v>
      </c>
      <c r="F13" s="96">
        <v>2.2970000000000002</v>
      </c>
      <c r="G13" s="97">
        <v>0.38</v>
      </c>
    </row>
    <row r="14" spans="1:7">
      <c r="A14" s="91" t="e">
        <v>#N/A</v>
      </c>
      <c r="B14" s="92">
        <v>12</v>
      </c>
      <c r="C14" s="93">
        <v>69</v>
      </c>
      <c r="D14" s="94" t="e">
        <v>#N/A</v>
      </c>
      <c r="E14" s="95" t="e">
        <v>#N/A</v>
      </c>
      <c r="F14" s="96">
        <v>2.2970000000000002</v>
      </c>
      <c r="G14" s="97">
        <v>0.38</v>
      </c>
    </row>
    <row r="15" spans="1:7">
      <c r="A15" s="91" t="e">
        <v>#N/A</v>
      </c>
      <c r="B15" s="92">
        <v>13</v>
      </c>
      <c r="C15" s="93">
        <v>69</v>
      </c>
      <c r="D15" s="94" t="e">
        <v>#N/A</v>
      </c>
      <c r="E15" s="95" t="e">
        <v>#N/A</v>
      </c>
      <c r="F15" s="96">
        <v>2.2970000000000002</v>
      </c>
      <c r="G15" s="97">
        <v>0.38</v>
      </c>
    </row>
    <row r="16" spans="1:7">
      <c r="A16" s="91" t="e">
        <v>#N/A</v>
      </c>
      <c r="B16" s="92">
        <v>14</v>
      </c>
      <c r="C16" s="93">
        <v>69</v>
      </c>
      <c r="D16" s="94" t="e">
        <v>#N/A</v>
      </c>
      <c r="E16" s="95" t="e">
        <v>#N/A</v>
      </c>
      <c r="F16" s="96">
        <v>2.2970000000000002</v>
      </c>
      <c r="G16" s="97">
        <v>0.38</v>
      </c>
    </row>
    <row r="17" spans="1:7">
      <c r="A17" s="91" t="e">
        <v>#N/A</v>
      </c>
      <c r="B17" s="92">
        <v>15</v>
      </c>
      <c r="C17" s="93">
        <v>69</v>
      </c>
      <c r="D17" s="94" t="e">
        <v>#N/A</v>
      </c>
      <c r="E17" s="95" t="e">
        <v>#N/A</v>
      </c>
      <c r="F17" s="96">
        <v>2.2970000000000002</v>
      </c>
      <c r="G17" s="97">
        <v>0.38</v>
      </c>
    </row>
    <row r="18" spans="1:7">
      <c r="A18" s="91" t="e">
        <v>#N/A</v>
      </c>
      <c r="B18" s="92">
        <v>16</v>
      </c>
      <c r="C18" s="93">
        <v>69</v>
      </c>
      <c r="D18" s="94" t="e">
        <v>#N/A</v>
      </c>
      <c r="E18" s="95" t="e">
        <v>#N/A</v>
      </c>
      <c r="F18" s="96">
        <v>2.2970000000000002</v>
      </c>
      <c r="G18" s="97">
        <v>0.38</v>
      </c>
    </row>
    <row r="19" spans="1:7">
      <c r="A19" s="91" t="e">
        <v>#N/A</v>
      </c>
      <c r="B19" s="92">
        <v>17</v>
      </c>
      <c r="C19" s="93">
        <v>69</v>
      </c>
      <c r="D19" s="94" t="e">
        <v>#N/A</v>
      </c>
      <c r="E19" s="95" t="e">
        <v>#N/A</v>
      </c>
      <c r="F19" s="96">
        <v>2.2970000000000002</v>
      </c>
      <c r="G19" s="97">
        <v>0.38</v>
      </c>
    </row>
    <row r="20" spans="1:7">
      <c r="A20" s="91" t="e">
        <v>#N/A</v>
      </c>
      <c r="B20" s="92">
        <v>18</v>
      </c>
      <c r="C20" s="93">
        <v>69</v>
      </c>
      <c r="D20" s="94" t="e">
        <v>#N/A</v>
      </c>
      <c r="E20" s="95" t="e">
        <v>#N/A</v>
      </c>
      <c r="F20" s="96">
        <v>2.2970000000000002</v>
      </c>
      <c r="G20" s="97">
        <v>0.38</v>
      </c>
    </row>
    <row r="21" spans="1:7">
      <c r="A21" s="91">
        <v>146</v>
      </c>
      <c r="B21" s="92">
        <v>19</v>
      </c>
      <c r="C21" s="93">
        <v>69</v>
      </c>
      <c r="D21" s="94">
        <v>1.655</v>
      </c>
      <c r="E21" s="95">
        <v>0.38</v>
      </c>
      <c r="F21" s="96">
        <v>2.2970000000000002</v>
      </c>
      <c r="G21" s="97">
        <v>0.38</v>
      </c>
    </row>
    <row r="22" spans="1:7">
      <c r="A22" s="91">
        <v>140</v>
      </c>
      <c r="B22" s="92">
        <v>20</v>
      </c>
      <c r="C22" s="93">
        <v>70</v>
      </c>
      <c r="D22" s="94">
        <v>1.65</v>
      </c>
      <c r="E22" s="95">
        <v>0.38</v>
      </c>
      <c r="F22" s="96">
        <v>2.29</v>
      </c>
      <c r="G22" s="97">
        <v>0.38</v>
      </c>
    </row>
    <row r="23" spans="1:7">
      <c r="A23" s="91">
        <v>134</v>
      </c>
      <c r="B23" s="92">
        <v>21</v>
      </c>
      <c r="C23" s="93">
        <v>71</v>
      </c>
      <c r="D23" s="94">
        <v>1.6240000000000001</v>
      </c>
      <c r="E23" s="95">
        <v>0.38</v>
      </c>
      <c r="F23" s="96">
        <v>2.23</v>
      </c>
      <c r="G23" s="97">
        <v>0.38</v>
      </c>
    </row>
    <row r="24" spans="1:7">
      <c r="A24" s="91">
        <v>128</v>
      </c>
      <c r="B24" s="92">
        <v>22</v>
      </c>
      <c r="C24" s="93">
        <v>71</v>
      </c>
      <c r="D24" s="94">
        <v>1.591</v>
      </c>
      <c r="E24" s="95">
        <v>0.38</v>
      </c>
      <c r="F24" s="96">
        <v>2.177</v>
      </c>
      <c r="G24" s="97">
        <v>0.37</v>
      </c>
    </row>
    <row r="25" spans="1:7">
      <c r="A25" s="91">
        <v>123</v>
      </c>
      <c r="B25" s="92">
        <v>23</v>
      </c>
      <c r="C25" s="93">
        <v>71</v>
      </c>
      <c r="D25" s="94">
        <v>1.5669999999999999</v>
      </c>
      <c r="E25" s="95">
        <v>0.38</v>
      </c>
      <c r="F25" s="96">
        <v>2.13</v>
      </c>
      <c r="G25" s="97">
        <v>0.36</v>
      </c>
    </row>
    <row r="26" spans="1:7">
      <c r="A26" s="91">
        <v>118</v>
      </c>
      <c r="B26" s="92">
        <v>24</v>
      </c>
      <c r="C26" s="93">
        <v>72</v>
      </c>
      <c r="D26" s="94">
        <v>1.5469999999999999</v>
      </c>
      <c r="E26" s="95">
        <v>0.38</v>
      </c>
      <c r="F26" s="96">
        <v>2.08</v>
      </c>
      <c r="G26" s="97">
        <v>0.36</v>
      </c>
    </row>
    <row r="27" spans="1:7">
      <c r="A27" s="91">
        <v>114</v>
      </c>
      <c r="B27" s="92">
        <v>25</v>
      </c>
      <c r="C27" s="93">
        <v>72</v>
      </c>
      <c r="D27" s="94">
        <v>1.536</v>
      </c>
      <c r="E27" s="95">
        <v>0.38</v>
      </c>
      <c r="F27" s="96">
        <v>2.04</v>
      </c>
      <c r="G27" s="97">
        <v>0.36</v>
      </c>
    </row>
    <row r="28" spans="1:7">
      <c r="A28" s="91">
        <v>110</v>
      </c>
      <c r="B28" s="92">
        <v>26</v>
      </c>
      <c r="C28" s="93">
        <v>75</v>
      </c>
      <c r="D28" s="94">
        <v>1.5209999999999999</v>
      </c>
      <c r="E28" s="95">
        <v>0.38</v>
      </c>
      <c r="F28" s="96">
        <v>2</v>
      </c>
      <c r="G28" s="97">
        <v>0.37</v>
      </c>
    </row>
    <row r="29" spans="1:7">
      <c r="A29" s="91">
        <v>106</v>
      </c>
      <c r="B29" s="92">
        <v>27</v>
      </c>
      <c r="C29" s="93">
        <v>75</v>
      </c>
      <c r="D29" s="94">
        <v>1.504</v>
      </c>
      <c r="E29" s="95">
        <v>0.38</v>
      </c>
      <c r="F29" s="96">
        <v>1.96</v>
      </c>
      <c r="G29" s="97">
        <v>0.39</v>
      </c>
    </row>
    <row r="30" spans="1:7">
      <c r="A30" s="91">
        <v>103</v>
      </c>
      <c r="B30" s="92">
        <v>28</v>
      </c>
      <c r="C30" s="93">
        <v>75</v>
      </c>
      <c r="D30" s="94">
        <v>1.4910000000000001</v>
      </c>
      <c r="E30" s="95">
        <v>0.41</v>
      </c>
      <c r="F30" s="96">
        <v>1.93</v>
      </c>
      <c r="G30" s="97">
        <v>0.41</v>
      </c>
    </row>
    <row r="31" spans="1:7">
      <c r="A31" s="91">
        <v>100</v>
      </c>
      <c r="B31" s="92">
        <v>29</v>
      </c>
      <c r="C31" s="93">
        <v>76</v>
      </c>
      <c r="D31" s="94">
        <v>1.4790000000000001</v>
      </c>
      <c r="E31" s="95">
        <v>0.41</v>
      </c>
      <c r="F31" s="96">
        <v>1.9</v>
      </c>
      <c r="G31" s="97">
        <v>0.4</v>
      </c>
    </row>
    <row r="32" spans="1:7">
      <c r="A32" s="91">
        <v>97</v>
      </c>
      <c r="B32" s="92">
        <v>30</v>
      </c>
      <c r="C32" s="93">
        <v>76</v>
      </c>
      <c r="D32" s="94">
        <v>1.4670000000000001</v>
      </c>
      <c r="E32" s="95">
        <v>0.4</v>
      </c>
      <c r="F32" s="96">
        <v>1.87</v>
      </c>
      <c r="G32" s="97">
        <v>0.39</v>
      </c>
    </row>
    <row r="33" spans="1:7">
      <c r="A33" s="91">
        <v>94</v>
      </c>
      <c r="B33" s="92">
        <v>31</v>
      </c>
      <c r="C33" s="93">
        <v>76</v>
      </c>
      <c r="D33" s="94">
        <v>1.4590000000000001</v>
      </c>
      <c r="E33" s="95">
        <v>0.39</v>
      </c>
      <c r="F33" s="96">
        <v>1.84</v>
      </c>
      <c r="G33" s="97">
        <v>0.39</v>
      </c>
    </row>
    <row r="34" spans="1:7">
      <c r="A34" s="91">
        <v>92</v>
      </c>
      <c r="B34" s="92">
        <v>32</v>
      </c>
      <c r="C34" s="93">
        <v>77</v>
      </c>
      <c r="D34" s="94">
        <v>1.4530000000000001</v>
      </c>
      <c r="E34" s="95">
        <v>0.39</v>
      </c>
      <c r="F34" s="96">
        <v>1.82</v>
      </c>
      <c r="G34" s="97">
        <v>0.39</v>
      </c>
    </row>
    <row r="35" spans="1:7">
      <c r="A35" s="91">
        <v>90</v>
      </c>
      <c r="B35" s="92">
        <v>33</v>
      </c>
      <c r="C35" s="93">
        <v>79</v>
      </c>
      <c r="D35" s="94">
        <v>1.4430000000000001</v>
      </c>
      <c r="E35" s="95">
        <v>0.39</v>
      </c>
      <c r="F35" s="96">
        <v>1.8</v>
      </c>
      <c r="G35" s="97">
        <v>0.39</v>
      </c>
    </row>
    <row r="36" spans="1:7">
      <c r="A36" s="91">
        <v>87</v>
      </c>
      <c r="B36" s="92">
        <v>34</v>
      </c>
      <c r="C36" s="93">
        <v>80</v>
      </c>
      <c r="D36" s="94">
        <v>1.421</v>
      </c>
      <c r="E36" s="95">
        <v>0.39</v>
      </c>
      <c r="F36" s="96">
        <v>1.77</v>
      </c>
      <c r="G36" s="97">
        <v>0.38</v>
      </c>
    </row>
    <row r="37" spans="1:7">
      <c r="A37" s="91">
        <v>85</v>
      </c>
      <c r="B37" s="92">
        <v>35</v>
      </c>
      <c r="C37" s="93">
        <v>80</v>
      </c>
      <c r="D37" s="94">
        <v>1.407</v>
      </c>
      <c r="E37" s="95">
        <v>0.39</v>
      </c>
      <c r="F37" s="96">
        <v>1.75</v>
      </c>
      <c r="G37" s="97">
        <v>0.37</v>
      </c>
    </row>
    <row r="38" spans="1:7">
      <c r="A38" s="91">
        <v>83</v>
      </c>
      <c r="B38" s="92">
        <v>36</v>
      </c>
      <c r="C38" s="93">
        <v>81</v>
      </c>
      <c r="D38" s="94">
        <v>1.393</v>
      </c>
      <c r="E38" s="95">
        <v>0.37</v>
      </c>
      <c r="F38" s="96">
        <v>1.726</v>
      </c>
      <c r="G38" s="97">
        <v>0.36</v>
      </c>
    </row>
    <row r="39" spans="1:7">
      <c r="A39" s="91">
        <v>81</v>
      </c>
      <c r="B39" s="92">
        <v>37</v>
      </c>
      <c r="C39" s="93">
        <v>81</v>
      </c>
      <c r="D39" s="94">
        <v>1.379</v>
      </c>
      <c r="E39" s="95">
        <v>0.36</v>
      </c>
      <c r="F39" s="96">
        <v>1.6970000000000001</v>
      </c>
      <c r="G39" s="97">
        <v>0.37</v>
      </c>
    </row>
    <row r="40" spans="1:7">
      <c r="A40" s="91">
        <v>79</v>
      </c>
      <c r="B40" s="92">
        <v>38</v>
      </c>
      <c r="C40" s="93">
        <v>81</v>
      </c>
      <c r="D40" s="94">
        <v>1.3640000000000001</v>
      </c>
      <c r="E40" s="95">
        <v>0.36</v>
      </c>
      <c r="F40" s="96">
        <v>1.669</v>
      </c>
      <c r="G40" s="97">
        <v>0.37</v>
      </c>
    </row>
    <row r="41" spans="1:7">
      <c r="A41" s="91">
        <v>77</v>
      </c>
      <c r="B41" s="92">
        <v>39</v>
      </c>
      <c r="C41" s="93">
        <v>82</v>
      </c>
      <c r="D41" s="94">
        <v>1.35</v>
      </c>
      <c r="E41" s="95">
        <v>0.36</v>
      </c>
      <c r="F41" s="96">
        <v>1.64</v>
      </c>
      <c r="G41" s="97">
        <v>0.37</v>
      </c>
    </row>
    <row r="42" spans="1:7">
      <c r="A42" s="91">
        <v>76</v>
      </c>
      <c r="B42" s="92">
        <v>40</v>
      </c>
      <c r="C42" s="93">
        <v>82</v>
      </c>
      <c r="D42" s="94">
        <v>1.343</v>
      </c>
      <c r="E42" s="95">
        <v>0.38</v>
      </c>
      <c r="F42" s="96">
        <v>1.63</v>
      </c>
      <c r="G42" s="97">
        <v>0.37</v>
      </c>
    </row>
    <row r="43" spans="1:7">
      <c r="A43" s="91">
        <v>74</v>
      </c>
      <c r="B43" s="92">
        <v>41</v>
      </c>
      <c r="C43" s="93">
        <v>82</v>
      </c>
      <c r="D43" s="94">
        <v>1.329</v>
      </c>
      <c r="E43" s="95">
        <v>0.37</v>
      </c>
      <c r="F43" s="96">
        <v>1.61</v>
      </c>
      <c r="G43" s="97">
        <v>0.37</v>
      </c>
    </row>
    <row r="44" spans="1:7">
      <c r="A44" s="91">
        <v>73</v>
      </c>
      <c r="B44" s="92">
        <v>42</v>
      </c>
      <c r="C44" s="93">
        <v>82</v>
      </c>
      <c r="D44" s="94">
        <v>1.321</v>
      </c>
      <c r="E44" s="95">
        <v>0.37</v>
      </c>
      <c r="F44" s="96">
        <v>1.6</v>
      </c>
      <c r="G44" s="97">
        <v>0.37</v>
      </c>
    </row>
    <row r="45" spans="1:7">
      <c r="A45" s="91">
        <v>71</v>
      </c>
      <c r="B45" s="92">
        <v>43</v>
      </c>
      <c r="C45" s="93">
        <v>83</v>
      </c>
      <c r="D45" s="94">
        <v>1.3069999999999999</v>
      </c>
      <c r="E45" s="95">
        <v>0.37</v>
      </c>
      <c r="F45" s="96">
        <v>1.58</v>
      </c>
      <c r="G45" s="97">
        <v>0.37</v>
      </c>
    </row>
    <row r="46" spans="1:7">
      <c r="A46" s="91">
        <v>70</v>
      </c>
      <c r="B46" s="92">
        <v>44</v>
      </c>
      <c r="C46" s="93">
        <v>83</v>
      </c>
      <c r="D46" s="94">
        <v>1.3</v>
      </c>
      <c r="E46" s="95">
        <v>0.37</v>
      </c>
      <c r="F46" s="96">
        <v>1.57</v>
      </c>
      <c r="G46" s="97">
        <v>0.37</v>
      </c>
    </row>
    <row r="47" spans="1:7">
      <c r="A47" s="91">
        <v>68</v>
      </c>
      <c r="B47" s="92">
        <v>45</v>
      </c>
      <c r="C47" s="93">
        <v>83</v>
      </c>
      <c r="D47" s="94">
        <v>1.286</v>
      </c>
      <c r="E47" s="95">
        <v>0.37</v>
      </c>
      <c r="F47" s="96">
        <v>1.55</v>
      </c>
      <c r="G47" s="97">
        <v>0.36</v>
      </c>
    </row>
    <row r="48" spans="1:7">
      <c r="A48" s="91">
        <v>67</v>
      </c>
      <c r="B48" s="92">
        <v>46</v>
      </c>
      <c r="C48" s="93">
        <v>84</v>
      </c>
      <c r="D48" s="94">
        <v>1.2789999999999999</v>
      </c>
      <c r="E48" s="95">
        <v>0.37</v>
      </c>
      <c r="F48" s="96">
        <v>1.54</v>
      </c>
      <c r="G48" s="97">
        <v>0.36</v>
      </c>
    </row>
    <row r="49" spans="1:7">
      <c r="A49" s="91">
        <v>66</v>
      </c>
      <c r="B49" s="92">
        <v>47</v>
      </c>
      <c r="C49" s="93">
        <v>84</v>
      </c>
      <c r="D49" s="94">
        <v>1.2709999999999999</v>
      </c>
      <c r="E49" s="95">
        <v>0.36</v>
      </c>
      <c r="F49" s="96">
        <v>1.53</v>
      </c>
      <c r="G49" s="97">
        <v>0.36</v>
      </c>
    </row>
    <row r="50" spans="1:7">
      <c r="A50" s="91">
        <v>65</v>
      </c>
      <c r="B50" s="92">
        <v>48</v>
      </c>
      <c r="C50" s="93">
        <v>84</v>
      </c>
      <c r="D50" s="94">
        <v>1.264</v>
      </c>
      <c r="E50" s="95">
        <v>0.36</v>
      </c>
      <c r="F50" s="96">
        <v>1.52</v>
      </c>
      <c r="G50" s="97">
        <v>0.36</v>
      </c>
    </row>
    <row r="51" spans="1:7">
      <c r="A51" s="91">
        <v>64</v>
      </c>
      <c r="B51" s="92">
        <v>49</v>
      </c>
      <c r="C51" s="93">
        <v>84</v>
      </c>
      <c r="D51" s="94">
        <v>1.2569999999999999</v>
      </c>
      <c r="E51" s="95">
        <v>0.36</v>
      </c>
      <c r="F51" s="96">
        <v>1.51</v>
      </c>
      <c r="G51" s="97">
        <v>0.36</v>
      </c>
    </row>
    <row r="52" spans="1:7">
      <c r="A52" s="91">
        <v>62</v>
      </c>
      <c r="B52" s="92">
        <v>50</v>
      </c>
      <c r="C52" s="93">
        <v>85</v>
      </c>
      <c r="D52" s="94">
        <v>1.2430000000000001</v>
      </c>
      <c r="E52" s="95">
        <v>0.36</v>
      </c>
      <c r="F52" s="96">
        <v>1.49</v>
      </c>
      <c r="G52" s="97">
        <v>0.36</v>
      </c>
    </row>
    <row r="53" spans="1:7">
      <c r="A53" s="91">
        <v>61</v>
      </c>
      <c r="B53" s="92">
        <v>51</v>
      </c>
      <c r="C53" s="93">
        <v>85</v>
      </c>
      <c r="D53" s="94">
        <v>1.236</v>
      </c>
      <c r="E53" s="95">
        <v>0.36</v>
      </c>
      <c r="F53" s="96">
        <v>1.48</v>
      </c>
      <c r="G53" s="97">
        <v>0.36</v>
      </c>
    </row>
    <row r="54" spans="1:7">
      <c r="A54" s="91">
        <v>60</v>
      </c>
      <c r="B54" s="92">
        <v>52</v>
      </c>
      <c r="C54" s="93">
        <v>85</v>
      </c>
      <c r="D54" s="94">
        <v>1.2290000000000001</v>
      </c>
      <c r="E54" s="95">
        <v>0.36</v>
      </c>
      <c r="F54" s="96">
        <v>1.47</v>
      </c>
      <c r="G54" s="97">
        <v>0.36</v>
      </c>
    </row>
    <row r="55" spans="1:7">
      <c r="A55" s="91">
        <v>59</v>
      </c>
      <c r="B55" s="92">
        <v>53</v>
      </c>
      <c r="C55" s="93">
        <v>86</v>
      </c>
      <c r="D55" s="94">
        <v>1.2210000000000001</v>
      </c>
      <c r="E55" s="95">
        <v>0.36</v>
      </c>
      <c r="F55" s="96">
        <v>1.46</v>
      </c>
      <c r="G55" s="97">
        <v>0.36</v>
      </c>
    </row>
    <row r="56" spans="1:7">
      <c r="A56" s="91">
        <v>58</v>
      </c>
      <c r="B56" s="92">
        <v>54</v>
      </c>
      <c r="C56" s="93">
        <v>86</v>
      </c>
      <c r="D56" s="94">
        <v>1.214</v>
      </c>
      <c r="E56" s="95">
        <v>0.36</v>
      </c>
      <c r="F56" s="96">
        <v>1.45</v>
      </c>
      <c r="G56" s="97">
        <v>0.36</v>
      </c>
    </row>
    <row r="57" spans="1:7">
      <c r="A57" s="91">
        <v>57</v>
      </c>
      <c r="B57" s="92">
        <v>55</v>
      </c>
      <c r="C57" s="93">
        <v>86</v>
      </c>
      <c r="D57" s="94">
        <v>1.2070000000000001</v>
      </c>
      <c r="E57" s="95">
        <v>0.35</v>
      </c>
      <c r="F57" s="96">
        <v>1.44</v>
      </c>
      <c r="G57" s="97">
        <v>0.36</v>
      </c>
    </row>
    <row r="58" spans="1:7">
      <c r="A58" s="91" t="e">
        <v>#N/A</v>
      </c>
      <c r="B58" s="92">
        <v>56</v>
      </c>
      <c r="C58" s="93">
        <v>86</v>
      </c>
      <c r="D58" s="94" t="e">
        <v>#N/A</v>
      </c>
      <c r="E58" s="95" t="e">
        <v>#N/A</v>
      </c>
      <c r="F58" s="96">
        <v>1.44</v>
      </c>
      <c r="G58" s="97">
        <v>0.36</v>
      </c>
    </row>
    <row r="59" spans="1:7">
      <c r="A59" s="91">
        <v>56</v>
      </c>
      <c r="B59" s="92">
        <v>57</v>
      </c>
      <c r="C59" s="93">
        <v>86</v>
      </c>
      <c r="D59" s="94">
        <v>1.2</v>
      </c>
      <c r="E59" s="95">
        <v>0.35</v>
      </c>
      <c r="F59" s="96">
        <v>1.43</v>
      </c>
      <c r="G59" s="97">
        <v>0.36</v>
      </c>
    </row>
    <row r="60" spans="1:7">
      <c r="A60" s="91">
        <v>55</v>
      </c>
      <c r="B60" s="92">
        <v>58</v>
      </c>
      <c r="C60" s="93">
        <v>87</v>
      </c>
      <c r="D60" s="94">
        <v>1.1930000000000001</v>
      </c>
      <c r="E60" s="95">
        <v>0.36</v>
      </c>
      <c r="F60" s="96">
        <v>1.42</v>
      </c>
      <c r="G60" s="97">
        <v>0.36</v>
      </c>
    </row>
    <row r="61" spans="1:7">
      <c r="A61" s="91">
        <v>54</v>
      </c>
      <c r="B61" s="92">
        <v>59</v>
      </c>
      <c r="C61" s="93">
        <v>87</v>
      </c>
      <c r="D61" s="94">
        <v>1.1859999999999999</v>
      </c>
      <c r="E61" s="95">
        <v>0.36</v>
      </c>
      <c r="F61" s="96">
        <v>1.41</v>
      </c>
      <c r="G61" s="97">
        <v>0.36</v>
      </c>
    </row>
    <row r="62" spans="1:7">
      <c r="A62" s="91">
        <v>53</v>
      </c>
      <c r="B62" s="92">
        <v>60</v>
      </c>
      <c r="C62" s="93">
        <v>87</v>
      </c>
      <c r="D62" s="94">
        <v>1.179</v>
      </c>
      <c r="E62" s="95">
        <v>0.36</v>
      </c>
      <c r="F62" s="96">
        <v>1.4</v>
      </c>
      <c r="G62" s="97">
        <v>0.36</v>
      </c>
    </row>
    <row r="63" spans="1:7">
      <c r="A63" s="91" t="e">
        <v>#N/A</v>
      </c>
      <c r="B63" s="92">
        <v>61</v>
      </c>
      <c r="C63" s="93">
        <v>87</v>
      </c>
      <c r="D63" s="94" t="e">
        <v>#N/A</v>
      </c>
      <c r="E63" s="95" t="e">
        <v>#N/A</v>
      </c>
      <c r="F63" s="96">
        <v>1.4</v>
      </c>
      <c r="G63" s="97">
        <v>0.36</v>
      </c>
    </row>
    <row r="64" spans="1:7">
      <c r="A64" s="91">
        <v>52</v>
      </c>
      <c r="B64" s="92">
        <v>62</v>
      </c>
      <c r="C64" s="93">
        <v>87</v>
      </c>
      <c r="D64" s="94">
        <v>1.171</v>
      </c>
      <c r="E64" s="95">
        <v>0.36</v>
      </c>
      <c r="F64" s="96">
        <v>1.39</v>
      </c>
      <c r="G64" s="97">
        <v>0.36</v>
      </c>
    </row>
    <row r="65" spans="1:7">
      <c r="A65" s="91">
        <v>51</v>
      </c>
      <c r="B65" s="92">
        <v>63</v>
      </c>
      <c r="C65" s="93">
        <v>87</v>
      </c>
      <c r="D65" s="94">
        <v>1.1639999999999999</v>
      </c>
      <c r="E65" s="95">
        <v>0.36</v>
      </c>
      <c r="F65" s="96">
        <v>1.38</v>
      </c>
      <c r="G65" s="97">
        <v>0.36</v>
      </c>
    </row>
    <row r="66" spans="1:7">
      <c r="A66" s="91">
        <v>50</v>
      </c>
      <c r="B66" s="92">
        <v>64</v>
      </c>
      <c r="C66" s="93">
        <v>88</v>
      </c>
      <c r="D66" s="94">
        <v>1.157</v>
      </c>
      <c r="E66" s="95">
        <v>0.36</v>
      </c>
      <c r="F66" s="96">
        <v>1.37</v>
      </c>
      <c r="G66" s="97">
        <v>0.36</v>
      </c>
    </row>
    <row r="67" spans="1:7">
      <c r="A67" s="91" t="e">
        <v>#N/A</v>
      </c>
      <c r="B67" s="92">
        <v>65</v>
      </c>
      <c r="C67" s="93">
        <v>88</v>
      </c>
      <c r="D67" s="94" t="e">
        <v>#N/A</v>
      </c>
      <c r="E67" s="95" t="e">
        <v>#N/A</v>
      </c>
      <c r="F67" s="96">
        <v>1.37</v>
      </c>
      <c r="G67" s="97">
        <v>0.36</v>
      </c>
    </row>
    <row r="68" spans="1:7">
      <c r="A68" s="91">
        <v>49</v>
      </c>
      <c r="B68" s="92">
        <v>66</v>
      </c>
      <c r="C68" s="93">
        <v>88</v>
      </c>
      <c r="D68" s="94">
        <v>1.1499999999999999</v>
      </c>
      <c r="E68" s="95">
        <v>0.36</v>
      </c>
      <c r="F68" s="96">
        <v>1.36</v>
      </c>
      <c r="G68" s="97">
        <v>0.36</v>
      </c>
    </row>
    <row r="69" spans="1:7">
      <c r="A69" s="91" t="e">
        <v>#N/A</v>
      </c>
      <c r="B69" s="92">
        <v>67</v>
      </c>
      <c r="C69" s="93">
        <v>88</v>
      </c>
      <c r="D69" s="94" t="e">
        <v>#N/A</v>
      </c>
      <c r="E69" s="95" t="e">
        <v>#N/A</v>
      </c>
      <c r="F69" s="96">
        <v>1.35</v>
      </c>
      <c r="G69" s="97">
        <v>0.36</v>
      </c>
    </row>
    <row r="70" spans="1:7">
      <c r="A70" s="91">
        <v>48</v>
      </c>
      <c r="B70" s="92">
        <v>68</v>
      </c>
      <c r="C70" s="93">
        <v>88</v>
      </c>
      <c r="D70" s="94">
        <v>1.143</v>
      </c>
      <c r="E70" s="95">
        <v>0.36</v>
      </c>
      <c r="F70" s="96">
        <v>1.35</v>
      </c>
      <c r="G70" s="97">
        <v>0.36</v>
      </c>
    </row>
    <row r="71" spans="1:7">
      <c r="A71" s="91">
        <v>47</v>
      </c>
      <c r="B71" s="92">
        <v>69</v>
      </c>
      <c r="C71" s="93">
        <v>88</v>
      </c>
      <c r="D71" s="94">
        <v>1.1359999999999999</v>
      </c>
      <c r="E71" s="95">
        <v>0.36</v>
      </c>
      <c r="F71" s="96">
        <v>1.34</v>
      </c>
      <c r="G71" s="97">
        <v>0.35</v>
      </c>
    </row>
    <row r="72" spans="1:7">
      <c r="A72" s="91" t="e">
        <v>#N/A</v>
      </c>
      <c r="B72" s="92">
        <v>70</v>
      </c>
      <c r="C72" s="93">
        <v>88</v>
      </c>
      <c r="D72" s="94" t="e">
        <v>#N/A</v>
      </c>
      <c r="E72" s="95" t="e">
        <v>#N/A</v>
      </c>
      <c r="F72" s="96">
        <v>1.34</v>
      </c>
      <c r="G72" s="97">
        <v>0.35</v>
      </c>
    </row>
    <row r="73" spans="1:7">
      <c r="A73" s="91">
        <v>46</v>
      </c>
      <c r="B73" s="92">
        <v>71</v>
      </c>
      <c r="C73" s="93">
        <v>88</v>
      </c>
      <c r="D73" s="94">
        <v>1.129</v>
      </c>
      <c r="E73" s="95">
        <v>0.36</v>
      </c>
      <c r="F73" s="96">
        <v>1.33</v>
      </c>
      <c r="G73" s="97">
        <v>0.35</v>
      </c>
    </row>
    <row r="74" spans="1:7">
      <c r="A74" s="91" t="e">
        <v>#N/A</v>
      </c>
      <c r="B74" s="92">
        <v>72</v>
      </c>
      <c r="C74" s="93">
        <v>89</v>
      </c>
      <c r="D74" s="94" t="e">
        <v>#N/A</v>
      </c>
      <c r="E74" s="95" t="e">
        <v>#N/A</v>
      </c>
      <c r="F74" s="96">
        <v>1.33</v>
      </c>
      <c r="G74" s="97">
        <v>0.35</v>
      </c>
    </row>
    <row r="75" spans="1:7">
      <c r="A75" s="91">
        <v>45</v>
      </c>
      <c r="B75" s="92">
        <v>73</v>
      </c>
      <c r="C75" s="93">
        <v>89</v>
      </c>
      <c r="D75" s="94">
        <v>1.121</v>
      </c>
      <c r="E75" s="95">
        <v>0.36</v>
      </c>
      <c r="F75" s="96">
        <v>1.32</v>
      </c>
      <c r="G75" s="97">
        <v>0.35</v>
      </c>
    </row>
    <row r="76" spans="1:7">
      <c r="A76" s="91" t="e">
        <v>#N/A</v>
      </c>
      <c r="B76" s="92">
        <v>74</v>
      </c>
      <c r="C76" s="93">
        <v>89</v>
      </c>
      <c r="D76" s="94" t="e">
        <v>#N/A</v>
      </c>
      <c r="E76" s="95" t="e">
        <v>#N/A</v>
      </c>
      <c r="F76" s="96">
        <v>1.32</v>
      </c>
      <c r="G76" s="97">
        <v>0.35</v>
      </c>
    </row>
    <row r="77" spans="1:7">
      <c r="A77" s="91">
        <v>44</v>
      </c>
      <c r="B77" s="92">
        <v>75</v>
      </c>
      <c r="C77" s="93">
        <v>89</v>
      </c>
      <c r="D77" s="94">
        <v>1.1140000000000001</v>
      </c>
      <c r="E77" s="95">
        <v>0.35</v>
      </c>
      <c r="F77" s="96">
        <v>1.31</v>
      </c>
      <c r="G77" s="97">
        <v>0.34</v>
      </c>
    </row>
    <row r="78" spans="1:7">
      <c r="A78" s="91" t="e">
        <v>#N/A</v>
      </c>
      <c r="B78" s="92">
        <v>76</v>
      </c>
      <c r="C78" s="93">
        <v>89</v>
      </c>
      <c r="D78" s="94" t="e">
        <v>#N/A</v>
      </c>
      <c r="E78" s="95" t="e">
        <v>#N/A</v>
      </c>
      <c r="F78" s="96">
        <v>1.31</v>
      </c>
      <c r="G78" s="97">
        <v>0.34</v>
      </c>
    </row>
    <row r="79" spans="1:7">
      <c r="A79" s="91">
        <v>43</v>
      </c>
      <c r="B79" s="92">
        <v>77</v>
      </c>
      <c r="C79" s="93">
        <v>89</v>
      </c>
      <c r="D79" s="94">
        <v>1.107</v>
      </c>
      <c r="E79" s="95">
        <v>0.35</v>
      </c>
      <c r="F79" s="96">
        <v>1.3</v>
      </c>
      <c r="G79" s="97">
        <v>0.34</v>
      </c>
    </row>
    <row r="80" spans="1:7">
      <c r="A80" s="91" t="e">
        <v>#N/A</v>
      </c>
      <c r="B80" s="92">
        <v>78</v>
      </c>
      <c r="C80" s="93">
        <v>89</v>
      </c>
      <c r="D80" s="94" t="e">
        <v>#N/A</v>
      </c>
      <c r="E80" s="95" t="e">
        <v>#N/A</v>
      </c>
      <c r="F80" s="96">
        <v>1.3</v>
      </c>
      <c r="G80" s="97">
        <v>0.34</v>
      </c>
    </row>
    <row r="81" spans="1:7">
      <c r="A81" s="91">
        <v>42</v>
      </c>
      <c r="B81" s="92">
        <v>79</v>
      </c>
      <c r="C81" s="93">
        <v>89</v>
      </c>
      <c r="D81" s="94">
        <v>1.1000000000000001</v>
      </c>
      <c r="E81" s="95">
        <v>0.35</v>
      </c>
      <c r="F81" s="96">
        <v>1.29</v>
      </c>
      <c r="G81" s="97">
        <v>0.34</v>
      </c>
    </row>
    <row r="82" spans="1:7">
      <c r="A82" s="91" t="e">
        <v>#N/A</v>
      </c>
      <c r="B82" s="92">
        <v>80</v>
      </c>
      <c r="C82" s="93">
        <v>89</v>
      </c>
      <c r="D82" s="94" t="e">
        <v>#N/A</v>
      </c>
      <c r="E82" s="95" t="e">
        <v>#N/A</v>
      </c>
      <c r="F82" s="96">
        <v>1.29</v>
      </c>
      <c r="G82" s="97">
        <v>0.34</v>
      </c>
    </row>
    <row r="83" spans="1:7">
      <c r="A83" s="91">
        <v>41</v>
      </c>
      <c r="B83" s="92">
        <v>81</v>
      </c>
      <c r="C83" s="93">
        <v>89</v>
      </c>
      <c r="D83" s="94">
        <v>1.0860000000000001</v>
      </c>
      <c r="E83" s="95">
        <v>0.34</v>
      </c>
      <c r="F83" s="96">
        <v>1.28</v>
      </c>
      <c r="G83" s="97">
        <v>0.34</v>
      </c>
    </row>
    <row r="84" spans="1:7">
      <c r="A84" s="91" t="e">
        <v>#N/A</v>
      </c>
      <c r="B84" s="92">
        <v>82</v>
      </c>
      <c r="C84" s="93">
        <v>89</v>
      </c>
      <c r="D84" s="94" t="e">
        <v>#N/A</v>
      </c>
      <c r="E84" s="95" t="e">
        <v>#N/A</v>
      </c>
      <c r="F84" s="96">
        <v>1.28</v>
      </c>
      <c r="G84" s="97">
        <v>0.34</v>
      </c>
    </row>
    <row r="85" spans="1:7">
      <c r="A85" s="91" t="e">
        <v>#N/A</v>
      </c>
      <c r="B85" s="92">
        <v>83</v>
      </c>
      <c r="C85" s="93">
        <v>89</v>
      </c>
      <c r="D85" s="94" t="e">
        <v>#N/A</v>
      </c>
      <c r="E85" s="95" t="e">
        <v>#N/A</v>
      </c>
      <c r="F85" s="96">
        <v>1.28</v>
      </c>
      <c r="G85" s="97">
        <v>0.34</v>
      </c>
    </row>
    <row r="86" spans="1:7">
      <c r="A86" s="91">
        <v>40</v>
      </c>
      <c r="B86" s="92">
        <v>84</v>
      </c>
      <c r="C86" s="93">
        <v>90</v>
      </c>
      <c r="D86" s="94">
        <v>1.071</v>
      </c>
      <c r="E86" s="95">
        <v>0.34</v>
      </c>
      <c r="F86" s="96">
        <v>1.27</v>
      </c>
      <c r="G86" s="97">
        <v>0.33</v>
      </c>
    </row>
    <row r="87" spans="1:7">
      <c r="A87" s="91" t="e">
        <v>#N/A</v>
      </c>
      <c r="B87" s="92">
        <v>85</v>
      </c>
      <c r="C87" s="93">
        <v>90</v>
      </c>
      <c r="D87" s="94" t="e">
        <v>#N/A</v>
      </c>
      <c r="E87" s="95" t="e">
        <v>#N/A</v>
      </c>
      <c r="F87" s="96">
        <v>1.27</v>
      </c>
      <c r="G87" s="97">
        <v>0.33</v>
      </c>
    </row>
    <row r="88" spans="1:7">
      <c r="A88" s="91">
        <v>39</v>
      </c>
      <c r="B88" s="92">
        <v>86</v>
      </c>
      <c r="C88" s="93">
        <v>90</v>
      </c>
      <c r="D88" s="94">
        <v>1.0569999999999999</v>
      </c>
      <c r="E88" s="95">
        <v>0.34</v>
      </c>
      <c r="F88" s="96">
        <v>1.26</v>
      </c>
      <c r="G88" s="97">
        <v>0.33</v>
      </c>
    </row>
    <row r="89" spans="1:7">
      <c r="A89" s="91" t="e">
        <v>#N/A</v>
      </c>
      <c r="B89" s="92">
        <v>87</v>
      </c>
      <c r="C89" s="93">
        <v>90</v>
      </c>
      <c r="D89" s="94" t="e">
        <v>#N/A</v>
      </c>
      <c r="E89" s="95" t="e">
        <v>#N/A</v>
      </c>
      <c r="F89" s="96">
        <v>1.26</v>
      </c>
      <c r="G89" s="97">
        <v>0.33</v>
      </c>
    </row>
    <row r="90" spans="1:7">
      <c r="A90" s="91" t="e">
        <v>#N/A</v>
      </c>
      <c r="B90" s="92">
        <v>88</v>
      </c>
      <c r="C90" s="93">
        <v>90</v>
      </c>
      <c r="D90" s="94" t="e">
        <v>#N/A</v>
      </c>
      <c r="E90" s="95" t="e">
        <v>#N/A</v>
      </c>
      <c r="F90" s="96">
        <v>1.26</v>
      </c>
      <c r="G90" s="97">
        <v>0.33</v>
      </c>
    </row>
    <row r="91" spans="1:7">
      <c r="A91" s="91">
        <v>38</v>
      </c>
      <c r="B91" s="92">
        <v>89</v>
      </c>
      <c r="C91" s="93">
        <v>90</v>
      </c>
      <c r="D91" s="94">
        <v>1.0429999999999999</v>
      </c>
      <c r="E91" s="95">
        <v>0.34</v>
      </c>
      <c r="F91" s="96">
        <v>1.25</v>
      </c>
      <c r="G91" s="97">
        <v>0.33</v>
      </c>
    </row>
    <row r="92" spans="1:7">
      <c r="A92" s="91" t="e">
        <v>#N/A</v>
      </c>
      <c r="B92" s="92">
        <v>90</v>
      </c>
      <c r="C92" s="93">
        <v>90</v>
      </c>
      <c r="D92" s="94" t="e">
        <v>#N/A</v>
      </c>
      <c r="E92" s="95" t="e">
        <v>#N/A</v>
      </c>
      <c r="F92" s="96">
        <v>1.25</v>
      </c>
      <c r="G92" s="97">
        <v>0.33</v>
      </c>
    </row>
    <row r="93" spans="1:7">
      <c r="A93" s="91">
        <v>37</v>
      </c>
      <c r="B93" s="92">
        <v>91</v>
      </c>
      <c r="C93" s="93">
        <v>90</v>
      </c>
      <c r="D93" s="94">
        <v>1.0289999999999999</v>
      </c>
      <c r="E93" s="95">
        <v>0.33</v>
      </c>
      <c r="F93" s="96">
        <v>1.24</v>
      </c>
      <c r="G93" s="97">
        <v>0.32</v>
      </c>
    </row>
    <row r="94" spans="1:7">
      <c r="A94" s="91" t="e">
        <v>#N/A</v>
      </c>
      <c r="B94" s="92">
        <v>92</v>
      </c>
      <c r="C94" s="93">
        <v>90</v>
      </c>
      <c r="D94" s="94" t="e">
        <v>#N/A</v>
      </c>
      <c r="E94" s="95" t="e">
        <v>#N/A</v>
      </c>
      <c r="F94" s="96">
        <v>1.24</v>
      </c>
      <c r="G94" s="97">
        <v>0.32</v>
      </c>
    </row>
    <row r="95" spans="1:7">
      <c r="A95" s="91" t="e">
        <v>#N/A</v>
      </c>
      <c r="B95" s="92">
        <v>93</v>
      </c>
      <c r="C95" s="93">
        <v>90</v>
      </c>
      <c r="D95" s="94" t="e">
        <v>#N/A</v>
      </c>
      <c r="E95" s="95" t="e">
        <v>#N/A</v>
      </c>
      <c r="F95" s="96">
        <v>1.24</v>
      </c>
      <c r="G95" s="97">
        <v>0.32</v>
      </c>
    </row>
    <row r="96" spans="1:7">
      <c r="A96" s="91">
        <v>36</v>
      </c>
      <c r="B96" s="92">
        <v>94</v>
      </c>
      <c r="C96" s="93">
        <v>90</v>
      </c>
      <c r="D96" s="94">
        <v>1.014</v>
      </c>
      <c r="E96" s="95">
        <v>0.33</v>
      </c>
      <c r="F96" s="96">
        <v>1.23</v>
      </c>
      <c r="G96" s="97">
        <v>0.32</v>
      </c>
    </row>
    <row r="97" spans="1:7">
      <c r="A97" s="91" t="e">
        <v>#N/A</v>
      </c>
      <c r="B97" s="92">
        <v>95</v>
      </c>
      <c r="C97" s="93">
        <v>90</v>
      </c>
      <c r="D97" s="94" t="e">
        <v>#N/A</v>
      </c>
      <c r="E97" s="95" t="e">
        <v>#N/A</v>
      </c>
      <c r="F97" s="96">
        <v>1.23</v>
      </c>
      <c r="G97" s="97">
        <v>0.32</v>
      </c>
    </row>
    <row r="98" spans="1:7">
      <c r="A98" s="91" t="e">
        <v>#N/A</v>
      </c>
      <c r="B98" s="92">
        <v>96</v>
      </c>
      <c r="C98" s="93">
        <v>90</v>
      </c>
      <c r="D98" s="94" t="e">
        <v>#N/A</v>
      </c>
      <c r="E98" s="95" t="e">
        <v>#N/A</v>
      </c>
      <c r="F98" s="96">
        <v>1.23</v>
      </c>
      <c r="G98" s="97">
        <v>0.32</v>
      </c>
    </row>
    <row r="99" spans="1:7">
      <c r="A99" s="91">
        <v>35</v>
      </c>
      <c r="B99" s="92">
        <v>97</v>
      </c>
      <c r="C99" s="93">
        <v>91</v>
      </c>
      <c r="D99" s="94">
        <v>1</v>
      </c>
      <c r="E99" s="95">
        <v>0.33</v>
      </c>
      <c r="F99" s="96">
        <v>1.22</v>
      </c>
      <c r="G99" s="97">
        <v>0.32</v>
      </c>
    </row>
    <row r="100" spans="1:7">
      <c r="A100" s="91" t="e">
        <v>#N/A</v>
      </c>
      <c r="B100" s="92">
        <v>98</v>
      </c>
      <c r="C100" s="93">
        <v>91</v>
      </c>
      <c r="D100" s="94" t="e">
        <v>#N/A</v>
      </c>
      <c r="E100" s="95" t="e">
        <v>#N/A</v>
      </c>
      <c r="F100" s="96">
        <v>1.22</v>
      </c>
      <c r="G100" s="97">
        <v>0.32</v>
      </c>
    </row>
    <row r="101" spans="1:7">
      <c r="A101" s="91" t="e">
        <v>#N/A</v>
      </c>
      <c r="B101" s="92">
        <v>99</v>
      </c>
      <c r="C101" s="93">
        <v>91</v>
      </c>
      <c r="D101" s="94" t="e">
        <v>#N/A</v>
      </c>
      <c r="E101" s="95" t="e">
        <v>#N/A</v>
      </c>
      <c r="F101" s="96">
        <v>1.22</v>
      </c>
      <c r="G101" s="97">
        <v>0.32</v>
      </c>
    </row>
    <row r="102" spans="1:7">
      <c r="A102" s="91" t="e">
        <v>#N/A</v>
      </c>
      <c r="B102" s="92">
        <v>100</v>
      </c>
      <c r="C102" s="93">
        <v>91</v>
      </c>
      <c r="D102" s="94" t="e">
        <v>#N/A</v>
      </c>
      <c r="E102" s="95" t="e">
        <v>#N/A</v>
      </c>
      <c r="F102" s="96">
        <v>1.22</v>
      </c>
      <c r="G102" s="97">
        <v>0.32</v>
      </c>
    </row>
    <row r="103" spans="1:7">
      <c r="A103" s="91">
        <v>34</v>
      </c>
      <c r="B103" s="92">
        <v>101</v>
      </c>
      <c r="C103" s="93">
        <v>91</v>
      </c>
      <c r="D103" s="94">
        <v>0.98599999999999999</v>
      </c>
      <c r="E103" s="95">
        <v>0.32</v>
      </c>
      <c r="F103" s="96">
        <v>1.21</v>
      </c>
      <c r="G103" s="97">
        <v>0.32</v>
      </c>
    </row>
    <row r="104" spans="1:7">
      <c r="A104" s="91" t="e">
        <v>#N/A</v>
      </c>
      <c r="B104" s="92">
        <v>102</v>
      </c>
      <c r="C104" s="93">
        <v>91</v>
      </c>
      <c r="D104" s="94" t="e">
        <v>#N/A</v>
      </c>
      <c r="E104" s="95" t="e">
        <v>#N/A</v>
      </c>
      <c r="F104" s="96">
        <v>1.21</v>
      </c>
      <c r="G104" s="97">
        <v>0.32</v>
      </c>
    </row>
    <row r="105" spans="1:7">
      <c r="A105" s="91" t="e">
        <v>#N/A</v>
      </c>
      <c r="B105" s="92">
        <v>103</v>
      </c>
      <c r="C105" s="93">
        <v>91</v>
      </c>
      <c r="D105" s="94" t="e">
        <v>#N/A</v>
      </c>
      <c r="E105" s="95" t="e">
        <v>#N/A</v>
      </c>
      <c r="F105" s="96">
        <v>1.21</v>
      </c>
      <c r="G105" s="97">
        <v>0.32</v>
      </c>
    </row>
    <row r="106" spans="1:7">
      <c r="A106" s="91">
        <v>33</v>
      </c>
      <c r="B106" s="92">
        <v>104</v>
      </c>
      <c r="C106" s="93">
        <v>91</v>
      </c>
      <c r="D106" s="94">
        <v>0.97099999999999997</v>
      </c>
      <c r="E106" s="95">
        <v>0.32</v>
      </c>
      <c r="F106" s="96">
        <v>1.2</v>
      </c>
      <c r="G106" s="97">
        <v>0.32</v>
      </c>
    </row>
    <row r="107" spans="1:7">
      <c r="A107" s="91" t="e">
        <v>#N/A</v>
      </c>
      <c r="B107" s="92">
        <v>105</v>
      </c>
      <c r="C107" s="93">
        <v>91</v>
      </c>
      <c r="D107" s="94" t="e">
        <v>#N/A</v>
      </c>
      <c r="E107" s="95" t="e">
        <v>#N/A</v>
      </c>
      <c r="F107" s="96">
        <v>1.2</v>
      </c>
      <c r="G107" s="97">
        <v>0.32</v>
      </c>
    </row>
    <row r="108" spans="1:7">
      <c r="A108" s="91" t="e">
        <v>#N/A</v>
      </c>
      <c r="B108" s="92">
        <v>106</v>
      </c>
      <c r="C108" s="93">
        <v>91</v>
      </c>
      <c r="D108" s="94" t="e">
        <v>#N/A</v>
      </c>
      <c r="E108" s="95" t="e">
        <v>#N/A</v>
      </c>
      <c r="F108" s="96">
        <v>1.2</v>
      </c>
      <c r="G108" s="97">
        <v>0.32</v>
      </c>
    </row>
    <row r="109" spans="1:7">
      <c r="A109" s="91">
        <v>32</v>
      </c>
      <c r="B109" s="92">
        <v>107</v>
      </c>
      <c r="C109" s="93">
        <v>91</v>
      </c>
      <c r="D109" s="94">
        <v>0.95699999999999996</v>
      </c>
      <c r="E109" s="95">
        <v>0.32</v>
      </c>
      <c r="F109" s="96">
        <v>1.19</v>
      </c>
      <c r="G109" s="97">
        <v>0.32</v>
      </c>
    </row>
    <row r="110" spans="1:7">
      <c r="A110" s="91" t="e">
        <v>#N/A</v>
      </c>
      <c r="B110" s="92">
        <v>108</v>
      </c>
      <c r="C110" s="93">
        <v>91</v>
      </c>
      <c r="D110" s="94" t="e">
        <v>#N/A</v>
      </c>
      <c r="E110" s="95" t="e">
        <v>#N/A</v>
      </c>
      <c r="F110" s="96">
        <v>1.19</v>
      </c>
      <c r="G110" s="97">
        <v>0.32</v>
      </c>
    </row>
    <row r="111" spans="1:7">
      <c r="A111" s="91" t="e">
        <v>#N/A</v>
      </c>
      <c r="B111" s="92">
        <v>109</v>
      </c>
      <c r="C111" s="93">
        <v>91</v>
      </c>
      <c r="D111" s="94" t="e">
        <v>#N/A</v>
      </c>
      <c r="E111" s="95" t="e">
        <v>#N/A</v>
      </c>
      <c r="F111" s="96">
        <v>1.19</v>
      </c>
      <c r="G111" s="97">
        <v>0.32</v>
      </c>
    </row>
    <row r="112" spans="1:7">
      <c r="A112" s="91" t="e">
        <v>#N/A</v>
      </c>
      <c r="B112" s="92">
        <v>110</v>
      </c>
      <c r="C112" s="93">
        <v>91</v>
      </c>
      <c r="D112" s="94" t="e">
        <v>#N/A</v>
      </c>
      <c r="E112" s="95" t="e">
        <v>#N/A</v>
      </c>
      <c r="F112" s="96">
        <v>1.19</v>
      </c>
      <c r="G112" s="97">
        <v>0.32</v>
      </c>
    </row>
    <row r="113" spans="1:7">
      <c r="A113" s="91">
        <v>31</v>
      </c>
      <c r="B113" s="92">
        <v>111</v>
      </c>
      <c r="C113" s="93">
        <v>92</v>
      </c>
      <c r="D113" s="94">
        <v>0.94299999999999995</v>
      </c>
      <c r="E113" s="95">
        <v>0.32</v>
      </c>
      <c r="F113" s="96">
        <v>1.18</v>
      </c>
      <c r="G113" s="97">
        <v>0.32</v>
      </c>
    </row>
    <row r="114" spans="1:7">
      <c r="A114" s="91" t="e">
        <v>#N/A</v>
      </c>
      <c r="B114" s="92">
        <v>112</v>
      </c>
      <c r="C114" s="93">
        <v>92</v>
      </c>
      <c r="D114" s="94" t="e">
        <v>#N/A</v>
      </c>
      <c r="E114" s="95" t="e">
        <v>#N/A</v>
      </c>
      <c r="F114" s="96">
        <v>1.18</v>
      </c>
      <c r="G114" s="97">
        <v>0.32</v>
      </c>
    </row>
    <row r="115" spans="1:7">
      <c r="A115" s="91" t="e">
        <v>#N/A</v>
      </c>
      <c r="B115" s="92">
        <v>113</v>
      </c>
      <c r="C115" s="93">
        <v>92</v>
      </c>
      <c r="D115" s="94" t="e">
        <v>#N/A</v>
      </c>
      <c r="E115" s="95" t="e">
        <v>#N/A</v>
      </c>
      <c r="F115" s="96">
        <v>1.18</v>
      </c>
      <c r="G115" s="97">
        <v>0.32</v>
      </c>
    </row>
    <row r="116" spans="1:7">
      <c r="A116" s="91" t="e">
        <v>#N/A</v>
      </c>
      <c r="B116" s="92">
        <v>114</v>
      </c>
      <c r="C116" s="93">
        <v>92</v>
      </c>
      <c r="D116" s="94" t="e">
        <v>#N/A</v>
      </c>
      <c r="E116" s="95" t="e">
        <v>#N/A</v>
      </c>
      <c r="F116" s="96">
        <v>1.18</v>
      </c>
      <c r="G116" s="97">
        <v>0.32</v>
      </c>
    </row>
    <row r="117" spans="1:7">
      <c r="A117" s="91">
        <v>30</v>
      </c>
      <c r="B117" s="92">
        <v>115</v>
      </c>
      <c r="C117" s="93">
        <v>92</v>
      </c>
      <c r="D117" s="94">
        <v>0.92900000000000005</v>
      </c>
      <c r="E117" s="95">
        <v>0.31</v>
      </c>
      <c r="F117" s="96">
        <v>1.17</v>
      </c>
      <c r="G117" s="97">
        <v>0.31</v>
      </c>
    </row>
    <row r="118" spans="1:7">
      <c r="A118" s="91" t="e">
        <v>#N/A</v>
      </c>
      <c r="B118" s="92">
        <v>116</v>
      </c>
      <c r="C118" s="93">
        <v>92</v>
      </c>
      <c r="D118" s="94" t="e">
        <v>#N/A</v>
      </c>
      <c r="E118" s="95" t="e">
        <v>#N/A</v>
      </c>
      <c r="F118" s="96">
        <v>1.17</v>
      </c>
      <c r="G118" s="97">
        <v>0.31</v>
      </c>
    </row>
    <row r="119" spans="1:7">
      <c r="A119" s="91" t="e">
        <v>#N/A</v>
      </c>
      <c r="B119" s="92">
        <v>117</v>
      </c>
      <c r="C119" s="93">
        <v>92</v>
      </c>
      <c r="D119" s="94" t="e">
        <v>#N/A</v>
      </c>
      <c r="E119" s="95" t="e">
        <v>#N/A</v>
      </c>
      <c r="F119" s="96">
        <v>1.17</v>
      </c>
      <c r="G119" s="97">
        <v>0.31</v>
      </c>
    </row>
    <row r="120" spans="1:7">
      <c r="A120" s="91" t="e">
        <v>#N/A</v>
      </c>
      <c r="B120" s="92">
        <v>118</v>
      </c>
      <c r="C120" s="93">
        <v>92</v>
      </c>
      <c r="D120" s="94" t="e">
        <v>#N/A</v>
      </c>
      <c r="E120" s="95" t="e">
        <v>#N/A</v>
      </c>
      <c r="F120" s="96">
        <v>1.17</v>
      </c>
      <c r="G120" s="97">
        <v>0.31</v>
      </c>
    </row>
    <row r="121" spans="1:7">
      <c r="A121" s="91" t="e">
        <v>#N/A</v>
      </c>
      <c r="B121" s="92">
        <v>119</v>
      </c>
      <c r="C121" s="93">
        <v>92</v>
      </c>
      <c r="D121" s="94" t="e">
        <v>#N/A</v>
      </c>
      <c r="E121" s="95" t="e">
        <v>#N/A</v>
      </c>
      <c r="F121" s="96">
        <v>1.17</v>
      </c>
      <c r="G121" s="97">
        <v>0.31</v>
      </c>
    </row>
    <row r="122" spans="1:7">
      <c r="A122" s="91">
        <v>29</v>
      </c>
      <c r="B122" s="92">
        <v>120</v>
      </c>
      <c r="C122" s="93">
        <v>92</v>
      </c>
      <c r="D122" s="94">
        <v>0.91400000000000003</v>
      </c>
      <c r="E122" s="95">
        <v>0.31</v>
      </c>
      <c r="F122" s="96">
        <v>1.1599999999999999</v>
      </c>
      <c r="G122" s="97">
        <v>0.31</v>
      </c>
    </row>
    <row r="123" spans="1:7">
      <c r="A123" s="91" t="e">
        <v>#N/A</v>
      </c>
      <c r="B123" s="92">
        <v>121</v>
      </c>
      <c r="C123" s="93">
        <v>92</v>
      </c>
      <c r="D123" s="94" t="e">
        <v>#N/A</v>
      </c>
      <c r="E123" s="95" t="e">
        <v>#N/A</v>
      </c>
      <c r="F123" s="96">
        <v>1.1599999999999999</v>
      </c>
      <c r="G123" s="97">
        <v>0.31</v>
      </c>
    </row>
    <row r="124" spans="1:7">
      <c r="A124" s="91" t="e">
        <v>#N/A</v>
      </c>
      <c r="B124" s="92">
        <v>122</v>
      </c>
      <c r="C124" s="93">
        <v>92</v>
      </c>
      <c r="D124" s="94" t="e">
        <v>#N/A</v>
      </c>
      <c r="E124" s="95" t="e">
        <v>#N/A</v>
      </c>
      <c r="F124" s="96">
        <v>1.1599999999999999</v>
      </c>
      <c r="G124" s="97">
        <v>0.31</v>
      </c>
    </row>
    <row r="125" spans="1:7">
      <c r="A125" s="91" t="e">
        <v>#N/A</v>
      </c>
      <c r="B125" s="92">
        <v>123</v>
      </c>
      <c r="C125" s="93">
        <v>92</v>
      </c>
      <c r="D125" s="94" t="e">
        <v>#N/A</v>
      </c>
      <c r="E125" s="95" t="e">
        <v>#N/A</v>
      </c>
      <c r="F125" s="96">
        <v>1.1599999999999999</v>
      </c>
      <c r="G125" s="97">
        <v>0.31</v>
      </c>
    </row>
    <row r="126" spans="1:7">
      <c r="A126" s="91">
        <v>28</v>
      </c>
      <c r="B126" s="92">
        <v>124</v>
      </c>
      <c r="C126" s="93">
        <v>92</v>
      </c>
      <c r="D126" s="94">
        <v>0.9</v>
      </c>
      <c r="E126" s="95">
        <v>0.31</v>
      </c>
      <c r="F126" s="96">
        <v>1.1499999999999999</v>
      </c>
      <c r="G126" s="97">
        <v>0.31</v>
      </c>
    </row>
    <row r="127" spans="1:7">
      <c r="A127" s="91" t="e">
        <v>#N/A</v>
      </c>
      <c r="B127" s="92">
        <v>125</v>
      </c>
      <c r="C127" s="93">
        <v>92</v>
      </c>
      <c r="D127" s="94" t="e">
        <v>#N/A</v>
      </c>
      <c r="E127" s="95" t="e">
        <v>#N/A</v>
      </c>
      <c r="F127" s="96">
        <v>1.1499999999999999</v>
      </c>
      <c r="G127" s="97">
        <v>0.31</v>
      </c>
    </row>
    <row r="128" spans="1:7">
      <c r="A128" s="91" t="e">
        <v>#N/A</v>
      </c>
      <c r="B128" s="92">
        <v>126</v>
      </c>
      <c r="C128" s="93">
        <v>92</v>
      </c>
      <c r="D128" s="94" t="e">
        <v>#N/A</v>
      </c>
      <c r="E128" s="95" t="e">
        <v>#N/A</v>
      </c>
      <c r="F128" s="96">
        <v>1.1499999999999999</v>
      </c>
      <c r="G128" s="97">
        <v>0.31</v>
      </c>
    </row>
    <row r="129" spans="1:7">
      <c r="A129" s="91" t="e">
        <v>#N/A</v>
      </c>
      <c r="B129" s="92">
        <v>127</v>
      </c>
      <c r="C129" s="93">
        <v>92</v>
      </c>
      <c r="D129" s="94" t="e">
        <v>#N/A</v>
      </c>
      <c r="E129" s="95" t="e">
        <v>#N/A</v>
      </c>
      <c r="F129" s="96">
        <v>1.1499999999999999</v>
      </c>
      <c r="G129" s="97">
        <v>0.31</v>
      </c>
    </row>
    <row r="130" spans="1:7">
      <c r="A130" s="91" t="e">
        <v>#N/A</v>
      </c>
      <c r="B130" s="92">
        <v>128</v>
      </c>
      <c r="C130" s="93">
        <v>92</v>
      </c>
      <c r="D130" s="94" t="e">
        <v>#N/A</v>
      </c>
      <c r="E130" s="95" t="e">
        <v>#N/A</v>
      </c>
      <c r="F130" s="96">
        <v>1.1499999999999999</v>
      </c>
      <c r="G130" s="97">
        <v>0.31</v>
      </c>
    </row>
    <row r="131" spans="1:7">
      <c r="A131" s="91">
        <v>27</v>
      </c>
      <c r="B131" s="92">
        <v>129</v>
      </c>
      <c r="C131" s="93">
        <v>93</v>
      </c>
      <c r="D131" s="94">
        <v>0.879</v>
      </c>
      <c r="E131" s="95">
        <v>0.34</v>
      </c>
      <c r="F131" s="96">
        <v>1.129</v>
      </c>
      <c r="G131" s="97">
        <v>0.3</v>
      </c>
    </row>
    <row r="132" spans="1:7">
      <c r="A132" s="91" t="e">
        <v>#N/A</v>
      </c>
      <c r="B132" s="92">
        <v>130</v>
      </c>
      <c r="C132" s="93">
        <v>93</v>
      </c>
      <c r="D132" s="94" t="e">
        <v>#N/A</v>
      </c>
      <c r="E132" s="95" t="e">
        <v>#N/A</v>
      </c>
      <c r="F132" s="96">
        <v>1.1279999999999999</v>
      </c>
      <c r="G132" s="97">
        <v>0.3</v>
      </c>
    </row>
    <row r="133" spans="1:7">
      <c r="A133" s="91" t="e">
        <v>#N/A</v>
      </c>
      <c r="B133" s="92">
        <v>131</v>
      </c>
      <c r="C133" s="93">
        <v>93</v>
      </c>
      <c r="D133" s="94" t="e">
        <v>#N/A</v>
      </c>
      <c r="E133" s="95" t="e">
        <v>#N/A</v>
      </c>
      <c r="F133" s="96">
        <v>1.1279999999999999</v>
      </c>
      <c r="G133" s="97">
        <v>0.3</v>
      </c>
    </row>
    <row r="134" spans="1:7">
      <c r="A134" s="91" t="e">
        <v>#N/A</v>
      </c>
      <c r="B134" s="92">
        <v>132</v>
      </c>
      <c r="C134" s="93">
        <v>93</v>
      </c>
      <c r="D134" s="94" t="e">
        <v>#N/A</v>
      </c>
      <c r="E134" s="95" t="e">
        <v>#N/A</v>
      </c>
      <c r="F134" s="96">
        <v>1.1279999999999999</v>
      </c>
      <c r="G134" s="97">
        <v>0.3</v>
      </c>
    </row>
    <row r="135" spans="1:7">
      <c r="A135" s="91" t="e">
        <v>#N/A</v>
      </c>
      <c r="B135" s="92">
        <v>133</v>
      </c>
      <c r="C135" s="93">
        <v>93</v>
      </c>
      <c r="D135" s="94" t="e">
        <v>#N/A</v>
      </c>
      <c r="E135" s="95" t="e">
        <v>#N/A</v>
      </c>
      <c r="F135" s="96">
        <v>1.1279999999999999</v>
      </c>
      <c r="G135" s="97">
        <v>0.3</v>
      </c>
    </row>
    <row r="136" spans="1:7">
      <c r="A136" s="91" t="e">
        <v>#N/A</v>
      </c>
      <c r="B136" s="92">
        <v>134</v>
      </c>
      <c r="C136" s="93">
        <v>93</v>
      </c>
      <c r="D136" s="94" t="e">
        <v>#N/A</v>
      </c>
      <c r="E136" s="95" t="e">
        <v>#N/A</v>
      </c>
      <c r="F136" s="96">
        <v>1.1279999999999999</v>
      </c>
      <c r="G136" s="97">
        <v>0.3</v>
      </c>
    </row>
    <row r="137" spans="1:7">
      <c r="A137" s="91">
        <v>26</v>
      </c>
      <c r="B137" s="92">
        <v>135</v>
      </c>
      <c r="C137" s="93">
        <v>93</v>
      </c>
      <c r="D137" s="94">
        <v>0.85699999999999998</v>
      </c>
      <c r="E137" s="95">
        <v>0.31</v>
      </c>
      <c r="F137" s="96">
        <v>1.107</v>
      </c>
      <c r="G137" s="97">
        <v>0.28999999999999998</v>
      </c>
    </row>
    <row r="138" spans="1:7">
      <c r="A138" s="91" t="e">
        <v>#N/A</v>
      </c>
      <c r="B138" s="92">
        <v>136</v>
      </c>
      <c r="C138" s="93">
        <v>93</v>
      </c>
      <c r="D138" s="94" t="e">
        <v>#N/A</v>
      </c>
      <c r="E138" s="95" t="e">
        <v>#N/A</v>
      </c>
      <c r="F138" s="96">
        <v>1.107</v>
      </c>
      <c r="G138" s="97">
        <v>0.28999999999999998</v>
      </c>
    </row>
    <row r="139" spans="1:7">
      <c r="A139" s="91" t="e">
        <v>#N/A</v>
      </c>
      <c r="B139" s="92">
        <v>137</v>
      </c>
      <c r="C139" s="93">
        <v>93</v>
      </c>
      <c r="D139" s="94" t="e">
        <v>#N/A</v>
      </c>
      <c r="E139" s="95" t="e">
        <v>#N/A</v>
      </c>
      <c r="F139" s="96">
        <v>1.107</v>
      </c>
      <c r="G139" s="97">
        <v>0.28999999999999998</v>
      </c>
    </row>
    <row r="140" spans="1:7">
      <c r="A140" s="91" t="e">
        <v>#N/A</v>
      </c>
      <c r="B140" s="92">
        <v>138</v>
      </c>
      <c r="C140" s="93">
        <v>93</v>
      </c>
      <c r="D140" s="94" t="e">
        <v>#N/A</v>
      </c>
      <c r="E140" s="95" t="e">
        <v>#N/A</v>
      </c>
      <c r="F140" s="96">
        <v>1.107</v>
      </c>
      <c r="G140" s="97">
        <v>0.28999999999999998</v>
      </c>
    </row>
    <row r="141" spans="1:7">
      <c r="A141" s="91" t="e">
        <v>#N/A</v>
      </c>
      <c r="B141" s="92">
        <v>139</v>
      </c>
      <c r="C141" s="93">
        <v>93</v>
      </c>
      <c r="D141" s="94" t="e">
        <v>#N/A</v>
      </c>
      <c r="E141" s="95" t="e">
        <v>#N/A</v>
      </c>
      <c r="F141" s="96">
        <v>1.107</v>
      </c>
      <c r="G141" s="97">
        <v>0.28999999999999998</v>
      </c>
    </row>
    <row r="142" spans="1:7">
      <c r="A142" s="91" t="e">
        <v>#N/A</v>
      </c>
      <c r="B142" s="92">
        <v>140</v>
      </c>
      <c r="C142" s="93">
        <v>93</v>
      </c>
      <c r="D142" s="94" t="e">
        <v>#N/A</v>
      </c>
      <c r="E142" s="95" t="e">
        <v>#N/A</v>
      </c>
      <c r="F142" s="96">
        <v>1.107</v>
      </c>
      <c r="G142" s="97">
        <v>0.28999999999999998</v>
      </c>
    </row>
    <row r="143" spans="1:7">
      <c r="A143" s="91">
        <v>25</v>
      </c>
      <c r="B143" s="92">
        <v>141</v>
      </c>
      <c r="C143" s="93">
        <v>93</v>
      </c>
      <c r="D143" s="94">
        <v>0.83599999999999997</v>
      </c>
      <c r="E143" s="95">
        <v>0.31</v>
      </c>
      <c r="F143" s="96">
        <v>1.0860000000000001</v>
      </c>
      <c r="G143" s="97">
        <v>0.28000000000000003</v>
      </c>
    </row>
    <row r="144" spans="1:7">
      <c r="A144" s="91" t="e">
        <v>#N/A</v>
      </c>
      <c r="B144" s="92">
        <v>142</v>
      </c>
      <c r="C144" s="93">
        <v>93</v>
      </c>
      <c r="D144" s="94" t="e">
        <v>#N/A</v>
      </c>
      <c r="E144" s="95" t="e">
        <v>#N/A</v>
      </c>
      <c r="F144" s="96">
        <v>1.0860000000000001</v>
      </c>
      <c r="G144" s="97">
        <v>0.28000000000000003</v>
      </c>
    </row>
    <row r="145" spans="1:7">
      <c r="A145" s="91" t="e">
        <v>#N/A</v>
      </c>
      <c r="B145" s="92">
        <v>143</v>
      </c>
      <c r="C145" s="93">
        <v>93</v>
      </c>
      <c r="D145" s="94" t="e">
        <v>#N/A</v>
      </c>
      <c r="E145" s="95" t="e">
        <v>#N/A</v>
      </c>
      <c r="F145" s="96">
        <v>1.0860000000000001</v>
      </c>
      <c r="G145" s="97">
        <v>0.28000000000000003</v>
      </c>
    </row>
    <row r="146" spans="1:7">
      <c r="A146" s="91" t="e">
        <v>#N/A</v>
      </c>
      <c r="B146" s="92">
        <v>144</v>
      </c>
      <c r="C146" s="93">
        <v>93</v>
      </c>
      <c r="D146" s="94" t="e">
        <v>#N/A</v>
      </c>
      <c r="E146" s="95" t="e">
        <v>#N/A</v>
      </c>
      <c r="F146" s="96">
        <v>1.0860000000000001</v>
      </c>
      <c r="G146" s="97">
        <v>0.28000000000000003</v>
      </c>
    </row>
    <row r="147" spans="1:7">
      <c r="A147" s="91" t="e">
        <v>#N/A</v>
      </c>
      <c r="B147" s="92">
        <v>145</v>
      </c>
      <c r="C147" s="93">
        <v>93</v>
      </c>
      <c r="D147" s="94" t="e">
        <v>#N/A</v>
      </c>
      <c r="E147" s="95" t="e">
        <v>#N/A</v>
      </c>
      <c r="F147" s="96">
        <v>1.0860000000000001</v>
      </c>
      <c r="G147" s="97">
        <v>0.28000000000000003</v>
      </c>
    </row>
    <row r="148" spans="1:7">
      <c r="A148" s="91" t="e">
        <v>#N/A</v>
      </c>
      <c r="B148" s="92">
        <v>146</v>
      </c>
      <c r="C148" s="93">
        <v>93</v>
      </c>
      <c r="D148" s="94" t="e">
        <v>#N/A</v>
      </c>
      <c r="E148" s="95" t="e">
        <v>#N/A</v>
      </c>
      <c r="F148" s="96">
        <v>1.0860000000000001</v>
      </c>
      <c r="G148" s="97">
        <v>0.28000000000000003</v>
      </c>
    </row>
    <row r="149" spans="1:7">
      <c r="A149" s="91" t="e">
        <v>#N/A</v>
      </c>
      <c r="B149" s="92">
        <v>147</v>
      </c>
      <c r="C149" s="93">
        <v>93</v>
      </c>
      <c r="D149" s="94" t="e">
        <v>#N/A</v>
      </c>
      <c r="E149" s="95" t="e">
        <v>#N/A</v>
      </c>
      <c r="F149" s="96">
        <v>1.0860000000000001</v>
      </c>
      <c r="G149" s="97">
        <v>0.28000000000000003</v>
      </c>
    </row>
    <row r="150" spans="1:7">
      <c r="A150" s="91">
        <v>24</v>
      </c>
      <c r="B150" s="92">
        <v>148</v>
      </c>
      <c r="C150" s="93">
        <v>93</v>
      </c>
      <c r="D150" s="94">
        <v>0.81399999999999995</v>
      </c>
      <c r="E150" s="95">
        <v>0.3</v>
      </c>
      <c r="F150" s="96">
        <v>1.0640000000000001</v>
      </c>
      <c r="G150" s="97">
        <v>0.27</v>
      </c>
    </row>
    <row r="151" spans="1:7">
      <c r="A151" s="91" t="e">
        <v>#N/A</v>
      </c>
      <c r="B151" s="92">
        <v>149</v>
      </c>
      <c r="C151" s="93">
        <v>93</v>
      </c>
      <c r="D151" s="94" t="e">
        <v>#N/A</v>
      </c>
      <c r="E151" s="95" t="e">
        <v>#N/A</v>
      </c>
      <c r="F151" s="96">
        <v>1.0640000000000001</v>
      </c>
      <c r="G151" s="97">
        <v>0.27</v>
      </c>
    </row>
    <row r="152" spans="1:7">
      <c r="A152" s="91" t="e">
        <v>#N/A</v>
      </c>
      <c r="B152" s="92">
        <v>150</v>
      </c>
      <c r="C152" s="93">
        <v>93</v>
      </c>
      <c r="D152" s="98" t="e">
        <v>#N/A</v>
      </c>
      <c r="E152" s="98" t="e">
        <v>#N/A</v>
      </c>
      <c r="F152" s="98">
        <v>1.0640000000000001</v>
      </c>
      <c r="G152" s="98">
        <v>0.27</v>
      </c>
    </row>
    <row r="153" spans="1:7">
      <c r="A153" s="91" t="e">
        <v>#N/A</v>
      </c>
      <c r="B153" s="92">
        <v>151</v>
      </c>
      <c r="C153" s="93">
        <v>93</v>
      </c>
      <c r="D153" s="98" t="e">
        <v>#N/A</v>
      </c>
      <c r="E153" s="98" t="e">
        <v>#N/A</v>
      </c>
      <c r="F153" s="98">
        <v>1.0640000000000001</v>
      </c>
      <c r="G153" s="98">
        <v>0.27</v>
      </c>
    </row>
    <row r="154" spans="1:7">
      <c r="A154" s="91" t="e">
        <v>#N/A</v>
      </c>
      <c r="B154" s="92">
        <v>152</v>
      </c>
      <c r="C154" s="93">
        <v>93</v>
      </c>
      <c r="D154" s="98" t="e">
        <v>#N/A</v>
      </c>
      <c r="E154" s="98" t="e">
        <v>#N/A</v>
      </c>
      <c r="F154" s="98">
        <v>1.0640000000000001</v>
      </c>
      <c r="G154" s="98">
        <v>0.27</v>
      </c>
    </row>
    <row r="155" spans="1:7">
      <c r="A155" s="91" t="e">
        <v>#N/A</v>
      </c>
      <c r="B155" s="92">
        <v>153</v>
      </c>
      <c r="C155" s="93">
        <v>93</v>
      </c>
      <c r="D155" s="98" t="e">
        <v>#N/A</v>
      </c>
      <c r="E155" s="98" t="e">
        <v>#N/A</v>
      </c>
      <c r="F155" s="98">
        <v>1.0640000000000001</v>
      </c>
      <c r="G155" s="98">
        <v>0.27</v>
      </c>
    </row>
    <row r="156" spans="1:7">
      <c r="A156" s="91" t="e">
        <v>#N/A</v>
      </c>
      <c r="B156" s="92">
        <v>154</v>
      </c>
      <c r="C156" s="93">
        <v>93</v>
      </c>
      <c r="D156" s="98" t="e">
        <v>#N/A</v>
      </c>
      <c r="E156" s="98" t="e">
        <v>#N/A</v>
      </c>
      <c r="F156" s="98">
        <v>1.0640000000000001</v>
      </c>
      <c r="G156" s="98">
        <v>0.27</v>
      </c>
    </row>
    <row r="157" spans="1:7">
      <c r="A157" s="91">
        <v>23</v>
      </c>
      <c r="B157" s="92">
        <v>155</v>
      </c>
      <c r="C157" s="93">
        <v>93</v>
      </c>
      <c r="D157" s="98">
        <v>0.79300000000000004</v>
      </c>
      <c r="E157" s="98">
        <v>0.28999999999999998</v>
      </c>
      <c r="F157" s="98">
        <v>1.0429999999999999</v>
      </c>
      <c r="G157" s="98">
        <v>0.26</v>
      </c>
    </row>
    <row r="158" spans="1:7">
      <c r="A158" s="91" t="e">
        <v>#N/A</v>
      </c>
      <c r="B158" s="92">
        <v>156</v>
      </c>
      <c r="C158" s="93">
        <v>93</v>
      </c>
      <c r="D158" s="98" t="e">
        <v>#N/A</v>
      </c>
      <c r="E158" s="98" t="e">
        <v>#N/A</v>
      </c>
      <c r="F158" s="98">
        <v>1.0429999999999999</v>
      </c>
      <c r="G158" s="98">
        <v>0.26</v>
      </c>
    </row>
    <row r="159" spans="1:7">
      <c r="A159" s="91" t="e">
        <v>#N/A</v>
      </c>
      <c r="B159" s="92">
        <v>157</v>
      </c>
      <c r="C159" s="93">
        <v>93</v>
      </c>
      <c r="D159" s="98" t="e">
        <v>#N/A</v>
      </c>
      <c r="E159" s="98" t="e">
        <v>#N/A</v>
      </c>
      <c r="F159" s="98">
        <v>1.0429999999999999</v>
      </c>
      <c r="G159" s="98">
        <v>0.26</v>
      </c>
    </row>
    <row r="160" spans="1:7">
      <c r="A160" s="91" t="e">
        <v>#N/A</v>
      </c>
      <c r="B160" s="92">
        <v>158</v>
      </c>
      <c r="C160" s="93">
        <v>93</v>
      </c>
      <c r="D160" s="98" t="e">
        <v>#N/A</v>
      </c>
      <c r="E160" s="98" t="e">
        <v>#N/A</v>
      </c>
      <c r="F160" s="98">
        <v>1.0429999999999999</v>
      </c>
      <c r="G160" s="98">
        <v>0.26</v>
      </c>
    </row>
    <row r="161" spans="1:7">
      <c r="A161" s="91" t="e">
        <v>#N/A</v>
      </c>
      <c r="B161" s="92">
        <v>159</v>
      </c>
      <c r="C161" s="93">
        <v>93</v>
      </c>
      <c r="D161" s="98" t="e">
        <v>#N/A</v>
      </c>
      <c r="E161" s="98" t="e">
        <v>#N/A</v>
      </c>
      <c r="F161" s="98">
        <v>1.0429999999999999</v>
      </c>
      <c r="G161" s="98">
        <v>0.26</v>
      </c>
    </row>
    <row r="162" spans="1:7">
      <c r="A162" s="91" t="e">
        <v>#N/A</v>
      </c>
      <c r="B162" s="92">
        <v>160</v>
      </c>
      <c r="C162" s="93">
        <v>93</v>
      </c>
      <c r="D162" s="98" t="e">
        <v>#N/A</v>
      </c>
      <c r="E162" s="98" t="e">
        <v>#N/A</v>
      </c>
      <c r="F162" s="98">
        <v>1.0429999999999999</v>
      </c>
      <c r="G162" s="98">
        <v>0.26</v>
      </c>
    </row>
    <row r="163" spans="1:7">
      <c r="A163" s="91" t="e">
        <v>#N/A</v>
      </c>
      <c r="B163" s="92">
        <v>161</v>
      </c>
      <c r="C163" s="93">
        <v>93</v>
      </c>
      <c r="D163" s="98" t="e">
        <v>#N/A</v>
      </c>
      <c r="E163" s="98" t="e">
        <v>#N/A</v>
      </c>
      <c r="F163" s="98">
        <v>1.0429999999999999</v>
      </c>
      <c r="G163" s="98">
        <v>0.26</v>
      </c>
    </row>
    <row r="164" spans="1:7">
      <c r="A164" s="91">
        <v>22</v>
      </c>
      <c r="B164" s="92">
        <v>162</v>
      </c>
      <c r="C164" s="93">
        <v>94</v>
      </c>
      <c r="D164" s="98">
        <v>0.77100000000000002</v>
      </c>
      <c r="E164" s="98">
        <v>0.28000000000000003</v>
      </c>
      <c r="F164" s="98">
        <v>1.0209999999999999</v>
      </c>
      <c r="G164" s="98">
        <v>0.26</v>
      </c>
    </row>
    <row r="165" spans="1:7">
      <c r="A165" s="91" t="e">
        <v>#N/A</v>
      </c>
      <c r="B165" s="92">
        <v>163</v>
      </c>
      <c r="C165" s="93">
        <v>94</v>
      </c>
      <c r="D165" s="98" t="e">
        <v>#N/A</v>
      </c>
      <c r="E165" s="98" t="e">
        <v>#N/A</v>
      </c>
      <c r="F165" s="98">
        <v>1.0209999999999999</v>
      </c>
      <c r="G165" s="98">
        <v>0.26</v>
      </c>
    </row>
    <row r="166" spans="1:7">
      <c r="A166" s="91" t="e">
        <v>#N/A</v>
      </c>
      <c r="B166" s="92">
        <v>164</v>
      </c>
      <c r="C166" s="93">
        <v>94</v>
      </c>
      <c r="D166" s="98" t="e">
        <v>#N/A</v>
      </c>
      <c r="E166" s="98" t="e">
        <v>#N/A</v>
      </c>
      <c r="F166" s="98">
        <v>1.0209999999999999</v>
      </c>
      <c r="G166" s="98">
        <v>0.26</v>
      </c>
    </row>
    <row r="167" spans="1:7">
      <c r="A167" s="91" t="e">
        <v>#N/A</v>
      </c>
      <c r="B167" s="92">
        <v>165</v>
      </c>
      <c r="C167" s="93">
        <v>94</v>
      </c>
      <c r="D167" s="98" t="e">
        <v>#N/A</v>
      </c>
      <c r="E167" s="98" t="e">
        <v>#N/A</v>
      </c>
      <c r="F167" s="98">
        <v>1.0209999999999999</v>
      </c>
      <c r="G167" s="98">
        <v>0.26</v>
      </c>
    </row>
    <row r="168" spans="1:7">
      <c r="A168" s="91" t="e">
        <v>#N/A</v>
      </c>
      <c r="B168" s="92">
        <v>166</v>
      </c>
      <c r="C168" s="93">
        <v>94</v>
      </c>
      <c r="D168" s="98" t="e">
        <v>#N/A</v>
      </c>
      <c r="E168" s="98" t="e">
        <v>#N/A</v>
      </c>
      <c r="F168" s="98">
        <v>1.0209999999999999</v>
      </c>
      <c r="G168" s="98">
        <v>0.26</v>
      </c>
    </row>
    <row r="169" spans="1:7">
      <c r="A169" s="91" t="e">
        <v>#N/A</v>
      </c>
      <c r="B169" s="92">
        <v>167</v>
      </c>
      <c r="C169" s="93">
        <v>94</v>
      </c>
      <c r="D169" s="98" t="e">
        <v>#N/A</v>
      </c>
      <c r="E169" s="98" t="e">
        <v>#N/A</v>
      </c>
      <c r="F169" s="98">
        <v>1.0209999999999999</v>
      </c>
      <c r="G169" s="98">
        <v>0.26</v>
      </c>
    </row>
    <row r="170" spans="1:7">
      <c r="A170" s="91" t="e">
        <v>#N/A</v>
      </c>
      <c r="B170" s="92">
        <v>168</v>
      </c>
      <c r="C170" s="93">
        <v>94</v>
      </c>
      <c r="D170" s="98" t="e">
        <v>#N/A</v>
      </c>
      <c r="E170" s="98" t="e">
        <v>#N/A</v>
      </c>
      <c r="F170" s="98">
        <v>1.0209999999999999</v>
      </c>
      <c r="G170" s="98">
        <v>0.26</v>
      </c>
    </row>
    <row r="171" spans="1:7">
      <c r="A171" s="91" t="e">
        <v>#N/A</v>
      </c>
      <c r="B171" s="92">
        <v>169</v>
      </c>
      <c r="C171" s="93">
        <v>94</v>
      </c>
      <c r="D171" s="98" t="e">
        <v>#N/A</v>
      </c>
      <c r="E171" s="98" t="e">
        <v>#N/A</v>
      </c>
      <c r="F171" s="98">
        <v>1.0209999999999999</v>
      </c>
      <c r="G171" s="98">
        <v>0.26</v>
      </c>
    </row>
    <row r="172" spans="1:7">
      <c r="A172" s="91">
        <v>21</v>
      </c>
      <c r="B172" s="92">
        <v>170</v>
      </c>
      <c r="C172" s="93">
        <v>94</v>
      </c>
      <c r="D172" s="98">
        <v>0.75</v>
      </c>
      <c r="E172" s="98">
        <v>0.26</v>
      </c>
      <c r="F172" s="98">
        <v>1</v>
      </c>
      <c r="G172" s="98">
        <v>0.25</v>
      </c>
    </row>
    <row r="173" spans="1:7">
      <c r="A173" s="91" t="e">
        <v>#N/A</v>
      </c>
      <c r="B173" s="92">
        <v>171</v>
      </c>
      <c r="C173" s="93">
        <v>94</v>
      </c>
      <c r="D173" s="98" t="e">
        <v>#N/A</v>
      </c>
      <c r="E173" s="98" t="e">
        <v>#N/A</v>
      </c>
      <c r="F173" s="98">
        <v>1</v>
      </c>
      <c r="G173" s="98">
        <v>0.25</v>
      </c>
    </row>
    <row r="174" spans="1:7">
      <c r="A174" s="91" t="e">
        <v>#N/A</v>
      </c>
      <c r="B174" s="92">
        <v>172</v>
      </c>
      <c r="C174" s="93">
        <v>94</v>
      </c>
      <c r="D174" s="98" t="e">
        <v>#N/A</v>
      </c>
      <c r="E174" s="98" t="e">
        <v>#N/A</v>
      </c>
      <c r="F174" s="98">
        <v>1</v>
      </c>
      <c r="G174" s="98">
        <v>0.25</v>
      </c>
    </row>
    <row r="175" spans="1:7">
      <c r="A175" s="91" t="e">
        <v>#N/A</v>
      </c>
      <c r="B175" s="92">
        <v>173</v>
      </c>
      <c r="C175" s="93">
        <v>94</v>
      </c>
      <c r="D175" s="98" t="e">
        <v>#N/A</v>
      </c>
      <c r="E175" s="98" t="e">
        <v>#N/A</v>
      </c>
      <c r="F175" s="98">
        <v>1</v>
      </c>
      <c r="G175" s="98">
        <v>0.25</v>
      </c>
    </row>
    <row r="176" spans="1:7">
      <c r="A176" s="91" t="e">
        <v>#N/A</v>
      </c>
      <c r="B176" s="92">
        <v>174</v>
      </c>
      <c r="C176" s="93">
        <v>94</v>
      </c>
      <c r="D176" s="98" t="e">
        <v>#N/A</v>
      </c>
      <c r="E176" s="98" t="e">
        <v>#N/A</v>
      </c>
      <c r="F176" s="98">
        <v>1</v>
      </c>
      <c r="G176" s="98">
        <v>0.25</v>
      </c>
    </row>
    <row r="177" spans="1:7">
      <c r="A177" s="91" t="e">
        <v>#N/A</v>
      </c>
      <c r="B177" s="92">
        <v>175</v>
      </c>
      <c r="C177" s="93">
        <v>94</v>
      </c>
      <c r="D177" s="98" t="e">
        <v>#N/A</v>
      </c>
      <c r="E177" s="98" t="e">
        <v>#N/A</v>
      </c>
      <c r="F177" s="98">
        <v>1</v>
      </c>
      <c r="G177" s="98">
        <v>0.25</v>
      </c>
    </row>
    <row r="178" spans="1:7">
      <c r="A178" s="91" t="e">
        <v>#N/A</v>
      </c>
      <c r="B178" s="92">
        <v>176</v>
      </c>
      <c r="C178" s="93">
        <v>94</v>
      </c>
      <c r="D178" s="98" t="e">
        <v>#N/A</v>
      </c>
      <c r="E178" s="98" t="e">
        <v>#N/A</v>
      </c>
      <c r="F178" s="98">
        <v>1</v>
      </c>
      <c r="G178" s="98">
        <v>0.25</v>
      </c>
    </row>
    <row r="179" spans="1:7">
      <c r="A179" s="91">
        <v>20</v>
      </c>
      <c r="B179" s="92">
        <v>177</v>
      </c>
      <c r="C179" s="93">
        <v>95</v>
      </c>
      <c r="D179" s="98">
        <v>0.74299999999999999</v>
      </c>
      <c r="E179" s="98">
        <v>0.26</v>
      </c>
      <c r="F179" s="98">
        <v>0.98599999999999999</v>
      </c>
      <c r="G179" s="98">
        <v>0.25</v>
      </c>
    </row>
    <row r="180" spans="1:7">
      <c r="A180" s="91" t="e">
        <v>#N/A</v>
      </c>
      <c r="B180" s="92">
        <v>178</v>
      </c>
      <c r="C180" s="93">
        <v>95</v>
      </c>
      <c r="D180" s="98" t="e">
        <v>#N/A</v>
      </c>
      <c r="E180" s="98" t="e">
        <v>#N/A</v>
      </c>
      <c r="F180" s="98">
        <v>0.98599999999999999</v>
      </c>
      <c r="G180" s="98">
        <v>0.25</v>
      </c>
    </row>
    <row r="181" spans="1:7">
      <c r="A181" s="91" t="e">
        <v>#N/A</v>
      </c>
      <c r="B181" s="92">
        <v>179</v>
      </c>
      <c r="C181" s="93">
        <v>95</v>
      </c>
      <c r="D181" s="98" t="e">
        <v>#N/A</v>
      </c>
      <c r="E181" s="98" t="e">
        <v>#N/A</v>
      </c>
      <c r="F181" s="98">
        <v>0.98599999999999999</v>
      </c>
      <c r="G181" s="98">
        <v>0.25</v>
      </c>
    </row>
    <row r="182" spans="1:7">
      <c r="A182" s="91" t="e">
        <v>#N/A</v>
      </c>
      <c r="B182" s="92">
        <v>180</v>
      </c>
      <c r="C182" s="93">
        <v>95</v>
      </c>
      <c r="D182" s="98" t="e">
        <v>#N/A</v>
      </c>
      <c r="E182" s="98" t="e">
        <v>#N/A</v>
      </c>
      <c r="F182" s="98">
        <v>0.98599999999999999</v>
      </c>
      <c r="G182" s="98">
        <v>0.25</v>
      </c>
    </row>
    <row r="183" spans="1:7">
      <c r="A183" s="91" t="e">
        <v>#N/A</v>
      </c>
      <c r="B183" s="92">
        <v>181</v>
      </c>
      <c r="C183" s="93">
        <v>95</v>
      </c>
      <c r="D183" s="98" t="e">
        <v>#N/A</v>
      </c>
      <c r="E183" s="98" t="e">
        <v>#N/A</v>
      </c>
      <c r="F183" s="98">
        <v>0.98599999999999999</v>
      </c>
      <c r="G183" s="98">
        <v>0.25</v>
      </c>
    </row>
    <row r="184" spans="1:7">
      <c r="A184" s="91" t="e">
        <v>#N/A</v>
      </c>
      <c r="B184" s="92">
        <v>182</v>
      </c>
      <c r="C184" s="93">
        <v>95</v>
      </c>
      <c r="D184" s="98" t="e">
        <v>#N/A</v>
      </c>
      <c r="E184" s="98" t="e">
        <v>#N/A</v>
      </c>
      <c r="F184" s="98">
        <v>0.98599999999999999</v>
      </c>
      <c r="G184" s="98">
        <v>0.25</v>
      </c>
    </row>
    <row r="185" spans="1:7">
      <c r="A185" s="91" t="e">
        <v>#N/A</v>
      </c>
      <c r="B185" s="92">
        <v>183</v>
      </c>
      <c r="C185" s="93">
        <v>95</v>
      </c>
      <c r="D185" s="98" t="e">
        <v>#N/A</v>
      </c>
      <c r="E185" s="98" t="e">
        <v>#N/A</v>
      </c>
      <c r="F185" s="98">
        <v>0.98599999999999999</v>
      </c>
      <c r="G185" s="98">
        <v>0.25</v>
      </c>
    </row>
    <row r="186" spans="1:7">
      <c r="A186" s="91" t="e">
        <v>#N/A</v>
      </c>
      <c r="B186" s="92">
        <v>184</v>
      </c>
      <c r="C186" s="93">
        <v>95</v>
      </c>
      <c r="D186" s="98" t="e">
        <v>#N/A</v>
      </c>
      <c r="E186" s="98" t="e">
        <v>#N/A</v>
      </c>
      <c r="F186" s="98">
        <v>0.98599999999999999</v>
      </c>
      <c r="G186" s="98">
        <v>0.25</v>
      </c>
    </row>
    <row r="187" spans="1:7">
      <c r="A187" s="91" t="e">
        <v>#N/A</v>
      </c>
      <c r="B187" s="92">
        <v>185</v>
      </c>
      <c r="C187" s="93">
        <v>95</v>
      </c>
      <c r="D187" s="98" t="e">
        <v>#N/A</v>
      </c>
      <c r="E187" s="98" t="e">
        <v>#N/A</v>
      </c>
      <c r="F187" s="98">
        <v>0.98599999999999999</v>
      </c>
      <c r="G187" s="98">
        <v>0.25</v>
      </c>
    </row>
    <row r="188" spans="1:7">
      <c r="A188" s="91">
        <v>19</v>
      </c>
      <c r="B188" s="92">
        <v>186</v>
      </c>
      <c r="C188" s="93">
        <v>95</v>
      </c>
      <c r="D188" s="98">
        <v>0.73599999999999999</v>
      </c>
      <c r="E188" s="98">
        <v>0.25</v>
      </c>
      <c r="F188" s="98">
        <v>0.97099999999999997</v>
      </c>
      <c r="G188" s="98">
        <v>0.25</v>
      </c>
    </row>
    <row r="189" spans="1:7">
      <c r="A189" s="91" t="e">
        <v>#N/A</v>
      </c>
      <c r="B189" s="92">
        <v>187</v>
      </c>
      <c r="C189" s="93">
        <v>95</v>
      </c>
      <c r="D189" s="98" t="e">
        <v>#N/A</v>
      </c>
      <c r="E189" s="98" t="e">
        <v>#N/A</v>
      </c>
      <c r="F189" s="98">
        <v>0.97099999999999997</v>
      </c>
      <c r="G189" s="98">
        <v>0.25</v>
      </c>
    </row>
    <row r="190" spans="1:7">
      <c r="A190" s="91" t="e">
        <v>#N/A</v>
      </c>
      <c r="B190" s="92">
        <v>188</v>
      </c>
      <c r="C190" s="93">
        <v>95</v>
      </c>
      <c r="D190" s="98" t="e">
        <v>#N/A</v>
      </c>
      <c r="E190" s="98" t="e">
        <v>#N/A</v>
      </c>
      <c r="F190" s="98">
        <v>0.97099999999999997</v>
      </c>
      <c r="G190" s="98">
        <v>0.25</v>
      </c>
    </row>
    <row r="191" spans="1:7">
      <c r="A191" s="91" t="e">
        <v>#N/A</v>
      </c>
      <c r="B191" s="92">
        <v>189</v>
      </c>
      <c r="C191" s="93">
        <v>95</v>
      </c>
      <c r="D191" s="98" t="e">
        <v>#N/A</v>
      </c>
      <c r="E191" s="98" t="e">
        <v>#N/A</v>
      </c>
      <c r="F191" s="98">
        <v>0.97099999999999997</v>
      </c>
      <c r="G191" s="98">
        <v>0.25</v>
      </c>
    </row>
    <row r="192" spans="1:7">
      <c r="A192" s="91" t="e">
        <v>#N/A</v>
      </c>
      <c r="B192" s="92">
        <v>190</v>
      </c>
      <c r="C192" s="93">
        <v>95</v>
      </c>
      <c r="D192" s="98" t="e">
        <v>#N/A</v>
      </c>
      <c r="E192" s="98" t="e">
        <v>#N/A</v>
      </c>
      <c r="F192" s="98">
        <v>0.97099999999999997</v>
      </c>
      <c r="G192" s="98">
        <v>0.25</v>
      </c>
    </row>
    <row r="193" spans="1:7">
      <c r="A193" s="91" t="e">
        <v>#N/A</v>
      </c>
      <c r="B193" s="92">
        <v>191</v>
      </c>
      <c r="C193" s="93">
        <v>95</v>
      </c>
      <c r="D193" s="98" t="e">
        <v>#N/A</v>
      </c>
      <c r="E193" s="98" t="e">
        <v>#N/A</v>
      </c>
      <c r="F193" s="98">
        <v>0.97099999999999997</v>
      </c>
      <c r="G193" s="98">
        <v>0.25</v>
      </c>
    </row>
    <row r="194" spans="1:7">
      <c r="A194" s="91" t="e">
        <v>#N/A</v>
      </c>
      <c r="B194" s="92">
        <v>192</v>
      </c>
      <c r="C194" s="93">
        <v>95</v>
      </c>
      <c r="D194" s="98" t="e">
        <v>#N/A</v>
      </c>
      <c r="E194" s="98" t="e">
        <v>#N/A</v>
      </c>
      <c r="F194" s="98">
        <v>0.97099999999999997</v>
      </c>
      <c r="G194" s="98">
        <v>0.25</v>
      </c>
    </row>
    <row r="195" spans="1:7">
      <c r="A195" s="91" t="e">
        <v>#N/A</v>
      </c>
      <c r="B195" s="92">
        <v>193</v>
      </c>
      <c r="C195" s="93">
        <v>95</v>
      </c>
      <c r="D195" s="98" t="e">
        <v>#N/A</v>
      </c>
      <c r="E195" s="98" t="e">
        <v>#N/A</v>
      </c>
      <c r="F195" s="98">
        <v>0.97099999999999997</v>
      </c>
      <c r="G195" s="98">
        <v>0.25</v>
      </c>
    </row>
    <row r="196" spans="1:7">
      <c r="A196" s="91" t="e">
        <v>#N/A</v>
      </c>
      <c r="B196" s="92">
        <v>194</v>
      </c>
      <c r="C196" s="93">
        <v>95</v>
      </c>
      <c r="D196" s="98" t="e">
        <v>#N/A</v>
      </c>
      <c r="E196" s="98" t="e">
        <v>#N/A</v>
      </c>
      <c r="F196" s="98">
        <v>0.97099999999999997</v>
      </c>
      <c r="G196" s="98">
        <v>0.25</v>
      </c>
    </row>
    <row r="197" spans="1:7">
      <c r="A197" s="91">
        <v>18</v>
      </c>
      <c r="B197" s="92">
        <v>195</v>
      </c>
      <c r="C197" s="93">
        <v>95</v>
      </c>
      <c r="D197" s="98">
        <v>0.72899999999999998</v>
      </c>
      <c r="E197" s="98">
        <v>0.25</v>
      </c>
      <c r="F197" s="98">
        <v>0.95699999999999996</v>
      </c>
      <c r="G197" s="98">
        <v>0.25</v>
      </c>
    </row>
    <row r="198" spans="1:7">
      <c r="A198" s="91" t="e">
        <v>#N/A</v>
      </c>
      <c r="B198" s="92">
        <v>196</v>
      </c>
      <c r="C198" s="93">
        <v>95</v>
      </c>
      <c r="D198" s="98" t="e">
        <v>#N/A</v>
      </c>
      <c r="E198" s="98" t="e">
        <v>#N/A</v>
      </c>
      <c r="F198" s="98">
        <v>0.95699999999999996</v>
      </c>
      <c r="G198" s="98">
        <v>0.25</v>
      </c>
    </row>
    <row r="199" spans="1:7">
      <c r="A199" s="91" t="e">
        <v>#N/A</v>
      </c>
      <c r="B199" s="92">
        <v>197</v>
      </c>
      <c r="C199" s="93">
        <v>95</v>
      </c>
      <c r="D199" s="98" t="e">
        <v>#N/A</v>
      </c>
      <c r="E199" s="98" t="e">
        <v>#N/A</v>
      </c>
      <c r="F199" s="98">
        <v>0.95699999999999996</v>
      </c>
      <c r="G199" s="98">
        <v>0.25</v>
      </c>
    </row>
    <row r="200" spans="1:7">
      <c r="A200" s="91" t="e">
        <v>#N/A</v>
      </c>
      <c r="B200" s="92">
        <v>198</v>
      </c>
      <c r="C200" s="93">
        <v>95</v>
      </c>
      <c r="D200" s="98" t="e">
        <v>#N/A</v>
      </c>
      <c r="E200" s="98" t="e">
        <v>#N/A</v>
      </c>
      <c r="F200" s="98">
        <v>0.95699999999999996</v>
      </c>
      <c r="G200" s="98">
        <v>0.25</v>
      </c>
    </row>
    <row r="201" spans="1:7">
      <c r="A201" s="91" t="e">
        <v>#N/A</v>
      </c>
      <c r="B201" s="92">
        <v>199</v>
      </c>
      <c r="C201" s="93">
        <v>95</v>
      </c>
      <c r="D201" s="98" t="e">
        <v>#N/A</v>
      </c>
      <c r="E201" s="98" t="e">
        <v>#N/A</v>
      </c>
      <c r="F201" s="98">
        <v>0.95699999999999996</v>
      </c>
      <c r="G201" s="98">
        <v>0.25</v>
      </c>
    </row>
    <row r="202" spans="1:7">
      <c r="A202" s="91" t="e">
        <v>#N/A</v>
      </c>
      <c r="B202" s="462">
        <v>200</v>
      </c>
      <c r="C202" s="93">
        <v>95</v>
      </c>
      <c r="D202" s="98" t="e">
        <v>#N/A</v>
      </c>
      <c r="E202" s="98" t="e">
        <v>#N/A</v>
      </c>
      <c r="F202" s="98">
        <v>0.95699999999999996</v>
      </c>
      <c r="G202" s="98">
        <v>0.25</v>
      </c>
    </row>
    <row r="203" spans="1:7">
      <c r="B203" s="463">
        <v>201</v>
      </c>
      <c r="C203" s="93">
        <v>95</v>
      </c>
      <c r="F203" s="98">
        <v>0.95699999999999996</v>
      </c>
      <c r="G203" s="98">
        <v>0.25</v>
      </c>
    </row>
    <row r="204" spans="1:7">
      <c r="B204" s="462">
        <v>202</v>
      </c>
      <c r="C204" s="93">
        <v>95</v>
      </c>
      <c r="F204" s="98">
        <v>0.95699999999999996</v>
      </c>
      <c r="G204" s="98">
        <v>0.25</v>
      </c>
    </row>
    <row r="205" spans="1:7">
      <c r="B205" s="463">
        <v>203</v>
      </c>
      <c r="C205" s="93">
        <v>95</v>
      </c>
      <c r="F205" s="98">
        <v>0.95699999999999996</v>
      </c>
      <c r="G205" s="98">
        <v>0.25</v>
      </c>
    </row>
    <row r="206" spans="1:7">
      <c r="B206" s="462">
        <v>204</v>
      </c>
      <c r="C206" s="93">
        <v>95</v>
      </c>
      <c r="F206" s="98">
        <v>0.95699999999999996</v>
      </c>
      <c r="G206" s="98">
        <v>0.25</v>
      </c>
    </row>
    <row r="207" spans="1:7">
      <c r="B207" s="463">
        <v>205</v>
      </c>
      <c r="C207" s="93">
        <v>95</v>
      </c>
      <c r="F207" s="98">
        <v>0.95699999999999996</v>
      </c>
      <c r="G207" s="98">
        <v>0.25</v>
      </c>
    </row>
    <row r="208" spans="1:7">
      <c r="B208" s="462">
        <v>206</v>
      </c>
      <c r="C208" s="93">
        <v>95</v>
      </c>
      <c r="F208" s="98">
        <v>0.95699999999999996</v>
      </c>
      <c r="G208" s="98">
        <v>0.25</v>
      </c>
    </row>
    <row r="209" spans="2:7">
      <c r="B209" s="463">
        <v>207</v>
      </c>
      <c r="C209" s="93">
        <v>95</v>
      </c>
      <c r="F209" s="98">
        <v>0.95699999999999996</v>
      </c>
      <c r="G209" s="98">
        <v>0.25</v>
      </c>
    </row>
    <row r="210" spans="2:7">
      <c r="B210" s="462">
        <v>208</v>
      </c>
      <c r="C210" s="93">
        <v>95</v>
      </c>
      <c r="F210" s="98">
        <v>0.95699999999999996</v>
      </c>
      <c r="G210" s="98">
        <v>0.25</v>
      </c>
    </row>
    <row r="211" spans="2:7">
      <c r="B211" s="463">
        <v>209</v>
      </c>
      <c r="C211" s="93">
        <v>95</v>
      </c>
      <c r="F211" s="98">
        <v>0.95699999999999996</v>
      </c>
      <c r="G211" s="98">
        <v>0.25</v>
      </c>
    </row>
    <row r="212" spans="2:7">
      <c r="B212" s="462">
        <v>210</v>
      </c>
      <c r="C212" s="93">
        <v>95</v>
      </c>
      <c r="F212" s="98">
        <v>0.95699999999999996</v>
      </c>
      <c r="G212" s="98">
        <v>0.25</v>
      </c>
    </row>
    <row r="213" spans="2:7">
      <c r="B213" s="463">
        <v>211</v>
      </c>
      <c r="C213" s="93">
        <v>95</v>
      </c>
      <c r="F213" s="98">
        <v>0.95699999999999996</v>
      </c>
      <c r="G213" s="98">
        <v>0.25</v>
      </c>
    </row>
    <row r="214" spans="2:7">
      <c r="B214" s="462">
        <v>212</v>
      </c>
      <c r="C214" s="93">
        <v>95</v>
      </c>
      <c r="F214" s="98">
        <v>0.95699999999999996</v>
      </c>
      <c r="G214" s="98">
        <v>0.25</v>
      </c>
    </row>
    <row r="215" spans="2:7">
      <c r="B215" s="462">
        <v>213</v>
      </c>
      <c r="C215" s="93">
        <v>95</v>
      </c>
      <c r="F215" s="98">
        <v>0.95699999999999996</v>
      </c>
      <c r="G215" s="98">
        <v>0.25</v>
      </c>
    </row>
    <row r="216" spans="2:7">
      <c r="B216" s="463">
        <v>214</v>
      </c>
      <c r="C216" s="93">
        <v>95</v>
      </c>
      <c r="F216" s="98">
        <v>0.95699999999999996</v>
      </c>
      <c r="G216" s="98">
        <v>0.25</v>
      </c>
    </row>
    <row r="217" spans="2:7">
      <c r="B217" s="462">
        <v>215</v>
      </c>
      <c r="C217" s="93">
        <v>95</v>
      </c>
      <c r="F217" s="98">
        <v>0.95699999999999996</v>
      </c>
      <c r="G217" s="98">
        <v>0.25</v>
      </c>
    </row>
    <row r="218" spans="2:7">
      <c r="B218" s="463">
        <v>216</v>
      </c>
      <c r="C218" s="93">
        <v>95</v>
      </c>
      <c r="F218" s="98">
        <v>0.95699999999999996</v>
      </c>
      <c r="G218" s="98">
        <v>0.25</v>
      </c>
    </row>
    <row r="219" spans="2:7">
      <c r="B219" s="462">
        <v>217</v>
      </c>
      <c r="C219" s="93">
        <v>95</v>
      </c>
      <c r="F219" s="98">
        <v>0.95699999999999996</v>
      </c>
      <c r="G219" s="98">
        <v>0.25</v>
      </c>
    </row>
    <row r="220" spans="2:7">
      <c r="B220" s="463">
        <v>218</v>
      </c>
      <c r="C220" s="93">
        <v>95</v>
      </c>
      <c r="F220" s="98">
        <v>0.95699999999999996</v>
      </c>
      <c r="G220" s="98">
        <v>0.25</v>
      </c>
    </row>
    <row r="221" spans="2:7">
      <c r="B221" s="462">
        <v>219</v>
      </c>
      <c r="C221" s="93">
        <v>95</v>
      </c>
      <c r="F221" s="98">
        <v>0.95699999999999996</v>
      </c>
      <c r="G221" s="98">
        <v>0.25</v>
      </c>
    </row>
    <row r="222" spans="2:7">
      <c r="B222" s="463">
        <v>220</v>
      </c>
      <c r="C222" s="93">
        <v>95</v>
      </c>
      <c r="F222" s="98">
        <v>0.95699999999999996</v>
      </c>
      <c r="G222" s="98">
        <v>0.25</v>
      </c>
    </row>
  </sheetData>
  <autoFilter ref="A2:G2" xr:uid="{3DBCE0C1-26BC-4165-AC37-58BD448E550E}"/>
  <pageMargins left="0.7" right="0.7" top="0.75" bottom="0.75" header="0.3" footer="0.3"/>
  <pageSetup paperSize="9" orientation="portrait" horizontalDpi="0" verticalDpi="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8AA63-044B-E346-A839-27C21B616E6D}">
  <dimension ref="A1:C6"/>
  <sheetViews>
    <sheetView workbookViewId="0">
      <selection sqref="A1:C6"/>
    </sheetView>
  </sheetViews>
  <sheetFormatPr baseColWidth="10" defaultRowHeight="16"/>
  <sheetData>
    <row r="1" spans="1:3">
      <c r="A1" s="12" t="s">
        <v>2574</v>
      </c>
      <c r="B1" s="12" t="s">
        <v>2575</v>
      </c>
      <c r="C1" s="12" t="s">
        <v>2576</v>
      </c>
    </row>
    <row r="2" spans="1:3">
      <c r="A2" s="10">
        <v>100</v>
      </c>
      <c r="B2" s="10">
        <v>6806</v>
      </c>
      <c r="C2">
        <f>B2/1000</f>
        <v>6.806</v>
      </c>
    </row>
    <row r="3" spans="1:3">
      <c r="A3" s="10">
        <v>120</v>
      </c>
      <c r="B3" s="10">
        <v>7353</v>
      </c>
      <c r="C3">
        <f>B3/1000</f>
        <v>7.3529999999999998</v>
      </c>
    </row>
    <row r="4" spans="1:3">
      <c r="A4" s="10">
        <v>150</v>
      </c>
      <c r="B4" s="10">
        <v>9200</v>
      </c>
      <c r="C4">
        <f>B4/1000</f>
        <v>9.1999999999999993</v>
      </c>
    </row>
    <row r="5" spans="1:3">
      <c r="A5" s="10">
        <v>180</v>
      </c>
      <c r="B5" s="10">
        <v>10247</v>
      </c>
      <c r="C5">
        <f>B5/1000</f>
        <v>10.247</v>
      </c>
    </row>
    <row r="6" spans="1:3">
      <c r="A6" s="10">
        <v>200</v>
      </c>
      <c r="B6" s="10">
        <v>11259</v>
      </c>
      <c r="C6">
        <f>B6/1000</f>
        <v>11.259</v>
      </c>
    </row>
  </sheetData>
  <pageMargins left="0.7" right="0.7" top="0.75" bottom="0.75" header="0.3" footer="0.3"/>
  <pageSetup paperSize="9" orientation="portrait" horizontalDpi="0" verticalDpi="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8A363-8C1B-B24F-B78E-A35E9579BE7B}">
  <dimension ref="C4:O39"/>
  <sheetViews>
    <sheetView workbookViewId="0">
      <selection activeCell="H14" sqref="H14"/>
    </sheetView>
  </sheetViews>
  <sheetFormatPr baseColWidth="10" defaultRowHeight="16"/>
  <sheetData>
    <row r="4" spans="3:9">
      <c r="C4" s="289" t="s">
        <v>2583</v>
      </c>
      <c r="D4" s="182" t="s">
        <v>1904</v>
      </c>
      <c r="E4" s="83" t="s">
        <v>1905</v>
      </c>
      <c r="F4" s="83" t="s">
        <v>1961</v>
      </c>
      <c r="G4" s="83" t="s">
        <v>1845</v>
      </c>
      <c r="H4" s="83" t="s">
        <v>1906</v>
      </c>
      <c r="I4" s="83" t="s">
        <v>1962</v>
      </c>
    </row>
    <row r="5" spans="3:9">
      <c r="C5" s="10"/>
      <c r="D5" s="182"/>
      <c r="E5" s="184">
        <v>1.7500000000000011</v>
      </c>
      <c r="F5" s="83">
        <v>7</v>
      </c>
      <c r="G5" s="218">
        <v>8.6206896551724137E-3</v>
      </c>
      <c r="H5" s="83">
        <v>7</v>
      </c>
      <c r="I5" s="182">
        <v>8.6206896551724137E-3</v>
      </c>
    </row>
    <row r="6" spans="3:9">
      <c r="C6" s="10"/>
      <c r="D6" s="182">
        <v>1.650000000000001</v>
      </c>
      <c r="E6" s="184">
        <v>1.7000000000000011</v>
      </c>
      <c r="F6" s="51">
        <v>6</v>
      </c>
      <c r="G6" s="218">
        <v>7.3891625615763543E-3</v>
      </c>
      <c r="H6" s="168">
        <v>13</v>
      </c>
      <c r="I6" s="182">
        <v>1.600985221674877E-2</v>
      </c>
    </row>
    <row r="7" spans="3:9">
      <c r="C7" s="10"/>
      <c r="D7" s="182">
        <v>1.600000000000001</v>
      </c>
      <c r="E7" s="184">
        <v>1.650000000000001</v>
      </c>
      <c r="F7" s="83">
        <v>5</v>
      </c>
      <c r="G7" s="218">
        <v>6.1576354679802959E-3</v>
      </c>
      <c r="H7" s="168">
        <v>18</v>
      </c>
      <c r="I7" s="182">
        <v>2.2167487684729065E-2</v>
      </c>
    </row>
    <row r="8" spans="3:9">
      <c r="C8" s="10"/>
      <c r="D8" s="182">
        <v>1.5500000000000009</v>
      </c>
      <c r="E8" s="184">
        <v>1.600000000000001</v>
      </c>
      <c r="F8" s="83">
        <v>3</v>
      </c>
      <c r="G8" s="218">
        <v>3.6945812807881772E-3</v>
      </c>
      <c r="H8" s="168">
        <v>21</v>
      </c>
      <c r="I8" s="182">
        <v>2.5862068965517241E-2</v>
      </c>
    </row>
    <row r="9" spans="3:9">
      <c r="C9" s="10"/>
      <c r="D9" s="182">
        <v>1.5000000000000009</v>
      </c>
      <c r="E9" s="184">
        <v>1.5500000000000009</v>
      </c>
      <c r="F9" s="83">
        <v>8</v>
      </c>
      <c r="G9" s="218">
        <v>9.852216748768473E-3</v>
      </c>
      <c r="H9" s="168">
        <v>29</v>
      </c>
      <c r="I9" s="182">
        <v>3.5714285714285712E-2</v>
      </c>
    </row>
    <row r="10" spans="3:9">
      <c r="C10" s="10"/>
      <c r="D10" s="182">
        <v>1.4500000000000008</v>
      </c>
      <c r="E10" s="184">
        <v>1.5000000000000009</v>
      </c>
      <c r="F10" s="83">
        <v>4</v>
      </c>
      <c r="G10" s="218">
        <v>4.9261083743842365E-3</v>
      </c>
      <c r="H10" s="168">
        <v>33</v>
      </c>
      <c r="I10" s="182">
        <v>4.064039408866995E-2</v>
      </c>
    </row>
    <row r="11" spans="3:9">
      <c r="C11" s="10"/>
      <c r="D11" s="182">
        <v>1.4000000000000008</v>
      </c>
      <c r="E11" s="184">
        <v>1.4500000000000008</v>
      </c>
      <c r="F11" s="83">
        <v>6</v>
      </c>
      <c r="G11" s="218">
        <v>7.3891625615763543E-3</v>
      </c>
      <c r="H11" s="168">
        <v>39</v>
      </c>
      <c r="I11" s="182">
        <v>4.8029556650246302E-2</v>
      </c>
    </row>
    <row r="12" spans="3:9">
      <c r="C12" s="10"/>
      <c r="D12" s="182">
        <v>1.3500000000000008</v>
      </c>
      <c r="E12" s="184">
        <v>1.4000000000000008</v>
      </c>
      <c r="F12" s="285">
        <v>13</v>
      </c>
      <c r="G12" s="218">
        <v>1.600985221674877E-2</v>
      </c>
      <c r="H12" s="168">
        <v>52</v>
      </c>
      <c r="I12" s="182">
        <v>6.4039408866995079E-2</v>
      </c>
    </row>
    <row r="13" spans="3:9">
      <c r="C13" s="10"/>
      <c r="D13" s="182">
        <v>1.3000000000000007</v>
      </c>
      <c r="E13" s="184">
        <v>1.3500000000000008</v>
      </c>
      <c r="F13" s="285">
        <v>10</v>
      </c>
      <c r="G13" s="218">
        <v>1.2315270935960592E-2</v>
      </c>
      <c r="H13" s="168">
        <v>62</v>
      </c>
      <c r="I13" s="182">
        <v>7.6354679802955669E-2</v>
      </c>
    </row>
    <row r="14" spans="3:9">
      <c r="C14" s="10"/>
      <c r="D14" s="182">
        <v>1.2500000000000007</v>
      </c>
      <c r="E14" s="184">
        <v>1.3000000000000007</v>
      </c>
      <c r="F14" s="285">
        <v>16</v>
      </c>
      <c r="G14" s="218">
        <v>1.9704433497536946E-2</v>
      </c>
      <c r="H14" s="168">
        <v>78</v>
      </c>
      <c r="I14" s="182">
        <v>9.6059113300492605E-2</v>
      </c>
    </row>
    <row r="15" spans="3:9">
      <c r="C15" s="10"/>
      <c r="D15" s="182">
        <v>1.2000000000000006</v>
      </c>
      <c r="E15" s="184">
        <v>1.2500000000000007</v>
      </c>
      <c r="F15" s="285">
        <v>14</v>
      </c>
      <c r="G15" s="218">
        <v>1.7241379310344827E-2</v>
      </c>
      <c r="H15" s="168">
        <v>92</v>
      </c>
      <c r="I15" s="182">
        <v>0.11330049261083744</v>
      </c>
    </row>
    <row r="16" spans="3:9">
      <c r="C16" s="10"/>
      <c r="D16" s="182">
        <v>1.1500000000000006</v>
      </c>
      <c r="E16" s="184">
        <v>1.2000000000000006</v>
      </c>
      <c r="F16" s="285">
        <v>17</v>
      </c>
      <c r="G16" s="218">
        <v>2.0935960591133004E-2</v>
      </c>
      <c r="H16" s="168">
        <v>109</v>
      </c>
      <c r="I16" s="182">
        <v>0.13423645320197045</v>
      </c>
    </row>
    <row r="17" spans="3:9">
      <c r="C17" s="10"/>
      <c r="D17" s="182">
        <v>1.1000000000000005</v>
      </c>
      <c r="E17" s="184">
        <v>1.1500000000000006</v>
      </c>
      <c r="F17" s="285">
        <v>22</v>
      </c>
      <c r="G17" s="218">
        <v>2.7093596059113302E-2</v>
      </c>
      <c r="H17" s="168">
        <v>131</v>
      </c>
      <c r="I17" s="182">
        <v>0.16133004926108374</v>
      </c>
    </row>
    <row r="18" spans="3:9">
      <c r="C18" s="10"/>
      <c r="D18" s="182">
        <v>1.0500000000000005</v>
      </c>
      <c r="E18" s="184">
        <v>1.1000000000000005</v>
      </c>
      <c r="F18" s="285">
        <v>24</v>
      </c>
      <c r="G18" s="218">
        <v>2.9556650246305417E-2</v>
      </c>
      <c r="H18" s="168">
        <v>155</v>
      </c>
      <c r="I18" s="182">
        <v>0.19088669950738915</v>
      </c>
    </row>
    <row r="19" spans="3:9">
      <c r="C19" s="10"/>
      <c r="D19" s="182">
        <v>1.0000000000000004</v>
      </c>
      <c r="E19" s="184">
        <v>1.0500000000000005</v>
      </c>
      <c r="F19" s="285">
        <v>35</v>
      </c>
      <c r="G19" s="218">
        <v>4.3103448275862072E-2</v>
      </c>
      <c r="H19" s="168">
        <v>190</v>
      </c>
      <c r="I19" s="182">
        <v>0.23399014778325122</v>
      </c>
    </row>
    <row r="20" spans="3:9">
      <c r="C20" s="10">
        <v>10</v>
      </c>
      <c r="D20" s="182">
        <v>0.9500000000000004</v>
      </c>
      <c r="E20" s="184">
        <v>1.0000000000000004</v>
      </c>
      <c r="F20" s="285">
        <v>31</v>
      </c>
      <c r="G20" s="218">
        <v>3.8177339901477834E-2</v>
      </c>
      <c r="H20" s="168">
        <v>221</v>
      </c>
      <c r="I20" s="182">
        <v>0.27216748768472904</v>
      </c>
    </row>
    <row r="21" spans="3:9">
      <c r="C21" s="10"/>
      <c r="D21" s="182">
        <v>0.90000000000000036</v>
      </c>
      <c r="E21" s="184">
        <v>0.9500000000000004</v>
      </c>
      <c r="F21" s="285">
        <v>25</v>
      </c>
      <c r="G21" s="218">
        <v>3.0788177339901478E-2</v>
      </c>
      <c r="H21" s="168">
        <v>246</v>
      </c>
      <c r="I21" s="182">
        <v>0.30295566502463056</v>
      </c>
    </row>
    <row r="22" spans="3:9">
      <c r="C22" s="10"/>
      <c r="D22" s="182">
        <v>0.85000000000000031</v>
      </c>
      <c r="E22" s="184">
        <v>0.90000000000000036</v>
      </c>
      <c r="F22" s="285">
        <v>26</v>
      </c>
      <c r="G22" s="218">
        <v>3.2019704433497539E-2</v>
      </c>
      <c r="H22" s="168">
        <v>272</v>
      </c>
      <c r="I22" s="182">
        <v>0.33497536945812806</v>
      </c>
    </row>
    <row r="23" spans="3:9">
      <c r="C23" s="10"/>
      <c r="D23" s="182">
        <v>0.80000000000000027</v>
      </c>
      <c r="E23" s="184">
        <v>0.85000000000000031</v>
      </c>
      <c r="F23" s="285">
        <v>24</v>
      </c>
      <c r="G23" s="218">
        <v>2.9556650246305417E-2</v>
      </c>
      <c r="H23" s="168">
        <v>296</v>
      </c>
      <c r="I23" s="182">
        <v>0.3645320197044335</v>
      </c>
    </row>
    <row r="24" spans="3:9">
      <c r="C24" s="10"/>
      <c r="D24" s="182">
        <v>0.75000000000000022</v>
      </c>
      <c r="E24" s="184">
        <v>0.80000000000000027</v>
      </c>
      <c r="F24" s="285">
        <v>36</v>
      </c>
      <c r="G24" s="218">
        <v>4.4334975369458129E-2</v>
      </c>
      <c r="H24" s="168">
        <v>332</v>
      </c>
      <c r="I24" s="182">
        <v>0.40886699507389163</v>
      </c>
    </row>
    <row r="25" spans="3:9">
      <c r="C25" s="10">
        <v>5</v>
      </c>
      <c r="D25" s="182">
        <v>0.70000000000000018</v>
      </c>
      <c r="E25" s="184">
        <v>0.75000000000000022</v>
      </c>
      <c r="F25" s="285">
        <v>49</v>
      </c>
      <c r="G25" s="218">
        <v>6.0344827586206899E-2</v>
      </c>
      <c r="H25" s="168">
        <v>381</v>
      </c>
      <c r="I25" s="182">
        <v>0.46921182266009853</v>
      </c>
    </row>
    <row r="26" spans="3:9">
      <c r="C26" s="10"/>
      <c r="D26" s="182">
        <v>0.65000000000000013</v>
      </c>
      <c r="E26" s="184">
        <v>0.70000000000000018</v>
      </c>
      <c r="F26" s="285">
        <v>48</v>
      </c>
      <c r="G26" s="218">
        <v>5.9113300492610835E-2</v>
      </c>
      <c r="H26" s="168">
        <v>429</v>
      </c>
      <c r="I26" s="182">
        <v>0.52832512315270941</v>
      </c>
    </row>
    <row r="27" spans="3:9">
      <c r="C27" s="10"/>
      <c r="D27" s="182">
        <v>0.60000000000000009</v>
      </c>
      <c r="E27" s="184">
        <v>0.65000000000000013</v>
      </c>
      <c r="F27" s="285">
        <v>42</v>
      </c>
      <c r="G27" s="218">
        <v>5.1724137931034482E-2</v>
      </c>
      <c r="H27" s="168">
        <v>471</v>
      </c>
      <c r="I27" s="182">
        <v>0.58004926108374388</v>
      </c>
    </row>
    <row r="28" spans="3:9">
      <c r="C28" s="10"/>
      <c r="D28" s="182">
        <v>0.55000000000000004</v>
      </c>
      <c r="E28" s="184">
        <v>0.60000000000000009</v>
      </c>
      <c r="F28" s="285">
        <v>46</v>
      </c>
      <c r="G28" s="218">
        <v>5.6650246305418719E-2</v>
      </c>
      <c r="H28" s="168">
        <v>517</v>
      </c>
      <c r="I28" s="182">
        <v>0.63669950738916259</v>
      </c>
    </row>
    <row r="29" spans="3:9">
      <c r="C29" s="10">
        <v>0</v>
      </c>
      <c r="D29" s="182">
        <v>0.5</v>
      </c>
      <c r="E29" s="184">
        <v>0.55000000000000004</v>
      </c>
      <c r="F29" s="285">
        <v>47</v>
      </c>
      <c r="G29" s="218">
        <v>5.7881773399014777E-2</v>
      </c>
      <c r="H29" s="168">
        <v>564</v>
      </c>
      <c r="I29" s="182">
        <v>0.69458128078817738</v>
      </c>
    </row>
    <row r="30" spans="3:9">
      <c r="C30" s="10"/>
      <c r="D30" s="182">
        <v>0.45</v>
      </c>
      <c r="E30" s="182">
        <v>0.5</v>
      </c>
      <c r="F30" s="285">
        <v>48</v>
      </c>
      <c r="G30" s="218">
        <v>5.9113300492610835E-2</v>
      </c>
      <c r="H30" s="168">
        <v>612</v>
      </c>
      <c r="I30" s="182">
        <v>0.75369458128078815</v>
      </c>
    </row>
    <row r="31" spans="3:9">
      <c r="C31" s="10"/>
      <c r="D31" s="182">
        <v>0.4</v>
      </c>
      <c r="E31" s="182">
        <v>0.45</v>
      </c>
      <c r="F31" s="285">
        <v>31</v>
      </c>
      <c r="G31" s="218">
        <v>3.8177339901477834E-2</v>
      </c>
      <c r="H31" s="168">
        <v>643</v>
      </c>
      <c r="I31" s="182">
        <v>0.79187192118226601</v>
      </c>
    </row>
    <row r="32" spans="3:9">
      <c r="C32" s="10"/>
      <c r="D32" s="218">
        <v>0.35</v>
      </c>
      <c r="E32" s="218">
        <v>0.4</v>
      </c>
      <c r="F32" s="286">
        <v>42</v>
      </c>
      <c r="G32" s="218">
        <v>5.1724137931034482E-2</v>
      </c>
      <c r="H32" s="168">
        <v>685</v>
      </c>
      <c r="I32" s="182">
        <v>0.84359605911330049</v>
      </c>
    </row>
    <row r="33" spans="3:15">
      <c r="C33" s="10"/>
      <c r="D33" s="218">
        <v>0.3</v>
      </c>
      <c r="E33" s="218">
        <v>0.35</v>
      </c>
      <c r="F33" s="285">
        <v>30</v>
      </c>
      <c r="G33" s="218">
        <v>3.6945812807881777E-2</v>
      </c>
      <c r="H33" s="168">
        <v>715</v>
      </c>
      <c r="I33" s="182">
        <v>0.88054187192118227</v>
      </c>
    </row>
    <row r="34" spans="3:15">
      <c r="C34" s="10"/>
      <c r="D34" s="218">
        <v>0.25</v>
      </c>
      <c r="E34" s="218">
        <v>0.3</v>
      </c>
      <c r="F34" s="285">
        <v>23</v>
      </c>
      <c r="G34" s="218">
        <v>2.832512315270936E-2</v>
      </c>
      <c r="H34" s="168">
        <v>738</v>
      </c>
      <c r="I34" s="182">
        <v>0.90886699507389157</v>
      </c>
      <c r="O34" s="17"/>
    </row>
    <row r="35" spans="3:15">
      <c r="C35" s="10"/>
      <c r="D35" s="219">
        <v>0.2</v>
      </c>
      <c r="E35" s="219">
        <v>0.25</v>
      </c>
      <c r="F35" s="287">
        <v>29</v>
      </c>
      <c r="G35" s="218">
        <v>3.5714285714285712E-2</v>
      </c>
      <c r="H35" s="168">
        <v>767</v>
      </c>
      <c r="I35" s="182">
        <v>0.94458128078817738</v>
      </c>
    </row>
    <row r="36" spans="3:15">
      <c r="C36" s="10"/>
      <c r="D36" s="218">
        <v>0.15</v>
      </c>
      <c r="E36" s="218">
        <v>0.2</v>
      </c>
      <c r="F36" s="168">
        <v>0</v>
      </c>
      <c r="G36" s="218">
        <v>0</v>
      </c>
      <c r="H36" s="168">
        <v>767</v>
      </c>
      <c r="I36" s="182">
        <v>0.94458128078817738</v>
      </c>
    </row>
    <row r="37" spans="3:15">
      <c r="C37" s="10"/>
      <c r="D37" s="218">
        <v>9.9999999999999992E-2</v>
      </c>
      <c r="E37" s="220">
        <v>0.15</v>
      </c>
      <c r="F37" s="168">
        <v>4</v>
      </c>
      <c r="G37" s="218">
        <v>4.9261083743842365E-3</v>
      </c>
      <c r="H37" s="168">
        <v>771</v>
      </c>
      <c r="I37" s="182">
        <v>0.94950738916256161</v>
      </c>
    </row>
    <row r="38" spans="3:15">
      <c r="C38" s="10"/>
      <c r="D38" s="218">
        <v>4.9999999999999989E-2</v>
      </c>
      <c r="E38" s="220">
        <v>9.9999999999999992E-2</v>
      </c>
      <c r="F38" s="168">
        <v>0</v>
      </c>
      <c r="G38" s="218">
        <v>0</v>
      </c>
      <c r="H38" s="168">
        <v>771</v>
      </c>
      <c r="I38" s="182">
        <v>0.94950738916256161</v>
      </c>
    </row>
    <row r="39" spans="3:15">
      <c r="C39" s="10"/>
      <c r="D39" s="218">
        <v>0</v>
      </c>
      <c r="E39" s="220">
        <v>4.9999999999999989E-2</v>
      </c>
      <c r="F39" s="168">
        <v>0</v>
      </c>
      <c r="G39" s="218">
        <v>0</v>
      </c>
      <c r="H39" s="168">
        <v>771</v>
      </c>
      <c r="I39" s="182">
        <v>0.94950738916256161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2DBF1-0A32-7141-9E35-697EC92AFE41}">
  <dimension ref="A1:J47"/>
  <sheetViews>
    <sheetView zoomScale="110" zoomScaleNormal="110" workbookViewId="0">
      <selection activeCell="M32" sqref="M32"/>
    </sheetView>
  </sheetViews>
  <sheetFormatPr baseColWidth="10" defaultRowHeight="16"/>
  <cols>
    <col min="1" max="1" width="10.83203125" style="10"/>
    <col min="2" max="2" width="16" customWidth="1"/>
    <col min="5" max="5" width="10.83203125" style="10"/>
    <col min="7" max="7" width="12.6640625" customWidth="1"/>
  </cols>
  <sheetData>
    <row r="1" spans="1:10">
      <c r="A1" s="308" t="s">
        <v>1843</v>
      </c>
      <c r="B1" s="208">
        <f>COUNT(ผลประหยัด!H10:H846)</f>
        <v>837</v>
      </c>
    </row>
    <row r="3" spans="1:10" ht="24">
      <c r="B3" s="306" t="s">
        <v>1836</v>
      </c>
      <c r="C3" s="83" t="s">
        <v>1904</v>
      </c>
      <c r="D3" s="83" t="s">
        <v>1905</v>
      </c>
      <c r="E3" s="83" t="s">
        <v>1961</v>
      </c>
      <c r="F3" s="83" t="s">
        <v>1845</v>
      </c>
      <c r="G3" s="83" t="s">
        <v>1906</v>
      </c>
      <c r="H3" s="83" t="s">
        <v>1962</v>
      </c>
    </row>
    <row r="4" spans="1:10" hidden="1">
      <c r="C4" s="83"/>
      <c r="D4" s="83"/>
      <c r="E4" s="83"/>
      <c r="F4" s="83"/>
      <c r="G4" s="83"/>
      <c r="H4" s="83"/>
    </row>
    <row r="5" spans="1:10">
      <c r="A5" s="12" t="s">
        <v>1931</v>
      </c>
      <c r="B5" s="307">
        <v>40</v>
      </c>
      <c r="C5" s="182">
        <v>0.45</v>
      </c>
      <c r="D5" s="316">
        <v>0.5</v>
      </c>
      <c r="E5" s="285">
        <f>COUNTIF(ผลประหยัด!$H$10:$H$846,"&gt;=50%")</f>
        <v>0</v>
      </c>
      <c r="F5" s="218">
        <f t="shared" ref="F5:F10" si="0">E5/$B$1</f>
        <v>0</v>
      </c>
      <c r="G5" s="168">
        <f>G4+E5</f>
        <v>0</v>
      </c>
      <c r="H5" s="314">
        <f t="shared" ref="H5:H10" si="1">G5/$B$1</f>
        <v>0</v>
      </c>
    </row>
    <row r="6" spans="1:10">
      <c r="C6" s="182">
        <v>0.4</v>
      </c>
      <c r="D6" s="182">
        <v>0.45</v>
      </c>
      <c r="E6" s="285">
        <f>COUNTIFS(ผลประหยัด!$H$10:$H$846,"&gt;40%",ผลประหยัด!$H$10:$H$846,"&lt;=45%")</f>
        <v>2</v>
      </c>
      <c r="F6" s="218">
        <f t="shared" si="0"/>
        <v>2.3894862604540022E-3</v>
      </c>
      <c r="G6" s="168">
        <f t="shared" ref="G6:G11" si="2">G5+E6</f>
        <v>2</v>
      </c>
      <c r="H6" s="314">
        <f t="shared" si="1"/>
        <v>2.3894862604540022E-3</v>
      </c>
    </row>
    <row r="7" spans="1:10">
      <c r="C7" s="218">
        <v>0.35</v>
      </c>
      <c r="D7" s="218">
        <v>0.4</v>
      </c>
      <c r="E7" s="286">
        <f>COUNTIFS(ผลประหยัด!$H$10:$H$846,"&gt;35%",ผลประหยัด!$H$10:$H$846,"&lt;=40%")</f>
        <v>1</v>
      </c>
      <c r="F7" s="218">
        <f t="shared" si="0"/>
        <v>1.1947431302270011E-3</v>
      </c>
      <c r="G7" s="168">
        <f t="shared" si="2"/>
        <v>3</v>
      </c>
      <c r="H7" s="314">
        <f t="shared" si="1"/>
        <v>3.5842293906810036E-3</v>
      </c>
    </row>
    <row r="8" spans="1:10">
      <c r="C8" s="218">
        <v>0.3</v>
      </c>
      <c r="D8" s="218">
        <v>0.35</v>
      </c>
      <c r="E8" s="285">
        <f>COUNTIFS(ผลประหยัด!$H$10:$H$846,"&gt;30%",ผลประหยัด!$H$10:$H$846,"&lt;=35%")</f>
        <v>4</v>
      </c>
      <c r="F8" s="218">
        <f t="shared" si="0"/>
        <v>4.7789725209080045E-3</v>
      </c>
      <c r="G8" s="168">
        <f t="shared" si="2"/>
        <v>7</v>
      </c>
      <c r="H8" s="314">
        <f t="shared" si="1"/>
        <v>8.3632019115890081E-3</v>
      </c>
    </row>
    <row r="9" spans="1:10">
      <c r="C9" s="218">
        <v>0.25</v>
      </c>
      <c r="D9" s="218">
        <v>0.3</v>
      </c>
      <c r="E9" s="285">
        <f>COUNTIFS(ผลประหยัด!$H$10:$H$846,"&gt;25%",ผลประหยัด!$H$10:$H$846,"&lt;=30%")</f>
        <v>9</v>
      </c>
      <c r="F9" s="218">
        <f t="shared" si="0"/>
        <v>1.0752688172043012E-2</v>
      </c>
      <c r="G9" s="168">
        <f t="shared" si="2"/>
        <v>16</v>
      </c>
      <c r="H9" s="314">
        <f t="shared" si="1"/>
        <v>1.9115890083632018E-2</v>
      </c>
    </row>
    <row r="10" spans="1:10">
      <c r="C10" s="219">
        <v>0.2</v>
      </c>
      <c r="D10" s="219">
        <v>0.25</v>
      </c>
      <c r="E10" s="287">
        <f>COUNTIFS(ผลประหยัด!$H$10:$H$846,"&gt;20%",ผลประหยัด!$H$10:$H$846,"&lt;=25%")</f>
        <v>13</v>
      </c>
      <c r="F10" s="218">
        <f t="shared" si="0"/>
        <v>1.5531660692951015E-2</v>
      </c>
      <c r="G10" s="168">
        <f t="shared" si="2"/>
        <v>29</v>
      </c>
      <c r="H10" s="314">
        <f t="shared" si="1"/>
        <v>3.4647550776583033E-2</v>
      </c>
    </row>
    <row r="11" spans="1:10">
      <c r="C11" s="218">
        <v>0.15</v>
      </c>
      <c r="D11" s="218">
        <v>0.2</v>
      </c>
      <c r="E11" s="287">
        <f>COUNTIFS(ผลประหยัด!$H$10:$H$846,"&gt;15%",ผลประหยัด!$H$10:$H$846,"&lt;=20%")</f>
        <v>23</v>
      </c>
      <c r="F11" s="218">
        <f>E11/$B$1</f>
        <v>2.7479091995221028E-2</v>
      </c>
      <c r="G11" s="168">
        <f t="shared" si="2"/>
        <v>52</v>
      </c>
      <c r="H11" s="314">
        <f t="shared" ref="H11:H38" si="3">G11/$B$1</f>
        <v>6.2126642771804061E-2</v>
      </c>
      <c r="J11" s="17"/>
    </row>
    <row r="12" spans="1:10">
      <c r="C12" s="220">
        <f t="shared" ref="C12:C46" si="4">D12-5%</f>
        <v>9.9999999999999992E-2</v>
      </c>
      <c r="D12" s="220">
        <v>0.15</v>
      </c>
      <c r="E12" s="287">
        <f>COUNTIFS(ผลประหยัด!$H$10:$H$846,"&gt;10%",ผลประหยัด!$H$10:$H$846,"&lt;=15%")</f>
        <v>30</v>
      </c>
      <c r="F12" s="218">
        <f t="shared" ref="F12:F47" si="5">E12/$B$1</f>
        <v>3.5842293906810034E-2</v>
      </c>
      <c r="G12" s="168">
        <f t="shared" ref="G12:G38" si="6">G11+E12</f>
        <v>82</v>
      </c>
      <c r="H12" s="314">
        <f t="shared" si="3"/>
        <v>9.7968936678614102E-2</v>
      </c>
      <c r="J12" s="17"/>
    </row>
    <row r="13" spans="1:10">
      <c r="C13" s="220">
        <f>D13-5%</f>
        <v>4.9999999999999989E-2</v>
      </c>
      <c r="D13" s="220">
        <f>D12-5%</f>
        <v>9.9999999999999992E-2</v>
      </c>
      <c r="E13" s="287">
        <f>COUNTIFS(ผลประหยัด!$H$10:$H$846,"&gt;5%",ผลประหยัด!$H$10:$H$846,"&lt;=10%")</f>
        <v>30</v>
      </c>
      <c r="F13" s="218">
        <f t="shared" si="5"/>
        <v>3.5842293906810034E-2</v>
      </c>
      <c r="G13" s="168">
        <f t="shared" si="6"/>
        <v>112</v>
      </c>
      <c r="H13" s="314">
        <f t="shared" si="3"/>
        <v>0.13381123058542413</v>
      </c>
    </row>
    <row r="14" spans="1:10">
      <c r="C14" s="220">
        <f>D14-5%</f>
        <v>0</v>
      </c>
      <c r="D14" s="220">
        <f t="shared" ref="D14:D46" si="7">D13-5%</f>
        <v>4.9999999999999989E-2</v>
      </c>
      <c r="E14" s="287">
        <f>COUNTIFS(ผลประหยัด!$H$10:$H$846,"&gt;0%",ผลประหยัด!$H$10:$H$846,"&lt;=5%")</f>
        <v>33</v>
      </c>
      <c r="F14" s="218">
        <f t="shared" si="5"/>
        <v>3.9426523297491037E-2</v>
      </c>
      <c r="G14" s="168">
        <f t="shared" si="6"/>
        <v>145</v>
      </c>
      <c r="H14" s="314">
        <f t="shared" si="3"/>
        <v>0.17323775388291518</v>
      </c>
    </row>
    <row r="15" spans="1:10">
      <c r="C15" s="220">
        <f t="shared" si="4"/>
        <v>-0.05</v>
      </c>
      <c r="D15" s="220">
        <f t="shared" si="7"/>
        <v>0</v>
      </c>
      <c r="E15" s="287">
        <f>COUNTIFS(ผลประหยัด!$H$10:$H$846,"&gt;-5%",ผลประหยัด!$H$10:$H$846,"&lt;=0%")</f>
        <v>56</v>
      </c>
      <c r="F15" s="218">
        <f t="shared" si="5"/>
        <v>6.6905615292712065E-2</v>
      </c>
      <c r="G15" s="168">
        <f t="shared" si="6"/>
        <v>201</v>
      </c>
      <c r="H15" s="314">
        <f t="shared" si="3"/>
        <v>0.24014336917562723</v>
      </c>
    </row>
    <row r="16" spans="1:10">
      <c r="C16" s="220">
        <f t="shared" si="4"/>
        <v>-0.1</v>
      </c>
      <c r="D16" s="220">
        <f t="shared" si="7"/>
        <v>-0.05</v>
      </c>
      <c r="E16" s="287">
        <f>COUNTIFS(ผลประหยัด!$H$10:$H$846,"&gt;-10%",ผลประหยัด!$H$10:$H$846,"&lt;=-5%")</f>
        <v>40</v>
      </c>
      <c r="F16" s="218">
        <f t="shared" si="5"/>
        <v>4.778972520908005E-2</v>
      </c>
      <c r="G16" s="168">
        <f t="shared" si="6"/>
        <v>241</v>
      </c>
      <c r="H16" s="314">
        <f t="shared" si="3"/>
        <v>0.28793309438470727</v>
      </c>
    </row>
    <row r="17" spans="1:8">
      <c r="C17" s="220">
        <f t="shared" si="4"/>
        <v>-0.15000000000000002</v>
      </c>
      <c r="D17" s="220">
        <f t="shared" si="7"/>
        <v>-0.1</v>
      </c>
      <c r="E17" s="287">
        <f>COUNTIFS(ผลประหยัด!$H$10:$H$846,"&gt;-15%",ผลประหยัด!$H$10:$H$846,"&lt;=-10%")</f>
        <v>42</v>
      </c>
      <c r="F17" s="218">
        <f t="shared" si="5"/>
        <v>5.0179211469534052E-2</v>
      </c>
      <c r="G17" s="168">
        <f t="shared" si="6"/>
        <v>283</v>
      </c>
      <c r="H17" s="314">
        <f t="shared" si="3"/>
        <v>0.33811230585424135</v>
      </c>
    </row>
    <row r="18" spans="1:8">
      <c r="C18" s="220">
        <f t="shared" si="4"/>
        <v>-0.2</v>
      </c>
      <c r="D18" s="220">
        <f t="shared" si="7"/>
        <v>-0.15000000000000002</v>
      </c>
      <c r="E18" s="287">
        <f>COUNTIFS(ผลประหยัด!$H$10:$H$846,"&gt;-20%",ผลประหยัด!$H$10:$H$846,"&lt;=-15%")</f>
        <v>38</v>
      </c>
      <c r="F18" s="218">
        <f t="shared" si="5"/>
        <v>4.5400238948626048E-2</v>
      </c>
      <c r="G18" s="168">
        <f t="shared" si="6"/>
        <v>321</v>
      </c>
      <c r="H18" s="314">
        <f t="shared" si="3"/>
        <v>0.38351254480286739</v>
      </c>
    </row>
    <row r="19" spans="1:8">
      <c r="A19" s="12" t="s">
        <v>1931</v>
      </c>
      <c r="B19" s="307">
        <v>0</v>
      </c>
      <c r="C19" s="220">
        <f t="shared" si="4"/>
        <v>-0.25</v>
      </c>
      <c r="D19" s="220">
        <f t="shared" si="7"/>
        <v>-0.2</v>
      </c>
      <c r="E19" s="287">
        <f>COUNTIFS(ผลประหยัด!$H$10:$H$846,"&gt;-25%",ผลประหยัด!$H$10:$H$846,"&lt;=-20%")</f>
        <v>42</v>
      </c>
      <c r="F19" s="218">
        <f t="shared" si="5"/>
        <v>5.0179211469534052E-2</v>
      </c>
      <c r="G19" s="168">
        <f t="shared" si="6"/>
        <v>363</v>
      </c>
      <c r="H19" s="314">
        <f t="shared" si="3"/>
        <v>0.43369175627240142</v>
      </c>
    </row>
    <row r="20" spans="1:8">
      <c r="C20" s="220">
        <f t="shared" si="4"/>
        <v>-0.3</v>
      </c>
      <c r="D20" s="220">
        <f t="shared" si="7"/>
        <v>-0.25</v>
      </c>
      <c r="E20" s="287">
        <f>COUNTIFS(ผลประหยัด!$H$10:$H$846,"&gt;-30%",ผลประหยัด!$H$10:$H$846,"&lt;=-25%")</f>
        <v>40</v>
      </c>
      <c r="F20" s="218">
        <f t="shared" si="5"/>
        <v>4.778972520908005E-2</v>
      </c>
      <c r="G20" s="168">
        <f t="shared" si="6"/>
        <v>403</v>
      </c>
      <c r="H20" s="314">
        <f t="shared" si="3"/>
        <v>0.48148148148148145</v>
      </c>
    </row>
    <row r="21" spans="1:8">
      <c r="C21" s="220">
        <f t="shared" si="4"/>
        <v>-0.35</v>
      </c>
      <c r="D21" s="220">
        <f t="shared" si="7"/>
        <v>-0.3</v>
      </c>
      <c r="E21" s="287">
        <f>COUNTIFS(ผลประหยัด!$H$10:$H$846,"&gt;-35%",ผลประหยัด!$H$10:$H$846,"&lt;=-30%")</f>
        <v>31</v>
      </c>
      <c r="F21" s="218">
        <f t="shared" si="5"/>
        <v>3.7037037037037035E-2</v>
      </c>
      <c r="G21" s="168">
        <f t="shared" si="6"/>
        <v>434</v>
      </c>
      <c r="H21" s="314">
        <f t="shared" si="3"/>
        <v>0.51851851851851849</v>
      </c>
    </row>
    <row r="22" spans="1:8">
      <c r="C22" s="220">
        <f t="shared" si="4"/>
        <v>-0.39999999999999997</v>
      </c>
      <c r="D22" s="220">
        <f t="shared" si="7"/>
        <v>-0.35</v>
      </c>
      <c r="E22" s="287">
        <f>COUNTIFS(ผลประหยัด!$H$10:$H$846,"&gt;-40%",ผลประหยัด!$H$10:$H$846,"&lt;=-35%")</f>
        <v>35</v>
      </c>
      <c r="F22" s="218">
        <f t="shared" si="5"/>
        <v>4.1816009557945039E-2</v>
      </c>
      <c r="G22" s="168">
        <f t="shared" si="6"/>
        <v>469</v>
      </c>
      <c r="H22" s="314">
        <f t="shared" si="3"/>
        <v>0.56033452807646356</v>
      </c>
    </row>
    <row r="23" spans="1:8">
      <c r="C23" s="220">
        <f t="shared" si="4"/>
        <v>-0.44999999999999996</v>
      </c>
      <c r="D23" s="220">
        <f t="shared" si="7"/>
        <v>-0.39999999999999997</v>
      </c>
      <c r="E23" s="287">
        <f>COUNTIFS(ผลประหยัด!$H$10:$H$846,"&gt;-45%",ผลประหยัด!$H$10:$H$846,"&lt;=-40%")</f>
        <v>35</v>
      </c>
      <c r="F23" s="218">
        <f t="shared" si="5"/>
        <v>4.1816009557945039E-2</v>
      </c>
      <c r="G23" s="168">
        <f t="shared" si="6"/>
        <v>504</v>
      </c>
      <c r="H23" s="314">
        <f t="shared" si="3"/>
        <v>0.60215053763440862</v>
      </c>
    </row>
    <row r="24" spans="1:8">
      <c r="C24" s="220">
        <f t="shared" si="4"/>
        <v>-0.49999999999999994</v>
      </c>
      <c r="D24" s="220">
        <f t="shared" si="7"/>
        <v>-0.44999999999999996</v>
      </c>
      <c r="E24" s="287">
        <f>COUNTIFS(ผลประหยัด!$H$10:$H$846,"&gt;-50%",ผลประหยัด!$H$10:$H$846,"&lt;=-45%")</f>
        <v>31</v>
      </c>
      <c r="F24" s="218">
        <f t="shared" si="5"/>
        <v>3.7037037037037035E-2</v>
      </c>
      <c r="G24" s="168">
        <f t="shared" si="6"/>
        <v>535</v>
      </c>
      <c r="H24" s="314">
        <f t="shared" si="3"/>
        <v>0.6391875746714456</v>
      </c>
    </row>
    <row r="25" spans="1:8">
      <c r="C25" s="220">
        <f t="shared" si="4"/>
        <v>-0.54999999999999993</v>
      </c>
      <c r="D25" s="220">
        <f t="shared" si="7"/>
        <v>-0.49999999999999994</v>
      </c>
      <c r="E25" s="287">
        <f>COUNTIFS(ผลประหยัด!$H$10:$H$846,"&gt;-55%",ผลประหยัด!$H$10:$H$846,"&lt;=-50%")</f>
        <v>21</v>
      </c>
      <c r="F25" s="218">
        <f t="shared" si="5"/>
        <v>2.5089605734767026E-2</v>
      </c>
      <c r="G25" s="168">
        <f t="shared" si="6"/>
        <v>556</v>
      </c>
      <c r="H25" s="314">
        <f t="shared" si="3"/>
        <v>0.66427718040621264</v>
      </c>
    </row>
    <row r="26" spans="1:8">
      <c r="C26" s="220">
        <f t="shared" si="4"/>
        <v>-0.6</v>
      </c>
      <c r="D26" s="220">
        <f t="shared" si="7"/>
        <v>-0.54999999999999993</v>
      </c>
      <c r="E26" s="287">
        <f>COUNTIFS(ผลประหยัด!$H$10:$H$846,"&gt;-60%",ผลประหยัด!$H$10:$H$846,"&lt;=-55%")</f>
        <v>16</v>
      </c>
      <c r="F26" s="218">
        <f t="shared" si="5"/>
        <v>1.9115890083632018E-2</v>
      </c>
      <c r="G26" s="168">
        <f t="shared" si="6"/>
        <v>572</v>
      </c>
      <c r="H26" s="314">
        <f t="shared" si="3"/>
        <v>0.68339307048984466</v>
      </c>
    </row>
    <row r="27" spans="1:8">
      <c r="C27" s="220">
        <f t="shared" si="4"/>
        <v>-0.65</v>
      </c>
      <c r="D27" s="220">
        <f t="shared" si="7"/>
        <v>-0.6</v>
      </c>
      <c r="E27" s="287">
        <f>COUNTIFS(ผลประหยัด!$H$10:$H$846,"&gt;-65%",ผลประหยัด!$H$10:$H$846,"&lt;=-60%")</f>
        <v>22</v>
      </c>
      <c r="F27" s="218">
        <f t="shared" si="5"/>
        <v>2.6284348864994027E-2</v>
      </c>
      <c r="G27" s="168">
        <f t="shared" si="6"/>
        <v>594</v>
      </c>
      <c r="H27" s="314">
        <f t="shared" si="3"/>
        <v>0.70967741935483875</v>
      </c>
    </row>
    <row r="28" spans="1:8">
      <c r="C28" s="220">
        <f t="shared" si="4"/>
        <v>-0.70000000000000007</v>
      </c>
      <c r="D28" s="220">
        <f t="shared" si="7"/>
        <v>-0.65</v>
      </c>
      <c r="E28" s="287">
        <f>COUNTIFS(ผลประหยัด!$H$10:$H$846,"&gt;-70%",ผลประหยัด!$H$10:$H$846,"&lt;=-65%")</f>
        <v>21</v>
      </c>
      <c r="F28" s="218">
        <f t="shared" si="5"/>
        <v>2.5089605734767026E-2</v>
      </c>
      <c r="G28" s="168">
        <f t="shared" si="6"/>
        <v>615</v>
      </c>
      <c r="H28" s="314">
        <f t="shared" si="3"/>
        <v>0.73476702508960579</v>
      </c>
    </row>
    <row r="29" spans="1:8">
      <c r="C29" s="220">
        <f t="shared" si="4"/>
        <v>-0.75000000000000011</v>
      </c>
      <c r="D29" s="220">
        <f t="shared" si="7"/>
        <v>-0.70000000000000007</v>
      </c>
      <c r="E29" s="287">
        <f>COUNTIFS(ผลประหยัด!$H$10:$H$846,"&gt;-75%",ผลประหยัด!$H$10:$H$846,"&lt;=-70%")</f>
        <v>10</v>
      </c>
      <c r="F29" s="218">
        <f t="shared" si="5"/>
        <v>1.1947431302270013E-2</v>
      </c>
      <c r="G29" s="168">
        <f t="shared" si="6"/>
        <v>625</v>
      </c>
      <c r="H29" s="314">
        <f t="shared" si="3"/>
        <v>0.74671445639187572</v>
      </c>
    </row>
    <row r="30" spans="1:8">
      <c r="C30" s="220">
        <f t="shared" si="4"/>
        <v>-0.80000000000000016</v>
      </c>
      <c r="D30" s="220">
        <f t="shared" si="7"/>
        <v>-0.75000000000000011</v>
      </c>
      <c r="E30" s="287">
        <f>COUNTIFS(ผลประหยัด!$H$10:$H$846,"&gt;-80%",ผลประหยัด!$H$10:$H$846,"&lt;=-75%")</f>
        <v>20</v>
      </c>
      <c r="F30" s="218">
        <f t="shared" si="5"/>
        <v>2.3894862604540025E-2</v>
      </c>
      <c r="G30" s="168">
        <f t="shared" si="6"/>
        <v>645</v>
      </c>
      <c r="H30" s="314">
        <f t="shared" si="3"/>
        <v>0.77060931899641572</v>
      </c>
    </row>
    <row r="31" spans="1:8">
      <c r="C31" s="220">
        <f t="shared" si="4"/>
        <v>-0.8500000000000002</v>
      </c>
      <c r="D31" s="220">
        <f t="shared" si="7"/>
        <v>-0.80000000000000016</v>
      </c>
      <c r="E31" s="287">
        <f>COUNTIFS(ผลประหยัด!$H$10:$H$846,"&gt;-85%",ผลประหยัด!$H$10:$H$846,"&lt;=-80%")</f>
        <v>17</v>
      </c>
      <c r="F31" s="218">
        <f t="shared" si="5"/>
        <v>2.0310633213859019E-2</v>
      </c>
      <c r="G31" s="168">
        <f t="shared" si="6"/>
        <v>662</v>
      </c>
      <c r="H31" s="314">
        <f t="shared" si="3"/>
        <v>0.79091995221027478</v>
      </c>
    </row>
    <row r="32" spans="1:8">
      <c r="C32" s="220">
        <f t="shared" si="4"/>
        <v>-0.90000000000000024</v>
      </c>
      <c r="D32" s="220">
        <f t="shared" si="7"/>
        <v>-0.8500000000000002</v>
      </c>
      <c r="E32" s="287">
        <f>COUNTIFS(ผลประหยัด!$H$10:$H$846,"&gt;-90%",ผลประหยัด!$H$10:$H$846,"&lt;=-85%")</f>
        <v>11</v>
      </c>
      <c r="F32" s="218">
        <f t="shared" si="5"/>
        <v>1.3142174432497013E-2</v>
      </c>
      <c r="G32" s="168">
        <f t="shared" si="6"/>
        <v>673</v>
      </c>
      <c r="H32" s="314">
        <f t="shared" si="3"/>
        <v>0.80406212664277177</v>
      </c>
    </row>
    <row r="33" spans="1:8">
      <c r="C33" s="220">
        <f t="shared" si="4"/>
        <v>-0.95000000000000029</v>
      </c>
      <c r="D33" s="220">
        <f t="shared" si="7"/>
        <v>-0.90000000000000024</v>
      </c>
      <c r="E33" s="287">
        <f>COUNTIFS(ผลประหยัด!$H$10:$H$846,"&gt;-95%",ผลประหยัด!$H$10:$H$846,"&lt;=-90%")</f>
        <v>10</v>
      </c>
      <c r="F33" s="218">
        <f t="shared" si="5"/>
        <v>1.1947431302270013E-2</v>
      </c>
      <c r="G33" s="168">
        <f t="shared" si="6"/>
        <v>683</v>
      </c>
      <c r="H33" s="314">
        <f t="shared" si="3"/>
        <v>0.81600955794504182</v>
      </c>
    </row>
    <row r="34" spans="1:8">
      <c r="A34" s="12" t="s">
        <v>1931</v>
      </c>
      <c r="B34" s="307">
        <v>-40</v>
      </c>
      <c r="C34" s="317">
        <f t="shared" si="4"/>
        <v>-1.0000000000000002</v>
      </c>
      <c r="D34" s="220">
        <f t="shared" si="7"/>
        <v>-0.95000000000000029</v>
      </c>
      <c r="E34" s="287">
        <f>COUNTIFS(ผลประหยัด!$H$10:$H$846,"&gt;-100%",ผลประหยัด!$H$10:$H$846,"&lt;=-95%")</f>
        <v>14</v>
      </c>
      <c r="F34" s="218">
        <f t="shared" si="5"/>
        <v>1.6726403823178016E-2</v>
      </c>
      <c r="G34" s="168">
        <f t="shared" si="6"/>
        <v>697</v>
      </c>
      <c r="H34" s="314">
        <f t="shared" si="3"/>
        <v>0.83273596176821985</v>
      </c>
    </row>
    <row r="35" spans="1:8">
      <c r="C35" s="220">
        <f t="shared" si="4"/>
        <v>-1.0500000000000003</v>
      </c>
      <c r="D35" s="220">
        <f t="shared" si="7"/>
        <v>-1.0000000000000002</v>
      </c>
      <c r="E35" s="168">
        <f>COUNTIFS(ผลประหยัด!$H$10:$H$846,"&gt;-105%",ผลประหยัด!$H$10:$H$846,"&lt;=-100%")</f>
        <v>17</v>
      </c>
      <c r="F35" s="218">
        <f t="shared" si="5"/>
        <v>2.0310633213859019E-2</v>
      </c>
      <c r="G35" s="168">
        <f t="shared" si="6"/>
        <v>714</v>
      </c>
      <c r="H35" s="182">
        <f t="shared" si="3"/>
        <v>0.8530465949820788</v>
      </c>
    </row>
    <row r="36" spans="1:8">
      <c r="C36" s="220">
        <f t="shared" si="4"/>
        <v>-1.1000000000000003</v>
      </c>
      <c r="D36" s="220">
        <f t="shared" si="7"/>
        <v>-1.0500000000000003</v>
      </c>
      <c r="E36" s="168">
        <f>COUNTIFS(ผลประหยัด!$H$10:$H$846,"&gt;-110%",ผลประหยัด!$H$10:$H$846,"&lt;=-105%")</f>
        <v>11</v>
      </c>
      <c r="F36" s="218">
        <f t="shared" si="5"/>
        <v>1.3142174432497013E-2</v>
      </c>
      <c r="G36" s="168">
        <f t="shared" si="6"/>
        <v>725</v>
      </c>
      <c r="H36" s="182">
        <f t="shared" si="3"/>
        <v>0.8661887694145759</v>
      </c>
    </row>
    <row r="37" spans="1:8">
      <c r="C37" s="220">
        <f t="shared" si="4"/>
        <v>-1.1500000000000004</v>
      </c>
      <c r="D37" s="220">
        <f t="shared" si="7"/>
        <v>-1.1000000000000003</v>
      </c>
      <c r="E37" s="168">
        <f>COUNTIFS(ผลประหยัด!$H$10:$H$846,"&gt;-115%",ผลประหยัด!$H$10:$H$846,"&lt;=-110%")</f>
        <v>11</v>
      </c>
      <c r="F37" s="218">
        <f t="shared" si="5"/>
        <v>1.3142174432497013E-2</v>
      </c>
      <c r="G37" s="168">
        <f t="shared" si="6"/>
        <v>736</v>
      </c>
      <c r="H37" s="182">
        <f t="shared" si="3"/>
        <v>0.87933094384707289</v>
      </c>
    </row>
    <row r="38" spans="1:8">
      <c r="C38" s="220">
        <f t="shared" si="4"/>
        <v>-1.2000000000000004</v>
      </c>
      <c r="D38" s="220">
        <f t="shared" si="7"/>
        <v>-1.1500000000000004</v>
      </c>
      <c r="E38" s="168">
        <f>COUNTIFS(ผลประหยัด!$H$10:$H$846,"&gt;-120%",ผลประหยัด!$H$10:$H$846,"&lt;=-115%")</f>
        <v>10</v>
      </c>
      <c r="F38" s="218">
        <f t="shared" si="5"/>
        <v>1.1947431302270013E-2</v>
      </c>
      <c r="G38" s="168">
        <f t="shared" si="6"/>
        <v>746</v>
      </c>
      <c r="H38" s="182">
        <f t="shared" si="3"/>
        <v>0.89127837514934294</v>
      </c>
    </row>
    <row r="39" spans="1:8">
      <c r="C39" s="220">
        <f t="shared" si="4"/>
        <v>-1.2500000000000004</v>
      </c>
      <c r="D39" s="220">
        <f t="shared" si="7"/>
        <v>-1.2000000000000004</v>
      </c>
      <c r="E39" s="168">
        <f>COUNTIFS(ผลประหยัด!$H$10:$H$846,"&gt;-125%",ผลประหยัด!$H$10:$H$846,"&lt;=-120%")</f>
        <v>11</v>
      </c>
      <c r="F39" s="218">
        <f t="shared" si="5"/>
        <v>1.3142174432497013E-2</v>
      </c>
      <c r="G39" s="168">
        <f t="shared" ref="G39:G47" si="8">G38+E39</f>
        <v>757</v>
      </c>
      <c r="H39" s="182">
        <f t="shared" ref="H39:H47" si="9">G39/$B$1</f>
        <v>0.90442054958183993</v>
      </c>
    </row>
    <row r="40" spans="1:8">
      <c r="C40" s="220">
        <f t="shared" si="4"/>
        <v>-1.3000000000000005</v>
      </c>
      <c r="D40" s="220">
        <f t="shared" si="7"/>
        <v>-1.2500000000000004</v>
      </c>
      <c r="E40" s="168">
        <f>COUNTIFS(ผลประหยัด!$H$10:$H$846,"&gt;-130%",ผลประหยัด!$H$10:$H$846,"&lt;=-125%")</f>
        <v>2</v>
      </c>
      <c r="F40" s="218">
        <f t="shared" si="5"/>
        <v>2.3894862604540022E-3</v>
      </c>
      <c r="G40" s="168">
        <f t="shared" si="8"/>
        <v>759</v>
      </c>
      <c r="H40" s="182">
        <f t="shared" si="9"/>
        <v>0.90681003584229392</v>
      </c>
    </row>
    <row r="41" spans="1:8">
      <c r="C41" s="220">
        <f t="shared" si="4"/>
        <v>-1.3500000000000005</v>
      </c>
      <c r="D41" s="220">
        <f t="shared" si="7"/>
        <v>-1.3000000000000005</v>
      </c>
      <c r="E41" s="168">
        <f>COUNTIFS(ผลประหยัด!$H$10:$H$846,"&gt;-135%",ผลประหยัด!$H$10:$H$846,"&lt;=-130%")</f>
        <v>6</v>
      </c>
      <c r="F41" s="218">
        <f t="shared" si="5"/>
        <v>7.1684587813620072E-3</v>
      </c>
      <c r="G41" s="168">
        <f t="shared" si="8"/>
        <v>765</v>
      </c>
      <c r="H41" s="182">
        <f t="shared" si="9"/>
        <v>0.91397849462365588</v>
      </c>
    </row>
    <row r="42" spans="1:8">
      <c r="C42" s="220">
        <f t="shared" si="4"/>
        <v>-1.4000000000000006</v>
      </c>
      <c r="D42" s="220">
        <f t="shared" si="7"/>
        <v>-1.3500000000000005</v>
      </c>
      <c r="E42" s="168">
        <f>COUNTIFS(ผลประหยัด!$H$10:$H$846,"&gt;-140%",ผลประหยัด!$H$10:$H$846,"&lt;=-135%")</f>
        <v>5</v>
      </c>
      <c r="F42" s="218">
        <f t="shared" si="5"/>
        <v>5.9737156511350063E-3</v>
      </c>
      <c r="G42" s="168">
        <f t="shared" si="8"/>
        <v>770</v>
      </c>
      <c r="H42" s="182">
        <f t="shared" si="9"/>
        <v>0.9199522102747909</v>
      </c>
    </row>
    <row r="43" spans="1:8">
      <c r="C43" s="220">
        <f t="shared" si="4"/>
        <v>-1.4500000000000006</v>
      </c>
      <c r="D43" s="220">
        <f t="shared" si="7"/>
        <v>-1.4000000000000006</v>
      </c>
      <c r="E43" s="168">
        <f>COUNTIFS(ผลประหยัด!$H$10:$H$846,"&gt;-150%",ผลประหยัด!$H$10:$H$846,"&lt;=-145%")</f>
        <v>2</v>
      </c>
      <c r="F43" s="218">
        <f t="shared" si="5"/>
        <v>2.3894862604540022E-3</v>
      </c>
      <c r="G43" s="168">
        <f t="shared" si="8"/>
        <v>772</v>
      </c>
      <c r="H43" s="182">
        <f t="shared" si="9"/>
        <v>0.92234169653524489</v>
      </c>
    </row>
    <row r="44" spans="1:8">
      <c r="C44" s="220">
        <f t="shared" si="4"/>
        <v>-1.5000000000000007</v>
      </c>
      <c r="D44" s="220">
        <f t="shared" si="7"/>
        <v>-1.4500000000000006</v>
      </c>
      <c r="E44" s="168">
        <f>COUNTIFS(ผลประหยัด!$H$10:$H$846,"&gt;-120%",ผลประหยัด!$H$10:$H$846,"&lt;=-115%")</f>
        <v>10</v>
      </c>
      <c r="F44" s="218">
        <f t="shared" si="5"/>
        <v>1.1947431302270013E-2</v>
      </c>
      <c r="G44" s="168">
        <f t="shared" si="8"/>
        <v>782</v>
      </c>
      <c r="H44" s="182">
        <f t="shared" si="9"/>
        <v>0.93428912783751494</v>
      </c>
    </row>
    <row r="45" spans="1:8">
      <c r="C45" s="220">
        <f t="shared" si="4"/>
        <v>-1.5500000000000007</v>
      </c>
      <c r="D45" s="220">
        <f t="shared" si="7"/>
        <v>-1.5000000000000007</v>
      </c>
      <c r="E45" s="168">
        <f>COUNTIFS(ผลประหยัด!$H$10:$H$846,"&gt;-155%",ผลประหยัด!$H$10:$H$846,"&lt;=-150%")</f>
        <v>2</v>
      </c>
      <c r="F45" s="218">
        <f t="shared" si="5"/>
        <v>2.3894862604540022E-3</v>
      </c>
      <c r="G45" s="168">
        <f t="shared" si="8"/>
        <v>784</v>
      </c>
      <c r="H45" s="182">
        <f t="shared" si="9"/>
        <v>0.93667861409796893</v>
      </c>
    </row>
    <row r="46" spans="1:8">
      <c r="C46" s="220">
        <f t="shared" si="4"/>
        <v>-1.6000000000000008</v>
      </c>
      <c r="D46" s="220">
        <f t="shared" si="7"/>
        <v>-1.5500000000000007</v>
      </c>
      <c r="E46" s="168">
        <f>COUNTIFS(ผลประหยัด!$H$10:$H$846,"&gt;-160%",ผลประหยัด!$H$10:$H$846,"&lt;=-155%")</f>
        <v>5</v>
      </c>
      <c r="F46" s="218">
        <f t="shared" si="5"/>
        <v>5.9737156511350063E-3</v>
      </c>
      <c r="G46" s="168">
        <f t="shared" si="8"/>
        <v>789</v>
      </c>
      <c r="H46" s="182">
        <f t="shared" si="9"/>
        <v>0.94265232974910396</v>
      </c>
    </row>
    <row r="47" spans="1:8">
      <c r="D47">
        <v>160</v>
      </c>
      <c r="E47" s="68">
        <f>COUNTIFS(ผลประหยัด!$H$10:$H$846,"&lt;=-160%")</f>
        <v>55</v>
      </c>
      <c r="F47" s="207">
        <f t="shared" si="5"/>
        <v>6.5710872162485071E-2</v>
      </c>
      <c r="G47" s="68">
        <f t="shared" si="8"/>
        <v>844</v>
      </c>
      <c r="H47" s="206">
        <f t="shared" si="9"/>
        <v>1.0083632019115889</v>
      </c>
    </row>
  </sheetData>
  <pageMargins left="0.7" right="0.7" top="0.75" bottom="0.75" header="0.3" footer="0.3"/>
  <pageSetup paperSize="9" orientation="portrait" horizontalDpi="0" verticalDpi="0"/>
  <ignoredErrors>
    <ignoredError sqref="G5:G47" formula="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7F3FC-2E30-0C45-819F-C6C0DBA50805}">
  <dimension ref="A1:Q34"/>
  <sheetViews>
    <sheetView zoomScale="130" zoomScaleNormal="130" workbookViewId="0">
      <selection activeCell="A5" sqref="A5:B5"/>
    </sheetView>
  </sheetViews>
  <sheetFormatPr baseColWidth="10" defaultRowHeight="16"/>
  <cols>
    <col min="2" max="2" width="10.83203125" style="10"/>
    <col min="3" max="3" width="10.83203125" style="24"/>
    <col min="7" max="7" width="15.5" customWidth="1"/>
  </cols>
  <sheetData>
    <row r="1" spans="1:17">
      <c r="B1" s="288">
        <v>730</v>
      </c>
    </row>
    <row r="3" spans="1:17">
      <c r="B3" s="68"/>
    </row>
    <row r="4" spans="1:17" ht="36">
      <c r="B4" s="310" t="s">
        <v>1850</v>
      </c>
      <c r="C4" s="182" t="s">
        <v>1904</v>
      </c>
      <c r="D4" s="83" t="s">
        <v>1905</v>
      </c>
      <c r="E4" s="83" t="s">
        <v>1961</v>
      </c>
      <c r="F4" s="83" t="s">
        <v>1845</v>
      </c>
      <c r="G4" s="83" t="s">
        <v>1906</v>
      </c>
      <c r="H4" s="83" t="s">
        <v>1962</v>
      </c>
      <c r="K4" s="310" t="s">
        <v>1850</v>
      </c>
      <c r="L4" s="182" t="s">
        <v>1904</v>
      </c>
      <c r="M4" s="83" t="s">
        <v>1905</v>
      </c>
      <c r="N4" s="83" t="s">
        <v>1961</v>
      </c>
      <c r="O4" s="83" t="s">
        <v>1845</v>
      </c>
      <c r="P4" s="325" t="s">
        <v>1906</v>
      </c>
      <c r="Q4" s="83" t="s">
        <v>1962</v>
      </c>
    </row>
    <row r="5" spans="1:17">
      <c r="A5" s="492"/>
      <c r="B5" s="493"/>
      <c r="C5" s="182">
        <v>1.45</v>
      </c>
      <c r="D5" s="184"/>
      <c r="E5" s="83">
        <f>COUNTIF(SR!$I$10:$I$821,"&gt;145%")</f>
        <v>6</v>
      </c>
      <c r="F5" s="218">
        <f>E5/$B$1</f>
        <v>8.21917808219178E-3</v>
      </c>
      <c r="G5" s="168">
        <f>E5</f>
        <v>6</v>
      </c>
      <c r="H5" s="182">
        <f>G5/$B$1</f>
        <v>8.21917808219178E-3</v>
      </c>
      <c r="J5" s="17" t="s">
        <v>2617</v>
      </c>
      <c r="K5" s="324"/>
      <c r="L5" s="182">
        <v>1.45</v>
      </c>
      <c r="M5" s="184"/>
      <c r="N5" s="83">
        <v>0</v>
      </c>
      <c r="O5" s="218">
        <v>0</v>
      </c>
      <c r="P5" s="168">
        <v>0</v>
      </c>
      <c r="Q5" s="182">
        <v>0</v>
      </c>
    </row>
    <row r="6" spans="1:17">
      <c r="C6" s="182">
        <f t="shared" ref="C6:D16" si="0">C7+5%</f>
        <v>1.4000000000000008</v>
      </c>
      <c r="D6" s="184">
        <f t="shared" si="0"/>
        <v>1.4500000000000008</v>
      </c>
      <c r="E6" s="83">
        <f>COUNTIFS(SR!$I$10:$I$821,"&gt;140%",SR!$I$10:$I$821,"&lt;=145%")</f>
        <v>5</v>
      </c>
      <c r="F6" s="218">
        <f t="shared" ref="F6:F24" si="1">E6/$B$1</f>
        <v>6.8493150684931503E-3</v>
      </c>
      <c r="G6" s="168">
        <f>G5+E6</f>
        <v>11</v>
      </c>
      <c r="H6" s="182">
        <f t="shared" ref="H6:H34" si="2">G6/$B$1</f>
        <v>1.5068493150684932E-2</v>
      </c>
      <c r="K6" s="10"/>
      <c r="L6" s="182">
        <v>1.4000000000000008</v>
      </c>
      <c r="M6" s="184">
        <v>1.4500000000000008</v>
      </c>
      <c r="N6" s="83">
        <v>4</v>
      </c>
      <c r="O6" s="218">
        <v>5.4794520547945206E-3</v>
      </c>
      <c r="P6" s="168">
        <v>4</v>
      </c>
      <c r="Q6" s="182">
        <v>5.4794520547945206E-3</v>
      </c>
    </row>
    <row r="7" spans="1:17">
      <c r="C7" s="182">
        <f t="shared" si="0"/>
        <v>1.3500000000000008</v>
      </c>
      <c r="D7" s="184">
        <f t="shared" si="0"/>
        <v>1.4000000000000008</v>
      </c>
      <c r="E7" s="83">
        <f>COUNTIFS(SR!$I$10:$I$821,"&gt;135%",SR!$I$10:$I$821,"&lt;=140%")</f>
        <v>5</v>
      </c>
      <c r="F7" s="218">
        <f t="shared" si="1"/>
        <v>6.8493150684931503E-3</v>
      </c>
      <c r="G7" s="168">
        <f t="shared" ref="G7:G24" si="3">G6+E7</f>
        <v>16</v>
      </c>
      <c r="H7" s="182">
        <f t="shared" si="2"/>
        <v>2.1917808219178082E-2</v>
      </c>
      <c r="K7" s="10"/>
      <c r="L7" s="182">
        <v>1.3500000000000008</v>
      </c>
      <c r="M7" s="184">
        <v>1.4000000000000008</v>
      </c>
      <c r="N7" s="83">
        <v>4</v>
      </c>
      <c r="O7" s="218">
        <v>5.4794520547945206E-3</v>
      </c>
      <c r="P7" s="168">
        <v>8</v>
      </c>
      <c r="Q7" s="182">
        <v>1.0958904109589041E-2</v>
      </c>
    </row>
    <row r="8" spans="1:17">
      <c r="C8" s="182">
        <f t="shared" si="0"/>
        <v>1.3000000000000007</v>
      </c>
      <c r="D8" s="184">
        <f t="shared" si="0"/>
        <v>1.3500000000000008</v>
      </c>
      <c r="E8" s="83">
        <f>COUNTIFS(SR!$I$10:$I$821,"&gt;130%",SR!$I$10:$I$821,"&lt;=135%")</f>
        <v>6</v>
      </c>
      <c r="F8" s="218">
        <f t="shared" si="1"/>
        <v>8.21917808219178E-3</v>
      </c>
      <c r="G8" s="168">
        <f t="shared" si="3"/>
        <v>22</v>
      </c>
      <c r="H8" s="182">
        <f t="shared" si="2"/>
        <v>3.0136986301369864E-2</v>
      </c>
      <c r="K8" s="10"/>
      <c r="L8" s="182">
        <v>1.3000000000000007</v>
      </c>
      <c r="M8" s="184">
        <v>1.3500000000000008</v>
      </c>
      <c r="N8" s="83">
        <v>5</v>
      </c>
      <c r="O8" s="218">
        <v>6.8493150684931503E-3</v>
      </c>
      <c r="P8" s="168">
        <v>13</v>
      </c>
      <c r="Q8" s="182">
        <v>1.7808219178082191E-2</v>
      </c>
    </row>
    <row r="9" spans="1:17">
      <c r="C9" s="182">
        <f t="shared" si="0"/>
        <v>1.2500000000000007</v>
      </c>
      <c r="D9" s="184">
        <f t="shared" si="0"/>
        <v>1.3000000000000007</v>
      </c>
      <c r="E9" s="83">
        <f>COUNTIFS(SR!$I$10:$I$821,"&gt;125%",SR!$I$10:$I$821,"&lt;=130%")</f>
        <v>8</v>
      </c>
      <c r="F9" s="218">
        <f t="shared" si="1"/>
        <v>1.0958904109589041E-2</v>
      </c>
      <c r="G9" s="168">
        <f t="shared" si="3"/>
        <v>30</v>
      </c>
      <c r="H9" s="182">
        <f t="shared" si="2"/>
        <v>4.1095890410958902E-2</v>
      </c>
      <c r="K9" s="10"/>
      <c r="L9" s="182">
        <v>1.2500000000000007</v>
      </c>
      <c r="M9" s="184">
        <v>1.3000000000000007</v>
      </c>
      <c r="N9" s="83">
        <v>4</v>
      </c>
      <c r="O9" s="218">
        <v>5.4794520547945206E-3</v>
      </c>
      <c r="P9" s="168">
        <v>17</v>
      </c>
      <c r="Q9" s="182">
        <v>2.3287671232876714E-2</v>
      </c>
    </row>
    <row r="10" spans="1:17">
      <c r="C10" s="182">
        <f t="shared" si="0"/>
        <v>1.2000000000000006</v>
      </c>
      <c r="D10" s="184">
        <f t="shared" si="0"/>
        <v>1.2500000000000007</v>
      </c>
      <c r="E10" s="83">
        <f>COUNTIFS(SR!$I$10:$I$821,"&gt;120%",SR!$I$10:$I$821,"&lt;=125%")</f>
        <v>10</v>
      </c>
      <c r="F10" s="218">
        <f t="shared" si="1"/>
        <v>1.3698630136986301E-2</v>
      </c>
      <c r="G10" s="168">
        <f t="shared" si="3"/>
        <v>40</v>
      </c>
      <c r="H10" s="182">
        <f t="shared" si="2"/>
        <v>5.4794520547945202E-2</v>
      </c>
      <c r="K10" s="10"/>
      <c r="L10" s="182">
        <v>1.2000000000000006</v>
      </c>
      <c r="M10" s="184">
        <v>1.2500000000000007</v>
      </c>
      <c r="N10" s="83">
        <v>5</v>
      </c>
      <c r="O10" s="218">
        <v>6.8493150684931503E-3</v>
      </c>
      <c r="P10" s="168">
        <v>22</v>
      </c>
      <c r="Q10" s="182">
        <v>3.0136986301369864E-2</v>
      </c>
    </row>
    <row r="11" spans="1:17">
      <c r="C11" s="182">
        <f t="shared" si="0"/>
        <v>1.1500000000000006</v>
      </c>
      <c r="D11" s="184">
        <f t="shared" si="0"/>
        <v>1.2000000000000006</v>
      </c>
      <c r="E11" s="83">
        <f>COUNTIFS(SR!$I$10:$I$821,"&gt;115%",SR!$I$10:$I$821,"&lt;=120%")</f>
        <v>24</v>
      </c>
      <c r="F11" s="218">
        <f t="shared" si="1"/>
        <v>3.287671232876712E-2</v>
      </c>
      <c r="G11" s="168">
        <f t="shared" si="3"/>
        <v>64</v>
      </c>
      <c r="H11" s="182">
        <f t="shared" si="2"/>
        <v>8.7671232876712329E-2</v>
      </c>
      <c r="K11" s="10"/>
      <c r="L11" s="182">
        <v>1.1500000000000006</v>
      </c>
      <c r="M11" s="184">
        <v>1.2000000000000006</v>
      </c>
      <c r="N11" s="83">
        <v>12</v>
      </c>
      <c r="O11" s="218">
        <v>1.643835616438356E-2</v>
      </c>
      <c r="P11" s="168">
        <v>34</v>
      </c>
      <c r="Q11" s="182">
        <v>4.6575342465753428E-2</v>
      </c>
    </row>
    <row r="12" spans="1:17">
      <c r="C12" s="182">
        <f t="shared" si="0"/>
        <v>1.1000000000000005</v>
      </c>
      <c r="D12" s="184">
        <f t="shared" si="0"/>
        <v>1.1500000000000006</v>
      </c>
      <c r="E12" s="83">
        <f>COUNTIFS(SR!$I$10:$I$821,"&gt;110%",SR!$I$10:$I$821,"&lt;=115%")</f>
        <v>30</v>
      </c>
      <c r="F12" s="218">
        <f t="shared" si="1"/>
        <v>4.1095890410958902E-2</v>
      </c>
      <c r="G12" s="168">
        <f t="shared" si="3"/>
        <v>94</v>
      </c>
      <c r="H12" s="182">
        <f t="shared" si="2"/>
        <v>0.12876712328767123</v>
      </c>
      <c r="K12" s="10"/>
      <c r="L12" s="182">
        <v>1.1000000000000005</v>
      </c>
      <c r="M12" s="184">
        <v>1.1500000000000006</v>
      </c>
      <c r="N12" s="83">
        <v>13</v>
      </c>
      <c r="O12" s="218">
        <v>1.7808219178082191E-2</v>
      </c>
      <c r="P12" s="168">
        <v>47</v>
      </c>
      <c r="Q12" s="182">
        <v>6.4383561643835616E-2</v>
      </c>
    </row>
    <row r="13" spans="1:17">
      <c r="C13" s="182">
        <f t="shared" si="0"/>
        <v>1.0500000000000005</v>
      </c>
      <c r="D13" s="184">
        <f t="shared" si="0"/>
        <v>1.1000000000000005</v>
      </c>
      <c r="E13" s="83">
        <f>COUNTIFS(SR!$I$10:$I$821,"&gt;sr%",ADG!$I$10:$I$821,"&lt;=110%")</f>
        <v>0</v>
      </c>
      <c r="F13" s="218">
        <f t="shared" si="1"/>
        <v>0</v>
      </c>
      <c r="G13" s="168">
        <f t="shared" si="3"/>
        <v>94</v>
      </c>
      <c r="H13" s="182">
        <f t="shared" si="2"/>
        <v>0.12876712328767123</v>
      </c>
      <c r="K13" s="10"/>
      <c r="L13" s="182">
        <v>1.0500000000000005</v>
      </c>
      <c r="M13" s="184">
        <v>1.1000000000000005</v>
      </c>
      <c r="N13" s="83">
        <v>0</v>
      </c>
      <c r="O13" s="218">
        <v>0</v>
      </c>
      <c r="P13" s="168">
        <v>47</v>
      </c>
      <c r="Q13" s="182">
        <v>6.4383561643835616E-2</v>
      </c>
    </row>
    <row r="14" spans="1:17">
      <c r="C14" s="182">
        <f t="shared" si="0"/>
        <v>1.0000000000000004</v>
      </c>
      <c r="D14" s="184">
        <f t="shared" si="0"/>
        <v>1.0500000000000005</v>
      </c>
      <c r="E14" s="83">
        <f>COUNTIFS(SR!$I$10:$I$821,"&gt;100%",SR!$I$10:$I$821,"&lt;=105%")</f>
        <v>43</v>
      </c>
      <c r="F14" s="218">
        <f t="shared" si="1"/>
        <v>5.8904109589041097E-2</v>
      </c>
      <c r="G14" s="168">
        <f t="shared" si="3"/>
        <v>137</v>
      </c>
      <c r="H14" s="182">
        <f t="shared" si="2"/>
        <v>0.18767123287671234</v>
      </c>
      <c r="K14" s="10"/>
      <c r="L14" s="182">
        <v>1.0000000000000004</v>
      </c>
      <c r="M14" s="184">
        <v>1.0500000000000005</v>
      </c>
      <c r="N14" s="83">
        <v>24</v>
      </c>
      <c r="O14" s="218">
        <v>3.287671232876712E-2</v>
      </c>
      <c r="P14" s="168">
        <v>71</v>
      </c>
      <c r="Q14" s="182">
        <v>9.7260273972602743E-2</v>
      </c>
    </row>
    <row r="15" spans="1:17">
      <c r="A15" s="17" t="s">
        <v>1931</v>
      </c>
      <c r="B15" s="307">
        <v>15</v>
      </c>
      <c r="C15" s="182">
        <f t="shared" si="0"/>
        <v>0.9500000000000004</v>
      </c>
      <c r="D15" s="315">
        <f t="shared" si="0"/>
        <v>1.0000000000000004</v>
      </c>
      <c r="E15" s="285">
        <f>COUNTIFS(SR!$I$10:$I$821,"&gt;95%",SR!$I$10:$I$821,"&lt;=100%")</f>
        <v>49</v>
      </c>
      <c r="F15" s="218">
        <f t="shared" si="1"/>
        <v>6.7123287671232879E-2</v>
      </c>
      <c r="G15" s="168">
        <f t="shared" si="3"/>
        <v>186</v>
      </c>
      <c r="H15" s="314">
        <f t="shared" si="2"/>
        <v>0.25479452054794521</v>
      </c>
      <c r="J15" s="17" t="s">
        <v>1931</v>
      </c>
      <c r="K15" s="307">
        <v>15</v>
      </c>
      <c r="L15" s="182">
        <v>0.9500000000000004</v>
      </c>
      <c r="M15" s="315">
        <v>1.0000000000000004</v>
      </c>
      <c r="N15" s="285">
        <v>53</v>
      </c>
      <c r="O15" s="218">
        <v>7.260273972602739E-2</v>
      </c>
      <c r="P15" s="168">
        <v>124</v>
      </c>
      <c r="Q15" s="314">
        <v>0.16986301369863013</v>
      </c>
    </row>
    <row r="16" spans="1:17">
      <c r="C16" s="182">
        <f t="shared" si="0"/>
        <v>0.90000000000000036</v>
      </c>
      <c r="D16" s="184">
        <f t="shared" si="0"/>
        <v>0.9500000000000004</v>
      </c>
      <c r="E16" s="285">
        <f>COUNTIFS(SR!$I$10:$I$821,"&gt;90%",SR!$I$10:$I$821,"&lt;=95%")</f>
        <v>56</v>
      </c>
      <c r="F16" s="218">
        <f t="shared" si="1"/>
        <v>7.6712328767123292E-2</v>
      </c>
      <c r="G16" s="168">
        <f t="shared" si="3"/>
        <v>242</v>
      </c>
      <c r="H16" s="314">
        <f t="shared" si="2"/>
        <v>0.33150684931506852</v>
      </c>
      <c r="K16" s="10"/>
      <c r="L16" s="182">
        <v>0.90000000000000036</v>
      </c>
      <c r="M16" s="184">
        <v>0.9500000000000004</v>
      </c>
      <c r="N16" s="285">
        <v>54</v>
      </c>
      <c r="O16" s="218">
        <v>7.3972602739726029E-2</v>
      </c>
      <c r="P16" s="168">
        <v>178</v>
      </c>
      <c r="Q16" s="314">
        <v>0.24383561643835616</v>
      </c>
    </row>
    <row r="17" spans="1:17">
      <c r="C17" s="182">
        <f t="shared" ref="C17:D23" si="4">C18+5%</f>
        <v>0.85000000000000031</v>
      </c>
      <c r="D17" s="184">
        <f t="shared" si="4"/>
        <v>0.90000000000000036</v>
      </c>
      <c r="E17" s="285">
        <f>COUNTIFS(SR!$I$10:$I$821,"&gt;85%",SR!$I$10:$I$821,"&lt;=90%")</f>
        <v>93</v>
      </c>
      <c r="F17" s="218">
        <f t="shared" si="1"/>
        <v>0.12739726027397261</v>
      </c>
      <c r="G17" s="168">
        <f t="shared" si="3"/>
        <v>335</v>
      </c>
      <c r="H17" s="314">
        <f t="shared" si="2"/>
        <v>0.4589041095890411</v>
      </c>
      <c r="K17" s="10"/>
      <c r="L17" s="182">
        <v>0.85000000000000031</v>
      </c>
      <c r="M17" s="184">
        <v>0.90000000000000036</v>
      </c>
      <c r="N17" s="285">
        <v>54</v>
      </c>
      <c r="O17" s="218">
        <v>7.3972602739726029E-2</v>
      </c>
      <c r="P17" s="168">
        <v>232</v>
      </c>
      <c r="Q17" s="314">
        <v>0.31780821917808222</v>
      </c>
    </row>
    <row r="18" spans="1:17">
      <c r="C18" s="182">
        <f t="shared" si="4"/>
        <v>0.80000000000000027</v>
      </c>
      <c r="D18" s="184">
        <f t="shared" si="4"/>
        <v>0.85000000000000031</v>
      </c>
      <c r="E18" s="285">
        <f>COUNTIFS(SR!$I$10:$I$821,"&gt;80%",SR!$I$10:$I$821,"&lt;=85%")</f>
        <v>69</v>
      </c>
      <c r="F18" s="218">
        <f t="shared" si="1"/>
        <v>9.452054794520548E-2</v>
      </c>
      <c r="G18" s="168">
        <f t="shared" si="3"/>
        <v>404</v>
      </c>
      <c r="H18" s="314">
        <f t="shared" si="2"/>
        <v>0.55342465753424652</v>
      </c>
      <c r="K18" s="10"/>
      <c r="L18" s="182">
        <v>0.80000000000000027</v>
      </c>
      <c r="M18" s="184">
        <v>0.85000000000000031</v>
      </c>
      <c r="N18" s="285">
        <v>59</v>
      </c>
      <c r="O18" s="218">
        <v>8.0821917808219179E-2</v>
      </c>
      <c r="P18" s="168">
        <v>291</v>
      </c>
      <c r="Q18" s="314">
        <v>0.39863013698630134</v>
      </c>
    </row>
    <row r="19" spans="1:17">
      <c r="C19" s="182">
        <f t="shared" si="4"/>
        <v>0.75000000000000022</v>
      </c>
      <c r="D19" s="184">
        <f t="shared" si="4"/>
        <v>0.80000000000000027</v>
      </c>
      <c r="E19" s="285">
        <f>COUNTIFS(SR!$I$10:$I$821,"&gt;75%",SR!$I$10:$I$821,"&lt;=80%")</f>
        <v>61</v>
      </c>
      <c r="F19" s="218">
        <f t="shared" si="1"/>
        <v>8.3561643835616442E-2</v>
      </c>
      <c r="G19" s="168">
        <f t="shared" si="3"/>
        <v>465</v>
      </c>
      <c r="H19" s="314">
        <f t="shared" si="2"/>
        <v>0.63698630136986301</v>
      </c>
      <c r="K19" s="10"/>
      <c r="L19" s="182">
        <v>0.75000000000000022</v>
      </c>
      <c r="M19" s="184">
        <v>0.80000000000000027</v>
      </c>
      <c r="N19" s="285">
        <v>66</v>
      </c>
      <c r="O19" s="218">
        <v>9.0410958904109592E-2</v>
      </c>
      <c r="P19" s="168">
        <v>357</v>
      </c>
      <c r="Q19" s="314">
        <v>0.48904109589041095</v>
      </c>
    </row>
    <row r="20" spans="1:17">
      <c r="C20" s="182">
        <f t="shared" si="4"/>
        <v>0.70000000000000018</v>
      </c>
      <c r="D20" s="184">
        <f t="shared" si="4"/>
        <v>0.75000000000000022</v>
      </c>
      <c r="E20" s="285">
        <f>COUNTIFS(SR!$I$10:$I$821,"&gt;70%",SR!$I$10:$I$821,"&lt;=75%")</f>
        <v>55</v>
      </c>
      <c r="F20" s="218">
        <f t="shared" si="1"/>
        <v>7.5342465753424653E-2</v>
      </c>
      <c r="G20" s="168">
        <f t="shared" si="3"/>
        <v>520</v>
      </c>
      <c r="H20" s="314">
        <f t="shared" si="2"/>
        <v>0.71232876712328763</v>
      </c>
      <c r="K20" s="10"/>
      <c r="L20" s="182">
        <v>0.70000000000000018</v>
      </c>
      <c r="M20" s="184">
        <v>0.75000000000000022</v>
      </c>
      <c r="N20" s="285">
        <v>70</v>
      </c>
      <c r="O20" s="218">
        <v>9.5890410958904104E-2</v>
      </c>
      <c r="P20" s="168">
        <v>427</v>
      </c>
      <c r="Q20" s="314">
        <v>0.58493150684931505</v>
      </c>
    </row>
    <row r="21" spans="1:17">
      <c r="C21" s="182">
        <f t="shared" si="4"/>
        <v>0.65000000000000013</v>
      </c>
      <c r="D21" s="184">
        <f t="shared" si="4"/>
        <v>0.70000000000000018</v>
      </c>
      <c r="E21" s="285">
        <f>COUNTIFS(SR!$I$10:$I$821,"&gt;65%",SR!$I$10:$I$821,"&lt;=70%")</f>
        <v>50</v>
      </c>
      <c r="F21" s="218">
        <f t="shared" si="1"/>
        <v>6.8493150684931503E-2</v>
      </c>
      <c r="G21" s="168">
        <f t="shared" si="3"/>
        <v>570</v>
      </c>
      <c r="H21" s="314">
        <f t="shared" si="2"/>
        <v>0.78082191780821919</v>
      </c>
      <c r="K21" s="10"/>
      <c r="L21" s="182">
        <v>0.65000000000000013</v>
      </c>
      <c r="M21" s="184">
        <v>0.70000000000000018</v>
      </c>
      <c r="N21" s="285">
        <v>55</v>
      </c>
      <c r="O21" s="218">
        <v>7.5342465753424653E-2</v>
      </c>
      <c r="P21" s="168">
        <v>482</v>
      </c>
      <c r="Q21" s="314">
        <v>0.66027397260273968</v>
      </c>
    </row>
    <row r="22" spans="1:17">
      <c r="C22" s="182">
        <f t="shared" si="4"/>
        <v>0.60000000000000009</v>
      </c>
      <c r="D22" s="184">
        <f t="shared" si="4"/>
        <v>0.65000000000000013</v>
      </c>
      <c r="E22" s="285">
        <f>COUNTIFS(SR!$I$10:$I$821,"&gt;60%",SR!$I$10:$I$821,"&lt;=65%")</f>
        <v>36</v>
      </c>
      <c r="F22" s="218">
        <f t="shared" si="1"/>
        <v>4.9315068493150684E-2</v>
      </c>
      <c r="G22" s="168">
        <f t="shared" si="3"/>
        <v>606</v>
      </c>
      <c r="H22" s="314">
        <f t="shared" si="2"/>
        <v>0.83013698630136989</v>
      </c>
      <c r="K22" s="10"/>
      <c r="L22" s="182">
        <v>0.60000000000000009</v>
      </c>
      <c r="M22" s="184">
        <v>0.65000000000000013</v>
      </c>
      <c r="N22" s="285">
        <v>55</v>
      </c>
      <c r="O22" s="218">
        <v>7.5342465753424653E-2</v>
      </c>
      <c r="P22" s="168">
        <v>537</v>
      </c>
      <c r="Q22" s="314">
        <v>0.73561643835616441</v>
      </c>
    </row>
    <row r="23" spans="1:17">
      <c r="C23" s="182">
        <f t="shared" si="4"/>
        <v>0.55000000000000004</v>
      </c>
      <c r="D23" s="184">
        <f t="shared" si="4"/>
        <v>0.60000000000000009</v>
      </c>
      <c r="E23" s="285">
        <f>COUNTIFS(SR!$I$10:$I$821,"&gt;55%",SR!$I$10:$I$821,"&lt;=60%")</f>
        <v>40</v>
      </c>
      <c r="F23" s="218">
        <f t="shared" si="1"/>
        <v>5.4794520547945202E-2</v>
      </c>
      <c r="G23" s="168">
        <f t="shared" si="3"/>
        <v>646</v>
      </c>
      <c r="H23" s="314">
        <f t="shared" si="2"/>
        <v>0.8849315068493151</v>
      </c>
      <c r="K23" s="10"/>
      <c r="L23" s="182">
        <v>0.55000000000000004</v>
      </c>
      <c r="M23" s="184">
        <v>0.60000000000000009</v>
      </c>
      <c r="N23" s="285">
        <v>41</v>
      </c>
      <c r="O23" s="218">
        <v>5.6164383561643834E-2</v>
      </c>
      <c r="P23" s="168">
        <v>578</v>
      </c>
      <c r="Q23" s="314">
        <v>0.79178082191780819</v>
      </c>
    </row>
    <row r="24" spans="1:17" ht="17" customHeight="1">
      <c r="A24" s="17" t="s">
        <v>1931</v>
      </c>
      <c r="B24" s="309">
        <v>0</v>
      </c>
      <c r="C24" s="316">
        <f>C25+5%</f>
        <v>0.5</v>
      </c>
      <c r="D24" s="184">
        <f>D25+5%</f>
        <v>0.55000000000000004</v>
      </c>
      <c r="E24" s="285">
        <f>COUNTIFS(SR!$I$10:$I$821,"&gt;50%",SR!$I$10:$I$821,"&lt;=55%")</f>
        <v>31</v>
      </c>
      <c r="F24" s="218">
        <f t="shared" si="1"/>
        <v>4.2465753424657533E-2</v>
      </c>
      <c r="G24" s="168">
        <f t="shared" si="3"/>
        <v>677</v>
      </c>
      <c r="H24" s="314">
        <f t="shared" si="2"/>
        <v>0.92739726027397262</v>
      </c>
      <c r="J24" s="17" t="s">
        <v>1931</v>
      </c>
      <c r="K24" s="309">
        <v>0</v>
      </c>
      <c r="L24" s="316">
        <v>0.5</v>
      </c>
      <c r="M24" s="184">
        <v>0.55000000000000004</v>
      </c>
      <c r="N24" s="285">
        <v>42</v>
      </c>
      <c r="O24" s="218">
        <v>5.7534246575342465E-2</v>
      </c>
      <c r="P24" s="168">
        <v>620</v>
      </c>
      <c r="Q24" s="314">
        <v>0.84931506849315064</v>
      </c>
    </row>
    <row r="25" spans="1:17">
      <c r="C25" s="182">
        <v>0.45</v>
      </c>
      <c r="D25" s="182">
        <v>0.5</v>
      </c>
      <c r="E25" s="83">
        <f>COUNTIFS(SR!$I$10:$I$821,"&gt;45%",SR!$I$10:$I$821,"&lt;=50%")</f>
        <v>23</v>
      </c>
      <c r="F25" s="218">
        <f t="shared" ref="F25:F34" si="5">E25/$B$1</f>
        <v>3.1506849315068496E-2</v>
      </c>
      <c r="G25" s="168">
        <f>G24+E25</f>
        <v>700</v>
      </c>
      <c r="H25" s="182">
        <f t="shared" si="2"/>
        <v>0.95890410958904104</v>
      </c>
      <c r="K25" s="10"/>
      <c r="L25" s="182">
        <v>0.45</v>
      </c>
      <c r="M25" s="182">
        <v>0.5</v>
      </c>
      <c r="N25" s="83">
        <v>42</v>
      </c>
      <c r="O25" s="218">
        <v>5.7534246575342465E-2</v>
      </c>
      <c r="P25" s="168">
        <v>662</v>
      </c>
      <c r="Q25" s="182">
        <v>0.9068493150684932</v>
      </c>
    </row>
    <row r="26" spans="1:17">
      <c r="C26" s="182">
        <v>0.4</v>
      </c>
      <c r="D26" s="182">
        <v>0.45</v>
      </c>
      <c r="E26" s="83">
        <f>COUNTIFS(SR!$I$10:$I$821,"&gt;40%",SR!$I$10:$I$821,"&lt;=45%")</f>
        <v>16</v>
      </c>
      <c r="F26" s="218">
        <f t="shared" si="5"/>
        <v>2.1917808219178082E-2</v>
      </c>
      <c r="G26" s="168">
        <f t="shared" ref="G26:G34" si="6">G25+E26</f>
        <v>716</v>
      </c>
      <c r="H26" s="182">
        <f t="shared" si="2"/>
        <v>0.98082191780821915</v>
      </c>
      <c r="K26" s="10"/>
      <c r="L26" s="182">
        <v>0.4</v>
      </c>
      <c r="M26" s="182">
        <v>0.45</v>
      </c>
      <c r="N26" s="83">
        <v>33</v>
      </c>
      <c r="O26" s="218">
        <v>4.5205479452054796E-2</v>
      </c>
      <c r="P26" s="168">
        <v>695</v>
      </c>
      <c r="Q26" s="182">
        <v>0.95205479452054798</v>
      </c>
    </row>
    <row r="27" spans="1:17">
      <c r="C27" s="218">
        <v>0.35</v>
      </c>
      <c r="D27" s="218">
        <v>0.4</v>
      </c>
      <c r="E27" s="168">
        <f>COUNTIFS(SR!$I$10:$I$821,"&gt;35%",SR!$I$10:$I$821,"&lt;=40%")</f>
        <v>6</v>
      </c>
      <c r="F27" s="218">
        <f t="shared" si="5"/>
        <v>8.21917808219178E-3</v>
      </c>
      <c r="G27" s="168">
        <f t="shared" si="6"/>
        <v>722</v>
      </c>
      <c r="H27" s="182">
        <f t="shared" si="2"/>
        <v>0.989041095890411</v>
      </c>
      <c r="K27" s="10"/>
      <c r="L27" s="218">
        <v>0.35</v>
      </c>
      <c r="M27" s="218">
        <v>0.4</v>
      </c>
      <c r="N27" s="168">
        <v>12</v>
      </c>
      <c r="O27" s="218">
        <v>1.643835616438356E-2</v>
      </c>
      <c r="P27" s="168">
        <v>707</v>
      </c>
      <c r="Q27" s="182">
        <v>0.96849315068493147</v>
      </c>
    </row>
    <row r="28" spans="1:17">
      <c r="C28" s="218">
        <v>0.3</v>
      </c>
      <c r="D28" s="218">
        <v>0.35</v>
      </c>
      <c r="E28" s="83">
        <f>COUNTIFS(SR!$I$10:$I$821,"&gt;30%",SR!$I$10:$I$821,"&lt;=35%")</f>
        <v>5</v>
      </c>
      <c r="F28" s="218">
        <f t="shared" si="5"/>
        <v>6.8493150684931503E-3</v>
      </c>
      <c r="G28" s="168">
        <f t="shared" si="6"/>
        <v>727</v>
      </c>
      <c r="H28" s="182">
        <f t="shared" si="2"/>
        <v>0.99589041095890407</v>
      </c>
      <c r="K28" s="10"/>
      <c r="L28" s="218">
        <v>0.3</v>
      </c>
      <c r="M28" s="218">
        <v>0.35</v>
      </c>
      <c r="N28" s="83">
        <v>6</v>
      </c>
      <c r="O28" s="218">
        <v>8.21917808219178E-3</v>
      </c>
      <c r="P28" s="168">
        <v>713</v>
      </c>
      <c r="Q28" s="182">
        <v>0.97671232876712333</v>
      </c>
    </row>
    <row r="29" spans="1:17">
      <c r="C29" s="218">
        <v>0.25</v>
      </c>
      <c r="D29" s="218">
        <v>0.3</v>
      </c>
      <c r="E29" s="83">
        <f>COUNTIFS(SR!$I$10:$I$821,"&gt;25%",SR!$I$10:$I$821,"&lt;=30%")</f>
        <v>5</v>
      </c>
      <c r="F29" s="218">
        <f t="shared" si="5"/>
        <v>6.8493150684931503E-3</v>
      </c>
      <c r="G29" s="168">
        <f t="shared" si="6"/>
        <v>732</v>
      </c>
      <c r="H29" s="182">
        <f t="shared" si="2"/>
        <v>1.0027397260273974</v>
      </c>
      <c r="K29" s="10"/>
      <c r="L29" s="218">
        <v>0.25</v>
      </c>
      <c r="M29" s="218">
        <v>0.3</v>
      </c>
      <c r="N29" s="83">
        <v>7</v>
      </c>
      <c r="O29" s="218">
        <v>9.5890410958904115E-3</v>
      </c>
      <c r="P29" s="168">
        <v>720</v>
      </c>
      <c r="Q29" s="182">
        <v>0.98630136986301364</v>
      </c>
    </row>
    <row r="30" spans="1:17">
      <c r="C30" s="219">
        <v>0.2</v>
      </c>
      <c r="D30" s="219">
        <v>0.25</v>
      </c>
      <c r="E30" s="168">
        <f>COUNTIFS(SR!$I$10:$I$821,"&gt;20%",SR!$I$10:$I$821,"&lt;=25%")</f>
        <v>5</v>
      </c>
      <c r="F30" s="218">
        <f t="shared" si="5"/>
        <v>6.8493150684931503E-3</v>
      </c>
      <c r="G30" s="168">
        <f t="shared" si="6"/>
        <v>737</v>
      </c>
      <c r="H30" s="182">
        <f t="shared" si="2"/>
        <v>1.0095890410958903</v>
      </c>
      <c r="K30" s="10"/>
      <c r="L30" s="219">
        <v>0.2</v>
      </c>
      <c r="M30" s="219">
        <v>0.25</v>
      </c>
      <c r="N30" s="168">
        <v>4</v>
      </c>
      <c r="O30" s="218">
        <v>5.4794520547945206E-3</v>
      </c>
      <c r="P30" s="168">
        <v>724</v>
      </c>
      <c r="Q30" s="182">
        <v>0.99178082191780825</v>
      </c>
    </row>
    <row r="31" spans="1:17">
      <c r="C31" s="218">
        <v>0.15</v>
      </c>
      <c r="D31" s="218">
        <v>0.2</v>
      </c>
      <c r="E31" s="168">
        <f>IFERROR(COUNTIFS(SR!$I$10:$I$821,"&gt;15%",SR!$I$10:$I$821,"&lt;=20%"),0)</f>
        <v>2</v>
      </c>
      <c r="F31" s="218">
        <f t="shared" si="5"/>
        <v>2.7397260273972603E-3</v>
      </c>
      <c r="G31" s="168">
        <f t="shared" si="6"/>
        <v>739</v>
      </c>
      <c r="H31" s="182">
        <f t="shared" si="2"/>
        <v>1.0123287671232877</v>
      </c>
      <c r="K31" s="10"/>
      <c r="L31" s="218">
        <v>0.15</v>
      </c>
      <c r="M31" s="218">
        <v>0.2</v>
      </c>
      <c r="N31" s="168">
        <v>5</v>
      </c>
      <c r="O31" s="218">
        <v>6.8493150684931503E-3</v>
      </c>
      <c r="P31" s="168">
        <v>729</v>
      </c>
      <c r="Q31" s="182">
        <v>0.99863013698630132</v>
      </c>
    </row>
    <row r="32" spans="1:17">
      <c r="C32" s="218">
        <f>D32-5%</f>
        <v>9.9999999999999992E-2</v>
      </c>
      <c r="D32" s="220">
        <v>0.15</v>
      </c>
      <c r="E32" s="168">
        <f>COUNTIFS(SR!$I$10:$I$821,"&gt;10%",SR!$I$10:$I$821,"&lt;=15%")</f>
        <v>1</v>
      </c>
      <c r="F32" s="218">
        <f t="shared" si="5"/>
        <v>1.3698630136986301E-3</v>
      </c>
      <c r="G32" s="168">
        <f t="shared" si="6"/>
        <v>740</v>
      </c>
      <c r="H32" s="182">
        <f t="shared" si="2"/>
        <v>1.0136986301369864</v>
      </c>
      <c r="K32" s="10"/>
      <c r="L32" s="218">
        <v>9.9999999999999992E-2</v>
      </c>
      <c r="M32" s="220">
        <v>0.15</v>
      </c>
      <c r="N32" s="168">
        <v>1</v>
      </c>
      <c r="O32" s="218">
        <v>1.3698630136986301E-3</v>
      </c>
      <c r="P32" s="168">
        <v>730</v>
      </c>
      <c r="Q32" s="182">
        <v>1</v>
      </c>
    </row>
    <row r="33" spans="3:17">
      <c r="C33" s="218">
        <f>D33-5%</f>
        <v>4.9999999999999989E-2</v>
      </c>
      <c r="D33" s="220">
        <f>D32-5%</f>
        <v>9.9999999999999992E-2</v>
      </c>
      <c r="E33" s="168">
        <f>COUNTIFS(SR!$I$10:$I$821,"&gt;5%",SR!$I$10:$I$821,"&lt;=10%")</f>
        <v>0</v>
      </c>
      <c r="F33" s="218">
        <f t="shared" si="5"/>
        <v>0</v>
      </c>
      <c r="G33" s="168">
        <f t="shared" si="6"/>
        <v>740</v>
      </c>
      <c r="H33" s="182">
        <f t="shared" si="2"/>
        <v>1.0136986301369864</v>
      </c>
      <c r="K33" s="10"/>
      <c r="L33" s="218">
        <v>4.9999999999999989E-2</v>
      </c>
      <c r="M33" s="220">
        <v>9.9999999999999992E-2</v>
      </c>
      <c r="N33" s="168">
        <v>0</v>
      </c>
      <c r="O33" s="218">
        <v>0</v>
      </c>
      <c r="P33" s="168">
        <v>730</v>
      </c>
      <c r="Q33" s="182">
        <v>1</v>
      </c>
    </row>
    <row r="34" spans="3:17">
      <c r="C34" s="218">
        <f>D34-5%</f>
        <v>0</v>
      </c>
      <c r="D34" s="220">
        <f>D33-5%</f>
        <v>4.9999999999999989E-2</v>
      </c>
      <c r="E34" s="168">
        <f>COUNTIFS(SR!$I$10:$I$821,"&gt;0%",SR!$I$10:$I$821,"&lt;=5%")</f>
        <v>0</v>
      </c>
      <c r="F34" s="218">
        <f t="shared" si="5"/>
        <v>0</v>
      </c>
      <c r="G34" s="168">
        <f t="shared" si="6"/>
        <v>740</v>
      </c>
      <c r="H34" s="182">
        <f t="shared" si="2"/>
        <v>1.0136986301369864</v>
      </c>
      <c r="K34" s="10"/>
      <c r="L34" s="218">
        <v>0</v>
      </c>
      <c r="M34" s="220">
        <v>4.9999999999999989E-2</v>
      </c>
      <c r="N34" s="168">
        <v>0</v>
      </c>
      <c r="O34" s="218">
        <v>0</v>
      </c>
      <c r="P34" s="168">
        <v>730</v>
      </c>
      <c r="Q34" s="182">
        <v>1</v>
      </c>
    </row>
  </sheetData>
  <mergeCells count="1">
    <mergeCell ref="A5:B5"/>
  </mergeCells>
  <pageMargins left="0.7" right="0.7" top="0.75" bottom="0.75" header="0.3" footer="0.3"/>
  <pageSetup paperSize="9" orientation="portrait" horizontalDpi="0" verticalDpi="0"/>
  <ignoredErrors>
    <ignoredError sqref="G5:G34" formula="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5F8BB-78B4-EE45-B1DF-26F97667F74A}">
  <dimension ref="A1:R39"/>
  <sheetViews>
    <sheetView zoomScale="130" zoomScaleNormal="130" workbookViewId="0">
      <selection activeCell="A5" sqref="A5:B5"/>
    </sheetView>
  </sheetViews>
  <sheetFormatPr baseColWidth="10" defaultRowHeight="16"/>
  <cols>
    <col min="2" max="2" width="10.83203125" style="10"/>
    <col min="3" max="3" width="10.83203125" style="24"/>
    <col min="7" max="7" width="15.5" customWidth="1"/>
  </cols>
  <sheetData>
    <row r="1" spans="1:18">
      <c r="B1" s="288">
        <v>773</v>
      </c>
    </row>
    <row r="3" spans="1:18">
      <c r="B3" s="68"/>
    </row>
    <row r="4" spans="1:18" ht="26">
      <c r="B4" s="312" t="s">
        <v>1851</v>
      </c>
      <c r="C4" s="182" t="s">
        <v>1904</v>
      </c>
      <c r="D4" s="83" t="s">
        <v>1905</v>
      </c>
      <c r="E4" s="83" t="s">
        <v>1961</v>
      </c>
      <c r="F4" s="83" t="s">
        <v>1845</v>
      </c>
      <c r="G4" s="83" t="s">
        <v>1906</v>
      </c>
      <c r="H4" s="83" t="s">
        <v>1962</v>
      </c>
      <c r="L4" s="312" t="s">
        <v>1851</v>
      </c>
      <c r="M4" s="182" t="s">
        <v>1904</v>
      </c>
      <c r="N4" s="83" t="s">
        <v>1905</v>
      </c>
      <c r="O4" s="83" t="s">
        <v>1961</v>
      </c>
      <c r="P4" s="83" t="s">
        <v>1845</v>
      </c>
      <c r="Q4" s="83" t="s">
        <v>1906</v>
      </c>
      <c r="R4" s="83" t="s">
        <v>1962</v>
      </c>
    </row>
    <row r="5" spans="1:18">
      <c r="A5" s="492"/>
      <c r="B5" s="493"/>
      <c r="C5" s="182"/>
      <c r="D5" s="184">
        <f>D6+5%</f>
        <v>1.7500000000000011</v>
      </c>
      <c r="E5" s="83">
        <f>COUNTIF(ADG!$I$10:$I$821,"&gt;175%")</f>
        <v>0</v>
      </c>
      <c r="F5" s="218">
        <f t="shared" ref="F5:F29" si="0">E5/$B$1</f>
        <v>0</v>
      </c>
      <c r="G5" s="83">
        <f>E5</f>
        <v>0</v>
      </c>
      <c r="H5" s="182">
        <f>G5/$B$1</f>
        <v>0</v>
      </c>
      <c r="K5" s="492" t="s">
        <v>2620</v>
      </c>
      <c r="L5" s="493"/>
      <c r="M5" s="182"/>
      <c r="N5" s="184">
        <v>1.7500000000000011</v>
      </c>
      <c r="O5" s="83">
        <v>2</v>
      </c>
      <c r="P5" s="218">
        <v>2.5873221216041399E-3</v>
      </c>
      <c r="Q5" s="83">
        <v>2</v>
      </c>
      <c r="R5" s="182">
        <v>2.5873221216041399E-3</v>
      </c>
    </row>
    <row r="6" spans="1:18">
      <c r="C6" s="182">
        <f t="shared" ref="C6:D21" si="1">C7+5%</f>
        <v>1.650000000000001</v>
      </c>
      <c r="D6" s="184">
        <f>D7+5%</f>
        <v>1.7000000000000011</v>
      </c>
      <c r="E6" s="51">
        <f>COUNTIFS(ADG!$I$10:$I$821,"&gt;165%",ADG!$I$10:$I$821,"&lt;=170%")</f>
        <v>0</v>
      </c>
      <c r="F6" s="218">
        <f t="shared" si="0"/>
        <v>0</v>
      </c>
      <c r="G6" s="168">
        <f t="shared" ref="G6:G11" si="2">G5+E6</f>
        <v>0</v>
      </c>
      <c r="H6" s="182">
        <f t="shared" ref="H6:H39" si="3">G6/$B$1</f>
        <v>0</v>
      </c>
      <c r="L6" s="10"/>
      <c r="M6" s="182">
        <v>1.650000000000001</v>
      </c>
      <c r="N6" s="184">
        <v>1.7000000000000011</v>
      </c>
      <c r="O6" s="51">
        <v>3</v>
      </c>
      <c r="P6" s="218">
        <v>3.8809831824062097E-3</v>
      </c>
      <c r="Q6" s="168">
        <v>5</v>
      </c>
      <c r="R6" s="182">
        <v>6.4683053040103496E-3</v>
      </c>
    </row>
    <row r="7" spans="1:18">
      <c r="C7" s="182">
        <f t="shared" si="1"/>
        <v>1.600000000000001</v>
      </c>
      <c r="D7" s="184">
        <f>D8+5%</f>
        <v>1.650000000000001</v>
      </c>
      <c r="E7" s="83">
        <f>COUNTIFS(ADG!$I$10:$I$821,"&gt;160%",ADG!$I$10:$I$821,"&lt;=165%")</f>
        <v>0</v>
      </c>
      <c r="F7" s="218">
        <f t="shared" si="0"/>
        <v>0</v>
      </c>
      <c r="G7" s="168">
        <f t="shared" si="2"/>
        <v>0</v>
      </c>
      <c r="H7" s="182">
        <f t="shared" si="3"/>
        <v>0</v>
      </c>
      <c r="L7" s="10"/>
      <c r="M7" s="182">
        <v>1.600000000000001</v>
      </c>
      <c r="N7" s="184">
        <v>1.650000000000001</v>
      </c>
      <c r="O7" s="83">
        <v>7</v>
      </c>
      <c r="P7" s="218">
        <v>9.0556274256144882E-3</v>
      </c>
      <c r="Q7" s="168">
        <v>12</v>
      </c>
      <c r="R7" s="182">
        <v>1.5523932729624839E-2</v>
      </c>
    </row>
    <row r="8" spans="1:18">
      <c r="C8" s="182">
        <f t="shared" si="1"/>
        <v>1.5500000000000009</v>
      </c>
      <c r="D8" s="184">
        <f>D9+5%</f>
        <v>1.600000000000001</v>
      </c>
      <c r="E8" s="83">
        <f>COUNTIFS(ADG!$I$10:$I$821,"&gt;155%",ADG!$I$10:$I$821,"&lt;=160%")</f>
        <v>0</v>
      </c>
      <c r="F8" s="218">
        <f t="shared" si="0"/>
        <v>0</v>
      </c>
      <c r="G8" s="168">
        <f t="shared" si="2"/>
        <v>0</v>
      </c>
      <c r="H8" s="182">
        <f t="shared" si="3"/>
        <v>0</v>
      </c>
      <c r="L8" s="10"/>
      <c r="M8" s="182">
        <v>1.5500000000000009</v>
      </c>
      <c r="N8" s="184">
        <v>1.600000000000001</v>
      </c>
      <c r="O8" s="83">
        <v>5</v>
      </c>
      <c r="P8" s="218">
        <v>6.4683053040103496E-3</v>
      </c>
      <c r="Q8" s="168">
        <v>17</v>
      </c>
      <c r="R8" s="182">
        <v>2.1992238033635189E-2</v>
      </c>
    </row>
    <row r="9" spans="1:18">
      <c r="C9" s="182">
        <f t="shared" si="1"/>
        <v>1.5000000000000009</v>
      </c>
      <c r="D9" s="184">
        <f>D10+5%</f>
        <v>1.5500000000000009</v>
      </c>
      <c r="E9" s="83">
        <f>COUNTIFS(ADG!$I$10:$I$821,"&gt;150%",ADG!$I$10:$I$821,"&lt;=155%")</f>
        <v>0</v>
      </c>
      <c r="F9" s="218">
        <f t="shared" si="0"/>
        <v>0</v>
      </c>
      <c r="G9" s="168">
        <f t="shared" si="2"/>
        <v>0</v>
      </c>
      <c r="H9" s="182">
        <f t="shared" si="3"/>
        <v>0</v>
      </c>
      <c r="L9" s="10"/>
      <c r="M9" s="182">
        <v>1.5000000000000009</v>
      </c>
      <c r="N9" s="184">
        <v>1.5500000000000009</v>
      </c>
      <c r="O9" s="83">
        <v>2</v>
      </c>
      <c r="P9" s="218">
        <v>2.5873221216041399E-3</v>
      </c>
      <c r="Q9" s="168">
        <v>19</v>
      </c>
      <c r="R9" s="182">
        <v>2.4579560155239329E-2</v>
      </c>
    </row>
    <row r="10" spans="1:18">
      <c r="C10" s="182">
        <f t="shared" si="1"/>
        <v>1.4500000000000008</v>
      </c>
      <c r="D10" s="184">
        <f t="shared" si="1"/>
        <v>1.5000000000000009</v>
      </c>
      <c r="E10" s="83">
        <f>COUNTIFS(ADG!$I$10:$I$821,"&gt;145%",ADG!$I$10:$I$821,"&lt;=150%")</f>
        <v>0</v>
      </c>
      <c r="F10" s="218">
        <f t="shared" si="0"/>
        <v>0</v>
      </c>
      <c r="G10" s="168">
        <f t="shared" si="2"/>
        <v>0</v>
      </c>
      <c r="H10" s="182">
        <f t="shared" si="3"/>
        <v>0</v>
      </c>
      <c r="L10" s="10"/>
      <c r="M10" s="182">
        <v>1.4500000000000008</v>
      </c>
      <c r="N10" s="184">
        <v>1.5000000000000009</v>
      </c>
      <c r="O10" s="83">
        <v>6</v>
      </c>
      <c r="P10" s="218">
        <v>7.7619663648124193E-3</v>
      </c>
      <c r="Q10" s="168">
        <v>25</v>
      </c>
      <c r="R10" s="182">
        <v>3.2341526520051747E-2</v>
      </c>
    </row>
    <row r="11" spans="1:18">
      <c r="C11" s="182">
        <f t="shared" si="1"/>
        <v>1.4000000000000008</v>
      </c>
      <c r="D11" s="184">
        <f t="shared" si="1"/>
        <v>1.4500000000000008</v>
      </c>
      <c r="E11" s="83">
        <f>COUNTIFS(ADG!$I$10:$I$821,"&gt;140%",ADG!$I$10:$I$821,"&lt;=145%")</f>
        <v>0</v>
      </c>
      <c r="F11" s="218">
        <f t="shared" si="0"/>
        <v>0</v>
      </c>
      <c r="G11" s="168">
        <f t="shared" si="2"/>
        <v>0</v>
      </c>
      <c r="H11" s="182">
        <f t="shared" si="3"/>
        <v>0</v>
      </c>
      <c r="L11" s="10"/>
      <c r="M11" s="182">
        <v>1.4000000000000008</v>
      </c>
      <c r="N11" s="184">
        <v>1.4500000000000008</v>
      </c>
      <c r="O11" s="83">
        <v>12</v>
      </c>
      <c r="P11" s="218">
        <v>1.5523932729624839E-2</v>
      </c>
      <c r="Q11" s="168">
        <v>37</v>
      </c>
      <c r="R11" s="182">
        <v>4.7865459249676584E-2</v>
      </c>
    </row>
    <row r="12" spans="1:18">
      <c r="C12" s="182">
        <f t="shared" si="1"/>
        <v>1.3500000000000008</v>
      </c>
      <c r="D12" s="184">
        <f t="shared" si="1"/>
        <v>1.4000000000000008</v>
      </c>
      <c r="E12" s="83">
        <f>COUNTIFS(ADG!$I$10:$I$821,"&gt;135%",ADG!$I$10:$I$821,"&lt;=140%")</f>
        <v>3</v>
      </c>
      <c r="F12" s="218">
        <f t="shared" si="0"/>
        <v>3.8809831824062097E-3</v>
      </c>
      <c r="G12" s="168">
        <f t="shared" ref="G12:G29" si="4">G11+E12</f>
        <v>3</v>
      </c>
      <c r="H12" s="182">
        <f t="shared" si="3"/>
        <v>3.8809831824062097E-3</v>
      </c>
      <c r="L12" s="10"/>
      <c r="M12" s="182">
        <v>1.3500000000000008</v>
      </c>
      <c r="N12" s="184">
        <v>1.4000000000000008</v>
      </c>
      <c r="O12" s="83">
        <v>8</v>
      </c>
      <c r="P12" s="218">
        <v>1.034928848641656E-2</v>
      </c>
      <c r="Q12" s="168">
        <v>45</v>
      </c>
      <c r="R12" s="182">
        <v>5.8214747736093142E-2</v>
      </c>
    </row>
    <row r="13" spans="1:18">
      <c r="C13" s="182">
        <f t="shared" si="1"/>
        <v>1.3000000000000007</v>
      </c>
      <c r="D13" s="184">
        <f t="shared" si="1"/>
        <v>1.3500000000000008</v>
      </c>
      <c r="E13" s="83">
        <f>COUNTIFS(ADG!$I$10:$I$821,"&gt;130%",ADG!$I$10:$I$821,"&lt;=135%")</f>
        <v>1</v>
      </c>
      <c r="F13" s="218">
        <f t="shared" si="0"/>
        <v>1.29366106080207E-3</v>
      </c>
      <c r="G13" s="168">
        <f t="shared" si="4"/>
        <v>4</v>
      </c>
      <c r="H13" s="182">
        <f t="shared" si="3"/>
        <v>5.1746442432082798E-3</v>
      </c>
      <c r="L13" s="10"/>
      <c r="M13" s="182">
        <v>1.3000000000000007</v>
      </c>
      <c r="N13" s="184">
        <v>1.3500000000000008</v>
      </c>
      <c r="O13" s="83">
        <v>17</v>
      </c>
      <c r="P13" s="218">
        <v>2.1992238033635189E-2</v>
      </c>
      <c r="Q13" s="168">
        <v>62</v>
      </c>
      <c r="R13" s="182">
        <v>8.0206985769728331E-2</v>
      </c>
    </row>
    <row r="14" spans="1:18">
      <c r="C14" s="182">
        <f t="shared" si="1"/>
        <v>1.2500000000000007</v>
      </c>
      <c r="D14" s="184">
        <f t="shared" si="1"/>
        <v>1.3000000000000007</v>
      </c>
      <c r="E14" s="83">
        <f>COUNTIFS(ADG!$I$10:$I$821,"&gt;125%",ADG!$I$10:$I$821,"&lt;=130%")</f>
        <v>6</v>
      </c>
      <c r="F14" s="218">
        <f t="shared" si="0"/>
        <v>7.7619663648124193E-3</v>
      </c>
      <c r="G14" s="168">
        <f t="shared" si="4"/>
        <v>10</v>
      </c>
      <c r="H14" s="182">
        <f t="shared" si="3"/>
        <v>1.2936610608020699E-2</v>
      </c>
      <c r="L14" s="10"/>
      <c r="M14" s="182">
        <v>1.2500000000000007</v>
      </c>
      <c r="N14" s="184">
        <v>1.3000000000000007</v>
      </c>
      <c r="O14" s="83">
        <v>35</v>
      </c>
      <c r="P14" s="218">
        <v>4.5278137128072445E-2</v>
      </c>
      <c r="Q14" s="168">
        <v>97</v>
      </c>
      <c r="R14" s="182">
        <v>0.12548512289780078</v>
      </c>
    </row>
    <row r="15" spans="1:18">
      <c r="A15" s="17" t="s">
        <v>1931</v>
      </c>
      <c r="B15" s="307">
        <v>15</v>
      </c>
      <c r="C15" s="182">
        <f t="shared" si="1"/>
        <v>1.2000000000000006</v>
      </c>
      <c r="D15" s="315">
        <f t="shared" si="1"/>
        <v>1.2500000000000007</v>
      </c>
      <c r="E15" s="285">
        <f>COUNTIFS(ADG!$I$10:$I$821,"&gt;120%",ADG!$I$10:$I$821,"&lt;=125%")</f>
        <v>11</v>
      </c>
      <c r="F15" s="218">
        <f t="shared" si="0"/>
        <v>1.4230271668822769E-2</v>
      </c>
      <c r="G15" s="168">
        <f t="shared" si="4"/>
        <v>21</v>
      </c>
      <c r="H15" s="314">
        <f t="shared" si="3"/>
        <v>2.7166882276843468E-2</v>
      </c>
      <c r="K15" s="17" t="s">
        <v>1931</v>
      </c>
      <c r="L15" s="307">
        <v>15</v>
      </c>
      <c r="M15" s="182">
        <v>1.2000000000000006</v>
      </c>
      <c r="N15" s="315">
        <v>1.2500000000000007</v>
      </c>
      <c r="O15" s="285">
        <v>47</v>
      </c>
      <c r="P15" s="218">
        <v>6.0802069857697282E-2</v>
      </c>
      <c r="Q15" s="168">
        <v>144</v>
      </c>
      <c r="R15" s="314">
        <v>0.18628719275549807</v>
      </c>
    </row>
    <row r="16" spans="1:18">
      <c r="C16" s="182">
        <f t="shared" si="1"/>
        <v>1.1500000000000006</v>
      </c>
      <c r="D16" s="184">
        <f t="shared" si="1"/>
        <v>1.2000000000000006</v>
      </c>
      <c r="E16" s="285">
        <f>COUNTIFS(ADG!$I$10:$I$821,"&gt;115%",ADG!$I$10:$I$821,"&lt;=120%")</f>
        <v>21</v>
      </c>
      <c r="F16" s="218">
        <f t="shared" si="0"/>
        <v>2.7166882276843468E-2</v>
      </c>
      <c r="G16" s="168">
        <f t="shared" si="4"/>
        <v>42</v>
      </c>
      <c r="H16" s="314">
        <f t="shared" si="3"/>
        <v>5.4333764553686936E-2</v>
      </c>
      <c r="L16" s="10"/>
      <c r="M16" s="182">
        <v>1.1500000000000006</v>
      </c>
      <c r="N16" s="184">
        <v>1.2000000000000006</v>
      </c>
      <c r="O16" s="285">
        <v>57</v>
      </c>
      <c r="P16" s="218">
        <v>7.3738680465717979E-2</v>
      </c>
      <c r="Q16" s="168">
        <v>201</v>
      </c>
      <c r="R16" s="314">
        <v>0.26002587322121606</v>
      </c>
    </row>
    <row r="17" spans="1:18">
      <c r="C17" s="182">
        <f t="shared" si="1"/>
        <v>1.1000000000000005</v>
      </c>
      <c r="D17" s="184">
        <f t="shared" si="1"/>
        <v>1.1500000000000006</v>
      </c>
      <c r="E17" s="285">
        <f>COUNTIFS(ADG!$I$10:$I$821,"&gt;110%",ADG!$I$10:$I$821,"&lt;=115%")</f>
        <v>23</v>
      </c>
      <c r="F17" s="218">
        <f t="shared" si="0"/>
        <v>2.9754204398447608E-2</v>
      </c>
      <c r="G17" s="168">
        <f t="shared" si="4"/>
        <v>65</v>
      </c>
      <c r="H17" s="314">
        <f t="shared" si="3"/>
        <v>8.4087968952134537E-2</v>
      </c>
      <c r="L17" s="10"/>
      <c r="M17" s="182">
        <v>1.1000000000000005</v>
      </c>
      <c r="N17" s="184">
        <v>1.1500000000000006</v>
      </c>
      <c r="O17" s="285">
        <v>77</v>
      </c>
      <c r="P17" s="218">
        <v>9.9611901681759374E-2</v>
      </c>
      <c r="Q17" s="168">
        <v>278</v>
      </c>
      <c r="R17" s="314">
        <v>0.35963777490297544</v>
      </c>
    </row>
    <row r="18" spans="1:18">
      <c r="C18" s="182">
        <f t="shared" si="1"/>
        <v>1.0500000000000005</v>
      </c>
      <c r="D18" s="184">
        <f t="shared" si="1"/>
        <v>1.1000000000000005</v>
      </c>
      <c r="E18" s="285">
        <f>COUNTIFS(ADG!$I$10:$I$821,"&gt;105%",ADG!$I$10:$I$821,"&lt;=110%")</f>
        <v>39</v>
      </c>
      <c r="F18" s="218">
        <f t="shared" si="0"/>
        <v>5.0452781371280724E-2</v>
      </c>
      <c r="G18" s="168">
        <f t="shared" si="4"/>
        <v>104</v>
      </c>
      <c r="H18" s="314">
        <f t="shared" si="3"/>
        <v>0.13454075032341525</v>
      </c>
      <c r="L18" s="10"/>
      <c r="M18" s="182">
        <v>1.0500000000000005</v>
      </c>
      <c r="N18" s="184">
        <v>1.1000000000000005</v>
      </c>
      <c r="O18" s="285">
        <v>68</v>
      </c>
      <c r="P18" s="218">
        <v>8.7968952134540757E-2</v>
      </c>
      <c r="Q18" s="168">
        <v>346</v>
      </c>
      <c r="R18" s="314">
        <v>0.44760672703751619</v>
      </c>
    </row>
    <row r="19" spans="1:18">
      <c r="C19" s="182">
        <f t="shared" si="1"/>
        <v>1.0000000000000004</v>
      </c>
      <c r="D19" s="184">
        <f t="shared" si="1"/>
        <v>1.0500000000000005</v>
      </c>
      <c r="E19" s="285">
        <f>COUNTIFS(ADG!$I$10:$I$821,"&gt;100%",ADG!$I$10:$I$821,"&lt;=105%")</f>
        <v>54</v>
      </c>
      <c r="F19" s="218">
        <f t="shared" si="0"/>
        <v>6.9857697283311773E-2</v>
      </c>
      <c r="G19" s="168">
        <f t="shared" si="4"/>
        <v>158</v>
      </c>
      <c r="H19" s="314">
        <f t="shared" si="3"/>
        <v>0.20439844760672704</v>
      </c>
      <c r="L19" s="10"/>
      <c r="M19" s="182">
        <v>1.0000000000000004</v>
      </c>
      <c r="N19" s="184">
        <v>1.0500000000000005</v>
      </c>
      <c r="O19" s="285">
        <v>59</v>
      </c>
      <c r="P19" s="218">
        <v>7.6326002587322125E-2</v>
      </c>
      <c r="Q19" s="168">
        <v>405</v>
      </c>
      <c r="R19" s="314">
        <v>0.52393272962483828</v>
      </c>
    </row>
    <row r="20" spans="1:18">
      <c r="C20" s="182">
        <f t="shared" si="1"/>
        <v>0.9500000000000004</v>
      </c>
      <c r="D20" s="184">
        <f t="shared" si="1"/>
        <v>1.0000000000000004</v>
      </c>
      <c r="E20" s="285">
        <f>COUNTIFS(ADG!$I$10:$I$821,"&gt;95%",ADG!$I$10:$I$821,"&lt;=100%")</f>
        <v>86</v>
      </c>
      <c r="F20" s="218">
        <f t="shared" si="0"/>
        <v>0.11125485122897801</v>
      </c>
      <c r="G20" s="168">
        <f t="shared" si="4"/>
        <v>244</v>
      </c>
      <c r="H20" s="314">
        <f t="shared" si="3"/>
        <v>0.31565329883570503</v>
      </c>
      <c r="L20" s="10"/>
      <c r="M20" s="182">
        <v>0.9500000000000004</v>
      </c>
      <c r="N20" s="184">
        <v>1.0000000000000004</v>
      </c>
      <c r="O20" s="285">
        <v>47</v>
      </c>
      <c r="P20" s="218">
        <v>6.0802069857697282E-2</v>
      </c>
      <c r="Q20" s="168">
        <v>452</v>
      </c>
      <c r="R20" s="314">
        <v>0.58473479948253559</v>
      </c>
    </row>
    <row r="21" spans="1:18">
      <c r="C21" s="182">
        <f t="shared" si="1"/>
        <v>0.90000000000000036</v>
      </c>
      <c r="D21" s="184">
        <f t="shared" si="1"/>
        <v>0.9500000000000004</v>
      </c>
      <c r="E21" s="285">
        <f>COUNTIFS(ADG!$I$10:$I$821,"&gt;90%",ADG!$I$10:$I$821,"&lt;=95%")</f>
        <v>102</v>
      </c>
      <c r="F21" s="218">
        <f t="shared" si="0"/>
        <v>0.13195342820181113</v>
      </c>
      <c r="G21" s="168">
        <f t="shared" si="4"/>
        <v>346</v>
      </c>
      <c r="H21" s="314">
        <f t="shared" si="3"/>
        <v>0.44760672703751619</v>
      </c>
      <c r="L21" s="10"/>
      <c r="M21" s="182">
        <v>0.90000000000000036</v>
      </c>
      <c r="N21" s="184">
        <v>0.9500000000000004</v>
      </c>
      <c r="O21" s="285">
        <v>44</v>
      </c>
      <c r="P21" s="218">
        <v>5.6921086675291076E-2</v>
      </c>
      <c r="Q21" s="168">
        <v>496</v>
      </c>
      <c r="R21" s="314">
        <v>0.64165588615782665</v>
      </c>
    </row>
    <row r="22" spans="1:18">
      <c r="C22" s="182">
        <f t="shared" ref="C22:D28" si="5">C23+5%</f>
        <v>0.85000000000000031</v>
      </c>
      <c r="D22" s="184">
        <f t="shared" si="5"/>
        <v>0.90000000000000036</v>
      </c>
      <c r="E22" s="285">
        <f>COUNTIFS(ADG!$I$10:$I$821,"&gt;85%",ADG!$I$10:$I$821,"&lt;=90%")</f>
        <v>95</v>
      </c>
      <c r="F22" s="218">
        <f t="shared" si="0"/>
        <v>0.12289780077619664</v>
      </c>
      <c r="G22" s="168">
        <f t="shared" si="4"/>
        <v>441</v>
      </c>
      <c r="H22" s="314">
        <f t="shared" si="3"/>
        <v>0.57050452781371286</v>
      </c>
      <c r="L22" s="10"/>
      <c r="M22" s="182">
        <v>0.85000000000000031</v>
      </c>
      <c r="N22" s="184">
        <v>0.90000000000000036</v>
      </c>
      <c r="O22" s="285">
        <v>41</v>
      </c>
      <c r="P22" s="218">
        <v>5.3040103492884863E-2</v>
      </c>
      <c r="Q22" s="168">
        <v>537</v>
      </c>
      <c r="R22" s="314">
        <v>0.69469598965071155</v>
      </c>
    </row>
    <row r="23" spans="1:18">
      <c r="C23" s="182">
        <f t="shared" si="5"/>
        <v>0.80000000000000027</v>
      </c>
      <c r="D23" s="184">
        <f t="shared" si="5"/>
        <v>0.85000000000000031</v>
      </c>
      <c r="E23" s="285">
        <f>COUNTIFS(ADG!$I$10:$I$821,"&gt;80%",ADG!$I$10:$I$821,"&lt;=85%")</f>
        <v>88</v>
      </c>
      <c r="F23" s="218">
        <f t="shared" si="0"/>
        <v>0.11384217335058215</v>
      </c>
      <c r="G23" s="168">
        <f t="shared" si="4"/>
        <v>529</v>
      </c>
      <c r="H23" s="314">
        <f t="shared" si="3"/>
        <v>0.68434670116429497</v>
      </c>
      <c r="L23" s="10"/>
      <c r="M23" s="182">
        <v>0.80000000000000027</v>
      </c>
      <c r="N23" s="184">
        <v>0.85000000000000031</v>
      </c>
      <c r="O23" s="285">
        <v>34</v>
      </c>
      <c r="P23" s="218">
        <v>4.3984476067270378E-2</v>
      </c>
      <c r="Q23" s="168">
        <v>571</v>
      </c>
      <c r="R23" s="314">
        <v>0.73868046571798185</v>
      </c>
    </row>
    <row r="24" spans="1:18">
      <c r="C24" s="182">
        <f t="shared" si="5"/>
        <v>0.75000000000000022</v>
      </c>
      <c r="D24" s="184">
        <f t="shared" si="5"/>
        <v>0.80000000000000027</v>
      </c>
      <c r="E24" s="285">
        <f>COUNTIFS(ADG!$I$10:$I$821,"&gt;75%",ADG!$I$10:$I$821,"&lt;=80%")</f>
        <v>85</v>
      </c>
      <c r="F24" s="218">
        <f t="shared" si="0"/>
        <v>0.10996119016817593</v>
      </c>
      <c r="G24" s="168">
        <f t="shared" si="4"/>
        <v>614</v>
      </c>
      <c r="H24" s="314">
        <f t="shared" si="3"/>
        <v>0.79430789133247093</v>
      </c>
      <c r="L24" s="10"/>
      <c r="M24" s="182">
        <v>0.75000000000000022</v>
      </c>
      <c r="N24" s="184">
        <v>0.80000000000000027</v>
      </c>
      <c r="O24" s="285">
        <v>36</v>
      </c>
      <c r="P24" s="218">
        <v>4.6571798188874518E-2</v>
      </c>
      <c r="Q24" s="168">
        <v>607</v>
      </c>
      <c r="R24" s="314">
        <v>0.78525226390685643</v>
      </c>
    </row>
    <row r="25" spans="1:18">
      <c r="C25" s="182">
        <f t="shared" si="5"/>
        <v>0.70000000000000018</v>
      </c>
      <c r="D25" s="184">
        <f t="shared" si="5"/>
        <v>0.75000000000000022</v>
      </c>
      <c r="E25" s="285">
        <f>COUNTIFS(ADG!$I$10:$I$821,"&gt;70%",ADG!$I$10:$I$821,"&lt;=75%")</f>
        <v>73</v>
      </c>
      <c r="F25" s="218">
        <f t="shared" si="0"/>
        <v>9.4437257438551095E-2</v>
      </c>
      <c r="G25" s="168">
        <f t="shared" si="4"/>
        <v>687</v>
      </c>
      <c r="H25" s="314">
        <f t="shared" si="3"/>
        <v>0.88874514877102195</v>
      </c>
      <c r="L25" s="10"/>
      <c r="M25" s="182">
        <v>0.70000000000000018</v>
      </c>
      <c r="N25" s="184">
        <v>0.75000000000000022</v>
      </c>
      <c r="O25" s="285">
        <v>32</v>
      </c>
      <c r="P25" s="218">
        <v>4.1397153945666239E-2</v>
      </c>
      <c r="Q25" s="168">
        <v>639</v>
      </c>
      <c r="R25" s="314">
        <v>0.82664941785252266</v>
      </c>
    </row>
    <row r="26" spans="1:18">
      <c r="C26" s="182">
        <f t="shared" si="5"/>
        <v>0.65000000000000013</v>
      </c>
      <c r="D26" s="184">
        <f t="shared" si="5"/>
        <v>0.70000000000000018</v>
      </c>
      <c r="E26" s="285">
        <f>COUNTIFS(ADG!$I$10:$I$821,"&gt;65%",ADG!$I$10:$I$821,"&lt;=70%")</f>
        <v>37</v>
      </c>
      <c r="F26" s="218">
        <f t="shared" si="0"/>
        <v>4.7865459249676584E-2</v>
      </c>
      <c r="G26" s="168">
        <f t="shared" si="4"/>
        <v>724</v>
      </c>
      <c r="H26" s="314">
        <f t="shared" si="3"/>
        <v>0.93661060802069862</v>
      </c>
      <c r="L26" s="10"/>
      <c r="M26" s="182">
        <v>0.65000000000000013</v>
      </c>
      <c r="N26" s="184">
        <v>0.70000000000000018</v>
      </c>
      <c r="O26" s="285">
        <v>24</v>
      </c>
      <c r="P26" s="218">
        <v>3.1047865459249677E-2</v>
      </c>
      <c r="Q26" s="168">
        <v>663</v>
      </c>
      <c r="R26" s="314">
        <v>0.85769728331177231</v>
      </c>
    </row>
    <row r="27" spans="1:18">
      <c r="C27" s="182">
        <f t="shared" si="5"/>
        <v>0.60000000000000009</v>
      </c>
      <c r="D27" s="184">
        <f t="shared" si="5"/>
        <v>0.65000000000000013</v>
      </c>
      <c r="E27" s="285">
        <f>COUNTIFS(ADG!$I$10:$I$821,"&gt;60%",ADG!$I$10:$I$821,"&lt;=65%")</f>
        <v>22</v>
      </c>
      <c r="F27" s="218">
        <f t="shared" si="0"/>
        <v>2.8460543337645538E-2</v>
      </c>
      <c r="G27" s="168">
        <f t="shared" si="4"/>
        <v>746</v>
      </c>
      <c r="H27" s="314">
        <f t="shared" si="3"/>
        <v>0.96507115135834409</v>
      </c>
      <c r="L27" s="10"/>
      <c r="M27" s="182">
        <v>0.60000000000000009</v>
      </c>
      <c r="N27" s="184">
        <v>0.65000000000000013</v>
      </c>
      <c r="O27" s="285">
        <v>28</v>
      </c>
      <c r="P27" s="218">
        <v>3.6222509702457953E-2</v>
      </c>
      <c r="Q27" s="168">
        <v>691</v>
      </c>
      <c r="R27" s="314">
        <v>0.8939197930142303</v>
      </c>
    </row>
    <row r="28" spans="1:18">
      <c r="C28" s="182">
        <f t="shared" si="5"/>
        <v>0.55000000000000004</v>
      </c>
      <c r="D28" s="184">
        <f t="shared" si="5"/>
        <v>0.60000000000000009</v>
      </c>
      <c r="E28" s="285">
        <f>COUNTIFS(ADG!$I$10:$I$821,"&gt;55%",ADG!$I$10:$I$821,"&lt;=60%")</f>
        <v>19</v>
      </c>
      <c r="F28" s="218">
        <f t="shared" si="0"/>
        <v>2.4579560155239329E-2</v>
      </c>
      <c r="G28" s="168">
        <f t="shared" si="4"/>
        <v>765</v>
      </c>
      <c r="H28" s="314">
        <f t="shared" si="3"/>
        <v>0.98965071151358341</v>
      </c>
      <c r="L28" s="10"/>
      <c r="M28" s="182">
        <v>0.55000000000000004</v>
      </c>
      <c r="N28" s="184">
        <v>0.60000000000000009</v>
      </c>
      <c r="O28" s="285">
        <v>24</v>
      </c>
      <c r="P28" s="218">
        <v>3.1047865459249677E-2</v>
      </c>
      <c r="Q28" s="168">
        <v>715</v>
      </c>
      <c r="R28" s="314">
        <v>0.92496765847347995</v>
      </c>
    </row>
    <row r="29" spans="1:18" ht="17" customHeight="1">
      <c r="A29" s="17" t="s">
        <v>1931</v>
      </c>
      <c r="B29" s="309">
        <v>0</v>
      </c>
      <c r="C29" s="316">
        <f>C30+5%</f>
        <v>0.5</v>
      </c>
      <c r="D29" s="184">
        <f>D30+5%</f>
        <v>0.55000000000000004</v>
      </c>
      <c r="E29" s="285">
        <f>COUNTIFS(ADG!$I$10:$I$821,"&gt;50%",ADG!$I$10:$I$821,"&lt;=55%")</f>
        <v>17</v>
      </c>
      <c r="F29" s="218">
        <f t="shared" si="0"/>
        <v>2.1992238033635189E-2</v>
      </c>
      <c r="G29" s="168">
        <f t="shared" si="4"/>
        <v>782</v>
      </c>
      <c r="H29" s="314">
        <f t="shared" si="3"/>
        <v>1.0116429495472186</v>
      </c>
      <c r="K29" s="17" t="s">
        <v>1931</v>
      </c>
      <c r="L29" s="309">
        <v>0</v>
      </c>
      <c r="M29" s="316">
        <v>0.5</v>
      </c>
      <c r="N29" s="184">
        <v>0.55000000000000004</v>
      </c>
      <c r="O29" s="285">
        <v>26</v>
      </c>
      <c r="P29" s="218">
        <v>3.3635187580853813E-2</v>
      </c>
      <c r="Q29" s="168">
        <v>741</v>
      </c>
      <c r="R29" s="314">
        <v>0.95860284605433377</v>
      </c>
    </row>
    <row r="30" spans="1:18">
      <c r="C30" s="182">
        <v>0.45</v>
      </c>
      <c r="D30" s="182">
        <v>0.5</v>
      </c>
      <c r="E30" s="83">
        <f>COUNTIFS(ADG!$I$10:$I$821,"&gt;45%",ADG!$I$10:$I$821,"&lt;=50%")</f>
        <v>5</v>
      </c>
      <c r="F30" s="218">
        <f t="shared" ref="F30:F39" si="6">E30/$B$1</f>
        <v>6.4683053040103496E-3</v>
      </c>
      <c r="G30" s="168">
        <f>G29+E30</f>
        <v>787</v>
      </c>
      <c r="H30" s="182">
        <f t="shared" si="3"/>
        <v>1.018111254851229</v>
      </c>
      <c r="L30" s="10"/>
      <c r="M30" s="182">
        <v>0.45</v>
      </c>
      <c r="N30" s="182">
        <v>0.5</v>
      </c>
      <c r="O30" s="83">
        <v>17</v>
      </c>
      <c r="P30" s="218">
        <v>2.1992238033635189E-2</v>
      </c>
      <c r="Q30" s="168">
        <v>758</v>
      </c>
      <c r="R30" s="182">
        <v>0.98059508408796892</v>
      </c>
    </row>
    <row r="31" spans="1:18">
      <c r="C31" s="182">
        <v>0.4</v>
      </c>
      <c r="D31" s="182">
        <v>0.45</v>
      </c>
      <c r="E31" s="83">
        <f>COUNTIFS(ADG!$I$10:$I$821,"&gt;40%",ADG!$I$10:$I$821,"&lt;=45%")</f>
        <v>2</v>
      </c>
      <c r="F31" s="218">
        <f t="shared" si="6"/>
        <v>2.5873221216041399E-3</v>
      </c>
      <c r="G31" s="168">
        <f t="shared" ref="G31:G39" si="7">G30+E31</f>
        <v>789</v>
      </c>
      <c r="H31" s="182">
        <f t="shared" si="3"/>
        <v>1.0206985769728332</v>
      </c>
      <c r="L31" s="10"/>
      <c r="M31" s="182">
        <v>0.4</v>
      </c>
      <c r="N31" s="182">
        <v>0.45</v>
      </c>
      <c r="O31" s="83">
        <v>8</v>
      </c>
      <c r="P31" s="218">
        <v>1.034928848641656E-2</v>
      </c>
      <c r="Q31" s="168">
        <v>766</v>
      </c>
      <c r="R31" s="182">
        <v>0.9909443725743855</v>
      </c>
    </row>
    <row r="32" spans="1:18">
      <c r="C32" s="218">
        <v>0.35</v>
      </c>
      <c r="D32" s="218">
        <v>0.4</v>
      </c>
      <c r="E32" s="168">
        <f>COUNTIFS(ADG!$I$10:$I$821,"&gt;35%",ADG!$I$10:$I$821,"&lt;=40%")</f>
        <v>0</v>
      </c>
      <c r="F32" s="218">
        <f t="shared" si="6"/>
        <v>0</v>
      </c>
      <c r="G32" s="168">
        <f t="shared" si="7"/>
        <v>789</v>
      </c>
      <c r="H32" s="182">
        <f t="shared" si="3"/>
        <v>1.0206985769728332</v>
      </c>
      <c r="L32" s="10"/>
      <c r="M32" s="218">
        <v>0.35</v>
      </c>
      <c r="N32" s="218">
        <v>0.4</v>
      </c>
      <c r="O32" s="168">
        <v>4</v>
      </c>
      <c r="P32" s="218">
        <v>5.1746442432082798E-3</v>
      </c>
      <c r="Q32" s="168">
        <v>770</v>
      </c>
      <c r="R32" s="182">
        <v>0.99611901681759374</v>
      </c>
    </row>
    <row r="33" spans="3:18">
      <c r="C33" s="218">
        <v>0.3</v>
      </c>
      <c r="D33" s="218">
        <v>0.35</v>
      </c>
      <c r="E33" s="83">
        <f>COUNTIFS(YIELDN!$K$10:$K$821,"&gt;30%",YIELDN!$K$10:$K$821,"&lt;=35%")</f>
        <v>26</v>
      </c>
      <c r="F33" s="218">
        <f t="shared" si="6"/>
        <v>3.3635187580853813E-2</v>
      </c>
      <c r="G33" s="168">
        <f t="shared" si="7"/>
        <v>815</v>
      </c>
      <c r="H33" s="182">
        <f t="shared" si="3"/>
        <v>1.054333764553687</v>
      </c>
      <c r="L33" s="10"/>
      <c r="M33" s="218">
        <v>0.3</v>
      </c>
      <c r="N33" s="218">
        <v>0.35</v>
      </c>
      <c r="O33" s="83">
        <v>2</v>
      </c>
      <c r="P33" s="218">
        <v>2.5873221216041399E-3</v>
      </c>
      <c r="Q33" s="168">
        <v>772</v>
      </c>
      <c r="R33" s="182">
        <v>0.99870633893919791</v>
      </c>
    </row>
    <row r="34" spans="3:18">
      <c r="C34" s="218">
        <v>0.25</v>
      </c>
      <c r="D34" s="218">
        <v>0.3</v>
      </c>
      <c r="E34" s="83">
        <f>COUNTIFS(YIELDN!$K$10:$K$821,"&gt;25%",YIELDN!$K$10:$K$821,"&lt;=30%")</f>
        <v>21</v>
      </c>
      <c r="F34" s="218">
        <f t="shared" si="6"/>
        <v>2.7166882276843468E-2</v>
      </c>
      <c r="G34" s="168">
        <f t="shared" si="7"/>
        <v>836</v>
      </c>
      <c r="H34" s="182">
        <f t="shared" si="3"/>
        <v>1.0815006468305304</v>
      </c>
      <c r="L34" s="10"/>
      <c r="M34" s="218">
        <v>0.25</v>
      </c>
      <c r="N34" s="218">
        <v>0.3</v>
      </c>
      <c r="O34" s="83">
        <v>1</v>
      </c>
      <c r="P34" s="218">
        <v>1.29366106080207E-3</v>
      </c>
      <c r="Q34" s="168">
        <v>773</v>
      </c>
      <c r="R34" s="182">
        <v>1</v>
      </c>
    </row>
    <row r="35" spans="3:18">
      <c r="C35" s="219">
        <v>0.2</v>
      </c>
      <c r="D35" s="219">
        <v>0.25</v>
      </c>
      <c r="E35" s="83">
        <f>COUNTIFS(YIELDN!$K$10:$K$821,"&gt;25%",YIELDN!$K$10:$K$821,"&lt;=30%")</f>
        <v>21</v>
      </c>
      <c r="F35" s="218">
        <f t="shared" si="6"/>
        <v>2.7166882276843468E-2</v>
      </c>
      <c r="G35" s="168">
        <f t="shared" si="7"/>
        <v>857</v>
      </c>
      <c r="H35" s="182">
        <f t="shared" si="3"/>
        <v>1.1086675291073738</v>
      </c>
      <c r="L35" s="10"/>
      <c r="M35" s="219">
        <v>0.2</v>
      </c>
      <c r="N35" s="219">
        <v>0.25</v>
      </c>
      <c r="O35" s="83">
        <v>1</v>
      </c>
      <c r="P35" s="218">
        <v>1.29366106080207E-3</v>
      </c>
      <c r="Q35" s="168">
        <v>774</v>
      </c>
      <c r="R35" s="182">
        <v>1.0012936610608021</v>
      </c>
    </row>
    <row r="36" spans="3:18">
      <c r="C36" s="218">
        <v>0.15</v>
      </c>
      <c r="D36" s="218">
        <v>0.2</v>
      </c>
      <c r="E36" s="83">
        <f>COUNTIFS(YIELDN!$K$10:$K$821,"&gt;25%",YIELDN!$K$10:$K$821,"&lt;=30%")</f>
        <v>21</v>
      </c>
      <c r="F36" s="218">
        <f t="shared" si="6"/>
        <v>2.7166882276843468E-2</v>
      </c>
      <c r="G36" s="168">
        <f t="shared" si="7"/>
        <v>878</v>
      </c>
      <c r="H36" s="182">
        <f t="shared" si="3"/>
        <v>1.1358344113842174</v>
      </c>
      <c r="L36" s="10"/>
      <c r="M36" s="218">
        <v>0.15</v>
      </c>
      <c r="N36" s="218">
        <v>0.2</v>
      </c>
      <c r="O36" s="83">
        <v>1</v>
      </c>
      <c r="P36" s="218">
        <v>1.29366106080207E-3</v>
      </c>
      <c r="Q36" s="168">
        <v>775</v>
      </c>
      <c r="R36" s="182">
        <v>1.0025873221216042</v>
      </c>
    </row>
    <row r="37" spans="3:18">
      <c r="C37" s="218">
        <f>D37-5%</f>
        <v>9.9999999999999992E-2</v>
      </c>
      <c r="D37" s="220">
        <v>0.15</v>
      </c>
      <c r="E37" s="83">
        <f>COUNTIFS(YIELDN!$K$10:$K$821,"&gt;25%",YIELDN!$K$10:$K$821,"&lt;=30%")</f>
        <v>21</v>
      </c>
      <c r="F37" s="218">
        <f t="shared" si="6"/>
        <v>2.7166882276843468E-2</v>
      </c>
      <c r="G37" s="168">
        <f t="shared" si="7"/>
        <v>899</v>
      </c>
      <c r="H37" s="182">
        <f t="shared" si="3"/>
        <v>1.1630012936610608</v>
      </c>
      <c r="L37" s="10"/>
      <c r="M37" s="218">
        <v>9.9999999999999992E-2</v>
      </c>
      <c r="N37" s="220">
        <v>0.15</v>
      </c>
      <c r="O37" s="83">
        <v>1</v>
      </c>
      <c r="P37" s="218">
        <v>1.29366106080207E-3</v>
      </c>
      <c r="Q37" s="168">
        <v>776</v>
      </c>
      <c r="R37" s="182">
        <v>1.0038809831824063</v>
      </c>
    </row>
    <row r="38" spans="3:18">
      <c r="C38" s="218">
        <f>D38-5%</f>
        <v>4.9999999999999989E-2</v>
      </c>
      <c r="D38" s="220">
        <f>D37-5%</f>
        <v>9.9999999999999992E-2</v>
      </c>
      <c r="E38" s="83">
        <f>COUNTIFS(YIELDN!$K$10:$K$821,"&gt;25%",YIELDN!$K$10:$K$821,"&lt;=30%")</f>
        <v>21</v>
      </c>
      <c r="F38" s="218">
        <f t="shared" si="6"/>
        <v>2.7166882276843468E-2</v>
      </c>
      <c r="G38" s="168">
        <f t="shared" si="7"/>
        <v>920</v>
      </c>
      <c r="H38" s="182">
        <f t="shared" si="3"/>
        <v>1.1901681759379044</v>
      </c>
      <c r="L38" s="10"/>
      <c r="M38" s="218">
        <v>4.9999999999999989E-2</v>
      </c>
      <c r="N38" s="220">
        <v>9.9999999999999992E-2</v>
      </c>
      <c r="O38" s="83">
        <v>1</v>
      </c>
      <c r="P38" s="218">
        <v>1.29366106080207E-3</v>
      </c>
      <c r="Q38" s="168">
        <v>777</v>
      </c>
      <c r="R38" s="182">
        <v>1.0051746442432083</v>
      </c>
    </row>
    <row r="39" spans="3:18">
      <c r="C39" s="218">
        <f>D39-5%</f>
        <v>0</v>
      </c>
      <c r="D39" s="220">
        <f>D38-5%</f>
        <v>4.9999999999999989E-2</v>
      </c>
      <c r="E39" s="83">
        <f>COUNTIFS(YIELDN!$K$10:$K$821,"&gt;25%",YIELDN!$K$10:$K$821,"&lt;=30%")</f>
        <v>21</v>
      </c>
      <c r="F39" s="218">
        <f t="shared" si="6"/>
        <v>2.7166882276843468E-2</v>
      </c>
      <c r="G39" s="168">
        <f t="shared" si="7"/>
        <v>941</v>
      </c>
      <c r="H39" s="182">
        <f t="shared" si="3"/>
        <v>1.2173350582147477</v>
      </c>
      <c r="L39" s="10"/>
      <c r="M39" s="218">
        <v>0</v>
      </c>
      <c r="N39" s="220">
        <v>4.9999999999999989E-2</v>
      </c>
      <c r="O39" s="83">
        <v>1</v>
      </c>
      <c r="P39" s="218">
        <v>1.29366106080207E-3</v>
      </c>
      <c r="Q39" s="168">
        <v>778</v>
      </c>
      <c r="R39" s="182">
        <v>1.0064683053040104</v>
      </c>
    </row>
  </sheetData>
  <mergeCells count="2">
    <mergeCell ref="A5:B5"/>
    <mergeCell ref="K5:L5"/>
  </mergeCells>
  <pageMargins left="0.7" right="0.7" top="0.75" bottom="0.75" header="0.3" footer="0.3"/>
  <pageSetup paperSize="9" orientation="portrait" horizontalDpi="0" verticalDpi="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7EDE8-34F5-CB46-9254-F55C49B20A5F}">
  <dimension ref="A1:R35"/>
  <sheetViews>
    <sheetView topLeftCell="A4" zoomScale="130" zoomScaleNormal="130" workbookViewId="0">
      <selection activeCell="A5" sqref="A5:B5"/>
    </sheetView>
  </sheetViews>
  <sheetFormatPr baseColWidth="10" defaultRowHeight="16"/>
  <cols>
    <col min="2" max="2" width="10.83203125" style="10"/>
    <col min="3" max="3" width="10.83203125" style="24"/>
    <col min="7" max="7" width="15.5" customWidth="1"/>
  </cols>
  <sheetData>
    <row r="1" spans="1:18">
      <c r="B1" s="288">
        <v>773</v>
      </c>
    </row>
    <row r="3" spans="1:18">
      <c r="B3" s="68"/>
    </row>
    <row r="4" spans="1:18" ht="24">
      <c r="B4" s="310" t="s">
        <v>29</v>
      </c>
      <c r="C4" s="182" t="s">
        <v>1904</v>
      </c>
      <c r="D4" s="83" t="s">
        <v>1905</v>
      </c>
      <c r="E4" s="83" t="s">
        <v>1961</v>
      </c>
      <c r="F4" s="83" t="s">
        <v>1845</v>
      </c>
      <c r="G4" s="83" t="s">
        <v>1906</v>
      </c>
      <c r="H4" s="83" t="s">
        <v>1962</v>
      </c>
      <c r="L4" s="310" t="s">
        <v>29</v>
      </c>
      <c r="M4" s="182" t="s">
        <v>1904</v>
      </c>
      <c r="N4" s="83" t="s">
        <v>1905</v>
      </c>
      <c r="O4" s="83" t="s">
        <v>1961</v>
      </c>
      <c r="P4" s="83" t="s">
        <v>1845</v>
      </c>
      <c r="Q4" s="83" t="s">
        <v>1906</v>
      </c>
      <c r="R4" s="83" t="s">
        <v>1962</v>
      </c>
    </row>
    <row r="5" spans="1:18">
      <c r="A5" s="492"/>
      <c r="B5" s="493"/>
      <c r="C5" s="182">
        <v>1.5</v>
      </c>
      <c r="D5" s="184"/>
      <c r="E5" s="83">
        <f>COUNTIF(FCR!$I$10:$I$821,"&gt;150%")</f>
        <v>0</v>
      </c>
      <c r="F5" s="218">
        <f>E5/$B$1</f>
        <v>0</v>
      </c>
      <c r="G5" s="168">
        <f>E5</f>
        <v>0</v>
      </c>
      <c r="H5" s="182">
        <f t="shared" ref="H5:H35" si="0">G5/$B$1</f>
        <v>0</v>
      </c>
      <c r="K5" s="492" t="s">
        <v>2621</v>
      </c>
      <c r="L5" s="493"/>
      <c r="M5" s="182">
        <v>1.5</v>
      </c>
      <c r="N5" s="184"/>
      <c r="O5" s="83">
        <v>38</v>
      </c>
      <c r="P5" s="218">
        <v>4.9159120310478657E-2</v>
      </c>
      <c r="Q5" s="168">
        <v>38</v>
      </c>
      <c r="R5" s="182">
        <v>4.9159120310478657E-2</v>
      </c>
    </row>
    <row r="6" spans="1:18">
      <c r="A6" s="12"/>
      <c r="B6" s="12"/>
      <c r="C6" s="182">
        <f>C7+5%</f>
        <v>1.4500000000000008</v>
      </c>
      <c r="D6" s="184">
        <f>D7+5%</f>
        <v>1.5000000000000009</v>
      </c>
      <c r="E6" s="83">
        <f>COUNTIFS(FCR!$I$10:$I$821,"&gt;145%",FCR!$I$10:$I$821,"&lt;=150%")</f>
        <v>0</v>
      </c>
      <c r="F6" s="218">
        <f>E6/$B$1</f>
        <v>0</v>
      </c>
      <c r="G6" s="168">
        <f>G5+E6</f>
        <v>0</v>
      </c>
      <c r="H6" s="182">
        <f t="shared" si="0"/>
        <v>0</v>
      </c>
      <c r="K6" s="12"/>
      <c r="L6" s="12"/>
      <c r="M6" s="182">
        <v>1.4500000000000008</v>
      </c>
      <c r="N6" s="184">
        <v>1.5000000000000009</v>
      </c>
      <c r="O6" s="83">
        <v>4</v>
      </c>
      <c r="P6" s="218">
        <v>5.1746442432082798E-3</v>
      </c>
      <c r="Q6" s="168">
        <v>42</v>
      </c>
      <c r="R6" s="182">
        <v>5.4333764553686936E-2</v>
      </c>
    </row>
    <row r="7" spans="1:18">
      <c r="C7" s="182">
        <f t="shared" ref="C7:D22" si="1">C8+5%</f>
        <v>1.4000000000000008</v>
      </c>
      <c r="D7" s="184">
        <f t="shared" si="1"/>
        <v>1.4500000000000008</v>
      </c>
      <c r="E7" s="83">
        <f>COUNTIFS(FCR!$I$10:$I$821,"&gt;140%",FCR!$I$10:$I$821,"&lt;=145%")</f>
        <v>0</v>
      </c>
      <c r="F7" s="218">
        <f t="shared" ref="F7:F25" si="2">E7/$B$1</f>
        <v>0</v>
      </c>
      <c r="G7" s="168">
        <f t="shared" ref="G7:G35" si="3">G6+E7</f>
        <v>0</v>
      </c>
      <c r="H7" s="182">
        <f t="shared" si="0"/>
        <v>0</v>
      </c>
      <c r="L7" s="10"/>
      <c r="M7" s="182">
        <v>1.4000000000000008</v>
      </c>
      <c r="N7" s="184">
        <v>1.4500000000000008</v>
      </c>
      <c r="O7" s="83">
        <v>3</v>
      </c>
      <c r="P7" s="218">
        <v>3.8809831824062097E-3</v>
      </c>
      <c r="Q7" s="168">
        <v>45</v>
      </c>
      <c r="R7" s="182">
        <v>5.8214747736093142E-2</v>
      </c>
    </row>
    <row r="8" spans="1:18">
      <c r="C8" s="182">
        <f t="shared" si="1"/>
        <v>1.3500000000000008</v>
      </c>
      <c r="D8" s="184">
        <f t="shared" si="1"/>
        <v>1.4000000000000008</v>
      </c>
      <c r="E8" s="83">
        <f>COUNTIFS(FCR!$I$10:$I$821,"&gt;135%",FCR!$I$10:$I$821,"&lt;=140%")</f>
        <v>0</v>
      </c>
      <c r="F8" s="218">
        <f t="shared" si="2"/>
        <v>0</v>
      </c>
      <c r="G8" s="168">
        <f t="shared" si="3"/>
        <v>0</v>
      </c>
      <c r="H8" s="182">
        <f t="shared" si="0"/>
        <v>0</v>
      </c>
      <c r="L8" s="10"/>
      <c r="M8" s="182">
        <v>1.3500000000000008</v>
      </c>
      <c r="N8" s="184">
        <v>1.4000000000000008</v>
      </c>
      <c r="O8" s="83">
        <v>11</v>
      </c>
      <c r="P8" s="218">
        <v>1.4230271668822769E-2</v>
      </c>
      <c r="Q8" s="168">
        <v>56</v>
      </c>
      <c r="R8" s="182">
        <v>7.2445019404915906E-2</v>
      </c>
    </row>
    <row r="9" spans="1:18">
      <c r="C9" s="182">
        <f t="shared" si="1"/>
        <v>1.3000000000000007</v>
      </c>
      <c r="D9" s="184">
        <f t="shared" si="1"/>
        <v>1.3500000000000008</v>
      </c>
      <c r="E9" s="83">
        <f>COUNTIFS(FCR!$I$10:$I$821,"&gt;130%",FCR!$I$10:$I$821,"&lt;=135%")</f>
        <v>1</v>
      </c>
      <c r="F9" s="218">
        <f t="shared" si="2"/>
        <v>1.29366106080207E-3</v>
      </c>
      <c r="G9" s="168">
        <f t="shared" si="3"/>
        <v>1</v>
      </c>
      <c r="H9" s="182">
        <f t="shared" si="0"/>
        <v>1.29366106080207E-3</v>
      </c>
      <c r="L9" s="10"/>
      <c r="M9" s="182">
        <v>1.3000000000000007</v>
      </c>
      <c r="N9" s="184">
        <v>1.3500000000000008</v>
      </c>
      <c r="O9" s="83">
        <v>5</v>
      </c>
      <c r="P9" s="218">
        <v>6.4683053040103496E-3</v>
      </c>
      <c r="Q9" s="168">
        <v>61</v>
      </c>
      <c r="R9" s="182">
        <v>7.8913324708926258E-2</v>
      </c>
    </row>
    <row r="10" spans="1:18">
      <c r="C10" s="182">
        <f t="shared" si="1"/>
        <v>1.2500000000000007</v>
      </c>
      <c r="D10" s="184">
        <f t="shared" si="1"/>
        <v>1.3000000000000007</v>
      </c>
      <c r="E10" s="83">
        <f>COUNTIFS(FCR!$I$10:$I$821,"&gt;125%",FCR!$I$10:$I$821,"&lt;=130%")</f>
        <v>4</v>
      </c>
      <c r="F10" s="218">
        <f t="shared" si="2"/>
        <v>5.1746442432082798E-3</v>
      </c>
      <c r="G10" s="168">
        <f t="shared" si="3"/>
        <v>5</v>
      </c>
      <c r="H10" s="182">
        <f t="shared" si="0"/>
        <v>6.4683053040103496E-3</v>
      </c>
      <c r="L10" s="10"/>
      <c r="M10" s="182">
        <v>1.2500000000000007</v>
      </c>
      <c r="N10" s="184">
        <v>1.3000000000000007</v>
      </c>
      <c r="O10" s="83">
        <v>4</v>
      </c>
      <c r="P10" s="218">
        <v>5.1746442432082798E-3</v>
      </c>
      <c r="Q10" s="168">
        <v>65</v>
      </c>
      <c r="R10" s="182">
        <v>8.4087968952134537E-2</v>
      </c>
    </row>
    <row r="11" spans="1:18">
      <c r="C11" s="182">
        <f t="shared" si="1"/>
        <v>1.2000000000000006</v>
      </c>
      <c r="D11" s="184">
        <f t="shared" si="1"/>
        <v>1.2500000000000007</v>
      </c>
      <c r="E11" s="83">
        <f>COUNTIFS(FCR!$I$10:$I$821,"&gt;120%",FCR!$I$10:$I$821,"&lt;=125%")</f>
        <v>6</v>
      </c>
      <c r="F11" s="218">
        <f t="shared" si="2"/>
        <v>7.7619663648124193E-3</v>
      </c>
      <c r="G11" s="168">
        <f t="shared" si="3"/>
        <v>11</v>
      </c>
      <c r="H11" s="182">
        <f t="shared" si="0"/>
        <v>1.4230271668822769E-2</v>
      </c>
      <c r="L11" s="10"/>
      <c r="M11" s="182">
        <v>1.2000000000000006</v>
      </c>
      <c r="N11" s="184">
        <v>1.2500000000000007</v>
      </c>
      <c r="O11" s="83">
        <v>7</v>
      </c>
      <c r="P11" s="218">
        <v>9.0556274256144882E-3</v>
      </c>
      <c r="Q11" s="168">
        <v>72</v>
      </c>
      <c r="R11" s="182">
        <v>9.3143596377749036E-2</v>
      </c>
    </row>
    <row r="12" spans="1:18">
      <c r="C12" s="182">
        <f t="shared" si="1"/>
        <v>1.1500000000000006</v>
      </c>
      <c r="D12" s="184">
        <f t="shared" si="1"/>
        <v>1.2000000000000006</v>
      </c>
      <c r="E12" s="83">
        <f>COUNTIFS(FCR!$I$10:$I$821,"&gt;115%",FCR!$I$10:$I$821,"&lt;=120%")</f>
        <v>7</v>
      </c>
      <c r="F12" s="218">
        <f t="shared" si="2"/>
        <v>9.0556274256144882E-3</v>
      </c>
      <c r="G12" s="168">
        <f t="shared" si="3"/>
        <v>18</v>
      </c>
      <c r="H12" s="182">
        <f t="shared" si="0"/>
        <v>2.3285899094437259E-2</v>
      </c>
      <c r="L12" s="10"/>
      <c r="M12" s="182">
        <v>1.1500000000000006</v>
      </c>
      <c r="N12" s="184">
        <v>1.2000000000000006</v>
      </c>
      <c r="O12" s="83">
        <v>8</v>
      </c>
      <c r="P12" s="218">
        <v>1.034928848641656E-2</v>
      </c>
      <c r="Q12" s="168">
        <v>80</v>
      </c>
      <c r="R12" s="182">
        <v>0.10349288486416559</v>
      </c>
    </row>
    <row r="13" spans="1:18">
      <c r="C13" s="182">
        <f t="shared" si="1"/>
        <v>1.1000000000000005</v>
      </c>
      <c r="D13" s="184">
        <f t="shared" si="1"/>
        <v>1.1500000000000006</v>
      </c>
      <c r="E13" s="83">
        <f>COUNTIFS(FCR!$I$10:$I$821,"&gt;110%",FCR!$I$10:$I$821,"&lt;=115%")</f>
        <v>15</v>
      </c>
      <c r="F13" s="218">
        <f t="shared" si="2"/>
        <v>1.9404915912031046E-2</v>
      </c>
      <c r="G13" s="168">
        <f t="shared" si="3"/>
        <v>33</v>
      </c>
      <c r="H13" s="182">
        <f t="shared" si="0"/>
        <v>4.2690815006468305E-2</v>
      </c>
      <c r="L13" s="10"/>
      <c r="M13" s="182">
        <v>1.1000000000000005</v>
      </c>
      <c r="N13" s="184">
        <v>1.1500000000000006</v>
      </c>
      <c r="O13" s="83">
        <v>10</v>
      </c>
      <c r="P13" s="218">
        <v>1.2936610608020699E-2</v>
      </c>
      <c r="Q13" s="168">
        <v>90</v>
      </c>
      <c r="R13" s="182">
        <v>0.11642949547218628</v>
      </c>
    </row>
    <row r="14" spans="1:18">
      <c r="C14" s="182">
        <f t="shared" si="1"/>
        <v>1.0500000000000005</v>
      </c>
      <c r="D14" s="184">
        <f t="shared" si="1"/>
        <v>1.1000000000000005</v>
      </c>
      <c r="E14" s="83">
        <f>COUNTIFS(FCR!$I$10:$I$821,"&gt;105%",FCR!$I$10:$I$821,"&lt;=110%")</f>
        <v>38</v>
      </c>
      <c r="F14" s="218">
        <f t="shared" si="2"/>
        <v>4.9159120310478657E-2</v>
      </c>
      <c r="G14" s="168">
        <f t="shared" si="3"/>
        <v>71</v>
      </c>
      <c r="H14" s="182">
        <f t="shared" si="0"/>
        <v>9.1849935316946962E-2</v>
      </c>
      <c r="L14" s="10"/>
      <c r="M14" s="182">
        <v>1.0500000000000005</v>
      </c>
      <c r="N14" s="184">
        <v>1.1000000000000005</v>
      </c>
      <c r="O14" s="83">
        <v>6</v>
      </c>
      <c r="P14" s="218">
        <v>7.7619663648124193E-3</v>
      </c>
      <c r="Q14" s="168">
        <v>96</v>
      </c>
      <c r="R14" s="182">
        <v>0.12419146183699871</v>
      </c>
    </row>
    <row r="15" spans="1:18">
      <c r="C15" s="182">
        <f t="shared" si="1"/>
        <v>1.0000000000000004</v>
      </c>
      <c r="D15" s="184">
        <f t="shared" si="1"/>
        <v>1.0500000000000005</v>
      </c>
      <c r="E15" s="83">
        <f>COUNTIFS(FCR!$I$10:$I$821,"&gt;100%",FCR!$I$10:$I$821,"&lt;=105%")</f>
        <v>39</v>
      </c>
      <c r="F15" s="218">
        <f t="shared" si="2"/>
        <v>5.0452781371280724E-2</v>
      </c>
      <c r="G15" s="168">
        <f t="shared" si="3"/>
        <v>110</v>
      </c>
      <c r="H15" s="182">
        <f t="shared" si="0"/>
        <v>0.14230271668822769</v>
      </c>
      <c r="L15" s="10"/>
      <c r="M15" s="182">
        <v>1.0000000000000004</v>
      </c>
      <c r="N15" s="184">
        <v>1.0500000000000005</v>
      </c>
      <c r="O15" s="83">
        <v>13</v>
      </c>
      <c r="P15" s="218">
        <v>1.6817593790426907E-2</v>
      </c>
      <c r="Q15" s="168">
        <v>109</v>
      </c>
      <c r="R15" s="182">
        <v>0.14100905562742561</v>
      </c>
    </row>
    <row r="16" spans="1:18">
      <c r="A16" s="17" t="s">
        <v>1931</v>
      </c>
      <c r="B16" s="307">
        <v>15</v>
      </c>
      <c r="C16" s="182">
        <f t="shared" si="1"/>
        <v>0.9500000000000004</v>
      </c>
      <c r="D16" s="315">
        <f t="shared" si="1"/>
        <v>1.0000000000000004</v>
      </c>
      <c r="E16" s="285">
        <f>COUNTIFS(FCR!$I$10:$I$821,"&gt;95%",FCR!$I$10:$I$821,"&lt;=100%")</f>
        <v>76</v>
      </c>
      <c r="F16" s="218">
        <f t="shared" si="2"/>
        <v>9.8318240620957315E-2</v>
      </c>
      <c r="G16" s="168">
        <f t="shared" si="3"/>
        <v>186</v>
      </c>
      <c r="H16" s="314">
        <f t="shared" si="0"/>
        <v>0.24062095730918501</v>
      </c>
      <c r="K16" s="17" t="s">
        <v>1931</v>
      </c>
      <c r="L16" s="307">
        <v>15</v>
      </c>
      <c r="M16" s="182">
        <v>0.9500000000000004</v>
      </c>
      <c r="N16" s="315">
        <v>1.0000000000000004</v>
      </c>
      <c r="O16" s="285">
        <v>9</v>
      </c>
      <c r="P16" s="218">
        <v>1.1642949547218629E-2</v>
      </c>
      <c r="Q16" s="168">
        <v>118</v>
      </c>
      <c r="R16" s="314">
        <v>0.15265200517464425</v>
      </c>
    </row>
    <row r="17" spans="1:18">
      <c r="C17" s="182">
        <f t="shared" si="1"/>
        <v>0.90000000000000036</v>
      </c>
      <c r="D17" s="184">
        <f t="shared" si="1"/>
        <v>0.9500000000000004</v>
      </c>
      <c r="E17" s="285">
        <f>COUNTIFS(FCR!$I$10:$I$821,"&gt;90%",FCR!$I$10:$I$821,"&lt;=95%")</f>
        <v>89</v>
      </c>
      <c r="F17" s="218">
        <f t="shared" si="2"/>
        <v>0.11513583441138421</v>
      </c>
      <c r="G17" s="168">
        <f t="shared" si="3"/>
        <v>275</v>
      </c>
      <c r="H17" s="314">
        <f t="shared" si="0"/>
        <v>0.35575679172056923</v>
      </c>
      <c r="L17" s="10"/>
      <c r="M17" s="182">
        <v>0.90000000000000036</v>
      </c>
      <c r="N17" s="184">
        <v>0.9500000000000004</v>
      </c>
      <c r="O17" s="285">
        <v>15</v>
      </c>
      <c r="P17" s="218">
        <v>1.9404915912031046E-2</v>
      </c>
      <c r="Q17" s="168">
        <v>133</v>
      </c>
      <c r="R17" s="314">
        <v>0.17205692108667528</v>
      </c>
    </row>
    <row r="18" spans="1:18">
      <c r="C18" s="182">
        <f t="shared" si="1"/>
        <v>0.85000000000000031</v>
      </c>
      <c r="D18" s="184">
        <f t="shared" si="1"/>
        <v>0.90000000000000036</v>
      </c>
      <c r="E18" s="285">
        <f>COUNTIFS(FCR!$I$10:$I$821,"&gt;85%",FCR!$I$10:$I$821,"&lt;=90%")</f>
        <v>80</v>
      </c>
      <c r="F18" s="218">
        <f t="shared" si="2"/>
        <v>0.10349288486416559</v>
      </c>
      <c r="G18" s="168">
        <f t="shared" si="3"/>
        <v>355</v>
      </c>
      <c r="H18" s="314">
        <f t="shared" si="0"/>
        <v>0.45924967658473481</v>
      </c>
      <c r="L18" s="10"/>
      <c r="M18" s="182">
        <v>0.85000000000000031</v>
      </c>
      <c r="N18" s="184">
        <v>0.90000000000000036</v>
      </c>
      <c r="O18" s="285">
        <v>20</v>
      </c>
      <c r="P18" s="218">
        <v>2.5873221216041398E-2</v>
      </c>
      <c r="Q18" s="168">
        <v>153</v>
      </c>
      <c r="R18" s="314">
        <v>0.19793014230271669</v>
      </c>
    </row>
    <row r="19" spans="1:18">
      <c r="C19" s="182">
        <f t="shared" si="1"/>
        <v>0.80000000000000027</v>
      </c>
      <c r="D19" s="184">
        <f t="shared" si="1"/>
        <v>0.85000000000000031</v>
      </c>
      <c r="E19" s="285">
        <f>COUNTIFS(FCR!$I$10:$I$821,"&gt;80%",FCR!$I$10:$I$821,"&lt;=85%")</f>
        <v>97</v>
      </c>
      <c r="F19" s="218">
        <f t="shared" si="2"/>
        <v>0.12548512289780078</v>
      </c>
      <c r="G19" s="168">
        <f t="shared" si="3"/>
        <v>452</v>
      </c>
      <c r="H19" s="314">
        <f t="shared" si="0"/>
        <v>0.58473479948253559</v>
      </c>
      <c r="L19" s="10"/>
      <c r="M19" s="182">
        <v>0.80000000000000027</v>
      </c>
      <c r="N19" s="184">
        <v>0.85000000000000031</v>
      </c>
      <c r="O19" s="285">
        <v>27</v>
      </c>
      <c r="P19" s="218">
        <v>3.4928848641655887E-2</v>
      </c>
      <c r="Q19" s="168">
        <v>180</v>
      </c>
      <c r="R19" s="314">
        <v>0.23285899094437257</v>
      </c>
    </row>
    <row r="20" spans="1:18">
      <c r="C20" s="182">
        <f t="shared" si="1"/>
        <v>0.75000000000000022</v>
      </c>
      <c r="D20" s="184">
        <f t="shared" si="1"/>
        <v>0.80000000000000027</v>
      </c>
      <c r="E20" s="285">
        <f>COUNTIFS(FCR!$I$10:$I$821,"&gt;75%",FCR!$I$10:$I$821,"&lt;=80%")</f>
        <v>82</v>
      </c>
      <c r="F20" s="218">
        <f t="shared" si="2"/>
        <v>0.10608020698576973</v>
      </c>
      <c r="G20" s="168">
        <f t="shared" si="3"/>
        <v>534</v>
      </c>
      <c r="H20" s="314">
        <f t="shared" si="0"/>
        <v>0.69081500646830529</v>
      </c>
      <c r="L20" s="10"/>
      <c r="M20" s="182">
        <v>0.75000000000000022</v>
      </c>
      <c r="N20" s="184">
        <v>0.80000000000000027</v>
      </c>
      <c r="O20" s="285">
        <v>26</v>
      </c>
      <c r="P20" s="218">
        <v>3.3635187580853813E-2</v>
      </c>
      <c r="Q20" s="168">
        <v>206</v>
      </c>
      <c r="R20" s="314">
        <v>0.26649417852522639</v>
      </c>
    </row>
    <row r="21" spans="1:18">
      <c r="C21" s="182">
        <f t="shared" si="1"/>
        <v>0.70000000000000018</v>
      </c>
      <c r="D21" s="184">
        <f t="shared" si="1"/>
        <v>0.75000000000000022</v>
      </c>
      <c r="E21" s="285">
        <f>COUNTIFS(FCR!$I$10:$I$821,"&gt;70%",FCR!$I$10:$I$821,"&lt;=75%")</f>
        <v>60</v>
      </c>
      <c r="F21" s="218">
        <f t="shared" si="2"/>
        <v>7.7619663648124185E-2</v>
      </c>
      <c r="G21" s="168">
        <f t="shared" si="3"/>
        <v>594</v>
      </c>
      <c r="H21" s="314">
        <f t="shared" si="0"/>
        <v>0.76843467011642952</v>
      </c>
      <c r="L21" s="10"/>
      <c r="M21" s="182">
        <v>0.70000000000000018</v>
      </c>
      <c r="N21" s="184">
        <v>0.75000000000000022</v>
      </c>
      <c r="O21" s="285">
        <v>51</v>
      </c>
      <c r="P21" s="218">
        <v>6.5976714100905567E-2</v>
      </c>
      <c r="Q21" s="168">
        <v>257</v>
      </c>
      <c r="R21" s="314">
        <v>0.33247089262613194</v>
      </c>
    </row>
    <row r="22" spans="1:18">
      <c r="C22" s="182">
        <f t="shared" si="1"/>
        <v>0.65000000000000013</v>
      </c>
      <c r="D22" s="184">
        <f t="shared" si="1"/>
        <v>0.70000000000000018</v>
      </c>
      <c r="E22" s="285">
        <f>COUNTIFS(FCR!$I$10:$I$821,"&gt;65%",FCR!$I$10:$I$821,"&lt;=70%")</f>
        <v>48</v>
      </c>
      <c r="F22" s="218">
        <f t="shared" si="2"/>
        <v>6.2095730918499355E-2</v>
      </c>
      <c r="G22" s="168">
        <f t="shared" si="3"/>
        <v>642</v>
      </c>
      <c r="H22" s="314">
        <f t="shared" si="0"/>
        <v>0.83053040103492881</v>
      </c>
      <c r="L22" s="10"/>
      <c r="M22" s="182">
        <v>0.65000000000000013</v>
      </c>
      <c r="N22" s="184">
        <v>0.70000000000000018</v>
      </c>
      <c r="O22" s="285">
        <v>69</v>
      </c>
      <c r="P22" s="218">
        <v>8.9262613195342816E-2</v>
      </c>
      <c r="Q22" s="168">
        <v>326</v>
      </c>
      <c r="R22" s="314">
        <v>0.42173350582147479</v>
      </c>
    </row>
    <row r="23" spans="1:18">
      <c r="C23" s="182">
        <f t="shared" ref="C23:D25" si="4">C24+5%</f>
        <v>0.60000000000000009</v>
      </c>
      <c r="D23" s="184">
        <f t="shared" si="4"/>
        <v>0.65000000000000013</v>
      </c>
      <c r="E23" s="285">
        <f>COUNTIFS(FCR!$I$10:$I$821,"&gt;60%",FCR!$I$10:$I$821,"&lt;=65%")</f>
        <v>45</v>
      </c>
      <c r="F23" s="218">
        <f t="shared" si="2"/>
        <v>5.8214747736093142E-2</v>
      </c>
      <c r="G23" s="168">
        <f t="shared" si="3"/>
        <v>687</v>
      </c>
      <c r="H23" s="314">
        <f t="shared" si="0"/>
        <v>0.88874514877102195</v>
      </c>
      <c r="L23" s="10"/>
      <c r="M23" s="182">
        <v>0.60000000000000009</v>
      </c>
      <c r="N23" s="184">
        <v>0.65000000000000013</v>
      </c>
      <c r="O23" s="285">
        <v>99</v>
      </c>
      <c r="P23" s="218">
        <v>0.12807244501940493</v>
      </c>
      <c r="Q23" s="168">
        <v>425</v>
      </c>
      <c r="R23" s="314">
        <v>0.54980595084087969</v>
      </c>
    </row>
    <row r="24" spans="1:18">
      <c r="C24" s="182">
        <f t="shared" si="4"/>
        <v>0.55000000000000004</v>
      </c>
      <c r="D24" s="184">
        <f t="shared" si="4"/>
        <v>0.60000000000000009</v>
      </c>
      <c r="E24" s="285">
        <f>COUNTIFS(FCR!$I$10:$I$821,"&gt;55%",FCR!$I$10:$I$821,"&lt;=60%")</f>
        <v>24</v>
      </c>
      <c r="F24" s="218">
        <f t="shared" si="2"/>
        <v>3.1047865459249677E-2</v>
      </c>
      <c r="G24" s="168">
        <f t="shared" si="3"/>
        <v>711</v>
      </c>
      <c r="H24" s="314">
        <f t="shared" si="0"/>
        <v>0.91979301423027171</v>
      </c>
      <c r="L24" s="10"/>
      <c r="M24" s="182">
        <v>0.55000000000000004</v>
      </c>
      <c r="N24" s="184">
        <v>0.60000000000000009</v>
      </c>
      <c r="O24" s="285">
        <v>97</v>
      </c>
      <c r="P24" s="218">
        <v>0.12548512289780078</v>
      </c>
      <c r="Q24" s="168">
        <v>522</v>
      </c>
      <c r="R24" s="314">
        <v>0.67529107373868047</v>
      </c>
    </row>
    <row r="25" spans="1:18" ht="17" customHeight="1">
      <c r="A25" s="17" t="s">
        <v>1931</v>
      </c>
      <c r="B25" s="309">
        <v>0</v>
      </c>
      <c r="C25" s="316">
        <f t="shared" si="4"/>
        <v>0.5</v>
      </c>
      <c r="D25" s="184">
        <f t="shared" si="4"/>
        <v>0.55000000000000004</v>
      </c>
      <c r="E25" s="285">
        <f>COUNTIFS(FCR!$I$10:$I$821,"&gt;50%",FCR!$I$10:$I$821,"&lt;=55%")</f>
        <v>19</v>
      </c>
      <c r="F25" s="218">
        <f t="shared" si="2"/>
        <v>2.4579560155239329E-2</v>
      </c>
      <c r="G25" s="168">
        <f t="shared" si="3"/>
        <v>730</v>
      </c>
      <c r="H25" s="314">
        <f t="shared" si="0"/>
        <v>0.94437257438551103</v>
      </c>
      <c r="K25" s="17" t="s">
        <v>1931</v>
      </c>
      <c r="L25" s="309">
        <v>0</v>
      </c>
      <c r="M25" s="316">
        <v>0.5</v>
      </c>
      <c r="N25" s="184">
        <v>0.55000000000000004</v>
      </c>
      <c r="O25" s="285">
        <v>97</v>
      </c>
      <c r="P25" s="218">
        <v>0.12548512289780078</v>
      </c>
      <c r="Q25" s="168">
        <v>619</v>
      </c>
      <c r="R25" s="314">
        <v>0.80077619663648125</v>
      </c>
    </row>
    <row r="26" spans="1:18">
      <c r="C26" s="182">
        <v>0.45</v>
      </c>
      <c r="D26" s="182">
        <v>0.5</v>
      </c>
      <c r="E26" s="83">
        <f>COUNTIFS(FCR!$I$10:$I$821,"&gt;45%",FCR!$I$10:$I$821,"&lt;=50%")</f>
        <v>9</v>
      </c>
      <c r="F26" s="218">
        <f t="shared" ref="F26:F35" si="5">E26/$B$1</f>
        <v>1.1642949547218629E-2</v>
      </c>
      <c r="G26" s="168">
        <f t="shared" si="3"/>
        <v>739</v>
      </c>
      <c r="H26" s="182">
        <f t="shared" si="0"/>
        <v>0.95601552393272959</v>
      </c>
      <c r="L26" s="10"/>
      <c r="M26" s="182">
        <v>0.45</v>
      </c>
      <c r="N26" s="182">
        <v>0.5</v>
      </c>
      <c r="O26" s="83">
        <v>70</v>
      </c>
      <c r="P26" s="218">
        <v>9.0556274256144889E-2</v>
      </c>
      <c r="Q26" s="168">
        <v>689</v>
      </c>
      <c r="R26" s="182">
        <v>0.89133247089262613</v>
      </c>
    </row>
    <row r="27" spans="1:18">
      <c r="C27" s="182">
        <v>0.4</v>
      </c>
      <c r="D27" s="182">
        <v>0.45</v>
      </c>
      <c r="E27" s="83">
        <f>COUNTIFS(FCR!$I$10:$I$821,"&gt;40%",FCR!$I$10:$I$821,"&lt;=45%")</f>
        <v>5</v>
      </c>
      <c r="F27" s="218">
        <f t="shared" si="5"/>
        <v>6.4683053040103496E-3</v>
      </c>
      <c r="G27" s="168">
        <f t="shared" si="3"/>
        <v>744</v>
      </c>
      <c r="H27" s="182">
        <f t="shared" si="0"/>
        <v>0.96248382923674003</v>
      </c>
      <c r="L27" s="10"/>
      <c r="M27" s="182">
        <v>0.4</v>
      </c>
      <c r="N27" s="182">
        <v>0.45</v>
      </c>
      <c r="O27" s="83">
        <v>47</v>
      </c>
      <c r="P27" s="218">
        <v>6.0802069857697282E-2</v>
      </c>
      <c r="Q27" s="168">
        <v>736</v>
      </c>
      <c r="R27" s="182">
        <v>0.95213454075032344</v>
      </c>
    </row>
    <row r="28" spans="1:18">
      <c r="C28" s="218">
        <v>0.35</v>
      </c>
      <c r="D28" s="218">
        <v>0.4</v>
      </c>
      <c r="E28" s="83">
        <f>COUNTIFS(FCR!$I$10:$I$821,"&gt;35%",FCR!$I$10:$I$821,"&lt;=40%")</f>
        <v>3</v>
      </c>
      <c r="F28" s="218">
        <f t="shared" si="5"/>
        <v>3.8809831824062097E-3</v>
      </c>
      <c r="G28" s="168">
        <f t="shared" si="3"/>
        <v>747</v>
      </c>
      <c r="H28" s="182">
        <f t="shared" si="0"/>
        <v>0.96636481241914618</v>
      </c>
      <c r="L28" s="10"/>
      <c r="M28" s="218">
        <v>0.35</v>
      </c>
      <c r="N28" s="218">
        <v>0.4</v>
      </c>
      <c r="O28" s="83">
        <v>18</v>
      </c>
      <c r="P28" s="218">
        <v>2.3285899094437259E-2</v>
      </c>
      <c r="Q28" s="168">
        <v>754</v>
      </c>
      <c r="R28" s="182">
        <v>0.97542043984476068</v>
      </c>
    </row>
    <row r="29" spans="1:18">
      <c r="C29" s="218">
        <v>0.3</v>
      </c>
      <c r="D29" s="218">
        <v>0.35</v>
      </c>
      <c r="E29" s="83">
        <f>COUNTIFS(FCR!$I$10:$I$821,"&gt;30%",FCR!$I$10:$I$821,"&lt;=35%")</f>
        <v>2</v>
      </c>
      <c r="F29" s="218">
        <f t="shared" si="5"/>
        <v>2.5873221216041399E-3</v>
      </c>
      <c r="G29" s="168">
        <f t="shared" si="3"/>
        <v>749</v>
      </c>
      <c r="H29" s="182">
        <f t="shared" si="0"/>
        <v>0.96895213454075035</v>
      </c>
      <c r="L29" s="10"/>
      <c r="M29" s="218">
        <v>0.3</v>
      </c>
      <c r="N29" s="218">
        <v>0.35</v>
      </c>
      <c r="O29" s="83">
        <v>16</v>
      </c>
      <c r="P29" s="218">
        <v>2.0698576972833119E-2</v>
      </c>
      <c r="Q29" s="168">
        <v>770</v>
      </c>
      <c r="R29" s="182">
        <v>0.99611901681759374</v>
      </c>
    </row>
    <row r="30" spans="1:18">
      <c r="C30" s="218">
        <v>0.25</v>
      </c>
      <c r="D30" s="218">
        <v>0.3</v>
      </c>
      <c r="E30" s="83">
        <f>COUNTIFS(FCR!$I$10:$I$821,"&gt;25%",FCR!$I$10:$I$821,"&lt;=30%")</f>
        <v>1</v>
      </c>
      <c r="F30" s="218">
        <f t="shared" si="5"/>
        <v>1.29366106080207E-3</v>
      </c>
      <c r="G30" s="168">
        <f t="shared" si="3"/>
        <v>750</v>
      </c>
      <c r="H30" s="182">
        <f t="shared" si="0"/>
        <v>0.97024579560155244</v>
      </c>
      <c r="L30" s="10"/>
      <c r="M30" s="218">
        <v>0.25</v>
      </c>
      <c r="N30" s="218">
        <v>0.3</v>
      </c>
      <c r="O30" s="83">
        <v>2</v>
      </c>
      <c r="P30" s="218">
        <v>2.5873221216041399E-3</v>
      </c>
      <c r="Q30" s="168">
        <v>772</v>
      </c>
      <c r="R30" s="182">
        <v>0.99870633893919791</v>
      </c>
    </row>
    <row r="31" spans="1:18">
      <c r="C31" s="219">
        <v>0.2</v>
      </c>
      <c r="D31" s="219">
        <v>0.25</v>
      </c>
      <c r="E31" s="83">
        <f>COUNTIFS(FCR!$I$10:$I$821,"&gt;20%",FCR!$I$10:$I$821,"&lt;=25%")</f>
        <v>0</v>
      </c>
      <c r="F31" s="218">
        <f t="shared" si="5"/>
        <v>0</v>
      </c>
      <c r="G31" s="168">
        <f t="shared" si="3"/>
        <v>750</v>
      </c>
      <c r="H31" s="182">
        <f t="shared" si="0"/>
        <v>0.97024579560155244</v>
      </c>
      <c r="L31" s="10"/>
      <c r="M31" s="219">
        <v>0.2</v>
      </c>
      <c r="N31" s="219">
        <v>0.25</v>
      </c>
      <c r="O31" s="83">
        <v>0</v>
      </c>
      <c r="P31" s="218">
        <v>0</v>
      </c>
      <c r="Q31" s="168">
        <v>772</v>
      </c>
      <c r="R31" s="182">
        <v>0.99870633893919791</v>
      </c>
    </row>
    <row r="32" spans="1:18">
      <c r="C32" s="218">
        <v>0.15</v>
      </c>
      <c r="D32" s="218">
        <v>0.2</v>
      </c>
      <c r="E32" s="83">
        <f>COUNTIFS(FCR!$I$10:$I$821,"&gt;15%",FCR!$I$10:$I$821,"&lt;=20%")</f>
        <v>1</v>
      </c>
      <c r="F32" s="218">
        <f t="shared" si="5"/>
        <v>1.29366106080207E-3</v>
      </c>
      <c r="G32" s="168">
        <f t="shared" si="3"/>
        <v>751</v>
      </c>
      <c r="H32" s="182">
        <f t="shared" si="0"/>
        <v>0.97153945666235442</v>
      </c>
      <c r="L32" s="10"/>
      <c r="M32" s="218">
        <v>0.15</v>
      </c>
      <c r="N32" s="218">
        <v>0.2</v>
      </c>
      <c r="O32" s="83">
        <v>0</v>
      </c>
      <c r="P32" s="218">
        <v>0</v>
      </c>
      <c r="Q32" s="168">
        <v>772</v>
      </c>
      <c r="R32" s="182">
        <v>0.99870633893919791</v>
      </c>
    </row>
    <row r="33" spans="3:18">
      <c r="C33" s="218">
        <f>D33-5%</f>
        <v>9.9999999999999992E-2</v>
      </c>
      <c r="D33" s="220">
        <v>0.15</v>
      </c>
      <c r="E33" s="83">
        <f>COUNTIFS(FCR!$I$10:$I$821,"&gt;10%",FCR!$I$10:$I$821,"&lt;=15%")</f>
        <v>0</v>
      </c>
      <c r="F33" s="218">
        <f t="shared" si="5"/>
        <v>0</v>
      </c>
      <c r="G33" s="168">
        <f t="shared" si="3"/>
        <v>751</v>
      </c>
      <c r="H33" s="182">
        <f t="shared" si="0"/>
        <v>0.97153945666235442</v>
      </c>
      <c r="L33" s="10"/>
      <c r="M33" s="218">
        <v>9.9999999999999992E-2</v>
      </c>
      <c r="N33" s="220">
        <v>0.15</v>
      </c>
      <c r="O33" s="83">
        <v>1</v>
      </c>
      <c r="P33" s="218">
        <v>1.29366106080207E-3</v>
      </c>
      <c r="Q33" s="168">
        <v>773</v>
      </c>
      <c r="R33" s="182">
        <v>1</v>
      </c>
    </row>
    <row r="34" spans="3:18">
      <c r="C34" s="218">
        <f>D34-5%</f>
        <v>4.9999999999999989E-2</v>
      </c>
      <c r="D34" s="220">
        <f>D33-5%</f>
        <v>9.9999999999999992E-2</v>
      </c>
      <c r="E34" s="83">
        <f>COUNTIFS(FCR!$I$10:$I$821,"&gt;5%",FCR!$I$10:$I$821,"&lt;=10%")</f>
        <v>1</v>
      </c>
      <c r="F34" s="218">
        <f t="shared" si="5"/>
        <v>1.29366106080207E-3</v>
      </c>
      <c r="G34" s="168">
        <f t="shared" si="3"/>
        <v>752</v>
      </c>
      <c r="H34" s="182">
        <f t="shared" si="0"/>
        <v>0.9728331177231565</v>
      </c>
      <c r="L34" s="10"/>
      <c r="M34" s="218">
        <v>4.9999999999999989E-2</v>
      </c>
      <c r="N34" s="220">
        <v>9.9999999999999992E-2</v>
      </c>
      <c r="O34" s="83">
        <v>0</v>
      </c>
      <c r="P34" s="218">
        <v>0</v>
      </c>
      <c r="Q34" s="168">
        <v>773</v>
      </c>
      <c r="R34" s="182">
        <v>1</v>
      </c>
    </row>
    <row r="35" spans="3:18">
      <c r="C35" s="218">
        <f>D35-5%</f>
        <v>0</v>
      </c>
      <c r="D35" s="220">
        <f>D34-5%</f>
        <v>4.9999999999999989E-2</v>
      </c>
      <c r="E35" s="83">
        <f>COUNTIFS(FCR!$I$10:$I$821,"&gt;=0%",FCR!$I$10:$I$821,"&lt;=5%")</f>
        <v>22</v>
      </c>
      <c r="F35" s="218">
        <f t="shared" si="5"/>
        <v>2.8460543337645538E-2</v>
      </c>
      <c r="G35" s="168">
        <f t="shared" si="3"/>
        <v>774</v>
      </c>
      <c r="H35" s="182">
        <f t="shared" si="0"/>
        <v>1.0012936610608021</v>
      </c>
      <c r="L35" s="10"/>
      <c r="M35" s="218">
        <v>0</v>
      </c>
      <c r="N35" s="220">
        <v>4.9999999999999989E-2</v>
      </c>
      <c r="O35" s="83">
        <v>0</v>
      </c>
      <c r="P35" s="218">
        <v>0</v>
      </c>
      <c r="Q35" s="168">
        <v>773</v>
      </c>
      <c r="R35" s="182">
        <v>1</v>
      </c>
    </row>
  </sheetData>
  <mergeCells count="2">
    <mergeCell ref="A5:B5"/>
    <mergeCell ref="K5:L5"/>
  </mergeCells>
  <pageMargins left="0.7" right="0.7" top="0.75" bottom="0.75" header="0.3" footer="0.3"/>
  <pageSetup paperSize="9" orientation="portrait" horizontalDpi="0" verticalDpi="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88F31-5F0A-8C45-8B43-387B885869C5}">
  <dimension ref="A1:R39"/>
  <sheetViews>
    <sheetView topLeftCell="D1" zoomScale="130" zoomScaleNormal="130" workbookViewId="0">
      <selection activeCell="O10" sqref="O10"/>
    </sheetView>
  </sheetViews>
  <sheetFormatPr baseColWidth="10" defaultRowHeight="16"/>
  <cols>
    <col min="2" max="2" width="10.83203125" style="10"/>
    <col min="3" max="3" width="10.83203125" style="24"/>
    <col min="7" max="7" width="15.5" customWidth="1"/>
  </cols>
  <sheetData>
    <row r="1" spans="1:18">
      <c r="B1" s="288">
        <v>443</v>
      </c>
    </row>
    <row r="4" spans="1:18" ht="24">
      <c r="B4" s="310" t="s">
        <v>1917</v>
      </c>
      <c r="C4" s="182" t="s">
        <v>1904</v>
      </c>
      <c r="D4" s="83" t="s">
        <v>1905</v>
      </c>
      <c r="E4" s="83" t="s">
        <v>1961</v>
      </c>
      <c r="F4" s="83" t="s">
        <v>1845</v>
      </c>
      <c r="G4" s="83" t="s">
        <v>1906</v>
      </c>
      <c r="H4" s="83" t="s">
        <v>1962</v>
      </c>
      <c r="L4" s="310" t="s">
        <v>1917</v>
      </c>
      <c r="M4" s="182" t="s">
        <v>1904</v>
      </c>
      <c r="N4" s="83" t="s">
        <v>1905</v>
      </c>
      <c r="O4" s="83" t="s">
        <v>1961</v>
      </c>
      <c r="P4" s="83" t="s">
        <v>1845</v>
      </c>
      <c r="Q4" s="83" t="s">
        <v>1906</v>
      </c>
      <c r="R4" s="83" t="s">
        <v>1962</v>
      </c>
    </row>
    <row r="5" spans="1:18">
      <c r="B5" s="12"/>
      <c r="C5" s="182"/>
      <c r="D5" s="184">
        <f>D6+5%</f>
        <v>1.7500000000000011</v>
      </c>
      <c r="E5" s="83">
        <f>COUNTIF(YIELDN!$K$10:$K$821,"&gt;175%")</f>
        <v>9</v>
      </c>
      <c r="F5" s="218">
        <f>E5/$B$1</f>
        <v>2.0316027088036117E-2</v>
      </c>
      <c r="G5" s="83">
        <f>E5</f>
        <v>9</v>
      </c>
      <c r="H5" s="182">
        <f>G5/$B$1</f>
        <v>2.0316027088036117E-2</v>
      </c>
      <c r="L5" s="12" t="s">
        <v>2584</v>
      </c>
      <c r="M5" s="182"/>
      <c r="N5" s="184">
        <v>1.7500000000000011</v>
      </c>
      <c r="O5" s="83">
        <v>7</v>
      </c>
      <c r="P5" s="218">
        <v>1.580135440180587E-2</v>
      </c>
      <c r="Q5" s="83">
        <v>7</v>
      </c>
      <c r="R5" s="182">
        <v>1.580135440180587E-2</v>
      </c>
    </row>
    <row r="6" spans="1:18">
      <c r="C6" s="182">
        <f>C7+5%</f>
        <v>1.650000000000001</v>
      </c>
      <c r="D6" s="184">
        <f>D7+5%</f>
        <v>1.7000000000000011</v>
      </c>
      <c r="E6" s="51">
        <f>COUNTIFS(YIELDN!$K$10:$K$821,"&gt;165%",YIELDN!$K$10:$K$821,"&lt;=170%")</f>
        <v>6</v>
      </c>
      <c r="F6" s="218">
        <f>E6/$B$1</f>
        <v>1.3544018058690745E-2</v>
      </c>
      <c r="G6" s="168">
        <f t="shared" ref="G6:G14" si="0">G5+E6</f>
        <v>15</v>
      </c>
      <c r="H6" s="182">
        <f>G6/$B$1</f>
        <v>3.3860045146726865E-2</v>
      </c>
      <c r="L6" s="10"/>
      <c r="M6" s="182">
        <v>1.650000000000001</v>
      </c>
      <c r="N6" s="184">
        <v>1.7000000000000011</v>
      </c>
      <c r="O6" s="51">
        <v>5</v>
      </c>
      <c r="P6" s="218">
        <v>1.1286681715575621E-2</v>
      </c>
      <c r="Q6" s="168">
        <v>12</v>
      </c>
      <c r="R6" s="182">
        <v>2.7088036117381489E-2</v>
      </c>
    </row>
    <row r="7" spans="1:18">
      <c r="C7" s="182">
        <f>C8+5%</f>
        <v>1.600000000000001</v>
      </c>
      <c r="D7" s="184">
        <f>D8+5%</f>
        <v>1.650000000000001</v>
      </c>
      <c r="E7" s="83">
        <f>COUNTIFS(YIELDN!$K$10:$K$821,"&gt;160%",YIELDN!$K$10:$K$821,"&lt;=165%")</f>
        <v>5</v>
      </c>
      <c r="F7" s="218">
        <f>E7/$B$1</f>
        <v>1.1286681715575621E-2</v>
      </c>
      <c r="G7" s="168">
        <f t="shared" si="0"/>
        <v>20</v>
      </c>
      <c r="H7" s="182">
        <f>G7/$B$1</f>
        <v>4.5146726862302484E-2</v>
      </c>
      <c r="L7" s="10"/>
      <c r="M7" s="182">
        <v>1.600000000000001</v>
      </c>
      <c r="N7" s="184">
        <v>1.650000000000001</v>
      </c>
      <c r="O7" s="83">
        <v>5</v>
      </c>
      <c r="P7" s="218">
        <v>1.1286681715575621E-2</v>
      </c>
      <c r="Q7" s="168">
        <v>17</v>
      </c>
      <c r="R7" s="182">
        <v>3.8374717832957109E-2</v>
      </c>
    </row>
    <row r="8" spans="1:18">
      <c r="C8" s="182">
        <f>C9+5%</f>
        <v>1.5500000000000009</v>
      </c>
      <c r="D8" s="184">
        <f>D9+5%</f>
        <v>1.600000000000001</v>
      </c>
      <c r="E8" s="83">
        <f>COUNTIFS(YIELDN!$K$10:$K$821,"&gt;155%",YIELDN!$K$10:$K$821,"&lt;=160%")</f>
        <v>3</v>
      </c>
      <c r="F8" s="218">
        <f>E8/$B$1</f>
        <v>6.7720090293453723E-3</v>
      </c>
      <c r="G8" s="168">
        <f t="shared" si="0"/>
        <v>23</v>
      </c>
      <c r="H8" s="182">
        <f>G8/$B$1</f>
        <v>5.1918735891647853E-2</v>
      </c>
      <c r="L8" s="10"/>
      <c r="M8" s="182">
        <v>1.5500000000000009</v>
      </c>
      <c r="N8" s="184">
        <v>1.600000000000001</v>
      </c>
      <c r="O8" s="83">
        <v>3</v>
      </c>
      <c r="P8" s="218">
        <v>6.7720090293453723E-3</v>
      </c>
      <c r="Q8" s="168">
        <v>20</v>
      </c>
      <c r="R8" s="182">
        <v>4.5146726862302484E-2</v>
      </c>
    </row>
    <row r="9" spans="1:18">
      <c r="C9" s="182">
        <f>C10+5%</f>
        <v>1.5000000000000009</v>
      </c>
      <c r="D9" s="184">
        <f>D10+5%</f>
        <v>1.5500000000000009</v>
      </c>
      <c r="E9" s="83">
        <f>COUNTIFS(YIELDN!$K$10:$K$821,"&gt;150%",YIELDN!$K$10:$K$821,"&lt;=155%")</f>
        <v>5</v>
      </c>
      <c r="F9" s="218">
        <f t="shared" ref="F9:F17" si="1">E9/$B$1</f>
        <v>1.1286681715575621E-2</v>
      </c>
      <c r="G9" s="168">
        <f t="shared" si="0"/>
        <v>28</v>
      </c>
      <c r="H9" s="182">
        <f>G9/$B$1</f>
        <v>6.320541760722348E-2</v>
      </c>
      <c r="L9" s="10"/>
      <c r="M9" s="182">
        <v>1.5000000000000009</v>
      </c>
      <c r="N9" s="184">
        <v>1.5500000000000009</v>
      </c>
      <c r="O9" s="83">
        <v>8</v>
      </c>
      <c r="P9" s="218">
        <v>1.8058690744920992E-2</v>
      </c>
      <c r="Q9" s="168">
        <v>28</v>
      </c>
      <c r="R9" s="182">
        <v>6.320541760722348E-2</v>
      </c>
    </row>
    <row r="10" spans="1:18">
      <c r="C10" s="182">
        <f t="shared" ref="C10:D16" si="2">C11+5%</f>
        <v>1.4500000000000008</v>
      </c>
      <c r="D10" s="184">
        <f t="shared" si="2"/>
        <v>1.5000000000000009</v>
      </c>
      <c r="E10" s="83">
        <f>COUNTIFS(YIELDN!$K$10:$K$821,"&gt;145%",YIELDN!$K$10:$K$821,"&lt;=150%")</f>
        <v>6</v>
      </c>
      <c r="F10" s="218">
        <f t="shared" si="1"/>
        <v>1.3544018058690745E-2</v>
      </c>
      <c r="G10" s="168">
        <f t="shared" si="0"/>
        <v>34</v>
      </c>
      <c r="H10" s="182">
        <f t="shared" ref="H10:H17" si="3">G10/$B$1</f>
        <v>7.6749435665914217E-2</v>
      </c>
      <c r="L10" s="10"/>
      <c r="M10" s="182">
        <v>1.4500000000000008</v>
      </c>
      <c r="N10" s="184">
        <v>1.5000000000000009</v>
      </c>
      <c r="O10" s="83">
        <v>4</v>
      </c>
      <c r="P10" s="218">
        <v>9.0293453724604959E-3</v>
      </c>
      <c r="Q10" s="168">
        <v>32</v>
      </c>
      <c r="R10" s="182">
        <v>7.2234762979683967E-2</v>
      </c>
    </row>
    <row r="11" spans="1:18">
      <c r="C11" s="182">
        <f t="shared" si="2"/>
        <v>1.4000000000000008</v>
      </c>
      <c r="D11" s="184">
        <f t="shared" si="2"/>
        <v>1.4500000000000008</v>
      </c>
      <c r="E11" s="83">
        <f>COUNTIFS(YIELDN!$K$10:$K$821,"&gt;140%",YIELDN!$K$10:$K$821,"&lt;=145%")</f>
        <v>8</v>
      </c>
      <c r="F11" s="218">
        <f t="shared" si="1"/>
        <v>1.8058690744920992E-2</v>
      </c>
      <c r="G11" s="168">
        <f t="shared" si="0"/>
        <v>42</v>
      </c>
      <c r="H11" s="182">
        <f t="shared" si="3"/>
        <v>9.480812641083522E-2</v>
      </c>
      <c r="L11" s="10"/>
      <c r="M11" s="182">
        <v>1.4000000000000008</v>
      </c>
      <c r="N11" s="184">
        <v>1.4500000000000008</v>
      </c>
      <c r="O11" s="83">
        <v>5</v>
      </c>
      <c r="P11" s="218">
        <v>1.1286681715575621E-2</v>
      </c>
      <c r="Q11" s="168">
        <v>37</v>
      </c>
      <c r="R11" s="182">
        <v>8.35214446952596E-2</v>
      </c>
    </row>
    <row r="12" spans="1:18">
      <c r="C12" s="182">
        <f t="shared" si="2"/>
        <v>1.3500000000000008</v>
      </c>
      <c r="D12" s="184">
        <f t="shared" si="2"/>
        <v>1.4000000000000008</v>
      </c>
      <c r="E12" s="83">
        <f>COUNTIFS(YIELDN!$K$10:$K$821,"&gt;135%",YIELDN!$K$10:$K$821,"&lt;=140%")</f>
        <v>11</v>
      </c>
      <c r="F12" s="218">
        <f t="shared" si="1"/>
        <v>2.4830699774266364E-2</v>
      </c>
      <c r="G12" s="168">
        <f t="shared" si="0"/>
        <v>53</v>
      </c>
      <c r="H12" s="182">
        <f t="shared" si="3"/>
        <v>0.11963882618510158</v>
      </c>
      <c r="L12" s="10"/>
      <c r="M12" s="182">
        <v>1.3500000000000008</v>
      </c>
      <c r="N12" s="184">
        <v>1.4000000000000008</v>
      </c>
      <c r="O12" s="83">
        <v>13</v>
      </c>
      <c r="P12" s="218">
        <v>2.9345372460496615E-2</v>
      </c>
      <c r="Q12" s="168">
        <v>50</v>
      </c>
      <c r="R12" s="182">
        <v>0.11286681715575621</v>
      </c>
    </row>
    <row r="13" spans="1:18">
      <c r="C13" s="182">
        <f t="shared" si="2"/>
        <v>1.3000000000000007</v>
      </c>
      <c r="D13" s="184">
        <f t="shared" si="2"/>
        <v>1.3500000000000008</v>
      </c>
      <c r="E13" s="83">
        <f>COUNTIFS(YIELDN!$K$10:$K$821,"&gt;130%",YIELDN!$K$10:$K$821,"&lt;=135%")</f>
        <v>9</v>
      </c>
      <c r="F13" s="218">
        <f t="shared" si="1"/>
        <v>2.0316027088036117E-2</v>
      </c>
      <c r="G13" s="168">
        <f t="shared" si="0"/>
        <v>62</v>
      </c>
      <c r="H13" s="182">
        <f t="shared" si="3"/>
        <v>0.1399548532731377</v>
      </c>
      <c r="L13" s="10"/>
      <c r="M13" s="182">
        <v>1.3000000000000007</v>
      </c>
      <c r="N13" s="184">
        <v>1.3500000000000008</v>
      </c>
      <c r="O13" s="83">
        <v>9</v>
      </c>
      <c r="P13" s="218">
        <v>2.0316027088036117E-2</v>
      </c>
      <c r="Q13" s="168">
        <v>59</v>
      </c>
      <c r="R13" s="182">
        <v>0.13318284424379231</v>
      </c>
    </row>
    <row r="14" spans="1:18">
      <c r="C14" s="182">
        <f t="shared" si="2"/>
        <v>1.2500000000000007</v>
      </c>
      <c r="D14" s="184">
        <f t="shared" si="2"/>
        <v>1.3000000000000007</v>
      </c>
      <c r="E14" s="83">
        <f>COUNTIFS(YIELDN!$K$10:$K$821,"&gt;125%",YIELDN!$K$10:$K$821,"&lt;=130%")</f>
        <v>15</v>
      </c>
      <c r="F14" s="218">
        <f t="shared" si="1"/>
        <v>3.3860045146726865E-2</v>
      </c>
      <c r="G14" s="168">
        <f t="shared" si="0"/>
        <v>77</v>
      </c>
      <c r="H14" s="182">
        <f t="shared" si="3"/>
        <v>0.17381489841986456</v>
      </c>
      <c r="L14" s="10"/>
      <c r="M14" s="182">
        <v>1.2500000000000007</v>
      </c>
      <c r="N14" s="184">
        <v>1.3000000000000007</v>
      </c>
      <c r="O14" s="83">
        <v>16</v>
      </c>
      <c r="P14" s="218">
        <v>3.6117381489841983E-2</v>
      </c>
      <c r="Q14" s="168">
        <v>75</v>
      </c>
      <c r="R14" s="182">
        <v>0.16930022573363432</v>
      </c>
    </row>
    <row r="15" spans="1:18">
      <c r="A15" s="17" t="s">
        <v>1931</v>
      </c>
      <c r="B15" s="307">
        <v>10</v>
      </c>
      <c r="C15" s="182">
        <f t="shared" si="2"/>
        <v>1.2000000000000006</v>
      </c>
      <c r="D15" s="315">
        <f t="shared" si="2"/>
        <v>1.2500000000000007</v>
      </c>
      <c r="E15" s="285">
        <f>COUNTIFS(YIELDN!$K$10:$K$821,"&gt;120%",YIELDN!$K$10:$K$821,"&lt;=125%")</f>
        <v>15</v>
      </c>
      <c r="F15" s="218">
        <f t="shared" si="1"/>
        <v>3.3860045146726865E-2</v>
      </c>
      <c r="G15" s="168">
        <f t="shared" ref="G15:G29" si="4">G14+E15</f>
        <v>92</v>
      </c>
      <c r="H15" s="182">
        <f t="shared" si="3"/>
        <v>0.20767494356659141</v>
      </c>
      <c r="K15" s="17" t="s">
        <v>1931</v>
      </c>
      <c r="L15" s="307">
        <v>10</v>
      </c>
      <c r="M15" s="182">
        <v>1.2000000000000006</v>
      </c>
      <c r="N15" s="315">
        <v>1.2500000000000007</v>
      </c>
      <c r="O15" s="285">
        <v>12</v>
      </c>
      <c r="P15" s="218">
        <v>2.7088036117381489E-2</v>
      </c>
      <c r="Q15" s="168">
        <v>87</v>
      </c>
      <c r="R15" s="182">
        <v>0.19638826185101579</v>
      </c>
    </row>
    <row r="16" spans="1:18">
      <c r="C16" s="182">
        <f t="shared" ref="C16:C28" si="5">C17+5%</f>
        <v>1.1500000000000006</v>
      </c>
      <c r="D16" s="184">
        <f t="shared" si="2"/>
        <v>1.2000000000000006</v>
      </c>
      <c r="E16" s="285">
        <f>COUNTIFS(YIELDN!$K$10:$K$821,"&gt;115%",YIELDN!$K$10:$K$821,"&lt;=120%")</f>
        <v>18</v>
      </c>
      <c r="F16" s="218">
        <f t="shared" si="1"/>
        <v>4.0632054176072234E-2</v>
      </c>
      <c r="G16" s="168">
        <f t="shared" si="4"/>
        <v>110</v>
      </c>
      <c r="H16" s="182">
        <f t="shared" si="3"/>
        <v>0.24830699774266365</v>
      </c>
      <c r="L16" s="10"/>
      <c r="M16" s="182">
        <v>1.1500000000000006</v>
      </c>
      <c r="N16" s="184">
        <v>1.2000000000000006</v>
      </c>
      <c r="O16" s="285">
        <v>14</v>
      </c>
      <c r="P16" s="218">
        <v>3.160270880361174E-2</v>
      </c>
      <c r="Q16" s="168">
        <v>101</v>
      </c>
      <c r="R16" s="182">
        <v>0.22799097065462753</v>
      </c>
    </row>
    <row r="17" spans="1:18">
      <c r="C17" s="182">
        <f t="shared" si="5"/>
        <v>1.1000000000000005</v>
      </c>
      <c r="D17" s="184">
        <f t="shared" ref="D17:D28" si="6">D18+5%</f>
        <v>1.1500000000000006</v>
      </c>
      <c r="E17" s="285">
        <f>COUNTIFS(YIELDN!$K$10:$K$821,"&gt;110%",YIELDN!$K$10:$K$821,"&lt;=115%")</f>
        <v>24</v>
      </c>
      <c r="F17" s="218">
        <f t="shared" si="1"/>
        <v>5.4176072234762979E-2</v>
      </c>
      <c r="G17" s="168">
        <f t="shared" si="4"/>
        <v>134</v>
      </c>
      <c r="H17" s="182">
        <f t="shared" si="3"/>
        <v>0.30248306997742663</v>
      </c>
      <c r="L17" s="10"/>
      <c r="M17" s="182">
        <v>1.1000000000000005</v>
      </c>
      <c r="N17" s="184">
        <v>1.1500000000000006</v>
      </c>
      <c r="O17" s="285">
        <v>19</v>
      </c>
      <c r="P17" s="218">
        <v>4.2889390519187359E-2</v>
      </c>
      <c r="Q17" s="168">
        <v>120</v>
      </c>
      <c r="R17" s="182">
        <v>0.27088036117381492</v>
      </c>
    </row>
    <row r="18" spans="1:18">
      <c r="C18" s="182">
        <f t="shared" si="5"/>
        <v>1.0500000000000005</v>
      </c>
      <c r="D18" s="184">
        <f t="shared" si="6"/>
        <v>1.1000000000000005</v>
      </c>
      <c r="E18" s="285">
        <f>COUNTIFS(YIELDN!$K$10:$K$821,"&gt;105%",YIELDN!$K$10:$K$821,"&lt;=110%")</f>
        <v>25</v>
      </c>
      <c r="F18" s="218">
        <f t="shared" ref="F18:F29" si="7">E18/$B$1</f>
        <v>5.6433408577878104E-2</v>
      </c>
      <c r="G18" s="168">
        <f t="shared" si="4"/>
        <v>159</v>
      </c>
      <c r="H18" s="182">
        <f t="shared" ref="H18:H29" si="8">G18/$B$1</f>
        <v>0.35891647855530473</v>
      </c>
      <c r="L18" s="10"/>
      <c r="M18" s="182">
        <v>1.0500000000000005</v>
      </c>
      <c r="N18" s="184">
        <v>1.1000000000000005</v>
      </c>
      <c r="O18" s="285">
        <v>19</v>
      </c>
      <c r="P18" s="218">
        <v>4.2889390519187359E-2</v>
      </c>
      <c r="Q18" s="168">
        <v>139</v>
      </c>
      <c r="R18" s="182">
        <v>0.31376975169300225</v>
      </c>
    </row>
    <row r="19" spans="1:18">
      <c r="C19" s="182">
        <f t="shared" si="5"/>
        <v>1.0000000000000004</v>
      </c>
      <c r="D19" s="184">
        <f t="shared" si="6"/>
        <v>1.0500000000000005</v>
      </c>
      <c r="E19" s="285">
        <f>COUNTIFS(YIELDN!$K$10:$K$821,"&gt;100%",YIELDN!$K$10:$K$821,"&lt;=105%")</f>
        <v>32</v>
      </c>
      <c r="F19" s="218">
        <f t="shared" si="7"/>
        <v>7.2234762979683967E-2</v>
      </c>
      <c r="G19" s="168">
        <f t="shared" si="4"/>
        <v>191</v>
      </c>
      <c r="H19" s="182">
        <f t="shared" si="8"/>
        <v>0.43115124153498874</v>
      </c>
      <c r="L19" s="10"/>
      <c r="M19" s="182">
        <v>1.0000000000000004</v>
      </c>
      <c r="N19" s="184">
        <v>1.0500000000000005</v>
      </c>
      <c r="O19" s="285">
        <v>31</v>
      </c>
      <c r="P19" s="218">
        <v>6.9977426636568849E-2</v>
      </c>
      <c r="Q19" s="168">
        <v>170</v>
      </c>
      <c r="R19" s="182">
        <v>0.38374717832957111</v>
      </c>
    </row>
    <row r="20" spans="1:18">
      <c r="C20" s="182">
        <f t="shared" si="5"/>
        <v>0.9500000000000004</v>
      </c>
      <c r="D20" s="184">
        <f t="shared" si="6"/>
        <v>1.0000000000000004</v>
      </c>
      <c r="E20" s="285">
        <f>COUNTIFS(YIELDN!$K$10:$K$821,"&gt;95%",YIELDN!$K$10:$K$821,"&lt;=100%")</f>
        <v>33</v>
      </c>
      <c r="F20" s="218">
        <f t="shared" si="7"/>
        <v>7.4492099322799099E-2</v>
      </c>
      <c r="G20" s="168">
        <f t="shared" si="4"/>
        <v>224</v>
      </c>
      <c r="H20" s="182">
        <f t="shared" si="8"/>
        <v>0.50564334085778784</v>
      </c>
      <c r="L20" s="10"/>
      <c r="M20" s="182">
        <v>0.9500000000000004</v>
      </c>
      <c r="N20" s="184">
        <v>1.0000000000000004</v>
      </c>
      <c r="O20" s="285">
        <v>28</v>
      </c>
      <c r="P20" s="218">
        <v>6.320541760722348E-2</v>
      </c>
      <c r="Q20" s="168">
        <v>198</v>
      </c>
      <c r="R20" s="182">
        <v>0.44695259593679459</v>
      </c>
    </row>
    <row r="21" spans="1:18">
      <c r="C21" s="182">
        <f t="shared" si="5"/>
        <v>0.90000000000000036</v>
      </c>
      <c r="D21" s="184">
        <f t="shared" si="6"/>
        <v>0.9500000000000004</v>
      </c>
      <c r="E21" s="285">
        <f>COUNTIFS(YIELDN!$K$10:$K$821,"&gt;90%",YIELDN!$K$10:$K$821,"&lt;=95%")</f>
        <v>32</v>
      </c>
      <c r="F21" s="218">
        <f t="shared" si="7"/>
        <v>7.2234762979683967E-2</v>
      </c>
      <c r="G21" s="168">
        <f t="shared" si="4"/>
        <v>256</v>
      </c>
      <c r="H21" s="182">
        <f t="shared" si="8"/>
        <v>0.57787810383747173</v>
      </c>
      <c r="L21" s="10"/>
      <c r="M21" s="182">
        <v>0.90000000000000036</v>
      </c>
      <c r="N21" s="184">
        <v>0.9500000000000004</v>
      </c>
      <c r="O21" s="285">
        <v>23</v>
      </c>
      <c r="P21" s="218">
        <v>5.1918735891647853E-2</v>
      </c>
      <c r="Q21" s="168">
        <v>221</v>
      </c>
      <c r="R21" s="182">
        <v>0.49887133182844245</v>
      </c>
    </row>
    <row r="22" spans="1:18">
      <c r="C22" s="182">
        <f t="shared" si="5"/>
        <v>0.85000000000000031</v>
      </c>
      <c r="D22" s="184">
        <f t="shared" si="6"/>
        <v>0.90000000000000036</v>
      </c>
      <c r="E22" s="285">
        <f>COUNTIFS(YIELDN!$K$10:$K$821,"&gt;85%",YIELDN!$K$10:$K$821,"&lt;=90%")</f>
        <v>23</v>
      </c>
      <c r="F22" s="218">
        <f t="shared" si="7"/>
        <v>5.1918735891647853E-2</v>
      </c>
      <c r="G22" s="168">
        <f t="shared" si="4"/>
        <v>279</v>
      </c>
      <c r="H22" s="182">
        <f t="shared" si="8"/>
        <v>0.6297968397291196</v>
      </c>
      <c r="L22" s="10"/>
      <c r="M22" s="182">
        <v>0.85000000000000031</v>
      </c>
      <c r="N22" s="184">
        <v>0.90000000000000036</v>
      </c>
      <c r="O22" s="285">
        <v>15</v>
      </c>
      <c r="P22" s="218">
        <v>3.3860045146726865E-2</v>
      </c>
      <c r="Q22" s="168">
        <v>236</v>
      </c>
      <c r="R22" s="182">
        <v>0.53273137697516926</v>
      </c>
    </row>
    <row r="23" spans="1:18">
      <c r="C23" s="182">
        <f t="shared" si="5"/>
        <v>0.80000000000000027</v>
      </c>
      <c r="D23" s="184">
        <f t="shared" si="6"/>
        <v>0.85000000000000031</v>
      </c>
      <c r="E23" s="285">
        <f>COUNTIFS(YIELDN!$K$10:$K$821,"&gt;80%",YIELDN!$K$10:$K$821,"&lt;=85%")</f>
        <v>24</v>
      </c>
      <c r="F23" s="218">
        <f t="shared" si="7"/>
        <v>5.4176072234762979E-2</v>
      </c>
      <c r="G23" s="168">
        <f t="shared" si="4"/>
        <v>303</v>
      </c>
      <c r="H23" s="182">
        <f t="shared" si="8"/>
        <v>0.68397291196388266</v>
      </c>
      <c r="L23" s="10"/>
      <c r="M23" s="182">
        <v>0.80000000000000027</v>
      </c>
      <c r="N23" s="184">
        <v>0.85000000000000031</v>
      </c>
      <c r="O23" s="285">
        <v>19</v>
      </c>
      <c r="P23" s="218">
        <v>4.2889390519187359E-2</v>
      </c>
      <c r="Q23" s="168">
        <v>255</v>
      </c>
      <c r="R23" s="182">
        <v>0.57562076749435664</v>
      </c>
    </row>
    <row r="24" spans="1:18">
      <c r="C24" s="182">
        <f t="shared" si="5"/>
        <v>0.75000000000000022</v>
      </c>
      <c r="D24" s="184">
        <f t="shared" si="6"/>
        <v>0.80000000000000027</v>
      </c>
      <c r="E24" s="285">
        <f>COUNTIFS(YIELDN!$K$10:$K$821,"&gt;75%",YIELDN!$K$10:$K$821,"&lt;=80%")</f>
        <v>35</v>
      </c>
      <c r="F24" s="218">
        <f t="shared" si="7"/>
        <v>7.900677200902935E-2</v>
      </c>
      <c r="G24" s="168">
        <f t="shared" si="4"/>
        <v>338</v>
      </c>
      <c r="H24" s="182">
        <f t="shared" si="8"/>
        <v>0.76297968397291194</v>
      </c>
      <c r="L24" s="10"/>
      <c r="M24" s="182">
        <v>0.75000000000000022</v>
      </c>
      <c r="N24" s="184">
        <v>0.80000000000000027</v>
      </c>
      <c r="O24" s="285">
        <v>24</v>
      </c>
      <c r="P24" s="218">
        <v>5.4176072234762979E-2</v>
      </c>
      <c r="Q24" s="168">
        <v>279</v>
      </c>
      <c r="R24" s="182">
        <v>0.6297968397291196</v>
      </c>
    </row>
    <row r="25" spans="1:18">
      <c r="C25" s="182">
        <f t="shared" si="5"/>
        <v>0.70000000000000018</v>
      </c>
      <c r="D25" s="184">
        <f t="shared" si="6"/>
        <v>0.75000000000000022</v>
      </c>
      <c r="E25" s="285">
        <f>COUNTIFS(YIELDN!$K$10:$K$821,"&gt;70%",YIELDN!$K$10:$K$821,"&lt;=75%")</f>
        <v>44</v>
      </c>
      <c r="F25" s="218">
        <f t="shared" si="7"/>
        <v>9.9322799097065456E-2</v>
      </c>
      <c r="G25" s="168">
        <f t="shared" si="4"/>
        <v>382</v>
      </c>
      <c r="H25" s="182">
        <f t="shared" si="8"/>
        <v>0.86230248306997748</v>
      </c>
      <c r="L25" s="10"/>
      <c r="M25" s="182">
        <v>0.70000000000000018</v>
      </c>
      <c r="N25" s="184">
        <v>0.75000000000000022</v>
      </c>
      <c r="O25" s="285">
        <v>32</v>
      </c>
      <c r="P25" s="218">
        <v>7.2234762979683967E-2</v>
      </c>
      <c r="Q25" s="168">
        <v>311</v>
      </c>
      <c r="R25" s="182">
        <v>0.7020316027088036</v>
      </c>
    </row>
    <row r="26" spans="1:18">
      <c r="C26" s="182">
        <f t="shared" si="5"/>
        <v>0.65000000000000013</v>
      </c>
      <c r="D26" s="184">
        <f t="shared" si="6"/>
        <v>0.70000000000000018</v>
      </c>
      <c r="E26" s="285">
        <f>COUNTIFS(YIELDN!$K$10:$K$821,"&gt;65%",YIELDN!$K$10:$K$821,"&lt;=70%")</f>
        <v>49</v>
      </c>
      <c r="F26" s="218">
        <f t="shared" si="7"/>
        <v>0.11060948081264109</v>
      </c>
      <c r="G26" s="168">
        <f t="shared" si="4"/>
        <v>431</v>
      </c>
      <c r="H26" s="182">
        <f t="shared" si="8"/>
        <v>0.97291196388261847</v>
      </c>
      <c r="L26" s="10"/>
      <c r="M26" s="182">
        <v>0.65000000000000013</v>
      </c>
      <c r="N26" s="184">
        <v>0.70000000000000018</v>
      </c>
      <c r="O26" s="285">
        <v>30</v>
      </c>
      <c r="P26" s="218">
        <v>6.772009029345373E-2</v>
      </c>
      <c r="Q26" s="168">
        <v>341</v>
      </c>
      <c r="R26" s="182">
        <v>0.76975169300225732</v>
      </c>
    </row>
    <row r="27" spans="1:18">
      <c r="C27" s="182">
        <f t="shared" si="5"/>
        <v>0.60000000000000009</v>
      </c>
      <c r="D27" s="184">
        <f t="shared" si="6"/>
        <v>0.65000000000000013</v>
      </c>
      <c r="E27" s="285">
        <f>COUNTIFS(YIELDN!$K$10:$K$821,"&gt;60%",YIELDN!$K$10:$K$821,"&lt;=65%")</f>
        <v>46</v>
      </c>
      <c r="F27" s="218">
        <f t="shared" si="7"/>
        <v>0.10383747178329571</v>
      </c>
      <c r="G27" s="168">
        <f t="shared" si="4"/>
        <v>477</v>
      </c>
      <c r="H27" s="182">
        <f t="shared" si="8"/>
        <v>1.0767494356659142</v>
      </c>
      <c r="L27" s="10"/>
      <c r="M27" s="182">
        <v>0.60000000000000009</v>
      </c>
      <c r="N27" s="184">
        <v>0.65000000000000013</v>
      </c>
      <c r="O27" s="285">
        <v>23</v>
      </c>
      <c r="P27" s="218">
        <v>5.1918735891647853E-2</v>
      </c>
      <c r="Q27" s="168">
        <v>364</v>
      </c>
      <c r="R27" s="182">
        <v>0.82167042889390518</v>
      </c>
    </row>
    <row r="28" spans="1:18">
      <c r="C28" s="182">
        <f t="shared" si="5"/>
        <v>0.55000000000000004</v>
      </c>
      <c r="D28" s="184">
        <f t="shared" si="6"/>
        <v>0.60000000000000009</v>
      </c>
      <c r="E28" s="285">
        <f>COUNTIFS(YIELDN!$K$10:$K$821,"&gt;55%",YIELDN!$K$10:$K$821,"&lt;=60%")</f>
        <v>49</v>
      </c>
      <c r="F28" s="218">
        <f t="shared" si="7"/>
        <v>0.11060948081264109</v>
      </c>
      <c r="G28" s="168">
        <f t="shared" si="4"/>
        <v>526</v>
      </c>
      <c r="H28" s="182">
        <f t="shared" si="8"/>
        <v>1.1873589164785554</v>
      </c>
      <c r="L28" s="10"/>
      <c r="M28" s="182">
        <v>0.55000000000000004</v>
      </c>
      <c r="N28" s="184">
        <v>0.60000000000000009</v>
      </c>
      <c r="O28" s="285">
        <v>27</v>
      </c>
      <c r="P28" s="218">
        <v>6.0948081264108354E-2</v>
      </c>
      <c r="Q28" s="168">
        <v>391</v>
      </c>
      <c r="R28" s="182">
        <v>0.88261851015801351</v>
      </c>
    </row>
    <row r="29" spans="1:18" ht="17" customHeight="1">
      <c r="A29" s="17" t="s">
        <v>1931</v>
      </c>
      <c r="B29" s="307">
        <v>0</v>
      </c>
      <c r="C29" s="316">
        <f>C30+5%</f>
        <v>0.5</v>
      </c>
      <c r="D29" s="184">
        <f>D30+5%</f>
        <v>0.55000000000000004</v>
      </c>
      <c r="E29" s="285">
        <f>COUNTIFS(YIELDN!$K$10:$K$821,"&gt;50%",YIELDN!$K$10:$K$821,"&lt;=55%")</f>
        <v>43</v>
      </c>
      <c r="F29" s="218">
        <f t="shared" si="7"/>
        <v>9.7065462753950338E-2</v>
      </c>
      <c r="G29" s="168">
        <f t="shared" si="4"/>
        <v>569</v>
      </c>
      <c r="H29" s="182">
        <f t="shared" si="8"/>
        <v>1.2844243792325056</v>
      </c>
      <c r="K29" s="17" t="s">
        <v>1931</v>
      </c>
      <c r="L29" s="307">
        <v>0</v>
      </c>
      <c r="M29" s="316">
        <v>0.5</v>
      </c>
      <c r="N29" s="184">
        <v>0.55000000000000004</v>
      </c>
      <c r="O29" s="285">
        <v>19</v>
      </c>
      <c r="P29" s="218">
        <v>4.2889390519187359E-2</v>
      </c>
      <c r="Q29" s="168">
        <v>410</v>
      </c>
      <c r="R29" s="182">
        <v>0.9255079006772009</v>
      </c>
    </row>
    <row r="30" spans="1:18">
      <c r="C30" s="182">
        <v>0.45</v>
      </c>
      <c r="D30" s="182">
        <v>0.5</v>
      </c>
      <c r="E30" s="83">
        <f>COUNTIFS(YIELDN!$K$10:$K$821,"&gt;45%",YIELDN!$K$10:$K$821,"&lt;=50%")</f>
        <v>44</v>
      </c>
      <c r="F30" s="218">
        <f t="shared" ref="F30:F39" si="9">E30/$B$1</f>
        <v>9.9322799097065456E-2</v>
      </c>
      <c r="G30" s="168">
        <f>G29+E30</f>
        <v>613</v>
      </c>
      <c r="H30" s="182">
        <f t="shared" ref="H30:H39" si="10">G30/$B$1</f>
        <v>1.3837471783295712</v>
      </c>
      <c r="L30" s="10"/>
      <c r="M30" s="182">
        <v>0.45</v>
      </c>
      <c r="N30" s="182">
        <v>0.5</v>
      </c>
      <c r="O30" s="83">
        <v>17</v>
      </c>
      <c r="P30" s="218">
        <v>3.8374717832957109E-2</v>
      </c>
      <c r="Q30" s="168">
        <v>427</v>
      </c>
      <c r="R30" s="182">
        <v>0.963882618510158</v>
      </c>
    </row>
    <row r="31" spans="1:18">
      <c r="C31" s="182">
        <v>0.4</v>
      </c>
      <c r="D31" s="182">
        <v>0.45</v>
      </c>
      <c r="E31" s="83">
        <f>COUNTIFS(YIELDN!$K$10:$K$821,"&gt;40%",YIELDN!$K$10:$K$821,"&lt;=45%")</f>
        <v>27</v>
      </c>
      <c r="F31" s="218">
        <f t="shared" si="9"/>
        <v>6.0948081264108354E-2</v>
      </c>
      <c r="G31" s="168">
        <f t="shared" ref="G31:G39" si="11">G30+E31</f>
        <v>640</v>
      </c>
      <c r="H31" s="182">
        <f t="shared" si="10"/>
        <v>1.4446952595936795</v>
      </c>
      <c r="L31" s="10"/>
      <c r="M31" s="182">
        <v>0.4</v>
      </c>
      <c r="N31" s="182">
        <v>0.45</v>
      </c>
      <c r="O31" s="83">
        <v>7</v>
      </c>
      <c r="P31" s="218">
        <v>1.580135440180587E-2</v>
      </c>
      <c r="Q31" s="168">
        <v>434</v>
      </c>
      <c r="R31" s="182">
        <v>0.97968397291196385</v>
      </c>
    </row>
    <row r="32" spans="1:18">
      <c r="C32" s="218">
        <v>0.35</v>
      </c>
      <c r="D32" s="218">
        <v>0.4</v>
      </c>
      <c r="E32" s="168">
        <f>COUNTIFS(YIELDN!$K$10:$K$821,"&gt;35%",YIELDN!$K$10:$K$821,"&lt;=40%")</f>
        <v>34</v>
      </c>
      <c r="F32" s="218">
        <f t="shared" si="9"/>
        <v>7.6749435665914217E-2</v>
      </c>
      <c r="G32" s="168">
        <f t="shared" si="11"/>
        <v>674</v>
      </c>
      <c r="H32" s="182">
        <f t="shared" si="10"/>
        <v>1.5214446952595937</v>
      </c>
      <c r="L32" s="10"/>
      <c r="M32" s="218">
        <v>0.35</v>
      </c>
      <c r="N32" s="218">
        <v>0.4</v>
      </c>
      <c r="O32" s="168">
        <v>6</v>
      </c>
      <c r="P32" s="218">
        <v>1.3544018058690745E-2</v>
      </c>
      <c r="Q32" s="168">
        <v>440</v>
      </c>
      <c r="R32" s="182">
        <v>0.99322799097065462</v>
      </c>
    </row>
    <row r="33" spans="3:18">
      <c r="C33" s="218">
        <v>0.3</v>
      </c>
      <c r="D33" s="218">
        <v>0.35</v>
      </c>
      <c r="E33" s="83">
        <f>COUNTIFS(YIELDN!$K$10:$K$821,"&gt;30%",YIELDN!$K$10:$K$821,"&lt;=35%")</f>
        <v>26</v>
      </c>
      <c r="F33" s="218">
        <f t="shared" si="9"/>
        <v>5.8690744920993229E-2</v>
      </c>
      <c r="G33" s="168">
        <f t="shared" si="11"/>
        <v>700</v>
      </c>
      <c r="H33" s="182">
        <f t="shared" si="10"/>
        <v>1.5801354401805869</v>
      </c>
      <c r="L33" s="10"/>
      <c r="M33" s="218">
        <v>0.3</v>
      </c>
      <c r="N33" s="218">
        <v>0.35</v>
      </c>
      <c r="O33" s="83">
        <v>2</v>
      </c>
      <c r="P33" s="218">
        <v>4.5146726862302479E-3</v>
      </c>
      <c r="Q33" s="168">
        <v>442</v>
      </c>
      <c r="R33" s="182">
        <v>0.99774266365688491</v>
      </c>
    </row>
    <row r="34" spans="3:18">
      <c r="C34" s="218">
        <v>0.25</v>
      </c>
      <c r="D34" s="218">
        <v>0.3</v>
      </c>
      <c r="E34" s="83">
        <f>COUNTIFS(YIELDN!$K$10:$K$821,"&gt;25%",YIELDN!$K$10:$K$821,"&lt;=30%")</f>
        <v>21</v>
      </c>
      <c r="F34" s="218">
        <f t="shared" si="9"/>
        <v>4.740406320541761E-2</v>
      </c>
      <c r="G34" s="168">
        <f t="shared" si="11"/>
        <v>721</v>
      </c>
      <c r="H34" s="182">
        <f t="shared" si="10"/>
        <v>1.6275395033860045</v>
      </c>
      <c r="L34" s="10"/>
      <c r="M34" s="218">
        <v>0.25</v>
      </c>
      <c r="N34" s="218">
        <v>0.3</v>
      </c>
      <c r="O34" s="83">
        <v>1</v>
      </c>
      <c r="P34" s="218">
        <v>2.257336343115124E-3</v>
      </c>
      <c r="Q34" s="168">
        <v>443</v>
      </c>
      <c r="R34" s="182">
        <v>1</v>
      </c>
    </row>
    <row r="35" spans="3:18">
      <c r="C35" s="219">
        <v>0.2</v>
      </c>
      <c r="D35" s="219">
        <v>0.25</v>
      </c>
      <c r="E35" s="168">
        <f>COUNTIFS(YIELDN!$K$10:$K$821,"&gt;20%",YIELDN!$K$10:$K$821,"&lt;=25%")</f>
        <v>21</v>
      </c>
      <c r="F35" s="218">
        <f t="shared" si="9"/>
        <v>4.740406320541761E-2</v>
      </c>
      <c r="G35" s="168">
        <f t="shared" si="11"/>
        <v>742</v>
      </c>
      <c r="H35" s="182">
        <f t="shared" si="10"/>
        <v>1.6749435665914221</v>
      </c>
      <c r="L35" s="10"/>
      <c r="M35" s="219">
        <v>0.2</v>
      </c>
      <c r="N35" s="219">
        <v>0.25</v>
      </c>
      <c r="O35" s="168">
        <v>0</v>
      </c>
      <c r="P35" s="218">
        <v>0</v>
      </c>
      <c r="Q35" s="168">
        <v>443</v>
      </c>
      <c r="R35" s="182">
        <v>1</v>
      </c>
    </row>
    <row r="36" spans="3:18">
      <c r="C36" s="218">
        <v>0.15</v>
      </c>
      <c r="D36" s="218">
        <v>0.2</v>
      </c>
      <c r="E36" s="168">
        <f>IFERROR(COUNTIFS(YIELDN!$K$10:$K$821,"&gt;15%",YIELDN!$K$10:$K$8216,"&lt;=20%"),0)</f>
        <v>0</v>
      </c>
      <c r="F36" s="218">
        <f t="shared" si="9"/>
        <v>0</v>
      </c>
      <c r="G36" s="168">
        <f t="shared" si="11"/>
        <v>742</v>
      </c>
      <c r="H36" s="182">
        <f t="shared" si="10"/>
        <v>1.6749435665914221</v>
      </c>
      <c r="L36" s="10"/>
      <c r="M36" s="218">
        <v>0.15</v>
      </c>
      <c r="N36" s="218">
        <v>0.2</v>
      </c>
      <c r="O36" s="168">
        <v>0</v>
      </c>
      <c r="P36" s="218">
        <v>0</v>
      </c>
      <c r="Q36" s="168">
        <v>443</v>
      </c>
      <c r="R36" s="182">
        <v>1</v>
      </c>
    </row>
    <row r="37" spans="3:18">
      <c r="C37" s="218">
        <f>D37-5%</f>
        <v>9.9999999999999992E-2</v>
      </c>
      <c r="D37" s="220">
        <v>0.15</v>
      </c>
      <c r="E37" s="168">
        <f>COUNTIFS(YIELDN!$K$10:$K$821,"&gt;10%",YIELDN!$K$10:$K$821,"&lt;=15%")</f>
        <v>3</v>
      </c>
      <c r="F37" s="218">
        <f t="shared" si="9"/>
        <v>6.7720090293453723E-3</v>
      </c>
      <c r="G37" s="168">
        <f t="shared" si="11"/>
        <v>745</v>
      </c>
      <c r="H37" s="182">
        <f t="shared" si="10"/>
        <v>1.6817155756207676</v>
      </c>
      <c r="L37" s="10"/>
      <c r="M37" s="218">
        <v>9.9999999999999992E-2</v>
      </c>
      <c r="N37" s="220">
        <v>0.15</v>
      </c>
      <c r="O37" s="168">
        <v>0</v>
      </c>
      <c r="P37" s="218">
        <v>0</v>
      </c>
      <c r="Q37" s="168">
        <v>443</v>
      </c>
      <c r="R37" s="182">
        <v>1</v>
      </c>
    </row>
    <row r="38" spans="3:18">
      <c r="C38" s="218">
        <f>D38-5%</f>
        <v>4.9999999999999989E-2</v>
      </c>
      <c r="D38" s="220">
        <f>D37-5%</f>
        <v>9.9999999999999992E-2</v>
      </c>
      <c r="E38" s="168">
        <f>COUNTIFS(YIELDN!$K$10:$K$821,"&gt;5%",YIELDN!$K$10:$K$821,"&lt;=10%")</f>
        <v>1</v>
      </c>
      <c r="F38" s="218">
        <f t="shared" si="9"/>
        <v>2.257336343115124E-3</v>
      </c>
      <c r="G38" s="168">
        <f t="shared" si="11"/>
        <v>746</v>
      </c>
      <c r="H38" s="182">
        <f t="shared" si="10"/>
        <v>1.6839729119638827</v>
      </c>
      <c r="L38" s="10"/>
      <c r="M38" s="218">
        <v>4.9999999999999989E-2</v>
      </c>
      <c r="N38" s="220">
        <v>9.9999999999999992E-2</v>
      </c>
      <c r="O38" s="168">
        <v>0</v>
      </c>
      <c r="P38" s="218">
        <v>0</v>
      </c>
      <c r="Q38" s="168">
        <v>443</v>
      </c>
      <c r="R38" s="182">
        <v>1</v>
      </c>
    </row>
    <row r="39" spans="3:18">
      <c r="C39" s="218">
        <f>D39-5%</f>
        <v>0</v>
      </c>
      <c r="D39" s="220">
        <f>D38-5%</f>
        <v>4.9999999999999989E-2</v>
      </c>
      <c r="E39" s="168">
        <f>COUNTIFS(YIELDN!$K$10:$K$821,"&gt;0%",YIELDN!$K$10:$K$821,"&lt;=5%")</f>
        <v>0</v>
      </c>
      <c r="F39" s="218">
        <f t="shared" si="9"/>
        <v>0</v>
      </c>
      <c r="G39" s="168">
        <f t="shared" si="11"/>
        <v>746</v>
      </c>
      <c r="H39" s="182">
        <f t="shared" si="10"/>
        <v>1.6839729119638827</v>
      </c>
      <c r="L39" s="10"/>
      <c r="M39" s="218">
        <v>0</v>
      </c>
      <c r="N39" s="220">
        <v>4.9999999999999989E-2</v>
      </c>
      <c r="O39" s="168">
        <v>0</v>
      </c>
      <c r="P39" s="218">
        <v>0</v>
      </c>
      <c r="Q39" s="168">
        <v>443</v>
      </c>
      <c r="R39" s="182">
        <v>1</v>
      </c>
    </row>
  </sheetData>
  <pageMargins left="0.7" right="0.7" top="0.75" bottom="0.75" header="0.3" footer="0.3"/>
  <pageSetup paperSize="9" orientation="portrait" horizontalDpi="0" verticalDpi="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FBCB9-1A46-094E-BB98-7DF60CFADE28}">
  <dimension ref="A1:Q57"/>
  <sheetViews>
    <sheetView topLeftCell="A2" zoomScale="130" zoomScaleNormal="130" workbookViewId="0">
      <selection activeCell="A5" sqref="A5:B5"/>
    </sheetView>
  </sheetViews>
  <sheetFormatPr baseColWidth="10" defaultRowHeight="16"/>
  <cols>
    <col min="2" max="2" width="6.5" style="10" customWidth="1"/>
    <col min="3" max="3" width="10.83203125" style="24"/>
    <col min="7" max="7" width="15.5" customWidth="1"/>
    <col min="9" max="9" width="3.33203125" customWidth="1"/>
    <col min="10" max="10" width="7.83203125" customWidth="1"/>
    <col min="16" max="16" width="12" customWidth="1"/>
  </cols>
  <sheetData>
    <row r="1" spans="1:17">
      <c r="B1" s="288">
        <v>820</v>
      </c>
    </row>
    <row r="3" spans="1:17">
      <c r="B3" s="68"/>
    </row>
    <row r="4" spans="1:17" ht="25" customHeight="1">
      <c r="B4" s="310" t="s">
        <v>1853</v>
      </c>
      <c r="C4" s="182" t="s">
        <v>1904</v>
      </c>
      <c r="D4" s="83" t="s">
        <v>1905</v>
      </c>
      <c r="E4" s="83" t="s">
        <v>1961</v>
      </c>
      <c r="F4" s="83" t="s">
        <v>1845</v>
      </c>
      <c r="G4" s="83" t="s">
        <v>1906</v>
      </c>
      <c r="H4" s="83" t="s">
        <v>1962</v>
      </c>
      <c r="K4" s="310" t="s">
        <v>1853</v>
      </c>
      <c r="L4" s="182" t="s">
        <v>1904</v>
      </c>
      <c r="M4" s="83" t="s">
        <v>1905</v>
      </c>
      <c r="N4" s="83" t="s">
        <v>1961</v>
      </c>
      <c r="O4" s="83" t="s">
        <v>1845</v>
      </c>
      <c r="P4" s="83" t="s">
        <v>1906</v>
      </c>
      <c r="Q4" s="83" t="s">
        <v>1962</v>
      </c>
    </row>
    <row r="5" spans="1:17" ht="15" customHeight="1">
      <c r="A5" s="492" t="s">
        <v>2619</v>
      </c>
      <c r="B5" s="493"/>
      <c r="C5" s="311">
        <v>100</v>
      </c>
      <c r="D5" s="83"/>
      <c r="E5" s="83">
        <f>COUNTIFS(SIZE!$F$10:$F$821,"&gt;100")</f>
        <v>56</v>
      </c>
      <c r="F5" s="218">
        <f t="shared" ref="F5:F15" si="0">E5/$B$1</f>
        <v>6.8292682926829273E-2</v>
      </c>
      <c r="G5" s="83">
        <f>E5</f>
        <v>56</v>
      </c>
      <c r="H5" s="182">
        <f>G5/B1</f>
        <v>6.8292682926829273E-2</v>
      </c>
      <c r="K5" s="12" t="s">
        <v>2618</v>
      </c>
      <c r="L5" s="311">
        <v>100</v>
      </c>
      <c r="M5" s="83"/>
      <c r="N5" s="83">
        <v>0</v>
      </c>
      <c r="O5" s="218">
        <v>0</v>
      </c>
      <c r="P5" s="83">
        <v>0</v>
      </c>
      <c r="Q5" s="83"/>
    </row>
    <row r="6" spans="1:17">
      <c r="C6" s="311">
        <f t="shared" ref="C6:D25" si="1">C38*100</f>
        <v>95.000000000000043</v>
      </c>
      <c r="D6" s="311">
        <f t="shared" si="1"/>
        <v>100.00000000000004</v>
      </c>
      <c r="E6" s="83">
        <f>COUNTIFS(SIZE!$F$10:$F$821,"&gt;95",SIZE!$F$10:$F$821,"&lt;=100")</f>
        <v>9</v>
      </c>
      <c r="F6" s="218">
        <f t="shared" si="0"/>
        <v>1.097560975609756E-2</v>
      </c>
      <c r="G6" s="168">
        <f>E5+E6</f>
        <v>65</v>
      </c>
      <c r="H6" s="182">
        <f t="shared" ref="H6:H25" si="2">G6/$B$1</f>
        <v>7.926829268292683E-2</v>
      </c>
      <c r="K6" s="10"/>
      <c r="L6" s="311">
        <v>95.000000000000043</v>
      </c>
      <c r="M6" s="311">
        <v>100.00000000000004</v>
      </c>
      <c r="N6" s="83">
        <v>0</v>
      </c>
      <c r="O6" s="218">
        <v>0</v>
      </c>
      <c r="P6" s="168">
        <v>0</v>
      </c>
      <c r="Q6" s="182">
        <v>0</v>
      </c>
    </row>
    <row r="7" spans="1:17">
      <c r="C7" s="311">
        <f t="shared" si="1"/>
        <v>90.000000000000028</v>
      </c>
      <c r="D7" s="311">
        <f t="shared" si="1"/>
        <v>95.000000000000043</v>
      </c>
      <c r="E7" s="83">
        <f>COUNTIFS(SIZE!$F$10:$F$821,"&gt;90",SIZE!$F$10:$F$821,"&lt;=95")</f>
        <v>10</v>
      </c>
      <c r="F7" s="218">
        <f t="shared" si="0"/>
        <v>1.2195121951219513E-2</v>
      </c>
      <c r="G7" s="168">
        <f t="shared" ref="G7:G15" si="3">G6+E7</f>
        <v>75</v>
      </c>
      <c r="H7" s="182">
        <f t="shared" si="2"/>
        <v>9.1463414634146339E-2</v>
      </c>
      <c r="K7" s="10"/>
      <c r="L7" s="311">
        <v>90.000000000000028</v>
      </c>
      <c r="M7" s="311">
        <v>95.000000000000043</v>
      </c>
      <c r="N7" s="83">
        <v>0</v>
      </c>
      <c r="O7" s="218">
        <v>0</v>
      </c>
      <c r="P7" s="168">
        <v>0</v>
      </c>
      <c r="Q7" s="182">
        <v>0</v>
      </c>
    </row>
    <row r="8" spans="1:17">
      <c r="C8" s="311">
        <f t="shared" si="1"/>
        <v>85.000000000000028</v>
      </c>
      <c r="D8" s="311">
        <f t="shared" si="1"/>
        <v>90.000000000000028</v>
      </c>
      <c r="E8" s="83">
        <f>COUNTIFS(SIZE!$F$10:$F$821,"&gt;85",SIZE!$F$10:$F$821,"&lt;=90")</f>
        <v>15</v>
      </c>
      <c r="F8" s="218">
        <f t="shared" si="0"/>
        <v>1.8292682926829267E-2</v>
      </c>
      <c r="G8" s="168">
        <f t="shared" si="3"/>
        <v>90</v>
      </c>
      <c r="H8" s="182">
        <f t="shared" si="2"/>
        <v>0.10975609756097561</v>
      </c>
      <c r="K8" s="10"/>
      <c r="L8" s="311">
        <v>85.000000000000028</v>
      </c>
      <c r="M8" s="311">
        <v>90.000000000000028</v>
      </c>
      <c r="N8" s="83">
        <v>0</v>
      </c>
      <c r="O8" s="218">
        <v>0</v>
      </c>
      <c r="P8" s="168">
        <v>0</v>
      </c>
      <c r="Q8" s="182">
        <v>0</v>
      </c>
    </row>
    <row r="9" spans="1:17">
      <c r="C9" s="311">
        <f t="shared" si="1"/>
        <v>80.000000000000028</v>
      </c>
      <c r="D9" s="311">
        <f t="shared" si="1"/>
        <v>85.000000000000028</v>
      </c>
      <c r="E9" s="83">
        <f>COUNTIFS(SIZE!$F$10:$F$821,"&gt;80",SIZE!$F$10:$F$821,"&lt;=85")</f>
        <v>5</v>
      </c>
      <c r="F9" s="218">
        <f t="shared" si="0"/>
        <v>6.0975609756097563E-3</v>
      </c>
      <c r="G9" s="168">
        <f t="shared" si="3"/>
        <v>95</v>
      </c>
      <c r="H9" s="182">
        <f t="shared" si="2"/>
        <v>0.11585365853658537</v>
      </c>
      <c r="K9" s="10"/>
      <c r="L9" s="311">
        <v>80.000000000000028</v>
      </c>
      <c r="M9" s="311">
        <v>85.000000000000028</v>
      </c>
      <c r="N9" s="83">
        <v>0</v>
      </c>
      <c r="O9" s="218">
        <v>0</v>
      </c>
      <c r="P9" s="168">
        <v>0</v>
      </c>
      <c r="Q9" s="182">
        <v>0</v>
      </c>
    </row>
    <row r="10" spans="1:17">
      <c r="C10" s="311">
        <f t="shared" si="1"/>
        <v>75.000000000000028</v>
      </c>
      <c r="D10" s="311">
        <f t="shared" si="1"/>
        <v>80.000000000000028</v>
      </c>
      <c r="E10" s="83">
        <f>COUNTIFS(SIZE!$F$10:$F$821,"&gt;75",SIZE!$F$10:$F$821,"&lt;=80")</f>
        <v>11</v>
      </c>
      <c r="F10" s="218">
        <f t="shared" si="0"/>
        <v>1.3414634146341463E-2</v>
      </c>
      <c r="G10" s="168">
        <f t="shared" si="3"/>
        <v>106</v>
      </c>
      <c r="H10" s="182">
        <f t="shared" si="2"/>
        <v>0.12926829268292683</v>
      </c>
      <c r="K10" s="10"/>
      <c r="L10" s="311">
        <v>75.000000000000028</v>
      </c>
      <c r="M10" s="311">
        <v>80.000000000000028</v>
      </c>
      <c r="N10" s="83">
        <v>0</v>
      </c>
      <c r="O10" s="218">
        <v>0</v>
      </c>
      <c r="P10" s="168">
        <v>0</v>
      </c>
      <c r="Q10" s="182">
        <v>0</v>
      </c>
    </row>
    <row r="11" spans="1:17">
      <c r="A11" s="17" t="s">
        <v>1931</v>
      </c>
      <c r="B11" s="307">
        <v>0</v>
      </c>
      <c r="C11" s="311">
        <f t="shared" si="1"/>
        <v>70.000000000000014</v>
      </c>
      <c r="D11" s="318">
        <f t="shared" si="1"/>
        <v>75.000000000000028</v>
      </c>
      <c r="E11" s="285">
        <f>COUNTIFS(SIZE!$F$10:$F$821,"&gt;70",SIZE!$F$10:$F$821,"&lt;=75")</f>
        <v>22</v>
      </c>
      <c r="F11" s="218">
        <f t="shared" si="0"/>
        <v>2.6829268292682926E-2</v>
      </c>
      <c r="G11" s="168">
        <f t="shared" si="3"/>
        <v>128</v>
      </c>
      <c r="H11" s="314">
        <f t="shared" si="2"/>
        <v>0.15609756097560976</v>
      </c>
      <c r="J11" s="17" t="s">
        <v>1931</v>
      </c>
      <c r="K11" s="307">
        <v>0</v>
      </c>
      <c r="L11" s="311">
        <v>70.000000000000014</v>
      </c>
      <c r="M11" s="318">
        <v>75.000000000000028</v>
      </c>
      <c r="N11" s="285">
        <v>4</v>
      </c>
      <c r="O11" s="218">
        <v>8.988764044943821E-3</v>
      </c>
      <c r="P11" s="168">
        <v>4</v>
      </c>
      <c r="Q11" s="314">
        <v>8.988764044943821E-3</v>
      </c>
    </row>
    <row r="12" spans="1:17">
      <c r="C12" s="311">
        <f t="shared" si="1"/>
        <v>65.000000000000014</v>
      </c>
      <c r="D12" s="311">
        <f t="shared" si="1"/>
        <v>70.000000000000014</v>
      </c>
      <c r="E12" s="285">
        <f>COUNTIFS(SIZE!$F$10:$F$821,"&gt;65",SIZE!$F$10:$F$821,"&lt;=70")</f>
        <v>8</v>
      </c>
      <c r="F12" s="218">
        <f t="shared" si="0"/>
        <v>9.7560975609756097E-3</v>
      </c>
      <c r="G12" s="168">
        <f t="shared" si="3"/>
        <v>136</v>
      </c>
      <c r="H12" s="314">
        <f t="shared" si="2"/>
        <v>0.16585365853658537</v>
      </c>
      <c r="K12" s="10"/>
      <c r="L12" s="311">
        <v>65.000000000000014</v>
      </c>
      <c r="M12" s="311">
        <v>70.000000000000014</v>
      </c>
      <c r="N12" s="285">
        <v>0</v>
      </c>
      <c r="O12" s="218">
        <v>0</v>
      </c>
      <c r="P12" s="168">
        <v>4</v>
      </c>
      <c r="Q12" s="314">
        <v>8.988764044943821E-3</v>
      </c>
    </row>
    <row r="13" spans="1:17">
      <c r="C13" s="311">
        <f t="shared" si="1"/>
        <v>60.000000000000007</v>
      </c>
      <c r="D13" s="311">
        <f t="shared" si="1"/>
        <v>65.000000000000014</v>
      </c>
      <c r="E13" s="285">
        <f>COUNTIFS(SIZE!$F$10:$F$821,"&gt;60",SIZE!$F$10:$F$821,"&lt;=65")</f>
        <v>11</v>
      </c>
      <c r="F13" s="218">
        <f t="shared" si="0"/>
        <v>1.3414634146341463E-2</v>
      </c>
      <c r="G13" s="168">
        <f t="shared" si="3"/>
        <v>147</v>
      </c>
      <c r="H13" s="314">
        <f t="shared" si="2"/>
        <v>0.17926829268292682</v>
      </c>
      <c r="K13" s="10"/>
      <c r="L13" s="311">
        <v>60.000000000000007</v>
      </c>
      <c r="M13" s="311">
        <v>65.000000000000014</v>
      </c>
      <c r="N13" s="285">
        <v>0</v>
      </c>
      <c r="O13" s="218">
        <v>0</v>
      </c>
      <c r="P13" s="168">
        <v>4</v>
      </c>
      <c r="Q13" s="314">
        <v>8.988764044943821E-3</v>
      </c>
    </row>
    <row r="14" spans="1:17">
      <c r="C14" s="311">
        <f t="shared" si="1"/>
        <v>55.000000000000007</v>
      </c>
      <c r="D14" s="311">
        <f t="shared" si="1"/>
        <v>60.000000000000007</v>
      </c>
      <c r="E14" s="285">
        <f>COUNTIFS(SIZE!$F$10:$F$821,"&gt;55",SIZE!$F$10:$F$821,"&lt;=60")</f>
        <v>21</v>
      </c>
      <c r="F14" s="218">
        <f t="shared" si="0"/>
        <v>2.5609756097560974E-2</v>
      </c>
      <c r="G14" s="168">
        <f t="shared" si="3"/>
        <v>168</v>
      </c>
      <c r="H14" s="314">
        <f t="shared" si="2"/>
        <v>0.20487804878048779</v>
      </c>
      <c r="K14" s="10"/>
      <c r="L14" s="311">
        <v>55.000000000000007</v>
      </c>
      <c r="M14" s="311">
        <v>60.000000000000007</v>
      </c>
      <c r="N14" s="285">
        <v>1</v>
      </c>
      <c r="O14" s="218">
        <v>2.2471910112359553E-3</v>
      </c>
      <c r="P14" s="168">
        <v>5</v>
      </c>
      <c r="Q14" s="314">
        <v>1.1235955056179775E-2</v>
      </c>
    </row>
    <row r="15" spans="1:17" ht="17" customHeight="1">
      <c r="C15" s="311">
        <f t="shared" si="1"/>
        <v>50</v>
      </c>
      <c r="D15" s="311">
        <f t="shared" si="1"/>
        <v>55.000000000000007</v>
      </c>
      <c r="E15" s="285">
        <f>COUNTIFS(SIZE!$F$10:$F$821,"&gt;50",SIZE!$F$10:$F$821,"&lt;=55")</f>
        <v>27</v>
      </c>
      <c r="F15" s="218">
        <f t="shared" si="0"/>
        <v>3.2926829268292684E-2</v>
      </c>
      <c r="G15" s="168">
        <f t="shared" si="3"/>
        <v>195</v>
      </c>
      <c r="H15" s="314">
        <f t="shared" si="2"/>
        <v>0.23780487804878048</v>
      </c>
      <c r="K15" s="10"/>
      <c r="L15" s="311">
        <v>50</v>
      </c>
      <c r="M15" s="311">
        <v>55.000000000000007</v>
      </c>
      <c r="N15" s="285">
        <v>3</v>
      </c>
      <c r="O15" s="218">
        <v>6.7415730337078653E-3</v>
      </c>
      <c r="P15" s="168">
        <v>8</v>
      </c>
      <c r="Q15" s="314">
        <v>1.7977528089887642E-2</v>
      </c>
    </row>
    <row r="16" spans="1:17">
      <c r="C16" s="311">
        <f t="shared" si="1"/>
        <v>45</v>
      </c>
      <c r="D16" s="311">
        <f t="shared" si="1"/>
        <v>50</v>
      </c>
      <c r="E16" s="285">
        <f>COUNTIFS(SIZE!$F$10:$F$821,"&gt;45",SIZE!$F$10:$F$821,"&lt;=50")</f>
        <v>46</v>
      </c>
      <c r="F16" s="218">
        <f t="shared" ref="F16:F25" si="4">E16/$B$1</f>
        <v>5.6097560975609757E-2</v>
      </c>
      <c r="G16" s="168">
        <f>G15+E16</f>
        <v>241</v>
      </c>
      <c r="H16" s="314">
        <f t="shared" si="2"/>
        <v>0.29390243902439023</v>
      </c>
      <c r="K16" s="10"/>
      <c r="L16" s="311">
        <v>45</v>
      </c>
      <c r="M16" s="311">
        <v>50</v>
      </c>
      <c r="N16" s="285">
        <v>10</v>
      </c>
      <c r="O16" s="218">
        <v>2.247191011235955E-2</v>
      </c>
      <c r="P16" s="168">
        <v>18</v>
      </c>
      <c r="Q16" s="314">
        <v>4.0449438202247189E-2</v>
      </c>
    </row>
    <row r="17" spans="1:17">
      <c r="C17" s="311">
        <f t="shared" si="1"/>
        <v>40</v>
      </c>
      <c r="D17" s="311">
        <f t="shared" si="1"/>
        <v>45</v>
      </c>
      <c r="E17" s="285">
        <f>COUNTIFS(SIZE!$F$10:$F$821,"&gt;40",SIZE!$F$10:$F$821,"&lt;=45")</f>
        <v>67</v>
      </c>
      <c r="F17" s="218">
        <f t="shared" si="4"/>
        <v>8.1707317073170735E-2</v>
      </c>
      <c r="G17" s="168">
        <f t="shared" ref="G17:G25" si="5">G16+E17</f>
        <v>308</v>
      </c>
      <c r="H17" s="314">
        <f t="shared" si="2"/>
        <v>0.37560975609756098</v>
      </c>
      <c r="K17" s="10"/>
      <c r="L17" s="311">
        <v>40</v>
      </c>
      <c r="M17" s="311">
        <v>45</v>
      </c>
      <c r="N17" s="285">
        <v>34</v>
      </c>
      <c r="O17" s="218">
        <v>7.6404494382022473E-2</v>
      </c>
      <c r="P17" s="168">
        <v>52</v>
      </c>
      <c r="Q17" s="314">
        <v>0.11685393258426967</v>
      </c>
    </row>
    <row r="18" spans="1:17">
      <c r="C18" s="311">
        <f t="shared" si="1"/>
        <v>35</v>
      </c>
      <c r="D18" s="311">
        <f t="shared" si="1"/>
        <v>40</v>
      </c>
      <c r="E18" s="285">
        <f>COUNTIFS(SIZE!$F$10:$F$821,"&gt;35",SIZE!$F$10:$F$821,"&lt;=40")</f>
        <v>151</v>
      </c>
      <c r="F18" s="218">
        <f t="shared" si="4"/>
        <v>0.18414634146341463</v>
      </c>
      <c r="G18" s="168">
        <f t="shared" si="5"/>
        <v>459</v>
      </c>
      <c r="H18" s="314">
        <f t="shared" si="2"/>
        <v>0.55975609756097566</v>
      </c>
      <c r="K18" s="10"/>
      <c r="L18" s="311">
        <v>35</v>
      </c>
      <c r="M18" s="311">
        <v>40</v>
      </c>
      <c r="N18" s="285">
        <v>102</v>
      </c>
      <c r="O18" s="218">
        <v>0.2292134831460674</v>
      </c>
      <c r="P18" s="168">
        <v>154</v>
      </c>
      <c r="Q18" s="314">
        <v>0.34606741573033706</v>
      </c>
    </row>
    <row r="19" spans="1:17">
      <c r="C19" s="319">
        <f t="shared" si="1"/>
        <v>30</v>
      </c>
      <c r="D19" s="311">
        <f t="shared" si="1"/>
        <v>35</v>
      </c>
      <c r="E19" s="285">
        <f>COUNTIFS(SIZE!$F$10:$F$821,"&gt;30",SIZE!$F$10:$F$821,"&lt;=35")</f>
        <v>177</v>
      </c>
      <c r="F19" s="218">
        <f t="shared" si="4"/>
        <v>0.21585365853658536</v>
      </c>
      <c r="G19" s="168">
        <f t="shared" si="5"/>
        <v>636</v>
      </c>
      <c r="H19" s="314">
        <f t="shared" si="2"/>
        <v>0.775609756097561</v>
      </c>
      <c r="K19" s="10"/>
      <c r="L19" s="311">
        <v>30</v>
      </c>
      <c r="M19" s="311">
        <v>35</v>
      </c>
      <c r="N19" s="285">
        <v>145</v>
      </c>
      <c r="O19" s="218">
        <v>0.3258426966292135</v>
      </c>
      <c r="P19" s="168">
        <v>299</v>
      </c>
      <c r="Q19" s="314">
        <v>0.67191011235955056</v>
      </c>
    </row>
    <row r="20" spans="1:17">
      <c r="A20" s="17" t="s">
        <v>1931</v>
      </c>
      <c r="B20" s="309">
        <v>10</v>
      </c>
      <c r="C20" s="318">
        <f t="shared" si="1"/>
        <v>25</v>
      </c>
      <c r="D20" s="311">
        <f t="shared" si="1"/>
        <v>30</v>
      </c>
      <c r="E20" s="285">
        <f>COUNTIFS(SIZE!$F$10:$F$821,"&gt;25",SIZE!$F$10:$F$821,"&lt;=30")</f>
        <v>128</v>
      </c>
      <c r="F20" s="218">
        <f t="shared" si="4"/>
        <v>0.15609756097560976</v>
      </c>
      <c r="G20" s="168">
        <f t="shared" si="5"/>
        <v>764</v>
      </c>
      <c r="H20" s="314">
        <f t="shared" si="2"/>
        <v>0.93170731707317078</v>
      </c>
      <c r="J20" s="17" t="s">
        <v>1931</v>
      </c>
      <c r="K20" s="309">
        <v>10</v>
      </c>
      <c r="L20" s="318">
        <v>25</v>
      </c>
      <c r="M20" s="311">
        <v>30</v>
      </c>
      <c r="N20" s="285">
        <v>118</v>
      </c>
      <c r="O20" s="218">
        <v>0.26516853932584272</v>
      </c>
      <c r="P20" s="168">
        <v>417</v>
      </c>
      <c r="Q20" s="314">
        <v>0.93707865168539328</v>
      </c>
    </row>
    <row r="21" spans="1:17">
      <c r="C21" s="311">
        <f t="shared" si="1"/>
        <v>20</v>
      </c>
      <c r="D21" s="311">
        <f t="shared" si="1"/>
        <v>25</v>
      </c>
      <c r="E21" s="83">
        <f>COUNTIFS(SIZE!$F$10:$F$821,"&gt;20",SIZE!$F$10:$F$821,"&lt;=25")</f>
        <v>24</v>
      </c>
      <c r="F21" s="218">
        <f t="shared" si="4"/>
        <v>2.9268292682926831E-2</v>
      </c>
      <c r="G21" s="168">
        <f t="shared" si="5"/>
        <v>788</v>
      </c>
      <c r="H21" s="182">
        <f t="shared" si="2"/>
        <v>0.96097560975609753</v>
      </c>
      <c r="K21" s="10"/>
      <c r="L21" s="311">
        <v>20</v>
      </c>
      <c r="M21" s="311">
        <v>25</v>
      </c>
      <c r="N21" s="83">
        <v>28</v>
      </c>
      <c r="O21" s="218">
        <v>6.2921348314606745E-2</v>
      </c>
      <c r="P21" s="168">
        <v>445</v>
      </c>
      <c r="Q21" s="182">
        <v>1</v>
      </c>
    </row>
    <row r="22" spans="1:17">
      <c r="C22" s="311">
        <f t="shared" si="1"/>
        <v>15</v>
      </c>
      <c r="D22" s="311">
        <f t="shared" si="1"/>
        <v>20</v>
      </c>
      <c r="E22" s="83">
        <f>COUNTIFS(SIZE!$F$10:$F$821,"&gt;15",SIZE!$F$10:$F$821,"&lt;=20")</f>
        <v>1</v>
      </c>
      <c r="F22" s="218">
        <f t="shared" si="4"/>
        <v>1.2195121951219512E-3</v>
      </c>
      <c r="G22" s="168">
        <f t="shared" si="5"/>
        <v>789</v>
      </c>
      <c r="H22" s="182">
        <f t="shared" si="2"/>
        <v>0.96219512195121948</v>
      </c>
      <c r="K22" s="10"/>
      <c r="L22" s="311">
        <v>15</v>
      </c>
      <c r="M22" s="311">
        <v>20</v>
      </c>
      <c r="N22" s="83">
        <v>0</v>
      </c>
      <c r="O22" s="218">
        <v>0</v>
      </c>
      <c r="P22" s="168">
        <v>445</v>
      </c>
      <c r="Q22" s="182">
        <v>1</v>
      </c>
    </row>
    <row r="23" spans="1:17">
      <c r="C23" s="311">
        <f t="shared" si="1"/>
        <v>10</v>
      </c>
      <c r="D23" s="311">
        <f t="shared" si="1"/>
        <v>15</v>
      </c>
      <c r="E23" s="83">
        <f>COUNTIFS(SIZE!$F$10:$F$821,"&gt;95",SIZE!$F$10:$F$821,"&lt;=100")</f>
        <v>9</v>
      </c>
      <c r="F23" s="218">
        <f t="shared" si="4"/>
        <v>1.097560975609756E-2</v>
      </c>
      <c r="G23" s="168">
        <f t="shared" si="5"/>
        <v>798</v>
      </c>
      <c r="H23" s="182">
        <f t="shared" si="2"/>
        <v>0.97317073170731705</v>
      </c>
      <c r="K23" s="10"/>
      <c r="L23" s="311">
        <v>10</v>
      </c>
      <c r="M23" s="311">
        <v>15</v>
      </c>
      <c r="N23" s="83">
        <v>0</v>
      </c>
      <c r="O23" s="218">
        <v>0</v>
      </c>
      <c r="P23" s="168">
        <v>445</v>
      </c>
      <c r="Q23" s="182">
        <v>1</v>
      </c>
    </row>
    <row r="24" spans="1:17">
      <c r="C24" s="311">
        <f t="shared" si="1"/>
        <v>4.9999999999999991</v>
      </c>
      <c r="D24" s="311">
        <f t="shared" si="1"/>
        <v>10</v>
      </c>
      <c r="E24" s="83">
        <f>COUNTIFS(SIZE!$F$10:$F$821,"&gt;95",SIZE!$F$10:$F$821,"&lt;=100")</f>
        <v>9</v>
      </c>
      <c r="F24" s="218">
        <f t="shared" si="4"/>
        <v>1.097560975609756E-2</v>
      </c>
      <c r="G24" s="168">
        <f t="shared" si="5"/>
        <v>807</v>
      </c>
      <c r="H24" s="182">
        <f t="shared" si="2"/>
        <v>0.98414634146341462</v>
      </c>
      <c r="K24" s="10"/>
      <c r="L24" s="311">
        <v>4.9999999999999991</v>
      </c>
      <c r="M24" s="311">
        <v>10</v>
      </c>
      <c r="N24" s="83">
        <v>0</v>
      </c>
      <c r="O24" s="218">
        <v>0</v>
      </c>
      <c r="P24" s="168">
        <v>445</v>
      </c>
      <c r="Q24" s="182">
        <v>1</v>
      </c>
    </row>
    <row r="25" spans="1:17">
      <c r="C25" s="311">
        <f t="shared" si="1"/>
        <v>0</v>
      </c>
      <c r="D25" s="311">
        <f t="shared" si="1"/>
        <v>4.9999999999999991</v>
      </c>
      <c r="E25" s="83">
        <f>COUNTIFS(SIZE!$F$10:$F$821,"&gt;95",SIZE!$F$10:$F$821,"&lt;=100")</f>
        <v>9</v>
      </c>
      <c r="F25" s="218">
        <f t="shared" si="4"/>
        <v>1.097560975609756E-2</v>
      </c>
      <c r="G25" s="168">
        <f t="shared" si="5"/>
        <v>816</v>
      </c>
      <c r="H25" s="182">
        <f t="shared" si="2"/>
        <v>0.99512195121951219</v>
      </c>
      <c r="K25" s="10"/>
      <c r="L25" s="311">
        <v>0</v>
      </c>
      <c r="M25" s="311">
        <v>4.9999999999999991</v>
      </c>
      <c r="N25" s="83">
        <v>0</v>
      </c>
      <c r="O25" s="218">
        <v>0</v>
      </c>
      <c r="P25" s="168">
        <v>445</v>
      </c>
      <c r="Q25" s="182">
        <v>1</v>
      </c>
    </row>
    <row r="38" spans="3:4">
      <c r="C38" s="182">
        <f t="shared" ref="C38:C46" si="6">C39+5%</f>
        <v>0.9500000000000004</v>
      </c>
      <c r="D38" s="184">
        <f t="shared" ref="D38:D46" si="7">D39+5%</f>
        <v>1.0000000000000004</v>
      </c>
    </row>
    <row r="39" spans="3:4">
      <c r="C39" s="182">
        <f t="shared" si="6"/>
        <v>0.90000000000000036</v>
      </c>
      <c r="D39" s="184">
        <f t="shared" si="7"/>
        <v>0.9500000000000004</v>
      </c>
    </row>
    <row r="40" spans="3:4">
      <c r="C40" s="182">
        <f t="shared" si="6"/>
        <v>0.85000000000000031</v>
      </c>
      <c r="D40" s="184">
        <f t="shared" si="7"/>
        <v>0.90000000000000036</v>
      </c>
    </row>
    <row r="41" spans="3:4">
      <c r="C41" s="182">
        <f t="shared" si="6"/>
        <v>0.80000000000000027</v>
      </c>
      <c r="D41" s="184">
        <f t="shared" si="7"/>
        <v>0.85000000000000031</v>
      </c>
    </row>
    <row r="42" spans="3:4">
      <c r="C42" s="182">
        <f t="shared" si="6"/>
        <v>0.75000000000000022</v>
      </c>
      <c r="D42" s="184">
        <f t="shared" si="7"/>
        <v>0.80000000000000027</v>
      </c>
    </row>
    <row r="43" spans="3:4">
      <c r="C43" s="182">
        <f t="shared" si="6"/>
        <v>0.70000000000000018</v>
      </c>
      <c r="D43" s="184">
        <f t="shared" si="7"/>
        <v>0.75000000000000022</v>
      </c>
    </row>
    <row r="44" spans="3:4">
      <c r="C44" s="182">
        <f t="shared" si="6"/>
        <v>0.65000000000000013</v>
      </c>
      <c r="D44" s="184">
        <f t="shared" si="7"/>
        <v>0.70000000000000018</v>
      </c>
    </row>
    <row r="45" spans="3:4">
      <c r="C45" s="182">
        <f t="shared" si="6"/>
        <v>0.60000000000000009</v>
      </c>
      <c r="D45" s="184">
        <f t="shared" si="7"/>
        <v>0.65000000000000013</v>
      </c>
    </row>
    <row r="46" spans="3:4">
      <c r="C46" s="182">
        <f t="shared" si="6"/>
        <v>0.55000000000000004</v>
      </c>
      <c r="D46" s="184">
        <f t="shared" si="7"/>
        <v>0.60000000000000009</v>
      </c>
    </row>
    <row r="47" spans="3:4">
      <c r="C47" s="182">
        <f>C48+5%</f>
        <v>0.5</v>
      </c>
      <c r="D47" s="184">
        <f>D48+5%</f>
        <v>0.55000000000000004</v>
      </c>
    </row>
    <row r="48" spans="3:4">
      <c r="C48" s="182">
        <v>0.45</v>
      </c>
      <c r="D48" s="182">
        <v>0.5</v>
      </c>
    </row>
    <row r="49" spans="3:4">
      <c r="C49" s="182">
        <v>0.4</v>
      </c>
      <c r="D49" s="182">
        <v>0.45</v>
      </c>
    </row>
    <row r="50" spans="3:4">
      <c r="C50" s="218">
        <v>0.35</v>
      </c>
      <c r="D50" s="218">
        <v>0.4</v>
      </c>
    </row>
    <row r="51" spans="3:4">
      <c r="C51" s="218">
        <v>0.3</v>
      </c>
      <c r="D51" s="218">
        <v>0.35</v>
      </c>
    </row>
    <row r="52" spans="3:4">
      <c r="C52" s="218">
        <v>0.25</v>
      </c>
      <c r="D52" s="218">
        <v>0.3</v>
      </c>
    </row>
    <row r="53" spans="3:4">
      <c r="C53" s="219">
        <v>0.2</v>
      </c>
      <c r="D53" s="219">
        <v>0.25</v>
      </c>
    </row>
    <row r="54" spans="3:4">
      <c r="C54" s="218">
        <v>0.15</v>
      </c>
      <c r="D54" s="218">
        <v>0.2</v>
      </c>
    </row>
    <row r="55" spans="3:4">
      <c r="C55" s="218">
        <f>D55-5%</f>
        <v>9.9999999999999992E-2</v>
      </c>
      <c r="D55" s="220">
        <v>0.15</v>
      </c>
    </row>
    <row r="56" spans="3:4">
      <c r="C56" s="218">
        <f>D56-5%</f>
        <v>4.9999999999999989E-2</v>
      </c>
      <c r="D56" s="220">
        <f>D55-5%</f>
        <v>9.9999999999999992E-2</v>
      </c>
    </row>
    <row r="57" spans="3:4">
      <c r="C57" s="218">
        <f>D57-5%</f>
        <v>0</v>
      </c>
      <c r="D57" s="220">
        <f>D56-5%</f>
        <v>4.9999999999999989E-2</v>
      </c>
    </row>
  </sheetData>
  <mergeCells count="1">
    <mergeCell ref="A5:B5"/>
  </mergeCells>
  <pageMargins left="0.7" right="0.7" top="0.75" bottom="0.75" header="0.3" footer="0.3"/>
  <pageSetup paperSize="9" orientation="portrait" horizontalDpi="0" verticalDpi="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4A087-8B01-D54A-BE0F-E83215B80ECF}">
  <sheetPr filterMode="1"/>
  <dimension ref="A1:T1297"/>
  <sheetViews>
    <sheetView zoomScale="130" zoomScaleNormal="130" workbookViewId="0">
      <selection activeCell="H32" sqref="H32"/>
    </sheetView>
  </sheetViews>
  <sheetFormatPr baseColWidth="10" defaultRowHeight="16"/>
  <cols>
    <col min="1" max="2" width="13" style="63" customWidth="1"/>
    <col min="3" max="3" width="29.6640625" style="63" customWidth="1"/>
    <col min="4" max="4" width="12.5" style="63" customWidth="1"/>
    <col min="5" max="5" width="17" style="63" customWidth="1"/>
    <col min="6" max="8" width="13" style="63" customWidth="1"/>
    <col min="9" max="9" width="13" style="106" customWidth="1"/>
    <col min="10" max="12" width="13" style="63" customWidth="1"/>
    <col min="13" max="16384" width="10.83203125" style="63"/>
  </cols>
  <sheetData>
    <row r="1" spans="1:20">
      <c r="C1" s="68" t="s">
        <v>91</v>
      </c>
      <c r="E1" s="106"/>
    </row>
    <row r="2" spans="1:20">
      <c r="A2" s="269"/>
      <c r="B2" s="270" t="s">
        <v>67</v>
      </c>
      <c r="C2" s="269" t="s">
        <v>75</v>
      </c>
      <c r="D2" s="269" t="s">
        <v>75</v>
      </c>
      <c r="E2" s="269" t="s">
        <v>75</v>
      </c>
      <c r="F2" s="269" t="s">
        <v>1832</v>
      </c>
      <c r="G2" s="68"/>
      <c r="L2" s="63" t="s">
        <v>1930</v>
      </c>
      <c r="O2" s="107" t="s">
        <v>1839</v>
      </c>
      <c r="P2" s="68" t="s">
        <v>1844</v>
      </c>
      <c r="Q2" s="68" t="s">
        <v>1845</v>
      </c>
    </row>
    <row r="3" spans="1:20">
      <c r="A3" s="168" t="s">
        <v>1976</v>
      </c>
      <c r="B3" s="169"/>
      <c r="C3" s="169">
        <v>2</v>
      </c>
      <c r="D3" s="170" t="s">
        <v>1828</v>
      </c>
      <c r="E3" s="169">
        <v>4</v>
      </c>
      <c r="F3" s="168">
        <v>10</v>
      </c>
      <c r="G3" s="68"/>
      <c r="L3" s="63" t="s">
        <v>1826</v>
      </c>
      <c r="M3" s="105">
        <f>MAX(I10:I952)</f>
        <v>20.607353333333332</v>
      </c>
      <c r="O3" s="63" t="s">
        <v>1840</v>
      </c>
      <c r="P3" s="63">
        <f>COUNTIF(K10:K952,"&gt;10")</f>
        <v>132</v>
      </c>
      <c r="Q3" s="100">
        <f>P3/$P$6</f>
        <v>0.1625615763546798</v>
      </c>
    </row>
    <row r="4" spans="1:20">
      <c r="A4" s="168" t="s">
        <v>1826</v>
      </c>
      <c r="B4" s="169">
        <v>10</v>
      </c>
      <c r="C4" s="169">
        <v>12</v>
      </c>
      <c r="D4" s="169">
        <v>9</v>
      </c>
      <c r="E4" s="169">
        <v>8</v>
      </c>
      <c r="F4" s="171"/>
      <c r="L4" s="63" t="s">
        <v>1827</v>
      </c>
      <c r="M4" s="105">
        <f>MIN(I10:I952)</f>
        <v>0</v>
      </c>
      <c r="O4" s="63" t="s">
        <v>1841</v>
      </c>
      <c r="P4" s="63">
        <f>COUNTIF(K10:K952,"&lt;0")</f>
        <v>122</v>
      </c>
      <c r="Q4" s="100">
        <f>P4/$P$6</f>
        <v>0.15024630541871922</v>
      </c>
      <c r="S4" s="63">
        <v>98</v>
      </c>
      <c r="T4" s="100">
        <f>S4/P6</f>
        <v>0.1206896551724138</v>
      </c>
    </row>
    <row r="5" spans="1:20">
      <c r="A5" s="168" t="s">
        <v>1833</v>
      </c>
      <c r="B5" s="169">
        <f>B4-B6</f>
        <v>6</v>
      </c>
      <c r="C5" s="169">
        <f>C4-C6</f>
        <v>6</v>
      </c>
      <c r="D5" s="169">
        <f>D4-D6</f>
        <v>6</v>
      </c>
      <c r="E5" s="169">
        <f>E4-E6</f>
        <v>6</v>
      </c>
      <c r="F5" s="168"/>
      <c r="G5" s="68"/>
      <c r="L5" s="63" t="s">
        <v>1837</v>
      </c>
      <c r="M5" s="105">
        <f>AVERAGE(I10:I952)</f>
        <v>6.7558841888345418</v>
      </c>
      <c r="O5" s="63" t="s">
        <v>1842</v>
      </c>
      <c r="P5" s="63">
        <f>P6-P4-P3</f>
        <v>558</v>
      </c>
      <c r="Q5" s="100">
        <f>P5/$P$6</f>
        <v>0.68719211822660098</v>
      </c>
    </row>
    <row r="6" spans="1:20">
      <c r="A6" s="168" t="s">
        <v>1827</v>
      </c>
      <c r="B6" s="169">
        <v>4</v>
      </c>
      <c r="C6" s="169">
        <v>6</v>
      </c>
      <c r="D6" s="169">
        <v>3</v>
      </c>
      <c r="E6" s="169">
        <v>2</v>
      </c>
      <c r="F6" s="168"/>
      <c r="G6" s="68"/>
      <c r="L6" s="63" t="s">
        <v>1838</v>
      </c>
      <c r="M6" s="105">
        <f>MEDIAN(I10:I952)</f>
        <v>6.3118029611980937</v>
      </c>
      <c r="O6" s="63" t="s">
        <v>1843</v>
      </c>
      <c r="P6" s="63">
        <f>COUNT(D10:D821)</f>
        <v>812</v>
      </c>
      <c r="Q6" s="100">
        <f>P6/$P$6</f>
        <v>1</v>
      </c>
    </row>
    <row r="7" spans="1:20" ht="17" customHeight="1">
      <c r="A7" s="168" t="s">
        <v>1835</v>
      </c>
      <c r="B7" s="172">
        <f>$F$3/B5</f>
        <v>1.6666666666666667</v>
      </c>
      <c r="C7" s="172">
        <f>$F$3/C5</f>
        <v>1.6666666666666667</v>
      </c>
      <c r="D7" s="172">
        <f>$F$3/D5</f>
        <v>1.6666666666666667</v>
      </c>
      <c r="E7" s="172">
        <f>$F$3/E5</f>
        <v>1.6666666666666667</v>
      </c>
      <c r="F7" s="172"/>
      <c r="G7" s="199"/>
    </row>
    <row r="9" spans="1:20" ht="17">
      <c r="A9" s="63" t="str">
        <f>'RAW DATA 2023'!B2</f>
        <v>Farm</v>
      </c>
      <c r="B9" s="63" t="str">
        <f>'RAW DATA 2023'!D2</f>
        <v>Pond</v>
      </c>
      <c r="C9" s="71" t="s">
        <v>1903</v>
      </c>
      <c r="D9" s="76" t="s">
        <v>1873</v>
      </c>
      <c r="E9" s="125" t="s">
        <v>1953</v>
      </c>
      <c r="F9" s="63" t="str">
        <f>'RAW DATA 2023'!I2</f>
        <v>Pond Type</v>
      </c>
      <c r="G9" s="63" t="s">
        <v>1952</v>
      </c>
      <c r="H9" s="63" t="str">
        <f>'RAW DATA 2023'!F2</f>
        <v>Area (Rai)</v>
      </c>
      <c r="I9" s="106" t="str">
        <f>'RAW DATA 2023'!Z2</f>
        <v>Yield (Ton/Rai)</v>
      </c>
      <c r="J9" s="108" t="s">
        <v>1834</v>
      </c>
      <c r="K9" s="63" t="s">
        <v>1829</v>
      </c>
      <c r="L9" s="63" t="s">
        <v>1958</v>
      </c>
      <c r="M9" s="110"/>
    </row>
    <row r="10" spans="1:20" hidden="1">
      <c r="A10" s="63" t="str">
        <f>'RAW DATA 2023'!B28</f>
        <v>Lamae</v>
      </c>
      <c r="B10" s="63" t="str">
        <f>'RAW DATA 2023'!D28</f>
        <v>A1-012-0015</v>
      </c>
      <c r="C10" s="63" t="str">
        <f t="shared" ref="C10:C73" si="0">A10&amp;B10</f>
        <v>LamaeA1-012-0015</v>
      </c>
      <c r="D10" s="68">
        <f>VLOOKUP(C10,'RAW DATA 2023'!E:BP,63,0)</f>
        <v>12</v>
      </c>
      <c r="E10" s="68" t="str">
        <f t="shared" ref="E10:E73" si="1">A10&amp;D10</f>
        <v>Lamae12</v>
      </c>
      <c r="F10" s="63" t="str">
        <f>VLOOKUP(C10,'RAW DATA 2023'!E:BO,5,0)</f>
        <v>Outdoor</v>
      </c>
      <c r="G10" s="63" t="s">
        <v>1955</v>
      </c>
      <c r="H10" s="63">
        <f>VLOOKUP(C10,'RAW DATA 2023'!E:BO,2,0)</f>
        <v>4</v>
      </c>
      <c r="I10" s="106">
        <f>VLOOKUP(C10,'RAW DATA 2023'!E:BO,22,0)</f>
        <v>0</v>
      </c>
      <c r="J10" s="72">
        <f>IF(I10=0,0,IF(F10=$B$2,I10-$B$6,IF(F10=$C$1,I10-$C$6,IF(AND(F10=$C$2,H10&lt;=$C$3),I10-$C$6,IF(AND(F10=$C$2,H10&lt;=$E$3),I10-$D$6,I10-$E$6)))))</f>
        <v>0</v>
      </c>
      <c r="K10" s="109">
        <f>IF(F10=$B$2,J10*$B$7,IF(AND(F10=$C$2,H10&lt;=$C$3),J10*$C$7,IF(AND(F10=$C$2,H10&lt;=$E$3),J10*$D$7,J10*$E$7)))</f>
        <v>0</v>
      </c>
      <c r="L10" s="63">
        <f t="shared" ref="L10:L73" si="2">IF(K10&gt;=6.25,6.25,IF(K10&lt;=0,0,K10))</f>
        <v>0</v>
      </c>
      <c r="M10" s="123"/>
    </row>
    <row r="11" spans="1:20" hidden="1">
      <c r="A11" s="63" t="str">
        <f>'RAW DATA 2023'!B39</f>
        <v>Bansang</v>
      </c>
      <c r="B11" s="63" t="str">
        <f>'RAW DATA 2023'!D39</f>
        <v>A1-007-0016</v>
      </c>
      <c r="C11" s="63" t="str">
        <f t="shared" si="0"/>
        <v>BansangA1-007-0016</v>
      </c>
      <c r="D11" s="68">
        <f>VLOOKUP(C11,'RAW DATA 2023'!E:BP,63,0)</f>
        <v>3</v>
      </c>
      <c r="E11" s="68" t="str">
        <f t="shared" si="1"/>
        <v>Bansang3</v>
      </c>
      <c r="F11" s="63" t="str">
        <f>VLOOKUP(C11,'RAW DATA 2023'!E:BO,5,0)</f>
        <v>Outdoor</v>
      </c>
      <c r="G11" s="63" t="s">
        <v>67</v>
      </c>
      <c r="H11" s="63">
        <f>VLOOKUP(C11,'RAW DATA 2023'!E:BO,2,0)</f>
        <v>3.38</v>
      </c>
      <c r="I11" s="106">
        <f>VLOOKUP(C11,'RAW DATA 2023'!E:BO,22,0)</f>
        <v>6.0915798816568048</v>
      </c>
      <c r="J11" s="72">
        <f t="shared" ref="J11:J73" si="3">IF(I11=0,0,IF(F11=$B$2,I11-$B$6,IF(F11=$C$1,I11-$C$6,IF(AND(F11=$C$2,H11&lt;=$C$3),I11-$C$6,IF(AND(F11=$C$2,H11&lt;=$E$3),I11-$D$6,I11-$E$6)))))</f>
        <v>3.0915798816568048</v>
      </c>
      <c r="K11" s="109">
        <f t="shared" ref="K11:K73" si="4">IF(F11=$B$2,J11*$B$7,IF(AND(F11=$C$2,H11&lt;=$C$3),J11*$C$7,IF(AND(F11=$C$2,H11&lt;=$E$3),J11*$D$7,J11*$E$7)))</f>
        <v>5.1526331360946749</v>
      </c>
      <c r="L11" s="63">
        <f t="shared" si="2"/>
        <v>5.1526331360946749</v>
      </c>
      <c r="M11" s="123"/>
    </row>
    <row r="12" spans="1:20" hidden="1">
      <c r="A12" s="63" t="str">
        <f>'RAW DATA 2023'!B43</f>
        <v>Petchburi5</v>
      </c>
      <c r="B12" s="63" t="str">
        <f>'RAW DATA 2023'!D43</f>
        <v>B1-124-0009</v>
      </c>
      <c r="C12" s="63" t="str">
        <f t="shared" si="0"/>
        <v>Petchburi5B1-124-0009</v>
      </c>
      <c r="D12" s="68">
        <f>VLOOKUP(C12,'RAW DATA 2023'!E:BP,63,0)</f>
        <v>11</v>
      </c>
      <c r="E12" s="68" t="str">
        <f t="shared" si="1"/>
        <v>Petchburi511</v>
      </c>
      <c r="F12" s="63" t="str">
        <f>VLOOKUP(C12,'RAW DATA 2023'!E:BO,5,0)</f>
        <v>Outdoor</v>
      </c>
      <c r="G12" s="63" t="s">
        <v>67</v>
      </c>
      <c r="H12" s="63">
        <f>VLOOKUP(C12,'RAW DATA 2023'!E:BO,2,0)</f>
        <v>1.5</v>
      </c>
      <c r="I12" s="106">
        <f>VLOOKUP(C12,'RAW DATA 2023'!E:BO,22,0)</f>
        <v>12.908613333333333</v>
      </c>
      <c r="J12" s="72">
        <f t="shared" si="3"/>
        <v>6.9086133333333333</v>
      </c>
      <c r="K12" s="109">
        <f t="shared" si="4"/>
        <v>11.514355555555555</v>
      </c>
      <c r="L12" s="63">
        <f t="shared" si="2"/>
        <v>6.25</v>
      </c>
      <c r="M12" s="123"/>
    </row>
    <row r="13" spans="1:20" hidden="1">
      <c r="A13" s="63" t="str">
        <f>'RAW DATA 2023'!B48</f>
        <v>Petchburi5</v>
      </c>
      <c r="B13" s="63" t="str">
        <f>'RAW DATA 2023'!D48</f>
        <v>B1-126-0008</v>
      </c>
      <c r="C13" s="63" t="str">
        <f t="shared" si="0"/>
        <v>Petchburi5B1-126-0008</v>
      </c>
      <c r="D13" s="68">
        <f>VLOOKUP(C13,'RAW DATA 2023'!E:BP,63,0)</f>
        <v>6</v>
      </c>
      <c r="E13" s="68" t="str">
        <f t="shared" si="1"/>
        <v>Petchburi56</v>
      </c>
      <c r="F13" s="63" t="str">
        <f>VLOOKUP(C13,'RAW DATA 2023'!E:BO,5,0)</f>
        <v>Outdoor</v>
      </c>
      <c r="G13" s="63" t="s">
        <v>67</v>
      </c>
      <c r="H13" s="63">
        <f>VLOOKUP(C13,'RAW DATA 2023'!E:BO,2,0)</f>
        <v>1.5</v>
      </c>
      <c r="I13" s="106">
        <f>VLOOKUP(C13,'RAW DATA 2023'!E:BO,22,0)</f>
        <v>18.21078</v>
      </c>
      <c r="J13" s="72">
        <f t="shared" si="3"/>
        <v>12.21078</v>
      </c>
      <c r="K13" s="109">
        <f t="shared" si="4"/>
        <v>20.351300000000002</v>
      </c>
      <c r="L13" s="63">
        <f t="shared" si="2"/>
        <v>6.25</v>
      </c>
      <c r="M13" s="123"/>
    </row>
    <row r="14" spans="1:20" hidden="1">
      <c r="A14" s="63" t="str">
        <f>'RAW DATA 2023'!B51</f>
        <v>Petchburi5</v>
      </c>
      <c r="B14" s="63" t="str">
        <f>'RAW DATA 2023'!D51</f>
        <v>B1-127-0007</v>
      </c>
      <c r="C14" s="63" t="str">
        <f t="shared" si="0"/>
        <v>Petchburi5B1-127-0007</v>
      </c>
      <c r="D14" s="68">
        <f>VLOOKUP(C14,'RAW DATA 2023'!E:BP,63,0)</f>
        <v>1</v>
      </c>
      <c r="E14" s="68" t="str">
        <f t="shared" si="1"/>
        <v>Petchburi51</v>
      </c>
      <c r="F14" s="63" t="str">
        <f>VLOOKUP(C14,'RAW DATA 2023'!E:BO,5,0)</f>
        <v>Outdoor</v>
      </c>
      <c r="G14" s="63" t="s">
        <v>67</v>
      </c>
      <c r="H14" s="63">
        <f>VLOOKUP(C14,'RAW DATA 2023'!E:BO,2,0)</f>
        <v>1.5</v>
      </c>
      <c r="I14" s="106">
        <f>VLOOKUP(C14,'RAW DATA 2023'!E:BO,22,0)</f>
        <v>8.6354400000000009</v>
      </c>
      <c r="J14" s="72">
        <f t="shared" si="3"/>
        <v>2.6354400000000009</v>
      </c>
      <c r="K14" s="109">
        <f t="shared" si="4"/>
        <v>4.3924000000000021</v>
      </c>
      <c r="L14" s="63">
        <f t="shared" si="2"/>
        <v>4.3924000000000021</v>
      </c>
      <c r="M14" s="123"/>
    </row>
    <row r="15" spans="1:20" hidden="1">
      <c r="A15" s="63" t="str">
        <f>'RAW DATA 2023'!B66</f>
        <v>Petchburi5</v>
      </c>
      <c r="B15" s="63" t="str">
        <f>'RAW DATA 2023'!D66</f>
        <v>AG-001-0012</v>
      </c>
      <c r="C15" s="63" t="str">
        <f t="shared" si="0"/>
        <v>Petchburi5AG-001-0012</v>
      </c>
      <c r="D15" s="68">
        <f>VLOOKUP(C15,'RAW DATA 2023'!E:BP,63,0)</f>
        <v>3</v>
      </c>
      <c r="E15" s="68" t="str">
        <f t="shared" si="1"/>
        <v>Petchburi53</v>
      </c>
      <c r="F15" s="63" t="str">
        <f>VLOOKUP(C15,'RAW DATA 2023'!E:BO,5,0)</f>
        <v>Greenhouse</v>
      </c>
      <c r="G15" s="63" t="s">
        <v>1954</v>
      </c>
      <c r="H15" s="63">
        <f>VLOOKUP(C15,'RAW DATA 2023'!E:BO,2,0)</f>
        <v>1.5</v>
      </c>
      <c r="I15" s="106">
        <f>VLOOKUP(C15,'RAW DATA 2023'!E:BO,22,0)</f>
        <v>12.677373333333335</v>
      </c>
      <c r="J15" s="72">
        <f t="shared" si="3"/>
        <v>8.6773733333333354</v>
      </c>
      <c r="K15" s="109">
        <f t="shared" si="4"/>
        <v>14.462288888888892</v>
      </c>
      <c r="L15" s="63">
        <f t="shared" si="2"/>
        <v>6.25</v>
      </c>
      <c r="M15" s="123"/>
    </row>
    <row r="16" spans="1:20" hidden="1">
      <c r="A16" s="63" t="str">
        <f>'RAW DATA 2023'!B69</f>
        <v>Petchburi5</v>
      </c>
      <c r="B16" s="63" t="str">
        <f>'RAW DATA 2023'!D69</f>
        <v>AG-003-0013</v>
      </c>
      <c r="C16" s="63" t="str">
        <f t="shared" si="0"/>
        <v>Petchburi5AG-003-0013</v>
      </c>
      <c r="D16" s="68">
        <f>VLOOKUP(C16,'RAW DATA 2023'!E:BP,63,0)</f>
        <v>10</v>
      </c>
      <c r="E16" s="68" t="str">
        <f t="shared" si="1"/>
        <v>Petchburi510</v>
      </c>
      <c r="F16" s="63" t="str">
        <f>VLOOKUP(C16,'RAW DATA 2023'!E:BO,5,0)</f>
        <v>Greenhouse</v>
      </c>
      <c r="G16" s="63" t="s">
        <v>1954</v>
      </c>
      <c r="H16" s="63">
        <f>VLOOKUP(C16,'RAW DATA 2023'!E:BO,2,0)</f>
        <v>1.5</v>
      </c>
      <c r="I16" s="106">
        <f>VLOOKUP(C16,'RAW DATA 2023'!E:BO,22,0)</f>
        <v>7.8171933333333348</v>
      </c>
      <c r="J16" s="72">
        <f t="shared" si="3"/>
        <v>3.8171933333333348</v>
      </c>
      <c r="K16" s="109">
        <f t="shared" si="4"/>
        <v>6.3619888888888916</v>
      </c>
      <c r="L16" s="63">
        <f t="shared" si="2"/>
        <v>6.25</v>
      </c>
      <c r="M16" s="123"/>
    </row>
    <row r="17" spans="1:13" hidden="1">
      <c r="A17" s="63" t="str">
        <f>'RAW DATA 2023'!B122</f>
        <v>Roiphet1</v>
      </c>
      <c r="B17" s="63" t="str">
        <f>'RAW DATA 2023'!D122</f>
        <v>D1-G02-0078</v>
      </c>
      <c r="C17" s="63" t="str">
        <f t="shared" si="0"/>
        <v>Roiphet1D1-G02-0078</v>
      </c>
      <c r="D17" s="68">
        <f>VLOOKUP(C17,'RAW DATA 2023'!E:BP,63,0)</f>
        <v>2</v>
      </c>
      <c r="E17" s="68" t="str">
        <f t="shared" si="1"/>
        <v>Roiphet12</v>
      </c>
      <c r="F17" s="63" t="str">
        <f>VLOOKUP(C17,'RAW DATA 2023'!E:BO,5,0)</f>
        <v>Greenhouse</v>
      </c>
      <c r="G17" s="63" t="s">
        <v>1955</v>
      </c>
      <c r="H17" s="63">
        <f>VLOOKUP(C17,'RAW DATA 2023'!E:BO,2,0)</f>
        <v>1.1299999999999999</v>
      </c>
      <c r="I17" s="106">
        <f>VLOOKUP(C17,'RAW DATA 2023'!E:BO,22,0)</f>
        <v>10.446716814159293</v>
      </c>
      <c r="J17" s="72">
        <f t="shared" si="3"/>
        <v>6.4467168141592932</v>
      </c>
      <c r="K17" s="109">
        <f t="shared" si="4"/>
        <v>10.744528023598823</v>
      </c>
      <c r="L17" s="63">
        <f t="shared" si="2"/>
        <v>6.25</v>
      </c>
      <c r="M17" s="123"/>
    </row>
    <row r="18" spans="1:13" hidden="1">
      <c r="A18" s="63" t="str">
        <f>'RAW DATA 2023'!B177</f>
        <v>Roiphet1</v>
      </c>
      <c r="B18" s="63" t="str">
        <f>'RAW DATA 2023'!D177</f>
        <v>D6-G11-0077</v>
      </c>
      <c r="C18" s="63" t="str">
        <f t="shared" si="0"/>
        <v>Roiphet1D6-G11-0077</v>
      </c>
      <c r="D18" s="68">
        <f>VLOOKUP(C18,'RAW DATA 2023'!E:BP,63,0)</f>
        <v>11</v>
      </c>
      <c r="E18" s="68" t="str">
        <f t="shared" si="1"/>
        <v>Roiphet111</v>
      </c>
      <c r="F18" s="63" t="str">
        <f>VLOOKUP(C18,'RAW DATA 2023'!E:BO,5,0)</f>
        <v>Greenhouse</v>
      </c>
      <c r="G18" s="63" t="s">
        <v>1954</v>
      </c>
      <c r="H18" s="63">
        <f>VLOOKUP(C18,'RAW DATA 2023'!E:BO,2,0)</f>
        <v>1.1299999999999999</v>
      </c>
      <c r="I18" s="106">
        <f>VLOOKUP(C18,'RAW DATA 2023'!E:BO,22,0)</f>
        <v>6.3774247787610623</v>
      </c>
      <c r="J18" s="72">
        <f t="shared" si="3"/>
        <v>2.3774247787610623</v>
      </c>
      <c r="K18" s="109">
        <f t="shared" si="4"/>
        <v>3.9623746312684371</v>
      </c>
      <c r="L18" s="63">
        <f t="shared" si="2"/>
        <v>3.9623746312684371</v>
      </c>
      <c r="M18" s="123"/>
    </row>
    <row r="19" spans="1:13" hidden="1">
      <c r="A19" s="63" t="str">
        <f>'RAW DATA 2023'!B178</f>
        <v>Roiphet1</v>
      </c>
      <c r="B19" s="63" t="str">
        <f>'RAW DATA 2023'!D178</f>
        <v>D6-G12-0080</v>
      </c>
      <c r="C19" s="63" t="str">
        <f t="shared" si="0"/>
        <v>Roiphet1D6-G12-0080</v>
      </c>
      <c r="D19" s="68">
        <f>VLOOKUP(C19,'RAW DATA 2023'!E:BP,63,0)</f>
        <v>11</v>
      </c>
      <c r="E19" s="68" t="str">
        <f t="shared" si="1"/>
        <v>Roiphet111</v>
      </c>
      <c r="F19" s="63" t="str">
        <f>VLOOKUP(C19,'RAW DATA 2023'!E:BO,5,0)</f>
        <v>Greenhouse</v>
      </c>
      <c r="G19" s="63" t="s">
        <v>1954</v>
      </c>
      <c r="H19" s="63">
        <f>VLOOKUP(C19,'RAW DATA 2023'!E:BO,2,0)</f>
        <v>1.1299999999999999</v>
      </c>
      <c r="I19" s="106">
        <f>VLOOKUP(C19,'RAW DATA 2023'!E:BO,22,0)</f>
        <v>5.3292389380530976</v>
      </c>
      <c r="J19" s="72">
        <f t="shared" si="3"/>
        <v>1.3292389380530976</v>
      </c>
      <c r="K19" s="109">
        <f t="shared" si="4"/>
        <v>2.2153982300884962</v>
      </c>
      <c r="L19" s="63">
        <f t="shared" si="2"/>
        <v>2.2153982300884962</v>
      </c>
      <c r="M19" s="123"/>
    </row>
    <row r="20" spans="1:13" hidden="1">
      <c r="A20" s="63" t="str">
        <f>'RAW DATA 2023'!B179</f>
        <v>Roiphet1</v>
      </c>
      <c r="B20" s="63" t="str">
        <f>'RAW DATA 2023'!D179</f>
        <v>D4-G08-0060</v>
      </c>
      <c r="C20" s="63" t="str">
        <f t="shared" si="0"/>
        <v>Roiphet1D4-G08-0060</v>
      </c>
      <c r="D20" s="68">
        <f>VLOOKUP(C20,'RAW DATA 2023'!E:BP,63,0)</f>
        <v>11</v>
      </c>
      <c r="E20" s="68" t="str">
        <f t="shared" si="1"/>
        <v>Roiphet111</v>
      </c>
      <c r="F20" s="63" t="str">
        <f>VLOOKUP(C20,'RAW DATA 2023'!E:BO,5,0)</f>
        <v>Greenhouse</v>
      </c>
      <c r="G20" s="63" t="s">
        <v>1954</v>
      </c>
      <c r="H20" s="63">
        <f>VLOOKUP(C20,'RAW DATA 2023'!E:BO,2,0)</f>
        <v>1.1299999999999999</v>
      </c>
      <c r="I20" s="106">
        <f>VLOOKUP(C20,'RAW DATA 2023'!E:BO,22,0)</f>
        <v>7.7309734513274346</v>
      </c>
      <c r="J20" s="72">
        <f t="shared" si="3"/>
        <v>3.7309734513274346</v>
      </c>
      <c r="K20" s="109">
        <f t="shared" si="4"/>
        <v>6.2182890855457247</v>
      </c>
      <c r="L20" s="63">
        <f t="shared" si="2"/>
        <v>6.2182890855457247</v>
      </c>
      <c r="M20" s="123"/>
    </row>
    <row r="21" spans="1:13" hidden="1">
      <c r="A21" s="63" t="str">
        <f>'RAW DATA 2023'!B180</f>
        <v>Roiphet1</v>
      </c>
      <c r="B21" s="63" t="str">
        <f>'RAW DATA 2023'!D180</f>
        <v>D1-I02-0090</v>
      </c>
      <c r="C21" s="63" t="str">
        <f t="shared" si="0"/>
        <v>Roiphet1D1-I02-0090</v>
      </c>
      <c r="D21" s="68">
        <f>VLOOKUP(C21,'RAW DATA 2023'!E:BP,63,0)</f>
        <v>12</v>
      </c>
      <c r="E21" s="68" t="str">
        <f t="shared" si="1"/>
        <v>Roiphet112</v>
      </c>
      <c r="F21" s="63" t="str">
        <f>VLOOKUP(C21,'RAW DATA 2023'!E:BO,5,0)</f>
        <v>Greenhouse</v>
      </c>
      <c r="G21" s="63" t="s">
        <v>1954</v>
      </c>
      <c r="H21" s="63">
        <f>VLOOKUP(C21,'RAW DATA 2023'!E:BO,2,0)</f>
        <v>0.72</v>
      </c>
      <c r="I21" s="106">
        <f>VLOOKUP(C21,'RAW DATA 2023'!E:BO,22,0)</f>
        <v>3.5203750000000005</v>
      </c>
      <c r="J21" s="72">
        <f t="shared" si="3"/>
        <v>-0.47962499999999952</v>
      </c>
      <c r="K21" s="109">
        <f t="shared" si="4"/>
        <v>-0.79937499999999928</v>
      </c>
      <c r="L21" s="63">
        <f t="shared" si="2"/>
        <v>0</v>
      </c>
      <c r="M21" s="123"/>
    </row>
    <row r="22" spans="1:13" hidden="1">
      <c r="A22" s="63" t="str">
        <f>'RAW DATA 2023'!B181</f>
        <v>Roiphet1</v>
      </c>
      <c r="B22" s="63" t="str">
        <f>'RAW DATA 2023'!D181</f>
        <v>D1-I01-0092</v>
      </c>
      <c r="C22" s="63" t="str">
        <f t="shared" si="0"/>
        <v>Roiphet1D1-I01-0092</v>
      </c>
      <c r="D22" s="68">
        <f>VLOOKUP(C22,'RAW DATA 2023'!E:BP,63,0)</f>
        <v>12</v>
      </c>
      <c r="E22" s="68" t="str">
        <f t="shared" si="1"/>
        <v>Roiphet112</v>
      </c>
      <c r="F22" s="63" t="str">
        <f>VLOOKUP(C22,'RAW DATA 2023'!E:BO,5,0)</f>
        <v>Greenhouse</v>
      </c>
      <c r="G22" s="63" t="s">
        <v>1954</v>
      </c>
      <c r="H22" s="63">
        <f>VLOOKUP(C22,'RAW DATA 2023'!E:BO,2,0)</f>
        <v>0.72</v>
      </c>
      <c r="I22" s="106">
        <f>VLOOKUP(C22,'RAW DATA 2023'!E:BO,22,0)</f>
        <v>4.1967638888888885</v>
      </c>
      <c r="J22" s="72">
        <f t="shared" si="3"/>
        <v>0.19676388888888852</v>
      </c>
      <c r="K22" s="109">
        <f t="shared" si="4"/>
        <v>0.32793981481481421</v>
      </c>
      <c r="L22" s="63">
        <f t="shared" si="2"/>
        <v>0.32793981481481421</v>
      </c>
      <c r="M22" s="123"/>
    </row>
    <row r="23" spans="1:13">
      <c r="A23" s="63" t="str">
        <f>'RAW DATA 2023'!B189</f>
        <v>Roiphet1</v>
      </c>
      <c r="B23" s="63" t="str">
        <f>'RAW DATA 2023'!D189</f>
        <v>B2-I03-0094</v>
      </c>
      <c r="C23" s="63" t="str">
        <f t="shared" si="0"/>
        <v>Roiphet1B2-I03-0094</v>
      </c>
      <c r="D23" s="68">
        <f>VLOOKUP(C23,'RAW DATA 2023'!E:BP,63,0)</f>
        <v>2</v>
      </c>
      <c r="E23" s="68" t="str">
        <f t="shared" si="1"/>
        <v>Roiphet12</v>
      </c>
      <c r="F23" s="63" t="str">
        <f>VLOOKUP(C23,'RAW DATA 2023'!E:BO,5,0)</f>
        <v>Greenhouse</v>
      </c>
      <c r="G23" s="63" t="s">
        <v>1951</v>
      </c>
      <c r="H23" s="63">
        <f>VLOOKUP(C23,'RAW DATA 2023'!E:BO,2,0)</f>
        <v>0.72</v>
      </c>
      <c r="I23" s="106">
        <f>VLOOKUP(C23,'RAW DATA 2023'!E:BO,22,0)</f>
        <v>3.9459305555555559</v>
      </c>
      <c r="J23" s="72">
        <f t="shared" si="3"/>
        <v>-5.4069444444444059E-2</v>
      </c>
      <c r="K23" s="109">
        <f t="shared" si="4"/>
        <v>-9.0115740740740108E-2</v>
      </c>
      <c r="L23" s="63">
        <f t="shared" si="2"/>
        <v>0</v>
      </c>
      <c r="M23" s="123"/>
    </row>
    <row r="24" spans="1:13" hidden="1">
      <c r="A24" s="63" t="str">
        <f>'RAW DATA 2023'!B199</f>
        <v>Roiphet1</v>
      </c>
      <c r="B24" s="63" t="str">
        <f>'RAW DATA 2023'!D199</f>
        <v>C6-I12-0062</v>
      </c>
      <c r="C24" s="63" t="str">
        <f t="shared" si="0"/>
        <v>Roiphet1C6-I12-0062</v>
      </c>
      <c r="D24" s="68">
        <f>VLOOKUP(C24,'RAW DATA 2023'!E:BP,63,0)</f>
        <v>7</v>
      </c>
      <c r="E24" s="68" t="str">
        <f t="shared" si="1"/>
        <v>Roiphet17</v>
      </c>
      <c r="F24" s="63" t="str">
        <f>VLOOKUP(C24,'RAW DATA 2023'!E:BO,5,0)</f>
        <v>Greenhouse</v>
      </c>
      <c r="G24" s="63" t="s">
        <v>1954</v>
      </c>
      <c r="H24" s="63">
        <f>VLOOKUP(C24,'RAW DATA 2023'!E:BO,2,0)</f>
        <v>0.72</v>
      </c>
      <c r="I24" s="106">
        <f>VLOOKUP(C24,'RAW DATA 2023'!E:BO,22,0)</f>
        <v>5.5523472222222221</v>
      </c>
      <c r="J24" s="72">
        <f t="shared" si="3"/>
        <v>1.5523472222222221</v>
      </c>
      <c r="K24" s="109">
        <f t="shared" si="4"/>
        <v>2.5872453703703702</v>
      </c>
      <c r="L24" s="63">
        <f t="shared" si="2"/>
        <v>2.5872453703703702</v>
      </c>
      <c r="M24" s="123"/>
    </row>
    <row r="25" spans="1:13" hidden="1">
      <c r="A25" s="63" t="str">
        <f>'RAW DATA 2023'!B216</f>
        <v>Roiphet1</v>
      </c>
      <c r="B25" s="63" t="str">
        <f>'RAW DATA 2023'!D216</f>
        <v>C5-G10-0065</v>
      </c>
      <c r="C25" s="63" t="str">
        <f t="shared" si="0"/>
        <v>Roiphet1C5-G10-0065</v>
      </c>
      <c r="D25" s="68">
        <f>VLOOKUP(C25,'RAW DATA 2023'!E:BP,63,0)</f>
        <v>10</v>
      </c>
      <c r="E25" s="68" t="str">
        <f t="shared" si="1"/>
        <v>Roiphet110</v>
      </c>
      <c r="F25" s="63" t="str">
        <f>VLOOKUP(C25,'RAW DATA 2023'!E:BO,5,0)</f>
        <v>Greenhouse</v>
      </c>
      <c r="G25" s="63" t="s">
        <v>1954</v>
      </c>
      <c r="H25" s="63">
        <f>VLOOKUP(C25,'RAW DATA 2023'!E:BO,2,0)</f>
        <v>1.1299999999999999</v>
      </c>
      <c r="I25" s="106">
        <f>VLOOKUP(C25,'RAW DATA 2023'!E:BO,22,0)</f>
        <v>6.3073982300884959</v>
      </c>
      <c r="J25" s="72">
        <f t="shared" si="3"/>
        <v>2.3073982300884959</v>
      </c>
      <c r="K25" s="109">
        <f t="shared" si="4"/>
        <v>3.8456637168141601</v>
      </c>
      <c r="L25" s="63">
        <f t="shared" si="2"/>
        <v>3.8456637168141601</v>
      </c>
      <c r="M25" s="123"/>
    </row>
    <row r="26" spans="1:13" hidden="1">
      <c r="A26" s="63" t="str">
        <f>'RAW DATA 2023'!B237</f>
        <v>Roiphet1</v>
      </c>
      <c r="B26" s="63" t="str">
        <f>'RAW DATA 2023'!D237</f>
        <v>C2-G04-0063</v>
      </c>
      <c r="C26" s="63" t="str">
        <f t="shared" si="0"/>
        <v>Roiphet1C2-G04-0063</v>
      </c>
      <c r="D26" s="68">
        <f>VLOOKUP(C26,'RAW DATA 2023'!E:BP,63,0)</f>
        <v>4</v>
      </c>
      <c r="E26" s="68" t="str">
        <f t="shared" si="1"/>
        <v>Roiphet14</v>
      </c>
      <c r="F26" s="63" t="str">
        <f>VLOOKUP(C26,'RAW DATA 2023'!E:BO,5,0)</f>
        <v>Greenhouse</v>
      </c>
      <c r="G26" s="63" t="s">
        <v>1955</v>
      </c>
      <c r="H26" s="63">
        <f>VLOOKUP(C26,'RAW DATA 2023'!E:BO,2,0)</f>
        <v>1.1299999999999999</v>
      </c>
      <c r="I26" s="106">
        <f>VLOOKUP(C26,'RAW DATA 2023'!E:BO,22,0)</f>
        <v>10.483707964601772</v>
      </c>
      <c r="J26" s="72">
        <f t="shared" si="3"/>
        <v>6.4837079646017717</v>
      </c>
      <c r="K26" s="109">
        <f t="shared" si="4"/>
        <v>10.806179941002954</v>
      </c>
      <c r="L26" s="63">
        <f t="shared" si="2"/>
        <v>6.25</v>
      </c>
      <c r="M26" s="123"/>
    </row>
    <row r="27" spans="1:13" hidden="1">
      <c r="A27" s="63" t="str">
        <f>'RAW DATA 2023'!B254</f>
        <v>Roiphet1</v>
      </c>
      <c r="B27" s="63" t="str">
        <f>'RAW DATA 2023'!D254</f>
        <v>C5-I10-0065</v>
      </c>
      <c r="C27" s="63" t="str">
        <f t="shared" si="0"/>
        <v>Roiphet1C5-I10-0065</v>
      </c>
      <c r="D27" s="68">
        <f>VLOOKUP(C27,'RAW DATA 2023'!E:BP,63,0)</f>
        <v>5</v>
      </c>
      <c r="E27" s="68" t="str">
        <f t="shared" si="1"/>
        <v>Roiphet15</v>
      </c>
      <c r="F27" s="63" t="str">
        <f>VLOOKUP(C27,'RAW DATA 2023'!E:BO,5,0)</f>
        <v>Greenhouse</v>
      </c>
      <c r="G27" s="63" t="s">
        <v>1954</v>
      </c>
      <c r="H27" s="63">
        <f>VLOOKUP(C27,'RAW DATA 2023'!E:BO,2,0)</f>
        <v>0.72</v>
      </c>
      <c r="I27" s="106">
        <f>VLOOKUP(C27,'RAW DATA 2023'!E:BO,22,0)</f>
        <v>6.3479722222222232</v>
      </c>
      <c r="J27" s="72">
        <f t="shared" si="3"/>
        <v>2.3479722222222232</v>
      </c>
      <c r="K27" s="109">
        <f t="shared" si="4"/>
        <v>3.9132870370370387</v>
      </c>
      <c r="L27" s="63">
        <f t="shared" si="2"/>
        <v>3.9132870370370387</v>
      </c>
      <c r="M27" s="123"/>
    </row>
    <row r="28" spans="1:13" hidden="1">
      <c r="A28" s="63" t="str">
        <f>'RAW DATA 2023'!B256</f>
        <v>Roiphet1</v>
      </c>
      <c r="B28" s="63" t="str">
        <f>'RAW DATA 2023'!D256</f>
        <v>C4-G07-0058</v>
      </c>
      <c r="C28" s="63" t="str">
        <f t="shared" si="0"/>
        <v>Roiphet1C4-G07-0058</v>
      </c>
      <c r="D28" s="68">
        <f>VLOOKUP(C28,'RAW DATA 2023'!E:BP,63,0)</f>
        <v>11</v>
      </c>
      <c r="E28" s="68" t="str">
        <f t="shared" si="1"/>
        <v>Roiphet111</v>
      </c>
      <c r="F28" s="63" t="str">
        <f>VLOOKUP(C28,'RAW DATA 2023'!E:BO,5,0)</f>
        <v>Greenhouse</v>
      </c>
      <c r="G28" s="63" t="s">
        <v>1954</v>
      </c>
      <c r="H28" s="63">
        <f>VLOOKUP(C28,'RAW DATA 2023'!E:BO,2,0)</f>
        <v>1.1299999999999999</v>
      </c>
      <c r="I28" s="106">
        <f>VLOOKUP(C28,'RAW DATA 2023'!E:BO,22,0)</f>
        <v>7.2795132743362849</v>
      </c>
      <c r="J28" s="72">
        <f t="shared" si="3"/>
        <v>3.2795132743362849</v>
      </c>
      <c r="K28" s="109">
        <f t="shared" si="4"/>
        <v>5.4658554572271418</v>
      </c>
      <c r="L28" s="63">
        <f t="shared" si="2"/>
        <v>5.4658554572271418</v>
      </c>
      <c r="M28" s="123"/>
    </row>
    <row r="29" spans="1:13" hidden="1">
      <c r="A29" s="63" t="str">
        <f>'RAW DATA 2023'!B257</f>
        <v>Roiphet1</v>
      </c>
      <c r="B29" s="63" t="str">
        <f>'RAW DATA 2023'!D257</f>
        <v>C4-I08-0065</v>
      </c>
      <c r="C29" s="63" t="str">
        <f t="shared" si="0"/>
        <v>Roiphet1C4-I08-0065</v>
      </c>
      <c r="D29" s="68">
        <f>VLOOKUP(C29,'RAW DATA 2023'!E:BP,63,0)</f>
        <v>12</v>
      </c>
      <c r="E29" s="68" t="str">
        <f t="shared" si="1"/>
        <v>Roiphet112</v>
      </c>
      <c r="F29" s="63" t="str">
        <f>VLOOKUP(C29,'RAW DATA 2023'!E:BO,5,0)</f>
        <v>Greenhouse</v>
      </c>
      <c r="G29" s="63" t="s">
        <v>1954</v>
      </c>
      <c r="H29" s="63">
        <f>VLOOKUP(C29,'RAW DATA 2023'!E:BO,2,0)</f>
        <v>0.72</v>
      </c>
      <c r="I29" s="106">
        <f>VLOOKUP(C29,'RAW DATA 2023'!E:BO,22,0)</f>
        <v>6.6419027777777782</v>
      </c>
      <c r="J29" s="72">
        <f t="shared" si="3"/>
        <v>2.6419027777777782</v>
      </c>
      <c r="K29" s="109">
        <f t="shared" si="4"/>
        <v>4.4031712962962972</v>
      </c>
      <c r="L29" s="63">
        <f t="shared" si="2"/>
        <v>4.4031712962962972</v>
      </c>
      <c r="M29" s="123"/>
    </row>
    <row r="30" spans="1:13" hidden="1">
      <c r="A30" s="63" t="str">
        <f>'RAW DATA 2023'!B309</f>
        <v>Roiphet1</v>
      </c>
      <c r="B30" s="63" t="str">
        <f>'RAW DATA 2023'!D309</f>
        <v>B5-G09-0086</v>
      </c>
      <c r="C30" s="63" t="str">
        <f t="shared" si="0"/>
        <v>Roiphet1B5-G09-0086</v>
      </c>
      <c r="D30" s="68">
        <f>VLOOKUP(C30,'RAW DATA 2023'!E:BP,63,0)</f>
        <v>11</v>
      </c>
      <c r="E30" s="68" t="str">
        <f t="shared" si="1"/>
        <v>Roiphet111</v>
      </c>
      <c r="F30" s="63" t="str">
        <f>VLOOKUP(C30,'RAW DATA 2023'!E:BO,5,0)</f>
        <v>Greenhouse</v>
      </c>
      <c r="G30" s="63" t="s">
        <v>1954</v>
      </c>
      <c r="H30" s="63">
        <f>VLOOKUP(C30,'RAW DATA 2023'!E:BO,2,0)</f>
        <v>1.1299999999999999</v>
      </c>
      <c r="I30" s="106">
        <f>VLOOKUP(C30,'RAW DATA 2023'!E:BO,22,0)</f>
        <v>4.8347256637168146</v>
      </c>
      <c r="J30" s="72">
        <f t="shared" si="3"/>
        <v>0.83472566371681456</v>
      </c>
      <c r="K30" s="109">
        <f t="shared" si="4"/>
        <v>1.3912094395280243</v>
      </c>
      <c r="L30" s="63">
        <f t="shared" si="2"/>
        <v>1.3912094395280243</v>
      </c>
      <c r="M30" s="123"/>
    </row>
    <row r="31" spans="1:13">
      <c r="A31" s="63" t="str">
        <f>'RAW DATA 2023'!B313</f>
        <v>Choknavy</v>
      </c>
      <c r="B31" s="63" t="str">
        <f>'RAW DATA 2023'!D313</f>
        <v>A1-003-0037</v>
      </c>
      <c r="C31" s="63" t="str">
        <f t="shared" si="0"/>
        <v>ChoknavyA1-003-0037</v>
      </c>
      <c r="D31" s="68">
        <f>VLOOKUP(C31,'RAW DATA 2023'!E:BP,63,0)</f>
        <v>11</v>
      </c>
      <c r="E31" s="68" t="str">
        <f t="shared" si="1"/>
        <v>Choknavy11</v>
      </c>
      <c r="F31" s="63" t="str">
        <f>VLOOKUP(C31,'RAW DATA 2023'!E:BO,5,0)</f>
        <v>Outdoor</v>
      </c>
      <c r="G31" s="63" t="s">
        <v>1951</v>
      </c>
      <c r="H31" s="63">
        <f>VLOOKUP(C31,'RAW DATA 2023'!E:BO,2,0)</f>
        <v>5.5</v>
      </c>
      <c r="I31" s="106">
        <f>VLOOKUP(C31,'RAW DATA 2023'!E:BO,22,0)</f>
        <v>6.6157018181818188</v>
      </c>
      <c r="J31" s="72">
        <f t="shared" si="3"/>
        <v>4.6157018181818188</v>
      </c>
      <c r="K31" s="109">
        <f t="shared" si="4"/>
        <v>7.6928363636363652</v>
      </c>
      <c r="L31" s="63">
        <f t="shared" si="2"/>
        <v>6.25</v>
      </c>
      <c r="M31" s="123"/>
    </row>
    <row r="32" spans="1:13">
      <c r="A32" s="63" t="str">
        <f>'RAW DATA 2023'!B350</f>
        <v>Maeklong1</v>
      </c>
      <c r="B32" s="63" t="str">
        <f>'RAW DATA 2023'!D350</f>
        <v>A1-029-0012</v>
      </c>
      <c r="C32" s="63" t="str">
        <f t="shared" si="0"/>
        <v>Maeklong1A1-029-0012</v>
      </c>
      <c r="D32" s="68">
        <f>VLOOKUP(C32,'RAW DATA 2023'!E:BP,63,0)</f>
        <v>1</v>
      </c>
      <c r="E32" s="68" t="str">
        <f t="shared" si="1"/>
        <v>Maeklong11</v>
      </c>
      <c r="F32" s="63" t="str">
        <f>VLOOKUP(C32,'RAW DATA 2023'!E:BO,5,0)</f>
        <v>Outdoor</v>
      </c>
      <c r="G32" s="63" t="s">
        <v>1951</v>
      </c>
      <c r="H32" s="63">
        <f>VLOOKUP(C32,'RAW DATA 2023'!E:BO,2,0)</f>
        <v>1.3</v>
      </c>
      <c r="I32" s="106">
        <f>VLOOKUP(C32,'RAW DATA 2023'!E:BO,22,0)</f>
        <v>13.883023076923077</v>
      </c>
      <c r="J32" s="72">
        <f t="shared" si="3"/>
        <v>7.8830230769230774</v>
      </c>
      <c r="K32" s="109">
        <f t="shared" si="4"/>
        <v>13.138371794871796</v>
      </c>
      <c r="L32" s="63">
        <f t="shared" si="2"/>
        <v>6.25</v>
      </c>
      <c r="M32" s="123"/>
    </row>
    <row r="33" spans="1:13">
      <c r="A33" s="63" t="str">
        <f>'RAW DATA 2023'!B351</f>
        <v>Maeklong1</v>
      </c>
      <c r="B33" s="63" t="str">
        <f>'RAW DATA 2023'!D351</f>
        <v>A1-029-0015</v>
      </c>
      <c r="C33" s="63" t="str">
        <f t="shared" si="0"/>
        <v>Maeklong1A1-029-0015</v>
      </c>
      <c r="D33" s="68">
        <f>VLOOKUP(C33,'RAW DATA 2023'!E:BP,63,0)</f>
        <v>12</v>
      </c>
      <c r="E33" s="68" t="str">
        <f t="shared" si="1"/>
        <v>Maeklong112</v>
      </c>
      <c r="F33" s="63" t="str">
        <f>VLOOKUP(C33,'RAW DATA 2023'!E:BO,5,0)</f>
        <v>Outdoor</v>
      </c>
      <c r="G33" s="63" t="s">
        <v>1951</v>
      </c>
      <c r="H33" s="63">
        <f>VLOOKUP(C33,'RAW DATA 2023'!E:BO,2,0)</f>
        <v>1.3</v>
      </c>
      <c r="I33" s="106">
        <f>VLOOKUP(C33,'RAW DATA 2023'!E:BO,22,0)</f>
        <v>8.3934769230769231</v>
      </c>
      <c r="J33" s="72">
        <f t="shared" si="3"/>
        <v>2.3934769230769231</v>
      </c>
      <c r="K33" s="109">
        <f t="shared" si="4"/>
        <v>3.9891282051282051</v>
      </c>
      <c r="L33" s="63">
        <f t="shared" si="2"/>
        <v>3.9891282051282051</v>
      </c>
      <c r="M33" s="123"/>
    </row>
    <row r="34" spans="1:13" hidden="1">
      <c r="A34" s="63" t="str">
        <f>'RAW DATA 2023'!B375</f>
        <v>PB5</v>
      </c>
      <c r="B34" s="63" t="str">
        <f>'RAW DATA 2023'!D375</f>
        <v>A1-005-0051</v>
      </c>
      <c r="C34" s="63" t="str">
        <f t="shared" si="0"/>
        <v>PB5A1-005-0051</v>
      </c>
      <c r="D34" s="68">
        <f>VLOOKUP(C34,'RAW DATA 2023'!E:BP,63,0)</f>
        <v>2</v>
      </c>
      <c r="E34" s="68" t="str">
        <f t="shared" si="1"/>
        <v>PB52</v>
      </c>
      <c r="F34" s="63" t="str">
        <f>VLOOKUP(C34,'RAW DATA 2023'!E:BO,5,0)</f>
        <v>Outdoor</v>
      </c>
      <c r="G34" s="63" t="s">
        <v>67</v>
      </c>
      <c r="H34" s="63">
        <f>VLOOKUP(C34,'RAW DATA 2023'!E:BO,2,0)</f>
        <v>4.37</v>
      </c>
      <c r="I34" s="106">
        <f>VLOOKUP(C34,'RAW DATA 2023'!E:BO,22,0)</f>
        <v>2.6454485125858125</v>
      </c>
      <c r="J34" s="72">
        <f t="shared" si="3"/>
        <v>0.64544851258581248</v>
      </c>
      <c r="K34" s="109">
        <f t="shared" si="4"/>
        <v>1.0757475209763543</v>
      </c>
      <c r="L34" s="63">
        <f t="shared" si="2"/>
        <v>1.0757475209763543</v>
      </c>
      <c r="M34" s="123"/>
    </row>
    <row r="35" spans="1:13" hidden="1">
      <c r="A35" s="63" t="str">
        <f>'RAW DATA 2023'!B412</f>
        <v>CS4</v>
      </c>
      <c r="B35" s="63" t="str">
        <f>'RAW DATA 2023'!D412</f>
        <v>A1-002-0046</v>
      </c>
      <c r="C35" s="63" t="str">
        <f t="shared" si="0"/>
        <v>CS4A1-002-0046</v>
      </c>
      <c r="D35" s="68">
        <f>VLOOKUP(C35,'RAW DATA 2023'!E:BP,63,0)</f>
        <v>2</v>
      </c>
      <c r="E35" s="68" t="str">
        <f t="shared" si="1"/>
        <v>CS42</v>
      </c>
      <c r="F35" s="63" t="str">
        <f>VLOOKUP(C35,'RAW DATA 2023'!E:BO,5,0)</f>
        <v>Outdoor</v>
      </c>
      <c r="G35" s="63" t="s">
        <v>67</v>
      </c>
      <c r="H35" s="63">
        <f>VLOOKUP(C35,'RAW DATA 2023'!E:BO,2,0)</f>
        <v>2</v>
      </c>
      <c r="I35" s="106">
        <f>VLOOKUP(C35,'RAW DATA 2023'!E:BO,22,0)</f>
        <v>6.3490200000000003</v>
      </c>
      <c r="J35" s="72">
        <f t="shared" si="3"/>
        <v>0.34902000000000033</v>
      </c>
      <c r="K35" s="109">
        <f t="shared" si="4"/>
        <v>0.58170000000000055</v>
      </c>
      <c r="L35" s="63">
        <f t="shared" si="2"/>
        <v>0.58170000000000055</v>
      </c>
      <c r="M35" s="123"/>
    </row>
    <row r="36" spans="1:13" hidden="1">
      <c r="A36" s="63" t="str">
        <f>'RAW DATA 2023'!B425</f>
        <v>CS1</v>
      </c>
      <c r="B36" s="63" t="str">
        <f>'RAW DATA 2023'!D425</f>
        <v>A1-008-0031</v>
      </c>
      <c r="C36" s="63" t="str">
        <f t="shared" si="0"/>
        <v>CS1A1-008-0031</v>
      </c>
      <c r="D36" s="68">
        <f>VLOOKUP(C36,'RAW DATA 2023'!E:BP,63,0)</f>
        <v>5</v>
      </c>
      <c r="E36" s="68" t="str">
        <f t="shared" si="1"/>
        <v>CS15</v>
      </c>
      <c r="F36" s="63" t="str">
        <f>VLOOKUP(C36,'RAW DATA 2023'!E:BO,5,0)</f>
        <v>Outdoor</v>
      </c>
      <c r="G36" s="63" t="s">
        <v>67</v>
      </c>
      <c r="H36" s="63">
        <f>VLOOKUP(C36,'RAW DATA 2023'!E:BO,2,0)</f>
        <v>3.45</v>
      </c>
      <c r="I36" s="106">
        <f>VLOOKUP(C36,'RAW DATA 2023'!E:BO,22,0)</f>
        <v>1.2264289855072463</v>
      </c>
      <c r="J36" s="72">
        <f t="shared" si="3"/>
        <v>-1.7735710144927537</v>
      </c>
      <c r="K36" s="109">
        <f t="shared" si="4"/>
        <v>-2.9559516908212564</v>
      </c>
      <c r="L36" s="63">
        <f t="shared" si="2"/>
        <v>0</v>
      </c>
      <c r="M36" s="123"/>
    </row>
    <row r="37" spans="1:13" hidden="1">
      <c r="A37" s="63" t="str">
        <f>'RAW DATA 2023'!B426</f>
        <v>CS1</v>
      </c>
      <c r="B37" s="63" t="str">
        <f>'RAW DATA 2023'!D426</f>
        <v>A1-010-0050</v>
      </c>
      <c r="C37" s="63" t="str">
        <f t="shared" si="0"/>
        <v>CS1A1-010-0050</v>
      </c>
      <c r="D37" s="68">
        <f>VLOOKUP(C37,'RAW DATA 2023'!E:BP,63,0)</f>
        <v>4</v>
      </c>
      <c r="E37" s="68" t="str">
        <f t="shared" si="1"/>
        <v>CS14</v>
      </c>
      <c r="F37" s="63" t="str">
        <f>VLOOKUP(C37,'RAW DATA 2023'!E:BO,5,0)</f>
        <v>Outdoor</v>
      </c>
      <c r="G37" s="63" t="s">
        <v>67</v>
      </c>
      <c r="H37" s="63">
        <f>VLOOKUP(C37,'RAW DATA 2023'!E:BO,2,0)</f>
        <v>3.1</v>
      </c>
      <c r="I37" s="106">
        <f>VLOOKUP(C37,'RAW DATA 2023'!E:BO,22,0)</f>
        <v>2.560109677419355</v>
      </c>
      <c r="J37" s="72">
        <f t="shared" si="3"/>
        <v>-0.43989032258064498</v>
      </c>
      <c r="K37" s="109">
        <f t="shared" si="4"/>
        <v>-0.73315053763440829</v>
      </c>
      <c r="L37" s="63">
        <f t="shared" si="2"/>
        <v>0</v>
      </c>
      <c r="M37" s="123"/>
    </row>
    <row r="38" spans="1:13">
      <c r="A38" s="63" t="str">
        <f>'RAW DATA 2023'!B438</f>
        <v>CS1</v>
      </c>
      <c r="B38" s="63" t="str">
        <f>'RAW DATA 2023'!D438</f>
        <v>C1-056-0019</v>
      </c>
      <c r="C38" s="63" t="str">
        <f t="shared" si="0"/>
        <v>CS1C1-056-0019</v>
      </c>
      <c r="D38" s="68">
        <f>VLOOKUP(C38,'RAW DATA 2023'!E:BP,63,0)</f>
        <v>5</v>
      </c>
      <c r="E38" s="68" t="str">
        <f t="shared" si="1"/>
        <v>CS15</v>
      </c>
      <c r="F38" s="63" t="str">
        <f>VLOOKUP(C38,'RAW DATA 2023'!E:BO,5,0)</f>
        <v>Outdoor</v>
      </c>
      <c r="G38" s="63" t="s">
        <v>1951</v>
      </c>
      <c r="H38" s="63">
        <f>VLOOKUP(C38,'RAW DATA 2023'!E:BO,2,0)</f>
        <v>4.2</v>
      </c>
      <c r="I38" s="106">
        <f>VLOOKUP(C38,'RAW DATA 2023'!E:BO,22,0)</f>
        <v>1.2076095238095237</v>
      </c>
      <c r="J38" s="72">
        <f t="shared" si="3"/>
        <v>-0.79239047619047631</v>
      </c>
      <c r="K38" s="109">
        <f t="shared" si="4"/>
        <v>-1.3206507936507939</v>
      </c>
      <c r="L38" s="63">
        <f t="shared" si="2"/>
        <v>0</v>
      </c>
      <c r="M38" s="123"/>
    </row>
    <row r="39" spans="1:13">
      <c r="A39" s="63" t="str">
        <f>'RAW DATA 2023'!B451</f>
        <v>Roiphet3</v>
      </c>
      <c r="B39" s="63" t="str">
        <f>'RAW DATA 2023'!D451</f>
        <v>A1-007-0012</v>
      </c>
      <c r="C39" s="63" t="str">
        <f t="shared" si="0"/>
        <v>Roiphet3A1-007-0012</v>
      </c>
      <c r="D39" s="68">
        <f>VLOOKUP(C39,'RAW DATA 2023'!E:BP,63,0)</f>
        <v>2</v>
      </c>
      <c r="E39" s="68" t="str">
        <f t="shared" si="1"/>
        <v>Roiphet32</v>
      </c>
      <c r="F39" s="63" t="str">
        <f>VLOOKUP(C39,'RAW DATA 2023'!E:BO,5,0)</f>
        <v>Outdoor</v>
      </c>
      <c r="G39" s="63" t="s">
        <v>1951</v>
      </c>
      <c r="H39" s="63">
        <f>VLOOKUP(C39,'RAW DATA 2023'!E:BO,2,0)</f>
        <v>4.5</v>
      </c>
      <c r="I39" s="106">
        <f>VLOOKUP(C39,'RAW DATA 2023'!E:BO,22,0)</f>
        <v>4.2985244444444444</v>
      </c>
      <c r="J39" s="72">
        <f t="shared" si="3"/>
        <v>2.2985244444444444</v>
      </c>
      <c r="K39" s="109">
        <f t="shared" si="4"/>
        <v>3.8308740740740741</v>
      </c>
      <c r="L39" s="63">
        <f t="shared" si="2"/>
        <v>3.8308740740740741</v>
      </c>
      <c r="M39" s="123"/>
    </row>
    <row r="40" spans="1:13" hidden="1">
      <c r="A40" s="63" t="str">
        <f>'RAW DATA 2023'!B494</f>
        <v>Bo Thong</v>
      </c>
      <c r="B40" s="63" t="str">
        <f>'RAW DATA 2023'!D494</f>
        <v>B1-014-0011</v>
      </c>
      <c r="C40" s="63" t="str">
        <f t="shared" si="0"/>
        <v>Bo ThongB1-014-0011</v>
      </c>
      <c r="D40" s="68">
        <f>VLOOKUP(C40,'RAW DATA 2023'!E:BP,63,0)</f>
        <v>3</v>
      </c>
      <c r="E40" s="68" t="str">
        <f t="shared" si="1"/>
        <v>Bo Thong3</v>
      </c>
      <c r="F40" s="63" t="str">
        <f>VLOOKUP(C40,'RAW DATA 2023'!E:BO,5,0)</f>
        <v>Outdoor</v>
      </c>
      <c r="G40" s="63" t="s">
        <v>67</v>
      </c>
      <c r="H40" s="63">
        <f>VLOOKUP(C40,'RAW DATA 2023'!E:BO,2,0)</f>
        <v>2.52</v>
      </c>
      <c r="I40" s="106">
        <f>VLOOKUP(C40,'RAW DATA 2023'!E:BO,22,0)</f>
        <v>9.3843650793650788</v>
      </c>
      <c r="J40" s="72">
        <f t="shared" si="3"/>
        <v>6.3843650793650788</v>
      </c>
      <c r="K40" s="109">
        <f t="shared" si="4"/>
        <v>10.640608465608466</v>
      </c>
      <c r="L40" s="63">
        <f t="shared" si="2"/>
        <v>6.25</v>
      </c>
      <c r="M40" s="123"/>
    </row>
    <row r="41" spans="1:13" hidden="1">
      <c r="A41" s="63" t="str">
        <f>'RAW DATA 2023'!B496</f>
        <v>Bo Thong</v>
      </c>
      <c r="B41" s="63" t="str">
        <f>'RAW DATA 2023'!D496</f>
        <v>B1-015-0012</v>
      </c>
      <c r="C41" s="63" t="str">
        <f t="shared" si="0"/>
        <v>Bo ThongB1-015-0012</v>
      </c>
      <c r="D41" s="68">
        <f>VLOOKUP(C41,'RAW DATA 2023'!E:BP,63,0)</f>
        <v>3</v>
      </c>
      <c r="E41" s="68" t="str">
        <f t="shared" si="1"/>
        <v>Bo Thong3</v>
      </c>
      <c r="F41" s="63" t="str">
        <f>VLOOKUP(C41,'RAW DATA 2023'!E:BO,5,0)</f>
        <v>Outdoor</v>
      </c>
      <c r="G41" s="63" t="s">
        <v>67</v>
      </c>
      <c r="H41" s="63">
        <f>VLOOKUP(C41,'RAW DATA 2023'!E:BO,2,0)</f>
        <v>2.76</v>
      </c>
      <c r="I41" s="106">
        <f>VLOOKUP(C41,'RAW DATA 2023'!E:BO,22,0)</f>
        <v>8.3971485507246388</v>
      </c>
      <c r="J41" s="72">
        <f t="shared" si="3"/>
        <v>5.3971485507246388</v>
      </c>
      <c r="K41" s="109">
        <f t="shared" si="4"/>
        <v>8.9952475845410653</v>
      </c>
      <c r="L41" s="63">
        <f t="shared" si="2"/>
        <v>6.25</v>
      </c>
      <c r="M41" s="123"/>
    </row>
    <row r="42" spans="1:13" hidden="1">
      <c r="A42" s="63" t="str">
        <f>'RAW DATA 2023'!B567</f>
        <v>Lucky2</v>
      </c>
      <c r="B42" s="63" t="str">
        <f>'RAW DATA 2023'!D567</f>
        <v>AC-002-0008</v>
      </c>
      <c r="C42" s="63" t="str">
        <f t="shared" si="0"/>
        <v>Lucky2AC-002-0008</v>
      </c>
      <c r="D42" s="68">
        <f>VLOOKUP(C42,'RAW DATA 2023'!E:BP,63,0)</f>
        <v>2</v>
      </c>
      <c r="E42" s="68" t="str">
        <f t="shared" si="1"/>
        <v>Lucky22</v>
      </c>
      <c r="F42" s="63" t="str">
        <f>VLOOKUP(C42,'RAW DATA 2023'!E:BO,5,0)</f>
        <v>Tank</v>
      </c>
      <c r="G42" s="63" t="s">
        <v>67</v>
      </c>
      <c r="H42" s="63">
        <f>VLOOKUP(C42,'RAW DATA 2023'!E:BO,2,0)</f>
        <v>0.5</v>
      </c>
      <c r="I42" s="106">
        <f>VLOOKUP(C42,'RAW DATA 2023'!E:BO,22,0)</f>
        <v>7.2637200000000002</v>
      </c>
      <c r="J42" s="72">
        <f t="shared" si="3"/>
        <v>1.2637200000000002</v>
      </c>
      <c r="K42" s="109">
        <f t="shared" si="4"/>
        <v>2.1062000000000003</v>
      </c>
      <c r="L42" s="63">
        <f t="shared" si="2"/>
        <v>2.1062000000000003</v>
      </c>
      <c r="M42" s="123"/>
    </row>
    <row r="43" spans="1:13" hidden="1">
      <c r="A43" s="63" t="str">
        <f>'RAW DATA 2023'!B569</f>
        <v>Lucky2</v>
      </c>
      <c r="B43" s="63" t="str">
        <f>'RAW DATA 2023'!D569</f>
        <v>AC-003-0008</v>
      </c>
      <c r="C43" s="63" t="str">
        <f t="shared" si="0"/>
        <v>Lucky2AC-003-0008</v>
      </c>
      <c r="D43" s="68">
        <f>VLOOKUP(C43,'RAW DATA 2023'!E:BP,63,0)</f>
        <v>3</v>
      </c>
      <c r="E43" s="68" t="str">
        <f t="shared" si="1"/>
        <v>Lucky23</v>
      </c>
      <c r="F43" s="63" t="str">
        <f>VLOOKUP(C43,'RAW DATA 2023'!E:BO,5,0)</f>
        <v>Tank</v>
      </c>
      <c r="G43" s="63" t="s">
        <v>67</v>
      </c>
      <c r="H43" s="63">
        <f>VLOOKUP(C43,'RAW DATA 2023'!E:BO,2,0)</f>
        <v>0.5</v>
      </c>
      <c r="I43" s="106">
        <f>VLOOKUP(C43,'RAW DATA 2023'!E:BO,22,0)</f>
        <v>6.3956200000000001</v>
      </c>
      <c r="J43" s="72">
        <f t="shared" si="3"/>
        <v>0.39562000000000008</v>
      </c>
      <c r="K43" s="109">
        <f t="shared" si="4"/>
        <v>0.65936666666666688</v>
      </c>
      <c r="L43" s="63">
        <f t="shared" si="2"/>
        <v>0.65936666666666688</v>
      </c>
      <c r="M43" s="123"/>
    </row>
    <row r="44" spans="1:13" hidden="1">
      <c r="A44" s="63" t="str">
        <f>'RAW DATA 2023'!B571</f>
        <v>Lucky2</v>
      </c>
      <c r="B44" s="63" t="str">
        <f>'RAW DATA 2023'!D571</f>
        <v>AC-004-0010</v>
      </c>
      <c r="C44" s="63" t="str">
        <f t="shared" si="0"/>
        <v>Lucky2AC-004-0010</v>
      </c>
      <c r="D44" s="68">
        <f>VLOOKUP(C44,'RAW DATA 2023'!E:BP,63,0)</f>
        <v>7</v>
      </c>
      <c r="E44" s="68" t="str">
        <f t="shared" si="1"/>
        <v>Lucky27</v>
      </c>
      <c r="F44" s="63" t="str">
        <f>VLOOKUP(C44,'RAW DATA 2023'!E:BO,5,0)</f>
        <v>Tank</v>
      </c>
      <c r="G44" s="63" t="s">
        <v>67</v>
      </c>
      <c r="H44" s="63">
        <f>VLOOKUP(C44,'RAW DATA 2023'!E:BO,2,0)</f>
        <v>0.5</v>
      </c>
      <c r="I44" s="106">
        <f>VLOOKUP(C44,'RAW DATA 2023'!E:BO,22,0)</f>
        <v>8.7763200000000001</v>
      </c>
      <c r="J44" s="72">
        <f t="shared" si="3"/>
        <v>2.7763200000000001</v>
      </c>
      <c r="K44" s="109">
        <f t="shared" si="4"/>
        <v>4.6272000000000002</v>
      </c>
      <c r="L44" s="63">
        <f t="shared" si="2"/>
        <v>4.6272000000000002</v>
      </c>
      <c r="M44" s="123"/>
    </row>
    <row r="45" spans="1:13" hidden="1">
      <c r="A45" s="63" t="str">
        <f>'RAW DATA 2023'!B574</f>
        <v>Laemsing</v>
      </c>
      <c r="B45" s="63" t="str">
        <f>'RAW DATA 2023'!D574</f>
        <v>A1-002-0038</v>
      </c>
      <c r="C45" s="63" t="str">
        <f t="shared" si="0"/>
        <v>LaemsingA1-002-0038</v>
      </c>
      <c r="D45" s="68">
        <f>VLOOKUP(C45,'RAW DATA 2023'!E:BP,63,0)</f>
        <v>8</v>
      </c>
      <c r="E45" s="68" t="str">
        <f t="shared" si="1"/>
        <v>Laemsing8</v>
      </c>
      <c r="F45" s="63" t="str">
        <f>VLOOKUP(C45,'RAW DATA 2023'!E:BO,5,0)</f>
        <v>Outdoor</v>
      </c>
      <c r="G45" s="63" t="s">
        <v>67</v>
      </c>
      <c r="H45" s="63">
        <f>VLOOKUP(C45,'RAW DATA 2023'!E:BO,2,0)</f>
        <v>3</v>
      </c>
      <c r="I45" s="106">
        <f>VLOOKUP(C45,'RAW DATA 2023'!E:BO,22,0)</f>
        <v>5.1323733333333337</v>
      </c>
      <c r="J45" s="72">
        <f t="shared" si="3"/>
        <v>2.1323733333333337</v>
      </c>
      <c r="K45" s="109">
        <f t="shared" si="4"/>
        <v>3.5539555555555564</v>
      </c>
      <c r="L45" s="63">
        <f t="shared" si="2"/>
        <v>3.5539555555555564</v>
      </c>
      <c r="M45" s="123"/>
    </row>
    <row r="46" spans="1:13" hidden="1">
      <c r="A46" s="63" t="str">
        <f>'RAW DATA 2023'!B579</f>
        <v>Laemsing</v>
      </c>
      <c r="B46" s="63" t="str">
        <f>'RAW DATA 2023'!D579</f>
        <v>A1-019-0028</v>
      </c>
      <c r="C46" s="63" t="str">
        <f t="shared" si="0"/>
        <v>LaemsingA1-019-0028</v>
      </c>
      <c r="D46" s="68">
        <f>VLOOKUP(C46,'RAW DATA 2023'!E:BP,63,0)</f>
        <v>4</v>
      </c>
      <c r="E46" s="68" t="str">
        <f t="shared" si="1"/>
        <v>Laemsing4</v>
      </c>
      <c r="F46" s="63" t="str">
        <f>VLOOKUP(C46,'RAW DATA 2023'!E:BO,5,0)</f>
        <v>Outdoor</v>
      </c>
      <c r="G46" s="63" t="s">
        <v>67</v>
      </c>
      <c r="H46" s="63">
        <f>VLOOKUP(C46,'RAW DATA 2023'!E:BO,2,0)</f>
        <v>2.2000000000000002</v>
      </c>
      <c r="I46" s="106">
        <f>VLOOKUP(C46,'RAW DATA 2023'!E:BO,22,0)</f>
        <v>8.3291454545454542</v>
      </c>
      <c r="J46" s="72">
        <f t="shared" si="3"/>
        <v>5.3291454545454542</v>
      </c>
      <c r="K46" s="109">
        <f t="shared" si="4"/>
        <v>8.8819090909090903</v>
      </c>
      <c r="L46" s="63">
        <f t="shared" si="2"/>
        <v>6.25</v>
      </c>
      <c r="M46" s="123"/>
    </row>
    <row r="47" spans="1:13" hidden="1">
      <c r="A47" s="63" t="str">
        <f>'RAW DATA 2023'!B586</f>
        <v>Laemsing</v>
      </c>
      <c r="B47" s="63" t="str">
        <f>'RAW DATA 2023'!D586</f>
        <v>B1-027-0015</v>
      </c>
      <c r="C47" s="63" t="str">
        <f t="shared" si="0"/>
        <v>LaemsingB1-027-0015</v>
      </c>
      <c r="D47" s="68">
        <f>VLOOKUP(C47,'RAW DATA 2023'!E:BP,63,0)</f>
        <v>7</v>
      </c>
      <c r="E47" s="68" t="str">
        <f t="shared" si="1"/>
        <v>Laemsing7</v>
      </c>
      <c r="F47" s="63" t="str">
        <f>VLOOKUP(C47,'RAW DATA 2023'!E:BO,5,0)</f>
        <v>Outdoor</v>
      </c>
      <c r="G47" s="63" t="s">
        <v>67</v>
      </c>
      <c r="H47" s="63">
        <f>VLOOKUP(C47,'RAW DATA 2023'!E:BO,2,0)</f>
        <v>2.1</v>
      </c>
      <c r="I47" s="106">
        <f>VLOOKUP(C47,'RAW DATA 2023'!E:BO,22,0)</f>
        <v>7.0838761904761895</v>
      </c>
      <c r="J47" s="72">
        <f t="shared" si="3"/>
        <v>4.0838761904761895</v>
      </c>
      <c r="K47" s="109">
        <f t="shared" si="4"/>
        <v>6.8064603174603162</v>
      </c>
      <c r="L47" s="63">
        <f t="shared" si="2"/>
        <v>6.25</v>
      </c>
      <c r="M47" s="123"/>
    </row>
    <row r="48" spans="1:13" hidden="1">
      <c r="A48" s="63" t="str">
        <f>'RAW DATA 2023'!B589</f>
        <v>Laemsing</v>
      </c>
      <c r="B48" s="63" t="str">
        <f>'RAW DATA 2023'!D589</f>
        <v>B1-012-0030</v>
      </c>
      <c r="C48" s="63" t="str">
        <f t="shared" si="0"/>
        <v>LaemsingB1-012-0030</v>
      </c>
      <c r="D48" s="68">
        <f>VLOOKUP(C48,'RAW DATA 2023'!E:BP,63,0)</f>
        <v>6</v>
      </c>
      <c r="E48" s="68" t="str">
        <f t="shared" si="1"/>
        <v>Laemsing6</v>
      </c>
      <c r="F48" s="63" t="str">
        <f>VLOOKUP(C48,'RAW DATA 2023'!E:BO,5,0)</f>
        <v>Outdoor</v>
      </c>
      <c r="G48" s="63" t="s">
        <v>67</v>
      </c>
      <c r="H48" s="63">
        <f>VLOOKUP(C48,'RAW DATA 2023'!E:BO,2,0)</f>
        <v>1.6</v>
      </c>
      <c r="I48" s="106">
        <f>VLOOKUP(C48,'RAW DATA 2023'!E:BO,22,0)</f>
        <v>19.013556249999997</v>
      </c>
      <c r="J48" s="72">
        <f t="shared" si="3"/>
        <v>13.013556249999997</v>
      </c>
      <c r="K48" s="109">
        <f t="shared" si="4"/>
        <v>21.689260416666663</v>
      </c>
      <c r="L48" s="63">
        <f t="shared" si="2"/>
        <v>6.25</v>
      </c>
      <c r="M48" s="123"/>
    </row>
    <row r="49" spans="1:13" hidden="1">
      <c r="A49" s="63" t="str">
        <f>'RAW DATA 2023'!B595</f>
        <v>Laemsing</v>
      </c>
      <c r="B49" s="63" t="str">
        <f>'RAW DATA 2023'!D595</f>
        <v>B1-013-0034</v>
      </c>
      <c r="C49" s="63" t="str">
        <f t="shared" si="0"/>
        <v>LaemsingB1-013-0034</v>
      </c>
      <c r="D49" s="68">
        <f>VLOOKUP(C49,'RAW DATA 2023'!E:BP,63,0)</f>
        <v>12</v>
      </c>
      <c r="E49" s="68" t="str">
        <f t="shared" si="1"/>
        <v>Laemsing12</v>
      </c>
      <c r="F49" s="63" t="str">
        <f>VLOOKUP(C49,'RAW DATA 2023'!E:BO,5,0)</f>
        <v>Outdoor</v>
      </c>
      <c r="G49" s="63" t="s">
        <v>67</v>
      </c>
      <c r="H49" s="63">
        <f>VLOOKUP(C49,'RAW DATA 2023'!E:BO,2,0)</f>
        <v>2.1</v>
      </c>
      <c r="I49" s="106">
        <f>VLOOKUP(C49,'RAW DATA 2023'!E:BO,22,0)</f>
        <v>5.260642857142857</v>
      </c>
      <c r="J49" s="72">
        <f t="shared" si="3"/>
        <v>2.260642857142857</v>
      </c>
      <c r="K49" s="109">
        <f t="shared" si="4"/>
        <v>3.7677380952380952</v>
      </c>
      <c r="L49" s="63">
        <f t="shared" si="2"/>
        <v>3.7677380952380952</v>
      </c>
      <c r="M49" s="123"/>
    </row>
    <row r="50" spans="1:13" hidden="1">
      <c r="A50" s="63" t="str">
        <f>'RAW DATA 2023'!B631</f>
        <v>Kamong</v>
      </c>
      <c r="B50" s="63" t="str">
        <f>'RAW DATA 2023'!D631</f>
        <v>C1-024-0042</v>
      </c>
      <c r="C50" s="63" t="str">
        <f t="shared" si="0"/>
        <v>KamongC1-024-0042</v>
      </c>
      <c r="D50" s="68">
        <f>VLOOKUP(C50,'RAW DATA 2023'!E:BP,63,0)</f>
        <v>5</v>
      </c>
      <c r="E50" s="68" t="str">
        <f t="shared" si="1"/>
        <v>Kamong5</v>
      </c>
      <c r="F50" s="63" t="str">
        <f>VLOOKUP(C50,'RAW DATA 2023'!E:BO,5,0)</f>
        <v>Outdoor</v>
      </c>
      <c r="G50" s="63" t="s">
        <v>67</v>
      </c>
      <c r="H50" s="63">
        <f>VLOOKUP(C50,'RAW DATA 2023'!E:BO,2,0)</f>
        <v>8</v>
      </c>
      <c r="I50" s="106">
        <f>VLOOKUP(C50,'RAW DATA 2023'!E:BO,22,0)</f>
        <v>3.7136262499999999</v>
      </c>
      <c r="J50" s="72">
        <f t="shared" si="3"/>
        <v>1.7136262499999999</v>
      </c>
      <c r="K50" s="109">
        <f t="shared" si="4"/>
        <v>2.85604375</v>
      </c>
      <c r="L50" s="63">
        <f t="shared" si="2"/>
        <v>2.85604375</v>
      </c>
      <c r="M50" s="123"/>
    </row>
    <row r="51" spans="1:13" hidden="1">
      <c r="A51" s="63" t="str">
        <f>'RAW DATA 2023'!B636</f>
        <v>Kamong</v>
      </c>
      <c r="B51" s="63" t="str">
        <f>'RAW DATA 2023'!D636</f>
        <v>D1-022-0040</v>
      </c>
      <c r="C51" s="63" t="str">
        <f t="shared" si="0"/>
        <v>KamongD1-022-0040</v>
      </c>
      <c r="D51" s="68">
        <f>VLOOKUP(C51,'RAW DATA 2023'!E:BP,63,0)</f>
        <v>7</v>
      </c>
      <c r="E51" s="68" t="str">
        <f t="shared" si="1"/>
        <v>Kamong7</v>
      </c>
      <c r="F51" s="63" t="str">
        <f>VLOOKUP(C51,'RAW DATA 2023'!E:BO,5,0)</f>
        <v>Outdoor</v>
      </c>
      <c r="G51" s="63" t="s">
        <v>67</v>
      </c>
      <c r="H51" s="63">
        <f>VLOOKUP(C51,'RAW DATA 2023'!E:BO,2,0)</f>
        <v>3</v>
      </c>
      <c r="I51" s="106">
        <f>VLOOKUP(C51,'RAW DATA 2023'!E:BO,22,0)</f>
        <v>3.0127566666666667</v>
      </c>
      <c r="J51" s="72">
        <f t="shared" si="3"/>
        <v>1.2756666666666749E-2</v>
      </c>
      <c r="K51" s="109">
        <f t="shared" si="4"/>
        <v>2.1261111111111251E-2</v>
      </c>
      <c r="L51" s="63">
        <f t="shared" si="2"/>
        <v>2.1261111111111251E-2</v>
      </c>
      <c r="M51" s="123"/>
    </row>
    <row r="52" spans="1:13" hidden="1">
      <c r="A52" s="63" t="str">
        <f>'RAW DATA 2023'!B639</f>
        <v>Kamong</v>
      </c>
      <c r="B52" s="63" t="str">
        <f>'RAW DATA 2023'!D639</f>
        <v>D1-022-0039</v>
      </c>
      <c r="C52" s="63" t="str">
        <f t="shared" si="0"/>
        <v>KamongD1-022-0039</v>
      </c>
      <c r="D52" s="68">
        <f>VLOOKUP(C52,'RAW DATA 2023'!E:BP,63,0)</f>
        <v>4</v>
      </c>
      <c r="E52" s="68" t="str">
        <f t="shared" si="1"/>
        <v>Kamong4</v>
      </c>
      <c r="F52" s="63" t="str">
        <f>VLOOKUP(C52,'RAW DATA 2023'!E:BO,5,0)</f>
        <v>Outdoor</v>
      </c>
      <c r="G52" s="63" t="s">
        <v>67</v>
      </c>
      <c r="H52" s="63">
        <f>VLOOKUP(C52,'RAW DATA 2023'!E:BO,2,0)</f>
        <v>3</v>
      </c>
      <c r="I52" s="106">
        <f>VLOOKUP(C52,'RAW DATA 2023'!E:BO,22,0)</f>
        <v>2.6391899999999997</v>
      </c>
      <c r="J52" s="72">
        <f t="shared" si="3"/>
        <v>-0.3608100000000003</v>
      </c>
      <c r="K52" s="109">
        <f t="shared" si="4"/>
        <v>-0.6013500000000005</v>
      </c>
      <c r="L52" s="63">
        <f t="shared" si="2"/>
        <v>0</v>
      </c>
      <c r="M52" s="123"/>
    </row>
    <row r="53" spans="1:13" hidden="1">
      <c r="A53" s="63" t="str">
        <f>'RAW DATA 2023'!B642</f>
        <v>Talaytong</v>
      </c>
      <c r="B53" s="63" t="str">
        <f>'RAW DATA 2023'!D642</f>
        <v>A1-038-0010</v>
      </c>
      <c r="C53" s="63" t="str">
        <f t="shared" si="0"/>
        <v>TalaytongA1-038-0010</v>
      </c>
      <c r="D53" s="68">
        <f>VLOOKUP(C53,'RAW DATA 2023'!E:BP,63,0)</f>
        <v>10</v>
      </c>
      <c r="E53" s="68" t="str">
        <f t="shared" si="1"/>
        <v>Talaytong10</v>
      </c>
      <c r="F53" s="63" t="str">
        <f>VLOOKUP(C53,'RAW DATA 2023'!E:BO,5,0)</f>
        <v>Outdoor</v>
      </c>
      <c r="G53" s="63" t="s">
        <v>67</v>
      </c>
      <c r="H53" s="63">
        <f>VLOOKUP(C53,'RAW DATA 2023'!E:BO,2,0)</f>
        <v>5.45</v>
      </c>
      <c r="I53" s="106">
        <f>VLOOKUP(C53,'RAW DATA 2023'!E:BO,22,0)</f>
        <v>6.2722477064220188</v>
      </c>
      <c r="J53" s="72">
        <f t="shared" si="3"/>
        <v>4.2722477064220188</v>
      </c>
      <c r="K53" s="109">
        <f t="shared" si="4"/>
        <v>7.1204128440366983</v>
      </c>
      <c r="L53" s="63">
        <f t="shared" si="2"/>
        <v>6.25</v>
      </c>
      <c r="M53" s="123"/>
    </row>
    <row r="54" spans="1:13" hidden="1">
      <c r="A54" s="63" t="str">
        <f>'RAW DATA 2023'!B725</f>
        <v>Andaman</v>
      </c>
      <c r="B54" s="63" t="str">
        <f>'RAW DATA 2023'!D725</f>
        <v>A1-013-0018</v>
      </c>
      <c r="C54" s="63" t="str">
        <f t="shared" si="0"/>
        <v>AndamanA1-013-0018</v>
      </c>
      <c r="D54" s="68">
        <f>VLOOKUP(C54,'RAW DATA 2023'!E:BP,63,0)</f>
        <v>6</v>
      </c>
      <c r="E54" s="68" t="str">
        <f t="shared" si="1"/>
        <v>Andaman6</v>
      </c>
      <c r="F54" s="63" t="str">
        <f>VLOOKUP(C54,'RAW DATA 2023'!E:BO,5,0)</f>
        <v>Outdoor</v>
      </c>
      <c r="G54" s="63" t="s">
        <v>1954</v>
      </c>
      <c r="H54" s="63">
        <f>VLOOKUP(C54,'RAW DATA 2023'!E:BO,2,0)</f>
        <v>1.5</v>
      </c>
      <c r="I54" s="106">
        <f>VLOOKUP(C54,'RAW DATA 2023'!E:BO,22,0)</f>
        <v>8.5943400000000008</v>
      </c>
      <c r="J54" s="72">
        <f t="shared" si="3"/>
        <v>2.5943400000000008</v>
      </c>
      <c r="K54" s="109">
        <f t="shared" si="4"/>
        <v>4.3239000000000019</v>
      </c>
      <c r="L54" s="63">
        <f t="shared" si="2"/>
        <v>4.3239000000000019</v>
      </c>
      <c r="M54" s="123"/>
    </row>
    <row r="55" spans="1:13" hidden="1">
      <c r="A55" s="63" t="str">
        <f>'RAW DATA 2023'!B726</f>
        <v>Andaman</v>
      </c>
      <c r="B55" s="63" t="str">
        <f>'RAW DATA 2023'!D726</f>
        <v>A1-009-0046</v>
      </c>
      <c r="C55" s="63" t="str">
        <f t="shared" si="0"/>
        <v>AndamanA1-009-0046</v>
      </c>
      <c r="D55" s="68">
        <f>VLOOKUP(C55,'RAW DATA 2023'!E:BP,63,0)</f>
        <v>3</v>
      </c>
      <c r="E55" s="68" t="str">
        <f t="shared" si="1"/>
        <v>Andaman3</v>
      </c>
      <c r="F55" s="63" t="str">
        <f>VLOOKUP(C55,'RAW DATA 2023'!E:BO,5,0)</f>
        <v>Outdoor</v>
      </c>
      <c r="G55" s="63" t="s">
        <v>1954</v>
      </c>
      <c r="H55" s="63">
        <f>VLOOKUP(C55,'RAW DATA 2023'!E:BO,2,0)</f>
        <v>2.5</v>
      </c>
      <c r="I55" s="106">
        <f>VLOOKUP(C55,'RAW DATA 2023'!E:BO,22,0)</f>
        <v>8.5140679999999982</v>
      </c>
      <c r="J55" s="72">
        <f t="shared" si="3"/>
        <v>5.5140679999999982</v>
      </c>
      <c r="K55" s="109">
        <f t="shared" si="4"/>
        <v>9.1901133333333309</v>
      </c>
      <c r="L55" s="63">
        <f t="shared" si="2"/>
        <v>6.25</v>
      </c>
      <c r="M55" s="123"/>
    </row>
    <row r="56" spans="1:13" hidden="1">
      <c r="A56" s="63" t="str">
        <f>'RAW DATA 2023'!B735</f>
        <v>Andaman</v>
      </c>
      <c r="B56" s="63" t="str">
        <f>'RAW DATA 2023'!D735</f>
        <v>A1-008-0046</v>
      </c>
      <c r="C56" s="63" t="str">
        <f t="shared" si="0"/>
        <v>AndamanA1-008-0046</v>
      </c>
      <c r="D56" s="68">
        <f>VLOOKUP(C56,'RAW DATA 2023'!E:BP,63,0)</f>
        <v>8</v>
      </c>
      <c r="E56" s="68" t="str">
        <f t="shared" si="1"/>
        <v>Andaman8</v>
      </c>
      <c r="F56" s="63" t="str">
        <f>VLOOKUP(C56,'RAW DATA 2023'!E:BO,5,0)</f>
        <v>Outdoor</v>
      </c>
      <c r="G56" s="63" t="s">
        <v>1954</v>
      </c>
      <c r="H56" s="63">
        <f>VLOOKUP(C56,'RAW DATA 2023'!E:BO,2,0)</f>
        <v>2.5</v>
      </c>
      <c r="I56" s="106">
        <f>VLOOKUP(C56,'RAW DATA 2023'!E:BO,22,0)</f>
        <v>9.6764679999999998</v>
      </c>
      <c r="J56" s="72">
        <f t="shared" si="3"/>
        <v>6.6764679999999998</v>
      </c>
      <c r="K56" s="109">
        <f t="shared" si="4"/>
        <v>11.127446666666668</v>
      </c>
      <c r="L56" s="63">
        <f t="shared" si="2"/>
        <v>6.25</v>
      </c>
      <c r="M56" s="123"/>
    </row>
    <row r="57" spans="1:13">
      <c r="A57" s="63" t="str">
        <f>'RAW DATA 2023'!B737</f>
        <v>Andaman</v>
      </c>
      <c r="B57" s="63" t="str">
        <f>'RAW DATA 2023'!D737</f>
        <v>A1-013-0019</v>
      </c>
      <c r="C57" s="63" t="str">
        <f t="shared" si="0"/>
        <v>AndamanA1-013-0019</v>
      </c>
      <c r="D57" s="68">
        <f>VLOOKUP(C57,'RAW DATA 2023'!E:BP,63,0)</f>
        <v>8</v>
      </c>
      <c r="E57" s="68" t="str">
        <f t="shared" si="1"/>
        <v>Andaman8</v>
      </c>
      <c r="F57" s="63" t="str">
        <f>VLOOKUP(C57,'RAW DATA 2023'!E:BO,5,0)</f>
        <v>Outdoor</v>
      </c>
      <c r="G57" s="63" t="s">
        <v>1951</v>
      </c>
      <c r="H57" s="63">
        <f>VLOOKUP(C57,'RAW DATA 2023'!E:BO,2,0)</f>
        <v>1.5</v>
      </c>
      <c r="I57" s="106">
        <f>VLOOKUP(C57,'RAW DATA 2023'!E:BO,22,0)</f>
        <v>3.3545199999999995</v>
      </c>
      <c r="J57" s="72">
        <f t="shared" si="3"/>
        <v>-2.6454800000000005</v>
      </c>
      <c r="K57" s="109">
        <f t="shared" si="4"/>
        <v>-4.409133333333334</v>
      </c>
      <c r="L57" s="63">
        <f t="shared" si="2"/>
        <v>0</v>
      </c>
      <c r="M57" s="123"/>
    </row>
    <row r="58" spans="1:13" hidden="1">
      <c r="A58" s="63" t="str">
        <f>'RAW DATA 2023'!B752</f>
        <v>SR4</v>
      </c>
      <c r="B58" s="63" t="str">
        <f>'RAW DATA 2023'!D752</f>
        <v>G2-058-0006</v>
      </c>
      <c r="C58" s="63" t="str">
        <f t="shared" si="0"/>
        <v>SR4G2-058-0006</v>
      </c>
      <c r="D58" s="68">
        <f>VLOOKUP(C58,'RAW DATA 2023'!E:BP,63,0)</f>
        <v>2</v>
      </c>
      <c r="E58" s="68" t="str">
        <f t="shared" si="1"/>
        <v>SR42</v>
      </c>
      <c r="F58" s="63" t="str">
        <f>VLOOKUP(C58,'RAW DATA 2023'!E:BO,5,0)</f>
        <v>Greenhouse</v>
      </c>
      <c r="G58" s="63" t="s">
        <v>1954</v>
      </c>
      <c r="H58" s="63">
        <f>VLOOKUP(C58,'RAW DATA 2023'!E:BO,2,0)</f>
        <v>2</v>
      </c>
      <c r="I58" s="106">
        <f>VLOOKUP(C58,'RAW DATA 2023'!E:BO,22,0)</f>
        <v>3.2405949999999999</v>
      </c>
      <c r="J58" s="72">
        <f t="shared" si="3"/>
        <v>-0.75940500000000011</v>
      </c>
      <c r="K58" s="109">
        <f t="shared" si="4"/>
        <v>-1.2656750000000003</v>
      </c>
      <c r="L58" s="63">
        <f t="shared" si="2"/>
        <v>0</v>
      </c>
      <c r="M58" s="123"/>
    </row>
    <row r="59" spans="1:13" hidden="1">
      <c r="A59" s="63" t="str">
        <f>'RAW DATA 2023'!B753</f>
        <v>SR4</v>
      </c>
      <c r="B59" s="63" t="str">
        <f>'RAW DATA 2023'!D753</f>
        <v>G2-057-0008</v>
      </c>
      <c r="C59" s="63" t="str">
        <f t="shared" si="0"/>
        <v>SR4G2-057-0008</v>
      </c>
      <c r="D59" s="68">
        <f>VLOOKUP(C59,'RAW DATA 2023'!E:BP,63,0)</f>
        <v>1</v>
      </c>
      <c r="E59" s="68" t="str">
        <f t="shared" si="1"/>
        <v>SR41</v>
      </c>
      <c r="F59" s="63" t="str">
        <f>VLOOKUP(C59,'RAW DATA 2023'!E:BO,5,0)</f>
        <v>Greenhouse</v>
      </c>
      <c r="G59" s="63" t="s">
        <v>1954</v>
      </c>
      <c r="H59" s="63">
        <f>VLOOKUP(C59,'RAW DATA 2023'!E:BO,2,0)</f>
        <v>2</v>
      </c>
      <c r="I59" s="106">
        <f>VLOOKUP(C59,'RAW DATA 2023'!E:BO,22,0)</f>
        <v>1.80392</v>
      </c>
      <c r="J59" s="72">
        <f t="shared" si="3"/>
        <v>-2.1960800000000003</v>
      </c>
      <c r="K59" s="109">
        <f t="shared" si="4"/>
        <v>-3.6601333333333339</v>
      </c>
      <c r="L59" s="63">
        <f t="shared" si="2"/>
        <v>0</v>
      </c>
      <c r="M59" s="123"/>
    </row>
    <row r="60" spans="1:13" hidden="1">
      <c r="A60" s="63" t="str">
        <f>'RAW DATA 2023'!B754</f>
        <v>SR4</v>
      </c>
      <c r="B60" s="63" t="str">
        <f>'RAW DATA 2023'!D754</f>
        <v>G2-057-0009</v>
      </c>
      <c r="C60" s="63" t="str">
        <f t="shared" si="0"/>
        <v>SR4G2-057-0009</v>
      </c>
      <c r="D60" s="68">
        <f>VLOOKUP(C60,'RAW DATA 2023'!E:BP,63,0)</f>
        <v>3</v>
      </c>
      <c r="E60" s="68" t="str">
        <f t="shared" si="1"/>
        <v>SR43</v>
      </c>
      <c r="F60" s="63" t="str">
        <f>VLOOKUP(C60,'RAW DATA 2023'!E:BO,5,0)</f>
        <v>Greenhouse</v>
      </c>
      <c r="G60" s="63" t="s">
        <v>1954</v>
      </c>
      <c r="H60" s="63">
        <f>VLOOKUP(C60,'RAW DATA 2023'!E:BO,2,0)</f>
        <v>2</v>
      </c>
      <c r="I60" s="106">
        <f>VLOOKUP(C60,'RAW DATA 2023'!E:BO,22,0)</f>
        <v>0</v>
      </c>
      <c r="J60" s="72">
        <f t="shared" si="3"/>
        <v>0</v>
      </c>
      <c r="K60" s="109">
        <f t="shared" si="4"/>
        <v>0</v>
      </c>
      <c r="L60" s="63">
        <f t="shared" si="2"/>
        <v>0</v>
      </c>
      <c r="M60" s="123"/>
    </row>
    <row r="61" spans="1:13" hidden="1">
      <c r="A61" s="63" t="str">
        <f>'RAW DATA 2023'!B765</f>
        <v>SR4</v>
      </c>
      <c r="B61" s="63" t="str">
        <f>'RAW DATA 2023'!D765</f>
        <v>B1-067-0009</v>
      </c>
      <c r="C61" s="63" t="str">
        <f t="shared" si="0"/>
        <v>SR4B1-067-0009</v>
      </c>
      <c r="D61" s="68">
        <f>VLOOKUP(C61,'RAW DATA 2023'!E:BP,63,0)</f>
        <v>1</v>
      </c>
      <c r="E61" s="68" t="str">
        <f t="shared" si="1"/>
        <v>SR41</v>
      </c>
      <c r="F61" s="63" t="str">
        <f>VLOOKUP(C61,'RAW DATA 2023'!E:BO,5,0)</f>
        <v>Outdoor</v>
      </c>
      <c r="G61" s="63" t="s">
        <v>67</v>
      </c>
      <c r="H61" s="63">
        <f>VLOOKUP(C61,'RAW DATA 2023'!E:BO,2,0)</f>
        <v>2</v>
      </c>
      <c r="I61" s="106">
        <f>VLOOKUP(C61,'RAW DATA 2023'!E:BO,22,0)</f>
        <v>1.4200299999999999</v>
      </c>
      <c r="J61" s="72">
        <f t="shared" si="3"/>
        <v>-4.5799700000000003</v>
      </c>
      <c r="K61" s="109">
        <f t="shared" si="4"/>
        <v>-7.6332833333333339</v>
      </c>
      <c r="L61" s="63">
        <f t="shared" si="2"/>
        <v>0</v>
      </c>
      <c r="M61" s="123"/>
    </row>
    <row r="62" spans="1:13" hidden="1">
      <c r="A62" s="63" t="str">
        <f>'RAW DATA 2023'!B791</f>
        <v>Kanchanadit</v>
      </c>
      <c r="B62" s="63" t="str">
        <f>'RAW DATA 2023'!D791</f>
        <v>D1-048-0011</v>
      </c>
      <c r="C62" s="63" t="str">
        <f t="shared" si="0"/>
        <v>KanchanaditD1-048-0011</v>
      </c>
      <c r="D62" s="68">
        <f>VLOOKUP(C62,'RAW DATA 2023'!E:BP,63,0)</f>
        <v>1</v>
      </c>
      <c r="E62" s="68" t="str">
        <f t="shared" si="1"/>
        <v>Kanchanadit1</v>
      </c>
      <c r="F62" s="63" t="str">
        <f>VLOOKUP(C62,'RAW DATA 2023'!E:BO,5,0)</f>
        <v>Outdoor</v>
      </c>
      <c r="G62" s="63" t="s">
        <v>1954</v>
      </c>
      <c r="H62" s="63">
        <f>VLOOKUP(C62,'RAW DATA 2023'!E:BO,2,0)</f>
        <v>2</v>
      </c>
      <c r="I62" s="106">
        <f>VLOOKUP(C62,'RAW DATA 2023'!E:BO,22,0)</f>
        <v>4.241625</v>
      </c>
      <c r="J62" s="72">
        <f t="shared" si="3"/>
        <v>-1.758375</v>
      </c>
      <c r="K62" s="109">
        <f t="shared" si="4"/>
        <v>-2.930625</v>
      </c>
      <c r="L62" s="63">
        <f t="shared" si="2"/>
        <v>0</v>
      </c>
      <c r="M62" s="123"/>
    </row>
    <row r="63" spans="1:13" hidden="1">
      <c r="A63" s="63" t="str">
        <f>'RAW DATA 2023'!B40</f>
        <v>Bansang</v>
      </c>
      <c r="B63" s="63" t="str">
        <f>'RAW DATA 2023'!D40</f>
        <v>A1-007-0018</v>
      </c>
      <c r="C63" s="63" t="str">
        <f t="shared" si="0"/>
        <v>BansangA1-007-0018</v>
      </c>
      <c r="D63" s="68">
        <f>VLOOKUP(C63,'RAW DATA 2023'!E:BP,63,0)</f>
        <v>10</v>
      </c>
      <c r="E63" s="68" t="str">
        <f t="shared" si="1"/>
        <v>Bansang10</v>
      </c>
      <c r="F63" s="63" t="str">
        <f>VLOOKUP(C63,'RAW DATA 2023'!E:BO,5,0)</f>
        <v>Outdoor</v>
      </c>
      <c r="G63" s="63" t="s">
        <v>67</v>
      </c>
      <c r="H63" s="63">
        <f>VLOOKUP(C63,'RAW DATA 2023'!E:BO,2,0)</f>
        <v>3.38</v>
      </c>
      <c r="I63" s="106">
        <f>VLOOKUP(C63,'RAW DATA 2023'!E:BO,22,0)</f>
        <v>1.5410828402366863</v>
      </c>
      <c r="J63" s="72">
        <f t="shared" si="3"/>
        <v>-1.4589171597633137</v>
      </c>
      <c r="K63" s="109">
        <f t="shared" si="4"/>
        <v>-2.4315285996055231</v>
      </c>
      <c r="L63" s="63">
        <f t="shared" si="2"/>
        <v>0</v>
      </c>
      <c r="M63" s="123"/>
    </row>
    <row r="64" spans="1:13" hidden="1">
      <c r="A64" s="63" t="str">
        <f>'RAW DATA 2023'!B49</f>
        <v>Petchburi5</v>
      </c>
      <c r="B64" s="63" t="str">
        <f>'RAW DATA 2023'!D49</f>
        <v>B1-115-0008</v>
      </c>
      <c r="C64" s="63" t="str">
        <f t="shared" si="0"/>
        <v>Petchburi5B1-115-0008</v>
      </c>
      <c r="D64" s="68">
        <f>VLOOKUP(C64,'RAW DATA 2023'!E:BP,63,0)</f>
        <v>9</v>
      </c>
      <c r="E64" s="68" t="str">
        <f t="shared" si="1"/>
        <v>Petchburi59</v>
      </c>
      <c r="F64" s="63" t="str">
        <f>VLOOKUP(C64,'RAW DATA 2023'!E:BO,5,0)</f>
        <v>Outdoor</v>
      </c>
      <c r="G64" s="63" t="s">
        <v>67</v>
      </c>
      <c r="H64" s="63">
        <f>VLOOKUP(C64,'RAW DATA 2023'!E:BO,2,0)</f>
        <v>2.0299999999999998</v>
      </c>
      <c r="I64" s="106">
        <f>VLOOKUP(C64,'RAW DATA 2023'!E:BO,22,0)</f>
        <v>18.812399014778325</v>
      </c>
      <c r="J64" s="72">
        <f t="shared" si="3"/>
        <v>15.812399014778325</v>
      </c>
      <c r="K64" s="109">
        <f t="shared" si="4"/>
        <v>26.353998357963878</v>
      </c>
      <c r="L64" s="63">
        <f t="shared" si="2"/>
        <v>6.25</v>
      </c>
      <c r="M64" s="123"/>
    </row>
    <row r="65" spans="1:13" hidden="1">
      <c r="A65" s="63" t="str">
        <f>'RAW DATA 2023'!B50</f>
        <v>Petchburi5</v>
      </c>
      <c r="B65" s="63" t="str">
        <f>'RAW DATA 2023'!D50</f>
        <v>B1-125-0007</v>
      </c>
      <c r="C65" s="63" t="str">
        <f t="shared" si="0"/>
        <v>Petchburi5B1-125-0007</v>
      </c>
      <c r="D65" s="68">
        <f>VLOOKUP(C65,'RAW DATA 2023'!E:BP,63,0)</f>
        <v>2</v>
      </c>
      <c r="E65" s="68" t="str">
        <f t="shared" si="1"/>
        <v>Petchburi52</v>
      </c>
      <c r="F65" s="63" t="str">
        <f>VLOOKUP(C65,'RAW DATA 2023'!E:BO,5,0)</f>
        <v>Outdoor</v>
      </c>
      <c r="G65" s="63" t="s">
        <v>67</v>
      </c>
      <c r="H65" s="63">
        <f>VLOOKUP(C65,'RAW DATA 2023'!E:BO,2,0)</f>
        <v>1.5</v>
      </c>
      <c r="I65" s="106">
        <f>VLOOKUP(C65,'RAW DATA 2023'!E:BO,22,0)</f>
        <v>10.67226</v>
      </c>
      <c r="J65" s="72">
        <f t="shared" si="3"/>
        <v>4.6722599999999996</v>
      </c>
      <c r="K65" s="109">
        <f t="shared" si="4"/>
        <v>7.7870999999999997</v>
      </c>
      <c r="L65" s="63">
        <f t="shared" si="2"/>
        <v>6.25</v>
      </c>
      <c r="M65" s="123"/>
    </row>
    <row r="66" spans="1:13" hidden="1">
      <c r="A66" s="63" t="str">
        <f>'RAW DATA 2023'!B83</f>
        <v>Petchburi5</v>
      </c>
      <c r="B66" s="63" t="str">
        <f>'RAW DATA 2023'!D83</f>
        <v>A1-033-0008</v>
      </c>
      <c r="C66" s="63" t="str">
        <f t="shared" si="0"/>
        <v>Petchburi5A1-033-0008</v>
      </c>
      <c r="D66" s="68">
        <f>VLOOKUP(C66,'RAW DATA 2023'!E:BP,63,0)</f>
        <v>3</v>
      </c>
      <c r="E66" s="68" t="str">
        <f t="shared" si="1"/>
        <v>Petchburi53</v>
      </c>
      <c r="F66" s="63" t="str">
        <f>VLOOKUP(C66,'RAW DATA 2023'!E:BO,5,0)</f>
        <v>Outdoor</v>
      </c>
      <c r="G66" s="63" t="s">
        <v>67</v>
      </c>
      <c r="H66" s="63">
        <f>VLOOKUP(C66,'RAW DATA 2023'!E:BO,2,0)</f>
        <v>1.5</v>
      </c>
      <c r="I66" s="106">
        <f>VLOOKUP(C66,'RAW DATA 2023'!E:BO,22,0)</f>
        <v>17.575926666666664</v>
      </c>
      <c r="J66" s="72">
        <f t="shared" si="3"/>
        <v>11.575926666666664</v>
      </c>
      <c r="K66" s="109">
        <f t="shared" si="4"/>
        <v>19.293211111111109</v>
      </c>
      <c r="L66" s="63">
        <f t="shared" si="2"/>
        <v>6.25</v>
      </c>
      <c r="M66" s="123"/>
    </row>
    <row r="67" spans="1:13" hidden="1">
      <c r="A67" s="63" t="str">
        <f>'RAW DATA 2023'!B86</f>
        <v>Petchburi5</v>
      </c>
      <c r="B67" s="63" t="str">
        <f>'RAW DATA 2023'!D86</f>
        <v>A1-035-0006</v>
      </c>
      <c r="C67" s="63" t="str">
        <f t="shared" si="0"/>
        <v>Petchburi5A1-035-0006</v>
      </c>
      <c r="D67" s="68">
        <f>VLOOKUP(C67,'RAW DATA 2023'!E:BP,63,0)</f>
        <v>4</v>
      </c>
      <c r="E67" s="68" t="str">
        <f t="shared" si="1"/>
        <v>Petchburi54</v>
      </c>
      <c r="F67" s="63" t="str">
        <f>VLOOKUP(C67,'RAW DATA 2023'!E:BO,5,0)</f>
        <v>Outdoor</v>
      </c>
      <c r="G67" s="63" t="s">
        <v>1954</v>
      </c>
      <c r="H67" s="63">
        <f>VLOOKUP(C67,'RAW DATA 2023'!E:BO,2,0)</f>
        <v>1.5</v>
      </c>
      <c r="I67" s="106">
        <f>VLOOKUP(C67,'RAW DATA 2023'!E:BO,22,0)</f>
        <v>10.178833333333333</v>
      </c>
      <c r="J67" s="72">
        <f t="shared" si="3"/>
        <v>4.1788333333333334</v>
      </c>
      <c r="K67" s="109">
        <f t="shared" si="4"/>
        <v>6.9647222222222229</v>
      </c>
      <c r="L67" s="63">
        <f t="shared" si="2"/>
        <v>6.25</v>
      </c>
      <c r="M67" s="123"/>
    </row>
    <row r="68" spans="1:13" hidden="1">
      <c r="A68" s="63" t="str">
        <f>'RAW DATA 2023'!B98</f>
        <v>Roiphet1</v>
      </c>
      <c r="B68" s="63" t="str">
        <f>'RAW DATA 2023'!D98</f>
        <v>A5-I10-0095</v>
      </c>
      <c r="C68" s="63" t="str">
        <f t="shared" si="0"/>
        <v>Roiphet1A5-I10-0095</v>
      </c>
      <c r="D68" s="68">
        <f>VLOOKUP(C68,'RAW DATA 2023'!E:BP,63,0)</f>
        <v>10</v>
      </c>
      <c r="E68" s="68" t="str">
        <f t="shared" si="1"/>
        <v>Roiphet110</v>
      </c>
      <c r="F68" s="63" t="str">
        <f>VLOOKUP(C68,'RAW DATA 2023'!E:BO,5,0)</f>
        <v>Greenhouse</v>
      </c>
      <c r="G68" s="63" t="s">
        <v>1954</v>
      </c>
      <c r="H68" s="63">
        <f>VLOOKUP(C68,'RAW DATA 2023'!E:BO,2,0)</f>
        <v>0.72</v>
      </c>
      <c r="I68" s="106">
        <f>VLOOKUP(C68,'RAW DATA 2023'!E:BO,22,0)</f>
        <v>4.4443055555555553</v>
      </c>
      <c r="J68" s="72">
        <f t="shared" si="3"/>
        <v>0.44430555555555529</v>
      </c>
      <c r="K68" s="109">
        <f t="shared" si="4"/>
        <v>0.74050925925925881</v>
      </c>
      <c r="L68" s="63">
        <f t="shared" si="2"/>
        <v>0.74050925925925881</v>
      </c>
      <c r="M68" s="123"/>
    </row>
    <row r="69" spans="1:13" hidden="1">
      <c r="A69" s="63" t="str">
        <f>'RAW DATA 2023'!B100</f>
        <v>Roiphet1</v>
      </c>
      <c r="B69" s="63" t="str">
        <f>'RAW DATA 2023'!D100</f>
        <v>A6-I11-0102</v>
      </c>
      <c r="C69" s="63" t="str">
        <f t="shared" si="0"/>
        <v>Roiphet1A6-I11-0102</v>
      </c>
      <c r="D69" s="68">
        <f>VLOOKUP(C69,'RAW DATA 2023'!E:BP,63,0)</f>
        <v>10</v>
      </c>
      <c r="E69" s="68" t="str">
        <f t="shared" si="1"/>
        <v>Roiphet110</v>
      </c>
      <c r="F69" s="63" t="str">
        <f>VLOOKUP(C69,'RAW DATA 2023'!E:BO,5,0)</f>
        <v>Greenhouse</v>
      </c>
      <c r="G69" s="63" t="s">
        <v>1954</v>
      </c>
      <c r="H69" s="63">
        <f>VLOOKUP(C69,'RAW DATA 2023'!E:BO,2,0)</f>
        <v>0.72</v>
      </c>
      <c r="I69" s="106">
        <f>VLOOKUP(C69,'RAW DATA 2023'!E:BO,22,0)</f>
        <v>3.9314166666666663</v>
      </c>
      <c r="J69" s="72">
        <f t="shared" si="3"/>
        <v>-6.8583333333333663E-2</v>
      </c>
      <c r="K69" s="109">
        <f t="shared" si="4"/>
        <v>-0.1143055555555561</v>
      </c>
      <c r="L69" s="63">
        <f t="shared" si="2"/>
        <v>0</v>
      </c>
      <c r="M69" s="123"/>
    </row>
    <row r="70" spans="1:13" hidden="1">
      <c r="A70" s="63" t="str">
        <f>'RAW DATA 2023'!B103</f>
        <v>Roiphet1</v>
      </c>
      <c r="B70" s="63" t="str">
        <f>'RAW DATA 2023'!D103</f>
        <v>A4-I07-0095</v>
      </c>
      <c r="C70" s="63" t="str">
        <f t="shared" si="0"/>
        <v>Roiphet1A4-I07-0095</v>
      </c>
      <c r="D70" s="68">
        <f>VLOOKUP(C70,'RAW DATA 2023'!E:BP,63,0)</f>
        <v>10</v>
      </c>
      <c r="E70" s="68" t="str">
        <f t="shared" si="1"/>
        <v>Roiphet110</v>
      </c>
      <c r="F70" s="63" t="str">
        <f>VLOOKUP(C70,'RAW DATA 2023'!E:BO,5,0)</f>
        <v>Greenhouse</v>
      </c>
      <c r="G70" s="63" t="s">
        <v>1954</v>
      </c>
      <c r="H70" s="63">
        <f>VLOOKUP(C70,'RAW DATA 2023'!E:BO,2,0)</f>
        <v>0.72</v>
      </c>
      <c r="I70" s="106">
        <f>VLOOKUP(C70,'RAW DATA 2023'!E:BO,22,0)</f>
        <v>5.4604722222222222</v>
      </c>
      <c r="J70" s="72">
        <f t="shared" si="3"/>
        <v>1.4604722222222222</v>
      </c>
      <c r="K70" s="109">
        <f t="shared" si="4"/>
        <v>2.4341203703703704</v>
      </c>
      <c r="L70" s="63">
        <f t="shared" si="2"/>
        <v>2.4341203703703704</v>
      </c>
      <c r="M70" s="123"/>
    </row>
    <row r="71" spans="1:13" hidden="1">
      <c r="A71" s="63" t="str">
        <f>'RAW DATA 2023'!B108</f>
        <v>Roiphet1</v>
      </c>
      <c r="B71" s="63" t="str">
        <f>'RAW DATA 2023'!D108</f>
        <v>D6-G12-0079</v>
      </c>
      <c r="C71" s="63" t="str">
        <f t="shared" si="0"/>
        <v>Roiphet1D6-G12-0079</v>
      </c>
      <c r="D71" s="68">
        <f>VLOOKUP(C71,'RAW DATA 2023'!E:BP,63,0)</f>
        <v>6</v>
      </c>
      <c r="E71" s="68" t="str">
        <f t="shared" si="1"/>
        <v>Roiphet16</v>
      </c>
      <c r="F71" s="63" t="str">
        <f>VLOOKUP(C71,'RAW DATA 2023'!E:BO,5,0)</f>
        <v>Greenhouse</v>
      </c>
      <c r="G71" s="63" t="s">
        <v>1954</v>
      </c>
      <c r="H71" s="63">
        <f>VLOOKUP(C71,'RAW DATA 2023'!E:BO,2,0)</f>
        <v>1.1299999999999999</v>
      </c>
      <c r="I71" s="106">
        <f>VLOOKUP(C71,'RAW DATA 2023'!E:BO,22,0)</f>
        <v>5.8067964601769919</v>
      </c>
      <c r="J71" s="72">
        <f t="shared" si="3"/>
        <v>1.8067964601769919</v>
      </c>
      <c r="K71" s="109">
        <f t="shared" si="4"/>
        <v>3.01132743362832</v>
      </c>
      <c r="L71" s="63">
        <f t="shared" si="2"/>
        <v>3.01132743362832</v>
      </c>
      <c r="M71" s="123"/>
    </row>
    <row r="72" spans="1:13" hidden="1">
      <c r="A72" s="63" t="str">
        <f>'RAW DATA 2023'!B129</f>
        <v>Roiphet1</v>
      </c>
      <c r="B72" s="63" t="str">
        <f>'RAW DATA 2023'!D129</f>
        <v>D3-I05-0094</v>
      </c>
      <c r="C72" s="63" t="str">
        <f t="shared" si="0"/>
        <v>Roiphet1D3-I05-0094</v>
      </c>
      <c r="D72" s="68">
        <f>VLOOKUP(C72,'RAW DATA 2023'!E:BP,63,0)</f>
        <v>4</v>
      </c>
      <c r="E72" s="68" t="str">
        <f t="shared" si="1"/>
        <v>Roiphet14</v>
      </c>
      <c r="F72" s="63" t="str">
        <f>VLOOKUP(C72,'RAW DATA 2023'!E:BO,5,0)</f>
        <v>Greenhouse</v>
      </c>
      <c r="G72" s="63" t="s">
        <v>1954</v>
      </c>
      <c r="H72" s="63">
        <f>VLOOKUP(C72,'RAW DATA 2023'!E:BO,2,0)</f>
        <v>0.72</v>
      </c>
      <c r="I72" s="106">
        <f>VLOOKUP(C72,'RAW DATA 2023'!E:BO,22,0)</f>
        <v>6.4069722222222234</v>
      </c>
      <c r="J72" s="72">
        <f t="shared" si="3"/>
        <v>2.4069722222222234</v>
      </c>
      <c r="K72" s="109">
        <f t="shared" si="4"/>
        <v>4.0116203703703723</v>
      </c>
      <c r="L72" s="63">
        <f t="shared" si="2"/>
        <v>4.0116203703703723</v>
      </c>
      <c r="M72" s="123"/>
    </row>
    <row r="73" spans="1:13" hidden="1">
      <c r="A73" s="63" t="str">
        <f>'RAW DATA 2023'!B133</f>
        <v>Roiphet1</v>
      </c>
      <c r="B73" s="63" t="str">
        <f>'RAW DATA 2023'!D133</f>
        <v>D1-G01-0076</v>
      </c>
      <c r="C73" s="63" t="str">
        <f t="shared" si="0"/>
        <v>Roiphet1D1-G01-0076</v>
      </c>
      <c r="D73" s="68">
        <f>VLOOKUP(C73,'RAW DATA 2023'!E:BP,63,0)</f>
        <v>2</v>
      </c>
      <c r="E73" s="68" t="str">
        <f t="shared" si="1"/>
        <v>Roiphet12</v>
      </c>
      <c r="F73" s="63" t="str">
        <f>VLOOKUP(C73,'RAW DATA 2023'!E:BO,5,0)</f>
        <v>Greenhouse</v>
      </c>
      <c r="G73" s="63" t="s">
        <v>1954</v>
      </c>
      <c r="H73" s="63">
        <f>VLOOKUP(C73,'RAW DATA 2023'!E:BO,2,0)</f>
        <v>1.1299999999999999</v>
      </c>
      <c r="I73" s="106">
        <f>VLOOKUP(C73,'RAW DATA 2023'!E:BO,22,0)</f>
        <v>9.3965486725663734</v>
      </c>
      <c r="J73" s="72">
        <f t="shared" si="3"/>
        <v>5.3965486725663734</v>
      </c>
      <c r="K73" s="109">
        <f t="shared" si="4"/>
        <v>8.9942477876106235</v>
      </c>
      <c r="L73" s="63">
        <f t="shared" si="2"/>
        <v>6.25</v>
      </c>
      <c r="M73" s="123"/>
    </row>
    <row r="74" spans="1:13" hidden="1">
      <c r="A74" s="63" t="str">
        <f>'RAW DATA 2023'!B135</f>
        <v>Roiphet1</v>
      </c>
      <c r="B74" s="63" t="str">
        <f>'RAW DATA 2023'!D135</f>
        <v>D4-I07-0075</v>
      </c>
      <c r="C74" s="63" t="str">
        <f t="shared" ref="C74:C137" si="5">A74&amp;B74</f>
        <v>Roiphet1D4-I07-0075</v>
      </c>
      <c r="D74" s="68">
        <f>VLOOKUP(C74,'RAW DATA 2023'!E:BP,63,0)</f>
        <v>1</v>
      </c>
      <c r="E74" s="68" t="str">
        <f t="shared" ref="E74:E137" si="6">A74&amp;D74</f>
        <v>Roiphet11</v>
      </c>
      <c r="F74" s="63" t="str">
        <f>VLOOKUP(C74,'RAW DATA 2023'!E:BO,5,0)</f>
        <v>Greenhouse</v>
      </c>
      <c r="G74" s="63" t="s">
        <v>1954</v>
      </c>
      <c r="H74" s="63">
        <f>VLOOKUP(C74,'RAW DATA 2023'!E:BO,2,0)</f>
        <v>0.72</v>
      </c>
      <c r="I74" s="106">
        <f>VLOOKUP(C74,'RAW DATA 2023'!E:BO,22,0)</f>
        <v>5.3092916666666667</v>
      </c>
      <c r="J74" s="72">
        <f t="shared" ref="J74:J137" si="7">IF(I74=0,0,IF(F74=$B$2,I74-$B$6,IF(F74=$C$1,I74-$C$6,IF(AND(F74=$C$2,H74&lt;=$C$3),I74-$C$6,IF(AND(F74=$C$2,H74&lt;=$E$3),I74-$D$6,I74-$E$6)))))</f>
        <v>1.3092916666666667</v>
      </c>
      <c r="K74" s="109">
        <f t="shared" ref="K74:K137" si="8">IF(F74=$B$2,J74*$B$7,IF(AND(F74=$C$2,H74&lt;=$C$3),J74*$C$7,IF(AND(F74=$C$2,H74&lt;=$E$3),J74*$D$7,J74*$E$7)))</f>
        <v>2.1821527777777781</v>
      </c>
      <c r="L74" s="63">
        <f t="shared" ref="L74:L137" si="9">IF(K74&gt;=6.25,6.25,IF(K74&lt;=0,0,K74))</f>
        <v>2.1821527777777781</v>
      </c>
      <c r="M74" s="123"/>
    </row>
    <row r="75" spans="1:13" hidden="1">
      <c r="A75" s="63" t="str">
        <f>'RAW DATA 2023'!B136</f>
        <v>Roiphet1</v>
      </c>
      <c r="B75" s="63" t="str">
        <f>'RAW DATA 2023'!D136</f>
        <v>D4-G08-0058</v>
      </c>
      <c r="C75" s="63" t="str">
        <f t="shared" si="5"/>
        <v>Roiphet1D4-G08-0058</v>
      </c>
      <c r="D75" s="68">
        <f>VLOOKUP(C75,'RAW DATA 2023'!E:BP,63,0)</f>
        <v>1</v>
      </c>
      <c r="E75" s="68" t="str">
        <f t="shared" si="6"/>
        <v>Roiphet11</v>
      </c>
      <c r="F75" s="63" t="str">
        <f>VLOOKUP(C75,'RAW DATA 2023'!E:BO,5,0)</f>
        <v>Greenhouse</v>
      </c>
      <c r="G75" s="63" t="s">
        <v>1954</v>
      </c>
      <c r="H75" s="63">
        <f>VLOOKUP(C75,'RAW DATA 2023'!E:BO,2,0)</f>
        <v>1.1299999999999999</v>
      </c>
      <c r="I75" s="106">
        <f>VLOOKUP(C75,'RAW DATA 2023'!E:BO,22,0)</f>
        <v>6.8455044247787624</v>
      </c>
      <c r="J75" s="72">
        <f t="shared" si="7"/>
        <v>2.8455044247787624</v>
      </c>
      <c r="K75" s="109">
        <f t="shared" si="8"/>
        <v>4.7425073746312707</v>
      </c>
      <c r="L75" s="63">
        <f t="shared" si="9"/>
        <v>4.7425073746312707</v>
      </c>
      <c r="M75" s="123"/>
    </row>
    <row r="76" spans="1:13" hidden="1">
      <c r="A76" s="63" t="str">
        <f>'RAW DATA 2023'!B137</f>
        <v>Roiphet1</v>
      </c>
      <c r="B76" s="63" t="str">
        <f>'RAW DATA 2023'!D137</f>
        <v>D1-G02-0079</v>
      </c>
      <c r="C76" s="63" t="str">
        <f t="shared" si="5"/>
        <v>Roiphet1D1-G02-0079</v>
      </c>
      <c r="D76" s="68">
        <f>VLOOKUP(C76,'RAW DATA 2023'!E:BP,63,0)</f>
        <v>6</v>
      </c>
      <c r="E76" s="68" t="str">
        <f t="shared" si="6"/>
        <v>Roiphet16</v>
      </c>
      <c r="F76" s="63" t="str">
        <f>VLOOKUP(C76,'RAW DATA 2023'!E:BO,5,0)</f>
        <v>Greenhouse</v>
      </c>
      <c r="G76" s="63" t="s">
        <v>1954</v>
      </c>
      <c r="H76" s="63">
        <f>VLOOKUP(C76,'RAW DATA 2023'!E:BO,2,0)</f>
        <v>1.1299999999999999</v>
      </c>
      <c r="I76" s="106">
        <f>VLOOKUP(C76,'RAW DATA 2023'!E:BO,22,0)</f>
        <v>7.0125663716814168</v>
      </c>
      <c r="J76" s="72">
        <f t="shared" si="7"/>
        <v>3.0125663716814168</v>
      </c>
      <c r="K76" s="109">
        <f t="shared" si="8"/>
        <v>5.0209439528023614</v>
      </c>
      <c r="L76" s="63">
        <f t="shared" si="9"/>
        <v>5.0209439528023614</v>
      </c>
      <c r="M76" s="123"/>
    </row>
    <row r="77" spans="1:13" hidden="1">
      <c r="A77" s="63" t="str">
        <f>'RAW DATA 2023'!B144</f>
        <v>Roiphet1</v>
      </c>
      <c r="B77" s="63" t="str">
        <f>'RAW DATA 2023'!D144</f>
        <v>A1-G02-0075</v>
      </c>
      <c r="C77" s="63" t="str">
        <f t="shared" si="5"/>
        <v>Roiphet1A1-G02-0075</v>
      </c>
      <c r="D77" s="68">
        <f>VLOOKUP(C77,'RAW DATA 2023'!E:BP,63,0)</f>
        <v>9</v>
      </c>
      <c r="E77" s="68" t="str">
        <f t="shared" si="6"/>
        <v>Roiphet19</v>
      </c>
      <c r="F77" s="63" t="str">
        <f>VLOOKUP(C77,'RAW DATA 2023'!E:BO,5,0)</f>
        <v>Greenhouse</v>
      </c>
      <c r="G77" s="63" t="s">
        <v>1954</v>
      </c>
      <c r="H77" s="63">
        <f>VLOOKUP(C77,'RAW DATA 2023'!E:BO,2,0)</f>
        <v>1.1299999999999999</v>
      </c>
      <c r="I77" s="106">
        <f>VLOOKUP(C77,'RAW DATA 2023'!E:BO,22,0)</f>
        <v>6.3674247787610616</v>
      </c>
      <c r="J77" s="72">
        <f t="shared" si="7"/>
        <v>2.3674247787610616</v>
      </c>
      <c r="K77" s="109">
        <f t="shared" si="8"/>
        <v>3.9457079646017696</v>
      </c>
      <c r="L77" s="63">
        <f t="shared" si="9"/>
        <v>3.9457079646017696</v>
      </c>
      <c r="M77" s="123"/>
    </row>
    <row r="78" spans="1:13" hidden="1">
      <c r="A78" s="63" t="str">
        <f>'RAW DATA 2023'!B145</f>
        <v>Roiphet1</v>
      </c>
      <c r="B78" s="63" t="str">
        <f>'RAW DATA 2023'!D145</f>
        <v>A1-I01-0089</v>
      </c>
      <c r="C78" s="63" t="str">
        <f t="shared" si="5"/>
        <v>Roiphet1A1-I01-0089</v>
      </c>
      <c r="D78" s="68">
        <f>VLOOKUP(C78,'RAW DATA 2023'!E:BP,63,0)</f>
        <v>9</v>
      </c>
      <c r="E78" s="68" t="str">
        <f t="shared" si="6"/>
        <v>Roiphet19</v>
      </c>
      <c r="F78" s="63" t="str">
        <f>VLOOKUP(C78,'RAW DATA 2023'!E:BO,5,0)</f>
        <v>Greenhouse</v>
      </c>
      <c r="G78" s="63" t="s">
        <v>1954</v>
      </c>
      <c r="H78" s="63">
        <f>VLOOKUP(C78,'RAW DATA 2023'!E:BO,2,0)</f>
        <v>0.72</v>
      </c>
      <c r="I78" s="106">
        <f>VLOOKUP(C78,'RAW DATA 2023'!E:BO,22,0)</f>
        <v>4.473958333333333</v>
      </c>
      <c r="J78" s="72">
        <f t="shared" si="7"/>
        <v>0.47395833333333304</v>
      </c>
      <c r="K78" s="109">
        <f t="shared" si="8"/>
        <v>0.78993055555555514</v>
      </c>
      <c r="L78" s="63">
        <f t="shared" si="9"/>
        <v>0.78993055555555514</v>
      </c>
      <c r="M78" s="123"/>
    </row>
    <row r="79" spans="1:13" hidden="1">
      <c r="A79" s="63" t="str">
        <f>'RAW DATA 2023'!B146</f>
        <v>Roiphet1</v>
      </c>
      <c r="B79" s="63" t="str">
        <f>'RAW DATA 2023'!D146</f>
        <v>A1-G01-0063</v>
      </c>
      <c r="C79" s="63" t="str">
        <f t="shared" si="5"/>
        <v>Roiphet1A1-G01-0063</v>
      </c>
      <c r="D79" s="68">
        <f>VLOOKUP(C79,'RAW DATA 2023'!E:BP,63,0)</f>
        <v>6</v>
      </c>
      <c r="E79" s="68" t="str">
        <f t="shared" si="6"/>
        <v>Roiphet16</v>
      </c>
      <c r="F79" s="63" t="str">
        <f>VLOOKUP(C79,'RAW DATA 2023'!E:BO,5,0)</f>
        <v>Greenhouse</v>
      </c>
      <c r="G79" s="63" t="s">
        <v>1954</v>
      </c>
      <c r="H79" s="63">
        <f>VLOOKUP(C79,'RAW DATA 2023'!E:BO,2,0)</f>
        <v>1.1299999999999999</v>
      </c>
      <c r="I79" s="106">
        <f>VLOOKUP(C79,'RAW DATA 2023'!E:BO,22,0)</f>
        <v>5.8968053097345141</v>
      </c>
      <c r="J79" s="72">
        <f t="shared" si="7"/>
        <v>1.8968053097345141</v>
      </c>
      <c r="K79" s="109">
        <f t="shared" si="8"/>
        <v>3.161342182890857</v>
      </c>
      <c r="L79" s="63">
        <f t="shared" si="9"/>
        <v>3.161342182890857</v>
      </c>
      <c r="M79" s="123"/>
    </row>
    <row r="80" spans="1:13" hidden="1">
      <c r="A80" s="63" t="str">
        <f>'RAW DATA 2023'!B147</f>
        <v>Roiphet1</v>
      </c>
      <c r="B80" s="63" t="str">
        <f>'RAW DATA 2023'!D147</f>
        <v>A1-I01-0087</v>
      </c>
      <c r="C80" s="63" t="str">
        <f t="shared" si="5"/>
        <v>Roiphet1A1-I01-0087</v>
      </c>
      <c r="D80" s="68">
        <f>VLOOKUP(C80,'RAW DATA 2023'!E:BP,63,0)</f>
        <v>1</v>
      </c>
      <c r="E80" s="68" t="str">
        <f t="shared" si="6"/>
        <v>Roiphet11</v>
      </c>
      <c r="F80" s="63" t="str">
        <f>VLOOKUP(C80,'RAW DATA 2023'!E:BO,5,0)</f>
        <v>Greenhouse</v>
      </c>
      <c r="G80" s="63" t="s">
        <v>1955</v>
      </c>
      <c r="H80" s="63">
        <f>VLOOKUP(C80,'RAW DATA 2023'!E:BO,2,0)</f>
        <v>0.72</v>
      </c>
      <c r="I80" s="106">
        <f>VLOOKUP(C80,'RAW DATA 2023'!E:BO,22,0)</f>
        <v>4.4229722222222225</v>
      </c>
      <c r="J80" s="72">
        <f t="shared" si="7"/>
        <v>0.42297222222222253</v>
      </c>
      <c r="K80" s="109">
        <f t="shared" si="8"/>
        <v>0.70495370370370425</v>
      </c>
      <c r="L80" s="63">
        <f t="shared" si="9"/>
        <v>0.70495370370370425</v>
      </c>
      <c r="M80" s="123"/>
    </row>
    <row r="81" spans="1:13" hidden="1">
      <c r="A81" s="63" t="str">
        <f>'RAW DATA 2023'!B152</f>
        <v>Roiphet1</v>
      </c>
      <c r="B81" s="63" t="str">
        <f>'RAW DATA 2023'!D152</f>
        <v>A2-I03-0094</v>
      </c>
      <c r="C81" s="63" t="str">
        <f t="shared" si="5"/>
        <v>Roiphet1A2-I03-0094</v>
      </c>
      <c r="D81" s="68">
        <f>VLOOKUP(C81,'RAW DATA 2023'!E:BP,63,0)</f>
        <v>4</v>
      </c>
      <c r="E81" s="68" t="str">
        <f t="shared" si="6"/>
        <v>Roiphet14</v>
      </c>
      <c r="F81" s="63" t="str">
        <f>VLOOKUP(C81,'RAW DATA 2023'!E:BO,5,0)</f>
        <v>Greenhouse</v>
      </c>
      <c r="G81" s="63" t="s">
        <v>1954</v>
      </c>
      <c r="H81" s="63">
        <f>VLOOKUP(C81,'RAW DATA 2023'!E:BO,2,0)</f>
        <v>0.72</v>
      </c>
      <c r="I81" s="106">
        <f>VLOOKUP(C81,'RAW DATA 2023'!E:BO,22,0)</f>
        <v>6.6172222222222219</v>
      </c>
      <c r="J81" s="72">
        <f t="shared" si="7"/>
        <v>2.6172222222222219</v>
      </c>
      <c r="K81" s="109">
        <f t="shared" si="8"/>
        <v>4.3620370370370365</v>
      </c>
      <c r="L81" s="63">
        <f t="shared" si="9"/>
        <v>4.3620370370370365</v>
      </c>
      <c r="M81" s="123"/>
    </row>
    <row r="82" spans="1:13" hidden="1">
      <c r="A82" s="63" t="str">
        <f>'RAW DATA 2023'!B166</f>
        <v>Roiphet1</v>
      </c>
      <c r="B82" s="63" t="str">
        <f>'RAW DATA 2023'!D166</f>
        <v>A4-I08-0100</v>
      </c>
      <c r="C82" s="63" t="str">
        <f t="shared" si="5"/>
        <v>Roiphet1A4-I08-0100</v>
      </c>
      <c r="D82" s="68">
        <f>VLOOKUP(C82,'RAW DATA 2023'!E:BP,63,0)</f>
        <v>9</v>
      </c>
      <c r="E82" s="68" t="str">
        <f t="shared" si="6"/>
        <v>Roiphet19</v>
      </c>
      <c r="F82" s="63" t="str">
        <f>VLOOKUP(C82,'RAW DATA 2023'!E:BO,5,0)</f>
        <v>Greenhouse</v>
      </c>
      <c r="G82" s="63" t="s">
        <v>1954</v>
      </c>
      <c r="H82" s="63">
        <f>VLOOKUP(C82,'RAW DATA 2023'!E:BO,2,0)</f>
        <v>0.72</v>
      </c>
      <c r="I82" s="106">
        <f>VLOOKUP(C82,'RAW DATA 2023'!E:BO,22,0)</f>
        <v>3.8858194444444445</v>
      </c>
      <c r="J82" s="72">
        <f t="shared" si="7"/>
        <v>-0.11418055555555551</v>
      </c>
      <c r="K82" s="109">
        <f t="shared" si="8"/>
        <v>-0.19030092592592585</v>
      </c>
      <c r="L82" s="63">
        <f t="shared" si="9"/>
        <v>0</v>
      </c>
      <c r="M82" s="123"/>
    </row>
    <row r="83" spans="1:13" hidden="1">
      <c r="A83" s="63" t="str">
        <f>'RAW DATA 2023'!B227</f>
        <v>Roiphet1</v>
      </c>
      <c r="B83" s="63" t="str">
        <f>'RAW DATA 2023'!D227</f>
        <v>D3-G05-0081</v>
      </c>
      <c r="C83" s="63" t="str">
        <f t="shared" si="5"/>
        <v>Roiphet1D3-G05-0081</v>
      </c>
      <c r="D83" s="68">
        <f>VLOOKUP(C83,'RAW DATA 2023'!E:BP,63,0)</f>
        <v>10</v>
      </c>
      <c r="E83" s="68" t="str">
        <f t="shared" si="6"/>
        <v>Roiphet110</v>
      </c>
      <c r="F83" s="63" t="str">
        <f>VLOOKUP(C83,'RAW DATA 2023'!E:BO,5,0)</f>
        <v>Greenhouse</v>
      </c>
      <c r="G83" s="63" t="s">
        <v>1955</v>
      </c>
      <c r="H83" s="63">
        <f>VLOOKUP(C83,'RAW DATA 2023'!E:BO,2,0)</f>
        <v>1.1299999999999999</v>
      </c>
      <c r="I83" s="106">
        <f>VLOOKUP(C83,'RAW DATA 2023'!E:BO,22,0)</f>
        <v>7.6966814159292047</v>
      </c>
      <c r="J83" s="72">
        <f t="shared" si="7"/>
        <v>3.6966814159292047</v>
      </c>
      <c r="K83" s="109">
        <f t="shared" si="8"/>
        <v>6.1611356932153418</v>
      </c>
      <c r="L83" s="63">
        <f t="shared" si="9"/>
        <v>6.1611356932153418</v>
      </c>
      <c r="M83" s="123"/>
    </row>
    <row r="84" spans="1:13" hidden="1">
      <c r="A84" s="63" t="str">
        <f>'RAW DATA 2023'!B232</f>
        <v>Roiphet1</v>
      </c>
      <c r="B84" s="63" t="str">
        <f>'RAW DATA 2023'!D232</f>
        <v>C1-G01-0072</v>
      </c>
      <c r="C84" s="63" t="str">
        <f t="shared" si="5"/>
        <v>Roiphet1C1-G01-0072</v>
      </c>
      <c r="D84" s="68">
        <f>VLOOKUP(C84,'RAW DATA 2023'!E:BP,63,0)</f>
        <v>5</v>
      </c>
      <c r="E84" s="68" t="str">
        <f t="shared" si="6"/>
        <v>Roiphet15</v>
      </c>
      <c r="F84" s="63" t="str">
        <f>VLOOKUP(C84,'RAW DATA 2023'!E:BO,5,0)</f>
        <v>Greenhouse</v>
      </c>
      <c r="G84" s="63" t="s">
        <v>1955</v>
      </c>
      <c r="H84" s="63">
        <f>VLOOKUP(C84,'RAW DATA 2023'!E:BO,2,0)</f>
        <v>1.1299999999999999</v>
      </c>
      <c r="I84" s="106">
        <f>VLOOKUP(C84,'RAW DATA 2023'!E:BO,22,0)</f>
        <v>6.3897610619469036</v>
      </c>
      <c r="J84" s="72">
        <f t="shared" si="7"/>
        <v>2.3897610619469036</v>
      </c>
      <c r="K84" s="109">
        <f t="shared" si="8"/>
        <v>3.9829351032448397</v>
      </c>
      <c r="L84" s="63">
        <f t="shared" si="9"/>
        <v>3.9829351032448397</v>
      </c>
      <c r="M84" s="123"/>
    </row>
    <row r="85" spans="1:13" hidden="1">
      <c r="A85" s="63" t="str">
        <f>'RAW DATA 2023'!B233</f>
        <v>Roiphet1</v>
      </c>
      <c r="B85" s="63" t="str">
        <f>'RAW DATA 2023'!D233</f>
        <v>C6-G12-0059</v>
      </c>
      <c r="C85" s="63" t="str">
        <f t="shared" si="5"/>
        <v>Roiphet1C6-G12-0059</v>
      </c>
      <c r="D85" s="68">
        <f>VLOOKUP(C85,'RAW DATA 2023'!E:BP,63,0)</f>
        <v>3</v>
      </c>
      <c r="E85" s="68" t="str">
        <f t="shared" si="6"/>
        <v>Roiphet13</v>
      </c>
      <c r="F85" s="63" t="str">
        <f>VLOOKUP(C85,'RAW DATA 2023'!E:BO,5,0)</f>
        <v>Greenhouse</v>
      </c>
      <c r="G85" s="63" t="s">
        <v>1955</v>
      </c>
      <c r="H85" s="63">
        <f>VLOOKUP(C85,'RAW DATA 2023'!E:BO,2,0)</f>
        <v>1.1299999999999999</v>
      </c>
      <c r="I85" s="106">
        <f>VLOOKUP(C85,'RAW DATA 2023'!E:BO,22,0)</f>
        <v>9.9567787610619476</v>
      </c>
      <c r="J85" s="72">
        <f t="shared" si="7"/>
        <v>5.9567787610619476</v>
      </c>
      <c r="K85" s="109">
        <f t="shared" si="8"/>
        <v>9.9279646017699132</v>
      </c>
      <c r="L85" s="63">
        <f t="shared" si="9"/>
        <v>6.25</v>
      </c>
      <c r="M85" s="123"/>
    </row>
    <row r="86" spans="1:13" hidden="1">
      <c r="A86" s="63" t="str">
        <f>'RAW DATA 2023'!B234</f>
        <v>Roiphet1</v>
      </c>
      <c r="B86" s="63" t="str">
        <f>'RAW DATA 2023'!D234</f>
        <v>C1-I02-0071</v>
      </c>
      <c r="C86" s="63" t="str">
        <f t="shared" si="5"/>
        <v>Roiphet1C1-I02-0071</v>
      </c>
      <c r="D86" s="68">
        <f>VLOOKUP(C86,'RAW DATA 2023'!E:BP,63,0)</f>
        <v>5</v>
      </c>
      <c r="E86" s="68" t="str">
        <f t="shared" si="6"/>
        <v>Roiphet15</v>
      </c>
      <c r="F86" s="63" t="str">
        <f>VLOOKUP(C86,'RAW DATA 2023'!E:BO,5,0)</f>
        <v>Greenhouse</v>
      </c>
      <c r="G86" s="63" t="s">
        <v>1954</v>
      </c>
      <c r="H86" s="63">
        <f>VLOOKUP(C86,'RAW DATA 2023'!E:BO,2,0)</f>
        <v>0.72</v>
      </c>
      <c r="I86" s="106">
        <f>VLOOKUP(C86,'RAW DATA 2023'!E:BO,22,0)</f>
        <v>6.4782777777777776</v>
      </c>
      <c r="J86" s="72">
        <f t="shared" si="7"/>
        <v>2.4782777777777776</v>
      </c>
      <c r="K86" s="109">
        <f t="shared" si="8"/>
        <v>4.1304629629629632</v>
      </c>
      <c r="L86" s="63">
        <f t="shared" si="9"/>
        <v>4.1304629629629632</v>
      </c>
      <c r="M86" s="123"/>
    </row>
    <row r="87" spans="1:13" hidden="1">
      <c r="A87" s="63" t="str">
        <f>'RAW DATA 2023'!B258</f>
        <v>Roiphet1</v>
      </c>
      <c r="B87" s="63" t="str">
        <f>'RAW DATA 2023'!D258</f>
        <v>C3-I05-0066</v>
      </c>
      <c r="C87" s="63" t="str">
        <f t="shared" si="5"/>
        <v>Roiphet1C3-I05-0066</v>
      </c>
      <c r="D87" s="68">
        <f>VLOOKUP(C87,'RAW DATA 2023'!E:BP,63,0)</f>
        <v>5</v>
      </c>
      <c r="E87" s="68" t="str">
        <f t="shared" si="6"/>
        <v>Roiphet15</v>
      </c>
      <c r="F87" s="63" t="str">
        <f>VLOOKUP(C87,'RAW DATA 2023'!E:BO,5,0)</f>
        <v>Greenhouse</v>
      </c>
      <c r="G87" s="63" t="s">
        <v>1954</v>
      </c>
      <c r="H87" s="63">
        <f>VLOOKUP(C87,'RAW DATA 2023'!E:BO,2,0)</f>
        <v>0.72</v>
      </c>
      <c r="I87" s="106">
        <f>VLOOKUP(C87,'RAW DATA 2023'!E:BO,22,0)</f>
        <v>2.3845694444444447</v>
      </c>
      <c r="J87" s="72">
        <f t="shared" si="7"/>
        <v>-1.6154305555555553</v>
      </c>
      <c r="K87" s="109">
        <f t="shared" si="8"/>
        <v>-2.6923842592592591</v>
      </c>
      <c r="L87" s="63">
        <f t="shared" si="9"/>
        <v>0</v>
      </c>
      <c r="M87" s="123"/>
    </row>
    <row r="88" spans="1:13" hidden="1">
      <c r="A88" s="63" t="str">
        <f>'RAW DATA 2023'!B261</f>
        <v>Roiphet1</v>
      </c>
      <c r="B88" s="63" t="str">
        <f>'RAW DATA 2023'!D261</f>
        <v>C3-G05-0074</v>
      </c>
      <c r="C88" s="63" t="str">
        <f t="shared" si="5"/>
        <v>Roiphet1C3-G05-0074</v>
      </c>
      <c r="D88" s="68">
        <f>VLOOKUP(C88,'RAW DATA 2023'!E:BP,63,0)</f>
        <v>5</v>
      </c>
      <c r="E88" s="68" t="str">
        <f t="shared" si="6"/>
        <v>Roiphet15</v>
      </c>
      <c r="F88" s="63" t="str">
        <f>VLOOKUP(C88,'RAW DATA 2023'!E:BO,5,0)</f>
        <v>Greenhouse</v>
      </c>
      <c r="G88" s="63" t="s">
        <v>1954</v>
      </c>
      <c r="H88" s="63">
        <f>VLOOKUP(C88,'RAW DATA 2023'!E:BO,2,0)</f>
        <v>1.1299999999999999</v>
      </c>
      <c r="I88" s="106">
        <f>VLOOKUP(C88,'RAW DATA 2023'!E:BO,22,0)</f>
        <v>3.0837610619469031</v>
      </c>
      <c r="J88" s="72">
        <f t="shared" si="7"/>
        <v>-0.91623893805309686</v>
      </c>
      <c r="K88" s="109">
        <f t="shared" si="8"/>
        <v>-1.5270648967551614</v>
      </c>
      <c r="L88" s="63">
        <f t="shared" si="9"/>
        <v>0</v>
      </c>
      <c r="M88" s="123"/>
    </row>
    <row r="89" spans="1:13" hidden="1">
      <c r="A89" s="63" t="str">
        <f>'RAW DATA 2023'!B262</f>
        <v>Roiphet1</v>
      </c>
      <c r="B89" s="63" t="str">
        <f>'RAW DATA 2023'!D262</f>
        <v>C2-I03-0059</v>
      </c>
      <c r="C89" s="63" t="str">
        <f t="shared" si="5"/>
        <v>Roiphet1C2-I03-0059</v>
      </c>
      <c r="D89" s="68">
        <f>VLOOKUP(C89,'RAW DATA 2023'!E:BP,63,0)</f>
        <v>6</v>
      </c>
      <c r="E89" s="68" t="str">
        <f t="shared" si="6"/>
        <v>Roiphet16</v>
      </c>
      <c r="F89" s="63" t="str">
        <f>VLOOKUP(C89,'RAW DATA 2023'!E:BO,5,0)</f>
        <v>Greenhouse</v>
      </c>
      <c r="G89" s="63" t="s">
        <v>1954</v>
      </c>
      <c r="H89" s="63">
        <f>VLOOKUP(C89,'RAW DATA 2023'!E:BO,2,0)</f>
        <v>0.72</v>
      </c>
      <c r="I89" s="106">
        <f>VLOOKUP(C89,'RAW DATA 2023'!E:BO,22,0)</f>
        <v>3.1706805555555557</v>
      </c>
      <c r="J89" s="72">
        <f t="shared" si="7"/>
        <v>-0.82931944444444428</v>
      </c>
      <c r="K89" s="109">
        <f t="shared" si="8"/>
        <v>-1.3821990740740739</v>
      </c>
      <c r="L89" s="63">
        <f t="shared" si="9"/>
        <v>0</v>
      </c>
      <c r="M89" s="123"/>
    </row>
    <row r="90" spans="1:13" hidden="1">
      <c r="A90" s="63" t="str">
        <f>'RAW DATA 2023'!B263</f>
        <v>Roiphet1</v>
      </c>
      <c r="B90" s="63" t="str">
        <f>'RAW DATA 2023'!D263</f>
        <v>C3-G06-0078</v>
      </c>
      <c r="C90" s="63" t="str">
        <f t="shared" si="5"/>
        <v>Roiphet1C3-G06-0078</v>
      </c>
      <c r="D90" s="68">
        <f>VLOOKUP(C90,'RAW DATA 2023'!E:BP,63,0)</f>
        <v>5</v>
      </c>
      <c r="E90" s="68" t="str">
        <f t="shared" si="6"/>
        <v>Roiphet15</v>
      </c>
      <c r="F90" s="63" t="str">
        <f>VLOOKUP(C90,'RAW DATA 2023'!E:BO,5,0)</f>
        <v>Greenhouse</v>
      </c>
      <c r="G90" s="63" t="s">
        <v>1954</v>
      </c>
      <c r="H90" s="63">
        <f>VLOOKUP(C90,'RAW DATA 2023'!E:BO,2,0)</f>
        <v>1.1299999999999999</v>
      </c>
      <c r="I90" s="106">
        <f>VLOOKUP(C90,'RAW DATA 2023'!E:BO,22,0)</f>
        <v>2.883690265486726</v>
      </c>
      <c r="J90" s="72">
        <f t="shared" si="7"/>
        <v>-1.116309734513274</v>
      </c>
      <c r="K90" s="109">
        <f t="shared" si="8"/>
        <v>-1.86051622418879</v>
      </c>
      <c r="L90" s="63">
        <f t="shared" si="9"/>
        <v>0</v>
      </c>
      <c r="M90" s="123"/>
    </row>
    <row r="91" spans="1:13" hidden="1">
      <c r="A91" s="63" t="str">
        <f>'RAW DATA 2023'!B264</f>
        <v>Roiphet1</v>
      </c>
      <c r="B91" s="63" t="str">
        <f>'RAW DATA 2023'!D264</f>
        <v>C2-G03-0066</v>
      </c>
      <c r="C91" s="63" t="str">
        <f t="shared" si="5"/>
        <v>Roiphet1C2-G03-0066</v>
      </c>
      <c r="D91" s="68">
        <f>VLOOKUP(C91,'RAW DATA 2023'!E:BP,63,0)</f>
        <v>6</v>
      </c>
      <c r="E91" s="68" t="str">
        <f t="shared" si="6"/>
        <v>Roiphet16</v>
      </c>
      <c r="F91" s="63" t="str">
        <f>VLOOKUP(C91,'RAW DATA 2023'!E:BO,5,0)</f>
        <v>Greenhouse</v>
      </c>
      <c r="G91" s="63" t="s">
        <v>1954</v>
      </c>
      <c r="H91" s="63">
        <f>VLOOKUP(C91,'RAW DATA 2023'!E:BO,2,0)</f>
        <v>1.1299999999999999</v>
      </c>
      <c r="I91" s="106">
        <f>VLOOKUP(C91,'RAW DATA 2023'!E:BO,22,0)</f>
        <v>3.2967345132743366</v>
      </c>
      <c r="J91" s="72">
        <f t="shared" si="7"/>
        <v>-0.70326548672566336</v>
      </c>
      <c r="K91" s="109">
        <f t="shared" si="8"/>
        <v>-1.1721091445427723</v>
      </c>
      <c r="L91" s="63">
        <f t="shared" si="9"/>
        <v>0</v>
      </c>
      <c r="M91" s="123"/>
    </row>
    <row r="92" spans="1:13" hidden="1">
      <c r="A92" s="63" t="str">
        <f>'RAW DATA 2023'!B272</f>
        <v>Roiphet1</v>
      </c>
      <c r="B92" s="63" t="str">
        <f>'RAW DATA 2023'!D272</f>
        <v>B1-I01-0095</v>
      </c>
      <c r="C92" s="63" t="str">
        <f t="shared" si="5"/>
        <v>Roiphet1B1-I01-0095</v>
      </c>
      <c r="D92" s="68">
        <f>VLOOKUP(C92,'RAW DATA 2023'!E:BP,63,0)</f>
        <v>6</v>
      </c>
      <c r="E92" s="68" t="str">
        <f t="shared" si="6"/>
        <v>Roiphet16</v>
      </c>
      <c r="F92" s="63" t="str">
        <f>VLOOKUP(C92,'RAW DATA 2023'!E:BO,5,0)</f>
        <v>Greenhouse</v>
      </c>
      <c r="G92" s="63" t="s">
        <v>67</v>
      </c>
      <c r="H92" s="63">
        <f>VLOOKUP(C92,'RAW DATA 2023'!E:BO,2,0)</f>
        <v>0.72</v>
      </c>
      <c r="I92" s="106">
        <f>VLOOKUP(C92,'RAW DATA 2023'!E:BO,22,0)</f>
        <v>6.6656111111111116</v>
      </c>
      <c r="J92" s="72">
        <f t="shared" si="7"/>
        <v>2.6656111111111116</v>
      </c>
      <c r="K92" s="109">
        <f t="shared" si="8"/>
        <v>4.4426851851851863</v>
      </c>
      <c r="L92" s="63">
        <f t="shared" si="9"/>
        <v>4.4426851851851863</v>
      </c>
      <c r="M92" s="123"/>
    </row>
    <row r="93" spans="1:13" hidden="1">
      <c r="A93" s="63" t="str">
        <f>'RAW DATA 2023'!B273</f>
        <v>Roiphet1</v>
      </c>
      <c r="B93" s="63" t="str">
        <f>'RAW DATA 2023'!D273</f>
        <v>B6-I12-0086</v>
      </c>
      <c r="C93" s="63" t="str">
        <f t="shared" si="5"/>
        <v>Roiphet1B6-I12-0086</v>
      </c>
      <c r="D93" s="68">
        <f>VLOOKUP(C93,'RAW DATA 2023'!E:BP,63,0)</f>
        <v>6</v>
      </c>
      <c r="E93" s="68" t="str">
        <f t="shared" si="6"/>
        <v>Roiphet16</v>
      </c>
      <c r="F93" s="63" t="str">
        <f>VLOOKUP(C93,'RAW DATA 2023'!E:BO,5,0)</f>
        <v>Greenhouse</v>
      </c>
      <c r="G93" s="63" t="s">
        <v>67</v>
      </c>
      <c r="H93" s="63">
        <f>VLOOKUP(C93,'RAW DATA 2023'!E:BO,2,0)</f>
        <v>0.72</v>
      </c>
      <c r="I93" s="106">
        <f>VLOOKUP(C93,'RAW DATA 2023'!E:BO,22,0)</f>
        <v>6.2286527777777785</v>
      </c>
      <c r="J93" s="72">
        <f t="shared" si="7"/>
        <v>2.2286527777777785</v>
      </c>
      <c r="K93" s="109">
        <f t="shared" si="8"/>
        <v>3.7144212962962975</v>
      </c>
      <c r="L93" s="63">
        <f t="shared" si="9"/>
        <v>3.7144212962962975</v>
      </c>
      <c r="M93" s="123"/>
    </row>
    <row r="94" spans="1:13" hidden="1">
      <c r="A94" s="63" t="str">
        <f>'RAW DATA 2023'!B274</f>
        <v>Roiphet1</v>
      </c>
      <c r="B94" s="63" t="str">
        <f>'RAW DATA 2023'!D274</f>
        <v>B2-G04-0092</v>
      </c>
      <c r="C94" s="63" t="str">
        <f t="shared" si="5"/>
        <v>Roiphet1B2-G04-0092</v>
      </c>
      <c r="D94" s="68">
        <f>VLOOKUP(C94,'RAW DATA 2023'!E:BP,63,0)</f>
        <v>6</v>
      </c>
      <c r="E94" s="68" t="str">
        <f t="shared" si="6"/>
        <v>Roiphet16</v>
      </c>
      <c r="F94" s="63" t="str">
        <f>VLOOKUP(C94,'RAW DATA 2023'!E:BO,5,0)</f>
        <v>Greenhouse</v>
      </c>
      <c r="G94" s="63" t="s">
        <v>67</v>
      </c>
      <c r="H94" s="63">
        <f>VLOOKUP(C94,'RAW DATA 2023'!E:BO,2,0)</f>
        <v>1.1299999999999999</v>
      </c>
      <c r="I94" s="106">
        <f>VLOOKUP(C94,'RAW DATA 2023'!E:BO,22,0)</f>
        <v>5.2594424778761066</v>
      </c>
      <c r="J94" s="72">
        <f t="shared" si="7"/>
        <v>1.2594424778761066</v>
      </c>
      <c r="K94" s="109">
        <f t="shared" si="8"/>
        <v>2.099070796460178</v>
      </c>
      <c r="L94" s="63">
        <f t="shared" si="9"/>
        <v>2.099070796460178</v>
      </c>
      <c r="M94" s="123"/>
    </row>
    <row r="95" spans="1:13" hidden="1">
      <c r="A95" s="63" t="str">
        <f>'RAW DATA 2023'!B275</f>
        <v>Roiphet1</v>
      </c>
      <c r="B95" s="63" t="str">
        <f>'RAW DATA 2023'!D275</f>
        <v>B5-I10-0090</v>
      </c>
      <c r="C95" s="63" t="str">
        <f t="shared" si="5"/>
        <v>Roiphet1B5-I10-0090</v>
      </c>
      <c r="D95" s="68">
        <f>VLOOKUP(C95,'RAW DATA 2023'!E:BP,63,0)</f>
        <v>5</v>
      </c>
      <c r="E95" s="68" t="str">
        <f t="shared" si="6"/>
        <v>Roiphet15</v>
      </c>
      <c r="F95" s="63" t="str">
        <f>VLOOKUP(C95,'RAW DATA 2023'!E:BO,5,0)</f>
        <v>Greenhouse</v>
      </c>
      <c r="G95" s="63" t="s">
        <v>67</v>
      </c>
      <c r="H95" s="63">
        <f>VLOOKUP(C95,'RAW DATA 2023'!E:BO,2,0)</f>
        <v>0.72</v>
      </c>
      <c r="I95" s="106">
        <f>VLOOKUP(C95,'RAW DATA 2023'!E:BO,22,0)</f>
        <v>6.7899305555555554</v>
      </c>
      <c r="J95" s="72">
        <f t="shared" si="7"/>
        <v>2.7899305555555554</v>
      </c>
      <c r="K95" s="109">
        <f t="shared" si="8"/>
        <v>4.6498842592592595</v>
      </c>
      <c r="L95" s="63">
        <f t="shared" si="9"/>
        <v>4.6498842592592595</v>
      </c>
      <c r="M95" s="123"/>
    </row>
    <row r="96" spans="1:13" hidden="1">
      <c r="A96" s="63" t="str">
        <f>'RAW DATA 2023'!B288</f>
        <v>Roiphet1</v>
      </c>
      <c r="B96" s="63" t="str">
        <f>'RAW DATA 2023'!D288</f>
        <v>B5-G09-0085</v>
      </c>
      <c r="C96" s="63" t="str">
        <f t="shared" si="5"/>
        <v>Roiphet1B5-G09-0085</v>
      </c>
      <c r="D96" s="68">
        <f>VLOOKUP(C96,'RAW DATA 2023'!E:BP,63,0)</f>
        <v>7</v>
      </c>
      <c r="E96" s="68" t="str">
        <f t="shared" si="6"/>
        <v>Roiphet17</v>
      </c>
      <c r="F96" s="63" t="str">
        <f>VLOOKUP(C96,'RAW DATA 2023'!E:BO,5,0)</f>
        <v>Greenhouse</v>
      </c>
      <c r="G96" s="63" t="s">
        <v>67</v>
      </c>
      <c r="H96" s="63">
        <f>VLOOKUP(C96,'RAW DATA 2023'!E:BO,2,0)</f>
        <v>1.1299999999999999</v>
      </c>
      <c r="I96" s="106">
        <f>VLOOKUP(C96,'RAW DATA 2023'!E:BO,22,0)</f>
        <v>5.2008849557522128</v>
      </c>
      <c r="J96" s="72">
        <f t="shared" si="7"/>
        <v>1.2008849557522128</v>
      </c>
      <c r="K96" s="109">
        <f t="shared" si="8"/>
        <v>2.0014749262536879</v>
      </c>
      <c r="L96" s="63">
        <f t="shared" si="9"/>
        <v>2.0014749262536879</v>
      </c>
      <c r="M96" s="123"/>
    </row>
    <row r="97" spans="1:13" hidden="1">
      <c r="A97" s="63" t="str">
        <f>'RAW DATA 2023'!B290</f>
        <v>Roiphet1</v>
      </c>
      <c r="B97" s="63" t="str">
        <f>'RAW DATA 2023'!D290</f>
        <v>B3-G05-0092</v>
      </c>
      <c r="C97" s="63" t="str">
        <f t="shared" si="5"/>
        <v>Roiphet1B3-G05-0092</v>
      </c>
      <c r="D97" s="68">
        <f>VLOOKUP(C97,'RAW DATA 2023'!E:BP,63,0)</f>
        <v>5</v>
      </c>
      <c r="E97" s="68" t="str">
        <f t="shared" si="6"/>
        <v>Roiphet15</v>
      </c>
      <c r="F97" s="63" t="str">
        <f>VLOOKUP(C97,'RAW DATA 2023'!E:BO,5,0)</f>
        <v>Greenhouse</v>
      </c>
      <c r="G97" s="63" t="s">
        <v>67</v>
      </c>
      <c r="H97" s="63">
        <f>VLOOKUP(C97,'RAW DATA 2023'!E:BO,2,0)</f>
        <v>1.1299999999999999</v>
      </c>
      <c r="I97" s="106">
        <f>VLOOKUP(C97,'RAW DATA 2023'!E:BO,22,0)</f>
        <v>7.7662212389380532</v>
      </c>
      <c r="J97" s="72">
        <f t="shared" si="7"/>
        <v>3.7662212389380532</v>
      </c>
      <c r="K97" s="109">
        <f t="shared" si="8"/>
        <v>6.2770353982300886</v>
      </c>
      <c r="L97" s="63">
        <f t="shared" si="9"/>
        <v>6.25</v>
      </c>
      <c r="M97" s="123"/>
    </row>
    <row r="98" spans="1:13" hidden="1">
      <c r="A98" s="63" t="str">
        <f>'RAW DATA 2023'!B291</f>
        <v>Roiphet1</v>
      </c>
      <c r="B98" s="63" t="str">
        <f>'RAW DATA 2023'!D291</f>
        <v>B3-G06-0081</v>
      </c>
      <c r="C98" s="63" t="str">
        <f t="shared" si="5"/>
        <v>Roiphet1B3-G06-0081</v>
      </c>
      <c r="D98" s="68">
        <f>VLOOKUP(C98,'RAW DATA 2023'!E:BP,63,0)</f>
        <v>6</v>
      </c>
      <c r="E98" s="68" t="str">
        <f t="shared" si="6"/>
        <v>Roiphet16</v>
      </c>
      <c r="F98" s="63" t="str">
        <f>VLOOKUP(C98,'RAW DATA 2023'!E:BO,5,0)</f>
        <v>Greenhouse</v>
      </c>
      <c r="G98" s="63" t="s">
        <v>67</v>
      </c>
      <c r="H98" s="63">
        <f>VLOOKUP(C98,'RAW DATA 2023'!E:BO,2,0)</f>
        <v>1.1299999999999999</v>
      </c>
      <c r="I98" s="106">
        <f>VLOOKUP(C98,'RAW DATA 2023'!E:BO,22,0)</f>
        <v>8.9557256637168141</v>
      </c>
      <c r="J98" s="72">
        <f t="shared" si="7"/>
        <v>4.9557256637168141</v>
      </c>
      <c r="K98" s="109">
        <f t="shared" si="8"/>
        <v>8.2595427728613569</v>
      </c>
      <c r="L98" s="63">
        <f t="shared" si="9"/>
        <v>6.25</v>
      </c>
      <c r="M98" s="123"/>
    </row>
    <row r="99" spans="1:13" hidden="1">
      <c r="A99" s="63" t="str">
        <f>'RAW DATA 2023'!B293</f>
        <v>Roiphet1</v>
      </c>
      <c r="B99" s="63" t="str">
        <f>'RAW DATA 2023'!D293</f>
        <v>B4-I07-0089</v>
      </c>
      <c r="C99" s="63" t="str">
        <f t="shared" si="5"/>
        <v>Roiphet1B4-I07-0089</v>
      </c>
      <c r="D99" s="68">
        <f>VLOOKUP(C99,'RAW DATA 2023'!E:BP,63,0)</f>
        <v>7</v>
      </c>
      <c r="E99" s="68" t="str">
        <f t="shared" si="6"/>
        <v>Roiphet17</v>
      </c>
      <c r="F99" s="63" t="str">
        <f>VLOOKUP(C99,'RAW DATA 2023'!E:BO,5,0)</f>
        <v>Greenhouse</v>
      </c>
      <c r="G99" s="63" t="s">
        <v>67</v>
      </c>
      <c r="H99" s="63">
        <f>VLOOKUP(C99,'RAW DATA 2023'!E:BO,2,0)</f>
        <v>0.72</v>
      </c>
      <c r="I99" s="106">
        <f>VLOOKUP(C99,'RAW DATA 2023'!E:BO,22,0)</f>
        <v>5.0922083333333337</v>
      </c>
      <c r="J99" s="72">
        <f t="shared" si="7"/>
        <v>1.0922083333333337</v>
      </c>
      <c r="K99" s="109">
        <f t="shared" si="8"/>
        <v>1.8203472222222228</v>
      </c>
      <c r="L99" s="63">
        <f t="shared" si="9"/>
        <v>1.8203472222222228</v>
      </c>
      <c r="M99" s="123"/>
    </row>
    <row r="100" spans="1:13" hidden="1">
      <c r="A100" s="63" t="str">
        <f>'RAW DATA 2023'!B310</f>
        <v>Roiphet1</v>
      </c>
      <c r="B100" s="63" t="str">
        <f>'RAW DATA 2023'!D310</f>
        <v>B5-G10-0085</v>
      </c>
      <c r="C100" s="63" t="str">
        <f t="shared" si="5"/>
        <v>Roiphet1B5-G10-0085</v>
      </c>
      <c r="D100" s="68">
        <f>VLOOKUP(C100,'RAW DATA 2023'!E:BP,63,0)</f>
        <v>11</v>
      </c>
      <c r="E100" s="68" t="str">
        <f t="shared" si="6"/>
        <v>Roiphet111</v>
      </c>
      <c r="F100" s="63" t="str">
        <f>VLOOKUP(C100,'RAW DATA 2023'!E:BO,5,0)</f>
        <v>Greenhouse</v>
      </c>
      <c r="G100" s="63" t="s">
        <v>1954</v>
      </c>
      <c r="H100" s="63">
        <f>VLOOKUP(C100,'RAW DATA 2023'!E:BO,2,0)</f>
        <v>1.1299999999999999</v>
      </c>
      <c r="I100" s="106">
        <f>VLOOKUP(C100,'RAW DATA 2023'!E:BO,22,0)</f>
        <v>4.497053097345133</v>
      </c>
      <c r="J100" s="72">
        <f t="shared" si="7"/>
        <v>0.49705309734513303</v>
      </c>
      <c r="K100" s="109">
        <f t="shared" si="8"/>
        <v>0.82842182890855509</v>
      </c>
      <c r="L100" s="63">
        <f t="shared" si="9"/>
        <v>0.82842182890855509</v>
      </c>
      <c r="M100" s="123"/>
    </row>
    <row r="101" spans="1:13" hidden="1">
      <c r="A101" s="63" t="str">
        <f>'RAW DATA 2023'!B325</f>
        <v>Maeklong1</v>
      </c>
      <c r="B101" s="63" t="str">
        <f>'RAW DATA 2023'!D325</f>
        <v>A1-015-0036</v>
      </c>
      <c r="C101" s="63" t="str">
        <f t="shared" si="5"/>
        <v>Maeklong1A1-015-0036</v>
      </c>
      <c r="D101" s="68">
        <f>VLOOKUP(C101,'RAW DATA 2023'!E:BP,63,0)</f>
        <v>6</v>
      </c>
      <c r="E101" s="68" t="str">
        <f t="shared" si="6"/>
        <v>Maeklong16</v>
      </c>
      <c r="F101" s="63" t="str">
        <f>VLOOKUP(C101,'RAW DATA 2023'!E:BO,5,0)</f>
        <v>Outdoor</v>
      </c>
      <c r="G101" s="63" t="s">
        <v>1954</v>
      </c>
      <c r="H101" s="63">
        <f>VLOOKUP(C101,'RAW DATA 2023'!E:BO,2,0)</f>
        <v>2.4300000000000002</v>
      </c>
      <c r="I101" s="106">
        <f>VLOOKUP(C101,'RAW DATA 2023'!E:BO,22,0)</f>
        <v>11.305106995884772</v>
      </c>
      <c r="J101" s="72">
        <f t="shared" si="7"/>
        <v>8.3051069958847723</v>
      </c>
      <c r="K101" s="109">
        <f t="shared" si="8"/>
        <v>13.841844993141288</v>
      </c>
      <c r="L101" s="63">
        <f t="shared" si="9"/>
        <v>6.25</v>
      </c>
      <c r="M101" s="123"/>
    </row>
    <row r="102" spans="1:13">
      <c r="A102" s="63" t="str">
        <f>'RAW DATA 2023'!B347</f>
        <v>Maeklong1</v>
      </c>
      <c r="B102" s="63" t="str">
        <f>'RAW DATA 2023'!D347</f>
        <v>A1-029-0013</v>
      </c>
      <c r="C102" s="63" t="str">
        <f t="shared" si="5"/>
        <v>Maeklong1A1-029-0013</v>
      </c>
      <c r="D102" s="68">
        <f>VLOOKUP(C102,'RAW DATA 2023'!E:BP,63,0)</f>
        <v>5</v>
      </c>
      <c r="E102" s="68" t="str">
        <f t="shared" si="6"/>
        <v>Maeklong15</v>
      </c>
      <c r="F102" s="63" t="str">
        <f>VLOOKUP(C102,'RAW DATA 2023'!E:BO,5,0)</f>
        <v>Outdoor</v>
      </c>
      <c r="G102" s="63" t="s">
        <v>1951</v>
      </c>
      <c r="H102" s="63">
        <f>VLOOKUP(C102,'RAW DATA 2023'!E:BO,2,0)</f>
        <v>1.3</v>
      </c>
      <c r="I102" s="106">
        <f>VLOOKUP(C102,'RAW DATA 2023'!E:BO,22,0)</f>
        <v>11.557630769230769</v>
      </c>
      <c r="J102" s="72">
        <f t="shared" si="7"/>
        <v>5.5576307692307694</v>
      </c>
      <c r="K102" s="109">
        <f t="shared" si="8"/>
        <v>9.262717948717949</v>
      </c>
      <c r="L102" s="63">
        <f t="shared" si="9"/>
        <v>6.25</v>
      </c>
      <c r="M102" s="123"/>
    </row>
    <row r="103" spans="1:13">
      <c r="A103" s="63" t="str">
        <f>'RAW DATA 2023'!B348</f>
        <v>Maeklong1</v>
      </c>
      <c r="B103" s="63" t="str">
        <f>'RAW DATA 2023'!D348</f>
        <v>A1-030-0008</v>
      </c>
      <c r="C103" s="63" t="str">
        <f t="shared" si="5"/>
        <v>Maeklong1A1-030-0008</v>
      </c>
      <c r="D103" s="68">
        <f>VLOOKUP(C103,'RAW DATA 2023'!E:BP,63,0)</f>
        <v>12</v>
      </c>
      <c r="E103" s="68" t="str">
        <f t="shared" si="6"/>
        <v>Maeklong112</v>
      </c>
      <c r="F103" s="63" t="str">
        <f>VLOOKUP(C103,'RAW DATA 2023'!E:BO,5,0)</f>
        <v>Outdoor</v>
      </c>
      <c r="G103" s="63" t="s">
        <v>1951</v>
      </c>
      <c r="H103" s="63">
        <f>VLOOKUP(C103,'RAW DATA 2023'!E:BO,2,0)</f>
        <v>1.3</v>
      </c>
      <c r="I103" s="106">
        <f>VLOOKUP(C103,'RAW DATA 2023'!E:BO,22,0)</f>
        <v>11.843769230769231</v>
      </c>
      <c r="J103" s="72">
        <f t="shared" si="7"/>
        <v>5.8437692307692313</v>
      </c>
      <c r="K103" s="109">
        <f t="shared" si="8"/>
        <v>9.7396153846153855</v>
      </c>
      <c r="L103" s="63">
        <f t="shared" si="9"/>
        <v>6.25</v>
      </c>
      <c r="M103" s="123"/>
    </row>
    <row r="104" spans="1:13" hidden="1">
      <c r="A104" s="63" t="str">
        <f>'RAW DATA 2023'!B364</f>
        <v>PB5</v>
      </c>
      <c r="B104" s="63" t="str">
        <f>'RAW DATA 2023'!D364</f>
        <v>B1-021-0047</v>
      </c>
      <c r="C104" s="63" t="str">
        <f t="shared" si="5"/>
        <v>PB5B1-021-0047</v>
      </c>
      <c r="D104" s="68">
        <f>VLOOKUP(C104,'RAW DATA 2023'!E:BP,63,0)</f>
        <v>7</v>
      </c>
      <c r="E104" s="68" t="str">
        <f t="shared" si="6"/>
        <v>PB57</v>
      </c>
      <c r="F104" s="63" t="str">
        <f>VLOOKUP(C104,'RAW DATA 2023'!E:BO,5,0)</f>
        <v>Outdoor</v>
      </c>
      <c r="G104" s="63" t="s">
        <v>67</v>
      </c>
      <c r="H104" s="63">
        <f>VLOOKUP(C104,'RAW DATA 2023'!E:BO,2,0)</f>
        <v>5.72</v>
      </c>
      <c r="I104" s="106">
        <f>VLOOKUP(C104,'RAW DATA 2023'!E:BO,22,0)</f>
        <v>5.0387325174825177</v>
      </c>
      <c r="J104" s="72">
        <f t="shared" si="7"/>
        <v>3.0387325174825177</v>
      </c>
      <c r="K104" s="109">
        <f t="shared" si="8"/>
        <v>5.0645541958041962</v>
      </c>
      <c r="L104" s="63">
        <f t="shared" si="9"/>
        <v>5.0645541958041962</v>
      </c>
      <c r="M104" s="123"/>
    </row>
    <row r="105" spans="1:13" hidden="1">
      <c r="A105" s="63" t="str">
        <f>'RAW DATA 2023'!B400</f>
        <v>Lamlaung</v>
      </c>
      <c r="B105" s="63" t="str">
        <f>'RAW DATA 2023'!D400</f>
        <v>A1-002-0045</v>
      </c>
      <c r="C105" s="63" t="str">
        <f t="shared" si="5"/>
        <v>LamlaungA1-002-0045</v>
      </c>
      <c r="D105" s="68">
        <f>VLOOKUP(C105,'RAW DATA 2023'!E:BP,63,0)</f>
        <v>4</v>
      </c>
      <c r="E105" s="68" t="str">
        <f t="shared" si="6"/>
        <v>Lamlaung4</v>
      </c>
      <c r="F105" s="63" t="str">
        <f>VLOOKUP(C105,'RAW DATA 2023'!E:BO,5,0)</f>
        <v>Outdoor</v>
      </c>
      <c r="G105" s="63" t="s">
        <v>1955</v>
      </c>
      <c r="H105" s="63">
        <f>VLOOKUP(C105,'RAW DATA 2023'!E:BO,2,0)</f>
        <v>5</v>
      </c>
      <c r="I105" s="106">
        <f>VLOOKUP(C105,'RAW DATA 2023'!E:BO,22,0)</f>
        <v>7.0380820000000002</v>
      </c>
      <c r="J105" s="72">
        <f t="shared" si="7"/>
        <v>5.0380820000000002</v>
      </c>
      <c r="K105" s="109">
        <f t="shared" si="8"/>
        <v>8.3968033333333345</v>
      </c>
      <c r="L105" s="63">
        <f t="shared" si="9"/>
        <v>6.25</v>
      </c>
      <c r="M105" s="123"/>
    </row>
    <row r="106" spans="1:13" hidden="1">
      <c r="A106" s="63" t="str">
        <f>'RAW DATA 2023'!B406</f>
        <v>CS4</v>
      </c>
      <c r="B106" s="63" t="str">
        <f>'RAW DATA 2023'!D406</f>
        <v>A1-025-0017</v>
      </c>
      <c r="C106" s="63" t="str">
        <f t="shared" si="5"/>
        <v>CS4A1-025-0017</v>
      </c>
      <c r="D106" s="68">
        <f>VLOOKUP(C106,'RAW DATA 2023'!E:BP,63,0)</f>
        <v>5</v>
      </c>
      <c r="E106" s="68" t="str">
        <f t="shared" si="6"/>
        <v>CS45</v>
      </c>
      <c r="F106" s="63" t="str">
        <f>VLOOKUP(C106,'RAW DATA 2023'!E:BO,5,0)</f>
        <v>Outdoor</v>
      </c>
      <c r="G106" s="63" t="s">
        <v>1955</v>
      </c>
      <c r="H106" s="63">
        <f>VLOOKUP(C106,'RAW DATA 2023'!E:BO,2,0)</f>
        <v>2</v>
      </c>
      <c r="I106" s="106">
        <f>VLOOKUP(C106,'RAW DATA 2023'!E:BO,22,0)</f>
        <v>7.9508299999999998</v>
      </c>
      <c r="J106" s="72">
        <f t="shared" si="7"/>
        <v>1.9508299999999998</v>
      </c>
      <c r="K106" s="109">
        <f t="shared" si="8"/>
        <v>3.2513833333333331</v>
      </c>
      <c r="L106" s="63">
        <f t="shared" si="9"/>
        <v>3.2513833333333331</v>
      </c>
      <c r="M106" s="123"/>
    </row>
    <row r="107" spans="1:13">
      <c r="A107" s="63" t="str">
        <f>'RAW DATA 2023'!B436</f>
        <v>CS1</v>
      </c>
      <c r="B107" s="63" t="str">
        <f>'RAW DATA 2023'!D436</f>
        <v>C1-083-0020</v>
      </c>
      <c r="C107" s="63" t="str">
        <f t="shared" si="5"/>
        <v>CS1C1-083-0020</v>
      </c>
      <c r="D107" s="68">
        <f>VLOOKUP(C107,'RAW DATA 2023'!E:BP,63,0)</f>
        <v>5</v>
      </c>
      <c r="E107" s="68" t="str">
        <f t="shared" si="6"/>
        <v>CS15</v>
      </c>
      <c r="F107" s="63" t="str">
        <f>VLOOKUP(C107,'RAW DATA 2023'!E:BO,5,0)</f>
        <v>Outdoor</v>
      </c>
      <c r="G107" s="63" t="s">
        <v>1951</v>
      </c>
      <c r="H107" s="63">
        <f>VLOOKUP(C107,'RAW DATA 2023'!E:BO,2,0)</f>
        <v>2.7</v>
      </c>
      <c r="I107" s="106">
        <f>VLOOKUP(C107,'RAW DATA 2023'!E:BO,22,0)</f>
        <v>1.9539444444444443</v>
      </c>
      <c r="J107" s="72">
        <f t="shared" si="7"/>
        <v>-1.0460555555555557</v>
      </c>
      <c r="K107" s="109">
        <f t="shared" si="8"/>
        <v>-1.7434259259259264</v>
      </c>
      <c r="L107" s="63">
        <f t="shared" si="9"/>
        <v>0</v>
      </c>
      <c r="M107" s="123"/>
    </row>
    <row r="108" spans="1:13">
      <c r="A108" s="63" t="str">
        <f>'RAW DATA 2023'!B464</f>
        <v>Roiphet3</v>
      </c>
      <c r="B108" s="63" t="str">
        <f>'RAW DATA 2023'!D464</f>
        <v>C1-044-0018</v>
      </c>
      <c r="C108" s="63" t="str">
        <f t="shared" si="5"/>
        <v>Roiphet3C1-044-0018</v>
      </c>
      <c r="D108" s="68">
        <f>VLOOKUP(C108,'RAW DATA 2023'!E:BP,63,0)</f>
        <v>7</v>
      </c>
      <c r="E108" s="68" t="str">
        <f t="shared" si="6"/>
        <v>Roiphet37</v>
      </c>
      <c r="F108" s="63" t="str">
        <f>VLOOKUP(C108,'RAW DATA 2023'!E:BO,5,0)</f>
        <v>Outdoor</v>
      </c>
      <c r="G108" s="63" t="s">
        <v>1951</v>
      </c>
      <c r="H108" s="63">
        <f>VLOOKUP(C108,'RAW DATA 2023'!E:BO,2,0)</f>
        <v>4.5</v>
      </c>
      <c r="I108" s="106">
        <f>VLOOKUP(C108,'RAW DATA 2023'!E:BO,22,0)</f>
        <v>2.3336311111111114</v>
      </c>
      <c r="J108" s="72">
        <f t="shared" si="7"/>
        <v>0.33363111111111143</v>
      </c>
      <c r="K108" s="109">
        <f t="shared" si="8"/>
        <v>0.55605185185185246</v>
      </c>
      <c r="L108" s="63">
        <f t="shared" si="9"/>
        <v>0.55605185185185246</v>
      </c>
      <c r="M108" s="123"/>
    </row>
    <row r="109" spans="1:13" hidden="1">
      <c r="A109" s="63" t="str">
        <f>'RAW DATA 2023'!B493</f>
        <v>Bo Thong</v>
      </c>
      <c r="B109" s="63" t="str">
        <f>'RAW DATA 2023'!D493</f>
        <v>B1-013-0013</v>
      </c>
      <c r="C109" s="63" t="str">
        <f t="shared" si="5"/>
        <v>Bo ThongB1-013-0013</v>
      </c>
      <c r="D109" s="68">
        <f>VLOOKUP(C109,'RAW DATA 2023'!E:BP,63,0)</f>
        <v>6</v>
      </c>
      <c r="E109" s="68" t="str">
        <f t="shared" si="6"/>
        <v>Bo Thong6</v>
      </c>
      <c r="F109" s="63" t="str">
        <f>VLOOKUP(C109,'RAW DATA 2023'!E:BO,5,0)</f>
        <v>Outdoor</v>
      </c>
      <c r="G109" s="63" t="s">
        <v>67</v>
      </c>
      <c r="H109" s="63">
        <f>VLOOKUP(C109,'RAW DATA 2023'!E:BO,2,0)</f>
        <v>2.76</v>
      </c>
      <c r="I109" s="106">
        <f>VLOOKUP(C109,'RAW DATA 2023'!E:BO,22,0)</f>
        <v>7.8226376811594207</v>
      </c>
      <c r="J109" s="72">
        <f t="shared" si="7"/>
        <v>4.8226376811594207</v>
      </c>
      <c r="K109" s="109">
        <f t="shared" si="8"/>
        <v>8.0377294685990357</v>
      </c>
      <c r="L109" s="63">
        <f t="shared" si="9"/>
        <v>6.25</v>
      </c>
      <c r="M109" s="123"/>
    </row>
    <row r="110" spans="1:13" hidden="1">
      <c r="A110" s="63" t="str">
        <f>'RAW DATA 2023'!B500</f>
        <v>Bo Thong</v>
      </c>
      <c r="B110" s="63" t="str">
        <f>'RAW DATA 2023'!D500</f>
        <v>B1-011-0013</v>
      </c>
      <c r="C110" s="63" t="str">
        <f t="shared" si="5"/>
        <v>Bo ThongB1-011-0013</v>
      </c>
      <c r="D110" s="68">
        <f>VLOOKUP(C110,'RAW DATA 2023'!E:BP,63,0)</f>
        <v>7</v>
      </c>
      <c r="E110" s="68" t="str">
        <f t="shared" si="6"/>
        <v>Bo Thong7</v>
      </c>
      <c r="F110" s="63" t="str">
        <f>VLOOKUP(C110,'RAW DATA 2023'!E:BO,5,0)</f>
        <v>Outdoor</v>
      </c>
      <c r="G110" s="63" t="s">
        <v>67</v>
      </c>
      <c r="H110" s="63">
        <f>VLOOKUP(C110,'RAW DATA 2023'!E:BO,2,0)</f>
        <v>2.89</v>
      </c>
      <c r="I110" s="106">
        <f>VLOOKUP(C110,'RAW DATA 2023'!E:BO,22,0)</f>
        <v>10.54811418685121</v>
      </c>
      <c r="J110" s="72">
        <f t="shared" si="7"/>
        <v>7.5481141868512101</v>
      </c>
      <c r="K110" s="109">
        <f t="shared" si="8"/>
        <v>12.580190311418685</v>
      </c>
      <c r="L110" s="63">
        <f t="shared" si="9"/>
        <v>6.25</v>
      </c>
      <c r="M110" s="123"/>
    </row>
    <row r="111" spans="1:13" hidden="1">
      <c r="A111" s="63" t="str">
        <f>'RAW DATA 2023'!B501</f>
        <v>Bo Thong</v>
      </c>
      <c r="B111" s="63" t="str">
        <f>'RAW DATA 2023'!D501</f>
        <v>BG-001-0012</v>
      </c>
      <c r="C111" s="63" t="str">
        <f t="shared" si="5"/>
        <v>Bo ThongBG-001-0012</v>
      </c>
      <c r="D111" s="68">
        <f>VLOOKUP(C111,'RAW DATA 2023'!E:BP,63,0)</f>
        <v>7</v>
      </c>
      <c r="E111" s="68" t="str">
        <f t="shared" si="6"/>
        <v>Bo Thong7</v>
      </c>
      <c r="F111" s="63" t="str">
        <f>VLOOKUP(C111,'RAW DATA 2023'!E:BO,5,0)</f>
        <v>Greenhouse</v>
      </c>
      <c r="G111" s="63" t="s">
        <v>67</v>
      </c>
      <c r="H111" s="63">
        <f>VLOOKUP(C111,'RAW DATA 2023'!E:BO,2,0)</f>
        <v>1.92</v>
      </c>
      <c r="I111" s="106">
        <f>VLOOKUP(C111,'RAW DATA 2023'!E:BO,22,0)</f>
        <v>4.1880312499999999</v>
      </c>
      <c r="J111" s="72">
        <f t="shared" si="7"/>
        <v>0.18803124999999987</v>
      </c>
      <c r="K111" s="109">
        <f t="shared" si="8"/>
        <v>0.31338541666666647</v>
      </c>
      <c r="L111" s="63">
        <f t="shared" si="9"/>
        <v>0.31338541666666647</v>
      </c>
      <c r="M111" s="123"/>
    </row>
    <row r="112" spans="1:13" hidden="1">
      <c r="A112" s="63" t="str">
        <f>'RAW DATA 2023'!B505</f>
        <v>Bangsakao</v>
      </c>
      <c r="B112" s="63" t="str">
        <f>'RAW DATA 2023'!D505</f>
        <v>DG-003-0025</v>
      </c>
      <c r="C112" s="63" t="str">
        <f t="shared" si="5"/>
        <v>BangsakaoDG-003-0025</v>
      </c>
      <c r="D112" s="68">
        <f>VLOOKUP(C112,'RAW DATA 2023'!E:BP,63,0)</f>
        <v>7</v>
      </c>
      <c r="E112" s="68" t="str">
        <f t="shared" si="6"/>
        <v>Bangsakao7</v>
      </c>
      <c r="F112" s="63" t="str">
        <f>VLOOKUP(C112,'RAW DATA 2023'!E:BO,5,0)</f>
        <v>Greenhouse</v>
      </c>
      <c r="G112" s="63" t="s">
        <v>67</v>
      </c>
      <c r="H112" s="63">
        <f>VLOOKUP(C112,'RAW DATA 2023'!E:BO,2,0)</f>
        <v>1.9</v>
      </c>
      <c r="I112" s="106">
        <f>VLOOKUP(C112,'RAW DATA 2023'!E:BO,22,0)</f>
        <v>11.475621052631579</v>
      </c>
      <c r="J112" s="72">
        <f t="shared" si="7"/>
        <v>7.4756210526315794</v>
      </c>
      <c r="K112" s="109">
        <f t="shared" si="8"/>
        <v>12.459368421052632</v>
      </c>
      <c r="L112" s="63">
        <f t="shared" si="9"/>
        <v>6.25</v>
      </c>
      <c r="M112" s="123"/>
    </row>
    <row r="113" spans="1:13" hidden="1">
      <c r="A113" s="63" t="str">
        <f>'RAW DATA 2023'!B566</f>
        <v>Lucky2</v>
      </c>
      <c r="B113" s="63" t="str">
        <f>'RAW DATA 2023'!D566</f>
        <v>A1-045-0003</v>
      </c>
      <c r="C113" s="63" t="str">
        <f t="shared" si="5"/>
        <v>Lucky2A1-045-0003</v>
      </c>
      <c r="D113" s="68">
        <f>VLOOKUP(C113,'RAW DATA 2023'!E:BP,63,0)</f>
        <v>3</v>
      </c>
      <c r="E113" s="68" t="str">
        <f t="shared" si="6"/>
        <v>Lucky23</v>
      </c>
      <c r="F113" s="63" t="str">
        <f>VLOOKUP(C113,'RAW DATA 2023'!E:BO,5,0)</f>
        <v>Outdoor</v>
      </c>
      <c r="G113" s="63" t="s">
        <v>67</v>
      </c>
      <c r="H113" s="63">
        <f>VLOOKUP(C113,'RAW DATA 2023'!E:BO,2,0)</f>
        <v>5.3</v>
      </c>
      <c r="I113" s="106">
        <f>VLOOKUP(C113,'RAW DATA 2023'!E:BO,22,0)</f>
        <v>7.4231547169811325</v>
      </c>
      <c r="J113" s="72">
        <f t="shared" si="7"/>
        <v>5.4231547169811325</v>
      </c>
      <c r="K113" s="109">
        <f t="shared" si="8"/>
        <v>9.0385911949685553</v>
      </c>
      <c r="L113" s="63">
        <f t="shared" si="9"/>
        <v>6.25</v>
      </c>
      <c r="M113" s="123"/>
    </row>
    <row r="114" spans="1:13" hidden="1">
      <c r="A114" s="63" t="str">
        <f>'RAW DATA 2023'!B568</f>
        <v>Lucky2</v>
      </c>
      <c r="B114" s="63" t="str">
        <f>'RAW DATA 2023'!D568</f>
        <v>A1-045-0004</v>
      </c>
      <c r="C114" s="63" t="str">
        <f t="shared" si="5"/>
        <v>Lucky2A1-045-0004</v>
      </c>
      <c r="D114" s="68">
        <f>VLOOKUP(C114,'RAW DATA 2023'!E:BP,63,0)</f>
        <v>6</v>
      </c>
      <c r="E114" s="68" t="str">
        <f t="shared" si="6"/>
        <v>Lucky26</v>
      </c>
      <c r="F114" s="63" t="str">
        <f>VLOOKUP(C114,'RAW DATA 2023'!E:BO,5,0)</f>
        <v>Outdoor</v>
      </c>
      <c r="G114" s="63" t="s">
        <v>67</v>
      </c>
      <c r="H114" s="63">
        <f>VLOOKUP(C114,'RAW DATA 2023'!E:BO,2,0)</f>
        <v>5.3</v>
      </c>
      <c r="I114" s="106">
        <f>VLOOKUP(C114,'RAW DATA 2023'!E:BO,22,0)</f>
        <v>4.6213566037735845</v>
      </c>
      <c r="J114" s="72">
        <f t="shared" si="7"/>
        <v>2.6213566037735845</v>
      </c>
      <c r="K114" s="109">
        <f t="shared" si="8"/>
        <v>4.3689276729559747</v>
      </c>
      <c r="L114" s="63">
        <f t="shared" si="9"/>
        <v>4.3689276729559747</v>
      </c>
      <c r="M114" s="123"/>
    </row>
    <row r="115" spans="1:13" hidden="1">
      <c r="A115" s="63" t="str">
        <f>'RAW DATA 2023'!B570</f>
        <v>Lucky2</v>
      </c>
      <c r="B115" s="63" t="str">
        <f>'RAW DATA 2023'!D570</f>
        <v>A1-045-0005</v>
      </c>
      <c r="C115" s="63" t="str">
        <f t="shared" si="5"/>
        <v>Lucky2A1-045-0005</v>
      </c>
      <c r="D115" s="68">
        <f>VLOOKUP(C115,'RAW DATA 2023'!E:BP,63,0)</f>
        <v>9</v>
      </c>
      <c r="E115" s="68" t="str">
        <f t="shared" si="6"/>
        <v>Lucky29</v>
      </c>
      <c r="F115" s="63" t="str">
        <f>VLOOKUP(C115,'RAW DATA 2023'!E:BO,5,0)</f>
        <v>Outdoor</v>
      </c>
      <c r="G115" s="63" t="s">
        <v>67</v>
      </c>
      <c r="H115" s="63">
        <f>VLOOKUP(C115,'RAW DATA 2023'!E:BO,2,0)</f>
        <v>5.3</v>
      </c>
      <c r="I115" s="106">
        <f>VLOOKUP(C115,'RAW DATA 2023'!E:BO,22,0)</f>
        <v>4.2543433962264157</v>
      </c>
      <c r="J115" s="72">
        <f t="shared" si="7"/>
        <v>2.2543433962264157</v>
      </c>
      <c r="K115" s="109">
        <f t="shared" si="8"/>
        <v>3.7572389937106929</v>
      </c>
      <c r="L115" s="63">
        <f t="shared" si="9"/>
        <v>3.7572389937106929</v>
      </c>
      <c r="M115" s="123"/>
    </row>
    <row r="116" spans="1:13" hidden="1">
      <c r="A116" s="63" t="str">
        <f>'RAW DATA 2023'!B572</f>
        <v>Lucky2</v>
      </c>
      <c r="B116" s="63" t="str">
        <f>'RAW DATA 2023'!D572</f>
        <v>AC-005-0010</v>
      </c>
      <c r="C116" s="63" t="str">
        <f t="shared" si="5"/>
        <v>Lucky2AC-005-0010</v>
      </c>
      <c r="D116" s="68">
        <f>VLOOKUP(C116,'RAW DATA 2023'!E:BP,63,0)</f>
        <v>7</v>
      </c>
      <c r="E116" s="68" t="str">
        <f t="shared" si="6"/>
        <v>Lucky27</v>
      </c>
      <c r="F116" s="63" t="str">
        <f>VLOOKUP(C116,'RAW DATA 2023'!E:BO,5,0)</f>
        <v>Tank</v>
      </c>
      <c r="G116" s="63" t="s">
        <v>67</v>
      </c>
      <c r="H116" s="63">
        <f>VLOOKUP(C116,'RAW DATA 2023'!E:BO,2,0)</f>
        <v>0.5</v>
      </c>
      <c r="I116" s="106">
        <f>VLOOKUP(C116,'RAW DATA 2023'!E:BO,22,0)</f>
        <v>6.2941400000000005</v>
      </c>
      <c r="J116" s="72">
        <f t="shared" si="7"/>
        <v>0.29414000000000051</v>
      </c>
      <c r="K116" s="109">
        <f t="shared" si="8"/>
        <v>0.49023333333333419</v>
      </c>
      <c r="L116" s="63">
        <f t="shared" si="9"/>
        <v>0.49023333333333419</v>
      </c>
      <c r="M116" s="123"/>
    </row>
    <row r="117" spans="1:13" hidden="1">
      <c r="A117" s="63" t="str">
        <f>'RAW DATA 2023'!B573</f>
        <v>Lucky2</v>
      </c>
      <c r="B117" s="63" t="str">
        <f>'RAW DATA 2023'!D573</f>
        <v>AC-003-0009</v>
      </c>
      <c r="C117" s="63" t="str">
        <f t="shared" si="5"/>
        <v>Lucky2AC-003-0009</v>
      </c>
      <c r="D117" s="68">
        <f>VLOOKUP(C117,'RAW DATA 2023'!E:BP,63,0)</f>
        <v>7</v>
      </c>
      <c r="E117" s="68" t="str">
        <f t="shared" si="6"/>
        <v>Lucky27</v>
      </c>
      <c r="F117" s="63" t="str">
        <f>VLOOKUP(C117,'RAW DATA 2023'!E:BO,5,0)</f>
        <v>Tank</v>
      </c>
      <c r="G117" s="63" t="s">
        <v>67</v>
      </c>
      <c r="H117" s="63">
        <f>VLOOKUP(C117,'RAW DATA 2023'!E:BO,2,0)</f>
        <v>0.5</v>
      </c>
      <c r="I117" s="106">
        <f>VLOOKUP(C117,'RAW DATA 2023'!E:BO,22,0)</f>
        <v>10.158719999999999</v>
      </c>
      <c r="J117" s="72">
        <f t="shared" si="7"/>
        <v>4.1587199999999989</v>
      </c>
      <c r="K117" s="109">
        <f t="shared" si="8"/>
        <v>6.9311999999999987</v>
      </c>
      <c r="L117" s="63">
        <f t="shared" si="9"/>
        <v>6.25</v>
      </c>
      <c r="M117" s="123"/>
    </row>
    <row r="118" spans="1:13" hidden="1">
      <c r="A118" s="63" t="str">
        <f>'RAW DATA 2023'!B575</f>
        <v>Laemsing</v>
      </c>
      <c r="B118" s="63" t="str">
        <f>'RAW DATA 2023'!D575</f>
        <v>A1-026-0016</v>
      </c>
      <c r="C118" s="63" t="str">
        <f t="shared" si="5"/>
        <v>LaemsingA1-026-0016</v>
      </c>
      <c r="D118" s="68">
        <f>VLOOKUP(C118,'RAW DATA 2023'!E:BP,63,0)</f>
        <v>8</v>
      </c>
      <c r="E118" s="68" t="str">
        <f t="shared" si="6"/>
        <v>Laemsing8</v>
      </c>
      <c r="F118" s="63" t="str">
        <f>VLOOKUP(C118,'RAW DATA 2023'!E:BO,5,0)</f>
        <v>Outdoor</v>
      </c>
      <c r="G118" s="63" t="s">
        <v>67</v>
      </c>
      <c r="H118" s="63">
        <f>VLOOKUP(C118,'RAW DATA 2023'!E:BO,2,0)</f>
        <v>2.2000000000000002</v>
      </c>
      <c r="I118" s="106">
        <f>VLOOKUP(C118,'RAW DATA 2023'!E:BO,22,0)</f>
        <v>7.7922590909090914</v>
      </c>
      <c r="J118" s="72">
        <f t="shared" si="7"/>
        <v>4.7922590909090914</v>
      </c>
      <c r="K118" s="109">
        <f t="shared" si="8"/>
        <v>7.9870984848484863</v>
      </c>
      <c r="L118" s="63">
        <f t="shared" si="9"/>
        <v>6.25</v>
      </c>
      <c r="M118" s="123"/>
    </row>
    <row r="119" spans="1:13" hidden="1">
      <c r="A119" s="63" t="str">
        <f>'RAW DATA 2023'!B576</f>
        <v>Laemsing</v>
      </c>
      <c r="B119" s="63" t="str">
        <f>'RAW DATA 2023'!D576</f>
        <v>A1-002-0037</v>
      </c>
      <c r="C119" s="63" t="str">
        <f t="shared" si="5"/>
        <v>LaemsingA1-002-0037</v>
      </c>
      <c r="D119" s="68">
        <f>VLOOKUP(C119,'RAW DATA 2023'!E:BP,63,0)</f>
        <v>3</v>
      </c>
      <c r="E119" s="68" t="str">
        <f t="shared" si="6"/>
        <v>Laemsing3</v>
      </c>
      <c r="F119" s="63" t="str">
        <f>VLOOKUP(C119,'RAW DATA 2023'!E:BO,5,0)</f>
        <v>Outdoor</v>
      </c>
      <c r="G119" s="63" t="s">
        <v>67</v>
      </c>
      <c r="H119" s="63">
        <f>VLOOKUP(C119,'RAW DATA 2023'!E:BO,2,0)</f>
        <v>3</v>
      </c>
      <c r="I119" s="106">
        <f>VLOOKUP(C119,'RAW DATA 2023'!E:BO,22,0)</f>
        <v>6.2272100000000004</v>
      </c>
      <c r="J119" s="72">
        <f t="shared" si="7"/>
        <v>3.2272100000000004</v>
      </c>
      <c r="K119" s="109">
        <f t="shared" si="8"/>
        <v>5.3786833333333339</v>
      </c>
      <c r="L119" s="63">
        <f t="shared" si="9"/>
        <v>5.3786833333333339</v>
      </c>
      <c r="M119" s="123"/>
    </row>
    <row r="120" spans="1:13" hidden="1">
      <c r="A120" s="63" t="str">
        <f>'RAW DATA 2023'!B577</f>
        <v>Laemsing</v>
      </c>
      <c r="B120" s="63" t="str">
        <f>'RAW DATA 2023'!D577</f>
        <v>A1-025-0014</v>
      </c>
      <c r="C120" s="63" t="str">
        <f t="shared" si="5"/>
        <v>LaemsingA1-025-0014</v>
      </c>
      <c r="D120" s="68">
        <f>VLOOKUP(C120,'RAW DATA 2023'!E:BP,63,0)</f>
        <v>7</v>
      </c>
      <c r="E120" s="68" t="str">
        <f t="shared" si="6"/>
        <v>Laemsing7</v>
      </c>
      <c r="F120" s="63" t="str">
        <f>VLOOKUP(C120,'RAW DATA 2023'!E:BO,5,0)</f>
        <v>Outdoor</v>
      </c>
      <c r="G120" s="63" t="s">
        <v>67</v>
      </c>
      <c r="H120" s="63">
        <f>VLOOKUP(C120,'RAW DATA 2023'!E:BO,2,0)</f>
        <v>2.5</v>
      </c>
      <c r="I120" s="106">
        <f>VLOOKUP(C120,'RAW DATA 2023'!E:BO,22,0)</f>
        <v>4.9529519999999998</v>
      </c>
      <c r="J120" s="72">
        <f t="shared" si="7"/>
        <v>1.9529519999999998</v>
      </c>
      <c r="K120" s="109">
        <f t="shared" si="8"/>
        <v>3.2549199999999998</v>
      </c>
      <c r="L120" s="63">
        <f t="shared" si="9"/>
        <v>3.2549199999999998</v>
      </c>
      <c r="M120" s="123"/>
    </row>
    <row r="121" spans="1:13" hidden="1">
      <c r="A121" s="63" t="str">
        <f>'RAW DATA 2023'!B578</f>
        <v>Laemsing</v>
      </c>
      <c r="B121" s="63" t="str">
        <f>'RAW DATA 2023'!D578</f>
        <v>A1-019-0029</v>
      </c>
      <c r="C121" s="63" t="str">
        <f t="shared" si="5"/>
        <v>LaemsingA1-019-0029</v>
      </c>
      <c r="D121" s="68">
        <f>VLOOKUP(C121,'RAW DATA 2023'!E:BP,63,0)</f>
        <v>7</v>
      </c>
      <c r="E121" s="68" t="str">
        <f t="shared" si="6"/>
        <v>Laemsing7</v>
      </c>
      <c r="F121" s="63" t="str">
        <f>VLOOKUP(C121,'RAW DATA 2023'!E:BO,5,0)</f>
        <v>Outdoor</v>
      </c>
      <c r="G121" s="63" t="s">
        <v>67</v>
      </c>
      <c r="H121" s="63">
        <f>VLOOKUP(C121,'RAW DATA 2023'!E:BO,2,0)</f>
        <v>2.2000000000000002</v>
      </c>
      <c r="I121" s="106">
        <f>VLOOKUP(C121,'RAW DATA 2023'!E:BO,22,0)</f>
        <v>4.6777818181818187</v>
      </c>
      <c r="J121" s="72">
        <f t="shared" si="7"/>
        <v>1.6777818181818187</v>
      </c>
      <c r="K121" s="109">
        <f t="shared" si="8"/>
        <v>2.7963030303030312</v>
      </c>
      <c r="L121" s="63">
        <f t="shared" si="9"/>
        <v>2.7963030303030312</v>
      </c>
      <c r="M121" s="123"/>
    </row>
    <row r="122" spans="1:13" hidden="1">
      <c r="A122" s="63" t="str">
        <f>'RAW DATA 2023'!B588</f>
        <v>Laemsing</v>
      </c>
      <c r="B122" s="63" t="str">
        <f>'RAW DATA 2023'!D588</f>
        <v>B1-027-0014</v>
      </c>
      <c r="C122" s="63" t="str">
        <f t="shared" si="5"/>
        <v>LaemsingB1-027-0014</v>
      </c>
      <c r="D122" s="68">
        <f>VLOOKUP(C122,'RAW DATA 2023'!E:BP,63,0)</f>
        <v>4</v>
      </c>
      <c r="E122" s="68" t="str">
        <f t="shared" si="6"/>
        <v>Laemsing4</v>
      </c>
      <c r="F122" s="63" t="str">
        <f>VLOOKUP(C122,'RAW DATA 2023'!E:BO,5,0)</f>
        <v>Outdoor</v>
      </c>
      <c r="G122" s="63" t="s">
        <v>67</v>
      </c>
      <c r="H122" s="63">
        <f>VLOOKUP(C122,'RAW DATA 2023'!E:BO,2,0)</f>
        <v>2.1</v>
      </c>
      <c r="I122" s="106">
        <f>VLOOKUP(C122,'RAW DATA 2023'!E:BO,22,0)</f>
        <v>12.261547619047619</v>
      </c>
      <c r="J122" s="72">
        <f t="shared" si="7"/>
        <v>9.2615476190476187</v>
      </c>
      <c r="K122" s="109">
        <f t="shared" si="8"/>
        <v>15.435912698412698</v>
      </c>
      <c r="L122" s="63">
        <f t="shared" si="9"/>
        <v>6.25</v>
      </c>
      <c r="M122" s="123"/>
    </row>
    <row r="123" spans="1:13" hidden="1">
      <c r="A123" s="63" t="str">
        <f>'RAW DATA 2023'!B590</f>
        <v>Laemsing</v>
      </c>
      <c r="B123" s="63" t="str">
        <f>'RAW DATA 2023'!D590</f>
        <v>B1-013-0032</v>
      </c>
      <c r="C123" s="63" t="str">
        <f t="shared" si="5"/>
        <v>LaemsingB1-013-0032</v>
      </c>
      <c r="D123" s="68">
        <f>VLOOKUP(C123,'RAW DATA 2023'!E:BP,63,0)</f>
        <v>4</v>
      </c>
      <c r="E123" s="68" t="str">
        <f t="shared" si="6"/>
        <v>Laemsing4</v>
      </c>
      <c r="F123" s="63" t="str">
        <f>VLOOKUP(C123,'RAW DATA 2023'!E:BO,5,0)</f>
        <v>Outdoor</v>
      </c>
      <c r="G123" s="63" t="s">
        <v>67</v>
      </c>
      <c r="H123" s="63">
        <f>VLOOKUP(C123,'RAW DATA 2023'!E:BO,2,0)</f>
        <v>2.1</v>
      </c>
      <c r="I123" s="106">
        <f>VLOOKUP(C123,'RAW DATA 2023'!E:BO,22,0)</f>
        <v>8.5853285714285708</v>
      </c>
      <c r="J123" s="72">
        <f t="shared" si="7"/>
        <v>5.5853285714285708</v>
      </c>
      <c r="K123" s="109">
        <f t="shared" si="8"/>
        <v>9.3088809523809513</v>
      </c>
      <c r="L123" s="63">
        <f t="shared" si="9"/>
        <v>6.25</v>
      </c>
      <c r="M123" s="123"/>
    </row>
    <row r="124" spans="1:13" hidden="1">
      <c r="A124" s="63" t="str">
        <f>'RAW DATA 2023'!B597</f>
        <v>Lucky1</v>
      </c>
      <c r="B124" s="63" t="str">
        <f>'RAW DATA 2023'!D597</f>
        <v>BG-028-0012</v>
      </c>
      <c r="C124" s="63" t="str">
        <f t="shared" si="5"/>
        <v>Lucky1BG-028-0012</v>
      </c>
      <c r="D124" s="68">
        <f>VLOOKUP(C124,'RAW DATA 2023'!E:BP,63,0)</f>
        <v>6</v>
      </c>
      <c r="E124" s="68" t="str">
        <f t="shared" si="6"/>
        <v>Lucky16</v>
      </c>
      <c r="F124" s="63" t="str">
        <f>VLOOKUP(C124,'RAW DATA 2023'!E:BO,5,0)</f>
        <v>Greenhouse</v>
      </c>
      <c r="G124" s="63" t="s">
        <v>67</v>
      </c>
      <c r="H124" s="63">
        <f>VLOOKUP(C124,'RAW DATA 2023'!E:BO,2,0)</f>
        <v>2.1</v>
      </c>
      <c r="I124" s="106">
        <f>VLOOKUP(C124,'RAW DATA 2023'!E:BO,22,0)</f>
        <v>8.9890857142857161</v>
      </c>
      <c r="J124" s="72">
        <f t="shared" si="7"/>
        <v>4.9890857142857161</v>
      </c>
      <c r="K124" s="109">
        <f t="shared" si="8"/>
        <v>8.3151428571428614</v>
      </c>
      <c r="L124" s="63">
        <f t="shared" si="9"/>
        <v>6.25</v>
      </c>
      <c r="M124" s="123"/>
    </row>
    <row r="125" spans="1:13" hidden="1">
      <c r="A125" s="63" t="str">
        <f>'RAW DATA 2023'!B604</f>
        <v>Lucky1</v>
      </c>
      <c r="B125" s="63" t="str">
        <f>'RAW DATA 2023'!D604</f>
        <v>BG-028-0011</v>
      </c>
      <c r="C125" s="63" t="str">
        <f t="shared" si="5"/>
        <v>Lucky1BG-028-0011</v>
      </c>
      <c r="D125" s="68">
        <f>VLOOKUP(C125,'RAW DATA 2023'!E:BP,63,0)</f>
        <v>2</v>
      </c>
      <c r="E125" s="68" t="str">
        <f t="shared" si="6"/>
        <v>Lucky12</v>
      </c>
      <c r="F125" s="63" t="str">
        <f>VLOOKUP(C125,'RAW DATA 2023'!E:BO,5,0)</f>
        <v>Greenhouse</v>
      </c>
      <c r="G125" s="63" t="s">
        <v>67</v>
      </c>
      <c r="H125" s="63">
        <f>VLOOKUP(C125,'RAW DATA 2023'!E:BO,2,0)</f>
        <v>2.1</v>
      </c>
      <c r="I125" s="106">
        <f>VLOOKUP(C125,'RAW DATA 2023'!E:BO,22,0)</f>
        <v>4.0879190476190468</v>
      </c>
      <c r="J125" s="72">
        <f t="shared" si="7"/>
        <v>8.7919047619046786E-2</v>
      </c>
      <c r="K125" s="109">
        <f t="shared" si="8"/>
        <v>0.14653174603174465</v>
      </c>
      <c r="L125" s="63">
        <f t="shared" si="9"/>
        <v>0.14653174603174465</v>
      </c>
      <c r="M125" s="123"/>
    </row>
    <row r="126" spans="1:13" hidden="1">
      <c r="A126" s="63" t="str">
        <f>'RAW DATA 2023'!B609</f>
        <v>Lucky1</v>
      </c>
      <c r="B126" s="63" t="str">
        <f>'RAW DATA 2023'!D609</f>
        <v>B1-020-0010</v>
      </c>
      <c r="C126" s="63" t="str">
        <f t="shared" si="5"/>
        <v>Lucky1B1-020-0010</v>
      </c>
      <c r="D126" s="68">
        <f>VLOOKUP(C126,'RAW DATA 2023'!E:BP,63,0)</f>
        <v>2</v>
      </c>
      <c r="E126" s="68" t="str">
        <f t="shared" si="6"/>
        <v>Lucky12</v>
      </c>
      <c r="F126" s="63" t="str">
        <f>VLOOKUP(C126,'RAW DATA 2023'!E:BO,5,0)</f>
        <v>Outdoor</v>
      </c>
      <c r="G126" s="63" t="s">
        <v>67</v>
      </c>
      <c r="H126" s="63">
        <f>VLOOKUP(C126,'RAW DATA 2023'!E:BO,2,0)</f>
        <v>2.1</v>
      </c>
      <c r="I126" s="106">
        <f>VLOOKUP(C126,'RAW DATA 2023'!E:BO,22,0)</f>
        <v>8.0651952380952388</v>
      </c>
      <c r="J126" s="72">
        <f t="shared" si="7"/>
        <v>5.0651952380952388</v>
      </c>
      <c r="K126" s="109">
        <f t="shared" si="8"/>
        <v>8.4419920634920658</v>
      </c>
      <c r="L126" s="63">
        <f t="shared" si="9"/>
        <v>6.25</v>
      </c>
      <c r="M126" s="123"/>
    </row>
    <row r="127" spans="1:13" hidden="1">
      <c r="A127" s="63" t="str">
        <f>'RAW DATA 2023'!B617</f>
        <v>Lucky1</v>
      </c>
      <c r="B127" s="63" t="str">
        <f>'RAW DATA 2023'!D617</f>
        <v>B1-021-0015</v>
      </c>
      <c r="C127" s="63" t="str">
        <f t="shared" si="5"/>
        <v>Lucky1B1-021-0015</v>
      </c>
      <c r="D127" s="68">
        <f>VLOOKUP(C127,'RAW DATA 2023'!E:BP,63,0)</f>
        <v>8</v>
      </c>
      <c r="E127" s="68" t="str">
        <f t="shared" si="6"/>
        <v>Lucky18</v>
      </c>
      <c r="F127" s="63" t="str">
        <f>VLOOKUP(C127,'RAW DATA 2023'!E:BO,5,0)</f>
        <v>Outdoor</v>
      </c>
      <c r="G127" s="63" t="s">
        <v>67</v>
      </c>
      <c r="H127" s="63">
        <f>VLOOKUP(C127,'RAW DATA 2023'!E:BO,2,0)</f>
        <v>2.1</v>
      </c>
      <c r="I127" s="106">
        <f>VLOOKUP(C127,'RAW DATA 2023'!E:BO,22,0)</f>
        <v>3.6465380952380952</v>
      </c>
      <c r="J127" s="72">
        <f t="shared" si="7"/>
        <v>0.64653809523809525</v>
      </c>
      <c r="K127" s="109">
        <f t="shared" si="8"/>
        <v>1.0775634920634922</v>
      </c>
      <c r="L127" s="63">
        <f t="shared" si="9"/>
        <v>1.0775634920634922</v>
      </c>
      <c r="M127" s="123"/>
    </row>
    <row r="128" spans="1:13" hidden="1">
      <c r="A128" s="63" t="str">
        <f>'RAW DATA 2023'!B690</f>
        <v>Chantaburi3</v>
      </c>
      <c r="B128" s="63" t="str">
        <f>'RAW DATA 2023'!D690</f>
        <v>A1-010-0047</v>
      </c>
      <c r="C128" s="63" t="str">
        <f t="shared" si="5"/>
        <v>Chantaburi3A1-010-0047</v>
      </c>
      <c r="D128" s="68">
        <f>VLOOKUP(C128,'RAW DATA 2023'!E:BP,63,0)</f>
        <v>7</v>
      </c>
      <c r="E128" s="68" t="str">
        <f t="shared" si="6"/>
        <v>Chantaburi37</v>
      </c>
      <c r="F128" s="63" t="str">
        <f>VLOOKUP(C128,'RAW DATA 2023'!E:BO,5,0)</f>
        <v>Outdoor</v>
      </c>
      <c r="G128" s="63" t="s">
        <v>1955</v>
      </c>
      <c r="H128" s="63">
        <f>VLOOKUP(C128,'RAW DATA 2023'!E:BO,2,0)</f>
        <v>3.9</v>
      </c>
      <c r="I128" s="106">
        <f>VLOOKUP(C128,'RAW DATA 2023'!E:BO,22,0)</f>
        <v>3.6759538461538459</v>
      </c>
      <c r="J128" s="72">
        <f t="shared" si="7"/>
        <v>0.67595384615384591</v>
      </c>
      <c r="K128" s="109">
        <f t="shared" si="8"/>
        <v>1.1265897435897432</v>
      </c>
      <c r="L128" s="63">
        <f t="shared" si="9"/>
        <v>1.1265897435897432</v>
      </c>
      <c r="M128" s="123"/>
    </row>
    <row r="129" spans="1:13" hidden="1">
      <c r="A129" s="63" t="str">
        <f>'RAW DATA 2023'!B723</f>
        <v>Tachalab</v>
      </c>
      <c r="B129" s="63" t="str">
        <f>'RAW DATA 2023'!D723</f>
        <v>A1-012-0016</v>
      </c>
      <c r="C129" s="63" t="str">
        <f t="shared" si="5"/>
        <v>TachalabA1-012-0016</v>
      </c>
      <c r="D129" s="68">
        <f>VLOOKUP(C129,'RAW DATA 2023'!E:BP,63,0)</f>
        <v>3</v>
      </c>
      <c r="E129" s="68" t="str">
        <f t="shared" si="6"/>
        <v>Tachalab3</v>
      </c>
      <c r="F129" s="63" t="str">
        <f>VLOOKUP(C129,'RAW DATA 2023'!E:BO,5,0)</f>
        <v>Outdoor</v>
      </c>
      <c r="G129" s="63" t="s">
        <v>1954</v>
      </c>
      <c r="H129" s="63">
        <f>VLOOKUP(C129,'RAW DATA 2023'!E:BO,2,0)</f>
        <v>2.2999999999999998</v>
      </c>
      <c r="I129" s="106">
        <f>VLOOKUP(C129,'RAW DATA 2023'!E:BO,22,0)</f>
        <v>4.5978130434782605</v>
      </c>
      <c r="J129" s="72">
        <f t="shared" si="7"/>
        <v>1.5978130434782605</v>
      </c>
      <c r="K129" s="109">
        <f t="shared" si="8"/>
        <v>2.6630217391304343</v>
      </c>
      <c r="L129" s="63">
        <f t="shared" si="9"/>
        <v>2.6630217391304343</v>
      </c>
      <c r="M129" s="123"/>
    </row>
    <row r="130" spans="1:13" hidden="1">
      <c r="A130" s="63" t="str">
        <f>'RAW DATA 2023'!B724</f>
        <v>Andaman</v>
      </c>
      <c r="B130" s="63" t="str">
        <f>'RAW DATA 2023'!D724</f>
        <v>A1-014-0018</v>
      </c>
      <c r="C130" s="63" t="str">
        <f t="shared" si="5"/>
        <v>AndamanA1-014-0018</v>
      </c>
      <c r="D130" s="68">
        <f>VLOOKUP(C130,'RAW DATA 2023'!E:BP,63,0)</f>
        <v>5</v>
      </c>
      <c r="E130" s="68" t="str">
        <f t="shared" si="6"/>
        <v>Andaman5</v>
      </c>
      <c r="F130" s="63" t="str">
        <f>VLOOKUP(C130,'RAW DATA 2023'!E:BO,5,0)</f>
        <v>Outdoor</v>
      </c>
      <c r="G130" s="63" t="s">
        <v>67</v>
      </c>
      <c r="H130" s="63">
        <f>VLOOKUP(C130,'RAW DATA 2023'!E:BO,2,0)</f>
        <v>1.5</v>
      </c>
      <c r="I130" s="106">
        <f>VLOOKUP(C130,'RAW DATA 2023'!E:BO,22,0)</f>
        <v>8.4573866666666664</v>
      </c>
      <c r="J130" s="72">
        <f t="shared" si="7"/>
        <v>2.4573866666666664</v>
      </c>
      <c r="K130" s="109">
        <f t="shared" si="8"/>
        <v>4.095644444444444</v>
      </c>
      <c r="L130" s="63">
        <f t="shared" si="9"/>
        <v>4.095644444444444</v>
      </c>
      <c r="M130" s="123"/>
    </row>
    <row r="131" spans="1:13" hidden="1">
      <c r="A131" s="63" t="str">
        <f>'RAW DATA 2023'!B727</f>
        <v>Andaman</v>
      </c>
      <c r="B131" s="63" t="str">
        <f>'RAW DATA 2023'!D727</f>
        <v>A1-016-0015</v>
      </c>
      <c r="C131" s="63" t="str">
        <f t="shared" si="5"/>
        <v>AndamanA1-016-0015</v>
      </c>
      <c r="D131" s="68">
        <f>VLOOKUP(C131,'RAW DATA 2023'!E:BP,63,0)</f>
        <v>9</v>
      </c>
      <c r="E131" s="68" t="str">
        <f t="shared" si="6"/>
        <v>Andaman9</v>
      </c>
      <c r="F131" s="63" t="str">
        <f>VLOOKUP(C131,'RAW DATA 2023'!E:BO,5,0)</f>
        <v>Outdoor</v>
      </c>
      <c r="G131" s="63" t="s">
        <v>67</v>
      </c>
      <c r="H131" s="63">
        <f>VLOOKUP(C131,'RAW DATA 2023'!E:BO,2,0)</f>
        <v>1.5</v>
      </c>
      <c r="I131" s="106">
        <f>VLOOKUP(C131,'RAW DATA 2023'!E:BO,22,0)</f>
        <v>10.248513333333333</v>
      </c>
      <c r="J131" s="72">
        <f t="shared" si="7"/>
        <v>4.2485133333333334</v>
      </c>
      <c r="K131" s="109">
        <f t="shared" si="8"/>
        <v>7.0808555555555559</v>
      </c>
      <c r="L131" s="63">
        <f t="shared" si="9"/>
        <v>6.25</v>
      </c>
      <c r="M131" s="123"/>
    </row>
    <row r="132" spans="1:13">
      <c r="A132" s="63" t="str">
        <f>'RAW DATA 2023'!B733</f>
        <v>Andaman</v>
      </c>
      <c r="B132" s="63" t="str">
        <f>'RAW DATA 2023'!D733</f>
        <v>A1-008-0045</v>
      </c>
      <c r="C132" s="63" t="str">
        <f t="shared" si="5"/>
        <v>AndamanA1-008-0045</v>
      </c>
      <c r="D132" s="68">
        <f>VLOOKUP(C132,'RAW DATA 2023'!E:BP,63,0)</f>
        <v>3</v>
      </c>
      <c r="E132" s="68" t="str">
        <f t="shared" si="6"/>
        <v>Andaman3</v>
      </c>
      <c r="F132" s="63" t="str">
        <f>VLOOKUP(C132,'RAW DATA 2023'!E:BO,5,0)</f>
        <v>Outdoor</v>
      </c>
      <c r="G132" s="63" t="s">
        <v>1951</v>
      </c>
      <c r="H132" s="63">
        <f>VLOOKUP(C132,'RAW DATA 2023'!E:BO,2,0)</f>
        <v>2.5</v>
      </c>
      <c r="I132" s="106">
        <f>VLOOKUP(C132,'RAW DATA 2023'!E:BO,22,0)</f>
        <v>9.4481839999999995</v>
      </c>
      <c r="J132" s="72">
        <f t="shared" si="7"/>
        <v>6.4481839999999995</v>
      </c>
      <c r="K132" s="109">
        <f t="shared" si="8"/>
        <v>10.746973333333333</v>
      </c>
      <c r="L132" s="63">
        <f t="shared" si="9"/>
        <v>6.25</v>
      </c>
      <c r="M132" s="123"/>
    </row>
    <row r="133" spans="1:13" hidden="1">
      <c r="A133" s="63" t="str">
        <f>'RAW DATA 2023'!B738</f>
        <v>SR4</v>
      </c>
      <c r="B133" s="63" t="str">
        <f>'RAW DATA 2023'!D738</f>
        <v>H1-048-0014</v>
      </c>
      <c r="C133" s="63" t="str">
        <f t="shared" si="5"/>
        <v>SR4H1-048-0014</v>
      </c>
      <c r="D133" s="68">
        <f>VLOOKUP(C133,'RAW DATA 2023'!E:BP,63,0)</f>
        <v>9</v>
      </c>
      <c r="E133" s="68" t="str">
        <f t="shared" si="6"/>
        <v>SR49</v>
      </c>
      <c r="F133" s="63" t="str">
        <f>VLOOKUP(C133,'RAW DATA 2023'!E:BO,5,0)</f>
        <v>Outdoor</v>
      </c>
      <c r="G133" s="63" t="s">
        <v>1954</v>
      </c>
      <c r="H133" s="63">
        <f>VLOOKUP(C133,'RAW DATA 2023'!E:BO,2,0)</f>
        <v>3.3</v>
      </c>
      <c r="I133" s="106">
        <f>VLOOKUP(C133,'RAW DATA 2023'!E:BO,22,0)</f>
        <v>7.3862575757575772</v>
      </c>
      <c r="J133" s="72">
        <f t="shared" si="7"/>
        <v>4.3862575757575772</v>
      </c>
      <c r="K133" s="109">
        <f t="shared" si="8"/>
        <v>7.310429292929296</v>
      </c>
      <c r="L133" s="63">
        <f t="shared" si="9"/>
        <v>6.25</v>
      </c>
      <c r="M133" s="123"/>
    </row>
    <row r="134" spans="1:13" hidden="1">
      <c r="A134" s="63" t="str">
        <f>'RAW DATA 2023'!B745</f>
        <v>SR4</v>
      </c>
      <c r="B134" s="63" t="str">
        <f>'RAW DATA 2023'!D745</f>
        <v>G2-058-0008</v>
      </c>
      <c r="C134" s="63" t="str">
        <f t="shared" si="5"/>
        <v>SR4G2-058-0008</v>
      </c>
      <c r="D134" s="68">
        <f>VLOOKUP(C134,'RAW DATA 2023'!E:BP,63,0)</f>
        <v>12</v>
      </c>
      <c r="E134" s="68" t="str">
        <f t="shared" si="6"/>
        <v>SR412</v>
      </c>
      <c r="F134" s="63" t="str">
        <f>VLOOKUP(C134,'RAW DATA 2023'!E:BO,5,0)</f>
        <v>Greenhouse</v>
      </c>
      <c r="G134" s="63" t="s">
        <v>1954</v>
      </c>
      <c r="H134" s="63">
        <f>VLOOKUP(C134,'RAW DATA 2023'!E:BO,2,0)</f>
        <v>1.85</v>
      </c>
      <c r="I134" s="106">
        <f>VLOOKUP(C134,'RAW DATA 2023'!E:BO,22,0)</f>
        <v>5.8487567567567575</v>
      </c>
      <c r="J134" s="72">
        <f t="shared" si="7"/>
        <v>1.8487567567567575</v>
      </c>
      <c r="K134" s="109">
        <f t="shared" si="8"/>
        <v>3.0812612612612629</v>
      </c>
      <c r="L134" s="63">
        <f t="shared" si="9"/>
        <v>3.0812612612612629</v>
      </c>
      <c r="M134" s="123"/>
    </row>
    <row r="135" spans="1:13" hidden="1">
      <c r="A135" s="63" t="str">
        <f>'RAW DATA 2023'!B766</f>
        <v>SR4</v>
      </c>
      <c r="B135" s="63" t="str">
        <f>'RAW DATA 2023'!D766</f>
        <v>A1-082-0008</v>
      </c>
      <c r="C135" s="63" t="str">
        <f t="shared" si="5"/>
        <v>SR4A1-082-0008</v>
      </c>
      <c r="D135" s="68">
        <f>VLOOKUP(C135,'RAW DATA 2023'!E:BP,63,0)</f>
        <v>1</v>
      </c>
      <c r="E135" s="68" t="str">
        <f t="shared" si="6"/>
        <v>SR41</v>
      </c>
      <c r="F135" s="63" t="str">
        <f>VLOOKUP(C135,'RAW DATA 2023'!E:BO,5,0)</f>
        <v>Outdoor</v>
      </c>
      <c r="G135" s="63" t="s">
        <v>67</v>
      </c>
      <c r="H135" s="63">
        <f>VLOOKUP(C135,'RAW DATA 2023'!E:BO,2,0)</f>
        <v>2</v>
      </c>
      <c r="I135" s="106">
        <f>VLOOKUP(C135,'RAW DATA 2023'!E:BO,22,0)</f>
        <v>1.4420200000000001</v>
      </c>
      <c r="J135" s="72">
        <f t="shared" si="7"/>
        <v>-4.5579799999999997</v>
      </c>
      <c r="K135" s="109">
        <f t="shared" si="8"/>
        <v>-7.5966333333333331</v>
      </c>
      <c r="L135" s="63">
        <f t="shared" si="9"/>
        <v>0</v>
      </c>
      <c r="M135" s="123"/>
    </row>
    <row r="136" spans="1:13" hidden="1">
      <c r="A136" s="63" t="str">
        <f>'RAW DATA 2023'!B781</f>
        <v>Kanchanadit</v>
      </c>
      <c r="B136" s="63" t="str">
        <f>'RAW DATA 2023'!D781</f>
        <v>C1-040-0015</v>
      </c>
      <c r="C136" s="63" t="str">
        <f t="shared" si="5"/>
        <v>KanchanaditC1-040-0015</v>
      </c>
      <c r="D136" s="68">
        <f>VLOOKUP(C136,'RAW DATA 2023'!E:BP,63,0)</f>
        <v>7</v>
      </c>
      <c r="E136" s="68" t="str">
        <f t="shared" si="6"/>
        <v>Kanchanadit7</v>
      </c>
      <c r="F136" s="63" t="str">
        <f>VLOOKUP(C136,'RAW DATA 2023'!E:BO,5,0)</f>
        <v>Outdoor</v>
      </c>
      <c r="G136" s="63" t="s">
        <v>1954</v>
      </c>
      <c r="H136" s="63">
        <f>VLOOKUP(C136,'RAW DATA 2023'!E:BO,2,0)</f>
        <v>1.53</v>
      </c>
      <c r="I136" s="106">
        <f>VLOOKUP(C136,'RAW DATA 2023'!E:BO,22,0)</f>
        <v>7.154908496732026</v>
      </c>
      <c r="J136" s="72">
        <f t="shared" si="7"/>
        <v>1.154908496732026</v>
      </c>
      <c r="K136" s="109">
        <f t="shared" si="8"/>
        <v>1.9248474945533767</v>
      </c>
      <c r="L136" s="63">
        <f t="shared" si="9"/>
        <v>1.9248474945533767</v>
      </c>
      <c r="M136" s="123"/>
    </row>
    <row r="137" spans="1:13" hidden="1">
      <c r="A137" s="63" t="str">
        <f>'RAW DATA 2023'!B786</f>
        <v>Kanchanadit</v>
      </c>
      <c r="B137" s="63" t="str">
        <f>'RAW DATA 2023'!D786</f>
        <v>C1-040-0016</v>
      </c>
      <c r="C137" s="63" t="str">
        <f t="shared" si="5"/>
        <v>KanchanaditC1-040-0016</v>
      </c>
      <c r="D137" s="68">
        <f>VLOOKUP(C137,'RAW DATA 2023'!E:BP,63,0)</f>
        <v>12</v>
      </c>
      <c r="E137" s="68" t="str">
        <f t="shared" si="6"/>
        <v>Kanchanadit12</v>
      </c>
      <c r="F137" s="63" t="str">
        <f>VLOOKUP(C137,'RAW DATA 2023'!E:BO,5,0)</f>
        <v>Outdoor</v>
      </c>
      <c r="G137" s="63" t="s">
        <v>1954</v>
      </c>
      <c r="H137" s="63">
        <f>VLOOKUP(C137,'RAW DATA 2023'!E:BO,2,0)</f>
        <v>1.53</v>
      </c>
      <c r="I137" s="106">
        <f>VLOOKUP(C137,'RAW DATA 2023'!E:BO,22,0)</f>
        <v>2.6172549019607847</v>
      </c>
      <c r="J137" s="72">
        <f t="shared" si="7"/>
        <v>-3.3827450980392153</v>
      </c>
      <c r="K137" s="109">
        <f t="shared" si="8"/>
        <v>-5.6379084967320257</v>
      </c>
      <c r="L137" s="63">
        <f t="shared" si="9"/>
        <v>0</v>
      </c>
      <c r="M137" s="123"/>
    </row>
    <row r="138" spans="1:13" hidden="1">
      <c r="A138" s="63" t="str">
        <f>'RAW DATA 2023'!B10</f>
        <v>Lamae</v>
      </c>
      <c r="B138" s="63" t="str">
        <f>'RAW DATA 2023'!D10</f>
        <v>A1-007-0046</v>
      </c>
      <c r="C138" s="63" t="str">
        <f t="shared" ref="C138:C201" si="10">A138&amp;B138</f>
        <v>LamaeA1-007-0046</v>
      </c>
      <c r="D138" s="68">
        <f>VLOOKUP(C138,'RAW DATA 2023'!E:BP,63,0)</f>
        <v>11</v>
      </c>
      <c r="E138" s="68" t="str">
        <f t="shared" ref="E138:E201" si="11">A138&amp;D138</f>
        <v>Lamae11</v>
      </c>
      <c r="F138" s="63" t="str">
        <f>VLOOKUP(C138,'RAW DATA 2023'!E:BO,5,0)</f>
        <v>Outdoor</v>
      </c>
      <c r="G138" s="63" t="s">
        <v>1954</v>
      </c>
      <c r="H138" s="63">
        <f>VLOOKUP(C138,'RAW DATA 2023'!E:BO,2,0)</f>
        <v>8</v>
      </c>
      <c r="I138" s="106">
        <f>VLOOKUP(C138,'RAW DATA 2023'!E:BO,22,0)</f>
        <v>5.5114425000000002</v>
      </c>
      <c r="J138" s="72">
        <f t="shared" ref="J138:J201" si="12">IF(I138=0,0,IF(F138=$B$2,I138-$B$6,IF(F138=$C$1,I138-$C$6,IF(AND(F138=$C$2,H138&lt;=$C$3),I138-$C$6,IF(AND(F138=$C$2,H138&lt;=$E$3),I138-$D$6,I138-$E$6)))))</f>
        <v>3.5114425000000002</v>
      </c>
      <c r="K138" s="109">
        <f t="shared" ref="K138:K201" si="13">IF(F138=$B$2,J138*$B$7,IF(AND(F138=$C$2,H138&lt;=$C$3),J138*$C$7,IF(AND(F138=$C$2,H138&lt;=$E$3),J138*$D$7,J138*$E$7)))</f>
        <v>5.8524041666666671</v>
      </c>
      <c r="L138" s="63">
        <f t="shared" ref="L138:L201" si="14">IF(K138&gt;=6.25,6.25,IF(K138&lt;=0,0,K138))</f>
        <v>5.8524041666666671</v>
      </c>
      <c r="M138" s="123"/>
    </row>
    <row r="139" spans="1:13" hidden="1">
      <c r="A139" s="63" t="str">
        <f>'RAW DATA 2023'!B14</f>
        <v>Lamae</v>
      </c>
      <c r="B139" s="63" t="str">
        <f>'RAW DATA 2023'!D14</f>
        <v>B1-018-0014</v>
      </c>
      <c r="C139" s="63" t="str">
        <f t="shared" si="10"/>
        <v>LamaeB1-018-0014</v>
      </c>
      <c r="D139" s="68">
        <f>VLOOKUP(C139,'RAW DATA 2023'!E:BP,63,0)</f>
        <v>12</v>
      </c>
      <c r="E139" s="68" t="str">
        <f t="shared" si="11"/>
        <v>Lamae12</v>
      </c>
      <c r="F139" s="63" t="str">
        <f>VLOOKUP(C139,'RAW DATA 2023'!E:BO,5,0)</f>
        <v>Outdoor</v>
      </c>
      <c r="G139" s="63" t="s">
        <v>1954</v>
      </c>
      <c r="H139" s="63">
        <f>VLOOKUP(C139,'RAW DATA 2023'!E:BO,2,0)</f>
        <v>6</v>
      </c>
      <c r="I139" s="106">
        <f>VLOOKUP(C139,'RAW DATA 2023'!E:BO,22,0)</f>
        <v>4.9012199999999995</v>
      </c>
      <c r="J139" s="72">
        <f t="shared" si="12"/>
        <v>2.9012199999999995</v>
      </c>
      <c r="K139" s="109">
        <f t="shared" si="13"/>
        <v>4.8353666666666664</v>
      </c>
      <c r="L139" s="63">
        <f t="shared" si="14"/>
        <v>4.8353666666666664</v>
      </c>
      <c r="M139" s="123"/>
    </row>
    <row r="140" spans="1:13" hidden="1">
      <c r="A140" s="63" t="str">
        <f>'RAW DATA 2023'!B16</f>
        <v>Lamae</v>
      </c>
      <c r="B140" s="63" t="str">
        <f>'RAW DATA 2023'!D16</f>
        <v>B1-018-0012</v>
      </c>
      <c r="C140" s="63" t="str">
        <f t="shared" si="10"/>
        <v>LamaeB1-018-0012</v>
      </c>
      <c r="D140" s="68">
        <f>VLOOKUP(C140,'RAW DATA 2023'!E:BP,63,0)</f>
        <v>3</v>
      </c>
      <c r="E140" s="68" t="str">
        <f t="shared" si="11"/>
        <v>Lamae3</v>
      </c>
      <c r="F140" s="63" t="str">
        <f>VLOOKUP(C140,'RAW DATA 2023'!E:BO,5,0)</f>
        <v>Outdoor</v>
      </c>
      <c r="G140" s="63" t="s">
        <v>1954</v>
      </c>
      <c r="H140" s="63">
        <f>VLOOKUP(C140,'RAW DATA 2023'!E:BO,2,0)</f>
        <v>6</v>
      </c>
      <c r="I140" s="106">
        <f>VLOOKUP(C140,'RAW DATA 2023'!E:BO,22,0)</f>
        <v>5.7046016666666661</v>
      </c>
      <c r="J140" s="72">
        <f t="shared" si="12"/>
        <v>3.7046016666666661</v>
      </c>
      <c r="K140" s="109">
        <f t="shared" si="13"/>
        <v>6.1743361111111108</v>
      </c>
      <c r="L140" s="63">
        <f t="shared" si="14"/>
        <v>6.1743361111111108</v>
      </c>
      <c r="M140" s="123"/>
    </row>
    <row r="141" spans="1:13" hidden="1">
      <c r="A141" s="63" t="str">
        <f>'RAW DATA 2023'!B22</f>
        <v>Lamae</v>
      </c>
      <c r="B141" s="63" t="str">
        <f>'RAW DATA 2023'!D22</f>
        <v>A1-012-0012</v>
      </c>
      <c r="C141" s="63" t="str">
        <f t="shared" si="10"/>
        <v>LamaeA1-012-0012</v>
      </c>
      <c r="D141" s="68">
        <f>VLOOKUP(C141,'RAW DATA 2023'!E:BP,63,0)</f>
        <v>2</v>
      </c>
      <c r="E141" s="68" t="str">
        <f t="shared" si="11"/>
        <v>Lamae2</v>
      </c>
      <c r="F141" s="63" t="str">
        <f>VLOOKUP(C141,'RAW DATA 2023'!E:BO,5,0)</f>
        <v>Outdoor</v>
      </c>
      <c r="G141" s="63" t="s">
        <v>67</v>
      </c>
      <c r="H141" s="63">
        <f>VLOOKUP(C141,'RAW DATA 2023'!E:BO,2,0)</f>
        <v>4</v>
      </c>
      <c r="I141" s="106">
        <f>VLOOKUP(C141,'RAW DATA 2023'!E:BO,22,0)</f>
        <v>3.16974</v>
      </c>
      <c r="J141" s="72">
        <f t="shared" si="12"/>
        <v>0.16974</v>
      </c>
      <c r="K141" s="109">
        <f t="shared" si="13"/>
        <v>0.28290000000000004</v>
      </c>
      <c r="L141" s="63">
        <f t="shared" si="14"/>
        <v>0.28290000000000004</v>
      </c>
      <c r="M141" s="123"/>
    </row>
    <row r="142" spans="1:13" hidden="1">
      <c r="A142" s="63" t="str">
        <f>'RAW DATA 2023'!B23</f>
        <v>Lamae</v>
      </c>
      <c r="B142" s="63" t="str">
        <f>'RAW DATA 2023'!D23</f>
        <v>A1-010-0022</v>
      </c>
      <c r="C142" s="63" t="str">
        <f t="shared" si="10"/>
        <v>LamaeA1-010-0022</v>
      </c>
      <c r="D142" s="68">
        <f>VLOOKUP(C142,'RAW DATA 2023'!E:BP,63,0)</f>
        <v>8</v>
      </c>
      <c r="E142" s="68" t="str">
        <f t="shared" si="11"/>
        <v>Lamae8</v>
      </c>
      <c r="F142" s="63" t="str">
        <f>VLOOKUP(C142,'RAW DATA 2023'!E:BO,5,0)</f>
        <v>Outdoor</v>
      </c>
      <c r="G142" s="63" t="s">
        <v>1954</v>
      </c>
      <c r="H142" s="63">
        <f>VLOOKUP(C142,'RAW DATA 2023'!E:BO,2,0)</f>
        <v>5</v>
      </c>
      <c r="I142" s="106">
        <f>VLOOKUP(C142,'RAW DATA 2023'!E:BO,22,0)</f>
        <v>6.4384479999999993</v>
      </c>
      <c r="J142" s="72">
        <f t="shared" si="12"/>
        <v>4.4384479999999993</v>
      </c>
      <c r="K142" s="109">
        <f t="shared" si="13"/>
        <v>7.3974133333333327</v>
      </c>
      <c r="L142" s="63">
        <f t="shared" si="14"/>
        <v>6.25</v>
      </c>
      <c r="M142" s="123"/>
    </row>
    <row r="143" spans="1:13" hidden="1">
      <c r="A143" s="63" t="str">
        <f>'RAW DATA 2023'!B27</f>
        <v>Lamae</v>
      </c>
      <c r="B143" s="63" t="str">
        <f>'RAW DATA 2023'!D27</f>
        <v>A1-011-0024</v>
      </c>
      <c r="C143" s="63" t="str">
        <f t="shared" si="10"/>
        <v>LamaeA1-011-0024</v>
      </c>
      <c r="D143" s="68">
        <f>VLOOKUP(C143,'RAW DATA 2023'!E:BP,63,0)</f>
        <v>12</v>
      </c>
      <c r="E143" s="68" t="str">
        <f t="shared" si="11"/>
        <v>Lamae12</v>
      </c>
      <c r="F143" s="63" t="str">
        <f>VLOOKUP(C143,'RAW DATA 2023'!E:BO,5,0)</f>
        <v>Outdoor</v>
      </c>
      <c r="G143" s="63" t="s">
        <v>1955</v>
      </c>
      <c r="H143" s="63">
        <f>VLOOKUP(C143,'RAW DATA 2023'!E:BO,2,0)</f>
        <v>4</v>
      </c>
      <c r="I143" s="106">
        <f>VLOOKUP(C143,'RAW DATA 2023'!E:BO,22,0)</f>
        <v>0</v>
      </c>
      <c r="J143" s="72">
        <f t="shared" si="12"/>
        <v>0</v>
      </c>
      <c r="K143" s="109">
        <f t="shared" si="13"/>
        <v>0</v>
      </c>
      <c r="L143" s="63">
        <f t="shared" si="14"/>
        <v>0</v>
      </c>
      <c r="M143" s="123"/>
    </row>
    <row r="144" spans="1:13" hidden="1">
      <c r="A144" s="63" t="str">
        <f>'RAW DATA 2023'!B41</f>
        <v>Petchburi5</v>
      </c>
      <c r="B144" s="63" t="str">
        <f>'RAW DATA 2023'!D41</f>
        <v>B1-127-0009</v>
      </c>
      <c r="C144" s="63" t="str">
        <f t="shared" si="10"/>
        <v>Petchburi5B1-127-0009</v>
      </c>
      <c r="D144" s="68">
        <f>VLOOKUP(C144,'RAW DATA 2023'!E:BP,63,0)</f>
        <v>10</v>
      </c>
      <c r="E144" s="68" t="str">
        <f t="shared" si="11"/>
        <v>Petchburi510</v>
      </c>
      <c r="F144" s="63" t="str">
        <f>VLOOKUP(C144,'RAW DATA 2023'!E:BO,5,0)</f>
        <v>Outdoor</v>
      </c>
      <c r="G144" s="63" t="s">
        <v>67</v>
      </c>
      <c r="H144" s="63">
        <f>VLOOKUP(C144,'RAW DATA 2023'!E:BO,2,0)</f>
        <v>1.5</v>
      </c>
      <c r="I144" s="106">
        <f>VLOOKUP(C144,'RAW DATA 2023'!E:BO,22,0)</f>
        <v>17.984146666666668</v>
      </c>
      <c r="J144" s="72">
        <f t="shared" si="12"/>
        <v>11.984146666666668</v>
      </c>
      <c r="K144" s="109">
        <f t="shared" si="13"/>
        <v>19.973577777777781</v>
      </c>
      <c r="L144" s="63">
        <f t="shared" si="14"/>
        <v>6.25</v>
      </c>
      <c r="M144" s="123"/>
    </row>
    <row r="145" spans="1:13" hidden="1">
      <c r="A145" s="63" t="str">
        <f>'RAW DATA 2023'!B42</f>
        <v>Petchburi5</v>
      </c>
      <c r="B145" s="63" t="str">
        <f>'RAW DATA 2023'!D42</f>
        <v>B1-124-0008</v>
      </c>
      <c r="C145" s="63" t="str">
        <f t="shared" si="10"/>
        <v>Petchburi5B1-124-0008</v>
      </c>
      <c r="D145" s="68">
        <f>VLOOKUP(C145,'RAW DATA 2023'!E:BP,63,0)</f>
        <v>7</v>
      </c>
      <c r="E145" s="68" t="str">
        <f t="shared" si="11"/>
        <v>Petchburi57</v>
      </c>
      <c r="F145" s="63" t="str">
        <f>VLOOKUP(C145,'RAW DATA 2023'!E:BO,5,0)</f>
        <v>Outdoor</v>
      </c>
      <c r="G145" s="63" t="s">
        <v>67</v>
      </c>
      <c r="H145" s="63">
        <f>VLOOKUP(C145,'RAW DATA 2023'!E:BO,2,0)</f>
        <v>1.5</v>
      </c>
      <c r="I145" s="106">
        <f>VLOOKUP(C145,'RAW DATA 2023'!E:BO,22,0)</f>
        <v>11.595406666666667</v>
      </c>
      <c r="J145" s="72">
        <f t="shared" si="12"/>
        <v>5.5954066666666673</v>
      </c>
      <c r="K145" s="109">
        <f t="shared" si="13"/>
        <v>9.3256777777777788</v>
      </c>
      <c r="L145" s="63">
        <f t="shared" si="14"/>
        <v>6.25</v>
      </c>
      <c r="M145" s="123"/>
    </row>
    <row r="146" spans="1:13" hidden="1">
      <c r="A146" s="63" t="str">
        <f>'RAW DATA 2023'!B52</f>
        <v>Petchburi5</v>
      </c>
      <c r="B146" s="63" t="str">
        <f>'RAW DATA 2023'!D52</f>
        <v>B1-127-0008</v>
      </c>
      <c r="C146" s="63" t="str">
        <f t="shared" si="10"/>
        <v>Petchburi5B1-127-0008</v>
      </c>
      <c r="D146" s="68">
        <f>VLOOKUP(C146,'RAW DATA 2023'!E:BP,63,0)</f>
        <v>5</v>
      </c>
      <c r="E146" s="68" t="str">
        <f t="shared" si="11"/>
        <v>Petchburi55</v>
      </c>
      <c r="F146" s="63" t="str">
        <f>VLOOKUP(C146,'RAW DATA 2023'!E:BO,5,0)</f>
        <v>Outdoor</v>
      </c>
      <c r="G146" s="63" t="s">
        <v>67</v>
      </c>
      <c r="H146" s="63">
        <f>VLOOKUP(C146,'RAW DATA 2023'!E:BO,2,0)</f>
        <v>1.5</v>
      </c>
      <c r="I146" s="106">
        <f>VLOOKUP(C146,'RAW DATA 2023'!E:BO,22,0)</f>
        <v>12.938273333333333</v>
      </c>
      <c r="J146" s="72">
        <f t="shared" si="12"/>
        <v>6.9382733333333331</v>
      </c>
      <c r="K146" s="109">
        <f t="shared" si="13"/>
        <v>11.563788888888888</v>
      </c>
      <c r="L146" s="63">
        <f t="shared" si="14"/>
        <v>6.25</v>
      </c>
      <c r="M146" s="123"/>
    </row>
    <row r="147" spans="1:13" hidden="1">
      <c r="A147" s="63" t="str">
        <f>'RAW DATA 2023'!B54</f>
        <v>Petchburi5</v>
      </c>
      <c r="B147" s="63" t="str">
        <f>'RAW DATA 2023'!D54</f>
        <v>B1-115-0007</v>
      </c>
      <c r="C147" s="63" t="str">
        <f t="shared" si="10"/>
        <v>Petchburi5B1-115-0007</v>
      </c>
      <c r="D147" s="68">
        <f>VLOOKUP(C147,'RAW DATA 2023'!E:BP,63,0)</f>
        <v>4</v>
      </c>
      <c r="E147" s="68" t="str">
        <f t="shared" si="11"/>
        <v>Petchburi54</v>
      </c>
      <c r="F147" s="63" t="str">
        <f>VLOOKUP(C147,'RAW DATA 2023'!E:BO,5,0)</f>
        <v>Outdoor</v>
      </c>
      <c r="G147" s="63" t="s">
        <v>67</v>
      </c>
      <c r="H147" s="63">
        <f>VLOOKUP(C147,'RAW DATA 2023'!E:BO,2,0)</f>
        <v>2.0299999999999998</v>
      </c>
      <c r="I147" s="106">
        <f>VLOOKUP(C147,'RAW DATA 2023'!E:BO,22,0)</f>
        <v>13.288310344827588</v>
      </c>
      <c r="J147" s="72">
        <f t="shared" si="12"/>
        <v>10.288310344827588</v>
      </c>
      <c r="K147" s="109">
        <f t="shared" si="13"/>
        <v>17.147183908045982</v>
      </c>
      <c r="L147" s="63">
        <f t="shared" si="14"/>
        <v>6.25</v>
      </c>
      <c r="M147" s="123"/>
    </row>
    <row r="148" spans="1:13" hidden="1">
      <c r="A148" s="63" t="str">
        <f>'RAW DATA 2023'!B62</f>
        <v>Petchburi5</v>
      </c>
      <c r="B148" s="63" t="str">
        <f>'RAW DATA 2023'!D62</f>
        <v>AG-006-0012</v>
      </c>
      <c r="C148" s="63" t="str">
        <f t="shared" si="10"/>
        <v>Petchburi5AG-006-0012</v>
      </c>
      <c r="D148" s="68">
        <f>VLOOKUP(C148,'RAW DATA 2023'!E:BP,63,0)</f>
        <v>10</v>
      </c>
      <c r="E148" s="68" t="str">
        <f t="shared" si="11"/>
        <v>Petchburi510</v>
      </c>
      <c r="F148" s="63" t="str">
        <f>VLOOKUP(C148,'RAW DATA 2023'!E:BO,5,0)</f>
        <v>Greenhouse</v>
      </c>
      <c r="G148" s="63" t="s">
        <v>1954</v>
      </c>
      <c r="H148" s="63">
        <f>VLOOKUP(C148,'RAW DATA 2023'!E:BO,2,0)</f>
        <v>1.5</v>
      </c>
      <c r="I148" s="106">
        <f>VLOOKUP(C148,'RAW DATA 2023'!E:BO,22,0)</f>
        <v>12.897513333333334</v>
      </c>
      <c r="J148" s="72">
        <f t="shared" si="12"/>
        <v>8.8975133333333343</v>
      </c>
      <c r="K148" s="109">
        <f t="shared" si="13"/>
        <v>14.829188888888892</v>
      </c>
      <c r="L148" s="63">
        <f t="shared" si="14"/>
        <v>6.25</v>
      </c>
      <c r="M148" s="123"/>
    </row>
    <row r="149" spans="1:13" hidden="1">
      <c r="A149" s="63" t="str">
        <f>'RAW DATA 2023'!B77</f>
        <v>Petchburi5</v>
      </c>
      <c r="B149" s="63" t="str">
        <f>'RAW DATA 2023'!D77</f>
        <v>A1-032-0009</v>
      </c>
      <c r="C149" s="63" t="str">
        <f t="shared" si="10"/>
        <v>Petchburi5A1-032-0009</v>
      </c>
      <c r="D149" s="68">
        <f>VLOOKUP(C149,'RAW DATA 2023'!E:BP,63,0)</f>
        <v>12</v>
      </c>
      <c r="E149" s="68" t="str">
        <f t="shared" si="11"/>
        <v>Petchburi512</v>
      </c>
      <c r="F149" s="63" t="str">
        <f>VLOOKUP(C149,'RAW DATA 2023'!E:BO,5,0)</f>
        <v>Outdoor</v>
      </c>
      <c r="G149" s="63" t="s">
        <v>1954</v>
      </c>
      <c r="H149" s="63">
        <f>VLOOKUP(C149,'RAW DATA 2023'!E:BO,2,0)</f>
        <v>1.5</v>
      </c>
      <c r="I149" s="106">
        <f>VLOOKUP(C149,'RAW DATA 2023'!E:BO,22,0)</f>
        <v>19.498560000000001</v>
      </c>
      <c r="J149" s="72">
        <f t="shared" si="12"/>
        <v>13.498560000000001</v>
      </c>
      <c r="K149" s="109">
        <f t="shared" si="13"/>
        <v>22.497600000000002</v>
      </c>
      <c r="L149" s="63">
        <f t="shared" si="14"/>
        <v>6.25</v>
      </c>
      <c r="M149" s="123"/>
    </row>
    <row r="150" spans="1:13" hidden="1">
      <c r="A150" s="63" t="str">
        <f>'RAW DATA 2023'!B79</f>
        <v>Petchburi5</v>
      </c>
      <c r="B150" s="63" t="str">
        <f>'RAW DATA 2023'!D79</f>
        <v>A1-033-0009</v>
      </c>
      <c r="C150" s="63" t="str">
        <f t="shared" si="10"/>
        <v>Petchburi5A1-033-0009</v>
      </c>
      <c r="D150" s="68">
        <f>VLOOKUP(C150,'RAW DATA 2023'!E:BP,63,0)</f>
        <v>7</v>
      </c>
      <c r="E150" s="68" t="str">
        <f t="shared" si="11"/>
        <v>Petchburi57</v>
      </c>
      <c r="F150" s="63" t="str">
        <f>VLOOKUP(C150,'RAW DATA 2023'!E:BO,5,0)</f>
        <v>Outdoor</v>
      </c>
      <c r="G150" s="63" t="s">
        <v>1954</v>
      </c>
      <c r="H150" s="63">
        <f>VLOOKUP(C150,'RAW DATA 2023'!E:BO,2,0)</f>
        <v>1.5</v>
      </c>
      <c r="I150" s="106">
        <f>VLOOKUP(C150,'RAW DATA 2023'!E:BO,22,0)</f>
        <v>17.384446666666665</v>
      </c>
      <c r="J150" s="72">
        <f t="shared" si="12"/>
        <v>11.384446666666665</v>
      </c>
      <c r="K150" s="109">
        <f t="shared" si="13"/>
        <v>18.974077777777776</v>
      </c>
      <c r="L150" s="63">
        <f t="shared" si="14"/>
        <v>6.25</v>
      </c>
      <c r="M150" s="123"/>
    </row>
    <row r="151" spans="1:13" hidden="1">
      <c r="A151" s="63" t="str">
        <f>'RAW DATA 2023'!B80</f>
        <v>Petchburi5</v>
      </c>
      <c r="B151" s="63" t="str">
        <f>'RAW DATA 2023'!D80</f>
        <v>A1-033-0010</v>
      </c>
      <c r="C151" s="63" t="str">
        <f t="shared" si="10"/>
        <v>Petchburi5A1-033-0010</v>
      </c>
      <c r="D151" s="68">
        <f>VLOOKUP(C151,'RAW DATA 2023'!E:BP,63,0)</f>
        <v>11</v>
      </c>
      <c r="E151" s="68" t="str">
        <f t="shared" si="11"/>
        <v>Petchburi511</v>
      </c>
      <c r="F151" s="63" t="str">
        <f>VLOOKUP(C151,'RAW DATA 2023'!E:BO,5,0)</f>
        <v>Outdoor</v>
      </c>
      <c r="G151" s="63" t="s">
        <v>1954</v>
      </c>
      <c r="H151" s="63">
        <f>VLOOKUP(C151,'RAW DATA 2023'!E:BO,2,0)</f>
        <v>1.5</v>
      </c>
      <c r="I151" s="106">
        <f>VLOOKUP(C151,'RAW DATA 2023'!E:BO,22,0)</f>
        <v>11.946233333333332</v>
      </c>
      <c r="J151" s="72">
        <f t="shared" si="12"/>
        <v>5.9462333333333319</v>
      </c>
      <c r="K151" s="109">
        <f t="shared" si="13"/>
        <v>9.9103888888888871</v>
      </c>
      <c r="L151" s="63">
        <f t="shared" si="14"/>
        <v>6.25</v>
      </c>
      <c r="M151" s="123"/>
    </row>
    <row r="152" spans="1:13" hidden="1">
      <c r="A152" s="63" t="str">
        <f>'RAW DATA 2023'!B81</f>
        <v>Petchburi5</v>
      </c>
      <c r="B152" s="63" t="str">
        <f>'RAW DATA 2023'!D81</f>
        <v>A1-020-0015</v>
      </c>
      <c r="C152" s="63" t="str">
        <f t="shared" si="10"/>
        <v>Petchburi5A1-020-0015</v>
      </c>
      <c r="D152" s="68">
        <f>VLOOKUP(C152,'RAW DATA 2023'!E:BP,63,0)</f>
        <v>4</v>
      </c>
      <c r="E152" s="68" t="str">
        <f t="shared" si="11"/>
        <v>Petchburi54</v>
      </c>
      <c r="F152" s="63" t="str">
        <f>VLOOKUP(C152,'RAW DATA 2023'!E:BO,5,0)</f>
        <v>Outdoor</v>
      </c>
      <c r="G152" s="63" t="s">
        <v>1954</v>
      </c>
      <c r="H152" s="63">
        <f>VLOOKUP(C152,'RAW DATA 2023'!E:BO,2,0)</f>
        <v>1.5</v>
      </c>
      <c r="I152" s="106">
        <f>VLOOKUP(C152,'RAW DATA 2023'!E:BO,22,0)</f>
        <v>12.641353333333333</v>
      </c>
      <c r="J152" s="72">
        <f t="shared" si="12"/>
        <v>6.641353333333333</v>
      </c>
      <c r="K152" s="109">
        <f t="shared" si="13"/>
        <v>11.068922222222222</v>
      </c>
      <c r="L152" s="63">
        <f t="shared" si="14"/>
        <v>6.25</v>
      </c>
      <c r="M152" s="123"/>
    </row>
    <row r="153" spans="1:13" hidden="1">
      <c r="A153" s="63" t="str">
        <f>'RAW DATA 2023'!B91</f>
        <v>Petchburi5</v>
      </c>
      <c r="B153" s="63" t="str">
        <f>'RAW DATA 2023'!D91</f>
        <v>G1-G02-0002</v>
      </c>
      <c r="C153" s="63" t="str">
        <f t="shared" si="10"/>
        <v>Petchburi5G1-G02-0002</v>
      </c>
      <c r="D153" s="68">
        <f>VLOOKUP(C153,'RAW DATA 2023'!E:BP,63,0)</f>
        <v>8</v>
      </c>
      <c r="E153" s="68" t="str">
        <f t="shared" si="11"/>
        <v>Petchburi58</v>
      </c>
      <c r="F153" s="63" t="str">
        <f>VLOOKUP(C153,'RAW DATA 2023'!E:BO,5,0)</f>
        <v>Greenhouse</v>
      </c>
      <c r="G153" s="63" t="s">
        <v>1954</v>
      </c>
      <c r="H153" s="63">
        <f>VLOOKUP(C153,'RAW DATA 2023'!E:BO,2,0)</f>
        <v>1</v>
      </c>
      <c r="I153" s="106">
        <f>VLOOKUP(C153,'RAW DATA 2023'!E:BO,22,0)</f>
        <v>20.16797</v>
      </c>
      <c r="J153" s="72">
        <f t="shared" si="12"/>
        <v>16.16797</v>
      </c>
      <c r="K153" s="109">
        <f t="shared" si="13"/>
        <v>26.946616666666667</v>
      </c>
      <c r="L153" s="63">
        <f t="shared" si="14"/>
        <v>6.25</v>
      </c>
      <c r="M153" s="123"/>
    </row>
    <row r="154" spans="1:13" hidden="1">
      <c r="A154" s="63" t="str">
        <f>'RAW DATA 2023'!B102</f>
        <v>Roiphet1</v>
      </c>
      <c r="B154" s="63" t="str">
        <f>'RAW DATA 2023'!D102</f>
        <v>A6-G11-0092</v>
      </c>
      <c r="C154" s="63" t="str">
        <f t="shared" si="10"/>
        <v>Roiphet1A6-G11-0092</v>
      </c>
      <c r="D154" s="68">
        <f>VLOOKUP(C154,'RAW DATA 2023'!E:BP,63,0)</f>
        <v>10</v>
      </c>
      <c r="E154" s="68" t="str">
        <f t="shared" si="11"/>
        <v>Roiphet110</v>
      </c>
      <c r="F154" s="63" t="str">
        <f>VLOOKUP(C154,'RAW DATA 2023'!E:BO,5,0)</f>
        <v>Greenhouse</v>
      </c>
      <c r="G154" s="63" t="s">
        <v>1954</v>
      </c>
      <c r="H154" s="63">
        <f>VLOOKUP(C154,'RAW DATA 2023'!E:BO,2,0)</f>
        <v>1.1299999999999999</v>
      </c>
      <c r="I154" s="106">
        <f>VLOOKUP(C154,'RAW DATA 2023'!E:BO,22,0)</f>
        <v>6.3925752212389382</v>
      </c>
      <c r="J154" s="72">
        <f t="shared" si="12"/>
        <v>2.3925752212389382</v>
      </c>
      <c r="K154" s="109">
        <f t="shared" si="13"/>
        <v>3.9876253687315639</v>
      </c>
      <c r="L154" s="63">
        <f t="shared" si="14"/>
        <v>3.9876253687315639</v>
      </c>
      <c r="M154" s="123"/>
    </row>
    <row r="155" spans="1:13" hidden="1">
      <c r="A155" s="63" t="str">
        <f>'RAW DATA 2023'!B109</f>
        <v>Roiphet1</v>
      </c>
      <c r="B155" s="63" t="str">
        <f>'RAW DATA 2023'!D109</f>
        <v>D6-I11-0083</v>
      </c>
      <c r="C155" s="63" t="str">
        <f t="shared" si="10"/>
        <v>Roiphet1D6-I11-0083</v>
      </c>
      <c r="D155" s="68">
        <f>VLOOKUP(C155,'RAW DATA 2023'!E:BP,63,0)</f>
        <v>6</v>
      </c>
      <c r="E155" s="68" t="str">
        <f t="shared" si="11"/>
        <v>Roiphet16</v>
      </c>
      <c r="F155" s="63" t="str">
        <f>VLOOKUP(C155,'RAW DATA 2023'!E:BO,5,0)</f>
        <v>Greenhouse</v>
      </c>
      <c r="G155" s="63" t="s">
        <v>1954</v>
      </c>
      <c r="H155" s="63">
        <f>VLOOKUP(C155,'RAW DATA 2023'!E:BO,2,0)</f>
        <v>0.72</v>
      </c>
      <c r="I155" s="106">
        <f>VLOOKUP(C155,'RAW DATA 2023'!E:BO,22,0)</f>
        <v>3.5612499999999998</v>
      </c>
      <c r="J155" s="72">
        <f t="shared" si="12"/>
        <v>-0.4387500000000002</v>
      </c>
      <c r="K155" s="109">
        <f t="shared" si="13"/>
        <v>-0.7312500000000004</v>
      </c>
      <c r="L155" s="63">
        <f t="shared" si="14"/>
        <v>0</v>
      </c>
      <c r="M155" s="123"/>
    </row>
    <row r="156" spans="1:13" hidden="1">
      <c r="A156" s="63" t="str">
        <f>'RAW DATA 2023'!B120</f>
        <v>Roiphet1</v>
      </c>
      <c r="B156" s="63" t="str">
        <f>'RAW DATA 2023'!D120</f>
        <v>D2-G04-0079</v>
      </c>
      <c r="C156" s="63" t="str">
        <f t="shared" si="10"/>
        <v>Roiphet1D2-G04-0079</v>
      </c>
      <c r="D156" s="68">
        <f>VLOOKUP(C156,'RAW DATA 2023'!E:BP,63,0)</f>
        <v>5</v>
      </c>
      <c r="E156" s="68" t="str">
        <f t="shared" si="11"/>
        <v>Roiphet15</v>
      </c>
      <c r="F156" s="63" t="str">
        <f>VLOOKUP(C156,'RAW DATA 2023'!E:BO,5,0)</f>
        <v>Greenhouse</v>
      </c>
      <c r="G156" s="63" t="s">
        <v>1955</v>
      </c>
      <c r="H156" s="63">
        <f>VLOOKUP(C156,'RAW DATA 2023'!E:BO,2,0)</f>
        <v>1.1299999999999999</v>
      </c>
      <c r="I156" s="106">
        <f>VLOOKUP(C156,'RAW DATA 2023'!E:BO,22,0)</f>
        <v>7.0548141592920359</v>
      </c>
      <c r="J156" s="72">
        <f t="shared" si="12"/>
        <v>3.0548141592920359</v>
      </c>
      <c r="K156" s="109">
        <f t="shared" si="13"/>
        <v>5.0913569321533938</v>
      </c>
      <c r="L156" s="63">
        <f t="shared" si="14"/>
        <v>5.0913569321533938</v>
      </c>
      <c r="M156" s="123"/>
    </row>
    <row r="157" spans="1:13" hidden="1">
      <c r="A157" s="63" t="str">
        <f>'RAW DATA 2023'!B128</f>
        <v>Roiphet1</v>
      </c>
      <c r="B157" s="63" t="str">
        <f>'RAW DATA 2023'!D128</f>
        <v>D5-G09-0068</v>
      </c>
      <c r="C157" s="63" t="str">
        <f t="shared" si="10"/>
        <v>Roiphet1D5-G09-0068</v>
      </c>
      <c r="D157" s="68">
        <f>VLOOKUP(C157,'RAW DATA 2023'!E:BP,63,0)</f>
        <v>5</v>
      </c>
      <c r="E157" s="68" t="str">
        <f t="shared" si="11"/>
        <v>Roiphet15</v>
      </c>
      <c r="F157" s="63" t="str">
        <f>VLOOKUP(C157,'RAW DATA 2023'!E:BO,5,0)</f>
        <v>Greenhouse</v>
      </c>
      <c r="G157" s="63" t="s">
        <v>1954</v>
      </c>
      <c r="H157" s="63">
        <f>VLOOKUP(C157,'RAW DATA 2023'!E:BO,2,0)</f>
        <v>1.1299999999999999</v>
      </c>
      <c r="I157" s="106">
        <f>VLOOKUP(C157,'RAW DATA 2023'!E:BO,22,0)</f>
        <v>10.665699115044248</v>
      </c>
      <c r="J157" s="72">
        <f t="shared" si="12"/>
        <v>6.6656991150442479</v>
      </c>
      <c r="K157" s="109">
        <f t="shared" si="13"/>
        <v>11.109498525073747</v>
      </c>
      <c r="L157" s="63">
        <f t="shared" si="14"/>
        <v>6.25</v>
      </c>
      <c r="M157" s="123"/>
    </row>
    <row r="158" spans="1:13" hidden="1">
      <c r="A158" s="63" t="str">
        <f>'RAW DATA 2023'!B134</f>
        <v>Roiphet1</v>
      </c>
      <c r="B158" s="63" t="str">
        <f>'RAW DATA 2023'!D134</f>
        <v>D4-I08-0070</v>
      </c>
      <c r="C158" s="63" t="str">
        <f t="shared" si="10"/>
        <v>Roiphet1D4-I08-0070</v>
      </c>
      <c r="D158" s="68">
        <f>VLOOKUP(C158,'RAW DATA 2023'!E:BP,63,0)</f>
        <v>1</v>
      </c>
      <c r="E158" s="68" t="str">
        <f t="shared" si="11"/>
        <v>Roiphet11</v>
      </c>
      <c r="F158" s="63" t="str">
        <f>VLOOKUP(C158,'RAW DATA 2023'!E:BO,5,0)</f>
        <v>Greenhouse</v>
      </c>
      <c r="G158" s="63" t="s">
        <v>1954</v>
      </c>
      <c r="H158" s="63">
        <f>VLOOKUP(C158,'RAW DATA 2023'!E:BO,2,0)</f>
        <v>0.72</v>
      </c>
      <c r="I158" s="106">
        <f>VLOOKUP(C158,'RAW DATA 2023'!E:BO,22,0)</f>
        <v>7.9090277777777773</v>
      </c>
      <c r="J158" s="72">
        <f t="shared" si="12"/>
        <v>3.9090277777777773</v>
      </c>
      <c r="K158" s="109">
        <f t="shared" si="13"/>
        <v>6.5150462962962958</v>
      </c>
      <c r="L158" s="63">
        <f t="shared" si="14"/>
        <v>6.25</v>
      </c>
      <c r="M158" s="123"/>
    </row>
    <row r="159" spans="1:13" hidden="1">
      <c r="A159" s="63" t="str">
        <f>'RAW DATA 2023'!B142</f>
        <v>Roiphet1</v>
      </c>
      <c r="B159" s="63" t="str">
        <f>'RAW DATA 2023'!D142</f>
        <v>A2-G04-0082</v>
      </c>
      <c r="C159" s="63" t="str">
        <f t="shared" si="10"/>
        <v>Roiphet1A2-G04-0082</v>
      </c>
      <c r="D159" s="68">
        <f>VLOOKUP(C159,'RAW DATA 2023'!E:BP,63,0)</f>
        <v>9</v>
      </c>
      <c r="E159" s="68" t="str">
        <f t="shared" si="11"/>
        <v>Roiphet19</v>
      </c>
      <c r="F159" s="63" t="str">
        <f>VLOOKUP(C159,'RAW DATA 2023'!E:BO,5,0)</f>
        <v>Greenhouse</v>
      </c>
      <c r="G159" s="63" t="s">
        <v>1954</v>
      </c>
      <c r="H159" s="63">
        <f>VLOOKUP(C159,'RAW DATA 2023'!E:BO,2,0)</f>
        <v>1.1299999999999999</v>
      </c>
      <c r="I159" s="106">
        <f>VLOOKUP(C159,'RAW DATA 2023'!E:BO,22,0)</f>
        <v>5.5695044247787617</v>
      </c>
      <c r="J159" s="72">
        <f t="shared" si="12"/>
        <v>1.5695044247787617</v>
      </c>
      <c r="K159" s="109">
        <f t="shared" si="13"/>
        <v>2.6158407079646029</v>
      </c>
      <c r="L159" s="63">
        <f t="shared" si="14"/>
        <v>2.6158407079646029</v>
      </c>
      <c r="M159" s="123"/>
    </row>
    <row r="160" spans="1:13" hidden="1">
      <c r="A160" s="63" t="str">
        <f>'RAW DATA 2023'!B143</f>
        <v>Roiphet1</v>
      </c>
      <c r="B160" s="63" t="str">
        <f>'RAW DATA 2023'!D143</f>
        <v>A1-I02-0095</v>
      </c>
      <c r="C160" s="63" t="str">
        <f t="shared" si="10"/>
        <v>Roiphet1A1-I02-0095</v>
      </c>
      <c r="D160" s="68">
        <f>VLOOKUP(C160,'RAW DATA 2023'!E:BP,63,0)</f>
        <v>9</v>
      </c>
      <c r="E160" s="68" t="str">
        <f t="shared" si="11"/>
        <v>Roiphet19</v>
      </c>
      <c r="F160" s="63" t="str">
        <f>VLOOKUP(C160,'RAW DATA 2023'!E:BO,5,0)</f>
        <v>Greenhouse</v>
      </c>
      <c r="G160" s="63" t="s">
        <v>1954</v>
      </c>
      <c r="H160" s="63">
        <f>VLOOKUP(C160,'RAW DATA 2023'!E:BO,2,0)</f>
        <v>0.72</v>
      </c>
      <c r="I160" s="106">
        <f>VLOOKUP(C160,'RAW DATA 2023'!E:BO,22,0)</f>
        <v>4.4508888888888887</v>
      </c>
      <c r="J160" s="72">
        <f t="shared" si="12"/>
        <v>0.45088888888888867</v>
      </c>
      <c r="K160" s="109">
        <f t="shared" si="13"/>
        <v>0.75148148148148119</v>
      </c>
      <c r="L160" s="63">
        <f t="shared" si="14"/>
        <v>0.75148148148148119</v>
      </c>
      <c r="M160" s="123"/>
    </row>
    <row r="161" spans="1:13">
      <c r="A161" s="63" t="str">
        <f>'RAW DATA 2023'!B151</f>
        <v>Roiphet1</v>
      </c>
      <c r="B161" s="63" t="str">
        <f>'RAW DATA 2023'!D151</f>
        <v>A1-I02-0094</v>
      </c>
      <c r="C161" s="63" t="str">
        <f t="shared" si="10"/>
        <v>Roiphet1A1-I02-0094</v>
      </c>
      <c r="D161" s="68">
        <f>VLOOKUP(C161,'RAW DATA 2023'!E:BP,63,0)</f>
        <v>5</v>
      </c>
      <c r="E161" s="68" t="str">
        <f t="shared" si="11"/>
        <v>Roiphet15</v>
      </c>
      <c r="F161" s="63" t="str">
        <f>VLOOKUP(C161,'RAW DATA 2023'!E:BO,5,0)</f>
        <v>Greenhouse</v>
      </c>
      <c r="G161" s="63" t="s">
        <v>1951</v>
      </c>
      <c r="H161" s="63">
        <f>VLOOKUP(C161,'RAW DATA 2023'!E:BO,2,0)</f>
        <v>0.72</v>
      </c>
      <c r="I161" s="106">
        <f>VLOOKUP(C161,'RAW DATA 2023'!E:BO,22,0)</f>
        <v>6.9745833333333334</v>
      </c>
      <c r="J161" s="72">
        <f t="shared" si="12"/>
        <v>2.9745833333333334</v>
      </c>
      <c r="K161" s="109">
        <f t="shared" si="13"/>
        <v>4.9576388888888889</v>
      </c>
      <c r="L161" s="63">
        <f t="shared" si="14"/>
        <v>4.9576388888888889</v>
      </c>
      <c r="M161" s="123"/>
    </row>
    <row r="162" spans="1:13" hidden="1">
      <c r="A162" s="63" t="str">
        <f>'RAW DATA 2023'!B167</f>
        <v>Roiphet1</v>
      </c>
      <c r="B162" s="63" t="str">
        <f>'RAW DATA 2023'!D167</f>
        <v>A4-I07-0094</v>
      </c>
      <c r="C162" s="63" t="str">
        <f t="shared" si="10"/>
        <v>Roiphet1A4-I07-0094</v>
      </c>
      <c r="D162" s="68">
        <f>VLOOKUP(C162,'RAW DATA 2023'!E:BP,63,0)</f>
        <v>5</v>
      </c>
      <c r="E162" s="68" t="str">
        <f t="shared" si="11"/>
        <v>Roiphet15</v>
      </c>
      <c r="F162" s="63" t="str">
        <f>VLOOKUP(C162,'RAW DATA 2023'!E:BO,5,0)</f>
        <v>Greenhouse</v>
      </c>
      <c r="G162" s="63" t="s">
        <v>1954</v>
      </c>
      <c r="H162" s="63">
        <f>VLOOKUP(C162,'RAW DATA 2023'!E:BO,2,0)</f>
        <v>0.72</v>
      </c>
      <c r="I162" s="106">
        <f>VLOOKUP(C162,'RAW DATA 2023'!E:BO,22,0)</f>
        <v>7.109430555555555</v>
      </c>
      <c r="J162" s="72">
        <f t="shared" si="12"/>
        <v>3.109430555555555</v>
      </c>
      <c r="K162" s="109">
        <f t="shared" si="13"/>
        <v>5.1823842592592584</v>
      </c>
      <c r="L162" s="63">
        <f t="shared" si="14"/>
        <v>5.1823842592592584</v>
      </c>
      <c r="M162" s="123"/>
    </row>
    <row r="163" spans="1:13" hidden="1">
      <c r="A163" s="63" t="str">
        <f>'RAW DATA 2023'!B188</f>
        <v>Roiphet1</v>
      </c>
      <c r="B163" s="63" t="str">
        <f>'RAW DATA 2023'!D188</f>
        <v>B2-G03-0079</v>
      </c>
      <c r="C163" s="63" t="str">
        <f t="shared" si="10"/>
        <v>Roiphet1B2-G03-0079</v>
      </c>
      <c r="D163" s="68">
        <f>VLOOKUP(C163,'RAW DATA 2023'!E:BP,63,0)</f>
        <v>2</v>
      </c>
      <c r="E163" s="68" t="str">
        <f t="shared" si="11"/>
        <v>Roiphet12</v>
      </c>
      <c r="F163" s="63" t="str">
        <f>VLOOKUP(C163,'RAW DATA 2023'!E:BO,5,0)</f>
        <v>Greenhouse</v>
      </c>
      <c r="G163" s="63" t="s">
        <v>1954</v>
      </c>
      <c r="H163" s="63">
        <f>VLOOKUP(C163,'RAW DATA 2023'!E:BO,2,0)</f>
        <v>1.1299999999999999</v>
      </c>
      <c r="I163" s="106">
        <f>VLOOKUP(C163,'RAW DATA 2023'!E:BO,22,0)</f>
        <v>4.8915221238938056</v>
      </c>
      <c r="J163" s="72">
        <f t="shared" si="12"/>
        <v>0.89152212389380558</v>
      </c>
      <c r="K163" s="109">
        <f t="shared" si="13"/>
        <v>1.485870206489676</v>
      </c>
      <c r="L163" s="63">
        <f t="shared" si="14"/>
        <v>1.485870206489676</v>
      </c>
      <c r="M163" s="123"/>
    </row>
    <row r="164" spans="1:13" hidden="1">
      <c r="A164" s="63" t="str">
        <f>'RAW DATA 2023'!B203</f>
        <v>Roiphet1</v>
      </c>
      <c r="B164" s="63" t="str">
        <f>'RAW DATA 2023'!D203</f>
        <v>C4-I08-0064</v>
      </c>
      <c r="C164" s="63" t="str">
        <f t="shared" si="10"/>
        <v>Roiphet1C4-I08-0064</v>
      </c>
      <c r="D164" s="68">
        <f>VLOOKUP(C164,'RAW DATA 2023'!E:BP,63,0)</f>
        <v>6</v>
      </c>
      <c r="E164" s="68" t="str">
        <f t="shared" si="11"/>
        <v>Roiphet16</v>
      </c>
      <c r="F164" s="63" t="str">
        <f>VLOOKUP(C164,'RAW DATA 2023'!E:BO,5,0)</f>
        <v>Greenhouse</v>
      </c>
      <c r="G164" s="63" t="s">
        <v>1954</v>
      </c>
      <c r="H164" s="63">
        <f>VLOOKUP(C164,'RAW DATA 2023'!E:BO,2,0)</f>
        <v>0.72</v>
      </c>
      <c r="I164" s="106">
        <f>VLOOKUP(C164,'RAW DATA 2023'!E:BO,22,0)</f>
        <v>4.290486111111111</v>
      </c>
      <c r="J164" s="72">
        <f t="shared" si="12"/>
        <v>0.290486111111111</v>
      </c>
      <c r="K164" s="109">
        <f t="shared" si="13"/>
        <v>0.48414351851851833</v>
      </c>
      <c r="L164" s="63">
        <f t="shared" si="14"/>
        <v>0.48414351851851833</v>
      </c>
      <c r="M164" s="123"/>
    </row>
    <row r="165" spans="1:13" hidden="1">
      <c r="A165" s="63" t="str">
        <f>'RAW DATA 2023'!B213</f>
        <v>Roiphet1</v>
      </c>
      <c r="B165" s="63" t="str">
        <f>'RAW DATA 2023'!D213</f>
        <v>C6-G12-0060</v>
      </c>
      <c r="C165" s="63" t="str">
        <f t="shared" si="10"/>
        <v>Roiphet1C6-G12-0060</v>
      </c>
      <c r="D165" s="68">
        <f>VLOOKUP(C165,'RAW DATA 2023'!E:BP,63,0)</f>
        <v>6</v>
      </c>
      <c r="E165" s="68" t="str">
        <f t="shared" si="11"/>
        <v>Roiphet16</v>
      </c>
      <c r="F165" s="63" t="str">
        <f>VLOOKUP(C165,'RAW DATA 2023'!E:BO,5,0)</f>
        <v>Greenhouse</v>
      </c>
      <c r="G165" s="63" t="s">
        <v>1954</v>
      </c>
      <c r="H165" s="63">
        <f>VLOOKUP(C165,'RAW DATA 2023'!E:BO,2,0)</f>
        <v>1.1299999999999999</v>
      </c>
      <c r="I165" s="106">
        <f>VLOOKUP(C165,'RAW DATA 2023'!E:BO,22,0)</f>
        <v>7.126424778761062</v>
      </c>
      <c r="J165" s="72">
        <f t="shared" si="12"/>
        <v>3.126424778761062</v>
      </c>
      <c r="K165" s="109">
        <f t="shared" si="13"/>
        <v>5.2107079646017702</v>
      </c>
      <c r="L165" s="63">
        <f t="shared" si="14"/>
        <v>5.2107079646017702</v>
      </c>
      <c r="M165" s="123"/>
    </row>
    <row r="166" spans="1:13" hidden="1">
      <c r="A166" s="63" t="str">
        <f>'RAW DATA 2023'!B229</f>
        <v>Roiphet1</v>
      </c>
      <c r="B166" s="63" t="str">
        <f>'RAW DATA 2023'!D229</f>
        <v>C1-I01-0079</v>
      </c>
      <c r="C166" s="63" t="str">
        <f t="shared" si="10"/>
        <v>Roiphet1C1-I01-0079</v>
      </c>
      <c r="D166" s="68">
        <f>VLOOKUP(C166,'RAW DATA 2023'!E:BP,63,0)</f>
        <v>5</v>
      </c>
      <c r="E166" s="68" t="str">
        <f t="shared" si="11"/>
        <v>Roiphet15</v>
      </c>
      <c r="F166" s="63" t="str">
        <f>VLOOKUP(C166,'RAW DATA 2023'!E:BO,5,0)</f>
        <v>Greenhouse</v>
      </c>
      <c r="G166" s="63" t="s">
        <v>1955</v>
      </c>
      <c r="H166" s="63">
        <f>VLOOKUP(C166,'RAW DATA 2023'!E:BO,2,0)</f>
        <v>0.72</v>
      </c>
      <c r="I166" s="106">
        <f>VLOOKUP(C166,'RAW DATA 2023'!E:BO,22,0)</f>
        <v>6.6060138888888895</v>
      </c>
      <c r="J166" s="72">
        <f t="shared" si="12"/>
        <v>2.6060138888888895</v>
      </c>
      <c r="K166" s="109">
        <f t="shared" si="13"/>
        <v>4.3433564814814831</v>
      </c>
      <c r="L166" s="63">
        <f t="shared" si="14"/>
        <v>4.3433564814814831</v>
      </c>
      <c r="M166" s="123"/>
    </row>
    <row r="167" spans="1:13" hidden="1">
      <c r="A167" s="63" t="str">
        <f>'RAW DATA 2023'!B236</f>
        <v>Roiphet1</v>
      </c>
      <c r="B167" s="63" t="str">
        <f>'RAW DATA 2023'!D236</f>
        <v>C6-G11-0058</v>
      </c>
      <c r="C167" s="63" t="str">
        <f t="shared" si="10"/>
        <v>Roiphet1C6-G11-0058</v>
      </c>
      <c r="D167" s="68">
        <f>VLOOKUP(C167,'RAW DATA 2023'!E:BP,63,0)</f>
        <v>2</v>
      </c>
      <c r="E167" s="68" t="str">
        <f t="shared" si="11"/>
        <v>Roiphet12</v>
      </c>
      <c r="F167" s="63" t="str">
        <f>VLOOKUP(C167,'RAW DATA 2023'!E:BO,5,0)</f>
        <v>Greenhouse</v>
      </c>
      <c r="G167" s="63" t="s">
        <v>1955</v>
      </c>
      <c r="H167" s="63">
        <f>VLOOKUP(C167,'RAW DATA 2023'!E:BO,2,0)</f>
        <v>1.1299999999999999</v>
      </c>
      <c r="I167" s="106">
        <f>VLOOKUP(C167,'RAW DATA 2023'!E:BO,22,0)</f>
        <v>6.1085486725663722</v>
      </c>
      <c r="J167" s="72">
        <f t="shared" si="12"/>
        <v>2.1085486725663722</v>
      </c>
      <c r="K167" s="109">
        <f t="shared" si="13"/>
        <v>3.5142477876106204</v>
      </c>
      <c r="L167" s="63">
        <f t="shared" si="14"/>
        <v>3.5142477876106204</v>
      </c>
      <c r="M167" s="123"/>
    </row>
    <row r="168" spans="1:13" hidden="1">
      <c r="A168" s="63" t="str">
        <f>'RAW DATA 2023'!B287</f>
        <v>Roiphet1</v>
      </c>
      <c r="B168" s="63" t="str">
        <f>'RAW DATA 2023'!D287</f>
        <v>B5-I09-0094</v>
      </c>
      <c r="C168" s="63" t="str">
        <f t="shared" si="10"/>
        <v>Roiphet1B5-I09-0094</v>
      </c>
      <c r="D168" s="68">
        <f>VLOOKUP(C168,'RAW DATA 2023'!E:BP,63,0)</f>
        <v>7</v>
      </c>
      <c r="E168" s="68" t="str">
        <f t="shared" si="11"/>
        <v>Roiphet17</v>
      </c>
      <c r="F168" s="63" t="str">
        <f>VLOOKUP(C168,'RAW DATA 2023'!E:BO,5,0)</f>
        <v>Greenhouse</v>
      </c>
      <c r="G168" s="63" t="s">
        <v>67</v>
      </c>
      <c r="H168" s="63">
        <f>VLOOKUP(C168,'RAW DATA 2023'!E:BO,2,0)</f>
        <v>0.72</v>
      </c>
      <c r="I168" s="106">
        <f>VLOOKUP(C168,'RAW DATA 2023'!E:BO,22,0)</f>
        <v>3.8736527777777785</v>
      </c>
      <c r="J168" s="72">
        <f t="shared" si="12"/>
        <v>-0.1263472222222215</v>
      </c>
      <c r="K168" s="109">
        <f t="shared" si="13"/>
        <v>-0.21057870370370252</v>
      </c>
      <c r="L168" s="63">
        <f t="shared" si="14"/>
        <v>0</v>
      </c>
      <c r="M168" s="123"/>
    </row>
    <row r="169" spans="1:13" hidden="1">
      <c r="A169" s="63" t="str">
        <f>'RAW DATA 2023'!B292</f>
        <v>Roiphet1</v>
      </c>
      <c r="B169" s="63" t="str">
        <f>'RAW DATA 2023'!D292</f>
        <v>B4-G08-0080</v>
      </c>
      <c r="C169" s="63" t="str">
        <f t="shared" si="10"/>
        <v>Roiphet1B4-G08-0080</v>
      </c>
      <c r="D169" s="68">
        <f>VLOOKUP(C169,'RAW DATA 2023'!E:BP,63,0)</f>
        <v>7</v>
      </c>
      <c r="E169" s="68" t="str">
        <f t="shared" si="11"/>
        <v>Roiphet17</v>
      </c>
      <c r="F169" s="63" t="str">
        <f>VLOOKUP(C169,'RAW DATA 2023'!E:BO,5,0)</f>
        <v>Greenhouse</v>
      </c>
      <c r="G169" s="63" t="s">
        <v>1955</v>
      </c>
      <c r="H169" s="63">
        <f>VLOOKUP(C169,'RAW DATA 2023'!E:BO,2,0)</f>
        <v>1.1299999999999999</v>
      </c>
      <c r="I169" s="106">
        <f>VLOOKUP(C169,'RAW DATA 2023'!E:BO,22,0)</f>
        <v>6.6914601769911508</v>
      </c>
      <c r="J169" s="72">
        <f t="shared" si="12"/>
        <v>2.6914601769911508</v>
      </c>
      <c r="K169" s="109">
        <f t="shared" si="13"/>
        <v>4.485766961651918</v>
      </c>
      <c r="L169" s="63">
        <f t="shared" si="14"/>
        <v>4.485766961651918</v>
      </c>
      <c r="M169" s="123"/>
    </row>
    <row r="170" spans="1:13">
      <c r="A170" s="63" t="str">
        <f>'RAW DATA 2023'!B301</f>
        <v>Roiphet1</v>
      </c>
      <c r="B170" s="63" t="str">
        <f>'RAW DATA 2023'!D301</f>
        <v>B6-I11-0084</v>
      </c>
      <c r="C170" s="63" t="str">
        <f t="shared" si="10"/>
        <v>Roiphet1B6-I11-0084</v>
      </c>
      <c r="D170" s="68">
        <f>VLOOKUP(C170,'RAW DATA 2023'!E:BP,63,0)</f>
        <v>8</v>
      </c>
      <c r="E170" s="68" t="str">
        <f t="shared" si="11"/>
        <v>Roiphet18</v>
      </c>
      <c r="F170" s="63" t="str">
        <f>VLOOKUP(C170,'RAW DATA 2023'!E:BO,5,0)</f>
        <v>Greenhouse</v>
      </c>
      <c r="G170" s="63" t="s">
        <v>1951</v>
      </c>
      <c r="H170" s="63">
        <f>VLOOKUP(C170,'RAW DATA 2023'!E:BO,2,0)</f>
        <v>0.72</v>
      </c>
      <c r="I170" s="106">
        <f>VLOOKUP(C170,'RAW DATA 2023'!E:BO,22,0)</f>
        <v>2.6742222222222223</v>
      </c>
      <c r="J170" s="72">
        <f t="shared" si="12"/>
        <v>-1.3257777777777777</v>
      </c>
      <c r="K170" s="109">
        <f t="shared" si="13"/>
        <v>-2.2096296296296298</v>
      </c>
      <c r="L170" s="63">
        <f t="shared" si="14"/>
        <v>0</v>
      </c>
      <c r="M170" s="123"/>
    </row>
    <row r="171" spans="1:13" hidden="1">
      <c r="A171" s="63" t="str">
        <f>'RAW DATA 2023'!B302</f>
        <v>Roiphet1</v>
      </c>
      <c r="B171" s="63" t="str">
        <f>'RAW DATA 2023'!D302</f>
        <v>B3-G06-0082</v>
      </c>
      <c r="C171" s="63" t="str">
        <f t="shared" si="10"/>
        <v>Roiphet1B3-G06-0082</v>
      </c>
      <c r="D171" s="68">
        <f>VLOOKUP(C171,'RAW DATA 2023'!E:BP,63,0)</f>
        <v>8</v>
      </c>
      <c r="E171" s="68" t="str">
        <f t="shared" si="11"/>
        <v>Roiphet18</v>
      </c>
      <c r="F171" s="63" t="str">
        <f>VLOOKUP(C171,'RAW DATA 2023'!E:BO,5,0)</f>
        <v>Greenhouse</v>
      </c>
      <c r="G171" s="63" t="s">
        <v>67</v>
      </c>
      <c r="H171" s="63">
        <f>VLOOKUP(C171,'RAW DATA 2023'!E:BO,2,0)</f>
        <v>1.1299999999999999</v>
      </c>
      <c r="I171" s="106">
        <f>VLOOKUP(C171,'RAW DATA 2023'!E:BO,22,0)</f>
        <v>4.0597610619469036</v>
      </c>
      <c r="J171" s="72">
        <f t="shared" si="12"/>
        <v>5.976106194690356E-2</v>
      </c>
      <c r="K171" s="109">
        <f t="shared" si="13"/>
        <v>9.9601769911505933E-2</v>
      </c>
      <c r="L171" s="63">
        <f t="shared" si="14"/>
        <v>9.9601769911505933E-2</v>
      </c>
      <c r="M171" s="123"/>
    </row>
    <row r="172" spans="1:13">
      <c r="A172" s="63" t="str">
        <f>'RAW DATA 2023'!B303</f>
        <v>Roiphet1</v>
      </c>
      <c r="B172" s="63" t="str">
        <f>'RAW DATA 2023'!D303</f>
        <v>B2-G03-0080</v>
      </c>
      <c r="C172" s="63" t="str">
        <f t="shared" si="10"/>
        <v>Roiphet1B2-G03-0080</v>
      </c>
      <c r="D172" s="68">
        <f>VLOOKUP(C172,'RAW DATA 2023'!E:BP,63,0)</f>
        <v>6</v>
      </c>
      <c r="E172" s="68" t="str">
        <f t="shared" si="11"/>
        <v>Roiphet16</v>
      </c>
      <c r="F172" s="63" t="str">
        <f>VLOOKUP(C172,'RAW DATA 2023'!E:BO,5,0)</f>
        <v>Greenhouse</v>
      </c>
      <c r="G172" s="63" t="s">
        <v>1951</v>
      </c>
      <c r="H172" s="63">
        <f>VLOOKUP(C172,'RAW DATA 2023'!E:BO,2,0)</f>
        <v>1.1299999999999999</v>
      </c>
      <c r="I172" s="106">
        <f>VLOOKUP(C172,'RAW DATA 2023'!E:BO,22,0)</f>
        <v>5.1312035398230096</v>
      </c>
      <c r="J172" s="72">
        <f t="shared" si="12"/>
        <v>1.1312035398230096</v>
      </c>
      <c r="K172" s="109">
        <f t="shared" si="13"/>
        <v>1.8853392330383494</v>
      </c>
      <c r="L172" s="63">
        <f t="shared" si="14"/>
        <v>1.8853392330383494</v>
      </c>
      <c r="M172" s="123"/>
    </row>
    <row r="173" spans="1:13" hidden="1">
      <c r="A173" s="63" t="str">
        <f>'RAW DATA 2023'!B306</f>
        <v>Roiphet1</v>
      </c>
      <c r="B173" s="63" t="str">
        <f>'RAW DATA 2023'!D306</f>
        <v>B1-G02-0088</v>
      </c>
      <c r="C173" s="63" t="str">
        <f t="shared" si="10"/>
        <v>Roiphet1B1-G02-0088</v>
      </c>
      <c r="D173" s="68">
        <f>VLOOKUP(C173,'RAW DATA 2023'!E:BP,63,0)</f>
        <v>6</v>
      </c>
      <c r="E173" s="68" t="str">
        <f t="shared" si="11"/>
        <v>Roiphet16</v>
      </c>
      <c r="F173" s="63" t="str">
        <f>VLOOKUP(C173,'RAW DATA 2023'!E:BO,5,0)</f>
        <v>Greenhouse</v>
      </c>
      <c r="G173" s="63" t="s">
        <v>67</v>
      </c>
      <c r="H173" s="63">
        <f>VLOOKUP(C173,'RAW DATA 2023'!E:BO,2,0)</f>
        <v>1.1299999999999999</v>
      </c>
      <c r="I173" s="106">
        <f>VLOOKUP(C173,'RAW DATA 2023'!E:BO,22,0)</f>
        <v>7.8953185840707967</v>
      </c>
      <c r="J173" s="72">
        <f t="shared" si="12"/>
        <v>3.8953185840707967</v>
      </c>
      <c r="K173" s="109">
        <f t="shared" si="13"/>
        <v>6.492197640117995</v>
      </c>
      <c r="L173" s="63">
        <f t="shared" si="14"/>
        <v>6.25</v>
      </c>
      <c r="M173" s="123"/>
    </row>
    <row r="174" spans="1:13" hidden="1">
      <c r="A174" s="63" t="str">
        <f>'RAW DATA 2023'!B307</f>
        <v>Roiphet1</v>
      </c>
      <c r="B174" s="63" t="str">
        <f>'RAW DATA 2023'!D307</f>
        <v>B6-G12-0088</v>
      </c>
      <c r="C174" s="63" t="str">
        <f t="shared" si="10"/>
        <v>Roiphet1B6-G12-0088</v>
      </c>
      <c r="D174" s="68">
        <f>VLOOKUP(C174,'RAW DATA 2023'!E:BP,63,0)</f>
        <v>8</v>
      </c>
      <c r="E174" s="68" t="str">
        <f t="shared" si="11"/>
        <v>Roiphet18</v>
      </c>
      <c r="F174" s="63" t="str">
        <f>VLOOKUP(C174,'RAW DATA 2023'!E:BO,5,0)</f>
        <v>Greenhouse</v>
      </c>
      <c r="G174" s="63" t="s">
        <v>1954</v>
      </c>
      <c r="H174" s="63">
        <f>VLOOKUP(C174,'RAW DATA 2023'!E:BO,2,0)</f>
        <v>1.1299999999999999</v>
      </c>
      <c r="I174" s="106">
        <f>VLOOKUP(C174,'RAW DATA 2023'!E:BO,22,0)</f>
        <v>3.0093982300884958</v>
      </c>
      <c r="J174" s="72">
        <f t="shared" si="12"/>
        <v>-0.99060176991150417</v>
      </c>
      <c r="K174" s="109">
        <f t="shared" si="13"/>
        <v>-1.651002949852507</v>
      </c>
      <c r="L174" s="63">
        <f t="shared" si="14"/>
        <v>0</v>
      </c>
      <c r="M174" s="123"/>
    </row>
    <row r="175" spans="1:13" hidden="1">
      <c r="A175" s="63" t="str">
        <f>'RAW DATA 2023'!B314</f>
        <v>Choknavy</v>
      </c>
      <c r="B175" s="63" t="str">
        <f>'RAW DATA 2023'!D314</f>
        <v>A1-006-0032</v>
      </c>
      <c r="C175" s="63" t="str">
        <f t="shared" si="10"/>
        <v>ChoknavyA1-006-0032</v>
      </c>
      <c r="D175" s="68">
        <f>VLOOKUP(C175,'RAW DATA 2023'!E:BP,63,0)</f>
        <v>7</v>
      </c>
      <c r="E175" s="68" t="str">
        <f t="shared" si="11"/>
        <v>Choknavy7</v>
      </c>
      <c r="F175" s="63" t="str">
        <f>VLOOKUP(C175,'RAW DATA 2023'!E:BO,5,0)</f>
        <v>Outdoor</v>
      </c>
      <c r="G175" s="63" t="s">
        <v>1954</v>
      </c>
      <c r="H175" s="63">
        <f>VLOOKUP(C175,'RAW DATA 2023'!E:BO,2,0)</f>
        <v>5.5</v>
      </c>
      <c r="I175" s="106">
        <f>VLOOKUP(C175,'RAW DATA 2023'!E:BO,22,0)</f>
        <v>6.3440218181818189</v>
      </c>
      <c r="J175" s="72">
        <f t="shared" si="12"/>
        <v>4.3440218181818189</v>
      </c>
      <c r="K175" s="109">
        <f t="shared" si="13"/>
        <v>7.2400363636363654</v>
      </c>
      <c r="L175" s="63">
        <f t="shared" si="14"/>
        <v>6.25</v>
      </c>
      <c r="M175" s="123"/>
    </row>
    <row r="176" spans="1:13">
      <c r="A176" s="63" t="str">
        <f>'RAW DATA 2023'!B315</f>
        <v>Choknavy</v>
      </c>
      <c r="B176" s="63" t="str">
        <f>'RAW DATA 2023'!D315</f>
        <v>A1-003-0036</v>
      </c>
      <c r="C176" s="63" t="str">
        <f t="shared" si="10"/>
        <v>ChoknavyA1-003-0036</v>
      </c>
      <c r="D176" s="68">
        <f>VLOOKUP(C176,'RAW DATA 2023'!E:BP,63,0)</f>
        <v>7</v>
      </c>
      <c r="E176" s="68" t="str">
        <f t="shared" si="11"/>
        <v>Choknavy7</v>
      </c>
      <c r="F176" s="63" t="str">
        <f>VLOOKUP(C176,'RAW DATA 2023'!E:BO,5,0)</f>
        <v>Outdoor</v>
      </c>
      <c r="G176" s="63" t="s">
        <v>1951</v>
      </c>
      <c r="H176" s="63">
        <f>VLOOKUP(C176,'RAW DATA 2023'!E:BO,2,0)</f>
        <v>5.5</v>
      </c>
      <c r="I176" s="106">
        <f>VLOOKUP(C176,'RAW DATA 2023'!E:BO,22,0)</f>
        <v>5.5964709090909093</v>
      </c>
      <c r="J176" s="72">
        <f t="shared" si="12"/>
        <v>3.5964709090909093</v>
      </c>
      <c r="K176" s="109">
        <f t="shared" si="13"/>
        <v>5.9941181818181821</v>
      </c>
      <c r="L176" s="63">
        <f t="shared" si="14"/>
        <v>5.9941181818181821</v>
      </c>
      <c r="M176" s="123"/>
    </row>
    <row r="177" spans="1:13" hidden="1">
      <c r="A177" s="63" t="str">
        <f>'RAW DATA 2023'!B323</f>
        <v>Choknavy</v>
      </c>
      <c r="B177" s="63" t="str">
        <f>'RAW DATA 2023'!D323</f>
        <v>A1-003-0035</v>
      </c>
      <c r="C177" s="63" t="str">
        <f t="shared" si="10"/>
        <v>ChoknavyA1-003-0035</v>
      </c>
      <c r="D177" s="68">
        <f>VLOOKUP(C177,'RAW DATA 2023'!E:BP,63,0)</f>
        <v>1</v>
      </c>
      <c r="E177" s="68" t="str">
        <f t="shared" si="11"/>
        <v>Choknavy1</v>
      </c>
      <c r="F177" s="63" t="str">
        <f>VLOOKUP(C177,'RAW DATA 2023'!E:BO,5,0)</f>
        <v>Outdoor</v>
      </c>
      <c r="G177" s="63" t="s">
        <v>1954</v>
      </c>
      <c r="H177" s="63">
        <f>VLOOKUP(C177,'RAW DATA 2023'!E:BO,2,0)</f>
        <v>5.5</v>
      </c>
      <c r="I177" s="106">
        <f>VLOOKUP(C177,'RAW DATA 2023'!E:BO,22,0)</f>
        <v>0</v>
      </c>
      <c r="J177" s="72">
        <f t="shared" si="12"/>
        <v>0</v>
      </c>
      <c r="K177" s="109">
        <f t="shared" si="13"/>
        <v>0</v>
      </c>
      <c r="L177" s="63">
        <f t="shared" si="14"/>
        <v>0</v>
      </c>
      <c r="M177" s="123"/>
    </row>
    <row r="178" spans="1:13" hidden="1">
      <c r="A178" s="63" t="str">
        <f>'RAW DATA 2023'!B327</f>
        <v>Maeklong1</v>
      </c>
      <c r="B178" s="63" t="str">
        <f>'RAW DATA 2023'!D327</f>
        <v>A1-024-0012</v>
      </c>
      <c r="C178" s="63" t="str">
        <f t="shared" si="10"/>
        <v>Maeklong1A1-024-0012</v>
      </c>
      <c r="D178" s="68">
        <f>VLOOKUP(C178,'RAW DATA 2023'!E:BP,63,0)</f>
        <v>10</v>
      </c>
      <c r="E178" s="68" t="str">
        <f t="shared" si="11"/>
        <v>Maeklong110</v>
      </c>
      <c r="F178" s="63" t="str">
        <f>VLOOKUP(C178,'RAW DATA 2023'!E:BO,5,0)</f>
        <v>Outdoor</v>
      </c>
      <c r="G178" s="63" t="s">
        <v>1954</v>
      </c>
      <c r="H178" s="63">
        <f>VLOOKUP(C178,'RAW DATA 2023'!E:BO,2,0)</f>
        <v>3.92</v>
      </c>
      <c r="I178" s="106">
        <f>VLOOKUP(C178,'RAW DATA 2023'!E:BO,22,0)</f>
        <v>10.91956887755102</v>
      </c>
      <c r="J178" s="72">
        <f t="shared" si="12"/>
        <v>7.9195688775510202</v>
      </c>
      <c r="K178" s="109">
        <f t="shared" si="13"/>
        <v>13.199281462585034</v>
      </c>
      <c r="L178" s="63">
        <f t="shared" si="14"/>
        <v>6.25</v>
      </c>
      <c r="M178" s="123"/>
    </row>
    <row r="179" spans="1:13" hidden="1">
      <c r="A179" s="63" t="str">
        <f>'RAW DATA 2023'!B328</f>
        <v>Maeklong1</v>
      </c>
      <c r="B179" s="63" t="str">
        <f>'RAW DATA 2023'!D328</f>
        <v>A1-019-0024</v>
      </c>
      <c r="C179" s="63" t="str">
        <f t="shared" si="10"/>
        <v>Maeklong1A1-019-0024</v>
      </c>
      <c r="D179" s="68">
        <f>VLOOKUP(C179,'RAW DATA 2023'!E:BP,63,0)</f>
        <v>10</v>
      </c>
      <c r="E179" s="68" t="str">
        <f t="shared" si="11"/>
        <v>Maeklong110</v>
      </c>
      <c r="F179" s="63" t="str">
        <f>VLOOKUP(C179,'RAW DATA 2023'!E:BO,5,0)</f>
        <v>Outdoor</v>
      </c>
      <c r="G179" s="63" t="s">
        <v>1954</v>
      </c>
      <c r="H179" s="63">
        <f>VLOOKUP(C179,'RAW DATA 2023'!E:BO,2,0)</f>
        <v>5.24</v>
      </c>
      <c r="I179" s="106">
        <f>VLOOKUP(C179,'RAW DATA 2023'!E:BO,22,0)</f>
        <v>11.133864503816792</v>
      </c>
      <c r="J179" s="72">
        <f t="shared" si="12"/>
        <v>9.1338645038167918</v>
      </c>
      <c r="K179" s="109">
        <f t="shared" si="13"/>
        <v>15.22310750636132</v>
      </c>
      <c r="L179" s="63">
        <f t="shared" si="14"/>
        <v>6.25</v>
      </c>
      <c r="M179" s="123"/>
    </row>
    <row r="180" spans="1:13" hidden="1">
      <c r="A180" s="63" t="str">
        <f>'RAW DATA 2023'!B337</f>
        <v>Maeklong1</v>
      </c>
      <c r="B180" s="63" t="str">
        <f>'RAW DATA 2023'!D337</f>
        <v>A1-015-0035</v>
      </c>
      <c r="C180" s="63" t="str">
        <f t="shared" si="10"/>
        <v>Maeklong1A1-015-0035</v>
      </c>
      <c r="D180" s="68">
        <f>VLOOKUP(C180,'RAW DATA 2023'!E:BP,63,0)</f>
        <v>3</v>
      </c>
      <c r="E180" s="68" t="str">
        <f t="shared" si="11"/>
        <v>Maeklong13</v>
      </c>
      <c r="F180" s="63" t="str">
        <f>VLOOKUP(C180,'RAW DATA 2023'!E:BO,5,0)</f>
        <v>Outdoor</v>
      </c>
      <c r="G180" s="63" t="s">
        <v>1954</v>
      </c>
      <c r="H180" s="63">
        <f>VLOOKUP(C180,'RAW DATA 2023'!E:BO,2,0)</f>
        <v>2.4300000000000002</v>
      </c>
      <c r="I180" s="106">
        <f>VLOOKUP(C180,'RAW DATA 2023'!E:BO,22,0)</f>
        <v>11.777613168724278</v>
      </c>
      <c r="J180" s="72">
        <f t="shared" si="12"/>
        <v>8.7776131687242778</v>
      </c>
      <c r="K180" s="109">
        <f t="shared" si="13"/>
        <v>14.629355281207131</v>
      </c>
      <c r="L180" s="63">
        <f t="shared" si="14"/>
        <v>6.25</v>
      </c>
      <c r="M180" s="123"/>
    </row>
    <row r="181" spans="1:13" hidden="1">
      <c r="A181" s="63" t="str">
        <f>'RAW DATA 2023'!B338</f>
        <v>Maeklong1</v>
      </c>
      <c r="B181" s="63" t="str">
        <f>'RAW DATA 2023'!D338</f>
        <v>A1-017-0029</v>
      </c>
      <c r="C181" s="63" t="str">
        <f t="shared" si="10"/>
        <v>Maeklong1A1-017-0029</v>
      </c>
      <c r="D181" s="68">
        <f>VLOOKUP(C181,'RAW DATA 2023'!E:BP,63,0)</f>
        <v>2</v>
      </c>
      <c r="E181" s="68" t="str">
        <f t="shared" si="11"/>
        <v>Maeklong12</v>
      </c>
      <c r="F181" s="63" t="str">
        <f>VLOOKUP(C181,'RAW DATA 2023'!E:BO,5,0)</f>
        <v>Outdoor</v>
      </c>
      <c r="G181" s="63" t="s">
        <v>1954</v>
      </c>
      <c r="H181" s="63">
        <f>VLOOKUP(C181,'RAW DATA 2023'!E:BO,2,0)</f>
        <v>2.89</v>
      </c>
      <c r="I181" s="106">
        <f>VLOOKUP(C181,'RAW DATA 2023'!E:BO,22,0)</f>
        <v>6.1135778546712807</v>
      </c>
      <c r="J181" s="72">
        <f t="shared" si="12"/>
        <v>3.1135778546712807</v>
      </c>
      <c r="K181" s="109">
        <f t="shared" si="13"/>
        <v>5.1892964244521345</v>
      </c>
      <c r="L181" s="63">
        <f t="shared" si="14"/>
        <v>5.1892964244521345</v>
      </c>
      <c r="M181" s="123"/>
    </row>
    <row r="182" spans="1:13">
      <c r="A182" s="63" t="str">
        <f>'RAW DATA 2023'!B360</f>
        <v>PB5</v>
      </c>
      <c r="B182" s="63" t="str">
        <f>'RAW DATA 2023'!D360</f>
        <v>A1-009-0048</v>
      </c>
      <c r="C182" s="63" t="str">
        <f t="shared" si="10"/>
        <v>PB5A1-009-0048</v>
      </c>
      <c r="D182" s="68">
        <f>VLOOKUP(C182,'RAW DATA 2023'!E:BP,63,0)</f>
        <v>8</v>
      </c>
      <c r="E182" s="68" t="str">
        <f t="shared" si="11"/>
        <v>PB58</v>
      </c>
      <c r="F182" s="63" t="str">
        <f>VLOOKUP(C182,'RAW DATA 2023'!E:BO,5,0)</f>
        <v>Outdoor</v>
      </c>
      <c r="G182" s="63" t="s">
        <v>1951</v>
      </c>
      <c r="H182" s="63">
        <f>VLOOKUP(C182,'RAW DATA 2023'!E:BO,2,0)</f>
        <v>4.62</v>
      </c>
      <c r="I182" s="106">
        <f>VLOOKUP(C182,'RAW DATA 2023'!E:BO,22,0)</f>
        <v>6.6622943722943715</v>
      </c>
      <c r="J182" s="72">
        <f t="shared" si="12"/>
        <v>4.6622943722943715</v>
      </c>
      <c r="K182" s="109">
        <f t="shared" si="13"/>
        <v>7.7704906204906194</v>
      </c>
      <c r="L182" s="63">
        <f t="shared" si="14"/>
        <v>6.25</v>
      </c>
      <c r="M182" s="123"/>
    </row>
    <row r="183" spans="1:13" hidden="1">
      <c r="A183" s="63" t="str">
        <f>'RAW DATA 2023'!B365</f>
        <v>PB5</v>
      </c>
      <c r="B183" s="63" t="str">
        <f>'RAW DATA 2023'!D365</f>
        <v>B1-022-0051</v>
      </c>
      <c r="C183" s="63" t="str">
        <f t="shared" si="10"/>
        <v>PB5B1-022-0051</v>
      </c>
      <c r="D183" s="68">
        <f>VLOOKUP(C183,'RAW DATA 2023'!E:BP,63,0)</f>
        <v>11</v>
      </c>
      <c r="E183" s="68" t="str">
        <f t="shared" si="11"/>
        <v>PB511</v>
      </c>
      <c r="F183" s="63" t="str">
        <f>VLOOKUP(C183,'RAW DATA 2023'!E:BO,5,0)</f>
        <v>Outdoor</v>
      </c>
      <c r="G183" s="63" t="s">
        <v>67</v>
      </c>
      <c r="H183" s="63">
        <f>VLOOKUP(C183,'RAW DATA 2023'!E:BO,2,0)</f>
        <v>5.72</v>
      </c>
      <c r="I183" s="106">
        <f>VLOOKUP(C183,'RAW DATA 2023'!E:BO,22,0)</f>
        <v>3.8918601398601402</v>
      </c>
      <c r="J183" s="72">
        <f t="shared" si="12"/>
        <v>1.8918601398601402</v>
      </c>
      <c r="K183" s="109">
        <f t="shared" si="13"/>
        <v>3.153100233100234</v>
      </c>
      <c r="L183" s="63">
        <f t="shared" si="14"/>
        <v>3.153100233100234</v>
      </c>
      <c r="M183" s="123"/>
    </row>
    <row r="184" spans="1:13" hidden="1">
      <c r="A184" s="63" t="str">
        <f>'RAW DATA 2023'!B404</f>
        <v>CS4</v>
      </c>
      <c r="B184" s="63" t="str">
        <f>'RAW DATA 2023'!D404</f>
        <v>A1-011-0046</v>
      </c>
      <c r="C184" s="63" t="str">
        <f t="shared" si="10"/>
        <v>CS4A1-011-0046</v>
      </c>
      <c r="D184" s="68">
        <f>VLOOKUP(C184,'RAW DATA 2023'!E:BP,63,0)</f>
        <v>9</v>
      </c>
      <c r="E184" s="68" t="str">
        <f t="shared" si="11"/>
        <v>CS49</v>
      </c>
      <c r="F184" s="63" t="str">
        <f>VLOOKUP(C184,'RAW DATA 2023'!E:BO,5,0)</f>
        <v>Outdoor</v>
      </c>
      <c r="G184" s="63" t="s">
        <v>1955</v>
      </c>
      <c r="H184" s="63">
        <f>VLOOKUP(C184,'RAW DATA 2023'!E:BO,2,0)</f>
        <v>2.65</v>
      </c>
      <c r="I184" s="106">
        <f>VLOOKUP(C184,'RAW DATA 2023'!E:BO,22,0)</f>
        <v>6.3555207547169816</v>
      </c>
      <c r="J184" s="72">
        <f t="shared" si="12"/>
        <v>3.3555207547169816</v>
      </c>
      <c r="K184" s="109">
        <f t="shared" si="13"/>
        <v>5.59253459119497</v>
      </c>
      <c r="L184" s="63">
        <f t="shared" si="14"/>
        <v>5.59253459119497</v>
      </c>
      <c r="M184" s="123"/>
    </row>
    <row r="185" spans="1:13" hidden="1">
      <c r="A185" s="63" t="str">
        <f>'RAW DATA 2023'!B405</f>
        <v>CS4</v>
      </c>
      <c r="B185" s="63" t="str">
        <f>'RAW DATA 2023'!D405</f>
        <v>A1-011-0045</v>
      </c>
      <c r="C185" s="63" t="str">
        <f t="shared" si="10"/>
        <v>CS4A1-011-0045</v>
      </c>
      <c r="D185" s="68">
        <f>VLOOKUP(C185,'RAW DATA 2023'!E:BP,63,0)</f>
        <v>5</v>
      </c>
      <c r="E185" s="68" t="str">
        <f t="shared" si="11"/>
        <v>CS45</v>
      </c>
      <c r="F185" s="63" t="str">
        <f>VLOOKUP(C185,'RAW DATA 2023'!E:BO,5,0)</f>
        <v>Outdoor</v>
      </c>
      <c r="G185" s="63" t="s">
        <v>1955</v>
      </c>
      <c r="H185" s="63">
        <f>VLOOKUP(C185,'RAW DATA 2023'!E:BO,2,0)</f>
        <v>2.65</v>
      </c>
      <c r="I185" s="106">
        <f>VLOOKUP(C185,'RAW DATA 2023'!E:BO,22,0)</f>
        <v>4.2912641509433964</v>
      </c>
      <c r="J185" s="72">
        <f t="shared" si="12"/>
        <v>1.2912641509433964</v>
      </c>
      <c r="K185" s="109">
        <f t="shared" si="13"/>
        <v>2.152106918238994</v>
      </c>
      <c r="L185" s="63">
        <f t="shared" si="14"/>
        <v>2.152106918238994</v>
      </c>
      <c r="M185" s="123"/>
    </row>
    <row r="186" spans="1:13" hidden="1">
      <c r="A186" s="63" t="str">
        <f>'RAW DATA 2023'!B407</f>
        <v>CS4</v>
      </c>
      <c r="B186" s="63" t="str">
        <f>'RAW DATA 2023'!D407</f>
        <v>A1-026-0015</v>
      </c>
      <c r="C186" s="63" t="str">
        <f t="shared" si="10"/>
        <v>CS4A1-026-0015</v>
      </c>
      <c r="D186" s="68">
        <f>VLOOKUP(C186,'RAW DATA 2023'!E:BP,63,0)</f>
        <v>6</v>
      </c>
      <c r="E186" s="68" t="str">
        <f t="shared" si="11"/>
        <v>CS46</v>
      </c>
      <c r="F186" s="63" t="str">
        <f>VLOOKUP(C186,'RAW DATA 2023'!E:BO,5,0)</f>
        <v>Outdoor</v>
      </c>
      <c r="G186" s="63" t="s">
        <v>1955</v>
      </c>
      <c r="H186" s="63">
        <f>VLOOKUP(C186,'RAW DATA 2023'!E:BO,2,0)</f>
        <v>2</v>
      </c>
      <c r="I186" s="106">
        <f>VLOOKUP(C186,'RAW DATA 2023'!E:BO,22,0)</f>
        <v>2.7323949999999999</v>
      </c>
      <c r="J186" s="72">
        <f t="shared" si="12"/>
        <v>-3.2676050000000001</v>
      </c>
      <c r="K186" s="109">
        <f t="shared" si="13"/>
        <v>-5.4460083333333333</v>
      </c>
      <c r="L186" s="63">
        <f t="shared" si="14"/>
        <v>0</v>
      </c>
      <c r="M186" s="123"/>
    </row>
    <row r="187" spans="1:13" hidden="1">
      <c r="A187" s="63" t="str">
        <f>'RAW DATA 2023'!B423</f>
        <v>CS1</v>
      </c>
      <c r="B187" s="63" t="str">
        <f>'RAW DATA 2023'!D423</f>
        <v>A1-008-0030</v>
      </c>
      <c r="C187" s="63" t="str">
        <f t="shared" si="10"/>
        <v>CS1A1-008-0030</v>
      </c>
      <c r="D187" s="68">
        <f>VLOOKUP(C187,'RAW DATA 2023'!E:BP,63,0)</f>
        <v>3</v>
      </c>
      <c r="E187" s="68" t="str">
        <f t="shared" si="11"/>
        <v>CS13</v>
      </c>
      <c r="F187" s="63" t="str">
        <f>VLOOKUP(C187,'RAW DATA 2023'!E:BO,5,0)</f>
        <v>Outdoor</v>
      </c>
      <c r="G187" s="63" t="s">
        <v>67</v>
      </c>
      <c r="H187" s="63">
        <f>VLOOKUP(C187,'RAW DATA 2023'!E:BO,2,0)</f>
        <v>3.45</v>
      </c>
      <c r="I187" s="106">
        <f>VLOOKUP(C187,'RAW DATA 2023'!E:BO,22,0)</f>
        <v>4.9599217391304338</v>
      </c>
      <c r="J187" s="72">
        <f t="shared" si="12"/>
        <v>1.9599217391304338</v>
      </c>
      <c r="K187" s="109">
        <f t="shared" si="13"/>
        <v>3.2665362318840563</v>
      </c>
      <c r="L187" s="63">
        <f t="shared" si="14"/>
        <v>3.2665362318840563</v>
      </c>
      <c r="M187" s="123"/>
    </row>
    <row r="188" spans="1:13">
      <c r="A188" s="63" t="str">
        <f>'RAW DATA 2023'!B428</f>
        <v>CS1</v>
      </c>
      <c r="B188" s="63" t="str">
        <f>'RAW DATA 2023'!D428</f>
        <v>C1-084-0018</v>
      </c>
      <c r="C188" s="63" t="str">
        <f t="shared" si="10"/>
        <v>CS1C1-084-0018</v>
      </c>
      <c r="D188" s="68">
        <f>VLOOKUP(C188,'RAW DATA 2023'!E:BP,63,0)</f>
        <v>2</v>
      </c>
      <c r="E188" s="68" t="str">
        <f t="shared" si="11"/>
        <v>CS12</v>
      </c>
      <c r="F188" s="63" t="str">
        <f>VLOOKUP(C188,'RAW DATA 2023'!E:BO,5,0)</f>
        <v>Outdoor</v>
      </c>
      <c r="G188" s="63" t="s">
        <v>1951</v>
      </c>
      <c r="H188" s="63">
        <f>VLOOKUP(C188,'RAW DATA 2023'!E:BO,2,0)</f>
        <v>2.25</v>
      </c>
      <c r="I188" s="106">
        <f>VLOOKUP(C188,'RAW DATA 2023'!E:BO,22,0)</f>
        <v>5.0782266666666667</v>
      </c>
      <c r="J188" s="72">
        <f t="shared" si="12"/>
        <v>2.0782266666666667</v>
      </c>
      <c r="K188" s="109">
        <f t="shared" si="13"/>
        <v>3.4637111111111114</v>
      </c>
      <c r="L188" s="63">
        <f t="shared" si="14"/>
        <v>3.4637111111111114</v>
      </c>
      <c r="M188" s="123"/>
    </row>
    <row r="189" spans="1:13">
      <c r="A189" s="63" t="str">
        <f>'RAW DATA 2023'!B437</f>
        <v>CS1</v>
      </c>
      <c r="B189" s="63" t="str">
        <f>'RAW DATA 2023'!D437</f>
        <v>C1-063-0019</v>
      </c>
      <c r="C189" s="63" t="str">
        <f t="shared" si="10"/>
        <v>CS1C1-063-0019</v>
      </c>
      <c r="D189" s="68">
        <f>VLOOKUP(C189,'RAW DATA 2023'!E:BP,63,0)</f>
        <v>2</v>
      </c>
      <c r="E189" s="68" t="str">
        <f t="shared" si="11"/>
        <v>CS12</v>
      </c>
      <c r="F189" s="63" t="str">
        <f>VLOOKUP(C189,'RAW DATA 2023'!E:BO,5,0)</f>
        <v>Outdoor</v>
      </c>
      <c r="G189" s="63" t="s">
        <v>1951</v>
      </c>
      <c r="H189" s="63">
        <f>VLOOKUP(C189,'RAW DATA 2023'!E:BO,2,0)</f>
        <v>3.46</v>
      </c>
      <c r="I189" s="106">
        <f>VLOOKUP(C189,'RAW DATA 2023'!E:BO,22,0)</f>
        <v>2.7523872832369944</v>
      </c>
      <c r="J189" s="72">
        <f t="shared" si="12"/>
        <v>-0.24761271676300556</v>
      </c>
      <c r="K189" s="109">
        <f t="shared" si="13"/>
        <v>-0.41268786127167595</v>
      </c>
      <c r="L189" s="63">
        <f t="shared" si="14"/>
        <v>0</v>
      </c>
      <c r="M189" s="123"/>
    </row>
    <row r="190" spans="1:13">
      <c r="A190" s="63" t="str">
        <f>'RAW DATA 2023'!B447</f>
        <v>Roiphet3</v>
      </c>
      <c r="B190" s="63" t="str">
        <f>'RAW DATA 2023'!D447</f>
        <v>A1-027-0027</v>
      </c>
      <c r="C190" s="63" t="str">
        <f t="shared" si="10"/>
        <v>Roiphet3A1-027-0027</v>
      </c>
      <c r="D190" s="68">
        <f>VLOOKUP(C190,'RAW DATA 2023'!E:BP,63,0)</f>
        <v>5</v>
      </c>
      <c r="E190" s="68" t="str">
        <f t="shared" si="11"/>
        <v>Roiphet35</v>
      </c>
      <c r="F190" s="63" t="str">
        <f>VLOOKUP(C190,'RAW DATA 2023'!E:BO,5,0)</f>
        <v>Outdoor</v>
      </c>
      <c r="G190" s="63" t="s">
        <v>1951</v>
      </c>
      <c r="H190" s="63">
        <f>VLOOKUP(C190,'RAW DATA 2023'!E:BO,2,0)</f>
        <v>4.9000000000000004</v>
      </c>
      <c r="I190" s="106">
        <f>VLOOKUP(C190,'RAW DATA 2023'!E:BO,22,0)</f>
        <v>6.0665061224489794</v>
      </c>
      <c r="J190" s="72">
        <f t="shared" si="12"/>
        <v>4.0665061224489794</v>
      </c>
      <c r="K190" s="109">
        <f t="shared" si="13"/>
        <v>6.7775102040816328</v>
      </c>
      <c r="L190" s="63">
        <f t="shared" si="14"/>
        <v>6.25</v>
      </c>
      <c r="M190" s="123"/>
    </row>
    <row r="191" spans="1:13">
      <c r="A191" s="63" t="str">
        <f>'RAW DATA 2023'!B449</f>
        <v>Roiphet3</v>
      </c>
      <c r="B191" s="63" t="str">
        <f>'RAW DATA 2023'!D449</f>
        <v>A1-026-0022</v>
      </c>
      <c r="C191" s="63" t="str">
        <f t="shared" si="10"/>
        <v>Roiphet3A1-026-0022</v>
      </c>
      <c r="D191" s="68">
        <f>VLOOKUP(C191,'RAW DATA 2023'!E:BP,63,0)</f>
        <v>5</v>
      </c>
      <c r="E191" s="68" t="str">
        <f t="shared" si="11"/>
        <v>Roiphet35</v>
      </c>
      <c r="F191" s="63" t="str">
        <f>VLOOKUP(C191,'RAW DATA 2023'!E:BO,5,0)</f>
        <v>Outdoor</v>
      </c>
      <c r="G191" s="63" t="s">
        <v>1951</v>
      </c>
      <c r="H191" s="63">
        <f>VLOOKUP(C191,'RAW DATA 2023'!E:BO,2,0)</f>
        <v>4.9000000000000004</v>
      </c>
      <c r="I191" s="106">
        <f>VLOOKUP(C191,'RAW DATA 2023'!E:BO,22,0)</f>
        <v>5.5537897959183669</v>
      </c>
      <c r="J191" s="72">
        <f t="shared" si="12"/>
        <v>3.5537897959183669</v>
      </c>
      <c r="K191" s="109">
        <f t="shared" si="13"/>
        <v>5.9229829931972784</v>
      </c>
      <c r="L191" s="63">
        <f t="shared" si="14"/>
        <v>5.9229829931972784</v>
      </c>
      <c r="M191" s="123"/>
    </row>
    <row r="192" spans="1:13">
      <c r="A192" s="63" t="str">
        <f>'RAW DATA 2023'!B453</f>
        <v>Roiphet3</v>
      </c>
      <c r="B192" s="63" t="str">
        <f>'RAW DATA 2023'!D453</f>
        <v>C1-046-0004</v>
      </c>
      <c r="C192" s="63" t="str">
        <f t="shared" si="10"/>
        <v>Roiphet3C1-046-0004</v>
      </c>
      <c r="D192" s="68">
        <f>VLOOKUP(C192,'RAW DATA 2023'!E:BP,63,0)</f>
        <v>4</v>
      </c>
      <c r="E192" s="68" t="str">
        <f t="shared" si="11"/>
        <v>Roiphet34</v>
      </c>
      <c r="F192" s="63" t="str">
        <f>VLOOKUP(C192,'RAW DATA 2023'!E:BO,5,0)</f>
        <v>Outdoor</v>
      </c>
      <c r="G192" s="63" t="s">
        <v>1951</v>
      </c>
      <c r="H192" s="63">
        <f>VLOOKUP(C192,'RAW DATA 2023'!E:BO,2,0)</f>
        <v>4.5</v>
      </c>
      <c r="I192" s="106">
        <f>VLOOKUP(C192,'RAW DATA 2023'!E:BO,22,0)</f>
        <v>4.9599622222222228</v>
      </c>
      <c r="J192" s="72">
        <f t="shared" si="12"/>
        <v>2.9599622222222228</v>
      </c>
      <c r="K192" s="109">
        <f t="shared" si="13"/>
        <v>4.933270370370372</v>
      </c>
      <c r="L192" s="63">
        <f t="shared" si="14"/>
        <v>4.933270370370372</v>
      </c>
      <c r="M192" s="123"/>
    </row>
    <row r="193" spans="1:13">
      <c r="A193" s="63" t="str">
        <f>'RAW DATA 2023'!B454</f>
        <v>Roiphet3</v>
      </c>
      <c r="B193" s="63" t="str">
        <f>'RAW DATA 2023'!D454</f>
        <v>C1-054-0007</v>
      </c>
      <c r="C193" s="63" t="str">
        <f t="shared" si="10"/>
        <v>Roiphet3C1-054-0007</v>
      </c>
      <c r="D193" s="68">
        <f>VLOOKUP(C193,'RAW DATA 2023'!E:BP,63,0)</f>
        <v>4</v>
      </c>
      <c r="E193" s="68" t="str">
        <f t="shared" si="11"/>
        <v>Roiphet34</v>
      </c>
      <c r="F193" s="63" t="str">
        <f>VLOOKUP(C193,'RAW DATA 2023'!E:BO,5,0)</f>
        <v>Outdoor</v>
      </c>
      <c r="G193" s="63" t="s">
        <v>1951</v>
      </c>
      <c r="H193" s="63">
        <f>VLOOKUP(C193,'RAW DATA 2023'!E:BO,2,0)</f>
        <v>4.5</v>
      </c>
      <c r="I193" s="106">
        <f>VLOOKUP(C193,'RAW DATA 2023'!E:BO,22,0)</f>
        <v>5.7259311111111106</v>
      </c>
      <c r="J193" s="72">
        <f t="shared" si="12"/>
        <v>3.7259311111111106</v>
      </c>
      <c r="K193" s="109">
        <f t="shared" si="13"/>
        <v>6.2098851851851844</v>
      </c>
      <c r="L193" s="63">
        <f t="shared" si="14"/>
        <v>6.2098851851851844</v>
      </c>
      <c r="M193" s="123"/>
    </row>
    <row r="194" spans="1:13">
      <c r="A194" s="63" t="str">
        <f>'RAW DATA 2023'!B466</f>
        <v>Roiphet3</v>
      </c>
      <c r="B194" s="63" t="str">
        <f>'RAW DATA 2023'!D466</f>
        <v>C1-043-0026</v>
      </c>
      <c r="C194" s="63" t="str">
        <f t="shared" si="10"/>
        <v>Roiphet3C1-043-0026</v>
      </c>
      <c r="D194" s="68">
        <f>VLOOKUP(C194,'RAW DATA 2023'!E:BP,63,0)</f>
        <v>7</v>
      </c>
      <c r="E194" s="68" t="str">
        <f t="shared" si="11"/>
        <v>Roiphet37</v>
      </c>
      <c r="F194" s="63" t="str">
        <f>VLOOKUP(C194,'RAW DATA 2023'!E:BO,5,0)</f>
        <v>Outdoor</v>
      </c>
      <c r="G194" s="63" t="s">
        <v>1951</v>
      </c>
      <c r="H194" s="63">
        <f>VLOOKUP(C194,'RAW DATA 2023'!E:BO,2,0)</f>
        <v>4.5</v>
      </c>
      <c r="I194" s="106">
        <f>VLOOKUP(C194,'RAW DATA 2023'!E:BO,22,0)</f>
        <v>1.6248177777777777</v>
      </c>
      <c r="J194" s="72">
        <f t="shared" si="12"/>
        <v>-0.37518222222222231</v>
      </c>
      <c r="K194" s="109">
        <f t="shared" si="13"/>
        <v>-0.62530370370370392</v>
      </c>
      <c r="L194" s="63">
        <f t="shared" si="14"/>
        <v>0</v>
      </c>
      <c r="M194" s="123"/>
    </row>
    <row r="195" spans="1:13" hidden="1">
      <c r="A195" s="63" t="str">
        <f>'RAW DATA 2023'!B467</f>
        <v>Roiphet3</v>
      </c>
      <c r="B195" s="63" t="str">
        <f>'RAW DATA 2023'!D467</f>
        <v>C1-051-0026</v>
      </c>
      <c r="C195" s="63" t="str">
        <f t="shared" si="10"/>
        <v>Roiphet3C1-051-0026</v>
      </c>
      <c r="D195" s="68">
        <f>VLOOKUP(C195,'RAW DATA 2023'!E:BP,63,0)</f>
        <v>7</v>
      </c>
      <c r="E195" s="68" t="str">
        <f t="shared" si="11"/>
        <v>Roiphet37</v>
      </c>
      <c r="F195" s="63" t="str">
        <f>VLOOKUP(C195,'RAW DATA 2023'!E:BO,5,0)</f>
        <v>Outdoor</v>
      </c>
      <c r="G195" s="63" t="s">
        <v>1955</v>
      </c>
      <c r="H195" s="63">
        <f>VLOOKUP(C195,'RAW DATA 2023'!E:BO,2,0)</f>
        <v>4.5</v>
      </c>
      <c r="I195" s="106">
        <f>VLOOKUP(C195,'RAW DATA 2023'!E:BO,22,0)</f>
        <v>3.9834777777777779</v>
      </c>
      <c r="J195" s="72">
        <f t="shared" si="12"/>
        <v>1.9834777777777779</v>
      </c>
      <c r="K195" s="109">
        <f t="shared" si="13"/>
        <v>3.3057962962962968</v>
      </c>
      <c r="L195" s="63">
        <f t="shared" si="14"/>
        <v>3.3057962962962968</v>
      </c>
      <c r="M195" s="123"/>
    </row>
    <row r="196" spans="1:13">
      <c r="A196" s="63" t="str">
        <f>'RAW DATA 2023'!B469</f>
        <v>Roiphet3</v>
      </c>
      <c r="B196" s="63" t="str">
        <f>'RAW DATA 2023'!D469</f>
        <v>C1-057-0018</v>
      </c>
      <c r="C196" s="63" t="str">
        <f t="shared" si="10"/>
        <v>Roiphet3C1-057-0018</v>
      </c>
      <c r="D196" s="68">
        <f>VLOOKUP(C196,'RAW DATA 2023'!E:BP,63,0)</f>
        <v>7</v>
      </c>
      <c r="E196" s="68" t="str">
        <f t="shared" si="11"/>
        <v>Roiphet37</v>
      </c>
      <c r="F196" s="63" t="str">
        <f>VLOOKUP(C196,'RAW DATA 2023'!E:BO,5,0)</f>
        <v>Outdoor</v>
      </c>
      <c r="G196" s="63" t="s">
        <v>1951</v>
      </c>
      <c r="H196" s="63">
        <f>VLOOKUP(C196,'RAW DATA 2023'!E:BO,2,0)</f>
        <v>4.5</v>
      </c>
      <c r="I196" s="106">
        <f>VLOOKUP(C196,'RAW DATA 2023'!E:BO,22,0)</f>
        <v>2.368266666666667</v>
      </c>
      <c r="J196" s="72">
        <f t="shared" si="12"/>
        <v>0.36826666666666696</v>
      </c>
      <c r="K196" s="109">
        <f t="shared" si="13"/>
        <v>0.61377777777777831</v>
      </c>
      <c r="L196" s="63">
        <f t="shared" si="14"/>
        <v>0.61377777777777831</v>
      </c>
      <c r="M196" s="123"/>
    </row>
    <row r="197" spans="1:13">
      <c r="A197" s="63" t="str">
        <f>'RAW DATA 2023'!B471</f>
        <v>Roiphet3</v>
      </c>
      <c r="B197" s="63" t="str">
        <f>'RAW DATA 2023'!D471</f>
        <v>C1-042-0016</v>
      </c>
      <c r="C197" s="63" t="str">
        <f t="shared" si="10"/>
        <v>Roiphet3C1-042-0016</v>
      </c>
      <c r="D197" s="68">
        <f>VLOOKUP(C197,'RAW DATA 2023'!E:BP,63,0)</f>
        <v>7</v>
      </c>
      <c r="E197" s="68" t="str">
        <f t="shared" si="11"/>
        <v>Roiphet37</v>
      </c>
      <c r="F197" s="63" t="str">
        <f>VLOOKUP(C197,'RAW DATA 2023'!E:BO,5,0)</f>
        <v>Outdoor</v>
      </c>
      <c r="G197" s="63" t="s">
        <v>1951</v>
      </c>
      <c r="H197" s="63">
        <f>VLOOKUP(C197,'RAW DATA 2023'!E:BO,2,0)</f>
        <v>3.5</v>
      </c>
      <c r="I197" s="106">
        <f>VLOOKUP(C197,'RAW DATA 2023'!E:BO,22,0)</f>
        <v>1.4949485714285713</v>
      </c>
      <c r="J197" s="72">
        <f t="shared" si="12"/>
        <v>-1.5050514285714287</v>
      </c>
      <c r="K197" s="109">
        <f t="shared" si="13"/>
        <v>-2.5084190476190478</v>
      </c>
      <c r="L197" s="63">
        <f t="shared" si="14"/>
        <v>0</v>
      </c>
      <c r="M197" s="123"/>
    </row>
    <row r="198" spans="1:13" hidden="1">
      <c r="A198" s="63" t="str">
        <f>'RAW DATA 2023'!B486</f>
        <v>Bo Thong</v>
      </c>
      <c r="B198" s="63" t="str">
        <f>'RAW DATA 2023'!D486</f>
        <v>BG-002-0013</v>
      </c>
      <c r="C198" s="63" t="str">
        <f t="shared" si="10"/>
        <v>Bo ThongBG-002-0013</v>
      </c>
      <c r="D198" s="68">
        <f>VLOOKUP(C198,'RAW DATA 2023'!E:BP,63,0)</f>
        <v>2</v>
      </c>
      <c r="E198" s="68" t="str">
        <f t="shared" si="11"/>
        <v>Bo Thong2</v>
      </c>
      <c r="F198" s="63" t="str">
        <f>VLOOKUP(C198,'RAW DATA 2023'!E:BO,5,0)</f>
        <v>Greenhouse</v>
      </c>
      <c r="G198" s="63" t="s">
        <v>67</v>
      </c>
      <c r="H198" s="63">
        <f>VLOOKUP(C198,'RAW DATA 2023'!E:BO,2,0)</f>
        <v>1.88</v>
      </c>
      <c r="I198" s="106">
        <f>VLOOKUP(C198,'RAW DATA 2023'!E:BO,22,0)</f>
        <v>9.3746436170212775</v>
      </c>
      <c r="J198" s="72">
        <f t="shared" si="12"/>
        <v>5.3746436170212775</v>
      </c>
      <c r="K198" s="109">
        <f t="shared" si="13"/>
        <v>8.9577393617021297</v>
      </c>
      <c r="L198" s="63">
        <f t="shared" si="14"/>
        <v>6.25</v>
      </c>
      <c r="M198" s="123"/>
    </row>
    <row r="199" spans="1:13" hidden="1">
      <c r="A199" s="63" t="str">
        <f>'RAW DATA 2023'!B487</f>
        <v>Bo Thong</v>
      </c>
      <c r="B199" s="63" t="str">
        <f>'RAW DATA 2023'!D487</f>
        <v>BG-002-0015</v>
      </c>
      <c r="C199" s="63" t="str">
        <f t="shared" si="10"/>
        <v>Bo ThongBG-002-0015</v>
      </c>
      <c r="D199" s="68">
        <f>VLOOKUP(C199,'RAW DATA 2023'!E:BP,63,0)</f>
        <v>7</v>
      </c>
      <c r="E199" s="68" t="str">
        <f t="shared" si="11"/>
        <v>Bo Thong7</v>
      </c>
      <c r="F199" s="63" t="str">
        <f>VLOOKUP(C199,'RAW DATA 2023'!E:BO,5,0)</f>
        <v>Greenhouse</v>
      </c>
      <c r="G199" s="63" t="s">
        <v>67</v>
      </c>
      <c r="H199" s="63">
        <f>VLOOKUP(C199,'RAW DATA 2023'!E:BO,2,0)</f>
        <v>1.88</v>
      </c>
      <c r="I199" s="106">
        <f>VLOOKUP(C199,'RAW DATA 2023'!E:BO,22,0)</f>
        <v>0</v>
      </c>
      <c r="J199" s="72">
        <f t="shared" si="12"/>
        <v>0</v>
      </c>
      <c r="K199" s="109">
        <f t="shared" si="13"/>
        <v>0</v>
      </c>
      <c r="L199" s="63">
        <f t="shared" si="14"/>
        <v>0</v>
      </c>
      <c r="M199" s="123"/>
    </row>
    <row r="200" spans="1:13" hidden="1">
      <c r="A200" s="63" t="str">
        <f>'RAW DATA 2023'!B507</f>
        <v>Bangsakao</v>
      </c>
      <c r="B200" s="63" t="str">
        <f>'RAW DATA 2023'!D507</f>
        <v>DG-006-0026</v>
      </c>
      <c r="C200" s="63" t="str">
        <f t="shared" si="10"/>
        <v>BangsakaoDG-006-0026</v>
      </c>
      <c r="D200" s="68">
        <f>VLOOKUP(C200,'RAW DATA 2023'!E:BP,63,0)</f>
        <v>6</v>
      </c>
      <c r="E200" s="68" t="str">
        <f t="shared" si="11"/>
        <v>Bangsakao6</v>
      </c>
      <c r="F200" s="63" t="str">
        <f>VLOOKUP(C200,'RAW DATA 2023'!E:BO,5,0)</f>
        <v>Greenhouse</v>
      </c>
      <c r="G200" s="63" t="s">
        <v>67</v>
      </c>
      <c r="H200" s="63">
        <f>VLOOKUP(C200,'RAW DATA 2023'!E:BO,2,0)</f>
        <v>2</v>
      </c>
      <c r="I200" s="106">
        <f>VLOOKUP(C200,'RAW DATA 2023'!E:BO,22,0)</f>
        <v>6.0914399999999995</v>
      </c>
      <c r="J200" s="72">
        <f t="shared" si="12"/>
        <v>2.0914399999999995</v>
      </c>
      <c r="K200" s="109">
        <f t="shared" si="13"/>
        <v>3.4857333333333327</v>
      </c>
      <c r="L200" s="63">
        <f t="shared" si="14"/>
        <v>3.4857333333333327</v>
      </c>
      <c r="M200" s="123"/>
    </row>
    <row r="201" spans="1:13" hidden="1">
      <c r="A201" s="63" t="str">
        <f>'RAW DATA 2023'!B512</f>
        <v>Bangsakao</v>
      </c>
      <c r="B201" s="63" t="str">
        <f>'RAW DATA 2023'!D512</f>
        <v>DG-002-0024</v>
      </c>
      <c r="C201" s="63" t="str">
        <f t="shared" si="10"/>
        <v>BangsakaoDG-002-0024</v>
      </c>
      <c r="D201" s="68">
        <f>VLOOKUP(C201,'RAW DATA 2023'!E:BP,63,0)</f>
        <v>3</v>
      </c>
      <c r="E201" s="68" t="str">
        <f t="shared" si="11"/>
        <v>Bangsakao3</v>
      </c>
      <c r="F201" s="63" t="str">
        <f>VLOOKUP(C201,'RAW DATA 2023'!E:BO,5,0)</f>
        <v>Greenhouse</v>
      </c>
      <c r="G201" s="63" t="s">
        <v>67</v>
      </c>
      <c r="H201" s="63">
        <f>VLOOKUP(C201,'RAW DATA 2023'!E:BO,2,0)</f>
        <v>2</v>
      </c>
      <c r="I201" s="106">
        <f>VLOOKUP(C201,'RAW DATA 2023'!E:BO,22,0)</f>
        <v>12.750080000000001</v>
      </c>
      <c r="J201" s="72">
        <f t="shared" si="12"/>
        <v>8.7500800000000005</v>
      </c>
      <c r="K201" s="109">
        <f t="shared" si="13"/>
        <v>14.583466666666668</v>
      </c>
      <c r="L201" s="63">
        <f t="shared" si="14"/>
        <v>6.25</v>
      </c>
      <c r="M201" s="123"/>
    </row>
    <row r="202" spans="1:13" hidden="1">
      <c r="A202" s="63" t="str">
        <f>'RAW DATA 2023'!B513</f>
        <v>Bangsakao</v>
      </c>
      <c r="B202" s="63" t="str">
        <f>'RAW DATA 2023'!D513</f>
        <v>DG-001-0027</v>
      </c>
      <c r="C202" s="63" t="str">
        <f t="shared" ref="C202:C265" si="15">A202&amp;B202</f>
        <v>BangsakaoDG-001-0027</v>
      </c>
      <c r="D202" s="68">
        <f>VLOOKUP(C202,'RAW DATA 2023'!E:BP,63,0)</f>
        <v>6</v>
      </c>
      <c r="E202" s="68" t="str">
        <f t="shared" ref="E202:E265" si="16">A202&amp;D202</f>
        <v>Bangsakao6</v>
      </c>
      <c r="F202" s="63" t="str">
        <f>VLOOKUP(C202,'RAW DATA 2023'!E:BO,5,0)</f>
        <v>Greenhouse</v>
      </c>
      <c r="G202" s="63" t="s">
        <v>67</v>
      </c>
      <c r="H202" s="63">
        <f>VLOOKUP(C202,'RAW DATA 2023'!E:BO,2,0)</f>
        <v>2</v>
      </c>
      <c r="I202" s="106">
        <f>VLOOKUP(C202,'RAW DATA 2023'!E:BO,22,0)</f>
        <v>13.929559999999999</v>
      </c>
      <c r="J202" s="72">
        <f t="shared" ref="J202:J265" si="17">IF(I202=0,0,IF(F202=$B$2,I202-$B$6,IF(F202=$C$1,I202-$C$6,IF(AND(F202=$C$2,H202&lt;=$C$3),I202-$C$6,IF(AND(F202=$C$2,H202&lt;=$E$3),I202-$D$6,I202-$E$6)))))</f>
        <v>9.9295599999999986</v>
      </c>
      <c r="K202" s="109">
        <f t="shared" ref="K202:K265" si="18">IF(F202=$B$2,J202*$B$7,IF(AND(F202=$C$2,H202&lt;=$C$3),J202*$C$7,IF(AND(F202=$C$2,H202&lt;=$E$3),J202*$D$7,J202*$E$7)))</f>
        <v>16.549266666666664</v>
      </c>
      <c r="L202" s="63">
        <f t="shared" ref="L202:L265" si="19">IF(K202&gt;=6.25,6.25,IF(K202&lt;=0,0,K202))</f>
        <v>6.25</v>
      </c>
      <c r="M202" s="123"/>
    </row>
    <row r="203" spans="1:13" hidden="1">
      <c r="A203" s="63" t="str">
        <f>'RAW DATA 2023'!B517</f>
        <v>Bangsakao</v>
      </c>
      <c r="B203" s="63" t="str">
        <f>'RAW DATA 2023'!D517</f>
        <v>CG-009-0025</v>
      </c>
      <c r="C203" s="63" t="str">
        <f t="shared" si="15"/>
        <v>BangsakaoCG-009-0025</v>
      </c>
      <c r="D203" s="68">
        <f>VLOOKUP(C203,'RAW DATA 2023'!E:BP,63,0)</f>
        <v>6</v>
      </c>
      <c r="E203" s="68" t="str">
        <f t="shared" si="16"/>
        <v>Bangsakao6</v>
      </c>
      <c r="F203" s="63" t="str">
        <f>VLOOKUP(C203,'RAW DATA 2023'!E:BO,5,0)</f>
        <v>Greenhouse</v>
      </c>
      <c r="G203" s="63" t="s">
        <v>67</v>
      </c>
      <c r="H203" s="63">
        <f>VLOOKUP(C203,'RAW DATA 2023'!E:BO,2,0)</f>
        <v>3.8</v>
      </c>
      <c r="I203" s="106">
        <f>VLOOKUP(C203,'RAW DATA 2023'!E:BO,22,0)</f>
        <v>9.6817289473684216</v>
      </c>
      <c r="J203" s="72">
        <f t="shared" si="17"/>
        <v>5.6817289473684216</v>
      </c>
      <c r="K203" s="109">
        <f t="shared" si="18"/>
        <v>9.4695482456140372</v>
      </c>
      <c r="L203" s="63">
        <f t="shared" si="19"/>
        <v>6.25</v>
      </c>
      <c r="M203" s="123"/>
    </row>
    <row r="204" spans="1:13" hidden="1">
      <c r="A204" s="63" t="str">
        <f>'RAW DATA 2023'!B548</f>
        <v>Rayong3</v>
      </c>
      <c r="B204" s="63" t="str">
        <f>'RAW DATA 2023'!D548</f>
        <v>C1-016-0037</v>
      </c>
      <c r="C204" s="63" t="str">
        <f t="shared" si="15"/>
        <v>Rayong3C1-016-0037</v>
      </c>
      <c r="D204" s="68">
        <f>VLOOKUP(C204,'RAW DATA 2023'!E:BP,63,0)</f>
        <v>5</v>
      </c>
      <c r="E204" s="68" t="str">
        <f t="shared" si="16"/>
        <v>Rayong35</v>
      </c>
      <c r="F204" s="63" t="str">
        <f>VLOOKUP(C204,'RAW DATA 2023'!E:BO,5,0)</f>
        <v>Outdoor</v>
      </c>
      <c r="G204" s="63" t="s">
        <v>67</v>
      </c>
      <c r="H204" s="63">
        <f>VLOOKUP(C204,'RAW DATA 2023'!E:BO,2,0)</f>
        <v>6.25</v>
      </c>
      <c r="I204" s="106">
        <f>VLOOKUP(C204,'RAW DATA 2023'!E:BO,22,0)</f>
        <v>16.080868799999998</v>
      </c>
      <c r="J204" s="72">
        <f t="shared" si="17"/>
        <v>14.080868799999998</v>
      </c>
      <c r="K204" s="109">
        <f t="shared" si="18"/>
        <v>23.468114666666665</v>
      </c>
      <c r="L204" s="63">
        <f t="shared" si="19"/>
        <v>6.25</v>
      </c>
      <c r="M204" s="123"/>
    </row>
    <row r="205" spans="1:13" hidden="1">
      <c r="A205" s="63" t="str">
        <f>'RAW DATA 2023'!B554</f>
        <v>Rayong3</v>
      </c>
      <c r="B205" s="63" t="str">
        <f>'RAW DATA 2023'!D554</f>
        <v>A1-044-0012</v>
      </c>
      <c r="C205" s="63" t="str">
        <f t="shared" si="15"/>
        <v>Rayong3A1-044-0012</v>
      </c>
      <c r="D205" s="68">
        <f>VLOOKUP(C205,'RAW DATA 2023'!E:BP,63,0)</f>
        <v>3</v>
      </c>
      <c r="E205" s="68" t="str">
        <f t="shared" si="16"/>
        <v>Rayong33</v>
      </c>
      <c r="F205" s="63" t="str">
        <f>VLOOKUP(C205,'RAW DATA 2023'!E:BO,5,0)</f>
        <v>Outdoor</v>
      </c>
      <c r="G205" s="63" t="s">
        <v>67</v>
      </c>
      <c r="H205" s="63">
        <f>VLOOKUP(C205,'RAW DATA 2023'!E:BO,2,0)</f>
        <v>1.5</v>
      </c>
      <c r="I205" s="106">
        <f>VLOOKUP(C205,'RAW DATA 2023'!E:BO,22,0)</f>
        <v>9.9593866666666671</v>
      </c>
      <c r="J205" s="72">
        <f t="shared" si="17"/>
        <v>3.9593866666666671</v>
      </c>
      <c r="K205" s="109">
        <f t="shared" si="18"/>
        <v>6.5989777777777787</v>
      </c>
      <c r="L205" s="63">
        <f t="shared" si="19"/>
        <v>6.25</v>
      </c>
      <c r="M205" s="123"/>
    </row>
    <row r="206" spans="1:13" hidden="1">
      <c r="A206" s="63" t="str">
        <f>'RAW DATA 2023'!B556</f>
        <v>Rayong3</v>
      </c>
      <c r="B206" s="63" t="str">
        <f>'RAW DATA 2023'!D556</f>
        <v>A1-043-0009</v>
      </c>
      <c r="C206" s="63" t="str">
        <f t="shared" si="15"/>
        <v>Rayong3A1-043-0009</v>
      </c>
      <c r="D206" s="68">
        <f>VLOOKUP(C206,'RAW DATA 2023'!E:BP,63,0)</f>
        <v>3</v>
      </c>
      <c r="E206" s="68" t="str">
        <f t="shared" si="16"/>
        <v>Rayong33</v>
      </c>
      <c r="F206" s="63" t="str">
        <f>VLOOKUP(C206,'RAW DATA 2023'!E:BO,5,0)</f>
        <v>Outdoor</v>
      </c>
      <c r="G206" s="63" t="s">
        <v>67</v>
      </c>
      <c r="H206" s="63">
        <f>VLOOKUP(C206,'RAW DATA 2023'!E:BO,2,0)</f>
        <v>1.5</v>
      </c>
      <c r="I206" s="106">
        <f>VLOOKUP(C206,'RAW DATA 2023'!E:BO,22,0)</f>
        <v>13.9039</v>
      </c>
      <c r="J206" s="72">
        <f t="shared" si="17"/>
        <v>7.9039000000000001</v>
      </c>
      <c r="K206" s="109">
        <f t="shared" si="18"/>
        <v>13.173166666666667</v>
      </c>
      <c r="L206" s="63">
        <f t="shared" si="19"/>
        <v>6.25</v>
      </c>
      <c r="M206" s="123"/>
    </row>
    <row r="207" spans="1:13" hidden="1">
      <c r="A207" s="63" t="str">
        <f>'RAW DATA 2023'!B678</f>
        <v>Tamai2</v>
      </c>
      <c r="B207" s="63" t="str">
        <f>'RAW DATA 2023'!D678</f>
        <v>E1-032-0037</v>
      </c>
      <c r="C207" s="63" t="str">
        <f t="shared" si="15"/>
        <v>Tamai2E1-032-0037</v>
      </c>
      <c r="D207" s="68">
        <f>VLOOKUP(C207,'RAW DATA 2023'!E:BP,63,0)</f>
        <v>7</v>
      </c>
      <c r="E207" s="68" t="str">
        <f t="shared" si="16"/>
        <v>Tamai27</v>
      </c>
      <c r="F207" s="63" t="str">
        <f>VLOOKUP(C207,'RAW DATA 2023'!E:BO,5,0)</f>
        <v>Outdoor</v>
      </c>
      <c r="G207" s="63" t="s">
        <v>1955</v>
      </c>
      <c r="H207" s="63">
        <f>VLOOKUP(C207,'RAW DATA 2023'!E:BO,2,0)</f>
        <v>5.28</v>
      </c>
      <c r="I207" s="106">
        <f>VLOOKUP(C207,'RAW DATA 2023'!E:BO,22,0)</f>
        <v>5.693732954545454</v>
      </c>
      <c r="J207" s="72">
        <f t="shared" si="17"/>
        <v>3.693732954545454</v>
      </c>
      <c r="K207" s="109">
        <f t="shared" si="18"/>
        <v>6.15622159090909</v>
      </c>
      <c r="L207" s="63">
        <f t="shared" si="19"/>
        <v>6.15622159090909</v>
      </c>
      <c r="M207" s="123"/>
    </row>
    <row r="208" spans="1:13" hidden="1">
      <c r="A208" s="63" t="str">
        <f>'RAW DATA 2023'!B684</f>
        <v>Chantaburi3</v>
      </c>
      <c r="B208" s="63" t="str">
        <f>'RAW DATA 2023'!D684</f>
        <v>B1-023-0029</v>
      </c>
      <c r="C208" s="63" t="str">
        <f t="shared" si="15"/>
        <v>Chantaburi3B1-023-0029</v>
      </c>
      <c r="D208" s="68">
        <f>VLOOKUP(C208,'RAW DATA 2023'!E:BP,63,0)</f>
        <v>8</v>
      </c>
      <c r="E208" s="68" t="str">
        <f t="shared" si="16"/>
        <v>Chantaburi38</v>
      </c>
      <c r="F208" s="63" t="str">
        <f>VLOOKUP(C208,'RAW DATA 2023'!E:BO,5,0)</f>
        <v>Outdoor</v>
      </c>
      <c r="G208" s="63" t="s">
        <v>1955</v>
      </c>
      <c r="H208" s="63">
        <f>VLOOKUP(C208,'RAW DATA 2023'!E:BO,2,0)</f>
        <v>2.2999999999999998</v>
      </c>
      <c r="I208" s="106">
        <f>VLOOKUP(C208,'RAW DATA 2023'!E:BO,22,0)</f>
        <v>6.5282782608695662</v>
      </c>
      <c r="J208" s="72">
        <f t="shared" si="17"/>
        <v>3.5282782608695662</v>
      </c>
      <c r="K208" s="109">
        <f t="shared" si="18"/>
        <v>5.880463768115944</v>
      </c>
      <c r="L208" s="63">
        <f t="shared" si="19"/>
        <v>5.880463768115944</v>
      </c>
      <c r="M208" s="123"/>
    </row>
    <row r="209" spans="1:13" hidden="1">
      <c r="A209" s="63" t="str">
        <f>'RAW DATA 2023'!B692</f>
        <v>Chantaburi3</v>
      </c>
      <c r="B209" s="63" t="str">
        <f>'RAW DATA 2023'!D692</f>
        <v>B1-024-0041</v>
      </c>
      <c r="C209" s="63" t="str">
        <f t="shared" si="15"/>
        <v>Chantaburi3B1-024-0041</v>
      </c>
      <c r="D209" s="68">
        <f>VLOOKUP(C209,'RAW DATA 2023'!E:BP,63,0)</f>
        <v>2</v>
      </c>
      <c r="E209" s="68" t="str">
        <f t="shared" si="16"/>
        <v>Chantaburi32</v>
      </c>
      <c r="F209" s="63" t="str">
        <f>VLOOKUP(C209,'RAW DATA 2023'!E:BO,5,0)</f>
        <v>Outdoor</v>
      </c>
      <c r="G209" s="63" t="s">
        <v>1955</v>
      </c>
      <c r="H209" s="63">
        <f>VLOOKUP(C209,'RAW DATA 2023'!E:BO,2,0)</f>
        <v>2.5</v>
      </c>
      <c r="I209" s="106">
        <f>VLOOKUP(C209,'RAW DATA 2023'!E:BO,22,0)</f>
        <v>3.65144</v>
      </c>
      <c r="J209" s="72">
        <f t="shared" si="17"/>
        <v>0.65144000000000002</v>
      </c>
      <c r="K209" s="109">
        <f t="shared" si="18"/>
        <v>1.0857333333333334</v>
      </c>
      <c r="L209" s="63">
        <f t="shared" si="19"/>
        <v>1.0857333333333334</v>
      </c>
      <c r="M209" s="123"/>
    </row>
    <row r="210" spans="1:13" hidden="1">
      <c r="A210" s="63" t="str">
        <f>'RAW DATA 2023'!B693</f>
        <v>Chantaburi3</v>
      </c>
      <c r="B210" s="63" t="str">
        <f>'RAW DATA 2023'!D693</f>
        <v>A1-009-0043</v>
      </c>
      <c r="C210" s="63" t="str">
        <f t="shared" si="15"/>
        <v>Chantaburi3A1-009-0043</v>
      </c>
      <c r="D210" s="68">
        <f>VLOOKUP(C210,'RAW DATA 2023'!E:BP,63,0)</f>
        <v>7</v>
      </c>
      <c r="E210" s="68" t="str">
        <f t="shared" si="16"/>
        <v>Chantaburi37</v>
      </c>
      <c r="F210" s="63" t="str">
        <f>VLOOKUP(C210,'RAW DATA 2023'!E:BO,5,0)</f>
        <v>Outdoor</v>
      </c>
      <c r="G210" s="63" t="s">
        <v>1955</v>
      </c>
      <c r="H210" s="63">
        <f>VLOOKUP(C210,'RAW DATA 2023'!E:BO,2,0)</f>
        <v>4.2</v>
      </c>
      <c r="I210" s="106">
        <f>VLOOKUP(C210,'RAW DATA 2023'!E:BO,22,0)</f>
        <v>2.3369976190476187</v>
      </c>
      <c r="J210" s="72">
        <f t="shared" si="17"/>
        <v>0.33699761904761871</v>
      </c>
      <c r="K210" s="109">
        <f t="shared" si="18"/>
        <v>0.56166269841269789</v>
      </c>
      <c r="L210" s="63">
        <f t="shared" si="19"/>
        <v>0.56166269841269789</v>
      </c>
      <c r="M210" s="123"/>
    </row>
    <row r="211" spans="1:13" hidden="1">
      <c r="A211" s="63" t="str">
        <f>'RAW DATA 2023'!B694</f>
        <v>Chantaburi3</v>
      </c>
      <c r="B211" s="63" t="str">
        <f>'RAW DATA 2023'!D694</f>
        <v>A1-010-0046</v>
      </c>
      <c r="C211" s="63" t="str">
        <f t="shared" si="15"/>
        <v>Chantaburi3A1-010-0046</v>
      </c>
      <c r="D211" s="68">
        <f>VLOOKUP(C211,'RAW DATA 2023'!E:BP,63,0)</f>
        <v>4</v>
      </c>
      <c r="E211" s="68" t="str">
        <f t="shared" si="16"/>
        <v>Chantaburi34</v>
      </c>
      <c r="F211" s="63" t="str">
        <f>VLOOKUP(C211,'RAW DATA 2023'!E:BO,5,0)</f>
        <v>Outdoor</v>
      </c>
      <c r="G211" s="63" t="s">
        <v>1955</v>
      </c>
      <c r="H211" s="63">
        <f>VLOOKUP(C211,'RAW DATA 2023'!E:BO,2,0)</f>
        <v>3.9</v>
      </c>
      <c r="I211" s="106">
        <f>VLOOKUP(C211,'RAW DATA 2023'!E:BO,22,0)</f>
        <v>4.2801589743589741</v>
      </c>
      <c r="J211" s="72">
        <f t="shared" si="17"/>
        <v>1.2801589743589741</v>
      </c>
      <c r="K211" s="109">
        <f t="shared" si="18"/>
        <v>2.1335982905982904</v>
      </c>
      <c r="L211" s="63">
        <f t="shared" si="19"/>
        <v>2.1335982905982904</v>
      </c>
      <c r="M211" s="123"/>
    </row>
    <row r="212" spans="1:13" hidden="1">
      <c r="A212" s="63" t="str">
        <f>'RAW DATA 2023'!B711</f>
        <v>Tachalab</v>
      </c>
      <c r="B212" s="63" t="str">
        <f>'RAW DATA 2023'!D711</f>
        <v>A1-012-0017</v>
      </c>
      <c r="C212" s="63" t="str">
        <f t="shared" si="15"/>
        <v>TachalabA1-012-0017</v>
      </c>
      <c r="D212" s="68">
        <f>VLOOKUP(C212,'RAW DATA 2023'!E:BP,63,0)</f>
        <v>8</v>
      </c>
      <c r="E212" s="68" t="str">
        <f t="shared" si="16"/>
        <v>Tachalab8</v>
      </c>
      <c r="F212" s="63" t="str">
        <f>VLOOKUP(C212,'RAW DATA 2023'!E:BO,5,0)</f>
        <v>Outdoor</v>
      </c>
      <c r="G212" s="63" t="s">
        <v>1955</v>
      </c>
      <c r="H212" s="63">
        <f>VLOOKUP(C212,'RAW DATA 2023'!E:BO,2,0)</f>
        <v>2.2999999999999998</v>
      </c>
      <c r="I212" s="106">
        <f>VLOOKUP(C212,'RAW DATA 2023'!E:BO,22,0)</f>
        <v>8.5806782608695649</v>
      </c>
      <c r="J212" s="72">
        <f t="shared" si="17"/>
        <v>5.5806782608695649</v>
      </c>
      <c r="K212" s="109">
        <f t="shared" si="18"/>
        <v>9.3011304347826087</v>
      </c>
      <c r="L212" s="63">
        <f t="shared" si="19"/>
        <v>6.25</v>
      </c>
      <c r="M212" s="123"/>
    </row>
    <row r="213" spans="1:13" hidden="1">
      <c r="A213" s="63" t="str">
        <f>'RAW DATA 2023'!B715</f>
        <v>Tachalab</v>
      </c>
      <c r="B213" s="63" t="str">
        <f>'RAW DATA 2023'!D715</f>
        <v>B1-025-0015</v>
      </c>
      <c r="C213" s="63" t="str">
        <f t="shared" si="15"/>
        <v>TachalabB1-025-0015</v>
      </c>
      <c r="D213" s="68">
        <f>VLOOKUP(C213,'RAW DATA 2023'!E:BP,63,0)</f>
        <v>6</v>
      </c>
      <c r="E213" s="68" t="str">
        <f t="shared" si="16"/>
        <v>Tachalab6</v>
      </c>
      <c r="F213" s="63" t="str">
        <f>VLOOKUP(C213,'RAW DATA 2023'!E:BO,5,0)</f>
        <v>Outdoor</v>
      </c>
      <c r="G213" s="63" t="s">
        <v>1955</v>
      </c>
      <c r="H213" s="63">
        <f>VLOOKUP(C213,'RAW DATA 2023'!E:BO,2,0)</f>
        <v>3.2</v>
      </c>
      <c r="I213" s="106">
        <f>VLOOKUP(C213,'RAW DATA 2023'!E:BO,22,0)</f>
        <v>8.7833593749999999</v>
      </c>
      <c r="J213" s="72">
        <f t="shared" si="17"/>
        <v>5.7833593749999999</v>
      </c>
      <c r="K213" s="109">
        <f t="shared" si="18"/>
        <v>9.6389322916666664</v>
      </c>
      <c r="L213" s="63">
        <f t="shared" si="19"/>
        <v>6.25</v>
      </c>
      <c r="M213" s="123"/>
    </row>
    <row r="214" spans="1:13" hidden="1">
      <c r="A214" s="63" t="str">
        <f>'RAW DATA 2023'!B721</f>
        <v>Tachalab</v>
      </c>
      <c r="B214" s="63" t="str">
        <f>'RAW DATA 2023'!D721</f>
        <v>A1-011-0017</v>
      </c>
      <c r="C214" s="63" t="str">
        <f t="shared" si="15"/>
        <v>TachalabA1-011-0017</v>
      </c>
      <c r="D214" s="68">
        <f>VLOOKUP(C214,'RAW DATA 2023'!E:BP,63,0)</f>
        <v>3</v>
      </c>
      <c r="E214" s="68" t="str">
        <f t="shared" si="16"/>
        <v>Tachalab3</v>
      </c>
      <c r="F214" s="63" t="str">
        <f>VLOOKUP(C214,'RAW DATA 2023'!E:BO,5,0)</f>
        <v>Outdoor</v>
      </c>
      <c r="G214" s="63" t="s">
        <v>1954</v>
      </c>
      <c r="H214" s="63">
        <f>VLOOKUP(C214,'RAW DATA 2023'!E:BO,2,0)</f>
        <v>2.8</v>
      </c>
      <c r="I214" s="106">
        <f>VLOOKUP(C214,'RAW DATA 2023'!E:BO,22,0)</f>
        <v>4.8484321428571437</v>
      </c>
      <c r="J214" s="72">
        <f t="shared" si="17"/>
        <v>1.8484321428571437</v>
      </c>
      <c r="K214" s="109">
        <f t="shared" si="18"/>
        <v>3.0807202380952399</v>
      </c>
      <c r="L214" s="63">
        <f t="shared" si="19"/>
        <v>3.0807202380952399</v>
      </c>
      <c r="M214" s="123"/>
    </row>
    <row r="215" spans="1:13" hidden="1">
      <c r="A215" s="63" t="str">
        <f>'RAW DATA 2023'!B734</f>
        <v>Andaman</v>
      </c>
      <c r="B215" s="63" t="str">
        <f>'RAW DATA 2023'!D734</f>
        <v>A1-016-0014</v>
      </c>
      <c r="C215" s="63" t="str">
        <f t="shared" si="15"/>
        <v>AndamanA1-016-0014</v>
      </c>
      <c r="D215" s="68">
        <f>VLOOKUP(C215,'RAW DATA 2023'!E:BP,63,0)</f>
        <v>4</v>
      </c>
      <c r="E215" s="68" t="str">
        <f t="shared" si="16"/>
        <v>Andaman4</v>
      </c>
      <c r="F215" s="63" t="str">
        <f>VLOOKUP(C215,'RAW DATA 2023'!E:BO,5,0)</f>
        <v>Outdoor</v>
      </c>
      <c r="G215" s="63" t="s">
        <v>1954</v>
      </c>
      <c r="H215" s="63">
        <f>VLOOKUP(C215,'RAW DATA 2023'!E:BO,2,0)</f>
        <v>1.5</v>
      </c>
      <c r="I215" s="106">
        <f>VLOOKUP(C215,'RAW DATA 2023'!E:BO,22,0)</f>
        <v>8.3304333333333336</v>
      </c>
      <c r="J215" s="72">
        <f t="shared" si="17"/>
        <v>2.3304333333333336</v>
      </c>
      <c r="K215" s="109">
        <f t="shared" si="18"/>
        <v>3.8840555555555563</v>
      </c>
      <c r="L215" s="63">
        <f t="shared" si="19"/>
        <v>3.8840555555555563</v>
      </c>
      <c r="M215" s="123"/>
    </row>
    <row r="216" spans="1:13" hidden="1">
      <c r="A216" s="63" t="str">
        <f>'RAW DATA 2023'!B736</f>
        <v>Andaman</v>
      </c>
      <c r="B216" s="63" t="str">
        <f>'RAW DATA 2023'!D736</f>
        <v>A1-004-0048</v>
      </c>
      <c r="C216" s="63" t="str">
        <f t="shared" si="15"/>
        <v>AndamanA1-004-0048</v>
      </c>
      <c r="D216" s="68">
        <f>VLOOKUP(C216,'RAW DATA 2023'!E:BP,63,0)</f>
        <v>8</v>
      </c>
      <c r="E216" s="68" t="str">
        <f t="shared" si="16"/>
        <v>Andaman8</v>
      </c>
      <c r="F216" s="63" t="str">
        <f>VLOOKUP(C216,'RAW DATA 2023'!E:BO,5,0)</f>
        <v>Outdoor</v>
      </c>
      <c r="G216" s="63" t="s">
        <v>1954</v>
      </c>
      <c r="H216" s="63">
        <f>VLOOKUP(C216,'RAW DATA 2023'!E:BO,2,0)</f>
        <v>2</v>
      </c>
      <c r="I216" s="106">
        <f>VLOOKUP(C216,'RAW DATA 2023'!E:BO,22,0)</f>
        <v>6.0151349999999999</v>
      </c>
      <c r="J216" s="72">
        <f t="shared" si="17"/>
        <v>1.5134999999999899E-2</v>
      </c>
      <c r="K216" s="109">
        <f t="shared" si="18"/>
        <v>2.5224999999999831E-2</v>
      </c>
      <c r="L216" s="63">
        <f t="shared" si="19"/>
        <v>2.5224999999999831E-2</v>
      </c>
      <c r="M216" s="123"/>
    </row>
    <row r="217" spans="1:13" hidden="1">
      <c r="A217" s="63" t="str">
        <f>'RAW DATA 2023'!B741</f>
        <v>SR4</v>
      </c>
      <c r="B217" s="63" t="str">
        <f>'RAW DATA 2023'!D741</f>
        <v>G2-059-0011</v>
      </c>
      <c r="C217" s="63" t="str">
        <f t="shared" si="15"/>
        <v>SR4G2-059-0011</v>
      </c>
      <c r="D217" s="68">
        <f>VLOOKUP(C217,'RAW DATA 2023'!E:BP,63,0)</f>
        <v>8</v>
      </c>
      <c r="E217" s="68" t="str">
        <f t="shared" si="16"/>
        <v>SR48</v>
      </c>
      <c r="F217" s="63" t="str">
        <f>VLOOKUP(C217,'RAW DATA 2023'!E:BO,5,0)</f>
        <v>Greenhouse</v>
      </c>
      <c r="G217" s="63" t="s">
        <v>1954</v>
      </c>
      <c r="H217" s="63">
        <f>VLOOKUP(C217,'RAW DATA 2023'!E:BO,2,0)</f>
        <v>1.85</v>
      </c>
      <c r="I217" s="106">
        <f>VLOOKUP(C217,'RAW DATA 2023'!E:BO,22,0)</f>
        <v>11.046643243243242</v>
      </c>
      <c r="J217" s="72">
        <f t="shared" si="17"/>
        <v>7.046643243243242</v>
      </c>
      <c r="K217" s="109">
        <f t="shared" si="18"/>
        <v>11.744405405405404</v>
      </c>
      <c r="L217" s="63">
        <f t="shared" si="19"/>
        <v>6.25</v>
      </c>
      <c r="M217" s="123"/>
    </row>
    <row r="218" spans="1:13" hidden="1">
      <c r="A218" s="63" t="str">
        <f>'RAW DATA 2023'!B777</f>
        <v>Kanchanadit</v>
      </c>
      <c r="B218" s="63" t="str">
        <f>'RAW DATA 2023'!D777</f>
        <v>C1-046-0013</v>
      </c>
      <c r="C218" s="63" t="str">
        <f t="shared" si="15"/>
        <v>KanchanaditC1-046-0013</v>
      </c>
      <c r="D218" s="68">
        <f>VLOOKUP(C218,'RAW DATA 2023'!E:BP,63,0)</f>
        <v>11</v>
      </c>
      <c r="E218" s="68" t="str">
        <f t="shared" si="16"/>
        <v>Kanchanadit11</v>
      </c>
      <c r="F218" s="63" t="str">
        <f>VLOOKUP(C218,'RAW DATA 2023'!E:BO,5,0)</f>
        <v>Outdoor</v>
      </c>
      <c r="G218" s="63" t="s">
        <v>67</v>
      </c>
      <c r="H218" s="63">
        <f>VLOOKUP(C218,'RAW DATA 2023'!E:BO,2,0)</f>
        <v>1.53</v>
      </c>
      <c r="I218" s="106">
        <f>VLOOKUP(C218,'RAW DATA 2023'!E:BO,22,0)</f>
        <v>6.7378496732026134</v>
      </c>
      <c r="J218" s="72">
        <f t="shared" si="17"/>
        <v>0.73784967320261341</v>
      </c>
      <c r="K218" s="109">
        <f t="shared" si="18"/>
        <v>1.2297494553376891</v>
      </c>
      <c r="L218" s="63">
        <f t="shared" si="19"/>
        <v>1.2297494553376891</v>
      </c>
      <c r="M218" s="123"/>
    </row>
    <row r="219" spans="1:13" hidden="1">
      <c r="A219" s="63" t="str">
        <f>'RAW DATA 2023'!B778</f>
        <v>Kanchanadit</v>
      </c>
      <c r="B219" s="63" t="str">
        <f>'RAW DATA 2023'!D778</f>
        <v>C1-045-0012</v>
      </c>
      <c r="C219" s="63" t="str">
        <f t="shared" si="15"/>
        <v>KanchanaditC1-045-0012</v>
      </c>
      <c r="D219" s="68">
        <f>VLOOKUP(C219,'RAW DATA 2023'!E:BP,63,0)</f>
        <v>12</v>
      </c>
      <c r="E219" s="68" t="str">
        <f t="shared" si="16"/>
        <v>Kanchanadit12</v>
      </c>
      <c r="F219" s="63" t="str">
        <f>VLOOKUP(C219,'RAW DATA 2023'!E:BO,5,0)</f>
        <v>Outdoor</v>
      </c>
      <c r="G219" s="63" t="s">
        <v>1954</v>
      </c>
      <c r="H219" s="63">
        <f>VLOOKUP(C219,'RAW DATA 2023'!E:BO,2,0)</f>
        <v>1.53</v>
      </c>
      <c r="I219" s="106">
        <f>VLOOKUP(C219,'RAW DATA 2023'!E:BO,22,0)</f>
        <v>5.6498496732026142</v>
      </c>
      <c r="J219" s="72">
        <f t="shared" si="17"/>
        <v>-0.35015032679738578</v>
      </c>
      <c r="K219" s="109">
        <f t="shared" si="18"/>
        <v>-0.58358387799564304</v>
      </c>
      <c r="L219" s="63">
        <f t="shared" si="19"/>
        <v>0</v>
      </c>
      <c r="M219" s="123"/>
    </row>
    <row r="220" spans="1:13" hidden="1">
      <c r="A220" s="63" t="str">
        <f>'RAW DATA 2023'!B779</f>
        <v>Kanchanadit</v>
      </c>
      <c r="B220" s="63" t="str">
        <f>'RAW DATA 2023'!D779</f>
        <v>C1-045-0011</v>
      </c>
      <c r="C220" s="63" t="str">
        <f t="shared" si="15"/>
        <v>KanchanaditC1-045-0011</v>
      </c>
      <c r="D220" s="68">
        <f>VLOOKUP(C220,'RAW DATA 2023'!E:BP,63,0)</f>
        <v>6</v>
      </c>
      <c r="E220" s="68" t="str">
        <f t="shared" si="16"/>
        <v>Kanchanadit6</v>
      </c>
      <c r="F220" s="63" t="str">
        <f>VLOOKUP(C220,'RAW DATA 2023'!E:BO,5,0)</f>
        <v>Outdoor</v>
      </c>
      <c r="G220" s="63" t="s">
        <v>1954</v>
      </c>
      <c r="H220" s="63">
        <f>VLOOKUP(C220,'RAW DATA 2023'!E:BO,2,0)</f>
        <v>1.53</v>
      </c>
      <c r="I220" s="106">
        <f>VLOOKUP(C220,'RAW DATA 2023'!E:BO,22,0)</f>
        <v>6.9953137254901963</v>
      </c>
      <c r="J220" s="72">
        <f t="shared" si="17"/>
        <v>0.99531372549019625</v>
      </c>
      <c r="K220" s="109">
        <f t="shared" si="18"/>
        <v>1.6588562091503272</v>
      </c>
      <c r="L220" s="63">
        <f t="shared" si="19"/>
        <v>1.6588562091503272</v>
      </c>
      <c r="M220" s="123"/>
    </row>
    <row r="221" spans="1:13" hidden="1">
      <c r="A221" s="63" t="str">
        <f>'RAW DATA 2023'!B782</f>
        <v>Kanchanadit</v>
      </c>
      <c r="B221" s="63" t="str">
        <f>'RAW DATA 2023'!D782</f>
        <v>C1-047-0006</v>
      </c>
      <c r="C221" s="63" t="str">
        <f t="shared" si="15"/>
        <v>KanchanaditC1-047-0006</v>
      </c>
      <c r="D221" s="68">
        <f>VLOOKUP(C221,'RAW DATA 2023'!E:BP,63,0)</f>
        <v>6</v>
      </c>
      <c r="E221" s="68" t="str">
        <f t="shared" si="16"/>
        <v>Kanchanadit6</v>
      </c>
      <c r="F221" s="63" t="str">
        <f>VLOOKUP(C221,'RAW DATA 2023'!E:BO,5,0)</f>
        <v>Outdoor</v>
      </c>
      <c r="G221" s="63" t="s">
        <v>1954</v>
      </c>
      <c r="H221" s="63">
        <f>VLOOKUP(C221,'RAW DATA 2023'!E:BO,2,0)</f>
        <v>1.53</v>
      </c>
      <c r="I221" s="106">
        <f>VLOOKUP(C221,'RAW DATA 2023'!E:BO,22,0)</f>
        <v>7.9336797385620921</v>
      </c>
      <c r="J221" s="72">
        <f t="shared" si="17"/>
        <v>1.9336797385620921</v>
      </c>
      <c r="K221" s="109">
        <f t="shared" si="18"/>
        <v>3.2227995642701535</v>
      </c>
      <c r="L221" s="63">
        <f t="shared" si="19"/>
        <v>3.2227995642701535</v>
      </c>
      <c r="M221" s="123"/>
    </row>
    <row r="222" spans="1:13" hidden="1">
      <c r="A222" s="63" t="str">
        <f>'RAW DATA 2023'!B783</f>
        <v>Kanchanadit</v>
      </c>
      <c r="B222" s="63" t="str">
        <f>'RAW DATA 2023'!D783</f>
        <v>C1-044-0014</v>
      </c>
      <c r="C222" s="63" t="str">
        <f t="shared" si="15"/>
        <v>KanchanaditC1-044-0014</v>
      </c>
      <c r="D222" s="68">
        <f>VLOOKUP(C222,'RAW DATA 2023'!E:BP,63,0)</f>
        <v>6</v>
      </c>
      <c r="E222" s="68" t="str">
        <f t="shared" si="16"/>
        <v>Kanchanadit6</v>
      </c>
      <c r="F222" s="63" t="str">
        <f>VLOOKUP(C222,'RAW DATA 2023'!E:BO,5,0)</f>
        <v>Outdoor</v>
      </c>
      <c r="G222" s="63" t="s">
        <v>1954</v>
      </c>
      <c r="H222" s="63">
        <f>VLOOKUP(C222,'RAW DATA 2023'!E:BO,2,0)</f>
        <v>1.53</v>
      </c>
      <c r="I222" s="106">
        <f>VLOOKUP(C222,'RAW DATA 2023'!E:BO,22,0)</f>
        <v>8.592032679738562</v>
      </c>
      <c r="J222" s="72">
        <f t="shared" si="17"/>
        <v>2.592032679738562</v>
      </c>
      <c r="K222" s="109">
        <f t="shared" si="18"/>
        <v>4.3200544662309373</v>
      </c>
      <c r="L222" s="63">
        <f t="shared" si="19"/>
        <v>4.3200544662309373</v>
      </c>
      <c r="M222" s="123"/>
    </row>
    <row r="223" spans="1:13" hidden="1">
      <c r="A223" s="63" t="str">
        <f>'RAW DATA 2023'!B784</f>
        <v>Kanchanadit</v>
      </c>
      <c r="B223" s="63" t="str">
        <f>'RAW DATA 2023'!D784</f>
        <v>C1-046-0012</v>
      </c>
      <c r="C223" s="63" t="str">
        <f t="shared" si="15"/>
        <v>KanchanaditC1-046-0012</v>
      </c>
      <c r="D223" s="68">
        <f>VLOOKUP(C223,'RAW DATA 2023'!E:BP,63,0)</f>
        <v>4</v>
      </c>
      <c r="E223" s="68" t="str">
        <f t="shared" si="16"/>
        <v>Kanchanadit4</v>
      </c>
      <c r="F223" s="63" t="str">
        <f>VLOOKUP(C223,'RAW DATA 2023'!E:BO,5,0)</f>
        <v>Outdoor</v>
      </c>
      <c r="G223" s="63" t="s">
        <v>1954</v>
      </c>
      <c r="H223" s="63">
        <f>VLOOKUP(C223,'RAW DATA 2023'!E:BO,2,0)</f>
        <v>1.53</v>
      </c>
      <c r="I223" s="106">
        <f>VLOOKUP(C223,'RAW DATA 2023'!E:BO,22,0)</f>
        <v>6.2365490196078426</v>
      </c>
      <c r="J223" s="72">
        <f t="shared" si="17"/>
        <v>0.23654901960784258</v>
      </c>
      <c r="K223" s="109">
        <f t="shared" si="18"/>
        <v>0.39424836601307101</v>
      </c>
      <c r="L223" s="63">
        <f t="shared" si="19"/>
        <v>0.39424836601307101</v>
      </c>
      <c r="M223" s="123"/>
    </row>
    <row r="224" spans="1:13" hidden="1">
      <c r="A224" s="63" t="str">
        <f>'RAW DATA 2023'!B802</f>
        <v>Pakpanang1</v>
      </c>
      <c r="B224" s="63" t="str">
        <f>'RAW DATA 2023'!D802</f>
        <v>C1-136-0009</v>
      </c>
      <c r="C224" s="63" t="str">
        <f t="shared" si="15"/>
        <v>Pakpanang1C1-136-0009</v>
      </c>
      <c r="D224" s="68">
        <f>VLOOKUP(C224,'RAW DATA 2023'!E:BP,63,0)</f>
        <v>5</v>
      </c>
      <c r="E224" s="68" t="str">
        <f t="shared" si="16"/>
        <v>Pakpanang15</v>
      </c>
      <c r="F224" s="63" t="str">
        <f>VLOOKUP(C224,'RAW DATA 2023'!E:BO,5,0)</f>
        <v>Outdoor</v>
      </c>
      <c r="G224" s="63" t="s">
        <v>1954</v>
      </c>
      <c r="H224" s="63">
        <f>VLOOKUP(C224,'RAW DATA 2023'!E:BO,2,0)</f>
        <v>1.5</v>
      </c>
      <c r="I224" s="106">
        <f>VLOOKUP(C224,'RAW DATA 2023'!E:BO,22,0)</f>
        <v>13.0627</v>
      </c>
      <c r="J224" s="72">
        <f t="shared" si="17"/>
        <v>7.0626999999999995</v>
      </c>
      <c r="K224" s="109">
        <f t="shared" si="18"/>
        <v>11.771166666666666</v>
      </c>
      <c r="L224" s="63">
        <f t="shared" si="19"/>
        <v>6.25</v>
      </c>
      <c r="M224" s="123"/>
    </row>
    <row r="225" spans="1:13" hidden="1">
      <c r="A225" s="63" t="str">
        <f>'RAW DATA 2023'!B809</f>
        <v>Pakpanang1</v>
      </c>
      <c r="B225" s="63" t="str">
        <f>'RAW DATA 2023'!D809</f>
        <v>A1-192-0009</v>
      </c>
      <c r="C225" s="63" t="str">
        <f t="shared" si="15"/>
        <v>Pakpanang1A1-192-0009</v>
      </c>
      <c r="D225" s="68">
        <f>VLOOKUP(C225,'RAW DATA 2023'!E:BP,63,0)</f>
        <v>5</v>
      </c>
      <c r="E225" s="68" t="str">
        <f t="shared" si="16"/>
        <v>Pakpanang15</v>
      </c>
      <c r="F225" s="63" t="str">
        <f>VLOOKUP(C225,'RAW DATA 2023'!E:BO,5,0)</f>
        <v>Outdoor</v>
      </c>
      <c r="G225" s="63" t="s">
        <v>1955</v>
      </c>
      <c r="H225" s="63">
        <f>VLOOKUP(C225,'RAW DATA 2023'!E:BO,2,0)</f>
        <v>1.8</v>
      </c>
      <c r="I225" s="106">
        <f>VLOOKUP(C225,'RAW DATA 2023'!E:BO,22,0)</f>
        <v>5.7706722222222222</v>
      </c>
      <c r="J225" s="72">
        <f t="shared" si="17"/>
        <v>-0.2293277777777778</v>
      </c>
      <c r="K225" s="109">
        <f t="shared" si="18"/>
        <v>-0.38221296296296303</v>
      </c>
      <c r="L225" s="63">
        <f t="shared" si="19"/>
        <v>0</v>
      </c>
      <c r="M225" s="123"/>
    </row>
    <row r="226" spans="1:13">
      <c r="A226" s="63" t="str">
        <f>'RAW DATA 2023'!B6</f>
        <v>Lamae</v>
      </c>
      <c r="B226" s="63" t="str">
        <f>'RAW DATA 2023'!D6</f>
        <v>A1-012-0014</v>
      </c>
      <c r="C226" s="63" t="str">
        <f t="shared" si="15"/>
        <v>LamaeA1-012-0014</v>
      </c>
      <c r="D226" s="68">
        <f>VLOOKUP(C226,'RAW DATA 2023'!E:BP,63,0)</f>
        <v>9</v>
      </c>
      <c r="E226" s="68" t="str">
        <f t="shared" si="16"/>
        <v>Lamae9</v>
      </c>
      <c r="F226" s="63" t="str">
        <f>VLOOKUP(C226,'RAW DATA 2023'!E:BO,5,0)</f>
        <v>Outdoor</v>
      </c>
      <c r="G226" s="63" t="s">
        <v>1951</v>
      </c>
      <c r="H226" s="63">
        <f>VLOOKUP(C226,'RAW DATA 2023'!E:BO,2,0)</f>
        <v>4</v>
      </c>
      <c r="I226" s="106">
        <f>VLOOKUP(C226,'RAW DATA 2023'!E:BO,22,0)</f>
        <v>7.8668900000000006</v>
      </c>
      <c r="J226" s="72">
        <f t="shared" si="17"/>
        <v>4.8668900000000006</v>
      </c>
      <c r="K226" s="109">
        <f t="shared" si="18"/>
        <v>8.111483333333334</v>
      </c>
      <c r="L226" s="63">
        <f t="shared" si="19"/>
        <v>6.25</v>
      </c>
      <c r="M226" s="123"/>
    </row>
    <row r="227" spans="1:13" hidden="1">
      <c r="A227" s="63" t="str">
        <f>'RAW DATA 2023'!B9</f>
        <v>Lamae</v>
      </c>
      <c r="B227" s="63" t="str">
        <f>'RAW DATA 2023'!D9</f>
        <v>B1-021-0012</v>
      </c>
      <c r="C227" s="63" t="str">
        <f t="shared" si="15"/>
        <v>LamaeB1-021-0012</v>
      </c>
      <c r="D227" s="68">
        <f>VLOOKUP(C227,'RAW DATA 2023'!E:BP,63,0)</f>
        <v>2</v>
      </c>
      <c r="E227" s="68" t="str">
        <f t="shared" si="16"/>
        <v>Lamae2</v>
      </c>
      <c r="F227" s="63" t="str">
        <f>VLOOKUP(C227,'RAW DATA 2023'!E:BO,5,0)</f>
        <v>Outdoor</v>
      </c>
      <c r="G227" s="63" t="s">
        <v>1954</v>
      </c>
      <c r="H227" s="63">
        <f>VLOOKUP(C227,'RAW DATA 2023'!E:BO,2,0)</f>
        <v>8.5</v>
      </c>
      <c r="I227" s="106">
        <f>VLOOKUP(C227,'RAW DATA 2023'!E:BO,22,0)</f>
        <v>2.7157788235294116</v>
      </c>
      <c r="J227" s="72">
        <f t="shared" si="17"/>
        <v>0.71577882352941158</v>
      </c>
      <c r="K227" s="109">
        <f t="shared" si="18"/>
        <v>1.1929647058823527</v>
      </c>
      <c r="L227" s="63">
        <f t="shared" si="19"/>
        <v>1.1929647058823527</v>
      </c>
      <c r="M227" s="123"/>
    </row>
    <row r="228" spans="1:13" hidden="1">
      <c r="A228" s="63" t="str">
        <f>'RAW DATA 2023'!B35</f>
        <v>Bansang</v>
      </c>
      <c r="B228" s="63" t="str">
        <f>'RAW DATA 2023'!D35</f>
        <v>A1-007-0017</v>
      </c>
      <c r="C228" s="63" t="str">
        <f t="shared" si="15"/>
        <v>BansangA1-007-0017</v>
      </c>
      <c r="D228" s="68">
        <f>VLOOKUP(C228,'RAW DATA 2023'!E:BP,63,0)</f>
        <v>8</v>
      </c>
      <c r="E228" s="68" t="str">
        <f t="shared" si="16"/>
        <v>Bansang8</v>
      </c>
      <c r="F228" s="63" t="str">
        <f>VLOOKUP(C228,'RAW DATA 2023'!E:BO,5,0)</f>
        <v>Outdoor</v>
      </c>
      <c r="G228" s="63" t="s">
        <v>67</v>
      </c>
      <c r="H228" s="63">
        <f>VLOOKUP(C228,'RAW DATA 2023'!E:BO,2,0)</f>
        <v>3.38</v>
      </c>
      <c r="I228" s="106">
        <f>VLOOKUP(C228,'RAW DATA 2023'!E:BO,22,0)</f>
        <v>8.1066153846153846</v>
      </c>
      <c r="J228" s="72">
        <f t="shared" si="17"/>
        <v>5.1066153846153846</v>
      </c>
      <c r="K228" s="109">
        <f t="shared" si="18"/>
        <v>8.5110256410256415</v>
      </c>
      <c r="L228" s="63">
        <f t="shared" si="19"/>
        <v>6.25</v>
      </c>
      <c r="M228" s="123"/>
    </row>
    <row r="229" spans="1:13" hidden="1">
      <c r="A229" s="63" t="str">
        <f>'RAW DATA 2023'!B37</f>
        <v>Bansang</v>
      </c>
      <c r="B229" s="63" t="str">
        <f>'RAW DATA 2023'!D37</f>
        <v>A1-006-0014</v>
      </c>
      <c r="C229" s="63" t="str">
        <f t="shared" si="15"/>
        <v>BansangA1-006-0014</v>
      </c>
      <c r="D229" s="68">
        <f>VLOOKUP(C229,'RAW DATA 2023'!E:BP,63,0)</f>
        <v>6</v>
      </c>
      <c r="E229" s="68" t="str">
        <f t="shared" si="16"/>
        <v>Bansang6</v>
      </c>
      <c r="F229" s="63" t="str">
        <f>VLOOKUP(C229,'RAW DATA 2023'!E:BO,5,0)</f>
        <v>Outdoor</v>
      </c>
      <c r="G229" s="63" t="s">
        <v>67</v>
      </c>
      <c r="H229" s="63">
        <f>VLOOKUP(C229,'RAW DATA 2023'!E:BO,2,0)</f>
        <v>3.38</v>
      </c>
      <c r="I229" s="106">
        <f>VLOOKUP(C229,'RAW DATA 2023'!E:BO,22,0)</f>
        <v>7.0364881656804741</v>
      </c>
      <c r="J229" s="72">
        <f t="shared" si="17"/>
        <v>4.0364881656804741</v>
      </c>
      <c r="K229" s="109">
        <f t="shared" si="18"/>
        <v>6.7274802761341235</v>
      </c>
      <c r="L229" s="63">
        <f t="shared" si="19"/>
        <v>6.25</v>
      </c>
      <c r="M229" s="123"/>
    </row>
    <row r="230" spans="1:13" hidden="1">
      <c r="A230" s="63" t="str">
        <f>'RAW DATA 2023'!B45</f>
        <v>Petchburi5</v>
      </c>
      <c r="B230" s="63" t="str">
        <f>'RAW DATA 2023'!D45</f>
        <v>B1-125-0009</v>
      </c>
      <c r="C230" s="63" t="str">
        <f t="shared" si="15"/>
        <v>Petchburi5B1-125-0009</v>
      </c>
      <c r="D230" s="68">
        <f>VLOOKUP(C230,'RAW DATA 2023'!E:BP,63,0)</f>
        <v>11</v>
      </c>
      <c r="E230" s="68" t="str">
        <f t="shared" si="16"/>
        <v>Petchburi511</v>
      </c>
      <c r="F230" s="63" t="str">
        <f>VLOOKUP(C230,'RAW DATA 2023'!E:BO,5,0)</f>
        <v>Outdoor</v>
      </c>
      <c r="G230" s="63" t="s">
        <v>67</v>
      </c>
      <c r="H230" s="63">
        <f>VLOOKUP(C230,'RAW DATA 2023'!E:BO,2,0)</f>
        <v>1.5</v>
      </c>
      <c r="I230" s="106">
        <f>VLOOKUP(C230,'RAW DATA 2023'!E:BO,22,0)</f>
        <v>15.928933333333333</v>
      </c>
      <c r="J230" s="72">
        <f t="shared" si="17"/>
        <v>9.9289333333333332</v>
      </c>
      <c r="K230" s="109">
        <f t="shared" si="18"/>
        <v>16.548222222222222</v>
      </c>
      <c r="L230" s="63">
        <f t="shared" si="19"/>
        <v>6.25</v>
      </c>
      <c r="M230" s="123"/>
    </row>
    <row r="231" spans="1:13" hidden="1">
      <c r="A231" s="63" t="str">
        <f>'RAW DATA 2023'!B78</f>
        <v>Petchburi5</v>
      </c>
      <c r="B231" s="63" t="str">
        <f>'RAW DATA 2023'!D78</f>
        <v>A1-020-0016</v>
      </c>
      <c r="C231" s="63" t="str">
        <f t="shared" si="15"/>
        <v>Petchburi5A1-020-0016</v>
      </c>
      <c r="D231" s="68">
        <f>VLOOKUP(C231,'RAW DATA 2023'!E:BP,63,0)</f>
        <v>9</v>
      </c>
      <c r="E231" s="68" t="str">
        <f t="shared" si="16"/>
        <v>Petchburi59</v>
      </c>
      <c r="F231" s="63" t="str">
        <f>VLOOKUP(C231,'RAW DATA 2023'!E:BO,5,0)</f>
        <v>Outdoor</v>
      </c>
      <c r="G231" s="63" t="s">
        <v>1955</v>
      </c>
      <c r="H231" s="63">
        <f>VLOOKUP(C231,'RAW DATA 2023'!E:BO,2,0)</f>
        <v>1.5</v>
      </c>
      <c r="I231" s="106">
        <f>VLOOKUP(C231,'RAW DATA 2023'!E:BO,22,0)</f>
        <v>14.299446666666666</v>
      </c>
      <c r="J231" s="72">
        <f t="shared" si="17"/>
        <v>8.2994466666666664</v>
      </c>
      <c r="K231" s="109">
        <f t="shared" si="18"/>
        <v>13.832411111111112</v>
      </c>
      <c r="L231" s="63">
        <f t="shared" si="19"/>
        <v>6.25</v>
      </c>
      <c r="M231" s="123"/>
    </row>
    <row r="232" spans="1:13" hidden="1">
      <c r="A232" s="63" t="str">
        <f>'RAW DATA 2023'!B89</f>
        <v>Petchburi5</v>
      </c>
      <c r="B232" s="63" t="str">
        <f>'RAW DATA 2023'!D89</f>
        <v>AG-002-0014</v>
      </c>
      <c r="C232" s="63" t="str">
        <f t="shared" si="15"/>
        <v>Petchburi5AG-002-0014</v>
      </c>
      <c r="D232" s="68">
        <f>VLOOKUP(C232,'RAW DATA 2023'!E:BP,63,0)</f>
        <v>12</v>
      </c>
      <c r="E232" s="68" t="str">
        <f t="shared" si="16"/>
        <v>Petchburi512</v>
      </c>
      <c r="F232" s="63" t="str">
        <f>VLOOKUP(C232,'RAW DATA 2023'!E:BO,5,0)</f>
        <v>Greenhouse</v>
      </c>
      <c r="G232" s="63" t="s">
        <v>1954</v>
      </c>
      <c r="H232" s="63">
        <f>VLOOKUP(C232,'RAW DATA 2023'!E:BO,2,0)</f>
        <v>1.5</v>
      </c>
      <c r="I232" s="106">
        <f>VLOOKUP(C232,'RAW DATA 2023'!E:BO,22,0)</f>
        <v>10.213279999999999</v>
      </c>
      <c r="J232" s="72">
        <f t="shared" si="17"/>
        <v>6.2132799999999992</v>
      </c>
      <c r="K232" s="109">
        <f t="shared" si="18"/>
        <v>10.355466666666667</v>
      </c>
      <c r="L232" s="63">
        <f t="shared" si="19"/>
        <v>6.25</v>
      </c>
      <c r="M232" s="123"/>
    </row>
    <row r="233" spans="1:13" hidden="1">
      <c r="A233" s="63" t="str">
        <f>'RAW DATA 2023'!B92</f>
        <v>Petchburi5</v>
      </c>
      <c r="B233" s="63" t="str">
        <f>'RAW DATA 2023'!D92</f>
        <v>G1-G02-0001</v>
      </c>
      <c r="C233" s="63" t="str">
        <f t="shared" si="15"/>
        <v>Petchburi5G1-G02-0001</v>
      </c>
      <c r="D233" s="68">
        <f>VLOOKUP(C233,'RAW DATA 2023'!E:BP,63,0)</f>
        <v>4</v>
      </c>
      <c r="E233" s="68" t="str">
        <f t="shared" si="16"/>
        <v>Petchburi54</v>
      </c>
      <c r="F233" s="63" t="str">
        <f>VLOOKUP(C233,'RAW DATA 2023'!E:BO,5,0)</f>
        <v>Greenhouse</v>
      </c>
      <c r="G233" s="63" t="s">
        <v>1954</v>
      </c>
      <c r="H233" s="63">
        <f>VLOOKUP(C233,'RAW DATA 2023'!E:BO,2,0)</f>
        <v>1</v>
      </c>
      <c r="I233" s="106">
        <f>VLOOKUP(C233,'RAW DATA 2023'!E:BO,22,0)</f>
        <v>15.27791</v>
      </c>
      <c r="J233" s="72">
        <f t="shared" si="17"/>
        <v>11.27791</v>
      </c>
      <c r="K233" s="109">
        <f t="shared" si="18"/>
        <v>18.796516666666669</v>
      </c>
      <c r="L233" s="63">
        <f t="shared" si="19"/>
        <v>6.25</v>
      </c>
      <c r="M233" s="123"/>
    </row>
    <row r="234" spans="1:13" hidden="1">
      <c r="A234" s="63" t="str">
        <f>'RAW DATA 2023'!B119</f>
        <v>Roiphet1</v>
      </c>
      <c r="B234" s="63" t="str">
        <f>'RAW DATA 2023'!D119</f>
        <v>D5-G10-0069</v>
      </c>
      <c r="C234" s="63" t="str">
        <f t="shared" si="15"/>
        <v>Roiphet1D5-G10-0069</v>
      </c>
      <c r="D234" s="68">
        <f>VLOOKUP(C234,'RAW DATA 2023'!E:BP,63,0)</f>
        <v>5</v>
      </c>
      <c r="E234" s="68" t="str">
        <f t="shared" si="16"/>
        <v>Roiphet15</v>
      </c>
      <c r="F234" s="63" t="str">
        <f>VLOOKUP(C234,'RAW DATA 2023'!E:BO,5,0)</f>
        <v>Greenhouse</v>
      </c>
      <c r="G234" s="63" t="s">
        <v>1955</v>
      </c>
      <c r="H234" s="63">
        <f>VLOOKUP(C234,'RAW DATA 2023'!E:BO,2,0)</f>
        <v>1.1299999999999999</v>
      </c>
      <c r="I234" s="106">
        <f>VLOOKUP(C234,'RAW DATA 2023'!E:BO,22,0)</f>
        <v>9.6553628318584082</v>
      </c>
      <c r="J234" s="72">
        <f t="shared" si="17"/>
        <v>5.6553628318584082</v>
      </c>
      <c r="K234" s="109">
        <f t="shared" si="18"/>
        <v>9.4256047197640136</v>
      </c>
      <c r="L234" s="63">
        <f t="shared" si="19"/>
        <v>6.25</v>
      </c>
      <c r="M234" s="123"/>
    </row>
    <row r="235" spans="1:13" hidden="1">
      <c r="A235" s="63" t="str">
        <f>'RAW DATA 2023'!B121</f>
        <v>Roiphet1</v>
      </c>
      <c r="B235" s="63" t="str">
        <f>'RAW DATA 2023'!D121</f>
        <v>D6-I11-0082</v>
      </c>
      <c r="C235" s="63" t="str">
        <f t="shared" si="15"/>
        <v>Roiphet1D6-I11-0082</v>
      </c>
      <c r="D235" s="68">
        <f>VLOOKUP(C235,'RAW DATA 2023'!E:BP,63,0)</f>
        <v>2</v>
      </c>
      <c r="E235" s="68" t="str">
        <f t="shared" si="16"/>
        <v>Roiphet12</v>
      </c>
      <c r="F235" s="63" t="str">
        <f>VLOOKUP(C235,'RAW DATA 2023'!E:BO,5,0)</f>
        <v>Greenhouse</v>
      </c>
      <c r="G235" s="63" t="s">
        <v>1955</v>
      </c>
      <c r="H235" s="63">
        <f>VLOOKUP(C235,'RAW DATA 2023'!E:BO,2,0)</f>
        <v>0.72</v>
      </c>
      <c r="I235" s="106">
        <f>VLOOKUP(C235,'RAW DATA 2023'!E:BO,22,0)</f>
        <v>5.7737083333333334</v>
      </c>
      <c r="J235" s="72">
        <f t="shared" si="17"/>
        <v>1.7737083333333334</v>
      </c>
      <c r="K235" s="109">
        <f t="shared" si="18"/>
        <v>2.956180555555556</v>
      </c>
      <c r="L235" s="63">
        <f t="shared" si="19"/>
        <v>2.956180555555556</v>
      </c>
      <c r="M235" s="123"/>
    </row>
    <row r="236" spans="1:13" hidden="1">
      <c r="A236" s="63" t="str">
        <f>'RAW DATA 2023'!B138</f>
        <v>Roiphet1</v>
      </c>
      <c r="B236" s="63" t="str">
        <f>'RAW DATA 2023'!D138</f>
        <v>D1-G01-0077</v>
      </c>
      <c r="C236" s="63" t="str">
        <f t="shared" si="15"/>
        <v>Roiphet1D1-G01-0077</v>
      </c>
      <c r="D236" s="68">
        <f>VLOOKUP(C236,'RAW DATA 2023'!E:BP,63,0)</f>
        <v>6</v>
      </c>
      <c r="E236" s="68" t="str">
        <f t="shared" si="16"/>
        <v>Roiphet16</v>
      </c>
      <c r="F236" s="63" t="str">
        <f>VLOOKUP(C236,'RAW DATA 2023'!E:BO,5,0)</f>
        <v>Greenhouse</v>
      </c>
      <c r="G236" s="63" t="s">
        <v>1954</v>
      </c>
      <c r="H236" s="63">
        <f>VLOOKUP(C236,'RAW DATA 2023'!E:BO,2,0)</f>
        <v>1.1299999999999999</v>
      </c>
      <c r="I236" s="106">
        <f>VLOOKUP(C236,'RAW DATA 2023'!E:BO,22,0)</f>
        <v>6.2035840707964613</v>
      </c>
      <c r="J236" s="72">
        <f t="shared" si="17"/>
        <v>2.2035840707964613</v>
      </c>
      <c r="K236" s="109">
        <f t="shared" si="18"/>
        <v>3.6726401179941024</v>
      </c>
      <c r="L236" s="63">
        <f t="shared" si="19"/>
        <v>3.6726401179941024</v>
      </c>
      <c r="M236" s="123"/>
    </row>
    <row r="237" spans="1:13" hidden="1">
      <c r="A237" s="63" t="str">
        <f>'RAW DATA 2023'!B139</f>
        <v>Roiphet1</v>
      </c>
      <c r="B237" s="63" t="str">
        <f>'RAW DATA 2023'!D139</f>
        <v>A2-I04-0100</v>
      </c>
      <c r="C237" s="63" t="str">
        <f t="shared" si="15"/>
        <v>Roiphet1A2-I04-0100</v>
      </c>
      <c r="D237" s="68">
        <f>VLOOKUP(C237,'RAW DATA 2023'!E:BP,63,0)</f>
        <v>9</v>
      </c>
      <c r="E237" s="68" t="str">
        <f t="shared" si="16"/>
        <v>Roiphet19</v>
      </c>
      <c r="F237" s="63" t="str">
        <f>VLOOKUP(C237,'RAW DATA 2023'!E:BO,5,0)</f>
        <v>Greenhouse</v>
      </c>
      <c r="G237" s="63" t="s">
        <v>1954</v>
      </c>
      <c r="H237" s="63">
        <f>VLOOKUP(C237,'RAW DATA 2023'!E:BO,2,0)</f>
        <v>0.72</v>
      </c>
      <c r="I237" s="106">
        <f>VLOOKUP(C237,'RAW DATA 2023'!E:BO,22,0)</f>
        <v>4.1594722222222229</v>
      </c>
      <c r="J237" s="72">
        <f t="shared" si="17"/>
        <v>0.1594722222222229</v>
      </c>
      <c r="K237" s="109">
        <f t="shared" si="18"/>
        <v>0.26578703703703821</v>
      </c>
      <c r="L237" s="63">
        <f t="shared" si="19"/>
        <v>0.26578703703703821</v>
      </c>
      <c r="M237" s="123"/>
    </row>
    <row r="238" spans="1:13" hidden="1">
      <c r="A238" s="63" t="str">
        <f>'RAW DATA 2023'!B150</f>
        <v>Roiphet1</v>
      </c>
      <c r="B238" s="63" t="str">
        <f>'RAW DATA 2023'!D150</f>
        <v>A6-I11-0101</v>
      </c>
      <c r="C238" s="63" t="str">
        <f t="shared" si="15"/>
        <v>Roiphet1A6-I11-0101</v>
      </c>
      <c r="D238" s="68">
        <f>VLOOKUP(C238,'RAW DATA 2023'!E:BP,63,0)</f>
        <v>5</v>
      </c>
      <c r="E238" s="68" t="str">
        <f t="shared" si="16"/>
        <v>Roiphet15</v>
      </c>
      <c r="F238" s="63" t="str">
        <f>VLOOKUP(C238,'RAW DATA 2023'!E:BO,5,0)</f>
        <v>Greenhouse</v>
      </c>
      <c r="G238" s="63" t="s">
        <v>1954</v>
      </c>
      <c r="H238" s="63">
        <f>VLOOKUP(C238,'RAW DATA 2023'!E:BO,2,0)</f>
        <v>0.72</v>
      </c>
      <c r="I238" s="106">
        <f>VLOOKUP(C238,'RAW DATA 2023'!E:BO,22,0)</f>
        <v>4.6213055555555558</v>
      </c>
      <c r="J238" s="72">
        <f t="shared" si="17"/>
        <v>0.62130555555555578</v>
      </c>
      <c r="K238" s="109">
        <f t="shared" si="18"/>
        <v>1.0355092592592596</v>
      </c>
      <c r="L238" s="63">
        <f t="shared" si="19"/>
        <v>1.0355092592592596</v>
      </c>
      <c r="M238" s="123"/>
    </row>
    <row r="239" spans="1:13" hidden="1">
      <c r="A239" s="63" t="str">
        <f>'RAW DATA 2023'!B158</f>
        <v>Roiphet1</v>
      </c>
      <c r="B239" s="63" t="str">
        <f>'RAW DATA 2023'!D158</f>
        <v>A5-I10-0094</v>
      </c>
      <c r="C239" s="63" t="str">
        <f t="shared" si="15"/>
        <v>Roiphet1A5-I10-0094</v>
      </c>
      <c r="D239" s="68">
        <f>VLOOKUP(C239,'RAW DATA 2023'!E:BP,63,0)</f>
        <v>5</v>
      </c>
      <c r="E239" s="68" t="str">
        <f t="shared" si="16"/>
        <v>Roiphet15</v>
      </c>
      <c r="F239" s="63" t="str">
        <f>VLOOKUP(C239,'RAW DATA 2023'!E:BO,5,0)</f>
        <v>Greenhouse</v>
      </c>
      <c r="G239" s="63" t="s">
        <v>1954</v>
      </c>
      <c r="H239" s="63">
        <f>VLOOKUP(C239,'RAW DATA 2023'!E:BO,2,0)</f>
        <v>0.72</v>
      </c>
      <c r="I239" s="106">
        <f>VLOOKUP(C239,'RAW DATA 2023'!E:BO,22,0)</f>
        <v>4.8111805555555565</v>
      </c>
      <c r="J239" s="72">
        <f t="shared" si="17"/>
        <v>0.81118055555555646</v>
      </c>
      <c r="K239" s="109">
        <f t="shared" si="18"/>
        <v>1.3519675925925942</v>
      </c>
      <c r="L239" s="63">
        <f t="shared" si="19"/>
        <v>1.3519675925925942</v>
      </c>
      <c r="M239" s="123"/>
    </row>
    <row r="240" spans="1:13" hidden="1">
      <c r="A240" s="63" t="str">
        <f>'RAW DATA 2023'!B162</f>
        <v>Roiphet1</v>
      </c>
      <c r="B240" s="63" t="str">
        <f>'RAW DATA 2023'!D162</f>
        <v>A1-G02-0074</v>
      </c>
      <c r="C240" s="63" t="str">
        <f t="shared" si="15"/>
        <v>Roiphet1A1-G02-0074</v>
      </c>
      <c r="D240" s="68">
        <f>VLOOKUP(C240,'RAW DATA 2023'!E:BP,63,0)</f>
        <v>5</v>
      </c>
      <c r="E240" s="68" t="str">
        <f t="shared" si="16"/>
        <v>Roiphet15</v>
      </c>
      <c r="F240" s="63" t="str">
        <f>VLOOKUP(C240,'RAW DATA 2023'!E:BO,5,0)</f>
        <v>Greenhouse</v>
      </c>
      <c r="G240" s="63" t="s">
        <v>1954</v>
      </c>
      <c r="H240" s="63">
        <f>VLOOKUP(C240,'RAW DATA 2023'!E:BO,2,0)</f>
        <v>1.1299999999999999</v>
      </c>
      <c r="I240" s="106">
        <f>VLOOKUP(C240,'RAW DATA 2023'!E:BO,22,0)</f>
        <v>7.919734513274336</v>
      </c>
      <c r="J240" s="72">
        <f t="shared" si="17"/>
        <v>3.919734513274336</v>
      </c>
      <c r="K240" s="109">
        <f t="shared" si="18"/>
        <v>6.5328908554572269</v>
      </c>
      <c r="L240" s="63">
        <f t="shared" si="19"/>
        <v>6.25</v>
      </c>
      <c r="M240" s="123"/>
    </row>
    <row r="241" spans="1:13" hidden="1">
      <c r="A241" s="63" t="str">
        <f>'RAW DATA 2023'!B165</f>
        <v>Roiphet1</v>
      </c>
      <c r="B241" s="63" t="str">
        <f>'RAW DATA 2023'!D165</f>
        <v>A1-G01-0064</v>
      </c>
      <c r="C241" s="63" t="str">
        <f t="shared" si="15"/>
        <v>Roiphet1A1-G01-0064</v>
      </c>
      <c r="D241" s="68">
        <f>VLOOKUP(C241,'RAW DATA 2023'!E:BP,63,0)</f>
        <v>9</v>
      </c>
      <c r="E241" s="68" t="str">
        <f t="shared" si="16"/>
        <v>Roiphet19</v>
      </c>
      <c r="F241" s="63" t="str">
        <f>VLOOKUP(C241,'RAW DATA 2023'!E:BO,5,0)</f>
        <v>Greenhouse</v>
      </c>
      <c r="G241" s="63" t="s">
        <v>1954</v>
      </c>
      <c r="H241" s="63">
        <f>VLOOKUP(C241,'RAW DATA 2023'!E:BO,2,0)</f>
        <v>1.1299999999999999</v>
      </c>
      <c r="I241" s="106">
        <f>VLOOKUP(C241,'RAW DATA 2023'!E:BO,22,0)</f>
        <v>4.6014424778761063</v>
      </c>
      <c r="J241" s="72">
        <f t="shared" si="17"/>
        <v>0.60144247787610627</v>
      </c>
      <c r="K241" s="109">
        <f t="shared" si="18"/>
        <v>1.0024041297935105</v>
      </c>
      <c r="L241" s="63">
        <f t="shared" si="19"/>
        <v>1.0024041297935105</v>
      </c>
      <c r="M241" s="123"/>
    </row>
    <row r="242" spans="1:13" hidden="1">
      <c r="A242" s="63" t="str">
        <f>'RAW DATA 2023'!B169</f>
        <v>Roiphet1</v>
      </c>
      <c r="B242" s="63" t="str">
        <f>'RAW DATA 2023'!D169</f>
        <v>A5-G10-0068</v>
      </c>
      <c r="C242" s="63" t="str">
        <f t="shared" si="15"/>
        <v>Roiphet1A5-G10-0068</v>
      </c>
      <c r="D242" s="68">
        <f>VLOOKUP(C242,'RAW DATA 2023'!E:BP,63,0)</f>
        <v>5</v>
      </c>
      <c r="E242" s="68" t="str">
        <f t="shared" si="16"/>
        <v>Roiphet15</v>
      </c>
      <c r="F242" s="63" t="str">
        <f>VLOOKUP(C242,'RAW DATA 2023'!E:BO,5,0)</f>
        <v>Greenhouse</v>
      </c>
      <c r="G242" s="63" t="s">
        <v>67</v>
      </c>
      <c r="H242" s="63">
        <f>VLOOKUP(C242,'RAW DATA 2023'!E:BO,2,0)</f>
        <v>1.1299999999999999</v>
      </c>
      <c r="I242" s="106">
        <f>VLOOKUP(C242,'RAW DATA 2023'!E:BO,22,0)</f>
        <v>6.0484070796460179</v>
      </c>
      <c r="J242" s="72">
        <f t="shared" si="17"/>
        <v>2.0484070796460179</v>
      </c>
      <c r="K242" s="109">
        <f t="shared" si="18"/>
        <v>3.4140117994100301</v>
      </c>
      <c r="L242" s="63">
        <f t="shared" si="19"/>
        <v>3.4140117994100301</v>
      </c>
      <c r="M242" s="123"/>
    </row>
    <row r="243" spans="1:13" hidden="1">
      <c r="A243" s="63" t="str">
        <f>'RAW DATA 2023'!B172</f>
        <v>Roiphet1</v>
      </c>
      <c r="B243" s="63" t="str">
        <f>'RAW DATA 2023'!D172</f>
        <v>A5-G09-0083</v>
      </c>
      <c r="C243" s="63" t="str">
        <f t="shared" si="15"/>
        <v>Roiphet1A5-G09-0083</v>
      </c>
      <c r="D243" s="68">
        <f>VLOOKUP(C243,'RAW DATA 2023'!E:BP,63,0)</f>
        <v>6</v>
      </c>
      <c r="E243" s="68" t="str">
        <f t="shared" si="16"/>
        <v>Roiphet16</v>
      </c>
      <c r="F243" s="63" t="str">
        <f>VLOOKUP(C243,'RAW DATA 2023'!E:BO,5,0)</f>
        <v>Greenhouse</v>
      </c>
      <c r="G243" s="63" t="s">
        <v>1955</v>
      </c>
      <c r="H243" s="63">
        <f>VLOOKUP(C243,'RAW DATA 2023'!E:BO,2,0)</f>
        <v>1.1299999999999999</v>
      </c>
      <c r="I243" s="106">
        <f>VLOOKUP(C243,'RAW DATA 2023'!E:BO,22,0)</f>
        <v>6.0895575221238945</v>
      </c>
      <c r="J243" s="72">
        <f t="shared" si="17"/>
        <v>2.0895575221238945</v>
      </c>
      <c r="K243" s="109">
        <f t="shared" si="18"/>
        <v>3.4825958702064908</v>
      </c>
      <c r="L243" s="63">
        <f t="shared" si="19"/>
        <v>3.4825958702064908</v>
      </c>
      <c r="M243" s="123"/>
    </row>
    <row r="244" spans="1:13">
      <c r="A244" s="63" t="str">
        <f>'RAW DATA 2023'!B197</f>
        <v>Roiphet1</v>
      </c>
      <c r="B244" s="63" t="str">
        <f>'RAW DATA 2023'!D197</f>
        <v>B6-I11-0082</v>
      </c>
      <c r="C244" s="63" t="str">
        <f t="shared" si="15"/>
        <v>Roiphet1B6-I11-0082</v>
      </c>
      <c r="D244" s="68">
        <f>VLOOKUP(C244,'RAW DATA 2023'!E:BP,63,0)</f>
        <v>1</v>
      </c>
      <c r="E244" s="68" t="str">
        <f t="shared" si="16"/>
        <v>Roiphet11</v>
      </c>
      <c r="F244" s="63" t="str">
        <f>VLOOKUP(C244,'RAW DATA 2023'!E:BO,5,0)</f>
        <v>Greenhouse</v>
      </c>
      <c r="G244" s="63" t="s">
        <v>1951</v>
      </c>
      <c r="H244" s="63">
        <f>VLOOKUP(C244,'RAW DATA 2023'!E:BO,2,0)</f>
        <v>0.72</v>
      </c>
      <c r="I244" s="106">
        <f>VLOOKUP(C244,'RAW DATA 2023'!E:BO,22,0)</f>
        <v>4.7051388888888885</v>
      </c>
      <c r="J244" s="72">
        <f t="shared" si="17"/>
        <v>0.70513888888888854</v>
      </c>
      <c r="K244" s="109">
        <f t="shared" si="18"/>
        <v>1.175231481481481</v>
      </c>
      <c r="L244" s="63">
        <f t="shared" si="19"/>
        <v>1.175231481481481</v>
      </c>
      <c r="M244" s="123"/>
    </row>
    <row r="245" spans="1:13" hidden="1">
      <c r="A245" s="63" t="str">
        <f>'RAW DATA 2023'!B204</f>
        <v>Roiphet1</v>
      </c>
      <c r="B245" s="63" t="str">
        <f>'RAW DATA 2023'!D204</f>
        <v>C4-I07-0060</v>
      </c>
      <c r="C245" s="63" t="str">
        <f t="shared" si="15"/>
        <v>Roiphet1C4-I07-0060</v>
      </c>
      <c r="D245" s="68">
        <f>VLOOKUP(C245,'RAW DATA 2023'!E:BP,63,0)</f>
        <v>6</v>
      </c>
      <c r="E245" s="68" t="str">
        <f t="shared" si="16"/>
        <v>Roiphet16</v>
      </c>
      <c r="F245" s="63" t="str">
        <f>VLOOKUP(C245,'RAW DATA 2023'!E:BO,5,0)</f>
        <v>Greenhouse</v>
      </c>
      <c r="G245" s="63" t="s">
        <v>1954</v>
      </c>
      <c r="H245" s="63">
        <f>VLOOKUP(C245,'RAW DATA 2023'!E:BO,2,0)</f>
        <v>0.72</v>
      </c>
      <c r="I245" s="106">
        <f>VLOOKUP(C245,'RAW DATA 2023'!E:BO,22,0)</f>
        <v>4.379402777777778</v>
      </c>
      <c r="J245" s="72">
        <f t="shared" si="17"/>
        <v>0.37940277777777798</v>
      </c>
      <c r="K245" s="109">
        <f t="shared" si="18"/>
        <v>0.6323379629629633</v>
      </c>
      <c r="L245" s="63">
        <f t="shared" si="19"/>
        <v>0.6323379629629633</v>
      </c>
      <c r="M245" s="123"/>
    </row>
    <row r="246" spans="1:13" hidden="1">
      <c r="A246" s="63" t="str">
        <f>'RAW DATA 2023'!B205</f>
        <v>Roiphet1</v>
      </c>
      <c r="B246" s="63" t="str">
        <f>'RAW DATA 2023'!D205</f>
        <v>C4-G07-0057</v>
      </c>
      <c r="C246" s="63" t="str">
        <f t="shared" si="15"/>
        <v>Roiphet1C4-G07-0057</v>
      </c>
      <c r="D246" s="68">
        <f>VLOOKUP(C246,'RAW DATA 2023'!E:BP,63,0)</f>
        <v>6</v>
      </c>
      <c r="E246" s="68" t="str">
        <f t="shared" si="16"/>
        <v>Roiphet16</v>
      </c>
      <c r="F246" s="63" t="str">
        <f>VLOOKUP(C246,'RAW DATA 2023'!E:BO,5,0)</f>
        <v>Greenhouse</v>
      </c>
      <c r="G246" s="63" t="s">
        <v>1954</v>
      </c>
      <c r="H246" s="63">
        <f>VLOOKUP(C246,'RAW DATA 2023'!E:BO,2,0)</f>
        <v>1.1299999999999999</v>
      </c>
      <c r="I246" s="106">
        <f>VLOOKUP(C246,'RAW DATA 2023'!E:BO,22,0)</f>
        <v>5.5015929203539828</v>
      </c>
      <c r="J246" s="72">
        <f t="shared" si="17"/>
        <v>1.5015929203539828</v>
      </c>
      <c r="K246" s="109">
        <f t="shared" si="18"/>
        <v>2.5026548672566382</v>
      </c>
      <c r="L246" s="63">
        <f t="shared" si="19"/>
        <v>2.5026548672566382</v>
      </c>
      <c r="M246" s="123"/>
    </row>
    <row r="247" spans="1:13" hidden="1">
      <c r="A247" s="63" t="str">
        <f>'RAW DATA 2023'!B211</f>
        <v>Roiphet1</v>
      </c>
      <c r="B247" s="63" t="str">
        <f>'RAW DATA 2023'!D211</f>
        <v>D2-G03-0081</v>
      </c>
      <c r="C247" s="63" t="str">
        <f t="shared" si="15"/>
        <v>Roiphet1D2-G03-0081</v>
      </c>
      <c r="D247" s="68">
        <f>VLOOKUP(C247,'RAW DATA 2023'!E:BP,63,0)</f>
        <v>9</v>
      </c>
      <c r="E247" s="68" t="str">
        <f t="shared" si="16"/>
        <v>Roiphet19</v>
      </c>
      <c r="F247" s="63" t="str">
        <f>VLOOKUP(C247,'RAW DATA 2023'!E:BO,5,0)</f>
        <v>Greenhouse</v>
      </c>
      <c r="G247" s="63" t="s">
        <v>1954</v>
      </c>
      <c r="H247" s="63">
        <f>VLOOKUP(C247,'RAW DATA 2023'!E:BO,2,0)</f>
        <v>1.1299999999999999</v>
      </c>
      <c r="I247" s="106">
        <f>VLOOKUP(C247,'RAW DATA 2023'!E:BO,22,0)</f>
        <v>10.934867256637169</v>
      </c>
      <c r="J247" s="72">
        <f t="shared" si="17"/>
        <v>6.934867256637169</v>
      </c>
      <c r="K247" s="109">
        <f t="shared" si="18"/>
        <v>11.558112094395282</v>
      </c>
      <c r="L247" s="63">
        <f t="shared" si="19"/>
        <v>6.25</v>
      </c>
      <c r="M247" s="123"/>
    </row>
    <row r="248" spans="1:13" hidden="1">
      <c r="A248" s="63" t="str">
        <f>'RAW DATA 2023'!B212</f>
        <v>Roiphet1</v>
      </c>
      <c r="B248" s="63" t="str">
        <f>'RAW DATA 2023'!D212</f>
        <v>C5-I09-0065</v>
      </c>
      <c r="C248" s="63" t="str">
        <f t="shared" si="15"/>
        <v>Roiphet1C5-I09-0065</v>
      </c>
      <c r="D248" s="68">
        <f>VLOOKUP(C248,'RAW DATA 2023'!E:BP,63,0)</f>
        <v>10</v>
      </c>
      <c r="E248" s="68" t="str">
        <f t="shared" si="16"/>
        <v>Roiphet110</v>
      </c>
      <c r="F248" s="63" t="str">
        <f>VLOOKUP(C248,'RAW DATA 2023'!E:BO,5,0)</f>
        <v>Greenhouse</v>
      </c>
      <c r="G248" s="63" t="s">
        <v>1954</v>
      </c>
      <c r="H248" s="63">
        <f>VLOOKUP(C248,'RAW DATA 2023'!E:BO,2,0)</f>
        <v>0.72</v>
      </c>
      <c r="I248" s="106">
        <f>VLOOKUP(C248,'RAW DATA 2023'!E:BO,22,0)</f>
        <v>4.6338611111111119</v>
      </c>
      <c r="J248" s="72">
        <f t="shared" si="17"/>
        <v>0.63386111111111187</v>
      </c>
      <c r="K248" s="109">
        <f t="shared" si="18"/>
        <v>1.0564351851851865</v>
      </c>
      <c r="L248" s="63">
        <f t="shared" si="19"/>
        <v>1.0564351851851865</v>
      </c>
      <c r="M248" s="123"/>
    </row>
    <row r="249" spans="1:13" hidden="1">
      <c r="A249" s="63" t="str">
        <f>'RAW DATA 2023'!B214</f>
        <v>Roiphet1</v>
      </c>
      <c r="B249" s="63" t="str">
        <f>'RAW DATA 2023'!D214</f>
        <v>D5-G10-0070</v>
      </c>
      <c r="C249" s="63" t="str">
        <f t="shared" si="15"/>
        <v>Roiphet1D5-G10-0070</v>
      </c>
      <c r="D249" s="68">
        <f>VLOOKUP(C249,'RAW DATA 2023'!E:BP,63,0)</f>
        <v>10</v>
      </c>
      <c r="E249" s="68" t="str">
        <f t="shared" si="16"/>
        <v>Roiphet110</v>
      </c>
      <c r="F249" s="63" t="str">
        <f>VLOOKUP(C249,'RAW DATA 2023'!E:BO,5,0)</f>
        <v>Greenhouse</v>
      </c>
      <c r="G249" s="63" t="s">
        <v>1954</v>
      </c>
      <c r="H249" s="63">
        <f>VLOOKUP(C249,'RAW DATA 2023'!E:BO,2,0)</f>
        <v>1.1299999999999999</v>
      </c>
      <c r="I249" s="106">
        <f>VLOOKUP(C249,'RAW DATA 2023'!E:BO,22,0)</f>
        <v>9.2553185840707979</v>
      </c>
      <c r="J249" s="72">
        <f t="shared" si="17"/>
        <v>5.2553185840707979</v>
      </c>
      <c r="K249" s="109">
        <f t="shared" si="18"/>
        <v>8.7588643067846643</v>
      </c>
      <c r="L249" s="63">
        <f t="shared" si="19"/>
        <v>6.25</v>
      </c>
      <c r="M249" s="123"/>
    </row>
    <row r="250" spans="1:13" hidden="1">
      <c r="A250" s="63" t="str">
        <f>'RAW DATA 2023'!B240</f>
        <v>Roiphet1</v>
      </c>
      <c r="B250" s="63" t="str">
        <f>'RAW DATA 2023'!D240</f>
        <v>C3-I06-0062</v>
      </c>
      <c r="C250" s="63" t="str">
        <f t="shared" si="15"/>
        <v>Roiphet1C3-I06-0062</v>
      </c>
      <c r="D250" s="68">
        <f>VLOOKUP(C250,'RAW DATA 2023'!E:BP,63,0)</f>
        <v>4</v>
      </c>
      <c r="E250" s="68" t="str">
        <f t="shared" si="16"/>
        <v>Roiphet14</v>
      </c>
      <c r="F250" s="63" t="str">
        <f>VLOOKUP(C250,'RAW DATA 2023'!E:BO,5,0)</f>
        <v>Greenhouse</v>
      </c>
      <c r="G250" s="63" t="s">
        <v>1955</v>
      </c>
      <c r="H250" s="63">
        <f>VLOOKUP(C250,'RAW DATA 2023'!E:BO,2,0)</f>
        <v>0.72</v>
      </c>
      <c r="I250" s="106">
        <f>VLOOKUP(C250,'RAW DATA 2023'!E:BO,22,0)</f>
        <v>5.7765555555555554</v>
      </c>
      <c r="J250" s="72">
        <f t="shared" si="17"/>
        <v>1.7765555555555554</v>
      </c>
      <c r="K250" s="109">
        <f t="shared" si="18"/>
        <v>2.9609259259259257</v>
      </c>
      <c r="L250" s="63">
        <f t="shared" si="19"/>
        <v>2.9609259259259257</v>
      </c>
      <c r="M250" s="123"/>
    </row>
    <row r="251" spans="1:13" hidden="1">
      <c r="A251" s="63" t="str">
        <f>'RAW DATA 2023'!B241</f>
        <v>Roiphet1</v>
      </c>
      <c r="B251" s="63" t="str">
        <f>'RAW DATA 2023'!D241</f>
        <v>C6-I12-0061</v>
      </c>
      <c r="C251" s="63" t="str">
        <f t="shared" si="15"/>
        <v>Roiphet1C6-I12-0061</v>
      </c>
      <c r="D251" s="68">
        <f>VLOOKUP(C251,'RAW DATA 2023'!E:BP,63,0)</f>
        <v>3</v>
      </c>
      <c r="E251" s="68" t="str">
        <f t="shared" si="16"/>
        <v>Roiphet13</v>
      </c>
      <c r="F251" s="63" t="str">
        <f>VLOOKUP(C251,'RAW DATA 2023'!E:BO,5,0)</f>
        <v>Greenhouse</v>
      </c>
      <c r="G251" s="63" t="s">
        <v>1955</v>
      </c>
      <c r="H251" s="63">
        <f>VLOOKUP(C251,'RAW DATA 2023'!E:BO,2,0)</f>
        <v>0.72</v>
      </c>
      <c r="I251" s="106">
        <f>VLOOKUP(C251,'RAW DATA 2023'!E:BO,22,0)</f>
        <v>6.5565277777777782</v>
      </c>
      <c r="J251" s="72">
        <f t="shared" si="17"/>
        <v>2.5565277777777782</v>
      </c>
      <c r="K251" s="109">
        <f t="shared" si="18"/>
        <v>4.2608796296296303</v>
      </c>
      <c r="L251" s="63">
        <f t="shared" si="19"/>
        <v>4.2608796296296303</v>
      </c>
      <c r="M251" s="123"/>
    </row>
    <row r="252" spans="1:13" hidden="1">
      <c r="A252" s="63" t="str">
        <f>'RAW DATA 2023'!B242</f>
        <v>Roiphet1</v>
      </c>
      <c r="B252" s="63" t="str">
        <f>'RAW DATA 2023'!D242</f>
        <v>C5-G09-0057</v>
      </c>
      <c r="C252" s="63" t="str">
        <f t="shared" si="15"/>
        <v>Roiphet1C5-G09-0057</v>
      </c>
      <c r="D252" s="68">
        <f>VLOOKUP(C252,'RAW DATA 2023'!E:BP,63,0)</f>
        <v>5</v>
      </c>
      <c r="E252" s="68" t="str">
        <f t="shared" si="16"/>
        <v>Roiphet15</v>
      </c>
      <c r="F252" s="63" t="str">
        <f>VLOOKUP(C252,'RAW DATA 2023'!E:BO,5,0)</f>
        <v>Greenhouse</v>
      </c>
      <c r="G252" s="63" t="s">
        <v>1955</v>
      </c>
      <c r="H252" s="63">
        <f>VLOOKUP(C252,'RAW DATA 2023'!E:BO,2,0)</f>
        <v>1.1299999999999999</v>
      </c>
      <c r="I252" s="106">
        <f>VLOOKUP(C252,'RAW DATA 2023'!E:BO,22,0)</f>
        <v>8.2240442477876119</v>
      </c>
      <c r="J252" s="72">
        <f t="shared" si="17"/>
        <v>4.2240442477876119</v>
      </c>
      <c r="K252" s="109">
        <f t="shared" si="18"/>
        <v>7.0400737463126868</v>
      </c>
      <c r="L252" s="63">
        <f t="shared" si="19"/>
        <v>6.25</v>
      </c>
      <c r="M252" s="123"/>
    </row>
    <row r="253" spans="1:13" hidden="1">
      <c r="A253" s="63" t="str">
        <f>'RAW DATA 2023'!B251</f>
        <v>Roiphet1</v>
      </c>
      <c r="B253" s="63" t="str">
        <f>'RAW DATA 2023'!D251</f>
        <v>C4-I07-0061</v>
      </c>
      <c r="C253" s="63" t="str">
        <f t="shared" si="15"/>
        <v>Roiphet1C4-I07-0061</v>
      </c>
      <c r="D253" s="68">
        <f>VLOOKUP(C253,'RAW DATA 2023'!E:BP,63,0)</f>
        <v>12</v>
      </c>
      <c r="E253" s="68" t="str">
        <f t="shared" si="16"/>
        <v>Roiphet112</v>
      </c>
      <c r="F253" s="63" t="str">
        <f>VLOOKUP(C253,'RAW DATA 2023'!E:BO,5,0)</f>
        <v>Greenhouse</v>
      </c>
      <c r="G253" s="63" t="s">
        <v>1954</v>
      </c>
      <c r="H253" s="63">
        <f>VLOOKUP(C253,'RAW DATA 2023'!E:BO,2,0)</f>
        <v>0.72</v>
      </c>
      <c r="I253" s="106">
        <f>VLOOKUP(C253,'RAW DATA 2023'!E:BO,22,0)</f>
        <v>6.3006388888888889</v>
      </c>
      <c r="J253" s="72">
        <f t="shared" si="17"/>
        <v>2.3006388888888889</v>
      </c>
      <c r="K253" s="109">
        <f t="shared" si="18"/>
        <v>3.8343981481481482</v>
      </c>
      <c r="L253" s="63">
        <f t="shared" si="19"/>
        <v>3.8343981481481482</v>
      </c>
      <c r="M253" s="123"/>
    </row>
    <row r="254" spans="1:13" hidden="1">
      <c r="A254" s="63" t="str">
        <f>'RAW DATA 2023'!B311</f>
        <v>Roiphet1</v>
      </c>
      <c r="B254" s="63" t="str">
        <f>'RAW DATA 2023'!D311</f>
        <v>B3-G05-0093</v>
      </c>
      <c r="C254" s="63" t="str">
        <f t="shared" si="15"/>
        <v>Roiphet1B3-G05-0093</v>
      </c>
      <c r="D254" s="68">
        <f>VLOOKUP(C254,'RAW DATA 2023'!E:BP,63,0)</f>
        <v>8</v>
      </c>
      <c r="E254" s="68" t="str">
        <f t="shared" si="16"/>
        <v>Roiphet18</v>
      </c>
      <c r="F254" s="63" t="str">
        <f>VLOOKUP(C254,'RAW DATA 2023'!E:BO,5,0)</f>
        <v>Greenhouse</v>
      </c>
      <c r="G254" s="63" t="s">
        <v>1954</v>
      </c>
      <c r="H254" s="63">
        <f>VLOOKUP(C254,'RAW DATA 2023'!E:BO,2,0)</f>
        <v>1.1299999999999999</v>
      </c>
      <c r="I254" s="106">
        <f>VLOOKUP(C254,'RAW DATA 2023'!E:BO,22,0)</f>
        <v>2.210256637168142</v>
      </c>
      <c r="J254" s="72">
        <f t="shared" si="17"/>
        <v>-1.789743362831858</v>
      </c>
      <c r="K254" s="109">
        <f t="shared" si="18"/>
        <v>-2.9829056047197633</v>
      </c>
      <c r="L254" s="63">
        <f t="shared" si="19"/>
        <v>0</v>
      </c>
      <c r="M254" s="123"/>
    </row>
    <row r="255" spans="1:13">
      <c r="A255" s="63" t="str">
        <f>'RAW DATA 2023'!B340</f>
        <v>Maeklong1</v>
      </c>
      <c r="B255" s="63" t="str">
        <f>'RAW DATA 2023'!D340</f>
        <v>A1-017-0032</v>
      </c>
      <c r="C255" s="63" t="str">
        <f t="shared" si="15"/>
        <v>Maeklong1A1-017-0032</v>
      </c>
      <c r="D255" s="68">
        <f>VLOOKUP(C255,'RAW DATA 2023'!E:BP,63,0)</f>
        <v>10</v>
      </c>
      <c r="E255" s="68" t="str">
        <f t="shared" si="16"/>
        <v>Maeklong110</v>
      </c>
      <c r="F255" s="63" t="str">
        <f>VLOOKUP(C255,'RAW DATA 2023'!E:BO,5,0)</f>
        <v>Outdoor</v>
      </c>
      <c r="G255" s="63" t="s">
        <v>1951</v>
      </c>
      <c r="H255" s="63">
        <f>VLOOKUP(C255,'RAW DATA 2023'!E:BO,2,0)</f>
        <v>2.89</v>
      </c>
      <c r="I255" s="106">
        <f>VLOOKUP(C255,'RAW DATA 2023'!E:BO,22,0)</f>
        <v>0</v>
      </c>
      <c r="J255" s="72">
        <f t="shared" si="17"/>
        <v>0</v>
      </c>
      <c r="K255" s="109">
        <f t="shared" si="18"/>
        <v>0</v>
      </c>
      <c r="L255" s="63">
        <f t="shared" si="19"/>
        <v>0</v>
      </c>
      <c r="M255" s="123"/>
    </row>
    <row r="256" spans="1:13">
      <c r="A256" s="63" t="str">
        <f>'RAW DATA 2023'!B341</f>
        <v>Maeklong1</v>
      </c>
      <c r="B256" s="63" t="str">
        <f>'RAW DATA 2023'!D341</f>
        <v>A1-029-0014</v>
      </c>
      <c r="C256" s="63" t="str">
        <f t="shared" si="15"/>
        <v>Maeklong1A1-029-0014</v>
      </c>
      <c r="D256" s="68">
        <f>VLOOKUP(C256,'RAW DATA 2023'!E:BP,63,0)</f>
        <v>9</v>
      </c>
      <c r="E256" s="68" t="str">
        <f t="shared" si="16"/>
        <v>Maeklong19</v>
      </c>
      <c r="F256" s="63" t="str">
        <f>VLOOKUP(C256,'RAW DATA 2023'!E:BO,5,0)</f>
        <v>Outdoor</v>
      </c>
      <c r="G256" s="63" t="s">
        <v>1951</v>
      </c>
      <c r="H256" s="63">
        <f>VLOOKUP(C256,'RAW DATA 2023'!E:BO,2,0)</f>
        <v>1.3</v>
      </c>
      <c r="I256" s="106">
        <f>VLOOKUP(C256,'RAW DATA 2023'!E:BO,22,0)</f>
        <v>14.344984615384615</v>
      </c>
      <c r="J256" s="72">
        <f t="shared" si="17"/>
        <v>8.3449846153846146</v>
      </c>
      <c r="K256" s="109">
        <f t="shared" si="18"/>
        <v>13.908307692307691</v>
      </c>
      <c r="L256" s="63">
        <f t="shared" si="19"/>
        <v>6.25</v>
      </c>
      <c r="M256" s="123"/>
    </row>
    <row r="257" spans="1:13">
      <c r="A257" s="63" t="str">
        <f>'RAW DATA 2023'!B342</f>
        <v>Maeklong1</v>
      </c>
      <c r="B257" s="63" t="str">
        <f>'RAW DATA 2023'!D342</f>
        <v>A1-002-0034</v>
      </c>
      <c r="C257" s="63" t="str">
        <f t="shared" si="15"/>
        <v>Maeklong1A1-002-0034</v>
      </c>
      <c r="D257" s="68">
        <f>VLOOKUP(C257,'RAW DATA 2023'!E:BP,63,0)</f>
        <v>7</v>
      </c>
      <c r="E257" s="68" t="str">
        <f t="shared" si="16"/>
        <v>Maeklong17</v>
      </c>
      <c r="F257" s="63" t="str">
        <f>VLOOKUP(C257,'RAW DATA 2023'!E:BO,5,0)</f>
        <v>Outdoor</v>
      </c>
      <c r="G257" s="63" t="s">
        <v>1951</v>
      </c>
      <c r="H257" s="63">
        <f>VLOOKUP(C257,'RAW DATA 2023'!E:BO,2,0)</f>
        <v>3.61</v>
      </c>
      <c r="I257" s="106">
        <f>VLOOKUP(C257,'RAW DATA 2023'!E:BO,22,0)</f>
        <v>10.74014404432133</v>
      </c>
      <c r="J257" s="72">
        <f t="shared" si="17"/>
        <v>7.7401440443213296</v>
      </c>
      <c r="K257" s="109">
        <f t="shared" si="18"/>
        <v>12.900240073868883</v>
      </c>
      <c r="L257" s="63">
        <f t="shared" si="19"/>
        <v>6.25</v>
      </c>
      <c r="M257" s="123"/>
    </row>
    <row r="258" spans="1:13">
      <c r="A258" s="63" t="str">
        <f>'RAW DATA 2023'!B344</f>
        <v>Maeklong1</v>
      </c>
      <c r="B258" s="63" t="str">
        <f>'RAW DATA 2023'!D344</f>
        <v>A1-006-0042</v>
      </c>
      <c r="C258" s="63" t="str">
        <f t="shared" si="15"/>
        <v>Maeklong1A1-006-0042</v>
      </c>
      <c r="D258" s="68">
        <f>VLOOKUP(C258,'RAW DATA 2023'!E:BP,63,0)</f>
        <v>9</v>
      </c>
      <c r="E258" s="68" t="str">
        <f t="shared" si="16"/>
        <v>Maeklong19</v>
      </c>
      <c r="F258" s="63" t="str">
        <f>VLOOKUP(C258,'RAW DATA 2023'!E:BO,5,0)</f>
        <v>Outdoor</v>
      </c>
      <c r="G258" s="63" t="s">
        <v>1951</v>
      </c>
      <c r="H258" s="63">
        <f>VLOOKUP(C258,'RAW DATA 2023'!E:BO,2,0)</f>
        <v>3.42</v>
      </c>
      <c r="I258" s="106">
        <f>VLOOKUP(C258,'RAW DATA 2023'!E:BO,22,0)</f>
        <v>10.880970760233918</v>
      </c>
      <c r="J258" s="72">
        <f t="shared" si="17"/>
        <v>7.8809707602339181</v>
      </c>
      <c r="K258" s="109">
        <f t="shared" si="18"/>
        <v>13.134951267056531</v>
      </c>
      <c r="L258" s="63">
        <f t="shared" si="19"/>
        <v>6.25</v>
      </c>
      <c r="M258" s="123"/>
    </row>
    <row r="259" spans="1:13">
      <c r="A259" s="63" t="str">
        <f>'RAW DATA 2023'!B345</f>
        <v>Maeklong1</v>
      </c>
      <c r="B259" s="63" t="str">
        <f>'RAW DATA 2023'!D345</f>
        <v>A1-030-0007</v>
      </c>
      <c r="C259" s="63" t="str">
        <f t="shared" si="15"/>
        <v>Maeklong1A1-030-0007</v>
      </c>
      <c r="D259" s="68">
        <f>VLOOKUP(C259,'RAW DATA 2023'!E:BP,63,0)</f>
        <v>8</v>
      </c>
      <c r="E259" s="68" t="str">
        <f t="shared" si="16"/>
        <v>Maeklong18</v>
      </c>
      <c r="F259" s="63" t="str">
        <f>VLOOKUP(C259,'RAW DATA 2023'!E:BO,5,0)</f>
        <v>Outdoor</v>
      </c>
      <c r="G259" s="63" t="s">
        <v>1951</v>
      </c>
      <c r="H259" s="63">
        <f>VLOOKUP(C259,'RAW DATA 2023'!E:BO,2,0)</f>
        <v>1.3</v>
      </c>
      <c r="I259" s="106">
        <f>VLOOKUP(C259,'RAW DATA 2023'!E:BO,22,0)</f>
        <v>11.135215384615384</v>
      </c>
      <c r="J259" s="72">
        <f t="shared" si="17"/>
        <v>5.1352153846153836</v>
      </c>
      <c r="K259" s="109">
        <f t="shared" si="18"/>
        <v>8.558692307692306</v>
      </c>
      <c r="L259" s="63">
        <f t="shared" si="19"/>
        <v>6.25</v>
      </c>
      <c r="M259" s="123"/>
    </row>
    <row r="260" spans="1:13">
      <c r="A260" s="63" t="str">
        <f>'RAW DATA 2023'!B346</f>
        <v>Maeklong1</v>
      </c>
      <c r="B260" s="63" t="str">
        <f>'RAW DATA 2023'!D346</f>
        <v>A1-009-0043</v>
      </c>
      <c r="C260" s="63" t="str">
        <f t="shared" si="15"/>
        <v>Maeklong1A1-009-0043</v>
      </c>
      <c r="D260" s="68">
        <f>VLOOKUP(C260,'RAW DATA 2023'!E:BP,63,0)</f>
        <v>10</v>
      </c>
      <c r="E260" s="68" t="str">
        <f t="shared" si="16"/>
        <v>Maeklong110</v>
      </c>
      <c r="F260" s="63" t="str">
        <f>VLOOKUP(C260,'RAW DATA 2023'!E:BO,5,0)</f>
        <v>Outdoor</v>
      </c>
      <c r="G260" s="63" t="s">
        <v>1951</v>
      </c>
      <c r="H260" s="63">
        <f>VLOOKUP(C260,'RAW DATA 2023'!E:BO,2,0)</f>
        <v>3.65</v>
      </c>
      <c r="I260" s="106">
        <f>VLOOKUP(C260,'RAW DATA 2023'!E:BO,22,0)</f>
        <v>9.6566109589041087</v>
      </c>
      <c r="J260" s="72">
        <f t="shared" si="17"/>
        <v>6.6566109589041087</v>
      </c>
      <c r="K260" s="109">
        <f t="shared" si="18"/>
        <v>11.094351598173516</v>
      </c>
      <c r="L260" s="63">
        <f t="shared" si="19"/>
        <v>6.25</v>
      </c>
      <c r="M260" s="123"/>
    </row>
    <row r="261" spans="1:13">
      <c r="A261" s="63" t="str">
        <f>'RAW DATA 2023'!B357</f>
        <v>Maeklong1</v>
      </c>
      <c r="B261" s="63" t="str">
        <f>'RAW DATA 2023'!D357</f>
        <v>A1-009-0042</v>
      </c>
      <c r="C261" s="63" t="str">
        <f t="shared" si="15"/>
        <v>Maeklong1A1-009-0042</v>
      </c>
      <c r="D261" s="68">
        <f>VLOOKUP(C261,'RAW DATA 2023'!E:BP,63,0)</f>
        <v>4</v>
      </c>
      <c r="E261" s="68" t="str">
        <f t="shared" si="16"/>
        <v>Maeklong14</v>
      </c>
      <c r="F261" s="63" t="str">
        <f>VLOOKUP(C261,'RAW DATA 2023'!E:BO,5,0)</f>
        <v>Outdoor</v>
      </c>
      <c r="G261" s="63" t="s">
        <v>1951</v>
      </c>
      <c r="H261" s="63">
        <f>VLOOKUP(C261,'RAW DATA 2023'!E:BO,2,0)</f>
        <v>3.65</v>
      </c>
      <c r="I261" s="106">
        <f>VLOOKUP(C261,'RAW DATA 2023'!E:BO,22,0)</f>
        <v>4.3374383561643839</v>
      </c>
      <c r="J261" s="72">
        <f t="shared" si="17"/>
        <v>1.3374383561643839</v>
      </c>
      <c r="K261" s="109">
        <f t="shared" si="18"/>
        <v>2.2290639269406398</v>
      </c>
      <c r="L261" s="63">
        <f t="shared" si="19"/>
        <v>2.2290639269406398</v>
      </c>
      <c r="M261" s="123"/>
    </row>
    <row r="262" spans="1:13">
      <c r="A262" s="63" t="str">
        <f>'RAW DATA 2023'!B362</f>
        <v>PB5</v>
      </c>
      <c r="B262" s="63" t="str">
        <f>'RAW DATA 2023'!D362</f>
        <v>B1-021-0048</v>
      </c>
      <c r="C262" s="63" t="str">
        <f t="shared" si="15"/>
        <v>PB5B1-021-0048</v>
      </c>
      <c r="D262" s="68">
        <f>VLOOKUP(C262,'RAW DATA 2023'!E:BP,63,0)</f>
        <v>11</v>
      </c>
      <c r="E262" s="68" t="str">
        <f t="shared" si="16"/>
        <v>PB511</v>
      </c>
      <c r="F262" s="63" t="str">
        <f>VLOOKUP(C262,'RAW DATA 2023'!E:BO,5,0)</f>
        <v>Outdoor</v>
      </c>
      <c r="G262" s="63" t="s">
        <v>1951</v>
      </c>
      <c r="H262" s="63">
        <f>VLOOKUP(C262,'RAW DATA 2023'!E:BO,2,0)</f>
        <v>5.72</v>
      </c>
      <c r="I262" s="106">
        <f>VLOOKUP(C262,'RAW DATA 2023'!E:BO,22,0)</f>
        <v>3.1089982517482522</v>
      </c>
      <c r="J262" s="72">
        <f t="shared" si="17"/>
        <v>1.1089982517482522</v>
      </c>
      <c r="K262" s="109">
        <f t="shared" si="18"/>
        <v>1.8483304195804204</v>
      </c>
      <c r="L262" s="63">
        <f t="shared" si="19"/>
        <v>1.8483304195804204</v>
      </c>
      <c r="M262" s="123"/>
    </row>
    <row r="263" spans="1:13" hidden="1">
      <c r="A263" s="63" t="str">
        <f>'RAW DATA 2023'!B363</f>
        <v>PB5</v>
      </c>
      <c r="B263" s="63" t="str">
        <f>'RAW DATA 2023'!D363</f>
        <v>B1-023-0050</v>
      </c>
      <c r="C263" s="63" t="str">
        <f t="shared" si="15"/>
        <v>PB5B1-023-0050</v>
      </c>
      <c r="D263" s="68">
        <f>VLOOKUP(C263,'RAW DATA 2023'!E:BP,63,0)</f>
        <v>11</v>
      </c>
      <c r="E263" s="68" t="str">
        <f t="shared" si="16"/>
        <v>PB511</v>
      </c>
      <c r="F263" s="63" t="str">
        <f>VLOOKUP(C263,'RAW DATA 2023'!E:BO,5,0)</f>
        <v>Outdoor</v>
      </c>
      <c r="G263" s="63" t="s">
        <v>67</v>
      </c>
      <c r="H263" s="63">
        <f>VLOOKUP(C263,'RAW DATA 2023'!E:BO,2,0)</f>
        <v>5.9</v>
      </c>
      <c r="I263" s="106">
        <f>VLOOKUP(C263,'RAW DATA 2023'!E:BO,22,0)</f>
        <v>3.9992033898305079</v>
      </c>
      <c r="J263" s="72">
        <f t="shared" si="17"/>
        <v>1.9992033898305079</v>
      </c>
      <c r="K263" s="109">
        <f t="shared" si="18"/>
        <v>3.3320056497175132</v>
      </c>
      <c r="L263" s="63">
        <f t="shared" si="19"/>
        <v>3.3320056497175132</v>
      </c>
      <c r="M263" s="123"/>
    </row>
    <row r="264" spans="1:13">
      <c r="A264" s="63" t="str">
        <f>'RAW DATA 2023'!B377</f>
        <v>PB5</v>
      </c>
      <c r="B264" s="63" t="str">
        <f>'RAW DATA 2023'!D377</f>
        <v>B1-022-0049</v>
      </c>
      <c r="C264" s="63" t="str">
        <f t="shared" si="15"/>
        <v>PB5B1-022-0049</v>
      </c>
      <c r="D264" s="68">
        <f>VLOOKUP(C264,'RAW DATA 2023'!E:BP,63,0)</f>
        <v>3</v>
      </c>
      <c r="E264" s="68" t="str">
        <f t="shared" si="16"/>
        <v>PB53</v>
      </c>
      <c r="F264" s="63" t="str">
        <f>VLOOKUP(C264,'RAW DATA 2023'!E:BO,5,0)</f>
        <v>Outdoor</v>
      </c>
      <c r="G264" s="63" t="s">
        <v>1951</v>
      </c>
      <c r="H264" s="63">
        <f>VLOOKUP(C264,'RAW DATA 2023'!E:BO,2,0)</f>
        <v>5.72</v>
      </c>
      <c r="I264" s="106">
        <f>VLOOKUP(C264,'RAW DATA 2023'!E:BO,22,0)</f>
        <v>2.5625384615384617</v>
      </c>
      <c r="J264" s="72">
        <f t="shared" si="17"/>
        <v>0.56253846153846165</v>
      </c>
      <c r="K264" s="109">
        <f t="shared" si="18"/>
        <v>0.93756410256410283</v>
      </c>
      <c r="L264" s="63">
        <f t="shared" si="19"/>
        <v>0.93756410256410283</v>
      </c>
      <c r="M264" s="123"/>
    </row>
    <row r="265" spans="1:13">
      <c r="A265" s="63" t="str">
        <f>'RAW DATA 2023'!B378</f>
        <v>PB5</v>
      </c>
      <c r="B265" s="63" t="str">
        <f>'RAW DATA 2023'!D378</f>
        <v>B1-023-0049</v>
      </c>
      <c r="C265" s="63" t="str">
        <f t="shared" si="15"/>
        <v>PB5B1-023-0049</v>
      </c>
      <c r="D265" s="68">
        <f>VLOOKUP(C265,'RAW DATA 2023'!E:BP,63,0)</f>
        <v>6</v>
      </c>
      <c r="E265" s="68" t="str">
        <f t="shared" si="16"/>
        <v>PB56</v>
      </c>
      <c r="F265" s="63" t="str">
        <f>VLOOKUP(C265,'RAW DATA 2023'!E:BO,5,0)</f>
        <v>Outdoor</v>
      </c>
      <c r="G265" s="63" t="s">
        <v>1951</v>
      </c>
      <c r="H265" s="63">
        <f>VLOOKUP(C265,'RAW DATA 2023'!E:BO,2,0)</f>
        <v>5.9</v>
      </c>
      <c r="I265" s="106">
        <f>VLOOKUP(C265,'RAW DATA 2023'!E:BO,22,0)</f>
        <v>1.3349322033898305</v>
      </c>
      <c r="J265" s="72">
        <f t="shared" si="17"/>
        <v>-0.66506779661016946</v>
      </c>
      <c r="K265" s="109">
        <f t="shared" si="18"/>
        <v>-1.1084463276836158</v>
      </c>
      <c r="L265" s="63">
        <f t="shared" si="19"/>
        <v>0</v>
      </c>
      <c r="M265" s="123"/>
    </row>
    <row r="266" spans="1:13">
      <c r="A266" s="63" t="str">
        <f>'RAW DATA 2023'!B379</f>
        <v>PB5</v>
      </c>
      <c r="B266" s="63" t="str">
        <f>'RAW DATA 2023'!D379</f>
        <v>A1-011-0048</v>
      </c>
      <c r="C266" s="63" t="str">
        <f t="shared" ref="C266:C329" si="20">A266&amp;B266</f>
        <v>PB5A1-011-0048</v>
      </c>
      <c r="D266" s="68">
        <f>VLOOKUP(C266,'RAW DATA 2023'!E:BP,63,0)</f>
        <v>10</v>
      </c>
      <c r="E266" s="68" t="str">
        <f t="shared" ref="E266:E329" si="21">A266&amp;D266</f>
        <v>PB510</v>
      </c>
      <c r="F266" s="63" t="str">
        <f>VLOOKUP(C266,'RAW DATA 2023'!E:BO,5,0)</f>
        <v>Outdoor</v>
      </c>
      <c r="G266" s="63" t="s">
        <v>1951</v>
      </c>
      <c r="H266" s="63">
        <f>VLOOKUP(C266,'RAW DATA 2023'!E:BO,2,0)</f>
        <v>2.35</v>
      </c>
      <c r="I266" s="106">
        <f>VLOOKUP(C266,'RAW DATA 2023'!E:BO,22,0)</f>
        <v>0</v>
      </c>
      <c r="J266" s="72">
        <f t="shared" ref="J266:J329" si="22">IF(I266=0,0,IF(F266=$B$2,I266-$B$6,IF(F266=$C$1,I266-$C$6,IF(AND(F266=$C$2,H266&lt;=$C$3),I266-$C$6,IF(AND(F266=$C$2,H266&lt;=$E$3),I266-$D$6,I266-$E$6)))))</f>
        <v>0</v>
      </c>
      <c r="K266" s="109">
        <f t="shared" ref="K266:K329" si="23">IF(F266=$B$2,J266*$B$7,IF(AND(F266=$C$2,H266&lt;=$C$3),J266*$C$7,IF(AND(F266=$C$2,H266&lt;=$E$3),J266*$D$7,J266*$E$7)))</f>
        <v>0</v>
      </c>
      <c r="L266" s="63">
        <f t="shared" ref="L266:L329" si="24">IF(K266&gt;=6.25,6.25,IF(K266&lt;=0,0,K266))</f>
        <v>0</v>
      </c>
      <c r="M266" s="123"/>
    </row>
    <row r="267" spans="1:13">
      <c r="A267" s="63" t="str">
        <f>'RAW DATA 2023'!B381</f>
        <v>Roiphet2</v>
      </c>
      <c r="B267" s="63" t="str">
        <f>'RAW DATA 2023'!D381</f>
        <v>A1-006-0045</v>
      </c>
      <c r="C267" s="63" t="str">
        <f t="shared" si="20"/>
        <v>Roiphet2A1-006-0045</v>
      </c>
      <c r="D267" s="68">
        <f>VLOOKUP(C267,'RAW DATA 2023'!E:BP,63,0)</f>
        <v>5</v>
      </c>
      <c r="E267" s="68" t="str">
        <f t="shared" si="21"/>
        <v>Roiphet25</v>
      </c>
      <c r="F267" s="63" t="str">
        <f>VLOOKUP(C267,'RAW DATA 2023'!E:BO,5,0)</f>
        <v>Outdoor</v>
      </c>
      <c r="G267" s="63" t="s">
        <v>1951</v>
      </c>
      <c r="H267" s="63">
        <f>VLOOKUP(C267,'RAW DATA 2023'!E:BO,2,0)</f>
        <v>5.3</v>
      </c>
      <c r="I267" s="106">
        <f>VLOOKUP(C267,'RAW DATA 2023'!E:BO,22,0)</f>
        <v>5.6923867924528304</v>
      </c>
      <c r="J267" s="72">
        <f t="shared" si="22"/>
        <v>3.6923867924528304</v>
      </c>
      <c r="K267" s="109">
        <f t="shared" si="23"/>
        <v>6.153977987421384</v>
      </c>
      <c r="L267" s="63">
        <f t="shared" si="24"/>
        <v>6.153977987421384</v>
      </c>
      <c r="M267" s="123"/>
    </row>
    <row r="268" spans="1:13" hidden="1">
      <c r="A268" s="63" t="str">
        <f>'RAW DATA 2023'!B398</f>
        <v>Lamlaung</v>
      </c>
      <c r="B268" s="63" t="str">
        <f>'RAW DATA 2023'!D398</f>
        <v>A1-003-0045</v>
      </c>
      <c r="C268" s="63" t="str">
        <f t="shared" si="20"/>
        <v>LamlaungA1-003-0045</v>
      </c>
      <c r="D268" s="68">
        <f>VLOOKUP(C268,'RAW DATA 2023'!E:BP,63,0)</f>
        <v>10</v>
      </c>
      <c r="E268" s="68" t="str">
        <f t="shared" si="21"/>
        <v>Lamlaung10</v>
      </c>
      <c r="F268" s="63" t="str">
        <f>VLOOKUP(C268,'RAW DATA 2023'!E:BO,5,0)</f>
        <v>Outdoor</v>
      </c>
      <c r="G268" s="63" t="s">
        <v>1954</v>
      </c>
      <c r="H268" s="63">
        <f>VLOOKUP(C268,'RAW DATA 2023'!E:BO,2,0)</f>
        <v>5</v>
      </c>
      <c r="I268" s="106">
        <f>VLOOKUP(C268,'RAW DATA 2023'!E:BO,22,0)</f>
        <v>5.2693640000000004</v>
      </c>
      <c r="J268" s="72">
        <f t="shared" si="22"/>
        <v>3.2693640000000004</v>
      </c>
      <c r="K268" s="109">
        <f t="shared" si="23"/>
        <v>5.4489400000000012</v>
      </c>
      <c r="L268" s="63">
        <f t="shared" si="24"/>
        <v>5.4489400000000012</v>
      </c>
      <c r="M268" s="123"/>
    </row>
    <row r="269" spans="1:13" hidden="1">
      <c r="A269" s="63" t="str">
        <f>'RAW DATA 2023'!B402</f>
        <v>Lamlaung</v>
      </c>
      <c r="B269" s="63" t="str">
        <f>'RAW DATA 2023'!D402</f>
        <v>A1-004-0045</v>
      </c>
      <c r="C269" s="63" t="str">
        <f t="shared" si="20"/>
        <v>LamlaungA1-004-0045</v>
      </c>
      <c r="D269" s="68">
        <f>VLOOKUP(C269,'RAW DATA 2023'!E:BP,63,0)</f>
        <v>4</v>
      </c>
      <c r="E269" s="68" t="str">
        <f t="shared" si="21"/>
        <v>Lamlaung4</v>
      </c>
      <c r="F269" s="63" t="str">
        <f>VLOOKUP(C269,'RAW DATA 2023'!E:BO,5,0)</f>
        <v>Outdoor</v>
      </c>
      <c r="G269" s="63" t="s">
        <v>1955</v>
      </c>
      <c r="H269" s="63">
        <f>VLOOKUP(C269,'RAW DATA 2023'!E:BO,2,0)</f>
        <v>5</v>
      </c>
      <c r="I269" s="106">
        <f>VLOOKUP(C269,'RAW DATA 2023'!E:BO,22,0)</f>
        <v>5.2900640000000001</v>
      </c>
      <c r="J269" s="72">
        <f t="shared" si="22"/>
        <v>3.2900640000000001</v>
      </c>
      <c r="K269" s="109">
        <f t="shared" si="23"/>
        <v>5.4834400000000008</v>
      </c>
      <c r="L269" s="63">
        <f t="shared" si="24"/>
        <v>5.4834400000000008</v>
      </c>
      <c r="M269" s="123"/>
    </row>
    <row r="270" spans="1:13" hidden="1">
      <c r="A270" s="63" t="str">
        <f>'RAW DATA 2023'!B411</f>
        <v>CS4</v>
      </c>
      <c r="B270" s="63" t="str">
        <f>'RAW DATA 2023'!D411</f>
        <v>A1-002-0048</v>
      </c>
      <c r="C270" s="63" t="str">
        <f t="shared" si="20"/>
        <v>CS4A1-002-0048</v>
      </c>
      <c r="D270" s="68">
        <f>VLOOKUP(C270,'RAW DATA 2023'!E:BP,63,0)</f>
        <v>9</v>
      </c>
      <c r="E270" s="68" t="str">
        <f t="shared" si="21"/>
        <v>CS49</v>
      </c>
      <c r="F270" s="63" t="str">
        <f>VLOOKUP(C270,'RAW DATA 2023'!E:BO,5,0)</f>
        <v>Outdoor</v>
      </c>
      <c r="G270" s="63" t="s">
        <v>67</v>
      </c>
      <c r="H270" s="63">
        <f>VLOOKUP(C270,'RAW DATA 2023'!E:BO,2,0)</f>
        <v>2</v>
      </c>
      <c r="I270" s="106">
        <f>VLOOKUP(C270,'RAW DATA 2023'!E:BO,22,0)</f>
        <v>0</v>
      </c>
      <c r="J270" s="72">
        <f t="shared" si="22"/>
        <v>0</v>
      </c>
      <c r="K270" s="109">
        <f t="shared" si="23"/>
        <v>0</v>
      </c>
      <c r="L270" s="63">
        <f t="shared" si="24"/>
        <v>0</v>
      </c>
      <c r="M270" s="123"/>
    </row>
    <row r="271" spans="1:13" hidden="1">
      <c r="A271" s="63" t="str">
        <f>'RAW DATA 2023'!B421</f>
        <v>CS1</v>
      </c>
      <c r="B271" s="63" t="str">
        <f>'RAW DATA 2023'!D421</f>
        <v>A1-010-0049</v>
      </c>
      <c r="C271" s="63" t="str">
        <f t="shared" si="20"/>
        <v>CS1A1-010-0049</v>
      </c>
      <c r="D271" s="68">
        <f>VLOOKUP(C271,'RAW DATA 2023'!E:BP,63,0)</f>
        <v>2</v>
      </c>
      <c r="E271" s="68" t="str">
        <f t="shared" si="21"/>
        <v>CS12</v>
      </c>
      <c r="F271" s="63" t="str">
        <f>VLOOKUP(C271,'RAW DATA 2023'!E:BO,5,0)</f>
        <v>Outdoor</v>
      </c>
      <c r="G271" s="63" t="s">
        <v>67</v>
      </c>
      <c r="H271" s="63">
        <f>VLOOKUP(C271,'RAW DATA 2023'!E:BO,2,0)</f>
        <v>3.1</v>
      </c>
      <c r="I271" s="106">
        <f>VLOOKUP(C271,'RAW DATA 2023'!E:BO,22,0)</f>
        <v>5.6792838709677413</v>
      </c>
      <c r="J271" s="72">
        <f t="shared" si="22"/>
        <v>2.6792838709677413</v>
      </c>
      <c r="K271" s="109">
        <f t="shared" si="23"/>
        <v>4.4654731182795695</v>
      </c>
      <c r="L271" s="63">
        <f t="shared" si="24"/>
        <v>4.4654731182795695</v>
      </c>
      <c r="M271" s="123"/>
    </row>
    <row r="272" spans="1:13">
      <c r="A272" s="63" t="str">
        <f>'RAW DATA 2023'!B435</f>
        <v>CS1</v>
      </c>
      <c r="B272" s="63" t="str">
        <f>'RAW DATA 2023'!D435</f>
        <v>C1-0B4-0017</v>
      </c>
      <c r="C272" s="63" t="str">
        <f t="shared" si="20"/>
        <v>CS1C1-0B4-0017</v>
      </c>
      <c r="D272" s="68">
        <f>VLOOKUP(C272,'RAW DATA 2023'!E:BP,63,0)</f>
        <v>3</v>
      </c>
      <c r="E272" s="68" t="str">
        <f t="shared" si="21"/>
        <v>CS13</v>
      </c>
      <c r="F272" s="63" t="str">
        <f>VLOOKUP(C272,'RAW DATA 2023'!E:BO,5,0)</f>
        <v>Outdoor</v>
      </c>
      <c r="G272" s="63" t="s">
        <v>1951</v>
      </c>
      <c r="H272" s="63">
        <f>VLOOKUP(C272,'RAW DATA 2023'!E:BO,2,0)</f>
        <v>2.25</v>
      </c>
      <c r="I272" s="106">
        <f>VLOOKUP(C272,'RAW DATA 2023'!E:BO,22,0)</f>
        <v>2.2803688888888889</v>
      </c>
      <c r="J272" s="72">
        <f t="shared" si="22"/>
        <v>-0.71963111111111111</v>
      </c>
      <c r="K272" s="109">
        <f t="shared" si="23"/>
        <v>-1.1993851851851853</v>
      </c>
      <c r="L272" s="63">
        <f t="shared" si="24"/>
        <v>0</v>
      </c>
      <c r="M272" s="123"/>
    </row>
    <row r="273" spans="1:13" hidden="1">
      <c r="A273" s="63" t="str">
        <f>'RAW DATA 2023'!B439</f>
        <v>CS1</v>
      </c>
      <c r="B273" s="63" t="str">
        <f>'RAW DATA 2023'!D439</f>
        <v>C1-063-0020</v>
      </c>
      <c r="C273" s="63" t="str">
        <f t="shared" si="20"/>
        <v>CS1C1-063-0020</v>
      </c>
      <c r="D273" s="68">
        <f>VLOOKUP(C273,'RAW DATA 2023'!E:BP,63,0)</f>
        <v>5</v>
      </c>
      <c r="E273" s="68" t="str">
        <f t="shared" si="21"/>
        <v>CS15</v>
      </c>
      <c r="F273" s="63" t="str">
        <f>VLOOKUP(C273,'RAW DATA 2023'!E:BO,5,0)</f>
        <v>Outdoor</v>
      </c>
      <c r="G273" s="63" t="s">
        <v>1954</v>
      </c>
      <c r="H273" s="63">
        <f>VLOOKUP(C273,'RAW DATA 2023'!E:BO,2,0)</f>
        <v>3.46</v>
      </c>
      <c r="I273" s="106">
        <f>VLOOKUP(C273,'RAW DATA 2023'!E:BO,22,0)</f>
        <v>0.76749132947976884</v>
      </c>
      <c r="J273" s="72">
        <f t="shared" si="22"/>
        <v>-2.2325086705202311</v>
      </c>
      <c r="K273" s="109">
        <f t="shared" si="23"/>
        <v>-3.7208477842003851</v>
      </c>
      <c r="L273" s="63">
        <f t="shared" si="24"/>
        <v>0</v>
      </c>
      <c r="M273" s="123"/>
    </row>
    <row r="274" spans="1:13">
      <c r="A274" s="63" t="str">
        <f>'RAW DATA 2023'!B445</f>
        <v>Roiphet3</v>
      </c>
      <c r="B274" s="63" t="str">
        <f>'RAW DATA 2023'!D445</f>
        <v>A1-008-0022</v>
      </c>
      <c r="C274" s="63" t="str">
        <f t="shared" si="20"/>
        <v>Roiphet3A1-008-0022</v>
      </c>
      <c r="D274" s="68">
        <f>VLOOKUP(C274,'RAW DATA 2023'!E:BP,63,0)</f>
        <v>3</v>
      </c>
      <c r="E274" s="68" t="str">
        <f t="shared" si="21"/>
        <v>Roiphet33</v>
      </c>
      <c r="F274" s="63" t="str">
        <f>VLOOKUP(C274,'RAW DATA 2023'!E:BO,5,0)</f>
        <v>Outdoor</v>
      </c>
      <c r="G274" s="63" t="s">
        <v>1951</v>
      </c>
      <c r="H274" s="63">
        <f>VLOOKUP(C274,'RAW DATA 2023'!E:BO,2,0)</f>
        <v>4.4000000000000004</v>
      </c>
      <c r="I274" s="106">
        <f>VLOOKUP(C274,'RAW DATA 2023'!E:BO,22,0)</f>
        <v>6.6639204545454538</v>
      </c>
      <c r="J274" s="72">
        <f t="shared" si="22"/>
        <v>4.6639204545454538</v>
      </c>
      <c r="K274" s="109">
        <f t="shared" si="23"/>
        <v>7.7732007575757569</v>
      </c>
      <c r="L274" s="63">
        <f t="shared" si="24"/>
        <v>6.25</v>
      </c>
      <c r="M274" s="123"/>
    </row>
    <row r="275" spans="1:13">
      <c r="A275" s="63" t="str">
        <f>'RAW DATA 2023'!B448</f>
        <v>Roiphet3</v>
      </c>
      <c r="B275" s="63" t="str">
        <f>'RAW DATA 2023'!D448</f>
        <v>A1-006-0012</v>
      </c>
      <c r="C275" s="63" t="str">
        <f t="shared" si="20"/>
        <v>Roiphet3A1-006-0012</v>
      </c>
      <c r="D275" s="68">
        <f>VLOOKUP(C275,'RAW DATA 2023'!E:BP,63,0)</f>
        <v>8</v>
      </c>
      <c r="E275" s="68" t="str">
        <f t="shared" si="21"/>
        <v>Roiphet38</v>
      </c>
      <c r="F275" s="63" t="str">
        <f>VLOOKUP(C275,'RAW DATA 2023'!E:BO,5,0)</f>
        <v>Outdoor</v>
      </c>
      <c r="G275" s="63" t="s">
        <v>1951</v>
      </c>
      <c r="H275" s="63">
        <f>VLOOKUP(C275,'RAW DATA 2023'!E:BO,2,0)</f>
        <v>4.5</v>
      </c>
      <c r="I275" s="106">
        <f>VLOOKUP(C275,'RAW DATA 2023'!E:BO,22,0)</f>
        <v>2.9688155555555555</v>
      </c>
      <c r="J275" s="72">
        <f t="shared" si="22"/>
        <v>0.96881555555555554</v>
      </c>
      <c r="K275" s="109">
        <f t="shared" si="23"/>
        <v>1.6146925925925926</v>
      </c>
      <c r="L275" s="63">
        <f t="shared" si="24"/>
        <v>1.6146925925925926</v>
      </c>
      <c r="M275" s="123"/>
    </row>
    <row r="276" spans="1:13">
      <c r="A276" s="63" t="str">
        <f>'RAW DATA 2023'!B450</f>
        <v>Roiphet3</v>
      </c>
      <c r="B276" s="63" t="str">
        <f>'RAW DATA 2023'!D450</f>
        <v>A1-024-0032</v>
      </c>
      <c r="C276" s="63" t="str">
        <f t="shared" si="20"/>
        <v>Roiphet3A1-024-0032</v>
      </c>
      <c r="D276" s="68">
        <f>VLOOKUP(C276,'RAW DATA 2023'!E:BP,63,0)</f>
        <v>5</v>
      </c>
      <c r="E276" s="68" t="str">
        <f t="shared" si="21"/>
        <v>Roiphet35</v>
      </c>
      <c r="F276" s="63" t="str">
        <f>VLOOKUP(C276,'RAW DATA 2023'!E:BO,5,0)</f>
        <v>Outdoor</v>
      </c>
      <c r="G276" s="63" t="s">
        <v>1951</v>
      </c>
      <c r="H276" s="63">
        <f>VLOOKUP(C276,'RAW DATA 2023'!E:BO,2,0)</f>
        <v>4.5</v>
      </c>
      <c r="I276" s="106">
        <f>VLOOKUP(C276,'RAW DATA 2023'!E:BO,22,0)</f>
        <v>3.1337177777777776</v>
      </c>
      <c r="J276" s="72">
        <f t="shared" si="22"/>
        <v>1.1337177777777776</v>
      </c>
      <c r="K276" s="109">
        <f t="shared" si="23"/>
        <v>1.8895296296296293</v>
      </c>
      <c r="L276" s="63">
        <f t="shared" si="24"/>
        <v>1.8895296296296293</v>
      </c>
      <c r="M276" s="123"/>
    </row>
    <row r="277" spans="1:13" hidden="1">
      <c r="A277" s="63" t="str">
        <f>'RAW DATA 2023'!B456</f>
        <v>Roiphet3</v>
      </c>
      <c r="B277" s="63" t="str">
        <f>'RAW DATA 2023'!D456</f>
        <v>C1-048-0021</v>
      </c>
      <c r="C277" s="63" t="str">
        <f t="shared" si="20"/>
        <v>Roiphet3C1-048-0021</v>
      </c>
      <c r="D277" s="68">
        <f>VLOOKUP(C277,'RAW DATA 2023'!E:BP,63,0)</f>
        <v>4</v>
      </c>
      <c r="E277" s="68" t="str">
        <f t="shared" si="21"/>
        <v>Roiphet34</v>
      </c>
      <c r="F277" s="63" t="str">
        <f>VLOOKUP(C277,'RAW DATA 2023'!E:BO,5,0)</f>
        <v>Outdoor</v>
      </c>
      <c r="G277" s="63" t="s">
        <v>67</v>
      </c>
      <c r="H277" s="63">
        <f>VLOOKUP(C277,'RAW DATA 2023'!E:BO,2,0)</f>
        <v>4.5</v>
      </c>
      <c r="I277" s="106">
        <f>VLOOKUP(C277,'RAW DATA 2023'!E:BO,22,0)</f>
        <v>6.1955422222222216</v>
      </c>
      <c r="J277" s="72">
        <f t="shared" si="22"/>
        <v>4.1955422222222216</v>
      </c>
      <c r="K277" s="109">
        <f t="shared" si="23"/>
        <v>6.9925703703703697</v>
      </c>
      <c r="L277" s="63">
        <f t="shared" si="24"/>
        <v>6.25</v>
      </c>
      <c r="M277" s="123"/>
    </row>
    <row r="278" spans="1:13" hidden="1">
      <c r="A278" s="63" t="str">
        <f>'RAW DATA 2023'!B468</f>
        <v>Roiphet3</v>
      </c>
      <c r="B278" s="63" t="str">
        <f>'RAW DATA 2023'!D468</f>
        <v>C1-046-0005</v>
      </c>
      <c r="C278" s="63" t="str">
        <f t="shared" si="20"/>
        <v>Roiphet3C1-046-0005</v>
      </c>
      <c r="D278" s="68">
        <f>VLOOKUP(C278,'RAW DATA 2023'!E:BP,63,0)</f>
        <v>7</v>
      </c>
      <c r="E278" s="68" t="str">
        <f t="shared" si="21"/>
        <v>Roiphet37</v>
      </c>
      <c r="F278" s="63" t="str">
        <f>VLOOKUP(C278,'RAW DATA 2023'!E:BO,5,0)</f>
        <v>Outdoor</v>
      </c>
      <c r="G278" s="63" t="s">
        <v>1955</v>
      </c>
      <c r="H278" s="63">
        <f>VLOOKUP(C278,'RAW DATA 2023'!E:BO,2,0)</f>
        <v>4.5</v>
      </c>
      <c r="I278" s="106">
        <f>VLOOKUP(C278,'RAW DATA 2023'!E:BO,22,0)</f>
        <v>2.3042844444444444</v>
      </c>
      <c r="J278" s="72">
        <f t="shared" si="22"/>
        <v>0.30428444444444436</v>
      </c>
      <c r="K278" s="109">
        <f t="shared" si="23"/>
        <v>0.50714074074074067</v>
      </c>
      <c r="L278" s="63">
        <f t="shared" si="24"/>
        <v>0.50714074074074067</v>
      </c>
      <c r="M278" s="123"/>
    </row>
    <row r="279" spans="1:13">
      <c r="A279" s="63" t="str">
        <f>'RAW DATA 2023'!B470</f>
        <v>Roiphet3</v>
      </c>
      <c r="B279" s="63" t="str">
        <f>'RAW DATA 2023'!D470</f>
        <v>C1-054-0008</v>
      </c>
      <c r="C279" s="63" t="str">
        <f t="shared" si="20"/>
        <v>Roiphet3C1-054-0008</v>
      </c>
      <c r="D279" s="68">
        <f>VLOOKUP(C279,'RAW DATA 2023'!E:BP,63,0)</f>
        <v>7</v>
      </c>
      <c r="E279" s="68" t="str">
        <f t="shared" si="21"/>
        <v>Roiphet37</v>
      </c>
      <c r="F279" s="63" t="str">
        <f>VLOOKUP(C279,'RAW DATA 2023'!E:BO,5,0)</f>
        <v>Outdoor</v>
      </c>
      <c r="G279" s="63" t="s">
        <v>1951</v>
      </c>
      <c r="H279" s="63">
        <f>VLOOKUP(C279,'RAW DATA 2023'!E:BO,2,0)</f>
        <v>4.5</v>
      </c>
      <c r="I279" s="106">
        <f>VLOOKUP(C279,'RAW DATA 2023'!E:BO,22,0)</f>
        <v>1.8158444444444446</v>
      </c>
      <c r="J279" s="72">
        <f t="shared" si="22"/>
        <v>-0.18415555555555541</v>
      </c>
      <c r="K279" s="109">
        <f t="shared" si="23"/>
        <v>-0.30692592592592571</v>
      </c>
      <c r="L279" s="63">
        <f t="shared" si="24"/>
        <v>0</v>
      </c>
      <c r="M279" s="123"/>
    </row>
    <row r="280" spans="1:13" hidden="1">
      <c r="A280" s="63" t="str">
        <f>'RAW DATA 2023'!B472</f>
        <v>Roiphet3</v>
      </c>
      <c r="B280" s="63" t="str">
        <f>'RAW DATA 2023'!D472</f>
        <v>C1-045-0026</v>
      </c>
      <c r="C280" s="63" t="str">
        <f t="shared" si="20"/>
        <v>Roiphet3C1-045-0026</v>
      </c>
      <c r="D280" s="68">
        <f>VLOOKUP(C280,'RAW DATA 2023'!E:BP,63,0)</f>
        <v>7</v>
      </c>
      <c r="E280" s="68" t="str">
        <f t="shared" si="21"/>
        <v>Roiphet37</v>
      </c>
      <c r="F280" s="63" t="str">
        <f>VLOOKUP(C280,'RAW DATA 2023'!E:BO,5,0)</f>
        <v>Outdoor</v>
      </c>
      <c r="G280" s="63" t="s">
        <v>1955</v>
      </c>
      <c r="H280" s="63">
        <f>VLOOKUP(C280,'RAW DATA 2023'!E:BO,2,0)</f>
        <v>4.5</v>
      </c>
      <c r="I280" s="106">
        <f>VLOOKUP(C280,'RAW DATA 2023'!E:BO,22,0)</f>
        <v>1.5769111111111114</v>
      </c>
      <c r="J280" s="72">
        <f t="shared" si="22"/>
        <v>-0.42308888888888863</v>
      </c>
      <c r="K280" s="109">
        <f t="shared" si="23"/>
        <v>-0.70514814814814775</v>
      </c>
      <c r="L280" s="63">
        <f t="shared" si="24"/>
        <v>0</v>
      </c>
      <c r="M280" s="123"/>
    </row>
    <row r="281" spans="1:13" hidden="1">
      <c r="A281" s="63" t="str">
        <f>'RAW DATA 2023'!B488</f>
        <v>Bo Thong</v>
      </c>
      <c r="B281" s="63" t="str">
        <f>'RAW DATA 2023'!D488</f>
        <v>BG-002-0016</v>
      </c>
      <c r="C281" s="63" t="str">
        <f t="shared" si="20"/>
        <v>Bo ThongBG-002-0016</v>
      </c>
      <c r="D281" s="68">
        <f>VLOOKUP(C281,'RAW DATA 2023'!E:BP,63,0)</f>
        <v>12</v>
      </c>
      <c r="E281" s="68" t="str">
        <f t="shared" si="21"/>
        <v>Bo Thong12</v>
      </c>
      <c r="F281" s="63" t="str">
        <f>VLOOKUP(C281,'RAW DATA 2023'!E:BO,5,0)</f>
        <v>Greenhouse</v>
      </c>
      <c r="G281" s="63" t="s">
        <v>67</v>
      </c>
      <c r="H281" s="63">
        <f>VLOOKUP(C281,'RAW DATA 2023'!E:BO,2,0)</f>
        <v>1.88</v>
      </c>
      <c r="I281" s="106">
        <f>VLOOKUP(C281,'RAW DATA 2023'!E:BO,22,0)</f>
        <v>8.5366489361702129</v>
      </c>
      <c r="J281" s="72">
        <f t="shared" si="22"/>
        <v>4.5366489361702129</v>
      </c>
      <c r="K281" s="109">
        <f t="shared" si="23"/>
        <v>7.5610815602836885</v>
      </c>
      <c r="L281" s="63">
        <f t="shared" si="24"/>
        <v>6.25</v>
      </c>
      <c r="M281" s="123"/>
    </row>
    <row r="282" spans="1:13" hidden="1">
      <c r="A282" s="63" t="str">
        <f>'RAW DATA 2023'!B489</f>
        <v>Bo Thong</v>
      </c>
      <c r="B282" s="63" t="str">
        <f>'RAW DATA 2023'!D489</f>
        <v>B1-014-0013</v>
      </c>
      <c r="C282" s="63" t="str">
        <f t="shared" si="20"/>
        <v>Bo ThongB1-014-0013</v>
      </c>
      <c r="D282" s="68">
        <f>VLOOKUP(C282,'RAW DATA 2023'!E:BP,63,0)</f>
        <v>11</v>
      </c>
      <c r="E282" s="68" t="str">
        <f t="shared" si="21"/>
        <v>Bo Thong11</v>
      </c>
      <c r="F282" s="63" t="str">
        <f>VLOOKUP(C282,'RAW DATA 2023'!E:BO,5,0)</f>
        <v>Outdoor</v>
      </c>
      <c r="G282" s="63" t="s">
        <v>67</v>
      </c>
      <c r="H282" s="63">
        <f>VLOOKUP(C282,'RAW DATA 2023'!E:BO,2,0)</f>
        <v>2.52</v>
      </c>
      <c r="I282" s="106">
        <f>VLOOKUP(C282,'RAW DATA 2023'!E:BO,22,0)</f>
        <v>9.9106428571428573</v>
      </c>
      <c r="J282" s="72">
        <f t="shared" si="22"/>
        <v>6.9106428571428573</v>
      </c>
      <c r="K282" s="109">
        <f t="shared" si="23"/>
        <v>11.517738095238096</v>
      </c>
      <c r="L282" s="63">
        <f t="shared" si="24"/>
        <v>6.25</v>
      </c>
      <c r="M282" s="123"/>
    </row>
    <row r="283" spans="1:13" hidden="1">
      <c r="A283" s="63" t="str">
        <f>'RAW DATA 2023'!B495</f>
        <v>Bo Thong</v>
      </c>
      <c r="B283" s="63" t="str">
        <f>'RAW DATA 2023'!D495</f>
        <v>B1-010-0010</v>
      </c>
      <c r="C283" s="63" t="str">
        <f t="shared" si="20"/>
        <v>Bo ThongB1-010-0010</v>
      </c>
      <c r="D283" s="68">
        <f>VLOOKUP(C283,'RAW DATA 2023'!E:BP,63,0)</f>
        <v>4</v>
      </c>
      <c r="E283" s="68" t="str">
        <f t="shared" si="21"/>
        <v>Bo Thong4</v>
      </c>
      <c r="F283" s="63" t="str">
        <f>VLOOKUP(C283,'RAW DATA 2023'!E:BO,5,0)</f>
        <v>Outdoor</v>
      </c>
      <c r="G283" s="63" t="s">
        <v>67</v>
      </c>
      <c r="H283" s="63">
        <f>VLOOKUP(C283,'RAW DATA 2023'!E:BO,2,0)</f>
        <v>4.79</v>
      </c>
      <c r="I283" s="106">
        <f>VLOOKUP(C283,'RAW DATA 2023'!E:BO,22,0)</f>
        <v>11.752227557411272</v>
      </c>
      <c r="J283" s="72">
        <f t="shared" si="22"/>
        <v>9.7522275574112722</v>
      </c>
      <c r="K283" s="109">
        <f t="shared" si="23"/>
        <v>16.253712595685453</v>
      </c>
      <c r="L283" s="63">
        <f t="shared" si="24"/>
        <v>6.25</v>
      </c>
      <c r="M283" s="123"/>
    </row>
    <row r="284" spans="1:13" hidden="1">
      <c r="A284" s="63" t="str">
        <f>'RAW DATA 2023'!B497</f>
        <v>Bo Thong</v>
      </c>
      <c r="B284" s="63" t="str">
        <f>'RAW DATA 2023'!D497</f>
        <v>B1-011-0012</v>
      </c>
      <c r="C284" s="63" t="str">
        <f t="shared" si="20"/>
        <v>Bo ThongB1-011-0012</v>
      </c>
      <c r="D284" s="68">
        <f>VLOOKUP(C284,'RAW DATA 2023'!E:BP,63,0)</f>
        <v>3</v>
      </c>
      <c r="E284" s="68" t="str">
        <f t="shared" si="21"/>
        <v>Bo Thong3</v>
      </c>
      <c r="F284" s="63" t="str">
        <f>VLOOKUP(C284,'RAW DATA 2023'!E:BO,5,0)</f>
        <v>Outdoor</v>
      </c>
      <c r="G284" s="63" t="s">
        <v>67</v>
      </c>
      <c r="H284" s="63">
        <f>VLOOKUP(C284,'RAW DATA 2023'!E:BO,2,0)</f>
        <v>2.89</v>
      </c>
      <c r="I284" s="106">
        <f>VLOOKUP(C284,'RAW DATA 2023'!E:BO,22,0)</f>
        <v>9.183692041522491</v>
      </c>
      <c r="J284" s="72">
        <f t="shared" si="22"/>
        <v>6.183692041522491</v>
      </c>
      <c r="K284" s="109">
        <f t="shared" si="23"/>
        <v>10.306153402537486</v>
      </c>
      <c r="L284" s="63">
        <f t="shared" si="24"/>
        <v>6.25</v>
      </c>
      <c r="M284" s="123"/>
    </row>
    <row r="285" spans="1:13" hidden="1">
      <c r="A285" s="63" t="str">
        <f>'RAW DATA 2023'!B596</f>
        <v>Lucky1</v>
      </c>
      <c r="B285" s="63" t="str">
        <f>'RAW DATA 2023'!D596</f>
        <v>BG-026-0012</v>
      </c>
      <c r="C285" s="63" t="str">
        <f t="shared" si="20"/>
        <v>Lucky1BG-026-0012</v>
      </c>
      <c r="D285" s="68">
        <f>VLOOKUP(C285,'RAW DATA 2023'!E:BP,63,0)</f>
        <v>5</v>
      </c>
      <c r="E285" s="68" t="str">
        <f t="shared" si="21"/>
        <v>Lucky15</v>
      </c>
      <c r="F285" s="63" t="str">
        <f>VLOOKUP(C285,'RAW DATA 2023'!E:BO,5,0)</f>
        <v>Greenhouse</v>
      </c>
      <c r="G285" s="63" t="s">
        <v>67</v>
      </c>
      <c r="H285" s="63">
        <f>VLOOKUP(C285,'RAW DATA 2023'!E:BO,2,0)</f>
        <v>2.1</v>
      </c>
      <c r="I285" s="106">
        <f>VLOOKUP(C285,'RAW DATA 2023'!E:BO,22,0)</f>
        <v>2.8420285714285711</v>
      </c>
      <c r="J285" s="72">
        <f t="shared" si="22"/>
        <v>-1.1579714285714289</v>
      </c>
      <c r="K285" s="109">
        <f t="shared" si="23"/>
        <v>-1.9299523809523815</v>
      </c>
      <c r="L285" s="63">
        <f t="shared" si="24"/>
        <v>0</v>
      </c>
      <c r="M285" s="123"/>
    </row>
    <row r="286" spans="1:13" hidden="1">
      <c r="A286" s="63" t="str">
        <f>'RAW DATA 2023'!B599</f>
        <v>Lucky1</v>
      </c>
      <c r="B286" s="63" t="str">
        <f>'RAW DATA 2023'!D599</f>
        <v>BG-025-0010</v>
      </c>
      <c r="C286" s="63" t="str">
        <f t="shared" si="20"/>
        <v>Lucky1BG-025-0010</v>
      </c>
      <c r="D286" s="68">
        <f>VLOOKUP(C286,'RAW DATA 2023'!E:BP,63,0)</f>
        <v>8</v>
      </c>
      <c r="E286" s="68" t="str">
        <f t="shared" si="21"/>
        <v>Lucky18</v>
      </c>
      <c r="F286" s="63" t="str">
        <f>VLOOKUP(C286,'RAW DATA 2023'!E:BO,5,0)</f>
        <v>Greenhouse</v>
      </c>
      <c r="G286" s="63" t="s">
        <v>67</v>
      </c>
      <c r="H286" s="63">
        <f>VLOOKUP(C286,'RAW DATA 2023'!E:BO,2,0)</f>
        <v>2.1</v>
      </c>
      <c r="I286" s="106">
        <f>VLOOKUP(C286,'RAW DATA 2023'!E:BO,22,0)</f>
        <v>10.880095238095238</v>
      </c>
      <c r="J286" s="72">
        <f t="shared" si="22"/>
        <v>6.8800952380952385</v>
      </c>
      <c r="K286" s="109">
        <f t="shared" si="23"/>
        <v>11.466825396825397</v>
      </c>
      <c r="L286" s="63">
        <f t="shared" si="24"/>
        <v>6.25</v>
      </c>
      <c r="M286" s="123"/>
    </row>
    <row r="287" spans="1:13" hidden="1">
      <c r="A287" s="63" t="str">
        <f>'RAW DATA 2023'!B611</f>
        <v>Lucky1</v>
      </c>
      <c r="B287" s="63" t="str">
        <f>'RAW DATA 2023'!D611</f>
        <v>B1-021-0013</v>
      </c>
      <c r="C287" s="63" t="str">
        <f t="shared" si="20"/>
        <v>Lucky1B1-021-0013</v>
      </c>
      <c r="D287" s="68">
        <f>VLOOKUP(C287,'RAW DATA 2023'!E:BP,63,0)</f>
        <v>2</v>
      </c>
      <c r="E287" s="68" t="str">
        <f t="shared" si="21"/>
        <v>Lucky12</v>
      </c>
      <c r="F287" s="63" t="str">
        <f>VLOOKUP(C287,'RAW DATA 2023'!E:BO,5,0)</f>
        <v>Outdoor</v>
      </c>
      <c r="G287" s="63" t="s">
        <v>67</v>
      </c>
      <c r="H287" s="63">
        <f>VLOOKUP(C287,'RAW DATA 2023'!E:BO,2,0)</f>
        <v>2.1</v>
      </c>
      <c r="I287" s="106">
        <f>VLOOKUP(C287,'RAW DATA 2023'!E:BO,22,0)</f>
        <v>8.5767904761904763</v>
      </c>
      <c r="J287" s="72">
        <f t="shared" si="22"/>
        <v>5.5767904761904763</v>
      </c>
      <c r="K287" s="109">
        <f t="shared" si="23"/>
        <v>9.2946507936507938</v>
      </c>
      <c r="L287" s="63">
        <f t="shared" si="24"/>
        <v>6.25</v>
      </c>
      <c r="M287" s="123"/>
    </row>
    <row r="288" spans="1:13" hidden="1">
      <c r="A288" s="63" t="str">
        <f>'RAW DATA 2023'!B612</f>
        <v>Lucky1</v>
      </c>
      <c r="B288" s="63" t="str">
        <f>'RAW DATA 2023'!D612</f>
        <v>B1-018-0011</v>
      </c>
      <c r="C288" s="63" t="str">
        <f t="shared" si="20"/>
        <v>Lucky1B1-018-0011</v>
      </c>
      <c r="D288" s="68">
        <f>VLOOKUP(C288,'RAW DATA 2023'!E:BP,63,0)</f>
        <v>2</v>
      </c>
      <c r="E288" s="68" t="str">
        <f t="shared" si="21"/>
        <v>Lucky12</v>
      </c>
      <c r="F288" s="63" t="str">
        <f>VLOOKUP(C288,'RAW DATA 2023'!E:BO,5,0)</f>
        <v>Outdoor</v>
      </c>
      <c r="G288" s="63" t="s">
        <v>67</v>
      </c>
      <c r="H288" s="63">
        <f>VLOOKUP(C288,'RAW DATA 2023'!E:BO,2,0)</f>
        <v>2.1</v>
      </c>
      <c r="I288" s="106">
        <f>VLOOKUP(C288,'RAW DATA 2023'!E:BO,22,0)</f>
        <v>7.0477333333333334</v>
      </c>
      <c r="J288" s="72">
        <f t="shared" si="22"/>
        <v>4.0477333333333334</v>
      </c>
      <c r="K288" s="109">
        <f t="shared" si="23"/>
        <v>6.7462222222222223</v>
      </c>
      <c r="L288" s="63">
        <f t="shared" si="24"/>
        <v>6.25</v>
      </c>
      <c r="M288" s="123"/>
    </row>
    <row r="289" spans="1:13" hidden="1">
      <c r="A289" s="63" t="str">
        <f>'RAW DATA 2023'!B619</f>
        <v>Lucky1</v>
      </c>
      <c r="B289" s="63" t="str">
        <f>'RAW DATA 2023'!D619</f>
        <v>B1-023-0013</v>
      </c>
      <c r="C289" s="63" t="str">
        <f t="shared" si="20"/>
        <v>Lucky1B1-023-0013</v>
      </c>
      <c r="D289" s="68">
        <f>VLOOKUP(C289,'RAW DATA 2023'!E:BP,63,0)</f>
        <v>1</v>
      </c>
      <c r="E289" s="68" t="str">
        <f t="shared" si="21"/>
        <v>Lucky11</v>
      </c>
      <c r="F289" s="63" t="str">
        <f>VLOOKUP(C289,'RAW DATA 2023'!E:BO,5,0)</f>
        <v>Outdoor</v>
      </c>
      <c r="G289" s="63" t="s">
        <v>67</v>
      </c>
      <c r="H289" s="63">
        <f>VLOOKUP(C289,'RAW DATA 2023'!E:BO,2,0)</f>
        <v>2.1</v>
      </c>
      <c r="I289" s="106">
        <f>VLOOKUP(C289,'RAW DATA 2023'!E:BO,22,0)</f>
        <v>3.6430809523809522</v>
      </c>
      <c r="J289" s="72">
        <f t="shared" si="22"/>
        <v>0.6430809523809522</v>
      </c>
      <c r="K289" s="109">
        <f t="shared" si="23"/>
        <v>1.0718015873015871</v>
      </c>
      <c r="L289" s="63">
        <f t="shared" si="24"/>
        <v>1.0718015873015871</v>
      </c>
      <c r="M289" s="123"/>
    </row>
    <row r="290" spans="1:13" hidden="1">
      <c r="A290" s="63" t="str">
        <f>'RAW DATA 2023'!B623</f>
        <v>Lucky1</v>
      </c>
      <c r="B290" s="63" t="str">
        <f>'RAW DATA 2023'!D623</f>
        <v>B1-018-0012</v>
      </c>
      <c r="C290" s="63" t="str">
        <f t="shared" si="20"/>
        <v>Lucky1B1-018-0012</v>
      </c>
      <c r="D290" s="68">
        <f>VLOOKUP(C290,'RAW DATA 2023'!E:BP,63,0)</f>
        <v>5</v>
      </c>
      <c r="E290" s="68" t="str">
        <f t="shared" si="21"/>
        <v>Lucky15</v>
      </c>
      <c r="F290" s="63" t="str">
        <f>VLOOKUP(C290,'RAW DATA 2023'!E:BO,5,0)</f>
        <v>Outdoor</v>
      </c>
      <c r="G290" s="63" t="s">
        <v>67</v>
      </c>
      <c r="H290" s="63">
        <f>VLOOKUP(C290,'RAW DATA 2023'!E:BO,2,0)</f>
        <v>2.1</v>
      </c>
      <c r="I290" s="106">
        <f>VLOOKUP(C290,'RAW DATA 2023'!E:BO,22,0)</f>
        <v>0</v>
      </c>
      <c r="J290" s="72">
        <f t="shared" si="22"/>
        <v>0</v>
      </c>
      <c r="K290" s="109">
        <f t="shared" si="23"/>
        <v>0</v>
      </c>
      <c r="L290" s="63">
        <f t="shared" si="24"/>
        <v>0</v>
      </c>
      <c r="M290" s="123"/>
    </row>
    <row r="291" spans="1:13" hidden="1">
      <c r="A291" s="63" t="str">
        <f>'RAW DATA 2023'!B669</f>
        <v>Tamai2</v>
      </c>
      <c r="B291" s="63" t="str">
        <f>'RAW DATA 2023'!D669</f>
        <v>D1-040-0028</v>
      </c>
      <c r="C291" s="63" t="str">
        <f t="shared" si="20"/>
        <v>Tamai2D1-040-0028</v>
      </c>
      <c r="D291" s="68">
        <f>VLOOKUP(C291,'RAW DATA 2023'!E:BP,63,0)</f>
        <v>6</v>
      </c>
      <c r="E291" s="68" t="str">
        <f t="shared" si="21"/>
        <v>Tamai26</v>
      </c>
      <c r="F291" s="63" t="str">
        <f>VLOOKUP(C291,'RAW DATA 2023'!E:BO,5,0)</f>
        <v>Outdoor</v>
      </c>
      <c r="G291" s="63" t="s">
        <v>67</v>
      </c>
      <c r="H291" s="63">
        <f>VLOOKUP(C291,'RAW DATA 2023'!E:BO,2,0)</f>
        <v>4.5199999999999996</v>
      </c>
      <c r="I291" s="106">
        <f>VLOOKUP(C291,'RAW DATA 2023'!E:BO,22,0)</f>
        <v>4.3060575221238944</v>
      </c>
      <c r="J291" s="72">
        <f t="shared" si="22"/>
        <v>2.3060575221238944</v>
      </c>
      <c r="K291" s="109">
        <f t="shared" si="23"/>
        <v>3.8434292035398241</v>
      </c>
      <c r="L291" s="63">
        <f t="shared" si="24"/>
        <v>3.8434292035398241</v>
      </c>
      <c r="M291" s="123"/>
    </row>
    <row r="292" spans="1:13" hidden="1">
      <c r="A292" s="63" t="str">
        <f>'RAW DATA 2023'!B680</f>
        <v>Tamai2</v>
      </c>
      <c r="B292" s="63" t="str">
        <f>'RAW DATA 2023'!D680</f>
        <v>C1-093-0008</v>
      </c>
      <c r="C292" s="63" t="str">
        <f t="shared" si="20"/>
        <v>Tamai2C1-093-0008</v>
      </c>
      <c r="D292" s="68">
        <f>VLOOKUP(C292,'RAW DATA 2023'!E:BP,63,0)</f>
        <v>6</v>
      </c>
      <c r="E292" s="68" t="str">
        <f t="shared" si="21"/>
        <v>Tamai26</v>
      </c>
      <c r="F292" s="63" t="str">
        <f>VLOOKUP(C292,'RAW DATA 2023'!E:BO,5,0)</f>
        <v>Outdoor</v>
      </c>
      <c r="G292" s="63" t="s">
        <v>1955</v>
      </c>
      <c r="H292" s="63">
        <f>VLOOKUP(C292,'RAW DATA 2023'!E:BO,2,0)</f>
        <v>3.63</v>
      </c>
      <c r="I292" s="106">
        <f>VLOOKUP(C292,'RAW DATA 2023'!E:BO,22,0)</f>
        <v>1.4241101928374658</v>
      </c>
      <c r="J292" s="72">
        <f t="shared" si="22"/>
        <v>-1.5758898071625342</v>
      </c>
      <c r="K292" s="109">
        <f t="shared" si="23"/>
        <v>-2.6264830119375571</v>
      </c>
      <c r="L292" s="63">
        <f t="shared" si="24"/>
        <v>0</v>
      </c>
      <c r="M292" s="123"/>
    </row>
    <row r="293" spans="1:13" hidden="1">
      <c r="A293" s="63" t="str">
        <f>'RAW DATA 2023'!B688</f>
        <v>Chantaburi3</v>
      </c>
      <c r="B293" s="63" t="str">
        <f>'RAW DATA 2023'!D688</f>
        <v>B1-023-0027</v>
      </c>
      <c r="C293" s="63" t="str">
        <f t="shared" si="20"/>
        <v>Chantaburi3B1-023-0027</v>
      </c>
      <c r="D293" s="68">
        <f>VLOOKUP(C293,'RAW DATA 2023'!E:BP,63,0)</f>
        <v>3</v>
      </c>
      <c r="E293" s="68" t="str">
        <f t="shared" si="21"/>
        <v>Chantaburi33</v>
      </c>
      <c r="F293" s="63" t="str">
        <f>VLOOKUP(C293,'RAW DATA 2023'!E:BO,5,0)</f>
        <v>Outdoor</v>
      </c>
      <c r="G293" s="63" t="s">
        <v>1955</v>
      </c>
      <c r="H293" s="63">
        <f>VLOOKUP(C293,'RAW DATA 2023'!E:BO,2,0)</f>
        <v>2.2999999999999998</v>
      </c>
      <c r="I293" s="106">
        <f>VLOOKUP(C293,'RAW DATA 2023'!E:BO,22,0)</f>
        <v>10.735734782608697</v>
      </c>
      <c r="J293" s="72">
        <f t="shared" si="22"/>
        <v>7.7357347826086968</v>
      </c>
      <c r="K293" s="109">
        <f t="shared" si="23"/>
        <v>12.892891304347829</v>
      </c>
      <c r="L293" s="63">
        <f t="shared" si="24"/>
        <v>6.25</v>
      </c>
      <c r="M293" s="123"/>
    </row>
    <row r="294" spans="1:13" hidden="1">
      <c r="A294" s="63" t="str">
        <f>'RAW DATA 2023'!B706</f>
        <v>Lucky3</v>
      </c>
      <c r="B294" s="63" t="str">
        <f>'RAW DATA 2023'!D706</f>
        <v>BG-026-0011</v>
      </c>
      <c r="C294" s="63" t="str">
        <f t="shared" si="20"/>
        <v>Lucky3BG-026-0011</v>
      </c>
      <c r="D294" s="68">
        <f>VLOOKUP(C294,'RAW DATA 2023'!E:BP,63,0)</f>
        <v>5</v>
      </c>
      <c r="E294" s="68" t="str">
        <f t="shared" si="21"/>
        <v>Lucky35</v>
      </c>
      <c r="F294" s="63" t="str">
        <f>VLOOKUP(C294,'RAW DATA 2023'!E:BO,5,0)</f>
        <v>Greenhouse</v>
      </c>
      <c r="G294" s="63" t="s">
        <v>1955</v>
      </c>
      <c r="H294" s="63">
        <f>VLOOKUP(C294,'RAW DATA 2023'!E:BO,2,0)</f>
        <v>1.5</v>
      </c>
      <c r="I294" s="106">
        <f>VLOOKUP(C294,'RAW DATA 2023'!E:BO,22,0)</f>
        <v>2.6868133333333333</v>
      </c>
      <c r="J294" s="72">
        <f t="shared" si="22"/>
        <v>-1.3131866666666667</v>
      </c>
      <c r="K294" s="109">
        <f t="shared" si="23"/>
        <v>-2.1886444444444448</v>
      </c>
      <c r="L294" s="63">
        <f t="shared" si="24"/>
        <v>0</v>
      </c>
      <c r="M294" s="123"/>
    </row>
    <row r="295" spans="1:13" hidden="1">
      <c r="A295" s="63" t="str">
        <f>'RAW DATA 2023'!B707</f>
        <v>Lucky3</v>
      </c>
      <c r="B295" s="63" t="str">
        <f>'RAW DATA 2023'!D707</f>
        <v>B1-024-0010</v>
      </c>
      <c r="C295" s="63" t="str">
        <f t="shared" si="20"/>
        <v>Lucky3B1-024-0010</v>
      </c>
      <c r="D295" s="68">
        <f>VLOOKUP(C295,'RAW DATA 2023'!E:BP,63,0)</f>
        <v>8</v>
      </c>
      <c r="E295" s="68" t="str">
        <f t="shared" si="21"/>
        <v>Lucky38</v>
      </c>
      <c r="F295" s="63" t="str">
        <f>VLOOKUP(C295,'RAW DATA 2023'!E:BO,5,0)</f>
        <v>Outdoor</v>
      </c>
      <c r="G295" s="63" t="s">
        <v>1955</v>
      </c>
      <c r="H295" s="63">
        <f>VLOOKUP(C295,'RAW DATA 2023'!E:BO,2,0)</f>
        <v>1.5</v>
      </c>
      <c r="I295" s="106">
        <f>VLOOKUP(C295,'RAW DATA 2023'!E:BO,22,0)</f>
        <v>3.153</v>
      </c>
      <c r="J295" s="72">
        <f t="shared" si="22"/>
        <v>-2.847</v>
      </c>
      <c r="K295" s="109">
        <f t="shared" si="23"/>
        <v>-4.7450000000000001</v>
      </c>
      <c r="L295" s="63">
        <f t="shared" si="24"/>
        <v>0</v>
      </c>
      <c r="M295" s="123"/>
    </row>
    <row r="296" spans="1:13" hidden="1">
      <c r="A296" s="63" t="str">
        <f>'RAW DATA 2023'!B708</f>
        <v>Lucky3</v>
      </c>
      <c r="B296" s="63" t="str">
        <f>'RAW DATA 2023'!D708</f>
        <v>B1-023-0011</v>
      </c>
      <c r="C296" s="63" t="str">
        <f t="shared" si="20"/>
        <v>Lucky3B1-023-0011</v>
      </c>
      <c r="D296" s="68">
        <f>VLOOKUP(C296,'RAW DATA 2023'!E:BP,63,0)</f>
        <v>3</v>
      </c>
      <c r="E296" s="68" t="str">
        <f t="shared" si="21"/>
        <v>Lucky33</v>
      </c>
      <c r="F296" s="63" t="str">
        <f>VLOOKUP(C296,'RAW DATA 2023'!E:BO,5,0)</f>
        <v>Outdoor</v>
      </c>
      <c r="G296" s="63" t="s">
        <v>1955</v>
      </c>
      <c r="H296" s="63">
        <f>VLOOKUP(C296,'RAW DATA 2023'!E:BO,2,0)</f>
        <v>1.5</v>
      </c>
      <c r="I296" s="106">
        <f>VLOOKUP(C296,'RAW DATA 2023'!E:BO,22,0)</f>
        <v>7.7906533333333323</v>
      </c>
      <c r="J296" s="72">
        <f t="shared" si="22"/>
        <v>1.7906533333333323</v>
      </c>
      <c r="K296" s="109">
        <f t="shared" si="23"/>
        <v>2.9844222222222205</v>
      </c>
      <c r="L296" s="63">
        <f t="shared" si="24"/>
        <v>2.9844222222222205</v>
      </c>
      <c r="M296" s="123"/>
    </row>
    <row r="297" spans="1:13" hidden="1">
      <c r="A297" s="63" t="str">
        <f>'RAW DATA 2023'!B709</f>
        <v>Lucky3</v>
      </c>
      <c r="B297" s="63" t="str">
        <f>'RAW DATA 2023'!D709</f>
        <v>BG-027-0012</v>
      </c>
      <c r="C297" s="63" t="str">
        <f t="shared" si="20"/>
        <v>Lucky3BG-027-0012</v>
      </c>
      <c r="D297" s="68">
        <f>VLOOKUP(C297,'RAW DATA 2023'!E:BP,63,0)</f>
        <v>7</v>
      </c>
      <c r="E297" s="68" t="str">
        <f t="shared" si="21"/>
        <v>Lucky37</v>
      </c>
      <c r="F297" s="63" t="str">
        <f>VLOOKUP(C297,'RAW DATA 2023'!E:BO,5,0)</f>
        <v>Greenhouse</v>
      </c>
      <c r="G297" s="63" t="s">
        <v>1955</v>
      </c>
      <c r="H297" s="63">
        <f>VLOOKUP(C297,'RAW DATA 2023'!E:BO,2,0)</f>
        <v>1.5</v>
      </c>
      <c r="I297" s="106">
        <f>VLOOKUP(C297,'RAW DATA 2023'!E:BO,22,0)</f>
        <v>2.9789066666666666</v>
      </c>
      <c r="J297" s="72">
        <f t="shared" si="22"/>
        <v>-1.0210933333333334</v>
      </c>
      <c r="K297" s="109">
        <f t="shared" si="23"/>
        <v>-1.7018222222222223</v>
      </c>
      <c r="L297" s="63">
        <f t="shared" si="24"/>
        <v>0</v>
      </c>
      <c r="M297" s="123"/>
    </row>
    <row r="298" spans="1:13" hidden="1">
      <c r="A298" s="63" t="str">
        <f>'RAW DATA 2023'!B710</f>
        <v>Lucky3</v>
      </c>
      <c r="B298" s="63" t="str">
        <f>'RAW DATA 2023'!D710</f>
        <v>B1-025-0011</v>
      </c>
      <c r="C298" s="63" t="str">
        <f t="shared" si="20"/>
        <v>Lucky3B1-025-0011</v>
      </c>
      <c r="D298" s="68">
        <f>VLOOKUP(C298,'RAW DATA 2023'!E:BP,63,0)</f>
        <v>8</v>
      </c>
      <c r="E298" s="68" t="str">
        <f t="shared" si="21"/>
        <v>Lucky38</v>
      </c>
      <c r="F298" s="63" t="str">
        <f>VLOOKUP(C298,'RAW DATA 2023'!E:BO,5,0)</f>
        <v>Outdoor</v>
      </c>
      <c r="G298" s="63" t="s">
        <v>1955</v>
      </c>
      <c r="H298" s="63">
        <f>VLOOKUP(C298,'RAW DATA 2023'!E:BO,2,0)</f>
        <v>1.5</v>
      </c>
      <c r="I298" s="106">
        <f>VLOOKUP(C298,'RAW DATA 2023'!E:BO,22,0)</f>
        <v>0</v>
      </c>
      <c r="J298" s="72">
        <f t="shared" si="22"/>
        <v>0</v>
      </c>
      <c r="K298" s="109">
        <f t="shared" si="23"/>
        <v>0</v>
      </c>
      <c r="L298" s="63">
        <f t="shared" si="24"/>
        <v>0</v>
      </c>
      <c r="M298" s="123"/>
    </row>
    <row r="299" spans="1:13" hidden="1">
      <c r="A299" s="63" t="str">
        <f>'RAW DATA 2023'!B712</f>
        <v>Tachalab</v>
      </c>
      <c r="B299" s="63" t="str">
        <f>'RAW DATA 2023'!D712</f>
        <v>A1-013-0012</v>
      </c>
      <c r="C299" s="63" t="str">
        <f t="shared" si="20"/>
        <v>TachalabA1-013-0012</v>
      </c>
      <c r="D299" s="68">
        <f>VLOOKUP(C299,'RAW DATA 2023'!E:BP,63,0)</f>
        <v>7</v>
      </c>
      <c r="E299" s="68" t="str">
        <f t="shared" si="21"/>
        <v>Tachalab7</v>
      </c>
      <c r="F299" s="63" t="str">
        <f>VLOOKUP(C299,'RAW DATA 2023'!E:BO,5,0)</f>
        <v>Outdoor</v>
      </c>
      <c r="G299" s="63" t="s">
        <v>1955</v>
      </c>
      <c r="H299" s="63">
        <f>VLOOKUP(C299,'RAW DATA 2023'!E:BO,2,0)</f>
        <v>2.2999999999999998</v>
      </c>
      <c r="I299" s="106">
        <f>VLOOKUP(C299,'RAW DATA 2023'!E:BO,22,0)</f>
        <v>8.0141913043478272</v>
      </c>
      <c r="J299" s="72">
        <f t="shared" si="22"/>
        <v>5.0141913043478272</v>
      </c>
      <c r="K299" s="109">
        <f t="shared" si="23"/>
        <v>8.3569855072463799</v>
      </c>
      <c r="L299" s="63">
        <f t="shared" si="24"/>
        <v>6.25</v>
      </c>
      <c r="M299" s="123"/>
    </row>
    <row r="300" spans="1:13" hidden="1">
      <c r="A300" s="63" t="str">
        <f>'RAW DATA 2023'!B713</f>
        <v>Tachalab</v>
      </c>
      <c r="B300" s="63" t="str">
        <f>'RAW DATA 2023'!D713</f>
        <v>A1-011-0018</v>
      </c>
      <c r="C300" s="63" t="str">
        <f t="shared" si="20"/>
        <v>TachalabA1-011-0018</v>
      </c>
      <c r="D300" s="68">
        <f>VLOOKUP(C300,'RAW DATA 2023'!E:BP,63,0)</f>
        <v>8</v>
      </c>
      <c r="E300" s="68" t="str">
        <f t="shared" si="21"/>
        <v>Tachalab8</v>
      </c>
      <c r="F300" s="63" t="str">
        <f>VLOOKUP(C300,'RAW DATA 2023'!E:BO,5,0)</f>
        <v>Outdoor</v>
      </c>
      <c r="G300" s="63" t="s">
        <v>1954</v>
      </c>
      <c r="H300" s="63">
        <f>VLOOKUP(C300,'RAW DATA 2023'!E:BO,2,0)</f>
        <v>2.8</v>
      </c>
      <c r="I300" s="106">
        <f>VLOOKUP(C300,'RAW DATA 2023'!E:BO,22,0)</f>
        <v>10.210000000000001</v>
      </c>
      <c r="J300" s="72">
        <f t="shared" si="22"/>
        <v>7.2100000000000009</v>
      </c>
      <c r="K300" s="109">
        <f t="shared" si="23"/>
        <v>12.016666666666669</v>
      </c>
      <c r="L300" s="63">
        <f t="shared" si="24"/>
        <v>6.25</v>
      </c>
      <c r="M300" s="123"/>
    </row>
    <row r="301" spans="1:13" hidden="1">
      <c r="A301" s="63" t="str">
        <f>'RAW DATA 2023'!B714</f>
        <v>Tachalab</v>
      </c>
      <c r="B301" s="63" t="str">
        <f>'RAW DATA 2023'!D714</f>
        <v>A1-005-0024</v>
      </c>
      <c r="C301" s="63" t="str">
        <f t="shared" si="20"/>
        <v>TachalabA1-005-0024</v>
      </c>
      <c r="D301" s="68">
        <f>VLOOKUP(C301,'RAW DATA 2023'!E:BP,63,0)</f>
        <v>7</v>
      </c>
      <c r="E301" s="68" t="str">
        <f t="shared" si="21"/>
        <v>Tachalab7</v>
      </c>
      <c r="F301" s="63" t="str">
        <f>VLOOKUP(C301,'RAW DATA 2023'!E:BO,5,0)</f>
        <v>Outdoor</v>
      </c>
      <c r="G301" s="63" t="s">
        <v>1955</v>
      </c>
      <c r="H301" s="63">
        <f>VLOOKUP(C301,'RAW DATA 2023'!E:BO,2,0)</f>
        <v>4</v>
      </c>
      <c r="I301" s="106">
        <f>VLOOKUP(C301,'RAW DATA 2023'!E:BO,22,0)</f>
        <v>8.2225774999999999</v>
      </c>
      <c r="J301" s="72">
        <f t="shared" si="22"/>
        <v>5.2225774999999999</v>
      </c>
      <c r="K301" s="109">
        <f t="shared" si="23"/>
        <v>8.7042958333333331</v>
      </c>
      <c r="L301" s="63">
        <f t="shared" si="24"/>
        <v>6.25</v>
      </c>
      <c r="M301" s="123"/>
    </row>
    <row r="302" spans="1:13" hidden="1">
      <c r="A302" s="63" t="str">
        <f>'RAW DATA 2023'!B716</f>
        <v>Tachalab</v>
      </c>
      <c r="B302" s="63" t="str">
        <f>'RAW DATA 2023'!D716</f>
        <v>A1-006-0017</v>
      </c>
      <c r="C302" s="63" t="str">
        <f t="shared" si="20"/>
        <v>TachalabA1-006-0017</v>
      </c>
      <c r="D302" s="68">
        <f>VLOOKUP(C302,'RAW DATA 2023'!E:BP,63,0)</f>
        <v>12</v>
      </c>
      <c r="E302" s="68" t="str">
        <f t="shared" si="21"/>
        <v>Tachalab12</v>
      </c>
      <c r="F302" s="63" t="str">
        <f>VLOOKUP(C302,'RAW DATA 2023'!E:BO,5,0)</f>
        <v>Outdoor</v>
      </c>
      <c r="G302" s="63" t="s">
        <v>1955</v>
      </c>
      <c r="H302" s="63">
        <f>VLOOKUP(C302,'RAW DATA 2023'!E:BO,2,0)</f>
        <v>4</v>
      </c>
      <c r="I302" s="106">
        <f>VLOOKUP(C302,'RAW DATA 2023'!E:BO,22,0)</f>
        <v>7.5353874999999997</v>
      </c>
      <c r="J302" s="72">
        <f t="shared" si="22"/>
        <v>4.5353874999999997</v>
      </c>
      <c r="K302" s="109">
        <f t="shared" si="23"/>
        <v>7.5589791666666661</v>
      </c>
      <c r="L302" s="63">
        <f t="shared" si="24"/>
        <v>6.25</v>
      </c>
      <c r="M302" s="123"/>
    </row>
    <row r="303" spans="1:13" hidden="1">
      <c r="A303" s="63" t="str">
        <f>'RAW DATA 2023'!B767</f>
        <v>Kanchanadit</v>
      </c>
      <c r="B303" s="63" t="str">
        <f>'RAW DATA 2023'!D767</f>
        <v>D1-051-0006</v>
      </c>
      <c r="C303" s="63" t="str">
        <f t="shared" si="20"/>
        <v>KanchanaditD1-051-0006</v>
      </c>
      <c r="D303" s="68">
        <f>VLOOKUP(C303,'RAW DATA 2023'!E:BP,63,0)</f>
        <v>8</v>
      </c>
      <c r="E303" s="68" t="str">
        <f t="shared" si="21"/>
        <v>Kanchanadit8</v>
      </c>
      <c r="F303" s="63" t="str">
        <f>VLOOKUP(C303,'RAW DATA 2023'!E:BO,5,0)</f>
        <v>Outdoor</v>
      </c>
      <c r="G303" s="63" t="s">
        <v>67</v>
      </c>
      <c r="H303" s="63">
        <f>VLOOKUP(C303,'RAW DATA 2023'!E:BO,2,0)</f>
        <v>2</v>
      </c>
      <c r="I303" s="106">
        <f>VLOOKUP(C303,'RAW DATA 2023'!E:BO,22,0)</f>
        <v>10.024415000000001</v>
      </c>
      <c r="J303" s="72">
        <f t="shared" si="22"/>
        <v>4.0244150000000012</v>
      </c>
      <c r="K303" s="109">
        <f t="shared" si="23"/>
        <v>6.7073583333333353</v>
      </c>
      <c r="L303" s="63">
        <f t="shared" si="24"/>
        <v>6.25</v>
      </c>
      <c r="M303" s="123"/>
    </row>
    <row r="304" spans="1:13" hidden="1">
      <c r="A304" s="63" t="str">
        <f>'RAW DATA 2023'!B792</f>
        <v>Kanchanadit</v>
      </c>
      <c r="B304" s="63" t="str">
        <f>'RAW DATA 2023'!D792</f>
        <v>D1-052-0011</v>
      </c>
      <c r="C304" s="63" t="str">
        <f t="shared" si="20"/>
        <v>KanchanaditD1-052-0011</v>
      </c>
      <c r="D304" s="68">
        <f>VLOOKUP(C304,'RAW DATA 2023'!E:BP,63,0)</f>
        <v>1</v>
      </c>
      <c r="E304" s="68" t="str">
        <f t="shared" si="21"/>
        <v>Kanchanadit1</v>
      </c>
      <c r="F304" s="63" t="str">
        <f>VLOOKUP(C304,'RAW DATA 2023'!E:BO,5,0)</f>
        <v>Outdoor</v>
      </c>
      <c r="G304" s="63" t="s">
        <v>1955</v>
      </c>
      <c r="H304" s="63">
        <f>VLOOKUP(C304,'RAW DATA 2023'!E:BO,2,0)</f>
        <v>2</v>
      </c>
      <c r="I304" s="106">
        <f>VLOOKUP(C304,'RAW DATA 2023'!E:BO,22,0)</f>
        <v>7.1872799999999994</v>
      </c>
      <c r="J304" s="72">
        <f t="shared" si="22"/>
        <v>1.1872799999999994</v>
      </c>
      <c r="K304" s="109">
        <f t="shared" si="23"/>
        <v>1.9787999999999992</v>
      </c>
      <c r="L304" s="63">
        <f t="shared" si="24"/>
        <v>1.9787999999999992</v>
      </c>
      <c r="M304" s="123"/>
    </row>
    <row r="305" spans="1:13" hidden="1">
      <c r="A305" s="63" t="str">
        <f>'RAW DATA 2023'!B804</f>
        <v>Pakpanang1</v>
      </c>
      <c r="B305" s="63" t="str">
        <f>'RAW DATA 2023'!D804</f>
        <v>A1-184-0010</v>
      </c>
      <c r="C305" s="63" t="str">
        <f t="shared" si="20"/>
        <v>Pakpanang1A1-184-0010</v>
      </c>
      <c r="D305" s="68">
        <f>VLOOKUP(C305,'RAW DATA 2023'!E:BP,63,0)</f>
        <v>5</v>
      </c>
      <c r="E305" s="68" t="str">
        <f t="shared" si="21"/>
        <v>Pakpanang15</v>
      </c>
      <c r="F305" s="63" t="str">
        <f>VLOOKUP(C305,'RAW DATA 2023'!E:BO,5,0)</f>
        <v>Outdoor</v>
      </c>
      <c r="G305" s="63" t="s">
        <v>1954</v>
      </c>
      <c r="H305" s="63">
        <f>VLOOKUP(C305,'RAW DATA 2023'!E:BO,2,0)</f>
        <v>1.8</v>
      </c>
      <c r="I305" s="106">
        <f>VLOOKUP(C305,'RAW DATA 2023'!E:BO,22,0)</f>
        <v>9.1188000000000002</v>
      </c>
      <c r="J305" s="72">
        <f t="shared" si="22"/>
        <v>3.1188000000000002</v>
      </c>
      <c r="K305" s="109">
        <f t="shared" si="23"/>
        <v>5.1980000000000004</v>
      </c>
      <c r="L305" s="63">
        <f t="shared" si="24"/>
        <v>5.1980000000000004</v>
      </c>
      <c r="M305" s="123"/>
    </row>
    <row r="306" spans="1:13" hidden="1">
      <c r="A306" s="63" t="str">
        <f>'RAW DATA 2023'!B811</f>
        <v>Pakpanang1</v>
      </c>
      <c r="B306" s="63" t="str">
        <f>'RAW DATA 2023'!D811</f>
        <v>C1-139-0009</v>
      </c>
      <c r="C306" s="63" t="str">
        <f t="shared" si="20"/>
        <v>Pakpanang1C1-139-0009</v>
      </c>
      <c r="D306" s="68">
        <f>VLOOKUP(C306,'RAW DATA 2023'!E:BP,63,0)</f>
        <v>5</v>
      </c>
      <c r="E306" s="68" t="str">
        <f t="shared" si="21"/>
        <v>Pakpanang15</v>
      </c>
      <c r="F306" s="63" t="str">
        <f>VLOOKUP(C306,'RAW DATA 2023'!E:BO,5,0)</f>
        <v>Outdoor</v>
      </c>
      <c r="G306" s="63" t="s">
        <v>1954</v>
      </c>
      <c r="H306" s="63">
        <f>VLOOKUP(C306,'RAW DATA 2023'!E:BO,2,0)</f>
        <v>1.5</v>
      </c>
      <c r="I306" s="106">
        <f>VLOOKUP(C306,'RAW DATA 2023'!E:BO,22,0)</f>
        <v>4.916173333333334</v>
      </c>
      <c r="J306" s="72">
        <f t="shared" si="22"/>
        <v>-1.083826666666666</v>
      </c>
      <c r="K306" s="109">
        <f t="shared" si="23"/>
        <v>-1.8063777777777767</v>
      </c>
      <c r="L306" s="63">
        <f t="shared" si="24"/>
        <v>0</v>
      </c>
      <c r="M306" s="123"/>
    </row>
    <row r="307" spans="1:13">
      <c r="A307" s="63" t="str">
        <f>'RAW DATA 2023'!B11</f>
        <v>Lamae</v>
      </c>
      <c r="B307" s="63" t="str">
        <f>'RAW DATA 2023'!D11</f>
        <v>B1-022-0011</v>
      </c>
      <c r="C307" s="63" t="str">
        <f t="shared" si="20"/>
        <v>LamaeB1-022-0011</v>
      </c>
      <c r="D307" s="68">
        <f>VLOOKUP(C307,'RAW DATA 2023'!E:BP,63,0)</f>
        <v>2</v>
      </c>
      <c r="E307" s="68" t="str">
        <f t="shared" si="21"/>
        <v>Lamae2</v>
      </c>
      <c r="F307" s="63" t="str">
        <f>VLOOKUP(C307,'RAW DATA 2023'!E:BO,5,0)</f>
        <v>Outdoor</v>
      </c>
      <c r="G307" s="63" t="s">
        <v>1951</v>
      </c>
      <c r="H307" s="63">
        <f>VLOOKUP(C307,'RAW DATA 2023'!E:BO,2,0)</f>
        <v>8.5</v>
      </c>
      <c r="I307" s="106">
        <f>VLOOKUP(C307,'RAW DATA 2023'!E:BO,22,0)</f>
        <v>2.8354752941176469</v>
      </c>
      <c r="J307" s="72">
        <f t="shared" si="22"/>
        <v>0.83547529411764687</v>
      </c>
      <c r="K307" s="109">
        <f t="shared" si="23"/>
        <v>1.3924588235294115</v>
      </c>
      <c r="L307" s="63">
        <f t="shared" si="24"/>
        <v>1.3924588235294115</v>
      </c>
      <c r="M307" s="123"/>
    </row>
    <row r="308" spans="1:13" hidden="1">
      <c r="A308" s="63" t="str">
        <f>'RAW DATA 2023'!B17</f>
        <v>Lamae</v>
      </c>
      <c r="B308" s="63" t="str">
        <f>'RAW DATA 2023'!D17</f>
        <v>A1-013-0015</v>
      </c>
      <c r="C308" s="63" t="str">
        <f t="shared" si="20"/>
        <v>LamaeA1-013-0015</v>
      </c>
      <c r="D308" s="68">
        <f>VLOOKUP(C308,'RAW DATA 2023'!E:BP,63,0)</f>
        <v>5</v>
      </c>
      <c r="E308" s="68" t="str">
        <f t="shared" si="21"/>
        <v>Lamae5</v>
      </c>
      <c r="F308" s="63" t="str">
        <f>VLOOKUP(C308,'RAW DATA 2023'!E:BO,5,0)</f>
        <v>Outdoor</v>
      </c>
      <c r="G308" s="63" t="s">
        <v>1954</v>
      </c>
      <c r="H308" s="63">
        <f>VLOOKUP(C308,'RAW DATA 2023'!E:BO,2,0)</f>
        <v>4</v>
      </c>
      <c r="I308" s="106">
        <f>VLOOKUP(C308,'RAW DATA 2023'!E:BO,22,0)</f>
        <v>8.9127475</v>
      </c>
      <c r="J308" s="72">
        <f t="shared" si="22"/>
        <v>5.9127475</v>
      </c>
      <c r="K308" s="109">
        <f t="shared" si="23"/>
        <v>9.8545791666666673</v>
      </c>
      <c r="L308" s="63">
        <f t="shared" si="24"/>
        <v>6.25</v>
      </c>
      <c r="M308" s="123"/>
    </row>
    <row r="309" spans="1:13" hidden="1">
      <c r="A309" s="63" t="str">
        <f>'RAW DATA 2023'!B20</f>
        <v>Lamae</v>
      </c>
      <c r="B309" s="63" t="str">
        <f>'RAW DATA 2023'!D20</f>
        <v>A1-011-0022</v>
      </c>
      <c r="C309" s="63" t="str">
        <f t="shared" si="20"/>
        <v>LamaeA1-011-0022</v>
      </c>
      <c r="D309" s="68">
        <f>VLOOKUP(C309,'RAW DATA 2023'!E:BP,63,0)</f>
        <v>6</v>
      </c>
      <c r="E309" s="68" t="str">
        <f t="shared" si="21"/>
        <v>Lamae6</v>
      </c>
      <c r="F309" s="63" t="str">
        <f>VLOOKUP(C309,'RAW DATA 2023'!E:BO,5,0)</f>
        <v>Outdoor</v>
      </c>
      <c r="G309" s="63" t="s">
        <v>1954</v>
      </c>
      <c r="H309" s="63">
        <f>VLOOKUP(C309,'RAW DATA 2023'!E:BO,2,0)</f>
        <v>4</v>
      </c>
      <c r="I309" s="106">
        <f>VLOOKUP(C309,'RAW DATA 2023'!E:BO,22,0)</f>
        <v>7.2499599999999997</v>
      </c>
      <c r="J309" s="72">
        <f t="shared" si="22"/>
        <v>4.2499599999999997</v>
      </c>
      <c r="K309" s="109">
        <f t="shared" si="23"/>
        <v>7.0832666666666668</v>
      </c>
      <c r="L309" s="63">
        <f t="shared" si="24"/>
        <v>6.25</v>
      </c>
      <c r="M309" s="123"/>
    </row>
    <row r="310" spans="1:13" hidden="1">
      <c r="A310" s="63" t="str">
        <f>'RAW DATA 2023'!B24</f>
        <v>Lamae</v>
      </c>
      <c r="B310" s="63" t="str">
        <f>'RAW DATA 2023'!D24</f>
        <v>A1-009-0020</v>
      </c>
      <c r="C310" s="63" t="str">
        <f t="shared" si="20"/>
        <v>LamaeA1-009-0020</v>
      </c>
      <c r="D310" s="68">
        <f>VLOOKUP(C310,'RAW DATA 2023'!E:BP,63,0)</f>
        <v>8</v>
      </c>
      <c r="E310" s="68" t="str">
        <f t="shared" si="21"/>
        <v>Lamae8</v>
      </c>
      <c r="F310" s="63" t="str">
        <f>VLOOKUP(C310,'RAW DATA 2023'!E:BO,5,0)</f>
        <v>Outdoor</v>
      </c>
      <c r="G310" s="63" t="s">
        <v>67</v>
      </c>
      <c r="H310" s="63">
        <f>VLOOKUP(C310,'RAW DATA 2023'!E:BO,2,0)</f>
        <v>5</v>
      </c>
      <c r="I310" s="106">
        <f>VLOOKUP(C310,'RAW DATA 2023'!E:BO,22,0)</f>
        <v>6.7963700000000005</v>
      </c>
      <c r="J310" s="72">
        <f t="shared" si="22"/>
        <v>4.7963700000000005</v>
      </c>
      <c r="K310" s="109">
        <f t="shared" si="23"/>
        <v>7.9939500000000008</v>
      </c>
      <c r="L310" s="63">
        <f t="shared" si="24"/>
        <v>6.25</v>
      </c>
      <c r="M310" s="123"/>
    </row>
    <row r="311" spans="1:13" hidden="1">
      <c r="A311" s="63" t="str">
        <f>'RAW DATA 2023'!B34</f>
        <v>Bansang</v>
      </c>
      <c r="B311" s="63" t="str">
        <f>'RAW DATA 2023'!D34</f>
        <v>A1-005-0014</v>
      </c>
      <c r="C311" s="63" t="str">
        <f t="shared" si="20"/>
        <v>BansangA1-005-0014</v>
      </c>
      <c r="D311" s="68">
        <f>VLOOKUP(C311,'RAW DATA 2023'!E:BP,63,0)</f>
        <v>1</v>
      </c>
      <c r="E311" s="68" t="str">
        <f t="shared" si="21"/>
        <v>Bansang1</v>
      </c>
      <c r="F311" s="63" t="str">
        <f>VLOOKUP(C311,'RAW DATA 2023'!E:BO,5,0)</f>
        <v>Outdoor</v>
      </c>
      <c r="G311" s="63" t="s">
        <v>67</v>
      </c>
      <c r="H311" s="63">
        <f>VLOOKUP(C311,'RAW DATA 2023'!E:BO,2,0)</f>
        <v>3.38</v>
      </c>
      <c r="I311" s="106">
        <f>VLOOKUP(C311,'RAW DATA 2023'!E:BO,22,0)</f>
        <v>5.0772189349112429</v>
      </c>
      <c r="J311" s="72">
        <f t="shared" si="22"/>
        <v>2.0772189349112429</v>
      </c>
      <c r="K311" s="109">
        <f t="shared" si="23"/>
        <v>3.4620315581854051</v>
      </c>
      <c r="L311" s="63">
        <f t="shared" si="24"/>
        <v>3.4620315581854051</v>
      </c>
      <c r="M311" s="123"/>
    </row>
    <row r="312" spans="1:13" hidden="1">
      <c r="A312" s="63" t="str">
        <f>'RAW DATA 2023'!B58</f>
        <v>Petchburi5</v>
      </c>
      <c r="B312" s="63" t="str">
        <f>'RAW DATA 2023'!D58</f>
        <v>B1-116-0008</v>
      </c>
      <c r="C312" s="63" t="str">
        <f t="shared" si="20"/>
        <v>Petchburi5B1-116-0008</v>
      </c>
      <c r="D312" s="68">
        <f>VLOOKUP(C312,'RAW DATA 2023'!E:BP,63,0)</f>
        <v>12</v>
      </c>
      <c r="E312" s="68" t="str">
        <f t="shared" si="21"/>
        <v>Petchburi512</v>
      </c>
      <c r="F312" s="63" t="str">
        <f>VLOOKUP(C312,'RAW DATA 2023'!E:BO,5,0)</f>
        <v>Outdoor</v>
      </c>
      <c r="G312" s="63" t="s">
        <v>67</v>
      </c>
      <c r="H312" s="63">
        <f>VLOOKUP(C312,'RAW DATA 2023'!E:BO,2,0)</f>
        <v>1.85</v>
      </c>
      <c r="I312" s="106">
        <f>VLOOKUP(C312,'RAW DATA 2023'!E:BO,22,0)</f>
        <v>9.4034702702702688</v>
      </c>
      <c r="J312" s="72">
        <f t="shared" si="22"/>
        <v>3.4034702702702688</v>
      </c>
      <c r="K312" s="109">
        <f t="shared" si="23"/>
        <v>5.672450450450448</v>
      </c>
      <c r="L312" s="63">
        <f t="shared" si="24"/>
        <v>5.672450450450448</v>
      </c>
      <c r="M312" s="123"/>
    </row>
    <row r="313" spans="1:13" hidden="1">
      <c r="A313" s="63" t="str">
        <f>'RAW DATA 2023'!B61</f>
        <v>Petchburi5</v>
      </c>
      <c r="B313" s="63" t="str">
        <f>'RAW DATA 2023'!D61</f>
        <v>AG-006-0010</v>
      </c>
      <c r="C313" s="63" t="str">
        <f t="shared" si="20"/>
        <v>Petchburi5AG-006-0010</v>
      </c>
      <c r="D313" s="68">
        <f>VLOOKUP(C313,'RAW DATA 2023'!E:BP,63,0)</f>
        <v>1</v>
      </c>
      <c r="E313" s="68" t="str">
        <f t="shared" si="21"/>
        <v>Petchburi51</v>
      </c>
      <c r="F313" s="63" t="str">
        <f>VLOOKUP(C313,'RAW DATA 2023'!E:BO,5,0)</f>
        <v>Greenhouse</v>
      </c>
      <c r="G313" s="63" t="s">
        <v>1954</v>
      </c>
      <c r="H313" s="63">
        <f>VLOOKUP(C313,'RAW DATA 2023'!E:BO,2,0)</f>
        <v>1.5</v>
      </c>
      <c r="I313" s="106">
        <f>VLOOKUP(C313,'RAW DATA 2023'!E:BO,22,0)</f>
        <v>16.101566666666667</v>
      </c>
      <c r="J313" s="72">
        <f t="shared" si="22"/>
        <v>12.101566666666667</v>
      </c>
      <c r="K313" s="109">
        <f t="shared" si="23"/>
        <v>20.169277777777779</v>
      </c>
      <c r="L313" s="63">
        <f t="shared" si="24"/>
        <v>6.25</v>
      </c>
      <c r="M313" s="123"/>
    </row>
    <row r="314" spans="1:13" hidden="1">
      <c r="A314" s="63" t="str">
        <f>'RAW DATA 2023'!B90</f>
        <v>Petchburi5</v>
      </c>
      <c r="B314" s="63" t="str">
        <f>'RAW DATA 2023'!D90</f>
        <v>G1-G01-0002</v>
      </c>
      <c r="C314" s="63" t="str">
        <f t="shared" si="20"/>
        <v>Petchburi5G1-G01-0002</v>
      </c>
      <c r="D314" s="68">
        <f>VLOOKUP(C314,'RAW DATA 2023'!E:BP,63,0)</f>
        <v>1</v>
      </c>
      <c r="E314" s="68" t="str">
        <f t="shared" si="21"/>
        <v>Petchburi51</v>
      </c>
      <c r="F314" s="63" t="str">
        <f>VLOOKUP(C314,'RAW DATA 2023'!E:BO,5,0)</f>
        <v>Greenhouse</v>
      </c>
      <c r="G314" s="63" t="s">
        <v>1955</v>
      </c>
      <c r="H314" s="63">
        <f>VLOOKUP(C314,'RAW DATA 2023'!E:BO,2,0)</f>
        <v>1</v>
      </c>
      <c r="I314" s="106">
        <f>VLOOKUP(C314,'RAW DATA 2023'!E:BO,22,0)</f>
        <v>13.1435</v>
      </c>
      <c r="J314" s="72">
        <f t="shared" si="22"/>
        <v>9.1434999999999995</v>
      </c>
      <c r="K314" s="109">
        <f t="shared" si="23"/>
        <v>15.239166666666666</v>
      </c>
      <c r="L314" s="63">
        <f t="shared" si="24"/>
        <v>6.25</v>
      </c>
      <c r="M314" s="123"/>
    </row>
    <row r="315" spans="1:13" hidden="1">
      <c r="A315" s="63" t="str">
        <f>'RAW DATA 2023'!B94</f>
        <v>Petchburi5</v>
      </c>
      <c r="B315" s="63" t="str">
        <f>'RAW DATA 2023'!D94</f>
        <v>G1-G01-0003</v>
      </c>
      <c r="C315" s="63" t="str">
        <f t="shared" si="20"/>
        <v>Petchburi5G1-G01-0003</v>
      </c>
      <c r="D315" s="68">
        <f>VLOOKUP(C315,'RAW DATA 2023'!E:BP,63,0)</f>
        <v>6</v>
      </c>
      <c r="E315" s="68" t="str">
        <f t="shared" si="21"/>
        <v>Petchburi56</v>
      </c>
      <c r="F315" s="63" t="str">
        <f>VLOOKUP(C315,'RAW DATA 2023'!E:BO,5,0)</f>
        <v>Greenhouse</v>
      </c>
      <c r="G315" s="63" t="s">
        <v>1954</v>
      </c>
      <c r="H315" s="63">
        <f>VLOOKUP(C315,'RAW DATA 2023'!E:BO,2,0)</f>
        <v>1</v>
      </c>
      <c r="I315" s="106">
        <f>VLOOKUP(C315,'RAW DATA 2023'!E:BO,22,0)</f>
        <v>14.975200000000001</v>
      </c>
      <c r="J315" s="72">
        <f t="shared" si="22"/>
        <v>10.975200000000001</v>
      </c>
      <c r="K315" s="109">
        <f t="shared" si="23"/>
        <v>18.292000000000002</v>
      </c>
      <c r="L315" s="63">
        <f t="shared" si="24"/>
        <v>6.25</v>
      </c>
      <c r="M315" s="123"/>
    </row>
    <row r="316" spans="1:13" hidden="1">
      <c r="A316" s="63" t="str">
        <f>'RAW DATA 2023'!B101</f>
        <v>Roiphet1</v>
      </c>
      <c r="B316" s="63" t="str">
        <f>'RAW DATA 2023'!D101</f>
        <v>A5-G10-0069</v>
      </c>
      <c r="C316" s="63" t="str">
        <f t="shared" si="20"/>
        <v>Roiphet1A5-G10-0069</v>
      </c>
      <c r="D316" s="68">
        <f>VLOOKUP(C316,'RAW DATA 2023'!E:BP,63,0)</f>
        <v>10</v>
      </c>
      <c r="E316" s="68" t="str">
        <f t="shared" si="21"/>
        <v>Roiphet110</v>
      </c>
      <c r="F316" s="63" t="str">
        <f>VLOOKUP(C316,'RAW DATA 2023'!E:BO,5,0)</f>
        <v>Greenhouse</v>
      </c>
      <c r="G316" s="63" t="s">
        <v>1954</v>
      </c>
      <c r="H316" s="63">
        <f>VLOOKUP(C316,'RAW DATA 2023'!E:BO,2,0)</f>
        <v>1.1299999999999999</v>
      </c>
      <c r="I316" s="106">
        <f>VLOOKUP(C316,'RAW DATA 2023'!E:BO,22,0)</f>
        <v>5.7100619469026554</v>
      </c>
      <c r="J316" s="72">
        <f t="shared" si="22"/>
        <v>1.7100619469026554</v>
      </c>
      <c r="K316" s="109">
        <f t="shared" si="23"/>
        <v>2.8501032448377592</v>
      </c>
      <c r="L316" s="63">
        <f t="shared" si="24"/>
        <v>2.8501032448377592</v>
      </c>
      <c r="M316" s="123"/>
    </row>
    <row r="317" spans="1:13" hidden="1">
      <c r="A317" s="63" t="str">
        <f>'RAW DATA 2023'!B104</f>
        <v>Roiphet1</v>
      </c>
      <c r="B317" s="63" t="str">
        <f>'RAW DATA 2023'!D104</f>
        <v>A4-G07-0072</v>
      </c>
      <c r="C317" s="63" t="str">
        <f t="shared" si="20"/>
        <v>Roiphet1A4-G07-0072</v>
      </c>
      <c r="D317" s="68">
        <f>VLOOKUP(C317,'RAW DATA 2023'!E:BP,63,0)</f>
        <v>10</v>
      </c>
      <c r="E317" s="68" t="str">
        <f t="shared" si="21"/>
        <v>Roiphet110</v>
      </c>
      <c r="F317" s="63" t="str">
        <f>VLOOKUP(C317,'RAW DATA 2023'!E:BO,5,0)</f>
        <v>Greenhouse</v>
      </c>
      <c r="G317" s="63" t="s">
        <v>1954</v>
      </c>
      <c r="H317" s="63">
        <f>VLOOKUP(C317,'RAW DATA 2023'!E:BO,2,0)</f>
        <v>1.1299999999999999</v>
      </c>
      <c r="I317" s="106">
        <f>VLOOKUP(C317,'RAW DATA 2023'!E:BO,22,0)</f>
        <v>6.4483628318584074</v>
      </c>
      <c r="J317" s="72">
        <f t="shared" si="22"/>
        <v>2.4483628318584074</v>
      </c>
      <c r="K317" s="109">
        <f t="shared" si="23"/>
        <v>4.080604719764013</v>
      </c>
      <c r="L317" s="63">
        <f t="shared" si="24"/>
        <v>4.080604719764013</v>
      </c>
      <c r="M317" s="123"/>
    </row>
    <row r="318" spans="1:13" hidden="1">
      <c r="A318" s="63" t="str">
        <f>'RAW DATA 2023'!B112</f>
        <v>Roiphet1</v>
      </c>
      <c r="B318" s="63" t="str">
        <f>'RAW DATA 2023'!D112</f>
        <v>D4-I07-0076</v>
      </c>
      <c r="C318" s="63" t="str">
        <f t="shared" si="20"/>
        <v>Roiphet1D4-I07-0076</v>
      </c>
      <c r="D318" s="68">
        <f>VLOOKUP(C318,'RAW DATA 2023'!E:BP,63,0)</f>
        <v>5</v>
      </c>
      <c r="E318" s="68" t="str">
        <f t="shared" si="21"/>
        <v>Roiphet15</v>
      </c>
      <c r="F318" s="63" t="str">
        <f>VLOOKUP(C318,'RAW DATA 2023'!E:BO,5,0)</f>
        <v>Greenhouse</v>
      </c>
      <c r="G318" s="63" t="s">
        <v>67</v>
      </c>
      <c r="H318" s="63">
        <f>VLOOKUP(C318,'RAW DATA 2023'!E:BO,2,0)</f>
        <v>0.72</v>
      </c>
      <c r="I318" s="106">
        <f>VLOOKUP(C318,'RAW DATA 2023'!E:BO,22,0)</f>
        <v>6.9358055555555556</v>
      </c>
      <c r="J318" s="72">
        <f t="shared" si="22"/>
        <v>2.9358055555555556</v>
      </c>
      <c r="K318" s="109">
        <f t="shared" si="23"/>
        <v>4.8930092592592596</v>
      </c>
      <c r="L318" s="63">
        <f t="shared" si="24"/>
        <v>4.8930092592592596</v>
      </c>
      <c r="M318" s="123"/>
    </row>
    <row r="319" spans="1:13" hidden="1">
      <c r="A319" s="63" t="str">
        <f>'RAW DATA 2023'!B125</f>
        <v>Roiphet1</v>
      </c>
      <c r="B319" s="63" t="str">
        <f>'RAW DATA 2023'!D125</f>
        <v>D6-G12-0078</v>
      </c>
      <c r="C319" s="63" t="str">
        <f t="shared" si="20"/>
        <v>Roiphet1D6-G12-0078</v>
      </c>
      <c r="D319" s="68">
        <f>VLOOKUP(C319,'RAW DATA 2023'!E:BP,63,0)</f>
        <v>2</v>
      </c>
      <c r="E319" s="68" t="str">
        <f t="shared" si="21"/>
        <v>Roiphet12</v>
      </c>
      <c r="F319" s="63" t="str">
        <f>VLOOKUP(C319,'RAW DATA 2023'!E:BO,5,0)</f>
        <v>Greenhouse</v>
      </c>
      <c r="G319" s="63" t="s">
        <v>1954</v>
      </c>
      <c r="H319" s="63">
        <f>VLOOKUP(C319,'RAW DATA 2023'!E:BO,2,0)</f>
        <v>1.1299999999999999</v>
      </c>
      <c r="I319" s="106">
        <f>VLOOKUP(C319,'RAW DATA 2023'!E:BO,22,0)</f>
        <v>6.9734247787610624</v>
      </c>
      <c r="J319" s="72">
        <f t="shared" si="22"/>
        <v>2.9734247787610624</v>
      </c>
      <c r="K319" s="109">
        <f t="shared" si="23"/>
        <v>4.9557079646017712</v>
      </c>
      <c r="L319" s="63">
        <f t="shared" si="24"/>
        <v>4.9557079646017712</v>
      </c>
      <c r="M319" s="123"/>
    </row>
    <row r="320" spans="1:13" hidden="1">
      <c r="A320" s="63" t="str">
        <f>'RAW DATA 2023'!B126</f>
        <v>Roiphet1</v>
      </c>
      <c r="B320" s="63" t="str">
        <f>'RAW DATA 2023'!D126</f>
        <v>D3-G05-0080</v>
      </c>
      <c r="C320" s="63" t="str">
        <f t="shared" si="20"/>
        <v>Roiphet1D3-G05-0080</v>
      </c>
      <c r="D320" s="68">
        <f>VLOOKUP(C320,'RAW DATA 2023'!E:BP,63,0)</f>
        <v>4</v>
      </c>
      <c r="E320" s="68" t="str">
        <f t="shared" si="21"/>
        <v>Roiphet14</v>
      </c>
      <c r="F320" s="63" t="str">
        <f>VLOOKUP(C320,'RAW DATA 2023'!E:BO,5,0)</f>
        <v>Greenhouse</v>
      </c>
      <c r="G320" s="63" t="s">
        <v>1955</v>
      </c>
      <c r="H320" s="63">
        <f>VLOOKUP(C320,'RAW DATA 2023'!E:BO,2,0)</f>
        <v>1.1299999999999999</v>
      </c>
      <c r="I320" s="106">
        <f>VLOOKUP(C320,'RAW DATA 2023'!E:BO,22,0)</f>
        <v>8.0369469026548668</v>
      </c>
      <c r="J320" s="72">
        <f t="shared" si="22"/>
        <v>4.0369469026548668</v>
      </c>
      <c r="K320" s="109">
        <f t="shared" si="23"/>
        <v>6.7282448377581119</v>
      </c>
      <c r="L320" s="63">
        <f t="shared" si="24"/>
        <v>6.25</v>
      </c>
      <c r="M320" s="123"/>
    </row>
    <row r="321" spans="1:13" hidden="1">
      <c r="A321" s="63" t="str">
        <f>'RAW DATA 2023'!B127</f>
        <v>Roiphet1</v>
      </c>
      <c r="B321" s="63" t="str">
        <f>'RAW DATA 2023'!D127</f>
        <v>D3-I06-0080</v>
      </c>
      <c r="C321" s="63" t="str">
        <f t="shared" si="20"/>
        <v>Roiphet1D3-I06-0080</v>
      </c>
      <c r="D321" s="68">
        <f>VLOOKUP(C321,'RAW DATA 2023'!E:BP,63,0)</f>
        <v>4</v>
      </c>
      <c r="E321" s="68" t="str">
        <f t="shared" si="21"/>
        <v>Roiphet14</v>
      </c>
      <c r="F321" s="63" t="str">
        <f>VLOOKUP(C321,'RAW DATA 2023'!E:BO,5,0)</f>
        <v>Greenhouse</v>
      </c>
      <c r="G321" s="63" t="s">
        <v>1954</v>
      </c>
      <c r="H321" s="63">
        <f>VLOOKUP(C321,'RAW DATA 2023'!E:BO,2,0)</f>
        <v>0.72</v>
      </c>
      <c r="I321" s="106">
        <f>VLOOKUP(C321,'RAW DATA 2023'!E:BO,22,0)</f>
        <v>6.4425833333333333</v>
      </c>
      <c r="J321" s="72">
        <f t="shared" si="22"/>
        <v>2.4425833333333333</v>
      </c>
      <c r="K321" s="109">
        <f t="shared" si="23"/>
        <v>4.0709722222222222</v>
      </c>
      <c r="L321" s="63">
        <f t="shared" si="24"/>
        <v>4.0709722222222222</v>
      </c>
      <c r="M321" s="123"/>
    </row>
    <row r="322" spans="1:13" hidden="1">
      <c r="A322" s="63" t="str">
        <f>'RAW DATA 2023'!B130</f>
        <v>Roiphet1</v>
      </c>
      <c r="B322" s="63" t="str">
        <f>'RAW DATA 2023'!D130</f>
        <v>D1-I01-0090</v>
      </c>
      <c r="C322" s="63" t="str">
        <f t="shared" si="20"/>
        <v>Roiphet1D1-I01-0090</v>
      </c>
      <c r="D322" s="68">
        <f>VLOOKUP(C322,'RAW DATA 2023'!E:BP,63,0)</f>
        <v>2</v>
      </c>
      <c r="E322" s="68" t="str">
        <f t="shared" si="21"/>
        <v>Roiphet12</v>
      </c>
      <c r="F322" s="63" t="str">
        <f>VLOOKUP(C322,'RAW DATA 2023'!E:BO,5,0)</f>
        <v>Greenhouse</v>
      </c>
      <c r="G322" s="63" t="s">
        <v>1954</v>
      </c>
      <c r="H322" s="63">
        <f>VLOOKUP(C322,'RAW DATA 2023'!E:BO,2,0)</f>
        <v>0.72</v>
      </c>
      <c r="I322" s="106">
        <f>VLOOKUP(C322,'RAW DATA 2023'!E:BO,22,0)</f>
        <v>6.4015972222222217</v>
      </c>
      <c r="J322" s="72">
        <f t="shared" si="22"/>
        <v>2.4015972222222217</v>
      </c>
      <c r="K322" s="109">
        <f t="shared" si="23"/>
        <v>4.0026620370370365</v>
      </c>
      <c r="L322" s="63">
        <f t="shared" si="24"/>
        <v>4.0026620370370365</v>
      </c>
      <c r="M322" s="123"/>
    </row>
    <row r="323" spans="1:13" hidden="1">
      <c r="A323" s="63" t="str">
        <f>'RAW DATA 2023'!B131</f>
        <v>Roiphet1</v>
      </c>
      <c r="B323" s="63" t="str">
        <f>'RAW DATA 2023'!D131</f>
        <v>D3-G06-0083</v>
      </c>
      <c r="C323" s="63" t="str">
        <f t="shared" si="20"/>
        <v>Roiphet1D3-G06-0083</v>
      </c>
      <c r="D323" s="68">
        <f>VLOOKUP(C323,'RAW DATA 2023'!E:BP,63,0)</f>
        <v>4</v>
      </c>
      <c r="E323" s="68" t="str">
        <f t="shared" si="21"/>
        <v>Roiphet14</v>
      </c>
      <c r="F323" s="63" t="str">
        <f>VLOOKUP(C323,'RAW DATA 2023'!E:BO,5,0)</f>
        <v>Greenhouse</v>
      </c>
      <c r="G323" s="63" t="s">
        <v>1954</v>
      </c>
      <c r="H323" s="63">
        <f>VLOOKUP(C323,'RAW DATA 2023'!E:BO,2,0)</f>
        <v>1.1299999999999999</v>
      </c>
      <c r="I323" s="106">
        <f>VLOOKUP(C323,'RAW DATA 2023'!E:BO,22,0)</f>
        <v>9.6466548672566379</v>
      </c>
      <c r="J323" s="72">
        <f t="shared" si="22"/>
        <v>5.6466548672566379</v>
      </c>
      <c r="K323" s="109">
        <f t="shared" si="23"/>
        <v>9.411091445427731</v>
      </c>
      <c r="L323" s="63">
        <f t="shared" si="24"/>
        <v>6.25</v>
      </c>
      <c r="M323" s="123"/>
    </row>
    <row r="324" spans="1:13" hidden="1">
      <c r="A324" s="63" t="str">
        <f>'RAW DATA 2023'!B132</f>
        <v>Roiphet1</v>
      </c>
      <c r="B324" s="63" t="str">
        <f>'RAW DATA 2023'!D132</f>
        <v>D1-I02-0089</v>
      </c>
      <c r="C324" s="63" t="str">
        <f t="shared" si="20"/>
        <v>Roiphet1D1-I02-0089</v>
      </c>
      <c r="D324" s="68">
        <f>VLOOKUP(C324,'RAW DATA 2023'!E:BP,63,0)</f>
        <v>6</v>
      </c>
      <c r="E324" s="68" t="str">
        <f t="shared" si="21"/>
        <v>Roiphet16</v>
      </c>
      <c r="F324" s="63" t="str">
        <f>VLOOKUP(C324,'RAW DATA 2023'!E:BO,5,0)</f>
        <v>Greenhouse</v>
      </c>
      <c r="G324" s="63" t="s">
        <v>1954</v>
      </c>
      <c r="H324" s="63">
        <f>VLOOKUP(C324,'RAW DATA 2023'!E:BO,2,0)</f>
        <v>0.72</v>
      </c>
      <c r="I324" s="106">
        <f>VLOOKUP(C324,'RAW DATA 2023'!E:BO,22,0)</f>
        <v>6.6756388888888898</v>
      </c>
      <c r="J324" s="72">
        <f t="shared" si="22"/>
        <v>2.6756388888888898</v>
      </c>
      <c r="K324" s="109">
        <f t="shared" si="23"/>
        <v>4.4593981481481499</v>
      </c>
      <c r="L324" s="63">
        <f t="shared" si="24"/>
        <v>4.4593981481481499</v>
      </c>
      <c r="M324" s="123"/>
    </row>
    <row r="325" spans="1:13" hidden="1">
      <c r="A325" s="63" t="str">
        <f>'RAW DATA 2023'!B140</f>
        <v>Roiphet1</v>
      </c>
      <c r="B325" s="63" t="str">
        <f>'RAW DATA 2023'!D140</f>
        <v>A2-G03-0083</v>
      </c>
      <c r="C325" s="63" t="str">
        <f t="shared" si="20"/>
        <v>Roiphet1A2-G03-0083</v>
      </c>
      <c r="D325" s="68">
        <f>VLOOKUP(C325,'RAW DATA 2023'!E:BP,63,0)</f>
        <v>9</v>
      </c>
      <c r="E325" s="68" t="str">
        <f t="shared" si="21"/>
        <v>Roiphet19</v>
      </c>
      <c r="F325" s="63" t="str">
        <f>VLOOKUP(C325,'RAW DATA 2023'!E:BO,5,0)</f>
        <v>Greenhouse</v>
      </c>
      <c r="G325" s="63" t="s">
        <v>1954</v>
      </c>
      <c r="H325" s="63">
        <f>VLOOKUP(C325,'RAW DATA 2023'!E:BO,2,0)</f>
        <v>1.1299999999999999</v>
      </c>
      <c r="I325" s="106">
        <f>VLOOKUP(C325,'RAW DATA 2023'!E:BO,22,0)</f>
        <v>4.7650619469026552</v>
      </c>
      <c r="J325" s="72">
        <f t="shared" si="22"/>
        <v>0.76506194690265517</v>
      </c>
      <c r="K325" s="109">
        <f t="shared" si="23"/>
        <v>1.2751032448377586</v>
      </c>
      <c r="L325" s="63">
        <f t="shared" si="24"/>
        <v>1.2751032448377586</v>
      </c>
      <c r="M325" s="123"/>
    </row>
    <row r="326" spans="1:13" hidden="1">
      <c r="A326" s="63" t="str">
        <f>'RAW DATA 2023'!B141</f>
        <v>Roiphet1</v>
      </c>
      <c r="B326" s="63" t="str">
        <f>'RAW DATA 2023'!D141</f>
        <v>A2-I03-0095</v>
      </c>
      <c r="C326" s="63" t="str">
        <f t="shared" si="20"/>
        <v>Roiphet1A2-I03-0095</v>
      </c>
      <c r="D326" s="68">
        <f>VLOOKUP(C326,'RAW DATA 2023'!E:BP,63,0)</f>
        <v>9</v>
      </c>
      <c r="E326" s="68" t="str">
        <f t="shared" si="21"/>
        <v>Roiphet19</v>
      </c>
      <c r="F326" s="63" t="str">
        <f>VLOOKUP(C326,'RAW DATA 2023'!E:BO,5,0)</f>
        <v>Greenhouse</v>
      </c>
      <c r="G326" s="63" t="s">
        <v>1954</v>
      </c>
      <c r="H326" s="63">
        <f>VLOOKUP(C326,'RAW DATA 2023'!E:BO,2,0)</f>
        <v>0.72</v>
      </c>
      <c r="I326" s="106">
        <f>VLOOKUP(C326,'RAW DATA 2023'!E:BO,22,0)</f>
        <v>4.8289444444444447</v>
      </c>
      <c r="J326" s="72">
        <f>IF(I326=0,0,IF(F326=$B$2,I326-$B$6,IF(F326=$C$1,I326-$C$6,IF(AND(F326=$C$2,H326&lt;=$C$3),I326-$C$6,IF(AND(F326=$C$2,H326&lt;=$E$3),I326-$D$6,I326-$E$6)))))</f>
        <v>0.82894444444444471</v>
      </c>
      <c r="K326" s="109">
        <f t="shared" si="23"/>
        <v>1.3815740740740745</v>
      </c>
      <c r="L326" s="63">
        <f t="shared" si="24"/>
        <v>1.3815740740740745</v>
      </c>
      <c r="M326" s="123"/>
    </row>
    <row r="327" spans="1:13" hidden="1">
      <c r="A327" s="63" t="str">
        <f>'RAW DATA 2023'!B153</f>
        <v>Roiphet1</v>
      </c>
      <c r="B327" s="63" t="str">
        <f>'RAW DATA 2023'!D153</f>
        <v>A2-G03-0082</v>
      </c>
      <c r="C327" s="63" t="str">
        <f t="shared" si="20"/>
        <v>Roiphet1A2-G03-0082</v>
      </c>
      <c r="D327" s="68">
        <f>VLOOKUP(C327,'RAW DATA 2023'!E:BP,63,0)</f>
        <v>5</v>
      </c>
      <c r="E327" s="68" t="str">
        <f t="shared" si="21"/>
        <v>Roiphet15</v>
      </c>
      <c r="F327" s="63" t="str">
        <f>VLOOKUP(C327,'RAW DATA 2023'!E:BO,5,0)</f>
        <v>Greenhouse</v>
      </c>
      <c r="G327" s="63" t="s">
        <v>1954</v>
      </c>
      <c r="H327" s="63">
        <f>VLOOKUP(C327,'RAW DATA 2023'!E:BO,2,0)</f>
        <v>1.1299999999999999</v>
      </c>
      <c r="I327" s="106">
        <f>VLOOKUP(C327,'RAW DATA 2023'!E:BO,22,0)</f>
        <v>6.8285044247787621</v>
      </c>
      <c r="J327" s="72">
        <f t="shared" si="22"/>
        <v>2.8285044247787621</v>
      </c>
      <c r="K327" s="109">
        <f t="shared" si="23"/>
        <v>4.7141740412979374</v>
      </c>
      <c r="L327" s="63">
        <f t="shared" si="24"/>
        <v>4.7141740412979374</v>
      </c>
      <c r="M327" s="123"/>
    </row>
    <row r="328" spans="1:13">
      <c r="A328" s="63" t="str">
        <f>'RAW DATA 2023'!B155</f>
        <v>Roiphet1</v>
      </c>
      <c r="B328" s="63" t="str">
        <f>'RAW DATA 2023'!D155</f>
        <v>A3-G05-0076</v>
      </c>
      <c r="C328" s="63" t="str">
        <f t="shared" si="20"/>
        <v>Roiphet1A3-G05-0076</v>
      </c>
      <c r="D328" s="68">
        <f>VLOOKUP(C328,'RAW DATA 2023'!E:BP,63,0)</f>
        <v>6</v>
      </c>
      <c r="E328" s="68" t="str">
        <f t="shared" si="21"/>
        <v>Roiphet16</v>
      </c>
      <c r="F328" s="63" t="str">
        <f>VLOOKUP(C328,'RAW DATA 2023'!E:BO,5,0)</f>
        <v>Greenhouse</v>
      </c>
      <c r="G328" s="63" t="s">
        <v>1951</v>
      </c>
      <c r="H328" s="63">
        <f>VLOOKUP(C328,'RAW DATA 2023'!E:BO,2,0)</f>
        <v>1.1299999999999999</v>
      </c>
      <c r="I328" s="106">
        <f>VLOOKUP(C328,'RAW DATA 2023'!E:BO,22,0)</f>
        <v>6.2335840707964607</v>
      </c>
      <c r="J328" s="72">
        <f t="shared" si="22"/>
        <v>2.2335840707964607</v>
      </c>
      <c r="K328" s="109">
        <f t="shared" si="23"/>
        <v>3.7226401179941013</v>
      </c>
      <c r="L328" s="63">
        <f t="shared" si="24"/>
        <v>3.7226401179941013</v>
      </c>
      <c r="M328" s="123"/>
    </row>
    <row r="329" spans="1:13" hidden="1">
      <c r="A329" s="63" t="str">
        <f>'RAW DATA 2023'!B157</f>
        <v>Roiphet1</v>
      </c>
      <c r="B329" s="63" t="str">
        <f>'RAW DATA 2023'!D157</f>
        <v>A4-G08-0070</v>
      </c>
      <c r="C329" s="63" t="str">
        <f t="shared" si="20"/>
        <v>Roiphet1A4-G08-0070</v>
      </c>
      <c r="D329" s="68">
        <f>VLOOKUP(C329,'RAW DATA 2023'!E:BP,63,0)</f>
        <v>9</v>
      </c>
      <c r="E329" s="68" t="str">
        <f t="shared" si="21"/>
        <v>Roiphet19</v>
      </c>
      <c r="F329" s="63" t="str">
        <f>VLOOKUP(C329,'RAW DATA 2023'!E:BO,5,0)</f>
        <v>Greenhouse</v>
      </c>
      <c r="G329" s="63" t="s">
        <v>1954</v>
      </c>
      <c r="H329" s="63">
        <f>VLOOKUP(C329,'RAW DATA 2023'!E:BO,2,0)</f>
        <v>1.1299999999999999</v>
      </c>
      <c r="I329" s="106">
        <f>VLOOKUP(C329,'RAW DATA 2023'!E:BO,22,0)</f>
        <v>5.1540707964601777</v>
      </c>
      <c r="J329" s="72">
        <f t="shared" si="22"/>
        <v>1.1540707964601777</v>
      </c>
      <c r="K329" s="109">
        <f t="shared" si="23"/>
        <v>1.9234513274336296</v>
      </c>
      <c r="L329" s="63">
        <f t="shared" si="24"/>
        <v>1.9234513274336296</v>
      </c>
      <c r="M329" s="123"/>
    </row>
    <row r="330" spans="1:13" hidden="1">
      <c r="A330" s="63" t="str">
        <f>'RAW DATA 2023'!B159</f>
        <v>Roiphet1</v>
      </c>
      <c r="B330" s="63" t="str">
        <f>'RAW DATA 2023'!D159</f>
        <v>A2-G04-0081</v>
      </c>
      <c r="C330" s="63" t="str">
        <f t="shared" ref="C330:C393" si="25">A330&amp;B330</f>
        <v>Roiphet1A2-G04-0081</v>
      </c>
      <c r="D330" s="68">
        <f>VLOOKUP(C330,'RAW DATA 2023'!E:BP,63,0)</f>
        <v>5</v>
      </c>
      <c r="E330" s="68" t="str">
        <f t="shared" ref="E330:E393" si="26">A330&amp;D330</f>
        <v>Roiphet15</v>
      </c>
      <c r="F330" s="63" t="str">
        <f>VLOOKUP(C330,'RAW DATA 2023'!E:BO,5,0)</f>
        <v>Greenhouse</v>
      </c>
      <c r="G330" s="63" t="s">
        <v>1954</v>
      </c>
      <c r="H330" s="63">
        <f>VLOOKUP(C330,'RAW DATA 2023'!E:BO,2,0)</f>
        <v>1.1299999999999999</v>
      </c>
      <c r="I330" s="106">
        <f>VLOOKUP(C330,'RAW DATA 2023'!E:BO,22,0)</f>
        <v>7.4836725663716823</v>
      </c>
      <c r="J330" s="72">
        <f t="shared" ref="J330:J393" si="27">IF(I330=0,0,IF(F330=$B$2,I330-$B$6,IF(F330=$C$1,I330-$C$6,IF(AND(F330=$C$2,H330&lt;=$C$3),I330-$C$6,IF(AND(F330=$C$2,H330&lt;=$E$3),I330-$D$6,I330-$E$6)))))</f>
        <v>3.4836725663716823</v>
      </c>
      <c r="K330" s="109">
        <f t="shared" ref="K330:K393" si="28">IF(F330=$B$2,J330*$B$7,IF(AND(F330=$C$2,H330&lt;=$C$3),J330*$C$7,IF(AND(F330=$C$2,H330&lt;=$E$3),J330*$D$7,J330*$E$7)))</f>
        <v>5.8061209439528039</v>
      </c>
      <c r="L330" s="63">
        <f t="shared" ref="L330:L393" si="29">IF(K330&gt;=6.25,6.25,IF(K330&lt;=0,0,K330))</f>
        <v>5.8061209439528039</v>
      </c>
      <c r="M330" s="123"/>
    </row>
    <row r="331" spans="1:13" hidden="1">
      <c r="A331" s="63" t="str">
        <f>'RAW DATA 2023'!B168</f>
        <v>Roiphet1</v>
      </c>
      <c r="B331" s="63" t="str">
        <f>'RAW DATA 2023'!D168</f>
        <v>A1-G01-0062</v>
      </c>
      <c r="C331" s="63" t="str">
        <f t="shared" si="25"/>
        <v>Roiphet1A1-G01-0062</v>
      </c>
      <c r="D331" s="68">
        <f>VLOOKUP(C331,'RAW DATA 2023'!E:BP,63,0)</f>
        <v>1</v>
      </c>
      <c r="E331" s="68" t="str">
        <f t="shared" si="26"/>
        <v>Roiphet11</v>
      </c>
      <c r="F331" s="63" t="str">
        <f>VLOOKUP(C331,'RAW DATA 2023'!E:BO,5,0)</f>
        <v>Greenhouse</v>
      </c>
      <c r="G331" s="63" t="s">
        <v>1954</v>
      </c>
      <c r="H331" s="63">
        <f>VLOOKUP(C331,'RAW DATA 2023'!E:BO,2,0)</f>
        <v>1.1299999999999999</v>
      </c>
      <c r="I331" s="106">
        <f>VLOOKUP(C331,'RAW DATA 2023'!E:BO,22,0)</f>
        <v>4.8262831858407083</v>
      </c>
      <c r="J331" s="72">
        <f t="shared" si="27"/>
        <v>0.82628318584070826</v>
      </c>
      <c r="K331" s="109">
        <f t="shared" si="28"/>
        <v>1.3771386430678472</v>
      </c>
      <c r="L331" s="63">
        <f t="shared" si="29"/>
        <v>1.3771386430678472</v>
      </c>
      <c r="M331" s="123"/>
    </row>
    <row r="332" spans="1:13" hidden="1">
      <c r="A332" s="63" t="str">
        <f>'RAW DATA 2023'!B170</f>
        <v>Roiphet1</v>
      </c>
      <c r="B332" s="63" t="str">
        <f>'RAW DATA 2023'!D170</f>
        <v>A3-G05-0075</v>
      </c>
      <c r="C332" s="63" t="str">
        <f t="shared" si="25"/>
        <v>Roiphet1A3-G05-0075</v>
      </c>
      <c r="D332" s="68">
        <f>VLOOKUP(C332,'RAW DATA 2023'!E:BP,63,0)</f>
        <v>1</v>
      </c>
      <c r="E332" s="68" t="str">
        <f t="shared" si="26"/>
        <v>Roiphet11</v>
      </c>
      <c r="F332" s="63" t="str">
        <f>VLOOKUP(C332,'RAW DATA 2023'!E:BO,5,0)</f>
        <v>Greenhouse</v>
      </c>
      <c r="G332" s="63" t="s">
        <v>1955</v>
      </c>
      <c r="H332" s="63">
        <f>VLOOKUP(C332,'RAW DATA 2023'!E:BO,2,0)</f>
        <v>1.1299999999999999</v>
      </c>
      <c r="I332" s="106">
        <f>VLOOKUP(C332,'RAW DATA 2023'!E:BO,22,0)</f>
        <v>5.1117522123893808</v>
      </c>
      <c r="J332" s="72">
        <f t="shared" si="27"/>
        <v>1.1117522123893808</v>
      </c>
      <c r="K332" s="109">
        <f t="shared" si="28"/>
        <v>1.8529203539823014</v>
      </c>
      <c r="L332" s="63">
        <f t="shared" si="29"/>
        <v>1.8529203539823014</v>
      </c>
      <c r="M332" s="123"/>
    </row>
    <row r="333" spans="1:13" hidden="1">
      <c r="A333" s="63" t="str">
        <f>'RAW DATA 2023'!B171</f>
        <v>Roiphet1</v>
      </c>
      <c r="B333" s="63" t="str">
        <f>'RAW DATA 2023'!D171</f>
        <v>A4-G08-0069</v>
      </c>
      <c r="C333" s="63" t="str">
        <f t="shared" si="25"/>
        <v>Roiphet1A4-G08-0069</v>
      </c>
      <c r="D333" s="68">
        <f>VLOOKUP(C333,'RAW DATA 2023'!E:BP,63,0)</f>
        <v>6</v>
      </c>
      <c r="E333" s="68" t="str">
        <f t="shared" si="26"/>
        <v>Roiphet16</v>
      </c>
      <c r="F333" s="63" t="str">
        <f>VLOOKUP(C333,'RAW DATA 2023'!E:BO,5,0)</f>
        <v>Greenhouse</v>
      </c>
      <c r="G333" s="63" t="s">
        <v>1955</v>
      </c>
      <c r="H333" s="63">
        <f>VLOOKUP(C333,'RAW DATA 2023'!E:BO,2,0)</f>
        <v>1.1299999999999999</v>
      </c>
      <c r="I333" s="106">
        <f>VLOOKUP(C333,'RAW DATA 2023'!E:BO,22,0)</f>
        <v>5.0652920353982305</v>
      </c>
      <c r="J333" s="72">
        <f t="shared" si="27"/>
        <v>1.0652920353982305</v>
      </c>
      <c r="K333" s="109">
        <f t="shared" si="28"/>
        <v>1.7754867256637175</v>
      </c>
      <c r="L333" s="63">
        <f t="shared" si="29"/>
        <v>1.7754867256637175</v>
      </c>
      <c r="M333" s="123"/>
    </row>
    <row r="334" spans="1:13" hidden="1">
      <c r="A334" s="63" t="str">
        <f>'RAW DATA 2023'!B220</f>
        <v>Roiphet1</v>
      </c>
      <c r="B334" s="63" t="str">
        <f>'RAW DATA 2023'!D220</f>
        <v>C4-G08-0060</v>
      </c>
      <c r="C334" s="63" t="str">
        <f t="shared" si="25"/>
        <v>Roiphet1C4-G08-0060</v>
      </c>
      <c r="D334" s="68">
        <f>VLOOKUP(C334,'RAW DATA 2023'!E:BP,63,0)</f>
        <v>1</v>
      </c>
      <c r="E334" s="68" t="str">
        <f t="shared" si="26"/>
        <v>Roiphet11</v>
      </c>
      <c r="F334" s="63" t="str">
        <f>VLOOKUP(C334,'RAW DATA 2023'!E:BO,5,0)</f>
        <v>Greenhouse</v>
      </c>
      <c r="G334" s="63" t="s">
        <v>1954</v>
      </c>
      <c r="H334" s="63">
        <f>VLOOKUP(C334,'RAW DATA 2023'!E:BO,2,0)</f>
        <v>1.1299999999999999</v>
      </c>
      <c r="I334" s="106">
        <f>VLOOKUP(C334,'RAW DATA 2023'!E:BO,22,0)</f>
        <v>7.2075752212389386</v>
      </c>
      <c r="J334" s="72">
        <f t="shared" si="27"/>
        <v>3.2075752212389386</v>
      </c>
      <c r="K334" s="109">
        <f t="shared" si="28"/>
        <v>5.3459587020648982</v>
      </c>
      <c r="L334" s="63">
        <f t="shared" si="29"/>
        <v>5.3459587020648982</v>
      </c>
      <c r="M334" s="123"/>
    </row>
    <row r="335" spans="1:13" hidden="1">
      <c r="A335" s="63" t="str">
        <f>'RAW DATA 2023'!B255</f>
        <v>Roiphet1</v>
      </c>
      <c r="B335" s="63" t="str">
        <f>'RAW DATA 2023'!D255</f>
        <v>C4-I08-0063</v>
      </c>
      <c r="C335" s="63" t="str">
        <f t="shared" si="25"/>
        <v>Roiphet1C4-I08-0063</v>
      </c>
      <c r="D335" s="68">
        <f>VLOOKUP(C335,'RAW DATA 2023'!E:BP,63,0)</f>
        <v>2</v>
      </c>
      <c r="E335" s="68" t="str">
        <f t="shared" si="26"/>
        <v>Roiphet12</v>
      </c>
      <c r="F335" s="63" t="str">
        <f>VLOOKUP(C335,'RAW DATA 2023'!E:BO,5,0)</f>
        <v>Greenhouse</v>
      </c>
      <c r="G335" s="63" t="s">
        <v>1954</v>
      </c>
      <c r="H335" s="63">
        <f>VLOOKUP(C335,'RAW DATA 2023'!E:BO,2,0)</f>
        <v>0.72</v>
      </c>
      <c r="I335" s="106">
        <f>VLOOKUP(C335,'RAW DATA 2023'!E:BO,22,0)</f>
        <v>6.6730416666666672</v>
      </c>
      <c r="J335" s="72">
        <f t="shared" si="27"/>
        <v>2.6730416666666672</v>
      </c>
      <c r="K335" s="109">
        <f t="shared" si="28"/>
        <v>4.4550694444444456</v>
      </c>
      <c r="L335" s="63">
        <f t="shared" si="29"/>
        <v>4.4550694444444456</v>
      </c>
      <c r="M335" s="123"/>
    </row>
    <row r="336" spans="1:13" hidden="1">
      <c r="A336" s="63" t="str">
        <f>'RAW DATA 2023'!B259</f>
        <v>Roiphet1</v>
      </c>
      <c r="B336" s="63" t="str">
        <f>'RAW DATA 2023'!D259</f>
        <v>C3-I06-0063</v>
      </c>
      <c r="C336" s="63" t="str">
        <f t="shared" si="25"/>
        <v>Roiphet1C3-I06-0063</v>
      </c>
      <c r="D336" s="68">
        <f>VLOOKUP(C336,'RAW DATA 2023'!E:BP,63,0)</f>
        <v>5</v>
      </c>
      <c r="E336" s="68" t="str">
        <f t="shared" si="26"/>
        <v>Roiphet15</v>
      </c>
      <c r="F336" s="63" t="str">
        <f>VLOOKUP(C336,'RAW DATA 2023'!E:BO,5,0)</f>
        <v>Greenhouse</v>
      </c>
      <c r="G336" s="63" t="s">
        <v>1954</v>
      </c>
      <c r="H336" s="63">
        <f>VLOOKUP(C336,'RAW DATA 2023'!E:BO,2,0)</f>
        <v>0.72</v>
      </c>
      <c r="I336" s="106">
        <f>VLOOKUP(C336,'RAW DATA 2023'!E:BO,22,0)</f>
        <v>2.1116111111111109</v>
      </c>
      <c r="J336" s="72">
        <f t="shared" si="27"/>
        <v>-1.8883888888888891</v>
      </c>
      <c r="K336" s="109">
        <f t="shared" si="28"/>
        <v>-3.1473148148148153</v>
      </c>
      <c r="L336" s="63">
        <f t="shared" si="29"/>
        <v>0</v>
      </c>
      <c r="M336" s="123"/>
    </row>
    <row r="337" spans="1:13" hidden="1">
      <c r="A337" s="63" t="str">
        <f>'RAW DATA 2023'!B260</f>
        <v>Roiphet1</v>
      </c>
      <c r="B337" s="63" t="str">
        <f>'RAW DATA 2023'!D260</f>
        <v>C2-I04-0067</v>
      </c>
      <c r="C337" s="63" t="str">
        <f t="shared" si="25"/>
        <v>Roiphet1C2-I04-0067</v>
      </c>
      <c r="D337" s="68">
        <f>VLOOKUP(C337,'RAW DATA 2023'!E:BP,63,0)</f>
        <v>6</v>
      </c>
      <c r="E337" s="68" t="str">
        <f t="shared" si="26"/>
        <v>Roiphet16</v>
      </c>
      <c r="F337" s="63" t="str">
        <f>VLOOKUP(C337,'RAW DATA 2023'!E:BO,5,0)</f>
        <v>Greenhouse</v>
      </c>
      <c r="G337" s="63" t="s">
        <v>1954</v>
      </c>
      <c r="H337" s="63">
        <f>VLOOKUP(C337,'RAW DATA 2023'!E:BO,2,0)</f>
        <v>0.72</v>
      </c>
      <c r="I337" s="106">
        <f>VLOOKUP(C337,'RAW DATA 2023'!E:BO,22,0)</f>
        <v>3.7113750000000003</v>
      </c>
      <c r="J337" s="72">
        <f t="shared" si="27"/>
        <v>-0.28862499999999969</v>
      </c>
      <c r="K337" s="109">
        <f t="shared" si="28"/>
        <v>-0.48104166666666615</v>
      </c>
      <c r="L337" s="63">
        <f t="shared" si="29"/>
        <v>0</v>
      </c>
      <c r="M337" s="123"/>
    </row>
    <row r="338" spans="1:13" hidden="1">
      <c r="A338" s="63" t="str">
        <f>'RAW DATA 2023'!B265</f>
        <v>Roiphet1</v>
      </c>
      <c r="B338" s="63" t="str">
        <f>'RAW DATA 2023'!D265</f>
        <v>C2-G04-0064</v>
      </c>
      <c r="C338" s="63" t="str">
        <f t="shared" si="25"/>
        <v>Roiphet1C2-G04-0064</v>
      </c>
      <c r="D338" s="68">
        <f>VLOOKUP(C338,'RAW DATA 2023'!E:BP,63,0)</f>
        <v>6</v>
      </c>
      <c r="E338" s="68" t="str">
        <f t="shared" si="26"/>
        <v>Roiphet16</v>
      </c>
      <c r="F338" s="63" t="str">
        <f>VLOOKUP(C338,'RAW DATA 2023'!E:BO,5,0)</f>
        <v>Greenhouse</v>
      </c>
      <c r="G338" s="63" t="s">
        <v>1954</v>
      </c>
      <c r="H338" s="63">
        <f>VLOOKUP(C338,'RAW DATA 2023'!E:BO,2,0)</f>
        <v>1.1299999999999999</v>
      </c>
      <c r="I338" s="106">
        <f>VLOOKUP(C338,'RAW DATA 2023'!E:BO,22,0)</f>
        <v>3.1751415929203541</v>
      </c>
      <c r="J338" s="72">
        <f t="shared" si="27"/>
        <v>-0.82485840707964586</v>
      </c>
      <c r="K338" s="109">
        <f t="shared" si="28"/>
        <v>-1.3747640117994098</v>
      </c>
      <c r="L338" s="63">
        <f t="shared" si="29"/>
        <v>0</v>
      </c>
      <c r="M338" s="123"/>
    </row>
    <row r="339" spans="1:13" hidden="1">
      <c r="A339" s="63" t="str">
        <f>'RAW DATA 2023'!B269</f>
        <v>Roiphet1</v>
      </c>
      <c r="B339" s="63" t="str">
        <f>'RAW DATA 2023'!D269</f>
        <v>B1-I02-0096</v>
      </c>
      <c r="C339" s="63" t="str">
        <f t="shared" si="25"/>
        <v>Roiphet1B1-I02-0096</v>
      </c>
      <c r="D339" s="68">
        <f>VLOOKUP(C339,'RAW DATA 2023'!E:BP,63,0)</f>
        <v>12</v>
      </c>
      <c r="E339" s="68" t="str">
        <f t="shared" si="26"/>
        <v>Roiphet112</v>
      </c>
      <c r="F339" s="63" t="str">
        <f>VLOOKUP(C339,'RAW DATA 2023'!E:BO,5,0)</f>
        <v>Greenhouse</v>
      </c>
      <c r="G339" s="63" t="s">
        <v>67</v>
      </c>
      <c r="H339" s="63">
        <f>VLOOKUP(C339,'RAW DATA 2023'!E:BO,2,0)</f>
        <v>0.72</v>
      </c>
      <c r="I339" s="106">
        <f>VLOOKUP(C339,'RAW DATA 2023'!E:BO,22,0)</f>
        <v>6.3781249999999998</v>
      </c>
      <c r="J339" s="72">
        <f t="shared" si="27"/>
        <v>2.3781249999999998</v>
      </c>
      <c r="K339" s="109">
        <f t="shared" si="28"/>
        <v>3.9635416666666665</v>
      </c>
      <c r="L339" s="63">
        <f t="shared" si="29"/>
        <v>3.9635416666666665</v>
      </c>
      <c r="M339" s="123"/>
    </row>
    <row r="340" spans="1:13" hidden="1">
      <c r="A340" s="63" t="str">
        <f>'RAW DATA 2023'!B281</f>
        <v>Roiphet1</v>
      </c>
      <c r="B340" s="63" t="str">
        <f>'RAW DATA 2023'!D281</f>
        <v>B4-I08-0088</v>
      </c>
      <c r="C340" s="63" t="str">
        <f t="shared" si="25"/>
        <v>Roiphet1B4-I08-0088</v>
      </c>
      <c r="D340" s="68">
        <f>VLOOKUP(C340,'RAW DATA 2023'!E:BP,63,0)</f>
        <v>3</v>
      </c>
      <c r="E340" s="68" t="str">
        <f t="shared" si="26"/>
        <v>Roiphet13</v>
      </c>
      <c r="F340" s="63" t="str">
        <f>VLOOKUP(C340,'RAW DATA 2023'!E:BO,5,0)</f>
        <v>Greenhouse</v>
      </c>
      <c r="G340" s="63" t="s">
        <v>67</v>
      </c>
      <c r="H340" s="63">
        <f>VLOOKUP(C340,'RAW DATA 2023'!E:BO,2,0)</f>
        <v>0.72</v>
      </c>
      <c r="I340" s="106">
        <f>VLOOKUP(C340,'RAW DATA 2023'!E:BO,22,0)</f>
        <v>5.8466944444444451</v>
      </c>
      <c r="J340" s="72">
        <f t="shared" si="27"/>
        <v>1.8466944444444451</v>
      </c>
      <c r="K340" s="109">
        <f t="shared" si="28"/>
        <v>3.0778240740740754</v>
      </c>
      <c r="L340" s="63">
        <f t="shared" si="29"/>
        <v>3.0778240740740754</v>
      </c>
      <c r="M340" s="123"/>
    </row>
    <row r="341" spans="1:13" hidden="1">
      <c r="A341" s="63" t="str">
        <f>'RAW DATA 2023'!B283</f>
        <v>Roiphet1</v>
      </c>
      <c r="B341" s="63" t="str">
        <f>'RAW DATA 2023'!D283</f>
        <v>B4-I07-0088</v>
      </c>
      <c r="C341" s="63" t="str">
        <f t="shared" si="25"/>
        <v>Roiphet1B4-I07-0088</v>
      </c>
      <c r="D341" s="68">
        <f>VLOOKUP(C341,'RAW DATA 2023'!E:BP,63,0)</f>
        <v>3</v>
      </c>
      <c r="E341" s="68" t="str">
        <f t="shared" si="26"/>
        <v>Roiphet13</v>
      </c>
      <c r="F341" s="63" t="str">
        <f>VLOOKUP(C341,'RAW DATA 2023'!E:BO,5,0)</f>
        <v>Greenhouse</v>
      </c>
      <c r="G341" s="63" t="s">
        <v>67</v>
      </c>
      <c r="H341" s="63">
        <f>VLOOKUP(C341,'RAW DATA 2023'!E:BO,2,0)</f>
        <v>0.72</v>
      </c>
      <c r="I341" s="106">
        <f>VLOOKUP(C341,'RAW DATA 2023'!E:BO,22,0)</f>
        <v>6.5184583333333341</v>
      </c>
      <c r="J341" s="72">
        <f t="shared" si="27"/>
        <v>2.5184583333333341</v>
      </c>
      <c r="K341" s="109">
        <f t="shared" si="28"/>
        <v>4.1974305555555569</v>
      </c>
      <c r="L341" s="63">
        <f t="shared" si="29"/>
        <v>4.1974305555555569</v>
      </c>
      <c r="M341" s="123"/>
    </row>
    <row r="342" spans="1:13" hidden="1">
      <c r="A342" s="63" t="str">
        <f>'RAW DATA 2023'!B284</f>
        <v>Roiphet1</v>
      </c>
      <c r="B342" s="63" t="str">
        <f>'RAW DATA 2023'!D284</f>
        <v>B5-G09-0084</v>
      </c>
      <c r="C342" s="63" t="str">
        <f t="shared" si="25"/>
        <v>Roiphet1B5-G09-0084</v>
      </c>
      <c r="D342" s="68">
        <f>VLOOKUP(C342,'RAW DATA 2023'!E:BP,63,0)</f>
        <v>5</v>
      </c>
      <c r="E342" s="68" t="str">
        <f t="shared" si="26"/>
        <v>Roiphet15</v>
      </c>
      <c r="F342" s="63" t="str">
        <f>VLOOKUP(C342,'RAW DATA 2023'!E:BO,5,0)</f>
        <v>Greenhouse</v>
      </c>
      <c r="G342" s="63" t="s">
        <v>67</v>
      </c>
      <c r="H342" s="63">
        <f>VLOOKUP(C342,'RAW DATA 2023'!E:BO,2,0)</f>
        <v>1.1299999999999999</v>
      </c>
      <c r="I342" s="106">
        <f>VLOOKUP(C342,'RAW DATA 2023'!E:BO,22,0)</f>
        <v>9.5306194690265507</v>
      </c>
      <c r="J342" s="72">
        <f t="shared" si="27"/>
        <v>5.5306194690265507</v>
      </c>
      <c r="K342" s="109">
        <f t="shared" si="28"/>
        <v>9.2176991150442511</v>
      </c>
      <c r="L342" s="63">
        <f t="shared" si="29"/>
        <v>6.25</v>
      </c>
      <c r="M342" s="123"/>
    </row>
    <row r="343" spans="1:13" hidden="1">
      <c r="A343" s="63" t="str">
        <f>'RAW DATA 2023'!B285</f>
        <v>Roiphet1</v>
      </c>
      <c r="B343" s="63" t="str">
        <f>'RAW DATA 2023'!D285</f>
        <v>B1-G01-0085</v>
      </c>
      <c r="C343" s="63" t="str">
        <f t="shared" si="25"/>
        <v>Roiphet1B1-G01-0085</v>
      </c>
      <c r="D343" s="68">
        <f>VLOOKUP(C343,'RAW DATA 2023'!E:BP,63,0)</f>
        <v>12</v>
      </c>
      <c r="E343" s="68" t="str">
        <f t="shared" si="26"/>
        <v>Roiphet112</v>
      </c>
      <c r="F343" s="63" t="str">
        <f>VLOOKUP(C343,'RAW DATA 2023'!E:BO,5,0)</f>
        <v>Greenhouse</v>
      </c>
      <c r="G343" s="63" t="s">
        <v>67</v>
      </c>
      <c r="H343" s="63">
        <f>VLOOKUP(C343,'RAW DATA 2023'!E:BO,2,0)</f>
        <v>1.1299999999999999</v>
      </c>
      <c r="I343" s="106">
        <f>VLOOKUP(C343,'RAW DATA 2023'!E:BO,22,0)</f>
        <v>9.8200088495575226</v>
      </c>
      <c r="J343" s="72">
        <f t="shared" si="27"/>
        <v>5.8200088495575226</v>
      </c>
      <c r="K343" s="109">
        <f t="shared" si="28"/>
        <v>9.7000147492625377</v>
      </c>
      <c r="L343" s="63">
        <f t="shared" si="29"/>
        <v>6.25</v>
      </c>
      <c r="M343" s="123"/>
    </row>
    <row r="344" spans="1:13" hidden="1">
      <c r="A344" s="63" t="str">
        <f>'RAW DATA 2023'!B296</f>
        <v>Roiphet1</v>
      </c>
      <c r="B344" s="63" t="str">
        <f>'RAW DATA 2023'!D296</f>
        <v>B6-I12-0087</v>
      </c>
      <c r="C344" s="63" t="str">
        <f t="shared" si="25"/>
        <v>Roiphet1B6-I12-0087</v>
      </c>
      <c r="D344" s="68">
        <f>VLOOKUP(C344,'RAW DATA 2023'!E:BP,63,0)</f>
        <v>8</v>
      </c>
      <c r="E344" s="68" t="str">
        <f t="shared" si="26"/>
        <v>Roiphet18</v>
      </c>
      <c r="F344" s="63" t="str">
        <f>VLOOKUP(C344,'RAW DATA 2023'!E:BO,5,0)</f>
        <v>Greenhouse</v>
      </c>
      <c r="G344" s="63" t="s">
        <v>67</v>
      </c>
      <c r="H344" s="63">
        <f>VLOOKUP(C344,'RAW DATA 2023'!E:BO,2,0)</f>
        <v>0.72</v>
      </c>
      <c r="I344" s="106">
        <f>VLOOKUP(C344,'RAW DATA 2023'!E:BO,22,0)</f>
        <v>3.3106944444444442</v>
      </c>
      <c r="J344" s="72">
        <f t="shared" si="27"/>
        <v>-0.68930555555555584</v>
      </c>
      <c r="K344" s="109">
        <f t="shared" si="28"/>
        <v>-1.1488425925925931</v>
      </c>
      <c r="L344" s="63">
        <f t="shared" si="29"/>
        <v>0</v>
      </c>
      <c r="M344" s="123"/>
    </row>
    <row r="345" spans="1:13">
      <c r="A345" s="63" t="str">
        <f>'RAW DATA 2023'!B297</f>
        <v>Roiphet1</v>
      </c>
      <c r="B345" s="63" t="str">
        <f>'RAW DATA 2023'!D297</f>
        <v>B1-I02-0095</v>
      </c>
      <c r="C345" s="63" t="str">
        <f t="shared" si="25"/>
        <v>Roiphet1B1-I02-0095</v>
      </c>
      <c r="D345" s="68">
        <f>VLOOKUP(C345,'RAW DATA 2023'!E:BP,63,0)</f>
        <v>6</v>
      </c>
      <c r="E345" s="68" t="str">
        <f t="shared" si="26"/>
        <v>Roiphet16</v>
      </c>
      <c r="F345" s="63" t="str">
        <f>VLOOKUP(C345,'RAW DATA 2023'!E:BO,5,0)</f>
        <v>Greenhouse</v>
      </c>
      <c r="G345" s="63" t="s">
        <v>1951</v>
      </c>
      <c r="H345" s="63">
        <f>VLOOKUP(C345,'RAW DATA 2023'!E:BO,2,0)</f>
        <v>0.72</v>
      </c>
      <c r="I345" s="106">
        <f>VLOOKUP(C345,'RAW DATA 2023'!E:BO,22,0)</f>
        <v>7.8475972222222232</v>
      </c>
      <c r="J345" s="72">
        <f t="shared" si="27"/>
        <v>3.8475972222222232</v>
      </c>
      <c r="K345" s="109">
        <f t="shared" si="28"/>
        <v>6.4126620370370393</v>
      </c>
      <c r="L345" s="63">
        <f t="shared" si="29"/>
        <v>6.25</v>
      </c>
      <c r="M345" s="123"/>
    </row>
    <row r="346" spans="1:13" hidden="1">
      <c r="A346" s="63" t="str">
        <f>'RAW DATA 2023'!B298</f>
        <v>Roiphet1</v>
      </c>
      <c r="B346" s="63" t="str">
        <f>'RAW DATA 2023'!D298</f>
        <v>B1-G01-0084</v>
      </c>
      <c r="C346" s="63" t="str">
        <f t="shared" si="25"/>
        <v>Roiphet1B1-G01-0084</v>
      </c>
      <c r="D346" s="68">
        <f>VLOOKUP(C346,'RAW DATA 2023'!E:BP,63,0)</f>
        <v>6</v>
      </c>
      <c r="E346" s="68" t="str">
        <f t="shared" si="26"/>
        <v>Roiphet16</v>
      </c>
      <c r="F346" s="63" t="str">
        <f>VLOOKUP(C346,'RAW DATA 2023'!E:BO,5,0)</f>
        <v>Greenhouse</v>
      </c>
      <c r="G346" s="63" t="s">
        <v>67</v>
      </c>
      <c r="H346" s="63">
        <f>VLOOKUP(C346,'RAW DATA 2023'!E:BO,2,0)</f>
        <v>1.1299999999999999</v>
      </c>
      <c r="I346" s="106">
        <f>VLOOKUP(C346,'RAW DATA 2023'!E:BO,22,0)</f>
        <v>7.0180530973451329</v>
      </c>
      <c r="J346" s="72">
        <f t="shared" si="27"/>
        <v>3.0180530973451329</v>
      </c>
      <c r="K346" s="109">
        <f t="shared" si="28"/>
        <v>5.0300884955752219</v>
      </c>
      <c r="L346" s="63">
        <f t="shared" si="29"/>
        <v>5.0300884955752219</v>
      </c>
      <c r="M346" s="123"/>
    </row>
    <row r="347" spans="1:13">
      <c r="A347" s="63" t="str">
        <f>'RAW DATA 2023'!B299</f>
        <v>Roiphet1</v>
      </c>
      <c r="B347" s="63" t="str">
        <f>'RAW DATA 2023'!D299</f>
        <v>B3-I05-0093</v>
      </c>
      <c r="C347" s="63" t="str">
        <f t="shared" si="25"/>
        <v>Roiphet1B3-I05-0093</v>
      </c>
      <c r="D347" s="68">
        <f>VLOOKUP(C347,'RAW DATA 2023'!E:BP,63,0)</f>
        <v>8</v>
      </c>
      <c r="E347" s="68" t="str">
        <f t="shared" si="26"/>
        <v>Roiphet18</v>
      </c>
      <c r="F347" s="63" t="str">
        <f>VLOOKUP(C347,'RAW DATA 2023'!E:BO,5,0)</f>
        <v>Greenhouse</v>
      </c>
      <c r="G347" s="63" t="s">
        <v>1951</v>
      </c>
      <c r="H347" s="63">
        <f>VLOOKUP(C347,'RAW DATA 2023'!E:BO,2,0)</f>
        <v>0.72</v>
      </c>
      <c r="I347" s="106">
        <f>VLOOKUP(C347,'RAW DATA 2023'!E:BO,22,0)</f>
        <v>2.9153472222222225</v>
      </c>
      <c r="J347" s="72">
        <f t="shared" si="27"/>
        <v>-1.0846527777777775</v>
      </c>
      <c r="K347" s="109">
        <f t="shared" si="28"/>
        <v>-1.8077546296296292</v>
      </c>
      <c r="L347" s="63">
        <f t="shared" si="29"/>
        <v>0</v>
      </c>
      <c r="M347" s="123"/>
    </row>
    <row r="348" spans="1:13">
      <c r="A348" s="63" t="str">
        <f>'RAW DATA 2023'!B304</f>
        <v>Roiphet1</v>
      </c>
      <c r="B348" s="63" t="str">
        <f>'RAW DATA 2023'!D304</f>
        <v>B3-I06-0094</v>
      </c>
      <c r="C348" s="63" t="str">
        <f t="shared" si="25"/>
        <v>Roiphet1B3-I06-0094</v>
      </c>
      <c r="D348" s="68">
        <f>VLOOKUP(C348,'RAW DATA 2023'!E:BP,63,0)</f>
        <v>6</v>
      </c>
      <c r="E348" s="68" t="str">
        <f t="shared" si="26"/>
        <v>Roiphet16</v>
      </c>
      <c r="F348" s="63" t="str">
        <f>VLOOKUP(C348,'RAW DATA 2023'!E:BO,5,0)</f>
        <v>Greenhouse</v>
      </c>
      <c r="G348" s="63" t="s">
        <v>1951</v>
      </c>
      <c r="H348" s="63">
        <f>VLOOKUP(C348,'RAW DATA 2023'!E:BO,2,0)</f>
        <v>0.72</v>
      </c>
      <c r="I348" s="106">
        <f>VLOOKUP(C348,'RAW DATA 2023'!E:BO,22,0)</f>
        <v>7.0005138888888894</v>
      </c>
      <c r="J348" s="72">
        <f t="shared" si="27"/>
        <v>3.0005138888888894</v>
      </c>
      <c r="K348" s="109">
        <f t="shared" si="28"/>
        <v>5.0008564814814829</v>
      </c>
      <c r="L348" s="63">
        <f t="shared" si="29"/>
        <v>5.0008564814814829</v>
      </c>
      <c r="M348" s="123"/>
    </row>
    <row r="349" spans="1:13">
      <c r="A349" s="63" t="str">
        <f>'RAW DATA 2023'!B305</f>
        <v>Roiphet1</v>
      </c>
      <c r="B349" s="63" t="str">
        <f>'RAW DATA 2023'!D305</f>
        <v>B5-I09-0095</v>
      </c>
      <c r="C349" s="63" t="str">
        <f t="shared" si="25"/>
        <v>Roiphet1B5-I09-0095</v>
      </c>
      <c r="D349" s="68">
        <f>VLOOKUP(C349,'RAW DATA 2023'!E:BP,63,0)</f>
        <v>11</v>
      </c>
      <c r="E349" s="68" t="str">
        <f t="shared" si="26"/>
        <v>Roiphet111</v>
      </c>
      <c r="F349" s="63" t="str">
        <f>VLOOKUP(C349,'RAW DATA 2023'!E:BO,5,0)</f>
        <v>Greenhouse</v>
      </c>
      <c r="G349" s="63" t="s">
        <v>1951</v>
      </c>
      <c r="H349" s="63">
        <f>VLOOKUP(C349,'RAW DATA 2023'!E:BO,2,0)</f>
        <v>0.72</v>
      </c>
      <c r="I349" s="106">
        <f>VLOOKUP(C349,'RAW DATA 2023'!E:BO,22,0)</f>
        <v>3.7542361111111116</v>
      </c>
      <c r="J349" s="72">
        <f t="shared" si="27"/>
        <v>-0.24576388888888845</v>
      </c>
      <c r="K349" s="109">
        <f t="shared" si="28"/>
        <v>-0.40960648148148077</v>
      </c>
      <c r="L349" s="63">
        <f t="shared" si="29"/>
        <v>0</v>
      </c>
      <c r="M349" s="123"/>
    </row>
    <row r="350" spans="1:13">
      <c r="A350" s="63" t="str">
        <f>'RAW DATA 2023'!B316</f>
        <v>Choknavy</v>
      </c>
      <c r="B350" s="63" t="str">
        <f>'RAW DATA 2023'!D316</f>
        <v>A1-005-0006</v>
      </c>
      <c r="C350" s="63" t="str">
        <f t="shared" si="25"/>
        <v>ChoknavyA1-005-0006</v>
      </c>
      <c r="D350" s="68">
        <f>VLOOKUP(C350,'RAW DATA 2023'!E:BP,63,0)</f>
        <v>8</v>
      </c>
      <c r="E350" s="68" t="str">
        <f t="shared" si="26"/>
        <v>Choknavy8</v>
      </c>
      <c r="F350" s="63" t="str">
        <f>VLOOKUP(C350,'RAW DATA 2023'!E:BO,5,0)</f>
        <v>Outdoor</v>
      </c>
      <c r="G350" s="63" t="s">
        <v>1951</v>
      </c>
      <c r="H350" s="63">
        <f>VLOOKUP(C350,'RAW DATA 2023'!E:BO,2,0)</f>
        <v>5.5</v>
      </c>
      <c r="I350" s="106">
        <f>VLOOKUP(C350,'RAW DATA 2023'!E:BO,22,0)</f>
        <v>6.7299272727272728</v>
      </c>
      <c r="J350" s="72">
        <f t="shared" si="27"/>
        <v>4.7299272727272728</v>
      </c>
      <c r="K350" s="109">
        <f t="shared" si="28"/>
        <v>7.8832121212121216</v>
      </c>
      <c r="L350" s="63">
        <f t="shared" si="29"/>
        <v>6.25</v>
      </c>
      <c r="M350" s="123"/>
    </row>
    <row r="351" spans="1:13" hidden="1">
      <c r="A351" s="63" t="str">
        <f>'RAW DATA 2023'!B331</f>
        <v>Maeklong1</v>
      </c>
      <c r="B351" s="63" t="str">
        <f>'RAW DATA 2023'!D331</f>
        <v>A1-021-0026</v>
      </c>
      <c r="C351" s="63" t="str">
        <f t="shared" si="25"/>
        <v>Maeklong1A1-021-0026</v>
      </c>
      <c r="D351" s="68">
        <f>VLOOKUP(C351,'RAW DATA 2023'!E:BP,63,0)</f>
        <v>12</v>
      </c>
      <c r="E351" s="68" t="str">
        <f t="shared" si="26"/>
        <v>Maeklong112</v>
      </c>
      <c r="F351" s="63" t="str">
        <f>VLOOKUP(C351,'RAW DATA 2023'!E:BO,5,0)</f>
        <v>Outdoor</v>
      </c>
      <c r="G351" s="63" t="s">
        <v>1955</v>
      </c>
      <c r="H351" s="63">
        <f>VLOOKUP(C351,'RAW DATA 2023'!E:BO,2,0)</f>
        <v>3.82</v>
      </c>
      <c r="I351" s="106">
        <f>VLOOKUP(C351,'RAW DATA 2023'!E:BO,22,0)</f>
        <v>7.7212591623036655</v>
      </c>
      <c r="J351" s="72">
        <f t="shared" si="27"/>
        <v>4.7212591623036655</v>
      </c>
      <c r="K351" s="109">
        <f t="shared" si="28"/>
        <v>7.8687652705061097</v>
      </c>
      <c r="L351" s="63">
        <f t="shared" si="29"/>
        <v>6.25</v>
      </c>
      <c r="M351" s="123"/>
    </row>
    <row r="352" spans="1:13" hidden="1">
      <c r="A352" s="63" t="str">
        <f>'RAW DATA 2023'!B336</f>
        <v>Maeklong1</v>
      </c>
      <c r="B352" s="63" t="str">
        <f>'RAW DATA 2023'!D336</f>
        <v>A1-019-0023</v>
      </c>
      <c r="C352" s="63" t="str">
        <f t="shared" si="25"/>
        <v>Maeklong1A1-019-0023</v>
      </c>
      <c r="D352" s="68">
        <f>VLOOKUP(C352,'RAW DATA 2023'!E:BP,63,0)</f>
        <v>5</v>
      </c>
      <c r="E352" s="68" t="str">
        <f t="shared" si="26"/>
        <v>Maeklong15</v>
      </c>
      <c r="F352" s="63" t="str">
        <f>VLOOKUP(C352,'RAW DATA 2023'!E:BO,5,0)</f>
        <v>Outdoor</v>
      </c>
      <c r="G352" s="63" t="s">
        <v>1954</v>
      </c>
      <c r="H352" s="63">
        <f>VLOOKUP(C352,'RAW DATA 2023'!E:BO,2,0)</f>
        <v>5.24</v>
      </c>
      <c r="I352" s="106">
        <f>VLOOKUP(C352,'RAW DATA 2023'!E:BO,22,0)</f>
        <v>9.8537977099236649</v>
      </c>
      <c r="J352" s="72">
        <f t="shared" si="27"/>
        <v>7.8537977099236649</v>
      </c>
      <c r="K352" s="109">
        <f t="shared" si="28"/>
        <v>13.089662849872775</v>
      </c>
      <c r="L352" s="63">
        <f t="shared" si="29"/>
        <v>6.25</v>
      </c>
      <c r="M352" s="123"/>
    </row>
    <row r="353" spans="1:13" hidden="1">
      <c r="A353" s="63" t="str">
        <f>'RAW DATA 2023'!B370</f>
        <v>PB5</v>
      </c>
      <c r="B353" s="63" t="str">
        <f>'RAW DATA 2023'!D370</f>
        <v>A1-005-0053</v>
      </c>
      <c r="C353" s="63" t="str">
        <f t="shared" si="25"/>
        <v>PB5A1-005-0053</v>
      </c>
      <c r="D353" s="68">
        <f>VLOOKUP(C353,'RAW DATA 2023'!E:BP,63,0)</f>
        <v>11</v>
      </c>
      <c r="E353" s="68" t="str">
        <f t="shared" si="26"/>
        <v>PB511</v>
      </c>
      <c r="F353" s="63" t="str">
        <f>VLOOKUP(C353,'RAW DATA 2023'!E:BO,5,0)</f>
        <v>Outdoor</v>
      </c>
      <c r="G353" s="63" t="s">
        <v>67</v>
      </c>
      <c r="H353" s="63">
        <f>VLOOKUP(C353,'RAW DATA 2023'!E:BO,2,0)</f>
        <v>4.37</v>
      </c>
      <c r="I353" s="106">
        <f>VLOOKUP(C353,'RAW DATA 2023'!E:BO,22,0)</f>
        <v>3.9639061784897023</v>
      </c>
      <c r="J353" s="72">
        <f t="shared" si="27"/>
        <v>1.9639061784897023</v>
      </c>
      <c r="K353" s="109">
        <f t="shared" si="28"/>
        <v>3.2731769641495041</v>
      </c>
      <c r="L353" s="63">
        <f t="shared" si="29"/>
        <v>3.2731769641495041</v>
      </c>
      <c r="M353" s="123"/>
    </row>
    <row r="354" spans="1:13">
      <c r="A354" s="63" t="str">
        <f>'RAW DATA 2023'!B376</f>
        <v>PB5</v>
      </c>
      <c r="B354" s="63" t="str">
        <f>'RAW DATA 2023'!D376</f>
        <v>A1-007-0051</v>
      </c>
      <c r="C354" s="63" t="str">
        <f t="shared" si="25"/>
        <v>PB5A1-007-0051</v>
      </c>
      <c r="D354" s="68">
        <f>VLOOKUP(C354,'RAW DATA 2023'!E:BP,63,0)</f>
        <v>6</v>
      </c>
      <c r="E354" s="68" t="str">
        <f t="shared" si="26"/>
        <v>PB56</v>
      </c>
      <c r="F354" s="63" t="str">
        <f>VLOOKUP(C354,'RAW DATA 2023'!E:BO,5,0)</f>
        <v>Outdoor</v>
      </c>
      <c r="G354" s="63" t="s">
        <v>1951</v>
      </c>
      <c r="H354" s="63">
        <f>VLOOKUP(C354,'RAW DATA 2023'!E:BO,2,0)</f>
        <v>4.5199999999999996</v>
      </c>
      <c r="I354" s="106">
        <f>VLOOKUP(C354,'RAW DATA 2023'!E:BO,22,0)</f>
        <v>2.4887190265486727</v>
      </c>
      <c r="J354" s="72">
        <f t="shared" si="27"/>
        <v>0.48871902654867272</v>
      </c>
      <c r="K354" s="109">
        <f t="shared" si="28"/>
        <v>0.81453171091445453</v>
      </c>
      <c r="L354" s="63">
        <f t="shared" si="29"/>
        <v>0.81453171091445453</v>
      </c>
      <c r="M354" s="123"/>
    </row>
    <row r="355" spans="1:13">
      <c r="A355" s="63" t="str">
        <f>'RAW DATA 2023'!B380</f>
        <v>Roiphet2</v>
      </c>
      <c r="B355" s="63" t="str">
        <f>'RAW DATA 2023'!D380</f>
        <v>A1-007-0050</v>
      </c>
      <c r="C355" s="63" t="str">
        <f t="shared" si="25"/>
        <v>Roiphet2A1-007-0050</v>
      </c>
      <c r="D355" s="68">
        <f>VLOOKUP(C355,'RAW DATA 2023'!E:BP,63,0)</f>
        <v>4</v>
      </c>
      <c r="E355" s="68" t="str">
        <f t="shared" si="26"/>
        <v>Roiphet24</v>
      </c>
      <c r="F355" s="63" t="str">
        <f>VLOOKUP(C355,'RAW DATA 2023'!E:BO,5,0)</f>
        <v>Outdoor</v>
      </c>
      <c r="G355" s="63" t="s">
        <v>1951</v>
      </c>
      <c r="H355" s="63">
        <f>VLOOKUP(C355,'RAW DATA 2023'!E:BO,2,0)</f>
        <v>4.7</v>
      </c>
      <c r="I355" s="106">
        <f>VLOOKUP(C355,'RAW DATA 2023'!E:BO,22,0)</f>
        <v>4.7938425531914888</v>
      </c>
      <c r="J355" s="72">
        <f t="shared" si="27"/>
        <v>2.7938425531914888</v>
      </c>
      <c r="K355" s="109">
        <f t="shared" si="28"/>
        <v>4.6564042553191483</v>
      </c>
      <c r="L355" s="63">
        <f t="shared" si="29"/>
        <v>4.6564042553191483</v>
      </c>
      <c r="M355" s="123"/>
    </row>
    <row r="356" spans="1:13">
      <c r="A356" s="63" t="str">
        <f>'RAW DATA 2023'!B382</f>
        <v>Roiphet2</v>
      </c>
      <c r="B356" s="63" t="str">
        <f>'RAW DATA 2023'!D382</f>
        <v>A1-002-0048</v>
      </c>
      <c r="C356" s="63" t="str">
        <f t="shared" si="25"/>
        <v>Roiphet2A1-002-0048</v>
      </c>
      <c r="D356" s="68">
        <f>VLOOKUP(C356,'RAW DATA 2023'!E:BP,63,0)</f>
        <v>5</v>
      </c>
      <c r="E356" s="68" t="str">
        <f t="shared" si="26"/>
        <v>Roiphet25</v>
      </c>
      <c r="F356" s="63" t="str">
        <f>VLOOKUP(C356,'RAW DATA 2023'!E:BO,5,0)</f>
        <v>Outdoor</v>
      </c>
      <c r="G356" s="63" t="s">
        <v>1951</v>
      </c>
      <c r="H356" s="63">
        <f>VLOOKUP(C356,'RAW DATA 2023'!E:BO,2,0)</f>
        <v>5.2</v>
      </c>
      <c r="I356" s="106">
        <f>VLOOKUP(C356,'RAW DATA 2023'!E:BO,22,0)</f>
        <v>3.6580288461538464</v>
      </c>
      <c r="J356" s="72">
        <f t="shared" si="27"/>
        <v>1.6580288461538464</v>
      </c>
      <c r="K356" s="109">
        <f t="shared" si="28"/>
        <v>2.7633814102564109</v>
      </c>
      <c r="L356" s="63">
        <f t="shared" si="29"/>
        <v>2.7633814102564109</v>
      </c>
      <c r="M356" s="123"/>
    </row>
    <row r="357" spans="1:13">
      <c r="A357" s="63" t="str">
        <f>'RAW DATA 2023'!B383</f>
        <v>Roiphet2</v>
      </c>
      <c r="B357" s="63" t="str">
        <f>'RAW DATA 2023'!D383</f>
        <v>B1-013-0036</v>
      </c>
      <c r="C357" s="63" t="str">
        <f t="shared" si="25"/>
        <v>Roiphet2B1-013-0036</v>
      </c>
      <c r="D357" s="68">
        <f>VLOOKUP(C357,'RAW DATA 2023'!E:BP,63,0)</f>
        <v>5</v>
      </c>
      <c r="E357" s="68" t="str">
        <f t="shared" si="26"/>
        <v>Roiphet25</v>
      </c>
      <c r="F357" s="63" t="str">
        <f>VLOOKUP(C357,'RAW DATA 2023'!E:BO,5,0)</f>
        <v>Outdoor</v>
      </c>
      <c r="G357" s="63" t="s">
        <v>1951</v>
      </c>
      <c r="H357" s="63">
        <f>VLOOKUP(C357,'RAW DATA 2023'!E:BO,2,0)</f>
        <v>4.5</v>
      </c>
      <c r="I357" s="106">
        <f>VLOOKUP(C357,'RAW DATA 2023'!E:BO,22,0)</f>
        <v>5.3942866666666669</v>
      </c>
      <c r="J357" s="72">
        <f t="shared" si="27"/>
        <v>3.3942866666666669</v>
      </c>
      <c r="K357" s="109">
        <f t="shared" si="28"/>
        <v>5.6571444444444454</v>
      </c>
      <c r="L357" s="63">
        <f t="shared" si="29"/>
        <v>5.6571444444444454</v>
      </c>
      <c r="M357" s="123"/>
    </row>
    <row r="358" spans="1:13">
      <c r="A358" s="63" t="str">
        <f>'RAW DATA 2023'!B384</f>
        <v>Roiphet2</v>
      </c>
      <c r="B358" s="63" t="str">
        <f>'RAW DATA 2023'!D384</f>
        <v>A1-001-0031</v>
      </c>
      <c r="C358" s="63" t="str">
        <f t="shared" si="25"/>
        <v>Roiphet2A1-001-0031</v>
      </c>
      <c r="D358" s="68">
        <f>VLOOKUP(C358,'RAW DATA 2023'!E:BP,63,0)</f>
        <v>5</v>
      </c>
      <c r="E358" s="68" t="str">
        <f t="shared" si="26"/>
        <v>Roiphet25</v>
      </c>
      <c r="F358" s="63" t="str">
        <f>VLOOKUP(C358,'RAW DATA 2023'!E:BO,5,0)</f>
        <v>Outdoor</v>
      </c>
      <c r="G358" s="63" t="s">
        <v>1951</v>
      </c>
      <c r="H358" s="63">
        <f>VLOOKUP(C358,'RAW DATA 2023'!E:BO,2,0)</f>
        <v>4.2</v>
      </c>
      <c r="I358" s="106">
        <f>VLOOKUP(C358,'RAW DATA 2023'!E:BO,22,0)</f>
        <v>3.1428499999999997</v>
      </c>
      <c r="J358" s="72">
        <f t="shared" si="27"/>
        <v>1.1428499999999997</v>
      </c>
      <c r="K358" s="109">
        <f t="shared" si="28"/>
        <v>1.9047499999999995</v>
      </c>
      <c r="L358" s="63">
        <f t="shared" si="29"/>
        <v>1.9047499999999995</v>
      </c>
      <c r="M358" s="123"/>
    </row>
    <row r="359" spans="1:13">
      <c r="A359" s="63" t="str">
        <f>'RAW DATA 2023'!B385</f>
        <v>Roiphet2</v>
      </c>
      <c r="B359" s="63" t="str">
        <f>'RAW DATA 2023'!D385</f>
        <v>B1-009-0042</v>
      </c>
      <c r="C359" s="63" t="str">
        <f t="shared" si="25"/>
        <v>Roiphet2B1-009-0042</v>
      </c>
      <c r="D359" s="68">
        <f>VLOOKUP(C359,'RAW DATA 2023'!E:BP,63,0)</f>
        <v>3</v>
      </c>
      <c r="E359" s="68" t="str">
        <f t="shared" si="26"/>
        <v>Roiphet23</v>
      </c>
      <c r="F359" s="63" t="str">
        <f>VLOOKUP(C359,'RAW DATA 2023'!E:BO,5,0)</f>
        <v>Outdoor</v>
      </c>
      <c r="G359" s="63" t="s">
        <v>1951</v>
      </c>
      <c r="H359" s="63">
        <f>VLOOKUP(C359,'RAW DATA 2023'!E:BO,2,0)</f>
        <v>4.9000000000000004</v>
      </c>
      <c r="I359" s="106">
        <f>VLOOKUP(C359,'RAW DATA 2023'!E:BO,22,0)</f>
        <v>3.6834612244897951</v>
      </c>
      <c r="J359" s="72">
        <f t="shared" si="27"/>
        <v>1.6834612244897951</v>
      </c>
      <c r="K359" s="109">
        <f t="shared" si="28"/>
        <v>2.8057687074829918</v>
      </c>
      <c r="L359" s="63">
        <f t="shared" si="29"/>
        <v>2.8057687074829918</v>
      </c>
      <c r="M359" s="123"/>
    </row>
    <row r="360" spans="1:13">
      <c r="A360" s="63" t="str">
        <f>'RAW DATA 2023'!B386</f>
        <v>Roiphet2</v>
      </c>
      <c r="B360" s="63" t="str">
        <f>'RAW DATA 2023'!D386</f>
        <v>B1-014-0044</v>
      </c>
      <c r="C360" s="63" t="str">
        <f t="shared" si="25"/>
        <v>Roiphet2B1-014-0044</v>
      </c>
      <c r="D360" s="68">
        <f>VLOOKUP(C360,'RAW DATA 2023'!E:BP,63,0)</f>
        <v>5</v>
      </c>
      <c r="E360" s="68" t="str">
        <f t="shared" si="26"/>
        <v>Roiphet25</v>
      </c>
      <c r="F360" s="63" t="str">
        <f>VLOOKUP(C360,'RAW DATA 2023'!E:BO,5,0)</f>
        <v>Outdoor</v>
      </c>
      <c r="G360" s="63" t="s">
        <v>1951</v>
      </c>
      <c r="H360" s="63">
        <f>VLOOKUP(C360,'RAW DATA 2023'!E:BO,2,0)</f>
        <v>4.5</v>
      </c>
      <c r="I360" s="106">
        <f>VLOOKUP(C360,'RAW DATA 2023'!E:BO,22,0)</f>
        <v>3.279355555555556</v>
      </c>
      <c r="J360" s="72">
        <f t="shared" si="27"/>
        <v>1.279355555555556</v>
      </c>
      <c r="K360" s="109">
        <f t="shared" si="28"/>
        <v>2.1322592592592602</v>
      </c>
      <c r="L360" s="63">
        <f t="shared" si="29"/>
        <v>2.1322592592592602</v>
      </c>
      <c r="M360" s="123"/>
    </row>
    <row r="361" spans="1:13">
      <c r="A361" s="63" t="str">
        <f>'RAW DATA 2023'!B387</f>
        <v>Roiphet2</v>
      </c>
      <c r="B361" s="63" t="str">
        <f>'RAW DATA 2023'!D387</f>
        <v>A1-008-0034</v>
      </c>
      <c r="C361" s="63" t="str">
        <f t="shared" si="25"/>
        <v>Roiphet2A1-008-0034</v>
      </c>
      <c r="D361" s="68">
        <f>VLOOKUP(C361,'RAW DATA 2023'!E:BP,63,0)</f>
        <v>5</v>
      </c>
      <c r="E361" s="68" t="str">
        <f t="shared" si="26"/>
        <v>Roiphet25</v>
      </c>
      <c r="F361" s="63" t="str">
        <f>VLOOKUP(C361,'RAW DATA 2023'!E:BO,5,0)</f>
        <v>Outdoor</v>
      </c>
      <c r="G361" s="63" t="s">
        <v>1951</v>
      </c>
      <c r="H361" s="63">
        <f>VLOOKUP(C361,'RAW DATA 2023'!E:BO,2,0)</f>
        <v>4.5</v>
      </c>
      <c r="I361" s="106">
        <f>VLOOKUP(C361,'RAW DATA 2023'!E:BO,22,0)</f>
        <v>4.6165288888888893</v>
      </c>
      <c r="J361" s="72">
        <f t="shared" si="27"/>
        <v>2.6165288888888893</v>
      </c>
      <c r="K361" s="109">
        <f t="shared" si="28"/>
        <v>4.3608814814814822</v>
      </c>
      <c r="L361" s="63">
        <f t="shared" si="29"/>
        <v>4.3608814814814822</v>
      </c>
      <c r="M361" s="123"/>
    </row>
    <row r="362" spans="1:13">
      <c r="A362" s="63" t="str">
        <f>'RAW DATA 2023'!B388</f>
        <v>Roiphet2</v>
      </c>
      <c r="B362" s="63" t="str">
        <f>'RAW DATA 2023'!D388</f>
        <v>B1-013-0035</v>
      </c>
      <c r="C362" s="63" t="str">
        <f t="shared" si="25"/>
        <v>Roiphet2B1-013-0035</v>
      </c>
      <c r="D362" s="68">
        <f>VLOOKUP(C362,'RAW DATA 2023'!E:BP,63,0)</f>
        <v>3</v>
      </c>
      <c r="E362" s="68" t="str">
        <f t="shared" si="26"/>
        <v>Roiphet23</v>
      </c>
      <c r="F362" s="63" t="str">
        <f>VLOOKUP(C362,'RAW DATA 2023'!E:BO,5,0)</f>
        <v>Outdoor</v>
      </c>
      <c r="G362" s="63" t="s">
        <v>1951</v>
      </c>
      <c r="H362" s="63">
        <f>VLOOKUP(C362,'RAW DATA 2023'!E:BO,2,0)</f>
        <v>4.5</v>
      </c>
      <c r="I362" s="106">
        <f>VLOOKUP(C362,'RAW DATA 2023'!E:BO,22,0)</f>
        <v>2.8733133333333334</v>
      </c>
      <c r="J362" s="72">
        <f t="shared" si="27"/>
        <v>0.87331333333333339</v>
      </c>
      <c r="K362" s="109">
        <f t="shared" si="28"/>
        <v>1.4555222222222224</v>
      </c>
      <c r="L362" s="63">
        <f t="shared" si="29"/>
        <v>1.4555222222222224</v>
      </c>
      <c r="M362" s="123"/>
    </row>
    <row r="363" spans="1:13">
      <c r="A363" s="63" t="str">
        <f>'RAW DATA 2023'!B389</f>
        <v>Roiphet2</v>
      </c>
      <c r="B363" s="63" t="str">
        <f>'RAW DATA 2023'!D389</f>
        <v>B1-009-0044</v>
      </c>
      <c r="C363" s="63" t="str">
        <f t="shared" si="25"/>
        <v>Roiphet2B1-009-0044</v>
      </c>
      <c r="D363" s="68">
        <f>VLOOKUP(C363,'RAW DATA 2023'!E:BP,63,0)</f>
        <v>9</v>
      </c>
      <c r="E363" s="68" t="str">
        <f t="shared" si="26"/>
        <v>Roiphet29</v>
      </c>
      <c r="F363" s="63" t="str">
        <f>VLOOKUP(C363,'RAW DATA 2023'!E:BO,5,0)</f>
        <v>Outdoor</v>
      </c>
      <c r="G363" s="63" t="s">
        <v>1951</v>
      </c>
      <c r="H363" s="63">
        <f>VLOOKUP(C363,'RAW DATA 2023'!E:BO,2,0)</f>
        <v>4.9000000000000004</v>
      </c>
      <c r="I363" s="106">
        <f>VLOOKUP(C363,'RAW DATA 2023'!E:BO,22,0)</f>
        <v>4.9031693877551019</v>
      </c>
      <c r="J363" s="72">
        <f t="shared" si="27"/>
        <v>2.9031693877551019</v>
      </c>
      <c r="K363" s="109">
        <f t="shared" si="28"/>
        <v>4.8386156462585035</v>
      </c>
      <c r="L363" s="63">
        <f t="shared" si="29"/>
        <v>4.8386156462585035</v>
      </c>
      <c r="M363" s="123"/>
    </row>
    <row r="364" spans="1:13">
      <c r="A364" s="63" t="str">
        <f>'RAW DATA 2023'!B391</f>
        <v>Lamlaung</v>
      </c>
      <c r="B364" s="63" t="str">
        <f>'RAW DATA 2023'!D391</f>
        <v>A1-003-0044</v>
      </c>
      <c r="C364" s="63" t="str">
        <f t="shared" si="25"/>
        <v>LamlaungA1-003-0044</v>
      </c>
      <c r="D364" s="68">
        <f>VLOOKUP(C364,'RAW DATA 2023'!E:BP,63,0)</f>
        <v>8</v>
      </c>
      <c r="E364" s="68" t="str">
        <f t="shared" si="26"/>
        <v>Lamlaung8</v>
      </c>
      <c r="F364" s="63" t="str">
        <f>VLOOKUP(C364,'RAW DATA 2023'!E:BO,5,0)</f>
        <v>Outdoor</v>
      </c>
      <c r="G364" s="63" t="s">
        <v>1951</v>
      </c>
      <c r="H364" s="63">
        <f>VLOOKUP(C364,'RAW DATA 2023'!E:BO,2,0)</f>
        <v>5</v>
      </c>
      <c r="I364" s="106">
        <f>VLOOKUP(C364,'RAW DATA 2023'!E:BO,22,0)</f>
        <v>8.9294479999999989</v>
      </c>
      <c r="J364" s="72">
        <f t="shared" si="27"/>
        <v>6.9294479999999989</v>
      </c>
      <c r="K364" s="109">
        <f t="shared" si="28"/>
        <v>11.549079999999998</v>
      </c>
      <c r="L364" s="63">
        <f t="shared" si="29"/>
        <v>6.25</v>
      </c>
      <c r="M364" s="123"/>
    </row>
    <row r="365" spans="1:13">
      <c r="A365" s="63" t="str">
        <f>'RAW DATA 2023'!B392</f>
        <v>Lamlaung</v>
      </c>
      <c r="B365" s="63" t="str">
        <f>'RAW DATA 2023'!D392</f>
        <v>A1-004-0046</v>
      </c>
      <c r="C365" s="63" t="str">
        <f t="shared" si="25"/>
        <v>LamlaungA1-004-0046</v>
      </c>
      <c r="D365" s="68">
        <f>VLOOKUP(C365,'RAW DATA 2023'!E:BP,63,0)</f>
        <v>9</v>
      </c>
      <c r="E365" s="68" t="str">
        <f t="shared" si="26"/>
        <v>Lamlaung9</v>
      </c>
      <c r="F365" s="63" t="str">
        <f>VLOOKUP(C365,'RAW DATA 2023'!E:BO,5,0)</f>
        <v>Outdoor</v>
      </c>
      <c r="G365" s="63" t="s">
        <v>1951</v>
      </c>
      <c r="H365" s="63">
        <f>VLOOKUP(C365,'RAW DATA 2023'!E:BO,2,0)</f>
        <v>5</v>
      </c>
      <c r="I365" s="106">
        <f>VLOOKUP(C365,'RAW DATA 2023'!E:BO,22,0)</f>
        <v>7.6342060000000007</v>
      </c>
      <c r="J365" s="72">
        <f t="shared" si="27"/>
        <v>5.6342060000000007</v>
      </c>
      <c r="K365" s="109">
        <f t="shared" si="28"/>
        <v>9.3903433333333357</v>
      </c>
      <c r="L365" s="63">
        <f t="shared" si="29"/>
        <v>6.25</v>
      </c>
      <c r="M365" s="123"/>
    </row>
    <row r="366" spans="1:13" hidden="1">
      <c r="A366" s="63" t="str">
        <f>'RAW DATA 2023'!B417</f>
        <v>CS1</v>
      </c>
      <c r="B366" s="63" t="str">
        <f>'RAW DATA 2023'!D417</f>
        <v>A1-004-0040</v>
      </c>
      <c r="C366" s="63" t="str">
        <f t="shared" si="25"/>
        <v>CS1A1-004-0040</v>
      </c>
      <c r="D366" s="68">
        <f>VLOOKUP(C366,'RAW DATA 2023'!E:BP,63,0)</f>
        <v>2</v>
      </c>
      <c r="E366" s="68" t="str">
        <f t="shared" si="26"/>
        <v>CS12</v>
      </c>
      <c r="F366" s="63" t="str">
        <f>VLOOKUP(C366,'RAW DATA 2023'!E:BO,5,0)</f>
        <v>Outdoor</v>
      </c>
      <c r="G366" s="63" t="s">
        <v>67</v>
      </c>
      <c r="H366" s="63">
        <f>VLOOKUP(C366,'RAW DATA 2023'!E:BO,2,0)</f>
        <v>4.25</v>
      </c>
      <c r="I366" s="106">
        <f>VLOOKUP(C366,'RAW DATA 2023'!E:BO,22,0)</f>
        <v>2.7803200000000001</v>
      </c>
      <c r="J366" s="72">
        <f t="shared" si="27"/>
        <v>0.78032000000000012</v>
      </c>
      <c r="K366" s="109">
        <f t="shared" si="28"/>
        <v>1.3005333333333335</v>
      </c>
      <c r="L366" s="63">
        <f t="shared" si="29"/>
        <v>1.3005333333333335</v>
      </c>
      <c r="M366" s="123"/>
    </row>
    <row r="367" spans="1:13" hidden="1">
      <c r="A367" s="63" t="str">
        <f>'RAW DATA 2023'!B418</f>
        <v>CS1</v>
      </c>
      <c r="B367" s="63" t="str">
        <f>'RAW DATA 2023'!D418</f>
        <v>A1-096-0028</v>
      </c>
      <c r="C367" s="63" t="str">
        <f t="shared" si="25"/>
        <v>CS1A1-096-0028</v>
      </c>
      <c r="D367" s="68">
        <f>VLOOKUP(C367,'RAW DATA 2023'!E:BP,63,0)</f>
        <v>5</v>
      </c>
      <c r="E367" s="68" t="str">
        <f t="shared" si="26"/>
        <v>CS15</v>
      </c>
      <c r="F367" s="63" t="str">
        <f>VLOOKUP(C367,'RAW DATA 2023'!E:BO,5,0)</f>
        <v>Outdoor</v>
      </c>
      <c r="G367" s="63" t="s">
        <v>67</v>
      </c>
      <c r="H367" s="63">
        <f>VLOOKUP(C367,'RAW DATA 2023'!E:BO,2,0)</f>
        <v>2.79</v>
      </c>
      <c r="I367" s="106">
        <f>VLOOKUP(C367,'RAW DATA 2023'!E:BO,22,0)</f>
        <v>3.5845412186379932</v>
      </c>
      <c r="J367" s="72">
        <f t="shared" si="27"/>
        <v>0.58454121863799324</v>
      </c>
      <c r="K367" s="109">
        <f t="shared" si="28"/>
        <v>0.97423536439665548</v>
      </c>
      <c r="L367" s="63">
        <f t="shared" si="29"/>
        <v>0.97423536439665548</v>
      </c>
      <c r="M367" s="123"/>
    </row>
    <row r="368" spans="1:13" hidden="1">
      <c r="A368" s="63" t="str">
        <f>'RAW DATA 2023'!B419</f>
        <v>CS1</v>
      </c>
      <c r="B368" s="63" t="str">
        <f>'RAW DATA 2023'!D419</f>
        <v>A1-014-0045</v>
      </c>
      <c r="C368" s="63" t="str">
        <f t="shared" si="25"/>
        <v>CS1A1-014-0045</v>
      </c>
      <c r="D368" s="68">
        <f>VLOOKUP(C368,'RAW DATA 2023'!E:BP,63,0)</f>
        <v>3</v>
      </c>
      <c r="E368" s="68" t="str">
        <f t="shared" si="26"/>
        <v>CS13</v>
      </c>
      <c r="F368" s="63" t="str">
        <f>VLOOKUP(C368,'RAW DATA 2023'!E:BO,5,0)</f>
        <v>Outdoor</v>
      </c>
      <c r="G368" s="63" t="s">
        <v>67</v>
      </c>
      <c r="H368" s="63">
        <f>VLOOKUP(C368,'RAW DATA 2023'!E:BO,2,0)</f>
        <v>2.86</v>
      </c>
      <c r="I368" s="106">
        <f>VLOOKUP(C368,'RAW DATA 2023'!E:BO,22,0)</f>
        <v>6.7327587412587411</v>
      </c>
      <c r="J368" s="72">
        <f t="shared" si="27"/>
        <v>3.7327587412587411</v>
      </c>
      <c r="K368" s="109">
        <f t="shared" si="28"/>
        <v>6.2212645687645685</v>
      </c>
      <c r="L368" s="63">
        <f t="shared" si="29"/>
        <v>6.2212645687645685</v>
      </c>
      <c r="M368" s="123"/>
    </row>
    <row r="369" spans="1:13">
      <c r="A369" s="63" t="str">
        <f>'RAW DATA 2023'!B429</f>
        <v>CS1</v>
      </c>
      <c r="B369" s="63" t="str">
        <f>'RAW DATA 2023'!D429</f>
        <v>C1-085-0019</v>
      </c>
      <c r="C369" s="63" t="str">
        <f t="shared" si="25"/>
        <v>CS1C1-085-0019</v>
      </c>
      <c r="D369" s="68">
        <f>VLOOKUP(C369,'RAW DATA 2023'!E:BP,63,0)</f>
        <v>3</v>
      </c>
      <c r="E369" s="68" t="str">
        <f t="shared" si="26"/>
        <v>CS13</v>
      </c>
      <c r="F369" s="63" t="str">
        <f>VLOOKUP(C369,'RAW DATA 2023'!E:BO,5,0)</f>
        <v>Outdoor</v>
      </c>
      <c r="G369" s="63" t="s">
        <v>1951</v>
      </c>
      <c r="H369" s="63">
        <f>VLOOKUP(C369,'RAW DATA 2023'!E:BO,2,0)</f>
        <v>2.6</v>
      </c>
      <c r="I369" s="106">
        <f>VLOOKUP(C369,'RAW DATA 2023'!E:BO,22,0)</f>
        <v>6.3162076923076915</v>
      </c>
      <c r="J369" s="72">
        <f t="shared" si="27"/>
        <v>3.3162076923076915</v>
      </c>
      <c r="K369" s="109">
        <f t="shared" si="28"/>
        <v>5.5270128205128195</v>
      </c>
      <c r="L369" s="63">
        <f t="shared" si="29"/>
        <v>5.5270128205128195</v>
      </c>
      <c r="M369" s="123"/>
    </row>
    <row r="370" spans="1:13">
      <c r="A370" s="63" t="str">
        <f>'RAW DATA 2023'!B443</f>
        <v>Roiphet3</v>
      </c>
      <c r="B370" s="63" t="str">
        <f>'RAW DATA 2023'!D443</f>
        <v>A1-016-0031</v>
      </c>
      <c r="C370" s="63" t="str">
        <f t="shared" si="25"/>
        <v>Roiphet3A1-016-0031</v>
      </c>
      <c r="D370" s="68">
        <f>VLOOKUP(C370,'RAW DATA 2023'!E:BP,63,0)</f>
        <v>10</v>
      </c>
      <c r="E370" s="68" t="str">
        <f t="shared" si="26"/>
        <v>Roiphet310</v>
      </c>
      <c r="F370" s="63" t="str">
        <f>VLOOKUP(C370,'RAW DATA 2023'!E:BO,5,0)</f>
        <v>Outdoor</v>
      </c>
      <c r="G370" s="63" t="s">
        <v>1951</v>
      </c>
      <c r="H370" s="63">
        <f>VLOOKUP(C370,'RAW DATA 2023'!E:BO,2,0)</f>
        <v>4.5</v>
      </c>
      <c r="I370" s="106">
        <f>VLOOKUP(C370,'RAW DATA 2023'!E:BO,22,0)</f>
        <v>2.8025533333333335</v>
      </c>
      <c r="J370" s="72">
        <f t="shared" si="27"/>
        <v>0.80255333333333345</v>
      </c>
      <c r="K370" s="109">
        <f t="shared" si="28"/>
        <v>1.3375888888888892</v>
      </c>
      <c r="L370" s="63">
        <f t="shared" si="29"/>
        <v>1.3375888888888892</v>
      </c>
      <c r="M370" s="123"/>
    </row>
    <row r="371" spans="1:13" hidden="1">
      <c r="A371" s="63" t="str">
        <f>'RAW DATA 2023'!B462</f>
        <v>Roiphet3</v>
      </c>
      <c r="B371" s="63" t="str">
        <f>'RAW DATA 2023'!D462</f>
        <v>C1-042-0015</v>
      </c>
      <c r="C371" s="63" t="str">
        <f t="shared" si="25"/>
        <v>Roiphet3C1-042-0015</v>
      </c>
      <c r="D371" s="68">
        <f>VLOOKUP(C371,'RAW DATA 2023'!E:BP,63,0)</f>
        <v>4</v>
      </c>
      <c r="E371" s="68" t="str">
        <f t="shared" si="26"/>
        <v>Roiphet34</v>
      </c>
      <c r="F371" s="63" t="str">
        <f>VLOOKUP(C371,'RAW DATA 2023'!E:BO,5,0)</f>
        <v>Outdoor</v>
      </c>
      <c r="G371" s="63" t="s">
        <v>1955</v>
      </c>
      <c r="H371" s="63">
        <f>VLOOKUP(C371,'RAW DATA 2023'!E:BO,2,0)</f>
        <v>3.5</v>
      </c>
      <c r="I371" s="106">
        <f>VLOOKUP(C371,'RAW DATA 2023'!E:BO,22,0)</f>
        <v>4.0753057142857143</v>
      </c>
      <c r="J371" s="72">
        <f t="shared" si="27"/>
        <v>1.0753057142857143</v>
      </c>
      <c r="K371" s="109">
        <f t="shared" si="28"/>
        <v>1.7921761904761906</v>
      </c>
      <c r="L371" s="63">
        <f t="shared" si="29"/>
        <v>1.7921761904761906</v>
      </c>
      <c r="M371" s="123"/>
    </row>
    <row r="372" spans="1:13" hidden="1">
      <c r="A372" s="63" t="str">
        <f>'RAW DATA 2023'!B473</f>
        <v>Roiphet3</v>
      </c>
      <c r="B372" s="63" t="str">
        <f>'RAW DATA 2023'!D473</f>
        <v>C1-041-0006</v>
      </c>
      <c r="C372" s="63" t="str">
        <f t="shared" si="25"/>
        <v>Roiphet3C1-041-0006</v>
      </c>
      <c r="D372" s="68">
        <f>VLOOKUP(C372,'RAW DATA 2023'!E:BP,63,0)</f>
        <v>6</v>
      </c>
      <c r="E372" s="68" t="str">
        <f t="shared" si="26"/>
        <v>Roiphet36</v>
      </c>
      <c r="F372" s="63" t="str">
        <f>VLOOKUP(C372,'RAW DATA 2023'!E:BO,5,0)</f>
        <v>Outdoor</v>
      </c>
      <c r="G372" s="63" t="s">
        <v>67</v>
      </c>
      <c r="H372" s="63">
        <f>VLOOKUP(C372,'RAW DATA 2023'!E:BO,2,0)</f>
        <v>5.8</v>
      </c>
      <c r="I372" s="106">
        <f>VLOOKUP(C372,'RAW DATA 2023'!E:BO,22,0)</f>
        <v>2.0382758620689656</v>
      </c>
      <c r="J372" s="72">
        <f t="shared" si="27"/>
        <v>3.8275862068965605E-2</v>
      </c>
      <c r="K372" s="109">
        <f t="shared" si="28"/>
        <v>6.3793103448276017E-2</v>
      </c>
      <c r="L372" s="63">
        <f t="shared" si="29"/>
        <v>6.3793103448276017E-2</v>
      </c>
      <c r="M372" s="123"/>
    </row>
    <row r="373" spans="1:13" hidden="1">
      <c r="A373" s="63" t="str">
        <f>'RAW DATA 2023'!B476</f>
        <v>Bangkachai1</v>
      </c>
      <c r="B373" s="63" t="str">
        <f>'RAW DATA 2023'!D476</f>
        <v>BG-044-0010</v>
      </c>
      <c r="C373" s="63" t="str">
        <f t="shared" si="25"/>
        <v>Bangkachai1BG-044-0010</v>
      </c>
      <c r="D373" s="68">
        <f>VLOOKUP(C373,'RAW DATA 2023'!E:BP,63,0)</f>
        <v>8</v>
      </c>
      <c r="E373" s="68" t="str">
        <f t="shared" si="26"/>
        <v>Bangkachai18</v>
      </c>
      <c r="F373" s="63" t="str">
        <f>VLOOKUP(C373,'RAW DATA 2023'!E:BO,5,0)</f>
        <v>Greenhouse</v>
      </c>
      <c r="G373" s="63" t="s">
        <v>67</v>
      </c>
      <c r="H373" s="63">
        <f>VLOOKUP(C373,'RAW DATA 2023'!E:BO,2,0)</f>
        <v>2.1</v>
      </c>
      <c r="I373" s="106">
        <f>VLOOKUP(C373,'RAW DATA 2023'!E:BO,22,0)</f>
        <v>8.7993380952380953</v>
      </c>
      <c r="J373" s="72">
        <f t="shared" si="27"/>
        <v>4.7993380952380953</v>
      </c>
      <c r="K373" s="109">
        <f t="shared" si="28"/>
        <v>7.9988968253968258</v>
      </c>
      <c r="L373" s="63">
        <f t="shared" si="29"/>
        <v>6.25</v>
      </c>
      <c r="M373" s="123"/>
    </row>
    <row r="374" spans="1:13" hidden="1">
      <c r="A374" s="63" t="str">
        <f>'RAW DATA 2023'!B477</f>
        <v>Bangkachai1</v>
      </c>
      <c r="B374" s="63" t="str">
        <f>'RAW DATA 2023'!D477</f>
        <v>BG-045-0012</v>
      </c>
      <c r="C374" s="63" t="str">
        <f t="shared" si="25"/>
        <v>Bangkachai1BG-045-0012</v>
      </c>
      <c r="D374" s="68">
        <f>VLOOKUP(C374,'RAW DATA 2023'!E:BP,63,0)</f>
        <v>5</v>
      </c>
      <c r="E374" s="68" t="str">
        <f t="shared" si="26"/>
        <v>Bangkachai15</v>
      </c>
      <c r="F374" s="63" t="str">
        <f>VLOOKUP(C374,'RAW DATA 2023'!E:BO,5,0)</f>
        <v>Greenhouse</v>
      </c>
      <c r="G374" s="63" t="s">
        <v>67</v>
      </c>
      <c r="H374" s="63">
        <f>VLOOKUP(C374,'RAW DATA 2023'!E:BO,2,0)</f>
        <v>2.1</v>
      </c>
      <c r="I374" s="106">
        <f>VLOOKUP(C374,'RAW DATA 2023'!E:BO,22,0)</f>
        <v>10.179671428571428</v>
      </c>
      <c r="J374" s="72">
        <f t="shared" si="27"/>
        <v>6.179671428571428</v>
      </c>
      <c r="K374" s="109">
        <f t="shared" si="28"/>
        <v>10.299452380952381</v>
      </c>
      <c r="L374" s="63">
        <f t="shared" si="29"/>
        <v>6.25</v>
      </c>
      <c r="M374" s="123"/>
    </row>
    <row r="375" spans="1:13" hidden="1">
      <c r="A375" s="63" t="str">
        <f>'RAW DATA 2023'!B478</f>
        <v>Bangkachai1</v>
      </c>
      <c r="B375" s="63" t="str">
        <f>'RAW DATA 2023'!D478</f>
        <v>A1-047-0010</v>
      </c>
      <c r="C375" s="63" t="str">
        <f t="shared" si="25"/>
        <v>Bangkachai1A1-047-0010</v>
      </c>
      <c r="D375" s="68">
        <f>VLOOKUP(C375,'RAW DATA 2023'!E:BP,63,0)</f>
        <v>8</v>
      </c>
      <c r="E375" s="68" t="str">
        <f t="shared" si="26"/>
        <v>Bangkachai18</v>
      </c>
      <c r="F375" s="63" t="str">
        <f>VLOOKUP(C375,'RAW DATA 2023'!E:BO,5,0)</f>
        <v>Outdoor</v>
      </c>
      <c r="G375" s="63" t="s">
        <v>67</v>
      </c>
      <c r="H375" s="63">
        <f>VLOOKUP(C375,'RAW DATA 2023'!E:BO,2,0)</f>
        <v>2.1</v>
      </c>
      <c r="I375" s="106">
        <f>VLOOKUP(C375,'RAW DATA 2023'!E:BO,22,0)</f>
        <v>11.840733333333333</v>
      </c>
      <c r="J375" s="72">
        <f t="shared" si="27"/>
        <v>8.8407333333333327</v>
      </c>
      <c r="K375" s="109">
        <f t="shared" si="28"/>
        <v>14.734555555555556</v>
      </c>
      <c r="L375" s="63">
        <f t="shared" si="29"/>
        <v>6.25</v>
      </c>
      <c r="M375" s="123"/>
    </row>
    <row r="376" spans="1:13" hidden="1">
      <c r="A376" s="63" t="str">
        <f>'RAW DATA 2023'!B499</f>
        <v>Bo Thong</v>
      </c>
      <c r="B376" s="63" t="str">
        <f>'RAW DATA 2023'!D499</f>
        <v>B1-013-0012</v>
      </c>
      <c r="C376" s="63" t="str">
        <f t="shared" si="25"/>
        <v>Bo ThongB1-013-0012</v>
      </c>
      <c r="D376" s="68">
        <f>VLOOKUP(C376,'RAW DATA 2023'!E:BP,63,0)</f>
        <v>3</v>
      </c>
      <c r="E376" s="68" t="str">
        <f t="shared" si="26"/>
        <v>Bo Thong3</v>
      </c>
      <c r="F376" s="63" t="str">
        <f>VLOOKUP(C376,'RAW DATA 2023'!E:BO,5,0)</f>
        <v>Outdoor</v>
      </c>
      <c r="G376" s="63" t="s">
        <v>67</v>
      </c>
      <c r="H376" s="63">
        <f>VLOOKUP(C376,'RAW DATA 2023'!E:BO,2,0)</f>
        <v>2.76</v>
      </c>
      <c r="I376" s="106">
        <f>VLOOKUP(C376,'RAW DATA 2023'!E:BO,22,0)</f>
        <v>9.6329456521739125</v>
      </c>
      <c r="J376" s="72">
        <f t="shared" si="27"/>
        <v>6.6329456521739125</v>
      </c>
      <c r="K376" s="109">
        <f t="shared" si="28"/>
        <v>11.054909420289855</v>
      </c>
      <c r="L376" s="63">
        <f t="shared" si="29"/>
        <v>6.25</v>
      </c>
      <c r="M376" s="123"/>
    </row>
    <row r="377" spans="1:13" hidden="1">
      <c r="A377" s="63" t="str">
        <f>'RAW DATA 2023'!B508</f>
        <v>Bangsakao</v>
      </c>
      <c r="B377" s="63" t="str">
        <f>'RAW DATA 2023'!D508</f>
        <v>DG-004-0022</v>
      </c>
      <c r="C377" s="63" t="str">
        <f t="shared" si="25"/>
        <v>BangsakaoDG-004-0022</v>
      </c>
      <c r="D377" s="68">
        <f>VLOOKUP(C377,'RAW DATA 2023'!E:BP,63,0)</f>
        <v>2</v>
      </c>
      <c r="E377" s="68" t="str">
        <f t="shared" si="26"/>
        <v>Bangsakao2</v>
      </c>
      <c r="F377" s="63" t="str">
        <f>VLOOKUP(C377,'RAW DATA 2023'!E:BO,5,0)</f>
        <v>Greenhouse</v>
      </c>
      <c r="G377" s="63" t="s">
        <v>67</v>
      </c>
      <c r="H377" s="63">
        <f>VLOOKUP(C377,'RAW DATA 2023'!E:BO,2,0)</f>
        <v>2</v>
      </c>
      <c r="I377" s="106">
        <f>VLOOKUP(C377,'RAW DATA 2023'!E:BO,22,0)</f>
        <v>9.87425</v>
      </c>
      <c r="J377" s="72">
        <f t="shared" si="27"/>
        <v>5.87425</v>
      </c>
      <c r="K377" s="109">
        <f t="shared" si="28"/>
        <v>9.7904166666666672</v>
      </c>
      <c r="L377" s="63">
        <f t="shared" si="29"/>
        <v>6.25</v>
      </c>
      <c r="M377" s="123"/>
    </row>
    <row r="378" spans="1:13" hidden="1">
      <c r="A378" s="63" t="str">
        <f>'RAW DATA 2023'!B509</f>
        <v>Bangsakao</v>
      </c>
      <c r="B378" s="63" t="str">
        <f>'RAW DATA 2023'!D509</f>
        <v>DG-006-0025</v>
      </c>
      <c r="C378" s="63" t="str">
        <f t="shared" si="25"/>
        <v>BangsakaoDG-006-0025</v>
      </c>
      <c r="D378" s="68">
        <f>VLOOKUP(C378,'RAW DATA 2023'!E:BP,63,0)</f>
        <v>3</v>
      </c>
      <c r="E378" s="68" t="str">
        <f t="shared" si="26"/>
        <v>Bangsakao3</v>
      </c>
      <c r="F378" s="63" t="str">
        <f>VLOOKUP(C378,'RAW DATA 2023'!E:BO,5,0)</f>
        <v>Greenhouse</v>
      </c>
      <c r="G378" s="63" t="s">
        <v>67</v>
      </c>
      <c r="H378" s="63">
        <f>VLOOKUP(C378,'RAW DATA 2023'!E:BO,2,0)</f>
        <v>2</v>
      </c>
      <c r="I378" s="106">
        <f>VLOOKUP(C378,'RAW DATA 2023'!E:BO,22,0)</f>
        <v>11.443770000000001</v>
      </c>
      <c r="J378" s="72">
        <f t="shared" si="27"/>
        <v>7.4437700000000007</v>
      </c>
      <c r="K378" s="109">
        <f t="shared" si="28"/>
        <v>12.406283333333334</v>
      </c>
      <c r="L378" s="63">
        <f t="shared" si="29"/>
        <v>6.25</v>
      </c>
      <c r="M378" s="123"/>
    </row>
    <row r="379" spans="1:13" hidden="1">
      <c r="A379" s="63" t="str">
        <f>'RAW DATA 2023'!B511</f>
        <v>Bangsakao</v>
      </c>
      <c r="B379" s="63" t="str">
        <f>'RAW DATA 2023'!D511</f>
        <v>DG-003-0024</v>
      </c>
      <c r="C379" s="63" t="str">
        <f t="shared" si="25"/>
        <v>BangsakaoDG-003-0024</v>
      </c>
      <c r="D379" s="68">
        <f>VLOOKUP(C379,'RAW DATA 2023'!E:BP,63,0)</f>
        <v>2</v>
      </c>
      <c r="E379" s="68" t="str">
        <f t="shared" si="26"/>
        <v>Bangsakao2</v>
      </c>
      <c r="F379" s="63" t="str">
        <f>VLOOKUP(C379,'RAW DATA 2023'!E:BO,5,0)</f>
        <v>Greenhouse</v>
      </c>
      <c r="G379" s="63" t="s">
        <v>67</v>
      </c>
      <c r="H379" s="63">
        <f>VLOOKUP(C379,'RAW DATA 2023'!E:BO,2,0)</f>
        <v>1.9</v>
      </c>
      <c r="I379" s="106">
        <f>VLOOKUP(C379,'RAW DATA 2023'!E:BO,22,0)</f>
        <v>9.484963157894736</v>
      </c>
      <c r="J379" s="72">
        <f t="shared" si="27"/>
        <v>5.484963157894736</v>
      </c>
      <c r="K379" s="109">
        <f t="shared" si="28"/>
        <v>9.1416052631578939</v>
      </c>
      <c r="L379" s="63">
        <f t="shared" si="29"/>
        <v>6.25</v>
      </c>
      <c r="M379" s="123"/>
    </row>
    <row r="380" spans="1:13" hidden="1">
      <c r="A380" s="63" t="str">
        <f>'RAW DATA 2023'!B514</f>
        <v>Bangsakao</v>
      </c>
      <c r="B380" s="63" t="str">
        <f>'RAW DATA 2023'!D514</f>
        <v>CG-009-0024</v>
      </c>
      <c r="C380" s="63" t="str">
        <f t="shared" si="25"/>
        <v>BangsakaoCG-009-0024</v>
      </c>
      <c r="D380" s="68">
        <f>VLOOKUP(C380,'RAW DATA 2023'!E:BP,63,0)</f>
        <v>1</v>
      </c>
      <c r="E380" s="68" t="str">
        <f t="shared" si="26"/>
        <v>Bangsakao1</v>
      </c>
      <c r="F380" s="63" t="str">
        <f>VLOOKUP(C380,'RAW DATA 2023'!E:BO,5,0)</f>
        <v>Greenhouse</v>
      </c>
      <c r="G380" s="63" t="s">
        <v>67</v>
      </c>
      <c r="H380" s="63">
        <f>VLOOKUP(C380,'RAW DATA 2023'!E:BO,2,0)</f>
        <v>3.8</v>
      </c>
      <c r="I380" s="106">
        <f>VLOOKUP(C380,'RAW DATA 2023'!E:BO,22,0)</f>
        <v>7.1982552631578942</v>
      </c>
      <c r="J380" s="72">
        <f t="shared" si="27"/>
        <v>3.1982552631578942</v>
      </c>
      <c r="K380" s="109">
        <f t="shared" si="28"/>
        <v>5.3304254385964907</v>
      </c>
      <c r="L380" s="63">
        <f t="shared" si="29"/>
        <v>5.3304254385964907</v>
      </c>
      <c r="M380" s="123"/>
    </row>
    <row r="381" spans="1:13" hidden="1">
      <c r="A381" s="63" t="str">
        <f>'RAW DATA 2023'!B516</f>
        <v>Bangsakao</v>
      </c>
      <c r="B381" s="63" t="str">
        <f>'RAW DATA 2023'!D516</f>
        <v>CG-004-0025</v>
      </c>
      <c r="C381" s="63" t="str">
        <f t="shared" si="25"/>
        <v>BangsakaoCG-004-0025</v>
      </c>
      <c r="D381" s="68">
        <f>VLOOKUP(C381,'RAW DATA 2023'!E:BP,63,0)</f>
        <v>4</v>
      </c>
      <c r="E381" s="68" t="str">
        <f t="shared" si="26"/>
        <v>Bangsakao4</v>
      </c>
      <c r="F381" s="63" t="str">
        <f>VLOOKUP(C381,'RAW DATA 2023'!E:BO,5,0)</f>
        <v>Greenhouse</v>
      </c>
      <c r="G381" s="63" t="s">
        <v>67</v>
      </c>
      <c r="H381" s="63">
        <f>VLOOKUP(C381,'RAW DATA 2023'!E:BO,2,0)</f>
        <v>4.5999999999999996</v>
      </c>
      <c r="I381" s="106">
        <f>VLOOKUP(C381,'RAW DATA 2023'!E:BO,22,0)</f>
        <v>8.202165217391304</v>
      </c>
      <c r="J381" s="72">
        <f t="shared" si="27"/>
        <v>4.202165217391304</v>
      </c>
      <c r="K381" s="109">
        <f t="shared" si="28"/>
        <v>7.0036086956521739</v>
      </c>
      <c r="L381" s="63">
        <f t="shared" si="29"/>
        <v>6.25</v>
      </c>
      <c r="M381" s="123"/>
    </row>
    <row r="382" spans="1:13" hidden="1">
      <c r="A382" s="63" t="str">
        <f>'RAW DATA 2023'!B518</f>
        <v>Bangsakao</v>
      </c>
      <c r="B382" s="63" t="str">
        <f>'RAW DATA 2023'!D518</f>
        <v>CG-008-0030</v>
      </c>
      <c r="C382" s="63" t="str">
        <f t="shared" si="25"/>
        <v>BangsakaoCG-008-0030</v>
      </c>
      <c r="D382" s="68">
        <f>VLOOKUP(C382,'RAW DATA 2023'!E:BP,63,0)</f>
        <v>12</v>
      </c>
      <c r="E382" s="68" t="str">
        <f t="shared" si="26"/>
        <v>Bangsakao12</v>
      </c>
      <c r="F382" s="63" t="str">
        <f>VLOOKUP(C382,'RAW DATA 2023'!E:BO,5,0)</f>
        <v>Greenhouse</v>
      </c>
      <c r="G382" s="63" t="s">
        <v>67</v>
      </c>
      <c r="H382" s="63">
        <f>VLOOKUP(C382,'RAW DATA 2023'!E:BO,2,0)</f>
        <v>3.73</v>
      </c>
      <c r="I382" s="106">
        <f>VLOOKUP(C382,'RAW DATA 2023'!E:BO,22,0)</f>
        <v>8.8026193029490596</v>
      </c>
      <c r="J382" s="72">
        <f t="shared" si="27"/>
        <v>4.8026193029490596</v>
      </c>
      <c r="K382" s="109">
        <f t="shared" si="28"/>
        <v>8.0043655049150999</v>
      </c>
      <c r="L382" s="63">
        <f t="shared" si="29"/>
        <v>6.25</v>
      </c>
      <c r="M382" s="123"/>
    </row>
    <row r="383" spans="1:13" hidden="1">
      <c r="A383" s="63" t="str">
        <f>'RAW DATA 2023'!B520</f>
        <v>Bangsakao</v>
      </c>
      <c r="B383" s="63" t="str">
        <f>'RAW DATA 2023'!D520</f>
        <v>CG-003-0025</v>
      </c>
      <c r="C383" s="63" t="str">
        <f t="shared" si="25"/>
        <v>BangsakaoCG-003-0025</v>
      </c>
      <c r="D383" s="68">
        <f>VLOOKUP(C383,'RAW DATA 2023'!E:BP,63,0)</f>
        <v>1</v>
      </c>
      <c r="E383" s="68" t="str">
        <f t="shared" si="26"/>
        <v>Bangsakao1</v>
      </c>
      <c r="F383" s="63" t="str">
        <f>VLOOKUP(C383,'RAW DATA 2023'!E:BO,5,0)</f>
        <v>Greenhouse</v>
      </c>
      <c r="G383" s="63" t="s">
        <v>67</v>
      </c>
      <c r="H383" s="63">
        <f>VLOOKUP(C383,'RAW DATA 2023'!E:BO,2,0)</f>
        <v>4.5599999999999996</v>
      </c>
      <c r="I383" s="106">
        <f>VLOOKUP(C383,'RAW DATA 2023'!E:BO,22,0)</f>
        <v>7.8208947368421056</v>
      </c>
      <c r="J383" s="72">
        <f t="shared" si="27"/>
        <v>3.8208947368421056</v>
      </c>
      <c r="K383" s="109">
        <f t="shared" si="28"/>
        <v>6.3681578947368429</v>
      </c>
      <c r="L383" s="63">
        <f t="shared" si="29"/>
        <v>6.25</v>
      </c>
      <c r="M383" s="123"/>
    </row>
    <row r="384" spans="1:13" hidden="1">
      <c r="A384" s="63" t="str">
        <f>'RAW DATA 2023'!B557</f>
        <v>Lucky2</v>
      </c>
      <c r="B384" s="63" t="str">
        <f>'RAW DATA 2023'!D557</f>
        <v>AC-001-0010</v>
      </c>
      <c r="C384" s="63" t="str">
        <f t="shared" si="25"/>
        <v>Lucky2AC-001-0010</v>
      </c>
      <c r="D384" s="68">
        <f>VLOOKUP(C384,'RAW DATA 2023'!E:BP,63,0)</f>
        <v>7</v>
      </c>
      <c r="E384" s="68" t="str">
        <f t="shared" si="26"/>
        <v>Lucky27</v>
      </c>
      <c r="F384" s="63" t="str">
        <f>VLOOKUP(C384,'RAW DATA 2023'!E:BO,5,0)</f>
        <v>Tank</v>
      </c>
      <c r="G384" s="63" t="s">
        <v>67</v>
      </c>
      <c r="H384" s="63">
        <f>VLOOKUP(C384,'RAW DATA 2023'!E:BO,2,0)</f>
        <v>0.5</v>
      </c>
      <c r="I384" s="106">
        <f>VLOOKUP(C384,'RAW DATA 2023'!E:BO,22,0)</f>
        <v>6.4164200000000005</v>
      </c>
      <c r="J384" s="72">
        <f t="shared" si="27"/>
        <v>0.41642000000000046</v>
      </c>
      <c r="K384" s="109">
        <f t="shared" si="28"/>
        <v>0.69403333333333417</v>
      </c>
      <c r="L384" s="63">
        <f t="shared" si="29"/>
        <v>0.69403333333333417</v>
      </c>
      <c r="M384" s="123"/>
    </row>
    <row r="385" spans="1:13" hidden="1">
      <c r="A385" s="63" t="str">
        <f>'RAW DATA 2023'!B559</f>
        <v>Lucky2</v>
      </c>
      <c r="B385" s="63" t="str">
        <f>'RAW DATA 2023'!D559</f>
        <v>AC-002-0010</v>
      </c>
      <c r="C385" s="63" t="str">
        <f t="shared" si="25"/>
        <v>Lucky2AC-002-0010</v>
      </c>
      <c r="D385" s="68">
        <f>VLOOKUP(C385,'RAW DATA 2023'!E:BP,63,0)</f>
        <v>7</v>
      </c>
      <c r="E385" s="68" t="str">
        <f t="shared" si="26"/>
        <v>Lucky27</v>
      </c>
      <c r="F385" s="63" t="str">
        <f>VLOOKUP(C385,'RAW DATA 2023'!E:BO,5,0)</f>
        <v>Tank</v>
      </c>
      <c r="G385" s="63" t="s">
        <v>67</v>
      </c>
      <c r="H385" s="63">
        <f>VLOOKUP(C385,'RAW DATA 2023'!E:BO,2,0)</f>
        <v>0.5</v>
      </c>
      <c r="I385" s="106">
        <f>VLOOKUP(C385,'RAW DATA 2023'!E:BO,22,0)</f>
        <v>8.0628399999999996</v>
      </c>
      <c r="J385" s="72">
        <f t="shared" si="27"/>
        <v>2.0628399999999996</v>
      </c>
      <c r="K385" s="109">
        <f t="shared" si="28"/>
        <v>3.4380666666666659</v>
      </c>
      <c r="L385" s="63">
        <f t="shared" si="29"/>
        <v>3.4380666666666659</v>
      </c>
      <c r="M385" s="123"/>
    </row>
    <row r="386" spans="1:13" hidden="1">
      <c r="A386" s="63" t="str">
        <f>'RAW DATA 2023'!B560</f>
        <v>Lucky2</v>
      </c>
      <c r="B386" s="63" t="str">
        <f>'RAW DATA 2023'!D560</f>
        <v>AC-004-0009</v>
      </c>
      <c r="C386" s="63" t="str">
        <f t="shared" si="25"/>
        <v>Lucky2AC-004-0009</v>
      </c>
      <c r="D386" s="68">
        <f>VLOOKUP(C386,'RAW DATA 2023'!E:BP,63,0)</f>
        <v>5</v>
      </c>
      <c r="E386" s="68" t="str">
        <f t="shared" si="26"/>
        <v>Lucky25</v>
      </c>
      <c r="F386" s="63" t="str">
        <f>VLOOKUP(C386,'RAW DATA 2023'!E:BO,5,0)</f>
        <v>Tank</v>
      </c>
      <c r="G386" s="63" t="s">
        <v>67</v>
      </c>
      <c r="H386" s="63">
        <f>VLOOKUP(C386,'RAW DATA 2023'!E:BO,2,0)</f>
        <v>0.5</v>
      </c>
      <c r="I386" s="106">
        <f>VLOOKUP(C386,'RAW DATA 2023'!E:BO,22,0)</f>
        <v>4.1474799999999998</v>
      </c>
      <c r="J386" s="72">
        <f t="shared" si="27"/>
        <v>-1.8525200000000002</v>
      </c>
      <c r="K386" s="109">
        <f t="shared" si="28"/>
        <v>-3.0875333333333339</v>
      </c>
      <c r="L386" s="63">
        <f t="shared" si="29"/>
        <v>0</v>
      </c>
      <c r="M386" s="123"/>
    </row>
    <row r="387" spans="1:13" hidden="1">
      <c r="A387" s="63" t="str">
        <f>'RAW DATA 2023'!B562</f>
        <v>Lucky2</v>
      </c>
      <c r="B387" s="63" t="str">
        <f>'RAW DATA 2023'!D562</f>
        <v>AC-005-0008</v>
      </c>
      <c r="C387" s="63" t="str">
        <f t="shared" si="25"/>
        <v>Lucky2AC-005-0008</v>
      </c>
      <c r="D387" s="68">
        <f>VLOOKUP(C387,'RAW DATA 2023'!E:BP,63,0)</f>
        <v>2</v>
      </c>
      <c r="E387" s="68" t="str">
        <f t="shared" si="26"/>
        <v>Lucky22</v>
      </c>
      <c r="F387" s="63" t="str">
        <f>VLOOKUP(C387,'RAW DATA 2023'!E:BO,5,0)</f>
        <v>Tank</v>
      </c>
      <c r="G387" s="63" t="s">
        <v>67</v>
      </c>
      <c r="H387" s="63">
        <f>VLOOKUP(C387,'RAW DATA 2023'!E:BO,2,0)</f>
        <v>0.5</v>
      </c>
      <c r="I387" s="106">
        <f>VLOOKUP(C387,'RAW DATA 2023'!E:BO,22,0)</f>
        <v>5.7474799999999995</v>
      </c>
      <c r="J387" s="72">
        <f t="shared" si="27"/>
        <v>-0.25252000000000052</v>
      </c>
      <c r="K387" s="109">
        <f t="shared" si="28"/>
        <v>-0.42086666666666755</v>
      </c>
      <c r="L387" s="63">
        <f t="shared" si="29"/>
        <v>0</v>
      </c>
      <c r="M387" s="123"/>
    </row>
    <row r="388" spans="1:13" hidden="1">
      <c r="A388" s="63" t="str">
        <f>'RAW DATA 2023'!B563</f>
        <v>Lucky2</v>
      </c>
      <c r="B388" s="63" t="str">
        <f>'RAW DATA 2023'!D563</f>
        <v>AC-005-0009</v>
      </c>
      <c r="C388" s="63" t="str">
        <f t="shared" si="25"/>
        <v>Lucky2AC-005-0009</v>
      </c>
      <c r="D388" s="68">
        <f>VLOOKUP(C388,'RAW DATA 2023'!E:BP,63,0)</f>
        <v>5</v>
      </c>
      <c r="E388" s="68" t="str">
        <f t="shared" si="26"/>
        <v>Lucky25</v>
      </c>
      <c r="F388" s="63" t="str">
        <f>VLOOKUP(C388,'RAW DATA 2023'!E:BO,5,0)</f>
        <v>Tank</v>
      </c>
      <c r="G388" s="63" t="s">
        <v>67</v>
      </c>
      <c r="H388" s="63">
        <f>VLOOKUP(C388,'RAW DATA 2023'!E:BO,2,0)</f>
        <v>0.5</v>
      </c>
      <c r="I388" s="106">
        <f>VLOOKUP(C388,'RAW DATA 2023'!E:BO,22,0)</f>
        <v>5.2615600000000002</v>
      </c>
      <c r="J388" s="72">
        <f t="shared" si="27"/>
        <v>-0.73843999999999976</v>
      </c>
      <c r="K388" s="109">
        <f t="shared" si="28"/>
        <v>-1.230733333333333</v>
      </c>
      <c r="L388" s="63">
        <f t="shared" si="29"/>
        <v>0</v>
      </c>
      <c r="M388" s="123"/>
    </row>
    <row r="389" spans="1:13" hidden="1">
      <c r="A389" s="63" t="str">
        <f>'RAW DATA 2023'!B565</f>
        <v>Lucky2</v>
      </c>
      <c r="B389" s="63" t="str">
        <f>'RAW DATA 2023'!D565</f>
        <v>AC-002-0009</v>
      </c>
      <c r="C389" s="63" t="str">
        <f t="shared" si="25"/>
        <v>Lucky2AC-002-0009</v>
      </c>
      <c r="D389" s="68">
        <f>VLOOKUP(C389,'RAW DATA 2023'!E:BP,63,0)</f>
        <v>5</v>
      </c>
      <c r="E389" s="68" t="str">
        <f t="shared" si="26"/>
        <v>Lucky25</v>
      </c>
      <c r="F389" s="63" t="str">
        <f>VLOOKUP(C389,'RAW DATA 2023'!E:BO,5,0)</f>
        <v>Tank</v>
      </c>
      <c r="G389" s="63" t="s">
        <v>67</v>
      </c>
      <c r="H389" s="63">
        <f>VLOOKUP(C389,'RAW DATA 2023'!E:BO,2,0)</f>
        <v>0.5</v>
      </c>
      <c r="I389" s="106">
        <f>VLOOKUP(C389,'RAW DATA 2023'!E:BO,22,0)</f>
        <v>5.9432799999999997</v>
      </c>
      <c r="J389" s="72">
        <f t="shared" si="27"/>
        <v>-5.6720000000000326E-2</v>
      </c>
      <c r="K389" s="109">
        <f t="shared" si="28"/>
        <v>-9.4533333333333885E-2</v>
      </c>
      <c r="L389" s="63">
        <f t="shared" si="29"/>
        <v>0</v>
      </c>
      <c r="M389" s="123"/>
    </row>
    <row r="390" spans="1:13" hidden="1">
      <c r="A390" s="63" t="str">
        <f>'RAW DATA 2023'!B591</f>
        <v>Laemsing</v>
      </c>
      <c r="B390" s="63" t="str">
        <f>'RAW DATA 2023'!D591</f>
        <v>B1-028-0013</v>
      </c>
      <c r="C390" s="63" t="str">
        <f t="shared" si="25"/>
        <v>LaemsingB1-028-0013</v>
      </c>
      <c r="D390" s="68">
        <f>VLOOKUP(C390,'RAW DATA 2023'!E:BP,63,0)</f>
        <v>1</v>
      </c>
      <c r="E390" s="68" t="str">
        <f t="shared" si="26"/>
        <v>Laemsing1</v>
      </c>
      <c r="F390" s="63" t="str">
        <f>VLOOKUP(C390,'RAW DATA 2023'!E:BO,5,0)</f>
        <v>Outdoor</v>
      </c>
      <c r="G390" s="63" t="s">
        <v>67</v>
      </c>
      <c r="H390" s="63">
        <f>VLOOKUP(C390,'RAW DATA 2023'!E:BO,2,0)</f>
        <v>2.1</v>
      </c>
      <c r="I390" s="106">
        <f>VLOOKUP(C390,'RAW DATA 2023'!E:BO,22,0)</f>
        <v>5.3276571428571424</v>
      </c>
      <c r="J390" s="72">
        <f t="shared" si="27"/>
        <v>2.3276571428571424</v>
      </c>
      <c r="K390" s="109">
        <f t="shared" si="28"/>
        <v>3.879428571428571</v>
      </c>
      <c r="L390" s="63">
        <f t="shared" si="29"/>
        <v>3.879428571428571</v>
      </c>
      <c r="M390" s="123"/>
    </row>
    <row r="391" spans="1:13" hidden="1">
      <c r="A391" s="63" t="str">
        <f>'RAW DATA 2023'!B598</f>
        <v>Lucky1</v>
      </c>
      <c r="B391" s="63" t="str">
        <f>'RAW DATA 2023'!D598</f>
        <v>BG-027-0012</v>
      </c>
      <c r="C391" s="63" t="str">
        <f t="shared" si="25"/>
        <v>Lucky1BG-027-0012</v>
      </c>
      <c r="D391" s="68">
        <f>VLOOKUP(C391,'RAW DATA 2023'!E:BP,63,0)</f>
        <v>10</v>
      </c>
      <c r="E391" s="68" t="str">
        <f t="shared" si="26"/>
        <v>Lucky110</v>
      </c>
      <c r="F391" s="63" t="str">
        <f>VLOOKUP(C391,'RAW DATA 2023'!E:BO,5,0)</f>
        <v>Greenhouse</v>
      </c>
      <c r="G391" s="63" t="s">
        <v>67</v>
      </c>
      <c r="H391" s="63">
        <f>VLOOKUP(C391,'RAW DATA 2023'!E:BO,2,0)</f>
        <v>2.1</v>
      </c>
      <c r="I391" s="106">
        <f>VLOOKUP(C391,'RAW DATA 2023'!E:BO,22,0)</f>
        <v>10.855028571428571</v>
      </c>
      <c r="J391" s="72">
        <f t="shared" si="27"/>
        <v>6.855028571428571</v>
      </c>
      <c r="K391" s="109">
        <f t="shared" si="28"/>
        <v>11.42504761904762</v>
      </c>
      <c r="L391" s="63">
        <f t="shared" si="29"/>
        <v>6.25</v>
      </c>
      <c r="M391" s="123"/>
    </row>
    <row r="392" spans="1:13" hidden="1">
      <c r="A392" s="63" t="str">
        <f>'RAW DATA 2023'!B600</f>
        <v>Lucky1</v>
      </c>
      <c r="B392" s="63" t="str">
        <f>'RAW DATA 2023'!D600</f>
        <v>BG-026-0011</v>
      </c>
      <c r="C392" s="63" t="str">
        <f t="shared" si="25"/>
        <v>Lucky1BG-026-0011</v>
      </c>
      <c r="D392" s="68">
        <f>VLOOKUP(C392,'RAW DATA 2023'!E:BP,63,0)</f>
        <v>2</v>
      </c>
      <c r="E392" s="68" t="str">
        <f t="shared" si="26"/>
        <v>Lucky12</v>
      </c>
      <c r="F392" s="63" t="str">
        <f>VLOOKUP(C392,'RAW DATA 2023'!E:BO,5,0)</f>
        <v>Greenhouse</v>
      </c>
      <c r="G392" s="63" t="s">
        <v>67</v>
      </c>
      <c r="H392" s="63">
        <f>VLOOKUP(C392,'RAW DATA 2023'!E:BO,2,0)</f>
        <v>2.1</v>
      </c>
      <c r="I392" s="106">
        <f>VLOOKUP(C392,'RAW DATA 2023'!E:BO,22,0)</f>
        <v>3.3544714285714283</v>
      </c>
      <c r="J392" s="72">
        <f t="shared" si="27"/>
        <v>-0.64552857142857167</v>
      </c>
      <c r="K392" s="109">
        <f t="shared" si="28"/>
        <v>-1.0758809523809529</v>
      </c>
      <c r="L392" s="63">
        <f t="shared" si="29"/>
        <v>0</v>
      </c>
      <c r="M392" s="123"/>
    </row>
    <row r="393" spans="1:13" hidden="1">
      <c r="A393" s="63" t="str">
        <f>'RAW DATA 2023'!B605</f>
        <v>Lucky1</v>
      </c>
      <c r="B393" s="63" t="str">
        <f>'RAW DATA 2023'!D605</f>
        <v>BG-027-0010</v>
      </c>
      <c r="C393" s="63" t="str">
        <f t="shared" si="25"/>
        <v>Lucky1BG-027-0010</v>
      </c>
      <c r="D393" s="68">
        <f>VLOOKUP(C393,'RAW DATA 2023'!E:BP,63,0)</f>
        <v>2</v>
      </c>
      <c r="E393" s="68" t="str">
        <f t="shared" si="26"/>
        <v>Lucky12</v>
      </c>
      <c r="F393" s="63" t="str">
        <f>VLOOKUP(C393,'RAW DATA 2023'!E:BO,5,0)</f>
        <v>Greenhouse</v>
      </c>
      <c r="G393" s="63" t="s">
        <v>67</v>
      </c>
      <c r="H393" s="63">
        <f>VLOOKUP(C393,'RAW DATA 2023'!E:BO,2,0)</f>
        <v>2.1</v>
      </c>
      <c r="I393" s="106">
        <f>VLOOKUP(C393,'RAW DATA 2023'!E:BO,22,0)</f>
        <v>6.1906333333333334</v>
      </c>
      <c r="J393" s="72">
        <f t="shared" si="27"/>
        <v>2.1906333333333334</v>
      </c>
      <c r="K393" s="109">
        <f t="shared" si="28"/>
        <v>3.6510555555555557</v>
      </c>
      <c r="L393" s="63">
        <f t="shared" si="29"/>
        <v>3.6510555555555557</v>
      </c>
      <c r="M393" s="123"/>
    </row>
    <row r="394" spans="1:13" hidden="1">
      <c r="A394" s="63" t="str">
        <f>'RAW DATA 2023'!B606</f>
        <v>Lucky1</v>
      </c>
      <c r="B394" s="63" t="str">
        <f>'RAW DATA 2023'!D606</f>
        <v>BG-028-0013</v>
      </c>
      <c r="C394" s="63" t="str">
        <f t="shared" ref="C394:C457" si="30">A394&amp;B394</f>
        <v>Lucky1BG-028-0013</v>
      </c>
      <c r="D394" s="68">
        <f>VLOOKUP(C394,'RAW DATA 2023'!E:BP,63,0)</f>
        <v>9</v>
      </c>
      <c r="E394" s="68" t="str">
        <f t="shared" ref="E394:E457" si="31">A394&amp;D394</f>
        <v>Lucky19</v>
      </c>
      <c r="F394" s="63" t="str">
        <f>VLOOKUP(C394,'RAW DATA 2023'!E:BO,5,0)</f>
        <v>Greenhouse</v>
      </c>
      <c r="G394" s="63" t="s">
        <v>67</v>
      </c>
      <c r="H394" s="63">
        <f>VLOOKUP(C394,'RAW DATA 2023'!E:BO,2,0)</f>
        <v>2.1</v>
      </c>
      <c r="I394" s="106">
        <f>VLOOKUP(C394,'RAW DATA 2023'!E:BO,22,0)</f>
        <v>6.0682380952380948</v>
      </c>
      <c r="J394" s="72">
        <f t="shared" ref="J394:J457" si="32">IF(I394=0,0,IF(F394=$B$2,I394-$B$6,IF(F394=$C$1,I394-$C$6,IF(AND(F394=$C$2,H394&lt;=$C$3),I394-$C$6,IF(AND(F394=$C$2,H394&lt;=$E$3),I394-$D$6,I394-$E$6)))))</f>
        <v>2.0682380952380948</v>
      </c>
      <c r="K394" s="109">
        <f t="shared" ref="K394:K457" si="33">IF(F394=$B$2,J394*$B$7,IF(AND(F394=$C$2,H394&lt;=$C$3),J394*$C$7,IF(AND(F394=$C$2,H394&lt;=$E$3),J394*$D$7,J394*$E$7)))</f>
        <v>3.4470634920634913</v>
      </c>
      <c r="L394" s="63">
        <f t="shared" ref="L394:L457" si="34">IF(K394&gt;=6.25,6.25,IF(K394&lt;=0,0,K394))</f>
        <v>3.4470634920634913</v>
      </c>
      <c r="M394" s="123"/>
    </row>
    <row r="395" spans="1:13" hidden="1">
      <c r="A395" s="63" t="str">
        <f>'RAW DATA 2023'!B613</f>
        <v>Lucky1</v>
      </c>
      <c r="B395" s="63" t="str">
        <f>'RAW DATA 2023'!D613</f>
        <v>B1-016-0004</v>
      </c>
      <c r="C395" s="63" t="str">
        <f t="shared" si="30"/>
        <v>Lucky1B1-016-0004</v>
      </c>
      <c r="D395" s="68">
        <f>VLOOKUP(C395,'RAW DATA 2023'!E:BP,63,0)</f>
        <v>5</v>
      </c>
      <c r="E395" s="68" t="str">
        <f t="shared" si="31"/>
        <v>Lucky15</v>
      </c>
      <c r="F395" s="63" t="str">
        <f>VLOOKUP(C395,'RAW DATA 2023'!E:BO,5,0)</f>
        <v>Outdoor</v>
      </c>
      <c r="G395" s="63" t="s">
        <v>67</v>
      </c>
      <c r="H395" s="63">
        <f>VLOOKUP(C395,'RAW DATA 2023'!E:BO,2,0)</f>
        <v>2.1</v>
      </c>
      <c r="I395" s="106">
        <f>VLOOKUP(C395,'RAW DATA 2023'!E:BO,22,0)</f>
        <v>6.9942761904761896</v>
      </c>
      <c r="J395" s="72">
        <f t="shared" si="32"/>
        <v>3.9942761904761896</v>
      </c>
      <c r="K395" s="109">
        <f t="shared" si="33"/>
        <v>6.6571269841269833</v>
      </c>
      <c r="L395" s="63">
        <f t="shared" si="34"/>
        <v>6.25</v>
      </c>
      <c r="M395" s="123"/>
    </row>
    <row r="396" spans="1:13" hidden="1">
      <c r="A396" s="63" t="str">
        <f>'RAW DATA 2023'!B614</f>
        <v>Lucky1</v>
      </c>
      <c r="B396" s="63" t="str">
        <f>'RAW DATA 2023'!D614</f>
        <v>B1-022-0010</v>
      </c>
      <c r="C396" s="63" t="str">
        <f t="shared" si="30"/>
        <v>Lucky1B1-022-0010</v>
      </c>
      <c r="D396" s="68">
        <f>VLOOKUP(C396,'RAW DATA 2023'!E:BP,63,0)</f>
        <v>2</v>
      </c>
      <c r="E396" s="68" t="str">
        <f t="shared" si="31"/>
        <v>Lucky12</v>
      </c>
      <c r="F396" s="63" t="str">
        <f>VLOOKUP(C396,'RAW DATA 2023'!E:BO,5,0)</f>
        <v>Outdoor</v>
      </c>
      <c r="G396" s="63" t="s">
        <v>67</v>
      </c>
      <c r="H396" s="63">
        <f>VLOOKUP(C396,'RAW DATA 2023'!E:BO,2,0)</f>
        <v>2.1</v>
      </c>
      <c r="I396" s="106">
        <f>VLOOKUP(C396,'RAW DATA 2023'!E:BO,22,0)</f>
        <v>5.9935857142857136</v>
      </c>
      <c r="J396" s="72">
        <f t="shared" si="32"/>
        <v>2.9935857142857136</v>
      </c>
      <c r="K396" s="109">
        <f t="shared" si="33"/>
        <v>4.9893095238095233</v>
      </c>
      <c r="L396" s="63">
        <f t="shared" si="34"/>
        <v>4.9893095238095233</v>
      </c>
      <c r="M396" s="123"/>
    </row>
    <row r="397" spans="1:13" hidden="1">
      <c r="A397" s="63" t="str">
        <f>'RAW DATA 2023'!B615</f>
        <v>Lucky1</v>
      </c>
      <c r="B397" s="63" t="str">
        <f>'RAW DATA 2023'!D615</f>
        <v>B1-017-0012</v>
      </c>
      <c r="C397" s="63" t="str">
        <f t="shared" si="30"/>
        <v>Lucky1B1-017-0012</v>
      </c>
      <c r="D397" s="68">
        <f>VLOOKUP(C397,'RAW DATA 2023'!E:BP,63,0)</f>
        <v>1</v>
      </c>
      <c r="E397" s="68" t="str">
        <f t="shared" si="31"/>
        <v>Lucky11</v>
      </c>
      <c r="F397" s="63" t="str">
        <f>VLOOKUP(C397,'RAW DATA 2023'!E:BO,5,0)</f>
        <v>Outdoor</v>
      </c>
      <c r="G397" s="63" t="s">
        <v>67</v>
      </c>
      <c r="H397" s="63">
        <f>VLOOKUP(C397,'RAW DATA 2023'!E:BO,2,0)</f>
        <v>2.1</v>
      </c>
      <c r="I397" s="106">
        <f>VLOOKUP(C397,'RAW DATA 2023'!E:BO,22,0)</f>
        <v>5.0198476190476189</v>
      </c>
      <c r="J397" s="72">
        <f t="shared" si="32"/>
        <v>2.0198476190476189</v>
      </c>
      <c r="K397" s="109">
        <f t="shared" si="33"/>
        <v>3.3664126984126983</v>
      </c>
      <c r="L397" s="63">
        <f t="shared" si="34"/>
        <v>3.3664126984126983</v>
      </c>
      <c r="M397" s="123"/>
    </row>
    <row r="398" spans="1:13" hidden="1">
      <c r="A398" s="63" t="str">
        <f>'RAW DATA 2023'!B618</f>
        <v>Lucky1</v>
      </c>
      <c r="B398" s="63" t="str">
        <f>'RAW DATA 2023'!D618</f>
        <v>B1-017-0014</v>
      </c>
      <c r="C398" s="63" t="str">
        <f t="shared" si="30"/>
        <v>Lucky1B1-017-0014</v>
      </c>
      <c r="D398" s="68">
        <f>VLOOKUP(C398,'RAW DATA 2023'!E:BP,63,0)</f>
        <v>9</v>
      </c>
      <c r="E398" s="68" t="str">
        <f t="shared" si="31"/>
        <v>Lucky19</v>
      </c>
      <c r="F398" s="63" t="str">
        <f>VLOOKUP(C398,'RAW DATA 2023'!E:BO,5,0)</f>
        <v>Outdoor</v>
      </c>
      <c r="G398" s="63" t="s">
        <v>67</v>
      </c>
      <c r="H398" s="63">
        <f>VLOOKUP(C398,'RAW DATA 2023'!E:BO,2,0)</f>
        <v>2.1</v>
      </c>
      <c r="I398" s="106">
        <f>VLOOKUP(C398,'RAW DATA 2023'!E:BO,22,0)</f>
        <v>5.4556476190476193</v>
      </c>
      <c r="J398" s="72">
        <f t="shared" si="32"/>
        <v>2.4556476190476193</v>
      </c>
      <c r="K398" s="109">
        <f t="shared" si="33"/>
        <v>4.0927460317460325</v>
      </c>
      <c r="L398" s="63">
        <f t="shared" si="34"/>
        <v>4.0927460317460325</v>
      </c>
      <c r="M398" s="123"/>
    </row>
    <row r="399" spans="1:13" hidden="1">
      <c r="A399" s="63" t="str">
        <f>'RAW DATA 2023'!B622</f>
        <v>Lucky1</v>
      </c>
      <c r="B399" s="63" t="str">
        <f>'RAW DATA 2023'!D622</f>
        <v>B1-020-0011</v>
      </c>
      <c r="C399" s="63" t="str">
        <f t="shared" si="30"/>
        <v>Lucky1B1-020-0011</v>
      </c>
      <c r="D399" s="68">
        <f>VLOOKUP(C399,'RAW DATA 2023'!E:BP,63,0)</f>
        <v>6</v>
      </c>
      <c r="E399" s="68" t="str">
        <f t="shared" si="31"/>
        <v>Lucky16</v>
      </c>
      <c r="F399" s="63" t="str">
        <f>VLOOKUP(C399,'RAW DATA 2023'!E:BO,5,0)</f>
        <v>Outdoor</v>
      </c>
      <c r="G399" s="63" t="s">
        <v>67</v>
      </c>
      <c r="H399" s="63">
        <f>VLOOKUP(C399,'RAW DATA 2023'!E:BO,2,0)</f>
        <v>2.1</v>
      </c>
      <c r="I399" s="106">
        <f>VLOOKUP(C399,'RAW DATA 2023'!E:BO,22,0)</f>
        <v>3.2221761904761901</v>
      </c>
      <c r="J399" s="72">
        <f t="shared" si="32"/>
        <v>0.22217619047619008</v>
      </c>
      <c r="K399" s="109">
        <f t="shared" si="33"/>
        <v>0.37029365079365018</v>
      </c>
      <c r="L399" s="63">
        <f t="shared" si="34"/>
        <v>0.37029365079365018</v>
      </c>
      <c r="M399" s="123"/>
    </row>
    <row r="400" spans="1:13" hidden="1">
      <c r="A400" s="63" t="str">
        <f>'RAW DATA 2023'!B653</f>
        <v>CHBR1</v>
      </c>
      <c r="B400" s="63" t="str">
        <f>'RAW DATA 2023'!D653</f>
        <v>A1-012-0039</v>
      </c>
      <c r="C400" s="63" t="str">
        <f t="shared" si="30"/>
        <v>CHBR1A1-012-0039</v>
      </c>
      <c r="D400" s="68">
        <f>VLOOKUP(C400,'RAW DATA 2023'!E:BP,63,0)</f>
        <v>5</v>
      </c>
      <c r="E400" s="68" t="str">
        <f t="shared" si="31"/>
        <v>CHBR15</v>
      </c>
      <c r="F400" s="63" t="str">
        <f>VLOOKUP(C400,'RAW DATA 2023'!E:BO,5,0)</f>
        <v>Outdoor</v>
      </c>
      <c r="G400" s="63" t="s">
        <v>67</v>
      </c>
      <c r="H400" s="63">
        <f>VLOOKUP(C400,'RAW DATA 2023'!E:BO,2,0)</f>
        <v>2</v>
      </c>
      <c r="I400" s="106">
        <f>VLOOKUP(C400,'RAW DATA 2023'!E:BO,22,0)</f>
        <v>4.40801</v>
      </c>
      <c r="J400" s="72">
        <f t="shared" si="32"/>
        <v>-1.59199</v>
      </c>
      <c r="K400" s="109">
        <f t="shared" si="33"/>
        <v>-2.653316666666667</v>
      </c>
      <c r="L400" s="63">
        <f t="shared" si="34"/>
        <v>0</v>
      </c>
      <c r="M400" s="123"/>
    </row>
    <row r="401" spans="1:13" hidden="1">
      <c r="A401" s="63" t="str">
        <f>'RAW DATA 2023'!B654</f>
        <v>CHBR1</v>
      </c>
      <c r="B401" s="63" t="str">
        <f>'RAW DATA 2023'!D654</f>
        <v>A1-017-0014</v>
      </c>
      <c r="C401" s="63" t="str">
        <f t="shared" si="30"/>
        <v>CHBR1A1-017-0014</v>
      </c>
      <c r="D401" s="68">
        <f>VLOOKUP(C401,'RAW DATA 2023'!E:BP,63,0)</f>
        <v>7</v>
      </c>
      <c r="E401" s="68" t="str">
        <f t="shared" si="31"/>
        <v>CHBR17</v>
      </c>
      <c r="F401" s="63" t="str">
        <f>VLOOKUP(C401,'RAW DATA 2023'!E:BO,5,0)</f>
        <v>Outdoor</v>
      </c>
      <c r="G401" s="63" t="s">
        <v>67</v>
      </c>
      <c r="H401" s="63">
        <f>VLOOKUP(C401,'RAW DATA 2023'!E:BO,2,0)</f>
        <v>2</v>
      </c>
      <c r="I401" s="106">
        <f>VLOOKUP(C401,'RAW DATA 2023'!E:BO,22,0)</f>
        <v>8.4053550000000001</v>
      </c>
      <c r="J401" s="72">
        <f t="shared" si="32"/>
        <v>2.4053550000000001</v>
      </c>
      <c r="K401" s="109">
        <f t="shared" si="33"/>
        <v>4.0089250000000005</v>
      </c>
      <c r="L401" s="63">
        <f t="shared" si="34"/>
        <v>4.0089250000000005</v>
      </c>
      <c r="M401" s="123"/>
    </row>
    <row r="402" spans="1:13" hidden="1">
      <c r="A402" s="63" t="str">
        <f>'RAW DATA 2023'!B656</f>
        <v>CHBR1</v>
      </c>
      <c r="B402" s="63" t="str">
        <f>'RAW DATA 2023'!D656</f>
        <v>A1-016-0012</v>
      </c>
      <c r="C402" s="63" t="str">
        <f t="shared" si="30"/>
        <v>CHBR1A1-016-0012</v>
      </c>
      <c r="D402" s="68">
        <f>VLOOKUP(C402,'RAW DATA 2023'!E:BP,63,0)</f>
        <v>2</v>
      </c>
      <c r="E402" s="68" t="str">
        <f t="shared" si="31"/>
        <v>CHBR12</v>
      </c>
      <c r="F402" s="63" t="str">
        <f>VLOOKUP(C402,'RAW DATA 2023'!E:BO,5,0)</f>
        <v>Outdoor</v>
      </c>
      <c r="G402" s="63" t="s">
        <v>67</v>
      </c>
      <c r="H402" s="63">
        <f>VLOOKUP(C402,'RAW DATA 2023'!E:BO,2,0)</f>
        <v>2</v>
      </c>
      <c r="I402" s="106">
        <f>VLOOKUP(C402,'RAW DATA 2023'!E:BO,22,0)</f>
        <v>4.6984899999999996</v>
      </c>
      <c r="J402" s="72">
        <f t="shared" si="32"/>
        <v>-1.3015100000000004</v>
      </c>
      <c r="K402" s="109">
        <f t="shared" si="33"/>
        <v>-2.1691833333333341</v>
      </c>
      <c r="L402" s="63">
        <f t="shared" si="34"/>
        <v>0</v>
      </c>
      <c r="M402" s="123"/>
    </row>
    <row r="403" spans="1:13" hidden="1">
      <c r="A403" s="63" t="str">
        <f>'RAW DATA 2023'!B659</f>
        <v>CHBR1</v>
      </c>
      <c r="B403" s="63" t="str">
        <f>'RAW DATA 2023'!D659</f>
        <v>A1-018-0012</v>
      </c>
      <c r="C403" s="63" t="str">
        <f t="shared" si="30"/>
        <v>CHBR1A1-018-0012</v>
      </c>
      <c r="D403" s="68">
        <f>VLOOKUP(C403,'RAW DATA 2023'!E:BP,63,0)</f>
        <v>3</v>
      </c>
      <c r="E403" s="68" t="str">
        <f t="shared" si="31"/>
        <v>CHBR13</v>
      </c>
      <c r="F403" s="63" t="str">
        <f>VLOOKUP(C403,'RAW DATA 2023'!E:BO,5,0)</f>
        <v>Outdoor</v>
      </c>
      <c r="G403" s="63" t="s">
        <v>67</v>
      </c>
      <c r="H403" s="63">
        <f>VLOOKUP(C403,'RAW DATA 2023'!E:BO,2,0)</f>
        <v>2</v>
      </c>
      <c r="I403" s="106">
        <f>VLOOKUP(C403,'RAW DATA 2023'!E:BO,22,0)</f>
        <v>7.3770850000000001</v>
      </c>
      <c r="J403" s="72">
        <f t="shared" si="32"/>
        <v>1.3770850000000001</v>
      </c>
      <c r="K403" s="109">
        <f t="shared" si="33"/>
        <v>2.2951416666666669</v>
      </c>
      <c r="L403" s="63">
        <f t="shared" si="34"/>
        <v>2.2951416666666669</v>
      </c>
      <c r="M403" s="123"/>
    </row>
    <row r="404" spans="1:13" hidden="1">
      <c r="A404" s="63" t="str">
        <f>'RAW DATA 2023'!B660</f>
        <v>CHBR1</v>
      </c>
      <c r="B404" s="63" t="str">
        <f>'RAW DATA 2023'!D660</f>
        <v>A1-009-0034</v>
      </c>
      <c r="C404" s="63" t="str">
        <f t="shared" si="30"/>
        <v>CHBR1A1-009-0034</v>
      </c>
      <c r="D404" s="68">
        <f>VLOOKUP(C404,'RAW DATA 2023'!E:BP,63,0)</f>
        <v>7</v>
      </c>
      <c r="E404" s="68" t="str">
        <f t="shared" si="31"/>
        <v>CHBR17</v>
      </c>
      <c r="F404" s="63" t="str">
        <f>VLOOKUP(C404,'RAW DATA 2023'!E:BO,5,0)</f>
        <v>Outdoor</v>
      </c>
      <c r="G404" s="63" t="s">
        <v>67</v>
      </c>
      <c r="H404" s="63">
        <f>VLOOKUP(C404,'RAW DATA 2023'!E:BO,2,0)</f>
        <v>2</v>
      </c>
      <c r="I404" s="106">
        <f>VLOOKUP(C404,'RAW DATA 2023'!E:BO,22,0)</f>
        <v>2.9800200000000001</v>
      </c>
      <c r="J404" s="72">
        <f t="shared" si="32"/>
        <v>-3.0199799999999999</v>
      </c>
      <c r="K404" s="109">
        <f t="shared" si="33"/>
        <v>-5.0332999999999997</v>
      </c>
      <c r="L404" s="63">
        <f t="shared" si="34"/>
        <v>0</v>
      </c>
      <c r="M404" s="123"/>
    </row>
    <row r="405" spans="1:13" hidden="1">
      <c r="A405" s="63" t="str">
        <f>'RAW DATA 2023'!B661</f>
        <v>CHBR1</v>
      </c>
      <c r="B405" s="63" t="str">
        <f>'RAW DATA 2023'!D661</f>
        <v>A1-019-0004</v>
      </c>
      <c r="C405" s="63" t="str">
        <f t="shared" si="30"/>
        <v>CHBR1A1-019-0004</v>
      </c>
      <c r="D405" s="68">
        <f>VLOOKUP(C405,'RAW DATA 2023'!E:BP,63,0)</f>
        <v>3</v>
      </c>
      <c r="E405" s="68" t="str">
        <f t="shared" si="31"/>
        <v>CHBR13</v>
      </c>
      <c r="F405" s="63" t="str">
        <f>VLOOKUP(C405,'RAW DATA 2023'!E:BO,5,0)</f>
        <v>Outdoor</v>
      </c>
      <c r="G405" s="63" t="s">
        <v>67</v>
      </c>
      <c r="H405" s="63">
        <f>VLOOKUP(C405,'RAW DATA 2023'!E:BO,2,0)</f>
        <v>2</v>
      </c>
      <c r="I405" s="106">
        <f>VLOOKUP(C405,'RAW DATA 2023'!E:BO,22,0)</f>
        <v>6.2659500000000001</v>
      </c>
      <c r="J405" s="72">
        <f t="shared" si="32"/>
        <v>0.26595000000000013</v>
      </c>
      <c r="K405" s="109">
        <f t="shared" si="33"/>
        <v>0.44325000000000025</v>
      </c>
      <c r="L405" s="63">
        <f t="shared" si="34"/>
        <v>0.44325000000000025</v>
      </c>
      <c r="M405" s="123"/>
    </row>
    <row r="406" spans="1:13" hidden="1">
      <c r="A406" s="63" t="str">
        <f>'RAW DATA 2023'!B663</f>
        <v>CHBR1</v>
      </c>
      <c r="B406" s="63" t="str">
        <f>'RAW DATA 2023'!D663</f>
        <v>A1-015-0017</v>
      </c>
      <c r="C406" s="63" t="str">
        <f t="shared" si="30"/>
        <v>CHBR1A1-015-0017</v>
      </c>
      <c r="D406" s="68">
        <f>VLOOKUP(C406,'RAW DATA 2023'!E:BP,63,0)</f>
        <v>2</v>
      </c>
      <c r="E406" s="68" t="str">
        <f t="shared" si="31"/>
        <v>CHBR12</v>
      </c>
      <c r="F406" s="63" t="str">
        <f>VLOOKUP(C406,'RAW DATA 2023'!E:BO,5,0)</f>
        <v>Outdoor</v>
      </c>
      <c r="G406" s="63" t="s">
        <v>67</v>
      </c>
      <c r="H406" s="63">
        <f>VLOOKUP(C406,'RAW DATA 2023'!E:BO,2,0)</f>
        <v>2</v>
      </c>
      <c r="I406" s="106">
        <f>VLOOKUP(C406,'RAW DATA 2023'!E:BO,22,0)</f>
        <v>4.2846299999999999</v>
      </c>
      <c r="J406" s="72">
        <f t="shared" si="32"/>
        <v>-1.7153700000000001</v>
      </c>
      <c r="K406" s="109">
        <f t="shared" si="33"/>
        <v>-2.8589500000000001</v>
      </c>
      <c r="L406" s="63">
        <f t="shared" si="34"/>
        <v>0</v>
      </c>
      <c r="M406" s="123"/>
    </row>
    <row r="407" spans="1:13" hidden="1">
      <c r="A407" s="63" t="str">
        <f>'RAW DATA 2023'!B665</f>
        <v>Tamai2</v>
      </c>
      <c r="B407" s="63" t="str">
        <f>'RAW DATA 2023'!D665</f>
        <v>D1-073-0009</v>
      </c>
      <c r="C407" s="63" t="str">
        <f t="shared" si="30"/>
        <v>Tamai2D1-073-0009</v>
      </c>
      <c r="D407" s="68">
        <f>VLOOKUP(C407,'RAW DATA 2023'!E:BP,63,0)</f>
        <v>5</v>
      </c>
      <c r="E407" s="68" t="str">
        <f t="shared" si="31"/>
        <v>Tamai25</v>
      </c>
      <c r="F407" s="63" t="str">
        <f>VLOOKUP(C407,'RAW DATA 2023'!E:BO,5,0)</f>
        <v>Outdoor</v>
      </c>
      <c r="G407" s="63" t="s">
        <v>67</v>
      </c>
      <c r="H407" s="63">
        <f>VLOOKUP(C407,'RAW DATA 2023'!E:BO,2,0)</f>
        <v>2.4300000000000002</v>
      </c>
      <c r="I407" s="106">
        <f>VLOOKUP(C407,'RAW DATA 2023'!E:BO,22,0)</f>
        <v>13.719917695473253</v>
      </c>
      <c r="J407" s="72">
        <f t="shared" si="32"/>
        <v>10.719917695473253</v>
      </c>
      <c r="K407" s="109">
        <f t="shared" si="33"/>
        <v>17.866529492455424</v>
      </c>
      <c r="L407" s="63">
        <f t="shared" si="34"/>
        <v>6.25</v>
      </c>
      <c r="M407" s="123"/>
    </row>
    <row r="408" spans="1:13" hidden="1">
      <c r="A408" s="63" t="str">
        <f>'RAW DATA 2023'!B666</f>
        <v>Tamai2</v>
      </c>
      <c r="B408" s="63" t="str">
        <f>'RAW DATA 2023'!D666</f>
        <v>D1-068-0005</v>
      </c>
      <c r="C408" s="63" t="str">
        <f t="shared" si="30"/>
        <v>Tamai2D1-068-0005</v>
      </c>
      <c r="D408" s="68">
        <f>VLOOKUP(C408,'RAW DATA 2023'!E:BP,63,0)</f>
        <v>12</v>
      </c>
      <c r="E408" s="68" t="str">
        <f t="shared" si="31"/>
        <v>Tamai212</v>
      </c>
      <c r="F408" s="63" t="str">
        <f>VLOOKUP(C408,'RAW DATA 2023'!E:BO,5,0)</f>
        <v>Outdoor</v>
      </c>
      <c r="G408" s="63" t="s">
        <v>67</v>
      </c>
      <c r="H408" s="63">
        <f>VLOOKUP(C408,'RAW DATA 2023'!E:BO,2,0)</f>
        <v>2.59</v>
      </c>
      <c r="I408" s="106">
        <f>VLOOKUP(C408,'RAW DATA 2023'!E:BO,22,0)</f>
        <v>5.8090000000000002</v>
      </c>
      <c r="J408" s="72">
        <f t="shared" si="32"/>
        <v>2.8090000000000002</v>
      </c>
      <c r="K408" s="109">
        <f t="shared" si="33"/>
        <v>4.6816666666666675</v>
      </c>
      <c r="L408" s="63">
        <f t="shared" si="34"/>
        <v>4.6816666666666675</v>
      </c>
      <c r="M408" s="123"/>
    </row>
    <row r="409" spans="1:13" hidden="1">
      <c r="A409" s="63" t="str">
        <f>'RAW DATA 2023'!B668</f>
        <v>Tamai2</v>
      </c>
      <c r="B409" s="63" t="str">
        <f>'RAW DATA 2023'!D668</f>
        <v>C1-058-0011</v>
      </c>
      <c r="C409" s="63" t="str">
        <f t="shared" si="30"/>
        <v>Tamai2C1-058-0011</v>
      </c>
      <c r="D409" s="68">
        <f>VLOOKUP(C409,'RAW DATA 2023'!E:BP,63,0)</f>
        <v>8</v>
      </c>
      <c r="E409" s="68" t="str">
        <f t="shared" si="31"/>
        <v>Tamai28</v>
      </c>
      <c r="F409" s="63" t="str">
        <f>VLOOKUP(C409,'RAW DATA 2023'!E:BO,5,0)</f>
        <v>Outdoor</v>
      </c>
      <c r="G409" s="63" t="s">
        <v>67</v>
      </c>
      <c r="H409" s="63">
        <f>VLOOKUP(C409,'RAW DATA 2023'!E:BO,2,0)</f>
        <v>3.42</v>
      </c>
      <c r="I409" s="106">
        <f>VLOOKUP(C409,'RAW DATA 2023'!E:BO,22,0)</f>
        <v>1.3447953216374269</v>
      </c>
      <c r="J409" s="72">
        <f t="shared" si="32"/>
        <v>-1.6552046783625731</v>
      </c>
      <c r="K409" s="109">
        <f t="shared" si="33"/>
        <v>-2.7586744639376222</v>
      </c>
      <c r="L409" s="63">
        <f t="shared" si="34"/>
        <v>0</v>
      </c>
      <c r="M409" s="123"/>
    </row>
    <row r="410" spans="1:13" hidden="1">
      <c r="A410" s="63" t="str">
        <f>'RAW DATA 2023'!B672</f>
        <v>Tamai2</v>
      </c>
      <c r="B410" s="63" t="str">
        <f>'RAW DATA 2023'!D672</f>
        <v>A1-006-0026</v>
      </c>
      <c r="C410" s="63" t="str">
        <f t="shared" si="30"/>
        <v>Tamai2A1-006-0026</v>
      </c>
      <c r="D410" s="68">
        <f>VLOOKUP(C410,'RAW DATA 2023'!E:BP,63,0)</f>
        <v>6</v>
      </c>
      <c r="E410" s="68" t="str">
        <f t="shared" si="31"/>
        <v>Tamai26</v>
      </c>
      <c r="F410" s="63" t="str">
        <f>VLOOKUP(C410,'RAW DATA 2023'!E:BO,5,0)</f>
        <v>Outdoor</v>
      </c>
      <c r="G410" s="63" t="s">
        <v>67</v>
      </c>
      <c r="H410" s="63">
        <f>VLOOKUP(C410,'RAW DATA 2023'!E:BO,2,0)</f>
        <v>5.23</v>
      </c>
      <c r="I410" s="106">
        <f>VLOOKUP(C410,'RAW DATA 2023'!E:BO,22,0)</f>
        <v>6.8195717017208404</v>
      </c>
      <c r="J410" s="72">
        <f t="shared" si="32"/>
        <v>4.8195717017208404</v>
      </c>
      <c r="K410" s="109">
        <f t="shared" si="33"/>
        <v>8.0326195028680676</v>
      </c>
      <c r="L410" s="63">
        <f t="shared" si="34"/>
        <v>6.25</v>
      </c>
      <c r="M410" s="123"/>
    </row>
    <row r="411" spans="1:13" hidden="1">
      <c r="A411" s="63" t="str">
        <f>'RAW DATA 2023'!B677</f>
        <v>Tamai2</v>
      </c>
      <c r="B411" s="63" t="str">
        <f>'RAW DATA 2023'!D677</f>
        <v>A1-082-0008</v>
      </c>
      <c r="C411" s="63" t="str">
        <f t="shared" si="30"/>
        <v>Tamai2A1-082-0008</v>
      </c>
      <c r="D411" s="68">
        <f>VLOOKUP(C411,'RAW DATA 2023'!E:BP,63,0)</f>
        <v>5</v>
      </c>
      <c r="E411" s="68" t="str">
        <f t="shared" si="31"/>
        <v>Tamai25</v>
      </c>
      <c r="F411" s="63" t="str">
        <f>VLOOKUP(C411,'RAW DATA 2023'!E:BO,5,0)</f>
        <v>Outdoor</v>
      </c>
      <c r="G411" s="63" t="s">
        <v>1955</v>
      </c>
      <c r="H411" s="63">
        <f>VLOOKUP(C411,'RAW DATA 2023'!E:BO,2,0)</f>
        <v>4.22</v>
      </c>
      <c r="I411" s="106">
        <f>VLOOKUP(C411,'RAW DATA 2023'!E:BO,22,0)</f>
        <v>4.9543151658767774</v>
      </c>
      <c r="J411" s="72">
        <f t="shared" si="32"/>
        <v>2.9543151658767774</v>
      </c>
      <c r="K411" s="109">
        <f t="shared" si="33"/>
        <v>4.9238586097946291</v>
      </c>
      <c r="L411" s="63">
        <f t="shared" si="34"/>
        <v>4.9238586097946291</v>
      </c>
      <c r="M411" s="123"/>
    </row>
    <row r="412" spans="1:13" hidden="1">
      <c r="A412" s="63" t="str">
        <f>'RAW DATA 2023'!B679</f>
        <v>Tamai2</v>
      </c>
      <c r="B412" s="63" t="str">
        <f>'RAW DATA 2023'!D679</f>
        <v>C1-058-0010</v>
      </c>
      <c r="C412" s="63" t="str">
        <f t="shared" si="30"/>
        <v>Tamai2C1-058-0010</v>
      </c>
      <c r="D412" s="68">
        <f>VLOOKUP(C412,'RAW DATA 2023'!E:BP,63,0)</f>
        <v>4</v>
      </c>
      <c r="E412" s="68" t="str">
        <f t="shared" si="31"/>
        <v>Tamai24</v>
      </c>
      <c r="F412" s="63" t="str">
        <f>VLOOKUP(C412,'RAW DATA 2023'!E:BO,5,0)</f>
        <v>Outdoor</v>
      </c>
      <c r="G412" s="63" t="s">
        <v>1955</v>
      </c>
      <c r="H412" s="63">
        <f>VLOOKUP(C412,'RAW DATA 2023'!E:BO,2,0)</f>
        <v>3.42</v>
      </c>
      <c r="I412" s="106">
        <f>VLOOKUP(C412,'RAW DATA 2023'!E:BO,22,0)</f>
        <v>1.4923099415204679</v>
      </c>
      <c r="J412" s="72">
        <f t="shared" si="32"/>
        <v>-1.5076900584795321</v>
      </c>
      <c r="K412" s="109">
        <f t="shared" si="33"/>
        <v>-2.5128167641325536</v>
      </c>
      <c r="L412" s="63">
        <f t="shared" si="34"/>
        <v>0</v>
      </c>
      <c r="M412" s="123"/>
    </row>
    <row r="413" spans="1:13" hidden="1">
      <c r="A413" s="63" t="str">
        <f>'RAW DATA 2023'!B681</f>
        <v>Tamai2</v>
      </c>
      <c r="B413" s="63" t="str">
        <f>'RAW DATA 2023'!D681</f>
        <v>C1-057-0010</v>
      </c>
      <c r="C413" s="63" t="str">
        <f t="shared" si="30"/>
        <v>Tamai2C1-057-0010</v>
      </c>
      <c r="D413" s="68">
        <f>VLOOKUP(C413,'RAW DATA 2023'!E:BP,63,0)</f>
        <v>6</v>
      </c>
      <c r="E413" s="68" t="str">
        <f t="shared" si="31"/>
        <v>Tamai26</v>
      </c>
      <c r="F413" s="63" t="str">
        <f>VLOOKUP(C413,'RAW DATA 2023'!E:BO,5,0)</f>
        <v>Outdoor</v>
      </c>
      <c r="G413" s="63" t="s">
        <v>1955</v>
      </c>
      <c r="H413" s="63">
        <f>VLOOKUP(C413,'RAW DATA 2023'!E:BO,2,0)</f>
        <v>3.29</v>
      </c>
      <c r="I413" s="106">
        <f>VLOOKUP(C413,'RAW DATA 2023'!E:BO,22,0)</f>
        <v>1.3729969604863221</v>
      </c>
      <c r="J413" s="72">
        <f t="shared" si="32"/>
        <v>-1.6270030395136779</v>
      </c>
      <c r="K413" s="109">
        <f t="shared" si="33"/>
        <v>-2.7116717325227966</v>
      </c>
      <c r="L413" s="63">
        <f t="shared" si="34"/>
        <v>0</v>
      </c>
      <c r="M413" s="123"/>
    </row>
    <row r="414" spans="1:13" hidden="1">
      <c r="A414" s="63" t="str">
        <f>'RAW DATA 2023'!B682</f>
        <v>Tamai2</v>
      </c>
      <c r="B414" s="63" t="str">
        <f>'RAW DATA 2023'!D682</f>
        <v>A1-006-0027</v>
      </c>
      <c r="C414" s="63" t="str">
        <f t="shared" si="30"/>
        <v>Tamai2A1-006-0027</v>
      </c>
      <c r="D414" s="68">
        <f>VLOOKUP(C414,'RAW DATA 2023'!E:BP,63,0)</f>
        <v>7</v>
      </c>
      <c r="E414" s="68" t="str">
        <f t="shared" si="31"/>
        <v>Tamai27</v>
      </c>
      <c r="F414" s="63" t="str">
        <f>VLOOKUP(C414,'RAW DATA 2023'!E:BO,5,0)</f>
        <v>Outdoor</v>
      </c>
      <c r="G414" s="63" t="s">
        <v>1955</v>
      </c>
      <c r="H414" s="63">
        <f>VLOOKUP(C414,'RAW DATA 2023'!E:BO,2,0)</f>
        <v>5.23</v>
      </c>
      <c r="I414" s="106">
        <f>VLOOKUP(C414,'RAW DATA 2023'!E:BO,22,0)</f>
        <v>0</v>
      </c>
      <c r="J414" s="72">
        <f t="shared" si="32"/>
        <v>0</v>
      </c>
      <c r="K414" s="109">
        <f t="shared" si="33"/>
        <v>0</v>
      </c>
      <c r="L414" s="63">
        <f t="shared" si="34"/>
        <v>0</v>
      </c>
      <c r="M414" s="123"/>
    </row>
    <row r="415" spans="1:13" hidden="1">
      <c r="A415" s="63" t="str">
        <f>'RAW DATA 2023'!B683</f>
        <v>Tamai2</v>
      </c>
      <c r="B415" s="63" t="str">
        <f>'RAW DATA 2023'!D683</f>
        <v>A1-032-0033</v>
      </c>
      <c r="C415" s="63" t="str">
        <f t="shared" si="30"/>
        <v>Tamai2A1-032-0033</v>
      </c>
      <c r="D415" s="68">
        <f>VLOOKUP(C415,'RAW DATA 2023'!E:BP,63,0)</f>
        <v>10</v>
      </c>
      <c r="E415" s="68" t="str">
        <f t="shared" si="31"/>
        <v>Tamai210</v>
      </c>
      <c r="F415" s="63" t="str">
        <f>VLOOKUP(C415,'RAW DATA 2023'!E:BO,5,0)</f>
        <v>Outdoor</v>
      </c>
      <c r="G415" s="63" t="s">
        <v>1955</v>
      </c>
      <c r="H415" s="63">
        <f>VLOOKUP(C415,'RAW DATA 2023'!E:BO,2,0)</f>
        <v>5.28</v>
      </c>
      <c r="I415" s="106">
        <f>VLOOKUP(C415,'RAW DATA 2023'!E:BO,22,0)</f>
        <v>0</v>
      </c>
      <c r="J415" s="72">
        <f t="shared" si="32"/>
        <v>0</v>
      </c>
      <c r="K415" s="109">
        <f t="shared" si="33"/>
        <v>0</v>
      </c>
      <c r="L415" s="63">
        <f t="shared" si="34"/>
        <v>0</v>
      </c>
      <c r="M415" s="123"/>
    </row>
    <row r="416" spans="1:13" hidden="1">
      <c r="A416" s="63" t="str">
        <f>'RAW DATA 2023'!B685</f>
        <v>Chantaburi3</v>
      </c>
      <c r="B416" s="63" t="str">
        <f>'RAW DATA 2023'!D685</f>
        <v>A1-008-0045</v>
      </c>
      <c r="C416" s="63" t="str">
        <f t="shared" si="30"/>
        <v>Chantaburi3A1-008-0045</v>
      </c>
      <c r="D416" s="68">
        <f>VLOOKUP(C416,'RAW DATA 2023'!E:BP,63,0)</f>
        <v>11</v>
      </c>
      <c r="E416" s="68" t="str">
        <f t="shared" si="31"/>
        <v>Chantaburi311</v>
      </c>
      <c r="F416" s="63" t="str">
        <f>VLOOKUP(C416,'RAW DATA 2023'!E:BO,5,0)</f>
        <v>Outdoor</v>
      </c>
      <c r="G416" s="63" t="s">
        <v>1955</v>
      </c>
      <c r="H416" s="63">
        <f>VLOOKUP(C416,'RAW DATA 2023'!E:BO,2,0)</f>
        <v>4.0999999999999996</v>
      </c>
      <c r="I416" s="106">
        <f>VLOOKUP(C416,'RAW DATA 2023'!E:BO,22,0)</f>
        <v>5.7687634146341464</v>
      </c>
      <c r="J416" s="72">
        <f t="shared" si="32"/>
        <v>3.7687634146341464</v>
      </c>
      <c r="K416" s="109">
        <f t="shared" si="33"/>
        <v>6.2812723577235774</v>
      </c>
      <c r="L416" s="63">
        <f t="shared" si="34"/>
        <v>6.25</v>
      </c>
      <c r="M416" s="123"/>
    </row>
    <row r="417" spans="1:13" hidden="1">
      <c r="A417" s="63" t="str">
        <f>'RAW DATA 2023'!B686</f>
        <v>Chantaburi3</v>
      </c>
      <c r="B417" s="63" t="str">
        <f>'RAW DATA 2023'!D686</f>
        <v>B1-024-0042</v>
      </c>
      <c r="C417" s="63" t="str">
        <f t="shared" si="30"/>
        <v>Chantaburi3B1-024-0042</v>
      </c>
      <c r="D417" s="68">
        <f>VLOOKUP(C417,'RAW DATA 2023'!E:BP,63,0)</f>
        <v>7</v>
      </c>
      <c r="E417" s="68" t="str">
        <f t="shared" si="31"/>
        <v>Chantaburi37</v>
      </c>
      <c r="F417" s="63" t="str">
        <f>VLOOKUP(C417,'RAW DATA 2023'!E:BO,5,0)</f>
        <v>Outdoor</v>
      </c>
      <c r="G417" s="63" t="s">
        <v>1955</v>
      </c>
      <c r="H417" s="63">
        <f>VLOOKUP(C417,'RAW DATA 2023'!E:BO,2,0)</f>
        <v>2.5</v>
      </c>
      <c r="I417" s="106">
        <f>VLOOKUP(C417,'RAW DATA 2023'!E:BO,22,0)</f>
        <v>11.9008</v>
      </c>
      <c r="J417" s="72">
        <f t="shared" si="32"/>
        <v>8.9008000000000003</v>
      </c>
      <c r="K417" s="109">
        <f t="shared" si="33"/>
        <v>14.834666666666667</v>
      </c>
      <c r="L417" s="63">
        <f t="shared" si="34"/>
        <v>6.25</v>
      </c>
      <c r="M417" s="123"/>
    </row>
    <row r="418" spans="1:13" hidden="1">
      <c r="A418" s="63" t="str">
        <f>'RAW DATA 2023'!B689</f>
        <v>Chantaburi3</v>
      </c>
      <c r="B418" s="63" t="str">
        <f>'RAW DATA 2023'!D689</f>
        <v>A1-009-0042</v>
      </c>
      <c r="C418" s="63" t="str">
        <f t="shared" si="30"/>
        <v>Chantaburi3A1-009-0042</v>
      </c>
      <c r="D418" s="68">
        <f>VLOOKUP(C418,'RAW DATA 2023'!E:BP,63,0)</f>
        <v>5</v>
      </c>
      <c r="E418" s="68" t="str">
        <f t="shared" si="31"/>
        <v>Chantaburi35</v>
      </c>
      <c r="F418" s="63" t="str">
        <f>VLOOKUP(C418,'RAW DATA 2023'!E:BO,5,0)</f>
        <v>Outdoor</v>
      </c>
      <c r="G418" s="63" t="s">
        <v>1955</v>
      </c>
      <c r="H418" s="63">
        <f>VLOOKUP(C418,'RAW DATA 2023'!E:BO,2,0)</f>
        <v>4.2</v>
      </c>
      <c r="I418" s="106">
        <f>VLOOKUP(C418,'RAW DATA 2023'!E:BO,22,0)</f>
        <v>6.8879357142857138</v>
      </c>
      <c r="J418" s="72">
        <f t="shared" si="32"/>
        <v>4.8879357142857138</v>
      </c>
      <c r="K418" s="109">
        <f t="shared" si="33"/>
        <v>8.1465595238095236</v>
      </c>
      <c r="L418" s="63">
        <f t="shared" si="34"/>
        <v>6.25</v>
      </c>
      <c r="M418" s="123"/>
    </row>
    <row r="419" spans="1:13" hidden="1">
      <c r="A419" s="63" t="str">
        <f>'RAW DATA 2023'!B691</f>
        <v>Chantaburi3</v>
      </c>
      <c r="B419" s="63" t="str">
        <f>'RAW DATA 2023'!D691</f>
        <v>A1-011-0044</v>
      </c>
      <c r="C419" s="63" t="str">
        <f t="shared" si="30"/>
        <v>Chantaburi3A1-011-0044</v>
      </c>
      <c r="D419" s="68">
        <f>VLOOKUP(C419,'RAW DATA 2023'!E:BP,63,0)</f>
        <v>7</v>
      </c>
      <c r="E419" s="68" t="str">
        <f t="shared" si="31"/>
        <v>Chantaburi37</v>
      </c>
      <c r="F419" s="63" t="str">
        <f>VLOOKUP(C419,'RAW DATA 2023'!E:BO,5,0)</f>
        <v>Outdoor</v>
      </c>
      <c r="G419" s="63" t="s">
        <v>1955</v>
      </c>
      <c r="H419" s="63">
        <f>VLOOKUP(C419,'RAW DATA 2023'!E:BO,2,0)</f>
        <v>3.8</v>
      </c>
      <c r="I419" s="106">
        <f>VLOOKUP(C419,'RAW DATA 2023'!E:BO,22,0)</f>
        <v>3.4207078947368421</v>
      </c>
      <c r="J419" s="72">
        <f t="shared" si="32"/>
        <v>0.42070789473684211</v>
      </c>
      <c r="K419" s="109">
        <f t="shared" si="33"/>
        <v>0.7011798245614036</v>
      </c>
      <c r="L419" s="63">
        <f t="shared" si="34"/>
        <v>0.7011798245614036</v>
      </c>
      <c r="M419" s="123"/>
    </row>
    <row r="420" spans="1:13" hidden="1">
      <c r="A420" s="63" t="str">
        <f>'RAW DATA 2023'!B731</f>
        <v>Andaman</v>
      </c>
      <c r="B420" s="63" t="str">
        <f>'RAW DATA 2023'!D731</f>
        <v>A1-012-0023</v>
      </c>
      <c r="C420" s="63" t="str">
        <f t="shared" si="30"/>
        <v>AndamanA1-012-0023</v>
      </c>
      <c r="D420" s="68">
        <f>VLOOKUP(C420,'RAW DATA 2023'!E:BP,63,0)</f>
        <v>7</v>
      </c>
      <c r="E420" s="68" t="str">
        <f t="shared" si="31"/>
        <v>Andaman7</v>
      </c>
      <c r="F420" s="63" t="str">
        <f>VLOOKUP(C420,'RAW DATA 2023'!E:BO,5,0)</f>
        <v>Outdoor</v>
      </c>
      <c r="G420" s="63" t="s">
        <v>1954</v>
      </c>
      <c r="H420" s="63">
        <f>VLOOKUP(C420,'RAW DATA 2023'!E:BO,2,0)</f>
        <v>2.5</v>
      </c>
      <c r="I420" s="106">
        <f>VLOOKUP(C420,'RAW DATA 2023'!E:BO,22,0)</f>
        <v>6.9050399999999996</v>
      </c>
      <c r="J420" s="72">
        <f t="shared" si="32"/>
        <v>3.9050399999999996</v>
      </c>
      <c r="K420" s="109">
        <f t="shared" si="33"/>
        <v>6.5084</v>
      </c>
      <c r="L420" s="63">
        <f t="shared" si="34"/>
        <v>6.25</v>
      </c>
      <c r="M420" s="123"/>
    </row>
    <row r="421" spans="1:13" hidden="1">
      <c r="A421" s="63" t="str">
        <f>'RAW DATA 2023'!B768</f>
        <v>Kanchanadit</v>
      </c>
      <c r="B421" s="63" t="str">
        <f>'RAW DATA 2023'!D768</f>
        <v>D1-052-0013</v>
      </c>
      <c r="C421" s="63" t="str">
        <f t="shared" si="30"/>
        <v>KanchanaditD1-052-0013</v>
      </c>
      <c r="D421" s="68">
        <f>VLOOKUP(C421,'RAW DATA 2023'!E:BP,63,0)</f>
        <v>8</v>
      </c>
      <c r="E421" s="68" t="str">
        <f t="shared" si="31"/>
        <v>Kanchanadit8</v>
      </c>
      <c r="F421" s="63" t="str">
        <f>VLOOKUP(C421,'RAW DATA 2023'!E:BO,5,0)</f>
        <v>Outdoor</v>
      </c>
      <c r="G421" s="63" t="s">
        <v>67</v>
      </c>
      <c r="H421" s="63">
        <f>VLOOKUP(C421,'RAW DATA 2023'!E:BO,2,0)</f>
        <v>2</v>
      </c>
      <c r="I421" s="106">
        <f>VLOOKUP(C421,'RAW DATA 2023'!E:BO,22,0)</f>
        <v>10.304195</v>
      </c>
      <c r="J421" s="72">
        <f t="shared" si="32"/>
        <v>4.304195</v>
      </c>
      <c r="K421" s="109">
        <f t="shared" si="33"/>
        <v>7.1736583333333339</v>
      </c>
      <c r="L421" s="63">
        <f t="shared" si="34"/>
        <v>6.25</v>
      </c>
      <c r="M421" s="123"/>
    </row>
    <row r="422" spans="1:13" hidden="1">
      <c r="A422" s="63" t="str">
        <f>'RAW DATA 2023'!B769</f>
        <v>Kanchanadit</v>
      </c>
      <c r="B422" s="63" t="str">
        <f>'RAW DATA 2023'!D769</f>
        <v>C1-043-0014</v>
      </c>
      <c r="C422" s="63" t="str">
        <f t="shared" si="30"/>
        <v>KanchanaditC1-043-0014</v>
      </c>
      <c r="D422" s="68">
        <f>VLOOKUP(C422,'RAW DATA 2023'!E:BP,63,0)</f>
        <v>7</v>
      </c>
      <c r="E422" s="68" t="str">
        <f t="shared" si="31"/>
        <v>Kanchanadit7</v>
      </c>
      <c r="F422" s="63" t="str">
        <f>VLOOKUP(C422,'RAW DATA 2023'!E:BO,5,0)</f>
        <v>Outdoor</v>
      </c>
      <c r="G422" s="63" t="s">
        <v>67</v>
      </c>
      <c r="H422" s="63">
        <f>VLOOKUP(C422,'RAW DATA 2023'!E:BO,2,0)</f>
        <v>1.53</v>
      </c>
      <c r="I422" s="106">
        <f>VLOOKUP(C422,'RAW DATA 2023'!E:BO,22,0)</f>
        <v>5.0254183006535955</v>
      </c>
      <c r="J422" s="72">
        <f t="shared" si="32"/>
        <v>-0.97458169934640448</v>
      </c>
      <c r="K422" s="109">
        <f t="shared" si="33"/>
        <v>-1.6243028322440076</v>
      </c>
      <c r="L422" s="63">
        <f t="shared" si="34"/>
        <v>0</v>
      </c>
      <c r="M422" s="123"/>
    </row>
    <row r="423" spans="1:13" hidden="1">
      <c r="A423" s="63" t="str">
        <f>'RAW DATA 2023'!B790</f>
        <v>Kanchanadit</v>
      </c>
      <c r="B423" s="63" t="str">
        <f>'RAW DATA 2023'!D790</f>
        <v>D1-053-0005</v>
      </c>
      <c r="C423" s="63" t="str">
        <f t="shared" si="30"/>
        <v>KanchanaditD1-053-0005</v>
      </c>
      <c r="D423" s="68">
        <f>VLOOKUP(C423,'RAW DATA 2023'!E:BP,63,0)</f>
        <v>1</v>
      </c>
      <c r="E423" s="68" t="str">
        <f t="shared" si="31"/>
        <v>Kanchanadit1</v>
      </c>
      <c r="F423" s="63" t="str">
        <f>VLOOKUP(C423,'RAW DATA 2023'!E:BO,5,0)</f>
        <v>Outdoor</v>
      </c>
      <c r="G423" s="63" t="s">
        <v>1955</v>
      </c>
      <c r="H423" s="63">
        <f>VLOOKUP(C423,'RAW DATA 2023'!E:BO,2,0)</f>
        <v>2</v>
      </c>
      <c r="I423" s="106">
        <f>VLOOKUP(C423,'RAW DATA 2023'!E:BO,22,0)</f>
        <v>8.0838599999999996</v>
      </c>
      <c r="J423" s="72">
        <f t="shared" si="32"/>
        <v>2.0838599999999996</v>
      </c>
      <c r="K423" s="109">
        <f t="shared" si="33"/>
        <v>3.4730999999999996</v>
      </c>
      <c r="L423" s="63">
        <f t="shared" si="34"/>
        <v>3.4730999999999996</v>
      </c>
      <c r="M423" s="123"/>
    </row>
    <row r="424" spans="1:13" hidden="1">
      <c r="A424" s="63" t="str">
        <f>'RAW DATA 2023'!B794</f>
        <v>Kanchanadit</v>
      </c>
      <c r="B424" s="63" t="str">
        <f>'RAW DATA 2023'!D794</f>
        <v>D1-052-0012</v>
      </c>
      <c r="C424" s="63" t="str">
        <f t="shared" si="30"/>
        <v>KanchanaditD1-052-0012</v>
      </c>
      <c r="D424" s="68">
        <f>VLOOKUP(C424,'RAW DATA 2023'!E:BP,63,0)</f>
        <v>3</v>
      </c>
      <c r="E424" s="68" t="str">
        <f t="shared" si="31"/>
        <v>Kanchanadit3</v>
      </c>
      <c r="F424" s="63" t="str">
        <f>VLOOKUP(C424,'RAW DATA 2023'!E:BO,5,0)</f>
        <v>Outdoor</v>
      </c>
      <c r="G424" s="63" t="s">
        <v>1955</v>
      </c>
      <c r="H424" s="63">
        <f>VLOOKUP(C424,'RAW DATA 2023'!E:BO,2,0)</f>
        <v>2</v>
      </c>
      <c r="I424" s="106">
        <f>VLOOKUP(C424,'RAW DATA 2023'!E:BO,22,0)</f>
        <v>0</v>
      </c>
      <c r="J424" s="72">
        <f t="shared" si="32"/>
        <v>0</v>
      </c>
      <c r="K424" s="109">
        <f t="shared" si="33"/>
        <v>0</v>
      </c>
      <c r="L424" s="63">
        <f t="shared" si="34"/>
        <v>0</v>
      </c>
      <c r="M424" s="123"/>
    </row>
    <row r="425" spans="1:13" hidden="1">
      <c r="A425" s="63" t="str">
        <f>'RAW DATA 2023'!B801</f>
        <v>Pakpanang1</v>
      </c>
      <c r="B425" s="63" t="str">
        <f>'RAW DATA 2023'!D801</f>
        <v>C1-137-0010</v>
      </c>
      <c r="C425" s="63" t="str">
        <f t="shared" si="30"/>
        <v>Pakpanang1C1-137-0010</v>
      </c>
      <c r="D425" s="68">
        <f>VLOOKUP(C425,'RAW DATA 2023'!E:BP,63,0)</f>
        <v>5</v>
      </c>
      <c r="E425" s="68" t="str">
        <f t="shared" si="31"/>
        <v>Pakpanang15</v>
      </c>
      <c r="F425" s="63" t="str">
        <f>VLOOKUP(C425,'RAW DATA 2023'!E:BO,5,0)</f>
        <v>Outdoor</v>
      </c>
      <c r="G425" s="63" t="s">
        <v>1954</v>
      </c>
      <c r="H425" s="63">
        <f>VLOOKUP(C425,'RAW DATA 2023'!E:BO,2,0)</f>
        <v>1.5</v>
      </c>
      <c r="I425" s="106">
        <f>VLOOKUP(C425,'RAW DATA 2023'!E:BO,22,0)</f>
        <v>15.249653333333333</v>
      </c>
      <c r="J425" s="72">
        <f t="shared" si="32"/>
        <v>9.2496533333333328</v>
      </c>
      <c r="K425" s="109">
        <f t="shared" si="33"/>
        <v>15.416088888888888</v>
      </c>
      <c r="L425" s="63">
        <f t="shared" si="34"/>
        <v>6.25</v>
      </c>
      <c r="M425" s="123"/>
    </row>
    <row r="426" spans="1:13" hidden="1">
      <c r="A426" s="63" t="str">
        <f>'RAW DATA 2023'!B808</f>
        <v>Pakpanang1</v>
      </c>
      <c r="B426" s="63" t="str">
        <f>'RAW DATA 2023'!D808</f>
        <v>A1-181-0008</v>
      </c>
      <c r="C426" s="63" t="str">
        <f t="shared" si="30"/>
        <v>Pakpanang1A1-181-0008</v>
      </c>
      <c r="D426" s="68">
        <f>VLOOKUP(C426,'RAW DATA 2023'!E:BP,63,0)</f>
        <v>4</v>
      </c>
      <c r="E426" s="68" t="str">
        <f t="shared" si="31"/>
        <v>Pakpanang14</v>
      </c>
      <c r="F426" s="63" t="str">
        <f>VLOOKUP(C426,'RAW DATA 2023'!E:BO,5,0)</f>
        <v>Outdoor</v>
      </c>
      <c r="G426" s="63" t="s">
        <v>1955</v>
      </c>
      <c r="H426" s="63">
        <f>VLOOKUP(C426,'RAW DATA 2023'!E:BO,2,0)</f>
        <v>1.8</v>
      </c>
      <c r="I426" s="106">
        <f>VLOOKUP(C426,'RAW DATA 2023'!E:BO,22,0)</f>
        <v>5.7717055555555552</v>
      </c>
      <c r="J426" s="72">
        <f t="shared" si="32"/>
        <v>-0.2282944444444448</v>
      </c>
      <c r="K426" s="109">
        <f t="shared" si="33"/>
        <v>-0.38049074074074135</v>
      </c>
      <c r="L426" s="63">
        <f t="shared" si="34"/>
        <v>0</v>
      </c>
      <c r="M426" s="123"/>
    </row>
    <row r="427" spans="1:13" hidden="1">
      <c r="A427" s="63" t="str">
        <f>'RAW DATA 2023'!B812</f>
        <v>Pakpanang1</v>
      </c>
      <c r="B427" s="63" t="str">
        <f>'RAW DATA 2023'!D812</f>
        <v>C1-140-0009</v>
      </c>
      <c r="C427" s="63" t="str">
        <f t="shared" si="30"/>
        <v>Pakpanang1C1-140-0009</v>
      </c>
      <c r="D427" s="68">
        <f>VLOOKUP(C427,'RAW DATA 2023'!E:BP,63,0)</f>
        <v>4</v>
      </c>
      <c r="E427" s="68" t="str">
        <f t="shared" si="31"/>
        <v>Pakpanang14</v>
      </c>
      <c r="F427" s="63" t="str">
        <f>VLOOKUP(C427,'RAW DATA 2023'!E:BO,5,0)</f>
        <v>Outdoor</v>
      </c>
      <c r="G427" s="63" t="s">
        <v>1955</v>
      </c>
      <c r="H427" s="63">
        <f>VLOOKUP(C427,'RAW DATA 2023'!E:BO,2,0)</f>
        <v>1.5</v>
      </c>
      <c r="I427" s="106">
        <f>VLOOKUP(C427,'RAW DATA 2023'!E:BO,22,0)</f>
        <v>4.6047000000000002</v>
      </c>
      <c r="J427" s="72">
        <f t="shared" si="32"/>
        <v>-1.3952999999999998</v>
      </c>
      <c r="K427" s="109">
        <f t="shared" si="33"/>
        <v>-2.3254999999999999</v>
      </c>
      <c r="L427" s="63">
        <f t="shared" si="34"/>
        <v>0</v>
      </c>
      <c r="M427" s="123"/>
    </row>
    <row r="428" spans="1:13">
      <c r="A428" s="63" t="str">
        <f>'RAW DATA 2023'!B15</f>
        <v>Lamae</v>
      </c>
      <c r="B428" s="63" t="str">
        <f>'RAW DATA 2023'!D15</f>
        <v>B1-022-0013</v>
      </c>
      <c r="C428" s="63" t="str">
        <f t="shared" si="30"/>
        <v>LamaeB1-022-0013</v>
      </c>
      <c r="D428" s="68">
        <f>VLOOKUP(C428,'RAW DATA 2023'!E:BP,63,0)</f>
        <v>12</v>
      </c>
      <c r="E428" s="68" t="str">
        <f t="shared" si="31"/>
        <v>Lamae12</v>
      </c>
      <c r="F428" s="63" t="str">
        <f>VLOOKUP(C428,'RAW DATA 2023'!E:BO,5,0)</f>
        <v>Outdoor</v>
      </c>
      <c r="G428" s="63" t="s">
        <v>1951</v>
      </c>
      <c r="H428" s="63">
        <f>VLOOKUP(C428,'RAW DATA 2023'!E:BO,2,0)</f>
        <v>8.5</v>
      </c>
      <c r="I428" s="106">
        <f>VLOOKUP(C428,'RAW DATA 2023'!E:BO,22,0)</f>
        <v>2.9943258823529413</v>
      </c>
      <c r="J428" s="72">
        <f t="shared" si="32"/>
        <v>0.99432588235294128</v>
      </c>
      <c r="K428" s="109">
        <f t="shared" si="33"/>
        <v>1.6572098039215688</v>
      </c>
      <c r="L428" s="63">
        <f t="shared" si="34"/>
        <v>1.6572098039215688</v>
      </c>
      <c r="M428" s="123"/>
    </row>
    <row r="429" spans="1:13" hidden="1">
      <c r="A429" s="63" t="str">
        <f>'RAW DATA 2023'!B29</f>
        <v>Lamae</v>
      </c>
      <c r="B429" s="63" t="str">
        <f>'RAW DATA 2023'!D29</f>
        <v>A1-013-0017</v>
      </c>
      <c r="C429" s="63" t="str">
        <f t="shared" si="30"/>
        <v>LamaeA1-013-0017</v>
      </c>
      <c r="D429" s="68">
        <f>VLOOKUP(C429,'RAW DATA 2023'!E:BP,63,0)</f>
        <v>12</v>
      </c>
      <c r="E429" s="68" t="str">
        <f t="shared" si="31"/>
        <v>Lamae12</v>
      </c>
      <c r="F429" s="63" t="str">
        <f>VLOOKUP(C429,'RAW DATA 2023'!E:BO,5,0)</f>
        <v>Outdoor</v>
      </c>
      <c r="G429" s="63" t="s">
        <v>1955</v>
      </c>
      <c r="H429" s="63">
        <f>VLOOKUP(C429,'RAW DATA 2023'!E:BO,2,0)</f>
        <v>4</v>
      </c>
      <c r="I429" s="106">
        <f>VLOOKUP(C429,'RAW DATA 2023'!E:BO,22,0)</f>
        <v>0</v>
      </c>
      <c r="J429" s="72">
        <f t="shared" si="32"/>
        <v>0</v>
      </c>
      <c r="K429" s="109">
        <f t="shared" si="33"/>
        <v>0</v>
      </c>
      <c r="L429" s="63">
        <f t="shared" si="34"/>
        <v>0</v>
      </c>
      <c r="M429" s="123"/>
    </row>
    <row r="430" spans="1:13" hidden="1">
      <c r="A430" s="63" t="str">
        <f>'RAW DATA 2023'!B33</f>
        <v>Bansang</v>
      </c>
      <c r="B430" s="63" t="str">
        <f>'RAW DATA 2023'!D33</f>
        <v>A1-006-0013</v>
      </c>
      <c r="C430" s="63" t="str">
        <f t="shared" si="30"/>
        <v>BansangA1-006-0013</v>
      </c>
      <c r="D430" s="68">
        <f>VLOOKUP(C430,'RAW DATA 2023'!E:BP,63,0)</f>
        <v>1</v>
      </c>
      <c r="E430" s="68" t="str">
        <f t="shared" si="31"/>
        <v>Bansang1</v>
      </c>
      <c r="F430" s="63" t="str">
        <f>VLOOKUP(C430,'RAW DATA 2023'!E:BO,5,0)</f>
        <v>Outdoor</v>
      </c>
      <c r="G430" s="63" t="s">
        <v>67</v>
      </c>
      <c r="H430" s="63">
        <f>VLOOKUP(C430,'RAW DATA 2023'!E:BO,2,0)</f>
        <v>3.38</v>
      </c>
      <c r="I430" s="106">
        <f>VLOOKUP(C430,'RAW DATA 2023'!E:BO,22,0)</f>
        <v>4.6969674556213024</v>
      </c>
      <c r="J430" s="72">
        <f t="shared" si="32"/>
        <v>1.6969674556213024</v>
      </c>
      <c r="K430" s="109">
        <f t="shared" si="33"/>
        <v>2.8282790927021706</v>
      </c>
      <c r="L430" s="63">
        <f t="shared" si="34"/>
        <v>2.8282790927021706</v>
      </c>
      <c r="M430" s="123"/>
    </row>
    <row r="431" spans="1:13" hidden="1">
      <c r="A431" s="63" t="str">
        <f>'RAW DATA 2023'!B36</f>
        <v>Bansang</v>
      </c>
      <c r="B431" s="63" t="str">
        <f>'RAW DATA 2023'!D36</f>
        <v>A1-005-0015</v>
      </c>
      <c r="C431" s="63" t="str">
        <f t="shared" si="30"/>
        <v>BansangA1-005-0015</v>
      </c>
      <c r="D431" s="68">
        <f>VLOOKUP(C431,'RAW DATA 2023'!E:BP,63,0)</f>
        <v>6</v>
      </c>
      <c r="E431" s="68" t="str">
        <f t="shared" si="31"/>
        <v>Bansang6</v>
      </c>
      <c r="F431" s="63" t="str">
        <f>VLOOKUP(C431,'RAW DATA 2023'!E:BO,5,0)</f>
        <v>Outdoor</v>
      </c>
      <c r="G431" s="63" t="s">
        <v>67</v>
      </c>
      <c r="H431" s="63">
        <f>VLOOKUP(C431,'RAW DATA 2023'!E:BO,2,0)</f>
        <v>3.38</v>
      </c>
      <c r="I431" s="106">
        <f>VLOOKUP(C431,'RAW DATA 2023'!E:BO,22,0)</f>
        <v>7.1529585798816573</v>
      </c>
      <c r="J431" s="72">
        <f t="shared" si="32"/>
        <v>4.1529585798816573</v>
      </c>
      <c r="K431" s="109">
        <f t="shared" si="33"/>
        <v>6.9215976331360958</v>
      </c>
      <c r="L431" s="63">
        <f t="shared" si="34"/>
        <v>6.25</v>
      </c>
      <c r="M431" s="123"/>
    </row>
    <row r="432" spans="1:13" hidden="1">
      <c r="A432" s="63" t="str">
        <f>'RAW DATA 2023'!B38</f>
        <v>Bansang</v>
      </c>
      <c r="B432" s="63" t="str">
        <f>'RAW DATA 2023'!D38</f>
        <v>A1-008-0014</v>
      </c>
      <c r="C432" s="63" t="str">
        <f t="shared" si="30"/>
        <v>BansangA1-008-0014</v>
      </c>
      <c r="D432" s="68">
        <f>VLOOKUP(C432,'RAW DATA 2023'!E:BP,63,0)</f>
        <v>5</v>
      </c>
      <c r="E432" s="68" t="str">
        <f t="shared" si="31"/>
        <v>Bansang5</v>
      </c>
      <c r="F432" s="63" t="str">
        <f>VLOOKUP(C432,'RAW DATA 2023'!E:BO,5,0)</f>
        <v>Outdoor</v>
      </c>
      <c r="G432" s="63" t="s">
        <v>67</v>
      </c>
      <c r="H432" s="63">
        <f>VLOOKUP(C432,'RAW DATA 2023'!E:BO,2,0)</f>
        <v>3.38</v>
      </c>
      <c r="I432" s="106">
        <f>VLOOKUP(C432,'RAW DATA 2023'!E:BO,22,0)</f>
        <v>6.8228491124260353</v>
      </c>
      <c r="J432" s="72">
        <f t="shared" si="32"/>
        <v>3.8228491124260353</v>
      </c>
      <c r="K432" s="109">
        <f t="shared" si="33"/>
        <v>6.3714151873767255</v>
      </c>
      <c r="L432" s="63">
        <f t="shared" si="34"/>
        <v>6.25</v>
      </c>
      <c r="M432" s="123"/>
    </row>
    <row r="433" spans="1:13" hidden="1">
      <c r="A433" s="63" t="str">
        <f>'RAW DATA 2023'!B44</f>
        <v>Petchburi5</v>
      </c>
      <c r="B433" s="63" t="str">
        <f>'RAW DATA 2023'!D44</f>
        <v>B1-126-0009</v>
      </c>
      <c r="C433" s="63" t="str">
        <f t="shared" si="30"/>
        <v>Petchburi5B1-126-0009</v>
      </c>
      <c r="D433" s="68">
        <f>VLOOKUP(C433,'RAW DATA 2023'!E:BP,63,0)</f>
        <v>11</v>
      </c>
      <c r="E433" s="68" t="str">
        <f t="shared" si="31"/>
        <v>Petchburi511</v>
      </c>
      <c r="F433" s="63" t="str">
        <f>VLOOKUP(C433,'RAW DATA 2023'!E:BO,5,0)</f>
        <v>Outdoor</v>
      </c>
      <c r="G433" s="63" t="s">
        <v>67</v>
      </c>
      <c r="H433" s="63">
        <f>VLOOKUP(C433,'RAW DATA 2023'!E:BO,2,0)</f>
        <v>1.5</v>
      </c>
      <c r="I433" s="106">
        <f>VLOOKUP(C433,'RAW DATA 2023'!E:BO,22,0)</f>
        <v>20.607353333333332</v>
      </c>
      <c r="J433" s="72">
        <f t="shared" si="32"/>
        <v>14.607353333333332</v>
      </c>
      <c r="K433" s="109">
        <f t="shared" si="33"/>
        <v>24.345588888888887</v>
      </c>
      <c r="L433" s="63">
        <f t="shared" si="34"/>
        <v>6.25</v>
      </c>
      <c r="M433" s="123"/>
    </row>
    <row r="434" spans="1:13" hidden="1">
      <c r="A434" s="63" t="str">
        <f>'RAW DATA 2023'!B46</f>
        <v>Petchburi5</v>
      </c>
      <c r="B434" s="63" t="str">
        <f>'RAW DATA 2023'!D46</f>
        <v>B1-116-0007</v>
      </c>
      <c r="C434" s="63" t="str">
        <f t="shared" si="30"/>
        <v>Petchburi5B1-116-0007</v>
      </c>
      <c r="D434" s="68">
        <f>VLOOKUP(C434,'RAW DATA 2023'!E:BP,63,0)</f>
        <v>9</v>
      </c>
      <c r="E434" s="68" t="str">
        <f t="shared" si="31"/>
        <v>Petchburi59</v>
      </c>
      <c r="F434" s="63" t="str">
        <f>VLOOKUP(C434,'RAW DATA 2023'!E:BO,5,0)</f>
        <v>Outdoor</v>
      </c>
      <c r="G434" s="63" t="s">
        <v>67</v>
      </c>
      <c r="H434" s="63">
        <f>VLOOKUP(C434,'RAW DATA 2023'!E:BO,2,0)</f>
        <v>1.85</v>
      </c>
      <c r="I434" s="106">
        <f>VLOOKUP(C434,'RAW DATA 2023'!E:BO,22,0)</f>
        <v>18.532497297297297</v>
      </c>
      <c r="J434" s="72">
        <f t="shared" si="32"/>
        <v>12.532497297297297</v>
      </c>
      <c r="K434" s="109">
        <f t="shared" si="33"/>
        <v>20.887495495495497</v>
      </c>
      <c r="L434" s="63">
        <f t="shared" si="34"/>
        <v>6.25</v>
      </c>
      <c r="M434" s="123"/>
    </row>
    <row r="435" spans="1:13" hidden="1">
      <c r="A435" s="63" t="str">
        <f>'RAW DATA 2023'!B55</f>
        <v>Petchburi5</v>
      </c>
      <c r="B435" s="63" t="str">
        <f>'RAW DATA 2023'!D55</f>
        <v>B1-124-0007</v>
      </c>
      <c r="C435" s="63" t="str">
        <f t="shared" si="30"/>
        <v>Petchburi5B1-124-0007</v>
      </c>
      <c r="D435" s="68">
        <f>VLOOKUP(C435,'RAW DATA 2023'!E:BP,63,0)</f>
        <v>3</v>
      </c>
      <c r="E435" s="68" t="str">
        <f t="shared" si="31"/>
        <v>Petchburi53</v>
      </c>
      <c r="F435" s="63" t="str">
        <f>VLOOKUP(C435,'RAW DATA 2023'!E:BO,5,0)</f>
        <v>Outdoor</v>
      </c>
      <c r="G435" s="63" t="s">
        <v>67</v>
      </c>
      <c r="H435" s="63">
        <f>VLOOKUP(C435,'RAW DATA 2023'!E:BO,2,0)</f>
        <v>1.5</v>
      </c>
      <c r="I435" s="106">
        <f>VLOOKUP(C435,'RAW DATA 2023'!E:BO,22,0)</f>
        <v>9.7495333333333338</v>
      </c>
      <c r="J435" s="72">
        <f t="shared" si="32"/>
        <v>3.7495333333333338</v>
      </c>
      <c r="K435" s="109">
        <f t="shared" si="33"/>
        <v>6.2492222222222233</v>
      </c>
      <c r="L435" s="63">
        <f t="shared" si="34"/>
        <v>6.2492222222222233</v>
      </c>
      <c r="M435" s="123"/>
    </row>
    <row r="436" spans="1:13" hidden="1">
      <c r="A436" s="63" t="str">
        <f>'RAW DATA 2023'!B57</f>
        <v>Petchburi5</v>
      </c>
      <c r="B436" s="63" t="str">
        <f>'RAW DATA 2023'!D57</f>
        <v>B1-115-0009</v>
      </c>
      <c r="C436" s="63" t="str">
        <f t="shared" si="30"/>
        <v>Petchburi5B1-115-0009</v>
      </c>
      <c r="D436" s="68">
        <f>VLOOKUP(C436,'RAW DATA 2023'!E:BP,63,0)</f>
        <v>12</v>
      </c>
      <c r="E436" s="68" t="str">
        <f t="shared" si="31"/>
        <v>Petchburi512</v>
      </c>
      <c r="F436" s="63" t="str">
        <f>VLOOKUP(C436,'RAW DATA 2023'!E:BO,5,0)</f>
        <v>Outdoor</v>
      </c>
      <c r="G436" s="63" t="s">
        <v>67</v>
      </c>
      <c r="H436" s="63">
        <f>VLOOKUP(C436,'RAW DATA 2023'!E:BO,2,0)</f>
        <v>2.0299999999999998</v>
      </c>
      <c r="I436" s="106">
        <f>VLOOKUP(C436,'RAW DATA 2023'!E:BO,22,0)</f>
        <v>11.844748768472908</v>
      </c>
      <c r="J436" s="72">
        <f t="shared" si="32"/>
        <v>8.8447487684729076</v>
      </c>
      <c r="K436" s="109">
        <f t="shared" si="33"/>
        <v>14.741247947454847</v>
      </c>
      <c r="L436" s="63">
        <f t="shared" si="34"/>
        <v>6.25</v>
      </c>
      <c r="M436" s="123"/>
    </row>
    <row r="437" spans="1:13" hidden="1">
      <c r="A437" s="63" t="str">
        <f>'RAW DATA 2023'!B63</f>
        <v>Petchburi5</v>
      </c>
      <c r="B437" s="63" t="str">
        <f>'RAW DATA 2023'!D63</f>
        <v>AG-001-0013</v>
      </c>
      <c r="C437" s="63" t="str">
        <f t="shared" si="30"/>
        <v>Petchburi5AG-001-0013</v>
      </c>
      <c r="D437" s="68">
        <f>VLOOKUP(C437,'RAW DATA 2023'!E:BP,63,0)</f>
        <v>6</v>
      </c>
      <c r="E437" s="68" t="str">
        <f t="shared" si="31"/>
        <v>Petchburi56</v>
      </c>
      <c r="F437" s="63" t="str">
        <f>VLOOKUP(C437,'RAW DATA 2023'!E:BO,5,0)</f>
        <v>Greenhouse</v>
      </c>
      <c r="G437" s="63" t="s">
        <v>1954</v>
      </c>
      <c r="H437" s="63">
        <f>VLOOKUP(C437,'RAW DATA 2023'!E:BO,2,0)</f>
        <v>1.5</v>
      </c>
      <c r="I437" s="106">
        <f>VLOOKUP(C437,'RAW DATA 2023'!E:BO,22,0)</f>
        <v>6.5484133333333334</v>
      </c>
      <c r="J437" s="72">
        <f t="shared" si="32"/>
        <v>2.5484133333333334</v>
      </c>
      <c r="K437" s="109">
        <f t="shared" si="33"/>
        <v>4.247355555555556</v>
      </c>
      <c r="L437" s="63">
        <f t="shared" si="34"/>
        <v>4.247355555555556</v>
      </c>
      <c r="M437" s="123"/>
    </row>
    <row r="438" spans="1:13" hidden="1">
      <c r="A438" s="63" t="str">
        <f>'RAW DATA 2023'!B65</f>
        <v>Petchburi5</v>
      </c>
      <c r="B438" s="63" t="str">
        <f>'RAW DATA 2023'!D65</f>
        <v>AG-004-0012</v>
      </c>
      <c r="C438" s="63" t="str">
        <f t="shared" si="30"/>
        <v>Petchburi5AG-004-0012</v>
      </c>
      <c r="D438" s="68">
        <f>VLOOKUP(C438,'RAW DATA 2023'!E:BP,63,0)</f>
        <v>10</v>
      </c>
      <c r="E438" s="68" t="str">
        <f t="shared" si="31"/>
        <v>Petchburi510</v>
      </c>
      <c r="F438" s="63" t="str">
        <f>VLOOKUP(C438,'RAW DATA 2023'!E:BO,5,0)</f>
        <v>Greenhouse</v>
      </c>
      <c r="G438" s="63" t="s">
        <v>1954</v>
      </c>
      <c r="H438" s="63">
        <f>VLOOKUP(C438,'RAW DATA 2023'!E:BO,2,0)</f>
        <v>1.5</v>
      </c>
      <c r="I438" s="106">
        <f>VLOOKUP(C438,'RAW DATA 2023'!E:BO,22,0)</f>
        <v>12.276633333333335</v>
      </c>
      <c r="J438" s="72">
        <f t="shared" si="32"/>
        <v>8.2766333333333346</v>
      </c>
      <c r="K438" s="109">
        <f t="shared" si="33"/>
        <v>13.794388888888891</v>
      </c>
      <c r="L438" s="63">
        <f t="shared" si="34"/>
        <v>6.25</v>
      </c>
      <c r="M438" s="123"/>
    </row>
    <row r="439" spans="1:13" hidden="1">
      <c r="A439" s="63" t="str">
        <f>'RAW DATA 2023'!B74</f>
        <v>Petchburi5</v>
      </c>
      <c r="B439" s="63" t="str">
        <f>'RAW DATA 2023'!D74</f>
        <v>A1-021-0020</v>
      </c>
      <c r="C439" s="63" t="str">
        <f t="shared" si="30"/>
        <v>Petchburi5A1-021-0020</v>
      </c>
      <c r="D439" s="68">
        <f>VLOOKUP(C439,'RAW DATA 2023'!E:BP,63,0)</f>
        <v>9</v>
      </c>
      <c r="E439" s="68" t="str">
        <f t="shared" si="31"/>
        <v>Petchburi59</v>
      </c>
      <c r="F439" s="63" t="str">
        <f>VLOOKUP(C439,'RAW DATA 2023'!E:BO,5,0)</f>
        <v>Outdoor</v>
      </c>
      <c r="G439" s="63" t="s">
        <v>1954</v>
      </c>
      <c r="H439" s="63">
        <f>VLOOKUP(C439,'RAW DATA 2023'!E:BO,2,0)</f>
        <v>1.5</v>
      </c>
      <c r="I439" s="106">
        <f>VLOOKUP(C439,'RAW DATA 2023'!E:BO,22,0)</f>
        <v>11.693893333333333</v>
      </c>
      <c r="J439" s="72">
        <f t="shared" si="32"/>
        <v>5.6938933333333335</v>
      </c>
      <c r="K439" s="109">
        <f t="shared" si="33"/>
        <v>9.489822222222223</v>
      </c>
      <c r="L439" s="63">
        <f t="shared" si="34"/>
        <v>6.25</v>
      </c>
      <c r="M439" s="123"/>
    </row>
    <row r="440" spans="1:13" hidden="1">
      <c r="A440" s="63" t="str">
        <f>'RAW DATA 2023'!B76</f>
        <v>Petchburi5</v>
      </c>
      <c r="B440" s="63" t="str">
        <f>'RAW DATA 2023'!D76</f>
        <v>A1-035-0007</v>
      </c>
      <c r="C440" s="63" t="str">
        <f t="shared" si="30"/>
        <v>Petchburi5A1-035-0007</v>
      </c>
      <c r="D440" s="68">
        <f>VLOOKUP(C440,'RAW DATA 2023'!E:BP,63,0)</f>
        <v>9</v>
      </c>
      <c r="E440" s="68" t="str">
        <f t="shared" si="31"/>
        <v>Petchburi59</v>
      </c>
      <c r="F440" s="63" t="str">
        <f>VLOOKUP(C440,'RAW DATA 2023'!E:BO,5,0)</f>
        <v>Outdoor</v>
      </c>
      <c r="G440" s="63" t="s">
        <v>1954</v>
      </c>
      <c r="H440" s="63">
        <f>VLOOKUP(C440,'RAW DATA 2023'!E:BO,2,0)</f>
        <v>1.5</v>
      </c>
      <c r="I440" s="106">
        <f>VLOOKUP(C440,'RAW DATA 2023'!E:BO,22,0)</f>
        <v>17.3657</v>
      </c>
      <c r="J440" s="72">
        <f t="shared" si="32"/>
        <v>11.3657</v>
      </c>
      <c r="K440" s="109">
        <f t="shared" si="33"/>
        <v>18.942833333333336</v>
      </c>
      <c r="L440" s="63">
        <f t="shared" si="34"/>
        <v>6.25</v>
      </c>
      <c r="M440" s="123"/>
    </row>
    <row r="441" spans="1:13" hidden="1">
      <c r="A441" s="63" t="str">
        <f>'RAW DATA 2023'!B82</f>
        <v>Petchburi5</v>
      </c>
      <c r="B441" s="63" t="str">
        <f>'RAW DATA 2023'!D82</f>
        <v>A1-032-0008</v>
      </c>
      <c r="C441" s="63" t="str">
        <f t="shared" si="30"/>
        <v>Petchburi5A1-032-0008</v>
      </c>
      <c r="D441" s="68">
        <f>VLOOKUP(C441,'RAW DATA 2023'!E:BP,63,0)</f>
        <v>7</v>
      </c>
      <c r="E441" s="68" t="str">
        <f t="shared" si="31"/>
        <v>Petchburi57</v>
      </c>
      <c r="F441" s="63" t="str">
        <f>VLOOKUP(C441,'RAW DATA 2023'!E:BO,5,0)</f>
        <v>Outdoor</v>
      </c>
      <c r="G441" s="63" t="s">
        <v>67</v>
      </c>
      <c r="H441" s="63">
        <f>VLOOKUP(C441,'RAW DATA 2023'!E:BO,2,0)</f>
        <v>1.5</v>
      </c>
      <c r="I441" s="106">
        <f>VLOOKUP(C441,'RAW DATA 2023'!E:BO,22,0)</f>
        <v>20.371466666666667</v>
      </c>
      <c r="J441" s="72">
        <f t="shared" si="32"/>
        <v>14.371466666666667</v>
      </c>
      <c r="K441" s="109">
        <f t="shared" si="33"/>
        <v>23.952444444444446</v>
      </c>
      <c r="L441" s="63">
        <f t="shared" si="34"/>
        <v>6.25</v>
      </c>
      <c r="M441" s="123"/>
    </row>
    <row r="442" spans="1:13" hidden="1">
      <c r="A442" s="63" t="str">
        <f>'RAW DATA 2023'!B99</f>
        <v>Roiphet1</v>
      </c>
      <c r="B442" s="63" t="str">
        <f>'RAW DATA 2023'!D99</f>
        <v>A3-I05-0085</v>
      </c>
      <c r="C442" s="63" t="str">
        <f t="shared" si="30"/>
        <v>Roiphet1A3-I05-0085</v>
      </c>
      <c r="D442" s="68">
        <f>VLOOKUP(C442,'RAW DATA 2023'!E:BP,63,0)</f>
        <v>10</v>
      </c>
      <c r="E442" s="68" t="str">
        <f t="shared" si="31"/>
        <v>Roiphet110</v>
      </c>
      <c r="F442" s="63" t="str">
        <f>VLOOKUP(C442,'RAW DATA 2023'!E:BO,5,0)</f>
        <v>Greenhouse</v>
      </c>
      <c r="G442" s="63" t="s">
        <v>1954</v>
      </c>
      <c r="H442" s="63">
        <f>VLOOKUP(C442,'RAW DATA 2023'!E:BO,2,0)</f>
        <v>0.72</v>
      </c>
      <c r="I442" s="106">
        <f>VLOOKUP(C442,'RAW DATA 2023'!E:BO,22,0)</f>
        <v>4.4227638888888894</v>
      </c>
      <c r="J442" s="72">
        <f t="shared" si="32"/>
        <v>0.42276388888888938</v>
      </c>
      <c r="K442" s="109">
        <f t="shared" si="33"/>
        <v>0.70460648148148231</v>
      </c>
      <c r="L442" s="63">
        <f t="shared" si="34"/>
        <v>0.70460648148148231</v>
      </c>
      <c r="M442" s="123"/>
    </row>
    <row r="443" spans="1:13" hidden="1">
      <c r="A443" s="63" t="str">
        <f>'RAW DATA 2023'!B154</f>
        <v>Roiphet1</v>
      </c>
      <c r="B443" s="63" t="str">
        <f>'RAW DATA 2023'!D154</f>
        <v>A4-G07-0071</v>
      </c>
      <c r="C443" s="63" t="str">
        <f t="shared" si="30"/>
        <v>Roiphet1A4-G07-0071</v>
      </c>
      <c r="D443" s="68">
        <f>VLOOKUP(C443,'RAW DATA 2023'!E:BP,63,0)</f>
        <v>5</v>
      </c>
      <c r="E443" s="68" t="str">
        <f t="shared" si="31"/>
        <v>Roiphet15</v>
      </c>
      <c r="F443" s="63" t="str">
        <f>VLOOKUP(C443,'RAW DATA 2023'!E:BO,5,0)</f>
        <v>Greenhouse</v>
      </c>
      <c r="G443" s="63" t="s">
        <v>1954</v>
      </c>
      <c r="H443" s="63">
        <f>VLOOKUP(C443,'RAW DATA 2023'!E:BO,2,0)</f>
        <v>1.1299999999999999</v>
      </c>
      <c r="I443" s="106">
        <f>VLOOKUP(C443,'RAW DATA 2023'!E:BO,22,0)</f>
        <v>8.834398230088496</v>
      </c>
      <c r="J443" s="72">
        <f t="shared" si="32"/>
        <v>4.834398230088496</v>
      </c>
      <c r="K443" s="109">
        <f t="shared" si="33"/>
        <v>8.0573303834808279</v>
      </c>
      <c r="L443" s="63">
        <f t="shared" si="34"/>
        <v>6.25</v>
      </c>
      <c r="M443" s="123"/>
    </row>
    <row r="444" spans="1:13" hidden="1">
      <c r="A444" s="63" t="str">
        <f>'RAW DATA 2023'!B176</f>
        <v>Roiphet1</v>
      </c>
      <c r="B444" s="63" t="str">
        <f>'RAW DATA 2023'!D176</f>
        <v>D6-I11-0084</v>
      </c>
      <c r="C444" s="63" t="str">
        <f t="shared" si="30"/>
        <v>Roiphet1D6-I11-0084</v>
      </c>
      <c r="D444" s="68">
        <f>VLOOKUP(C444,'RAW DATA 2023'!E:BP,63,0)</f>
        <v>11</v>
      </c>
      <c r="E444" s="68" t="str">
        <f t="shared" si="31"/>
        <v>Roiphet111</v>
      </c>
      <c r="F444" s="63" t="str">
        <f>VLOOKUP(C444,'RAW DATA 2023'!E:BO,5,0)</f>
        <v>Greenhouse</v>
      </c>
      <c r="G444" s="63" t="s">
        <v>67</v>
      </c>
      <c r="H444" s="63">
        <f>VLOOKUP(C444,'RAW DATA 2023'!E:BO,2,0)</f>
        <v>0.72</v>
      </c>
      <c r="I444" s="106">
        <f>VLOOKUP(C444,'RAW DATA 2023'!E:BO,22,0)</f>
        <v>3.9815277777777776</v>
      </c>
      <c r="J444" s="72">
        <f t="shared" si="32"/>
        <v>-1.8472222222222445E-2</v>
      </c>
      <c r="K444" s="109">
        <f t="shared" si="33"/>
        <v>-3.0787037037037411E-2</v>
      </c>
      <c r="L444" s="63">
        <f t="shared" si="34"/>
        <v>0</v>
      </c>
      <c r="M444" s="123"/>
    </row>
    <row r="445" spans="1:13">
      <c r="A445" s="63" t="str">
        <f>'RAW DATA 2023'!B192</f>
        <v>Roiphet1</v>
      </c>
      <c r="B445" s="63" t="str">
        <f>'RAW DATA 2023'!D192</f>
        <v>B1-I02-0094</v>
      </c>
      <c r="C445" s="63" t="str">
        <f t="shared" si="30"/>
        <v>Roiphet1B1-I02-0094</v>
      </c>
      <c r="D445" s="68">
        <f>VLOOKUP(C445,'RAW DATA 2023'!E:BP,63,0)</f>
        <v>2</v>
      </c>
      <c r="E445" s="68" t="str">
        <f t="shared" si="31"/>
        <v>Roiphet12</v>
      </c>
      <c r="F445" s="63" t="str">
        <f>VLOOKUP(C445,'RAW DATA 2023'!E:BO,5,0)</f>
        <v>Greenhouse</v>
      </c>
      <c r="G445" s="63" t="s">
        <v>1951</v>
      </c>
      <c r="H445" s="63">
        <f>VLOOKUP(C445,'RAW DATA 2023'!E:BO,2,0)</f>
        <v>0.72</v>
      </c>
      <c r="I445" s="106">
        <f>VLOOKUP(C445,'RAW DATA 2023'!E:BO,22,0)</f>
        <v>6.825277777777778</v>
      </c>
      <c r="J445" s="72">
        <f t="shared" si="32"/>
        <v>2.825277777777778</v>
      </c>
      <c r="K445" s="109">
        <f t="shared" si="33"/>
        <v>4.7087962962962973</v>
      </c>
      <c r="L445" s="63">
        <f t="shared" si="34"/>
        <v>4.7087962962962973</v>
      </c>
      <c r="M445" s="123"/>
    </row>
    <row r="446" spans="1:13">
      <c r="A446" s="63" t="str">
        <f>'RAW DATA 2023'!B195</f>
        <v>Roiphet1</v>
      </c>
      <c r="B446" s="63" t="str">
        <f>'RAW DATA 2023'!D195</f>
        <v>B6-G11-0081</v>
      </c>
      <c r="C446" s="63" t="str">
        <f t="shared" si="30"/>
        <v>Roiphet1B6-G11-0081</v>
      </c>
      <c r="D446" s="68">
        <f>VLOOKUP(C446,'RAW DATA 2023'!E:BP,63,0)</f>
        <v>1</v>
      </c>
      <c r="E446" s="68" t="str">
        <f t="shared" si="31"/>
        <v>Roiphet11</v>
      </c>
      <c r="F446" s="63" t="str">
        <f>VLOOKUP(C446,'RAW DATA 2023'!E:BO,5,0)</f>
        <v>Greenhouse</v>
      </c>
      <c r="G446" s="63" t="s">
        <v>1951</v>
      </c>
      <c r="H446" s="63">
        <f>VLOOKUP(C446,'RAW DATA 2023'!E:BO,2,0)</f>
        <v>1.1299999999999999</v>
      </c>
      <c r="I446" s="106">
        <f>VLOOKUP(C446,'RAW DATA 2023'!E:BO,22,0)</f>
        <v>5.9715663716814165</v>
      </c>
      <c r="J446" s="72">
        <f t="shared" si="32"/>
        <v>1.9715663716814165</v>
      </c>
      <c r="K446" s="109">
        <f t="shared" si="33"/>
        <v>3.2859439528023611</v>
      </c>
      <c r="L446" s="63">
        <f t="shared" si="34"/>
        <v>3.2859439528023611</v>
      </c>
      <c r="M446" s="123"/>
    </row>
    <row r="447" spans="1:13">
      <c r="A447" s="63" t="str">
        <f>'RAW DATA 2023'!B196</f>
        <v>Roiphet1</v>
      </c>
      <c r="B447" s="63" t="str">
        <f>'RAW DATA 2023'!D196</f>
        <v>B6-I12-0085</v>
      </c>
      <c r="C447" s="63" t="str">
        <f t="shared" si="30"/>
        <v>Roiphet1B6-I12-0085</v>
      </c>
      <c r="D447" s="68">
        <f>VLOOKUP(C447,'RAW DATA 2023'!E:BP,63,0)</f>
        <v>1</v>
      </c>
      <c r="E447" s="68" t="str">
        <f t="shared" si="31"/>
        <v>Roiphet11</v>
      </c>
      <c r="F447" s="63" t="str">
        <f>VLOOKUP(C447,'RAW DATA 2023'!E:BO,5,0)</f>
        <v>Greenhouse</v>
      </c>
      <c r="G447" s="63" t="s">
        <v>1951</v>
      </c>
      <c r="H447" s="63">
        <f>VLOOKUP(C447,'RAW DATA 2023'!E:BO,2,0)</f>
        <v>0.72</v>
      </c>
      <c r="I447" s="106">
        <f>VLOOKUP(C447,'RAW DATA 2023'!E:BO,22,0)</f>
        <v>4.948722222222222</v>
      </c>
      <c r="J447" s="72">
        <f t="shared" si="32"/>
        <v>0.94872222222222202</v>
      </c>
      <c r="K447" s="109">
        <f t="shared" si="33"/>
        <v>1.5812037037037034</v>
      </c>
      <c r="L447" s="63">
        <f t="shared" si="34"/>
        <v>1.5812037037037034</v>
      </c>
      <c r="M447" s="123"/>
    </row>
    <row r="448" spans="1:13">
      <c r="A448" s="63" t="str">
        <f>'RAW DATA 2023'!B202</f>
        <v>Roiphet1</v>
      </c>
      <c r="B448" s="63" t="str">
        <f>'RAW DATA 2023'!D202</f>
        <v>C4-G08-0061</v>
      </c>
      <c r="C448" s="63" t="str">
        <f t="shared" si="30"/>
        <v>Roiphet1C4-G08-0061</v>
      </c>
      <c r="D448" s="68">
        <f>VLOOKUP(C448,'RAW DATA 2023'!E:BP,63,0)</f>
        <v>6</v>
      </c>
      <c r="E448" s="68" t="str">
        <f t="shared" si="31"/>
        <v>Roiphet16</v>
      </c>
      <c r="F448" s="63" t="str">
        <f>VLOOKUP(C448,'RAW DATA 2023'!E:BO,5,0)</f>
        <v>Greenhouse</v>
      </c>
      <c r="G448" s="63" t="s">
        <v>1951</v>
      </c>
      <c r="H448" s="63">
        <f>VLOOKUP(C448,'RAW DATA 2023'!E:BO,2,0)</f>
        <v>1.1299999999999999</v>
      </c>
      <c r="I448" s="106">
        <f>VLOOKUP(C448,'RAW DATA 2023'!E:BO,22,0)</f>
        <v>5.8269203539823016</v>
      </c>
      <c r="J448" s="72">
        <f t="shared" si="32"/>
        <v>1.8269203539823016</v>
      </c>
      <c r="K448" s="109">
        <f t="shared" si="33"/>
        <v>3.0448672566371693</v>
      </c>
      <c r="L448" s="63">
        <f t="shared" si="34"/>
        <v>3.0448672566371693</v>
      </c>
      <c r="M448" s="123"/>
    </row>
    <row r="449" spans="1:13" hidden="1">
      <c r="A449" s="63" t="str">
        <f>'RAW DATA 2023'!B206</f>
        <v>Roiphet1</v>
      </c>
      <c r="B449" s="63" t="str">
        <f>'RAW DATA 2023'!D206</f>
        <v>D5-G09-0069</v>
      </c>
      <c r="C449" s="63" t="str">
        <f t="shared" si="30"/>
        <v>Roiphet1D5-G09-0069</v>
      </c>
      <c r="D449" s="68">
        <f>VLOOKUP(C449,'RAW DATA 2023'!E:BP,63,0)</f>
        <v>10</v>
      </c>
      <c r="E449" s="68" t="str">
        <f t="shared" si="31"/>
        <v>Roiphet110</v>
      </c>
      <c r="F449" s="63" t="str">
        <f>VLOOKUP(C449,'RAW DATA 2023'!E:BO,5,0)</f>
        <v>Greenhouse</v>
      </c>
      <c r="G449" s="63" t="s">
        <v>1954</v>
      </c>
      <c r="H449" s="63">
        <f>VLOOKUP(C449,'RAW DATA 2023'!E:BO,2,0)</f>
        <v>1.1299999999999999</v>
      </c>
      <c r="I449" s="106">
        <f>VLOOKUP(C449,'RAW DATA 2023'!E:BO,22,0)</f>
        <v>12.1252389380531</v>
      </c>
      <c r="J449" s="72">
        <f t="shared" si="32"/>
        <v>8.1252389380530996</v>
      </c>
      <c r="K449" s="109">
        <f t="shared" si="33"/>
        <v>13.542064896755166</v>
      </c>
      <c r="L449" s="63">
        <f t="shared" si="34"/>
        <v>6.25</v>
      </c>
      <c r="M449" s="123"/>
    </row>
    <row r="450" spans="1:13" hidden="1">
      <c r="A450" s="63" t="str">
        <f>'RAW DATA 2023'!B210</f>
        <v>Roiphet1</v>
      </c>
      <c r="B450" s="63" t="str">
        <f>'RAW DATA 2023'!D210</f>
        <v>D2-I03-0086</v>
      </c>
      <c r="C450" s="63" t="str">
        <f t="shared" si="30"/>
        <v>Roiphet1D2-I03-0086</v>
      </c>
      <c r="D450" s="68">
        <f>VLOOKUP(C450,'RAW DATA 2023'!E:BP,63,0)</f>
        <v>9</v>
      </c>
      <c r="E450" s="68" t="str">
        <f t="shared" si="31"/>
        <v>Roiphet19</v>
      </c>
      <c r="F450" s="63" t="str">
        <f>VLOOKUP(C450,'RAW DATA 2023'!E:BO,5,0)</f>
        <v>Greenhouse</v>
      </c>
      <c r="G450" s="63" t="s">
        <v>1954</v>
      </c>
      <c r="H450" s="63">
        <f>VLOOKUP(C450,'RAW DATA 2023'!E:BO,2,0)</f>
        <v>0.72</v>
      </c>
      <c r="I450" s="106">
        <f>VLOOKUP(C450,'RAW DATA 2023'!E:BO,22,0)</f>
        <v>8.1516527777777785</v>
      </c>
      <c r="J450" s="72">
        <f t="shared" si="32"/>
        <v>4.1516527777777785</v>
      </c>
      <c r="K450" s="109">
        <f t="shared" si="33"/>
        <v>6.9194212962962975</v>
      </c>
      <c r="L450" s="63">
        <f t="shared" si="34"/>
        <v>6.25</v>
      </c>
      <c r="M450" s="123"/>
    </row>
    <row r="451" spans="1:13" hidden="1">
      <c r="A451" s="63" t="str">
        <f>'RAW DATA 2023'!B223</f>
        <v>Roiphet1</v>
      </c>
      <c r="B451" s="63" t="str">
        <f>'RAW DATA 2023'!D223</f>
        <v>D5-I09-0083</v>
      </c>
      <c r="C451" s="63" t="str">
        <f t="shared" si="30"/>
        <v>Roiphet1D5-I09-0083</v>
      </c>
      <c r="D451" s="68">
        <f>VLOOKUP(C451,'RAW DATA 2023'!E:BP,63,0)</f>
        <v>10</v>
      </c>
      <c r="E451" s="68" t="str">
        <f t="shared" si="31"/>
        <v>Roiphet110</v>
      </c>
      <c r="F451" s="63" t="str">
        <f>VLOOKUP(C451,'RAW DATA 2023'!E:BO,5,0)</f>
        <v>Greenhouse</v>
      </c>
      <c r="G451" s="63" t="s">
        <v>1954</v>
      </c>
      <c r="H451" s="63">
        <f>VLOOKUP(C451,'RAW DATA 2023'!E:BO,2,0)</f>
        <v>0.72</v>
      </c>
      <c r="I451" s="106">
        <f>VLOOKUP(C451,'RAW DATA 2023'!E:BO,22,0)</f>
        <v>7.2012499999999999</v>
      </c>
      <c r="J451" s="72">
        <f t="shared" si="32"/>
        <v>3.2012499999999999</v>
      </c>
      <c r="K451" s="109">
        <f t="shared" si="33"/>
        <v>5.3354166666666671</v>
      </c>
      <c r="L451" s="63">
        <f t="shared" si="34"/>
        <v>5.3354166666666671</v>
      </c>
      <c r="M451" s="123"/>
    </row>
    <row r="452" spans="1:13" hidden="1">
      <c r="A452" s="63" t="str">
        <f>'RAW DATA 2023'!B230</f>
        <v>Roiphet1</v>
      </c>
      <c r="B452" s="63" t="str">
        <f>'RAW DATA 2023'!D230</f>
        <v>C1-I01-0080</v>
      </c>
      <c r="C452" s="63" t="str">
        <f t="shared" si="30"/>
        <v>Roiphet1C1-I01-0080</v>
      </c>
      <c r="D452" s="68">
        <f>VLOOKUP(C452,'RAW DATA 2023'!E:BP,63,0)</f>
        <v>9</v>
      </c>
      <c r="E452" s="68" t="str">
        <f t="shared" si="31"/>
        <v>Roiphet19</v>
      </c>
      <c r="F452" s="63" t="str">
        <f>VLOOKUP(C452,'RAW DATA 2023'!E:BO,5,0)</f>
        <v>Greenhouse</v>
      </c>
      <c r="G452" s="63" t="s">
        <v>1954</v>
      </c>
      <c r="H452" s="63">
        <f>VLOOKUP(C452,'RAW DATA 2023'!E:BO,2,0)</f>
        <v>0.72</v>
      </c>
      <c r="I452" s="106">
        <f>VLOOKUP(C452,'RAW DATA 2023'!E:BO,22,0)</f>
        <v>4.8285</v>
      </c>
      <c r="J452" s="72">
        <f t="shared" si="32"/>
        <v>0.82850000000000001</v>
      </c>
      <c r="K452" s="109">
        <f t="shared" si="33"/>
        <v>1.3808333333333334</v>
      </c>
      <c r="L452" s="63">
        <f t="shared" si="34"/>
        <v>1.3808333333333334</v>
      </c>
      <c r="M452" s="123"/>
    </row>
    <row r="453" spans="1:13" hidden="1">
      <c r="A453" s="63" t="str">
        <f>'RAW DATA 2023'!B249</f>
        <v>Roiphet1</v>
      </c>
      <c r="B453" s="63" t="str">
        <f>'RAW DATA 2023'!D249</f>
        <v>C3-G06-0079</v>
      </c>
      <c r="C453" s="63" t="str">
        <f t="shared" si="30"/>
        <v>Roiphet1C3-G06-0079</v>
      </c>
      <c r="D453" s="68">
        <f>VLOOKUP(C453,'RAW DATA 2023'!E:BP,63,0)</f>
        <v>9</v>
      </c>
      <c r="E453" s="68" t="str">
        <f t="shared" si="31"/>
        <v>Roiphet19</v>
      </c>
      <c r="F453" s="63" t="str">
        <f>VLOOKUP(C453,'RAW DATA 2023'!E:BO,5,0)</f>
        <v>Greenhouse</v>
      </c>
      <c r="G453" s="63" t="s">
        <v>1954</v>
      </c>
      <c r="H453" s="63">
        <f>VLOOKUP(C453,'RAW DATA 2023'!E:BO,2,0)</f>
        <v>1.1299999999999999</v>
      </c>
      <c r="I453" s="106">
        <f>VLOOKUP(C453,'RAW DATA 2023'!E:BO,22,0)</f>
        <v>3.6308141592920351</v>
      </c>
      <c r="J453" s="72">
        <f t="shared" si="32"/>
        <v>-0.3691858407079649</v>
      </c>
      <c r="K453" s="109">
        <f t="shared" si="33"/>
        <v>-0.61530973451327486</v>
      </c>
      <c r="L453" s="63">
        <f t="shared" si="34"/>
        <v>0</v>
      </c>
      <c r="M453" s="123"/>
    </row>
    <row r="454" spans="1:13" hidden="1">
      <c r="A454" s="63" t="str">
        <f>'RAW DATA 2023'!B250</f>
        <v>Roiphet1</v>
      </c>
      <c r="B454" s="63" t="str">
        <f>'RAW DATA 2023'!D250</f>
        <v>C4-G08-0062</v>
      </c>
      <c r="C454" s="63" t="str">
        <f t="shared" si="30"/>
        <v>Roiphet1C4-G08-0062</v>
      </c>
      <c r="D454" s="68">
        <f>VLOOKUP(C454,'RAW DATA 2023'!E:BP,63,0)</f>
        <v>12</v>
      </c>
      <c r="E454" s="68" t="str">
        <f t="shared" si="31"/>
        <v>Roiphet112</v>
      </c>
      <c r="F454" s="63" t="str">
        <f>VLOOKUP(C454,'RAW DATA 2023'!E:BO,5,0)</f>
        <v>Greenhouse</v>
      </c>
      <c r="G454" s="63" t="s">
        <v>1954</v>
      </c>
      <c r="H454" s="63">
        <f>VLOOKUP(C454,'RAW DATA 2023'!E:BO,2,0)</f>
        <v>1.1299999999999999</v>
      </c>
      <c r="I454" s="106">
        <f>VLOOKUP(C454,'RAW DATA 2023'!E:BO,22,0)</f>
        <v>7.3286460176991168</v>
      </c>
      <c r="J454" s="72">
        <f t="shared" si="32"/>
        <v>3.3286460176991168</v>
      </c>
      <c r="K454" s="109">
        <f t="shared" si="33"/>
        <v>5.547743362831862</v>
      </c>
      <c r="L454" s="63">
        <f t="shared" si="34"/>
        <v>5.547743362831862</v>
      </c>
      <c r="M454" s="123"/>
    </row>
    <row r="455" spans="1:13" hidden="1">
      <c r="A455" s="63" t="str">
        <f>'RAW DATA 2023'!B268</f>
        <v>Roiphet1</v>
      </c>
      <c r="B455" s="63" t="str">
        <f>'RAW DATA 2023'!D268</f>
        <v>B6-G11-0082</v>
      </c>
      <c r="C455" s="63" t="str">
        <f t="shared" si="30"/>
        <v>Roiphet1B6-G11-0082</v>
      </c>
      <c r="D455" s="68">
        <f>VLOOKUP(C455,'RAW DATA 2023'!E:BP,63,0)</f>
        <v>6</v>
      </c>
      <c r="E455" s="68" t="str">
        <f t="shared" si="31"/>
        <v>Roiphet16</v>
      </c>
      <c r="F455" s="63" t="str">
        <f>VLOOKUP(C455,'RAW DATA 2023'!E:BO,5,0)</f>
        <v>Greenhouse</v>
      </c>
      <c r="G455" s="63" t="s">
        <v>67</v>
      </c>
      <c r="H455" s="63">
        <f>VLOOKUP(C455,'RAW DATA 2023'!E:BO,2,0)</f>
        <v>1.1299999999999999</v>
      </c>
      <c r="I455" s="106">
        <f>VLOOKUP(C455,'RAW DATA 2023'!E:BO,22,0)</f>
        <v>6.7530442477876109</v>
      </c>
      <c r="J455" s="72">
        <f t="shared" si="32"/>
        <v>2.7530442477876109</v>
      </c>
      <c r="K455" s="109">
        <f t="shared" si="33"/>
        <v>4.5884070796460188</v>
      </c>
      <c r="L455" s="63">
        <f t="shared" si="34"/>
        <v>4.5884070796460188</v>
      </c>
      <c r="M455" s="123"/>
    </row>
    <row r="456" spans="1:13" hidden="1">
      <c r="A456" s="63" t="str">
        <f>'RAW DATA 2023'!B271</f>
        <v>Roiphet1</v>
      </c>
      <c r="B456" s="63" t="str">
        <f>'RAW DATA 2023'!D271</f>
        <v>B5-G10-0083</v>
      </c>
      <c r="C456" s="63" t="str">
        <f t="shared" si="30"/>
        <v>Roiphet1B5-G10-0083</v>
      </c>
      <c r="D456" s="68">
        <f>VLOOKUP(C456,'RAW DATA 2023'!E:BP,63,0)</f>
        <v>5</v>
      </c>
      <c r="E456" s="68" t="str">
        <f t="shared" si="31"/>
        <v>Roiphet15</v>
      </c>
      <c r="F456" s="63" t="str">
        <f>VLOOKUP(C456,'RAW DATA 2023'!E:BO,5,0)</f>
        <v>Greenhouse</v>
      </c>
      <c r="G456" s="63" t="s">
        <v>67</v>
      </c>
      <c r="H456" s="63">
        <f>VLOOKUP(C456,'RAW DATA 2023'!E:BO,2,0)</f>
        <v>1.1299999999999999</v>
      </c>
      <c r="I456" s="106">
        <f>VLOOKUP(C456,'RAW DATA 2023'!E:BO,22,0)</f>
        <v>7.661522123893806</v>
      </c>
      <c r="J456" s="72">
        <f t="shared" si="32"/>
        <v>3.661522123893806</v>
      </c>
      <c r="K456" s="109">
        <f t="shared" si="33"/>
        <v>6.1025368731563434</v>
      </c>
      <c r="L456" s="63">
        <f t="shared" si="34"/>
        <v>6.1025368731563434</v>
      </c>
      <c r="M456" s="123"/>
    </row>
    <row r="457" spans="1:13" hidden="1">
      <c r="A457" s="63" t="str">
        <f>'RAW DATA 2023'!B282</f>
        <v>Roiphet1</v>
      </c>
      <c r="B457" s="63" t="str">
        <f>'RAW DATA 2023'!D282</f>
        <v>B1-I01-0096</v>
      </c>
      <c r="C457" s="63" t="str">
        <f t="shared" si="30"/>
        <v>Roiphet1B1-I01-0096</v>
      </c>
      <c r="D457" s="68">
        <f>VLOOKUP(C457,'RAW DATA 2023'!E:BP,63,0)</f>
        <v>12</v>
      </c>
      <c r="E457" s="68" t="str">
        <f t="shared" si="31"/>
        <v>Roiphet112</v>
      </c>
      <c r="F457" s="63" t="str">
        <f>VLOOKUP(C457,'RAW DATA 2023'!E:BO,5,0)</f>
        <v>Greenhouse</v>
      </c>
      <c r="G457" s="63" t="s">
        <v>1955</v>
      </c>
      <c r="H457" s="63">
        <f>VLOOKUP(C457,'RAW DATA 2023'!E:BO,2,0)</f>
        <v>0.72</v>
      </c>
      <c r="I457" s="106">
        <f>VLOOKUP(C457,'RAW DATA 2023'!E:BO,22,0)</f>
        <v>7.0527222222222221</v>
      </c>
      <c r="J457" s="72">
        <f t="shared" si="32"/>
        <v>3.0527222222222221</v>
      </c>
      <c r="K457" s="109">
        <f t="shared" si="33"/>
        <v>5.0878703703703705</v>
      </c>
      <c r="L457" s="63">
        <f t="shared" si="34"/>
        <v>5.0878703703703705</v>
      </c>
      <c r="M457" s="123"/>
    </row>
    <row r="458" spans="1:13" hidden="1">
      <c r="A458" s="63" t="str">
        <f>'RAW DATA 2023'!B300</f>
        <v>Roiphet1</v>
      </c>
      <c r="B458" s="63" t="str">
        <f>'RAW DATA 2023'!D300</f>
        <v>B5-G10-0084</v>
      </c>
      <c r="C458" s="63" t="str">
        <f t="shared" ref="C458:C521" si="35">A458&amp;B458</f>
        <v>Roiphet1B5-G10-0084</v>
      </c>
      <c r="D458" s="68">
        <f>VLOOKUP(C458,'RAW DATA 2023'!E:BP,63,0)</f>
        <v>7</v>
      </c>
      <c r="E458" s="68" t="str">
        <f t="shared" ref="E458:E521" si="36">A458&amp;D458</f>
        <v>Roiphet17</v>
      </c>
      <c r="F458" s="63" t="str">
        <f>VLOOKUP(C458,'RAW DATA 2023'!E:BO,5,0)</f>
        <v>Greenhouse</v>
      </c>
      <c r="G458" s="63" t="s">
        <v>1954</v>
      </c>
      <c r="H458" s="63">
        <f>VLOOKUP(C458,'RAW DATA 2023'!E:BO,2,0)</f>
        <v>1.1299999999999999</v>
      </c>
      <c r="I458" s="106">
        <f>VLOOKUP(C458,'RAW DATA 2023'!E:BO,22,0)</f>
        <v>2.4771415929203542</v>
      </c>
      <c r="J458" s="72">
        <f t="shared" ref="J458:J521" si="37">IF(I458=0,0,IF(F458=$B$2,I458-$B$6,IF(F458=$C$1,I458-$C$6,IF(AND(F458=$C$2,H458&lt;=$C$3),I458-$C$6,IF(AND(F458=$C$2,H458&lt;=$E$3),I458-$D$6,I458-$E$6)))))</f>
        <v>-1.5228584070796458</v>
      </c>
      <c r="K458" s="109">
        <f t="shared" ref="K458:K521" si="38">IF(F458=$B$2,J458*$B$7,IF(AND(F458=$C$2,H458&lt;=$C$3),J458*$C$7,IF(AND(F458=$C$2,H458&lt;=$E$3),J458*$D$7,J458*$E$7)))</f>
        <v>-2.5380973451327433</v>
      </c>
      <c r="L458" s="63">
        <f t="shared" ref="L458:L521" si="39">IF(K458&gt;=6.25,6.25,IF(K458&lt;=0,0,K458))</f>
        <v>0</v>
      </c>
      <c r="M458" s="123"/>
    </row>
    <row r="459" spans="1:13" hidden="1">
      <c r="A459" s="63" t="str">
        <f>'RAW DATA 2023'!B330</f>
        <v>Maeklong1</v>
      </c>
      <c r="B459" s="63" t="str">
        <f>'RAW DATA 2023'!D330</f>
        <v>A1-023-0016</v>
      </c>
      <c r="C459" s="63" t="str">
        <f t="shared" si="35"/>
        <v>Maeklong1A1-023-0016</v>
      </c>
      <c r="D459" s="68">
        <f>VLOOKUP(C459,'RAW DATA 2023'!E:BP,63,0)</f>
        <v>3</v>
      </c>
      <c r="E459" s="68" t="str">
        <f t="shared" si="36"/>
        <v>Maeklong13</v>
      </c>
      <c r="F459" s="63" t="str">
        <f>VLOOKUP(C459,'RAW DATA 2023'!E:BO,5,0)</f>
        <v>Outdoor</v>
      </c>
      <c r="G459" s="63" t="s">
        <v>1954</v>
      </c>
      <c r="H459" s="63">
        <f>VLOOKUP(C459,'RAW DATA 2023'!E:BO,2,0)</f>
        <v>3.91</v>
      </c>
      <c r="I459" s="106">
        <f>VLOOKUP(C459,'RAW DATA 2023'!E:BO,22,0)</f>
        <v>6.0275677749360614</v>
      </c>
      <c r="J459" s="72">
        <f t="shared" si="37"/>
        <v>3.0275677749360614</v>
      </c>
      <c r="K459" s="109">
        <f t="shared" si="38"/>
        <v>5.045946291560103</v>
      </c>
      <c r="L459" s="63">
        <f t="shared" si="39"/>
        <v>5.045946291560103</v>
      </c>
      <c r="M459" s="123"/>
    </row>
    <row r="460" spans="1:13">
      <c r="A460" s="63" t="str">
        <f>'RAW DATA 2023'!B352</f>
        <v>Maeklong1</v>
      </c>
      <c r="B460" s="63" t="str">
        <f>'RAW DATA 2023'!D352</f>
        <v>A1-006-0043</v>
      </c>
      <c r="C460" s="63" t="str">
        <f t="shared" si="35"/>
        <v>Maeklong1A1-006-0043</v>
      </c>
      <c r="D460" s="68">
        <f>VLOOKUP(C460,'RAW DATA 2023'!E:BP,63,0)</f>
        <v>12</v>
      </c>
      <c r="E460" s="68" t="str">
        <f t="shared" si="36"/>
        <v>Maeklong112</v>
      </c>
      <c r="F460" s="63" t="str">
        <f>VLOOKUP(C460,'RAW DATA 2023'!E:BO,5,0)</f>
        <v>Outdoor</v>
      </c>
      <c r="G460" s="63" t="s">
        <v>1951</v>
      </c>
      <c r="H460" s="63">
        <f>VLOOKUP(C460,'RAW DATA 2023'!E:BO,2,0)</f>
        <v>3.42</v>
      </c>
      <c r="I460" s="106">
        <f>VLOOKUP(C460,'RAW DATA 2023'!E:BO,22,0)</f>
        <v>5.5935877192982453</v>
      </c>
      <c r="J460" s="72">
        <f t="shared" si="37"/>
        <v>2.5935877192982453</v>
      </c>
      <c r="K460" s="109">
        <f t="shared" si="38"/>
        <v>4.3226461988304088</v>
      </c>
      <c r="L460" s="63">
        <f t="shared" si="39"/>
        <v>4.3226461988304088</v>
      </c>
      <c r="M460" s="123"/>
    </row>
    <row r="461" spans="1:13" hidden="1">
      <c r="A461" s="63" t="str">
        <f>'RAW DATA 2023'!B368</f>
        <v>PB5</v>
      </c>
      <c r="B461" s="63" t="str">
        <f>'RAW DATA 2023'!D368</f>
        <v>A1-009-0049</v>
      </c>
      <c r="C461" s="63" t="str">
        <f t="shared" si="35"/>
        <v>PB5A1-009-0049</v>
      </c>
      <c r="D461" s="68">
        <f>VLOOKUP(C461,'RAW DATA 2023'!E:BP,63,0)</f>
        <v>11</v>
      </c>
      <c r="E461" s="68" t="str">
        <f t="shared" si="36"/>
        <v>PB511</v>
      </c>
      <c r="F461" s="63" t="str">
        <f>VLOOKUP(C461,'RAW DATA 2023'!E:BO,5,0)</f>
        <v>Outdoor</v>
      </c>
      <c r="G461" s="63" t="s">
        <v>67</v>
      </c>
      <c r="H461" s="63">
        <f>VLOOKUP(C461,'RAW DATA 2023'!E:BO,2,0)</f>
        <v>4.62</v>
      </c>
      <c r="I461" s="106">
        <f>VLOOKUP(C461,'RAW DATA 2023'!E:BO,22,0)</f>
        <v>2.1170692640692641</v>
      </c>
      <c r="J461" s="72">
        <f t="shared" si="37"/>
        <v>0.1170692640692641</v>
      </c>
      <c r="K461" s="109">
        <f t="shared" si="38"/>
        <v>0.19511544011544019</v>
      </c>
      <c r="L461" s="63">
        <f t="shared" si="39"/>
        <v>0.19511544011544019</v>
      </c>
      <c r="M461" s="123"/>
    </row>
    <row r="462" spans="1:13" hidden="1">
      <c r="A462" s="63" t="str">
        <f>'RAW DATA 2023'!B371</f>
        <v>PB5</v>
      </c>
      <c r="B462" s="63" t="str">
        <f>'RAW DATA 2023'!D371</f>
        <v>A1-007-0050</v>
      </c>
      <c r="C462" s="63" t="str">
        <f t="shared" si="35"/>
        <v>PB5A1-007-0050</v>
      </c>
      <c r="D462" s="68">
        <f>VLOOKUP(C462,'RAW DATA 2023'!E:BP,63,0)</f>
        <v>3</v>
      </c>
      <c r="E462" s="68" t="str">
        <f t="shared" si="36"/>
        <v>PB53</v>
      </c>
      <c r="F462" s="63" t="str">
        <f>VLOOKUP(C462,'RAW DATA 2023'!E:BO,5,0)</f>
        <v>Outdoor</v>
      </c>
      <c r="G462" s="63" t="s">
        <v>67</v>
      </c>
      <c r="H462" s="63">
        <f>VLOOKUP(C462,'RAW DATA 2023'!E:BO,2,0)</f>
        <v>4.5199999999999996</v>
      </c>
      <c r="I462" s="106">
        <f>VLOOKUP(C462,'RAW DATA 2023'!E:BO,22,0)</f>
        <v>1.5869955752212392</v>
      </c>
      <c r="J462" s="72">
        <f t="shared" si="37"/>
        <v>-0.41300442477876076</v>
      </c>
      <c r="K462" s="109">
        <f t="shared" si="38"/>
        <v>-0.68834070796460134</v>
      </c>
      <c r="L462" s="63">
        <f t="shared" si="39"/>
        <v>0</v>
      </c>
      <c r="M462" s="123"/>
    </row>
    <row r="463" spans="1:13" hidden="1">
      <c r="A463" s="63" t="str">
        <f>'RAW DATA 2023'!B393</f>
        <v>Lamlaung</v>
      </c>
      <c r="B463" s="63" t="str">
        <f>'RAW DATA 2023'!D393</f>
        <v>B1-111-0008</v>
      </c>
      <c r="C463" s="63" t="str">
        <f t="shared" si="35"/>
        <v>LamlaungB1-111-0008</v>
      </c>
      <c r="D463" s="68">
        <f>VLOOKUP(C463,'RAW DATA 2023'!E:BP,63,0)</f>
        <v>9</v>
      </c>
      <c r="E463" s="68" t="str">
        <f t="shared" si="36"/>
        <v>Lamlaung9</v>
      </c>
      <c r="F463" s="63" t="str">
        <f>VLOOKUP(C463,'RAW DATA 2023'!E:BO,5,0)</f>
        <v>Outdoor</v>
      </c>
      <c r="G463" s="63" t="s">
        <v>1955</v>
      </c>
      <c r="H463" s="63">
        <f>VLOOKUP(C463,'RAW DATA 2023'!E:BO,2,0)</f>
        <v>5</v>
      </c>
      <c r="I463" s="106">
        <f>VLOOKUP(C463,'RAW DATA 2023'!E:BO,22,0)</f>
        <v>11.605546</v>
      </c>
      <c r="J463" s="72">
        <f t="shared" si="37"/>
        <v>9.6055460000000004</v>
      </c>
      <c r="K463" s="109">
        <f t="shared" si="38"/>
        <v>16.009243333333334</v>
      </c>
      <c r="L463" s="63">
        <f t="shared" si="39"/>
        <v>6.25</v>
      </c>
      <c r="M463" s="123"/>
    </row>
    <row r="464" spans="1:13" hidden="1">
      <c r="A464" s="63" t="str">
        <f>'RAW DATA 2023'!B394</f>
        <v>Lamlaung</v>
      </c>
      <c r="B464" s="63" t="str">
        <f>'RAW DATA 2023'!D394</f>
        <v>A1-002-0046</v>
      </c>
      <c r="C464" s="63" t="str">
        <f t="shared" si="35"/>
        <v>LamlaungA1-002-0046</v>
      </c>
      <c r="D464" s="68">
        <f>VLOOKUP(C464,'RAW DATA 2023'!E:BP,63,0)</f>
        <v>10</v>
      </c>
      <c r="E464" s="68" t="str">
        <f t="shared" si="36"/>
        <v>Lamlaung10</v>
      </c>
      <c r="F464" s="63" t="str">
        <f>VLOOKUP(C464,'RAW DATA 2023'!E:BO,5,0)</f>
        <v>Outdoor</v>
      </c>
      <c r="G464" s="63" t="s">
        <v>1955</v>
      </c>
      <c r="H464" s="63">
        <f>VLOOKUP(C464,'RAW DATA 2023'!E:BO,2,0)</f>
        <v>5</v>
      </c>
      <c r="I464" s="106">
        <f>VLOOKUP(C464,'RAW DATA 2023'!E:BO,22,0)</f>
        <v>9.5009759999999996</v>
      </c>
      <c r="J464" s="72">
        <f t="shared" si="37"/>
        <v>7.5009759999999996</v>
      </c>
      <c r="K464" s="109">
        <f t="shared" si="38"/>
        <v>12.501626666666667</v>
      </c>
      <c r="L464" s="63">
        <f t="shared" si="39"/>
        <v>6.25</v>
      </c>
      <c r="M464" s="123"/>
    </row>
    <row r="465" spans="1:13" hidden="1">
      <c r="A465" s="63" t="str">
        <f>'RAW DATA 2023'!B395</f>
        <v>Lamlaung</v>
      </c>
      <c r="B465" s="63" t="str">
        <f>'RAW DATA 2023'!D395</f>
        <v>B1-112-0006</v>
      </c>
      <c r="C465" s="63" t="str">
        <f t="shared" si="35"/>
        <v>LamlaungB1-112-0006</v>
      </c>
      <c r="D465" s="68">
        <f>VLOOKUP(C465,'RAW DATA 2023'!E:BP,63,0)</f>
        <v>7</v>
      </c>
      <c r="E465" s="68" t="str">
        <f t="shared" si="36"/>
        <v>Lamlaung7</v>
      </c>
      <c r="F465" s="63" t="str">
        <f>VLOOKUP(C465,'RAW DATA 2023'!E:BO,5,0)</f>
        <v>Outdoor</v>
      </c>
      <c r="G465" s="63" t="s">
        <v>1955</v>
      </c>
      <c r="H465" s="63">
        <f>VLOOKUP(C465,'RAW DATA 2023'!E:BO,2,0)</f>
        <v>5</v>
      </c>
      <c r="I465" s="106">
        <f>VLOOKUP(C465,'RAW DATA 2023'!E:BO,22,0)</f>
        <v>11.409408000000001</v>
      </c>
      <c r="J465" s="72">
        <f t="shared" si="37"/>
        <v>9.4094080000000009</v>
      </c>
      <c r="K465" s="109">
        <f t="shared" si="38"/>
        <v>15.682346666666669</v>
      </c>
      <c r="L465" s="63">
        <f t="shared" si="39"/>
        <v>6.25</v>
      </c>
      <c r="M465" s="123"/>
    </row>
    <row r="466" spans="1:13" hidden="1">
      <c r="A466" s="63" t="str">
        <f>'RAW DATA 2023'!B409</f>
        <v>CS4</v>
      </c>
      <c r="B466" s="63" t="str">
        <f>'RAW DATA 2023'!D409</f>
        <v>A1-003-0037</v>
      </c>
      <c r="C466" s="63" t="str">
        <f t="shared" si="35"/>
        <v>CS4A1-003-0037</v>
      </c>
      <c r="D466" s="68">
        <f>VLOOKUP(C466,'RAW DATA 2023'!E:BP,63,0)</f>
        <v>4</v>
      </c>
      <c r="E466" s="68" t="str">
        <f t="shared" si="36"/>
        <v>CS44</v>
      </c>
      <c r="F466" s="63" t="str">
        <f>VLOOKUP(C466,'RAW DATA 2023'!E:BO,5,0)</f>
        <v>Outdoor</v>
      </c>
      <c r="G466" s="63" t="s">
        <v>67</v>
      </c>
      <c r="H466" s="63">
        <f>VLOOKUP(C466,'RAW DATA 2023'!E:BO,2,0)</f>
        <v>2</v>
      </c>
      <c r="I466" s="106">
        <f>VLOOKUP(C466,'RAW DATA 2023'!E:BO,22,0)</f>
        <v>7.0587900000000001</v>
      </c>
      <c r="J466" s="72">
        <f t="shared" si="37"/>
        <v>1.0587900000000001</v>
      </c>
      <c r="K466" s="109">
        <f t="shared" si="38"/>
        <v>1.7646500000000003</v>
      </c>
      <c r="L466" s="63">
        <f t="shared" si="39"/>
        <v>1.7646500000000003</v>
      </c>
      <c r="M466" s="123"/>
    </row>
    <row r="467" spans="1:13" hidden="1">
      <c r="A467" s="63" t="str">
        <f>'RAW DATA 2023'!B413</f>
        <v>CS4</v>
      </c>
      <c r="B467" s="63" t="str">
        <f>'RAW DATA 2023'!D413</f>
        <v>A1-023-0008</v>
      </c>
      <c r="C467" s="63" t="str">
        <f t="shared" si="35"/>
        <v>CS4A1-023-0008</v>
      </c>
      <c r="D467" s="68">
        <f>VLOOKUP(C467,'RAW DATA 2023'!E:BP,63,0)</f>
        <v>3</v>
      </c>
      <c r="E467" s="68" t="str">
        <f t="shared" si="36"/>
        <v>CS43</v>
      </c>
      <c r="F467" s="63" t="str">
        <f>VLOOKUP(C467,'RAW DATA 2023'!E:BO,5,0)</f>
        <v>Outdoor</v>
      </c>
      <c r="G467" s="63" t="s">
        <v>67</v>
      </c>
      <c r="H467" s="63">
        <f>VLOOKUP(C467,'RAW DATA 2023'!E:BO,2,0)</f>
        <v>1.1200000000000001</v>
      </c>
      <c r="I467" s="106">
        <f>VLOOKUP(C467,'RAW DATA 2023'!E:BO,22,0)</f>
        <v>3.0309374999999998</v>
      </c>
      <c r="J467" s="72">
        <f t="shared" si="37"/>
        <v>-2.9690625000000002</v>
      </c>
      <c r="K467" s="109">
        <f t="shared" si="38"/>
        <v>-4.9484375000000007</v>
      </c>
      <c r="L467" s="63">
        <f t="shared" si="39"/>
        <v>0</v>
      </c>
      <c r="M467" s="123"/>
    </row>
    <row r="468" spans="1:13" hidden="1">
      <c r="A468" s="63" t="str">
        <f>'RAW DATA 2023'!B422</f>
        <v>CS1</v>
      </c>
      <c r="B468" s="63" t="str">
        <f>'RAW DATA 2023'!D422</f>
        <v>A1-007-0048</v>
      </c>
      <c r="C468" s="63" t="str">
        <f t="shared" si="35"/>
        <v>CS1A1-007-0048</v>
      </c>
      <c r="D468" s="68">
        <f>VLOOKUP(C468,'RAW DATA 2023'!E:BP,63,0)</f>
        <v>2</v>
      </c>
      <c r="E468" s="68" t="str">
        <f t="shared" si="36"/>
        <v>CS12</v>
      </c>
      <c r="F468" s="63" t="str">
        <f>VLOOKUP(C468,'RAW DATA 2023'!E:BO,5,0)</f>
        <v>Outdoor</v>
      </c>
      <c r="G468" s="63" t="s">
        <v>67</v>
      </c>
      <c r="H468" s="63">
        <f>VLOOKUP(C468,'RAW DATA 2023'!E:BO,2,0)</f>
        <v>3.1</v>
      </c>
      <c r="I468" s="106">
        <f>VLOOKUP(C468,'RAW DATA 2023'!E:BO,22,0)</f>
        <v>5.7954322580645163</v>
      </c>
      <c r="J468" s="72">
        <f t="shared" si="37"/>
        <v>2.7954322580645163</v>
      </c>
      <c r="K468" s="109">
        <f t="shared" si="38"/>
        <v>4.6590537634408609</v>
      </c>
      <c r="L468" s="63">
        <f t="shared" si="39"/>
        <v>4.6590537634408609</v>
      </c>
      <c r="M468" s="123"/>
    </row>
    <row r="469" spans="1:13">
      <c r="A469" s="63" t="str">
        <f>'RAW DATA 2023'!B427</f>
        <v>CS1</v>
      </c>
      <c r="B469" s="63" t="str">
        <f>'RAW DATA 2023'!D427</f>
        <v>C1-080-0017</v>
      </c>
      <c r="C469" s="63" t="str">
        <f t="shared" si="35"/>
        <v>CS1C1-080-0017</v>
      </c>
      <c r="D469" s="68">
        <f>VLOOKUP(C469,'RAW DATA 2023'!E:BP,63,0)</f>
        <v>2</v>
      </c>
      <c r="E469" s="68" t="str">
        <f t="shared" si="36"/>
        <v>CS12</v>
      </c>
      <c r="F469" s="63" t="str">
        <f>VLOOKUP(C469,'RAW DATA 2023'!E:BO,5,0)</f>
        <v>Outdoor</v>
      </c>
      <c r="G469" s="63" t="s">
        <v>1951</v>
      </c>
      <c r="H469" s="63">
        <f>VLOOKUP(C469,'RAW DATA 2023'!E:BO,2,0)</f>
        <v>2.25</v>
      </c>
      <c r="I469" s="106">
        <f>VLOOKUP(C469,'RAW DATA 2023'!E:BO,22,0)</f>
        <v>6.8155999999999999</v>
      </c>
      <c r="J469" s="72">
        <f t="shared" si="37"/>
        <v>3.8155999999999999</v>
      </c>
      <c r="K469" s="109">
        <f t="shared" si="38"/>
        <v>6.3593333333333337</v>
      </c>
      <c r="L469" s="63">
        <f t="shared" si="39"/>
        <v>6.25</v>
      </c>
      <c r="M469" s="123"/>
    </row>
    <row r="470" spans="1:13">
      <c r="A470" s="63" t="str">
        <f>'RAW DATA 2023'!B433</f>
        <v>CS1</v>
      </c>
      <c r="B470" s="63" t="str">
        <f>'RAW DATA 2023'!D433</f>
        <v>C1-084-0019</v>
      </c>
      <c r="C470" s="63" t="str">
        <f t="shared" si="35"/>
        <v>CS1C1-084-0019</v>
      </c>
      <c r="D470" s="68">
        <f>VLOOKUP(C470,'RAW DATA 2023'!E:BP,63,0)</f>
        <v>5</v>
      </c>
      <c r="E470" s="68" t="str">
        <f t="shared" si="36"/>
        <v>CS15</v>
      </c>
      <c r="F470" s="63" t="str">
        <f>VLOOKUP(C470,'RAW DATA 2023'!E:BO,5,0)</f>
        <v>Outdoor</v>
      </c>
      <c r="G470" s="63" t="s">
        <v>1951</v>
      </c>
      <c r="H470" s="63">
        <f>VLOOKUP(C470,'RAW DATA 2023'!E:BO,2,0)</f>
        <v>2.25</v>
      </c>
      <c r="I470" s="106">
        <f>VLOOKUP(C470,'RAW DATA 2023'!E:BO,22,0)</f>
        <v>5.0292755555555555</v>
      </c>
      <c r="J470" s="72">
        <f t="shared" si="37"/>
        <v>2.0292755555555555</v>
      </c>
      <c r="K470" s="109">
        <f t="shared" si="38"/>
        <v>3.382125925925926</v>
      </c>
      <c r="L470" s="63">
        <f t="shared" si="39"/>
        <v>3.382125925925926</v>
      </c>
      <c r="M470" s="123"/>
    </row>
    <row r="471" spans="1:13" hidden="1">
      <c r="A471" s="63" t="str">
        <f>'RAW DATA 2023'!B455</f>
        <v>Roiphet3</v>
      </c>
      <c r="B471" s="63" t="str">
        <f>'RAW DATA 2023'!D455</f>
        <v>C1-047-0011</v>
      </c>
      <c r="C471" s="63" t="str">
        <f t="shared" si="35"/>
        <v>Roiphet3C1-047-0011</v>
      </c>
      <c r="D471" s="68">
        <f>VLOOKUP(C471,'RAW DATA 2023'!E:BP,63,0)</f>
        <v>4</v>
      </c>
      <c r="E471" s="68" t="str">
        <f t="shared" si="36"/>
        <v>Roiphet34</v>
      </c>
      <c r="F471" s="63" t="str">
        <f>VLOOKUP(C471,'RAW DATA 2023'!E:BO,5,0)</f>
        <v>Outdoor</v>
      </c>
      <c r="G471" s="63" t="s">
        <v>67</v>
      </c>
      <c r="H471" s="63">
        <f>VLOOKUP(C471,'RAW DATA 2023'!E:BO,2,0)</f>
        <v>4.5</v>
      </c>
      <c r="I471" s="106">
        <f>VLOOKUP(C471,'RAW DATA 2023'!E:BO,22,0)</f>
        <v>4.1126022222222218</v>
      </c>
      <c r="J471" s="72">
        <f t="shared" si="37"/>
        <v>2.1126022222222218</v>
      </c>
      <c r="K471" s="109">
        <f t="shared" si="38"/>
        <v>3.5210037037037032</v>
      </c>
      <c r="L471" s="63">
        <f t="shared" si="39"/>
        <v>3.5210037037037032</v>
      </c>
      <c r="M471" s="123"/>
    </row>
    <row r="472" spans="1:13" hidden="1">
      <c r="A472" s="63" t="str">
        <f>'RAW DATA 2023'!B457</f>
        <v>Roiphet3</v>
      </c>
      <c r="B472" s="63" t="str">
        <f>'RAW DATA 2023'!D457</f>
        <v>C1-057-0017</v>
      </c>
      <c r="C472" s="63" t="str">
        <f t="shared" si="35"/>
        <v>Roiphet3C1-057-0017</v>
      </c>
      <c r="D472" s="68">
        <f>VLOOKUP(C472,'RAW DATA 2023'!E:BP,63,0)</f>
        <v>4</v>
      </c>
      <c r="E472" s="68" t="str">
        <f t="shared" si="36"/>
        <v>Roiphet34</v>
      </c>
      <c r="F472" s="63" t="str">
        <f>VLOOKUP(C472,'RAW DATA 2023'!E:BO,5,0)</f>
        <v>Outdoor</v>
      </c>
      <c r="G472" s="63" t="s">
        <v>67</v>
      </c>
      <c r="H472" s="63">
        <f>VLOOKUP(C472,'RAW DATA 2023'!E:BO,2,0)</f>
        <v>4.5</v>
      </c>
      <c r="I472" s="106">
        <f>VLOOKUP(C472,'RAW DATA 2023'!E:BO,22,0)</f>
        <v>4.5831955555555561</v>
      </c>
      <c r="J472" s="72">
        <f t="shared" si="37"/>
        <v>2.5831955555555561</v>
      </c>
      <c r="K472" s="109">
        <f t="shared" si="38"/>
        <v>4.3053259259259269</v>
      </c>
      <c r="L472" s="63">
        <f t="shared" si="39"/>
        <v>4.3053259259259269</v>
      </c>
      <c r="M472" s="123"/>
    </row>
    <row r="473" spans="1:13" hidden="1">
      <c r="A473" s="63" t="str">
        <f>'RAW DATA 2023'!B458</f>
        <v>Roiphet3</v>
      </c>
      <c r="B473" s="63" t="str">
        <f>'RAW DATA 2023'!D458</f>
        <v>C1-045-0025</v>
      </c>
      <c r="C473" s="63" t="str">
        <f t="shared" si="35"/>
        <v>Roiphet3C1-045-0025</v>
      </c>
      <c r="D473" s="68">
        <f>VLOOKUP(C473,'RAW DATA 2023'!E:BP,63,0)</f>
        <v>4</v>
      </c>
      <c r="E473" s="68" t="str">
        <f t="shared" si="36"/>
        <v>Roiphet34</v>
      </c>
      <c r="F473" s="63" t="str">
        <f>VLOOKUP(C473,'RAW DATA 2023'!E:BO,5,0)</f>
        <v>Outdoor</v>
      </c>
      <c r="G473" s="63" t="s">
        <v>67</v>
      </c>
      <c r="H473" s="63">
        <f>VLOOKUP(C473,'RAW DATA 2023'!E:BO,2,0)</f>
        <v>4.5</v>
      </c>
      <c r="I473" s="106">
        <f>VLOOKUP(C473,'RAW DATA 2023'!E:BO,22,0)</f>
        <v>3.502971111111111</v>
      </c>
      <c r="J473" s="72">
        <f t="shared" si="37"/>
        <v>1.502971111111111</v>
      </c>
      <c r="K473" s="109">
        <f t="shared" si="38"/>
        <v>2.5049518518518519</v>
      </c>
      <c r="L473" s="63">
        <f t="shared" si="39"/>
        <v>2.5049518518518519</v>
      </c>
      <c r="M473" s="123"/>
    </row>
    <row r="474" spans="1:13" hidden="1">
      <c r="A474" s="63" t="str">
        <f>'RAW DATA 2023'!B474</f>
        <v>Roiphet3</v>
      </c>
      <c r="B474" s="63" t="str">
        <f>'RAW DATA 2023'!D474</f>
        <v>C1-044-0020</v>
      </c>
      <c r="C474" s="63" t="str">
        <f t="shared" si="35"/>
        <v>Roiphet3C1-044-0020</v>
      </c>
      <c r="D474" s="68">
        <f>VLOOKUP(C474,'RAW DATA 2023'!E:BP,63,0)</f>
        <v>12</v>
      </c>
      <c r="E474" s="68" t="str">
        <f t="shared" si="36"/>
        <v>Roiphet312</v>
      </c>
      <c r="F474" s="63" t="str">
        <f>VLOOKUP(C474,'RAW DATA 2023'!E:BO,5,0)</f>
        <v>Outdoor</v>
      </c>
      <c r="G474" s="63" t="s">
        <v>67</v>
      </c>
      <c r="H474" s="63">
        <f>VLOOKUP(C474,'RAW DATA 2023'!E:BO,2,0)</f>
        <v>4.5</v>
      </c>
      <c r="I474" s="106">
        <f>VLOOKUP(C474,'RAW DATA 2023'!E:BO,22,0)</f>
        <v>1.3341866666666666</v>
      </c>
      <c r="J474" s="72">
        <f t="shared" si="37"/>
        <v>-0.66581333333333337</v>
      </c>
      <c r="K474" s="109">
        <f t="shared" si="38"/>
        <v>-1.1096888888888889</v>
      </c>
      <c r="L474" s="63">
        <f t="shared" si="39"/>
        <v>0</v>
      </c>
      <c r="M474" s="123"/>
    </row>
    <row r="475" spans="1:13" hidden="1">
      <c r="A475" s="63" t="str">
        <f>'RAW DATA 2023'!B475</f>
        <v>Bangkachai1</v>
      </c>
      <c r="B475" s="63" t="str">
        <f>'RAW DATA 2023'!D475</f>
        <v>BG-045-0013</v>
      </c>
      <c r="C475" s="63" t="str">
        <f t="shared" si="35"/>
        <v>Bangkachai1BG-045-0013</v>
      </c>
      <c r="D475" s="68">
        <f>VLOOKUP(C475,'RAW DATA 2023'!E:BP,63,0)</f>
        <v>10</v>
      </c>
      <c r="E475" s="68" t="str">
        <f t="shared" si="36"/>
        <v>Bangkachai110</v>
      </c>
      <c r="F475" s="63" t="str">
        <f>VLOOKUP(C475,'RAW DATA 2023'!E:BO,5,0)</f>
        <v>Greenhouse</v>
      </c>
      <c r="G475" s="63" t="s">
        <v>67</v>
      </c>
      <c r="H475" s="63">
        <f>VLOOKUP(C475,'RAW DATA 2023'!E:BO,2,0)</f>
        <v>2.1</v>
      </c>
      <c r="I475" s="106">
        <f>VLOOKUP(C475,'RAW DATA 2023'!E:BO,22,0)</f>
        <v>7.2373571428571433</v>
      </c>
      <c r="J475" s="72">
        <f t="shared" si="37"/>
        <v>3.2373571428571433</v>
      </c>
      <c r="K475" s="109">
        <f t="shared" si="38"/>
        <v>5.3955952380952388</v>
      </c>
      <c r="L475" s="63">
        <f t="shared" si="39"/>
        <v>5.3955952380952388</v>
      </c>
      <c r="M475" s="123"/>
    </row>
    <row r="476" spans="1:13" hidden="1">
      <c r="A476" s="63" t="str">
        <f>'RAW DATA 2023'!B479</f>
        <v>Bangkachai1</v>
      </c>
      <c r="B476" s="63" t="str">
        <f>'RAW DATA 2023'!D479</f>
        <v>A1-061-0007</v>
      </c>
      <c r="C476" s="63" t="str">
        <f t="shared" si="35"/>
        <v>Bangkachai1A1-061-0007</v>
      </c>
      <c r="D476" s="68">
        <f>VLOOKUP(C476,'RAW DATA 2023'!E:BP,63,0)</f>
        <v>10</v>
      </c>
      <c r="E476" s="68" t="str">
        <f t="shared" si="36"/>
        <v>Bangkachai110</v>
      </c>
      <c r="F476" s="63" t="str">
        <f>VLOOKUP(C476,'RAW DATA 2023'!E:BO,5,0)</f>
        <v>Outdoor</v>
      </c>
      <c r="G476" s="63" t="s">
        <v>67</v>
      </c>
      <c r="H476" s="63">
        <f>VLOOKUP(C476,'RAW DATA 2023'!E:BO,2,0)</f>
        <v>2</v>
      </c>
      <c r="I476" s="106">
        <f>VLOOKUP(C476,'RAW DATA 2023'!E:BO,22,0)</f>
        <v>9.1983449999999998</v>
      </c>
      <c r="J476" s="72">
        <f t="shared" si="37"/>
        <v>3.1983449999999998</v>
      </c>
      <c r="K476" s="109">
        <f t="shared" si="38"/>
        <v>5.3305749999999996</v>
      </c>
      <c r="L476" s="63">
        <f t="shared" si="39"/>
        <v>5.3305749999999996</v>
      </c>
      <c r="M476" s="123"/>
    </row>
    <row r="477" spans="1:13" hidden="1">
      <c r="A477" s="63" t="str">
        <f>'RAW DATA 2023'!B480</f>
        <v>Bangkachai1</v>
      </c>
      <c r="B477" s="63" t="str">
        <f>'RAW DATA 2023'!D480</f>
        <v>A1-060-0006</v>
      </c>
      <c r="C477" s="63" t="str">
        <f t="shared" si="35"/>
        <v>Bangkachai1A1-060-0006</v>
      </c>
      <c r="D477" s="68">
        <f>VLOOKUP(C477,'RAW DATA 2023'!E:BP,63,0)</f>
        <v>10</v>
      </c>
      <c r="E477" s="68" t="str">
        <f t="shared" si="36"/>
        <v>Bangkachai110</v>
      </c>
      <c r="F477" s="63" t="str">
        <f>VLOOKUP(C477,'RAW DATA 2023'!E:BO,5,0)</f>
        <v>Outdoor</v>
      </c>
      <c r="G477" s="63" t="s">
        <v>67</v>
      </c>
      <c r="H477" s="63">
        <f>VLOOKUP(C477,'RAW DATA 2023'!E:BO,2,0)</f>
        <v>2</v>
      </c>
      <c r="I477" s="106">
        <f>VLOOKUP(C477,'RAW DATA 2023'!E:BO,22,0)</f>
        <v>8.097315</v>
      </c>
      <c r="J477" s="72">
        <f t="shared" si="37"/>
        <v>2.097315</v>
      </c>
      <c r="K477" s="109">
        <f t="shared" si="38"/>
        <v>3.4955250000000002</v>
      </c>
      <c r="L477" s="63">
        <f t="shared" si="39"/>
        <v>3.4955250000000002</v>
      </c>
      <c r="M477" s="123"/>
    </row>
    <row r="478" spans="1:13" hidden="1">
      <c r="A478" s="63" t="str">
        <f>'RAW DATA 2023'!B503</f>
        <v>Bangsakao</v>
      </c>
      <c r="B478" s="63" t="str">
        <f>'RAW DATA 2023'!D503</f>
        <v>DG-002-0025</v>
      </c>
      <c r="C478" s="63" t="str">
        <f t="shared" si="35"/>
        <v>BangsakaoDG-002-0025</v>
      </c>
      <c r="D478" s="68">
        <f>VLOOKUP(C478,'RAW DATA 2023'!E:BP,63,0)</f>
        <v>8</v>
      </c>
      <c r="E478" s="68" t="str">
        <f t="shared" si="36"/>
        <v>Bangsakao8</v>
      </c>
      <c r="F478" s="63" t="str">
        <f>VLOOKUP(C478,'RAW DATA 2023'!E:BO,5,0)</f>
        <v>Greenhouse</v>
      </c>
      <c r="G478" s="63" t="s">
        <v>67</v>
      </c>
      <c r="H478" s="63">
        <f>VLOOKUP(C478,'RAW DATA 2023'!E:BO,2,0)</f>
        <v>2</v>
      </c>
      <c r="I478" s="106">
        <f>VLOOKUP(C478,'RAW DATA 2023'!E:BO,22,0)</f>
        <v>9.7317700000000009</v>
      </c>
      <c r="J478" s="72">
        <f t="shared" si="37"/>
        <v>5.7317700000000009</v>
      </c>
      <c r="K478" s="109">
        <f t="shared" si="38"/>
        <v>9.5529500000000027</v>
      </c>
      <c r="L478" s="63">
        <f t="shared" si="39"/>
        <v>6.25</v>
      </c>
      <c r="M478" s="123"/>
    </row>
    <row r="479" spans="1:13" hidden="1">
      <c r="A479" s="63" t="str">
        <f>'RAW DATA 2023'!B523</f>
        <v>Bangsakao</v>
      </c>
      <c r="B479" s="63" t="str">
        <f>'RAW DATA 2023'!D523</f>
        <v>DG-001-0028</v>
      </c>
      <c r="C479" s="63" t="str">
        <f t="shared" si="35"/>
        <v>BangsakaoDG-001-0028</v>
      </c>
      <c r="D479" s="68">
        <f>VLOOKUP(C479,'RAW DATA 2023'!E:BP,63,0)</f>
        <v>11</v>
      </c>
      <c r="E479" s="68" t="str">
        <f t="shared" si="36"/>
        <v>Bangsakao11</v>
      </c>
      <c r="F479" s="63" t="str">
        <f>VLOOKUP(C479,'RAW DATA 2023'!E:BO,5,0)</f>
        <v>Greenhouse</v>
      </c>
      <c r="G479" s="63" t="s">
        <v>67</v>
      </c>
      <c r="H479" s="63">
        <f>VLOOKUP(C479,'RAW DATA 2023'!E:BO,2,0)</f>
        <v>2</v>
      </c>
      <c r="I479" s="106">
        <f>VLOOKUP(C479,'RAW DATA 2023'!E:BO,22,0)</f>
        <v>7.4998500000000003</v>
      </c>
      <c r="J479" s="72">
        <f t="shared" si="37"/>
        <v>3.4998500000000003</v>
      </c>
      <c r="K479" s="109">
        <f t="shared" si="38"/>
        <v>5.8330833333333345</v>
      </c>
      <c r="L479" s="63">
        <f t="shared" si="39"/>
        <v>5.8330833333333345</v>
      </c>
      <c r="M479" s="123"/>
    </row>
    <row r="480" spans="1:13" hidden="1">
      <c r="A480" s="63" t="str">
        <f>'RAW DATA 2023'!B524</f>
        <v>Bangsakao</v>
      </c>
      <c r="B480" s="63" t="str">
        <f>'RAW DATA 2023'!D524</f>
        <v>DG-005-0026</v>
      </c>
      <c r="C480" s="63" t="str">
        <f t="shared" si="35"/>
        <v>BangsakaoDG-005-0026</v>
      </c>
      <c r="D480" s="68">
        <f>VLOOKUP(C480,'RAW DATA 2023'!E:BP,63,0)</f>
        <v>11</v>
      </c>
      <c r="E480" s="68" t="str">
        <f t="shared" si="36"/>
        <v>Bangsakao11</v>
      </c>
      <c r="F480" s="63" t="str">
        <f>VLOOKUP(C480,'RAW DATA 2023'!E:BO,5,0)</f>
        <v>Greenhouse</v>
      </c>
      <c r="G480" s="63" t="s">
        <v>67</v>
      </c>
      <c r="H480" s="63">
        <f>VLOOKUP(C480,'RAW DATA 2023'!E:BO,2,0)</f>
        <v>2</v>
      </c>
      <c r="I480" s="106">
        <f>VLOOKUP(C480,'RAW DATA 2023'!E:BO,22,0)</f>
        <v>7.2801350000000005</v>
      </c>
      <c r="J480" s="72">
        <f t="shared" si="37"/>
        <v>3.2801350000000005</v>
      </c>
      <c r="K480" s="109">
        <f t="shared" si="38"/>
        <v>5.466891666666668</v>
      </c>
      <c r="L480" s="63">
        <f t="shared" si="39"/>
        <v>5.466891666666668</v>
      </c>
      <c r="M480" s="123"/>
    </row>
    <row r="481" spans="1:13" hidden="1">
      <c r="A481" s="63" t="str">
        <f>'RAW DATA 2023'!B525</f>
        <v>Bangsakao</v>
      </c>
      <c r="B481" s="63" t="str">
        <f>'RAW DATA 2023'!D525</f>
        <v>DG-002-0026</v>
      </c>
      <c r="C481" s="63" t="str">
        <f t="shared" si="35"/>
        <v>BangsakaoDG-002-0026</v>
      </c>
      <c r="D481" s="68">
        <f>VLOOKUP(C481,'RAW DATA 2023'!E:BP,63,0)</f>
        <v>12</v>
      </c>
      <c r="E481" s="68" t="str">
        <f t="shared" si="36"/>
        <v>Bangsakao12</v>
      </c>
      <c r="F481" s="63" t="str">
        <f>VLOOKUP(C481,'RAW DATA 2023'!E:BO,5,0)</f>
        <v>Greenhouse</v>
      </c>
      <c r="G481" s="63" t="s">
        <v>67</v>
      </c>
      <c r="H481" s="63">
        <f>VLOOKUP(C481,'RAW DATA 2023'!E:BO,2,0)</f>
        <v>2</v>
      </c>
      <c r="I481" s="106">
        <f>VLOOKUP(C481,'RAW DATA 2023'!E:BO,22,0)</f>
        <v>6.6432849999999997</v>
      </c>
      <c r="J481" s="72">
        <f t="shared" si="37"/>
        <v>2.6432849999999997</v>
      </c>
      <c r="K481" s="109">
        <f t="shared" si="38"/>
        <v>4.405475</v>
      </c>
      <c r="L481" s="63">
        <f t="shared" si="39"/>
        <v>4.405475</v>
      </c>
      <c r="M481" s="123"/>
    </row>
    <row r="482" spans="1:13" hidden="1">
      <c r="A482" s="63" t="str">
        <f>'RAW DATA 2023'!B526</f>
        <v>Bangsakao</v>
      </c>
      <c r="B482" s="63" t="str">
        <f>'RAW DATA 2023'!D526</f>
        <v>DG-006-0027</v>
      </c>
      <c r="C482" s="63" t="str">
        <f t="shared" si="35"/>
        <v>BangsakaoDG-006-0027</v>
      </c>
      <c r="D482" s="68">
        <f>VLOOKUP(C482,'RAW DATA 2023'!E:BP,63,0)</f>
        <v>11</v>
      </c>
      <c r="E482" s="68" t="str">
        <f t="shared" si="36"/>
        <v>Bangsakao11</v>
      </c>
      <c r="F482" s="63" t="str">
        <f>VLOOKUP(C482,'RAW DATA 2023'!E:BO,5,0)</f>
        <v>Greenhouse</v>
      </c>
      <c r="G482" s="63" t="s">
        <v>67</v>
      </c>
      <c r="H482" s="63">
        <f>VLOOKUP(C482,'RAW DATA 2023'!E:BO,2,0)</f>
        <v>2</v>
      </c>
      <c r="I482" s="106">
        <f>VLOOKUP(C482,'RAW DATA 2023'!E:BO,22,0)</f>
        <v>7.9410249999999998</v>
      </c>
      <c r="J482" s="72">
        <f t="shared" si="37"/>
        <v>3.9410249999999998</v>
      </c>
      <c r="K482" s="109">
        <f t="shared" si="38"/>
        <v>6.5683749999999996</v>
      </c>
      <c r="L482" s="63">
        <f t="shared" si="39"/>
        <v>6.25</v>
      </c>
      <c r="M482" s="123"/>
    </row>
    <row r="483" spans="1:13" hidden="1">
      <c r="A483" s="63" t="str">
        <f>'RAW DATA 2023'!B537</f>
        <v>Bangsakao</v>
      </c>
      <c r="B483" s="63" t="str">
        <f>'RAW DATA 2023'!D537</f>
        <v>CG-003-0027</v>
      </c>
      <c r="C483" s="63" t="str">
        <f t="shared" si="35"/>
        <v>BangsakaoCG-003-0027</v>
      </c>
      <c r="D483" s="68">
        <f>VLOOKUP(C483,'RAW DATA 2023'!E:BP,63,0)</f>
        <v>7</v>
      </c>
      <c r="E483" s="68" t="str">
        <f t="shared" si="36"/>
        <v>Bangsakao7</v>
      </c>
      <c r="F483" s="63" t="str">
        <f>VLOOKUP(C483,'RAW DATA 2023'!E:BO,5,0)</f>
        <v>Greenhouse</v>
      </c>
      <c r="G483" s="63" t="s">
        <v>67</v>
      </c>
      <c r="H483" s="63">
        <f>VLOOKUP(C483,'RAW DATA 2023'!E:BO,2,0)</f>
        <v>4.5599999999999996</v>
      </c>
      <c r="I483" s="106">
        <f>VLOOKUP(C483,'RAW DATA 2023'!E:BO,22,0)</f>
        <v>2.8117105263157893</v>
      </c>
      <c r="J483" s="72">
        <f t="shared" si="37"/>
        <v>-1.1882894736842107</v>
      </c>
      <c r="K483" s="109">
        <f t="shared" si="38"/>
        <v>-1.9804824561403511</v>
      </c>
      <c r="L483" s="63">
        <f t="shared" si="39"/>
        <v>0</v>
      </c>
      <c r="M483" s="123"/>
    </row>
    <row r="484" spans="1:13" hidden="1">
      <c r="A484" s="63" t="str">
        <f>'RAW DATA 2023'!B539</f>
        <v>Bangsakao</v>
      </c>
      <c r="B484" s="63" t="str">
        <f>'RAW DATA 2023'!D539</f>
        <v>B1-003-0010</v>
      </c>
      <c r="C484" s="63" t="str">
        <f t="shared" si="35"/>
        <v>BangsakaoB1-003-0010</v>
      </c>
      <c r="D484" s="68">
        <f>VLOOKUP(C484,'RAW DATA 2023'!E:BP,63,0)</f>
        <v>3</v>
      </c>
      <c r="E484" s="68" t="str">
        <f t="shared" si="36"/>
        <v>Bangsakao3</v>
      </c>
      <c r="F484" s="63" t="str">
        <f>VLOOKUP(C484,'RAW DATA 2023'!E:BO,5,0)</f>
        <v>Outdoor</v>
      </c>
      <c r="G484" s="63" t="s">
        <v>67</v>
      </c>
      <c r="H484" s="63">
        <f>VLOOKUP(C484,'RAW DATA 2023'!E:BO,2,0)</f>
        <v>4.3</v>
      </c>
      <c r="I484" s="106">
        <f>VLOOKUP(C484,'RAW DATA 2023'!E:BO,22,0)</f>
        <v>1.1890837209302327</v>
      </c>
      <c r="J484" s="72">
        <f t="shared" si="37"/>
        <v>-0.81091627906976727</v>
      </c>
      <c r="K484" s="109">
        <f t="shared" si="38"/>
        <v>-1.3515271317829456</v>
      </c>
      <c r="L484" s="63">
        <f t="shared" si="39"/>
        <v>0</v>
      </c>
      <c r="M484" s="123"/>
    </row>
    <row r="485" spans="1:13" hidden="1">
      <c r="A485" s="63" t="str">
        <f>'RAW DATA 2023'!B542</f>
        <v>Rayong3</v>
      </c>
      <c r="B485" s="63" t="str">
        <f>'RAW DATA 2023'!D542</f>
        <v>D1-030-0017</v>
      </c>
      <c r="C485" s="63" t="str">
        <f t="shared" si="35"/>
        <v>Rayong3D1-030-0017</v>
      </c>
      <c r="D485" s="68">
        <f>VLOOKUP(C485,'RAW DATA 2023'!E:BP,63,0)</f>
        <v>8</v>
      </c>
      <c r="E485" s="68" t="str">
        <f t="shared" si="36"/>
        <v>Rayong38</v>
      </c>
      <c r="F485" s="63" t="str">
        <f>VLOOKUP(C485,'RAW DATA 2023'!E:BO,5,0)</f>
        <v>Outdoor</v>
      </c>
      <c r="G485" s="63" t="s">
        <v>67</v>
      </c>
      <c r="H485" s="63">
        <f>VLOOKUP(C485,'RAW DATA 2023'!E:BO,2,0)</f>
        <v>6.25</v>
      </c>
      <c r="I485" s="106">
        <f>VLOOKUP(C485,'RAW DATA 2023'!E:BO,22,0)</f>
        <v>15.6816336</v>
      </c>
      <c r="J485" s="72">
        <f t="shared" si="37"/>
        <v>13.6816336</v>
      </c>
      <c r="K485" s="109">
        <f t="shared" si="38"/>
        <v>22.802722666666668</v>
      </c>
      <c r="L485" s="63">
        <f t="shared" si="39"/>
        <v>6.25</v>
      </c>
      <c r="M485" s="123"/>
    </row>
    <row r="486" spans="1:13" hidden="1">
      <c r="A486" s="63" t="str">
        <f>'RAW DATA 2023'!B543</f>
        <v>Rayong3</v>
      </c>
      <c r="B486" s="63" t="str">
        <f>'RAW DATA 2023'!D543</f>
        <v>D1-031-0041</v>
      </c>
      <c r="C486" s="63" t="str">
        <f t="shared" si="35"/>
        <v>Rayong3D1-031-0041</v>
      </c>
      <c r="D486" s="68">
        <f>VLOOKUP(C486,'RAW DATA 2023'!E:BP,63,0)</f>
        <v>4</v>
      </c>
      <c r="E486" s="68" t="str">
        <f t="shared" si="36"/>
        <v>Rayong34</v>
      </c>
      <c r="F486" s="63" t="str">
        <f>VLOOKUP(C486,'RAW DATA 2023'!E:BO,5,0)</f>
        <v>Outdoor</v>
      </c>
      <c r="G486" s="63" t="s">
        <v>67</v>
      </c>
      <c r="H486" s="63">
        <f>VLOOKUP(C486,'RAW DATA 2023'!E:BO,2,0)</f>
        <v>6.25</v>
      </c>
      <c r="I486" s="106">
        <f>VLOOKUP(C486,'RAW DATA 2023'!E:BO,22,0)</f>
        <v>10.129568000000001</v>
      </c>
      <c r="J486" s="72">
        <f t="shared" si="37"/>
        <v>8.1295680000000008</v>
      </c>
      <c r="K486" s="109">
        <f t="shared" si="38"/>
        <v>13.549280000000001</v>
      </c>
      <c r="L486" s="63">
        <f t="shared" si="39"/>
        <v>6.25</v>
      </c>
      <c r="M486" s="123"/>
    </row>
    <row r="487" spans="1:13" hidden="1">
      <c r="A487" s="63" t="str">
        <f>'RAW DATA 2023'!B544</f>
        <v>Rayong3</v>
      </c>
      <c r="B487" s="63" t="str">
        <f>'RAW DATA 2023'!D544</f>
        <v>D1-047-0011</v>
      </c>
      <c r="C487" s="63" t="str">
        <f t="shared" si="35"/>
        <v>Rayong3D1-047-0011</v>
      </c>
      <c r="D487" s="68">
        <f>VLOOKUP(C487,'RAW DATA 2023'!E:BP,63,0)</f>
        <v>2</v>
      </c>
      <c r="E487" s="68" t="str">
        <f t="shared" si="36"/>
        <v>Rayong32</v>
      </c>
      <c r="F487" s="63" t="str">
        <f>VLOOKUP(C487,'RAW DATA 2023'!E:BO,5,0)</f>
        <v>Outdoor</v>
      </c>
      <c r="G487" s="63" t="s">
        <v>67</v>
      </c>
      <c r="H487" s="63">
        <f>VLOOKUP(C487,'RAW DATA 2023'!E:BO,2,0)</f>
        <v>1.5</v>
      </c>
      <c r="I487" s="106">
        <f>VLOOKUP(C487,'RAW DATA 2023'!E:BO,22,0)</f>
        <v>14.128746666666666</v>
      </c>
      <c r="J487" s="72">
        <f t="shared" si="37"/>
        <v>8.1287466666666663</v>
      </c>
      <c r="K487" s="109">
        <f t="shared" si="38"/>
        <v>13.547911111111111</v>
      </c>
      <c r="L487" s="63">
        <f t="shared" si="39"/>
        <v>6.25</v>
      </c>
      <c r="M487" s="123"/>
    </row>
    <row r="488" spans="1:13" hidden="1">
      <c r="A488" s="63" t="str">
        <f>'RAW DATA 2023'!B546</f>
        <v>Rayong3</v>
      </c>
      <c r="B488" s="63" t="str">
        <f>'RAW DATA 2023'!D546</f>
        <v>D1-030-0016</v>
      </c>
      <c r="C488" s="63" t="str">
        <f t="shared" si="35"/>
        <v>Rayong3D1-030-0016</v>
      </c>
      <c r="D488" s="68">
        <f>VLOOKUP(C488,'RAW DATA 2023'!E:BP,63,0)</f>
        <v>3</v>
      </c>
      <c r="E488" s="68" t="str">
        <f t="shared" si="36"/>
        <v>Rayong33</v>
      </c>
      <c r="F488" s="63" t="str">
        <f>VLOOKUP(C488,'RAW DATA 2023'!E:BO,5,0)</f>
        <v>Outdoor</v>
      </c>
      <c r="G488" s="63" t="s">
        <v>67</v>
      </c>
      <c r="H488" s="63">
        <f>VLOOKUP(C488,'RAW DATA 2023'!E:BO,2,0)</f>
        <v>6.25</v>
      </c>
      <c r="I488" s="106">
        <f>VLOOKUP(C488,'RAW DATA 2023'!E:BO,22,0)</f>
        <v>8.7230144000000003</v>
      </c>
      <c r="J488" s="72">
        <f t="shared" si="37"/>
        <v>6.7230144000000003</v>
      </c>
      <c r="K488" s="109">
        <f t="shared" si="38"/>
        <v>11.205024000000002</v>
      </c>
      <c r="L488" s="63">
        <f t="shared" si="39"/>
        <v>6.25</v>
      </c>
      <c r="M488" s="123"/>
    </row>
    <row r="489" spans="1:13" hidden="1">
      <c r="A489" s="63" t="str">
        <f>'RAW DATA 2023'!B547</f>
        <v>Rayong3</v>
      </c>
      <c r="B489" s="63" t="str">
        <f>'RAW DATA 2023'!D547</f>
        <v>D1-031-0042</v>
      </c>
      <c r="C489" s="63" t="str">
        <f t="shared" si="35"/>
        <v>Rayong3D1-031-0042</v>
      </c>
      <c r="D489" s="68">
        <f>VLOOKUP(C489,'RAW DATA 2023'!E:BP,63,0)</f>
        <v>8</v>
      </c>
      <c r="E489" s="68" t="str">
        <f t="shared" si="36"/>
        <v>Rayong38</v>
      </c>
      <c r="F489" s="63" t="str">
        <f>VLOOKUP(C489,'RAW DATA 2023'!E:BO,5,0)</f>
        <v>Outdoor</v>
      </c>
      <c r="G489" s="63" t="s">
        <v>67</v>
      </c>
      <c r="H489" s="63">
        <f>VLOOKUP(C489,'RAW DATA 2023'!E:BO,2,0)</f>
        <v>6.25</v>
      </c>
      <c r="I489" s="106">
        <f>VLOOKUP(C489,'RAW DATA 2023'!E:BO,22,0)</f>
        <v>4.1617376000000004</v>
      </c>
      <c r="J489" s="72">
        <f t="shared" si="37"/>
        <v>2.1617376000000004</v>
      </c>
      <c r="K489" s="109">
        <f t="shared" si="38"/>
        <v>3.6028960000000008</v>
      </c>
      <c r="L489" s="63">
        <f t="shared" si="39"/>
        <v>3.6028960000000008</v>
      </c>
      <c r="M489" s="123"/>
    </row>
    <row r="490" spans="1:13" hidden="1">
      <c r="A490" s="63" t="str">
        <f>'RAW DATA 2023'!B549</f>
        <v>Rayong3</v>
      </c>
      <c r="B490" s="63" t="str">
        <f>'RAW DATA 2023'!D549</f>
        <v>C1-005-0001</v>
      </c>
      <c r="C490" s="63" t="str">
        <f t="shared" si="35"/>
        <v>Rayong3C1-005-0001</v>
      </c>
      <c r="D490" s="68">
        <f>VLOOKUP(C490,'RAW DATA 2023'!E:BP,63,0)</f>
        <v>12</v>
      </c>
      <c r="E490" s="68" t="str">
        <f t="shared" si="36"/>
        <v>Rayong312</v>
      </c>
      <c r="F490" s="63" t="str">
        <f>VLOOKUP(C490,'RAW DATA 2023'!E:BO,5,0)</f>
        <v>Outdoor</v>
      </c>
      <c r="G490" s="63" t="s">
        <v>67</v>
      </c>
      <c r="H490" s="63">
        <f>VLOOKUP(C490,'RAW DATA 2023'!E:BO,2,0)</f>
        <v>6.25</v>
      </c>
      <c r="I490" s="106">
        <f>VLOOKUP(C490,'RAW DATA 2023'!E:BO,22,0)</f>
        <v>5.1066336000000003</v>
      </c>
      <c r="J490" s="72">
        <f t="shared" si="37"/>
        <v>3.1066336000000003</v>
      </c>
      <c r="K490" s="109">
        <f t="shared" si="38"/>
        <v>5.1777226666666678</v>
      </c>
      <c r="L490" s="63">
        <f t="shared" si="39"/>
        <v>5.1777226666666678</v>
      </c>
      <c r="M490" s="123"/>
    </row>
    <row r="491" spans="1:13" hidden="1">
      <c r="A491" s="63" t="str">
        <f>'RAW DATA 2023'!B552</f>
        <v>Rayong3</v>
      </c>
      <c r="B491" s="63" t="str">
        <f>'RAW DATA 2023'!D552</f>
        <v>A1-005-0028</v>
      </c>
      <c r="C491" s="63" t="str">
        <f t="shared" si="35"/>
        <v>Rayong3A1-005-0028</v>
      </c>
      <c r="D491" s="68">
        <f>VLOOKUP(C491,'RAW DATA 2023'!E:BP,63,0)</f>
        <v>8</v>
      </c>
      <c r="E491" s="68" t="str">
        <f t="shared" si="36"/>
        <v>Rayong38</v>
      </c>
      <c r="F491" s="63" t="str">
        <f>VLOOKUP(C491,'RAW DATA 2023'!E:BO,5,0)</f>
        <v>Outdoor</v>
      </c>
      <c r="G491" s="63" t="s">
        <v>67</v>
      </c>
      <c r="H491" s="63">
        <f>VLOOKUP(C491,'RAW DATA 2023'!E:BO,2,0)</f>
        <v>6.25</v>
      </c>
      <c r="I491" s="106">
        <f>VLOOKUP(C491,'RAW DATA 2023'!E:BO,22,0)</f>
        <v>5.3328144000000002</v>
      </c>
      <c r="J491" s="72">
        <f t="shared" si="37"/>
        <v>3.3328144000000002</v>
      </c>
      <c r="K491" s="109">
        <f t="shared" si="38"/>
        <v>5.5546906666666676</v>
      </c>
      <c r="L491" s="63">
        <f t="shared" si="39"/>
        <v>5.5546906666666676</v>
      </c>
      <c r="M491" s="123"/>
    </row>
    <row r="492" spans="1:13" hidden="1">
      <c r="A492" s="63" t="str">
        <f>'RAW DATA 2023'!B553</f>
        <v>Rayong3</v>
      </c>
      <c r="B492" s="63" t="str">
        <f>'RAW DATA 2023'!D553</f>
        <v>A1-023-0031</v>
      </c>
      <c r="C492" s="63" t="str">
        <f t="shared" si="35"/>
        <v>Rayong3A1-023-0031</v>
      </c>
      <c r="D492" s="68">
        <f>VLOOKUP(C492,'RAW DATA 2023'!E:BP,63,0)</f>
        <v>4</v>
      </c>
      <c r="E492" s="68" t="str">
        <f t="shared" si="36"/>
        <v>Rayong34</v>
      </c>
      <c r="F492" s="63" t="str">
        <f>VLOOKUP(C492,'RAW DATA 2023'!E:BO,5,0)</f>
        <v>Outdoor</v>
      </c>
      <c r="G492" s="63" t="s">
        <v>67</v>
      </c>
      <c r="H492" s="63">
        <f>VLOOKUP(C492,'RAW DATA 2023'!E:BO,2,0)</f>
        <v>6.25</v>
      </c>
      <c r="I492" s="106">
        <f>VLOOKUP(C492,'RAW DATA 2023'!E:BO,22,0)</f>
        <v>7.6210880000000012</v>
      </c>
      <c r="J492" s="72">
        <f t="shared" si="37"/>
        <v>5.6210880000000012</v>
      </c>
      <c r="K492" s="109">
        <f t="shared" si="38"/>
        <v>9.3684800000000017</v>
      </c>
      <c r="L492" s="63">
        <f t="shared" si="39"/>
        <v>6.25</v>
      </c>
      <c r="M492" s="123"/>
    </row>
    <row r="493" spans="1:13" hidden="1">
      <c r="A493" s="63" t="str">
        <f>'RAW DATA 2023'!B555</f>
        <v>Rayong3</v>
      </c>
      <c r="B493" s="63" t="str">
        <f>'RAW DATA 2023'!D555</f>
        <v>A1-045-0009</v>
      </c>
      <c r="C493" s="63" t="str">
        <f t="shared" si="35"/>
        <v>Rayong3A1-045-0009</v>
      </c>
      <c r="D493" s="68">
        <f>VLOOKUP(C493,'RAW DATA 2023'!E:BP,63,0)</f>
        <v>4</v>
      </c>
      <c r="E493" s="68" t="str">
        <f t="shared" si="36"/>
        <v>Rayong34</v>
      </c>
      <c r="F493" s="63" t="str">
        <f>VLOOKUP(C493,'RAW DATA 2023'!E:BO,5,0)</f>
        <v>Outdoor</v>
      </c>
      <c r="G493" s="63" t="s">
        <v>67</v>
      </c>
      <c r="H493" s="63">
        <f>VLOOKUP(C493,'RAW DATA 2023'!E:BO,2,0)</f>
        <v>1.5</v>
      </c>
      <c r="I493" s="106">
        <f>VLOOKUP(C493,'RAW DATA 2023'!E:BO,22,0)</f>
        <v>10.47784</v>
      </c>
      <c r="J493" s="72">
        <f t="shared" si="37"/>
        <v>4.4778400000000005</v>
      </c>
      <c r="K493" s="109">
        <f t="shared" si="38"/>
        <v>7.4630666666666681</v>
      </c>
      <c r="L493" s="63">
        <f t="shared" si="39"/>
        <v>6.25</v>
      </c>
      <c r="M493" s="123"/>
    </row>
    <row r="494" spans="1:13" hidden="1">
      <c r="A494" s="63" t="str">
        <f>'RAW DATA 2023'!B558</f>
        <v>Lucky2</v>
      </c>
      <c r="B494" s="63" t="str">
        <f>'RAW DATA 2023'!D558</f>
        <v>AC-001-0009</v>
      </c>
      <c r="C494" s="63" t="str">
        <f t="shared" si="35"/>
        <v>Lucky2AC-001-0009</v>
      </c>
      <c r="D494" s="68">
        <f>VLOOKUP(C494,'RAW DATA 2023'!E:BP,63,0)</f>
        <v>5</v>
      </c>
      <c r="E494" s="68" t="str">
        <f t="shared" si="36"/>
        <v>Lucky25</v>
      </c>
      <c r="F494" s="63" t="str">
        <f>VLOOKUP(C494,'RAW DATA 2023'!E:BO,5,0)</f>
        <v>Tank</v>
      </c>
      <c r="G494" s="63" t="s">
        <v>67</v>
      </c>
      <c r="H494" s="63">
        <f>VLOOKUP(C494,'RAW DATA 2023'!E:BO,2,0)</f>
        <v>0.5</v>
      </c>
      <c r="I494" s="106">
        <f>VLOOKUP(C494,'RAW DATA 2023'!E:BO,22,0)</f>
        <v>5.56874</v>
      </c>
      <c r="J494" s="72">
        <f t="shared" si="37"/>
        <v>-0.43125999999999998</v>
      </c>
      <c r="K494" s="109">
        <f t="shared" si="38"/>
        <v>-0.71876666666666666</v>
      </c>
      <c r="L494" s="63">
        <f t="shared" si="39"/>
        <v>0</v>
      </c>
      <c r="M494" s="123"/>
    </row>
    <row r="495" spans="1:13" hidden="1">
      <c r="A495" s="63" t="str">
        <f>'RAW DATA 2023'!B561</f>
        <v>Lucky2</v>
      </c>
      <c r="B495" s="63" t="str">
        <f>'RAW DATA 2023'!D561</f>
        <v>AC-004-0008</v>
      </c>
      <c r="C495" s="63" t="str">
        <f t="shared" si="35"/>
        <v>Lucky2AC-004-0008</v>
      </c>
      <c r="D495" s="68">
        <f>VLOOKUP(C495,'RAW DATA 2023'!E:BP,63,0)</f>
        <v>2</v>
      </c>
      <c r="E495" s="68" t="str">
        <f t="shared" si="36"/>
        <v>Lucky22</v>
      </c>
      <c r="F495" s="63" t="str">
        <f>VLOOKUP(C495,'RAW DATA 2023'!E:BO,5,0)</f>
        <v>Tank</v>
      </c>
      <c r="G495" s="63" t="s">
        <v>67</v>
      </c>
      <c r="H495" s="63">
        <f>VLOOKUP(C495,'RAW DATA 2023'!E:BO,2,0)</f>
        <v>0.5</v>
      </c>
      <c r="I495" s="106">
        <f>VLOOKUP(C495,'RAW DATA 2023'!E:BO,22,0)</f>
        <v>5.4089999999999998</v>
      </c>
      <c r="J495" s="72">
        <f t="shared" si="37"/>
        <v>-0.59100000000000019</v>
      </c>
      <c r="K495" s="109">
        <f t="shared" si="38"/>
        <v>-0.98500000000000032</v>
      </c>
      <c r="L495" s="63">
        <f t="shared" si="39"/>
        <v>0</v>
      </c>
      <c r="M495" s="123"/>
    </row>
    <row r="496" spans="1:13" hidden="1">
      <c r="A496" s="63" t="str">
        <f>'RAW DATA 2023'!B564</f>
        <v>Lucky2</v>
      </c>
      <c r="B496" s="63" t="str">
        <f>'RAW DATA 2023'!D564</f>
        <v>AC-001-0008</v>
      </c>
      <c r="C496" s="63" t="str">
        <f t="shared" si="35"/>
        <v>Lucky2AC-001-0008</v>
      </c>
      <c r="D496" s="68">
        <f>VLOOKUP(C496,'RAW DATA 2023'!E:BP,63,0)</f>
        <v>2</v>
      </c>
      <c r="E496" s="68" t="str">
        <f t="shared" si="36"/>
        <v>Lucky22</v>
      </c>
      <c r="F496" s="63" t="str">
        <f>VLOOKUP(C496,'RAW DATA 2023'!E:BO,5,0)</f>
        <v>Tank</v>
      </c>
      <c r="G496" s="63" t="s">
        <v>67</v>
      </c>
      <c r="H496" s="63">
        <f>VLOOKUP(C496,'RAW DATA 2023'!E:BO,2,0)</f>
        <v>0.5</v>
      </c>
      <c r="I496" s="106">
        <f>VLOOKUP(C496,'RAW DATA 2023'!E:BO,22,0)</f>
        <v>6.7498000000000005</v>
      </c>
      <c r="J496" s="72">
        <f t="shared" si="37"/>
        <v>0.74980000000000047</v>
      </c>
      <c r="K496" s="109">
        <f t="shared" si="38"/>
        <v>1.2496666666666676</v>
      </c>
      <c r="L496" s="63">
        <f t="shared" si="39"/>
        <v>1.2496666666666676</v>
      </c>
      <c r="M496" s="123"/>
    </row>
    <row r="497" spans="1:13" hidden="1">
      <c r="A497" s="63" t="str">
        <f>'RAW DATA 2023'!B581</f>
        <v>Laemsing</v>
      </c>
      <c r="B497" s="63" t="str">
        <f>'RAW DATA 2023'!D581</f>
        <v>A1-018-0026</v>
      </c>
      <c r="C497" s="63" t="str">
        <f t="shared" si="35"/>
        <v>LaemsingA1-018-0026</v>
      </c>
      <c r="D497" s="68">
        <f>VLOOKUP(C497,'RAW DATA 2023'!E:BP,63,0)</f>
        <v>6</v>
      </c>
      <c r="E497" s="68" t="str">
        <f t="shared" si="36"/>
        <v>Laemsing6</v>
      </c>
      <c r="F497" s="63" t="str">
        <f>VLOOKUP(C497,'RAW DATA 2023'!E:BO,5,0)</f>
        <v>Outdoor</v>
      </c>
      <c r="G497" s="63" t="s">
        <v>67</v>
      </c>
      <c r="H497" s="63">
        <f>VLOOKUP(C497,'RAW DATA 2023'!E:BO,2,0)</f>
        <v>2</v>
      </c>
      <c r="I497" s="106">
        <f>VLOOKUP(C497,'RAW DATA 2023'!E:BO,22,0)</f>
        <v>13.49329</v>
      </c>
      <c r="J497" s="72">
        <f t="shared" si="37"/>
        <v>7.49329</v>
      </c>
      <c r="K497" s="109">
        <f t="shared" si="38"/>
        <v>12.488816666666667</v>
      </c>
      <c r="L497" s="63">
        <f t="shared" si="39"/>
        <v>6.25</v>
      </c>
      <c r="M497" s="123"/>
    </row>
    <row r="498" spans="1:13" hidden="1">
      <c r="A498" s="63" t="str">
        <f>'RAW DATA 2023'!B582</f>
        <v>Laemsing</v>
      </c>
      <c r="B498" s="63" t="str">
        <f>'RAW DATA 2023'!D582</f>
        <v>A1-026-0015</v>
      </c>
      <c r="C498" s="63" t="str">
        <f t="shared" si="35"/>
        <v>LaemsingA1-026-0015</v>
      </c>
      <c r="D498" s="68">
        <f>VLOOKUP(C498,'RAW DATA 2023'!E:BP,63,0)</f>
        <v>4</v>
      </c>
      <c r="E498" s="68" t="str">
        <f t="shared" si="36"/>
        <v>Laemsing4</v>
      </c>
      <c r="F498" s="63" t="str">
        <f>VLOOKUP(C498,'RAW DATA 2023'!E:BO,5,0)</f>
        <v>Outdoor</v>
      </c>
      <c r="G498" s="63" t="s">
        <v>67</v>
      </c>
      <c r="H498" s="63">
        <f>VLOOKUP(C498,'RAW DATA 2023'!E:BO,2,0)</f>
        <v>2.2000000000000002</v>
      </c>
      <c r="I498" s="106">
        <f>VLOOKUP(C498,'RAW DATA 2023'!E:BO,22,0)</f>
        <v>10.276222727272726</v>
      </c>
      <c r="J498" s="72">
        <f t="shared" si="37"/>
        <v>7.2762227272727262</v>
      </c>
      <c r="K498" s="109">
        <f t="shared" si="38"/>
        <v>12.127037878787878</v>
      </c>
      <c r="L498" s="63">
        <f t="shared" si="39"/>
        <v>6.25</v>
      </c>
      <c r="M498" s="123"/>
    </row>
    <row r="499" spans="1:13" hidden="1">
      <c r="A499" s="63" t="str">
        <f>'RAW DATA 2023'!B585</f>
        <v>Laemsing</v>
      </c>
      <c r="B499" s="63" t="str">
        <f>'RAW DATA 2023'!D585</f>
        <v>B1-013-0033</v>
      </c>
      <c r="C499" s="63" t="str">
        <f t="shared" si="35"/>
        <v>LaemsingB1-013-0033</v>
      </c>
      <c r="D499" s="68">
        <f>VLOOKUP(C499,'RAW DATA 2023'!E:BP,63,0)</f>
        <v>7</v>
      </c>
      <c r="E499" s="68" t="str">
        <f t="shared" si="36"/>
        <v>Laemsing7</v>
      </c>
      <c r="F499" s="63" t="str">
        <f>VLOOKUP(C499,'RAW DATA 2023'!E:BO,5,0)</f>
        <v>Outdoor</v>
      </c>
      <c r="G499" s="63" t="s">
        <v>67</v>
      </c>
      <c r="H499" s="63">
        <f>VLOOKUP(C499,'RAW DATA 2023'!E:BO,2,0)</f>
        <v>2.1</v>
      </c>
      <c r="I499" s="106">
        <f>VLOOKUP(C499,'RAW DATA 2023'!E:BO,22,0)</f>
        <v>6.4874523809523801</v>
      </c>
      <c r="J499" s="72">
        <f t="shared" si="37"/>
        <v>3.4874523809523801</v>
      </c>
      <c r="K499" s="109">
        <f t="shared" si="38"/>
        <v>5.8124206349206338</v>
      </c>
      <c r="L499" s="63">
        <f t="shared" si="39"/>
        <v>5.8124206349206338</v>
      </c>
      <c r="M499" s="123"/>
    </row>
    <row r="500" spans="1:13" hidden="1">
      <c r="A500" s="63" t="str">
        <f>'RAW DATA 2023'!B594</f>
        <v>Laemsing</v>
      </c>
      <c r="B500" s="63" t="str">
        <f>'RAW DATA 2023'!D594</f>
        <v>B1-028-0016</v>
      </c>
      <c r="C500" s="63" t="str">
        <f t="shared" si="35"/>
        <v>LaemsingB1-028-0016</v>
      </c>
      <c r="D500" s="68">
        <f>VLOOKUP(C500,'RAW DATA 2023'!E:BP,63,0)</f>
        <v>11</v>
      </c>
      <c r="E500" s="68" t="str">
        <f t="shared" si="36"/>
        <v>Laemsing11</v>
      </c>
      <c r="F500" s="63" t="str">
        <f>VLOOKUP(C500,'RAW DATA 2023'!E:BO,5,0)</f>
        <v>Outdoor</v>
      </c>
      <c r="G500" s="63" t="s">
        <v>67</v>
      </c>
      <c r="H500" s="63">
        <f>VLOOKUP(C500,'RAW DATA 2023'!E:BO,2,0)</f>
        <v>2.1</v>
      </c>
      <c r="I500" s="106">
        <f>VLOOKUP(C500,'RAW DATA 2023'!E:BO,22,0)</f>
        <v>6.2058999999999997</v>
      </c>
      <c r="J500" s="72">
        <f t="shared" si="37"/>
        <v>3.2058999999999997</v>
      </c>
      <c r="K500" s="109">
        <f t="shared" si="38"/>
        <v>5.3431666666666668</v>
      </c>
      <c r="L500" s="63">
        <f t="shared" si="39"/>
        <v>5.3431666666666668</v>
      </c>
      <c r="M500" s="123"/>
    </row>
    <row r="501" spans="1:13" hidden="1">
      <c r="A501" s="63" t="str">
        <f>'RAW DATA 2023'!B624</f>
        <v>Kamong</v>
      </c>
      <c r="B501" s="63" t="str">
        <f>'RAW DATA 2023'!D624</f>
        <v>AG-031-0013</v>
      </c>
      <c r="C501" s="63" t="str">
        <f t="shared" si="35"/>
        <v>KamongAG-031-0013</v>
      </c>
      <c r="D501" s="68">
        <f>VLOOKUP(C501,'RAW DATA 2023'!E:BP,63,0)</f>
        <v>9</v>
      </c>
      <c r="E501" s="68" t="str">
        <f t="shared" si="36"/>
        <v>Kamong9</v>
      </c>
      <c r="F501" s="63" t="str">
        <f>VLOOKUP(C501,'RAW DATA 2023'!E:BO,5,0)</f>
        <v>Greenhouse</v>
      </c>
      <c r="G501" s="63" t="s">
        <v>67</v>
      </c>
      <c r="H501" s="63">
        <f>VLOOKUP(C501,'RAW DATA 2023'!E:BO,2,0)</f>
        <v>2</v>
      </c>
      <c r="I501" s="106">
        <f>VLOOKUP(C501,'RAW DATA 2023'!E:BO,22,0)</f>
        <v>7.2612899999999998</v>
      </c>
      <c r="J501" s="72">
        <f t="shared" si="37"/>
        <v>3.2612899999999998</v>
      </c>
      <c r="K501" s="109">
        <f t="shared" si="38"/>
        <v>5.435483333333333</v>
      </c>
      <c r="L501" s="63">
        <f t="shared" si="39"/>
        <v>5.435483333333333</v>
      </c>
      <c r="M501" s="123"/>
    </row>
    <row r="502" spans="1:13" hidden="1">
      <c r="A502" s="63" t="str">
        <f>'RAW DATA 2023'!B625</f>
        <v>Kamong</v>
      </c>
      <c r="B502" s="63" t="str">
        <f>'RAW DATA 2023'!D625</f>
        <v>AG-011-0009</v>
      </c>
      <c r="C502" s="63" t="str">
        <f t="shared" si="35"/>
        <v>KamongAG-011-0009</v>
      </c>
      <c r="D502" s="68">
        <f>VLOOKUP(C502,'RAW DATA 2023'!E:BP,63,0)</f>
        <v>9</v>
      </c>
      <c r="E502" s="68" t="str">
        <f t="shared" si="36"/>
        <v>Kamong9</v>
      </c>
      <c r="F502" s="63" t="str">
        <f>VLOOKUP(C502,'RAW DATA 2023'!E:BO,5,0)</f>
        <v>Greenhouse</v>
      </c>
      <c r="G502" s="63" t="s">
        <v>67</v>
      </c>
      <c r="H502" s="63">
        <f>VLOOKUP(C502,'RAW DATA 2023'!E:BO,2,0)</f>
        <v>2</v>
      </c>
      <c r="I502" s="106">
        <f>VLOOKUP(C502,'RAW DATA 2023'!E:BO,22,0)</f>
        <v>11.353235</v>
      </c>
      <c r="J502" s="72">
        <f t="shared" si="37"/>
        <v>7.3532349999999997</v>
      </c>
      <c r="K502" s="109">
        <f t="shared" si="38"/>
        <v>12.255391666666666</v>
      </c>
      <c r="L502" s="63">
        <f t="shared" si="39"/>
        <v>6.25</v>
      </c>
      <c r="M502" s="123"/>
    </row>
    <row r="503" spans="1:13" hidden="1">
      <c r="A503" s="63" t="str">
        <f>'RAW DATA 2023'!B626</f>
        <v>Kamong</v>
      </c>
      <c r="B503" s="63" t="str">
        <f>'RAW DATA 2023'!D626</f>
        <v>AG-031-0012</v>
      </c>
      <c r="C503" s="63" t="str">
        <f t="shared" si="35"/>
        <v>KamongAG-031-0012</v>
      </c>
      <c r="D503" s="68">
        <f>VLOOKUP(C503,'RAW DATA 2023'!E:BP,63,0)</f>
        <v>6</v>
      </c>
      <c r="E503" s="68" t="str">
        <f t="shared" si="36"/>
        <v>Kamong6</v>
      </c>
      <c r="F503" s="63" t="str">
        <f>VLOOKUP(C503,'RAW DATA 2023'!E:BO,5,0)</f>
        <v>Greenhouse</v>
      </c>
      <c r="G503" s="63" t="s">
        <v>67</v>
      </c>
      <c r="H503" s="63">
        <f>VLOOKUP(C503,'RAW DATA 2023'!E:BO,2,0)</f>
        <v>2</v>
      </c>
      <c r="I503" s="106">
        <f>VLOOKUP(C503,'RAW DATA 2023'!E:BO,22,0)</f>
        <v>13.48485</v>
      </c>
      <c r="J503" s="72">
        <f t="shared" si="37"/>
        <v>9.4848499999999998</v>
      </c>
      <c r="K503" s="109">
        <f t="shared" si="38"/>
        <v>15.808083333333334</v>
      </c>
      <c r="L503" s="63">
        <f t="shared" si="39"/>
        <v>6.25</v>
      </c>
      <c r="M503" s="123"/>
    </row>
    <row r="504" spans="1:13" hidden="1">
      <c r="A504" s="63" t="str">
        <f>'RAW DATA 2023'!B627</f>
        <v>Kamong</v>
      </c>
      <c r="B504" s="63" t="str">
        <f>'RAW DATA 2023'!D627</f>
        <v>C1-006-0031</v>
      </c>
      <c r="C504" s="63" t="str">
        <f t="shared" si="35"/>
        <v>KamongC1-006-0031</v>
      </c>
      <c r="D504" s="68">
        <f>VLOOKUP(C504,'RAW DATA 2023'!E:BP,63,0)</f>
        <v>8</v>
      </c>
      <c r="E504" s="68" t="str">
        <f t="shared" si="36"/>
        <v>Kamong8</v>
      </c>
      <c r="F504" s="63" t="str">
        <f>VLOOKUP(C504,'RAW DATA 2023'!E:BO,5,0)</f>
        <v>Outdoor</v>
      </c>
      <c r="G504" s="63" t="s">
        <v>67</v>
      </c>
      <c r="H504" s="63">
        <f>VLOOKUP(C504,'RAW DATA 2023'!E:BO,2,0)</f>
        <v>6.32</v>
      </c>
      <c r="I504" s="106">
        <f>VLOOKUP(C504,'RAW DATA 2023'!E:BO,22,0)</f>
        <v>11.884479430379747</v>
      </c>
      <c r="J504" s="72">
        <f t="shared" si="37"/>
        <v>9.8844794303797467</v>
      </c>
      <c r="K504" s="109">
        <f t="shared" si="38"/>
        <v>16.474132383966246</v>
      </c>
      <c r="L504" s="63">
        <f t="shared" si="39"/>
        <v>6.25</v>
      </c>
      <c r="M504" s="123"/>
    </row>
    <row r="505" spans="1:13" hidden="1">
      <c r="A505" s="63" t="str">
        <f>'RAW DATA 2023'!B644</f>
        <v>Talaytong</v>
      </c>
      <c r="B505" s="63" t="str">
        <f>'RAW DATA 2023'!D644</f>
        <v>A1-039-0006</v>
      </c>
      <c r="C505" s="63" t="str">
        <f t="shared" si="35"/>
        <v>TalaytongA1-039-0006</v>
      </c>
      <c r="D505" s="68">
        <f>VLOOKUP(C505,'RAW DATA 2023'!E:BP,63,0)</f>
        <v>4</v>
      </c>
      <c r="E505" s="68" t="str">
        <f t="shared" si="36"/>
        <v>Talaytong4</v>
      </c>
      <c r="F505" s="63" t="str">
        <f>VLOOKUP(C505,'RAW DATA 2023'!E:BO,5,0)</f>
        <v>Outdoor</v>
      </c>
      <c r="G505" s="63" t="s">
        <v>67</v>
      </c>
      <c r="H505" s="63">
        <f>VLOOKUP(C505,'RAW DATA 2023'!E:BO,2,0)</f>
        <v>4.29</v>
      </c>
      <c r="I505" s="106">
        <f>VLOOKUP(C505,'RAW DATA 2023'!E:BO,22,0)</f>
        <v>3.6191095571095566</v>
      </c>
      <c r="J505" s="72">
        <f t="shared" si="37"/>
        <v>1.6191095571095566</v>
      </c>
      <c r="K505" s="109">
        <f t="shared" si="38"/>
        <v>2.6985159285159277</v>
      </c>
      <c r="L505" s="63">
        <f t="shared" si="39"/>
        <v>2.6985159285159277</v>
      </c>
      <c r="M505" s="123"/>
    </row>
    <row r="506" spans="1:13" hidden="1">
      <c r="A506" s="63" t="str">
        <f>'RAW DATA 2023'!B649</f>
        <v>CHBR1</v>
      </c>
      <c r="B506" s="63" t="str">
        <f>'RAW DATA 2023'!D649</f>
        <v>A1-016-0013</v>
      </c>
      <c r="C506" s="63" t="str">
        <f t="shared" si="35"/>
        <v>CHBR1A1-016-0013</v>
      </c>
      <c r="D506" s="68">
        <f>VLOOKUP(C506,'RAW DATA 2023'!E:BP,63,0)</f>
        <v>6</v>
      </c>
      <c r="E506" s="68" t="str">
        <f t="shared" si="36"/>
        <v>CHBR16</v>
      </c>
      <c r="F506" s="63" t="str">
        <f>VLOOKUP(C506,'RAW DATA 2023'!E:BO,5,0)</f>
        <v>Outdoor</v>
      </c>
      <c r="G506" s="63" t="s">
        <v>67</v>
      </c>
      <c r="H506" s="63">
        <f>VLOOKUP(C506,'RAW DATA 2023'!E:BO,2,0)</f>
        <v>2</v>
      </c>
      <c r="I506" s="106">
        <f>VLOOKUP(C506,'RAW DATA 2023'!E:BO,22,0)</f>
        <v>6.7981099999999994</v>
      </c>
      <c r="J506" s="72">
        <f t="shared" si="37"/>
        <v>0.79810999999999943</v>
      </c>
      <c r="K506" s="109">
        <f t="shared" si="38"/>
        <v>1.3301833333333324</v>
      </c>
      <c r="L506" s="63">
        <f t="shared" si="39"/>
        <v>1.3301833333333324</v>
      </c>
      <c r="M506" s="123"/>
    </row>
    <row r="507" spans="1:13" hidden="1">
      <c r="A507" s="63" t="str">
        <f>'RAW DATA 2023'!B651</f>
        <v>CHBR1</v>
      </c>
      <c r="B507" s="63" t="str">
        <f>'RAW DATA 2023'!D651</f>
        <v>A1-018-0013</v>
      </c>
      <c r="C507" s="63" t="str">
        <f t="shared" si="35"/>
        <v>CHBR1A1-018-0013</v>
      </c>
      <c r="D507" s="68">
        <f>VLOOKUP(C507,'RAW DATA 2023'!E:BP,63,0)</f>
        <v>7</v>
      </c>
      <c r="E507" s="68" t="str">
        <f t="shared" si="36"/>
        <v>CHBR17</v>
      </c>
      <c r="F507" s="63" t="str">
        <f>VLOOKUP(C507,'RAW DATA 2023'!E:BO,5,0)</f>
        <v>Outdoor</v>
      </c>
      <c r="G507" s="63" t="s">
        <v>67</v>
      </c>
      <c r="H507" s="63">
        <f>VLOOKUP(C507,'RAW DATA 2023'!E:BO,2,0)</f>
        <v>2</v>
      </c>
      <c r="I507" s="106">
        <f>VLOOKUP(C507,'RAW DATA 2023'!E:BO,22,0)</f>
        <v>6.8332499999999996</v>
      </c>
      <c r="J507" s="72">
        <f t="shared" si="37"/>
        <v>0.8332499999999996</v>
      </c>
      <c r="K507" s="109">
        <f t="shared" si="38"/>
        <v>1.3887499999999995</v>
      </c>
      <c r="L507" s="63">
        <f t="shared" si="39"/>
        <v>1.3887499999999995</v>
      </c>
      <c r="M507" s="123"/>
    </row>
    <row r="508" spans="1:13" hidden="1">
      <c r="A508" s="63" t="str">
        <f>'RAW DATA 2023'!B655</f>
        <v>CHBR1</v>
      </c>
      <c r="B508" s="63" t="str">
        <f>'RAW DATA 2023'!D655</f>
        <v>A1-012-0040</v>
      </c>
      <c r="C508" s="63" t="str">
        <f t="shared" si="35"/>
        <v>CHBR1A1-012-0040</v>
      </c>
      <c r="D508" s="68">
        <f>VLOOKUP(C508,'RAW DATA 2023'!E:BP,63,0)</f>
        <v>7</v>
      </c>
      <c r="E508" s="68" t="str">
        <f t="shared" si="36"/>
        <v>CHBR17</v>
      </c>
      <c r="F508" s="63" t="str">
        <f>VLOOKUP(C508,'RAW DATA 2023'!E:BO,5,0)</f>
        <v>Outdoor</v>
      </c>
      <c r="G508" s="63" t="s">
        <v>67</v>
      </c>
      <c r="H508" s="63">
        <f>VLOOKUP(C508,'RAW DATA 2023'!E:BO,2,0)</f>
        <v>2</v>
      </c>
      <c r="I508" s="106">
        <f>VLOOKUP(C508,'RAW DATA 2023'!E:BO,22,0)</f>
        <v>2.8364499999999997</v>
      </c>
      <c r="J508" s="72">
        <f t="shared" si="37"/>
        <v>-3.1635500000000003</v>
      </c>
      <c r="K508" s="109">
        <f t="shared" si="38"/>
        <v>-5.2725833333333343</v>
      </c>
      <c r="L508" s="63">
        <f t="shared" si="39"/>
        <v>0</v>
      </c>
      <c r="M508" s="123"/>
    </row>
    <row r="509" spans="1:13" hidden="1">
      <c r="A509" s="63" t="str">
        <f>'RAW DATA 2023'!B657</f>
        <v>CHBR1</v>
      </c>
      <c r="B509" s="63" t="str">
        <f>'RAW DATA 2023'!D657</f>
        <v>A1-011-0013</v>
      </c>
      <c r="C509" s="63" t="str">
        <f t="shared" si="35"/>
        <v>CHBR1A1-011-0013</v>
      </c>
      <c r="D509" s="68">
        <f>VLOOKUP(C509,'RAW DATA 2023'!E:BP,63,0)</f>
        <v>2</v>
      </c>
      <c r="E509" s="68" t="str">
        <f t="shared" si="36"/>
        <v>CHBR12</v>
      </c>
      <c r="F509" s="63" t="str">
        <f>VLOOKUP(C509,'RAW DATA 2023'!E:BO,5,0)</f>
        <v>Outdoor</v>
      </c>
      <c r="G509" s="63" t="s">
        <v>67</v>
      </c>
      <c r="H509" s="63">
        <f>VLOOKUP(C509,'RAW DATA 2023'!E:BO,2,0)</f>
        <v>2</v>
      </c>
      <c r="I509" s="106">
        <f>VLOOKUP(C509,'RAW DATA 2023'!E:BO,22,0)</f>
        <v>3.4512150000000004</v>
      </c>
      <c r="J509" s="72">
        <f t="shared" si="37"/>
        <v>-2.5487849999999996</v>
      </c>
      <c r="K509" s="109">
        <f t="shared" si="38"/>
        <v>-4.2479749999999994</v>
      </c>
      <c r="L509" s="63">
        <f t="shared" si="39"/>
        <v>0</v>
      </c>
      <c r="M509" s="123"/>
    </row>
    <row r="510" spans="1:13" hidden="1">
      <c r="A510" s="63" t="str">
        <f>'RAW DATA 2023'!B658</f>
        <v>CHBR1</v>
      </c>
      <c r="B510" s="63" t="str">
        <f>'RAW DATA 2023'!D658</f>
        <v>A1-015-0018</v>
      </c>
      <c r="C510" s="63" t="str">
        <f t="shared" si="35"/>
        <v>CHBR1A1-015-0018</v>
      </c>
      <c r="D510" s="68">
        <f>VLOOKUP(C510,'RAW DATA 2023'!E:BP,63,0)</f>
        <v>7</v>
      </c>
      <c r="E510" s="68" t="str">
        <f t="shared" si="36"/>
        <v>CHBR17</v>
      </c>
      <c r="F510" s="63" t="str">
        <f>VLOOKUP(C510,'RAW DATA 2023'!E:BO,5,0)</f>
        <v>Outdoor</v>
      </c>
      <c r="G510" s="63" t="s">
        <v>67</v>
      </c>
      <c r="H510" s="63">
        <f>VLOOKUP(C510,'RAW DATA 2023'!E:BO,2,0)</f>
        <v>2</v>
      </c>
      <c r="I510" s="106">
        <f>VLOOKUP(C510,'RAW DATA 2023'!E:BO,22,0)</f>
        <v>8.583260000000001</v>
      </c>
      <c r="J510" s="72">
        <f t="shared" si="37"/>
        <v>2.583260000000001</v>
      </c>
      <c r="K510" s="109">
        <f t="shared" si="38"/>
        <v>4.305433333333335</v>
      </c>
      <c r="L510" s="63">
        <f t="shared" si="39"/>
        <v>4.305433333333335</v>
      </c>
      <c r="M510" s="123"/>
    </row>
    <row r="511" spans="1:13" hidden="1">
      <c r="A511" s="63" t="str">
        <f>'RAW DATA 2023'!B662</f>
        <v>CHBR1</v>
      </c>
      <c r="B511" s="63" t="str">
        <f>'RAW DATA 2023'!D662</f>
        <v>A1-017-0013</v>
      </c>
      <c r="C511" s="63" t="str">
        <f t="shared" si="35"/>
        <v>CHBR1A1-017-0013</v>
      </c>
      <c r="D511" s="68">
        <f>VLOOKUP(C511,'RAW DATA 2023'!E:BP,63,0)</f>
        <v>2</v>
      </c>
      <c r="E511" s="68" t="str">
        <f t="shared" si="36"/>
        <v>CHBR12</v>
      </c>
      <c r="F511" s="63" t="str">
        <f>VLOOKUP(C511,'RAW DATA 2023'!E:BO,5,0)</f>
        <v>Outdoor</v>
      </c>
      <c r="G511" s="63" t="s">
        <v>67</v>
      </c>
      <c r="H511" s="63">
        <f>VLOOKUP(C511,'RAW DATA 2023'!E:BO,2,0)</f>
        <v>2</v>
      </c>
      <c r="I511" s="106">
        <f>VLOOKUP(C511,'RAW DATA 2023'!E:BO,22,0)</f>
        <v>5.8559599999999996</v>
      </c>
      <c r="J511" s="72">
        <f t="shared" si="37"/>
        <v>-0.14404000000000039</v>
      </c>
      <c r="K511" s="109">
        <f t="shared" si="38"/>
        <v>-0.24006666666666732</v>
      </c>
      <c r="L511" s="63">
        <f t="shared" si="39"/>
        <v>0</v>
      </c>
      <c r="M511" s="123"/>
    </row>
    <row r="512" spans="1:13" hidden="1">
      <c r="A512" s="63" t="str">
        <f>'RAW DATA 2023'!B664</f>
        <v>Tamai2</v>
      </c>
      <c r="B512" s="63" t="str">
        <f>'RAW DATA 2023'!D664</f>
        <v>D1-068-0004</v>
      </c>
      <c r="C512" s="63" t="str">
        <f t="shared" si="35"/>
        <v>Tamai2D1-068-0004</v>
      </c>
      <c r="D512" s="68">
        <f>VLOOKUP(C512,'RAW DATA 2023'!E:BP,63,0)</f>
        <v>7</v>
      </c>
      <c r="E512" s="68" t="str">
        <f t="shared" si="36"/>
        <v>Tamai27</v>
      </c>
      <c r="F512" s="63" t="str">
        <f>VLOOKUP(C512,'RAW DATA 2023'!E:BO,5,0)</f>
        <v>Outdoor</v>
      </c>
      <c r="G512" s="63" t="s">
        <v>67</v>
      </c>
      <c r="H512" s="63">
        <f>VLOOKUP(C512,'RAW DATA 2023'!E:BO,2,0)</f>
        <v>2.59</v>
      </c>
      <c r="I512" s="106">
        <f>VLOOKUP(C512,'RAW DATA 2023'!E:BO,22,0)</f>
        <v>9.6082046332046342</v>
      </c>
      <c r="J512" s="72">
        <f t="shared" si="37"/>
        <v>6.6082046332046342</v>
      </c>
      <c r="K512" s="109">
        <f t="shared" si="38"/>
        <v>11.01367438867439</v>
      </c>
      <c r="L512" s="63">
        <f t="shared" si="39"/>
        <v>6.25</v>
      </c>
      <c r="M512" s="123"/>
    </row>
    <row r="513" spans="1:13" hidden="1">
      <c r="A513" s="63" t="str">
        <f>'RAW DATA 2023'!B667</f>
        <v>Tamai2</v>
      </c>
      <c r="B513" s="63" t="str">
        <f>'RAW DATA 2023'!D667</f>
        <v>D1-039-0028</v>
      </c>
      <c r="C513" s="63" t="str">
        <f t="shared" si="35"/>
        <v>Tamai2D1-039-0028</v>
      </c>
      <c r="D513" s="68">
        <f>VLOOKUP(C513,'RAW DATA 2023'!E:BP,63,0)</f>
        <v>6</v>
      </c>
      <c r="E513" s="68" t="str">
        <f t="shared" si="36"/>
        <v>Tamai26</v>
      </c>
      <c r="F513" s="63" t="str">
        <f>VLOOKUP(C513,'RAW DATA 2023'!E:BO,5,0)</f>
        <v>Outdoor</v>
      </c>
      <c r="G513" s="63" t="s">
        <v>67</v>
      </c>
      <c r="H513" s="63">
        <f>VLOOKUP(C513,'RAW DATA 2023'!E:BO,2,0)</f>
        <v>4</v>
      </c>
      <c r="I513" s="106">
        <f>VLOOKUP(C513,'RAW DATA 2023'!E:BO,22,0)</f>
        <v>4.7012600000000004</v>
      </c>
      <c r="J513" s="72">
        <f t="shared" si="37"/>
        <v>1.7012600000000004</v>
      </c>
      <c r="K513" s="109">
        <f t="shared" si="38"/>
        <v>2.8354333333333344</v>
      </c>
      <c r="L513" s="63">
        <f t="shared" si="39"/>
        <v>2.8354333333333344</v>
      </c>
      <c r="M513" s="123"/>
    </row>
    <row r="514" spans="1:13" hidden="1">
      <c r="A514" s="63" t="str">
        <f>'RAW DATA 2023'!B674</f>
        <v>Tamai2</v>
      </c>
      <c r="B514" s="63" t="str">
        <f>'RAW DATA 2023'!D674</f>
        <v>C1-057-0009</v>
      </c>
      <c r="C514" s="63" t="str">
        <f t="shared" si="35"/>
        <v>Tamai2C1-057-0009</v>
      </c>
      <c r="D514" s="68">
        <f>VLOOKUP(C514,'RAW DATA 2023'!E:BP,63,0)</f>
        <v>4</v>
      </c>
      <c r="E514" s="68" t="str">
        <f t="shared" si="36"/>
        <v>Tamai24</v>
      </c>
      <c r="F514" s="63" t="str">
        <f>VLOOKUP(C514,'RAW DATA 2023'!E:BO,5,0)</f>
        <v>Outdoor</v>
      </c>
      <c r="G514" s="63" t="s">
        <v>67</v>
      </c>
      <c r="H514" s="63">
        <f>VLOOKUP(C514,'RAW DATA 2023'!E:BO,2,0)</f>
        <v>3.29</v>
      </c>
      <c r="I514" s="106">
        <f>VLOOKUP(C514,'RAW DATA 2023'!E:BO,22,0)</f>
        <v>7.1950000000000003</v>
      </c>
      <c r="J514" s="72">
        <f t="shared" si="37"/>
        <v>4.1950000000000003</v>
      </c>
      <c r="K514" s="109">
        <f t="shared" si="38"/>
        <v>6.9916666666666671</v>
      </c>
      <c r="L514" s="63">
        <f t="shared" si="39"/>
        <v>6.25</v>
      </c>
      <c r="M514" s="123"/>
    </row>
    <row r="515" spans="1:13" hidden="1">
      <c r="A515" s="63" t="str">
        <f>'RAW DATA 2023'!B697</f>
        <v>Lucky3</v>
      </c>
      <c r="B515" s="63" t="str">
        <f>'RAW DATA 2023'!D697</f>
        <v>B1-024-0009</v>
      </c>
      <c r="C515" s="63" t="str">
        <f t="shared" si="35"/>
        <v>Lucky3B1-024-0009</v>
      </c>
      <c r="D515" s="68">
        <f>VLOOKUP(C515,'RAW DATA 2023'!E:BP,63,0)</f>
        <v>5</v>
      </c>
      <c r="E515" s="68" t="str">
        <f t="shared" si="36"/>
        <v>Lucky35</v>
      </c>
      <c r="F515" s="63" t="str">
        <f>VLOOKUP(C515,'RAW DATA 2023'!E:BO,5,0)</f>
        <v>Outdoor</v>
      </c>
      <c r="G515" s="63" t="s">
        <v>1955</v>
      </c>
      <c r="H515" s="63">
        <f>VLOOKUP(C515,'RAW DATA 2023'!E:BO,2,0)</f>
        <v>1.5</v>
      </c>
      <c r="I515" s="106">
        <f>VLOOKUP(C515,'RAW DATA 2023'!E:BO,22,0)</f>
        <v>8.6725733333333341</v>
      </c>
      <c r="J515" s="72">
        <f t="shared" si="37"/>
        <v>2.6725733333333341</v>
      </c>
      <c r="K515" s="109">
        <f t="shared" si="38"/>
        <v>4.4542888888888905</v>
      </c>
      <c r="L515" s="63">
        <f t="shared" si="39"/>
        <v>4.4542888888888905</v>
      </c>
      <c r="M515" s="123"/>
    </row>
    <row r="516" spans="1:13" hidden="1">
      <c r="A516" s="63" t="str">
        <f>'RAW DATA 2023'!B717</f>
        <v>Tachalab</v>
      </c>
      <c r="B516" s="63" t="str">
        <f>'RAW DATA 2023'!D717</f>
        <v>B1-023-0012</v>
      </c>
      <c r="C516" s="63" t="str">
        <f t="shared" si="35"/>
        <v>TachalabB1-023-0012</v>
      </c>
      <c r="D516" s="68">
        <f>VLOOKUP(C516,'RAW DATA 2023'!E:BP,63,0)</f>
        <v>2</v>
      </c>
      <c r="E516" s="68" t="str">
        <f t="shared" si="36"/>
        <v>Tachalab2</v>
      </c>
      <c r="F516" s="63" t="str">
        <f>VLOOKUP(C516,'RAW DATA 2023'!E:BO,5,0)</f>
        <v>Outdoor</v>
      </c>
      <c r="G516" s="63" t="s">
        <v>1954</v>
      </c>
      <c r="H516" s="63">
        <f>VLOOKUP(C516,'RAW DATA 2023'!E:BO,2,0)</f>
        <v>3.4</v>
      </c>
      <c r="I516" s="106">
        <f>VLOOKUP(C516,'RAW DATA 2023'!E:BO,22,0)</f>
        <v>6.6738823529411775</v>
      </c>
      <c r="J516" s="72">
        <f t="shared" si="37"/>
        <v>3.6738823529411775</v>
      </c>
      <c r="K516" s="109">
        <f t="shared" si="38"/>
        <v>6.1231372549019625</v>
      </c>
      <c r="L516" s="63">
        <f t="shared" si="39"/>
        <v>6.1231372549019625</v>
      </c>
      <c r="M516" s="123"/>
    </row>
    <row r="517" spans="1:13" hidden="1">
      <c r="A517" s="63" t="str">
        <f>'RAW DATA 2023'!B720</f>
        <v>Tachalab</v>
      </c>
      <c r="B517" s="63" t="str">
        <f>'RAW DATA 2023'!D720</f>
        <v>A1-006-0016</v>
      </c>
      <c r="C517" s="63" t="str">
        <f t="shared" si="35"/>
        <v>TachalabA1-006-0016</v>
      </c>
      <c r="D517" s="68">
        <f>VLOOKUP(C517,'RAW DATA 2023'!E:BP,63,0)</f>
        <v>3</v>
      </c>
      <c r="E517" s="68" t="str">
        <f t="shared" si="36"/>
        <v>Tachalab3</v>
      </c>
      <c r="F517" s="63" t="str">
        <f>VLOOKUP(C517,'RAW DATA 2023'!E:BO,5,0)</f>
        <v>Outdoor</v>
      </c>
      <c r="G517" s="63" t="s">
        <v>1954</v>
      </c>
      <c r="H517" s="63">
        <f>VLOOKUP(C517,'RAW DATA 2023'!E:BO,2,0)</f>
        <v>4</v>
      </c>
      <c r="I517" s="106">
        <f>VLOOKUP(C517,'RAW DATA 2023'!E:BO,22,0)</f>
        <v>3.8664899999999998</v>
      </c>
      <c r="J517" s="72">
        <f t="shared" si="37"/>
        <v>0.86648999999999976</v>
      </c>
      <c r="K517" s="109">
        <f t="shared" si="38"/>
        <v>1.4441499999999996</v>
      </c>
      <c r="L517" s="63">
        <f t="shared" si="39"/>
        <v>1.4441499999999996</v>
      </c>
      <c r="M517" s="123"/>
    </row>
    <row r="518" spans="1:13" hidden="1">
      <c r="A518" s="63" t="str">
        <f>'RAW DATA 2023'!B732</f>
        <v>Andaman</v>
      </c>
      <c r="B518" s="63" t="str">
        <f>'RAW DATA 2023'!D732</f>
        <v>A1-004-0047</v>
      </c>
      <c r="C518" s="63" t="str">
        <f t="shared" si="35"/>
        <v>AndamanA1-004-0047</v>
      </c>
      <c r="D518" s="68">
        <f>VLOOKUP(C518,'RAW DATA 2023'!E:BP,63,0)</f>
        <v>4</v>
      </c>
      <c r="E518" s="68" t="str">
        <f t="shared" si="36"/>
        <v>Andaman4</v>
      </c>
      <c r="F518" s="63" t="str">
        <f>VLOOKUP(C518,'RAW DATA 2023'!E:BO,5,0)</f>
        <v>Outdoor</v>
      </c>
      <c r="G518" s="63" t="s">
        <v>67</v>
      </c>
      <c r="H518" s="63">
        <f>VLOOKUP(C518,'RAW DATA 2023'!E:BO,2,0)</f>
        <v>2</v>
      </c>
      <c r="I518" s="106">
        <f>VLOOKUP(C518,'RAW DATA 2023'!E:BO,22,0)</f>
        <v>8.3372600000000006</v>
      </c>
      <c r="J518" s="72">
        <f t="shared" si="37"/>
        <v>2.3372600000000006</v>
      </c>
      <c r="K518" s="109">
        <f t="shared" si="38"/>
        <v>3.8954333333333344</v>
      </c>
      <c r="L518" s="63">
        <f t="shared" si="39"/>
        <v>3.8954333333333344</v>
      </c>
      <c r="M518" s="123"/>
    </row>
    <row r="519" spans="1:13">
      <c r="A519" s="63" t="str">
        <f>'RAW DATA 2023'!B743</f>
        <v>SR4</v>
      </c>
      <c r="B519" s="63" t="str">
        <f>'RAW DATA 2023'!D743</f>
        <v>G1-053-0009</v>
      </c>
      <c r="C519" s="63" t="str">
        <f t="shared" si="35"/>
        <v>SR4G1-053-0009</v>
      </c>
      <c r="D519" s="68">
        <f>VLOOKUP(C519,'RAW DATA 2023'!E:BP,63,0)</f>
        <v>10</v>
      </c>
      <c r="E519" s="68" t="str">
        <f t="shared" si="36"/>
        <v>SR410</v>
      </c>
      <c r="F519" s="63" t="str">
        <f>VLOOKUP(C519,'RAW DATA 2023'!E:BO,5,0)</f>
        <v>Greenhouse</v>
      </c>
      <c r="G519" s="63" t="s">
        <v>1951</v>
      </c>
      <c r="H519" s="63">
        <f>VLOOKUP(C519,'RAW DATA 2023'!E:BO,2,0)</f>
        <v>2</v>
      </c>
      <c r="I519" s="106">
        <f>VLOOKUP(C519,'RAW DATA 2023'!E:BO,22,0)</f>
        <v>10.32339</v>
      </c>
      <c r="J519" s="72">
        <f t="shared" si="37"/>
        <v>6.3233899999999998</v>
      </c>
      <c r="K519" s="109">
        <f t="shared" si="38"/>
        <v>10.538983333333334</v>
      </c>
      <c r="L519" s="63">
        <f t="shared" si="39"/>
        <v>6.25</v>
      </c>
      <c r="M519" s="123"/>
    </row>
    <row r="520" spans="1:13">
      <c r="A520" s="63" t="str">
        <f>'RAW DATA 2023'!B757</f>
        <v>SR4</v>
      </c>
      <c r="B520" s="63" t="str">
        <f>'RAW DATA 2023'!D757</f>
        <v>B1-063-0009</v>
      </c>
      <c r="C520" s="63" t="str">
        <f t="shared" si="35"/>
        <v>SR4B1-063-0009</v>
      </c>
      <c r="D520" s="68">
        <f>VLOOKUP(C520,'RAW DATA 2023'!E:BP,63,0)</f>
        <v>10</v>
      </c>
      <c r="E520" s="68" t="str">
        <f t="shared" si="36"/>
        <v>SR410</v>
      </c>
      <c r="F520" s="63" t="str">
        <f>VLOOKUP(C520,'RAW DATA 2023'!E:BO,5,0)</f>
        <v>Outdoor</v>
      </c>
      <c r="G520" s="63" t="s">
        <v>1951</v>
      </c>
      <c r="H520" s="63">
        <f>VLOOKUP(C520,'RAW DATA 2023'!E:BO,2,0)</f>
        <v>1.85</v>
      </c>
      <c r="I520" s="106">
        <f>VLOOKUP(C520,'RAW DATA 2023'!E:BO,22,0)</f>
        <v>9.8428432432432409</v>
      </c>
      <c r="J520" s="72">
        <f t="shared" si="37"/>
        <v>3.8428432432432409</v>
      </c>
      <c r="K520" s="109">
        <f t="shared" si="38"/>
        <v>6.4047387387387351</v>
      </c>
      <c r="L520" s="63">
        <f t="shared" si="39"/>
        <v>6.25</v>
      </c>
      <c r="M520" s="123"/>
    </row>
    <row r="521" spans="1:13">
      <c r="A521" s="63" t="str">
        <f>'RAW DATA 2023'!B760</f>
        <v>SR4</v>
      </c>
      <c r="B521" s="63" t="str">
        <f>'RAW DATA 2023'!D760</f>
        <v>B1-064-0008</v>
      </c>
      <c r="C521" s="63" t="str">
        <f t="shared" si="35"/>
        <v>SR4B1-064-0008</v>
      </c>
      <c r="D521" s="68">
        <f>VLOOKUP(C521,'RAW DATA 2023'!E:BP,63,0)</f>
        <v>10</v>
      </c>
      <c r="E521" s="68" t="str">
        <f t="shared" si="36"/>
        <v>SR410</v>
      </c>
      <c r="F521" s="63" t="str">
        <f>VLOOKUP(C521,'RAW DATA 2023'!E:BO,5,0)</f>
        <v>Outdoor</v>
      </c>
      <c r="G521" s="63" t="s">
        <v>1951</v>
      </c>
      <c r="H521" s="63">
        <f>VLOOKUP(C521,'RAW DATA 2023'!E:BO,2,0)</f>
        <v>1.85</v>
      </c>
      <c r="I521" s="106">
        <f>VLOOKUP(C521,'RAW DATA 2023'!E:BO,22,0)</f>
        <v>10.910691891891892</v>
      </c>
      <c r="J521" s="72">
        <f t="shared" si="37"/>
        <v>4.9106918918918918</v>
      </c>
      <c r="K521" s="109">
        <f t="shared" si="38"/>
        <v>8.1844864864864864</v>
      </c>
      <c r="L521" s="63">
        <f t="shared" si="39"/>
        <v>6.25</v>
      </c>
      <c r="M521" s="123"/>
    </row>
    <row r="522" spans="1:13">
      <c r="A522" s="63" t="str">
        <f>'RAW DATA 2023'!B761</f>
        <v>SR4</v>
      </c>
      <c r="B522" s="63" t="str">
        <f>'RAW DATA 2023'!D761</f>
        <v>B1-067-0010</v>
      </c>
      <c r="C522" s="63" t="str">
        <f t="shared" ref="C522:C585" si="40">A522&amp;B522</f>
        <v>SR4B1-067-0010</v>
      </c>
      <c r="D522" s="68">
        <f>VLOOKUP(C522,'RAW DATA 2023'!E:BP,63,0)</f>
        <v>6</v>
      </c>
      <c r="E522" s="68" t="str">
        <f t="shared" ref="E522:E585" si="41">A522&amp;D522</f>
        <v>SR46</v>
      </c>
      <c r="F522" s="63" t="str">
        <f>VLOOKUP(C522,'RAW DATA 2023'!E:BO,5,0)</f>
        <v>Outdoor</v>
      </c>
      <c r="G522" s="63" t="s">
        <v>1951</v>
      </c>
      <c r="H522" s="63">
        <f>VLOOKUP(C522,'RAW DATA 2023'!E:BO,2,0)</f>
        <v>1.85</v>
      </c>
      <c r="I522" s="106">
        <f>VLOOKUP(C522,'RAW DATA 2023'!E:BO,22,0)</f>
        <v>6.7366378378378373</v>
      </c>
      <c r="J522" s="72">
        <f t="shared" ref="J522:J585" si="42">IF(I522=0,0,IF(F522=$B$2,I522-$B$6,IF(F522=$C$1,I522-$C$6,IF(AND(F522=$C$2,H522&lt;=$C$3),I522-$C$6,IF(AND(F522=$C$2,H522&lt;=$E$3),I522-$D$6,I522-$E$6)))))</f>
        <v>0.73663783783783732</v>
      </c>
      <c r="K522" s="109">
        <f t="shared" ref="K522:K585" si="43">IF(F522=$B$2,J522*$B$7,IF(AND(F522=$C$2,H522&lt;=$C$3),J522*$C$7,IF(AND(F522=$C$2,H522&lt;=$E$3),J522*$D$7,J522*$E$7)))</f>
        <v>1.2277297297297289</v>
      </c>
      <c r="L522" s="63">
        <f t="shared" ref="L522:L585" si="44">IF(K522&gt;=6.25,6.25,IF(K522&lt;=0,0,K522))</f>
        <v>1.2277297297297289</v>
      </c>
      <c r="M522" s="123"/>
    </row>
    <row r="523" spans="1:13" hidden="1">
      <c r="A523" s="63" t="str">
        <f>'RAW DATA 2023'!B770</f>
        <v>Kanchanadit</v>
      </c>
      <c r="B523" s="63" t="str">
        <f>'RAW DATA 2023'!D770</f>
        <v>D1-053-0006</v>
      </c>
      <c r="C523" s="63" t="str">
        <f t="shared" si="40"/>
        <v>KanchanaditD1-053-0006</v>
      </c>
      <c r="D523" s="68">
        <f>VLOOKUP(C523,'RAW DATA 2023'!E:BP,63,0)</f>
        <v>8</v>
      </c>
      <c r="E523" s="68" t="str">
        <f t="shared" si="41"/>
        <v>Kanchanadit8</v>
      </c>
      <c r="F523" s="63" t="str">
        <f>VLOOKUP(C523,'RAW DATA 2023'!E:BO,5,0)</f>
        <v>Outdoor</v>
      </c>
      <c r="G523" s="63" t="s">
        <v>67</v>
      </c>
      <c r="H523" s="63">
        <f>VLOOKUP(C523,'RAW DATA 2023'!E:BO,2,0)</f>
        <v>2</v>
      </c>
      <c r="I523" s="106">
        <f>VLOOKUP(C523,'RAW DATA 2023'!E:BO,22,0)</f>
        <v>11.32649</v>
      </c>
      <c r="J523" s="72">
        <f t="shared" si="42"/>
        <v>5.3264899999999997</v>
      </c>
      <c r="K523" s="109">
        <f t="shared" si="43"/>
        <v>8.8774833333333341</v>
      </c>
      <c r="L523" s="63">
        <f t="shared" si="44"/>
        <v>6.25</v>
      </c>
      <c r="M523" s="123"/>
    </row>
    <row r="524" spans="1:13" hidden="1">
      <c r="A524" s="63" t="str">
        <f>'RAW DATA 2023'!B780</f>
        <v>Kanchanadit</v>
      </c>
      <c r="B524" s="63" t="str">
        <f>'RAW DATA 2023'!D780</f>
        <v>D1-048-0013</v>
      </c>
      <c r="C524" s="63" t="str">
        <f t="shared" si="40"/>
        <v>KanchanaditD1-048-0013</v>
      </c>
      <c r="D524" s="68">
        <f>VLOOKUP(C524,'RAW DATA 2023'!E:BP,63,0)</f>
        <v>12</v>
      </c>
      <c r="E524" s="68" t="str">
        <f t="shared" si="41"/>
        <v>Kanchanadit12</v>
      </c>
      <c r="F524" s="63" t="str">
        <f>VLOOKUP(C524,'RAW DATA 2023'!E:BO,5,0)</f>
        <v>Outdoor</v>
      </c>
      <c r="G524" s="63" t="s">
        <v>1954</v>
      </c>
      <c r="H524" s="63">
        <f>VLOOKUP(C524,'RAW DATA 2023'!E:BO,2,0)</f>
        <v>2</v>
      </c>
      <c r="I524" s="106">
        <f>VLOOKUP(C524,'RAW DATA 2023'!E:BO,22,0)</f>
        <v>8.6249900000000004</v>
      </c>
      <c r="J524" s="72">
        <f t="shared" si="42"/>
        <v>2.6249900000000004</v>
      </c>
      <c r="K524" s="109">
        <f t="shared" si="43"/>
        <v>4.3749833333333346</v>
      </c>
      <c r="L524" s="63">
        <f t="shared" si="44"/>
        <v>4.3749833333333346</v>
      </c>
      <c r="M524" s="123"/>
    </row>
    <row r="525" spans="1:13" hidden="1">
      <c r="A525" s="63" t="str">
        <f>'RAW DATA 2023'!B798</f>
        <v>Pakpanang1</v>
      </c>
      <c r="B525" s="63" t="str">
        <f>'RAW DATA 2023'!D798</f>
        <v>C1-140-0010</v>
      </c>
      <c r="C525" s="63" t="str">
        <f t="shared" si="40"/>
        <v>Pakpanang1C1-140-0010</v>
      </c>
      <c r="D525" s="68">
        <f>VLOOKUP(C525,'RAW DATA 2023'!E:BP,63,0)</f>
        <v>11</v>
      </c>
      <c r="E525" s="68" t="str">
        <f t="shared" si="41"/>
        <v>Pakpanang111</v>
      </c>
      <c r="F525" s="63" t="str">
        <f>VLOOKUP(C525,'RAW DATA 2023'!E:BO,5,0)</f>
        <v>Outdoor</v>
      </c>
      <c r="G525" s="63" t="s">
        <v>1955</v>
      </c>
      <c r="H525" s="63">
        <f>VLOOKUP(C525,'RAW DATA 2023'!E:BO,2,0)</f>
        <v>1.5</v>
      </c>
      <c r="I525" s="106">
        <f>VLOOKUP(C525,'RAW DATA 2023'!E:BO,22,0)</f>
        <v>9.9745333333333317</v>
      </c>
      <c r="J525" s="72">
        <f t="shared" si="42"/>
        <v>3.9745333333333317</v>
      </c>
      <c r="K525" s="109">
        <f t="shared" si="43"/>
        <v>6.6242222222222198</v>
      </c>
      <c r="L525" s="63">
        <f t="shared" si="44"/>
        <v>6.25</v>
      </c>
      <c r="M525" s="123"/>
    </row>
    <row r="526" spans="1:13" hidden="1">
      <c r="A526" s="63" t="str">
        <f>'RAW DATA 2023'!B799</f>
        <v>Pakpanang1</v>
      </c>
      <c r="B526" s="63" t="str">
        <f>'RAW DATA 2023'!D799</f>
        <v>D1-173-0009</v>
      </c>
      <c r="C526" s="63" t="str">
        <f t="shared" si="40"/>
        <v>Pakpanang1D1-173-0009</v>
      </c>
      <c r="D526" s="68">
        <f>VLOOKUP(C526,'RAW DATA 2023'!E:BP,63,0)</f>
        <v>10</v>
      </c>
      <c r="E526" s="68" t="str">
        <f t="shared" si="41"/>
        <v>Pakpanang110</v>
      </c>
      <c r="F526" s="63" t="str">
        <f>VLOOKUP(C526,'RAW DATA 2023'!E:BO,5,0)</f>
        <v>Outdoor</v>
      </c>
      <c r="G526" s="63" t="s">
        <v>1954</v>
      </c>
      <c r="H526" s="63">
        <f>VLOOKUP(C526,'RAW DATA 2023'!E:BO,2,0)</f>
        <v>1.8</v>
      </c>
      <c r="I526" s="106">
        <f>VLOOKUP(C526,'RAW DATA 2023'!E:BO,22,0)</f>
        <v>13.865994444444445</v>
      </c>
      <c r="J526" s="72">
        <f t="shared" si="42"/>
        <v>7.8659944444444445</v>
      </c>
      <c r="K526" s="109">
        <f t="shared" si="43"/>
        <v>13.109990740740741</v>
      </c>
      <c r="L526" s="63">
        <f t="shared" si="44"/>
        <v>6.25</v>
      </c>
      <c r="M526" s="123"/>
    </row>
    <row r="527" spans="1:13" hidden="1">
      <c r="A527" s="63" t="str">
        <f>'RAW DATA 2023'!B803</f>
        <v>Pakpanang1</v>
      </c>
      <c r="B527" s="63" t="str">
        <f>'RAW DATA 2023'!D803</f>
        <v>D1-171-0009</v>
      </c>
      <c r="C527" s="63" t="str">
        <f t="shared" si="40"/>
        <v>Pakpanang1D1-171-0009</v>
      </c>
      <c r="D527" s="68">
        <f>VLOOKUP(C527,'RAW DATA 2023'!E:BP,63,0)</f>
        <v>5</v>
      </c>
      <c r="E527" s="68" t="str">
        <f t="shared" si="41"/>
        <v>Pakpanang15</v>
      </c>
      <c r="F527" s="63" t="str">
        <f>VLOOKUP(C527,'RAW DATA 2023'!E:BO,5,0)</f>
        <v>Outdoor</v>
      </c>
      <c r="G527" s="63" t="s">
        <v>1954</v>
      </c>
      <c r="H527" s="63">
        <f>VLOOKUP(C527,'RAW DATA 2023'!E:BO,2,0)</f>
        <v>1.8</v>
      </c>
      <c r="I527" s="106">
        <f>VLOOKUP(C527,'RAW DATA 2023'!E:BO,22,0)</f>
        <v>12.30186111111111</v>
      </c>
      <c r="J527" s="72">
        <f t="shared" si="42"/>
        <v>6.3018611111111102</v>
      </c>
      <c r="K527" s="109">
        <f t="shared" si="43"/>
        <v>10.50310185185185</v>
      </c>
      <c r="L527" s="63">
        <f t="shared" si="44"/>
        <v>6.25</v>
      </c>
      <c r="M527" s="123"/>
    </row>
    <row r="528" spans="1:13" hidden="1">
      <c r="A528" s="63" t="str">
        <f>'RAW DATA 2023'!B805</f>
        <v>Pakpanang1</v>
      </c>
      <c r="B528" s="63" t="str">
        <f>'RAW DATA 2023'!D805</f>
        <v>D1-172-0008</v>
      </c>
      <c r="C528" s="63" t="str">
        <f t="shared" si="40"/>
        <v>Pakpanang1D1-172-0008</v>
      </c>
      <c r="D528" s="68">
        <f>VLOOKUP(C528,'RAW DATA 2023'!E:BP,63,0)</f>
        <v>5</v>
      </c>
      <c r="E528" s="68" t="str">
        <f t="shared" si="41"/>
        <v>Pakpanang15</v>
      </c>
      <c r="F528" s="63" t="str">
        <f>VLOOKUP(C528,'RAW DATA 2023'!E:BO,5,0)</f>
        <v>Outdoor</v>
      </c>
      <c r="G528" s="63" t="s">
        <v>1954</v>
      </c>
      <c r="H528" s="63">
        <f>VLOOKUP(C528,'RAW DATA 2023'!E:BO,2,0)</f>
        <v>1.8</v>
      </c>
      <c r="I528" s="106">
        <f>VLOOKUP(C528,'RAW DATA 2023'!E:BO,22,0)</f>
        <v>8.1535611111111113</v>
      </c>
      <c r="J528" s="72">
        <f t="shared" si="42"/>
        <v>2.1535611111111113</v>
      </c>
      <c r="K528" s="109">
        <f t="shared" si="43"/>
        <v>3.5892685185185189</v>
      </c>
      <c r="L528" s="63">
        <f t="shared" si="44"/>
        <v>3.5892685185185189</v>
      </c>
      <c r="M528" s="123"/>
    </row>
    <row r="529" spans="1:13" hidden="1">
      <c r="A529" s="63" t="str">
        <f>'RAW DATA 2023'!B810</f>
        <v>Pakpanang1</v>
      </c>
      <c r="B529" s="63" t="str">
        <f>'RAW DATA 2023'!D810</f>
        <v>D1-173-0008</v>
      </c>
      <c r="C529" s="63" t="str">
        <f t="shared" si="40"/>
        <v>Pakpanang1D1-173-0008</v>
      </c>
      <c r="D529" s="68">
        <f>VLOOKUP(C529,'RAW DATA 2023'!E:BP,63,0)</f>
        <v>5</v>
      </c>
      <c r="E529" s="68" t="str">
        <f t="shared" si="41"/>
        <v>Pakpanang15</v>
      </c>
      <c r="F529" s="63" t="str">
        <f>VLOOKUP(C529,'RAW DATA 2023'!E:BO,5,0)</f>
        <v>Outdoor</v>
      </c>
      <c r="G529" s="63" t="s">
        <v>1955</v>
      </c>
      <c r="H529" s="63">
        <f>VLOOKUP(C529,'RAW DATA 2023'!E:BO,2,0)</f>
        <v>1.8</v>
      </c>
      <c r="I529" s="106">
        <f>VLOOKUP(C529,'RAW DATA 2023'!E:BO,22,0)</f>
        <v>4.4592888888888895</v>
      </c>
      <c r="J529" s="72">
        <f t="shared" si="42"/>
        <v>-1.5407111111111105</v>
      </c>
      <c r="K529" s="109">
        <f t="shared" si="43"/>
        <v>-2.5678518518518509</v>
      </c>
      <c r="L529" s="63">
        <f t="shared" si="44"/>
        <v>0</v>
      </c>
      <c r="M529" s="123"/>
    </row>
    <row r="530" spans="1:13" hidden="1">
      <c r="A530" s="63" t="str">
        <f>'RAW DATA 2023'!B8</f>
        <v>Lamae</v>
      </c>
      <c r="B530" s="63" t="str">
        <f>'RAW DATA 2023'!D8</f>
        <v>A1-007-0045</v>
      </c>
      <c r="C530" s="63" t="str">
        <f t="shared" si="40"/>
        <v>LamaeA1-007-0045</v>
      </c>
      <c r="D530" s="68">
        <f>VLOOKUP(C530,'RAW DATA 2023'!E:BP,63,0)</f>
        <v>7</v>
      </c>
      <c r="E530" s="68" t="str">
        <f t="shared" si="41"/>
        <v>Lamae7</v>
      </c>
      <c r="F530" s="63" t="str">
        <f>VLOOKUP(C530,'RAW DATA 2023'!E:BO,5,0)</f>
        <v>Outdoor</v>
      </c>
      <c r="G530" s="63" t="s">
        <v>1954</v>
      </c>
      <c r="H530" s="63">
        <f>VLOOKUP(C530,'RAW DATA 2023'!E:BO,2,0)</f>
        <v>8</v>
      </c>
      <c r="I530" s="106">
        <f>VLOOKUP(C530,'RAW DATA 2023'!E:BO,22,0)</f>
        <v>2.8335987500000002</v>
      </c>
      <c r="J530" s="72">
        <f t="shared" si="42"/>
        <v>0.83359875000000017</v>
      </c>
      <c r="K530" s="109">
        <f t="shared" si="43"/>
        <v>1.3893312500000004</v>
      </c>
      <c r="L530" s="63">
        <f t="shared" si="44"/>
        <v>1.3893312500000004</v>
      </c>
      <c r="M530" s="123"/>
    </row>
    <row r="531" spans="1:13" hidden="1">
      <c r="A531" s="63" t="str">
        <f>'RAW DATA 2023'!B31</f>
        <v>Bansang</v>
      </c>
      <c r="B531" s="63" t="str">
        <f>'RAW DATA 2023'!D31</f>
        <v>A1-006-0015</v>
      </c>
      <c r="C531" s="63" t="str">
        <f t="shared" si="40"/>
        <v>BansangA1-006-0015</v>
      </c>
      <c r="D531" s="68">
        <f>VLOOKUP(C531,'RAW DATA 2023'!E:BP,63,0)</f>
        <v>10</v>
      </c>
      <c r="E531" s="68" t="str">
        <f t="shared" si="41"/>
        <v>Bansang10</v>
      </c>
      <c r="F531" s="63" t="str">
        <f>VLOOKUP(C531,'RAW DATA 2023'!E:BO,5,0)</f>
        <v>Outdoor</v>
      </c>
      <c r="G531" s="63" t="s">
        <v>67</v>
      </c>
      <c r="H531" s="63">
        <f>VLOOKUP(C531,'RAW DATA 2023'!E:BO,2,0)</f>
        <v>3.38</v>
      </c>
      <c r="I531" s="106">
        <f>VLOOKUP(C531,'RAW DATA 2023'!E:BO,22,0)</f>
        <v>7.3721005917159763</v>
      </c>
      <c r="J531" s="72">
        <f t="shared" si="42"/>
        <v>4.3721005917159763</v>
      </c>
      <c r="K531" s="109">
        <f t="shared" si="43"/>
        <v>7.2868343195266272</v>
      </c>
      <c r="L531" s="63">
        <f t="shared" si="44"/>
        <v>6.25</v>
      </c>
      <c r="M531" s="123"/>
    </row>
    <row r="532" spans="1:13" hidden="1">
      <c r="A532" s="63" t="str">
        <f>'RAW DATA 2023'!B32</f>
        <v>Bansang</v>
      </c>
      <c r="B532" s="63" t="str">
        <f>'RAW DATA 2023'!D32</f>
        <v>A1-005-0016</v>
      </c>
      <c r="C532" s="63" t="str">
        <f t="shared" si="40"/>
        <v>BansangA1-005-0016</v>
      </c>
      <c r="D532" s="68">
        <f>VLOOKUP(C532,'RAW DATA 2023'!E:BP,63,0)</f>
        <v>9</v>
      </c>
      <c r="E532" s="68" t="str">
        <f t="shared" si="41"/>
        <v>Bansang9</v>
      </c>
      <c r="F532" s="63" t="str">
        <f>VLOOKUP(C532,'RAW DATA 2023'!E:BO,5,0)</f>
        <v>Outdoor</v>
      </c>
      <c r="G532" s="63" t="s">
        <v>67</v>
      </c>
      <c r="H532" s="63">
        <f>VLOOKUP(C532,'RAW DATA 2023'!E:BO,2,0)</f>
        <v>3.38</v>
      </c>
      <c r="I532" s="106">
        <f>VLOOKUP(C532,'RAW DATA 2023'!E:BO,22,0)</f>
        <v>3.0149704142011835</v>
      </c>
      <c r="J532" s="72">
        <f t="shared" si="42"/>
        <v>1.4970414201183502E-2</v>
      </c>
      <c r="K532" s="109">
        <f t="shared" si="43"/>
        <v>2.4950690335305836E-2</v>
      </c>
      <c r="L532" s="63">
        <f t="shared" si="44"/>
        <v>2.4950690335305836E-2</v>
      </c>
      <c r="M532" s="123"/>
    </row>
    <row r="533" spans="1:13" hidden="1">
      <c r="A533" s="63" t="str">
        <f>'RAW DATA 2023'!B53</f>
        <v>Petchburi5</v>
      </c>
      <c r="B533" s="63" t="str">
        <f>'RAW DATA 2023'!D53</f>
        <v>B1-116-0006</v>
      </c>
      <c r="C533" s="63" t="str">
        <f t="shared" si="40"/>
        <v>Petchburi5B1-116-0006</v>
      </c>
      <c r="D533" s="68">
        <f>VLOOKUP(C533,'RAW DATA 2023'!E:BP,63,0)</f>
        <v>4</v>
      </c>
      <c r="E533" s="68" t="str">
        <f t="shared" si="41"/>
        <v>Petchburi54</v>
      </c>
      <c r="F533" s="63" t="str">
        <f>VLOOKUP(C533,'RAW DATA 2023'!E:BO,5,0)</f>
        <v>Outdoor</v>
      </c>
      <c r="G533" s="63" t="s">
        <v>67</v>
      </c>
      <c r="H533" s="63">
        <f>VLOOKUP(C533,'RAW DATA 2023'!E:BO,2,0)</f>
        <v>1.85</v>
      </c>
      <c r="I533" s="106">
        <f>VLOOKUP(C533,'RAW DATA 2023'!E:BO,22,0)</f>
        <v>17.090070270270271</v>
      </c>
      <c r="J533" s="72">
        <f t="shared" si="42"/>
        <v>11.090070270270271</v>
      </c>
      <c r="K533" s="109">
        <f t="shared" si="43"/>
        <v>18.483450450450452</v>
      </c>
      <c r="L533" s="63">
        <f t="shared" si="44"/>
        <v>6.25</v>
      </c>
      <c r="M533" s="123"/>
    </row>
    <row r="534" spans="1:13" hidden="1">
      <c r="A534" s="63" t="str">
        <f>'RAW DATA 2023'!B71</f>
        <v>Petchburi5</v>
      </c>
      <c r="B534" s="63" t="str">
        <f>'RAW DATA 2023'!D71</f>
        <v>AG-006-0011</v>
      </c>
      <c r="C534" s="63" t="str">
        <f t="shared" si="40"/>
        <v>Petchburi5AG-006-0011</v>
      </c>
      <c r="D534" s="68">
        <f>VLOOKUP(C534,'RAW DATA 2023'!E:BP,63,0)</f>
        <v>5</v>
      </c>
      <c r="E534" s="68" t="str">
        <f t="shared" si="41"/>
        <v>Petchburi55</v>
      </c>
      <c r="F534" s="63" t="str">
        <f>VLOOKUP(C534,'RAW DATA 2023'!E:BO,5,0)</f>
        <v>Greenhouse</v>
      </c>
      <c r="G534" s="63" t="s">
        <v>67</v>
      </c>
      <c r="H534" s="63">
        <f>VLOOKUP(C534,'RAW DATA 2023'!E:BO,2,0)</f>
        <v>1.5</v>
      </c>
      <c r="I534" s="106">
        <f>VLOOKUP(C534,'RAW DATA 2023'!E:BO,22,0)</f>
        <v>13.364973333333332</v>
      </c>
      <c r="J534" s="72">
        <f t="shared" si="42"/>
        <v>9.3649733333333316</v>
      </c>
      <c r="K534" s="109">
        <f t="shared" si="43"/>
        <v>15.608288888888886</v>
      </c>
      <c r="L534" s="63">
        <f t="shared" si="44"/>
        <v>6.25</v>
      </c>
      <c r="M534" s="123"/>
    </row>
    <row r="535" spans="1:13" hidden="1">
      <c r="A535" s="63" t="str">
        <f>'RAW DATA 2023'!B72</f>
        <v>Petchburi5</v>
      </c>
      <c r="B535" s="63" t="str">
        <f>'RAW DATA 2023'!D72</f>
        <v>AG-004-0011</v>
      </c>
      <c r="C535" s="63" t="str">
        <f t="shared" si="40"/>
        <v>Petchburi5AG-004-0011</v>
      </c>
      <c r="D535" s="68">
        <f>VLOOKUP(C535,'RAW DATA 2023'!E:BP,63,0)</f>
        <v>5</v>
      </c>
      <c r="E535" s="68" t="str">
        <f t="shared" si="41"/>
        <v>Petchburi55</v>
      </c>
      <c r="F535" s="63" t="str">
        <f>VLOOKUP(C535,'RAW DATA 2023'!E:BO,5,0)</f>
        <v>Greenhouse</v>
      </c>
      <c r="G535" s="63" t="s">
        <v>1955</v>
      </c>
      <c r="H535" s="63">
        <f>VLOOKUP(C535,'RAW DATA 2023'!E:BO,2,0)</f>
        <v>1.5</v>
      </c>
      <c r="I535" s="106">
        <f>VLOOKUP(C535,'RAW DATA 2023'!E:BO,22,0)</f>
        <v>11.570819999999999</v>
      </c>
      <c r="J535" s="72">
        <f t="shared" si="42"/>
        <v>7.5708199999999994</v>
      </c>
      <c r="K535" s="109">
        <f t="shared" si="43"/>
        <v>12.618033333333333</v>
      </c>
      <c r="L535" s="63">
        <f t="shared" si="44"/>
        <v>6.25</v>
      </c>
      <c r="M535" s="123"/>
    </row>
    <row r="536" spans="1:13" hidden="1">
      <c r="A536" s="63" t="str">
        <f>'RAW DATA 2023'!B73</f>
        <v>Petchburi5</v>
      </c>
      <c r="B536" s="63" t="str">
        <f>'RAW DATA 2023'!D73</f>
        <v>AG-005-0011</v>
      </c>
      <c r="C536" s="63" t="str">
        <f t="shared" si="40"/>
        <v>Petchburi5AG-005-0011</v>
      </c>
      <c r="D536" s="68">
        <f>VLOOKUP(C536,'RAW DATA 2023'!E:BP,63,0)</f>
        <v>5</v>
      </c>
      <c r="E536" s="68" t="str">
        <f t="shared" si="41"/>
        <v>Petchburi55</v>
      </c>
      <c r="F536" s="63" t="str">
        <f>VLOOKUP(C536,'RAW DATA 2023'!E:BO,5,0)</f>
        <v>Greenhouse</v>
      </c>
      <c r="G536" s="63" t="s">
        <v>1954</v>
      </c>
      <c r="H536" s="63">
        <f>VLOOKUP(C536,'RAW DATA 2023'!E:BO,2,0)</f>
        <v>1.5</v>
      </c>
      <c r="I536" s="106">
        <f>VLOOKUP(C536,'RAW DATA 2023'!E:BO,22,0)</f>
        <v>13.07582</v>
      </c>
      <c r="J536" s="72">
        <f t="shared" si="42"/>
        <v>9.0758200000000002</v>
      </c>
      <c r="K536" s="109">
        <f t="shared" si="43"/>
        <v>15.126366666666668</v>
      </c>
      <c r="L536" s="63">
        <f t="shared" si="44"/>
        <v>6.25</v>
      </c>
      <c r="M536" s="123"/>
    </row>
    <row r="537" spans="1:13" hidden="1">
      <c r="A537" s="63" t="str">
        <f>'RAW DATA 2023'!B75</f>
        <v>Petchburi5</v>
      </c>
      <c r="B537" s="63" t="str">
        <f>'RAW DATA 2023'!D75</f>
        <v>A1-034-0008</v>
      </c>
      <c r="C537" s="63" t="str">
        <f t="shared" si="40"/>
        <v>Petchburi5A1-034-0008</v>
      </c>
      <c r="D537" s="68">
        <f>VLOOKUP(C537,'RAW DATA 2023'!E:BP,63,0)</f>
        <v>5</v>
      </c>
      <c r="E537" s="68" t="str">
        <f t="shared" si="41"/>
        <v>Petchburi55</v>
      </c>
      <c r="F537" s="63" t="str">
        <f>VLOOKUP(C537,'RAW DATA 2023'!E:BO,5,0)</f>
        <v>Outdoor</v>
      </c>
      <c r="G537" s="63" t="s">
        <v>1954</v>
      </c>
      <c r="H537" s="63">
        <f>VLOOKUP(C537,'RAW DATA 2023'!E:BO,2,0)</f>
        <v>1.5</v>
      </c>
      <c r="I537" s="106">
        <f>VLOOKUP(C537,'RAW DATA 2023'!E:BO,22,0)</f>
        <v>15.976226666666667</v>
      </c>
      <c r="J537" s="72">
        <f t="shared" si="42"/>
        <v>9.9762266666666672</v>
      </c>
      <c r="K537" s="109">
        <f t="shared" si="43"/>
        <v>16.627044444444447</v>
      </c>
      <c r="L537" s="63">
        <f t="shared" si="44"/>
        <v>6.25</v>
      </c>
      <c r="M537" s="123"/>
    </row>
    <row r="538" spans="1:13" hidden="1">
      <c r="A538" s="63" t="str">
        <f>'RAW DATA 2023'!B84</f>
        <v>Petchburi5</v>
      </c>
      <c r="B538" s="63" t="str">
        <f>'RAW DATA 2023'!D84</f>
        <v>A1-034-0009</v>
      </c>
      <c r="C538" s="63" t="str">
        <f t="shared" si="40"/>
        <v>Petchburi5A1-034-0009</v>
      </c>
      <c r="D538" s="68">
        <f>VLOOKUP(C538,'RAW DATA 2023'!E:BP,63,0)</f>
        <v>11</v>
      </c>
      <c r="E538" s="68" t="str">
        <f t="shared" si="41"/>
        <v>Petchburi511</v>
      </c>
      <c r="F538" s="63" t="str">
        <f>VLOOKUP(C538,'RAW DATA 2023'!E:BO,5,0)</f>
        <v>Outdoor</v>
      </c>
      <c r="G538" s="63" t="s">
        <v>67</v>
      </c>
      <c r="H538" s="63">
        <f>VLOOKUP(C538,'RAW DATA 2023'!E:BO,2,0)</f>
        <v>1.5</v>
      </c>
      <c r="I538" s="106">
        <f>VLOOKUP(C538,'RAW DATA 2023'!E:BO,22,0)</f>
        <v>18.355313333333335</v>
      </c>
      <c r="J538" s="72">
        <f t="shared" si="42"/>
        <v>12.355313333333335</v>
      </c>
      <c r="K538" s="109">
        <f t="shared" si="43"/>
        <v>20.592188888888892</v>
      </c>
      <c r="L538" s="63">
        <f t="shared" si="44"/>
        <v>6.25</v>
      </c>
      <c r="M538" s="123"/>
    </row>
    <row r="539" spans="1:13" hidden="1">
      <c r="A539" s="63" t="str">
        <f>'RAW DATA 2023'!B85</f>
        <v>Petchburi5</v>
      </c>
      <c r="B539" s="63" t="str">
        <f>'RAW DATA 2023'!D85</f>
        <v>A1-021-0019</v>
      </c>
      <c r="C539" s="63" t="str">
        <f t="shared" si="40"/>
        <v>Petchburi5A1-021-0019</v>
      </c>
      <c r="D539" s="68">
        <f>VLOOKUP(C539,'RAW DATA 2023'!E:BP,63,0)</f>
        <v>4</v>
      </c>
      <c r="E539" s="68" t="str">
        <f t="shared" si="41"/>
        <v>Petchburi54</v>
      </c>
      <c r="F539" s="63" t="str">
        <f>VLOOKUP(C539,'RAW DATA 2023'!E:BO,5,0)</f>
        <v>Outdoor</v>
      </c>
      <c r="G539" s="63" t="s">
        <v>1955</v>
      </c>
      <c r="H539" s="63">
        <f>VLOOKUP(C539,'RAW DATA 2023'!E:BO,2,0)</f>
        <v>1.5</v>
      </c>
      <c r="I539" s="106">
        <f>VLOOKUP(C539,'RAW DATA 2023'!E:BO,22,0)</f>
        <v>11.105693333333335</v>
      </c>
      <c r="J539" s="72">
        <f t="shared" si="42"/>
        <v>5.1056933333333347</v>
      </c>
      <c r="K539" s="109">
        <f t="shared" si="43"/>
        <v>8.5094888888888924</v>
      </c>
      <c r="L539" s="63">
        <f t="shared" si="44"/>
        <v>6.25</v>
      </c>
      <c r="M539" s="123"/>
    </row>
    <row r="540" spans="1:13" hidden="1">
      <c r="A540" s="63" t="str">
        <f>'RAW DATA 2023'!B87</f>
        <v>Petchburi5</v>
      </c>
      <c r="B540" s="63" t="str">
        <f>'RAW DATA 2023'!D87</f>
        <v>A1-032-0007</v>
      </c>
      <c r="C540" s="63" t="str">
        <f t="shared" si="40"/>
        <v>Petchburi5A1-032-0007</v>
      </c>
      <c r="D540" s="68">
        <f>VLOOKUP(C540,'RAW DATA 2023'!E:BP,63,0)</f>
        <v>3</v>
      </c>
      <c r="E540" s="68" t="str">
        <f t="shared" si="41"/>
        <v>Petchburi53</v>
      </c>
      <c r="F540" s="63" t="str">
        <f>VLOOKUP(C540,'RAW DATA 2023'!E:BO,5,0)</f>
        <v>Outdoor</v>
      </c>
      <c r="G540" s="63" t="s">
        <v>1954</v>
      </c>
      <c r="H540" s="63">
        <f>VLOOKUP(C540,'RAW DATA 2023'!E:BO,2,0)</f>
        <v>1.5</v>
      </c>
      <c r="I540" s="106">
        <f>VLOOKUP(C540,'RAW DATA 2023'!E:BO,22,0)</f>
        <v>12.026986666666666</v>
      </c>
      <c r="J540" s="72">
        <f t="shared" si="42"/>
        <v>6.0269866666666658</v>
      </c>
      <c r="K540" s="109">
        <f t="shared" si="43"/>
        <v>10.044977777777778</v>
      </c>
      <c r="L540" s="63">
        <f t="shared" si="44"/>
        <v>6.25</v>
      </c>
      <c r="M540" s="123"/>
    </row>
    <row r="541" spans="1:13" hidden="1">
      <c r="A541" s="63" t="str">
        <f>'RAW DATA 2023'!B88</f>
        <v>Petchburi5</v>
      </c>
      <c r="B541" s="63" t="str">
        <f>'RAW DATA 2023'!D88</f>
        <v>A1-034-0007</v>
      </c>
      <c r="C541" s="63" t="str">
        <f t="shared" si="40"/>
        <v>Petchburi5A1-034-0007</v>
      </c>
      <c r="D541" s="68">
        <f>VLOOKUP(C541,'RAW DATA 2023'!E:BP,63,0)</f>
        <v>1</v>
      </c>
      <c r="E541" s="68" t="str">
        <f t="shared" si="41"/>
        <v>Petchburi51</v>
      </c>
      <c r="F541" s="63" t="str">
        <f>VLOOKUP(C541,'RAW DATA 2023'!E:BO,5,0)</f>
        <v>Outdoor</v>
      </c>
      <c r="G541" s="63" t="s">
        <v>1954</v>
      </c>
      <c r="H541" s="63">
        <f>VLOOKUP(C541,'RAW DATA 2023'!E:BO,2,0)</f>
        <v>1.5</v>
      </c>
      <c r="I541" s="106">
        <f>VLOOKUP(C541,'RAW DATA 2023'!E:BO,22,0)</f>
        <v>0</v>
      </c>
      <c r="J541" s="72">
        <f t="shared" si="42"/>
        <v>0</v>
      </c>
      <c r="K541" s="109">
        <f t="shared" si="43"/>
        <v>0</v>
      </c>
      <c r="L541" s="63">
        <f t="shared" si="44"/>
        <v>0</v>
      </c>
      <c r="M541" s="123"/>
    </row>
    <row r="542" spans="1:13" hidden="1">
      <c r="A542" s="63" t="str">
        <f>'RAW DATA 2023'!B93</f>
        <v>Petchburi5</v>
      </c>
      <c r="B542" s="63" t="str">
        <f>'RAW DATA 2023'!D93</f>
        <v>G1-G01-0004</v>
      </c>
      <c r="C542" s="63" t="str">
        <f t="shared" si="40"/>
        <v>Petchburi5G1-G01-0004</v>
      </c>
      <c r="D542" s="68">
        <f>VLOOKUP(C542,'RAW DATA 2023'!E:BP,63,0)</f>
        <v>11</v>
      </c>
      <c r="E542" s="68" t="str">
        <f t="shared" si="41"/>
        <v>Petchburi511</v>
      </c>
      <c r="F542" s="63" t="str">
        <f>VLOOKUP(C542,'RAW DATA 2023'!E:BO,5,0)</f>
        <v>Greenhouse</v>
      </c>
      <c r="G542" s="63" t="s">
        <v>1954</v>
      </c>
      <c r="H542" s="63">
        <f>VLOOKUP(C542,'RAW DATA 2023'!E:BO,2,0)</f>
        <v>1</v>
      </c>
      <c r="I542" s="106">
        <f>VLOOKUP(C542,'RAW DATA 2023'!E:BO,22,0)</f>
        <v>16.447740000000003</v>
      </c>
      <c r="J542" s="72">
        <f t="shared" si="42"/>
        <v>12.447740000000003</v>
      </c>
      <c r="K542" s="109">
        <f t="shared" si="43"/>
        <v>20.74623333333334</v>
      </c>
      <c r="L542" s="63">
        <f t="shared" si="44"/>
        <v>6.25</v>
      </c>
      <c r="M542" s="123"/>
    </row>
    <row r="543" spans="1:13" hidden="1">
      <c r="A543" s="63" t="str">
        <f>'RAW DATA 2023'!B96</f>
        <v>Roiphet1</v>
      </c>
      <c r="B543" s="63" t="str">
        <f>'RAW DATA 2023'!D96</f>
        <v>A3-G05-0077</v>
      </c>
      <c r="C543" s="63" t="str">
        <f t="shared" si="40"/>
        <v>Roiphet1A3-G05-0077</v>
      </c>
      <c r="D543" s="68">
        <f>VLOOKUP(C543,'RAW DATA 2023'!E:BP,63,0)</f>
        <v>10</v>
      </c>
      <c r="E543" s="68" t="str">
        <f t="shared" si="41"/>
        <v>Roiphet110</v>
      </c>
      <c r="F543" s="63" t="str">
        <f>VLOOKUP(C543,'RAW DATA 2023'!E:BO,5,0)</f>
        <v>Greenhouse</v>
      </c>
      <c r="G543" s="63" t="s">
        <v>1954</v>
      </c>
      <c r="H543" s="63">
        <f>VLOOKUP(C543,'RAW DATA 2023'!E:BO,2,0)</f>
        <v>1.1299999999999999</v>
      </c>
      <c r="I543" s="106">
        <f>VLOOKUP(C543,'RAW DATA 2023'!E:BO,22,0)</f>
        <v>5.6074867256637173</v>
      </c>
      <c r="J543" s="72">
        <f t="shared" si="42"/>
        <v>1.6074867256637173</v>
      </c>
      <c r="K543" s="109">
        <f t="shared" si="43"/>
        <v>2.6791445427728622</v>
      </c>
      <c r="L543" s="63">
        <f t="shared" si="44"/>
        <v>2.6791445427728622</v>
      </c>
      <c r="M543" s="123"/>
    </row>
    <row r="544" spans="1:13" hidden="1">
      <c r="A544" s="63" t="str">
        <f>'RAW DATA 2023'!B97</f>
        <v>Roiphet1</v>
      </c>
      <c r="B544" s="63" t="str">
        <f>'RAW DATA 2023'!D97</f>
        <v>A5-G09-0084</v>
      </c>
      <c r="C544" s="63" t="str">
        <f t="shared" si="40"/>
        <v>Roiphet1A5-G09-0084</v>
      </c>
      <c r="D544" s="68">
        <f>VLOOKUP(C544,'RAW DATA 2023'!E:BP,63,0)</f>
        <v>10</v>
      </c>
      <c r="E544" s="68" t="str">
        <f t="shared" si="41"/>
        <v>Roiphet110</v>
      </c>
      <c r="F544" s="63" t="str">
        <f>VLOOKUP(C544,'RAW DATA 2023'!E:BO,5,0)</f>
        <v>Greenhouse</v>
      </c>
      <c r="G544" s="63" t="s">
        <v>1954</v>
      </c>
      <c r="H544" s="63">
        <f>VLOOKUP(C544,'RAW DATA 2023'!E:BO,2,0)</f>
        <v>1.1299999999999999</v>
      </c>
      <c r="I544" s="106">
        <f>VLOOKUP(C544,'RAW DATA 2023'!E:BO,22,0)</f>
        <v>6.6824955752212398</v>
      </c>
      <c r="J544" s="72">
        <f t="shared" si="42"/>
        <v>2.6824955752212398</v>
      </c>
      <c r="K544" s="109">
        <f t="shared" si="43"/>
        <v>4.4708259587020667</v>
      </c>
      <c r="L544" s="63">
        <f t="shared" si="44"/>
        <v>4.4708259587020667</v>
      </c>
      <c r="M544" s="123"/>
    </row>
    <row r="545" spans="1:13" hidden="1">
      <c r="A545" s="63" t="str">
        <f>'RAW DATA 2023'!B105</f>
        <v>Roiphet1</v>
      </c>
      <c r="B545" s="63" t="str">
        <f>'RAW DATA 2023'!D105</f>
        <v>D6-I12-0085</v>
      </c>
      <c r="C545" s="63" t="str">
        <f t="shared" si="40"/>
        <v>Roiphet1D6-I12-0085</v>
      </c>
      <c r="D545" s="68">
        <f>VLOOKUP(C545,'RAW DATA 2023'!E:BP,63,0)</f>
        <v>6</v>
      </c>
      <c r="E545" s="68" t="str">
        <f t="shared" si="41"/>
        <v>Roiphet16</v>
      </c>
      <c r="F545" s="63" t="str">
        <f>VLOOKUP(C545,'RAW DATA 2023'!E:BO,5,0)</f>
        <v>Greenhouse</v>
      </c>
      <c r="G545" s="63" t="s">
        <v>1954</v>
      </c>
      <c r="H545" s="63">
        <f>VLOOKUP(C545,'RAW DATA 2023'!E:BO,2,0)</f>
        <v>0.72</v>
      </c>
      <c r="I545" s="106">
        <f>VLOOKUP(C545,'RAW DATA 2023'!E:BO,22,0)</f>
        <v>3.915430555555556</v>
      </c>
      <c r="J545" s="72">
        <f t="shared" si="42"/>
        <v>-8.4569444444444031E-2</v>
      </c>
      <c r="K545" s="109">
        <f t="shared" si="43"/>
        <v>-0.14094907407407339</v>
      </c>
      <c r="L545" s="63">
        <f t="shared" si="44"/>
        <v>0</v>
      </c>
      <c r="M545" s="123"/>
    </row>
    <row r="546" spans="1:13" hidden="1">
      <c r="A546" s="63" t="str">
        <f>'RAW DATA 2023'!B106</f>
        <v>Roiphet1</v>
      </c>
      <c r="B546" s="63" t="str">
        <f>'RAW DATA 2023'!D106</f>
        <v>D4-G08-0059</v>
      </c>
      <c r="C546" s="63" t="str">
        <f t="shared" si="40"/>
        <v>Roiphet1D4-G08-0059</v>
      </c>
      <c r="D546" s="68">
        <f>VLOOKUP(C546,'RAW DATA 2023'!E:BP,63,0)</f>
        <v>5</v>
      </c>
      <c r="E546" s="68" t="str">
        <f t="shared" si="41"/>
        <v>Roiphet15</v>
      </c>
      <c r="F546" s="63" t="str">
        <f>VLOOKUP(C546,'RAW DATA 2023'!E:BO,5,0)</f>
        <v>Greenhouse</v>
      </c>
      <c r="G546" s="63" t="s">
        <v>1954</v>
      </c>
      <c r="H546" s="63">
        <f>VLOOKUP(C546,'RAW DATA 2023'!E:BO,2,0)</f>
        <v>1.1299999999999999</v>
      </c>
      <c r="I546" s="106">
        <f>VLOOKUP(C546,'RAW DATA 2023'!E:BO,22,0)</f>
        <v>8.5474070796460175</v>
      </c>
      <c r="J546" s="72">
        <f t="shared" si="42"/>
        <v>4.5474070796460175</v>
      </c>
      <c r="K546" s="109">
        <f t="shared" si="43"/>
        <v>7.5790117994100292</v>
      </c>
      <c r="L546" s="63">
        <f t="shared" si="44"/>
        <v>6.25</v>
      </c>
      <c r="M546" s="123"/>
    </row>
    <row r="547" spans="1:13" hidden="1">
      <c r="A547" s="63" t="str">
        <f>'RAW DATA 2023'!B107</f>
        <v>Roiphet1</v>
      </c>
      <c r="B547" s="63" t="str">
        <f>'RAW DATA 2023'!D107</f>
        <v>D4-I08-0071</v>
      </c>
      <c r="C547" s="63" t="str">
        <f t="shared" si="40"/>
        <v>Roiphet1D4-I08-0071</v>
      </c>
      <c r="D547" s="68">
        <f>VLOOKUP(C547,'RAW DATA 2023'!E:BP,63,0)</f>
        <v>5</v>
      </c>
      <c r="E547" s="68" t="str">
        <f t="shared" si="41"/>
        <v>Roiphet15</v>
      </c>
      <c r="F547" s="63" t="str">
        <f>VLOOKUP(C547,'RAW DATA 2023'!E:BO,5,0)</f>
        <v>Greenhouse</v>
      </c>
      <c r="G547" s="63" t="s">
        <v>1954</v>
      </c>
      <c r="H547" s="63">
        <f>VLOOKUP(C547,'RAW DATA 2023'!E:BO,2,0)</f>
        <v>0.72</v>
      </c>
      <c r="I547" s="106">
        <f>VLOOKUP(C547,'RAW DATA 2023'!E:BO,22,0)</f>
        <v>5.6074722222222224</v>
      </c>
      <c r="J547" s="72">
        <f t="shared" si="42"/>
        <v>1.6074722222222224</v>
      </c>
      <c r="K547" s="109">
        <f t="shared" si="43"/>
        <v>2.679120370370371</v>
      </c>
      <c r="L547" s="63">
        <f t="shared" si="44"/>
        <v>2.679120370370371</v>
      </c>
      <c r="M547" s="123"/>
    </row>
    <row r="548" spans="1:13" hidden="1">
      <c r="A548" s="63" t="str">
        <f>'RAW DATA 2023'!B110</f>
        <v>Roiphet1</v>
      </c>
      <c r="B548" s="63" t="str">
        <f>'RAW DATA 2023'!D110</f>
        <v>D1-I02-0088</v>
      </c>
      <c r="C548" s="63" t="str">
        <f t="shared" si="40"/>
        <v>Roiphet1D1-I02-0088</v>
      </c>
      <c r="D548" s="68">
        <f>VLOOKUP(C548,'RAW DATA 2023'!E:BP,63,0)</f>
        <v>1</v>
      </c>
      <c r="E548" s="68" t="str">
        <f t="shared" si="41"/>
        <v>Roiphet11</v>
      </c>
      <c r="F548" s="63" t="str">
        <f>VLOOKUP(C548,'RAW DATA 2023'!E:BO,5,0)</f>
        <v>Greenhouse</v>
      </c>
      <c r="G548" s="63" t="s">
        <v>1954</v>
      </c>
      <c r="H548" s="63">
        <f>VLOOKUP(C548,'RAW DATA 2023'!E:BO,2,0)</f>
        <v>0.72</v>
      </c>
      <c r="I548" s="106">
        <f>VLOOKUP(C548,'RAW DATA 2023'!E:BO,22,0)</f>
        <v>5.7323611111111115</v>
      </c>
      <c r="J548" s="72">
        <f t="shared" si="42"/>
        <v>1.7323611111111115</v>
      </c>
      <c r="K548" s="109">
        <f t="shared" si="43"/>
        <v>2.8872685185185194</v>
      </c>
      <c r="L548" s="63">
        <f t="shared" si="44"/>
        <v>2.8872685185185194</v>
      </c>
      <c r="M548" s="123"/>
    </row>
    <row r="549" spans="1:13" hidden="1">
      <c r="A549" s="63" t="str">
        <f>'RAW DATA 2023'!B111</f>
        <v>Roiphet1</v>
      </c>
      <c r="B549" s="63" t="str">
        <f>'RAW DATA 2023'!D111</f>
        <v>D4-G07-0062</v>
      </c>
      <c r="C549" s="63" t="str">
        <f t="shared" si="40"/>
        <v>Roiphet1D4-G07-0062</v>
      </c>
      <c r="D549" s="68">
        <f>VLOOKUP(C549,'RAW DATA 2023'!E:BP,63,0)</f>
        <v>5</v>
      </c>
      <c r="E549" s="68" t="str">
        <f t="shared" si="41"/>
        <v>Roiphet15</v>
      </c>
      <c r="F549" s="63" t="str">
        <f>VLOOKUP(C549,'RAW DATA 2023'!E:BO,5,0)</f>
        <v>Greenhouse</v>
      </c>
      <c r="G549" s="63" t="s">
        <v>1954</v>
      </c>
      <c r="H549" s="63">
        <f>VLOOKUP(C549,'RAW DATA 2023'!E:BO,2,0)</f>
        <v>1.1299999999999999</v>
      </c>
      <c r="I549" s="106">
        <f>VLOOKUP(C549,'RAW DATA 2023'!E:BO,22,0)</f>
        <v>7.3515663716814172</v>
      </c>
      <c r="J549" s="72">
        <f t="shared" si="42"/>
        <v>3.3515663716814172</v>
      </c>
      <c r="K549" s="109">
        <f t="shared" si="43"/>
        <v>5.5859439528023627</v>
      </c>
      <c r="L549" s="63">
        <f t="shared" si="44"/>
        <v>5.5859439528023627</v>
      </c>
      <c r="M549" s="123"/>
    </row>
    <row r="550" spans="1:13" hidden="1">
      <c r="A550" s="63" t="str">
        <f>'RAW DATA 2023'!B113</f>
        <v>Roiphet1</v>
      </c>
      <c r="B550" s="63" t="str">
        <f>'RAW DATA 2023'!D113</f>
        <v>D2-G03-0080</v>
      </c>
      <c r="C550" s="63" t="str">
        <f t="shared" si="40"/>
        <v>Roiphet1D2-G03-0080</v>
      </c>
      <c r="D550" s="68">
        <f>VLOOKUP(C550,'RAW DATA 2023'!E:BP,63,0)</f>
        <v>4</v>
      </c>
      <c r="E550" s="68" t="str">
        <f t="shared" si="41"/>
        <v>Roiphet14</v>
      </c>
      <c r="F550" s="63" t="str">
        <f>VLOOKUP(C550,'RAW DATA 2023'!E:BO,5,0)</f>
        <v>Greenhouse</v>
      </c>
      <c r="G550" s="63" t="s">
        <v>1955</v>
      </c>
      <c r="H550" s="63">
        <f>VLOOKUP(C550,'RAW DATA 2023'!E:BO,2,0)</f>
        <v>1.1299999999999999</v>
      </c>
      <c r="I550" s="106">
        <f>VLOOKUP(C550,'RAW DATA 2023'!E:BO,22,0)</f>
        <v>8.4893097345132755</v>
      </c>
      <c r="J550" s="72">
        <f t="shared" si="42"/>
        <v>4.4893097345132755</v>
      </c>
      <c r="K550" s="109">
        <f t="shared" si="43"/>
        <v>7.4821828908554595</v>
      </c>
      <c r="L550" s="63">
        <f t="shared" si="44"/>
        <v>6.25</v>
      </c>
      <c r="M550" s="123"/>
    </row>
    <row r="551" spans="1:13" hidden="1">
      <c r="A551" s="63" t="str">
        <f>'RAW DATA 2023'!B118</f>
        <v>Roiphet1</v>
      </c>
      <c r="B551" s="63" t="str">
        <f>'RAW DATA 2023'!D118</f>
        <v>D5-I10-0074</v>
      </c>
      <c r="C551" s="63" t="str">
        <f t="shared" si="40"/>
        <v>Roiphet1D5-I10-0074</v>
      </c>
      <c r="D551" s="68">
        <f>VLOOKUP(C551,'RAW DATA 2023'!E:BP,63,0)</f>
        <v>5</v>
      </c>
      <c r="E551" s="68" t="str">
        <f t="shared" si="41"/>
        <v>Roiphet15</v>
      </c>
      <c r="F551" s="63" t="str">
        <f>VLOOKUP(C551,'RAW DATA 2023'!E:BO,5,0)</f>
        <v>Greenhouse</v>
      </c>
      <c r="G551" s="63" t="s">
        <v>1955</v>
      </c>
      <c r="H551" s="63">
        <f>VLOOKUP(C551,'RAW DATA 2023'!E:BO,2,0)</f>
        <v>0.72</v>
      </c>
      <c r="I551" s="106">
        <f>VLOOKUP(C551,'RAW DATA 2023'!E:BO,22,0)</f>
        <v>9.1990138888888886</v>
      </c>
      <c r="J551" s="72">
        <f t="shared" si="42"/>
        <v>5.1990138888888886</v>
      </c>
      <c r="K551" s="109">
        <f t="shared" si="43"/>
        <v>8.6650231481481477</v>
      </c>
      <c r="L551" s="63">
        <f t="shared" si="44"/>
        <v>6.25</v>
      </c>
      <c r="M551" s="123"/>
    </row>
    <row r="552" spans="1:13" hidden="1">
      <c r="A552" s="63" t="str">
        <f>'RAW DATA 2023'!B163</f>
        <v>Roiphet1</v>
      </c>
      <c r="B552" s="63" t="str">
        <f>'RAW DATA 2023'!D163</f>
        <v>A5-I09-0098</v>
      </c>
      <c r="C552" s="63" t="str">
        <f t="shared" si="40"/>
        <v>Roiphet1A5-I09-0098</v>
      </c>
      <c r="D552" s="68">
        <f>VLOOKUP(C552,'RAW DATA 2023'!E:BP,63,0)</f>
        <v>6</v>
      </c>
      <c r="E552" s="68" t="str">
        <f t="shared" si="41"/>
        <v>Roiphet16</v>
      </c>
      <c r="F552" s="63" t="str">
        <f>VLOOKUP(C552,'RAW DATA 2023'!E:BO,5,0)</f>
        <v>Greenhouse</v>
      </c>
      <c r="G552" s="63" t="s">
        <v>1954</v>
      </c>
      <c r="H552" s="63">
        <f>VLOOKUP(C552,'RAW DATA 2023'!E:BO,2,0)</f>
        <v>0.72</v>
      </c>
      <c r="I552" s="106">
        <f>VLOOKUP(C552,'RAW DATA 2023'!E:BO,22,0)</f>
        <v>5.469611111111111</v>
      </c>
      <c r="J552" s="72">
        <f t="shared" si="42"/>
        <v>1.469611111111111</v>
      </c>
      <c r="K552" s="109">
        <f t="shared" si="43"/>
        <v>2.4493518518518518</v>
      </c>
      <c r="L552" s="63">
        <f t="shared" si="44"/>
        <v>2.4493518518518518</v>
      </c>
      <c r="M552" s="123"/>
    </row>
    <row r="553" spans="1:13" hidden="1">
      <c r="A553" s="63" t="str">
        <f>'RAW DATA 2023'!B164</f>
        <v>Roiphet1</v>
      </c>
      <c r="B553" s="63" t="str">
        <f>'RAW DATA 2023'!D164</f>
        <v>A3-I05-0084</v>
      </c>
      <c r="C553" s="63" t="str">
        <f t="shared" si="40"/>
        <v>Roiphet1A3-I05-0084</v>
      </c>
      <c r="D553" s="68">
        <f>VLOOKUP(C553,'RAW DATA 2023'!E:BP,63,0)</f>
        <v>6</v>
      </c>
      <c r="E553" s="68" t="str">
        <f t="shared" si="41"/>
        <v>Roiphet16</v>
      </c>
      <c r="F553" s="63" t="str">
        <f>VLOOKUP(C553,'RAW DATA 2023'!E:BO,5,0)</f>
        <v>Greenhouse</v>
      </c>
      <c r="G553" s="63" t="s">
        <v>1954</v>
      </c>
      <c r="H553" s="63">
        <f>VLOOKUP(C553,'RAW DATA 2023'!E:BO,2,0)</f>
        <v>0.72</v>
      </c>
      <c r="I553" s="106">
        <f>VLOOKUP(C553,'RAW DATA 2023'!E:BO,22,0)</f>
        <v>5.431055555555556</v>
      </c>
      <c r="J553" s="72">
        <f t="shared" si="42"/>
        <v>1.431055555555556</v>
      </c>
      <c r="K553" s="109">
        <f t="shared" si="43"/>
        <v>2.3850925925925934</v>
      </c>
      <c r="L553" s="63">
        <f t="shared" si="44"/>
        <v>2.3850925925925934</v>
      </c>
      <c r="M553" s="123"/>
    </row>
    <row r="554" spans="1:13" hidden="1">
      <c r="A554" s="63" t="str">
        <f>'RAW DATA 2023'!B183</f>
        <v>Roiphet1</v>
      </c>
      <c r="B554" s="63" t="str">
        <f>'RAW DATA 2023'!D183</f>
        <v>D1-G01-0078</v>
      </c>
      <c r="C554" s="63" t="str">
        <f t="shared" si="40"/>
        <v>Roiphet1D1-G01-0078</v>
      </c>
      <c r="D554" s="68">
        <f>VLOOKUP(C554,'RAW DATA 2023'!E:BP,63,0)</f>
        <v>12</v>
      </c>
      <c r="E554" s="68" t="str">
        <f t="shared" si="41"/>
        <v>Roiphet112</v>
      </c>
      <c r="F554" s="63" t="str">
        <f>VLOOKUP(C554,'RAW DATA 2023'!E:BO,5,0)</f>
        <v>Greenhouse</v>
      </c>
      <c r="G554" s="63" t="s">
        <v>1954</v>
      </c>
      <c r="H554" s="63">
        <f>VLOOKUP(C554,'RAW DATA 2023'!E:BO,2,0)</f>
        <v>1.1299999999999999</v>
      </c>
      <c r="I554" s="106">
        <f>VLOOKUP(C554,'RAW DATA 2023'!E:BO,22,0)</f>
        <v>6.0493274336283189</v>
      </c>
      <c r="J554" s="72">
        <f t="shared" si="42"/>
        <v>2.0493274336283189</v>
      </c>
      <c r="K554" s="109">
        <f t="shared" si="43"/>
        <v>3.415545722713865</v>
      </c>
      <c r="L554" s="63">
        <f t="shared" si="44"/>
        <v>3.415545722713865</v>
      </c>
      <c r="M554" s="123"/>
    </row>
    <row r="555" spans="1:13" hidden="1">
      <c r="A555" s="63" t="str">
        <f>'RAW DATA 2023'!B184</f>
        <v>Roiphet1</v>
      </c>
      <c r="B555" s="63" t="str">
        <f>'RAW DATA 2023'!D184</f>
        <v>D4-G07-0063</v>
      </c>
      <c r="C555" s="63" t="str">
        <f t="shared" si="40"/>
        <v>Roiphet1D4-G07-0063</v>
      </c>
      <c r="D555" s="68">
        <f>VLOOKUP(C555,'RAW DATA 2023'!E:BP,63,0)</f>
        <v>11</v>
      </c>
      <c r="E555" s="68" t="str">
        <f t="shared" si="41"/>
        <v>Roiphet111</v>
      </c>
      <c r="F555" s="63" t="str">
        <f>VLOOKUP(C555,'RAW DATA 2023'!E:BO,5,0)</f>
        <v>Greenhouse</v>
      </c>
      <c r="G555" s="63" t="s">
        <v>1954</v>
      </c>
      <c r="H555" s="63">
        <f>VLOOKUP(C555,'RAW DATA 2023'!E:BO,2,0)</f>
        <v>1.1299999999999999</v>
      </c>
      <c r="I555" s="106">
        <f>VLOOKUP(C555,'RAW DATA 2023'!E:BO,22,0)</f>
        <v>8.2109734513274333</v>
      </c>
      <c r="J555" s="72">
        <f t="shared" si="42"/>
        <v>4.2109734513274333</v>
      </c>
      <c r="K555" s="109">
        <f t="shared" si="43"/>
        <v>7.0182890855457227</v>
      </c>
      <c r="L555" s="63">
        <f t="shared" si="44"/>
        <v>6.25</v>
      </c>
      <c r="M555" s="123"/>
    </row>
    <row r="556" spans="1:13">
      <c r="A556" s="63" t="str">
        <f>'RAW DATA 2023'!B191</f>
        <v>Roiphet1</v>
      </c>
      <c r="B556" s="63" t="str">
        <f>'RAW DATA 2023'!D191</f>
        <v>B1-G02-0087</v>
      </c>
      <c r="C556" s="63" t="str">
        <f t="shared" si="40"/>
        <v>Roiphet1B1-G02-0087</v>
      </c>
      <c r="D556" s="68">
        <f>VLOOKUP(C556,'RAW DATA 2023'!E:BP,63,0)</f>
        <v>2</v>
      </c>
      <c r="E556" s="68" t="str">
        <f t="shared" si="41"/>
        <v>Roiphet12</v>
      </c>
      <c r="F556" s="63" t="str">
        <f>VLOOKUP(C556,'RAW DATA 2023'!E:BO,5,0)</f>
        <v>Greenhouse</v>
      </c>
      <c r="G556" s="63" t="s">
        <v>1951</v>
      </c>
      <c r="H556" s="63">
        <f>VLOOKUP(C556,'RAW DATA 2023'!E:BO,2,0)</f>
        <v>1.1299999999999999</v>
      </c>
      <c r="I556" s="106">
        <f>VLOOKUP(C556,'RAW DATA 2023'!E:BO,22,0)</f>
        <v>7.1540973451327439</v>
      </c>
      <c r="J556" s="72">
        <f t="shared" si="42"/>
        <v>3.1540973451327439</v>
      </c>
      <c r="K556" s="109">
        <f t="shared" si="43"/>
        <v>5.2568289085545734</v>
      </c>
      <c r="L556" s="63">
        <f t="shared" si="44"/>
        <v>5.2568289085545734</v>
      </c>
      <c r="M556" s="123"/>
    </row>
    <row r="557" spans="1:13">
      <c r="A557" s="63" t="str">
        <f>'RAW DATA 2023'!B194</f>
        <v>Roiphet1</v>
      </c>
      <c r="B557" s="63" t="str">
        <f>'RAW DATA 2023'!D194</f>
        <v>B1-I01-0094</v>
      </c>
      <c r="C557" s="63" t="str">
        <f t="shared" si="40"/>
        <v>Roiphet1B1-I01-0094</v>
      </c>
      <c r="D557" s="68">
        <f>VLOOKUP(C557,'RAW DATA 2023'!E:BP,63,0)</f>
        <v>2</v>
      </c>
      <c r="E557" s="68" t="str">
        <f t="shared" si="41"/>
        <v>Roiphet12</v>
      </c>
      <c r="F557" s="63" t="str">
        <f>VLOOKUP(C557,'RAW DATA 2023'!E:BO,5,0)</f>
        <v>Greenhouse</v>
      </c>
      <c r="G557" s="63" t="s">
        <v>1951</v>
      </c>
      <c r="H557" s="63">
        <f>VLOOKUP(C557,'RAW DATA 2023'!E:BO,2,0)</f>
        <v>0.72</v>
      </c>
      <c r="I557" s="106">
        <f>VLOOKUP(C557,'RAW DATA 2023'!E:BO,22,0)</f>
        <v>4.9309722222222225</v>
      </c>
      <c r="J557" s="72">
        <f t="shared" si="42"/>
        <v>0.93097222222222253</v>
      </c>
      <c r="K557" s="109">
        <f t="shared" si="43"/>
        <v>1.551620370370371</v>
      </c>
      <c r="L557" s="63">
        <f t="shared" si="44"/>
        <v>1.551620370370371</v>
      </c>
      <c r="M557" s="123"/>
    </row>
    <row r="558" spans="1:13">
      <c r="A558" s="63" t="str">
        <f>'RAW DATA 2023'!B198</f>
        <v>Roiphet1</v>
      </c>
      <c r="B558" s="63" t="str">
        <f>'RAW DATA 2023'!D198</f>
        <v>C2-I03-0060</v>
      </c>
      <c r="C558" s="63" t="str">
        <f t="shared" si="40"/>
        <v>Roiphet1C2-I03-0060</v>
      </c>
      <c r="D558" s="68">
        <f>VLOOKUP(C558,'RAW DATA 2023'!E:BP,63,0)</f>
        <v>10</v>
      </c>
      <c r="E558" s="68" t="str">
        <f t="shared" si="41"/>
        <v>Roiphet110</v>
      </c>
      <c r="F558" s="63" t="str">
        <f>VLOOKUP(C558,'RAW DATA 2023'!E:BO,5,0)</f>
        <v>Greenhouse</v>
      </c>
      <c r="G558" s="63" t="s">
        <v>1951</v>
      </c>
      <c r="H558" s="63">
        <f>VLOOKUP(C558,'RAW DATA 2023'!E:BO,2,0)</f>
        <v>0.72</v>
      </c>
      <c r="I558" s="106">
        <f>VLOOKUP(C558,'RAW DATA 2023'!E:BO,22,0)</f>
        <v>4.9276111111111112</v>
      </c>
      <c r="J558" s="72">
        <f t="shared" si="42"/>
        <v>0.92761111111111116</v>
      </c>
      <c r="K558" s="109">
        <f t="shared" si="43"/>
        <v>1.5460185185185187</v>
      </c>
      <c r="L558" s="63">
        <f t="shared" si="44"/>
        <v>1.5460185185185187</v>
      </c>
      <c r="M558" s="123"/>
    </row>
    <row r="559" spans="1:13" hidden="1">
      <c r="A559" s="63" t="str">
        <f>'RAW DATA 2023'!B200</f>
        <v>Roiphet1</v>
      </c>
      <c r="B559" s="63" t="str">
        <f>'RAW DATA 2023'!D200</f>
        <v>C6-G11-0059</v>
      </c>
      <c r="C559" s="63" t="str">
        <f t="shared" si="40"/>
        <v>Roiphet1C6-G11-0059</v>
      </c>
      <c r="D559" s="68">
        <f>VLOOKUP(C559,'RAW DATA 2023'!E:BP,63,0)</f>
        <v>7</v>
      </c>
      <c r="E559" s="68" t="str">
        <f t="shared" si="41"/>
        <v>Roiphet17</v>
      </c>
      <c r="F559" s="63" t="str">
        <f>VLOOKUP(C559,'RAW DATA 2023'!E:BO,5,0)</f>
        <v>Greenhouse</v>
      </c>
      <c r="G559" s="63" t="s">
        <v>1954</v>
      </c>
      <c r="H559" s="63">
        <f>VLOOKUP(C559,'RAW DATA 2023'!E:BO,2,0)</f>
        <v>1.1299999999999999</v>
      </c>
      <c r="I559" s="106">
        <f>VLOOKUP(C559,'RAW DATA 2023'!E:BO,22,0)</f>
        <v>7.8509203539823025</v>
      </c>
      <c r="J559" s="72">
        <f t="shared" si="42"/>
        <v>3.8509203539823025</v>
      </c>
      <c r="K559" s="109">
        <f t="shared" si="43"/>
        <v>6.4182005899705041</v>
      </c>
      <c r="L559" s="63">
        <f t="shared" si="44"/>
        <v>6.25</v>
      </c>
      <c r="M559" s="123"/>
    </row>
    <row r="560" spans="1:13" hidden="1">
      <c r="A560" s="63" t="str">
        <f>'RAW DATA 2023'!B201</f>
        <v>Roiphet1</v>
      </c>
      <c r="B560" s="63" t="str">
        <f>'RAW DATA 2023'!D201</f>
        <v>C6-I11-0065</v>
      </c>
      <c r="C560" s="63" t="str">
        <f t="shared" si="40"/>
        <v>Roiphet1C6-I11-0065</v>
      </c>
      <c r="D560" s="68">
        <f>VLOOKUP(C560,'RAW DATA 2023'!E:BP,63,0)</f>
        <v>7</v>
      </c>
      <c r="E560" s="68" t="str">
        <f t="shared" si="41"/>
        <v>Roiphet17</v>
      </c>
      <c r="F560" s="63" t="str">
        <f>VLOOKUP(C560,'RAW DATA 2023'!E:BO,5,0)</f>
        <v>Greenhouse</v>
      </c>
      <c r="G560" s="63" t="s">
        <v>1954</v>
      </c>
      <c r="H560" s="63">
        <f>VLOOKUP(C560,'RAW DATA 2023'!E:BO,2,0)</f>
        <v>0.72</v>
      </c>
      <c r="I560" s="106">
        <f>VLOOKUP(C560,'RAW DATA 2023'!E:BO,22,0)</f>
        <v>6.1241805555555562</v>
      </c>
      <c r="J560" s="72">
        <f t="shared" si="42"/>
        <v>2.1241805555555562</v>
      </c>
      <c r="K560" s="109">
        <f t="shared" si="43"/>
        <v>3.5403009259259273</v>
      </c>
      <c r="L560" s="63">
        <f t="shared" si="44"/>
        <v>3.5403009259259273</v>
      </c>
      <c r="M560" s="123"/>
    </row>
    <row r="561" spans="1:13" hidden="1">
      <c r="A561" s="63" t="str">
        <f>'RAW DATA 2023'!B207</f>
        <v>Roiphet1</v>
      </c>
      <c r="B561" s="63" t="str">
        <f>'RAW DATA 2023'!D207</f>
        <v>C2-G03-0067</v>
      </c>
      <c r="C561" s="63" t="str">
        <f t="shared" si="40"/>
        <v>Roiphet1C2-G03-0067</v>
      </c>
      <c r="D561" s="68">
        <f>VLOOKUP(C561,'RAW DATA 2023'!E:BP,63,0)</f>
        <v>10</v>
      </c>
      <c r="E561" s="68" t="str">
        <f t="shared" si="41"/>
        <v>Roiphet110</v>
      </c>
      <c r="F561" s="63" t="str">
        <f>VLOOKUP(C561,'RAW DATA 2023'!E:BO,5,0)</f>
        <v>Greenhouse</v>
      </c>
      <c r="G561" s="63" t="s">
        <v>1954</v>
      </c>
      <c r="H561" s="63">
        <f>VLOOKUP(C561,'RAW DATA 2023'!E:BO,2,0)</f>
        <v>1.1299999999999999</v>
      </c>
      <c r="I561" s="106">
        <f>VLOOKUP(C561,'RAW DATA 2023'!E:BO,22,0)</f>
        <v>5.1011415929203547</v>
      </c>
      <c r="J561" s="72">
        <f t="shared" si="42"/>
        <v>1.1011415929203547</v>
      </c>
      <c r="K561" s="109">
        <f t="shared" si="43"/>
        <v>1.8352359882005913</v>
      </c>
      <c r="L561" s="63">
        <f t="shared" si="44"/>
        <v>1.8352359882005913</v>
      </c>
      <c r="M561" s="123"/>
    </row>
    <row r="562" spans="1:13" hidden="1">
      <c r="A562" s="63" t="str">
        <f>'RAW DATA 2023'!B208</f>
        <v>Roiphet1</v>
      </c>
      <c r="B562" s="63" t="str">
        <f>'RAW DATA 2023'!D208</f>
        <v>C2-G04-0065</v>
      </c>
      <c r="C562" s="63" t="str">
        <f t="shared" si="40"/>
        <v>Roiphet1C2-G04-0065</v>
      </c>
      <c r="D562" s="68">
        <f>VLOOKUP(C562,'RAW DATA 2023'!E:BP,63,0)</f>
        <v>10</v>
      </c>
      <c r="E562" s="68" t="str">
        <f t="shared" si="41"/>
        <v>Roiphet110</v>
      </c>
      <c r="F562" s="63" t="str">
        <f>VLOOKUP(C562,'RAW DATA 2023'!E:BO,5,0)</f>
        <v>Greenhouse</v>
      </c>
      <c r="G562" s="63" t="s">
        <v>1954</v>
      </c>
      <c r="H562" s="63">
        <f>VLOOKUP(C562,'RAW DATA 2023'!E:BO,2,0)</f>
        <v>1.1299999999999999</v>
      </c>
      <c r="I562" s="106">
        <f>VLOOKUP(C562,'RAW DATA 2023'!E:BO,22,0)</f>
        <v>4.5055486725663725</v>
      </c>
      <c r="J562" s="72">
        <f t="shared" si="42"/>
        <v>0.50554867256637248</v>
      </c>
      <c r="K562" s="109">
        <f t="shared" si="43"/>
        <v>0.84258112094395421</v>
      </c>
      <c r="L562" s="63">
        <f t="shared" si="44"/>
        <v>0.84258112094395421</v>
      </c>
      <c r="M562" s="123"/>
    </row>
    <row r="563" spans="1:13" hidden="1">
      <c r="A563" s="63" t="str">
        <f>'RAW DATA 2023'!B219</f>
        <v>Roiphet1</v>
      </c>
      <c r="B563" s="63" t="str">
        <f>'RAW DATA 2023'!D219</f>
        <v>D2-G04-0080</v>
      </c>
      <c r="C563" s="63" t="str">
        <f t="shared" si="40"/>
        <v>Roiphet1D2-G04-0080</v>
      </c>
      <c r="D563" s="68">
        <f>VLOOKUP(C563,'RAW DATA 2023'!E:BP,63,0)</f>
        <v>9</v>
      </c>
      <c r="E563" s="68" t="str">
        <f t="shared" si="41"/>
        <v>Roiphet19</v>
      </c>
      <c r="F563" s="63" t="str">
        <f>VLOOKUP(C563,'RAW DATA 2023'!E:BO,5,0)</f>
        <v>Greenhouse</v>
      </c>
      <c r="G563" s="63" t="s">
        <v>1955</v>
      </c>
      <c r="H563" s="63">
        <f>VLOOKUP(C563,'RAW DATA 2023'!E:BO,2,0)</f>
        <v>1.1299999999999999</v>
      </c>
      <c r="I563" s="106">
        <f>VLOOKUP(C563,'RAW DATA 2023'!E:BO,22,0)</f>
        <v>11.323309734513275</v>
      </c>
      <c r="J563" s="72">
        <f t="shared" si="42"/>
        <v>7.3233097345132752</v>
      </c>
      <c r="K563" s="109">
        <f t="shared" si="43"/>
        <v>12.205516224188793</v>
      </c>
      <c r="L563" s="63">
        <f t="shared" si="44"/>
        <v>6.25</v>
      </c>
      <c r="M563" s="123"/>
    </row>
    <row r="564" spans="1:13" hidden="1">
      <c r="A564" s="63" t="str">
        <f>'RAW DATA 2023'!B235</f>
        <v>Roiphet1</v>
      </c>
      <c r="B564" s="63" t="str">
        <f>'RAW DATA 2023'!D235</f>
        <v>D3-G06-0084</v>
      </c>
      <c r="C564" s="63" t="str">
        <f t="shared" si="40"/>
        <v>Roiphet1D3-G06-0084</v>
      </c>
      <c r="D564" s="68">
        <f>VLOOKUP(C564,'RAW DATA 2023'!E:BP,63,0)</f>
        <v>10</v>
      </c>
      <c r="E564" s="68" t="str">
        <f t="shared" si="41"/>
        <v>Roiphet110</v>
      </c>
      <c r="F564" s="63" t="str">
        <f>VLOOKUP(C564,'RAW DATA 2023'!E:BO,5,0)</f>
        <v>Greenhouse</v>
      </c>
      <c r="G564" s="63" t="s">
        <v>1955</v>
      </c>
      <c r="H564" s="63">
        <f>VLOOKUP(C564,'RAW DATA 2023'!E:BO,2,0)</f>
        <v>1.1299999999999999</v>
      </c>
      <c r="I564" s="106">
        <f>VLOOKUP(C564,'RAW DATA 2023'!E:BO,22,0)</f>
        <v>7.999973451327433</v>
      </c>
      <c r="J564" s="72">
        <f t="shared" si="42"/>
        <v>3.999973451327433</v>
      </c>
      <c r="K564" s="109">
        <f t="shared" si="43"/>
        <v>6.6666224188790553</v>
      </c>
      <c r="L564" s="63">
        <f t="shared" si="44"/>
        <v>6.25</v>
      </c>
      <c r="M564" s="123"/>
    </row>
    <row r="565" spans="1:13" hidden="1">
      <c r="A565" s="63" t="str">
        <f>'RAW DATA 2023'!B243</f>
        <v>Roiphet1</v>
      </c>
      <c r="B565" s="63" t="str">
        <f>'RAW DATA 2023'!D243</f>
        <v>C5-I09-0064</v>
      </c>
      <c r="C565" s="63" t="str">
        <f t="shared" si="40"/>
        <v>Roiphet1C5-I09-0064</v>
      </c>
      <c r="D565" s="68">
        <f>VLOOKUP(C565,'RAW DATA 2023'!E:BP,63,0)</f>
        <v>5</v>
      </c>
      <c r="E565" s="68" t="str">
        <f t="shared" si="41"/>
        <v>Roiphet15</v>
      </c>
      <c r="F565" s="63" t="str">
        <f>VLOOKUP(C565,'RAW DATA 2023'!E:BO,5,0)</f>
        <v>Greenhouse</v>
      </c>
      <c r="G565" s="63" t="s">
        <v>1955</v>
      </c>
      <c r="H565" s="63">
        <f>VLOOKUP(C565,'RAW DATA 2023'!E:BO,2,0)</f>
        <v>0.72</v>
      </c>
      <c r="I565" s="106">
        <f>VLOOKUP(C565,'RAW DATA 2023'!E:BO,22,0)</f>
        <v>6.7585555555555556</v>
      </c>
      <c r="J565" s="72">
        <f t="shared" si="42"/>
        <v>2.7585555555555556</v>
      </c>
      <c r="K565" s="109">
        <f t="shared" si="43"/>
        <v>4.5975925925925933</v>
      </c>
      <c r="L565" s="63">
        <f t="shared" si="44"/>
        <v>4.5975925925925933</v>
      </c>
      <c r="M565" s="123"/>
    </row>
    <row r="566" spans="1:13" hidden="1">
      <c r="A566" s="63" t="str">
        <f>'RAW DATA 2023'!B278</f>
        <v>Roiphet1</v>
      </c>
      <c r="B566" s="63" t="str">
        <f>'RAW DATA 2023'!D278</f>
        <v>B1-G02-0089</v>
      </c>
      <c r="C566" s="63" t="str">
        <f t="shared" si="40"/>
        <v>Roiphet1B1-G02-0089</v>
      </c>
      <c r="D566" s="68">
        <f>VLOOKUP(C566,'RAW DATA 2023'!E:BP,63,0)</f>
        <v>12</v>
      </c>
      <c r="E566" s="68" t="str">
        <f t="shared" si="41"/>
        <v>Roiphet112</v>
      </c>
      <c r="F566" s="63" t="str">
        <f>VLOOKUP(C566,'RAW DATA 2023'!E:BO,5,0)</f>
        <v>Greenhouse</v>
      </c>
      <c r="G566" s="63" t="s">
        <v>67</v>
      </c>
      <c r="H566" s="63">
        <f>VLOOKUP(C566,'RAW DATA 2023'!E:BO,2,0)</f>
        <v>1.1299999999999999</v>
      </c>
      <c r="I566" s="106">
        <f>VLOOKUP(C566,'RAW DATA 2023'!E:BO,22,0)</f>
        <v>9.514141592920355</v>
      </c>
      <c r="J566" s="72">
        <f t="shared" si="42"/>
        <v>5.514141592920355</v>
      </c>
      <c r="K566" s="109">
        <f t="shared" si="43"/>
        <v>9.1902359882005928</v>
      </c>
      <c r="L566" s="63">
        <f t="shared" si="44"/>
        <v>6.25</v>
      </c>
      <c r="M566" s="123"/>
    </row>
    <row r="567" spans="1:13" hidden="1">
      <c r="A567" s="63" t="str">
        <f>'RAW DATA 2023'!B279</f>
        <v>Roiphet1</v>
      </c>
      <c r="B567" s="63" t="str">
        <f>'RAW DATA 2023'!D279</f>
        <v>B4-I08-0089</v>
      </c>
      <c r="C567" s="63" t="str">
        <f t="shared" si="40"/>
        <v>Roiphet1B4-I08-0089</v>
      </c>
      <c r="D567" s="68">
        <f>VLOOKUP(C567,'RAW DATA 2023'!E:BP,63,0)</f>
        <v>7</v>
      </c>
      <c r="E567" s="68" t="str">
        <f t="shared" si="41"/>
        <v>Roiphet17</v>
      </c>
      <c r="F567" s="63" t="str">
        <f>VLOOKUP(C567,'RAW DATA 2023'!E:BO,5,0)</f>
        <v>Greenhouse</v>
      </c>
      <c r="G567" s="63" t="s">
        <v>67</v>
      </c>
      <c r="H567" s="63">
        <f>VLOOKUP(C567,'RAW DATA 2023'!E:BO,2,0)</f>
        <v>0.72</v>
      </c>
      <c r="I567" s="106">
        <f>VLOOKUP(C567,'RAW DATA 2023'!E:BO,22,0)</f>
        <v>4.8766805555555557</v>
      </c>
      <c r="J567" s="72">
        <f t="shared" si="42"/>
        <v>0.87668055555555569</v>
      </c>
      <c r="K567" s="109">
        <f t="shared" si="43"/>
        <v>1.4611342592592595</v>
      </c>
      <c r="L567" s="63">
        <f t="shared" si="44"/>
        <v>1.4611342592592595</v>
      </c>
      <c r="M567" s="123"/>
    </row>
    <row r="568" spans="1:13" hidden="1">
      <c r="A568" s="63" t="str">
        <f>'RAW DATA 2023'!B280</f>
        <v>Roiphet1</v>
      </c>
      <c r="B568" s="63" t="str">
        <f>'RAW DATA 2023'!D280</f>
        <v>B2-I04-0098</v>
      </c>
      <c r="C568" s="63" t="str">
        <f t="shared" si="40"/>
        <v>Roiphet1B2-I04-0098</v>
      </c>
      <c r="D568" s="68">
        <f>VLOOKUP(C568,'RAW DATA 2023'!E:BP,63,0)</f>
        <v>6</v>
      </c>
      <c r="E568" s="68" t="str">
        <f t="shared" si="41"/>
        <v>Roiphet16</v>
      </c>
      <c r="F568" s="63" t="str">
        <f>VLOOKUP(C568,'RAW DATA 2023'!E:BO,5,0)</f>
        <v>Greenhouse</v>
      </c>
      <c r="G568" s="63" t="s">
        <v>67</v>
      </c>
      <c r="H568" s="63">
        <f>VLOOKUP(C568,'RAW DATA 2023'!E:BO,2,0)</f>
        <v>0.72</v>
      </c>
      <c r="I568" s="106">
        <f>VLOOKUP(C568,'RAW DATA 2023'!E:BO,22,0)</f>
        <v>4.7564305555555562</v>
      </c>
      <c r="J568" s="72">
        <f t="shared" si="42"/>
        <v>0.75643055555555616</v>
      </c>
      <c r="K568" s="109">
        <f t="shared" si="43"/>
        <v>1.2607175925925937</v>
      </c>
      <c r="L568" s="63">
        <f t="shared" si="44"/>
        <v>1.2607175925925937</v>
      </c>
      <c r="M568" s="123"/>
    </row>
    <row r="569" spans="1:13" hidden="1">
      <c r="A569" s="63" t="str">
        <f>'RAW DATA 2023'!B286</f>
        <v>Roiphet1</v>
      </c>
      <c r="B569" s="63" t="str">
        <f>'RAW DATA 2023'!D286</f>
        <v>B6-I11-0083</v>
      </c>
      <c r="C569" s="63" t="str">
        <f t="shared" si="40"/>
        <v>Roiphet1B6-I11-0083</v>
      </c>
      <c r="D569" s="68">
        <f>VLOOKUP(C569,'RAW DATA 2023'!E:BP,63,0)</f>
        <v>6</v>
      </c>
      <c r="E569" s="68" t="str">
        <f t="shared" si="41"/>
        <v>Roiphet16</v>
      </c>
      <c r="F569" s="63" t="str">
        <f>VLOOKUP(C569,'RAW DATA 2023'!E:BO,5,0)</f>
        <v>Greenhouse</v>
      </c>
      <c r="G569" s="63" t="s">
        <v>67</v>
      </c>
      <c r="H569" s="63">
        <f>VLOOKUP(C569,'RAW DATA 2023'!E:BO,2,0)</f>
        <v>0.72</v>
      </c>
      <c r="I569" s="106">
        <f>VLOOKUP(C569,'RAW DATA 2023'!E:BO,22,0)</f>
        <v>6.1293055555555558</v>
      </c>
      <c r="J569" s="72">
        <f t="shared" si="42"/>
        <v>2.1293055555555558</v>
      </c>
      <c r="K569" s="109">
        <f t="shared" si="43"/>
        <v>3.5488425925925933</v>
      </c>
      <c r="L569" s="63">
        <f t="shared" si="44"/>
        <v>3.5488425925925933</v>
      </c>
      <c r="M569" s="123"/>
    </row>
    <row r="570" spans="1:13" hidden="1">
      <c r="A570" s="63" t="str">
        <f>'RAW DATA 2023'!B289</f>
        <v>Roiphet1</v>
      </c>
      <c r="B570" s="63" t="str">
        <f>'RAW DATA 2023'!D289</f>
        <v>B2-I03-0095</v>
      </c>
      <c r="C570" s="63" t="str">
        <f t="shared" si="40"/>
        <v>Roiphet1B2-I03-0095</v>
      </c>
      <c r="D570" s="68">
        <f>VLOOKUP(C570,'RAW DATA 2023'!E:BP,63,0)</f>
        <v>6</v>
      </c>
      <c r="E570" s="68" t="str">
        <f t="shared" si="41"/>
        <v>Roiphet16</v>
      </c>
      <c r="F570" s="63" t="str">
        <f>VLOOKUP(C570,'RAW DATA 2023'!E:BO,5,0)</f>
        <v>Greenhouse</v>
      </c>
      <c r="G570" s="63" t="s">
        <v>67</v>
      </c>
      <c r="H570" s="63">
        <f>VLOOKUP(C570,'RAW DATA 2023'!E:BO,2,0)</f>
        <v>0.72</v>
      </c>
      <c r="I570" s="106">
        <f>VLOOKUP(C570,'RAW DATA 2023'!E:BO,22,0)</f>
        <v>4.5602777777777774</v>
      </c>
      <c r="J570" s="72">
        <f t="shared" si="42"/>
        <v>0.56027777777777743</v>
      </c>
      <c r="K570" s="109">
        <f t="shared" si="43"/>
        <v>0.93379629629629579</v>
      </c>
      <c r="L570" s="63">
        <f t="shared" si="44"/>
        <v>0.93379629629629579</v>
      </c>
      <c r="M570" s="123"/>
    </row>
    <row r="571" spans="1:13" hidden="1">
      <c r="A571" s="63" t="str">
        <f>'RAW DATA 2023'!B294</f>
        <v>Roiphet1</v>
      </c>
      <c r="B571" s="63" t="str">
        <f>'RAW DATA 2023'!D294</f>
        <v>B3-I05-0092</v>
      </c>
      <c r="C571" s="63" t="str">
        <f t="shared" si="40"/>
        <v>Roiphet1B3-I05-0092</v>
      </c>
      <c r="D571" s="68">
        <f>VLOOKUP(C571,'RAW DATA 2023'!E:BP,63,0)</f>
        <v>5</v>
      </c>
      <c r="E571" s="68" t="str">
        <f t="shared" si="41"/>
        <v>Roiphet15</v>
      </c>
      <c r="F571" s="63" t="str">
        <f>VLOOKUP(C571,'RAW DATA 2023'!E:BO,5,0)</f>
        <v>Greenhouse</v>
      </c>
      <c r="G571" s="63" t="s">
        <v>67</v>
      </c>
      <c r="H571" s="63">
        <f>VLOOKUP(C571,'RAW DATA 2023'!E:BO,2,0)</f>
        <v>0.72</v>
      </c>
      <c r="I571" s="106">
        <f>VLOOKUP(C571,'RAW DATA 2023'!E:BO,22,0)</f>
        <v>6.2116111111111119</v>
      </c>
      <c r="J571" s="72">
        <f t="shared" si="42"/>
        <v>2.2116111111111119</v>
      </c>
      <c r="K571" s="109">
        <f t="shared" si="43"/>
        <v>3.6860185185185199</v>
      </c>
      <c r="L571" s="63">
        <f t="shared" si="44"/>
        <v>3.6860185185185199</v>
      </c>
      <c r="M571" s="123"/>
    </row>
    <row r="572" spans="1:13" hidden="1">
      <c r="A572" s="63" t="str">
        <f>'RAW DATA 2023'!B321</f>
        <v>Choknavy</v>
      </c>
      <c r="B572" s="63" t="str">
        <f>'RAW DATA 2023'!D321</f>
        <v>A1-001-0040</v>
      </c>
      <c r="C572" s="63" t="str">
        <f t="shared" si="40"/>
        <v>ChoknavyA1-001-0040</v>
      </c>
      <c r="D572" s="68">
        <f>VLOOKUP(C572,'RAW DATA 2023'!E:BP,63,0)</f>
        <v>4</v>
      </c>
      <c r="E572" s="68" t="str">
        <f t="shared" si="41"/>
        <v>Choknavy4</v>
      </c>
      <c r="F572" s="63" t="str">
        <f>VLOOKUP(C572,'RAW DATA 2023'!E:BO,5,0)</f>
        <v>Outdoor</v>
      </c>
      <c r="G572" s="63" t="s">
        <v>1954</v>
      </c>
      <c r="H572" s="63">
        <f>VLOOKUP(C572,'RAW DATA 2023'!E:BO,2,0)</f>
        <v>5</v>
      </c>
      <c r="I572" s="106">
        <f>VLOOKUP(C572,'RAW DATA 2023'!E:BO,22,0)</f>
        <v>4.2900599999999995</v>
      </c>
      <c r="J572" s="72">
        <f t="shared" si="42"/>
        <v>2.2900599999999995</v>
      </c>
      <c r="K572" s="109">
        <f t="shared" si="43"/>
        <v>3.8167666666666662</v>
      </c>
      <c r="L572" s="63">
        <f t="shared" si="44"/>
        <v>3.8167666666666662</v>
      </c>
      <c r="M572" s="123"/>
    </row>
    <row r="573" spans="1:13">
      <c r="A573" s="63" t="str">
        <f>'RAW DATA 2023'!B343</f>
        <v>Maeklong1</v>
      </c>
      <c r="B573" s="63" t="str">
        <f>'RAW DATA 2023'!D343</f>
        <v>A1-005-0044</v>
      </c>
      <c r="C573" s="63" t="str">
        <f t="shared" si="40"/>
        <v>Maeklong1A1-005-0044</v>
      </c>
      <c r="D573" s="68">
        <f>VLOOKUP(C573,'RAW DATA 2023'!E:BP,63,0)</f>
        <v>9</v>
      </c>
      <c r="E573" s="68" t="str">
        <f t="shared" si="41"/>
        <v>Maeklong19</v>
      </c>
      <c r="F573" s="63" t="str">
        <f>VLOOKUP(C573,'RAW DATA 2023'!E:BO,5,0)</f>
        <v>Outdoor</v>
      </c>
      <c r="G573" s="63" t="s">
        <v>1951</v>
      </c>
      <c r="H573" s="63">
        <f>VLOOKUP(C573,'RAW DATA 2023'!E:BO,2,0)</f>
        <v>3.42</v>
      </c>
      <c r="I573" s="106">
        <f>VLOOKUP(C573,'RAW DATA 2023'!E:BO,22,0)</f>
        <v>13.510991228070175</v>
      </c>
      <c r="J573" s="72">
        <f t="shared" si="42"/>
        <v>10.510991228070175</v>
      </c>
      <c r="K573" s="109">
        <f t="shared" si="43"/>
        <v>17.518318713450292</v>
      </c>
      <c r="L573" s="63">
        <f t="shared" si="44"/>
        <v>6.25</v>
      </c>
      <c r="M573" s="123"/>
    </row>
    <row r="574" spans="1:13">
      <c r="A574" s="63" t="str">
        <f>'RAW DATA 2023'!B353</f>
        <v>Maeklong1</v>
      </c>
      <c r="B574" s="63" t="str">
        <f>'RAW DATA 2023'!D353</f>
        <v>A1-009-0044</v>
      </c>
      <c r="C574" s="63" t="str">
        <f t="shared" si="40"/>
        <v>Maeklong1A1-009-0044</v>
      </c>
      <c r="D574" s="68">
        <f>VLOOKUP(C574,'RAW DATA 2023'!E:BP,63,0)</f>
        <v>12</v>
      </c>
      <c r="E574" s="68" t="str">
        <f t="shared" si="41"/>
        <v>Maeklong112</v>
      </c>
      <c r="F574" s="63" t="str">
        <f>VLOOKUP(C574,'RAW DATA 2023'!E:BO,5,0)</f>
        <v>Outdoor</v>
      </c>
      <c r="G574" s="63" t="s">
        <v>1951</v>
      </c>
      <c r="H574" s="63">
        <f>VLOOKUP(C574,'RAW DATA 2023'!E:BO,2,0)</f>
        <v>3.65</v>
      </c>
      <c r="I574" s="106">
        <f>VLOOKUP(C574,'RAW DATA 2023'!E:BO,22,0)</f>
        <v>0.59357260273972601</v>
      </c>
      <c r="J574" s="72">
        <f t="shared" si="42"/>
        <v>-2.4064273972602739</v>
      </c>
      <c r="K574" s="109">
        <f t="shared" si="43"/>
        <v>-4.0107123287671236</v>
      </c>
      <c r="L574" s="63">
        <f t="shared" si="44"/>
        <v>0</v>
      </c>
      <c r="M574" s="123"/>
    </row>
    <row r="575" spans="1:13">
      <c r="A575" s="63" t="str">
        <f>'RAW DATA 2023'!B356</f>
        <v>Maeklong1</v>
      </c>
      <c r="B575" s="63" t="str">
        <f>'RAW DATA 2023'!D356</f>
        <v>A1-005-0042</v>
      </c>
      <c r="C575" s="63" t="str">
        <f t="shared" si="40"/>
        <v>Maeklong1A1-005-0042</v>
      </c>
      <c r="D575" s="68">
        <f>VLOOKUP(C575,'RAW DATA 2023'!E:BP,63,0)</f>
        <v>1</v>
      </c>
      <c r="E575" s="68" t="str">
        <f t="shared" si="41"/>
        <v>Maeklong11</v>
      </c>
      <c r="F575" s="63" t="str">
        <f>VLOOKUP(C575,'RAW DATA 2023'!E:BO,5,0)</f>
        <v>Outdoor</v>
      </c>
      <c r="G575" s="63" t="s">
        <v>1951</v>
      </c>
      <c r="H575" s="63">
        <f>VLOOKUP(C575,'RAW DATA 2023'!E:BO,2,0)</f>
        <v>3.42</v>
      </c>
      <c r="I575" s="106">
        <f>VLOOKUP(C575,'RAW DATA 2023'!E:BO,22,0)</f>
        <v>4.3738713450292392</v>
      </c>
      <c r="J575" s="72">
        <f t="shared" si="42"/>
        <v>1.3738713450292392</v>
      </c>
      <c r="K575" s="109">
        <f t="shared" si="43"/>
        <v>2.2897855750487324</v>
      </c>
      <c r="L575" s="63">
        <f t="shared" si="44"/>
        <v>2.2897855750487324</v>
      </c>
      <c r="M575" s="123"/>
    </row>
    <row r="576" spans="1:13">
      <c r="A576" s="63" t="str">
        <f>'RAW DATA 2023'!B359</f>
        <v>Maeklong1</v>
      </c>
      <c r="B576" s="63" t="str">
        <f>'RAW DATA 2023'!D359</f>
        <v>A1-005-0043</v>
      </c>
      <c r="C576" s="63" t="str">
        <f t="shared" si="40"/>
        <v>Maeklong1A1-005-0043</v>
      </c>
      <c r="D576" s="68">
        <f>VLOOKUP(C576,'RAW DATA 2023'!E:BP,63,0)</f>
        <v>3</v>
      </c>
      <c r="E576" s="68" t="str">
        <f t="shared" si="41"/>
        <v>Maeklong13</v>
      </c>
      <c r="F576" s="63" t="str">
        <f>VLOOKUP(C576,'RAW DATA 2023'!E:BO,5,0)</f>
        <v>Outdoor</v>
      </c>
      <c r="G576" s="63" t="s">
        <v>1951</v>
      </c>
      <c r="H576" s="63">
        <f>VLOOKUP(C576,'RAW DATA 2023'!E:BO,2,0)</f>
        <v>3.42</v>
      </c>
      <c r="I576" s="106">
        <f>VLOOKUP(C576,'RAW DATA 2023'!E:BO,22,0)</f>
        <v>0</v>
      </c>
      <c r="J576" s="72">
        <f t="shared" si="42"/>
        <v>0</v>
      </c>
      <c r="K576" s="109">
        <f t="shared" si="43"/>
        <v>0</v>
      </c>
      <c r="L576" s="63">
        <f t="shared" si="44"/>
        <v>0</v>
      </c>
      <c r="M576" s="123"/>
    </row>
    <row r="577" spans="1:13" hidden="1">
      <c r="A577" s="63" t="str">
        <f>'RAW DATA 2023'!B373</f>
        <v>PB5</v>
      </c>
      <c r="B577" s="63" t="str">
        <f>'RAW DATA 2023'!D373</f>
        <v>B1-023-0048</v>
      </c>
      <c r="C577" s="63" t="str">
        <f t="shared" si="40"/>
        <v>PB5B1-023-0048</v>
      </c>
      <c r="D577" s="68">
        <f>VLOOKUP(C577,'RAW DATA 2023'!E:BP,63,0)</f>
        <v>4</v>
      </c>
      <c r="E577" s="68" t="str">
        <f t="shared" si="41"/>
        <v>PB54</v>
      </c>
      <c r="F577" s="63" t="str">
        <f>VLOOKUP(C577,'RAW DATA 2023'!E:BO,5,0)</f>
        <v>Outdoor</v>
      </c>
      <c r="G577" s="63" t="s">
        <v>67</v>
      </c>
      <c r="H577" s="63">
        <f>VLOOKUP(C577,'RAW DATA 2023'!E:BO,2,0)</f>
        <v>5.9</v>
      </c>
      <c r="I577" s="106">
        <f>VLOOKUP(C577,'RAW DATA 2023'!E:BO,22,0)</f>
        <v>3.1966491525423724</v>
      </c>
      <c r="J577" s="72">
        <f t="shared" si="42"/>
        <v>1.1966491525423724</v>
      </c>
      <c r="K577" s="109">
        <f t="shared" si="43"/>
        <v>1.9944152542372873</v>
      </c>
      <c r="L577" s="63">
        <f t="shared" si="44"/>
        <v>1.9944152542372873</v>
      </c>
      <c r="M577" s="123"/>
    </row>
    <row r="578" spans="1:13" hidden="1">
      <c r="A578" s="63" t="str">
        <f>'RAW DATA 2023'!B397</f>
        <v>Lamlaung</v>
      </c>
      <c r="B578" s="63" t="str">
        <f>'RAW DATA 2023'!D397</f>
        <v>B1-111-0007</v>
      </c>
      <c r="C578" s="63" t="str">
        <f t="shared" si="40"/>
        <v>LamlaungB1-111-0007</v>
      </c>
      <c r="D578" s="68">
        <f>VLOOKUP(C578,'RAW DATA 2023'!E:BP,63,0)</f>
        <v>4</v>
      </c>
      <c r="E578" s="68" t="str">
        <f t="shared" si="41"/>
        <v>Lamlaung4</v>
      </c>
      <c r="F578" s="63" t="str">
        <f>VLOOKUP(C578,'RAW DATA 2023'!E:BO,5,0)</f>
        <v>Outdoor</v>
      </c>
      <c r="G578" s="63" t="s">
        <v>1955</v>
      </c>
      <c r="H578" s="63">
        <f>VLOOKUP(C578,'RAW DATA 2023'!E:BO,2,0)</f>
        <v>5</v>
      </c>
      <c r="I578" s="106">
        <f>VLOOKUP(C578,'RAW DATA 2023'!E:BO,22,0)</f>
        <v>6.3795960000000003</v>
      </c>
      <c r="J578" s="72">
        <f t="shared" si="42"/>
        <v>4.3795960000000003</v>
      </c>
      <c r="K578" s="109">
        <f t="shared" si="43"/>
        <v>7.2993266666666674</v>
      </c>
      <c r="L578" s="63">
        <f t="shared" si="44"/>
        <v>6.25</v>
      </c>
      <c r="M578" s="123"/>
    </row>
    <row r="579" spans="1:13" hidden="1">
      <c r="A579" s="63" t="str">
        <f>'RAW DATA 2023'!B403</f>
        <v>Lamlaung</v>
      </c>
      <c r="B579" s="63" t="str">
        <f>'RAW DATA 2023'!D403</f>
        <v>A1-001-0019</v>
      </c>
      <c r="C579" s="63" t="str">
        <f t="shared" si="40"/>
        <v>LamlaungA1-001-0019</v>
      </c>
      <c r="D579" s="68">
        <f>VLOOKUP(C579,'RAW DATA 2023'!E:BP,63,0)</f>
        <v>3</v>
      </c>
      <c r="E579" s="68" t="str">
        <f t="shared" si="41"/>
        <v>Lamlaung3</v>
      </c>
      <c r="F579" s="63" t="str">
        <f>VLOOKUP(C579,'RAW DATA 2023'!E:BO,5,0)</f>
        <v>Outdoor</v>
      </c>
      <c r="G579" s="63" t="s">
        <v>1955</v>
      </c>
      <c r="H579" s="63">
        <f>VLOOKUP(C579,'RAW DATA 2023'!E:BO,2,0)</f>
        <v>5</v>
      </c>
      <c r="I579" s="106">
        <f>VLOOKUP(C579,'RAW DATA 2023'!E:BO,22,0)</f>
        <v>2.7170720000000004</v>
      </c>
      <c r="J579" s="72">
        <f t="shared" si="42"/>
        <v>0.71707200000000038</v>
      </c>
      <c r="K579" s="109">
        <f t="shared" si="43"/>
        <v>1.1951200000000006</v>
      </c>
      <c r="L579" s="63">
        <f t="shared" si="44"/>
        <v>1.1951200000000006</v>
      </c>
      <c r="M579" s="123"/>
    </row>
    <row r="580" spans="1:13">
      <c r="A580" s="63" t="str">
        <f>'RAW DATA 2023'!B431</f>
        <v>CS1</v>
      </c>
      <c r="B580" s="63" t="str">
        <f>'RAW DATA 2023'!D431</f>
        <v>C1-080-0018</v>
      </c>
      <c r="C580" s="63" t="str">
        <f t="shared" si="40"/>
        <v>CS1C1-080-0018</v>
      </c>
      <c r="D580" s="68">
        <f>VLOOKUP(C580,'RAW DATA 2023'!E:BP,63,0)</f>
        <v>5</v>
      </c>
      <c r="E580" s="68" t="str">
        <f t="shared" si="41"/>
        <v>CS15</v>
      </c>
      <c r="F580" s="63" t="str">
        <f>VLOOKUP(C580,'RAW DATA 2023'!E:BO,5,0)</f>
        <v>Outdoor</v>
      </c>
      <c r="G580" s="63" t="s">
        <v>1951</v>
      </c>
      <c r="H580" s="63">
        <f>VLOOKUP(C580,'RAW DATA 2023'!E:BO,2,0)</f>
        <v>2.25</v>
      </c>
      <c r="I580" s="106">
        <f>VLOOKUP(C580,'RAW DATA 2023'!E:BO,22,0)</f>
        <v>3.6627777777777784</v>
      </c>
      <c r="J580" s="72">
        <f t="shared" si="42"/>
        <v>0.66277777777777835</v>
      </c>
      <c r="K580" s="109">
        <f t="shared" si="43"/>
        <v>1.1046296296296307</v>
      </c>
      <c r="L580" s="63">
        <f t="shared" si="44"/>
        <v>1.1046296296296307</v>
      </c>
      <c r="M580" s="123"/>
    </row>
    <row r="581" spans="1:13">
      <c r="A581" s="63" t="str">
        <f>'RAW DATA 2023'!B441</f>
        <v>CS1</v>
      </c>
      <c r="B581" s="63" t="str">
        <f>'RAW DATA 2023'!D441</f>
        <v>C1-084-0020</v>
      </c>
      <c r="C581" s="63" t="str">
        <f t="shared" si="40"/>
        <v>CS1C1-084-0020</v>
      </c>
      <c r="D581" s="68">
        <f>VLOOKUP(C581,'RAW DATA 2023'!E:BP,63,0)</f>
        <v>8</v>
      </c>
      <c r="E581" s="68" t="str">
        <f t="shared" si="41"/>
        <v>CS18</v>
      </c>
      <c r="F581" s="63" t="str">
        <f>VLOOKUP(C581,'RAW DATA 2023'!E:BO,5,0)</f>
        <v>Outdoor</v>
      </c>
      <c r="G581" s="63" t="s">
        <v>1951</v>
      </c>
      <c r="H581" s="63">
        <f>VLOOKUP(C581,'RAW DATA 2023'!E:BO,2,0)</f>
        <v>2.25</v>
      </c>
      <c r="I581" s="106">
        <f>VLOOKUP(C581,'RAW DATA 2023'!E:BO,22,0)</f>
        <v>2.6116355555555559</v>
      </c>
      <c r="J581" s="72">
        <f t="shared" si="42"/>
        <v>-0.38836444444444407</v>
      </c>
      <c r="K581" s="109">
        <f t="shared" si="43"/>
        <v>-0.64727407407407345</v>
      </c>
      <c r="L581" s="63">
        <f t="shared" si="44"/>
        <v>0</v>
      </c>
      <c r="M581" s="123"/>
    </row>
    <row r="582" spans="1:13">
      <c r="A582" s="63" t="str">
        <f>'RAW DATA 2023'!B442</f>
        <v>Roiphet3</v>
      </c>
      <c r="B582" s="63" t="str">
        <f>'RAW DATA 2023'!D442</f>
        <v>A1-008-0023</v>
      </c>
      <c r="C582" s="63" t="str">
        <f t="shared" si="40"/>
        <v>Roiphet3A1-008-0023</v>
      </c>
      <c r="D582" s="68">
        <f>VLOOKUP(C582,'RAW DATA 2023'!E:BP,63,0)</f>
        <v>9</v>
      </c>
      <c r="E582" s="68" t="str">
        <f t="shared" si="41"/>
        <v>Roiphet39</v>
      </c>
      <c r="F582" s="63" t="str">
        <f>VLOOKUP(C582,'RAW DATA 2023'!E:BO,5,0)</f>
        <v>Outdoor</v>
      </c>
      <c r="G582" s="63" t="s">
        <v>1951</v>
      </c>
      <c r="H582" s="63">
        <f>VLOOKUP(C582,'RAW DATA 2023'!E:BO,2,0)</f>
        <v>4.4000000000000004</v>
      </c>
      <c r="I582" s="106">
        <f>VLOOKUP(C582,'RAW DATA 2023'!E:BO,22,0)</f>
        <v>4.6518022727272719</v>
      </c>
      <c r="J582" s="72">
        <f t="shared" si="42"/>
        <v>2.6518022727272719</v>
      </c>
      <c r="K582" s="109">
        <f t="shared" si="43"/>
        <v>4.4196704545454537</v>
      </c>
      <c r="L582" s="63">
        <f t="shared" si="44"/>
        <v>4.4196704545454537</v>
      </c>
      <c r="M582" s="123"/>
    </row>
    <row r="583" spans="1:13" hidden="1">
      <c r="A583" s="63" t="str">
        <f>'RAW DATA 2023'!B452</f>
        <v>Roiphet3</v>
      </c>
      <c r="B583" s="63" t="str">
        <f>'RAW DATA 2023'!D452</f>
        <v>A1-023-0016</v>
      </c>
      <c r="C583" s="63" t="str">
        <f t="shared" si="40"/>
        <v>Roiphet3A1-023-0016</v>
      </c>
      <c r="D583" s="68">
        <f>VLOOKUP(C583,'RAW DATA 2023'!E:BP,63,0)</f>
        <v>4</v>
      </c>
      <c r="E583" s="68" t="str">
        <f t="shared" si="41"/>
        <v>Roiphet34</v>
      </c>
      <c r="F583" s="63" t="str">
        <f>VLOOKUP(C583,'RAW DATA 2023'!E:BO,5,0)</f>
        <v>Outdoor</v>
      </c>
      <c r="G583" s="63" t="s">
        <v>1955</v>
      </c>
      <c r="H583" s="63">
        <f>VLOOKUP(C583,'RAW DATA 2023'!E:BO,2,0)</f>
        <v>4.5</v>
      </c>
      <c r="I583" s="106">
        <f>VLOOKUP(C583,'RAW DATA 2023'!E:BO,22,0)</f>
        <v>3.7954377777777779</v>
      </c>
      <c r="J583" s="72">
        <f t="shared" si="42"/>
        <v>1.7954377777777779</v>
      </c>
      <c r="K583" s="109">
        <f t="shared" si="43"/>
        <v>2.9923962962962967</v>
      </c>
      <c r="L583" s="63">
        <f t="shared" si="44"/>
        <v>2.9923962962962967</v>
      </c>
      <c r="M583" s="123"/>
    </row>
    <row r="584" spans="1:13" hidden="1">
      <c r="A584" s="63" t="str">
        <f>'RAW DATA 2023'!B519</f>
        <v>Bangsakao</v>
      </c>
      <c r="B584" s="63" t="str">
        <f>'RAW DATA 2023'!D519</f>
        <v>CG-002-0028</v>
      </c>
      <c r="C584" s="63" t="str">
        <f t="shared" si="40"/>
        <v>BangsakaoCG-002-0028</v>
      </c>
      <c r="D584" s="68">
        <f>VLOOKUP(C584,'RAW DATA 2023'!E:BP,63,0)</f>
        <v>6</v>
      </c>
      <c r="E584" s="68" t="str">
        <f t="shared" si="41"/>
        <v>Bangsakao6</v>
      </c>
      <c r="F584" s="63" t="str">
        <f>VLOOKUP(C584,'RAW DATA 2023'!E:BO,5,0)</f>
        <v>Greenhouse</v>
      </c>
      <c r="G584" s="63" t="s">
        <v>67</v>
      </c>
      <c r="H584" s="63">
        <f>VLOOKUP(C584,'RAW DATA 2023'!E:BO,2,0)</f>
        <v>3.45</v>
      </c>
      <c r="I584" s="106">
        <f>VLOOKUP(C584,'RAW DATA 2023'!E:BO,22,0)</f>
        <v>8.7178434782608694</v>
      </c>
      <c r="J584" s="72">
        <f t="shared" si="42"/>
        <v>4.7178434782608694</v>
      </c>
      <c r="K584" s="109">
        <f t="shared" si="43"/>
        <v>7.8630724637681162</v>
      </c>
      <c r="L584" s="63">
        <f t="shared" si="44"/>
        <v>6.25</v>
      </c>
      <c r="M584" s="123"/>
    </row>
    <row r="585" spans="1:13" hidden="1">
      <c r="A585" s="63" t="str">
        <f>'RAW DATA 2023'!B521</f>
        <v>Bangsakao</v>
      </c>
      <c r="B585" s="63" t="str">
        <f>'RAW DATA 2023'!D521</f>
        <v>CG-006-0028</v>
      </c>
      <c r="C585" s="63" t="str">
        <f t="shared" si="40"/>
        <v>BangsakaoCG-006-0028</v>
      </c>
      <c r="D585" s="68">
        <f>VLOOKUP(C585,'RAW DATA 2023'!E:BP,63,0)</f>
        <v>2</v>
      </c>
      <c r="E585" s="68" t="str">
        <f t="shared" si="41"/>
        <v>Bangsakao2</v>
      </c>
      <c r="F585" s="63" t="str">
        <f>VLOOKUP(C585,'RAW DATA 2023'!E:BO,5,0)</f>
        <v>Greenhouse</v>
      </c>
      <c r="G585" s="63" t="s">
        <v>67</v>
      </c>
      <c r="H585" s="63">
        <f>VLOOKUP(C585,'RAW DATA 2023'!E:BO,2,0)</f>
        <v>5.36</v>
      </c>
      <c r="I585" s="106">
        <f>VLOOKUP(C585,'RAW DATA 2023'!E:BO,22,0)</f>
        <v>7.8630466417910441</v>
      </c>
      <c r="J585" s="72">
        <f t="shared" si="42"/>
        <v>3.8630466417910441</v>
      </c>
      <c r="K585" s="109">
        <f t="shared" si="43"/>
        <v>6.4384110696517407</v>
      </c>
      <c r="L585" s="63">
        <f t="shared" si="44"/>
        <v>6.25</v>
      </c>
      <c r="M585" s="123"/>
    </row>
    <row r="586" spans="1:13" hidden="1">
      <c r="A586" s="63" t="str">
        <f>'RAW DATA 2023'!B522</f>
        <v>Bangsakao</v>
      </c>
      <c r="B586" s="63" t="str">
        <f>'RAW DATA 2023'!D522</f>
        <v>CG-003-0026</v>
      </c>
      <c r="C586" s="63" t="str">
        <f t="shared" ref="C586:C649" si="45">A586&amp;B586</f>
        <v>BangsakaoCG-003-0026</v>
      </c>
      <c r="D586" s="68">
        <f>VLOOKUP(C586,'RAW DATA 2023'!E:BP,63,0)</f>
        <v>4</v>
      </c>
      <c r="E586" s="68" t="str">
        <f t="shared" ref="E586:E649" si="46">A586&amp;D586</f>
        <v>Bangsakao4</v>
      </c>
      <c r="F586" s="63" t="str">
        <f>VLOOKUP(C586,'RAW DATA 2023'!E:BO,5,0)</f>
        <v>Greenhouse</v>
      </c>
      <c r="G586" s="63" t="s">
        <v>67</v>
      </c>
      <c r="H586" s="63">
        <f>VLOOKUP(C586,'RAW DATA 2023'!E:BO,2,0)</f>
        <v>4.5599999999999996</v>
      </c>
      <c r="I586" s="106">
        <f>VLOOKUP(C586,'RAW DATA 2023'!E:BO,22,0)</f>
        <v>5.8869627192982454</v>
      </c>
      <c r="J586" s="72">
        <f t="shared" ref="J586:J649" si="47">IF(I586=0,0,IF(F586=$B$2,I586-$B$6,IF(F586=$C$1,I586-$C$6,IF(AND(F586=$C$2,H586&lt;=$C$3),I586-$C$6,IF(AND(F586=$C$2,H586&lt;=$E$3),I586-$D$6,I586-$E$6)))))</f>
        <v>1.8869627192982454</v>
      </c>
      <c r="K586" s="109">
        <f t="shared" ref="K586:K649" si="48">IF(F586=$B$2,J586*$B$7,IF(AND(F586=$C$2,H586&lt;=$C$3),J586*$C$7,IF(AND(F586=$C$2,H586&lt;=$E$3),J586*$D$7,J586*$E$7)))</f>
        <v>3.1449378654970759</v>
      </c>
      <c r="L586" s="63">
        <f t="shared" ref="L586:L649" si="49">IF(K586&gt;=6.25,6.25,IF(K586&lt;=0,0,K586))</f>
        <v>3.1449378654970759</v>
      </c>
      <c r="M586" s="123"/>
    </row>
    <row r="587" spans="1:13" hidden="1">
      <c r="A587" s="63" t="str">
        <f>'RAW DATA 2023'!B534</f>
        <v>Bangsakao</v>
      </c>
      <c r="B587" s="63" t="str">
        <f>'RAW DATA 2023'!D534</f>
        <v>CG-006-0029</v>
      </c>
      <c r="C587" s="63" t="str">
        <f t="shared" si="45"/>
        <v>BangsakaoCG-006-0029</v>
      </c>
      <c r="D587" s="68">
        <f>VLOOKUP(C587,'RAW DATA 2023'!E:BP,63,0)</f>
        <v>5</v>
      </c>
      <c r="E587" s="68" t="str">
        <f t="shared" si="46"/>
        <v>Bangsakao5</v>
      </c>
      <c r="F587" s="63" t="str">
        <f>VLOOKUP(C587,'RAW DATA 2023'!E:BO,5,0)</f>
        <v>Greenhouse</v>
      </c>
      <c r="G587" s="63" t="s">
        <v>67</v>
      </c>
      <c r="H587" s="63">
        <f>VLOOKUP(C587,'RAW DATA 2023'!E:BO,2,0)</f>
        <v>5.36</v>
      </c>
      <c r="I587" s="106">
        <f>VLOOKUP(C587,'RAW DATA 2023'!E:BO,22,0)</f>
        <v>4.3461175373134324</v>
      </c>
      <c r="J587" s="72">
        <f t="shared" si="47"/>
        <v>0.34611753731343242</v>
      </c>
      <c r="K587" s="109">
        <f t="shared" si="48"/>
        <v>0.57686256218905407</v>
      </c>
      <c r="L587" s="63">
        <f t="shared" si="49"/>
        <v>0.57686256218905407</v>
      </c>
      <c r="M587" s="123"/>
    </row>
    <row r="588" spans="1:13" hidden="1">
      <c r="A588" s="63" t="str">
        <f>'RAW DATA 2023'!B535</f>
        <v>Bangsakao</v>
      </c>
      <c r="B588" s="63" t="str">
        <f>'RAW DATA 2023'!D535</f>
        <v>CG-009-0026</v>
      </c>
      <c r="C588" s="63" t="str">
        <f t="shared" si="45"/>
        <v>BangsakaoCG-009-0026</v>
      </c>
      <c r="D588" s="68">
        <f>VLOOKUP(C588,'RAW DATA 2023'!E:BP,63,0)</f>
        <v>12</v>
      </c>
      <c r="E588" s="68" t="str">
        <f t="shared" si="46"/>
        <v>Bangsakao12</v>
      </c>
      <c r="F588" s="63" t="str">
        <f>VLOOKUP(C588,'RAW DATA 2023'!E:BO,5,0)</f>
        <v>Greenhouse</v>
      </c>
      <c r="G588" s="63" t="s">
        <v>67</v>
      </c>
      <c r="H588" s="63">
        <f>VLOOKUP(C588,'RAW DATA 2023'!E:BO,2,0)</f>
        <v>3.8</v>
      </c>
      <c r="I588" s="106">
        <f>VLOOKUP(C588,'RAW DATA 2023'!E:BO,22,0)</f>
        <v>5.2250842105263153</v>
      </c>
      <c r="J588" s="72">
        <f t="shared" si="47"/>
        <v>1.2250842105263153</v>
      </c>
      <c r="K588" s="109">
        <f t="shared" si="48"/>
        <v>2.0418070175438592</v>
      </c>
      <c r="L588" s="63">
        <f t="shared" si="49"/>
        <v>2.0418070175438592</v>
      </c>
      <c r="M588" s="123"/>
    </row>
    <row r="589" spans="1:13" hidden="1">
      <c r="A589" s="63" t="str">
        <f>'RAW DATA 2023'!B536</f>
        <v>Bangsakao</v>
      </c>
      <c r="B589" s="63" t="str">
        <f>'RAW DATA 2023'!D536</f>
        <v>CG-004-0026</v>
      </c>
      <c r="C589" s="63" t="str">
        <f t="shared" si="45"/>
        <v>BangsakaoCG-004-0026</v>
      </c>
      <c r="D589" s="68">
        <f>VLOOKUP(C589,'RAW DATA 2023'!E:BP,63,0)</f>
        <v>7</v>
      </c>
      <c r="E589" s="68" t="str">
        <f t="shared" si="46"/>
        <v>Bangsakao7</v>
      </c>
      <c r="F589" s="63" t="str">
        <f>VLOOKUP(C589,'RAW DATA 2023'!E:BO,5,0)</f>
        <v>Greenhouse</v>
      </c>
      <c r="G589" s="63" t="s">
        <v>67</v>
      </c>
      <c r="H589" s="63">
        <f>VLOOKUP(C589,'RAW DATA 2023'!E:BO,2,0)</f>
        <v>4.5999999999999996</v>
      </c>
      <c r="I589" s="106">
        <f>VLOOKUP(C589,'RAW DATA 2023'!E:BO,22,0)</f>
        <v>2.4845652173913044</v>
      </c>
      <c r="J589" s="72">
        <f t="shared" si="47"/>
        <v>-1.5154347826086956</v>
      </c>
      <c r="K589" s="109">
        <f t="shared" si="48"/>
        <v>-2.5257246376811593</v>
      </c>
      <c r="L589" s="63">
        <f t="shared" si="49"/>
        <v>0</v>
      </c>
      <c r="M589" s="123"/>
    </row>
    <row r="590" spans="1:13" hidden="1">
      <c r="A590" s="63" t="str">
        <f>'RAW DATA 2023'!B538</f>
        <v>Bangsakao</v>
      </c>
      <c r="B590" s="63" t="str">
        <f>'RAW DATA 2023'!D538</f>
        <v>B1-006-0013</v>
      </c>
      <c r="C590" s="63" t="str">
        <f t="shared" si="45"/>
        <v>BangsakaoB1-006-0013</v>
      </c>
      <c r="D590" s="68">
        <f>VLOOKUP(C590,'RAW DATA 2023'!E:BP,63,0)</f>
        <v>6</v>
      </c>
      <c r="E590" s="68" t="str">
        <f t="shared" si="46"/>
        <v>Bangsakao6</v>
      </c>
      <c r="F590" s="63" t="str">
        <f>VLOOKUP(C590,'RAW DATA 2023'!E:BO,5,0)</f>
        <v>Outdoor</v>
      </c>
      <c r="G590" s="63" t="s">
        <v>67</v>
      </c>
      <c r="H590" s="63">
        <f>VLOOKUP(C590,'RAW DATA 2023'!E:BO,2,0)</f>
        <v>4.75</v>
      </c>
      <c r="I590" s="106">
        <f>VLOOKUP(C590,'RAW DATA 2023'!E:BO,22,0)</f>
        <v>6.6267052631578949</v>
      </c>
      <c r="J590" s="72">
        <f t="shared" si="47"/>
        <v>4.6267052631578949</v>
      </c>
      <c r="K590" s="109">
        <f t="shared" si="48"/>
        <v>7.7111754385964915</v>
      </c>
      <c r="L590" s="63">
        <f t="shared" si="49"/>
        <v>6.25</v>
      </c>
      <c r="M590" s="123"/>
    </row>
    <row r="591" spans="1:13" hidden="1">
      <c r="A591" s="63" t="str">
        <f>'RAW DATA 2023'!B540</f>
        <v>Bangsakao</v>
      </c>
      <c r="B591" s="63" t="str">
        <f>'RAW DATA 2023'!D540</f>
        <v>B1-003-0009</v>
      </c>
      <c r="C591" s="63" t="str">
        <f t="shared" si="45"/>
        <v>BangsakaoB1-003-0009</v>
      </c>
      <c r="D591" s="68">
        <f>VLOOKUP(C591,'RAW DATA 2023'!E:BP,63,0)</f>
        <v>1</v>
      </c>
      <c r="E591" s="68" t="str">
        <f t="shared" si="46"/>
        <v>Bangsakao1</v>
      </c>
      <c r="F591" s="63" t="str">
        <f>VLOOKUP(C591,'RAW DATA 2023'!E:BO,5,0)</f>
        <v>Outdoor</v>
      </c>
      <c r="G591" s="63" t="s">
        <v>67</v>
      </c>
      <c r="H591" s="63">
        <f>VLOOKUP(C591,'RAW DATA 2023'!E:BO,2,0)</f>
        <v>4.3</v>
      </c>
      <c r="I591" s="106">
        <f>VLOOKUP(C591,'RAW DATA 2023'!E:BO,22,0)</f>
        <v>2.3868348837209301</v>
      </c>
      <c r="J591" s="72">
        <f t="shared" si="47"/>
        <v>0.38683488372093011</v>
      </c>
      <c r="K591" s="109">
        <f t="shared" si="48"/>
        <v>0.64472480620155026</v>
      </c>
      <c r="L591" s="63">
        <f t="shared" si="49"/>
        <v>0.64472480620155026</v>
      </c>
      <c r="M591" s="123"/>
    </row>
    <row r="592" spans="1:13" hidden="1">
      <c r="A592" s="63" t="str">
        <f>'RAW DATA 2023'!B545</f>
        <v>Rayong3</v>
      </c>
      <c r="B592" s="63" t="str">
        <f>'RAW DATA 2023'!D545</f>
        <v>D1-046-0011</v>
      </c>
      <c r="C592" s="63" t="str">
        <f t="shared" si="45"/>
        <v>Rayong3D1-046-0011</v>
      </c>
      <c r="D592" s="68">
        <f>VLOOKUP(C592,'RAW DATA 2023'!E:BP,63,0)</f>
        <v>3</v>
      </c>
      <c r="E592" s="68" t="str">
        <f t="shared" si="46"/>
        <v>Rayong33</v>
      </c>
      <c r="F592" s="63" t="str">
        <f>VLOOKUP(C592,'RAW DATA 2023'!E:BO,5,0)</f>
        <v>Outdoor</v>
      </c>
      <c r="G592" s="63" t="s">
        <v>67</v>
      </c>
      <c r="H592" s="63">
        <f>VLOOKUP(C592,'RAW DATA 2023'!E:BO,2,0)</f>
        <v>1.5</v>
      </c>
      <c r="I592" s="106">
        <f>VLOOKUP(C592,'RAW DATA 2023'!E:BO,22,0)</f>
        <v>13.700286666666665</v>
      </c>
      <c r="J592" s="72">
        <f t="shared" si="47"/>
        <v>7.7002866666666652</v>
      </c>
      <c r="K592" s="109">
        <f t="shared" si="48"/>
        <v>12.833811111111109</v>
      </c>
      <c r="L592" s="63">
        <f t="shared" si="49"/>
        <v>6.25</v>
      </c>
      <c r="M592" s="123"/>
    </row>
    <row r="593" spans="1:13" hidden="1">
      <c r="A593" s="63" t="str">
        <f>'RAW DATA 2023'!B550</f>
        <v>Rayong3</v>
      </c>
      <c r="B593" s="63" t="str">
        <f>'RAW DATA 2023'!D550</f>
        <v>C1-016-0038</v>
      </c>
      <c r="C593" s="63" t="str">
        <f t="shared" si="45"/>
        <v>Rayong3C1-016-0038</v>
      </c>
      <c r="D593" s="68">
        <f>VLOOKUP(C593,'RAW DATA 2023'!E:BP,63,0)</f>
        <v>8</v>
      </c>
      <c r="E593" s="68" t="str">
        <f t="shared" si="46"/>
        <v>Rayong38</v>
      </c>
      <c r="F593" s="63" t="str">
        <f>VLOOKUP(C593,'RAW DATA 2023'!E:BO,5,0)</f>
        <v>Outdoor</v>
      </c>
      <c r="G593" s="63" t="s">
        <v>67</v>
      </c>
      <c r="H593" s="63">
        <f>VLOOKUP(C593,'RAW DATA 2023'!E:BO,2,0)</f>
        <v>6.25</v>
      </c>
      <c r="I593" s="106">
        <f>VLOOKUP(C593,'RAW DATA 2023'!E:BO,22,0)</f>
        <v>4.8919600000000001</v>
      </c>
      <c r="J593" s="72">
        <f t="shared" si="47"/>
        <v>2.8919600000000001</v>
      </c>
      <c r="K593" s="109">
        <f t="shared" si="48"/>
        <v>4.8199333333333341</v>
      </c>
      <c r="L593" s="63">
        <f t="shared" si="49"/>
        <v>4.8199333333333341</v>
      </c>
      <c r="M593" s="123"/>
    </row>
    <row r="594" spans="1:13" hidden="1">
      <c r="A594" s="63" t="str">
        <f>'RAW DATA 2023'!B551</f>
        <v>Rayong3</v>
      </c>
      <c r="B594" s="63" t="str">
        <f>'RAW DATA 2023'!D551</f>
        <v>A1-042-0009</v>
      </c>
      <c r="C594" s="63" t="str">
        <f t="shared" si="45"/>
        <v>Rayong3A1-042-0009</v>
      </c>
      <c r="D594" s="68">
        <f>VLOOKUP(C594,'RAW DATA 2023'!E:BP,63,0)</f>
        <v>8</v>
      </c>
      <c r="E594" s="68" t="str">
        <f t="shared" si="46"/>
        <v>Rayong38</v>
      </c>
      <c r="F594" s="63" t="str">
        <f>VLOOKUP(C594,'RAW DATA 2023'!E:BO,5,0)</f>
        <v>Outdoor</v>
      </c>
      <c r="G594" s="63" t="s">
        <v>67</v>
      </c>
      <c r="H594" s="63">
        <f>VLOOKUP(C594,'RAW DATA 2023'!E:BO,2,0)</f>
        <v>1.5</v>
      </c>
      <c r="I594" s="106">
        <f>VLOOKUP(C594,'RAW DATA 2023'!E:BO,22,0)</f>
        <v>15.119133333333332</v>
      </c>
      <c r="J594" s="72">
        <f t="shared" si="47"/>
        <v>9.1191333333333322</v>
      </c>
      <c r="K594" s="109">
        <f t="shared" si="48"/>
        <v>15.198555555555554</v>
      </c>
      <c r="L594" s="63">
        <f t="shared" si="49"/>
        <v>6.25</v>
      </c>
      <c r="M594" s="123"/>
    </row>
    <row r="595" spans="1:13" hidden="1">
      <c r="A595" s="63" t="str">
        <f>'RAW DATA 2023'!B698</f>
        <v>Lucky3</v>
      </c>
      <c r="B595" s="63" t="str">
        <f>'RAW DATA 2023'!D698</f>
        <v>B1-011-0028</v>
      </c>
      <c r="C595" s="63" t="str">
        <f t="shared" si="45"/>
        <v>Lucky3B1-011-0028</v>
      </c>
      <c r="D595" s="68">
        <f>VLOOKUP(C595,'RAW DATA 2023'!E:BP,63,0)</f>
        <v>6</v>
      </c>
      <c r="E595" s="68" t="str">
        <f t="shared" si="46"/>
        <v>Lucky36</v>
      </c>
      <c r="F595" s="63" t="str">
        <f>VLOOKUP(C595,'RAW DATA 2023'!E:BO,5,0)</f>
        <v>Outdoor</v>
      </c>
      <c r="G595" s="63" t="s">
        <v>1955</v>
      </c>
      <c r="H595" s="63">
        <f>VLOOKUP(C595,'RAW DATA 2023'!E:BO,2,0)</f>
        <v>3.82</v>
      </c>
      <c r="I595" s="106">
        <f>VLOOKUP(C595,'RAW DATA 2023'!E:BO,22,0)</f>
        <v>4.795835078534032</v>
      </c>
      <c r="J595" s="72">
        <f t="shared" si="47"/>
        <v>1.795835078534032</v>
      </c>
      <c r="K595" s="109">
        <f t="shared" si="48"/>
        <v>2.9930584642233868</v>
      </c>
      <c r="L595" s="63">
        <f t="shared" si="49"/>
        <v>2.9930584642233868</v>
      </c>
      <c r="M595" s="123"/>
    </row>
    <row r="596" spans="1:13" hidden="1">
      <c r="A596" s="63" t="str">
        <f>'RAW DATA 2023'!B699</f>
        <v>Lucky3</v>
      </c>
      <c r="B596" s="63" t="str">
        <f>'RAW DATA 2023'!D699</f>
        <v>B1-023-0012</v>
      </c>
      <c r="C596" s="63" t="str">
        <f t="shared" si="45"/>
        <v>Lucky3B1-023-0012</v>
      </c>
      <c r="D596" s="68">
        <f>VLOOKUP(C596,'RAW DATA 2023'!E:BP,63,0)</f>
        <v>5</v>
      </c>
      <c r="E596" s="68" t="str">
        <f t="shared" si="46"/>
        <v>Lucky35</v>
      </c>
      <c r="F596" s="63" t="str">
        <f>VLOOKUP(C596,'RAW DATA 2023'!E:BO,5,0)</f>
        <v>Outdoor</v>
      </c>
      <c r="G596" s="63" t="s">
        <v>1955</v>
      </c>
      <c r="H596" s="63">
        <f>VLOOKUP(C596,'RAW DATA 2023'!E:BO,2,0)</f>
        <v>1.5</v>
      </c>
      <c r="I596" s="106">
        <f>VLOOKUP(C596,'RAW DATA 2023'!E:BO,22,0)</f>
        <v>3.1660933333333339</v>
      </c>
      <c r="J596" s="72">
        <f t="shared" si="47"/>
        <v>-2.8339066666666661</v>
      </c>
      <c r="K596" s="109">
        <f t="shared" si="48"/>
        <v>-4.723177777777777</v>
      </c>
      <c r="L596" s="63">
        <f t="shared" si="49"/>
        <v>0</v>
      </c>
      <c r="M596" s="123"/>
    </row>
    <row r="597" spans="1:13" hidden="1">
      <c r="A597" s="63" t="str">
        <f>'RAW DATA 2023'!B700</f>
        <v>Lucky3</v>
      </c>
      <c r="B597" s="63" t="str">
        <f>'RAW DATA 2023'!D700</f>
        <v>B1-011-0027</v>
      </c>
      <c r="C597" s="63" t="str">
        <f t="shared" si="45"/>
        <v>Lucky3B1-011-0027</v>
      </c>
      <c r="D597" s="68">
        <f>VLOOKUP(C597,'RAW DATA 2023'!E:BP,63,0)</f>
        <v>3</v>
      </c>
      <c r="E597" s="68" t="str">
        <f t="shared" si="46"/>
        <v>Lucky33</v>
      </c>
      <c r="F597" s="63" t="str">
        <f>VLOOKUP(C597,'RAW DATA 2023'!E:BO,5,0)</f>
        <v>Outdoor</v>
      </c>
      <c r="G597" s="63" t="s">
        <v>1954</v>
      </c>
      <c r="H597" s="63">
        <f>VLOOKUP(C597,'RAW DATA 2023'!E:BO,2,0)</f>
        <v>3.82</v>
      </c>
      <c r="I597" s="106">
        <f>VLOOKUP(C597,'RAW DATA 2023'!E:BO,22,0)</f>
        <v>7.2044999999999995</v>
      </c>
      <c r="J597" s="72">
        <f t="shared" si="47"/>
        <v>4.2044999999999995</v>
      </c>
      <c r="K597" s="109">
        <f t="shared" si="48"/>
        <v>7.0074999999999994</v>
      </c>
      <c r="L597" s="63">
        <f t="shared" si="49"/>
        <v>6.25</v>
      </c>
      <c r="M597" s="123"/>
    </row>
    <row r="598" spans="1:13" hidden="1">
      <c r="A598" s="63" t="str">
        <f>'RAW DATA 2023'!B701</f>
        <v>Lucky3</v>
      </c>
      <c r="B598" s="63" t="str">
        <f>'RAW DATA 2023'!D701</f>
        <v>BG-027-0011</v>
      </c>
      <c r="C598" s="63" t="str">
        <f t="shared" si="45"/>
        <v>Lucky3BG-027-0011</v>
      </c>
      <c r="D598" s="68">
        <f>VLOOKUP(C598,'RAW DATA 2023'!E:BP,63,0)</f>
        <v>5</v>
      </c>
      <c r="E598" s="68" t="str">
        <f t="shared" si="46"/>
        <v>Lucky35</v>
      </c>
      <c r="F598" s="63" t="str">
        <f>VLOOKUP(C598,'RAW DATA 2023'!E:BO,5,0)</f>
        <v>Greenhouse</v>
      </c>
      <c r="G598" s="63" t="s">
        <v>1955</v>
      </c>
      <c r="H598" s="63">
        <f>VLOOKUP(C598,'RAW DATA 2023'!E:BO,2,0)</f>
        <v>1.5</v>
      </c>
      <c r="I598" s="106">
        <f>VLOOKUP(C598,'RAW DATA 2023'!E:BO,22,0)</f>
        <v>3.1145933333333335</v>
      </c>
      <c r="J598" s="72">
        <f t="shared" si="47"/>
        <v>-0.88540666666666645</v>
      </c>
      <c r="K598" s="109">
        <f t="shared" si="48"/>
        <v>-1.4756777777777774</v>
      </c>
      <c r="L598" s="63">
        <f t="shared" si="49"/>
        <v>0</v>
      </c>
      <c r="M598" s="123"/>
    </row>
    <row r="599" spans="1:13" hidden="1">
      <c r="A599" s="63" t="str">
        <f>'RAW DATA 2023'!B702</f>
        <v>Lucky3</v>
      </c>
      <c r="B599" s="63" t="str">
        <f>'RAW DATA 2023'!D702</f>
        <v>B1-022-0011</v>
      </c>
      <c r="C599" s="63" t="str">
        <f t="shared" si="45"/>
        <v>Lucky3B1-022-0011</v>
      </c>
      <c r="D599" s="68">
        <f>VLOOKUP(C599,'RAW DATA 2023'!E:BP,63,0)</f>
        <v>3</v>
      </c>
      <c r="E599" s="68" t="str">
        <f t="shared" si="46"/>
        <v>Lucky33</v>
      </c>
      <c r="F599" s="63" t="str">
        <f>VLOOKUP(C599,'RAW DATA 2023'!E:BO,5,0)</f>
        <v>Outdoor</v>
      </c>
      <c r="G599" s="63" t="s">
        <v>1955</v>
      </c>
      <c r="H599" s="63">
        <f>VLOOKUP(C599,'RAW DATA 2023'!E:BO,2,0)</f>
        <v>1.5</v>
      </c>
      <c r="I599" s="106">
        <f>VLOOKUP(C599,'RAW DATA 2023'!E:BO,22,0)</f>
        <v>9.3957933333333337</v>
      </c>
      <c r="J599" s="72">
        <f t="shared" si="47"/>
        <v>3.3957933333333337</v>
      </c>
      <c r="K599" s="109">
        <f t="shared" si="48"/>
        <v>5.6596555555555561</v>
      </c>
      <c r="L599" s="63">
        <f t="shared" si="49"/>
        <v>5.6596555555555561</v>
      </c>
      <c r="M599" s="123"/>
    </row>
    <row r="600" spans="1:13" hidden="1">
      <c r="A600" s="63" t="str">
        <f>'RAW DATA 2023'!B703</f>
        <v>Lucky3</v>
      </c>
      <c r="B600" s="63" t="str">
        <f>'RAW DATA 2023'!D703</f>
        <v>B1-022-0012</v>
      </c>
      <c r="C600" s="63" t="str">
        <f t="shared" si="45"/>
        <v>Lucky3B1-022-0012</v>
      </c>
      <c r="D600" s="68">
        <f>VLOOKUP(C600,'RAW DATA 2023'!E:BP,63,0)</f>
        <v>5</v>
      </c>
      <c r="E600" s="68" t="str">
        <f t="shared" si="46"/>
        <v>Lucky35</v>
      </c>
      <c r="F600" s="63" t="str">
        <f>VLOOKUP(C600,'RAW DATA 2023'!E:BO,5,0)</f>
        <v>Outdoor</v>
      </c>
      <c r="G600" s="63" t="s">
        <v>1955</v>
      </c>
      <c r="H600" s="63">
        <f>VLOOKUP(C600,'RAW DATA 2023'!E:BO,2,0)</f>
        <v>1.5</v>
      </c>
      <c r="I600" s="106">
        <f>VLOOKUP(C600,'RAW DATA 2023'!E:BO,22,0)</f>
        <v>1.7345933333333334</v>
      </c>
      <c r="J600" s="72">
        <f t="shared" si="47"/>
        <v>-4.2654066666666663</v>
      </c>
      <c r="K600" s="109">
        <f t="shared" si="48"/>
        <v>-7.1090111111111112</v>
      </c>
      <c r="L600" s="63">
        <f t="shared" si="49"/>
        <v>0</v>
      </c>
      <c r="M600" s="123"/>
    </row>
    <row r="601" spans="1:13" hidden="1">
      <c r="A601" s="63" t="str">
        <f>'RAW DATA 2023'!B704</f>
        <v>Lucky3</v>
      </c>
      <c r="B601" s="63" t="str">
        <f>'RAW DATA 2023'!D704</f>
        <v>BG-026-0010</v>
      </c>
      <c r="C601" s="63" t="str">
        <f t="shared" si="45"/>
        <v>Lucky3BG-026-0010</v>
      </c>
      <c r="D601" s="68">
        <f>VLOOKUP(C601,'RAW DATA 2023'!E:BP,63,0)</f>
        <v>3</v>
      </c>
      <c r="E601" s="68" t="str">
        <f t="shared" si="46"/>
        <v>Lucky33</v>
      </c>
      <c r="F601" s="63" t="str">
        <f>VLOOKUP(C601,'RAW DATA 2023'!E:BO,5,0)</f>
        <v>Greenhouse</v>
      </c>
      <c r="G601" s="63" t="s">
        <v>1955</v>
      </c>
      <c r="H601" s="63">
        <f>VLOOKUP(C601,'RAW DATA 2023'!E:BO,2,0)</f>
        <v>1.5</v>
      </c>
      <c r="I601" s="106">
        <f>VLOOKUP(C601,'RAW DATA 2023'!E:BO,22,0)</f>
        <v>7.4206533333333331</v>
      </c>
      <c r="J601" s="72">
        <f t="shared" si="47"/>
        <v>3.4206533333333331</v>
      </c>
      <c r="K601" s="109">
        <f t="shared" si="48"/>
        <v>5.7010888888888891</v>
      </c>
      <c r="L601" s="63">
        <f t="shared" si="49"/>
        <v>5.7010888888888891</v>
      </c>
      <c r="M601" s="123"/>
    </row>
    <row r="602" spans="1:13" hidden="1">
      <c r="A602" s="63" t="str">
        <f>'RAW DATA 2023'!B705</f>
        <v>Lucky3</v>
      </c>
      <c r="B602" s="63" t="str">
        <f>'RAW DATA 2023'!D705</f>
        <v>BG-027-0010</v>
      </c>
      <c r="C602" s="63" t="str">
        <f t="shared" si="45"/>
        <v>Lucky3BG-027-0010</v>
      </c>
      <c r="D602" s="68">
        <f>VLOOKUP(C602,'RAW DATA 2023'!E:BP,63,0)</f>
        <v>3</v>
      </c>
      <c r="E602" s="68" t="str">
        <f t="shared" si="46"/>
        <v>Lucky33</v>
      </c>
      <c r="F602" s="63" t="str">
        <f>VLOOKUP(C602,'RAW DATA 2023'!E:BO,5,0)</f>
        <v>Greenhouse</v>
      </c>
      <c r="G602" s="63" t="s">
        <v>1955</v>
      </c>
      <c r="H602" s="63">
        <f>VLOOKUP(C602,'RAW DATA 2023'!E:BO,2,0)</f>
        <v>1.5</v>
      </c>
      <c r="I602" s="106">
        <f>VLOOKUP(C602,'RAW DATA 2023'!E:BO,22,0)</f>
        <v>8.3280666666666665</v>
      </c>
      <c r="J602" s="72">
        <f t="shared" si="47"/>
        <v>4.3280666666666665</v>
      </c>
      <c r="K602" s="109">
        <f t="shared" si="48"/>
        <v>7.2134444444444448</v>
      </c>
      <c r="L602" s="63">
        <f t="shared" si="49"/>
        <v>6.25</v>
      </c>
      <c r="M602" s="123"/>
    </row>
    <row r="603" spans="1:13" hidden="1">
      <c r="A603" s="63" t="str">
        <f>'RAW DATA 2023'!B718</f>
        <v>Tachalab</v>
      </c>
      <c r="B603" s="63" t="str">
        <f>'RAW DATA 2023'!D718</f>
        <v>A1-003-0023</v>
      </c>
      <c r="C603" s="63" t="str">
        <f t="shared" si="45"/>
        <v>TachalabA1-003-0023</v>
      </c>
      <c r="D603" s="68">
        <f>VLOOKUP(C603,'RAW DATA 2023'!E:BP,63,0)</f>
        <v>3</v>
      </c>
      <c r="E603" s="68" t="str">
        <f t="shared" si="46"/>
        <v>Tachalab3</v>
      </c>
      <c r="F603" s="63" t="str">
        <f>VLOOKUP(C603,'RAW DATA 2023'!E:BO,5,0)</f>
        <v>Outdoor</v>
      </c>
      <c r="G603" s="63" t="s">
        <v>1954</v>
      </c>
      <c r="H603" s="63">
        <f>VLOOKUP(C603,'RAW DATA 2023'!E:BO,2,0)</f>
        <v>3.8</v>
      </c>
      <c r="I603" s="106">
        <f>VLOOKUP(C603,'RAW DATA 2023'!E:BO,22,0)</f>
        <v>4.210252631578947</v>
      </c>
      <c r="J603" s="72">
        <f t="shared" si="47"/>
        <v>1.210252631578947</v>
      </c>
      <c r="K603" s="109">
        <f t="shared" si="48"/>
        <v>2.017087719298245</v>
      </c>
      <c r="L603" s="63">
        <f t="shared" si="49"/>
        <v>2.017087719298245</v>
      </c>
      <c r="M603" s="123"/>
    </row>
    <row r="604" spans="1:13" hidden="1">
      <c r="A604" s="63" t="str">
        <f>'RAW DATA 2023'!B719</f>
        <v>Tachalab</v>
      </c>
      <c r="B604" s="63" t="str">
        <f>'RAW DATA 2023'!D719</f>
        <v>A1-013-0011</v>
      </c>
      <c r="C604" s="63" t="str">
        <f t="shared" si="45"/>
        <v>TachalabA1-013-0011</v>
      </c>
      <c r="D604" s="68">
        <f>VLOOKUP(C604,'RAW DATA 2023'!E:BP,63,0)</f>
        <v>3</v>
      </c>
      <c r="E604" s="68" t="str">
        <f t="shared" si="46"/>
        <v>Tachalab3</v>
      </c>
      <c r="F604" s="63" t="str">
        <f>VLOOKUP(C604,'RAW DATA 2023'!E:BO,5,0)</f>
        <v>Outdoor</v>
      </c>
      <c r="G604" s="63" t="s">
        <v>1954</v>
      </c>
      <c r="H604" s="63">
        <f>VLOOKUP(C604,'RAW DATA 2023'!E:BO,2,0)</f>
        <v>2.2999999999999998</v>
      </c>
      <c r="I604" s="106">
        <f>VLOOKUP(C604,'RAW DATA 2023'!E:BO,22,0)</f>
        <v>5.8129391304347831</v>
      </c>
      <c r="J604" s="72">
        <f t="shared" si="47"/>
        <v>2.8129391304347831</v>
      </c>
      <c r="K604" s="109">
        <f t="shared" si="48"/>
        <v>4.6882318840579718</v>
      </c>
      <c r="L604" s="63">
        <f t="shared" si="49"/>
        <v>4.6882318840579718</v>
      </c>
      <c r="M604" s="123"/>
    </row>
    <row r="605" spans="1:13" hidden="1">
      <c r="A605" s="63" t="str">
        <f>'RAW DATA 2023'!B729</f>
        <v>Andaman</v>
      </c>
      <c r="B605" s="63" t="str">
        <f>'RAW DATA 2023'!D729</f>
        <v>A1-014-0019</v>
      </c>
      <c r="C605" s="63" t="str">
        <f t="shared" si="45"/>
        <v>AndamanA1-014-0019</v>
      </c>
      <c r="D605" s="68">
        <f>VLOOKUP(C605,'RAW DATA 2023'!E:BP,63,0)</f>
        <v>9</v>
      </c>
      <c r="E605" s="68" t="str">
        <f t="shared" si="46"/>
        <v>Andaman9</v>
      </c>
      <c r="F605" s="63" t="str">
        <f>VLOOKUP(C605,'RAW DATA 2023'!E:BO,5,0)</f>
        <v>Outdoor</v>
      </c>
      <c r="G605" s="63" t="s">
        <v>67</v>
      </c>
      <c r="H605" s="63">
        <f>VLOOKUP(C605,'RAW DATA 2023'!E:BO,2,0)</f>
        <v>1.5</v>
      </c>
      <c r="I605" s="106">
        <f>VLOOKUP(C605,'RAW DATA 2023'!E:BO,22,0)</f>
        <v>5.1225866666666668</v>
      </c>
      <c r="J605" s="72">
        <f t="shared" si="47"/>
        <v>-0.87741333333333316</v>
      </c>
      <c r="K605" s="109">
        <f t="shared" si="48"/>
        <v>-1.4623555555555554</v>
      </c>
      <c r="L605" s="63">
        <f t="shared" si="49"/>
        <v>0</v>
      </c>
      <c r="M605" s="123"/>
    </row>
    <row r="606" spans="1:13" hidden="1">
      <c r="A606" s="63" t="str">
        <f>'RAW DATA 2023'!B730</f>
        <v>Andaman</v>
      </c>
      <c r="B606" s="63" t="str">
        <f>'RAW DATA 2023'!D730</f>
        <v>A1-012-0022</v>
      </c>
      <c r="C606" s="63" t="str">
        <f t="shared" si="45"/>
        <v>AndamanA1-012-0022</v>
      </c>
      <c r="D606" s="68">
        <f>VLOOKUP(C606,'RAW DATA 2023'!E:BP,63,0)</f>
        <v>3</v>
      </c>
      <c r="E606" s="68" t="str">
        <f t="shared" si="46"/>
        <v>Andaman3</v>
      </c>
      <c r="F606" s="63" t="str">
        <f>VLOOKUP(C606,'RAW DATA 2023'!E:BO,5,0)</f>
        <v>Outdoor</v>
      </c>
      <c r="G606" s="63" t="s">
        <v>67</v>
      </c>
      <c r="H606" s="63">
        <f>VLOOKUP(C606,'RAW DATA 2023'!E:BO,2,0)</f>
        <v>2.5</v>
      </c>
      <c r="I606" s="106">
        <f>VLOOKUP(C606,'RAW DATA 2023'!E:BO,22,0)</f>
        <v>7.693244</v>
      </c>
      <c r="J606" s="72">
        <f t="shared" si="47"/>
        <v>4.693244</v>
      </c>
      <c r="K606" s="109">
        <f t="shared" si="48"/>
        <v>7.8220733333333339</v>
      </c>
      <c r="L606" s="63">
        <f t="shared" si="49"/>
        <v>6.25</v>
      </c>
      <c r="M606" s="123"/>
    </row>
    <row r="607" spans="1:13" hidden="1">
      <c r="A607" s="63" t="str">
        <f>'RAW DATA 2023'!B742</f>
        <v>SR4</v>
      </c>
      <c r="B607" s="63" t="str">
        <f>'RAW DATA 2023'!D742</f>
        <v>G1-052-0012</v>
      </c>
      <c r="C607" s="63" t="str">
        <f t="shared" si="45"/>
        <v>SR4G1-052-0012</v>
      </c>
      <c r="D607" s="68">
        <f>VLOOKUP(C607,'RAW DATA 2023'!E:BP,63,0)</f>
        <v>11</v>
      </c>
      <c r="E607" s="68" t="str">
        <f t="shared" si="46"/>
        <v>SR411</v>
      </c>
      <c r="F607" s="63" t="str">
        <f>VLOOKUP(C607,'RAW DATA 2023'!E:BO,5,0)</f>
        <v>Greenhouse</v>
      </c>
      <c r="G607" s="63" t="s">
        <v>1954</v>
      </c>
      <c r="H607" s="63">
        <f>VLOOKUP(C607,'RAW DATA 2023'!E:BO,2,0)</f>
        <v>2</v>
      </c>
      <c r="I607" s="106">
        <f>VLOOKUP(C607,'RAW DATA 2023'!E:BO,22,0)</f>
        <v>8.7903700000000011</v>
      </c>
      <c r="J607" s="72">
        <f t="shared" si="47"/>
        <v>4.7903700000000011</v>
      </c>
      <c r="K607" s="109">
        <f t="shared" si="48"/>
        <v>7.9839500000000019</v>
      </c>
      <c r="L607" s="63">
        <f t="shared" si="49"/>
        <v>6.25</v>
      </c>
      <c r="M607" s="123"/>
    </row>
    <row r="608" spans="1:13" hidden="1">
      <c r="A608" s="63" t="str">
        <f>'RAW DATA 2023'!B751</f>
        <v>SR4</v>
      </c>
      <c r="B608" s="63" t="str">
        <f>'RAW DATA 2023'!D751</f>
        <v>G2-059-0010</v>
      </c>
      <c r="C608" s="63" t="str">
        <f t="shared" si="45"/>
        <v>SR4G2-059-0010</v>
      </c>
      <c r="D608" s="68">
        <f>VLOOKUP(C608,'RAW DATA 2023'!E:BP,63,0)</f>
        <v>4</v>
      </c>
      <c r="E608" s="68" t="str">
        <f t="shared" si="46"/>
        <v>SR44</v>
      </c>
      <c r="F608" s="63" t="str">
        <f>VLOOKUP(C608,'RAW DATA 2023'!E:BO,5,0)</f>
        <v>Greenhouse</v>
      </c>
      <c r="G608" s="63" t="s">
        <v>1955</v>
      </c>
      <c r="H608" s="63">
        <f>VLOOKUP(C608,'RAW DATA 2023'!E:BO,2,0)</f>
        <v>1.85</v>
      </c>
      <c r="I608" s="106">
        <f>VLOOKUP(C608,'RAW DATA 2023'!E:BO,22,0)</f>
        <v>5.0203621621621624</v>
      </c>
      <c r="J608" s="72">
        <f t="shared" si="47"/>
        <v>1.0203621621621624</v>
      </c>
      <c r="K608" s="109">
        <f t="shared" si="48"/>
        <v>1.7006036036036041</v>
      </c>
      <c r="L608" s="63">
        <f t="shared" si="49"/>
        <v>1.7006036036036041</v>
      </c>
      <c r="M608" s="123"/>
    </row>
    <row r="609" spans="1:13">
      <c r="A609" s="63" t="str">
        <f>'RAW DATA 2023'!B762</f>
        <v>SR4</v>
      </c>
      <c r="B609" s="63" t="str">
        <f>'RAW DATA 2023'!D762</f>
        <v>B1-067-0011</v>
      </c>
      <c r="C609" s="63" t="str">
        <f t="shared" si="45"/>
        <v>SR4B1-067-0011</v>
      </c>
      <c r="D609" s="68">
        <f>VLOOKUP(C609,'RAW DATA 2023'!E:BP,63,0)</f>
        <v>10</v>
      </c>
      <c r="E609" s="68" t="str">
        <f t="shared" si="46"/>
        <v>SR410</v>
      </c>
      <c r="F609" s="63" t="str">
        <f>VLOOKUP(C609,'RAW DATA 2023'!E:BO,5,0)</f>
        <v>Outdoor</v>
      </c>
      <c r="G609" s="63" t="s">
        <v>1951</v>
      </c>
      <c r="H609" s="63">
        <f>VLOOKUP(C609,'RAW DATA 2023'!E:BO,2,0)</f>
        <v>1.85</v>
      </c>
      <c r="I609" s="106">
        <f>VLOOKUP(C609,'RAW DATA 2023'!E:BO,22,0)</f>
        <v>7.6130162162162156</v>
      </c>
      <c r="J609" s="72">
        <f t="shared" si="47"/>
        <v>1.6130162162162156</v>
      </c>
      <c r="K609" s="109">
        <f t="shared" si="48"/>
        <v>2.6883603603603596</v>
      </c>
      <c r="L609" s="63">
        <f t="shared" si="49"/>
        <v>2.6883603603603596</v>
      </c>
      <c r="M609" s="123"/>
    </row>
    <row r="610" spans="1:13" hidden="1">
      <c r="A610" s="63" t="str">
        <f>'RAW DATA 2023'!B776</f>
        <v>Kanchanadit</v>
      </c>
      <c r="B610" s="63" t="str">
        <f>'RAW DATA 2023'!D776</f>
        <v>C1-042-0005</v>
      </c>
      <c r="C610" s="63" t="str">
        <f t="shared" si="45"/>
        <v>KanchanaditC1-042-0005</v>
      </c>
      <c r="D610" s="68">
        <f>VLOOKUP(C610,'RAW DATA 2023'!E:BP,63,0)</f>
        <v>8</v>
      </c>
      <c r="E610" s="68" t="str">
        <f t="shared" si="46"/>
        <v>Kanchanadit8</v>
      </c>
      <c r="F610" s="63" t="str">
        <f>VLOOKUP(C610,'RAW DATA 2023'!E:BO,5,0)</f>
        <v>Outdoor</v>
      </c>
      <c r="G610" s="63" t="s">
        <v>67</v>
      </c>
      <c r="H610" s="63">
        <f>VLOOKUP(C610,'RAW DATA 2023'!E:BO,2,0)</f>
        <v>1.53</v>
      </c>
      <c r="I610" s="106">
        <f>VLOOKUP(C610,'RAW DATA 2023'!E:BO,22,0)</f>
        <v>7.4131241830065351</v>
      </c>
      <c r="J610" s="72">
        <f t="shared" si="47"/>
        <v>1.4131241830065351</v>
      </c>
      <c r="K610" s="109">
        <f t="shared" si="48"/>
        <v>2.3552069716775588</v>
      </c>
      <c r="L610" s="63">
        <f t="shared" si="49"/>
        <v>2.3552069716775588</v>
      </c>
      <c r="M610" s="123"/>
    </row>
    <row r="611" spans="1:13" hidden="1">
      <c r="A611" s="63" t="str">
        <f>'RAW DATA 2023'!B785</f>
        <v>Kanchanadit</v>
      </c>
      <c r="B611" s="63" t="str">
        <f>'RAW DATA 2023'!D785</f>
        <v>C1-043-0013</v>
      </c>
      <c r="C611" s="63" t="str">
        <f t="shared" si="45"/>
        <v>KanchanaditC1-043-0013</v>
      </c>
      <c r="D611" s="68">
        <f>VLOOKUP(C611,'RAW DATA 2023'!E:BP,63,0)</f>
        <v>1</v>
      </c>
      <c r="E611" s="68" t="str">
        <f t="shared" si="46"/>
        <v>Kanchanadit1</v>
      </c>
      <c r="F611" s="63" t="str">
        <f>VLOOKUP(C611,'RAW DATA 2023'!E:BO,5,0)</f>
        <v>Outdoor</v>
      </c>
      <c r="G611" s="63" t="s">
        <v>1954</v>
      </c>
      <c r="H611" s="63">
        <f>VLOOKUP(C611,'RAW DATA 2023'!E:BO,2,0)</f>
        <v>1.53</v>
      </c>
      <c r="I611" s="106">
        <f>VLOOKUP(C611,'RAW DATA 2023'!E:BO,22,0)</f>
        <v>3.9335686274509798</v>
      </c>
      <c r="J611" s="72">
        <f t="shared" si="47"/>
        <v>-2.0664313725490202</v>
      </c>
      <c r="K611" s="109">
        <f t="shared" si="48"/>
        <v>-3.4440522875817003</v>
      </c>
      <c r="L611" s="63">
        <f t="shared" si="49"/>
        <v>0</v>
      </c>
      <c r="M611" s="123"/>
    </row>
    <row r="612" spans="1:13" hidden="1">
      <c r="A612" s="63" t="str">
        <f>'RAW DATA 2023'!B787</f>
        <v>Kanchanadit</v>
      </c>
      <c r="B612" s="63" t="str">
        <f>'RAW DATA 2023'!D787</f>
        <v>D1-049-0011</v>
      </c>
      <c r="C612" s="63" t="str">
        <f t="shared" si="45"/>
        <v>KanchanaditD1-049-0011</v>
      </c>
      <c r="D612" s="68">
        <f>VLOOKUP(C612,'RAW DATA 2023'!E:BP,63,0)</f>
        <v>7</v>
      </c>
      <c r="E612" s="68" t="str">
        <f t="shared" si="46"/>
        <v>Kanchanadit7</v>
      </c>
      <c r="F612" s="63" t="str">
        <f>VLOOKUP(C612,'RAW DATA 2023'!E:BO,5,0)</f>
        <v>Outdoor</v>
      </c>
      <c r="G612" s="63" t="s">
        <v>1954</v>
      </c>
      <c r="H612" s="63">
        <f>VLOOKUP(C612,'RAW DATA 2023'!E:BO,2,0)</f>
        <v>2</v>
      </c>
      <c r="I612" s="106">
        <f>VLOOKUP(C612,'RAW DATA 2023'!E:BO,22,0)</f>
        <v>12.240729999999999</v>
      </c>
      <c r="J612" s="72">
        <f t="shared" si="47"/>
        <v>6.2407299999999992</v>
      </c>
      <c r="K612" s="109">
        <f t="shared" si="48"/>
        <v>10.401216666666667</v>
      </c>
      <c r="L612" s="63">
        <f t="shared" si="49"/>
        <v>6.25</v>
      </c>
      <c r="M612" s="123"/>
    </row>
    <row r="613" spans="1:13" hidden="1">
      <c r="A613" s="63" t="str">
        <f>'RAW DATA 2023'!B800</f>
        <v>Pakpanang1</v>
      </c>
      <c r="B613" s="63" t="str">
        <f>'RAW DATA 2023'!D800</f>
        <v>A1-183-0011</v>
      </c>
      <c r="C613" s="63" t="str">
        <f t="shared" si="45"/>
        <v>Pakpanang1A1-183-0011</v>
      </c>
      <c r="D613" s="68">
        <f>VLOOKUP(C613,'RAW DATA 2023'!E:BP,63,0)</f>
        <v>11</v>
      </c>
      <c r="E613" s="68" t="str">
        <f t="shared" si="46"/>
        <v>Pakpanang111</v>
      </c>
      <c r="F613" s="63" t="str">
        <f>VLOOKUP(C613,'RAW DATA 2023'!E:BO,5,0)</f>
        <v>Outdoor</v>
      </c>
      <c r="G613" s="63" t="s">
        <v>1954</v>
      </c>
      <c r="H613" s="63">
        <f>VLOOKUP(C613,'RAW DATA 2023'!E:BO,2,0)</f>
        <v>1.8</v>
      </c>
      <c r="I613" s="106">
        <f>VLOOKUP(C613,'RAW DATA 2023'!E:BO,22,0)</f>
        <v>13.176272222222224</v>
      </c>
      <c r="J613" s="72">
        <f t="shared" si="47"/>
        <v>7.1762722222222237</v>
      </c>
      <c r="K613" s="109">
        <f t="shared" si="48"/>
        <v>11.960453703703706</v>
      </c>
      <c r="L613" s="63">
        <f t="shared" si="49"/>
        <v>6.25</v>
      </c>
      <c r="M613" s="123"/>
    </row>
    <row r="614" spans="1:13" hidden="1">
      <c r="A614" s="63" t="str">
        <f>'RAW DATA 2023'!B807</f>
        <v>Pakpanang1</v>
      </c>
      <c r="B614" s="63" t="str">
        <f>'RAW DATA 2023'!D807</f>
        <v>A1-183-0010</v>
      </c>
      <c r="C614" s="63" t="str">
        <f t="shared" si="45"/>
        <v>Pakpanang1A1-183-0010</v>
      </c>
      <c r="D614" s="68">
        <f>VLOOKUP(C614,'RAW DATA 2023'!E:BP,63,0)</f>
        <v>5</v>
      </c>
      <c r="E614" s="68" t="str">
        <f t="shared" si="46"/>
        <v>Pakpanang15</v>
      </c>
      <c r="F614" s="63" t="str">
        <f>VLOOKUP(C614,'RAW DATA 2023'!E:BO,5,0)</f>
        <v>Outdoor</v>
      </c>
      <c r="G614" s="63" t="s">
        <v>1955</v>
      </c>
      <c r="H614" s="63">
        <f>VLOOKUP(C614,'RAW DATA 2023'!E:BO,2,0)</f>
        <v>1.8</v>
      </c>
      <c r="I614" s="106">
        <f>VLOOKUP(C614,'RAW DATA 2023'!E:BO,22,0)</f>
        <v>7.9817111111111103</v>
      </c>
      <c r="J614" s="72">
        <f t="shared" si="47"/>
        <v>1.9817111111111103</v>
      </c>
      <c r="K614" s="109">
        <f t="shared" si="48"/>
        <v>3.3028518518518508</v>
      </c>
      <c r="L614" s="63">
        <f t="shared" si="49"/>
        <v>3.3028518518518508</v>
      </c>
      <c r="M614" s="123"/>
    </row>
    <row r="615" spans="1:13" hidden="1">
      <c r="A615" s="63" t="str">
        <f>'RAW DATA 2023'!B813</f>
        <v>Pakpanang1</v>
      </c>
      <c r="B615" s="63" t="str">
        <f>'RAW DATA 2023'!D813</f>
        <v>C1-141-0009</v>
      </c>
      <c r="C615" s="63" t="str">
        <f t="shared" si="45"/>
        <v>Pakpanang1C1-141-0009</v>
      </c>
      <c r="D615" s="68">
        <f>VLOOKUP(C615,'RAW DATA 2023'!E:BP,63,0)</f>
        <v>5</v>
      </c>
      <c r="E615" s="68" t="str">
        <f t="shared" si="46"/>
        <v>Pakpanang15</v>
      </c>
      <c r="F615" s="63" t="str">
        <f>VLOOKUP(C615,'RAW DATA 2023'!E:BO,5,0)</f>
        <v>Outdoor</v>
      </c>
      <c r="G615" s="63" t="s">
        <v>1955</v>
      </c>
      <c r="H615" s="63">
        <f>VLOOKUP(C615,'RAW DATA 2023'!E:BO,2,0)</f>
        <v>1.5</v>
      </c>
      <c r="I615" s="106">
        <f>VLOOKUP(C615,'RAW DATA 2023'!E:BO,22,0)</f>
        <v>4.1953266666666664</v>
      </c>
      <c r="J615" s="72">
        <f t="shared" si="47"/>
        <v>-1.8046733333333336</v>
      </c>
      <c r="K615" s="109">
        <f t="shared" si="48"/>
        <v>-3.0077888888888893</v>
      </c>
      <c r="L615" s="63">
        <f t="shared" si="49"/>
        <v>0</v>
      </c>
      <c r="M615" s="123"/>
    </row>
    <row r="616" spans="1:13">
      <c r="A616" s="63" t="str">
        <f>'RAW DATA 2023'!B3</f>
        <v>Lamae</v>
      </c>
      <c r="B616" s="63" t="str">
        <f>'RAW DATA 2023'!D3</f>
        <v>A1-013-0016</v>
      </c>
      <c r="C616" s="63" t="str">
        <f t="shared" si="45"/>
        <v>LamaeA1-013-0016</v>
      </c>
      <c r="D616" s="68">
        <f>VLOOKUP(C616,'RAW DATA 2023'!E:BP,63,0)</f>
        <v>9</v>
      </c>
      <c r="E616" s="68" t="str">
        <f t="shared" si="46"/>
        <v>Lamae9</v>
      </c>
      <c r="F616" s="63" t="str">
        <f>VLOOKUP(C616,'RAW DATA 2023'!E:BO,5,0)</f>
        <v>Outdoor</v>
      </c>
      <c r="G616" s="63" t="s">
        <v>1951</v>
      </c>
      <c r="H616" s="63">
        <f>VLOOKUP(C616,'RAW DATA 2023'!E:BO,2,0)</f>
        <v>4</v>
      </c>
      <c r="I616" s="106">
        <f>VLOOKUP(C616,'RAW DATA 2023'!E:BO,22,0)</f>
        <v>5.1040025</v>
      </c>
      <c r="J616" s="72">
        <f t="shared" si="47"/>
        <v>2.1040025</v>
      </c>
      <c r="K616" s="109">
        <f t="shared" si="48"/>
        <v>3.5066708333333336</v>
      </c>
      <c r="L616" s="63">
        <f t="shared" si="49"/>
        <v>3.5066708333333336</v>
      </c>
      <c r="M616" s="123"/>
    </row>
    <row r="617" spans="1:13" hidden="1">
      <c r="A617" s="63" t="str">
        <f>'RAW DATA 2023'!B4</f>
        <v>Lamae</v>
      </c>
      <c r="B617" s="63" t="str">
        <f>'RAW DATA 2023'!D4</f>
        <v>A1-012-0013</v>
      </c>
      <c r="C617" s="63" t="str">
        <f t="shared" si="45"/>
        <v>LamaeA1-012-0013</v>
      </c>
      <c r="D617" s="68">
        <f>VLOOKUP(C617,'RAW DATA 2023'!E:BP,63,0)</f>
        <v>6</v>
      </c>
      <c r="E617" s="68" t="str">
        <f t="shared" si="46"/>
        <v>Lamae6</v>
      </c>
      <c r="F617" s="63" t="str">
        <f>VLOOKUP(C617,'RAW DATA 2023'!E:BO,5,0)</f>
        <v>Outdoor</v>
      </c>
      <c r="G617" s="63" t="s">
        <v>1954</v>
      </c>
      <c r="H617" s="63">
        <f>VLOOKUP(C617,'RAW DATA 2023'!E:BO,2,0)</f>
        <v>4</v>
      </c>
      <c r="I617" s="106">
        <f>VLOOKUP(C617,'RAW DATA 2023'!E:BO,22,0)</f>
        <v>9.184075</v>
      </c>
      <c r="J617" s="72">
        <f t="shared" si="47"/>
        <v>6.184075</v>
      </c>
      <c r="K617" s="109">
        <f t="shared" si="48"/>
        <v>10.306791666666667</v>
      </c>
      <c r="L617" s="63">
        <f t="shared" si="49"/>
        <v>6.25</v>
      </c>
      <c r="M617" s="123"/>
    </row>
    <row r="618" spans="1:13" hidden="1">
      <c r="A618" s="63" t="str">
        <f>'RAW DATA 2023'!B7</f>
        <v>Lamae</v>
      </c>
      <c r="B618" s="63" t="str">
        <f>'RAW DATA 2023'!D7</f>
        <v>B1-018-0013</v>
      </c>
      <c r="C618" s="63" t="str">
        <f t="shared" si="45"/>
        <v>LamaeB1-018-0013</v>
      </c>
      <c r="D618" s="68">
        <f>VLOOKUP(C618,'RAW DATA 2023'!E:BP,63,0)</f>
        <v>7</v>
      </c>
      <c r="E618" s="68" t="str">
        <f t="shared" si="46"/>
        <v>Lamae7</v>
      </c>
      <c r="F618" s="63" t="str">
        <f>VLOOKUP(C618,'RAW DATA 2023'!E:BO,5,0)</f>
        <v>Outdoor</v>
      </c>
      <c r="G618" s="63" t="s">
        <v>1954</v>
      </c>
      <c r="H618" s="63">
        <f>VLOOKUP(C618,'RAW DATA 2023'!E:BO,2,0)</f>
        <v>6</v>
      </c>
      <c r="I618" s="106">
        <f>VLOOKUP(C618,'RAW DATA 2023'!E:BO,22,0)</f>
        <v>4.2321749999999998</v>
      </c>
      <c r="J618" s="72">
        <f t="shared" si="47"/>
        <v>2.2321749999999998</v>
      </c>
      <c r="K618" s="109">
        <f t="shared" si="48"/>
        <v>3.7202916666666663</v>
      </c>
      <c r="L618" s="63">
        <f t="shared" si="49"/>
        <v>3.7202916666666663</v>
      </c>
      <c r="M618" s="123"/>
    </row>
    <row r="619" spans="1:13" hidden="1">
      <c r="A619" s="63" t="str">
        <f>'RAW DATA 2023'!B12</f>
        <v>Lamae</v>
      </c>
      <c r="B619" s="63" t="str">
        <f>'RAW DATA 2023'!D12</f>
        <v>B1-021-0014</v>
      </c>
      <c r="C619" s="63" t="str">
        <f t="shared" si="45"/>
        <v>LamaeB1-021-0014</v>
      </c>
      <c r="D619" s="68">
        <f>VLOOKUP(C619,'RAW DATA 2023'!E:BP,63,0)</f>
        <v>12</v>
      </c>
      <c r="E619" s="68" t="str">
        <f t="shared" si="46"/>
        <v>Lamae12</v>
      </c>
      <c r="F619" s="63" t="str">
        <f>VLOOKUP(C619,'RAW DATA 2023'!E:BO,5,0)</f>
        <v>Outdoor</v>
      </c>
      <c r="G619" s="63" t="s">
        <v>1954</v>
      </c>
      <c r="H619" s="63">
        <f>VLOOKUP(C619,'RAW DATA 2023'!E:BO,2,0)</f>
        <v>8.5</v>
      </c>
      <c r="I619" s="106">
        <f>VLOOKUP(C619,'RAW DATA 2023'!E:BO,22,0)</f>
        <v>4.275932941176471</v>
      </c>
      <c r="J619" s="72">
        <f t="shared" si="47"/>
        <v>2.275932941176471</v>
      </c>
      <c r="K619" s="109">
        <f t="shared" si="48"/>
        <v>3.7932215686274517</v>
      </c>
      <c r="L619" s="63">
        <f t="shared" si="49"/>
        <v>3.7932215686274517</v>
      </c>
      <c r="M619" s="123"/>
    </row>
    <row r="620" spans="1:13" hidden="1">
      <c r="A620" s="63" t="str">
        <f>'RAW DATA 2023'!B18</f>
        <v>Lamae</v>
      </c>
      <c r="B620" s="63" t="str">
        <f>'RAW DATA 2023'!D18</f>
        <v>A1-009-0021</v>
      </c>
      <c r="C620" s="63" t="str">
        <f t="shared" si="45"/>
        <v>LamaeA1-009-0021</v>
      </c>
      <c r="D620" s="68">
        <f>VLOOKUP(C620,'RAW DATA 2023'!E:BP,63,0)</f>
        <v>12</v>
      </c>
      <c r="E620" s="68" t="str">
        <f t="shared" si="46"/>
        <v>Lamae12</v>
      </c>
      <c r="F620" s="63" t="str">
        <f>VLOOKUP(C620,'RAW DATA 2023'!E:BO,5,0)</f>
        <v>Outdoor</v>
      </c>
      <c r="G620" s="63" t="s">
        <v>1954</v>
      </c>
      <c r="H620" s="63">
        <f>VLOOKUP(C620,'RAW DATA 2023'!E:BO,2,0)</f>
        <v>5</v>
      </c>
      <c r="I620" s="106">
        <f>VLOOKUP(C620,'RAW DATA 2023'!E:BO,22,0)</f>
        <v>5.3640120000000007</v>
      </c>
      <c r="J620" s="72">
        <f t="shared" si="47"/>
        <v>3.3640120000000007</v>
      </c>
      <c r="K620" s="109">
        <f t="shared" si="48"/>
        <v>5.6066866666666684</v>
      </c>
      <c r="L620" s="63">
        <f t="shared" si="49"/>
        <v>5.6066866666666684</v>
      </c>
      <c r="M620" s="123"/>
    </row>
    <row r="621" spans="1:13" hidden="1">
      <c r="A621" s="63" t="str">
        <f>'RAW DATA 2023'!B19</f>
        <v>Lamae</v>
      </c>
      <c r="B621" s="63" t="str">
        <f>'RAW DATA 2023'!D19</f>
        <v>B1-022-0012</v>
      </c>
      <c r="C621" s="63" t="str">
        <f t="shared" si="45"/>
        <v>LamaeB1-022-0012</v>
      </c>
      <c r="D621" s="68">
        <f>VLOOKUP(C621,'RAW DATA 2023'!E:BP,63,0)</f>
        <v>9</v>
      </c>
      <c r="E621" s="68" t="str">
        <f t="shared" si="46"/>
        <v>Lamae9</v>
      </c>
      <c r="F621" s="63" t="str">
        <f>VLOOKUP(C621,'RAW DATA 2023'!E:BO,5,0)</f>
        <v>Outdoor</v>
      </c>
      <c r="G621" s="63" t="s">
        <v>67</v>
      </c>
      <c r="H621" s="63">
        <f>VLOOKUP(C621,'RAW DATA 2023'!E:BO,2,0)</f>
        <v>8.5</v>
      </c>
      <c r="I621" s="106">
        <f>VLOOKUP(C621,'RAW DATA 2023'!E:BO,22,0)</f>
        <v>5.0910517647058828</v>
      </c>
      <c r="J621" s="72">
        <f t="shared" si="47"/>
        <v>3.0910517647058828</v>
      </c>
      <c r="K621" s="109">
        <f t="shared" si="48"/>
        <v>5.151752941176472</v>
      </c>
      <c r="L621" s="63">
        <f t="shared" si="49"/>
        <v>5.151752941176472</v>
      </c>
      <c r="M621" s="123"/>
    </row>
    <row r="622" spans="1:13" hidden="1">
      <c r="A622" s="63" t="str">
        <f>'RAW DATA 2023'!B56</f>
        <v>Petchburi5</v>
      </c>
      <c r="B622" s="63" t="str">
        <f>'RAW DATA 2023'!D56</f>
        <v>B1-126-0007</v>
      </c>
      <c r="C622" s="63" t="str">
        <f t="shared" si="45"/>
        <v>Petchburi5B1-126-0007</v>
      </c>
      <c r="D622" s="68">
        <f>VLOOKUP(C622,'RAW DATA 2023'!E:BP,63,0)</f>
        <v>3</v>
      </c>
      <c r="E622" s="68" t="str">
        <f t="shared" si="46"/>
        <v>Petchburi53</v>
      </c>
      <c r="F622" s="63" t="str">
        <f>VLOOKUP(C622,'RAW DATA 2023'!E:BO,5,0)</f>
        <v>Outdoor</v>
      </c>
      <c r="G622" s="63" t="s">
        <v>67</v>
      </c>
      <c r="H622" s="63">
        <f>VLOOKUP(C622,'RAW DATA 2023'!E:BO,2,0)</f>
        <v>1.5</v>
      </c>
      <c r="I622" s="106">
        <f>VLOOKUP(C622,'RAW DATA 2023'!E:BO,22,0)</f>
        <v>11.284626666666666</v>
      </c>
      <c r="J622" s="72">
        <f t="shared" si="47"/>
        <v>5.2846266666666661</v>
      </c>
      <c r="K622" s="109">
        <f t="shared" si="48"/>
        <v>8.8077111111111108</v>
      </c>
      <c r="L622" s="63">
        <f t="shared" si="49"/>
        <v>6.25</v>
      </c>
      <c r="M622" s="123"/>
    </row>
    <row r="623" spans="1:13" hidden="1">
      <c r="A623" s="63" t="str">
        <f>'RAW DATA 2023'!B64</f>
        <v>Petchburi5</v>
      </c>
      <c r="B623" s="63" t="str">
        <f>'RAW DATA 2023'!D64</f>
        <v>AG-001-0014</v>
      </c>
      <c r="C623" s="63" t="str">
        <f t="shared" si="45"/>
        <v>Petchburi5AG-001-0014</v>
      </c>
      <c r="D623" s="68">
        <f>VLOOKUP(C623,'RAW DATA 2023'!E:BP,63,0)</f>
        <v>11</v>
      </c>
      <c r="E623" s="68" t="str">
        <f t="shared" si="46"/>
        <v>Petchburi511</v>
      </c>
      <c r="F623" s="63" t="str">
        <f>VLOOKUP(C623,'RAW DATA 2023'!E:BO,5,0)</f>
        <v>Greenhouse</v>
      </c>
      <c r="G623" s="63" t="s">
        <v>1954</v>
      </c>
      <c r="H623" s="63">
        <f>VLOOKUP(C623,'RAW DATA 2023'!E:BO,2,0)</f>
        <v>1.5</v>
      </c>
      <c r="I623" s="106">
        <f>VLOOKUP(C623,'RAW DATA 2023'!E:BO,22,0)</f>
        <v>14.252193333333333</v>
      </c>
      <c r="J623" s="72">
        <f t="shared" si="47"/>
        <v>10.252193333333333</v>
      </c>
      <c r="K623" s="109">
        <f t="shared" si="48"/>
        <v>17.086988888888889</v>
      </c>
      <c r="L623" s="63">
        <f t="shared" si="49"/>
        <v>6.25</v>
      </c>
      <c r="M623" s="123"/>
    </row>
    <row r="624" spans="1:13" hidden="1">
      <c r="A624" s="63" t="str">
        <f>'RAW DATA 2023'!B95</f>
        <v>Roiphet1</v>
      </c>
      <c r="B624" s="63" t="str">
        <f>'RAW DATA 2023'!D95</f>
        <v>A5-I09-0099</v>
      </c>
      <c r="C624" s="63" t="str">
        <f t="shared" si="45"/>
        <v>Roiphet1A5-I09-0099</v>
      </c>
      <c r="D624" s="68">
        <f>VLOOKUP(C624,'RAW DATA 2023'!E:BP,63,0)</f>
        <v>10</v>
      </c>
      <c r="E624" s="68" t="str">
        <f t="shared" si="46"/>
        <v>Roiphet110</v>
      </c>
      <c r="F624" s="63" t="str">
        <f>VLOOKUP(C624,'RAW DATA 2023'!E:BO,5,0)</f>
        <v>Greenhouse</v>
      </c>
      <c r="G624" s="63" t="s">
        <v>1954</v>
      </c>
      <c r="H624" s="63">
        <f>VLOOKUP(C624,'RAW DATA 2023'!E:BO,2,0)</f>
        <v>0.72</v>
      </c>
      <c r="I624" s="106">
        <f>VLOOKUP(C624,'RAW DATA 2023'!E:BO,22,0)</f>
        <v>4.5623472222222219</v>
      </c>
      <c r="J624" s="72">
        <f t="shared" si="47"/>
        <v>0.56234722222222189</v>
      </c>
      <c r="K624" s="109">
        <f t="shared" si="48"/>
        <v>0.93724537037036981</v>
      </c>
      <c r="L624" s="63">
        <f t="shared" si="49"/>
        <v>0.93724537037036981</v>
      </c>
      <c r="M624" s="123"/>
    </row>
    <row r="625" spans="1:13" hidden="1">
      <c r="A625" s="63" t="str">
        <f>'RAW DATA 2023'!B115</f>
        <v>Roiphet1</v>
      </c>
      <c r="B625" s="63" t="str">
        <f>'RAW DATA 2023'!D115</f>
        <v>D2-I04-0091</v>
      </c>
      <c r="C625" s="63" t="str">
        <f t="shared" si="45"/>
        <v>Roiphet1D2-I04-0091</v>
      </c>
      <c r="D625" s="68">
        <f>VLOOKUP(C625,'RAW DATA 2023'!E:BP,63,0)</f>
        <v>5</v>
      </c>
      <c r="E625" s="68" t="str">
        <f t="shared" si="46"/>
        <v>Roiphet15</v>
      </c>
      <c r="F625" s="63" t="str">
        <f>VLOOKUP(C625,'RAW DATA 2023'!E:BO,5,0)</f>
        <v>Greenhouse</v>
      </c>
      <c r="G625" s="63" t="s">
        <v>1955</v>
      </c>
      <c r="H625" s="63">
        <f>VLOOKUP(C625,'RAW DATA 2023'!E:BO,2,0)</f>
        <v>0.72</v>
      </c>
      <c r="I625" s="106">
        <f>VLOOKUP(C625,'RAW DATA 2023'!E:BO,22,0)</f>
        <v>6.1246111111111112</v>
      </c>
      <c r="J625" s="72">
        <f t="shared" si="47"/>
        <v>2.1246111111111112</v>
      </c>
      <c r="K625" s="109">
        <f t="shared" si="48"/>
        <v>3.541018518518519</v>
      </c>
      <c r="L625" s="63">
        <f t="shared" si="49"/>
        <v>3.541018518518519</v>
      </c>
      <c r="M625" s="123"/>
    </row>
    <row r="626" spans="1:13" hidden="1">
      <c r="A626" s="63" t="str">
        <f>'RAW DATA 2023'!B123</f>
        <v>Roiphet1</v>
      </c>
      <c r="B626" s="63" t="str">
        <f>'RAW DATA 2023'!D123</f>
        <v>D6-G11-0075</v>
      </c>
      <c r="C626" s="63" t="str">
        <f t="shared" si="45"/>
        <v>Roiphet1D6-G11-0075</v>
      </c>
      <c r="D626" s="68">
        <f>VLOOKUP(C626,'RAW DATA 2023'!E:BP,63,0)</f>
        <v>2</v>
      </c>
      <c r="E626" s="68" t="str">
        <f t="shared" si="46"/>
        <v>Roiphet12</v>
      </c>
      <c r="F626" s="63" t="str">
        <f>VLOOKUP(C626,'RAW DATA 2023'!E:BO,5,0)</f>
        <v>Greenhouse</v>
      </c>
      <c r="G626" s="63" t="s">
        <v>1954</v>
      </c>
      <c r="H626" s="63">
        <f>VLOOKUP(C626,'RAW DATA 2023'!E:BO,2,0)</f>
        <v>1.1299999999999999</v>
      </c>
      <c r="I626" s="106">
        <f>VLOOKUP(C626,'RAW DATA 2023'!E:BO,22,0)</f>
        <v>8.3763893805309753</v>
      </c>
      <c r="J626" s="72">
        <f t="shared" si="47"/>
        <v>4.3763893805309753</v>
      </c>
      <c r="K626" s="109">
        <f t="shared" si="48"/>
        <v>7.2939823008849594</v>
      </c>
      <c r="L626" s="63">
        <f t="shared" si="49"/>
        <v>6.25</v>
      </c>
      <c r="M626" s="123"/>
    </row>
    <row r="627" spans="1:13" hidden="1">
      <c r="A627" s="63" t="str">
        <f>'RAW DATA 2023'!B161</f>
        <v>Roiphet1</v>
      </c>
      <c r="B627" s="63" t="str">
        <f>'RAW DATA 2023'!D161</f>
        <v>A3-I06-0089</v>
      </c>
      <c r="C627" s="63" t="str">
        <f t="shared" si="45"/>
        <v>Roiphet1A3-I06-0089</v>
      </c>
      <c r="D627" s="68">
        <f>VLOOKUP(C627,'RAW DATA 2023'!E:BP,63,0)</f>
        <v>6</v>
      </c>
      <c r="E627" s="68" t="str">
        <f t="shared" si="46"/>
        <v>Roiphet16</v>
      </c>
      <c r="F627" s="63" t="str">
        <f>VLOOKUP(C627,'RAW DATA 2023'!E:BO,5,0)</f>
        <v>Greenhouse</v>
      </c>
      <c r="G627" s="63" t="s">
        <v>1954</v>
      </c>
      <c r="H627" s="63">
        <f>VLOOKUP(C627,'RAW DATA 2023'!E:BO,2,0)</f>
        <v>0.72</v>
      </c>
      <c r="I627" s="106">
        <f>VLOOKUP(C627,'RAW DATA 2023'!E:BO,22,0)</f>
        <v>4.8982083333333337</v>
      </c>
      <c r="J627" s="72">
        <f t="shared" si="47"/>
        <v>0.89820833333333372</v>
      </c>
      <c r="K627" s="109">
        <f t="shared" si="48"/>
        <v>1.4970138888888895</v>
      </c>
      <c r="L627" s="63">
        <f t="shared" si="49"/>
        <v>1.4970138888888895</v>
      </c>
      <c r="M627" s="123"/>
    </row>
    <row r="628" spans="1:13" hidden="1">
      <c r="A628" s="63" t="str">
        <f>'RAW DATA 2023'!B173</f>
        <v>Roiphet1</v>
      </c>
      <c r="B628" s="63" t="str">
        <f>'RAW DATA 2023'!D173</f>
        <v>A4-I08-0099</v>
      </c>
      <c r="C628" s="63" t="str">
        <f t="shared" si="45"/>
        <v>Roiphet1A4-I08-0099</v>
      </c>
      <c r="D628" s="68">
        <f>VLOOKUP(C628,'RAW DATA 2023'!E:BP,63,0)</f>
        <v>6</v>
      </c>
      <c r="E628" s="68" t="str">
        <f t="shared" si="46"/>
        <v>Roiphet16</v>
      </c>
      <c r="F628" s="63" t="str">
        <f>VLOOKUP(C628,'RAW DATA 2023'!E:BO,5,0)</f>
        <v>Greenhouse</v>
      </c>
      <c r="G628" s="63" t="s">
        <v>1955</v>
      </c>
      <c r="H628" s="63">
        <f>VLOOKUP(C628,'RAW DATA 2023'!E:BO,2,0)</f>
        <v>0.72</v>
      </c>
      <c r="I628" s="106">
        <f>VLOOKUP(C628,'RAW DATA 2023'!E:BO,22,0)</f>
        <v>4.7674583333333338</v>
      </c>
      <c r="J628" s="72">
        <f t="shared" si="47"/>
        <v>0.7674583333333338</v>
      </c>
      <c r="K628" s="109">
        <f t="shared" si="48"/>
        <v>1.279097222222223</v>
      </c>
      <c r="L628" s="63">
        <f t="shared" si="49"/>
        <v>1.279097222222223</v>
      </c>
      <c r="M628" s="123"/>
    </row>
    <row r="629" spans="1:13" hidden="1">
      <c r="A629" s="63" t="str">
        <f>'RAW DATA 2023'!B182</f>
        <v>Roiphet1</v>
      </c>
      <c r="B629" s="63" t="str">
        <f>'RAW DATA 2023'!D182</f>
        <v>D1-G02-0080</v>
      </c>
      <c r="C629" s="63" t="str">
        <f t="shared" si="45"/>
        <v>Roiphet1D1-G02-0080</v>
      </c>
      <c r="D629" s="68">
        <f>VLOOKUP(C629,'RAW DATA 2023'!E:BP,63,0)</f>
        <v>12</v>
      </c>
      <c r="E629" s="68" t="str">
        <f t="shared" si="46"/>
        <v>Roiphet112</v>
      </c>
      <c r="F629" s="63" t="str">
        <f>VLOOKUP(C629,'RAW DATA 2023'!E:BO,5,0)</f>
        <v>Greenhouse</v>
      </c>
      <c r="G629" s="63" t="s">
        <v>1954</v>
      </c>
      <c r="H629" s="63">
        <f>VLOOKUP(C629,'RAW DATA 2023'!E:BO,2,0)</f>
        <v>1.1299999999999999</v>
      </c>
      <c r="I629" s="106">
        <f>VLOOKUP(C629,'RAW DATA 2023'!E:BO,22,0)</f>
        <v>5.5380353982300887</v>
      </c>
      <c r="J629" s="72">
        <f t="shared" si="47"/>
        <v>1.5380353982300887</v>
      </c>
      <c r="K629" s="109">
        <f t="shared" si="48"/>
        <v>2.5633923303834814</v>
      </c>
      <c r="L629" s="63">
        <f t="shared" si="49"/>
        <v>2.5633923303834814</v>
      </c>
      <c r="M629" s="123"/>
    </row>
    <row r="630" spans="1:13" hidden="1">
      <c r="A630" s="63" t="str">
        <f>'RAW DATA 2023'!B185</f>
        <v>Roiphet1</v>
      </c>
      <c r="B630" s="63" t="str">
        <f>'RAW DATA 2023'!D185</f>
        <v>B4-G08-0079</v>
      </c>
      <c r="C630" s="63" t="str">
        <f t="shared" si="45"/>
        <v>Roiphet1B4-G08-0079</v>
      </c>
      <c r="D630" s="68">
        <f>VLOOKUP(C630,'RAW DATA 2023'!E:BP,63,0)</f>
        <v>2</v>
      </c>
      <c r="E630" s="68" t="str">
        <f t="shared" si="46"/>
        <v>Roiphet12</v>
      </c>
      <c r="F630" s="63" t="str">
        <f>VLOOKUP(C630,'RAW DATA 2023'!E:BO,5,0)</f>
        <v>Greenhouse</v>
      </c>
      <c r="G630" s="63" t="s">
        <v>1954</v>
      </c>
      <c r="H630" s="63">
        <f>VLOOKUP(C630,'RAW DATA 2023'!E:BO,2,0)</f>
        <v>1.1299999999999999</v>
      </c>
      <c r="I630" s="106">
        <f>VLOOKUP(C630,'RAW DATA 2023'!E:BO,22,0)</f>
        <v>6.7139292035398235</v>
      </c>
      <c r="J630" s="72">
        <f t="shared" si="47"/>
        <v>2.7139292035398235</v>
      </c>
      <c r="K630" s="109">
        <f t="shared" si="48"/>
        <v>4.5232153392330394</v>
      </c>
      <c r="L630" s="63">
        <f t="shared" si="49"/>
        <v>4.5232153392330394</v>
      </c>
      <c r="M630" s="123"/>
    </row>
    <row r="631" spans="1:13" hidden="1">
      <c r="A631" s="63" t="str">
        <f>'RAW DATA 2023'!B186</f>
        <v>Roiphet1</v>
      </c>
      <c r="B631" s="63" t="str">
        <f>'RAW DATA 2023'!D186</f>
        <v>B2-I04-0097</v>
      </c>
      <c r="C631" s="63" t="str">
        <f t="shared" si="45"/>
        <v>Roiphet1B2-I04-0097</v>
      </c>
      <c r="D631" s="68">
        <f>VLOOKUP(C631,'RAW DATA 2023'!E:BP,63,0)</f>
        <v>2</v>
      </c>
      <c r="E631" s="68" t="str">
        <f t="shared" si="46"/>
        <v>Roiphet12</v>
      </c>
      <c r="F631" s="63" t="str">
        <f>VLOOKUP(C631,'RAW DATA 2023'!E:BO,5,0)</f>
        <v>Greenhouse</v>
      </c>
      <c r="G631" s="63" t="s">
        <v>1954</v>
      </c>
      <c r="H631" s="63">
        <f>VLOOKUP(C631,'RAW DATA 2023'!E:BO,2,0)</f>
        <v>0.72</v>
      </c>
      <c r="I631" s="106">
        <f>VLOOKUP(C631,'RAW DATA 2023'!E:BO,22,0)</f>
        <v>4.667583333333333</v>
      </c>
      <c r="J631" s="72">
        <f t="shared" si="47"/>
        <v>0.66758333333333297</v>
      </c>
      <c r="K631" s="109">
        <f t="shared" si="48"/>
        <v>1.1126388888888883</v>
      </c>
      <c r="L631" s="63">
        <f t="shared" si="49"/>
        <v>1.1126388888888883</v>
      </c>
      <c r="M631" s="123"/>
    </row>
    <row r="632" spans="1:13" hidden="1">
      <c r="A632" s="63" t="str">
        <f>'RAW DATA 2023'!B187</f>
        <v>Roiphet1</v>
      </c>
      <c r="B632" s="63" t="str">
        <f>'RAW DATA 2023'!D187</f>
        <v>B6-G12-0086</v>
      </c>
      <c r="C632" s="63" t="str">
        <f t="shared" si="45"/>
        <v>Roiphet1B6-G12-0086</v>
      </c>
      <c r="D632" s="68">
        <f>VLOOKUP(C632,'RAW DATA 2023'!E:BP,63,0)</f>
        <v>1</v>
      </c>
      <c r="E632" s="68" t="str">
        <f t="shared" si="46"/>
        <v>Roiphet11</v>
      </c>
      <c r="F632" s="63" t="str">
        <f>VLOOKUP(C632,'RAW DATA 2023'!E:BO,5,0)</f>
        <v>Greenhouse</v>
      </c>
      <c r="G632" s="63" t="s">
        <v>1954</v>
      </c>
      <c r="H632" s="63">
        <f>VLOOKUP(C632,'RAW DATA 2023'!E:BO,2,0)</f>
        <v>1.1299999999999999</v>
      </c>
      <c r="I632" s="106">
        <f>VLOOKUP(C632,'RAW DATA 2023'!E:BO,22,0)</f>
        <v>7.1049823008849557</v>
      </c>
      <c r="J632" s="72">
        <f t="shared" si="47"/>
        <v>3.1049823008849557</v>
      </c>
      <c r="K632" s="109">
        <f t="shared" si="48"/>
        <v>5.1749705014749265</v>
      </c>
      <c r="L632" s="63">
        <f t="shared" si="49"/>
        <v>5.1749705014749265</v>
      </c>
      <c r="M632" s="123"/>
    </row>
    <row r="633" spans="1:13">
      <c r="A633" s="63" t="str">
        <f>'RAW DATA 2023'!B190</f>
        <v>Roiphet1</v>
      </c>
      <c r="B633" s="63" t="str">
        <f>'RAW DATA 2023'!D190</f>
        <v>B2-G04-0091</v>
      </c>
      <c r="C633" s="63" t="str">
        <f t="shared" si="45"/>
        <v>Roiphet1B2-G04-0091</v>
      </c>
      <c r="D633" s="68">
        <f>VLOOKUP(C633,'RAW DATA 2023'!E:BP,63,0)</f>
        <v>2</v>
      </c>
      <c r="E633" s="68" t="str">
        <f t="shared" si="46"/>
        <v>Roiphet12</v>
      </c>
      <c r="F633" s="63" t="str">
        <f>VLOOKUP(C633,'RAW DATA 2023'!E:BO,5,0)</f>
        <v>Greenhouse</v>
      </c>
      <c r="G633" s="63" t="s">
        <v>1951</v>
      </c>
      <c r="H633" s="63">
        <f>VLOOKUP(C633,'RAW DATA 2023'!E:BO,2,0)</f>
        <v>1.1299999999999999</v>
      </c>
      <c r="I633" s="106">
        <f>VLOOKUP(C633,'RAW DATA 2023'!E:BO,22,0)</f>
        <v>6.1874778761061959</v>
      </c>
      <c r="J633" s="72">
        <f t="shared" si="47"/>
        <v>2.1874778761061959</v>
      </c>
      <c r="K633" s="109">
        <f t="shared" si="48"/>
        <v>3.6457964601769932</v>
      </c>
      <c r="L633" s="63">
        <f t="shared" si="49"/>
        <v>3.6457964601769932</v>
      </c>
      <c r="M633" s="123"/>
    </row>
    <row r="634" spans="1:13">
      <c r="A634" s="63" t="str">
        <f>'RAW DATA 2023'!B193</f>
        <v>Roiphet1</v>
      </c>
      <c r="B634" s="63" t="str">
        <f>'RAW DATA 2023'!D193</f>
        <v>B1-G01-0083</v>
      </c>
      <c r="C634" s="63" t="str">
        <f t="shared" si="45"/>
        <v>Roiphet1B1-G01-0083</v>
      </c>
      <c r="D634" s="68">
        <f>VLOOKUP(C634,'RAW DATA 2023'!E:BP,63,0)</f>
        <v>2</v>
      </c>
      <c r="E634" s="68" t="str">
        <f t="shared" si="46"/>
        <v>Roiphet12</v>
      </c>
      <c r="F634" s="63" t="str">
        <f>VLOOKUP(C634,'RAW DATA 2023'!E:BO,5,0)</f>
        <v>Greenhouse</v>
      </c>
      <c r="G634" s="63" t="s">
        <v>1951</v>
      </c>
      <c r="H634" s="63">
        <f>VLOOKUP(C634,'RAW DATA 2023'!E:BO,2,0)</f>
        <v>1.1299999999999999</v>
      </c>
      <c r="I634" s="106">
        <f>VLOOKUP(C634,'RAW DATA 2023'!E:BO,22,0)</f>
        <v>5.5950442477876114</v>
      </c>
      <c r="J634" s="72">
        <f t="shared" si="47"/>
        <v>1.5950442477876114</v>
      </c>
      <c r="K634" s="109">
        <f t="shared" si="48"/>
        <v>2.6584070796460191</v>
      </c>
      <c r="L634" s="63">
        <f t="shared" si="49"/>
        <v>2.6584070796460191</v>
      </c>
      <c r="M634" s="123"/>
    </row>
    <row r="635" spans="1:13" hidden="1">
      <c r="A635" s="63" t="str">
        <f>'RAW DATA 2023'!B209</f>
        <v>Roiphet1</v>
      </c>
      <c r="B635" s="63" t="str">
        <f>'RAW DATA 2023'!D209</f>
        <v>C2-I04-0068</v>
      </c>
      <c r="C635" s="63" t="str">
        <f t="shared" si="45"/>
        <v>Roiphet1C2-I04-0068</v>
      </c>
      <c r="D635" s="68">
        <f>VLOOKUP(C635,'RAW DATA 2023'!E:BP,63,0)</f>
        <v>10</v>
      </c>
      <c r="E635" s="68" t="str">
        <f t="shared" si="46"/>
        <v>Roiphet110</v>
      </c>
      <c r="F635" s="63" t="str">
        <f>VLOOKUP(C635,'RAW DATA 2023'!E:BO,5,0)</f>
        <v>Greenhouse</v>
      </c>
      <c r="G635" s="63" t="s">
        <v>1954</v>
      </c>
      <c r="H635" s="63">
        <f>VLOOKUP(C635,'RAW DATA 2023'!E:BO,2,0)</f>
        <v>0.72</v>
      </c>
      <c r="I635" s="106">
        <f>VLOOKUP(C635,'RAW DATA 2023'!E:BO,22,0)</f>
        <v>4.2101111111111118</v>
      </c>
      <c r="J635" s="72">
        <f t="shared" si="47"/>
        <v>0.2101111111111118</v>
      </c>
      <c r="K635" s="109">
        <f t="shared" si="48"/>
        <v>0.35018518518518638</v>
      </c>
      <c r="L635" s="63">
        <f t="shared" si="49"/>
        <v>0.35018518518518638</v>
      </c>
      <c r="M635" s="123"/>
    </row>
    <row r="636" spans="1:13" hidden="1">
      <c r="A636" s="63" t="str">
        <f>'RAW DATA 2023'!B215</f>
        <v>Roiphet1</v>
      </c>
      <c r="B636" s="63" t="str">
        <f>'RAW DATA 2023'!D215</f>
        <v>C2-I04-0066</v>
      </c>
      <c r="C636" s="63" t="str">
        <f t="shared" si="45"/>
        <v>Roiphet1C2-I04-0066</v>
      </c>
      <c r="D636" s="68">
        <f>VLOOKUP(C636,'RAW DATA 2023'!E:BP,63,0)</f>
        <v>3</v>
      </c>
      <c r="E636" s="68" t="str">
        <f t="shared" si="46"/>
        <v>Roiphet13</v>
      </c>
      <c r="F636" s="63" t="str">
        <f>VLOOKUP(C636,'RAW DATA 2023'!E:BO,5,0)</f>
        <v>Greenhouse</v>
      </c>
      <c r="G636" s="63" t="s">
        <v>1954</v>
      </c>
      <c r="H636" s="63">
        <f>VLOOKUP(C636,'RAW DATA 2023'!E:BO,2,0)</f>
        <v>0.72</v>
      </c>
      <c r="I636" s="106">
        <f>VLOOKUP(C636,'RAW DATA 2023'!E:BO,22,0)</f>
        <v>9.909527777777777</v>
      </c>
      <c r="J636" s="72">
        <f t="shared" si="47"/>
        <v>5.909527777777777</v>
      </c>
      <c r="K636" s="109">
        <f t="shared" si="48"/>
        <v>9.8492129629629623</v>
      </c>
      <c r="L636" s="63">
        <f t="shared" si="49"/>
        <v>6.25</v>
      </c>
      <c r="M636" s="123"/>
    </row>
    <row r="637" spans="1:13" hidden="1">
      <c r="A637" s="63" t="str">
        <f>'RAW DATA 2023'!B217</f>
        <v>Roiphet1</v>
      </c>
      <c r="B637" s="63" t="str">
        <f>'RAW DATA 2023'!D217</f>
        <v>C5-G09-0058</v>
      </c>
      <c r="C637" s="63" t="str">
        <f t="shared" si="45"/>
        <v>Roiphet1C5-G09-0058</v>
      </c>
      <c r="D637" s="68">
        <f>VLOOKUP(C637,'RAW DATA 2023'!E:BP,63,0)</f>
        <v>10</v>
      </c>
      <c r="E637" s="68" t="str">
        <f t="shared" si="46"/>
        <v>Roiphet110</v>
      </c>
      <c r="F637" s="63" t="str">
        <f>VLOOKUP(C637,'RAW DATA 2023'!E:BO,5,0)</f>
        <v>Greenhouse</v>
      </c>
      <c r="G637" s="63" t="s">
        <v>1954</v>
      </c>
      <c r="H637" s="63">
        <f>VLOOKUP(C637,'RAW DATA 2023'!E:BO,2,0)</f>
        <v>1.1299999999999999</v>
      </c>
      <c r="I637" s="106">
        <f>VLOOKUP(C637,'RAW DATA 2023'!E:BO,22,0)</f>
        <v>7.3060265486725671</v>
      </c>
      <c r="J637" s="72">
        <f t="shared" si="47"/>
        <v>3.3060265486725671</v>
      </c>
      <c r="K637" s="109">
        <f t="shared" si="48"/>
        <v>5.5100442477876124</v>
      </c>
      <c r="L637" s="63">
        <f t="shared" si="49"/>
        <v>5.5100442477876124</v>
      </c>
      <c r="M637" s="123"/>
    </row>
    <row r="638" spans="1:13" hidden="1">
      <c r="A638" s="63" t="str">
        <f>'RAW DATA 2023'!B225</f>
        <v>Roiphet1</v>
      </c>
      <c r="B638" s="63" t="str">
        <f>'RAW DATA 2023'!D225</f>
        <v>D2-I04-0092</v>
      </c>
      <c r="C638" s="63" t="str">
        <f t="shared" si="45"/>
        <v>Roiphet1D2-I04-0092</v>
      </c>
      <c r="D638" s="68">
        <f>VLOOKUP(C638,'RAW DATA 2023'!E:BP,63,0)</f>
        <v>9</v>
      </c>
      <c r="E638" s="68" t="str">
        <f t="shared" si="46"/>
        <v>Roiphet19</v>
      </c>
      <c r="F638" s="63" t="str">
        <f>VLOOKUP(C638,'RAW DATA 2023'!E:BO,5,0)</f>
        <v>Greenhouse</v>
      </c>
      <c r="G638" s="63" t="s">
        <v>1955</v>
      </c>
      <c r="H638" s="63">
        <f>VLOOKUP(C638,'RAW DATA 2023'!E:BO,2,0)</f>
        <v>0.72</v>
      </c>
      <c r="I638" s="106">
        <f>VLOOKUP(C638,'RAW DATA 2023'!E:BO,22,0)</f>
        <v>6.4538888888888888</v>
      </c>
      <c r="J638" s="72">
        <f t="shared" si="47"/>
        <v>2.4538888888888888</v>
      </c>
      <c r="K638" s="109">
        <f t="shared" si="48"/>
        <v>4.0898148148148152</v>
      </c>
      <c r="L638" s="63">
        <f t="shared" si="49"/>
        <v>4.0898148148148152</v>
      </c>
      <c r="M638" s="123"/>
    </row>
    <row r="639" spans="1:13" hidden="1">
      <c r="A639" s="63" t="str">
        <f>'RAW DATA 2023'!B226</f>
        <v>Roiphet1</v>
      </c>
      <c r="B639" s="63" t="str">
        <f>'RAW DATA 2023'!D226</f>
        <v>C4-G07-0056</v>
      </c>
      <c r="C639" s="63" t="str">
        <f t="shared" si="45"/>
        <v>Roiphet1C4-G07-0056</v>
      </c>
      <c r="D639" s="68">
        <f>VLOOKUP(C639,'RAW DATA 2023'!E:BP,63,0)</f>
        <v>1</v>
      </c>
      <c r="E639" s="68" t="str">
        <f t="shared" si="46"/>
        <v>Roiphet11</v>
      </c>
      <c r="F639" s="63" t="str">
        <f>VLOOKUP(C639,'RAW DATA 2023'!E:BO,5,0)</f>
        <v>Greenhouse</v>
      </c>
      <c r="G639" s="63" t="s">
        <v>1955</v>
      </c>
      <c r="H639" s="63">
        <f>VLOOKUP(C639,'RAW DATA 2023'!E:BO,2,0)</f>
        <v>1.1299999999999999</v>
      </c>
      <c r="I639" s="106">
        <f>VLOOKUP(C639,'RAW DATA 2023'!E:BO,22,0)</f>
        <v>6.725300884955753</v>
      </c>
      <c r="J639" s="72">
        <f t="shared" si="47"/>
        <v>2.725300884955753</v>
      </c>
      <c r="K639" s="109">
        <f t="shared" si="48"/>
        <v>4.5421681415929216</v>
      </c>
      <c r="L639" s="63">
        <f t="shared" si="49"/>
        <v>4.5421681415929216</v>
      </c>
      <c r="M639" s="123"/>
    </row>
    <row r="640" spans="1:13" hidden="1">
      <c r="A640" s="63" t="str">
        <f>'RAW DATA 2023'!B231</f>
        <v>Roiphet1</v>
      </c>
      <c r="B640" s="63" t="str">
        <f>'RAW DATA 2023'!D231</f>
        <v>C1-G01-0073</v>
      </c>
      <c r="C640" s="63" t="str">
        <f t="shared" si="45"/>
        <v>Roiphet1C1-G01-0073</v>
      </c>
      <c r="D640" s="68">
        <f>VLOOKUP(C640,'RAW DATA 2023'!E:BP,63,0)</f>
        <v>9</v>
      </c>
      <c r="E640" s="68" t="str">
        <f t="shared" si="46"/>
        <v>Roiphet19</v>
      </c>
      <c r="F640" s="63" t="str">
        <f>VLOOKUP(C640,'RAW DATA 2023'!E:BO,5,0)</f>
        <v>Greenhouse</v>
      </c>
      <c r="G640" s="63" t="s">
        <v>1955</v>
      </c>
      <c r="H640" s="63">
        <f>VLOOKUP(C640,'RAW DATA 2023'!E:BO,2,0)</f>
        <v>1.1299999999999999</v>
      </c>
      <c r="I640" s="106">
        <f>VLOOKUP(C640,'RAW DATA 2023'!E:BO,22,0)</f>
        <v>5.1203893805309741</v>
      </c>
      <c r="J640" s="72">
        <f t="shared" si="47"/>
        <v>1.1203893805309741</v>
      </c>
      <c r="K640" s="109">
        <f t="shared" si="48"/>
        <v>1.8673156342182904</v>
      </c>
      <c r="L640" s="63">
        <f t="shared" si="49"/>
        <v>1.8673156342182904</v>
      </c>
      <c r="M640" s="123"/>
    </row>
    <row r="641" spans="1:13" hidden="1">
      <c r="A641" s="63" t="str">
        <f>'RAW DATA 2023'!B244</f>
        <v>Roiphet1</v>
      </c>
      <c r="B641" s="63" t="str">
        <f>'RAW DATA 2023'!D244</f>
        <v>C1-I02-0072</v>
      </c>
      <c r="C641" s="63" t="str">
        <f t="shared" si="45"/>
        <v>Roiphet1C1-I02-0072</v>
      </c>
      <c r="D641" s="68">
        <f>VLOOKUP(C641,'RAW DATA 2023'!E:BP,63,0)</f>
        <v>9</v>
      </c>
      <c r="E641" s="68" t="str">
        <f t="shared" si="46"/>
        <v>Roiphet19</v>
      </c>
      <c r="F641" s="63" t="str">
        <f>VLOOKUP(C641,'RAW DATA 2023'!E:BO,5,0)</f>
        <v>Greenhouse</v>
      </c>
      <c r="G641" s="63" t="s">
        <v>1955</v>
      </c>
      <c r="H641" s="63">
        <f>VLOOKUP(C641,'RAW DATA 2023'!E:BO,2,0)</f>
        <v>0.72</v>
      </c>
      <c r="I641" s="106">
        <f>VLOOKUP(C641,'RAW DATA 2023'!E:BO,22,0)</f>
        <v>4.8971388888888887</v>
      </c>
      <c r="J641" s="72">
        <f t="shared" si="47"/>
        <v>0.89713888888888871</v>
      </c>
      <c r="K641" s="109">
        <f t="shared" si="48"/>
        <v>1.4952314814814813</v>
      </c>
      <c r="L641" s="63">
        <f t="shared" si="49"/>
        <v>1.4952314814814813</v>
      </c>
      <c r="M641" s="123"/>
    </row>
    <row r="642" spans="1:13" hidden="1">
      <c r="A642" s="63" t="str">
        <f>'RAW DATA 2023'!B252</f>
        <v>Roiphet1</v>
      </c>
      <c r="B642" s="63" t="str">
        <f>'RAW DATA 2023'!D252</f>
        <v>C3-G06-0077</v>
      </c>
      <c r="C642" s="63" t="str">
        <f t="shared" si="45"/>
        <v>Roiphet1C3-G06-0077</v>
      </c>
      <c r="D642" s="68">
        <f>VLOOKUP(C642,'RAW DATA 2023'!E:BP,63,0)</f>
        <v>3</v>
      </c>
      <c r="E642" s="68" t="str">
        <f t="shared" si="46"/>
        <v>Roiphet13</v>
      </c>
      <c r="F642" s="63" t="str">
        <f>VLOOKUP(C642,'RAW DATA 2023'!E:BO,5,0)</f>
        <v>Greenhouse</v>
      </c>
      <c r="G642" s="63" t="s">
        <v>1954</v>
      </c>
      <c r="H642" s="63">
        <f>VLOOKUP(C642,'RAW DATA 2023'!E:BO,2,0)</f>
        <v>1.1299999999999999</v>
      </c>
      <c r="I642" s="106">
        <f>VLOOKUP(C642,'RAW DATA 2023'!E:BO,22,0)</f>
        <v>6.9510530973451328</v>
      </c>
      <c r="J642" s="72">
        <f t="shared" si="47"/>
        <v>2.9510530973451328</v>
      </c>
      <c r="K642" s="109">
        <f t="shared" si="48"/>
        <v>4.9184218289085546</v>
      </c>
      <c r="L642" s="63">
        <f t="shared" si="49"/>
        <v>4.9184218289085546</v>
      </c>
      <c r="M642" s="123"/>
    </row>
    <row r="643" spans="1:13" hidden="1">
      <c r="A643" s="63" t="str">
        <f>'RAW DATA 2023'!B267</f>
        <v>Roiphet1</v>
      </c>
      <c r="B643" s="63" t="str">
        <f>'RAW DATA 2023'!D267</f>
        <v>B6-G12-0087</v>
      </c>
      <c r="C643" s="63" t="str">
        <f t="shared" si="45"/>
        <v>Roiphet1B6-G12-0087</v>
      </c>
      <c r="D643" s="68">
        <f>VLOOKUP(C643,'RAW DATA 2023'!E:BP,63,0)</f>
        <v>6</v>
      </c>
      <c r="E643" s="68" t="str">
        <f t="shared" si="46"/>
        <v>Roiphet16</v>
      </c>
      <c r="F643" s="63" t="str">
        <f>VLOOKUP(C643,'RAW DATA 2023'!E:BO,5,0)</f>
        <v>Greenhouse</v>
      </c>
      <c r="G643" s="63" t="s">
        <v>67</v>
      </c>
      <c r="H643" s="63">
        <f>VLOOKUP(C643,'RAW DATA 2023'!E:BO,2,0)</f>
        <v>1.1299999999999999</v>
      </c>
      <c r="I643" s="106">
        <f>VLOOKUP(C643,'RAW DATA 2023'!E:BO,22,0)</f>
        <v>7.5503362831858407</v>
      </c>
      <c r="J643" s="72">
        <f t="shared" si="47"/>
        <v>3.5503362831858407</v>
      </c>
      <c r="K643" s="109">
        <f t="shared" si="48"/>
        <v>5.9172271386430682</v>
      </c>
      <c r="L643" s="63">
        <f t="shared" si="49"/>
        <v>5.9172271386430682</v>
      </c>
      <c r="M643" s="123"/>
    </row>
    <row r="644" spans="1:13" hidden="1">
      <c r="A644" s="63" t="str">
        <f>'RAW DATA 2023'!B276</f>
        <v>Roiphet1</v>
      </c>
      <c r="B644" s="63" t="str">
        <f>'RAW DATA 2023'!D276</f>
        <v>B5-I09-0093</v>
      </c>
      <c r="C644" s="63" t="str">
        <f t="shared" si="45"/>
        <v>Roiphet1B5-I09-0093</v>
      </c>
      <c r="D644" s="68">
        <f>VLOOKUP(C644,'RAW DATA 2023'!E:BP,63,0)</f>
        <v>5</v>
      </c>
      <c r="E644" s="68" t="str">
        <f t="shared" si="46"/>
        <v>Roiphet15</v>
      </c>
      <c r="F644" s="63" t="str">
        <f>VLOOKUP(C644,'RAW DATA 2023'!E:BO,5,0)</f>
        <v>Greenhouse</v>
      </c>
      <c r="G644" s="63" t="s">
        <v>67</v>
      </c>
      <c r="H644" s="63">
        <f>VLOOKUP(C644,'RAW DATA 2023'!E:BO,2,0)</f>
        <v>0.72</v>
      </c>
      <c r="I644" s="106">
        <f>VLOOKUP(C644,'RAW DATA 2023'!E:BO,22,0)</f>
        <v>6.9570833333333342</v>
      </c>
      <c r="J644" s="72">
        <f t="shared" si="47"/>
        <v>2.9570833333333342</v>
      </c>
      <c r="K644" s="109">
        <f t="shared" si="48"/>
        <v>4.9284722222222239</v>
      </c>
      <c r="L644" s="63">
        <f t="shared" si="49"/>
        <v>4.9284722222222239</v>
      </c>
      <c r="M644" s="123"/>
    </row>
    <row r="645" spans="1:13">
      <c r="A645" s="63" t="str">
        <f>'RAW DATA 2023'!B295</f>
        <v>Roiphet1</v>
      </c>
      <c r="B645" s="63" t="str">
        <f>'RAW DATA 2023'!D295</f>
        <v>B4-G07-0077</v>
      </c>
      <c r="C645" s="63" t="str">
        <f t="shared" si="45"/>
        <v>Roiphet1B4-G07-0077</v>
      </c>
      <c r="D645" s="68">
        <f>VLOOKUP(C645,'RAW DATA 2023'!E:BP,63,0)</f>
        <v>7</v>
      </c>
      <c r="E645" s="68" t="str">
        <f t="shared" si="46"/>
        <v>Roiphet17</v>
      </c>
      <c r="F645" s="63" t="str">
        <f>VLOOKUP(C645,'RAW DATA 2023'!E:BO,5,0)</f>
        <v>Greenhouse</v>
      </c>
      <c r="G645" s="63" t="s">
        <v>1951</v>
      </c>
      <c r="H645" s="63">
        <f>VLOOKUP(C645,'RAW DATA 2023'!E:BO,2,0)</f>
        <v>1.1299999999999999</v>
      </c>
      <c r="I645" s="106">
        <f>VLOOKUP(C645,'RAW DATA 2023'!E:BO,22,0)</f>
        <v>5.6413008849557524</v>
      </c>
      <c r="J645" s="72">
        <f t="shared" si="47"/>
        <v>1.6413008849557524</v>
      </c>
      <c r="K645" s="109">
        <f t="shared" si="48"/>
        <v>2.7355014749262541</v>
      </c>
      <c r="L645" s="63">
        <f t="shared" si="49"/>
        <v>2.7355014749262541</v>
      </c>
      <c r="M645" s="123"/>
    </row>
    <row r="646" spans="1:13">
      <c r="A646" s="63" t="str">
        <f>'RAW DATA 2023'!B308</f>
        <v>Roiphet1</v>
      </c>
      <c r="B646" s="63" t="str">
        <f>'RAW DATA 2023'!D308</f>
        <v>B6-G11-0083</v>
      </c>
      <c r="C646" s="63" t="str">
        <f t="shared" si="45"/>
        <v>Roiphet1B6-G11-0083</v>
      </c>
      <c r="D646" s="68">
        <f>VLOOKUP(C646,'RAW DATA 2023'!E:BP,63,0)</f>
        <v>8</v>
      </c>
      <c r="E646" s="68" t="str">
        <f t="shared" si="46"/>
        <v>Roiphet18</v>
      </c>
      <c r="F646" s="63" t="str">
        <f>VLOOKUP(C646,'RAW DATA 2023'!E:BO,5,0)</f>
        <v>Greenhouse</v>
      </c>
      <c r="G646" s="63" t="s">
        <v>1951</v>
      </c>
      <c r="H646" s="63">
        <f>VLOOKUP(C646,'RAW DATA 2023'!E:BO,2,0)</f>
        <v>1.1299999999999999</v>
      </c>
      <c r="I646" s="106">
        <f>VLOOKUP(C646,'RAW DATA 2023'!E:BO,22,0)</f>
        <v>3.4487610619469029</v>
      </c>
      <c r="J646" s="72">
        <f t="shared" si="47"/>
        <v>-0.55123893805309709</v>
      </c>
      <c r="K646" s="109">
        <f t="shared" si="48"/>
        <v>-0.91873156342182849</v>
      </c>
      <c r="L646" s="63">
        <f t="shared" si="49"/>
        <v>0</v>
      </c>
      <c r="M646" s="123"/>
    </row>
    <row r="647" spans="1:13">
      <c r="A647" s="63" t="str">
        <f>'RAW DATA 2023'!B318</f>
        <v>Choknavy</v>
      </c>
      <c r="B647" s="63" t="str">
        <f>'RAW DATA 2023'!D318</f>
        <v>A1-002-0037</v>
      </c>
      <c r="C647" s="63" t="str">
        <f t="shared" si="45"/>
        <v>ChoknavyA1-002-0037</v>
      </c>
      <c r="D647" s="68">
        <f>VLOOKUP(C647,'RAW DATA 2023'!E:BP,63,0)</f>
        <v>10</v>
      </c>
      <c r="E647" s="68" t="str">
        <f t="shared" si="46"/>
        <v>Choknavy10</v>
      </c>
      <c r="F647" s="63" t="str">
        <f>VLOOKUP(C647,'RAW DATA 2023'!E:BO,5,0)</f>
        <v>Outdoor</v>
      </c>
      <c r="G647" s="63" t="s">
        <v>1951</v>
      </c>
      <c r="H647" s="63">
        <f>VLOOKUP(C647,'RAW DATA 2023'!E:BO,2,0)</f>
        <v>5.5</v>
      </c>
      <c r="I647" s="106">
        <f>VLOOKUP(C647,'RAW DATA 2023'!E:BO,22,0)</f>
        <v>7.4003527272727272</v>
      </c>
      <c r="J647" s="72">
        <f t="shared" si="47"/>
        <v>5.4003527272727272</v>
      </c>
      <c r="K647" s="109">
        <f t="shared" si="48"/>
        <v>9.0005878787878792</v>
      </c>
      <c r="L647" s="63">
        <f t="shared" si="49"/>
        <v>6.25</v>
      </c>
      <c r="M647" s="123"/>
    </row>
    <row r="648" spans="1:13" hidden="1">
      <c r="A648" s="63" t="str">
        <f>'RAW DATA 2023'!B329</f>
        <v>Maeklong1</v>
      </c>
      <c r="B648" s="63" t="str">
        <f>'RAW DATA 2023'!D329</f>
        <v>A1-015-0037</v>
      </c>
      <c r="C648" s="63" t="str">
        <f t="shared" si="45"/>
        <v>Maeklong1A1-015-0037</v>
      </c>
      <c r="D648" s="68">
        <f>VLOOKUP(C648,'RAW DATA 2023'!E:BP,63,0)</f>
        <v>10</v>
      </c>
      <c r="E648" s="68" t="str">
        <f t="shared" si="46"/>
        <v>Maeklong110</v>
      </c>
      <c r="F648" s="63" t="str">
        <f>VLOOKUP(C648,'RAW DATA 2023'!E:BO,5,0)</f>
        <v>Outdoor</v>
      </c>
      <c r="G648" s="63" t="s">
        <v>1954</v>
      </c>
      <c r="H648" s="63">
        <f>VLOOKUP(C648,'RAW DATA 2023'!E:BO,2,0)</f>
        <v>2.4300000000000002</v>
      </c>
      <c r="I648" s="106">
        <f>VLOOKUP(C648,'RAW DATA 2023'!E:BO,22,0)</f>
        <v>11.03883950617284</v>
      </c>
      <c r="J648" s="72">
        <f t="shared" si="47"/>
        <v>8.0388395061728399</v>
      </c>
      <c r="K648" s="109">
        <f t="shared" si="48"/>
        <v>13.398065843621401</v>
      </c>
      <c r="L648" s="63">
        <f t="shared" si="49"/>
        <v>6.25</v>
      </c>
      <c r="M648" s="123"/>
    </row>
    <row r="649" spans="1:13" hidden="1">
      <c r="A649" s="63" t="str">
        <f>'RAW DATA 2023'!B334</f>
        <v>Maeklong1</v>
      </c>
      <c r="B649" s="63" t="str">
        <f>'RAW DATA 2023'!D334</f>
        <v>A1-021-0024</v>
      </c>
      <c r="C649" s="63" t="str">
        <f t="shared" si="45"/>
        <v>Maeklong1A1-021-0024</v>
      </c>
      <c r="D649" s="68">
        <f>VLOOKUP(C649,'RAW DATA 2023'!E:BP,63,0)</f>
        <v>3</v>
      </c>
      <c r="E649" s="68" t="str">
        <f t="shared" si="46"/>
        <v>Maeklong13</v>
      </c>
      <c r="F649" s="63" t="str">
        <f>VLOOKUP(C649,'RAW DATA 2023'!E:BO,5,0)</f>
        <v>Outdoor</v>
      </c>
      <c r="G649" s="63" t="s">
        <v>1954</v>
      </c>
      <c r="H649" s="63">
        <f>VLOOKUP(C649,'RAW DATA 2023'!E:BO,2,0)</f>
        <v>3.82</v>
      </c>
      <c r="I649" s="106">
        <f>VLOOKUP(C649,'RAW DATA 2023'!E:BO,22,0)</f>
        <v>8.6401518324607327</v>
      </c>
      <c r="J649" s="72">
        <f t="shared" si="47"/>
        <v>5.6401518324607327</v>
      </c>
      <c r="K649" s="109">
        <f t="shared" si="48"/>
        <v>9.4002530541012224</v>
      </c>
      <c r="L649" s="63">
        <f t="shared" si="49"/>
        <v>6.25</v>
      </c>
      <c r="M649" s="123"/>
    </row>
    <row r="650" spans="1:13" hidden="1">
      <c r="A650" s="63" t="str">
        <f>'RAW DATA 2023'!B335</f>
        <v>Maeklong1</v>
      </c>
      <c r="B650" s="63" t="str">
        <f>'RAW DATA 2023'!D335</f>
        <v>A1-023-0018</v>
      </c>
      <c r="C650" s="63" t="str">
        <f t="shared" ref="C650:C713" si="50">A650&amp;B650</f>
        <v>Maeklong1A1-023-0018</v>
      </c>
      <c r="D650" s="68">
        <f>VLOOKUP(C650,'RAW DATA 2023'!E:BP,63,0)</f>
        <v>10</v>
      </c>
      <c r="E650" s="68" t="str">
        <f t="shared" ref="E650:E713" si="51">A650&amp;D650</f>
        <v>Maeklong110</v>
      </c>
      <c r="F650" s="63" t="str">
        <f>VLOOKUP(C650,'RAW DATA 2023'!E:BO,5,0)</f>
        <v>Outdoor</v>
      </c>
      <c r="G650" s="63" t="s">
        <v>1954</v>
      </c>
      <c r="H650" s="63">
        <f>VLOOKUP(C650,'RAW DATA 2023'!E:BO,2,0)</f>
        <v>3.91</v>
      </c>
      <c r="I650" s="106">
        <f>VLOOKUP(C650,'RAW DATA 2023'!E:BO,22,0)</f>
        <v>2.9601994884910483</v>
      </c>
      <c r="J650" s="72">
        <f t="shared" ref="J650:J713" si="52">IF(I650=0,0,IF(F650=$B$2,I650-$B$6,IF(F650=$C$1,I650-$C$6,IF(AND(F650=$C$2,H650&lt;=$C$3),I650-$C$6,IF(AND(F650=$C$2,H650&lt;=$E$3),I650-$D$6,I650-$E$6)))))</f>
        <v>-3.9800511508951697E-2</v>
      </c>
      <c r="K650" s="109">
        <f t="shared" ref="K650:K713" si="53">IF(F650=$B$2,J650*$B$7,IF(AND(F650=$C$2,H650&lt;=$C$3),J650*$C$7,IF(AND(F650=$C$2,H650&lt;=$E$3),J650*$D$7,J650*$E$7)))</f>
        <v>-6.6334185848252833E-2</v>
      </c>
      <c r="L650" s="63">
        <f t="shared" ref="L650:L713" si="54">IF(K650&gt;=6.25,6.25,IF(K650&lt;=0,0,K650))</f>
        <v>0</v>
      </c>
      <c r="M650" s="123"/>
    </row>
    <row r="651" spans="1:13">
      <c r="A651" s="63" t="str">
        <f>'RAW DATA 2023'!B349</f>
        <v>Maeklong1</v>
      </c>
      <c r="B651" s="63" t="str">
        <f>'RAW DATA 2023'!D349</f>
        <v>A1-002-0035</v>
      </c>
      <c r="C651" s="63" t="str">
        <f t="shared" si="50"/>
        <v>Maeklong1A1-002-0035</v>
      </c>
      <c r="D651" s="68">
        <f>VLOOKUP(C651,'RAW DATA 2023'!E:BP,63,0)</f>
        <v>10</v>
      </c>
      <c r="E651" s="68" t="str">
        <f t="shared" si="51"/>
        <v>Maeklong110</v>
      </c>
      <c r="F651" s="63" t="str">
        <f>VLOOKUP(C651,'RAW DATA 2023'!E:BO,5,0)</f>
        <v>Outdoor</v>
      </c>
      <c r="G651" s="63" t="s">
        <v>1951</v>
      </c>
      <c r="H651" s="63">
        <f>VLOOKUP(C651,'RAW DATA 2023'!E:BO,2,0)</f>
        <v>3.61</v>
      </c>
      <c r="I651" s="106">
        <f>VLOOKUP(C651,'RAW DATA 2023'!E:BO,22,0)</f>
        <v>1.4372770083102493</v>
      </c>
      <c r="J651" s="72">
        <f t="shared" si="52"/>
        <v>-1.5627229916897507</v>
      </c>
      <c r="K651" s="109">
        <f t="shared" si="53"/>
        <v>-2.6045383194829181</v>
      </c>
      <c r="L651" s="63">
        <f t="shared" si="54"/>
        <v>0</v>
      </c>
      <c r="M651" s="123"/>
    </row>
    <row r="652" spans="1:13">
      <c r="A652" s="63" t="str">
        <f>'RAW DATA 2023'!B354</f>
        <v>Maeklong1</v>
      </c>
      <c r="B652" s="63" t="str">
        <f>'RAW DATA 2023'!D354</f>
        <v>A1-006-0041</v>
      </c>
      <c r="C652" s="63" t="str">
        <f t="shared" si="50"/>
        <v>Maeklong1A1-006-0041</v>
      </c>
      <c r="D652" s="68">
        <f>VLOOKUP(C652,'RAW DATA 2023'!E:BP,63,0)</f>
        <v>3</v>
      </c>
      <c r="E652" s="68" t="str">
        <f t="shared" si="51"/>
        <v>Maeklong13</v>
      </c>
      <c r="F652" s="63" t="str">
        <f>VLOOKUP(C652,'RAW DATA 2023'!E:BO,5,0)</f>
        <v>Outdoor</v>
      </c>
      <c r="G652" s="63" t="s">
        <v>1951</v>
      </c>
      <c r="H652" s="63">
        <f>VLOOKUP(C652,'RAW DATA 2023'!E:BO,2,0)</f>
        <v>3.42</v>
      </c>
      <c r="I652" s="106">
        <f>VLOOKUP(C652,'RAW DATA 2023'!E:BO,22,0)</f>
        <v>6.7696140350877201</v>
      </c>
      <c r="J652" s="72">
        <f t="shared" si="52"/>
        <v>3.7696140350877201</v>
      </c>
      <c r="K652" s="109">
        <f t="shared" si="53"/>
        <v>6.2826900584795338</v>
      </c>
      <c r="L652" s="63">
        <f t="shared" si="54"/>
        <v>6.25</v>
      </c>
      <c r="M652" s="123"/>
    </row>
    <row r="653" spans="1:13" hidden="1">
      <c r="A653" s="63" t="str">
        <f>'RAW DATA 2023'!B361</f>
        <v>PB5</v>
      </c>
      <c r="B653" s="63" t="str">
        <f>'RAW DATA 2023'!D361</f>
        <v>A1-011-0047</v>
      </c>
      <c r="C653" s="63" t="str">
        <f t="shared" si="50"/>
        <v>PB5A1-011-0047</v>
      </c>
      <c r="D653" s="68">
        <f>VLOOKUP(C653,'RAW DATA 2023'!E:BP,63,0)</f>
        <v>8</v>
      </c>
      <c r="E653" s="68" t="str">
        <f t="shared" si="51"/>
        <v>PB58</v>
      </c>
      <c r="F653" s="63" t="str">
        <f>VLOOKUP(C653,'RAW DATA 2023'!E:BO,5,0)</f>
        <v>Outdoor</v>
      </c>
      <c r="G653" s="63" t="s">
        <v>67</v>
      </c>
      <c r="H653" s="63">
        <f>VLOOKUP(C653,'RAW DATA 2023'!E:BO,2,0)</f>
        <v>2.35</v>
      </c>
      <c r="I653" s="106">
        <f>VLOOKUP(C653,'RAW DATA 2023'!E:BO,22,0)</f>
        <v>7.0376468085106385</v>
      </c>
      <c r="J653" s="72">
        <f t="shared" si="52"/>
        <v>4.0376468085106385</v>
      </c>
      <c r="K653" s="109">
        <f t="shared" si="53"/>
        <v>6.7294113475177308</v>
      </c>
      <c r="L653" s="63">
        <f t="shared" si="54"/>
        <v>6.25</v>
      </c>
      <c r="M653" s="123"/>
    </row>
    <row r="654" spans="1:13" hidden="1">
      <c r="A654" s="63" t="str">
        <f>'RAW DATA 2023'!B374</f>
        <v>PB5</v>
      </c>
      <c r="B654" s="63" t="str">
        <f>'RAW DATA 2023'!D374</f>
        <v>A1-009-0047</v>
      </c>
      <c r="C654" s="63" t="str">
        <f t="shared" si="50"/>
        <v>PB5A1-009-0047</v>
      </c>
      <c r="D654" s="68">
        <f>VLOOKUP(C654,'RAW DATA 2023'!E:BP,63,0)</f>
        <v>3</v>
      </c>
      <c r="E654" s="68" t="str">
        <f t="shared" si="51"/>
        <v>PB53</v>
      </c>
      <c r="F654" s="63" t="str">
        <f>VLOOKUP(C654,'RAW DATA 2023'!E:BO,5,0)</f>
        <v>Outdoor</v>
      </c>
      <c r="G654" s="63" t="s">
        <v>67</v>
      </c>
      <c r="H654" s="63">
        <f>VLOOKUP(C654,'RAW DATA 2023'!E:BO,2,0)</f>
        <v>4.62</v>
      </c>
      <c r="I654" s="106">
        <f>VLOOKUP(C654,'RAW DATA 2023'!E:BO,22,0)</f>
        <v>3.1593398268398265</v>
      </c>
      <c r="J654" s="72">
        <f t="shared" si="52"/>
        <v>1.1593398268398265</v>
      </c>
      <c r="K654" s="109">
        <f t="shared" si="53"/>
        <v>1.9322330447330442</v>
      </c>
      <c r="L654" s="63">
        <f t="shared" si="54"/>
        <v>1.9322330447330442</v>
      </c>
      <c r="M654" s="123"/>
    </row>
    <row r="655" spans="1:13" hidden="1">
      <c r="A655" s="63" t="str">
        <f>'RAW DATA 2023'!B399</f>
        <v>Lamlaung</v>
      </c>
      <c r="B655" s="63" t="str">
        <f>'RAW DATA 2023'!D399</f>
        <v>B1-112-0007</v>
      </c>
      <c r="C655" s="63" t="str">
        <f t="shared" si="50"/>
        <v>LamlaungB1-112-0007</v>
      </c>
      <c r="D655" s="68">
        <f>VLOOKUP(C655,'RAW DATA 2023'!E:BP,63,0)</f>
        <v>9</v>
      </c>
      <c r="E655" s="68" t="str">
        <f t="shared" si="51"/>
        <v>Lamlaung9</v>
      </c>
      <c r="F655" s="63" t="str">
        <f>VLOOKUP(C655,'RAW DATA 2023'!E:BO,5,0)</f>
        <v>Outdoor</v>
      </c>
      <c r="G655" s="63" t="s">
        <v>1954</v>
      </c>
      <c r="H655" s="63">
        <f>VLOOKUP(C655,'RAW DATA 2023'!E:BO,2,0)</f>
        <v>5</v>
      </c>
      <c r="I655" s="106">
        <f>VLOOKUP(C655,'RAW DATA 2023'!E:BO,22,0)</f>
        <v>4.9445800000000002</v>
      </c>
      <c r="J655" s="72">
        <f t="shared" si="52"/>
        <v>2.9445800000000002</v>
      </c>
      <c r="K655" s="109">
        <f t="shared" si="53"/>
        <v>4.907633333333334</v>
      </c>
      <c r="L655" s="63">
        <f t="shared" si="54"/>
        <v>4.907633333333334</v>
      </c>
      <c r="M655" s="123"/>
    </row>
    <row r="656" spans="1:13" hidden="1">
      <c r="A656" s="63" t="str">
        <f>'RAW DATA 2023'!B401</f>
        <v>Lamlaung</v>
      </c>
      <c r="B656" s="63" t="str">
        <f>'RAW DATA 2023'!D401</f>
        <v>B1-110-0005</v>
      </c>
      <c r="C656" s="63" t="str">
        <f t="shared" si="50"/>
        <v>LamlaungB1-110-0005</v>
      </c>
      <c r="D656" s="68">
        <f>VLOOKUP(C656,'RAW DATA 2023'!E:BP,63,0)</f>
        <v>1</v>
      </c>
      <c r="E656" s="68" t="str">
        <f t="shared" si="51"/>
        <v>Lamlaung1</v>
      </c>
      <c r="F656" s="63" t="str">
        <f>VLOOKUP(C656,'RAW DATA 2023'!E:BO,5,0)</f>
        <v>Outdoor</v>
      </c>
      <c r="G656" s="63" t="s">
        <v>1955</v>
      </c>
      <c r="H656" s="63">
        <f>VLOOKUP(C656,'RAW DATA 2023'!E:BO,2,0)</f>
        <v>5</v>
      </c>
      <c r="I656" s="106">
        <f>VLOOKUP(C656,'RAW DATA 2023'!E:BO,22,0)</f>
        <v>1.960904</v>
      </c>
      <c r="J656" s="72">
        <f t="shared" si="52"/>
        <v>-3.909600000000002E-2</v>
      </c>
      <c r="K656" s="109">
        <f t="shared" si="53"/>
        <v>-6.5160000000000037E-2</v>
      </c>
      <c r="L656" s="63">
        <f t="shared" si="54"/>
        <v>0</v>
      </c>
      <c r="M656" s="123"/>
    </row>
    <row r="657" spans="1:13" hidden="1">
      <c r="A657" s="63" t="str">
        <f>'RAW DATA 2023'!B410</f>
        <v>CS4</v>
      </c>
      <c r="B657" s="63" t="str">
        <f>'RAW DATA 2023'!D410</f>
        <v>A1-002-0047</v>
      </c>
      <c r="C657" s="63" t="str">
        <f t="shared" si="50"/>
        <v>CS4A1-002-0047</v>
      </c>
      <c r="D657" s="68">
        <f>VLOOKUP(C657,'RAW DATA 2023'!E:BP,63,0)</f>
        <v>5</v>
      </c>
      <c r="E657" s="68" t="str">
        <f t="shared" si="51"/>
        <v>CS45</v>
      </c>
      <c r="F657" s="63" t="str">
        <f>VLOOKUP(C657,'RAW DATA 2023'!E:BO,5,0)</f>
        <v>Outdoor</v>
      </c>
      <c r="G657" s="63" t="s">
        <v>67</v>
      </c>
      <c r="H657" s="63">
        <f>VLOOKUP(C657,'RAW DATA 2023'!E:BO,2,0)</f>
        <v>2</v>
      </c>
      <c r="I657" s="106">
        <f>VLOOKUP(C657,'RAW DATA 2023'!E:BO,22,0)</f>
        <v>2.1857600000000001</v>
      </c>
      <c r="J657" s="72">
        <f t="shared" si="52"/>
        <v>-3.8142399999999999</v>
      </c>
      <c r="K657" s="109">
        <f t="shared" si="53"/>
        <v>-6.3570666666666664</v>
      </c>
      <c r="L657" s="63">
        <f t="shared" si="54"/>
        <v>0</v>
      </c>
      <c r="M657" s="123"/>
    </row>
    <row r="658" spans="1:13" hidden="1">
      <c r="A658" s="63" t="str">
        <f>'RAW DATA 2023'!B424</f>
        <v>CS1</v>
      </c>
      <c r="B658" s="63" t="str">
        <f>'RAW DATA 2023'!D424</f>
        <v>A1-007-0049</v>
      </c>
      <c r="C658" s="63" t="str">
        <f t="shared" si="50"/>
        <v>CS1A1-007-0049</v>
      </c>
      <c r="D658" s="68">
        <f>VLOOKUP(C658,'RAW DATA 2023'!E:BP,63,0)</f>
        <v>4</v>
      </c>
      <c r="E658" s="68" t="str">
        <f t="shared" si="51"/>
        <v>CS14</v>
      </c>
      <c r="F658" s="63" t="str">
        <f>VLOOKUP(C658,'RAW DATA 2023'!E:BO,5,0)</f>
        <v>Outdoor</v>
      </c>
      <c r="G658" s="63" t="s">
        <v>67</v>
      </c>
      <c r="H658" s="63">
        <f>VLOOKUP(C658,'RAW DATA 2023'!E:BO,2,0)</f>
        <v>3.1</v>
      </c>
      <c r="I658" s="106">
        <f>VLOOKUP(C658,'RAW DATA 2023'!E:BO,22,0)</f>
        <v>2.9031096774193546</v>
      </c>
      <c r="J658" s="72">
        <f t="shared" si="52"/>
        <v>-9.6890322580645449E-2</v>
      </c>
      <c r="K658" s="109">
        <f t="shared" si="53"/>
        <v>-0.16148387096774242</v>
      </c>
      <c r="L658" s="63">
        <f t="shared" si="54"/>
        <v>0</v>
      </c>
      <c r="M658" s="123"/>
    </row>
    <row r="659" spans="1:13" hidden="1">
      <c r="A659" s="63" t="str">
        <f>'RAW DATA 2023'!B459</f>
        <v>Roiphet3</v>
      </c>
      <c r="B659" s="63" t="str">
        <f>'RAW DATA 2023'!D459</f>
        <v>C1-051-0025</v>
      </c>
      <c r="C659" s="63" t="str">
        <f t="shared" si="50"/>
        <v>Roiphet3C1-051-0025</v>
      </c>
      <c r="D659" s="68">
        <f>VLOOKUP(C659,'RAW DATA 2023'!E:BP,63,0)</f>
        <v>4</v>
      </c>
      <c r="E659" s="68" t="str">
        <f t="shared" si="51"/>
        <v>Roiphet34</v>
      </c>
      <c r="F659" s="63" t="str">
        <f>VLOOKUP(C659,'RAW DATA 2023'!E:BO,5,0)</f>
        <v>Outdoor</v>
      </c>
      <c r="G659" s="63" t="s">
        <v>1955</v>
      </c>
      <c r="H659" s="63">
        <f>VLOOKUP(C659,'RAW DATA 2023'!E:BO,2,0)</f>
        <v>4.5</v>
      </c>
      <c r="I659" s="106">
        <f>VLOOKUP(C659,'RAW DATA 2023'!E:BO,22,0)</f>
        <v>7.5922377777777781</v>
      </c>
      <c r="J659" s="72">
        <f t="shared" si="52"/>
        <v>5.5922377777777781</v>
      </c>
      <c r="K659" s="109">
        <f t="shared" si="53"/>
        <v>9.3203962962962965</v>
      </c>
      <c r="L659" s="63">
        <f t="shared" si="54"/>
        <v>6.25</v>
      </c>
      <c r="M659" s="123"/>
    </row>
    <row r="660" spans="1:13">
      <c r="A660" s="63" t="str">
        <f>'RAW DATA 2023'!B460</f>
        <v>Roiphet3</v>
      </c>
      <c r="B660" s="63" t="str">
        <f>'RAW DATA 2023'!D460</f>
        <v>C1-043-0025</v>
      </c>
      <c r="C660" s="63" t="str">
        <f t="shared" si="50"/>
        <v>Roiphet3C1-043-0025</v>
      </c>
      <c r="D660" s="68">
        <f>VLOOKUP(C660,'RAW DATA 2023'!E:BP,63,0)</f>
        <v>4</v>
      </c>
      <c r="E660" s="68" t="str">
        <f t="shared" si="51"/>
        <v>Roiphet34</v>
      </c>
      <c r="F660" s="63" t="str">
        <f>VLOOKUP(C660,'RAW DATA 2023'!E:BO,5,0)</f>
        <v>Outdoor</v>
      </c>
      <c r="G660" s="63" t="s">
        <v>1951</v>
      </c>
      <c r="H660" s="63">
        <f>VLOOKUP(C660,'RAW DATA 2023'!E:BO,2,0)</f>
        <v>4.5</v>
      </c>
      <c r="I660" s="106">
        <f>VLOOKUP(C660,'RAW DATA 2023'!E:BO,22,0)</f>
        <v>3.8017955555555556</v>
      </c>
      <c r="J660" s="72">
        <f t="shared" si="52"/>
        <v>1.8017955555555556</v>
      </c>
      <c r="K660" s="109">
        <f t="shared" si="53"/>
        <v>3.0029925925925927</v>
      </c>
      <c r="L660" s="63">
        <f t="shared" si="54"/>
        <v>3.0029925925925927</v>
      </c>
      <c r="M660" s="123"/>
    </row>
    <row r="661" spans="1:13" hidden="1">
      <c r="A661" s="63" t="str">
        <f>'RAW DATA 2023'!B461</f>
        <v>Roiphet3</v>
      </c>
      <c r="B661" s="63" t="str">
        <f>'RAW DATA 2023'!D461</f>
        <v>C1-044-0017</v>
      </c>
      <c r="C661" s="63" t="str">
        <f t="shared" si="50"/>
        <v>Roiphet3C1-044-0017</v>
      </c>
      <c r="D661" s="68">
        <f>VLOOKUP(C661,'RAW DATA 2023'!E:BP,63,0)</f>
        <v>3</v>
      </c>
      <c r="E661" s="68" t="str">
        <f t="shared" si="51"/>
        <v>Roiphet33</v>
      </c>
      <c r="F661" s="63" t="str">
        <f>VLOOKUP(C661,'RAW DATA 2023'!E:BO,5,0)</f>
        <v>Outdoor</v>
      </c>
      <c r="G661" s="63" t="s">
        <v>1955</v>
      </c>
      <c r="H661" s="63">
        <f>VLOOKUP(C661,'RAW DATA 2023'!E:BO,2,0)</f>
        <v>4.5</v>
      </c>
      <c r="I661" s="106">
        <f>VLOOKUP(C661,'RAW DATA 2023'!E:BO,22,0)</f>
        <v>3.5227244444444441</v>
      </c>
      <c r="J661" s="72">
        <f t="shared" si="52"/>
        <v>1.5227244444444441</v>
      </c>
      <c r="K661" s="109">
        <f t="shared" si="53"/>
        <v>2.5378740740740735</v>
      </c>
      <c r="L661" s="63">
        <f t="shared" si="54"/>
        <v>2.5378740740740735</v>
      </c>
      <c r="M661" s="123"/>
    </row>
    <row r="662" spans="1:13" hidden="1">
      <c r="A662" s="63" t="str">
        <f>'RAW DATA 2023'!B463</f>
        <v>Roiphet3</v>
      </c>
      <c r="B662" s="63" t="str">
        <f>'RAW DATA 2023'!D463</f>
        <v>C1-041-0005</v>
      </c>
      <c r="C662" s="63" t="str">
        <f t="shared" si="50"/>
        <v>Roiphet3C1-041-0005</v>
      </c>
      <c r="D662" s="68">
        <f>VLOOKUP(C662,'RAW DATA 2023'!E:BP,63,0)</f>
        <v>3</v>
      </c>
      <c r="E662" s="68" t="str">
        <f t="shared" si="51"/>
        <v>Roiphet33</v>
      </c>
      <c r="F662" s="63" t="str">
        <f>VLOOKUP(C662,'RAW DATA 2023'!E:BO,5,0)</f>
        <v>Outdoor</v>
      </c>
      <c r="G662" s="63" t="s">
        <v>1955</v>
      </c>
      <c r="H662" s="63">
        <f>VLOOKUP(C662,'RAW DATA 2023'!E:BO,2,0)</f>
        <v>5.8</v>
      </c>
      <c r="I662" s="106">
        <f>VLOOKUP(C662,'RAW DATA 2023'!E:BO,22,0)</f>
        <v>5.2043172413793108</v>
      </c>
      <c r="J662" s="72">
        <f t="shared" si="52"/>
        <v>3.2043172413793108</v>
      </c>
      <c r="K662" s="109">
        <f t="shared" si="53"/>
        <v>5.3405287356321853</v>
      </c>
      <c r="L662" s="63">
        <f t="shared" si="54"/>
        <v>5.3405287356321853</v>
      </c>
      <c r="M662" s="123"/>
    </row>
    <row r="663" spans="1:13" hidden="1">
      <c r="A663" s="63" t="str">
        <f>'RAW DATA 2023'!B465</f>
        <v>Roiphet3</v>
      </c>
      <c r="B663" s="63" t="str">
        <f>'RAW DATA 2023'!D465</f>
        <v>C1-043-0028</v>
      </c>
      <c r="C663" s="63" t="str">
        <f t="shared" si="50"/>
        <v>Roiphet3C1-043-0028</v>
      </c>
      <c r="D663" s="68">
        <f>VLOOKUP(C663,'RAW DATA 2023'!E:BP,63,0)</f>
        <v>12</v>
      </c>
      <c r="E663" s="68" t="str">
        <f t="shared" si="51"/>
        <v>Roiphet312</v>
      </c>
      <c r="F663" s="63" t="str">
        <f>VLOOKUP(C663,'RAW DATA 2023'!E:BO,5,0)</f>
        <v>Outdoor</v>
      </c>
      <c r="G663" s="63" t="s">
        <v>1955</v>
      </c>
      <c r="H663" s="63">
        <f>VLOOKUP(C663,'RAW DATA 2023'!E:BO,2,0)</f>
        <v>4.5</v>
      </c>
      <c r="I663" s="106">
        <f>VLOOKUP(C663,'RAW DATA 2023'!E:BO,22,0)</f>
        <v>2.7443866666666668</v>
      </c>
      <c r="J663" s="72">
        <f t="shared" si="52"/>
        <v>0.74438666666666675</v>
      </c>
      <c r="K663" s="109">
        <f t="shared" si="53"/>
        <v>1.2406444444444447</v>
      </c>
      <c r="L663" s="63">
        <f t="shared" si="54"/>
        <v>1.2406444444444447</v>
      </c>
      <c r="M663" s="123"/>
    </row>
    <row r="664" spans="1:13" hidden="1">
      <c r="A664" s="63" t="str">
        <f>'RAW DATA 2023'!B527</f>
        <v>Bangsakao</v>
      </c>
      <c r="B664" s="63" t="str">
        <f>'RAW DATA 2023'!D527</f>
        <v>CG-006-0031</v>
      </c>
      <c r="C664" s="63" t="str">
        <f t="shared" si="50"/>
        <v>BangsakaoCG-006-0031</v>
      </c>
      <c r="D664" s="68">
        <f>VLOOKUP(C664,'RAW DATA 2023'!E:BP,63,0)</f>
        <v>12</v>
      </c>
      <c r="E664" s="68" t="str">
        <f t="shared" si="51"/>
        <v>Bangsakao12</v>
      </c>
      <c r="F664" s="63" t="str">
        <f>VLOOKUP(C664,'RAW DATA 2023'!E:BO,5,0)</f>
        <v>Greenhouse</v>
      </c>
      <c r="G664" s="63" t="s">
        <v>67</v>
      </c>
      <c r="H664" s="63">
        <f>VLOOKUP(C664,'RAW DATA 2023'!E:BO,2,0)</f>
        <v>5.36</v>
      </c>
      <c r="I664" s="106">
        <f>VLOOKUP(C664,'RAW DATA 2023'!E:BO,22,0)</f>
        <v>5.8873488805970142</v>
      </c>
      <c r="J664" s="72">
        <f t="shared" si="52"/>
        <v>1.8873488805970142</v>
      </c>
      <c r="K664" s="109">
        <f t="shared" si="53"/>
        <v>3.1455814676616907</v>
      </c>
      <c r="L664" s="63">
        <f t="shared" si="54"/>
        <v>3.1455814676616907</v>
      </c>
      <c r="M664" s="123"/>
    </row>
    <row r="665" spans="1:13" hidden="1">
      <c r="A665" s="63" t="str">
        <f>'RAW DATA 2023'!B528</f>
        <v>Bangsakao</v>
      </c>
      <c r="B665" s="63" t="str">
        <f>'RAW DATA 2023'!D528</f>
        <v>CG-008-0028</v>
      </c>
      <c r="C665" s="63" t="str">
        <f t="shared" si="50"/>
        <v>BangsakaoCG-008-0028</v>
      </c>
      <c r="D665" s="68">
        <f>VLOOKUP(C665,'RAW DATA 2023'!E:BP,63,0)</f>
        <v>4</v>
      </c>
      <c r="E665" s="68" t="str">
        <f t="shared" si="51"/>
        <v>Bangsakao4</v>
      </c>
      <c r="F665" s="63" t="str">
        <f>VLOOKUP(C665,'RAW DATA 2023'!E:BO,5,0)</f>
        <v>Greenhouse</v>
      </c>
      <c r="G665" s="63" t="s">
        <v>67</v>
      </c>
      <c r="H665" s="63">
        <f>VLOOKUP(C665,'RAW DATA 2023'!E:BO,2,0)</f>
        <v>3.73</v>
      </c>
      <c r="I665" s="106">
        <f>VLOOKUP(C665,'RAW DATA 2023'!E:BO,22,0)</f>
        <v>10.232302949061662</v>
      </c>
      <c r="J665" s="72">
        <f t="shared" si="52"/>
        <v>6.2323029490616619</v>
      </c>
      <c r="K665" s="109">
        <f t="shared" si="53"/>
        <v>10.387171581769437</v>
      </c>
      <c r="L665" s="63">
        <f t="shared" si="54"/>
        <v>6.25</v>
      </c>
      <c r="M665" s="123"/>
    </row>
    <row r="666" spans="1:13" hidden="1">
      <c r="A666" s="63" t="str">
        <f>'RAW DATA 2023'!B529</f>
        <v>Bangsakao</v>
      </c>
      <c r="B666" s="63" t="str">
        <f>'RAW DATA 2023'!D529</f>
        <v>CG-002-0027</v>
      </c>
      <c r="C666" s="63" t="str">
        <f t="shared" si="50"/>
        <v>BangsakaoCG-002-0027</v>
      </c>
      <c r="D666" s="68">
        <f>VLOOKUP(C666,'RAW DATA 2023'!E:BP,63,0)</f>
        <v>3</v>
      </c>
      <c r="E666" s="68" t="str">
        <f t="shared" si="51"/>
        <v>Bangsakao3</v>
      </c>
      <c r="F666" s="63" t="str">
        <f>VLOOKUP(C666,'RAW DATA 2023'!E:BO,5,0)</f>
        <v>Greenhouse</v>
      </c>
      <c r="G666" s="63" t="s">
        <v>67</v>
      </c>
      <c r="H666" s="63">
        <f>VLOOKUP(C666,'RAW DATA 2023'!E:BO,2,0)</f>
        <v>3.45</v>
      </c>
      <c r="I666" s="106">
        <f>VLOOKUP(C666,'RAW DATA 2023'!E:BO,22,0)</f>
        <v>9.9564202898550729</v>
      </c>
      <c r="J666" s="72">
        <f t="shared" si="52"/>
        <v>5.9564202898550729</v>
      </c>
      <c r="K666" s="109">
        <f t="shared" si="53"/>
        <v>9.9273671497584548</v>
      </c>
      <c r="L666" s="63">
        <f t="shared" si="54"/>
        <v>6.25</v>
      </c>
      <c r="M666" s="123"/>
    </row>
    <row r="667" spans="1:13" hidden="1">
      <c r="A667" s="63" t="str">
        <f>'RAW DATA 2023'!B530</f>
        <v>Bangsakao</v>
      </c>
      <c r="B667" s="63" t="str">
        <f>'RAW DATA 2023'!D530</f>
        <v>CG-007-0024</v>
      </c>
      <c r="C667" s="63" t="str">
        <f t="shared" si="50"/>
        <v>BangsakaoCG-007-0024</v>
      </c>
      <c r="D667" s="68">
        <f>VLOOKUP(C667,'RAW DATA 2023'!E:BP,63,0)</f>
        <v>3</v>
      </c>
      <c r="E667" s="68" t="str">
        <f t="shared" si="51"/>
        <v>Bangsakao3</v>
      </c>
      <c r="F667" s="63" t="str">
        <f>VLOOKUP(C667,'RAW DATA 2023'!E:BO,5,0)</f>
        <v>Greenhouse</v>
      </c>
      <c r="G667" s="63" t="s">
        <v>67</v>
      </c>
      <c r="H667" s="63">
        <f>VLOOKUP(C667,'RAW DATA 2023'!E:BO,2,0)</f>
        <v>3.81</v>
      </c>
      <c r="I667" s="106">
        <f>VLOOKUP(C667,'RAW DATA 2023'!E:BO,22,0)</f>
        <v>8.6188923884514441</v>
      </c>
      <c r="J667" s="72">
        <f t="shared" si="52"/>
        <v>4.6188923884514441</v>
      </c>
      <c r="K667" s="109">
        <f t="shared" si="53"/>
        <v>7.6981539807524069</v>
      </c>
      <c r="L667" s="63">
        <f t="shared" si="54"/>
        <v>6.25</v>
      </c>
      <c r="M667" s="123"/>
    </row>
    <row r="668" spans="1:13" hidden="1">
      <c r="A668" s="63" t="str">
        <f>'RAW DATA 2023'!B531</f>
        <v>Bangsakao</v>
      </c>
      <c r="B668" s="63" t="str">
        <f>'RAW DATA 2023'!D531</f>
        <v>CG-007-0025</v>
      </c>
      <c r="C668" s="63" t="str">
        <f t="shared" si="50"/>
        <v>BangsakaoCG-007-0025</v>
      </c>
      <c r="D668" s="68">
        <f>VLOOKUP(C668,'RAW DATA 2023'!E:BP,63,0)</f>
        <v>6</v>
      </c>
      <c r="E668" s="68" t="str">
        <f t="shared" si="51"/>
        <v>Bangsakao6</v>
      </c>
      <c r="F668" s="63" t="str">
        <f>VLOOKUP(C668,'RAW DATA 2023'!E:BO,5,0)</f>
        <v>Greenhouse</v>
      </c>
      <c r="G668" s="63" t="s">
        <v>67</v>
      </c>
      <c r="H668" s="63">
        <f>VLOOKUP(C668,'RAW DATA 2023'!E:BO,2,0)</f>
        <v>3.81</v>
      </c>
      <c r="I668" s="106">
        <f>VLOOKUP(C668,'RAW DATA 2023'!E:BO,22,0)</f>
        <v>3.3107506561679787</v>
      </c>
      <c r="J668" s="72">
        <f t="shared" si="52"/>
        <v>-0.6892493438320213</v>
      </c>
      <c r="K668" s="109">
        <f t="shared" si="53"/>
        <v>-1.1487489063867022</v>
      </c>
      <c r="L668" s="63">
        <f t="shared" si="54"/>
        <v>0</v>
      </c>
      <c r="M668" s="123"/>
    </row>
    <row r="669" spans="1:13" hidden="1">
      <c r="A669" s="63" t="str">
        <f>'RAW DATA 2023'!B532</f>
        <v>Bangsakao</v>
      </c>
      <c r="B669" s="63" t="str">
        <f>'RAW DATA 2023'!D532</f>
        <v>DG-004-0024</v>
      </c>
      <c r="C669" s="63" t="str">
        <f t="shared" si="50"/>
        <v>BangsakaoDG-004-0024</v>
      </c>
      <c r="D669" s="68">
        <f>VLOOKUP(C669,'RAW DATA 2023'!E:BP,63,0)</f>
        <v>12</v>
      </c>
      <c r="E669" s="68" t="str">
        <f t="shared" si="51"/>
        <v>Bangsakao12</v>
      </c>
      <c r="F669" s="63" t="str">
        <f>VLOOKUP(C669,'RAW DATA 2023'!E:BO,5,0)</f>
        <v>Greenhouse</v>
      </c>
      <c r="G669" s="63" t="s">
        <v>67</v>
      </c>
      <c r="H669" s="63">
        <f>VLOOKUP(C669,'RAW DATA 2023'!E:BO,2,0)</f>
        <v>2</v>
      </c>
      <c r="I669" s="106">
        <f>VLOOKUP(C669,'RAW DATA 2023'!E:BO,22,0)</f>
        <v>7.1207849999999997</v>
      </c>
      <c r="J669" s="72">
        <f t="shared" si="52"/>
        <v>3.1207849999999997</v>
      </c>
      <c r="K669" s="109">
        <f t="shared" si="53"/>
        <v>5.2013083333333334</v>
      </c>
      <c r="L669" s="63">
        <f t="shared" si="54"/>
        <v>5.2013083333333334</v>
      </c>
      <c r="M669" s="123"/>
    </row>
    <row r="670" spans="1:13" hidden="1">
      <c r="A670" s="63" t="str">
        <f>'RAW DATA 2023'!B533</f>
        <v>Bangsakao</v>
      </c>
      <c r="B670" s="63" t="str">
        <f>'RAW DATA 2023'!D533</f>
        <v>DG-003-0026</v>
      </c>
      <c r="C670" s="63" t="str">
        <f t="shared" si="50"/>
        <v>BangsakaoDG-003-0026</v>
      </c>
      <c r="D670" s="68">
        <f>VLOOKUP(C670,'RAW DATA 2023'!E:BP,63,0)</f>
        <v>12</v>
      </c>
      <c r="E670" s="68" t="str">
        <f t="shared" si="51"/>
        <v>Bangsakao12</v>
      </c>
      <c r="F670" s="63" t="str">
        <f>VLOOKUP(C670,'RAW DATA 2023'!E:BO,5,0)</f>
        <v>Greenhouse</v>
      </c>
      <c r="G670" s="63" t="s">
        <v>67</v>
      </c>
      <c r="H670" s="63">
        <f>VLOOKUP(C670,'RAW DATA 2023'!E:BO,2,0)</f>
        <v>1.9</v>
      </c>
      <c r="I670" s="106">
        <f>VLOOKUP(C670,'RAW DATA 2023'!E:BO,22,0)</f>
        <v>7.1650473684210532</v>
      </c>
      <c r="J670" s="72">
        <f t="shared" si="52"/>
        <v>3.1650473684210532</v>
      </c>
      <c r="K670" s="109">
        <f t="shared" si="53"/>
        <v>5.2750789473684225</v>
      </c>
      <c r="L670" s="63">
        <f t="shared" si="54"/>
        <v>5.2750789473684225</v>
      </c>
      <c r="M670" s="123"/>
    </row>
    <row r="671" spans="1:13" hidden="1">
      <c r="A671" s="63" t="str">
        <f>'RAW DATA 2023'!B541</f>
        <v>Bangsakao</v>
      </c>
      <c r="B671" s="63" t="str">
        <f>'RAW DATA 2023'!D541</f>
        <v>B1-006-0015</v>
      </c>
      <c r="C671" s="63" t="str">
        <f t="shared" si="50"/>
        <v>BangsakaoB1-006-0015</v>
      </c>
      <c r="D671" s="68">
        <f>VLOOKUP(C671,'RAW DATA 2023'!E:BP,63,0)</f>
        <v>9</v>
      </c>
      <c r="E671" s="68" t="str">
        <f t="shared" si="51"/>
        <v>Bangsakao9</v>
      </c>
      <c r="F671" s="63" t="str">
        <f>VLOOKUP(C671,'RAW DATA 2023'!E:BO,5,0)</f>
        <v>Outdoor</v>
      </c>
      <c r="G671" s="63" t="s">
        <v>67</v>
      </c>
      <c r="H671" s="63">
        <f>VLOOKUP(C671,'RAW DATA 2023'!E:BO,2,0)</f>
        <v>4.75</v>
      </c>
      <c r="I671" s="106">
        <f>VLOOKUP(C671,'RAW DATA 2023'!E:BO,22,0)</f>
        <v>0</v>
      </c>
      <c r="J671" s="72">
        <f t="shared" si="52"/>
        <v>0</v>
      </c>
      <c r="K671" s="109">
        <f t="shared" si="53"/>
        <v>0</v>
      </c>
      <c r="L671" s="63">
        <f t="shared" si="54"/>
        <v>0</v>
      </c>
      <c r="M671" s="123"/>
    </row>
    <row r="672" spans="1:13" hidden="1">
      <c r="A672" s="63" t="str">
        <f>'RAW DATA 2023'!B687</f>
        <v>Chantaburi3</v>
      </c>
      <c r="B672" s="63" t="str">
        <f>'RAW DATA 2023'!D687</f>
        <v>A1-011-0043</v>
      </c>
      <c r="C672" s="63" t="str">
        <f t="shared" si="50"/>
        <v>Chantaburi3A1-011-0043</v>
      </c>
      <c r="D672" s="68">
        <f>VLOOKUP(C672,'RAW DATA 2023'!E:BP,63,0)</f>
        <v>4</v>
      </c>
      <c r="E672" s="68" t="str">
        <f t="shared" si="51"/>
        <v>Chantaburi34</v>
      </c>
      <c r="F672" s="63" t="str">
        <f>VLOOKUP(C672,'RAW DATA 2023'!E:BO,5,0)</f>
        <v>Outdoor</v>
      </c>
      <c r="G672" s="63" t="s">
        <v>1955</v>
      </c>
      <c r="H672" s="63">
        <f>VLOOKUP(C672,'RAW DATA 2023'!E:BO,2,0)</f>
        <v>3.8</v>
      </c>
      <c r="I672" s="106">
        <f>VLOOKUP(C672,'RAW DATA 2023'!E:BO,22,0)</f>
        <v>6.3272105263157901</v>
      </c>
      <c r="J672" s="72">
        <f t="shared" si="52"/>
        <v>3.3272105263157901</v>
      </c>
      <c r="K672" s="109">
        <f t="shared" si="53"/>
        <v>5.545350877192984</v>
      </c>
      <c r="L672" s="63">
        <f t="shared" si="54"/>
        <v>5.545350877192984</v>
      </c>
      <c r="M672" s="123"/>
    </row>
    <row r="673" spans="1:13" hidden="1">
      <c r="A673" s="63" t="str">
        <f>'RAW DATA 2023'!B739</f>
        <v>SR4</v>
      </c>
      <c r="B673" s="63" t="str">
        <f>'RAW DATA 2023'!D739</f>
        <v>H1-047-0012</v>
      </c>
      <c r="C673" s="63" t="str">
        <f t="shared" si="50"/>
        <v>SR4H1-047-0012</v>
      </c>
      <c r="D673" s="68">
        <f>VLOOKUP(C673,'RAW DATA 2023'!E:BP,63,0)</f>
        <v>10</v>
      </c>
      <c r="E673" s="68" t="str">
        <f t="shared" si="51"/>
        <v>SR410</v>
      </c>
      <c r="F673" s="63" t="str">
        <f>VLOOKUP(C673,'RAW DATA 2023'!E:BO,5,0)</f>
        <v>Outdoor</v>
      </c>
      <c r="G673" s="63" t="s">
        <v>1954</v>
      </c>
      <c r="H673" s="63">
        <f>VLOOKUP(C673,'RAW DATA 2023'!E:BO,2,0)</f>
        <v>2.8</v>
      </c>
      <c r="I673" s="106">
        <f>VLOOKUP(C673,'RAW DATA 2023'!E:BO,22,0)</f>
        <v>7.4161750000000008</v>
      </c>
      <c r="J673" s="72">
        <f t="shared" si="52"/>
        <v>4.4161750000000008</v>
      </c>
      <c r="K673" s="109">
        <f t="shared" si="53"/>
        <v>7.3602916666666687</v>
      </c>
      <c r="L673" s="63">
        <f t="shared" si="54"/>
        <v>6.25</v>
      </c>
      <c r="M673" s="123"/>
    </row>
    <row r="674" spans="1:13" hidden="1">
      <c r="A674" s="63" t="str">
        <f>'RAW DATA 2023'!B772</f>
        <v>Kanchanadit</v>
      </c>
      <c r="B674" s="63" t="str">
        <f>'RAW DATA 2023'!D772</f>
        <v>C1-041-0015</v>
      </c>
      <c r="C674" s="63" t="str">
        <f t="shared" si="50"/>
        <v>KanchanaditC1-041-0015</v>
      </c>
      <c r="D674" s="68">
        <f>VLOOKUP(C674,'RAW DATA 2023'!E:BP,63,0)</f>
        <v>8</v>
      </c>
      <c r="E674" s="68" t="str">
        <f t="shared" si="51"/>
        <v>Kanchanadit8</v>
      </c>
      <c r="F674" s="63" t="str">
        <f>VLOOKUP(C674,'RAW DATA 2023'!E:BO,5,0)</f>
        <v>Outdoor</v>
      </c>
      <c r="G674" s="63" t="s">
        <v>67</v>
      </c>
      <c r="H674" s="63">
        <f>VLOOKUP(C674,'RAW DATA 2023'!E:BO,2,0)</f>
        <v>1.53</v>
      </c>
      <c r="I674" s="106">
        <f>VLOOKUP(C674,'RAW DATA 2023'!E:BO,22,0)</f>
        <v>5.5711633986928089</v>
      </c>
      <c r="J674" s="72">
        <f t="shared" si="52"/>
        <v>-0.42883660130719115</v>
      </c>
      <c r="K674" s="109">
        <f t="shared" si="53"/>
        <v>-0.71472766884531858</v>
      </c>
      <c r="L674" s="63">
        <f t="shared" si="54"/>
        <v>0</v>
      </c>
      <c r="M674" s="123"/>
    </row>
    <row r="675" spans="1:13" hidden="1">
      <c r="A675" s="63" t="str">
        <f>'RAW DATA 2023'!B788</f>
        <v>Kanchanadit</v>
      </c>
      <c r="B675" s="63" t="str">
        <f>'RAW DATA 2023'!D788</f>
        <v>D1-048-0012</v>
      </c>
      <c r="C675" s="63" t="str">
        <f t="shared" si="50"/>
        <v>KanchanaditD1-048-0012</v>
      </c>
      <c r="D675" s="68">
        <f>VLOOKUP(C675,'RAW DATA 2023'!E:BP,63,0)</f>
        <v>7</v>
      </c>
      <c r="E675" s="68" t="str">
        <f t="shared" si="51"/>
        <v>Kanchanadit7</v>
      </c>
      <c r="F675" s="63" t="str">
        <f>VLOOKUP(C675,'RAW DATA 2023'!E:BO,5,0)</f>
        <v>Outdoor</v>
      </c>
      <c r="G675" s="63" t="s">
        <v>1954</v>
      </c>
      <c r="H675" s="63">
        <f>VLOOKUP(C675,'RAW DATA 2023'!E:BO,2,0)</f>
        <v>2</v>
      </c>
      <c r="I675" s="106">
        <f>VLOOKUP(C675,'RAW DATA 2023'!E:BO,22,0)</f>
        <v>10.459425</v>
      </c>
      <c r="J675" s="72">
        <f t="shared" si="52"/>
        <v>4.4594249999999995</v>
      </c>
      <c r="K675" s="109">
        <f t="shared" si="53"/>
        <v>7.4323749999999995</v>
      </c>
      <c r="L675" s="63">
        <f t="shared" si="54"/>
        <v>6.25</v>
      </c>
      <c r="M675" s="123"/>
    </row>
    <row r="676" spans="1:13" hidden="1">
      <c r="A676" s="63" t="str">
        <f>'RAW DATA 2023'!B789</f>
        <v>Kanchanadit</v>
      </c>
      <c r="B676" s="63" t="str">
        <f>'RAW DATA 2023'!D789</f>
        <v>D1-050-0012</v>
      </c>
      <c r="C676" s="63" t="str">
        <f t="shared" si="50"/>
        <v>KanchanaditD1-050-0012</v>
      </c>
      <c r="D676" s="68">
        <f>VLOOKUP(C676,'RAW DATA 2023'!E:BP,63,0)</f>
        <v>1</v>
      </c>
      <c r="E676" s="68" t="str">
        <f t="shared" si="51"/>
        <v>Kanchanadit1</v>
      </c>
      <c r="F676" s="63" t="str">
        <f>VLOOKUP(C676,'RAW DATA 2023'!E:BO,5,0)</f>
        <v>Outdoor</v>
      </c>
      <c r="G676" s="63" t="s">
        <v>1954</v>
      </c>
      <c r="H676" s="63">
        <f>VLOOKUP(C676,'RAW DATA 2023'!E:BO,2,0)</f>
        <v>2</v>
      </c>
      <c r="I676" s="106">
        <f>VLOOKUP(C676,'RAW DATA 2023'!E:BO,22,0)</f>
        <v>6.8427949999999997</v>
      </c>
      <c r="J676" s="72">
        <f t="shared" si="52"/>
        <v>0.84279499999999974</v>
      </c>
      <c r="K676" s="109">
        <f t="shared" si="53"/>
        <v>1.4046583333333329</v>
      </c>
      <c r="L676" s="63">
        <f t="shared" si="54"/>
        <v>1.4046583333333329</v>
      </c>
      <c r="M676" s="123"/>
    </row>
    <row r="677" spans="1:13" hidden="1">
      <c r="A677" s="63" t="str">
        <f>'RAW DATA 2023'!B795</f>
        <v>Pakpanang1</v>
      </c>
      <c r="B677" s="63" t="str">
        <f>'RAW DATA 2023'!D795</f>
        <v>C1-139-0010</v>
      </c>
      <c r="C677" s="63" t="str">
        <f t="shared" si="50"/>
        <v>Pakpanang1C1-139-0010</v>
      </c>
      <c r="D677" s="68">
        <f>VLOOKUP(C677,'RAW DATA 2023'!E:BP,63,0)</f>
        <v>11</v>
      </c>
      <c r="E677" s="68" t="str">
        <f t="shared" si="51"/>
        <v>Pakpanang111</v>
      </c>
      <c r="F677" s="63" t="str">
        <f>VLOOKUP(C677,'RAW DATA 2023'!E:BO,5,0)</f>
        <v>Outdoor</v>
      </c>
      <c r="G677" s="63" t="s">
        <v>1955</v>
      </c>
      <c r="H677" s="63">
        <f>VLOOKUP(C677,'RAW DATA 2023'!E:BO,2,0)</f>
        <v>1.5</v>
      </c>
      <c r="I677" s="106">
        <f>VLOOKUP(C677,'RAW DATA 2023'!E:BO,22,0)</f>
        <v>10.645926666666666</v>
      </c>
      <c r="J677" s="72">
        <f t="shared" si="52"/>
        <v>4.6459266666666661</v>
      </c>
      <c r="K677" s="109">
        <f t="shared" si="53"/>
        <v>7.7432111111111102</v>
      </c>
      <c r="L677" s="63">
        <f t="shared" si="54"/>
        <v>6.25</v>
      </c>
      <c r="M677" s="123"/>
    </row>
    <row r="678" spans="1:13" hidden="1">
      <c r="A678" s="63" t="str">
        <f>'RAW DATA 2023'!B796</f>
        <v>Pakpanang1</v>
      </c>
      <c r="B678" s="63" t="str">
        <f>'RAW DATA 2023'!D796</f>
        <v>C1-138-0011</v>
      </c>
      <c r="C678" s="63" t="str">
        <f t="shared" si="50"/>
        <v>Pakpanang1C1-138-0011</v>
      </c>
      <c r="D678" s="68">
        <f>VLOOKUP(C678,'RAW DATA 2023'!E:BP,63,0)</f>
        <v>11</v>
      </c>
      <c r="E678" s="68" t="str">
        <f t="shared" si="51"/>
        <v>Pakpanang111</v>
      </c>
      <c r="F678" s="63" t="str">
        <f>VLOOKUP(C678,'RAW DATA 2023'!E:BO,5,0)</f>
        <v>Outdoor</v>
      </c>
      <c r="G678" s="63" t="s">
        <v>1954</v>
      </c>
      <c r="H678" s="63">
        <f>VLOOKUP(C678,'RAW DATA 2023'!E:BO,2,0)</f>
        <v>1.5</v>
      </c>
      <c r="I678" s="106">
        <f>VLOOKUP(C678,'RAW DATA 2023'!E:BO,22,0)</f>
        <v>16.643186666666665</v>
      </c>
      <c r="J678" s="72">
        <f t="shared" si="52"/>
        <v>10.643186666666665</v>
      </c>
      <c r="K678" s="109">
        <f t="shared" si="53"/>
        <v>17.738644444444443</v>
      </c>
      <c r="L678" s="63">
        <f t="shared" si="54"/>
        <v>6.25</v>
      </c>
      <c r="M678" s="123"/>
    </row>
    <row r="679" spans="1:13" hidden="1">
      <c r="A679" s="63" t="str">
        <f>'RAW DATA 2023'!B797</f>
        <v>Pakpanang1</v>
      </c>
      <c r="B679" s="63" t="str">
        <f>'RAW DATA 2023'!D797</f>
        <v>D1-174-0009</v>
      </c>
      <c r="C679" s="63" t="str">
        <f t="shared" si="50"/>
        <v>Pakpanang1D1-174-0009</v>
      </c>
      <c r="D679" s="68">
        <f>VLOOKUP(C679,'RAW DATA 2023'!E:BP,63,0)</f>
        <v>11</v>
      </c>
      <c r="E679" s="68" t="str">
        <f t="shared" si="51"/>
        <v>Pakpanang111</v>
      </c>
      <c r="F679" s="63" t="str">
        <f>VLOOKUP(C679,'RAW DATA 2023'!E:BO,5,0)</f>
        <v>Outdoor</v>
      </c>
      <c r="G679" s="63" t="s">
        <v>1954</v>
      </c>
      <c r="H679" s="63">
        <f>VLOOKUP(C679,'RAW DATA 2023'!E:BO,2,0)</f>
        <v>1.8</v>
      </c>
      <c r="I679" s="106">
        <f>VLOOKUP(C679,'RAW DATA 2023'!E:BO,22,0)</f>
        <v>13.586277777777775</v>
      </c>
      <c r="J679" s="72">
        <f t="shared" si="52"/>
        <v>7.5862777777777755</v>
      </c>
      <c r="K679" s="109">
        <f t="shared" si="53"/>
        <v>12.643796296296292</v>
      </c>
      <c r="L679" s="63">
        <f t="shared" si="54"/>
        <v>6.25</v>
      </c>
      <c r="M679" s="123"/>
    </row>
    <row r="680" spans="1:13" hidden="1">
      <c r="A680" s="63" t="str">
        <f>'RAW DATA 2023'!B806</f>
        <v>Pakpanang1</v>
      </c>
      <c r="B680" s="63" t="str">
        <f>'RAW DATA 2023'!D806</f>
        <v>C1-138-0010</v>
      </c>
      <c r="C680" s="63" t="str">
        <f t="shared" si="50"/>
        <v>Pakpanang1C1-138-0010</v>
      </c>
      <c r="D680" s="68">
        <f>VLOOKUP(C680,'RAW DATA 2023'!E:BP,63,0)</f>
        <v>5</v>
      </c>
      <c r="E680" s="68" t="str">
        <f t="shared" si="51"/>
        <v>Pakpanang15</v>
      </c>
      <c r="F680" s="63" t="str">
        <f>VLOOKUP(C680,'RAW DATA 2023'!E:BO,5,0)</f>
        <v>Outdoor</v>
      </c>
      <c r="G680" s="63" t="s">
        <v>1954</v>
      </c>
      <c r="H680" s="63">
        <f>VLOOKUP(C680,'RAW DATA 2023'!E:BO,2,0)</f>
        <v>1.5</v>
      </c>
      <c r="I680" s="106">
        <f>VLOOKUP(C680,'RAW DATA 2023'!E:BO,22,0)</f>
        <v>9.7477266666666669</v>
      </c>
      <c r="J680" s="72">
        <f t="shared" si="52"/>
        <v>3.7477266666666669</v>
      </c>
      <c r="K680" s="109">
        <f t="shared" si="53"/>
        <v>6.246211111111112</v>
      </c>
      <c r="L680" s="63">
        <f t="shared" si="54"/>
        <v>6.246211111111112</v>
      </c>
      <c r="M680" s="123"/>
    </row>
    <row r="681" spans="1:13">
      <c r="A681" s="63" t="str">
        <f>'RAW DATA 2023'!B5</f>
        <v>Lamae</v>
      </c>
      <c r="B681" s="63" t="str">
        <f>'RAW DATA 2023'!D5</f>
        <v>A1-011-0023</v>
      </c>
      <c r="C681" s="63" t="str">
        <f t="shared" si="50"/>
        <v>LamaeA1-011-0023</v>
      </c>
      <c r="D681" s="68">
        <f>VLOOKUP(C681,'RAW DATA 2023'!E:BP,63,0)</f>
        <v>9</v>
      </c>
      <c r="E681" s="68" t="str">
        <f t="shared" si="51"/>
        <v>Lamae9</v>
      </c>
      <c r="F681" s="63" t="str">
        <f>VLOOKUP(C681,'RAW DATA 2023'!E:BO,5,0)</f>
        <v>Outdoor</v>
      </c>
      <c r="G681" s="63" t="s">
        <v>1951</v>
      </c>
      <c r="H681" s="63">
        <f>VLOOKUP(C681,'RAW DATA 2023'!E:BO,2,0)</f>
        <v>4</v>
      </c>
      <c r="I681" s="106">
        <f>VLOOKUP(C681,'RAW DATA 2023'!E:BO,22,0)</f>
        <v>5.1962924999999993</v>
      </c>
      <c r="J681" s="72">
        <f t="shared" si="52"/>
        <v>2.1962924999999993</v>
      </c>
      <c r="K681" s="109">
        <f t="shared" si="53"/>
        <v>3.660487499999999</v>
      </c>
      <c r="L681" s="63">
        <f t="shared" si="54"/>
        <v>3.660487499999999</v>
      </c>
      <c r="M681" s="123"/>
    </row>
    <row r="682" spans="1:13">
      <c r="A682" s="63" t="str">
        <f>'RAW DATA 2023'!B13</f>
        <v>Lamae</v>
      </c>
      <c r="B682" s="63" t="str">
        <f>'RAW DATA 2023'!D13</f>
        <v>B1-021-0013</v>
      </c>
      <c r="C682" s="63" t="str">
        <f t="shared" si="50"/>
        <v>LamaeB1-021-0013</v>
      </c>
      <c r="D682" s="68">
        <f>VLOOKUP(C682,'RAW DATA 2023'!E:BP,63,0)</f>
        <v>8</v>
      </c>
      <c r="E682" s="68" t="str">
        <f t="shared" si="51"/>
        <v>Lamae8</v>
      </c>
      <c r="F682" s="63" t="str">
        <f>VLOOKUP(C682,'RAW DATA 2023'!E:BO,5,0)</f>
        <v>Outdoor</v>
      </c>
      <c r="G682" s="63" t="s">
        <v>1951</v>
      </c>
      <c r="H682" s="63">
        <f>VLOOKUP(C682,'RAW DATA 2023'!E:BO,2,0)</f>
        <v>8.5</v>
      </c>
      <c r="I682" s="106">
        <f>VLOOKUP(C682,'RAW DATA 2023'!E:BO,22,0)</f>
        <v>5.3971247058823533</v>
      </c>
      <c r="J682" s="72">
        <f t="shared" si="52"/>
        <v>3.3971247058823533</v>
      </c>
      <c r="K682" s="109">
        <f t="shared" si="53"/>
        <v>5.6618745098039227</v>
      </c>
      <c r="L682" s="63">
        <f t="shared" si="54"/>
        <v>5.6618745098039227</v>
      </c>
      <c r="M682" s="123"/>
    </row>
    <row r="683" spans="1:13" hidden="1">
      <c r="A683" s="63" t="str">
        <f>'RAW DATA 2023'!B30</f>
        <v>Bansang</v>
      </c>
      <c r="B683" s="63" t="str">
        <f>'RAW DATA 2023'!D30</f>
        <v>A1-008-0015</v>
      </c>
      <c r="C683" s="63" t="str">
        <f t="shared" si="50"/>
        <v>BansangA1-008-0015</v>
      </c>
      <c r="D683" s="68">
        <f>VLOOKUP(C683,'RAW DATA 2023'!E:BP,63,0)</f>
        <v>9</v>
      </c>
      <c r="E683" s="68" t="str">
        <f t="shared" si="51"/>
        <v>Bansang9</v>
      </c>
      <c r="F683" s="63" t="str">
        <f>VLOOKUP(C683,'RAW DATA 2023'!E:BO,5,0)</f>
        <v>Outdoor</v>
      </c>
      <c r="G683" s="63" t="s">
        <v>1955</v>
      </c>
      <c r="H683" s="63">
        <f>VLOOKUP(C683,'RAW DATA 2023'!E:BO,2,0)</f>
        <v>3.38</v>
      </c>
      <c r="I683" s="106">
        <f>VLOOKUP(C683,'RAW DATA 2023'!E:BO,22,0)</f>
        <v>7.7165828402366863</v>
      </c>
      <c r="J683" s="72">
        <f t="shared" si="52"/>
        <v>4.7165828402366863</v>
      </c>
      <c r="K683" s="109">
        <f t="shared" si="53"/>
        <v>7.8609714003944777</v>
      </c>
      <c r="L683" s="63">
        <f t="shared" si="54"/>
        <v>6.25</v>
      </c>
      <c r="M683" s="123"/>
    </row>
    <row r="684" spans="1:13" hidden="1">
      <c r="A684" s="63" t="str">
        <f>'RAW DATA 2023'!B60</f>
        <v>Petchburi5</v>
      </c>
      <c r="B684" s="63" t="str">
        <f>'RAW DATA 2023'!D60</f>
        <v>AG-003-0011</v>
      </c>
      <c r="C684" s="63" t="str">
        <f t="shared" si="50"/>
        <v>Petchburi5AG-003-0011</v>
      </c>
      <c r="D684" s="68">
        <f>VLOOKUP(C684,'RAW DATA 2023'!E:BP,63,0)</f>
        <v>1</v>
      </c>
      <c r="E684" s="68" t="str">
        <f t="shared" si="51"/>
        <v>Petchburi51</v>
      </c>
      <c r="F684" s="63" t="str">
        <f>VLOOKUP(C684,'RAW DATA 2023'!E:BO,5,0)</f>
        <v>Greenhouse</v>
      </c>
      <c r="G684" s="63" t="s">
        <v>1954</v>
      </c>
      <c r="H684" s="63">
        <f>VLOOKUP(C684,'RAW DATA 2023'!E:BO,2,0)</f>
        <v>1.5</v>
      </c>
      <c r="I684" s="106">
        <f>VLOOKUP(C684,'RAW DATA 2023'!E:BO,22,0)</f>
        <v>12.104693333333335</v>
      </c>
      <c r="J684" s="72">
        <f t="shared" si="52"/>
        <v>8.1046933333333353</v>
      </c>
      <c r="K684" s="109">
        <f t="shared" si="53"/>
        <v>13.507822222222226</v>
      </c>
      <c r="L684" s="63">
        <f t="shared" si="54"/>
        <v>6.25</v>
      </c>
      <c r="M684" s="123"/>
    </row>
    <row r="685" spans="1:13" hidden="1">
      <c r="A685" s="63" t="str">
        <f>'RAW DATA 2023'!B67</f>
        <v>Petchburi5</v>
      </c>
      <c r="B685" s="63" t="str">
        <f>'RAW DATA 2023'!D67</f>
        <v>AG-003-0012</v>
      </c>
      <c r="C685" s="63" t="str">
        <f t="shared" si="50"/>
        <v>Petchburi5AG-003-0012</v>
      </c>
      <c r="D685" s="68">
        <f>VLOOKUP(C685,'RAW DATA 2023'!E:BP,63,0)</f>
        <v>6</v>
      </c>
      <c r="E685" s="68" t="str">
        <f t="shared" si="51"/>
        <v>Petchburi56</v>
      </c>
      <c r="F685" s="63" t="str">
        <f>VLOOKUP(C685,'RAW DATA 2023'!E:BO,5,0)</f>
        <v>Greenhouse</v>
      </c>
      <c r="G685" s="63" t="s">
        <v>1954</v>
      </c>
      <c r="H685" s="63">
        <f>VLOOKUP(C685,'RAW DATA 2023'!E:BO,2,0)</f>
        <v>1.5</v>
      </c>
      <c r="I685" s="106">
        <f>VLOOKUP(C685,'RAW DATA 2023'!E:BO,22,0)</f>
        <v>14.17966</v>
      </c>
      <c r="J685" s="72">
        <f t="shared" si="52"/>
        <v>10.17966</v>
      </c>
      <c r="K685" s="109">
        <f t="shared" si="53"/>
        <v>16.966100000000001</v>
      </c>
      <c r="L685" s="63">
        <f t="shared" si="54"/>
        <v>6.25</v>
      </c>
      <c r="M685" s="123"/>
    </row>
    <row r="686" spans="1:13" hidden="1">
      <c r="A686" s="63" t="str">
        <f>'RAW DATA 2023'!B116</f>
        <v>Roiphet1</v>
      </c>
      <c r="B686" s="63" t="str">
        <f>'RAW DATA 2023'!D116</f>
        <v>D6-G11-0076</v>
      </c>
      <c r="C686" s="63" t="str">
        <f t="shared" si="50"/>
        <v>Roiphet1D6-G11-0076</v>
      </c>
      <c r="D686" s="68">
        <f>VLOOKUP(C686,'RAW DATA 2023'!E:BP,63,0)</f>
        <v>6</v>
      </c>
      <c r="E686" s="68" t="str">
        <f t="shared" si="51"/>
        <v>Roiphet16</v>
      </c>
      <c r="F686" s="63" t="str">
        <f>VLOOKUP(C686,'RAW DATA 2023'!E:BO,5,0)</f>
        <v>Greenhouse</v>
      </c>
      <c r="G686" s="63" t="s">
        <v>1955</v>
      </c>
      <c r="H686" s="63">
        <f>VLOOKUP(C686,'RAW DATA 2023'!E:BO,2,0)</f>
        <v>1.1299999999999999</v>
      </c>
      <c r="I686" s="106">
        <f>VLOOKUP(C686,'RAW DATA 2023'!E:BO,22,0)</f>
        <v>5.658283185840709</v>
      </c>
      <c r="J686" s="72">
        <f t="shared" si="52"/>
        <v>1.658283185840709</v>
      </c>
      <c r="K686" s="109">
        <f t="shared" si="53"/>
        <v>2.763805309734515</v>
      </c>
      <c r="L686" s="63">
        <f t="shared" si="54"/>
        <v>2.763805309734515</v>
      </c>
      <c r="M686" s="123"/>
    </row>
    <row r="687" spans="1:13" hidden="1">
      <c r="A687" s="63" t="str">
        <f>'RAW DATA 2023'!B124</f>
        <v>Roiphet1</v>
      </c>
      <c r="B687" s="63" t="str">
        <f>'RAW DATA 2023'!D124</f>
        <v>D1-I01-0091</v>
      </c>
      <c r="C687" s="63" t="str">
        <f t="shared" si="50"/>
        <v>Roiphet1D1-I01-0091</v>
      </c>
      <c r="D687" s="68">
        <f>VLOOKUP(C687,'RAW DATA 2023'!E:BP,63,0)</f>
        <v>6</v>
      </c>
      <c r="E687" s="68" t="str">
        <f t="shared" si="51"/>
        <v>Roiphet16</v>
      </c>
      <c r="F687" s="63" t="str">
        <f>VLOOKUP(C687,'RAW DATA 2023'!E:BO,5,0)</f>
        <v>Greenhouse</v>
      </c>
      <c r="G687" s="63" t="s">
        <v>1954</v>
      </c>
      <c r="H687" s="63">
        <f>VLOOKUP(C687,'RAW DATA 2023'!E:BO,2,0)</f>
        <v>0.72</v>
      </c>
      <c r="I687" s="106">
        <f>VLOOKUP(C687,'RAW DATA 2023'!E:BO,22,0)</f>
        <v>5.9523333333333337</v>
      </c>
      <c r="J687" s="72">
        <f t="shared" si="52"/>
        <v>1.9523333333333337</v>
      </c>
      <c r="K687" s="109">
        <f t="shared" si="53"/>
        <v>3.2538888888888895</v>
      </c>
      <c r="L687" s="63">
        <f t="shared" si="54"/>
        <v>3.2538888888888895</v>
      </c>
      <c r="M687" s="123"/>
    </row>
    <row r="688" spans="1:13" hidden="1">
      <c r="A688" s="63" t="str">
        <f>'RAW DATA 2023'!B156</f>
        <v>Roiphet1</v>
      </c>
      <c r="B688" s="63" t="str">
        <f>'RAW DATA 2023'!D156</f>
        <v>A2-I04-0099</v>
      </c>
      <c r="C688" s="63" t="str">
        <f t="shared" si="50"/>
        <v>Roiphet1A2-I04-0099</v>
      </c>
      <c r="D688" s="68">
        <f>VLOOKUP(C688,'RAW DATA 2023'!E:BP,63,0)</f>
        <v>5</v>
      </c>
      <c r="E688" s="68" t="str">
        <f t="shared" si="51"/>
        <v>Roiphet15</v>
      </c>
      <c r="F688" s="63" t="str">
        <f>VLOOKUP(C688,'RAW DATA 2023'!E:BO,5,0)</f>
        <v>Greenhouse</v>
      </c>
      <c r="G688" s="63" t="s">
        <v>1954</v>
      </c>
      <c r="H688" s="63">
        <f>VLOOKUP(C688,'RAW DATA 2023'!E:BO,2,0)</f>
        <v>0.72</v>
      </c>
      <c r="I688" s="106">
        <f>VLOOKUP(C688,'RAW DATA 2023'!E:BO,22,0)</f>
        <v>6.1501250000000001</v>
      </c>
      <c r="J688" s="72">
        <f t="shared" si="52"/>
        <v>2.1501250000000001</v>
      </c>
      <c r="K688" s="109">
        <f t="shared" si="53"/>
        <v>3.5835416666666671</v>
      </c>
      <c r="L688" s="63">
        <f t="shared" si="54"/>
        <v>3.5835416666666671</v>
      </c>
      <c r="M688" s="123"/>
    </row>
    <row r="689" spans="1:13" hidden="1">
      <c r="A689" s="63" t="str">
        <f>'RAW DATA 2023'!B160</f>
        <v>Roiphet1</v>
      </c>
      <c r="B689" s="63" t="str">
        <f>'RAW DATA 2023'!D160</f>
        <v>A3-I05-0083</v>
      </c>
      <c r="C689" s="63" t="str">
        <f t="shared" si="50"/>
        <v>Roiphet1A3-I05-0083</v>
      </c>
      <c r="D689" s="68">
        <f>VLOOKUP(C689,'RAW DATA 2023'!E:BP,63,0)</f>
        <v>1</v>
      </c>
      <c r="E689" s="68" t="str">
        <f t="shared" si="51"/>
        <v>Roiphet11</v>
      </c>
      <c r="F689" s="63" t="str">
        <f>VLOOKUP(C689,'RAW DATA 2023'!E:BO,5,0)</f>
        <v>Greenhouse</v>
      </c>
      <c r="G689" s="63" t="s">
        <v>1954</v>
      </c>
      <c r="H689" s="63">
        <f>VLOOKUP(C689,'RAW DATA 2023'!E:BO,2,0)</f>
        <v>0.72</v>
      </c>
      <c r="I689" s="106">
        <f>VLOOKUP(C689,'RAW DATA 2023'!E:BO,22,0)</f>
        <v>4.2550277777777774</v>
      </c>
      <c r="J689" s="72">
        <f t="shared" si="52"/>
        <v>0.25502777777777741</v>
      </c>
      <c r="K689" s="109">
        <f t="shared" si="53"/>
        <v>0.4250462962962957</v>
      </c>
      <c r="L689" s="63">
        <f t="shared" si="54"/>
        <v>0.4250462962962957</v>
      </c>
      <c r="M689" s="123"/>
    </row>
    <row r="690" spans="1:13" hidden="1">
      <c r="A690" s="63" t="str">
        <f>'RAW DATA 2023'!B174</f>
        <v>Roiphet1</v>
      </c>
      <c r="B690" s="63" t="str">
        <f>'RAW DATA 2023'!D174</f>
        <v>A3-G06-0081</v>
      </c>
      <c r="C690" s="63" t="str">
        <f t="shared" si="50"/>
        <v>Roiphet1A3-G06-0081</v>
      </c>
      <c r="D690" s="68">
        <f>VLOOKUP(C690,'RAW DATA 2023'!E:BP,63,0)</f>
        <v>6</v>
      </c>
      <c r="E690" s="68" t="str">
        <f t="shared" si="51"/>
        <v>Roiphet16</v>
      </c>
      <c r="F690" s="63" t="str">
        <f>VLOOKUP(C690,'RAW DATA 2023'!E:BO,5,0)</f>
        <v>Greenhouse</v>
      </c>
      <c r="G690" s="63" t="s">
        <v>67</v>
      </c>
      <c r="H690" s="63">
        <f>VLOOKUP(C690,'RAW DATA 2023'!E:BO,2,0)</f>
        <v>1.1299999999999999</v>
      </c>
      <c r="I690" s="106">
        <f>VLOOKUP(C690,'RAW DATA 2023'!E:BO,22,0)</f>
        <v>5.4823362831858411</v>
      </c>
      <c r="J690" s="72">
        <f t="shared" si="52"/>
        <v>1.4823362831858411</v>
      </c>
      <c r="K690" s="109">
        <f t="shared" si="53"/>
        <v>2.4705604719764018</v>
      </c>
      <c r="L690" s="63">
        <f t="shared" si="54"/>
        <v>2.4705604719764018</v>
      </c>
      <c r="M690" s="123"/>
    </row>
    <row r="691" spans="1:13" hidden="1">
      <c r="A691" s="63" t="str">
        <f>'RAW DATA 2023'!B175</f>
        <v>Roiphet1</v>
      </c>
      <c r="B691" s="63" t="str">
        <f>'RAW DATA 2023'!D175</f>
        <v>D6-I12-0086</v>
      </c>
      <c r="C691" s="63" t="str">
        <f t="shared" si="50"/>
        <v>Roiphet1D6-I12-0086</v>
      </c>
      <c r="D691" s="68">
        <f>VLOOKUP(C691,'RAW DATA 2023'!E:BP,63,0)</f>
        <v>11</v>
      </c>
      <c r="E691" s="68" t="str">
        <f t="shared" si="51"/>
        <v>Roiphet111</v>
      </c>
      <c r="F691" s="63" t="str">
        <f>VLOOKUP(C691,'RAW DATA 2023'!E:BO,5,0)</f>
        <v>Greenhouse</v>
      </c>
      <c r="G691" s="63" t="s">
        <v>67</v>
      </c>
      <c r="H691" s="63">
        <f>VLOOKUP(C691,'RAW DATA 2023'!E:BO,2,0)</f>
        <v>0.72</v>
      </c>
      <c r="I691" s="106">
        <f>VLOOKUP(C691,'RAW DATA 2023'!E:BO,22,0)</f>
        <v>5.3458888888888891</v>
      </c>
      <c r="J691" s="72">
        <f t="shared" si="52"/>
        <v>1.3458888888888891</v>
      </c>
      <c r="K691" s="109">
        <f t="shared" si="53"/>
        <v>2.2431481481481486</v>
      </c>
      <c r="L691" s="63">
        <f t="shared" si="54"/>
        <v>2.2431481481481486</v>
      </c>
      <c r="M691" s="123"/>
    </row>
    <row r="692" spans="1:13" hidden="1">
      <c r="A692" s="63" t="str">
        <f>'RAW DATA 2023'!B221</f>
        <v>Roiphet1</v>
      </c>
      <c r="B692" s="63" t="str">
        <f>'RAW DATA 2023'!D221</f>
        <v>D5-I10-0075</v>
      </c>
      <c r="C692" s="63" t="str">
        <f t="shared" si="50"/>
        <v>Roiphet1D5-I10-0075</v>
      </c>
      <c r="D692" s="68">
        <f>VLOOKUP(C692,'RAW DATA 2023'!E:BP,63,0)</f>
        <v>10</v>
      </c>
      <c r="E692" s="68" t="str">
        <f t="shared" si="51"/>
        <v>Roiphet110</v>
      </c>
      <c r="F692" s="63" t="str">
        <f>VLOOKUP(C692,'RAW DATA 2023'!E:BO,5,0)</f>
        <v>Greenhouse</v>
      </c>
      <c r="G692" s="63" t="s">
        <v>1954</v>
      </c>
      <c r="H692" s="63">
        <f>VLOOKUP(C692,'RAW DATA 2023'!E:BO,2,0)</f>
        <v>0.72</v>
      </c>
      <c r="I692" s="106">
        <f>VLOOKUP(C692,'RAW DATA 2023'!E:BO,22,0)</f>
        <v>6.9261527777777783</v>
      </c>
      <c r="J692" s="72">
        <f t="shared" si="52"/>
        <v>2.9261527777777783</v>
      </c>
      <c r="K692" s="109">
        <f t="shared" si="53"/>
        <v>4.8769212962962971</v>
      </c>
      <c r="L692" s="63">
        <f t="shared" si="54"/>
        <v>4.8769212962962971</v>
      </c>
      <c r="M692" s="123"/>
    </row>
    <row r="693" spans="1:13" hidden="1">
      <c r="A693" s="63" t="str">
        <f>'RAW DATA 2023'!B222</f>
        <v>Roiphet1</v>
      </c>
      <c r="B693" s="63" t="str">
        <f>'RAW DATA 2023'!D222</f>
        <v>C2-I03-0058</v>
      </c>
      <c r="C693" s="63" t="str">
        <f t="shared" si="50"/>
        <v>Roiphet1C2-I03-0058</v>
      </c>
      <c r="D693" s="68">
        <f>VLOOKUP(C693,'RAW DATA 2023'!E:BP,63,0)</f>
        <v>3</v>
      </c>
      <c r="E693" s="68" t="str">
        <f t="shared" si="51"/>
        <v>Roiphet13</v>
      </c>
      <c r="F693" s="63" t="str">
        <f>VLOOKUP(C693,'RAW DATA 2023'!E:BO,5,0)</f>
        <v>Greenhouse</v>
      </c>
      <c r="G693" s="63" t="s">
        <v>1955</v>
      </c>
      <c r="H693" s="63">
        <f>VLOOKUP(C693,'RAW DATA 2023'!E:BO,2,0)</f>
        <v>0.72</v>
      </c>
      <c r="I693" s="106">
        <f>VLOOKUP(C693,'RAW DATA 2023'!E:BO,22,0)</f>
        <v>9.3016527777777789</v>
      </c>
      <c r="J693" s="72">
        <f t="shared" si="52"/>
        <v>5.3016527777777789</v>
      </c>
      <c r="K693" s="109">
        <f t="shared" si="53"/>
        <v>8.8360879629629654</v>
      </c>
      <c r="L693" s="63">
        <f t="shared" si="54"/>
        <v>6.25</v>
      </c>
      <c r="M693" s="123"/>
    </row>
    <row r="694" spans="1:13" hidden="1">
      <c r="A694" s="63" t="str">
        <f>'RAW DATA 2023'!B224</f>
        <v>Roiphet1</v>
      </c>
      <c r="B694" s="63" t="str">
        <f>'RAW DATA 2023'!D224</f>
        <v>C1-G02-0073</v>
      </c>
      <c r="C694" s="63" t="str">
        <f t="shared" si="50"/>
        <v>Roiphet1C1-G02-0073</v>
      </c>
      <c r="D694" s="68">
        <f>VLOOKUP(C694,'RAW DATA 2023'!E:BP,63,0)</f>
        <v>5</v>
      </c>
      <c r="E694" s="68" t="str">
        <f t="shared" si="51"/>
        <v>Roiphet15</v>
      </c>
      <c r="F694" s="63" t="str">
        <f>VLOOKUP(C694,'RAW DATA 2023'!E:BO,5,0)</f>
        <v>Greenhouse</v>
      </c>
      <c r="G694" s="63" t="s">
        <v>1954</v>
      </c>
      <c r="H694" s="63">
        <f>VLOOKUP(C694,'RAW DATA 2023'!E:BO,2,0)</f>
        <v>1.1299999999999999</v>
      </c>
      <c r="I694" s="106">
        <f>VLOOKUP(C694,'RAW DATA 2023'!E:BO,22,0)</f>
        <v>7.232893805309736</v>
      </c>
      <c r="J694" s="72">
        <f t="shared" si="52"/>
        <v>3.232893805309736</v>
      </c>
      <c r="K694" s="109">
        <f t="shared" si="53"/>
        <v>5.388156342182894</v>
      </c>
      <c r="L694" s="63">
        <f t="shared" si="54"/>
        <v>5.388156342182894</v>
      </c>
      <c r="M694" s="123"/>
    </row>
    <row r="695" spans="1:13" hidden="1">
      <c r="A695" s="63" t="str">
        <f>'RAW DATA 2023'!B228</f>
        <v>Roiphet1</v>
      </c>
      <c r="B695" s="63" t="str">
        <f>'RAW DATA 2023'!D228</f>
        <v>C2-G03-0065</v>
      </c>
      <c r="C695" s="63" t="str">
        <f t="shared" si="50"/>
        <v>Roiphet1C2-G03-0065</v>
      </c>
      <c r="D695" s="68">
        <f>VLOOKUP(C695,'RAW DATA 2023'!E:BP,63,0)</f>
        <v>4</v>
      </c>
      <c r="E695" s="68" t="str">
        <f t="shared" si="51"/>
        <v>Roiphet14</v>
      </c>
      <c r="F695" s="63" t="str">
        <f>VLOOKUP(C695,'RAW DATA 2023'!E:BO,5,0)</f>
        <v>Greenhouse</v>
      </c>
      <c r="G695" s="63" t="s">
        <v>1954</v>
      </c>
      <c r="H695" s="63">
        <f>VLOOKUP(C695,'RAW DATA 2023'!E:BO,2,0)</f>
        <v>1.1299999999999999</v>
      </c>
      <c r="I695" s="106">
        <f>VLOOKUP(C695,'RAW DATA 2023'!E:BO,22,0)</f>
        <v>9.9499380530973465</v>
      </c>
      <c r="J695" s="72">
        <f t="shared" si="52"/>
        <v>5.9499380530973465</v>
      </c>
      <c r="K695" s="109">
        <f t="shared" si="53"/>
        <v>9.9165634218289114</v>
      </c>
      <c r="L695" s="63">
        <f t="shared" si="54"/>
        <v>6.25</v>
      </c>
      <c r="M695" s="123"/>
    </row>
    <row r="696" spans="1:13" hidden="1">
      <c r="A696" s="63" t="str">
        <f>'RAW DATA 2023'!B238</f>
        <v>Roiphet1</v>
      </c>
      <c r="B696" s="63" t="str">
        <f>'RAW DATA 2023'!D238</f>
        <v>C4-I07-0059</v>
      </c>
      <c r="C696" s="63" t="str">
        <f t="shared" si="50"/>
        <v>Roiphet1C4-I07-0059</v>
      </c>
      <c r="D696" s="68">
        <f>VLOOKUP(C696,'RAW DATA 2023'!E:BP,63,0)</f>
        <v>2</v>
      </c>
      <c r="E696" s="68" t="str">
        <f t="shared" si="51"/>
        <v>Roiphet12</v>
      </c>
      <c r="F696" s="63" t="str">
        <f>VLOOKUP(C696,'RAW DATA 2023'!E:BO,5,0)</f>
        <v>Greenhouse</v>
      </c>
      <c r="G696" s="63" t="s">
        <v>1955</v>
      </c>
      <c r="H696" s="63">
        <f>VLOOKUP(C696,'RAW DATA 2023'!E:BO,2,0)</f>
        <v>0.72</v>
      </c>
      <c r="I696" s="106">
        <f>VLOOKUP(C696,'RAW DATA 2023'!E:BO,22,0)</f>
        <v>5.8085833333333348</v>
      </c>
      <c r="J696" s="72">
        <f t="shared" si="52"/>
        <v>1.8085833333333348</v>
      </c>
      <c r="K696" s="109">
        <f t="shared" si="53"/>
        <v>3.0143055555555582</v>
      </c>
      <c r="L696" s="63">
        <f t="shared" si="54"/>
        <v>3.0143055555555582</v>
      </c>
      <c r="M696" s="123"/>
    </row>
    <row r="697" spans="1:13" hidden="1">
      <c r="A697" s="63" t="str">
        <f>'RAW DATA 2023'!B245</f>
        <v>Roiphet1</v>
      </c>
      <c r="B697" s="63" t="str">
        <f>'RAW DATA 2023'!D245</f>
        <v>C5-G10-0064</v>
      </c>
      <c r="C697" s="63" t="str">
        <f t="shared" si="50"/>
        <v>Roiphet1C5-G10-0064</v>
      </c>
      <c r="D697" s="68">
        <f>VLOOKUP(C697,'RAW DATA 2023'!E:BP,63,0)</f>
        <v>5</v>
      </c>
      <c r="E697" s="68" t="str">
        <f t="shared" si="51"/>
        <v>Roiphet15</v>
      </c>
      <c r="F697" s="63" t="str">
        <f>VLOOKUP(C697,'RAW DATA 2023'!E:BO,5,0)</f>
        <v>Greenhouse</v>
      </c>
      <c r="G697" s="63" t="s">
        <v>1955</v>
      </c>
      <c r="H697" s="63">
        <f>VLOOKUP(C697,'RAW DATA 2023'!E:BO,2,0)</f>
        <v>1.1299999999999999</v>
      </c>
      <c r="I697" s="106">
        <f>VLOOKUP(C697,'RAW DATA 2023'!E:BO,22,0)</f>
        <v>7.3095309734513281</v>
      </c>
      <c r="J697" s="72">
        <f t="shared" si="52"/>
        <v>3.3095309734513281</v>
      </c>
      <c r="K697" s="109">
        <f t="shared" si="53"/>
        <v>5.515884955752214</v>
      </c>
      <c r="L697" s="63">
        <f t="shared" si="54"/>
        <v>5.515884955752214</v>
      </c>
      <c r="M697" s="123"/>
    </row>
    <row r="698" spans="1:13" hidden="1">
      <c r="A698" s="63" t="str">
        <f>'RAW DATA 2023'!B247</f>
        <v>Roiphet1</v>
      </c>
      <c r="B698" s="63" t="str">
        <f>'RAW DATA 2023'!D247</f>
        <v>C6-I11-0064</v>
      </c>
      <c r="C698" s="63" t="str">
        <f t="shared" si="50"/>
        <v>Roiphet1C6-I11-0064</v>
      </c>
      <c r="D698" s="68">
        <f>VLOOKUP(C698,'RAW DATA 2023'!E:BP,63,0)</f>
        <v>2</v>
      </c>
      <c r="E698" s="68" t="str">
        <f t="shared" si="51"/>
        <v>Roiphet12</v>
      </c>
      <c r="F698" s="63" t="str">
        <f>VLOOKUP(C698,'RAW DATA 2023'!E:BO,5,0)</f>
        <v>Greenhouse</v>
      </c>
      <c r="G698" s="63" t="s">
        <v>1955</v>
      </c>
      <c r="H698" s="63">
        <f>VLOOKUP(C698,'RAW DATA 2023'!E:BO,2,0)</f>
        <v>0.72</v>
      </c>
      <c r="I698" s="106">
        <f>VLOOKUP(C698,'RAW DATA 2023'!E:BO,22,0)</f>
        <v>6.3292916666666672</v>
      </c>
      <c r="J698" s="72">
        <f t="shared" si="52"/>
        <v>2.3292916666666672</v>
      </c>
      <c r="K698" s="109">
        <f t="shared" si="53"/>
        <v>3.8821527777777787</v>
      </c>
      <c r="L698" s="63">
        <f t="shared" si="54"/>
        <v>3.8821527777777787</v>
      </c>
      <c r="M698" s="123"/>
    </row>
    <row r="699" spans="1:13" hidden="1">
      <c r="A699" s="63" t="str">
        <f>'RAW DATA 2023'!B248</f>
        <v>Roiphet1</v>
      </c>
      <c r="B699" s="63" t="str">
        <f>'RAW DATA 2023'!D248</f>
        <v>C3-I05-0065</v>
      </c>
      <c r="C699" s="63" t="str">
        <f t="shared" si="50"/>
        <v>Roiphet1C3-I05-0065</v>
      </c>
      <c r="D699" s="68">
        <f>VLOOKUP(C699,'RAW DATA 2023'!E:BP,63,0)</f>
        <v>4</v>
      </c>
      <c r="E699" s="68" t="str">
        <f t="shared" si="51"/>
        <v>Roiphet14</v>
      </c>
      <c r="F699" s="63" t="str">
        <f>VLOOKUP(C699,'RAW DATA 2023'!E:BO,5,0)</f>
        <v>Greenhouse</v>
      </c>
      <c r="G699" s="63" t="s">
        <v>1955</v>
      </c>
      <c r="H699" s="63">
        <f>VLOOKUP(C699,'RAW DATA 2023'!E:BO,2,0)</f>
        <v>0.72</v>
      </c>
      <c r="I699" s="106">
        <f>VLOOKUP(C699,'RAW DATA 2023'!E:BO,22,0)</f>
        <v>5.1777500000000005</v>
      </c>
      <c r="J699" s="72">
        <f t="shared" si="52"/>
        <v>1.1777500000000005</v>
      </c>
      <c r="K699" s="109">
        <f t="shared" si="53"/>
        <v>1.9629166666666675</v>
      </c>
      <c r="L699" s="63">
        <f t="shared" si="54"/>
        <v>1.9629166666666675</v>
      </c>
      <c r="M699" s="123"/>
    </row>
    <row r="700" spans="1:13" hidden="1">
      <c r="A700" s="63" t="str">
        <f>'RAW DATA 2023'!B253</f>
        <v>Roiphet1</v>
      </c>
      <c r="B700" s="63" t="str">
        <f>'RAW DATA 2023'!D253</f>
        <v>C1-G02-0074</v>
      </c>
      <c r="C700" s="63" t="str">
        <f t="shared" si="50"/>
        <v>Roiphet1C1-G02-0074</v>
      </c>
      <c r="D700" s="68">
        <f>VLOOKUP(C700,'RAW DATA 2023'!E:BP,63,0)</f>
        <v>9</v>
      </c>
      <c r="E700" s="68" t="str">
        <f t="shared" si="51"/>
        <v>Roiphet19</v>
      </c>
      <c r="F700" s="63" t="str">
        <f>VLOOKUP(C700,'RAW DATA 2023'!E:BO,5,0)</f>
        <v>Greenhouse</v>
      </c>
      <c r="G700" s="63" t="s">
        <v>1954</v>
      </c>
      <c r="H700" s="63">
        <f>VLOOKUP(C700,'RAW DATA 2023'!E:BO,2,0)</f>
        <v>1.1299999999999999</v>
      </c>
      <c r="I700" s="106">
        <f>VLOOKUP(C700,'RAW DATA 2023'!E:BO,22,0)</f>
        <v>5.8821415929203544</v>
      </c>
      <c r="J700" s="72">
        <f t="shared" si="52"/>
        <v>1.8821415929203544</v>
      </c>
      <c r="K700" s="109">
        <f t="shared" si="53"/>
        <v>3.1369026548672574</v>
      </c>
      <c r="L700" s="63">
        <f t="shared" si="54"/>
        <v>3.1369026548672574</v>
      </c>
      <c r="M700" s="123"/>
    </row>
    <row r="701" spans="1:13" hidden="1">
      <c r="A701" s="63" t="str">
        <f>'RAW DATA 2023'!B266</f>
        <v>Roiphet1</v>
      </c>
      <c r="B701" s="63" t="str">
        <f>'RAW DATA 2023'!D266</f>
        <v>B3-I06-0095</v>
      </c>
      <c r="C701" s="63" t="str">
        <f t="shared" si="50"/>
        <v>Roiphet1B3-I06-0095</v>
      </c>
      <c r="D701" s="68">
        <f>VLOOKUP(C701,'RAW DATA 2023'!E:BP,63,0)</f>
        <v>8</v>
      </c>
      <c r="E701" s="68" t="str">
        <f t="shared" si="51"/>
        <v>Roiphet18</v>
      </c>
      <c r="F701" s="63" t="str">
        <f>VLOOKUP(C701,'RAW DATA 2023'!E:BO,5,0)</f>
        <v>Greenhouse</v>
      </c>
      <c r="G701" s="63" t="s">
        <v>67</v>
      </c>
      <c r="H701" s="63">
        <f>VLOOKUP(C701,'RAW DATA 2023'!E:BO,2,0)</f>
        <v>0.72</v>
      </c>
      <c r="I701" s="106">
        <f>VLOOKUP(C701,'RAW DATA 2023'!E:BO,22,0)</f>
        <v>2.771527777777778</v>
      </c>
      <c r="J701" s="72">
        <f t="shared" si="52"/>
        <v>-1.228472222222222</v>
      </c>
      <c r="K701" s="109">
        <f t="shared" si="53"/>
        <v>-2.0474537037037033</v>
      </c>
      <c r="L701" s="63">
        <f t="shared" si="54"/>
        <v>0</v>
      </c>
      <c r="M701" s="123"/>
    </row>
    <row r="702" spans="1:13" hidden="1">
      <c r="A702" s="63" t="str">
        <f>'RAW DATA 2023'!B277</f>
        <v>Roiphet1</v>
      </c>
      <c r="B702" s="63" t="str">
        <f>'RAW DATA 2023'!D277</f>
        <v>B4-G07-0076</v>
      </c>
      <c r="C702" s="63" t="str">
        <f t="shared" si="50"/>
        <v>Roiphet1B4-G07-0076</v>
      </c>
      <c r="D702" s="68">
        <f>VLOOKUP(C702,'RAW DATA 2023'!E:BP,63,0)</f>
        <v>3</v>
      </c>
      <c r="E702" s="68" t="str">
        <f t="shared" si="51"/>
        <v>Roiphet13</v>
      </c>
      <c r="F702" s="63" t="str">
        <f>VLOOKUP(C702,'RAW DATA 2023'!E:BO,5,0)</f>
        <v>Greenhouse</v>
      </c>
      <c r="G702" s="63" t="s">
        <v>1955</v>
      </c>
      <c r="H702" s="63">
        <f>VLOOKUP(C702,'RAW DATA 2023'!E:BO,2,0)</f>
        <v>1.1299999999999999</v>
      </c>
      <c r="I702" s="106">
        <f>VLOOKUP(C702,'RAW DATA 2023'!E:BO,22,0)</f>
        <v>6.9169734513274346</v>
      </c>
      <c r="J702" s="72">
        <f t="shared" si="52"/>
        <v>2.9169734513274346</v>
      </c>
      <c r="K702" s="109">
        <f t="shared" si="53"/>
        <v>4.8616224188790582</v>
      </c>
      <c r="L702" s="63">
        <f t="shared" si="54"/>
        <v>4.8616224188790582</v>
      </c>
      <c r="M702" s="123"/>
    </row>
    <row r="703" spans="1:13">
      <c r="A703" s="63" t="str">
        <f>'RAW DATA 2023'!B317</f>
        <v>Choknavy</v>
      </c>
      <c r="B703" s="63" t="str">
        <f>'RAW DATA 2023'!D317</f>
        <v>A1-001-0041</v>
      </c>
      <c r="C703" s="63" t="str">
        <f t="shared" si="50"/>
        <v>ChoknavyA1-001-0041</v>
      </c>
      <c r="D703" s="68">
        <f>VLOOKUP(C703,'RAW DATA 2023'!E:BP,63,0)</f>
        <v>9</v>
      </c>
      <c r="E703" s="68" t="str">
        <f t="shared" si="51"/>
        <v>Choknavy9</v>
      </c>
      <c r="F703" s="63" t="str">
        <f>VLOOKUP(C703,'RAW DATA 2023'!E:BO,5,0)</f>
        <v>Outdoor</v>
      </c>
      <c r="G703" s="63" t="s">
        <v>1951</v>
      </c>
      <c r="H703" s="63">
        <f>VLOOKUP(C703,'RAW DATA 2023'!E:BO,2,0)</f>
        <v>5</v>
      </c>
      <c r="I703" s="106">
        <f>VLOOKUP(C703,'RAW DATA 2023'!E:BO,22,0)</f>
        <v>8.0455199999999998</v>
      </c>
      <c r="J703" s="72">
        <f t="shared" si="52"/>
        <v>6.0455199999999998</v>
      </c>
      <c r="K703" s="109">
        <f t="shared" si="53"/>
        <v>10.075866666666666</v>
      </c>
      <c r="L703" s="63">
        <f t="shared" si="54"/>
        <v>6.25</v>
      </c>
      <c r="M703" s="123"/>
    </row>
    <row r="704" spans="1:13" hidden="1">
      <c r="A704" s="63" t="str">
        <f>'RAW DATA 2023'!B320</f>
        <v>Choknavy</v>
      </c>
      <c r="B704" s="63" t="str">
        <f>'RAW DATA 2023'!D320</f>
        <v>A1-002-0036</v>
      </c>
      <c r="C704" s="63" t="str">
        <f t="shared" si="50"/>
        <v>ChoknavyA1-002-0036</v>
      </c>
      <c r="D704" s="68">
        <f>VLOOKUP(C704,'RAW DATA 2023'!E:BP,63,0)</f>
        <v>4</v>
      </c>
      <c r="E704" s="68" t="str">
        <f t="shared" si="51"/>
        <v>Choknavy4</v>
      </c>
      <c r="F704" s="63" t="str">
        <f>VLOOKUP(C704,'RAW DATA 2023'!E:BO,5,0)</f>
        <v>Outdoor</v>
      </c>
      <c r="G704" s="63" t="s">
        <v>1954</v>
      </c>
      <c r="H704" s="63">
        <f>VLOOKUP(C704,'RAW DATA 2023'!E:BO,2,0)</f>
        <v>5.5</v>
      </c>
      <c r="I704" s="106">
        <f>VLOOKUP(C704,'RAW DATA 2023'!E:BO,22,0)</f>
        <v>3.7339236363636363</v>
      </c>
      <c r="J704" s="72">
        <f t="shared" si="52"/>
        <v>1.7339236363636363</v>
      </c>
      <c r="K704" s="109">
        <f t="shared" si="53"/>
        <v>2.8898727272727274</v>
      </c>
      <c r="L704" s="63">
        <f t="shared" si="54"/>
        <v>2.8898727272727274</v>
      </c>
      <c r="M704" s="123"/>
    </row>
    <row r="705" spans="1:13" hidden="1">
      <c r="A705" s="63" t="str">
        <f>'RAW DATA 2023'!B322</f>
        <v>Choknavy</v>
      </c>
      <c r="B705" s="63" t="str">
        <f>'RAW DATA 2023'!D322</f>
        <v>A1-006-0031</v>
      </c>
      <c r="C705" s="63" t="str">
        <f t="shared" si="50"/>
        <v>ChoknavyA1-006-0031</v>
      </c>
      <c r="D705" s="68">
        <f>VLOOKUP(C705,'RAW DATA 2023'!E:BP,63,0)</f>
        <v>3</v>
      </c>
      <c r="E705" s="68" t="str">
        <f t="shared" si="51"/>
        <v>Choknavy3</v>
      </c>
      <c r="F705" s="63" t="str">
        <f>VLOOKUP(C705,'RAW DATA 2023'!E:BO,5,0)</f>
        <v>Outdoor</v>
      </c>
      <c r="G705" s="63" t="s">
        <v>1954</v>
      </c>
      <c r="H705" s="63">
        <f>VLOOKUP(C705,'RAW DATA 2023'!E:BO,2,0)</f>
        <v>5.5</v>
      </c>
      <c r="I705" s="106">
        <f>VLOOKUP(C705,'RAW DATA 2023'!E:BO,22,0)</f>
        <v>5.7263927272727271</v>
      </c>
      <c r="J705" s="72">
        <f t="shared" si="52"/>
        <v>3.7263927272727271</v>
      </c>
      <c r="K705" s="109">
        <f t="shared" si="53"/>
        <v>6.2106545454545454</v>
      </c>
      <c r="L705" s="63">
        <f t="shared" si="54"/>
        <v>6.2106545454545454</v>
      </c>
      <c r="M705" s="123"/>
    </row>
    <row r="706" spans="1:13" hidden="1">
      <c r="A706" s="63" t="str">
        <f>'RAW DATA 2023'!B366</f>
        <v>PB5</v>
      </c>
      <c r="B706" s="63" t="str">
        <f>'RAW DATA 2023'!D366</f>
        <v>B1-022-0050</v>
      </c>
      <c r="C706" s="63" t="str">
        <f t="shared" si="50"/>
        <v>PB5B1-022-0050</v>
      </c>
      <c r="D706" s="68">
        <f>VLOOKUP(C706,'RAW DATA 2023'!E:BP,63,0)</f>
        <v>6</v>
      </c>
      <c r="E706" s="68" t="str">
        <f t="shared" si="51"/>
        <v>PB56</v>
      </c>
      <c r="F706" s="63" t="str">
        <f>VLOOKUP(C706,'RAW DATA 2023'!E:BO,5,0)</f>
        <v>Outdoor</v>
      </c>
      <c r="G706" s="63" t="s">
        <v>67</v>
      </c>
      <c r="H706" s="63">
        <f>VLOOKUP(C706,'RAW DATA 2023'!E:BO,2,0)</f>
        <v>5.72</v>
      </c>
      <c r="I706" s="106">
        <f>VLOOKUP(C706,'RAW DATA 2023'!E:BO,22,0)</f>
        <v>4.4222167832167836</v>
      </c>
      <c r="J706" s="72">
        <f t="shared" si="52"/>
        <v>2.4222167832167836</v>
      </c>
      <c r="K706" s="109">
        <f t="shared" si="53"/>
        <v>4.0370279720279729</v>
      </c>
      <c r="L706" s="63">
        <f t="shared" si="54"/>
        <v>4.0370279720279729</v>
      </c>
      <c r="M706" s="123"/>
    </row>
    <row r="707" spans="1:13" hidden="1">
      <c r="A707" s="63" t="str">
        <f>'RAW DATA 2023'!B430</f>
        <v>CS1</v>
      </c>
      <c r="B707" s="63" t="str">
        <f>'RAW DATA 2023'!D430</f>
        <v>C1-083-0019</v>
      </c>
      <c r="C707" s="63" t="str">
        <f t="shared" si="50"/>
        <v>CS1C1-083-0019</v>
      </c>
      <c r="D707" s="68">
        <f>VLOOKUP(C707,'RAW DATA 2023'!E:BP,63,0)</f>
        <v>2</v>
      </c>
      <c r="E707" s="68" t="str">
        <f t="shared" si="51"/>
        <v>CS12</v>
      </c>
      <c r="F707" s="63" t="str">
        <f>VLOOKUP(C707,'RAW DATA 2023'!E:BO,5,0)</f>
        <v>Outdoor</v>
      </c>
      <c r="G707" s="63" t="s">
        <v>1954</v>
      </c>
      <c r="H707" s="63">
        <f>VLOOKUP(C707,'RAW DATA 2023'!E:BO,2,0)</f>
        <v>2.7</v>
      </c>
      <c r="I707" s="106">
        <f>VLOOKUP(C707,'RAW DATA 2023'!E:BO,22,0)</f>
        <v>5.248525925925926</v>
      </c>
      <c r="J707" s="72">
        <f t="shared" si="52"/>
        <v>2.248525925925926</v>
      </c>
      <c r="K707" s="109">
        <f t="shared" si="53"/>
        <v>3.7475432098765435</v>
      </c>
      <c r="L707" s="63">
        <f t="shared" si="54"/>
        <v>3.7475432098765435</v>
      </c>
      <c r="M707" s="123"/>
    </row>
    <row r="708" spans="1:13">
      <c r="A708" s="63" t="str">
        <f>'RAW DATA 2023'!B434</f>
        <v>CS1</v>
      </c>
      <c r="B708" s="63" t="str">
        <f>'RAW DATA 2023'!D434</f>
        <v>C1-062-0019</v>
      </c>
      <c r="C708" s="63" t="str">
        <f t="shared" si="50"/>
        <v>CS1C1-062-0019</v>
      </c>
      <c r="D708" s="68">
        <f>VLOOKUP(C708,'RAW DATA 2023'!E:BP,63,0)</f>
        <v>2</v>
      </c>
      <c r="E708" s="68" t="str">
        <f t="shared" si="51"/>
        <v>CS12</v>
      </c>
      <c r="F708" s="63" t="str">
        <f>VLOOKUP(C708,'RAW DATA 2023'!E:BO,5,0)</f>
        <v>Outdoor</v>
      </c>
      <c r="G708" s="63" t="s">
        <v>1951</v>
      </c>
      <c r="H708" s="63">
        <f>VLOOKUP(C708,'RAW DATA 2023'!E:BO,2,0)</f>
        <v>3.5</v>
      </c>
      <c r="I708" s="106">
        <f>VLOOKUP(C708,'RAW DATA 2023'!E:BO,22,0)</f>
        <v>2.7096114285714283</v>
      </c>
      <c r="J708" s="72">
        <f t="shared" si="52"/>
        <v>-0.29038857142857166</v>
      </c>
      <c r="K708" s="109">
        <f t="shared" si="53"/>
        <v>-0.48398095238095279</v>
      </c>
      <c r="L708" s="63">
        <f t="shared" si="54"/>
        <v>0</v>
      </c>
      <c r="M708" s="123"/>
    </row>
    <row r="709" spans="1:13">
      <c r="A709" s="63" t="str">
        <f>'RAW DATA 2023'!B440</f>
        <v>CS1</v>
      </c>
      <c r="B709" s="63" t="str">
        <f>'RAW DATA 2023'!D440</f>
        <v>C1-085-0020</v>
      </c>
      <c r="C709" s="63" t="str">
        <f t="shared" si="50"/>
        <v>CS1C1-085-0020</v>
      </c>
      <c r="D709" s="68">
        <f>VLOOKUP(C709,'RAW DATA 2023'!E:BP,63,0)</f>
        <v>9</v>
      </c>
      <c r="E709" s="68" t="str">
        <f t="shared" si="51"/>
        <v>CS19</v>
      </c>
      <c r="F709" s="63" t="str">
        <f>VLOOKUP(C709,'RAW DATA 2023'!E:BO,5,0)</f>
        <v>Outdoor</v>
      </c>
      <c r="G709" s="63" t="s">
        <v>1951</v>
      </c>
      <c r="H709" s="63">
        <f>VLOOKUP(C709,'RAW DATA 2023'!E:BO,2,0)</f>
        <v>2.6</v>
      </c>
      <c r="I709" s="106">
        <f>VLOOKUP(C709,'RAW DATA 2023'!E:BO,22,0)</f>
        <v>3.5987769230769224</v>
      </c>
      <c r="J709" s="72">
        <f t="shared" si="52"/>
        <v>0.59877692307692243</v>
      </c>
      <c r="K709" s="109">
        <f t="shared" si="53"/>
        <v>0.99796153846153746</v>
      </c>
      <c r="L709" s="63">
        <f t="shared" si="54"/>
        <v>0.99796153846153746</v>
      </c>
      <c r="M709" s="123"/>
    </row>
    <row r="710" spans="1:13">
      <c r="A710" s="63" t="str">
        <f>'RAW DATA 2023'!B444</f>
        <v>Roiphet3</v>
      </c>
      <c r="B710" s="63" t="str">
        <f>'RAW DATA 2023'!D444</f>
        <v>A1-016-0029</v>
      </c>
      <c r="C710" s="63" t="str">
        <f t="shared" si="50"/>
        <v>Roiphet3A1-016-0029</v>
      </c>
      <c r="D710" s="68">
        <f>VLOOKUP(C710,'RAW DATA 2023'!E:BP,63,0)</f>
        <v>3</v>
      </c>
      <c r="E710" s="68" t="str">
        <f t="shared" si="51"/>
        <v>Roiphet33</v>
      </c>
      <c r="F710" s="63" t="str">
        <f>VLOOKUP(C710,'RAW DATA 2023'!E:BO,5,0)</f>
        <v>Outdoor</v>
      </c>
      <c r="G710" s="63" t="s">
        <v>1951</v>
      </c>
      <c r="H710" s="63">
        <f>VLOOKUP(C710,'RAW DATA 2023'!E:BO,2,0)</f>
        <v>4.5</v>
      </c>
      <c r="I710" s="106">
        <f>VLOOKUP(C710,'RAW DATA 2023'!E:BO,22,0)</f>
        <v>6.1515777777777778</v>
      </c>
      <c r="J710" s="72">
        <f t="shared" si="52"/>
        <v>4.1515777777777778</v>
      </c>
      <c r="K710" s="109">
        <f t="shared" si="53"/>
        <v>6.9192962962962969</v>
      </c>
      <c r="L710" s="63">
        <f t="shared" si="54"/>
        <v>6.25</v>
      </c>
      <c r="M710" s="123"/>
    </row>
    <row r="711" spans="1:13">
      <c r="A711" s="63" t="str">
        <f>'RAW DATA 2023'!B446</f>
        <v>Roiphet3</v>
      </c>
      <c r="B711" s="63" t="str">
        <f>'RAW DATA 2023'!D446</f>
        <v>A1-006-0011</v>
      </c>
      <c r="C711" s="63" t="str">
        <f t="shared" si="50"/>
        <v>Roiphet3A1-006-0011</v>
      </c>
      <c r="D711" s="68">
        <f>VLOOKUP(C711,'RAW DATA 2023'!E:BP,63,0)</f>
        <v>3</v>
      </c>
      <c r="E711" s="68" t="str">
        <f t="shared" si="51"/>
        <v>Roiphet33</v>
      </c>
      <c r="F711" s="63" t="str">
        <f>VLOOKUP(C711,'RAW DATA 2023'!E:BO,5,0)</f>
        <v>Outdoor</v>
      </c>
      <c r="G711" s="63" t="s">
        <v>1951</v>
      </c>
      <c r="H711" s="63">
        <f>VLOOKUP(C711,'RAW DATA 2023'!E:BO,2,0)</f>
        <v>4.5</v>
      </c>
      <c r="I711" s="106">
        <f>VLOOKUP(C711,'RAW DATA 2023'!E:BO,22,0)</f>
        <v>6.9997133333333332</v>
      </c>
      <c r="J711" s="72">
        <f t="shared" si="52"/>
        <v>4.9997133333333332</v>
      </c>
      <c r="K711" s="109">
        <f t="shared" si="53"/>
        <v>8.3328555555555557</v>
      </c>
      <c r="L711" s="63">
        <f t="shared" si="54"/>
        <v>6.25</v>
      </c>
      <c r="M711" s="123"/>
    </row>
    <row r="712" spans="1:13" hidden="1">
      <c r="A712" s="63" t="str">
        <f>'RAW DATA 2023'!B481</f>
        <v>Bangkachai1</v>
      </c>
      <c r="B712" s="63" t="str">
        <f>'RAW DATA 2023'!D481</f>
        <v>BG-044-0009</v>
      </c>
      <c r="C712" s="63" t="str">
        <f t="shared" si="50"/>
        <v>Bangkachai1BG-044-0009</v>
      </c>
      <c r="D712" s="68">
        <f>VLOOKUP(C712,'RAW DATA 2023'!E:BP,63,0)</f>
        <v>3</v>
      </c>
      <c r="E712" s="68" t="str">
        <f t="shared" si="51"/>
        <v>Bangkachai13</v>
      </c>
      <c r="F712" s="63" t="str">
        <f>VLOOKUP(C712,'RAW DATA 2023'!E:BO,5,0)</f>
        <v>Greenhouse</v>
      </c>
      <c r="G712" s="63" t="s">
        <v>67</v>
      </c>
      <c r="H712" s="63">
        <f>VLOOKUP(C712,'RAW DATA 2023'!E:BO,2,0)</f>
        <v>2.1</v>
      </c>
      <c r="I712" s="106">
        <f>VLOOKUP(C712,'RAW DATA 2023'!E:BO,22,0)</f>
        <v>9.5902428571428562</v>
      </c>
      <c r="J712" s="72">
        <f t="shared" si="52"/>
        <v>5.5902428571428562</v>
      </c>
      <c r="K712" s="109">
        <f t="shared" si="53"/>
        <v>9.3170714285714276</v>
      </c>
      <c r="L712" s="63">
        <f t="shared" si="54"/>
        <v>6.25</v>
      </c>
      <c r="M712" s="123"/>
    </row>
    <row r="713" spans="1:13" hidden="1">
      <c r="A713" s="63" t="str">
        <f>'RAW DATA 2023'!B482</f>
        <v>Bangkachai1</v>
      </c>
      <c r="B713" s="63" t="str">
        <f>'RAW DATA 2023'!D482</f>
        <v>A1-061-0006</v>
      </c>
      <c r="C713" s="63" t="str">
        <f t="shared" si="50"/>
        <v>Bangkachai1A1-061-0006</v>
      </c>
      <c r="D713" s="68">
        <f>VLOOKUP(C713,'RAW DATA 2023'!E:BP,63,0)</f>
        <v>5</v>
      </c>
      <c r="E713" s="68" t="str">
        <f t="shared" si="51"/>
        <v>Bangkachai15</v>
      </c>
      <c r="F713" s="63" t="str">
        <f>VLOOKUP(C713,'RAW DATA 2023'!E:BO,5,0)</f>
        <v>Outdoor</v>
      </c>
      <c r="G713" s="63" t="s">
        <v>67</v>
      </c>
      <c r="H713" s="63">
        <f>VLOOKUP(C713,'RAW DATA 2023'!E:BO,2,0)</f>
        <v>2</v>
      </c>
      <c r="I713" s="106">
        <f>VLOOKUP(C713,'RAW DATA 2023'!E:BO,22,0)</f>
        <v>7.3140400000000003</v>
      </c>
      <c r="J713" s="72">
        <f t="shared" si="52"/>
        <v>1.3140400000000003</v>
      </c>
      <c r="K713" s="109">
        <f t="shared" si="53"/>
        <v>2.1900666666666675</v>
      </c>
      <c r="L713" s="63">
        <f t="shared" si="54"/>
        <v>2.1900666666666675</v>
      </c>
      <c r="M713" s="123"/>
    </row>
    <row r="714" spans="1:13" hidden="1">
      <c r="A714" s="63" t="str">
        <f>'RAW DATA 2023'!B491</f>
        <v>Bo Thong</v>
      </c>
      <c r="B714" s="63" t="str">
        <f>'RAW DATA 2023'!D491</f>
        <v>B1-015-0013</v>
      </c>
      <c r="C714" s="63" t="str">
        <f t="shared" ref="C714:C777" si="55">A714&amp;B714</f>
        <v>Bo ThongB1-015-0013</v>
      </c>
      <c r="D714" s="68">
        <f>VLOOKUP(C714,'RAW DATA 2023'!E:BP,63,0)</f>
        <v>7</v>
      </c>
      <c r="E714" s="68" t="str">
        <f t="shared" ref="E714:E777" si="56">A714&amp;D714</f>
        <v>Bo Thong7</v>
      </c>
      <c r="F714" s="63" t="str">
        <f>VLOOKUP(C714,'RAW DATA 2023'!E:BO,5,0)</f>
        <v>Outdoor</v>
      </c>
      <c r="G714" s="63" t="s">
        <v>67</v>
      </c>
      <c r="H714" s="63">
        <f>VLOOKUP(C714,'RAW DATA 2023'!E:BO,2,0)</f>
        <v>2.76</v>
      </c>
      <c r="I714" s="106">
        <f>VLOOKUP(C714,'RAW DATA 2023'!E:BO,22,0)</f>
        <v>9.9862536231884071</v>
      </c>
      <c r="J714" s="72">
        <f t="shared" ref="J714:J777" si="57">IF(I714=0,0,IF(F714=$B$2,I714-$B$6,IF(F714=$C$1,I714-$C$6,IF(AND(F714=$C$2,H714&lt;=$C$3),I714-$C$6,IF(AND(F714=$C$2,H714&lt;=$E$3),I714-$D$6,I714-$E$6)))))</f>
        <v>6.9862536231884071</v>
      </c>
      <c r="K714" s="109">
        <f t="shared" ref="K714:K777" si="58">IF(F714=$B$2,J714*$B$7,IF(AND(F714=$C$2,H714&lt;=$C$3),J714*$C$7,IF(AND(F714=$C$2,H714&lt;=$E$3),J714*$D$7,J714*$E$7)))</f>
        <v>11.643756038647346</v>
      </c>
      <c r="L714" s="63">
        <f t="shared" ref="L714:L777" si="59">IF(K714&gt;=6.25,6.25,IF(K714&lt;=0,0,K714))</f>
        <v>6.25</v>
      </c>
      <c r="M714" s="123"/>
    </row>
    <row r="715" spans="1:13" hidden="1">
      <c r="A715" s="63" t="str">
        <f>'RAW DATA 2023'!B498</f>
        <v>Bo Thong</v>
      </c>
      <c r="B715" s="63" t="str">
        <f>'RAW DATA 2023'!D498</f>
        <v>B1-010-0011</v>
      </c>
      <c r="C715" s="63" t="str">
        <f t="shared" si="55"/>
        <v>Bo ThongB1-010-0011</v>
      </c>
      <c r="D715" s="68">
        <f>VLOOKUP(C715,'RAW DATA 2023'!E:BP,63,0)</f>
        <v>7</v>
      </c>
      <c r="E715" s="68" t="str">
        <f t="shared" si="56"/>
        <v>Bo Thong7</v>
      </c>
      <c r="F715" s="63" t="str">
        <f>VLOOKUP(C715,'RAW DATA 2023'!E:BO,5,0)</f>
        <v>Outdoor</v>
      </c>
      <c r="G715" s="63" t="s">
        <v>67</v>
      </c>
      <c r="H715" s="63">
        <f>VLOOKUP(C715,'RAW DATA 2023'!E:BO,2,0)</f>
        <v>4.79</v>
      </c>
      <c r="I715" s="106">
        <f>VLOOKUP(C715,'RAW DATA 2023'!E:BO,22,0)</f>
        <v>8.5513048016701454</v>
      </c>
      <c r="J715" s="72">
        <f t="shared" si="57"/>
        <v>6.5513048016701454</v>
      </c>
      <c r="K715" s="109">
        <f t="shared" si="58"/>
        <v>10.918841336116909</v>
      </c>
      <c r="L715" s="63">
        <f t="shared" si="59"/>
        <v>6.25</v>
      </c>
      <c r="M715" s="123"/>
    </row>
    <row r="716" spans="1:13" hidden="1">
      <c r="A716" s="63" t="str">
        <f>'RAW DATA 2023'!B504</f>
        <v>Bangsakao</v>
      </c>
      <c r="B716" s="63" t="str">
        <f>'RAW DATA 2023'!D504</f>
        <v>DG-004-0023</v>
      </c>
      <c r="C716" s="63" t="str">
        <f t="shared" si="55"/>
        <v>BangsakaoDG-004-0023</v>
      </c>
      <c r="D716" s="68">
        <f>VLOOKUP(C716,'RAW DATA 2023'!E:BP,63,0)</f>
        <v>6</v>
      </c>
      <c r="E716" s="68" t="str">
        <f t="shared" si="56"/>
        <v>Bangsakao6</v>
      </c>
      <c r="F716" s="63" t="str">
        <f>VLOOKUP(C716,'RAW DATA 2023'!E:BO,5,0)</f>
        <v>Greenhouse</v>
      </c>
      <c r="G716" s="63" t="s">
        <v>67</v>
      </c>
      <c r="H716" s="63">
        <f>VLOOKUP(C716,'RAW DATA 2023'!E:BO,2,0)</f>
        <v>2</v>
      </c>
      <c r="I716" s="106">
        <f>VLOOKUP(C716,'RAW DATA 2023'!E:BO,22,0)</f>
        <v>11.235989999999999</v>
      </c>
      <c r="J716" s="72">
        <f t="shared" si="57"/>
        <v>7.2359899999999993</v>
      </c>
      <c r="K716" s="109">
        <f t="shared" si="58"/>
        <v>12.059983333333333</v>
      </c>
      <c r="L716" s="63">
        <f t="shared" si="59"/>
        <v>6.25</v>
      </c>
      <c r="M716" s="123"/>
    </row>
    <row r="717" spans="1:13" hidden="1">
      <c r="A717" s="63" t="str">
        <f>'RAW DATA 2023'!B515</f>
        <v>Bangsakao</v>
      </c>
      <c r="B717" s="63" t="str">
        <f>'RAW DATA 2023'!D515</f>
        <v>CG-008-0029</v>
      </c>
      <c r="C717" s="63" t="str">
        <f t="shared" si="55"/>
        <v>BangsakaoCG-008-0029</v>
      </c>
      <c r="D717" s="68">
        <f>VLOOKUP(C717,'RAW DATA 2023'!E:BP,63,0)</f>
        <v>6</v>
      </c>
      <c r="E717" s="68" t="str">
        <f t="shared" si="56"/>
        <v>Bangsakao6</v>
      </c>
      <c r="F717" s="63" t="str">
        <f>VLOOKUP(C717,'RAW DATA 2023'!E:BO,5,0)</f>
        <v>Greenhouse</v>
      </c>
      <c r="G717" s="63" t="s">
        <v>67</v>
      </c>
      <c r="H717" s="63">
        <f>VLOOKUP(C717,'RAW DATA 2023'!E:BO,2,0)</f>
        <v>3.73</v>
      </c>
      <c r="I717" s="106">
        <f>VLOOKUP(C717,'RAW DATA 2023'!E:BO,22,0)</f>
        <v>4.6767024128686323</v>
      </c>
      <c r="J717" s="72">
        <f t="shared" si="57"/>
        <v>0.67670241286863231</v>
      </c>
      <c r="K717" s="109">
        <f t="shared" si="58"/>
        <v>1.1278373547810538</v>
      </c>
      <c r="L717" s="63">
        <f t="shared" si="59"/>
        <v>1.1278373547810538</v>
      </c>
      <c r="M717" s="123"/>
    </row>
    <row r="718" spans="1:13" hidden="1">
      <c r="A718" s="63" t="str">
        <f>'RAW DATA 2023'!B610</f>
        <v>Lucky1</v>
      </c>
      <c r="B718" s="63" t="str">
        <f>'RAW DATA 2023'!D610</f>
        <v>B1-019-0012</v>
      </c>
      <c r="C718" s="63" t="str">
        <f t="shared" si="55"/>
        <v>Lucky1B1-019-0012</v>
      </c>
      <c r="D718" s="68">
        <f>VLOOKUP(C718,'RAW DATA 2023'!E:BP,63,0)</f>
        <v>2</v>
      </c>
      <c r="E718" s="68" t="str">
        <f t="shared" si="56"/>
        <v>Lucky12</v>
      </c>
      <c r="F718" s="63" t="str">
        <f>VLOOKUP(C718,'RAW DATA 2023'!E:BO,5,0)</f>
        <v>Outdoor</v>
      </c>
      <c r="G718" s="63" t="s">
        <v>67</v>
      </c>
      <c r="H718" s="63">
        <f>VLOOKUP(C718,'RAW DATA 2023'!E:BO,2,0)</f>
        <v>2.1</v>
      </c>
      <c r="I718" s="106">
        <f>VLOOKUP(C718,'RAW DATA 2023'!E:BO,22,0)</f>
        <v>7.4811571428571426</v>
      </c>
      <c r="J718" s="72">
        <f t="shared" si="57"/>
        <v>4.4811571428571426</v>
      </c>
      <c r="K718" s="109">
        <f t="shared" si="58"/>
        <v>7.4685952380952383</v>
      </c>
      <c r="L718" s="63">
        <f t="shared" si="59"/>
        <v>6.25</v>
      </c>
      <c r="M718" s="123"/>
    </row>
    <row r="719" spans="1:13" hidden="1">
      <c r="A719" s="63" t="str">
        <f>'RAW DATA 2023'!B616</f>
        <v>Lucky1</v>
      </c>
      <c r="B719" s="63" t="str">
        <f>'RAW DATA 2023'!D616</f>
        <v>B1-024-0011</v>
      </c>
      <c r="C719" s="63" t="str">
        <f t="shared" si="55"/>
        <v>Lucky1B1-024-0011</v>
      </c>
      <c r="D719" s="68">
        <f>VLOOKUP(C719,'RAW DATA 2023'!E:BP,63,0)</f>
        <v>1</v>
      </c>
      <c r="E719" s="68" t="str">
        <f t="shared" si="56"/>
        <v>Lucky11</v>
      </c>
      <c r="F719" s="63" t="str">
        <f>VLOOKUP(C719,'RAW DATA 2023'!E:BO,5,0)</f>
        <v>Outdoor</v>
      </c>
      <c r="G719" s="63" t="s">
        <v>67</v>
      </c>
      <c r="H719" s="63">
        <f>VLOOKUP(C719,'RAW DATA 2023'!E:BO,2,0)</f>
        <v>2.1</v>
      </c>
      <c r="I719" s="106">
        <f>VLOOKUP(C719,'RAW DATA 2023'!E:BO,22,0)</f>
        <v>5.1611761904761897</v>
      </c>
      <c r="J719" s="72">
        <f t="shared" si="57"/>
        <v>2.1611761904761897</v>
      </c>
      <c r="K719" s="109">
        <f t="shared" si="58"/>
        <v>3.6019603174603163</v>
      </c>
      <c r="L719" s="63">
        <f t="shared" si="59"/>
        <v>3.6019603174603163</v>
      </c>
      <c r="M719" s="123"/>
    </row>
    <row r="720" spans="1:13" hidden="1">
      <c r="A720" s="63" t="str">
        <f>'RAW DATA 2023'!B620</f>
        <v>Lucky1</v>
      </c>
      <c r="B720" s="63" t="str">
        <f>'RAW DATA 2023'!D620</f>
        <v>B1-019-0013</v>
      </c>
      <c r="C720" s="63" t="str">
        <f t="shared" si="55"/>
        <v>Lucky1B1-019-0013</v>
      </c>
      <c r="D720" s="68">
        <f>VLOOKUP(C720,'RAW DATA 2023'!E:BP,63,0)</f>
        <v>6</v>
      </c>
      <c r="E720" s="68" t="str">
        <f t="shared" si="56"/>
        <v>Lucky16</v>
      </c>
      <c r="F720" s="63" t="str">
        <f>VLOOKUP(C720,'RAW DATA 2023'!E:BO,5,0)</f>
        <v>Outdoor</v>
      </c>
      <c r="G720" s="63" t="s">
        <v>67</v>
      </c>
      <c r="H720" s="63">
        <f>VLOOKUP(C720,'RAW DATA 2023'!E:BO,2,0)</f>
        <v>2.1</v>
      </c>
      <c r="I720" s="106">
        <f>VLOOKUP(C720,'RAW DATA 2023'!E:BO,22,0)</f>
        <v>1.667485714285714</v>
      </c>
      <c r="J720" s="72">
        <f t="shared" si="57"/>
        <v>-1.332514285714286</v>
      </c>
      <c r="K720" s="109">
        <f t="shared" si="58"/>
        <v>-2.2208571428571435</v>
      </c>
      <c r="L720" s="63">
        <f t="shared" si="59"/>
        <v>0</v>
      </c>
      <c r="M720" s="123"/>
    </row>
    <row r="721" spans="1:13" hidden="1">
      <c r="A721" s="63" t="str">
        <f>'RAW DATA 2023'!B628</f>
        <v>Kamong</v>
      </c>
      <c r="B721" s="63" t="str">
        <f>'RAW DATA 2023'!D628</f>
        <v>C1-026-0043</v>
      </c>
      <c r="C721" s="63" t="str">
        <f t="shared" si="55"/>
        <v>KamongC1-026-0043</v>
      </c>
      <c r="D721" s="68">
        <f>VLOOKUP(C721,'RAW DATA 2023'!E:BP,63,0)</f>
        <v>12</v>
      </c>
      <c r="E721" s="68" t="str">
        <f t="shared" si="56"/>
        <v>Kamong12</v>
      </c>
      <c r="F721" s="63" t="str">
        <f>VLOOKUP(C721,'RAW DATA 2023'!E:BO,5,0)</f>
        <v>Outdoor</v>
      </c>
      <c r="G721" s="63" t="s">
        <v>67</v>
      </c>
      <c r="H721" s="63">
        <f>VLOOKUP(C721,'RAW DATA 2023'!E:BO,2,0)</f>
        <v>8</v>
      </c>
      <c r="I721" s="106">
        <f>VLOOKUP(C721,'RAW DATA 2023'!E:BO,22,0)</f>
        <v>6.4132887499999995</v>
      </c>
      <c r="J721" s="72">
        <f t="shared" si="57"/>
        <v>4.4132887499999995</v>
      </c>
      <c r="K721" s="109">
        <f t="shared" si="58"/>
        <v>7.3554812499999995</v>
      </c>
      <c r="L721" s="63">
        <f t="shared" si="59"/>
        <v>6.25</v>
      </c>
      <c r="M721" s="123"/>
    </row>
    <row r="722" spans="1:13" hidden="1">
      <c r="A722" s="63" t="str">
        <f>'RAW DATA 2023'!B629</f>
        <v>Kamong</v>
      </c>
      <c r="B722" s="63" t="str">
        <f>'RAW DATA 2023'!D629</f>
        <v>C1-018-0018</v>
      </c>
      <c r="C722" s="63" t="str">
        <f t="shared" si="55"/>
        <v>KamongC1-018-0018</v>
      </c>
      <c r="D722" s="68">
        <f>VLOOKUP(C722,'RAW DATA 2023'!E:BP,63,0)</f>
        <v>5</v>
      </c>
      <c r="E722" s="68" t="str">
        <f t="shared" si="56"/>
        <v>Kamong5</v>
      </c>
      <c r="F722" s="63" t="str">
        <f>VLOOKUP(C722,'RAW DATA 2023'!E:BO,5,0)</f>
        <v>Outdoor</v>
      </c>
      <c r="G722" s="63" t="s">
        <v>67</v>
      </c>
      <c r="H722" s="63">
        <f>VLOOKUP(C722,'RAW DATA 2023'!E:BO,2,0)</f>
        <v>8.1999999999999993</v>
      </c>
      <c r="I722" s="106">
        <f>VLOOKUP(C722,'RAW DATA 2023'!E:BO,22,0)</f>
        <v>4.4905024390243913</v>
      </c>
      <c r="J722" s="72">
        <f t="shared" si="57"/>
        <v>2.4905024390243913</v>
      </c>
      <c r="K722" s="109">
        <f t="shared" si="58"/>
        <v>4.1508373983739855</v>
      </c>
      <c r="L722" s="63">
        <f t="shared" si="59"/>
        <v>4.1508373983739855</v>
      </c>
      <c r="M722" s="123"/>
    </row>
    <row r="723" spans="1:13" hidden="1">
      <c r="A723" s="63" t="str">
        <f>'RAW DATA 2023'!B630</f>
        <v>Kamong</v>
      </c>
      <c r="B723" s="63" t="str">
        <f>'RAW DATA 2023'!D630</f>
        <v>C1-006-0030</v>
      </c>
      <c r="C723" s="63" t="str">
        <f t="shared" si="55"/>
        <v>KamongC1-006-0030</v>
      </c>
      <c r="D723" s="68">
        <f>VLOOKUP(C723,'RAW DATA 2023'!E:BP,63,0)</f>
        <v>4</v>
      </c>
      <c r="E723" s="68" t="str">
        <f t="shared" si="56"/>
        <v>Kamong4</v>
      </c>
      <c r="F723" s="63" t="str">
        <f>VLOOKUP(C723,'RAW DATA 2023'!E:BO,5,0)</f>
        <v>Outdoor</v>
      </c>
      <c r="G723" s="63" t="s">
        <v>67</v>
      </c>
      <c r="H723" s="63">
        <f>VLOOKUP(C723,'RAW DATA 2023'!E:BO,2,0)</f>
        <v>6.32</v>
      </c>
      <c r="I723" s="106">
        <f>VLOOKUP(C723,'RAW DATA 2023'!E:BO,22,0)</f>
        <v>12.451768987341771</v>
      </c>
      <c r="J723" s="72">
        <f t="shared" si="57"/>
        <v>10.451768987341771</v>
      </c>
      <c r="K723" s="109">
        <f t="shared" si="58"/>
        <v>17.419614978902953</v>
      </c>
      <c r="L723" s="63">
        <f t="shared" si="59"/>
        <v>6.25</v>
      </c>
      <c r="M723" s="123"/>
    </row>
    <row r="724" spans="1:13" hidden="1">
      <c r="A724" s="63" t="str">
        <f>'RAW DATA 2023'!B632</f>
        <v>Kamong</v>
      </c>
      <c r="B724" s="63" t="str">
        <f>'RAW DATA 2023'!D632</f>
        <v>AG-011-0008</v>
      </c>
      <c r="C724" s="63" t="str">
        <f t="shared" si="55"/>
        <v>KamongAG-011-0008</v>
      </c>
      <c r="D724" s="68">
        <f>VLOOKUP(C724,'RAW DATA 2023'!E:BP,63,0)</f>
        <v>4</v>
      </c>
      <c r="E724" s="68" t="str">
        <f t="shared" si="56"/>
        <v>Kamong4</v>
      </c>
      <c r="F724" s="63" t="str">
        <f>VLOOKUP(C724,'RAW DATA 2023'!E:BO,5,0)</f>
        <v>Greenhouse</v>
      </c>
      <c r="G724" s="63" t="s">
        <v>67</v>
      </c>
      <c r="H724" s="63">
        <f>VLOOKUP(C724,'RAW DATA 2023'!E:BO,2,0)</f>
        <v>2</v>
      </c>
      <c r="I724" s="106">
        <f>VLOOKUP(C724,'RAW DATA 2023'!E:BO,22,0)</f>
        <v>14.81024</v>
      </c>
      <c r="J724" s="72">
        <f t="shared" si="57"/>
        <v>10.81024</v>
      </c>
      <c r="K724" s="109">
        <f t="shared" si="58"/>
        <v>18.017066666666668</v>
      </c>
      <c r="L724" s="63">
        <f t="shared" si="59"/>
        <v>6.25</v>
      </c>
      <c r="M724" s="123"/>
    </row>
    <row r="725" spans="1:13" hidden="1">
      <c r="A725" s="63" t="str">
        <f>'RAW DATA 2023'!B637</f>
        <v>Kamong</v>
      </c>
      <c r="B725" s="63" t="str">
        <f>'RAW DATA 2023'!D637</f>
        <v>D1-027-0001</v>
      </c>
      <c r="C725" s="63" t="str">
        <f t="shared" si="55"/>
        <v>KamongD1-027-0001</v>
      </c>
      <c r="D725" s="68">
        <f>VLOOKUP(C725,'RAW DATA 2023'!E:BP,63,0)</f>
        <v>4</v>
      </c>
      <c r="E725" s="68" t="str">
        <f t="shared" si="56"/>
        <v>Kamong4</v>
      </c>
      <c r="F725" s="63" t="str">
        <f>VLOOKUP(C725,'RAW DATA 2023'!E:BO,5,0)</f>
        <v>Outdoor</v>
      </c>
      <c r="G725" s="63" t="s">
        <v>67</v>
      </c>
      <c r="H725" s="63">
        <f>VLOOKUP(C725,'RAW DATA 2023'!E:BO,2,0)</f>
        <v>2</v>
      </c>
      <c r="I725" s="106">
        <f>VLOOKUP(C725,'RAW DATA 2023'!E:BO,22,0)</f>
        <v>7.3809049999999994</v>
      </c>
      <c r="J725" s="72">
        <f t="shared" si="57"/>
        <v>1.3809049999999994</v>
      </c>
      <c r="K725" s="109">
        <f t="shared" si="58"/>
        <v>2.3015083333333326</v>
      </c>
      <c r="L725" s="63">
        <f t="shared" si="59"/>
        <v>2.3015083333333326</v>
      </c>
      <c r="M725" s="123"/>
    </row>
    <row r="726" spans="1:13" hidden="1">
      <c r="A726" s="63" t="str">
        <f>'RAW DATA 2023'!B638</f>
        <v>Kamong</v>
      </c>
      <c r="B726" s="63" t="str">
        <f>'RAW DATA 2023'!D638</f>
        <v>D1-027-0002</v>
      </c>
      <c r="C726" s="63" t="str">
        <f t="shared" si="55"/>
        <v>KamongD1-027-0002</v>
      </c>
      <c r="D726" s="68">
        <f>VLOOKUP(C726,'RAW DATA 2023'!E:BP,63,0)</f>
        <v>7</v>
      </c>
      <c r="E726" s="68" t="str">
        <f t="shared" si="56"/>
        <v>Kamong7</v>
      </c>
      <c r="F726" s="63" t="str">
        <f>VLOOKUP(C726,'RAW DATA 2023'!E:BO,5,0)</f>
        <v>Outdoor</v>
      </c>
      <c r="G726" s="63" t="s">
        <v>67</v>
      </c>
      <c r="H726" s="63">
        <f>VLOOKUP(C726,'RAW DATA 2023'!E:BO,2,0)</f>
        <v>2</v>
      </c>
      <c r="I726" s="106">
        <f>VLOOKUP(C726,'RAW DATA 2023'!E:BO,22,0)</f>
        <v>4.2084200000000003</v>
      </c>
      <c r="J726" s="72">
        <f t="shared" si="57"/>
        <v>-1.7915799999999997</v>
      </c>
      <c r="K726" s="109">
        <f t="shared" si="58"/>
        <v>-2.9859666666666662</v>
      </c>
      <c r="L726" s="63">
        <f t="shared" si="59"/>
        <v>0</v>
      </c>
      <c r="M726" s="123"/>
    </row>
    <row r="727" spans="1:13" hidden="1">
      <c r="A727" s="63" t="str">
        <f>'RAW DATA 2023'!B640</f>
        <v>Kamong</v>
      </c>
      <c r="B727" s="63" t="str">
        <f>'RAW DATA 2023'!D640</f>
        <v>D1-032-0009</v>
      </c>
      <c r="C727" s="63" t="str">
        <f t="shared" si="55"/>
        <v>KamongD1-032-0009</v>
      </c>
      <c r="D727" s="68">
        <f>VLOOKUP(C727,'RAW DATA 2023'!E:BP,63,0)</f>
        <v>5</v>
      </c>
      <c r="E727" s="68" t="str">
        <f t="shared" si="56"/>
        <v>Kamong5</v>
      </c>
      <c r="F727" s="63" t="str">
        <f>VLOOKUP(C727,'RAW DATA 2023'!E:BO,5,0)</f>
        <v>Outdoor</v>
      </c>
      <c r="G727" s="63" t="s">
        <v>67</v>
      </c>
      <c r="H727" s="63">
        <f>VLOOKUP(C727,'RAW DATA 2023'!E:BO,2,0)</f>
        <v>3</v>
      </c>
      <c r="I727" s="106">
        <f>VLOOKUP(C727,'RAW DATA 2023'!E:BO,22,0)</f>
        <v>0</v>
      </c>
      <c r="J727" s="72">
        <f t="shared" si="57"/>
        <v>0</v>
      </c>
      <c r="K727" s="109">
        <f t="shared" si="58"/>
        <v>0</v>
      </c>
      <c r="L727" s="63">
        <f t="shared" si="59"/>
        <v>0</v>
      </c>
      <c r="M727" s="123"/>
    </row>
    <row r="728" spans="1:13" hidden="1">
      <c r="A728" s="63" t="str">
        <f>'RAW DATA 2023'!B646</f>
        <v>Talaytong</v>
      </c>
      <c r="B728" s="63" t="str">
        <f>'RAW DATA 2023'!D646</f>
        <v>A1-034-0008</v>
      </c>
      <c r="C728" s="63" t="str">
        <f t="shared" si="55"/>
        <v>TalaytongA1-034-0008</v>
      </c>
      <c r="D728" s="68">
        <f>VLOOKUP(C728,'RAW DATA 2023'!E:BP,63,0)</f>
        <v>5</v>
      </c>
      <c r="E728" s="68" t="str">
        <f t="shared" si="56"/>
        <v>Talaytong5</v>
      </c>
      <c r="F728" s="63" t="str">
        <f>VLOOKUP(C728,'RAW DATA 2023'!E:BO,5,0)</f>
        <v>Outdoor</v>
      </c>
      <c r="G728" s="63" t="s">
        <v>67</v>
      </c>
      <c r="H728" s="63">
        <f>VLOOKUP(C728,'RAW DATA 2023'!E:BO,2,0)</f>
        <v>4.22</v>
      </c>
      <c r="I728" s="106">
        <f>VLOOKUP(C728,'RAW DATA 2023'!E:BO,22,0)</f>
        <v>3.2719194312796209</v>
      </c>
      <c r="J728" s="72">
        <f t="shared" si="57"/>
        <v>1.2719194312796209</v>
      </c>
      <c r="K728" s="109">
        <f t="shared" si="58"/>
        <v>2.1198657187993684</v>
      </c>
      <c r="L728" s="63">
        <f t="shared" si="59"/>
        <v>2.1198657187993684</v>
      </c>
      <c r="M728" s="123"/>
    </row>
    <row r="729" spans="1:13" hidden="1">
      <c r="A729" s="63" t="str">
        <f>'RAW DATA 2023'!B648</f>
        <v>CHBR1</v>
      </c>
      <c r="B729" s="63" t="str">
        <f>'RAW DATA 2023'!D648</f>
        <v>A1-019-0005</v>
      </c>
      <c r="C729" s="63" t="str">
        <f t="shared" si="55"/>
        <v>CHBR1A1-019-0005</v>
      </c>
      <c r="D729" s="68">
        <f>VLOOKUP(C729,'RAW DATA 2023'!E:BP,63,0)</f>
        <v>7</v>
      </c>
      <c r="E729" s="68" t="str">
        <f t="shared" si="56"/>
        <v>CHBR17</v>
      </c>
      <c r="F729" s="63" t="str">
        <f>VLOOKUP(C729,'RAW DATA 2023'!E:BO,5,0)</f>
        <v>Outdoor</v>
      </c>
      <c r="G729" s="63" t="s">
        <v>67</v>
      </c>
      <c r="H729" s="63">
        <f>VLOOKUP(C729,'RAW DATA 2023'!E:BO,2,0)</f>
        <v>2</v>
      </c>
      <c r="I729" s="106">
        <f>VLOOKUP(C729,'RAW DATA 2023'!E:BO,22,0)</f>
        <v>5.2656499999999999</v>
      </c>
      <c r="J729" s="72">
        <f t="shared" si="57"/>
        <v>-0.73435000000000006</v>
      </c>
      <c r="K729" s="109">
        <f t="shared" si="58"/>
        <v>-1.2239166666666668</v>
      </c>
      <c r="L729" s="63">
        <f t="shared" si="59"/>
        <v>0</v>
      </c>
      <c r="M729" s="123"/>
    </row>
    <row r="730" spans="1:13" hidden="1">
      <c r="A730" s="63" t="str">
        <f>'RAW DATA 2023'!B650</f>
        <v>CHBR1</v>
      </c>
      <c r="B730" s="63" t="str">
        <f>'RAW DATA 2023'!D650</f>
        <v>A1-011-0014</v>
      </c>
      <c r="C730" s="63" t="str">
        <f t="shared" si="55"/>
        <v>CHBR1A1-011-0014</v>
      </c>
      <c r="D730" s="68">
        <f>VLOOKUP(C730,'RAW DATA 2023'!E:BP,63,0)</f>
        <v>7</v>
      </c>
      <c r="E730" s="68" t="str">
        <f t="shared" si="56"/>
        <v>CHBR17</v>
      </c>
      <c r="F730" s="63" t="str">
        <f>VLOOKUP(C730,'RAW DATA 2023'!E:BO,5,0)</f>
        <v>Outdoor</v>
      </c>
      <c r="G730" s="63" t="s">
        <v>67</v>
      </c>
      <c r="H730" s="63">
        <f>VLOOKUP(C730,'RAW DATA 2023'!E:BO,2,0)</f>
        <v>2</v>
      </c>
      <c r="I730" s="106">
        <f>VLOOKUP(C730,'RAW DATA 2023'!E:BO,22,0)</f>
        <v>7.1434750000000005</v>
      </c>
      <c r="J730" s="72">
        <f t="shared" si="57"/>
        <v>1.1434750000000005</v>
      </c>
      <c r="K730" s="109">
        <f t="shared" si="58"/>
        <v>1.9057916666666674</v>
      </c>
      <c r="L730" s="63">
        <f t="shared" si="59"/>
        <v>1.9057916666666674</v>
      </c>
      <c r="M730" s="123"/>
    </row>
    <row r="731" spans="1:13" hidden="1">
      <c r="A731" s="63" t="str">
        <f>'RAW DATA 2023'!B652</f>
        <v>CHBR1</v>
      </c>
      <c r="B731" s="63" t="str">
        <f>'RAW DATA 2023'!D652</f>
        <v>A1-009-0033</v>
      </c>
      <c r="C731" s="63" t="str">
        <f t="shared" si="55"/>
        <v>CHBR1A1-009-0033</v>
      </c>
      <c r="D731" s="68">
        <f>VLOOKUP(C731,'RAW DATA 2023'!E:BP,63,0)</f>
        <v>5</v>
      </c>
      <c r="E731" s="68" t="str">
        <f t="shared" si="56"/>
        <v>CHBR15</v>
      </c>
      <c r="F731" s="63" t="str">
        <f>VLOOKUP(C731,'RAW DATA 2023'!E:BO,5,0)</f>
        <v>Outdoor</v>
      </c>
      <c r="G731" s="63" t="s">
        <v>67</v>
      </c>
      <c r="H731" s="63">
        <f>VLOOKUP(C731,'RAW DATA 2023'!E:BO,2,0)</f>
        <v>2</v>
      </c>
      <c r="I731" s="106">
        <f>VLOOKUP(C731,'RAW DATA 2023'!E:BO,22,0)</f>
        <v>4.8065299999999995</v>
      </c>
      <c r="J731" s="72">
        <f t="shared" si="57"/>
        <v>-1.1934700000000005</v>
      </c>
      <c r="K731" s="109">
        <f t="shared" si="58"/>
        <v>-1.9891166666666675</v>
      </c>
      <c r="L731" s="63">
        <f t="shared" si="59"/>
        <v>0</v>
      </c>
      <c r="M731" s="123"/>
    </row>
    <row r="732" spans="1:13" hidden="1">
      <c r="A732" s="63" t="str">
        <f>'RAW DATA 2023'!B676</f>
        <v>Tamai2</v>
      </c>
      <c r="B732" s="63" t="str">
        <f>'RAW DATA 2023'!D676</f>
        <v>C1-057-0011</v>
      </c>
      <c r="C732" s="63" t="str">
        <f t="shared" si="55"/>
        <v>Tamai2C1-057-0011</v>
      </c>
      <c r="D732" s="68">
        <f>VLOOKUP(C732,'RAW DATA 2023'!E:BP,63,0)</f>
        <v>8</v>
      </c>
      <c r="E732" s="68" t="str">
        <f t="shared" si="56"/>
        <v>Tamai28</v>
      </c>
      <c r="F732" s="63" t="str">
        <f>VLOOKUP(C732,'RAW DATA 2023'!E:BO,5,0)</f>
        <v>Outdoor</v>
      </c>
      <c r="G732" s="63" t="s">
        <v>1955</v>
      </c>
      <c r="H732" s="63">
        <f>VLOOKUP(C732,'RAW DATA 2023'!E:BO,2,0)</f>
        <v>3.29</v>
      </c>
      <c r="I732" s="106">
        <f>VLOOKUP(C732,'RAW DATA 2023'!E:BO,22,0)</f>
        <v>1.3058936170212767</v>
      </c>
      <c r="J732" s="72">
        <f t="shared" si="57"/>
        <v>-1.6941063829787233</v>
      </c>
      <c r="K732" s="109">
        <f t="shared" si="58"/>
        <v>-2.8235106382978721</v>
      </c>
      <c r="L732" s="63">
        <f t="shared" si="59"/>
        <v>0</v>
      </c>
      <c r="M732" s="123"/>
    </row>
    <row r="733" spans="1:13" hidden="1">
      <c r="A733" s="63" t="str">
        <f>'RAW DATA 2023'!B696</f>
        <v>Lucky3</v>
      </c>
      <c r="B733" s="63" t="str">
        <f>'RAW DATA 2023'!D696</f>
        <v>B1-025-0010</v>
      </c>
      <c r="C733" s="63" t="str">
        <f t="shared" si="55"/>
        <v>Lucky3B1-025-0010</v>
      </c>
      <c r="D733" s="68">
        <f>VLOOKUP(C733,'RAW DATA 2023'!E:BP,63,0)</f>
        <v>5</v>
      </c>
      <c r="E733" s="68" t="str">
        <f t="shared" si="56"/>
        <v>Lucky35</v>
      </c>
      <c r="F733" s="63" t="str">
        <f>VLOOKUP(C733,'RAW DATA 2023'!E:BO,5,0)</f>
        <v>Outdoor</v>
      </c>
      <c r="G733" s="63" t="s">
        <v>1955</v>
      </c>
      <c r="H733" s="63">
        <f>VLOOKUP(C733,'RAW DATA 2023'!E:BO,2,0)</f>
        <v>1.5</v>
      </c>
      <c r="I733" s="106">
        <f>VLOOKUP(C733,'RAW DATA 2023'!E:BO,22,0)</f>
        <v>8.8823466666666668</v>
      </c>
      <c r="J733" s="72">
        <f t="shared" si="57"/>
        <v>2.8823466666666668</v>
      </c>
      <c r="K733" s="109">
        <f t="shared" si="58"/>
        <v>4.8039111111111117</v>
      </c>
      <c r="L733" s="63">
        <f t="shared" si="59"/>
        <v>4.8039111111111117</v>
      </c>
      <c r="M733" s="123"/>
    </row>
    <row r="734" spans="1:13" hidden="1">
      <c r="A734" s="63" t="str">
        <f>'RAW DATA 2023'!B740</f>
        <v>SR4</v>
      </c>
      <c r="B734" s="63" t="str">
        <f>'RAW DATA 2023'!D740</f>
        <v>G2-058-0007</v>
      </c>
      <c r="C734" s="63" t="str">
        <f t="shared" si="55"/>
        <v>SR4G2-058-0007</v>
      </c>
      <c r="D734" s="68">
        <f>VLOOKUP(C734,'RAW DATA 2023'!E:BP,63,0)</f>
        <v>7</v>
      </c>
      <c r="E734" s="68" t="str">
        <f t="shared" si="56"/>
        <v>SR47</v>
      </c>
      <c r="F734" s="63" t="str">
        <f>VLOOKUP(C734,'RAW DATA 2023'!E:BO,5,0)</f>
        <v>Greenhouse</v>
      </c>
      <c r="G734" s="63" t="s">
        <v>1954</v>
      </c>
      <c r="H734" s="63">
        <f>VLOOKUP(C734,'RAW DATA 2023'!E:BO,2,0)</f>
        <v>1.85</v>
      </c>
      <c r="I734" s="106">
        <f>VLOOKUP(C734,'RAW DATA 2023'!E:BO,22,0)</f>
        <v>7.7850000000000001</v>
      </c>
      <c r="J734" s="72">
        <f t="shared" si="57"/>
        <v>3.7850000000000001</v>
      </c>
      <c r="K734" s="109">
        <f t="shared" si="58"/>
        <v>6.3083333333333336</v>
      </c>
      <c r="L734" s="63">
        <f t="shared" si="59"/>
        <v>6.25</v>
      </c>
      <c r="M734" s="123"/>
    </row>
    <row r="735" spans="1:13">
      <c r="A735" s="63" t="str">
        <f>'RAW DATA 2023'!B744</f>
        <v>SR4</v>
      </c>
      <c r="B735" s="63" t="str">
        <f>'RAW DATA 2023'!D744</f>
        <v>G1-051-0010</v>
      </c>
      <c r="C735" s="63" t="str">
        <f t="shared" si="55"/>
        <v>SR4G1-051-0010</v>
      </c>
      <c r="D735" s="68">
        <f>VLOOKUP(C735,'RAW DATA 2023'!E:BP,63,0)</f>
        <v>10</v>
      </c>
      <c r="E735" s="68" t="str">
        <f t="shared" si="56"/>
        <v>SR410</v>
      </c>
      <c r="F735" s="63" t="str">
        <f>VLOOKUP(C735,'RAW DATA 2023'!E:BO,5,0)</f>
        <v>Greenhouse</v>
      </c>
      <c r="G735" s="63" t="s">
        <v>1951</v>
      </c>
      <c r="H735" s="63">
        <f>VLOOKUP(C735,'RAW DATA 2023'!E:BO,2,0)</f>
        <v>2</v>
      </c>
      <c r="I735" s="106">
        <f>VLOOKUP(C735,'RAW DATA 2023'!E:BO,22,0)</f>
        <v>9.370569999999999</v>
      </c>
      <c r="J735" s="72">
        <f t="shared" si="57"/>
        <v>5.370569999999999</v>
      </c>
      <c r="K735" s="109">
        <f t="shared" si="58"/>
        <v>8.9509499999999989</v>
      </c>
      <c r="L735" s="63">
        <f t="shared" si="59"/>
        <v>6.25</v>
      </c>
      <c r="M735" s="123"/>
    </row>
    <row r="736" spans="1:13">
      <c r="A736" s="63" t="str">
        <f>'RAW DATA 2023'!B746</f>
        <v>SR4</v>
      </c>
      <c r="B736" s="63" t="str">
        <f>'RAW DATA 2023'!D746</f>
        <v>G1-052-0011</v>
      </c>
      <c r="C736" s="63" t="str">
        <f t="shared" si="55"/>
        <v>SR4G1-052-0011</v>
      </c>
      <c r="D736" s="68">
        <f>VLOOKUP(C736,'RAW DATA 2023'!E:BP,63,0)</f>
        <v>6</v>
      </c>
      <c r="E736" s="68" t="str">
        <f t="shared" si="56"/>
        <v>SR46</v>
      </c>
      <c r="F736" s="63" t="str">
        <f>VLOOKUP(C736,'RAW DATA 2023'!E:BO,5,0)</f>
        <v>Greenhouse</v>
      </c>
      <c r="G736" s="63" t="s">
        <v>1951</v>
      </c>
      <c r="H736" s="63">
        <f>VLOOKUP(C736,'RAW DATA 2023'!E:BO,2,0)</f>
        <v>2</v>
      </c>
      <c r="I736" s="106">
        <f>VLOOKUP(C736,'RAW DATA 2023'!E:BO,22,0)</f>
        <v>11.41343</v>
      </c>
      <c r="J736" s="72">
        <f t="shared" si="57"/>
        <v>7.41343</v>
      </c>
      <c r="K736" s="109">
        <f t="shared" si="58"/>
        <v>12.355716666666668</v>
      </c>
      <c r="L736" s="63">
        <f t="shared" si="59"/>
        <v>6.25</v>
      </c>
      <c r="M736" s="123"/>
    </row>
    <row r="737" spans="1:13">
      <c r="A737" s="63" t="str">
        <f>'RAW DATA 2023'!B747</f>
        <v>SR4</v>
      </c>
      <c r="B737" s="63" t="str">
        <f>'RAW DATA 2023'!D747</f>
        <v>G2-057-0010</v>
      </c>
      <c r="C737" s="63" t="str">
        <f t="shared" si="55"/>
        <v>SR4G2-057-0010</v>
      </c>
      <c r="D737" s="68">
        <f>VLOOKUP(C737,'RAW DATA 2023'!E:BP,63,0)</f>
        <v>9</v>
      </c>
      <c r="E737" s="68" t="str">
        <f t="shared" si="56"/>
        <v>SR49</v>
      </c>
      <c r="F737" s="63" t="str">
        <f>VLOOKUP(C737,'RAW DATA 2023'!E:BO,5,0)</f>
        <v>Greenhouse</v>
      </c>
      <c r="G737" s="63" t="s">
        <v>1951</v>
      </c>
      <c r="H737" s="63">
        <f>VLOOKUP(C737,'RAW DATA 2023'!E:BO,2,0)</f>
        <v>1.85</v>
      </c>
      <c r="I737" s="106">
        <f>VLOOKUP(C737,'RAW DATA 2023'!E:BO,22,0)</f>
        <v>15.89927027027027</v>
      </c>
      <c r="J737" s="72">
        <f t="shared" si="57"/>
        <v>11.89927027027027</v>
      </c>
      <c r="K737" s="109">
        <f t="shared" si="58"/>
        <v>19.832117117117118</v>
      </c>
      <c r="L737" s="63">
        <f t="shared" si="59"/>
        <v>6.25</v>
      </c>
      <c r="M737" s="123"/>
    </row>
    <row r="738" spans="1:13" hidden="1">
      <c r="A738" s="63" t="str">
        <f>'RAW DATA 2023'!B749</f>
        <v>SR4</v>
      </c>
      <c r="B738" s="63" t="str">
        <f>'RAW DATA 2023'!D749</f>
        <v>G1-051-0009</v>
      </c>
      <c r="C738" s="63" t="str">
        <f t="shared" si="55"/>
        <v>SR4G1-051-0009</v>
      </c>
      <c r="D738" s="68">
        <f>VLOOKUP(C738,'RAW DATA 2023'!E:BP,63,0)</f>
        <v>5</v>
      </c>
      <c r="E738" s="68" t="str">
        <f t="shared" si="56"/>
        <v>SR45</v>
      </c>
      <c r="F738" s="63" t="str">
        <f>VLOOKUP(C738,'RAW DATA 2023'!E:BO,5,0)</f>
        <v>Greenhouse</v>
      </c>
      <c r="G738" s="63" t="s">
        <v>1954</v>
      </c>
      <c r="H738" s="63">
        <f>VLOOKUP(C738,'RAW DATA 2023'!E:BO,2,0)</f>
        <v>2</v>
      </c>
      <c r="I738" s="106">
        <f>VLOOKUP(C738,'RAW DATA 2023'!E:BO,22,0)</f>
        <v>11.69525</v>
      </c>
      <c r="J738" s="72">
        <f t="shared" si="57"/>
        <v>7.6952499999999997</v>
      </c>
      <c r="K738" s="109">
        <f t="shared" si="58"/>
        <v>12.825416666666667</v>
      </c>
      <c r="L738" s="63">
        <f t="shared" si="59"/>
        <v>6.25</v>
      </c>
      <c r="M738" s="123"/>
    </row>
    <row r="739" spans="1:13" hidden="1">
      <c r="A739" s="63" t="str">
        <f>'RAW DATA 2023'!B750</f>
        <v>SR4</v>
      </c>
      <c r="B739" s="63" t="str">
        <f>'RAW DATA 2023'!D750</f>
        <v>G2-059-0012</v>
      </c>
      <c r="C739" s="63" t="str">
        <f t="shared" si="55"/>
        <v>SR4G2-059-0012</v>
      </c>
      <c r="D739" s="68">
        <f>VLOOKUP(C739,'RAW DATA 2023'!E:BP,63,0)</f>
        <v>12</v>
      </c>
      <c r="E739" s="68" t="str">
        <f t="shared" si="56"/>
        <v>SR412</v>
      </c>
      <c r="F739" s="63" t="str">
        <f>VLOOKUP(C739,'RAW DATA 2023'!E:BO,5,0)</f>
        <v>Greenhouse</v>
      </c>
      <c r="G739" s="63" t="s">
        <v>1954</v>
      </c>
      <c r="H739" s="63">
        <f>VLOOKUP(C739,'RAW DATA 2023'!E:BO,2,0)</f>
        <v>1.85</v>
      </c>
      <c r="I739" s="106">
        <f>VLOOKUP(C739,'RAW DATA 2023'!E:BO,22,0)</f>
        <v>5.7113513513513512</v>
      </c>
      <c r="J739" s="72">
        <f t="shared" si="57"/>
        <v>1.7113513513513512</v>
      </c>
      <c r="K739" s="109">
        <f t="shared" si="58"/>
        <v>2.852252252252252</v>
      </c>
      <c r="L739" s="63">
        <f t="shared" si="59"/>
        <v>2.852252252252252</v>
      </c>
      <c r="M739" s="123"/>
    </row>
    <row r="740" spans="1:13" hidden="1">
      <c r="A740" s="63" t="str">
        <f>'RAW DATA 2023'!B764</f>
        <v>SR4</v>
      </c>
      <c r="B740" s="63" t="str">
        <f>'RAW DATA 2023'!D764</f>
        <v>A1-085-0008</v>
      </c>
      <c r="C740" s="63" t="str">
        <f t="shared" si="55"/>
        <v>SR4A1-085-0008</v>
      </c>
      <c r="D740" s="68">
        <f>VLOOKUP(C740,'RAW DATA 2023'!E:BP,63,0)</f>
        <v>1</v>
      </c>
      <c r="E740" s="68" t="str">
        <f t="shared" si="56"/>
        <v>SR41</v>
      </c>
      <c r="F740" s="63" t="str">
        <f>VLOOKUP(C740,'RAW DATA 2023'!E:BO,5,0)</f>
        <v>Outdoor</v>
      </c>
      <c r="G740" s="63" t="s">
        <v>1954</v>
      </c>
      <c r="H740" s="63">
        <f>VLOOKUP(C740,'RAW DATA 2023'!E:BO,2,0)</f>
        <v>2</v>
      </c>
      <c r="I740" s="106">
        <f>VLOOKUP(C740,'RAW DATA 2023'!E:BO,22,0)</f>
        <v>2.2923749999999998</v>
      </c>
      <c r="J740" s="72">
        <f t="shared" si="57"/>
        <v>-3.7076250000000002</v>
      </c>
      <c r="K740" s="109">
        <f t="shared" si="58"/>
        <v>-6.1793750000000003</v>
      </c>
      <c r="L740" s="63">
        <f t="shared" si="59"/>
        <v>0</v>
      </c>
      <c r="M740" s="123"/>
    </row>
    <row r="741" spans="1:13" hidden="1">
      <c r="A741" s="63" t="str">
        <f>'RAW DATA 2023'!B771</f>
        <v>Kanchanadit</v>
      </c>
      <c r="B741" s="63" t="str">
        <f>'RAW DATA 2023'!D771</f>
        <v>C1-044-0016</v>
      </c>
      <c r="C741" s="63" t="str">
        <f t="shared" si="55"/>
        <v>KanchanaditC1-044-0016</v>
      </c>
      <c r="D741" s="68">
        <f>VLOOKUP(C741,'RAW DATA 2023'!E:BP,63,0)</f>
        <v>12</v>
      </c>
      <c r="E741" s="68" t="str">
        <f t="shared" si="56"/>
        <v>Kanchanadit12</v>
      </c>
      <c r="F741" s="63" t="str">
        <f>VLOOKUP(C741,'RAW DATA 2023'!E:BO,5,0)</f>
        <v>Outdoor</v>
      </c>
      <c r="G741" s="63" t="s">
        <v>67</v>
      </c>
      <c r="H741" s="63">
        <f>VLOOKUP(C741,'RAW DATA 2023'!E:BO,2,0)</f>
        <v>1.53</v>
      </c>
      <c r="I741" s="106">
        <f>VLOOKUP(C741,'RAW DATA 2023'!E:BO,22,0)</f>
        <v>6.7560588235294112</v>
      </c>
      <c r="J741" s="72">
        <f t="shared" si="57"/>
        <v>0.75605882352941123</v>
      </c>
      <c r="K741" s="109">
        <f t="shared" si="58"/>
        <v>1.2600980392156855</v>
      </c>
      <c r="L741" s="63">
        <f t="shared" si="59"/>
        <v>1.2600980392156855</v>
      </c>
      <c r="M741" s="123"/>
    </row>
    <row r="742" spans="1:13" hidden="1">
      <c r="A742" s="63" t="str">
        <f>'RAW DATA 2023'!B21</f>
        <v>Lamae</v>
      </c>
      <c r="B742" s="63" t="str">
        <f>'RAW DATA 2023'!D21</f>
        <v>A1-010-0023</v>
      </c>
      <c r="C742" s="63" t="str">
        <f t="shared" si="55"/>
        <v>LamaeA1-010-0023</v>
      </c>
      <c r="D742" s="68">
        <f>VLOOKUP(C742,'RAW DATA 2023'!E:BP,63,0)</f>
        <v>12</v>
      </c>
      <c r="E742" s="68" t="str">
        <f t="shared" si="56"/>
        <v>Lamae12</v>
      </c>
      <c r="F742" s="63" t="str">
        <f>VLOOKUP(C742,'RAW DATA 2023'!E:BO,5,0)</f>
        <v>Outdoor</v>
      </c>
      <c r="G742" s="63" t="s">
        <v>67</v>
      </c>
      <c r="H742" s="63">
        <f>VLOOKUP(C742,'RAW DATA 2023'!E:BO,2,0)</f>
        <v>5</v>
      </c>
      <c r="I742" s="106">
        <f>VLOOKUP(C742,'RAW DATA 2023'!E:BO,22,0)</f>
        <v>5.7888440000000001</v>
      </c>
      <c r="J742" s="72">
        <f t="shared" si="57"/>
        <v>3.7888440000000001</v>
      </c>
      <c r="K742" s="109">
        <f t="shared" si="58"/>
        <v>6.3147400000000005</v>
      </c>
      <c r="L742" s="63">
        <f t="shared" si="59"/>
        <v>6.25</v>
      </c>
      <c r="M742" s="123"/>
    </row>
    <row r="743" spans="1:13" hidden="1">
      <c r="A743" s="63" t="str">
        <f>'RAW DATA 2023'!B25</f>
        <v>Lamae</v>
      </c>
      <c r="B743" s="63" t="str">
        <f>'RAW DATA 2023'!D25</f>
        <v>A1-007-0044</v>
      </c>
      <c r="C743" s="63" t="str">
        <f t="shared" si="55"/>
        <v>LamaeA1-007-0044</v>
      </c>
      <c r="D743" s="68">
        <f>VLOOKUP(C743,'RAW DATA 2023'!E:BP,63,0)</f>
        <v>2</v>
      </c>
      <c r="E743" s="68" t="str">
        <f t="shared" si="56"/>
        <v>Lamae2</v>
      </c>
      <c r="F743" s="63" t="str">
        <f>VLOOKUP(C743,'RAW DATA 2023'!E:BO,5,0)</f>
        <v>Outdoor</v>
      </c>
      <c r="G743" s="63" t="s">
        <v>1954</v>
      </c>
      <c r="H743" s="63">
        <f>VLOOKUP(C743,'RAW DATA 2023'!E:BO,2,0)</f>
        <v>8</v>
      </c>
      <c r="I743" s="106">
        <f>VLOOKUP(C743,'RAW DATA 2023'!E:BO,22,0)</f>
        <v>0.99416499999999997</v>
      </c>
      <c r="J743" s="72">
        <f t="shared" si="57"/>
        <v>-1.005835</v>
      </c>
      <c r="K743" s="109">
        <f t="shared" si="58"/>
        <v>-1.6763916666666667</v>
      </c>
      <c r="L743" s="63">
        <f t="shared" si="59"/>
        <v>0</v>
      </c>
      <c r="M743" s="123"/>
    </row>
    <row r="744" spans="1:13" hidden="1">
      <c r="A744" s="63" t="str">
        <f>'RAW DATA 2023'!B26</f>
        <v>Lamae</v>
      </c>
      <c r="B744" s="63" t="str">
        <f>'RAW DATA 2023'!D26</f>
        <v>A1-007-0047</v>
      </c>
      <c r="C744" s="63" t="str">
        <f t="shared" si="55"/>
        <v>LamaeA1-007-0047</v>
      </c>
      <c r="D744" s="68">
        <f>VLOOKUP(C744,'RAW DATA 2023'!E:BP,63,0)</f>
        <v>12</v>
      </c>
      <c r="E744" s="68" t="str">
        <f t="shared" si="56"/>
        <v>Lamae12</v>
      </c>
      <c r="F744" s="63" t="str">
        <f>VLOOKUP(C744,'RAW DATA 2023'!E:BO,5,0)</f>
        <v>Outdoor</v>
      </c>
      <c r="G744" s="63" t="s">
        <v>1954</v>
      </c>
      <c r="H744" s="63">
        <f>VLOOKUP(C744,'RAW DATA 2023'!E:BO,2,0)</f>
        <v>8</v>
      </c>
      <c r="I744" s="106">
        <f>VLOOKUP(C744,'RAW DATA 2023'!E:BO,22,0)</f>
        <v>0</v>
      </c>
      <c r="J744" s="72">
        <f t="shared" si="57"/>
        <v>0</v>
      </c>
      <c r="K744" s="109">
        <f t="shared" si="58"/>
        <v>0</v>
      </c>
      <c r="L744" s="63">
        <f t="shared" si="59"/>
        <v>0</v>
      </c>
      <c r="M744" s="123"/>
    </row>
    <row r="745" spans="1:13" hidden="1">
      <c r="A745" s="63" t="str">
        <f>'RAW DATA 2023'!B59</f>
        <v>Petchburi5</v>
      </c>
      <c r="B745" s="63" t="str">
        <f>'RAW DATA 2023'!D59</f>
        <v>AG-002-0013</v>
      </c>
      <c r="C745" s="63" t="str">
        <f t="shared" si="55"/>
        <v>Petchburi5AG-002-0013</v>
      </c>
      <c r="D745" s="68">
        <f>VLOOKUP(C745,'RAW DATA 2023'!E:BP,63,0)</f>
        <v>8</v>
      </c>
      <c r="E745" s="68" t="str">
        <f t="shared" si="56"/>
        <v>Petchburi58</v>
      </c>
      <c r="F745" s="63" t="str">
        <f>VLOOKUP(C745,'RAW DATA 2023'!E:BO,5,0)</f>
        <v>Greenhouse</v>
      </c>
      <c r="G745" s="63" t="s">
        <v>1954</v>
      </c>
      <c r="H745" s="63">
        <f>VLOOKUP(C745,'RAW DATA 2023'!E:BO,2,0)</f>
        <v>1.5</v>
      </c>
      <c r="I745" s="106">
        <f>VLOOKUP(C745,'RAW DATA 2023'!E:BO,22,0)</f>
        <v>10.219306666666666</v>
      </c>
      <c r="J745" s="72">
        <f t="shared" si="57"/>
        <v>6.2193066666666663</v>
      </c>
      <c r="K745" s="109">
        <f t="shared" si="58"/>
        <v>10.365511111111111</v>
      </c>
      <c r="L745" s="63">
        <f t="shared" si="59"/>
        <v>6.25</v>
      </c>
      <c r="M745" s="123"/>
    </row>
    <row r="746" spans="1:13" hidden="1">
      <c r="A746" s="63" t="str">
        <f>'RAW DATA 2023'!B68</f>
        <v>Petchburi5</v>
      </c>
      <c r="B746" s="63" t="str">
        <f>'RAW DATA 2023'!D68</f>
        <v>AG-005-0012</v>
      </c>
      <c r="C746" s="63" t="str">
        <f t="shared" si="55"/>
        <v>Petchburi5AG-005-0012</v>
      </c>
      <c r="D746" s="68">
        <f>VLOOKUP(C746,'RAW DATA 2023'!E:BP,63,0)</f>
        <v>10</v>
      </c>
      <c r="E746" s="68" t="str">
        <f t="shared" si="56"/>
        <v>Petchburi510</v>
      </c>
      <c r="F746" s="63" t="str">
        <f>VLOOKUP(C746,'RAW DATA 2023'!E:BO,5,0)</f>
        <v>Greenhouse</v>
      </c>
      <c r="G746" s="63" t="s">
        <v>1954</v>
      </c>
      <c r="H746" s="63">
        <f>VLOOKUP(C746,'RAW DATA 2023'!E:BO,2,0)</f>
        <v>1.5</v>
      </c>
      <c r="I746" s="106">
        <f>VLOOKUP(C746,'RAW DATA 2023'!E:BO,22,0)</f>
        <v>14.321266666666668</v>
      </c>
      <c r="J746" s="72">
        <f t="shared" si="57"/>
        <v>10.321266666666668</v>
      </c>
      <c r="K746" s="109">
        <f t="shared" si="58"/>
        <v>17.202111111111115</v>
      </c>
      <c r="L746" s="63">
        <f t="shared" si="59"/>
        <v>6.25</v>
      </c>
      <c r="M746" s="123"/>
    </row>
    <row r="747" spans="1:13" hidden="1">
      <c r="A747" s="63" t="str">
        <f>'RAW DATA 2023'!B117</f>
        <v>Roiphet1</v>
      </c>
      <c r="B747" s="63" t="str">
        <f>'RAW DATA 2023'!D117</f>
        <v>D2-I03-0085</v>
      </c>
      <c r="C747" s="63" t="str">
        <f t="shared" si="55"/>
        <v>Roiphet1D2-I03-0085</v>
      </c>
      <c r="D747" s="68">
        <f>VLOOKUP(C747,'RAW DATA 2023'!E:BP,63,0)</f>
        <v>4</v>
      </c>
      <c r="E747" s="68" t="str">
        <f t="shared" si="56"/>
        <v>Roiphet14</v>
      </c>
      <c r="F747" s="63" t="str">
        <f>VLOOKUP(C747,'RAW DATA 2023'!E:BO,5,0)</f>
        <v>Greenhouse</v>
      </c>
      <c r="G747" s="63" t="s">
        <v>1955</v>
      </c>
      <c r="H747" s="63">
        <f>VLOOKUP(C747,'RAW DATA 2023'!E:BO,2,0)</f>
        <v>0.72</v>
      </c>
      <c r="I747" s="106">
        <f>VLOOKUP(C747,'RAW DATA 2023'!E:BO,22,0)</f>
        <v>6.0539722222222228</v>
      </c>
      <c r="J747" s="72">
        <f t="shared" si="57"/>
        <v>2.0539722222222228</v>
      </c>
      <c r="K747" s="109">
        <f t="shared" si="58"/>
        <v>3.4232870370370381</v>
      </c>
      <c r="L747" s="63">
        <f t="shared" si="59"/>
        <v>3.4232870370370381</v>
      </c>
      <c r="M747" s="123"/>
    </row>
    <row r="748" spans="1:13" hidden="1">
      <c r="A748" s="63" t="str">
        <f>'RAW DATA 2023'!B148</f>
        <v>Roiphet1</v>
      </c>
      <c r="B748" s="63" t="str">
        <f>'RAW DATA 2023'!D148</f>
        <v>A1-I01-0088</v>
      </c>
      <c r="C748" s="63" t="str">
        <f t="shared" si="55"/>
        <v>Roiphet1A1-I01-0088</v>
      </c>
      <c r="D748" s="68">
        <f>VLOOKUP(C748,'RAW DATA 2023'!E:BP,63,0)</f>
        <v>6</v>
      </c>
      <c r="E748" s="68" t="str">
        <f t="shared" si="56"/>
        <v>Roiphet16</v>
      </c>
      <c r="F748" s="63" t="str">
        <f>VLOOKUP(C748,'RAW DATA 2023'!E:BO,5,0)</f>
        <v>Greenhouse</v>
      </c>
      <c r="G748" s="63" t="s">
        <v>1954</v>
      </c>
      <c r="H748" s="63">
        <f>VLOOKUP(C748,'RAW DATA 2023'!E:BO,2,0)</f>
        <v>0.72</v>
      </c>
      <c r="I748" s="106">
        <f>VLOOKUP(C748,'RAW DATA 2023'!E:BO,22,0)</f>
        <v>6.5020138888888885</v>
      </c>
      <c r="J748" s="72">
        <f t="shared" si="57"/>
        <v>2.5020138888888885</v>
      </c>
      <c r="K748" s="109">
        <f t="shared" si="58"/>
        <v>4.1700231481481476</v>
      </c>
      <c r="L748" s="63">
        <f t="shared" si="59"/>
        <v>4.1700231481481476</v>
      </c>
      <c r="M748" s="123"/>
    </row>
    <row r="749" spans="1:13" hidden="1">
      <c r="A749" s="63" t="str">
        <f>'RAW DATA 2023'!B149</f>
        <v>Roiphet1</v>
      </c>
      <c r="B749" s="63" t="str">
        <f>'RAW DATA 2023'!D149</f>
        <v>A6-G11-0091</v>
      </c>
      <c r="C749" s="63" t="str">
        <f t="shared" si="55"/>
        <v>Roiphet1A6-G11-0091</v>
      </c>
      <c r="D749" s="68">
        <f>VLOOKUP(C749,'RAW DATA 2023'!E:BP,63,0)</f>
        <v>5</v>
      </c>
      <c r="E749" s="68" t="str">
        <f t="shared" si="56"/>
        <v>Roiphet15</v>
      </c>
      <c r="F749" s="63" t="str">
        <f>VLOOKUP(C749,'RAW DATA 2023'!E:BO,5,0)</f>
        <v>Greenhouse</v>
      </c>
      <c r="G749" s="63" t="s">
        <v>1954</v>
      </c>
      <c r="H749" s="63">
        <f>VLOOKUP(C749,'RAW DATA 2023'!E:BO,2,0)</f>
        <v>1.1299999999999999</v>
      </c>
      <c r="I749" s="106">
        <f>VLOOKUP(C749,'RAW DATA 2023'!E:BO,22,0)</f>
        <v>5.2871858407079655</v>
      </c>
      <c r="J749" s="72">
        <f t="shared" si="57"/>
        <v>1.2871858407079655</v>
      </c>
      <c r="K749" s="109">
        <f t="shared" si="58"/>
        <v>2.1453097345132761</v>
      </c>
      <c r="L749" s="63">
        <f t="shared" si="59"/>
        <v>2.1453097345132761</v>
      </c>
      <c r="M749" s="123"/>
    </row>
    <row r="750" spans="1:13" hidden="1">
      <c r="A750" s="63" t="str">
        <f>'RAW DATA 2023'!B239</f>
        <v>Roiphet1</v>
      </c>
      <c r="B750" s="63" t="str">
        <f>'RAW DATA 2023'!D239</f>
        <v>C3-G05-0073</v>
      </c>
      <c r="C750" s="63" t="str">
        <f t="shared" si="55"/>
        <v>Roiphet1C3-G05-0073</v>
      </c>
      <c r="D750" s="68">
        <f>VLOOKUP(C750,'RAW DATA 2023'!E:BP,63,0)</f>
        <v>3</v>
      </c>
      <c r="E750" s="68" t="str">
        <f t="shared" si="56"/>
        <v>Roiphet13</v>
      </c>
      <c r="F750" s="63" t="str">
        <f>VLOOKUP(C750,'RAW DATA 2023'!E:BO,5,0)</f>
        <v>Greenhouse</v>
      </c>
      <c r="G750" s="63" t="s">
        <v>1955</v>
      </c>
      <c r="H750" s="63">
        <f>VLOOKUP(C750,'RAW DATA 2023'!E:BO,2,0)</f>
        <v>1.1299999999999999</v>
      </c>
      <c r="I750" s="106">
        <f>VLOOKUP(C750,'RAW DATA 2023'!E:BO,22,0)</f>
        <v>5.8711681415929213</v>
      </c>
      <c r="J750" s="72">
        <f t="shared" si="57"/>
        <v>1.8711681415929213</v>
      </c>
      <c r="K750" s="109">
        <f t="shared" si="58"/>
        <v>3.1186135693215356</v>
      </c>
      <c r="L750" s="63">
        <f t="shared" si="59"/>
        <v>3.1186135693215356</v>
      </c>
      <c r="M750" s="123"/>
    </row>
    <row r="751" spans="1:13" hidden="1">
      <c r="A751" s="63" t="str">
        <f>'RAW DATA 2023'!B246</f>
        <v>Roiphet1</v>
      </c>
      <c r="B751" s="63" t="str">
        <f>'RAW DATA 2023'!D246</f>
        <v>C3-G05-0075</v>
      </c>
      <c r="C751" s="63" t="str">
        <f t="shared" si="55"/>
        <v>Roiphet1C3-G05-0075</v>
      </c>
      <c r="D751" s="68">
        <f>VLOOKUP(C751,'RAW DATA 2023'!E:BP,63,0)</f>
        <v>9</v>
      </c>
      <c r="E751" s="68" t="str">
        <f t="shared" si="56"/>
        <v>Roiphet19</v>
      </c>
      <c r="F751" s="63" t="str">
        <f>VLOOKUP(C751,'RAW DATA 2023'!E:BO,5,0)</f>
        <v>Greenhouse</v>
      </c>
      <c r="G751" s="63" t="s">
        <v>1955</v>
      </c>
      <c r="H751" s="63">
        <f>VLOOKUP(C751,'RAW DATA 2023'!E:BO,2,0)</f>
        <v>1.1299999999999999</v>
      </c>
      <c r="I751" s="106">
        <f>VLOOKUP(C751,'RAW DATA 2023'!E:BO,22,0)</f>
        <v>3.9879026548672574</v>
      </c>
      <c r="J751" s="72">
        <f t="shared" si="57"/>
        <v>-1.2097345132742632E-2</v>
      </c>
      <c r="K751" s="109">
        <f t="shared" si="58"/>
        <v>-2.0162241887904386E-2</v>
      </c>
      <c r="L751" s="63">
        <f t="shared" si="59"/>
        <v>0</v>
      </c>
      <c r="M751" s="123"/>
    </row>
    <row r="752" spans="1:13" hidden="1">
      <c r="A752" s="63" t="str">
        <f>'RAW DATA 2023'!B270</f>
        <v>Roiphet1</v>
      </c>
      <c r="B752" s="63" t="str">
        <f>'RAW DATA 2023'!D270</f>
        <v>B5-I10-0091</v>
      </c>
      <c r="C752" s="63" t="str">
        <f t="shared" si="55"/>
        <v>Roiphet1B5-I10-0091</v>
      </c>
      <c r="D752" s="68">
        <f>VLOOKUP(C752,'RAW DATA 2023'!E:BP,63,0)</f>
        <v>7</v>
      </c>
      <c r="E752" s="68" t="str">
        <f t="shared" si="56"/>
        <v>Roiphet17</v>
      </c>
      <c r="F752" s="63" t="str">
        <f>VLOOKUP(C752,'RAW DATA 2023'!E:BO,5,0)</f>
        <v>Greenhouse</v>
      </c>
      <c r="G752" s="63" t="s">
        <v>67</v>
      </c>
      <c r="H752" s="63">
        <f>VLOOKUP(C752,'RAW DATA 2023'!E:BO,2,0)</f>
        <v>0.72</v>
      </c>
      <c r="I752" s="106">
        <f>VLOOKUP(C752,'RAW DATA 2023'!E:BO,22,0)</f>
        <v>3.5375277777777776</v>
      </c>
      <c r="J752" s="72">
        <f t="shared" si="57"/>
        <v>-0.4624722222222224</v>
      </c>
      <c r="K752" s="109">
        <f t="shared" si="58"/>
        <v>-0.77078703703703733</v>
      </c>
      <c r="L752" s="63">
        <f t="shared" si="59"/>
        <v>0</v>
      </c>
      <c r="M752" s="123"/>
    </row>
    <row r="753" spans="1:13" hidden="1">
      <c r="A753" s="63" t="str">
        <f>'RAW DATA 2023'!B312</f>
        <v>Roiphet1</v>
      </c>
      <c r="B753" s="63" t="str">
        <f>'RAW DATA 2023'!D312</f>
        <v>B5-I10-0092</v>
      </c>
      <c r="C753" s="63" t="str">
        <f t="shared" si="55"/>
        <v>Roiphet1B5-I10-0092</v>
      </c>
      <c r="D753" s="68">
        <f>VLOOKUP(C753,'RAW DATA 2023'!E:BP,63,0)</f>
        <v>11</v>
      </c>
      <c r="E753" s="68" t="str">
        <f t="shared" si="56"/>
        <v>Roiphet111</v>
      </c>
      <c r="F753" s="63" t="str">
        <f>VLOOKUP(C753,'RAW DATA 2023'!E:BO,5,0)</f>
        <v>Greenhouse</v>
      </c>
      <c r="G753" s="63" t="s">
        <v>1954</v>
      </c>
      <c r="H753" s="63">
        <f>VLOOKUP(C753,'RAW DATA 2023'!E:BO,2,0)</f>
        <v>0.72</v>
      </c>
      <c r="I753" s="106">
        <f>VLOOKUP(C753,'RAW DATA 2023'!E:BO,22,0)</f>
        <v>1.7182361111111113</v>
      </c>
      <c r="J753" s="72">
        <f t="shared" si="57"/>
        <v>-2.2817638888888885</v>
      </c>
      <c r="K753" s="109">
        <f t="shared" si="58"/>
        <v>-3.8029398148148141</v>
      </c>
      <c r="L753" s="63">
        <f t="shared" si="59"/>
        <v>0</v>
      </c>
      <c r="M753" s="123"/>
    </row>
    <row r="754" spans="1:13" hidden="1">
      <c r="A754" s="63" t="str">
        <f>'RAW DATA 2023'!B319</f>
        <v>Choknavy</v>
      </c>
      <c r="B754" s="63" t="str">
        <f>'RAW DATA 2023'!D319</f>
        <v>G1-G01-0001</v>
      </c>
      <c r="C754" s="63" t="str">
        <f t="shared" si="55"/>
        <v>ChoknavyG1-G01-0001</v>
      </c>
      <c r="D754" s="68">
        <f>VLOOKUP(C754,'RAW DATA 2023'!E:BP,63,0)</f>
        <v>5</v>
      </c>
      <c r="E754" s="68" t="str">
        <f t="shared" si="56"/>
        <v>Choknavy5</v>
      </c>
      <c r="F754" s="63" t="str">
        <f>VLOOKUP(C754,'RAW DATA 2023'!E:BO,5,0)</f>
        <v>Greenhouse</v>
      </c>
      <c r="G754" s="63" t="s">
        <v>1954</v>
      </c>
      <c r="H754" s="63">
        <f>VLOOKUP(C754,'RAW DATA 2023'!E:BO,2,0)</f>
        <v>0.75</v>
      </c>
      <c r="I754" s="106">
        <f>VLOOKUP(C754,'RAW DATA 2023'!E:BO,22,0)</f>
        <v>7.3647866666666673</v>
      </c>
      <c r="J754" s="72">
        <f t="shared" si="57"/>
        <v>3.3647866666666673</v>
      </c>
      <c r="K754" s="109">
        <f t="shared" si="58"/>
        <v>5.6079777777777791</v>
      </c>
      <c r="L754" s="63">
        <f t="shared" si="59"/>
        <v>5.6079777777777791</v>
      </c>
      <c r="M754" s="123"/>
    </row>
    <row r="755" spans="1:13" hidden="1">
      <c r="A755" s="63" t="str">
        <f>'RAW DATA 2023'!B324</f>
        <v>Maeklong1</v>
      </c>
      <c r="B755" s="63" t="str">
        <f>'RAW DATA 2023'!D324</f>
        <v>A1-017-0031</v>
      </c>
      <c r="C755" s="63" t="str">
        <f t="shared" si="55"/>
        <v>Maeklong1A1-017-0031</v>
      </c>
      <c r="D755" s="68">
        <f>VLOOKUP(C755,'RAW DATA 2023'!E:BP,63,0)</f>
        <v>8</v>
      </c>
      <c r="E755" s="68" t="str">
        <f t="shared" si="56"/>
        <v>Maeklong18</v>
      </c>
      <c r="F755" s="63" t="str">
        <f>VLOOKUP(C755,'RAW DATA 2023'!E:BO,5,0)</f>
        <v>Outdoor</v>
      </c>
      <c r="G755" s="63" t="s">
        <v>1954</v>
      </c>
      <c r="H755" s="63">
        <f>VLOOKUP(C755,'RAW DATA 2023'!E:BO,2,0)</f>
        <v>2.89</v>
      </c>
      <c r="I755" s="106">
        <f>VLOOKUP(C755,'RAW DATA 2023'!E:BO,22,0)</f>
        <v>12.480304498269897</v>
      </c>
      <c r="J755" s="72">
        <f t="shared" si="57"/>
        <v>9.4803044982698967</v>
      </c>
      <c r="K755" s="109">
        <f t="shared" si="58"/>
        <v>15.800507497116495</v>
      </c>
      <c r="L755" s="63">
        <f t="shared" si="59"/>
        <v>6.25</v>
      </c>
      <c r="M755" s="123"/>
    </row>
    <row r="756" spans="1:13" hidden="1">
      <c r="A756" s="63" t="str">
        <f>'RAW DATA 2023'!B326</f>
        <v>Maeklong1</v>
      </c>
      <c r="B756" s="63" t="str">
        <f>'RAW DATA 2023'!D326</f>
        <v>A1-021-0025</v>
      </c>
      <c r="C756" s="63" t="str">
        <f t="shared" si="55"/>
        <v>Maeklong1A1-021-0025</v>
      </c>
      <c r="D756" s="68">
        <f>VLOOKUP(C756,'RAW DATA 2023'!E:BP,63,0)</f>
        <v>8</v>
      </c>
      <c r="E756" s="68" t="str">
        <f t="shared" si="56"/>
        <v>Maeklong18</v>
      </c>
      <c r="F756" s="63" t="str">
        <f>VLOOKUP(C756,'RAW DATA 2023'!E:BO,5,0)</f>
        <v>Outdoor</v>
      </c>
      <c r="G756" s="63" t="s">
        <v>1954</v>
      </c>
      <c r="H756" s="63">
        <f>VLOOKUP(C756,'RAW DATA 2023'!E:BO,2,0)</f>
        <v>3.82</v>
      </c>
      <c r="I756" s="106">
        <f>VLOOKUP(C756,'RAW DATA 2023'!E:BO,22,0)</f>
        <v>11.074285340314137</v>
      </c>
      <c r="J756" s="72">
        <f t="shared" si="57"/>
        <v>8.0742853403141375</v>
      </c>
      <c r="K756" s="109">
        <f t="shared" si="58"/>
        <v>13.457142233856896</v>
      </c>
      <c r="L756" s="63">
        <f t="shared" si="59"/>
        <v>6.25</v>
      </c>
      <c r="M756" s="123"/>
    </row>
    <row r="757" spans="1:13" hidden="1">
      <c r="A757" s="63" t="str">
        <f>'RAW DATA 2023'!B332</f>
        <v>Maeklong1</v>
      </c>
      <c r="B757" s="63" t="str">
        <f>'RAW DATA 2023'!D332</f>
        <v>A1-023-0017</v>
      </c>
      <c r="C757" s="63" t="str">
        <f t="shared" si="55"/>
        <v>Maeklong1A1-023-0017</v>
      </c>
      <c r="D757" s="68">
        <f>VLOOKUP(C757,'RAW DATA 2023'!E:BP,63,0)</f>
        <v>8</v>
      </c>
      <c r="E757" s="68" t="str">
        <f t="shared" si="56"/>
        <v>Maeklong18</v>
      </c>
      <c r="F757" s="63" t="str">
        <f>VLOOKUP(C757,'RAW DATA 2023'!E:BO,5,0)</f>
        <v>Outdoor</v>
      </c>
      <c r="G757" s="63" t="s">
        <v>1954</v>
      </c>
      <c r="H757" s="63">
        <f>VLOOKUP(C757,'RAW DATA 2023'!E:BO,2,0)</f>
        <v>3.91</v>
      </c>
      <c r="I757" s="106">
        <f>VLOOKUP(C757,'RAW DATA 2023'!E:BO,22,0)</f>
        <v>8.7958976982097177</v>
      </c>
      <c r="J757" s="72">
        <f t="shared" si="57"/>
        <v>5.7958976982097177</v>
      </c>
      <c r="K757" s="109">
        <f t="shared" si="58"/>
        <v>9.6598294970161973</v>
      </c>
      <c r="L757" s="63">
        <f t="shared" si="59"/>
        <v>6.25</v>
      </c>
      <c r="M757" s="123"/>
    </row>
    <row r="758" spans="1:13" hidden="1">
      <c r="A758" s="63" t="str">
        <f>'RAW DATA 2023'!B333</f>
        <v>Maeklong1</v>
      </c>
      <c r="B758" s="63" t="str">
        <f>'RAW DATA 2023'!D333</f>
        <v>A1-024-0011</v>
      </c>
      <c r="C758" s="63" t="str">
        <f t="shared" si="55"/>
        <v>Maeklong1A1-024-0011</v>
      </c>
      <c r="D758" s="68">
        <f>VLOOKUP(C758,'RAW DATA 2023'!E:BP,63,0)</f>
        <v>5</v>
      </c>
      <c r="E758" s="68" t="str">
        <f t="shared" si="56"/>
        <v>Maeklong15</v>
      </c>
      <c r="F758" s="63" t="str">
        <f>VLOOKUP(C758,'RAW DATA 2023'!E:BO,5,0)</f>
        <v>Outdoor</v>
      </c>
      <c r="G758" s="63" t="s">
        <v>1955</v>
      </c>
      <c r="H758" s="63">
        <f>VLOOKUP(C758,'RAW DATA 2023'!E:BO,2,0)</f>
        <v>3.92</v>
      </c>
      <c r="I758" s="106">
        <f>VLOOKUP(C758,'RAW DATA 2023'!E:BO,22,0)</f>
        <v>7.5768188775510215</v>
      </c>
      <c r="J758" s="72">
        <f t="shared" si="57"/>
        <v>4.5768188775510215</v>
      </c>
      <c r="K758" s="109">
        <f t="shared" si="58"/>
        <v>7.6280314625850361</v>
      </c>
      <c r="L758" s="63">
        <f t="shared" si="59"/>
        <v>6.25</v>
      </c>
      <c r="M758" s="123"/>
    </row>
    <row r="759" spans="1:13" hidden="1">
      <c r="A759" s="63" t="str">
        <f>'RAW DATA 2023'!B339</f>
        <v>Maeklong1</v>
      </c>
      <c r="B759" s="63" t="str">
        <f>'RAW DATA 2023'!D339</f>
        <v>A1-017-0030</v>
      </c>
      <c r="C759" s="63" t="str">
        <f t="shared" si="55"/>
        <v>Maeklong1A1-017-0030</v>
      </c>
      <c r="D759" s="68">
        <f>VLOOKUP(C759,'RAW DATA 2023'!E:BP,63,0)</f>
        <v>3</v>
      </c>
      <c r="E759" s="68" t="str">
        <f t="shared" si="56"/>
        <v>Maeklong13</v>
      </c>
      <c r="F759" s="63" t="str">
        <f>VLOOKUP(C759,'RAW DATA 2023'!E:BO,5,0)</f>
        <v>Outdoor</v>
      </c>
      <c r="G759" s="63" t="s">
        <v>1954</v>
      </c>
      <c r="H759" s="63">
        <f>VLOOKUP(C759,'RAW DATA 2023'!E:BO,2,0)</f>
        <v>2.89</v>
      </c>
      <c r="I759" s="106">
        <f>VLOOKUP(C759,'RAW DATA 2023'!E:BO,22,0)</f>
        <v>0</v>
      </c>
      <c r="J759" s="72">
        <f t="shared" si="57"/>
        <v>0</v>
      </c>
      <c r="K759" s="109">
        <f t="shared" si="58"/>
        <v>0</v>
      </c>
      <c r="L759" s="63">
        <f t="shared" si="59"/>
        <v>0</v>
      </c>
      <c r="M759" s="123"/>
    </row>
    <row r="760" spans="1:13">
      <c r="A760" s="63" t="str">
        <f>'RAW DATA 2023'!B355</f>
        <v>Maeklong1</v>
      </c>
      <c r="B760" s="63" t="str">
        <f>'RAW DATA 2023'!D355</f>
        <v>A1-030-0006</v>
      </c>
      <c r="C760" s="63" t="str">
        <f t="shared" si="55"/>
        <v>Maeklong1A1-030-0006</v>
      </c>
      <c r="D760" s="68">
        <f>VLOOKUP(C760,'RAW DATA 2023'!E:BP,63,0)</f>
        <v>3</v>
      </c>
      <c r="E760" s="68" t="str">
        <f t="shared" si="56"/>
        <v>Maeklong13</v>
      </c>
      <c r="F760" s="63" t="str">
        <f>VLOOKUP(C760,'RAW DATA 2023'!E:BO,5,0)</f>
        <v>Outdoor</v>
      </c>
      <c r="G760" s="63" t="s">
        <v>1951</v>
      </c>
      <c r="H760" s="63">
        <f>VLOOKUP(C760,'RAW DATA 2023'!E:BO,2,0)</f>
        <v>1.3</v>
      </c>
      <c r="I760" s="106">
        <f>VLOOKUP(C760,'RAW DATA 2023'!E:BO,22,0)</f>
        <v>11.53763846153846</v>
      </c>
      <c r="J760" s="72">
        <f t="shared" si="57"/>
        <v>5.5376384615384602</v>
      </c>
      <c r="K760" s="109">
        <f t="shared" si="58"/>
        <v>9.2293974358974342</v>
      </c>
      <c r="L760" s="63">
        <f t="shared" si="59"/>
        <v>6.25</v>
      </c>
      <c r="M760" s="123"/>
    </row>
    <row r="761" spans="1:13" hidden="1">
      <c r="A761" s="63" t="str">
        <f>'RAW DATA 2023'!B367</f>
        <v>PB5</v>
      </c>
      <c r="B761" s="63" t="str">
        <f>'RAW DATA 2023'!D367</f>
        <v>B1-021-0046</v>
      </c>
      <c r="C761" s="63" t="str">
        <f t="shared" si="55"/>
        <v>PB5B1-021-0046</v>
      </c>
      <c r="D761" s="68">
        <f>VLOOKUP(C761,'RAW DATA 2023'!E:BP,63,0)</f>
        <v>2</v>
      </c>
      <c r="E761" s="68" t="str">
        <f t="shared" si="56"/>
        <v>PB52</v>
      </c>
      <c r="F761" s="63" t="str">
        <f>VLOOKUP(C761,'RAW DATA 2023'!E:BO,5,0)</f>
        <v>Outdoor</v>
      </c>
      <c r="G761" s="63" t="s">
        <v>67</v>
      </c>
      <c r="H761" s="63">
        <f>VLOOKUP(C761,'RAW DATA 2023'!E:BO,2,0)</f>
        <v>5.72</v>
      </c>
      <c r="I761" s="106">
        <f>VLOOKUP(C761,'RAW DATA 2023'!E:BO,22,0)</f>
        <v>2.6411503496503497</v>
      </c>
      <c r="J761" s="72">
        <f t="shared" si="57"/>
        <v>0.64115034965034967</v>
      </c>
      <c r="K761" s="109">
        <f t="shared" si="58"/>
        <v>1.0685839160839161</v>
      </c>
      <c r="L761" s="63">
        <f t="shared" si="59"/>
        <v>1.0685839160839161</v>
      </c>
      <c r="M761" s="123"/>
    </row>
    <row r="762" spans="1:13" hidden="1">
      <c r="A762" s="63" t="str">
        <f>'RAW DATA 2023'!B369</f>
        <v>PB5</v>
      </c>
      <c r="B762" s="63" t="str">
        <f>'RAW DATA 2023'!D369</f>
        <v>A1-011-0046</v>
      </c>
      <c r="C762" s="63" t="str">
        <f t="shared" si="55"/>
        <v>PB5A1-011-0046</v>
      </c>
      <c r="D762" s="68">
        <f>VLOOKUP(C762,'RAW DATA 2023'!E:BP,63,0)</f>
        <v>4</v>
      </c>
      <c r="E762" s="68" t="str">
        <f t="shared" si="56"/>
        <v>PB54</v>
      </c>
      <c r="F762" s="63" t="str">
        <f>VLOOKUP(C762,'RAW DATA 2023'!E:BO,5,0)</f>
        <v>Outdoor</v>
      </c>
      <c r="G762" s="63" t="s">
        <v>67</v>
      </c>
      <c r="H762" s="63">
        <f>VLOOKUP(C762,'RAW DATA 2023'!E:BO,2,0)</f>
        <v>2.35</v>
      </c>
      <c r="I762" s="106">
        <f>VLOOKUP(C762,'RAW DATA 2023'!E:BO,22,0)</f>
        <v>8.1044808510638298</v>
      </c>
      <c r="J762" s="72">
        <f t="shared" si="57"/>
        <v>5.1044808510638298</v>
      </c>
      <c r="K762" s="109">
        <f t="shared" si="58"/>
        <v>8.5074680851063835</v>
      </c>
      <c r="L762" s="63">
        <f t="shared" si="59"/>
        <v>6.25</v>
      </c>
      <c r="M762" s="123"/>
    </row>
    <row r="763" spans="1:13" hidden="1">
      <c r="A763" s="63" t="str">
        <f>'RAW DATA 2023'!B372</f>
        <v>PB5</v>
      </c>
      <c r="B763" s="63" t="str">
        <f>'RAW DATA 2023'!D372</f>
        <v>A1-005-0052</v>
      </c>
      <c r="C763" s="63" t="str">
        <f t="shared" si="55"/>
        <v>PB5A1-005-0052</v>
      </c>
      <c r="D763" s="68">
        <f>VLOOKUP(C763,'RAW DATA 2023'!E:BP,63,0)</f>
        <v>7</v>
      </c>
      <c r="E763" s="68" t="str">
        <f t="shared" si="56"/>
        <v>PB57</v>
      </c>
      <c r="F763" s="63" t="str">
        <f>VLOOKUP(C763,'RAW DATA 2023'!E:BO,5,0)</f>
        <v>Outdoor</v>
      </c>
      <c r="G763" s="63" t="s">
        <v>67</v>
      </c>
      <c r="H763" s="63">
        <f>VLOOKUP(C763,'RAW DATA 2023'!E:BO,2,0)</f>
        <v>4.37</v>
      </c>
      <c r="I763" s="106">
        <f>VLOOKUP(C763,'RAW DATA 2023'!E:BO,22,0)</f>
        <v>2.5505789473684213</v>
      </c>
      <c r="J763" s="72">
        <f t="shared" si="57"/>
        <v>0.55057894736842128</v>
      </c>
      <c r="K763" s="109">
        <f t="shared" si="58"/>
        <v>0.9176315789473688</v>
      </c>
      <c r="L763" s="63">
        <f t="shared" si="59"/>
        <v>0.9176315789473688</v>
      </c>
      <c r="M763" s="123"/>
    </row>
    <row r="764" spans="1:13">
      <c r="A764" s="63" t="str">
        <f>'RAW DATA 2023'!B390</f>
        <v>Roiphet2</v>
      </c>
      <c r="B764" s="63" t="str">
        <f>'RAW DATA 2023'!D390</f>
        <v>B1-014-0046</v>
      </c>
      <c r="C764" s="63" t="str">
        <f t="shared" si="55"/>
        <v>Roiphet2B1-014-0046</v>
      </c>
      <c r="D764" s="68">
        <f>VLOOKUP(C764,'RAW DATA 2023'!E:BP,63,0)</f>
        <v>10</v>
      </c>
      <c r="E764" s="68" t="str">
        <f t="shared" si="56"/>
        <v>Roiphet210</v>
      </c>
      <c r="F764" s="63" t="str">
        <f>VLOOKUP(C764,'RAW DATA 2023'!E:BO,5,0)</f>
        <v>Outdoor</v>
      </c>
      <c r="G764" s="63" t="s">
        <v>1951</v>
      </c>
      <c r="H764" s="63">
        <f>VLOOKUP(C764,'RAW DATA 2023'!E:BO,2,0)</f>
        <v>4.5</v>
      </c>
      <c r="I764" s="106">
        <f>VLOOKUP(C764,'RAW DATA 2023'!E:BO,22,0)</f>
        <v>3.9914199999999997</v>
      </c>
      <c r="J764" s="72">
        <f t="shared" si="57"/>
        <v>1.9914199999999997</v>
      </c>
      <c r="K764" s="109">
        <f t="shared" si="58"/>
        <v>3.3190333333333331</v>
      </c>
      <c r="L764" s="63">
        <f t="shared" si="59"/>
        <v>3.3190333333333331</v>
      </c>
      <c r="M764" s="123"/>
    </row>
    <row r="765" spans="1:13" hidden="1">
      <c r="A765" s="63" t="str">
        <f>'RAW DATA 2023'!B408</f>
        <v>CS4</v>
      </c>
      <c r="B765" s="63" t="str">
        <f>'RAW DATA 2023'!D408</f>
        <v>A1-023-0009</v>
      </c>
      <c r="C765" s="63" t="str">
        <f t="shared" si="55"/>
        <v>CS4A1-023-0009</v>
      </c>
      <c r="D765" s="68">
        <f>VLOOKUP(C765,'RAW DATA 2023'!E:BP,63,0)</f>
        <v>5</v>
      </c>
      <c r="E765" s="68" t="str">
        <f t="shared" si="56"/>
        <v>CS45</v>
      </c>
      <c r="F765" s="63" t="str">
        <f>VLOOKUP(C765,'RAW DATA 2023'!E:BO,5,0)</f>
        <v>Outdoor</v>
      </c>
      <c r="G765" s="63" t="s">
        <v>1954</v>
      </c>
      <c r="H765" s="63">
        <f>VLOOKUP(C765,'RAW DATA 2023'!E:BO,2,0)</f>
        <v>1.1200000000000001</v>
      </c>
      <c r="I765" s="106">
        <f>VLOOKUP(C765,'RAW DATA 2023'!E:BO,22,0)</f>
        <v>5.5427678571428558</v>
      </c>
      <c r="J765" s="72">
        <f t="shared" si="57"/>
        <v>-0.4572321428571442</v>
      </c>
      <c r="K765" s="109">
        <f t="shared" si="58"/>
        <v>-0.76205357142857366</v>
      </c>
      <c r="L765" s="63">
        <f t="shared" si="59"/>
        <v>0</v>
      </c>
      <c r="M765" s="123"/>
    </row>
    <row r="766" spans="1:13" hidden="1">
      <c r="A766" s="63" t="str">
        <f>'RAW DATA 2023'!B414</f>
        <v>CS4</v>
      </c>
      <c r="B766" s="63" t="str">
        <f>'RAW DATA 2023'!D414</f>
        <v>A1-026-0014</v>
      </c>
      <c r="C766" s="63" t="str">
        <f t="shared" si="55"/>
        <v>CS4A1-026-0014</v>
      </c>
      <c r="D766" s="68">
        <f>VLOOKUP(C766,'RAW DATA 2023'!E:BP,63,0)</f>
        <v>4</v>
      </c>
      <c r="E766" s="68" t="str">
        <f t="shared" si="56"/>
        <v>CS44</v>
      </c>
      <c r="F766" s="63" t="str">
        <f>VLOOKUP(C766,'RAW DATA 2023'!E:BO,5,0)</f>
        <v>Outdoor</v>
      </c>
      <c r="G766" s="63" t="s">
        <v>67</v>
      </c>
      <c r="H766" s="63">
        <f>VLOOKUP(C766,'RAW DATA 2023'!E:BO,2,0)</f>
        <v>2</v>
      </c>
      <c r="I766" s="106">
        <f>VLOOKUP(C766,'RAW DATA 2023'!E:BO,22,0)</f>
        <v>2.3967550000000002</v>
      </c>
      <c r="J766" s="72">
        <f t="shared" si="57"/>
        <v>-3.6032449999999998</v>
      </c>
      <c r="K766" s="109">
        <f t="shared" si="58"/>
        <v>-6.0054083333333335</v>
      </c>
      <c r="L766" s="63">
        <f t="shared" si="59"/>
        <v>0</v>
      </c>
      <c r="M766" s="123"/>
    </row>
    <row r="767" spans="1:13" hidden="1">
      <c r="A767" s="63" t="str">
        <f>'RAW DATA 2023'!B415</f>
        <v>CS1</v>
      </c>
      <c r="B767" s="63" t="str">
        <f>'RAW DATA 2023'!D415</f>
        <v>A1-007-0050</v>
      </c>
      <c r="C767" s="63" t="str">
        <f t="shared" si="55"/>
        <v>CS1A1-007-0050</v>
      </c>
      <c r="D767" s="68">
        <f>VLOOKUP(C767,'RAW DATA 2023'!E:BP,63,0)</f>
        <v>10</v>
      </c>
      <c r="E767" s="68" t="str">
        <f t="shared" si="56"/>
        <v>CS110</v>
      </c>
      <c r="F767" s="63" t="str">
        <f>VLOOKUP(C767,'RAW DATA 2023'!E:BO,5,0)</f>
        <v>Outdoor</v>
      </c>
      <c r="G767" s="63" t="s">
        <v>67</v>
      </c>
      <c r="H767" s="63">
        <f>VLOOKUP(C767,'RAW DATA 2023'!E:BO,2,0)</f>
        <v>3.1</v>
      </c>
      <c r="I767" s="106">
        <f>VLOOKUP(C767,'RAW DATA 2023'!E:BO,22,0)</f>
        <v>7.495451612903226</v>
      </c>
      <c r="J767" s="72">
        <f t="shared" si="57"/>
        <v>4.495451612903226</v>
      </c>
      <c r="K767" s="109">
        <f t="shared" si="58"/>
        <v>7.4924193548387104</v>
      </c>
      <c r="L767" s="63">
        <f t="shared" si="59"/>
        <v>6.25</v>
      </c>
      <c r="M767" s="123"/>
    </row>
    <row r="768" spans="1:13" hidden="1">
      <c r="A768" s="63" t="str">
        <f>'RAW DATA 2023'!B416</f>
        <v>CS1</v>
      </c>
      <c r="B768" s="63" t="str">
        <f>'RAW DATA 2023'!D416</f>
        <v>A1-010-0051</v>
      </c>
      <c r="C768" s="63" t="str">
        <f t="shared" si="55"/>
        <v>CS1A1-010-0051</v>
      </c>
      <c r="D768" s="68">
        <f>VLOOKUP(C768,'RAW DATA 2023'!E:BP,63,0)</f>
        <v>10</v>
      </c>
      <c r="E768" s="68" t="str">
        <f t="shared" si="56"/>
        <v>CS110</v>
      </c>
      <c r="F768" s="63" t="str">
        <f>VLOOKUP(C768,'RAW DATA 2023'!E:BO,5,0)</f>
        <v>Outdoor</v>
      </c>
      <c r="G768" s="63" t="s">
        <v>67</v>
      </c>
      <c r="H768" s="63">
        <f>VLOOKUP(C768,'RAW DATA 2023'!E:BO,2,0)</f>
        <v>3.1</v>
      </c>
      <c r="I768" s="106">
        <f>VLOOKUP(C768,'RAW DATA 2023'!E:BO,22,0)</f>
        <v>11.712767741935485</v>
      </c>
      <c r="J768" s="72">
        <f t="shared" si="57"/>
        <v>8.712767741935485</v>
      </c>
      <c r="K768" s="109">
        <f t="shared" si="58"/>
        <v>14.521279569892476</v>
      </c>
      <c r="L768" s="63">
        <f t="shared" si="59"/>
        <v>6.25</v>
      </c>
      <c r="M768" s="123"/>
    </row>
    <row r="769" spans="1:13" hidden="1">
      <c r="A769" s="63" t="str">
        <f>'RAW DATA 2023'!B420</f>
        <v>CS1</v>
      </c>
      <c r="B769" s="63" t="str">
        <f>'RAW DATA 2023'!D420</f>
        <v>A1-096-0027</v>
      </c>
      <c r="C769" s="63" t="str">
        <f t="shared" si="55"/>
        <v>CS1A1-096-0027</v>
      </c>
      <c r="D769" s="68">
        <f>VLOOKUP(C769,'RAW DATA 2023'!E:BP,63,0)</f>
        <v>2</v>
      </c>
      <c r="E769" s="68" t="str">
        <f t="shared" si="56"/>
        <v>CS12</v>
      </c>
      <c r="F769" s="63" t="str">
        <f>VLOOKUP(C769,'RAW DATA 2023'!E:BO,5,0)</f>
        <v>Outdoor</v>
      </c>
      <c r="G769" s="63" t="s">
        <v>67</v>
      </c>
      <c r="H769" s="63">
        <f>VLOOKUP(C769,'RAW DATA 2023'!E:BO,2,0)</f>
        <v>2.79</v>
      </c>
      <c r="I769" s="106">
        <f>VLOOKUP(C769,'RAW DATA 2023'!E:BO,22,0)</f>
        <v>4.6912759856630819</v>
      </c>
      <c r="J769" s="72">
        <f t="shared" si="57"/>
        <v>1.6912759856630819</v>
      </c>
      <c r="K769" s="109">
        <f t="shared" si="58"/>
        <v>2.8187933094384698</v>
      </c>
      <c r="L769" s="63">
        <f t="shared" si="59"/>
        <v>2.8187933094384698</v>
      </c>
      <c r="M769" s="123"/>
    </row>
    <row r="770" spans="1:13">
      <c r="A770" s="63" t="str">
        <f>'RAW DATA 2023'!B432</f>
        <v>CS1</v>
      </c>
      <c r="B770" s="63" t="str">
        <f>'RAW DATA 2023'!D432</f>
        <v>C1-062-0020</v>
      </c>
      <c r="C770" s="63" t="str">
        <f t="shared" si="55"/>
        <v>CS1C1-062-0020</v>
      </c>
      <c r="D770" s="68">
        <f>VLOOKUP(C770,'RAW DATA 2023'!E:BP,63,0)</f>
        <v>5</v>
      </c>
      <c r="E770" s="68" t="str">
        <f t="shared" si="56"/>
        <v>CS15</v>
      </c>
      <c r="F770" s="63" t="str">
        <f>VLOOKUP(C770,'RAW DATA 2023'!E:BO,5,0)</f>
        <v>Outdoor</v>
      </c>
      <c r="G770" s="63" t="s">
        <v>1951</v>
      </c>
      <c r="H770" s="63">
        <f>VLOOKUP(C770,'RAW DATA 2023'!E:BO,2,0)</f>
        <v>3.5</v>
      </c>
      <c r="I770" s="106">
        <f>VLOOKUP(C770,'RAW DATA 2023'!E:BO,22,0)</f>
        <v>3.3276628571428573</v>
      </c>
      <c r="J770" s="72">
        <f t="shared" si="57"/>
        <v>0.32766285714285726</v>
      </c>
      <c r="K770" s="109">
        <f t="shared" si="58"/>
        <v>0.54610476190476209</v>
      </c>
      <c r="L770" s="63">
        <f t="shared" si="59"/>
        <v>0.54610476190476209</v>
      </c>
      <c r="M770" s="123"/>
    </row>
    <row r="771" spans="1:13" hidden="1">
      <c r="A771" s="63" t="str">
        <f>'RAW DATA 2023'!B483</f>
        <v>Bangkachai1</v>
      </c>
      <c r="B771" s="63" t="str">
        <f>'RAW DATA 2023'!D483</f>
        <v>A1-060-0005</v>
      </c>
      <c r="C771" s="63" t="str">
        <f t="shared" si="55"/>
        <v>Bangkachai1A1-060-0005</v>
      </c>
      <c r="D771" s="68">
        <f>VLOOKUP(C771,'RAW DATA 2023'!E:BP,63,0)</f>
        <v>5</v>
      </c>
      <c r="E771" s="68" t="str">
        <f t="shared" si="56"/>
        <v>Bangkachai15</v>
      </c>
      <c r="F771" s="63" t="str">
        <f>VLOOKUP(C771,'RAW DATA 2023'!E:BO,5,0)</f>
        <v>Outdoor</v>
      </c>
      <c r="G771" s="63" t="s">
        <v>67</v>
      </c>
      <c r="H771" s="63">
        <f>VLOOKUP(C771,'RAW DATA 2023'!E:BO,2,0)</f>
        <v>2</v>
      </c>
      <c r="I771" s="106">
        <f>VLOOKUP(C771,'RAW DATA 2023'!E:BO,22,0)</f>
        <v>9.4425000000000008</v>
      </c>
      <c r="J771" s="72">
        <f t="shared" si="57"/>
        <v>3.4425000000000008</v>
      </c>
      <c r="K771" s="109">
        <f t="shared" si="58"/>
        <v>5.7375000000000016</v>
      </c>
      <c r="L771" s="63">
        <f t="shared" si="59"/>
        <v>5.7375000000000016</v>
      </c>
      <c r="M771" s="123"/>
    </row>
    <row r="772" spans="1:13" hidden="1">
      <c r="A772" s="63" t="str">
        <f>'RAW DATA 2023'!B484</f>
        <v>Bangkachai1</v>
      </c>
      <c r="B772" s="63" t="str">
        <f>'RAW DATA 2023'!D484</f>
        <v>A1-047-0009</v>
      </c>
      <c r="C772" s="63" t="str">
        <f t="shared" si="55"/>
        <v>Bangkachai1A1-047-0009</v>
      </c>
      <c r="D772" s="68">
        <f>VLOOKUP(C772,'RAW DATA 2023'!E:BP,63,0)</f>
        <v>3</v>
      </c>
      <c r="E772" s="68" t="str">
        <f t="shared" si="56"/>
        <v>Bangkachai13</v>
      </c>
      <c r="F772" s="63" t="str">
        <f>VLOOKUP(C772,'RAW DATA 2023'!E:BO,5,0)</f>
        <v>Outdoor</v>
      </c>
      <c r="G772" s="63" t="s">
        <v>67</v>
      </c>
      <c r="H772" s="63">
        <f>VLOOKUP(C772,'RAW DATA 2023'!E:BO,2,0)</f>
        <v>2.1</v>
      </c>
      <c r="I772" s="106">
        <f>VLOOKUP(C772,'RAW DATA 2023'!E:BO,22,0)</f>
        <v>9.838733333333332</v>
      </c>
      <c r="J772" s="72">
        <f t="shared" si="57"/>
        <v>6.838733333333332</v>
      </c>
      <c r="K772" s="109">
        <f t="shared" si="58"/>
        <v>11.397888888888888</v>
      </c>
      <c r="L772" s="63">
        <f t="shared" si="59"/>
        <v>6.25</v>
      </c>
      <c r="M772" s="123"/>
    </row>
    <row r="773" spans="1:13" hidden="1">
      <c r="A773" s="63" t="str">
        <f>'RAW DATA 2023'!B485</f>
        <v>Bo Thong</v>
      </c>
      <c r="B773" s="63" t="str">
        <f>'RAW DATA 2023'!D485</f>
        <v>BG-002-0014</v>
      </c>
      <c r="C773" s="63" t="str">
        <f t="shared" si="55"/>
        <v>Bo ThongBG-002-0014</v>
      </c>
      <c r="D773" s="68">
        <f>VLOOKUP(C773,'RAW DATA 2023'!E:BP,63,0)</f>
        <v>6</v>
      </c>
      <c r="E773" s="68" t="str">
        <f t="shared" si="56"/>
        <v>Bo Thong6</v>
      </c>
      <c r="F773" s="63" t="str">
        <f>VLOOKUP(C773,'RAW DATA 2023'!E:BO,5,0)</f>
        <v>Greenhouse</v>
      </c>
      <c r="G773" s="63" t="s">
        <v>67</v>
      </c>
      <c r="H773" s="63">
        <f>VLOOKUP(C773,'RAW DATA 2023'!E:BO,2,0)</f>
        <v>1.88</v>
      </c>
      <c r="I773" s="106">
        <f>VLOOKUP(C773,'RAW DATA 2023'!E:BO,22,0)</f>
        <v>8.7195691489361717</v>
      </c>
      <c r="J773" s="72">
        <f t="shared" si="57"/>
        <v>4.7195691489361717</v>
      </c>
      <c r="K773" s="109">
        <f t="shared" si="58"/>
        <v>7.8659485815602865</v>
      </c>
      <c r="L773" s="63">
        <f t="shared" si="59"/>
        <v>6.25</v>
      </c>
      <c r="M773" s="123"/>
    </row>
    <row r="774" spans="1:13" hidden="1">
      <c r="A774" s="63" t="str">
        <f>'RAW DATA 2023'!B490</f>
        <v>Bo Thong</v>
      </c>
      <c r="B774" s="63" t="str">
        <f>'RAW DATA 2023'!D490</f>
        <v>B1-015-0014</v>
      </c>
      <c r="C774" s="63" t="str">
        <f t="shared" si="55"/>
        <v>Bo ThongB1-015-0014</v>
      </c>
      <c r="D774" s="68">
        <f>VLOOKUP(C774,'RAW DATA 2023'!E:BP,63,0)</f>
        <v>11</v>
      </c>
      <c r="E774" s="68" t="str">
        <f t="shared" si="56"/>
        <v>Bo Thong11</v>
      </c>
      <c r="F774" s="63" t="str">
        <f>VLOOKUP(C774,'RAW DATA 2023'!E:BO,5,0)</f>
        <v>Outdoor</v>
      </c>
      <c r="G774" s="63" t="s">
        <v>67</v>
      </c>
      <c r="H774" s="63">
        <f>VLOOKUP(C774,'RAW DATA 2023'!E:BO,2,0)</f>
        <v>2.76</v>
      </c>
      <c r="I774" s="106">
        <f>VLOOKUP(C774,'RAW DATA 2023'!E:BO,22,0)</f>
        <v>3.7303043478260869</v>
      </c>
      <c r="J774" s="72">
        <f t="shared" si="57"/>
        <v>0.73030434782608689</v>
      </c>
      <c r="K774" s="109">
        <f t="shared" si="58"/>
        <v>1.2171739130434782</v>
      </c>
      <c r="L774" s="63">
        <f t="shared" si="59"/>
        <v>1.2171739130434782</v>
      </c>
      <c r="M774" s="123"/>
    </row>
    <row r="775" spans="1:13" hidden="1">
      <c r="A775" s="63" t="str">
        <f>'RAW DATA 2023'!B492</f>
        <v>Bo Thong</v>
      </c>
      <c r="B775" s="63" t="str">
        <f>'RAW DATA 2023'!D492</f>
        <v>B1-014-0012</v>
      </c>
      <c r="C775" s="63" t="str">
        <f t="shared" si="55"/>
        <v>Bo ThongB1-014-0012</v>
      </c>
      <c r="D775" s="68">
        <f>VLOOKUP(C775,'RAW DATA 2023'!E:BP,63,0)</f>
        <v>6</v>
      </c>
      <c r="E775" s="68" t="str">
        <f t="shared" si="56"/>
        <v>Bo Thong6</v>
      </c>
      <c r="F775" s="63" t="str">
        <f>VLOOKUP(C775,'RAW DATA 2023'!E:BO,5,0)</f>
        <v>Outdoor</v>
      </c>
      <c r="G775" s="63" t="s">
        <v>67</v>
      </c>
      <c r="H775" s="63">
        <f>VLOOKUP(C775,'RAW DATA 2023'!E:BO,2,0)</f>
        <v>2.52</v>
      </c>
      <c r="I775" s="106">
        <f>VLOOKUP(C775,'RAW DATA 2023'!E:BO,22,0)</f>
        <v>11.920063492063493</v>
      </c>
      <c r="J775" s="72">
        <f t="shared" si="57"/>
        <v>8.9200634920634929</v>
      </c>
      <c r="K775" s="109">
        <f t="shared" si="58"/>
        <v>14.866772486772488</v>
      </c>
      <c r="L775" s="63">
        <f t="shared" si="59"/>
        <v>6.25</v>
      </c>
      <c r="M775" s="123"/>
    </row>
    <row r="776" spans="1:13" hidden="1">
      <c r="A776" s="63" t="str">
        <f>'RAW DATA 2023'!B502</f>
        <v>Bangsakao</v>
      </c>
      <c r="B776" s="63" t="str">
        <f>'RAW DATA 2023'!D502</f>
        <v>DG-005-0025</v>
      </c>
      <c r="C776" s="63" t="str">
        <f t="shared" si="55"/>
        <v>BangsakaoDG-005-0025</v>
      </c>
      <c r="D776" s="68">
        <f>VLOOKUP(C776,'RAW DATA 2023'!E:BP,63,0)</f>
        <v>5</v>
      </c>
      <c r="E776" s="68" t="str">
        <f t="shared" si="56"/>
        <v>Bangsakao5</v>
      </c>
      <c r="F776" s="63" t="str">
        <f>VLOOKUP(C776,'RAW DATA 2023'!E:BO,5,0)</f>
        <v>Greenhouse</v>
      </c>
      <c r="G776" s="63" t="s">
        <v>67</v>
      </c>
      <c r="H776" s="63">
        <f>VLOOKUP(C776,'RAW DATA 2023'!E:BO,2,0)</f>
        <v>2</v>
      </c>
      <c r="I776" s="106">
        <f>VLOOKUP(C776,'RAW DATA 2023'!E:BO,22,0)</f>
        <v>10.940895000000001</v>
      </c>
      <c r="J776" s="72">
        <f t="shared" si="57"/>
        <v>6.9408950000000011</v>
      </c>
      <c r="K776" s="109">
        <f t="shared" si="58"/>
        <v>11.568158333333336</v>
      </c>
      <c r="L776" s="63">
        <f t="shared" si="59"/>
        <v>6.25</v>
      </c>
      <c r="M776" s="123"/>
    </row>
    <row r="777" spans="1:13" hidden="1">
      <c r="A777" s="63" t="str">
        <f>'RAW DATA 2023'!B506</f>
        <v>Bangsakao</v>
      </c>
      <c r="B777" s="63" t="str">
        <f>'RAW DATA 2023'!D506</f>
        <v>DG-005-0024</v>
      </c>
      <c r="C777" s="63" t="str">
        <f t="shared" si="55"/>
        <v>BangsakaoDG-005-0024</v>
      </c>
      <c r="D777" s="68">
        <f>VLOOKUP(C777,'RAW DATA 2023'!E:BP,63,0)</f>
        <v>1</v>
      </c>
      <c r="E777" s="68" t="str">
        <f t="shared" si="56"/>
        <v>Bangsakao1</v>
      </c>
      <c r="F777" s="63" t="str">
        <f>VLOOKUP(C777,'RAW DATA 2023'!E:BO,5,0)</f>
        <v>Greenhouse</v>
      </c>
      <c r="G777" s="63" t="s">
        <v>67</v>
      </c>
      <c r="H777" s="63">
        <f>VLOOKUP(C777,'RAW DATA 2023'!E:BO,2,0)</f>
        <v>2</v>
      </c>
      <c r="I777" s="106">
        <f>VLOOKUP(C777,'RAW DATA 2023'!E:BO,22,0)</f>
        <v>9.1268999999999991</v>
      </c>
      <c r="J777" s="72">
        <f t="shared" si="57"/>
        <v>5.1268999999999991</v>
      </c>
      <c r="K777" s="109">
        <f t="shared" si="58"/>
        <v>8.5448333333333331</v>
      </c>
      <c r="L777" s="63">
        <f t="shared" si="59"/>
        <v>6.25</v>
      </c>
      <c r="M777" s="123"/>
    </row>
    <row r="778" spans="1:13" hidden="1">
      <c r="A778" s="63" t="str">
        <f>'RAW DATA 2023'!B510</f>
        <v>Bangsakao</v>
      </c>
      <c r="B778" s="63" t="str">
        <f>'RAW DATA 2023'!D510</f>
        <v>DG-001-0026</v>
      </c>
      <c r="C778" s="63" t="str">
        <f t="shared" ref="C778:C821" si="60">A778&amp;B778</f>
        <v>BangsakaoDG-001-0026</v>
      </c>
      <c r="D778" s="68">
        <f>VLOOKUP(C778,'RAW DATA 2023'!E:BP,63,0)</f>
        <v>1</v>
      </c>
      <c r="E778" s="68" t="str">
        <f t="shared" ref="E778:E821" si="61">A778&amp;D778</f>
        <v>Bangsakao1</v>
      </c>
      <c r="F778" s="63" t="str">
        <f>VLOOKUP(C778,'RAW DATA 2023'!E:BO,5,0)</f>
        <v>Greenhouse</v>
      </c>
      <c r="G778" s="63" t="s">
        <v>67</v>
      </c>
      <c r="H778" s="63">
        <f>VLOOKUP(C778,'RAW DATA 2023'!E:BO,2,0)</f>
        <v>2</v>
      </c>
      <c r="I778" s="106">
        <f>VLOOKUP(C778,'RAW DATA 2023'!E:BO,22,0)</f>
        <v>9.8239900000000002</v>
      </c>
      <c r="J778" s="72">
        <f t="shared" ref="J778:J821" si="62">IF(I778=0,0,IF(F778=$B$2,I778-$B$6,IF(F778=$C$1,I778-$C$6,IF(AND(F778=$C$2,H778&lt;=$C$3),I778-$C$6,IF(AND(F778=$C$2,H778&lt;=$E$3),I778-$D$6,I778-$E$6)))))</f>
        <v>5.8239900000000002</v>
      </c>
      <c r="K778" s="109">
        <f t="shared" ref="K778:K821" si="63">IF(F778=$B$2,J778*$B$7,IF(AND(F778=$C$2,H778&lt;=$C$3),J778*$C$7,IF(AND(F778=$C$2,H778&lt;=$E$3),J778*$D$7,J778*$E$7)))</f>
        <v>9.7066500000000016</v>
      </c>
      <c r="L778" s="63">
        <f t="shared" ref="L778:L821" si="64">IF(K778&gt;=6.25,6.25,IF(K778&lt;=0,0,K778))</f>
        <v>6.25</v>
      </c>
      <c r="M778" s="123"/>
    </row>
    <row r="779" spans="1:13" hidden="1">
      <c r="A779" s="63" t="str">
        <f>'RAW DATA 2023'!B587</f>
        <v>Laemsing</v>
      </c>
      <c r="B779" s="63" t="str">
        <f>'RAW DATA 2023'!D587</f>
        <v>B1-006-0040</v>
      </c>
      <c r="C779" s="63" t="str">
        <f t="shared" si="60"/>
        <v>LaemsingB1-006-0040</v>
      </c>
      <c r="D779" s="68">
        <f>VLOOKUP(C779,'RAW DATA 2023'!E:BP,63,0)</f>
        <v>3</v>
      </c>
      <c r="E779" s="68" t="str">
        <f t="shared" si="61"/>
        <v>Laemsing3</v>
      </c>
      <c r="F779" s="63" t="str">
        <f>VLOOKUP(C779,'RAW DATA 2023'!E:BO,5,0)</f>
        <v>Outdoor</v>
      </c>
      <c r="G779" s="63" t="s">
        <v>67</v>
      </c>
      <c r="H779" s="63">
        <f>VLOOKUP(C779,'RAW DATA 2023'!E:BO,2,0)</f>
        <v>3</v>
      </c>
      <c r="I779" s="106">
        <f>VLOOKUP(C779,'RAW DATA 2023'!E:BO,22,0)</f>
        <v>6.8835000000000006</v>
      </c>
      <c r="J779" s="72">
        <f t="shared" si="62"/>
        <v>3.8835000000000006</v>
      </c>
      <c r="K779" s="109">
        <f t="shared" si="63"/>
        <v>6.472500000000001</v>
      </c>
      <c r="L779" s="63">
        <f t="shared" si="64"/>
        <v>6.25</v>
      </c>
      <c r="M779" s="123"/>
    </row>
    <row r="780" spans="1:13" hidden="1">
      <c r="A780" s="63" t="str">
        <f>'RAW DATA 2023'!B592</f>
        <v>Laemsing</v>
      </c>
      <c r="B780" s="63" t="str">
        <f>'RAW DATA 2023'!D592</f>
        <v>B1-012-0031</v>
      </c>
      <c r="C780" s="63" t="str">
        <f t="shared" si="60"/>
        <v>LaemsingB1-012-0031</v>
      </c>
      <c r="D780" s="68">
        <f>VLOOKUP(C780,'RAW DATA 2023'!E:BP,63,0)</f>
        <v>7</v>
      </c>
      <c r="E780" s="68" t="str">
        <f t="shared" si="61"/>
        <v>Laemsing7</v>
      </c>
      <c r="F780" s="63" t="str">
        <f>VLOOKUP(C780,'RAW DATA 2023'!E:BO,5,0)</f>
        <v>Outdoor</v>
      </c>
      <c r="G780" s="63" t="s">
        <v>67</v>
      </c>
      <c r="H780" s="63">
        <f>VLOOKUP(C780,'RAW DATA 2023'!E:BO,2,0)</f>
        <v>1.6</v>
      </c>
      <c r="I780" s="106">
        <f>VLOOKUP(C780,'RAW DATA 2023'!E:BO,22,0)</f>
        <v>3.4987999999999997</v>
      </c>
      <c r="J780" s="72">
        <f t="shared" si="62"/>
        <v>-2.5012000000000003</v>
      </c>
      <c r="K780" s="109">
        <f t="shared" si="63"/>
        <v>-4.1686666666666676</v>
      </c>
      <c r="L780" s="63">
        <f t="shared" si="64"/>
        <v>0</v>
      </c>
      <c r="M780" s="123"/>
    </row>
    <row r="781" spans="1:13" hidden="1">
      <c r="A781" s="63" t="str">
        <f>'RAW DATA 2023'!B593</f>
        <v>Laemsing</v>
      </c>
      <c r="B781" s="63" t="str">
        <f>'RAW DATA 2023'!D593</f>
        <v>B1-006-0041</v>
      </c>
      <c r="C781" s="63" t="str">
        <f t="shared" si="60"/>
        <v>LaemsingB1-006-0041</v>
      </c>
      <c r="D781" s="68">
        <f>VLOOKUP(C781,'RAW DATA 2023'!E:BP,63,0)</f>
        <v>8</v>
      </c>
      <c r="E781" s="68" t="str">
        <f t="shared" si="61"/>
        <v>Laemsing8</v>
      </c>
      <c r="F781" s="63" t="str">
        <f>VLOOKUP(C781,'RAW DATA 2023'!E:BO,5,0)</f>
        <v>Outdoor</v>
      </c>
      <c r="G781" s="63" t="s">
        <v>67</v>
      </c>
      <c r="H781" s="63">
        <f>VLOOKUP(C781,'RAW DATA 2023'!E:BO,2,0)</f>
        <v>3</v>
      </c>
      <c r="I781" s="106">
        <f>VLOOKUP(C781,'RAW DATA 2023'!E:BO,22,0)</f>
        <v>5.8102200000000002</v>
      </c>
      <c r="J781" s="72">
        <f t="shared" si="62"/>
        <v>2.8102200000000002</v>
      </c>
      <c r="K781" s="109">
        <f t="shared" si="63"/>
        <v>4.6837000000000009</v>
      </c>
      <c r="L781" s="63">
        <f t="shared" si="64"/>
        <v>4.6837000000000009</v>
      </c>
      <c r="M781" s="123"/>
    </row>
    <row r="782" spans="1:13" hidden="1">
      <c r="A782" s="63" t="str">
        <f>'RAW DATA 2023'!B603</f>
        <v>Lucky1</v>
      </c>
      <c r="B782" s="63" t="str">
        <f>'RAW DATA 2023'!D603</f>
        <v>BG-027-0011</v>
      </c>
      <c r="C782" s="63" t="str">
        <f t="shared" si="60"/>
        <v>Lucky1BG-027-0011</v>
      </c>
      <c r="D782" s="68">
        <f>VLOOKUP(C782,'RAW DATA 2023'!E:BP,63,0)</f>
        <v>6</v>
      </c>
      <c r="E782" s="68" t="str">
        <f t="shared" si="61"/>
        <v>Lucky16</v>
      </c>
      <c r="F782" s="63" t="str">
        <f>VLOOKUP(C782,'RAW DATA 2023'!E:BO,5,0)</f>
        <v>Greenhouse</v>
      </c>
      <c r="G782" s="63" t="s">
        <v>67</v>
      </c>
      <c r="H782" s="63">
        <f>VLOOKUP(C782,'RAW DATA 2023'!E:BO,2,0)</f>
        <v>2.1</v>
      </c>
      <c r="I782" s="106">
        <f>VLOOKUP(C782,'RAW DATA 2023'!E:BO,22,0)</f>
        <v>3.4778190476190476</v>
      </c>
      <c r="J782" s="72">
        <f t="shared" si="62"/>
        <v>-0.52218095238095241</v>
      </c>
      <c r="K782" s="109">
        <f t="shared" si="63"/>
        <v>-0.87030158730158735</v>
      </c>
      <c r="L782" s="63">
        <f t="shared" si="64"/>
        <v>0</v>
      </c>
      <c r="M782" s="123"/>
    </row>
    <row r="783" spans="1:13" hidden="1">
      <c r="A783" s="63" t="str">
        <f>'RAW DATA 2023'!B607</f>
        <v>Lucky1</v>
      </c>
      <c r="B783" s="63" t="str">
        <f>'RAW DATA 2023'!D607</f>
        <v>B1-015-0007</v>
      </c>
      <c r="C783" s="63" t="str">
        <f t="shared" si="60"/>
        <v>Lucky1B1-015-0007</v>
      </c>
      <c r="D783" s="68">
        <f>VLOOKUP(C783,'RAW DATA 2023'!E:BP,63,0)</f>
        <v>5</v>
      </c>
      <c r="E783" s="68" t="str">
        <f t="shared" si="61"/>
        <v>Lucky15</v>
      </c>
      <c r="F783" s="63" t="str">
        <f>VLOOKUP(C783,'RAW DATA 2023'!E:BO,5,0)</f>
        <v>Outdoor</v>
      </c>
      <c r="G783" s="63" t="s">
        <v>67</v>
      </c>
      <c r="H783" s="63">
        <f>VLOOKUP(C783,'RAW DATA 2023'!E:BO,2,0)</f>
        <v>2.1</v>
      </c>
      <c r="I783" s="106">
        <f>VLOOKUP(C783,'RAW DATA 2023'!E:BO,22,0)</f>
        <v>8.2567999999999984</v>
      </c>
      <c r="J783" s="72">
        <f t="shared" si="62"/>
        <v>5.2567999999999984</v>
      </c>
      <c r="K783" s="109">
        <f t="shared" si="63"/>
        <v>8.7613333333333312</v>
      </c>
      <c r="L783" s="63">
        <f t="shared" si="64"/>
        <v>6.25</v>
      </c>
      <c r="M783" s="123"/>
    </row>
    <row r="784" spans="1:13" hidden="1">
      <c r="A784" s="63" t="str">
        <f>'RAW DATA 2023'!B621</f>
        <v>Lucky1</v>
      </c>
      <c r="B784" s="63" t="str">
        <f>'RAW DATA 2023'!D621</f>
        <v>B1-021-0014</v>
      </c>
      <c r="C784" s="63" t="str">
        <f t="shared" si="60"/>
        <v>Lucky1B1-021-0014</v>
      </c>
      <c r="D784" s="68">
        <f>VLOOKUP(C784,'RAW DATA 2023'!E:BP,63,0)</f>
        <v>4</v>
      </c>
      <c r="E784" s="68" t="str">
        <f t="shared" si="61"/>
        <v>Lucky14</v>
      </c>
      <c r="F784" s="63" t="str">
        <f>VLOOKUP(C784,'RAW DATA 2023'!E:BO,5,0)</f>
        <v>Outdoor</v>
      </c>
      <c r="G784" s="63" t="s">
        <v>67</v>
      </c>
      <c r="H784" s="63">
        <f>VLOOKUP(C784,'RAW DATA 2023'!E:BO,2,0)</f>
        <v>2.1</v>
      </c>
      <c r="I784" s="106">
        <f>VLOOKUP(C784,'RAW DATA 2023'!E:BO,22,0)</f>
        <v>2.7868952380952381</v>
      </c>
      <c r="J784" s="72">
        <f t="shared" si="62"/>
        <v>-0.21310476190476191</v>
      </c>
      <c r="K784" s="109">
        <f t="shared" si="63"/>
        <v>-0.3551746031746032</v>
      </c>
      <c r="L784" s="63">
        <f t="shared" si="64"/>
        <v>0</v>
      </c>
      <c r="M784" s="123"/>
    </row>
    <row r="785" spans="1:13" hidden="1">
      <c r="A785" s="63" t="str">
        <f>'RAW DATA 2023'!B633</f>
        <v>Kamong</v>
      </c>
      <c r="B785" s="63" t="str">
        <f>'RAW DATA 2023'!D633</f>
        <v>D1-032-0010</v>
      </c>
      <c r="C785" s="63" t="str">
        <f t="shared" si="60"/>
        <v>KamongD1-032-0010</v>
      </c>
      <c r="D785" s="68">
        <f>VLOOKUP(C785,'RAW DATA 2023'!E:BP,63,0)</f>
        <v>8</v>
      </c>
      <c r="E785" s="68" t="str">
        <f t="shared" si="61"/>
        <v>Kamong8</v>
      </c>
      <c r="F785" s="63" t="str">
        <f>VLOOKUP(C785,'RAW DATA 2023'!E:BO,5,0)</f>
        <v>Outdoor</v>
      </c>
      <c r="G785" s="63" t="s">
        <v>67</v>
      </c>
      <c r="H785" s="63">
        <f>VLOOKUP(C785,'RAW DATA 2023'!E:BO,2,0)</f>
        <v>3</v>
      </c>
      <c r="I785" s="106">
        <f>VLOOKUP(C785,'RAW DATA 2023'!E:BO,22,0)</f>
        <v>2.4362333333333335</v>
      </c>
      <c r="J785" s="72">
        <f t="shared" si="62"/>
        <v>-0.56376666666666653</v>
      </c>
      <c r="K785" s="109">
        <f t="shared" si="63"/>
        <v>-0.93961111111111095</v>
      </c>
      <c r="L785" s="63">
        <f t="shared" si="64"/>
        <v>0</v>
      </c>
      <c r="M785" s="123"/>
    </row>
    <row r="786" spans="1:13" hidden="1">
      <c r="A786" s="63" t="str">
        <f>'RAW DATA 2023'!B634</f>
        <v>Kamong</v>
      </c>
      <c r="B786" s="63" t="str">
        <f>'RAW DATA 2023'!D634</f>
        <v>D1-022-0038</v>
      </c>
      <c r="C786" s="63" t="str">
        <f t="shared" si="60"/>
        <v>KamongD1-022-0038</v>
      </c>
      <c r="D786" s="68">
        <f>VLOOKUP(C786,'RAW DATA 2023'!E:BP,63,0)</f>
        <v>2</v>
      </c>
      <c r="E786" s="68" t="str">
        <f t="shared" si="61"/>
        <v>Kamong2</v>
      </c>
      <c r="F786" s="63" t="str">
        <f>VLOOKUP(C786,'RAW DATA 2023'!E:BO,5,0)</f>
        <v>Outdoor</v>
      </c>
      <c r="G786" s="63" t="s">
        <v>67</v>
      </c>
      <c r="H786" s="63">
        <f>VLOOKUP(C786,'RAW DATA 2023'!E:BO,2,0)</f>
        <v>3</v>
      </c>
      <c r="I786" s="106">
        <f>VLOOKUP(C786,'RAW DATA 2023'!E:BO,22,0)</f>
        <v>5.2450799999999997</v>
      </c>
      <c r="J786" s="72">
        <f t="shared" si="62"/>
        <v>2.2450799999999997</v>
      </c>
      <c r="K786" s="109">
        <f t="shared" si="63"/>
        <v>3.7417999999999996</v>
      </c>
      <c r="L786" s="63">
        <f t="shared" si="64"/>
        <v>3.7417999999999996</v>
      </c>
      <c r="M786" s="123"/>
    </row>
    <row r="787" spans="1:13" hidden="1">
      <c r="A787" s="63" t="str">
        <f>'RAW DATA 2023'!B635</f>
        <v>Kamong</v>
      </c>
      <c r="B787" s="63" t="str">
        <f>'RAW DATA 2023'!D635</f>
        <v>D1-032-0008</v>
      </c>
      <c r="C787" s="63" t="str">
        <f t="shared" si="60"/>
        <v>KamongD1-032-0008</v>
      </c>
      <c r="D787" s="68">
        <f>VLOOKUP(C787,'RAW DATA 2023'!E:BP,63,0)</f>
        <v>3</v>
      </c>
      <c r="E787" s="68" t="str">
        <f t="shared" si="61"/>
        <v>Kamong3</v>
      </c>
      <c r="F787" s="63" t="str">
        <f>VLOOKUP(C787,'RAW DATA 2023'!E:BO,5,0)</f>
        <v>Outdoor</v>
      </c>
      <c r="G787" s="63" t="s">
        <v>67</v>
      </c>
      <c r="H787" s="63">
        <f>VLOOKUP(C787,'RAW DATA 2023'!E:BO,2,0)</f>
        <v>3</v>
      </c>
      <c r="I787" s="106">
        <f>VLOOKUP(C787,'RAW DATA 2023'!E:BO,22,0)</f>
        <v>6.7263366666666657</v>
      </c>
      <c r="J787" s="72">
        <f t="shared" si="62"/>
        <v>3.7263366666666657</v>
      </c>
      <c r="K787" s="109">
        <f t="shared" si="63"/>
        <v>6.2105611111111099</v>
      </c>
      <c r="L787" s="63">
        <f t="shared" si="64"/>
        <v>6.2105611111111099</v>
      </c>
      <c r="M787" s="123"/>
    </row>
    <row r="788" spans="1:13" hidden="1">
      <c r="A788" s="63" t="str">
        <f>'RAW DATA 2023'!B641</f>
        <v>Talaytong</v>
      </c>
      <c r="B788" s="63" t="str">
        <f>'RAW DATA 2023'!D641</f>
        <v>A1-039-0007</v>
      </c>
      <c r="C788" s="63" t="str">
        <f t="shared" si="60"/>
        <v>TalaytongA1-039-0007</v>
      </c>
      <c r="D788" s="68">
        <f>VLOOKUP(C788,'RAW DATA 2023'!E:BP,63,0)</f>
        <v>8</v>
      </c>
      <c r="E788" s="68" t="str">
        <f t="shared" si="61"/>
        <v>Talaytong8</v>
      </c>
      <c r="F788" s="63" t="str">
        <f>VLOOKUP(C788,'RAW DATA 2023'!E:BO,5,0)</f>
        <v>Outdoor</v>
      </c>
      <c r="G788" s="63" t="s">
        <v>67</v>
      </c>
      <c r="H788" s="63">
        <f>VLOOKUP(C788,'RAW DATA 2023'!E:BO,2,0)</f>
        <v>4.29</v>
      </c>
      <c r="I788" s="106">
        <f>VLOOKUP(C788,'RAW DATA 2023'!E:BO,22,0)</f>
        <v>9.0466899766899775</v>
      </c>
      <c r="J788" s="72">
        <f t="shared" si="62"/>
        <v>7.0466899766899775</v>
      </c>
      <c r="K788" s="109">
        <f t="shared" si="63"/>
        <v>11.744483294483297</v>
      </c>
      <c r="L788" s="63">
        <f t="shared" si="64"/>
        <v>6.25</v>
      </c>
      <c r="M788" s="123"/>
    </row>
    <row r="789" spans="1:13" hidden="1">
      <c r="A789" s="63" t="str">
        <f>'RAW DATA 2023'!B643</f>
        <v>Talaytong</v>
      </c>
      <c r="B789" s="63" t="str">
        <f>'RAW DATA 2023'!D643</f>
        <v>A1-038-0008</v>
      </c>
      <c r="C789" s="63" t="str">
        <f t="shared" si="60"/>
        <v>TalaytongA1-038-0008</v>
      </c>
      <c r="D789" s="68">
        <f>VLOOKUP(C789,'RAW DATA 2023'!E:BP,63,0)</f>
        <v>5</v>
      </c>
      <c r="E789" s="68" t="str">
        <f t="shared" si="61"/>
        <v>Talaytong5</v>
      </c>
      <c r="F789" s="63" t="str">
        <f>VLOOKUP(C789,'RAW DATA 2023'!E:BO,5,0)</f>
        <v>Outdoor</v>
      </c>
      <c r="G789" s="63" t="s">
        <v>67</v>
      </c>
      <c r="H789" s="63">
        <f>VLOOKUP(C789,'RAW DATA 2023'!E:BO,2,0)</f>
        <v>5.45</v>
      </c>
      <c r="I789" s="106">
        <f>VLOOKUP(C789,'RAW DATA 2023'!E:BO,22,0)</f>
        <v>5.6472036697247701</v>
      </c>
      <c r="J789" s="72">
        <f t="shared" si="62"/>
        <v>3.6472036697247701</v>
      </c>
      <c r="K789" s="109">
        <f t="shared" si="63"/>
        <v>6.0786727828746168</v>
      </c>
      <c r="L789" s="63">
        <f t="shared" si="64"/>
        <v>6.0786727828746168</v>
      </c>
      <c r="M789" s="123"/>
    </row>
    <row r="790" spans="1:13" hidden="1">
      <c r="A790" s="63" t="str">
        <f>'RAW DATA 2023'!B645</f>
        <v>Talaytong</v>
      </c>
      <c r="B790" s="63" t="str">
        <f>'RAW DATA 2023'!D645</f>
        <v>B1-032-0008</v>
      </c>
      <c r="C790" s="63" t="str">
        <f t="shared" si="60"/>
        <v>TalaytongB1-032-0008</v>
      </c>
      <c r="D790" s="68">
        <f>VLOOKUP(C790,'RAW DATA 2023'!E:BP,63,0)</f>
        <v>1</v>
      </c>
      <c r="E790" s="68" t="str">
        <f t="shared" si="61"/>
        <v>Talaytong1</v>
      </c>
      <c r="F790" s="63" t="str">
        <f>VLOOKUP(C790,'RAW DATA 2023'!E:BO,5,0)</f>
        <v>Outdoor</v>
      </c>
      <c r="G790" s="63" t="s">
        <v>67</v>
      </c>
      <c r="H790" s="63">
        <f>VLOOKUP(C790,'RAW DATA 2023'!E:BO,2,0)</f>
        <v>2.73</v>
      </c>
      <c r="I790" s="106">
        <f>VLOOKUP(C790,'RAW DATA 2023'!E:BO,22,0)</f>
        <v>2.0547838827838829</v>
      </c>
      <c r="J790" s="72">
        <f t="shared" si="62"/>
        <v>-0.94521611721611709</v>
      </c>
      <c r="K790" s="109">
        <f t="shared" si="63"/>
        <v>-1.5753601953601952</v>
      </c>
      <c r="L790" s="63">
        <f t="shared" si="64"/>
        <v>0</v>
      </c>
      <c r="M790" s="123"/>
    </row>
    <row r="791" spans="1:13" hidden="1">
      <c r="A791" s="63" t="str">
        <f>'RAW DATA 2023'!B647</f>
        <v>CHBR1</v>
      </c>
      <c r="B791" s="63" t="str">
        <f>'RAW DATA 2023'!D647</f>
        <v>A1-015-0019</v>
      </c>
      <c r="C791" s="63" t="str">
        <f t="shared" si="60"/>
        <v>CHBR1A1-015-0019</v>
      </c>
      <c r="D791" s="68">
        <f>VLOOKUP(C791,'RAW DATA 2023'!E:BP,63,0)</f>
        <v>12</v>
      </c>
      <c r="E791" s="68" t="str">
        <f t="shared" si="61"/>
        <v>CHBR112</v>
      </c>
      <c r="F791" s="63" t="str">
        <f>VLOOKUP(C791,'RAW DATA 2023'!E:BO,5,0)</f>
        <v>Outdoor</v>
      </c>
      <c r="G791" s="63" t="s">
        <v>67</v>
      </c>
      <c r="H791" s="63">
        <f>VLOOKUP(C791,'RAW DATA 2023'!E:BO,2,0)</f>
        <v>2</v>
      </c>
      <c r="I791" s="106">
        <f>VLOOKUP(C791,'RAW DATA 2023'!E:BO,22,0)</f>
        <v>11.067015</v>
      </c>
      <c r="J791" s="72">
        <f t="shared" si="62"/>
        <v>5.0670149999999996</v>
      </c>
      <c r="K791" s="109">
        <f t="shared" si="63"/>
        <v>8.4450249999999993</v>
      </c>
      <c r="L791" s="63">
        <f t="shared" si="64"/>
        <v>6.25</v>
      </c>
      <c r="M791" s="123"/>
    </row>
    <row r="792" spans="1:13" hidden="1">
      <c r="A792" s="63" t="str">
        <f>'RAW DATA 2023'!B670</f>
        <v>Tamai2</v>
      </c>
      <c r="B792" s="63" t="str">
        <f>'RAW DATA 2023'!D670</f>
        <v>D1-073-0010</v>
      </c>
      <c r="C792" s="63" t="str">
        <f t="shared" si="60"/>
        <v>Tamai2D1-073-0010</v>
      </c>
      <c r="D792" s="68">
        <f>VLOOKUP(C792,'RAW DATA 2023'!E:BP,63,0)</f>
        <v>8</v>
      </c>
      <c r="E792" s="68" t="str">
        <f t="shared" si="61"/>
        <v>Tamai28</v>
      </c>
      <c r="F792" s="63" t="str">
        <f>VLOOKUP(C792,'RAW DATA 2023'!E:BO,5,0)</f>
        <v>Outdoor</v>
      </c>
      <c r="G792" s="63" t="s">
        <v>67</v>
      </c>
      <c r="H792" s="63">
        <f>VLOOKUP(C792,'RAW DATA 2023'!E:BO,2,0)</f>
        <v>2.4300000000000002</v>
      </c>
      <c r="I792" s="106">
        <f>VLOOKUP(C792,'RAW DATA 2023'!E:BO,22,0)</f>
        <v>2.4109999999999996</v>
      </c>
      <c r="J792" s="72">
        <f t="shared" si="62"/>
        <v>-0.58900000000000041</v>
      </c>
      <c r="K792" s="109">
        <f t="shared" si="63"/>
        <v>-0.98166666666666735</v>
      </c>
      <c r="L792" s="63">
        <f t="shared" si="64"/>
        <v>0</v>
      </c>
      <c r="M792" s="123"/>
    </row>
    <row r="793" spans="1:13" hidden="1">
      <c r="A793" s="63" t="str">
        <f>'RAW DATA 2023'!B671</f>
        <v>Tamai2</v>
      </c>
      <c r="B793" s="63" t="str">
        <f>'RAW DATA 2023'!D671</f>
        <v>D1-068-0003</v>
      </c>
      <c r="C793" s="63" t="str">
        <f t="shared" si="60"/>
        <v>Tamai2D1-068-0003</v>
      </c>
      <c r="D793" s="68">
        <f>VLOOKUP(C793,'RAW DATA 2023'!E:BP,63,0)</f>
        <v>3</v>
      </c>
      <c r="E793" s="68" t="str">
        <f t="shared" si="61"/>
        <v>Tamai23</v>
      </c>
      <c r="F793" s="63" t="str">
        <f>VLOOKUP(C793,'RAW DATA 2023'!E:BO,5,0)</f>
        <v>Outdoor</v>
      </c>
      <c r="G793" s="63" t="s">
        <v>67</v>
      </c>
      <c r="H793" s="63">
        <f>VLOOKUP(C793,'RAW DATA 2023'!E:BO,2,0)</f>
        <v>2.59</v>
      </c>
      <c r="I793" s="106">
        <f>VLOOKUP(C793,'RAW DATA 2023'!E:BO,22,0)</f>
        <v>0</v>
      </c>
      <c r="J793" s="72">
        <f t="shared" si="62"/>
        <v>0</v>
      </c>
      <c r="K793" s="109">
        <f t="shared" si="63"/>
        <v>0</v>
      </c>
      <c r="L793" s="63">
        <f t="shared" si="64"/>
        <v>0</v>
      </c>
      <c r="M793" s="123"/>
    </row>
    <row r="794" spans="1:13" hidden="1">
      <c r="A794" s="63" t="str">
        <f>'RAW DATA 2023'!B673</f>
        <v>Tamai2</v>
      </c>
      <c r="B794" s="63" t="str">
        <f>'RAW DATA 2023'!D673</f>
        <v>E1-027-0035</v>
      </c>
      <c r="C794" s="63" t="str">
        <f t="shared" si="60"/>
        <v>Tamai2E1-027-0035</v>
      </c>
      <c r="D794" s="68">
        <f>VLOOKUP(C794,'RAW DATA 2023'!E:BP,63,0)</f>
        <v>5</v>
      </c>
      <c r="E794" s="68" t="str">
        <f t="shared" si="61"/>
        <v>Tamai25</v>
      </c>
      <c r="F794" s="63" t="str">
        <f>VLOOKUP(C794,'RAW DATA 2023'!E:BO,5,0)</f>
        <v>Outdoor</v>
      </c>
      <c r="G794" s="63" t="s">
        <v>67</v>
      </c>
      <c r="H794" s="63">
        <f>VLOOKUP(C794,'RAW DATA 2023'!E:BO,2,0)</f>
        <v>5.0999999999999996</v>
      </c>
      <c r="I794" s="106">
        <f>VLOOKUP(C794,'RAW DATA 2023'!E:BO,22,0)</f>
        <v>5.1587627450980396</v>
      </c>
      <c r="J794" s="72">
        <f t="shared" si="62"/>
        <v>3.1587627450980396</v>
      </c>
      <c r="K794" s="109">
        <f t="shared" si="63"/>
        <v>5.2646045751633999</v>
      </c>
      <c r="L794" s="63">
        <f t="shared" si="64"/>
        <v>5.2646045751633999</v>
      </c>
      <c r="M794" s="123"/>
    </row>
    <row r="795" spans="1:13" hidden="1">
      <c r="A795" s="63" t="str">
        <f>'RAW DATA 2023'!B675</f>
        <v>Tamai2</v>
      </c>
      <c r="B795" s="63" t="str">
        <f>'RAW DATA 2023'!D675</f>
        <v>E1-032-0036</v>
      </c>
      <c r="C795" s="63" t="str">
        <f t="shared" si="60"/>
        <v>Tamai2E1-032-0036</v>
      </c>
      <c r="D795" s="68">
        <f>VLOOKUP(C795,'RAW DATA 2023'!E:BP,63,0)</f>
        <v>3</v>
      </c>
      <c r="E795" s="68" t="str">
        <f t="shared" si="61"/>
        <v>Tamai23</v>
      </c>
      <c r="F795" s="63" t="str">
        <f>VLOOKUP(C795,'RAW DATA 2023'!E:BO,5,0)</f>
        <v>Outdoor</v>
      </c>
      <c r="G795" s="63" t="s">
        <v>1955</v>
      </c>
      <c r="H795" s="63">
        <f>VLOOKUP(C795,'RAW DATA 2023'!E:BO,2,0)</f>
        <v>5.28</v>
      </c>
      <c r="I795" s="106">
        <f>VLOOKUP(C795,'RAW DATA 2023'!E:BO,22,0)</f>
        <v>7.7127746212121204</v>
      </c>
      <c r="J795" s="72">
        <f t="shared" si="62"/>
        <v>5.7127746212121204</v>
      </c>
      <c r="K795" s="109">
        <f t="shared" si="63"/>
        <v>9.5212910353535349</v>
      </c>
      <c r="L795" s="63">
        <f t="shared" si="64"/>
        <v>6.25</v>
      </c>
      <c r="M795" s="123"/>
    </row>
    <row r="796" spans="1:13" hidden="1">
      <c r="A796" s="63" t="str">
        <f>'RAW DATA 2023'!B695</f>
        <v>Chantaburi3</v>
      </c>
      <c r="B796" s="63" t="str">
        <f>'RAW DATA 2023'!D695</f>
        <v>B1-023-0028</v>
      </c>
      <c r="C796" s="63" t="str">
        <f t="shared" si="60"/>
        <v>Chantaburi3B1-023-0028</v>
      </c>
      <c r="D796" s="68">
        <f>VLOOKUP(C796,'RAW DATA 2023'!E:BP,63,0)</f>
        <v>5</v>
      </c>
      <c r="E796" s="68" t="str">
        <f t="shared" si="61"/>
        <v>Chantaburi35</v>
      </c>
      <c r="F796" s="63" t="str">
        <f>VLOOKUP(C796,'RAW DATA 2023'!E:BO,5,0)</f>
        <v>Outdoor</v>
      </c>
      <c r="G796" s="63" t="s">
        <v>1955</v>
      </c>
      <c r="H796" s="63">
        <f>VLOOKUP(C796,'RAW DATA 2023'!E:BO,2,0)</f>
        <v>2.2999999999999998</v>
      </c>
      <c r="I796" s="106">
        <f>VLOOKUP(C796,'RAW DATA 2023'!E:BO,22,0)</f>
        <v>0</v>
      </c>
      <c r="J796" s="72">
        <f t="shared" si="62"/>
        <v>0</v>
      </c>
      <c r="K796" s="109">
        <f t="shared" si="63"/>
        <v>0</v>
      </c>
      <c r="L796" s="63">
        <f t="shared" si="64"/>
        <v>0</v>
      </c>
      <c r="M796" s="123"/>
    </row>
    <row r="797" spans="1:13" hidden="1">
      <c r="A797" s="63" t="str">
        <f>'RAW DATA 2023'!B722</f>
        <v>Tachalab</v>
      </c>
      <c r="B797" s="63" t="str">
        <f>'RAW DATA 2023'!D722</f>
        <v>B1-025-0014</v>
      </c>
      <c r="C797" s="63" t="str">
        <f t="shared" si="60"/>
        <v>TachalabB1-025-0014</v>
      </c>
      <c r="D797" s="68">
        <f>VLOOKUP(C797,'RAW DATA 2023'!E:BP,63,0)</f>
        <v>2</v>
      </c>
      <c r="E797" s="68" t="str">
        <f t="shared" si="61"/>
        <v>Tachalab2</v>
      </c>
      <c r="F797" s="63" t="str">
        <f>VLOOKUP(C797,'RAW DATA 2023'!E:BO,5,0)</f>
        <v>Outdoor</v>
      </c>
      <c r="G797" s="63" t="s">
        <v>67</v>
      </c>
      <c r="H797" s="63">
        <f>VLOOKUP(C797,'RAW DATA 2023'!E:BO,2,0)</f>
        <v>3.2</v>
      </c>
      <c r="I797" s="106">
        <f>VLOOKUP(C797,'RAW DATA 2023'!E:BO,22,0)</f>
        <v>3.7143124999999997</v>
      </c>
      <c r="J797" s="72">
        <f t="shared" si="62"/>
        <v>0.71431249999999968</v>
      </c>
      <c r="K797" s="109">
        <f t="shared" si="63"/>
        <v>1.1905208333333328</v>
      </c>
      <c r="L797" s="63">
        <f t="shared" si="64"/>
        <v>1.1905208333333328</v>
      </c>
      <c r="M797" s="123"/>
    </row>
    <row r="798" spans="1:13" hidden="1">
      <c r="A798" s="63" t="str">
        <f>'RAW DATA 2023'!B728</f>
        <v>Andaman</v>
      </c>
      <c r="B798" s="63" t="str">
        <f>'RAW DATA 2023'!D728</f>
        <v>A1-009-0047</v>
      </c>
      <c r="C798" s="63" t="str">
        <f t="shared" si="60"/>
        <v>AndamanA1-009-0047</v>
      </c>
      <c r="D798" s="68">
        <f>VLOOKUP(C798,'RAW DATA 2023'!E:BP,63,0)</f>
        <v>8</v>
      </c>
      <c r="E798" s="68" t="str">
        <f t="shared" si="61"/>
        <v>Andaman8</v>
      </c>
      <c r="F798" s="63" t="str">
        <f>VLOOKUP(C798,'RAW DATA 2023'!E:BO,5,0)</f>
        <v>Outdoor</v>
      </c>
      <c r="G798" s="63" t="s">
        <v>67</v>
      </c>
      <c r="H798" s="63">
        <f>VLOOKUP(C798,'RAW DATA 2023'!E:BO,2,0)</f>
        <v>2.5</v>
      </c>
      <c r="I798" s="106">
        <f>VLOOKUP(C798,'RAW DATA 2023'!E:BO,22,0)</f>
        <v>10.411256</v>
      </c>
      <c r="J798" s="72">
        <f t="shared" si="62"/>
        <v>7.4112559999999998</v>
      </c>
      <c r="K798" s="109">
        <f t="shared" si="63"/>
        <v>12.352093333333334</v>
      </c>
      <c r="L798" s="63">
        <f t="shared" si="64"/>
        <v>6.25</v>
      </c>
      <c r="M798" s="123"/>
    </row>
    <row r="799" spans="1:13" hidden="1">
      <c r="A799" s="63" t="str">
        <f>'RAW DATA 2023'!B748</f>
        <v>SR4</v>
      </c>
      <c r="B799" s="63" t="str">
        <f>'RAW DATA 2023'!D748</f>
        <v>G1-053-0008</v>
      </c>
      <c r="C799" s="63" t="str">
        <f t="shared" si="60"/>
        <v>SR4G1-053-0008</v>
      </c>
      <c r="D799" s="68">
        <f>VLOOKUP(C799,'RAW DATA 2023'!E:BP,63,0)</f>
        <v>5</v>
      </c>
      <c r="E799" s="68" t="str">
        <f t="shared" si="61"/>
        <v>SR45</v>
      </c>
      <c r="F799" s="63" t="str">
        <f>VLOOKUP(C799,'RAW DATA 2023'!E:BO,5,0)</f>
        <v>Greenhouse</v>
      </c>
      <c r="G799" s="63" t="s">
        <v>1954</v>
      </c>
      <c r="H799" s="63">
        <f>VLOOKUP(C799,'RAW DATA 2023'!E:BO,2,0)</f>
        <v>2</v>
      </c>
      <c r="I799" s="106">
        <f>VLOOKUP(C799,'RAW DATA 2023'!E:BO,22,0)</f>
        <v>3.7672699999999999</v>
      </c>
      <c r="J799" s="72">
        <f t="shared" si="62"/>
        <v>-0.2327300000000001</v>
      </c>
      <c r="K799" s="109">
        <f t="shared" si="63"/>
        <v>-0.38788333333333352</v>
      </c>
      <c r="L799" s="63">
        <f t="shared" si="64"/>
        <v>0</v>
      </c>
      <c r="M799" s="123"/>
    </row>
    <row r="800" spans="1:13">
      <c r="A800" s="63" t="str">
        <f>'RAW DATA 2023'!B755</f>
        <v>SR4</v>
      </c>
      <c r="B800" s="63" t="str">
        <f>'RAW DATA 2023'!D755</f>
        <v>F1-022-0003</v>
      </c>
      <c r="C800" s="63" t="str">
        <f t="shared" si="60"/>
        <v>SR4F1-022-0003</v>
      </c>
      <c r="D800" s="68">
        <f>VLOOKUP(C800,'RAW DATA 2023'!E:BP,63,0)</f>
        <v>7</v>
      </c>
      <c r="E800" s="68" t="str">
        <f t="shared" si="61"/>
        <v>SR47</v>
      </c>
      <c r="F800" s="63" t="str">
        <f>VLOOKUP(C800,'RAW DATA 2023'!E:BO,5,0)</f>
        <v>Outdoor</v>
      </c>
      <c r="G800" s="63" t="s">
        <v>1951</v>
      </c>
      <c r="H800" s="63">
        <f>VLOOKUP(C800,'RAW DATA 2023'!E:BO,2,0)</f>
        <v>5.5</v>
      </c>
      <c r="I800" s="106">
        <f>VLOOKUP(C800,'RAW DATA 2023'!E:BO,22,0)</f>
        <v>10.681272727272727</v>
      </c>
      <c r="J800" s="72">
        <f t="shared" si="62"/>
        <v>8.6812727272727273</v>
      </c>
      <c r="K800" s="109">
        <f t="shared" si="63"/>
        <v>14.468787878787879</v>
      </c>
      <c r="L800" s="63">
        <f t="shared" si="64"/>
        <v>6.25</v>
      </c>
      <c r="M800" s="123"/>
    </row>
    <row r="801" spans="1:13">
      <c r="A801" s="63" t="str">
        <f>'RAW DATA 2023'!B756</f>
        <v>SR4</v>
      </c>
      <c r="B801" s="63" t="str">
        <f>'RAW DATA 2023'!D756</f>
        <v>B1-066-0008</v>
      </c>
      <c r="C801" s="63" t="str">
        <f t="shared" si="60"/>
        <v>SR4B1-066-0008</v>
      </c>
      <c r="D801" s="68">
        <f>VLOOKUP(C801,'RAW DATA 2023'!E:BP,63,0)</f>
        <v>7</v>
      </c>
      <c r="E801" s="68" t="str">
        <f t="shared" si="61"/>
        <v>SR47</v>
      </c>
      <c r="F801" s="63" t="str">
        <f>VLOOKUP(C801,'RAW DATA 2023'!E:BO,5,0)</f>
        <v>Outdoor</v>
      </c>
      <c r="G801" s="63" t="s">
        <v>1951</v>
      </c>
      <c r="H801" s="63">
        <f>VLOOKUP(C801,'RAW DATA 2023'!E:BO,2,0)</f>
        <v>1.85</v>
      </c>
      <c r="I801" s="106">
        <f>VLOOKUP(C801,'RAW DATA 2023'!E:BO,22,0)</f>
        <v>5.0588918918918919</v>
      </c>
      <c r="J801" s="72">
        <f t="shared" si="62"/>
        <v>-0.94110810810810808</v>
      </c>
      <c r="K801" s="109">
        <f t="shared" si="63"/>
        <v>-1.5685135135135135</v>
      </c>
      <c r="L801" s="63">
        <f t="shared" si="64"/>
        <v>0</v>
      </c>
      <c r="M801" s="123"/>
    </row>
    <row r="802" spans="1:13">
      <c r="A802" s="63" t="str">
        <f>'RAW DATA 2023'!B758</f>
        <v>SR4</v>
      </c>
      <c r="B802" s="63" t="str">
        <f>'RAW DATA 2023'!D758</f>
        <v>B1-068-0003</v>
      </c>
      <c r="C802" s="63" t="str">
        <f t="shared" si="60"/>
        <v>SR4B1-068-0003</v>
      </c>
      <c r="D802" s="68">
        <f>VLOOKUP(C802,'RAW DATA 2023'!E:BP,63,0)</f>
        <v>6</v>
      </c>
      <c r="E802" s="68" t="str">
        <f t="shared" si="61"/>
        <v>SR46</v>
      </c>
      <c r="F802" s="63" t="str">
        <f>VLOOKUP(C802,'RAW DATA 2023'!E:BO,5,0)</f>
        <v>Outdoor</v>
      </c>
      <c r="G802" s="63" t="s">
        <v>1951</v>
      </c>
      <c r="H802" s="63">
        <f>VLOOKUP(C802,'RAW DATA 2023'!E:BO,2,0)</f>
        <v>1.85</v>
      </c>
      <c r="I802" s="106">
        <f>VLOOKUP(C802,'RAW DATA 2023'!E:BO,22,0)</f>
        <v>6.2679351351351347</v>
      </c>
      <c r="J802" s="72">
        <f t="shared" si="62"/>
        <v>0.26793513513513467</v>
      </c>
      <c r="K802" s="109">
        <f t="shared" si="63"/>
        <v>0.44655855855855781</v>
      </c>
      <c r="L802" s="63">
        <f t="shared" si="64"/>
        <v>0.44655855855855781</v>
      </c>
      <c r="M802" s="123"/>
    </row>
    <row r="803" spans="1:13">
      <c r="A803" s="63" t="str">
        <f>'RAW DATA 2023'!B759</f>
        <v>SR4</v>
      </c>
      <c r="B803" s="63" t="str">
        <f>'RAW DATA 2023'!D759</f>
        <v>B1-065-0002</v>
      </c>
      <c r="C803" s="63" t="str">
        <f t="shared" si="60"/>
        <v>SR4B1-065-0002</v>
      </c>
      <c r="D803" s="68">
        <f>VLOOKUP(C803,'RAW DATA 2023'!E:BP,63,0)</f>
        <v>6</v>
      </c>
      <c r="E803" s="68" t="str">
        <f t="shared" si="61"/>
        <v>SR46</v>
      </c>
      <c r="F803" s="63" t="str">
        <f>VLOOKUP(C803,'RAW DATA 2023'!E:BO,5,0)</f>
        <v>Outdoor</v>
      </c>
      <c r="G803" s="63" t="s">
        <v>1951</v>
      </c>
      <c r="H803" s="63">
        <f>VLOOKUP(C803,'RAW DATA 2023'!E:BO,2,0)</f>
        <v>1.85</v>
      </c>
      <c r="I803" s="106">
        <f>VLOOKUP(C803,'RAW DATA 2023'!E:BO,22,0)</f>
        <v>6.9062324324324322</v>
      </c>
      <c r="J803" s="72">
        <f t="shared" si="62"/>
        <v>0.90623243243243223</v>
      </c>
      <c r="K803" s="109">
        <f t="shared" si="63"/>
        <v>1.5103873873873872</v>
      </c>
      <c r="L803" s="63">
        <f t="shared" si="64"/>
        <v>1.5103873873873872</v>
      </c>
      <c r="M803" s="123"/>
    </row>
    <row r="804" spans="1:13" hidden="1">
      <c r="A804" s="63" t="str">
        <f>'RAW DATA 2023'!B763</f>
        <v>SR4</v>
      </c>
      <c r="B804" s="63" t="str">
        <f>'RAW DATA 2023'!D763</f>
        <v>B1-066-0009</v>
      </c>
      <c r="C804" s="63" t="str">
        <f t="shared" si="60"/>
        <v>SR4B1-066-0009</v>
      </c>
      <c r="D804" s="68">
        <f>VLOOKUP(C804,'RAW DATA 2023'!E:BP,63,0)</f>
        <v>10</v>
      </c>
      <c r="E804" s="68" t="str">
        <f t="shared" si="61"/>
        <v>SR410</v>
      </c>
      <c r="F804" s="63" t="str">
        <f>VLOOKUP(C804,'RAW DATA 2023'!E:BO,5,0)</f>
        <v>Outdoor</v>
      </c>
      <c r="G804" s="63" t="s">
        <v>1954</v>
      </c>
      <c r="H804" s="63">
        <f>VLOOKUP(C804,'RAW DATA 2023'!E:BO,2,0)</f>
        <v>1.85</v>
      </c>
      <c r="I804" s="106">
        <f>VLOOKUP(C804,'RAW DATA 2023'!E:BO,22,0)</f>
        <v>5.3114756756756751</v>
      </c>
      <c r="J804" s="72">
        <f t="shared" si="62"/>
        <v>-0.68852432432432487</v>
      </c>
      <c r="K804" s="109">
        <f t="shared" si="63"/>
        <v>-1.1475405405405414</v>
      </c>
      <c r="L804" s="63">
        <f t="shared" si="64"/>
        <v>0</v>
      </c>
      <c r="M804" s="123"/>
    </row>
    <row r="805" spans="1:13" hidden="1">
      <c r="A805" s="63" t="str">
        <f>'RAW DATA 2023'!B773</f>
        <v>Kanchanadit</v>
      </c>
      <c r="B805" s="63" t="str">
        <f>'RAW DATA 2023'!D773</f>
        <v>C1-047-0008</v>
      </c>
      <c r="C805" s="63" t="str">
        <f t="shared" si="60"/>
        <v>KanchanaditC1-047-0008</v>
      </c>
      <c r="D805" s="68">
        <f>VLOOKUP(C805,'RAW DATA 2023'!E:BP,63,0)</f>
        <v>11</v>
      </c>
      <c r="E805" s="68" t="str">
        <f t="shared" si="61"/>
        <v>Kanchanadit11</v>
      </c>
      <c r="F805" s="63" t="str">
        <f>VLOOKUP(C805,'RAW DATA 2023'!E:BO,5,0)</f>
        <v>Outdoor</v>
      </c>
      <c r="G805" s="63" t="s">
        <v>67</v>
      </c>
      <c r="H805" s="63">
        <f>VLOOKUP(C805,'RAW DATA 2023'!E:BO,2,0)</f>
        <v>1.53</v>
      </c>
      <c r="I805" s="106">
        <f>VLOOKUP(C805,'RAW DATA 2023'!E:BO,22,0)</f>
        <v>6.2414967320261443</v>
      </c>
      <c r="J805" s="72">
        <f t="shared" si="62"/>
        <v>0.2414967320261443</v>
      </c>
      <c r="K805" s="109">
        <f t="shared" si="63"/>
        <v>0.4024945533769072</v>
      </c>
      <c r="L805" s="63">
        <f t="shared" si="64"/>
        <v>0.4024945533769072</v>
      </c>
      <c r="M805" s="123"/>
    </row>
    <row r="806" spans="1:13" hidden="1">
      <c r="A806" s="63" t="str">
        <f>'RAW DATA 2023'!B775</f>
        <v>Kanchanadit</v>
      </c>
      <c r="B806" s="63" t="str">
        <f>'RAW DATA 2023'!D775</f>
        <v>D1-049-0012</v>
      </c>
      <c r="C806" s="63" t="str">
        <f t="shared" si="60"/>
        <v>KanchanaditD1-049-0012</v>
      </c>
      <c r="D806" s="68">
        <f>VLOOKUP(C806,'RAW DATA 2023'!E:BP,63,0)</f>
        <v>12</v>
      </c>
      <c r="E806" s="68" t="str">
        <f t="shared" si="61"/>
        <v>Kanchanadit12</v>
      </c>
      <c r="F806" s="63" t="str">
        <f>VLOOKUP(C806,'RAW DATA 2023'!E:BO,5,0)</f>
        <v>Outdoor</v>
      </c>
      <c r="G806" s="63" t="s">
        <v>67</v>
      </c>
      <c r="H806" s="63">
        <f>VLOOKUP(C806,'RAW DATA 2023'!E:BO,2,0)</f>
        <v>2</v>
      </c>
      <c r="I806" s="106">
        <f>VLOOKUP(C806,'RAW DATA 2023'!E:BO,22,0)</f>
        <v>8.646255</v>
      </c>
      <c r="J806" s="72">
        <f t="shared" si="62"/>
        <v>2.646255</v>
      </c>
      <c r="K806" s="109">
        <f t="shared" si="63"/>
        <v>4.410425</v>
      </c>
      <c r="L806" s="63">
        <f t="shared" si="64"/>
        <v>4.410425</v>
      </c>
      <c r="M806" s="123"/>
    </row>
    <row r="807" spans="1:13" hidden="1">
      <c r="A807" s="63" t="str">
        <f>'RAW DATA 2023'!B793</f>
        <v>Kanchanadit</v>
      </c>
      <c r="B807" s="63" t="str">
        <f>'RAW DATA 2023'!D793</f>
        <v>D1-051-0005</v>
      </c>
      <c r="C807" s="63" t="str">
        <f t="shared" si="60"/>
        <v>KanchanaditD1-051-0005</v>
      </c>
      <c r="D807" s="68">
        <f>VLOOKUP(C807,'RAW DATA 2023'!E:BP,63,0)</f>
        <v>1</v>
      </c>
      <c r="E807" s="68" t="str">
        <f t="shared" si="61"/>
        <v>Kanchanadit1</v>
      </c>
      <c r="F807" s="63" t="str">
        <f>VLOOKUP(C807,'RAW DATA 2023'!E:BO,5,0)</f>
        <v>Outdoor</v>
      </c>
      <c r="G807" s="63" t="s">
        <v>1955</v>
      </c>
      <c r="H807" s="63">
        <f>VLOOKUP(C807,'RAW DATA 2023'!E:BO,2,0)</f>
        <v>2</v>
      </c>
      <c r="I807" s="106">
        <f>VLOOKUP(C807,'RAW DATA 2023'!E:BO,22,0)</f>
        <v>3.1565400000000001</v>
      </c>
      <c r="J807" s="72">
        <f t="shared" si="62"/>
        <v>-2.8434599999999999</v>
      </c>
      <c r="K807" s="109">
        <f t="shared" si="63"/>
        <v>-4.7390999999999996</v>
      </c>
      <c r="L807" s="63">
        <f t="shared" si="64"/>
        <v>0</v>
      </c>
      <c r="M807" s="123"/>
    </row>
    <row r="808" spans="1:13" hidden="1">
      <c r="A808" s="63" t="str">
        <f>'RAW DATA 2023'!B814</f>
        <v>Pakpanang1</v>
      </c>
      <c r="B808" s="63" t="str">
        <f>'RAW DATA 2023'!D814</f>
        <v>A1-004-0020</v>
      </c>
      <c r="C808" s="63" t="str">
        <f t="shared" si="60"/>
        <v>Pakpanang1A1-004-0020</v>
      </c>
      <c r="D808" s="68">
        <f>VLOOKUP(C808,'RAW DATA 2023'!E:BP,63,0)</f>
        <v>11</v>
      </c>
      <c r="E808" s="68" t="str">
        <f t="shared" si="61"/>
        <v>Pakpanang111</v>
      </c>
      <c r="F808" s="63" t="str">
        <f>VLOOKUP(C808,'RAW DATA 2023'!E:BO,5,0)</f>
        <v>Outdoor</v>
      </c>
      <c r="G808" s="63" t="s">
        <v>1955</v>
      </c>
      <c r="H808" s="63">
        <f>VLOOKUP(C808,'RAW DATA 2023'!E:BO,2,0)</f>
        <v>5.6</v>
      </c>
      <c r="I808" s="106">
        <f>VLOOKUP(C808,'RAW DATA 2023'!E:BO,22,0)</f>
        <v>3.8115500000000004</v>
      </c>
      <c r="J808" s="72">
        <f t="shared" si="62"/>
        <v>1.8115500000000004</v>
      </c>
      <c r="K808" s="109">
        <f t="shared" si="63"/>
        <v>3.0192500000000009</v>
      </c>
      <c r="L808" s="63">
        <f t="shared" si="64"/>
        <v>3.0192500000000009</v>
      </c>
      <c r="M808" s="123"/>
    </row>
    <row r="809" spans="1:13" hidden="1">
      <c r="A809" s="63" t="str">
        <f>'RAW DATA 2023'!B47</f>
        <v>Petchburi5</v>
      </c>
      <c r="B809" s="63" t="str">
        <f>'RAW DATA 2023'!D47</f>
        <v>B1-125-0008</v>
      </c>
      <c r="C809" s="63" t="str">
        <f t="shared" si="60"/>
        <v>Petchburi5B1-125-0008</v>
      </c>
      <c r="D809" s="68">
        <f>VLOOKUP(C809,'RAW DATA 2023'!E:BP,63,0)</f>
        <v>6</v>
      </c>
      <c r="E809" s="68" t="str">
        <f t="shared" si="61"/>
        <v>Petchburi56</v>
      </c>
      <c r="F809" s="63" t="str">
        <f>VLOOKUP(C809,'RAW DATA 2023'!E:BO,5,0)</f>
        <v>Outdoor</v>
      </c>
      <c r="G809" s="63" t="s">
        <v>67</v>
      </c>
      <c r="H809" s="63">
        <f>VLOOKUP(C809,'RAW DATA 2023'!E:BO,2,0)</f>
        <v>1.5</v>
      </c>
      <c r="I809" s="106">
        <f>VLOOKUP(C809,'RAW DATA 2023'!E:BO,22,0)</f>
        <v>13.083980000000002</v>
      </c>
      <c r="J809" s="72">
        <f t="shared" si="62"/>
        <v>7.0839800000000022</v>
      </c>
      <c r="K809" s="109">
        <f t="shared" si="63"/>
        <v>11.806633333333338</v>
      </c>
      <c r="L809" s="63">
        <f t="shared" si="64"/>
        <v>6.25</v>
      </c>
      <c r="M809" s="123"/>
    </row>
    <row r="810" spans="1:13" hidden="1">
      <c r="A810" s="63" t="str">
        <f>'RAW DATA 2023'!B70</f>
        <v>Petchburi5</v>
      </c>
      <c r="B810" s="63" t="str">
        <f>'RAW DATA 2023'!D70</f>
        <v>AG-002-0012</v>
      </c>
      <c r="C810" s="63" t="str">
        <f t="shared" si="60"/>
        <v>Petchburi5AG-002-0012</v>
      </c>
      <c r="D810" s="68">
        <f>VLOOKUP(C810,'RAW DATA 2023'!E:BP,63,0)</f>
        <v>4</v>
      </c>
      <c r="E810" s="68" t="str">
        <f t="shared" si="61"/>
        <v>Petchburi54</v>
      </c>
      <c r="F810" s="63" t="str">
        <f>VLOOKUP(C810,'RAW DATA 2023'!E:BO,5,0)</f>
        <v>Greenhouse</v>
      </c>
      <c r="G810" s="63" t="s">
        <v>1954</v>
      </c>
      <c r="H810" s="63">
        <f>VLOOKUP(C810,'RAW DATA 2023'!E:BO,2,0)</f>
        <v>1.5</v>
      </c>
      <c r="I810" s="106">
        <f>VLOOKUP(C810,'RAW DATA 2023'!E:BO,22,0)</f>
        <v>12.428493333333334</v>
      </c>
      <c r="J810" s="72">
        <f t="shared" si="62"/>
        <v>8.4284933333333338</v>
      </c>
      <c r="K810" s="109">
        <f t="shared" si="63"/>
        <v>14.047488888888891</v>
      </c>
      <c r="L810" s="63">
        <f t="shared" si="64"/>
        <v>6.25</v>
      </c>
      <c r="M810" s="123"/>
    </row>
    <row r="811" spans="1:13" hidden="1">
      <c r="A811" s="63" t="str">
        <f>'RAW DATA 2023'!B114</f>
        <v>Roiphet1</v>
      </c>
      <c r="B811" s="63" t="str">
        <f>'RAW DATA 2023'!D114</f>
        <v>D5-I09-0082</v>
      </c>
      <c r="C811" s="63" t="str">
        <f t="shared" si="60"/>
        <v>Roiphet1D5-I09-0082</v>
      </c>
      <c r="D811" s="68">
        <f>VLOOKUP(C811,'RAW DATA 2023'!E:BP,63,0)</f>
        <v>5</v>
      </c>
      <c r="E811" s="68" t="str">
        <f t="shared" si="61"/>
        <v>Roiphet15</v>
      </c>
      <c r="F811" s="63" t="str">
        <f>VLOOKUP(C811,'RAW DATA 2023'!E:BO,5,0)</f>
        <v>Greenhouse</v>
      </c>
      <c r="G811" s="63" t="s">
        <v>1955</v>
      </c>
      <c r="H811" s="63">
        <f>VLOOKUP(C811,'RAW DATA 2023'!E:BO,2,0)</f>
        <v>0.72</v>
      </c>
      <c r="I811" s="106">
        <f>VLOOKUP(C811,'RAW DATA 2023'!E:BO,22,0)</f>
        <v>6.8775694444444451</v>
      </c>
      <c r="J811" s="72">
        <f t="shared" si="62"/>
        <v>2.8775694444444451</v>
      </c>
      <c r="K811" s="109">
        <f t="shared" si="63"/>
        <v>4.7959490740740751</v>
      </c>
      <c r="L811" s="63">
        <f t="shared" si="64"/>
        <v>4.7959490740740751</v>
      </c>
      <c r="M811" s="123"/>
    </row>
    <row r="812" spans="1:13" hidden="1">
      <c r="A812" s="63" t="str">
        <f>'RAW DATA 2023'!B218</f>
        <v>Roiphet1</v>
      </c>
      <c r="B812" s="63" t="str">
        <f>'RAW DATA 2023'!D218</f>
        <v>C5-I10-0066</v>
      </c>
      <c r="C812" s="63" t="str">
        <f t="shared" si="60"/>
        <v>Roiphet1C5-I10-0066</v>
      </c>
      <c r="D812" s="68">
        <f>VLOOKUP(C812,'RAW DATA 2023'!E:BP,63,0)</f>
        <v>10</v>
      </c>
      <c r="E812" s="68" t="str">
        <f t="shared" si="61"/>
        <v>Roiphet110</v>
      </c>
      <c r="F812" s="63" t="str">
        <f>VLOOKUP(C812,'RAW DATA 2023'!E:BO,5,0)</f>
        <v>Greenhouse</v>
      </c>
      <c r="G812" s="63" t="s">
        <v>1955</v>
      </c>
      <c r="H812" s="63">
        <f>VLOOKUP(C812,'RAW DATA 2023'!E:BO,2,0)</f>
        <v>0.72</v>
      </c>
      <c r="I812" s="106">
        <f>VLOOKUP(C812,'RAW DATA 2023'!E:BO,22,0)</f>
        <v>6.082416666666667</v>
      </c>
      <c r="J812" s="72">
        <f t="shared" si="62"/>
        <v>2.082416666666667</v>
      </c>
      <c r="K812" s="109">
        <f t="shared" si="63"/>
        <v>3.4706944444444452</v>
      </c>
      <c r="L812" s="63">
        <f t="shared" si="64"/>
        <v>3.4706944444444452</v>
      </c>
      <c r="M812" s="123"/>
    </row>
    <row r="813" spans="1:13">
      <c r="A813" s="63" t="str">
        <f>'RAW DATA 2023'!B358</f>
        <v>Maeklong1</v>
      </c>
      <c r="B813" s="63" t="str">
        <f>'RAW DATA 2023'!D358</f>
        <v>A1-002-0033</v>
      </c>
      <c r="C813" s="63" t="str">
        <f t="shared" si="60"/>
        <v>Maeklong1A1-002-0033</v>
      </c>
      <c r="D813" s="68">
        <f>VLOOKUP(C813,'RAW DATA 2023'!E:BP,63,0)</f>
        <v>2</v>
      </c>
      <c r="E813" s="68" t="str">
        <f t="shared" si="61"/>
        <v>Maeklong12</v>
      </c>
      <c r="F813" s="63" t="str">
        <f>VLOOKUP(C813,'RAW DATA 2023'!E:BO,5,0)</f>
        <v>Outdoor</v>
      </c>
      <c r="G813" s="63" t="s">
        <v>1951</v>
      </c>
      <c r="H813" s="63">
        <f>VLOOKUP(C813,'RAW DATA 2023'!E:BO,2,0)</f>
        <v>3.61</v>
      </c>
      <c r="I813" s="106">
        <f>VLOOKUP(C813,'RAW DATA 2023'!E:BO,22,0)</f>
        <v>3.7685152354570639</v>
      </c>
      <c r="J813" s="72">
        <f t="shared" si="62"/>
        <v>0.76851523545706391</v>
      </c>
      <c r="K813" s="109">
        <f t="shared" si="63"/>
        <v>1.2808587257617732</v>
      </c>
      <c r="L813" s="63">
        <f t="shared" si="64"/>
        <v>1.2808587257617732</v>
      </c>
      <c r="M813" s="123"/>
    </row>
    <row r="814" spans="1:13" hidden="1">
      <c r="A814" s="63" t="str">
        <f>'RAW DATA 2023'!B396</f>
        <v>Lamlaung</v>
      </c>
      <c r="B814" s="63" t="str">
        <f>'RAW DATA 2023'!D396</f>
        <v>A1-005-0008</v>
      </c>
      <c r="C814" s="63" t="str">
        <f t="shared" si="60"/>
        <v>LamlaungA1-005-0008</v>
      </c>
      <c r="D814" s="68">
        <f>VLOOKUP(C814,'RAW DATA 2023'!E:BP,63,0)</f>
        <v>9</v>
      </c>
      <c r="E814" s="68" t="str">
        <f t="shared" si="61"/>
        <v>Lamlaung9</v>
      </c>
      <c r="F814" s="63" t="str">
        <f>VLOOKUP(C814,'RAW DATA 2023'!E:BO,5,0)</f>
        <v>Outdoor</v>
      </c>
      <c r="G814" s="63" t="s">
        <v>1955</v>
      </c>
      <c r="H814" s="63">
        <f>VLOOKUP(C814,'RAW DATA 2023'!E:BO,2,0)</f>
        <v>5</v>
      </c>
      <c r="I814" s="106">
        <f>VLOOKUP(C814,'RAW DATA 2023'!E:BO,22,0)</f>
        <v>12.5245</v>
      </c>
      <c r="J814" s="72">
        <f t="shared" si="62"/>
        <v>10.5245</v>
      </c>
      <c r="K814" s="109">
        <f t="shared" si="63"/>
        <v>17.540833333333335</v>
      </c>
      <c r="L814" s="63">
        <f t="shared" si="64"/>
        <v>6.25</v>
      </c>
      <c r="M814" s="123"/>
    </row>
    <row r="815" spans="1:13" hidden="1">
      <c r="A815" s="63" t="str">
        <f>'RAW DATA 2023'!B580</f>
        <v>Laemsing</v>
      </c>
      <c r="B815" s="63" t="str">
        <f>'RAW DATA 2023'!D580</f>
        <v>A1-025-0013</v>
      </c>
      <c r="C815" s="63" t="str">
        <f t="shared" si="60"/>
        <v>LaemsingA1-025-0013</v>
      </c>
      <c r="D815" s="68">
        <f>VLOOKUP(C815,'RAW DATA 2023'!E:BP,63,0)</f>
        <v>4</v>
      </c>
      <c r="E815" s="68" t="str">
        <f t="shared" si="61"/>
        <v>Laemsing4</v>
      </c>
      <c r="F815" s="63" t="str">
        <f>VLOOKUP(C815,'RAW DATA 2023'!E:BO,5,0)</f>
        <v>Outdoor</v>
      </c>
      <c r="G815" s="63" t="s">
        <v>67</v>
      </c>
      <c r="H815" s="63">
        <f>VLOOKUP(C815,'RAW DATA 2023'!E:BO,2,0)</f>
        <v>2.5</v>
      </c>
      <c r="I815" s="106">
        <f>VLOOKUP(C815,'RAW DATA 2023'!E:BO,22,0)</f>
        <v>10.032272000000001</v>
      </c>
      <c r="J815" s="72">
        <f t="shared" si="62"/>
        <v>7.0322720000000007</v>
      </c>
      <c r="K815" s="109">
        <f t="shared" si="63"/>
        <v>11.720453333333335</v>
      </c>
      <c r="L815" s="63">
        <f t="shared" si="64"/>
        <v>6.25</v>
      </c>
      <c r="M815" s="123"/>
    </row>
    <row r="816" spans="1:13" hidden="1">
      <c r="A816" s="63" t="str">
        <f>'RAW DATA 2023'!B583</f>
        <v>Laemsing</v>
      </c>
      <c r="B816" s="63" t="str">
        <f>'RAW DATA 2023'!D583</f>
        <v>A1-018-0025</v>
      </c>
      <c r="C816" s="63" t="str">
        <f t="shared" si="60"/>
        <v>LaemsingA1-018-0025</v>
      </c>
      <c r="D816" s="68">
        <f>VLOOKUP(C816,'RAW DATA 2023'!E:BP,63,0)</f>
        <v>1</v>
      </c>
      <c r="E816" s="68" t="str">
        <f t="shared" si="61"/>
        <v>Laemsing1</v>
      </c>
      <c r="F816" s="63" t="str">
        <f>VLOOKUP(C816,'RAW DATA 2023'!E:BO,5,0)</f>
        <v>Outdoor</v>
      </c>
      <c r="G816" s="63" t="s">
        <v>67</v>
      </c>
      <c r="H816" s="63">
        <f>VLOOKUP(C816,'RAW DATA 2023'!E:BO,2,0)</f>
        <v>2</v>
      </c>
      <c r="I816" s="106">
        <f>VLOOKUP(C816,'RAW DATA 2023'!E:BO,22,0)</f>
        <v>0</v>
      </c>
      <c r="J816" s="72">
        <f t="shared" si="62"/>
        <v>0</v>
      </c>
      <c r="K816" s="109">
        <f t="shared" si="63"/>
        <v>0</v>
      </c>
      <c r="L816" s="63">
        <f t="shared" si="64"/>
        <v>0</v>
      </c>
      <c r="M816" s="123"/>
    </row>
    <row r="817" spans="1:13" hidden="1">
      <c r="A817" s="63" t="str">
        <f>'RAW DATA 2023'!B584</f>
        <v>Laemsing</v>
      </c>
      <c r="B817" s="63" t="str">
        <f>'RAW DATA 2023'!D584</f>
        <v>B1-028-0014</v>
      </c>
      <c r="C817" s="63" t="str">
        <f t="shared" si="60"/>
        <v>LaemsingB1-028-0014</v>
      </c>
      <c r="D817" s="68">
        <f>VLOOKUP(C817,'RAW DATA 2023'!E:BP,63,0)</f>
        <v>6</v>
      </c>
      <c r="E817" s="68" t="str">
        <f t="shared" si="61"/>
        <v>Laemsing6</v>
      </c>
      <c r="F817" s="63" t="str">
        <f>VLOOKUP(C817,'RAW DATA 2023'!E:BO,5,0)</f>
        <v>Outdoor</v>
      </c>
      <c r="G817" s="63" t="s">
        <v>67</v>
      </c>
      <c r="H817" s="63">
        <f>VLOOKUP(C817,'RAW DATA 2023'!E:BO,2,0)</f>
        <v>2.1</v>
      </c>
      <c r="I817" s="106">
        <f>VLOOKUP(C817,'RAW DATA 2023'!E:BO,22,0)</f>
        <v>13.080071428571429</v>
      </c>
      <c r="J817" s="72">
        <f t="shared" si="62"/>
        <v>10.080071428571429</v>
      </c>
      <c r="K817" s="109">
        <f t="shared" si="63"/>
        <v>16.800119047619049</v>
      </c>
      <c r="L817" s="63">
        <f t="shared" si="64"/>
        <v>6.25</v>
      </c>
      <c r="M817" s="123"/>
    </row>
    <row r="818" spans="1:13" hidden="1">
      <c r="A818" s="63" t="str">
        <f>'RAW DATA 2023'!B601</f>
        <v>Lucky1</v>
      </c>
      <c r="B818" s="63" t="str">
        <f>'RAW DATA 2023'!D601</f>
        <v>BG-026-0013</v>
      </c>
      <c r="C818" s="63" t="str">
        <f t="shared" si="60"/>
        <v>Lucky1BG-026-0013</v>
      </c>
      <c r="D818" s="68">
        <f>VLOOKUP(C818,'RAW DATA 2023'!E:BP,63,0)</f>
        <v>8</v>
      </c>
      <c r="E818" s="68" t="str">
        <f t="shared" si="61"/>
        <v>Lucky18</v>
      </c>
      <c r="F818" s="63" t="str">
        <f>VLOOKUP(C818,'RAW DATA 2023'!E:BO,5,0)</f>
        <v>Greenhouse</v>
      </c>
      <c r="G818" s="63" t="s">
        <v>67</v>
      </c>
      <c r="H818" s="63">
        <f>VLOOKUP(C818,'RAW DATA 2023'!E:BO,2,0)</f>
        <v>2.1</v>
      </c>
      <c r="I818" s="106">
        <f>VLOOKUP(C818,'RAW DATA 2023'!E:BO,22,0)</f>
        <v>3.9348047619047617</v>
      </c>
      <c r="J818" s="72">
        <f t="shared" si="62"/>
        <v>-6.5195238095238306E-2</v>
      </c>
      <c r="K818" s="109">
        <f t="shared" si="63"/>
        <v>-0.10865873015873051</v>
      </c>
      <c r="L818" s="63">
        <f t="shared" si="64"/>
        <v>0</v>
      </c>
      <c r="M818" s="123"/>
    </row>
    <row r="819" spans="1:13" hidden="1">
      <c r="A819" s="63" t="str">
        <f>'RAW DATA 2023'!B602</f>
        <v>Lucky1</v>
      </c>
      <c r="B819" s="63" t="str">
        <f>'RAW DATA 2023'!D602</f>
        <v>BG-025-0009</v>
      </c>
      <c r="C819" s="63" t="str">
        <f t="shared" si="60"/>
        <v>Lucky1BG-025-0009</v>
      </c>
      <c r="D819" s="68">
        <f>VLOOKUP(C819,'RAW DATA 2023'!E:BP,63,0)</f>
        <v>2</v>
      </c>
      <c r="E819" s="68" t="str">
        <f t="shared" si="61"/>
        <v>Lucky12</v>
      </c>
      <c r="F819" s="63" t="str">
        <f>VLOOKUP(C819,'RAW DATA 2023'!E:BO,5,0)</f>
        <v>Greenhouse</v>
      </c>
      <c r="G819" s="63" t="s">
        <v>67</v>
      </c>
      <c r="H819" s="63">
        <f>VLOOKUP(C819,'RAW DATA 2023'!E:BO,2,0)</f>
        <v>2.1</v>
      </c>
      <c r="I819" s="106">
        <f>VLOOKUP(C819,'RAW DATA 2023'!E:BO,22,0)</f>
        <v>4.1755095238095237</v>
      </c>
      <c r="J819" s="72">
        <f t="shared" si="62"/>
        <v>0.17550952380952367</v>
      </c>
      <c r="K819" s="109">
        <f t="shared" si="63"/>
        <v>0.29251587301587278</v>
      </c>
      <c r="L819" s="63">
        <f t="shared" si="64"/>
        <v>0.29251587301587278</v>
      </c>
      <c r="M819" s="123"/>
    </row>
    <row r="820" spans="1:13" hidden="1">
      <c r="A820" s="63" t="str">
        <f>'RAW DATA 2023'!B608</f>
        <v>Lucky1</v>
      </c>
      <c r="B820" s="63" t="str">
        <f>'RAW DATA 2023'!D608</f>
        <v>B1-017-0013</v>
      </c>
      <c r="C820" s="63" t="str">
        <f t="shared" si="60"/>
        <v>Lucky1B1-017-0013</v>
      </c>
      <c r="D820" s="68">
        <f>VLOOKUP(C820,'RAW DATA 2023'!E:BP,63,0)</f>
        <v>5</v>
      </c>
      <c r="E820" s="68" t="str">
        <f t="shared" si="61"/>
        <v>Lucky15</v>
      </c>
      <c r="F820" s="63" t="str">
        <f>VLOOKUP(C820,'RAW DATA 2023'!E:BO,5,0)</f>
        <v>Outdoor</v>
      </c>
      <c r="G820" s="63" t="s">
        <v>67</v>
      </c>
      <c r="H820" s="63">
        <f>VLOOKUP(C820,'RAW DATA 2023'!E:BO,2,0)</f>
        <v>2.1</v>
      </c>
      <c r="I820" s="106">
        <f>VLOOKUP(C820,'RAW DATA 2023'!E:BO,22,0)</f>
        <v>7.9766904761904751</v>
      </c>
      <c r="J820" s="72">
        <f t="shared" si="62"/>
        <v>4.9766904761904751</v>
      </c>
      <c r="K820" s="109">
        <f t="shared" si="63"/>
        <v>8.2944841269841252</v>
      </c>
      <c r="L820" s="63">
        <f t="shared" si="64"/>
        <v>6.25</v>
      </c>
      <c r="M820" s="123"/>
    </row>
    <row r="821" spans="1:13" hidden="1">
      <c r="A821" s="63" t="str">
        <f>'RAW DATA 2023'!B774</f>
        <v>Kanchanadit</v>
      </c>
      <c r="B821" s="63" t="str">
        <f>'RAW DATA 2023'!D774</f>
        <v>D1-050-0013</v>
      </c>
      <c r="C821" s="63" t="str">
        <f t="shared" si="60"/>
        <v>KanchanaditD1-050-0013</v>
      </c>
      <c r="D821" s="68">
        <f>VLOOKUP(C821,'RAW DATA 2023'!E:BP,63,0)</f>
        <v>8</v>
      </c>
      <c r="E821" s="68" t="str">
        <f t="shared" si="61"/>
        <v>Kanchanadit8</v>
      </c>
      <c r="F821" s="63" t="str">
        <f>VLOOKUP(C821,'RAW DATA 2023'!E:BO,5,0)</f>
        <v>Outdoor</v>
      </c>
      <c r="G821" s="63" t="s">
        <v>67</v>
      </c>
      <c r="H821" s="63">
        <f>VLOOKUP(C821,'RAW DATA 2023'!E:BO,2,0)</f>
        <v>2</v>
      </c>
      <c r="I821" s="106">
        <f>VLOOKUP(C821,'RAW DATA 2023'!E:BO,22,0)</f>
        <v>10.825014999999999</v>
      </c>
      <c r="J821" s="72">
        <f t="shared" si="62"/>
        <v>4.8250149999999987</v>
      </c>
      <c r="K821" s="109">
        <f t="shared" si="63"/>
        <v>8.0416916666666651</v>
      </c>
      <c r="L821" s="63">
        <f t="shared" si="64"/>
        <v>6.25</v>
      </c>
      <c r="M821" s="123"/>
    </row>
    <row r="822" spans="1:13">
      <c r="D822" s="68"/>
      <c r="E822" s="68"/>
      <c r="J822" s="72"/>
      <c r="K822" s="109"/>
      <c r="M822" s="123"/>
    </row>
    <row r="823" spans="1:13">
      <c r="D823" s="68"/>
      <c r="E823" s="68"/>
      <c r="F823" s="111"/>
      <c r="G823" s="111"/>
      <c r="J823" s="72"/>
      <c r="K823" s="109"/>
      <c r="M823" s="123"/>
    </row>
    <row r="824" spans="1:13">
      <c r="D824" s="68"/>
      <c r="E824" s="68"/>
      <c r="F824" s="111"/>
      <c r="G824" s="111"/>
      <c r="J824" s="72"/>
      <c r="K824" s="109"/>
      <c r="M824" s="123"/>
    </row>
    <row r="825" spans="1:13">
      <c r="D825" s="68"/>
      <c r="E825" s="68"/>
      <c r="J825" s="72"/>
      <c r="K825" s="109"/>
      <c r="M825" s="123"/>
    </row>
    <row r="826" spans="1:13">
      <c r="D826" s="68"/>
      <c r="E826" s="68"/>
      <c r="J826" s="72"/>
      <c r="K826" s="109"/>
      <c r="M826" s="123"/>
    </row>
    <row r="827" spans="1:13">
      <c r="D827" s="68"/>
      <c r="E827" s="68"/>
      <c r="J827" s="72"/>
      <c r="K827" s="109"/>
      <c r="M827" s="123"/>
    </row>
    <row r="828" spans="1:13">
      <c r="D828" s="68"/>
      <c r="E828" s="68"/>
      <c r="J828" s="72"/>
      <c r="K828" s="109"/>
      <c r="M828" s="123"/>
    </row>
    <row r="829" spans="1:13">
      <c r="D829" s="68"/>
      <c r="E829" s="68"/>
      <c r="J829" s="72"/>
      <c r="K829" s="109"/>
      <c r="M829" s="123"/>
    </row>
    <row r="830" spans="1:13">
      <c r="D830" s="68"/>
      <c r="E830" s="68"/>
      <c r="F830" s="111"/>
      <c r="G830" s="111"/>
      <c r="J830" s="72"/>
      <c r="K830" s="109"/>
      <c r="M830" s="123"/>
    </row>
    <row r="831" spans="1:13">
      <c r="D831" s="68"/>
      <c r="E831" s="68"/>
      <c r="F831" s="111"/>
      <c r="G831" s="111"/>
      <c r="J831" s="72"/>
      <c r="K831" s="109"/>
      <c r="M831" s="123"/>
    </row>
    <row r="832" spans="1:13">
      <c r="D832" s="68"/>
      <c r="E832" s="68"/>
      <c r="F832" s="111"/>
      <c r="G832" s="111"/>
      <c r="J832" s="72"/>
      <c r="K832" s="109"/>
      <c r="M832" s="123"/>
    </row>
    <row r="833" spans="4:13">
      <c r="D833" s="68"/>
      <c r="E833" s="68"/>
      <c r="F833" s="111"/>
      <c r="G833" s="111"/>
      <c r="J833" s="72"/>
      <c r="K833" s="109"/>
      <c r="M833" s="123"/>
    </row>
    <row r="834" spans="4:13">
      <c r="D834" s="68"/>
      <c r="E834" s="68"/>
      <c r="J834" s="72"/>
      <c r="K834" s="109"/>
      <c r="M834" s="123"/>
    </row>
    <row r="835" spans="4:13">
      <c r="D835" s="68"/>
      <c r="E835" s="68"/>
      <c r="J835" s="72"/>
      <c r="K835" s="109"/>
      <c r="M835" s="123"/>
    </row>
    <row r="836" spans="4:13">
      <c r="D836" s="68"/>
      <c r="E836" s="68"/>
      <c r="J836" s="72"/>
      <c r="K836" s="109"/>
      <c r="M836" s="123"/>
    </row>
    <row r="837" spans="4:13">
      <c r="D837" s="68"/>
      <c r="E837" s="68"/>
      <c r="J837" s="72"/>
      <c r="K837" s="109"/>
      <c r="M837" s="123"/>
    </row>
    <row r="838" spans="4:13">
      <c r="D838" s="68"/>
      <c r="E838" s="68"/>
      <c r="J838" s="72"/>
      <c r="K838" s="109"/>
      <c r="M838" s="123"/>
    </row>
    <row r="839" spans="4:13">
      <c r="D839" s="68"/>
      <c r="E839" s="68"/>
      <c r="J839" s="72"/>
      <c r="K839" s="109"/>
      <c r="M839" s="123"/>
    </row>
    <row r="840" spans="4:13">
      <c r="D840" s="68"/>
      <c r="E840" s="68"/>
      <c r="J840" s="72"/>
      <c r="K840" s="109"/>
      <c r="M840" s="123"/>
    </row>
    <row r="841" spans="4:13">
      <c r="D841" s="68"/>
      <c r="E841" s="68"/>
      <c r="J841" s="72"/>
      <c r="K841" s="109"/>
      <c r="M841" s="123"/>
    </row>
    <row r="842" spans="4:13">
      <c r="D842" s="68"/>
      <c r="E842" s="68"/>
      <c r="J842" s="72"/>
      <c r="K842" s="109"/>
      <c r="M842" s="123"/>
    </row>
    <row r="843" spans="4:13">
      <c r="D843" s="68"/>
      <c r="E843" s="68"/>
      <c r="J843" s="72"/>
      <c r="K843" s="109"/>
      <c r="M843" s="123"/>
    </row>
    <row r="844" spans="4:13">
      <c r="D844" s="68"/>
      <c r="E844" s="68"/>
      <c r="F844" s="111"/>
      <c r="G844" s="111"/>
      <c r="J844" s="72"/>
      <c r="K844" s="109"/>
      <c r="M844" s="123"/>
    </row>
    <row r="845" spans="4:13">
      <c r="D845" s="68"/>
      <c r="E845" s="68"/>
      <c r="J845" s="72"/>
      <c r="K845" s="109"/>
      <c r="M845" s="123"/>
    </row>
    <row r="846" spans="4:13">
      <c r="D846" s="68"/>
      <c r="E846" s="68"/>
      <c r="J846" s="72"/>
      <c r="K846" s="109"/>
      <c r="M846" s="123"/>
    </row>
    <row r="847" spans="4:13">
      <c r="D847" s="68"/>
      <c r="E847" s="68"/>
      <c r="J847" s="72"/>
      <c r="K847" s="109"/>
      <c r="M847" s="123"/>
    </row>
    <row r="848" spans="4:13">
      <c r="D848" s="68"/>
      <c r="E848" s="68"/>
      <c r="J848" s="72"/>
      <c r="K848" s="109"/>
      <c r="M848" s="123"/>
    </row>
    <row r="849" spans="4:13">
      <c r="D849" s="68"/>
      <c r="E849" s="68"/>
      <c r="J849" s="72"/>
      <c r="K849" s="109"/>
      <c r="M849" s="123"/>
    </row>
    <row r="850" spans="4:13">
      <c r="D850" s="68"/>
      <c r="E850" s="68"/>
      <c r="J850" s="72"/>
      <c r="K850" s="109"/>
      <c r="M850" s="123"/>
    </row>
    <row r="851" spans="4:13">
      <c r="D851" s="68"/>
      <c r="E851" s="68"/>
      <c r="J851" s="72"/>
      <c r="K851" s="109"/>
      <c r="M851" s="123"/>
    </row>
    <row r="852" spans="4:13">
      <c r="D852" s="68"/>
      <c r="E852" s="68"/>
      <c r="J852" s="72"/>
      <c r="K852" s="109"/>
      <c r="M852" s="123"/>
    </row>
    <row r="853" spans="4:13">
      <c r="D853" s="68"/>
      <c r="E853" s="68"/>
      <c r="J853" s="72"/>
      <c r="K853" s="109"/>
      <c r="M853" s="123"/>
    </row>
    <row r="854" spans="4:13">
      <c r="D854" s="68"/>
      <c r="E854" s="68"/>
      <c r="J854" s="72"/>
      <c r="K854" s="109"/>
      <c r="M854" s="123"/>
    </row>
    <row r="855" spans="4:13">
      <c r="D855" s="68"/>
      <c r="E855" s="68"/>
      <c r="J855" s="72"/>
      <c r="K855" s="109"/>
      <c r="M855" s="123"/>
    </row>
    <row r="856" spans="4:13">
      <c r="D856" s="68"/>
      <c r="E856" s="68"/>
      <c r="J856" s="72"/>
      <c r="K856" s="109"/>
      <c r="M856" s="123"/>
    </row>
    <row r="857" spans="4:13">
      <c r="D857" s="68"/>
      <c r="E857" s="68"/>
      <c r="J857" s="72"/>
      <c r="K857" s="109"/>
      <c r="M857" s="123"/>
    </row>
    <row r="858" spans="4:13">
      <c r="D858" s="68"/>
      <c r="E858" s="68"/>
      <c r="J858" s="72"/>
      <c r="K858" s="109"/>
      <c r="M858" s="123"/>
    </row>
    <row r="859" spans="4:13">
      <c r="D859" s="68"/>
      <c r="E859" s="68"/>
      <c r="F859" s="111"/>
      <c r="G859" s="111"/>
      <c r="J859" s="72"/>
      <c r="K859" s="109"/>
      <c r="M859" s="123"/>
    </row>
    <row r="860" spans="4:13">
      <c r="D860" s="68"/>
      <c r="E860" s="68"/>
      <c r="F860" s="111"/>
      <c r="G860" s="111"/>
      <c r="J860" s="72"/>
      <c r="K860" s="109"/>
      <c r="M860" s="123"/>
    </row>
    <row r="861" spans="4:13">
      <c r="D861" s="68"/>
      <c r="E861" s="68"/>
      <c r="J861" s="72"/>
      <c r="K861" s="109"/>
      <c r="M861" s="123"/>
    </row>
    <row r="862" spans="4:13">
      <c r="D862" s="68"/>
      <c r="E862" s="68"/>
      <c r="J862" s="72"/>
      <c r="K862" s="109"/>
      <c r="M862" s="123"/>
    </row>
    <row r="863" spans="4:13">
      <c r="D863" s="68"/>
      <c r="E863" s="68"/>
      <c r="J863" s="72"/>
      <c r="K863" s="109"/>
      <c r="M863" s="123"/>
    </row>
    <row r="864" spans="4:13">
      <c r="D864" s="68"/>
      <c r="E864" s="68"/>
      <c r="J864" s="72"/>
      <c r="K864" s="109"/>
      <c r="M864" s="123"/>
    </row>
    <row r="865" spans="4:13">
      <c r="D865" s="68"/>
      <c r="E865" s="68"/>
      <c r="J865" s="72"/>
      <c r="K865" s="109"/>
      <c r="M865" s="123"/>
    </row>
    <row r="866" spans="4:13">
      <c r="D866" s="68"/>
      <c r="E866" s="68"/>
      <c r="J866" s="72"/>
      <c r="K866" s="109"/>
      <c r="M866" s="123"/>
    </row>
    <row r="867" spans="4:13">
      <c r="D867" s="68"/>
      <c r="E867" s="68"/>
      <c r="J867" s="72"/>
      <c r="K867" s="109"/>
      <c r="M867" s="123"/>
    </row>
    <row r="868" spans="4:13">
      <c r="D868" s="68"/>
      <c r="E868" s="68"/>
      <c r="J868" s="72"/>
      <c r="K868" s="109"/>
      <c r="M868" s="123"/>
    </row>
    <row r="869" spans="4:13">
      <c r="D869" s="68"/>
      <c r="E869" s="68"/>
      <c r="J869" s="72"/>
      <c r="K869" s="109"/>
      <c r="M869" s="123"/>
    </row>
    <row r="870" spans="4:13">
      <c r="D870" s="68"/>
      <c r="E870" s="68"/>
      <c r="J870" s="72"/>
      <c r="K870" s="109"/>
      <c r="M870" s="123"/>
    </row>
    <row r="871" spans="4:13">
      <c r="D871" s="68"/>
      <c r="E871" s="68"/>
      <c r="J871" s="72"/>
      <c r="K871" s="109"/>
      <c r="M871" s="123"/>
    </row>
    <row r="872" spans="4:13">
      <c r="D872" s="68"/>
      <c r="E872" s="68"/>
      <c r="J872" s="72"/>
      <c r="K872" s="109"/>
      <c r="M872" s="123"/>
    </row>
    <row r="873" spans="4:13">
      <c r="D873" s="68"/>
      <c r="E873" s="68"/>
      <c r="J873" s="72"/>
      <c r="K873" s="109"/>
      <c r="M873" s="123"/>
    </row>
    <row r="874" spans="4:13">
      <c r="D874" s="68"/>
      <c r="E874" s="68"/>
      <c r="J874" s="72"/>
      <c r="K874" s="109"/>
      <c r="M874" s="123"/>
    </row>
    <row r="875" spans="4:13">
      <c r="D875" s="68"/>
      <c r="E875" s="68"/>
      <c r="J875" s="72"/>
      <c r="K875" s="109"/>
      <c r="M875" s="123"/>
    </row>
    <row r="876" spans="4:13">
      <c r="D876" s="68"/>
      <c r="E876" s="68"/>
      <c r="J876" s="72"/>
      <c r="K876" s="109"/>
      <c r="M876" s="123"/>
    </row>
    <row r="877" spans="4:13">
      <c r="D877" s="68"/>
      <c r="E877" s="68"/>
      <c r="J877" s="72"/>
      <c r="K877" s="109"/>
      <c r="M877" s="123"/>
    </row>
    <row r="878" spans="4:13">
      <c r="D878" s="68"/>
      <c r="E878" s="68"/>
      <c r="J878" s="72"/>
      <c r="K878" s="109"/>
      <c r="M878" s="123"/>
    </row>
    <row r="879" spans="4:13">
      <c r="D879" s="68"/>
      <c r="E879" s="68"/>
      <c r="J879" s="72"/>
      <c r="K879" s="109"/>
      <c r="M879" s="123"/>
    </row>
    <row r="880" spans="4:13">
      <c r="D880" s="68"/>
      <c r="E880" s="68"/>
      <c r="J880" s="72"/>
      <c r="K880" s="109"/>
      <c r="M880" s="123"/>
    </row>
    <row r="881" spans="4:13">
      <c r="D881" s="68"/>
      <c r="E881" s="68"/>
      <c r="J881" s="72"/>
      <c r="K881" s="109"/>
      <c r="M881" s="123"/>
    </row>
    <row r="882" spans="4:13">
      <c r="D882" s="68"/>
      <c r="E882" s="68"/>
      <c r="J882" s="72"/>
      <c r="K882" s="109"/>
      <c r="M882" s="123"/>
    </row>
    <row r="883" spans="4:13">
      <c r="D883" s="68"/>
      <c r="E883" s="68"/>
      <c r="J883" s="72"/>
      <c r="K883" s="109"/>
      <c r="M883" s="123"/>
    </row>
    <row r="884" spans="4:13">
      <c r="D884" s="68"/>
      <c r="E884" s="68"/>
      <c r="J884" s="72"/>
      <c r="K884" s="109"/>
      <c r="M884" s="123"/>
    </row>
    <row r="885" spans="4:13">
      <c r="D885" s="68"/>
      <c r="E885" s="68"/>
      <c r="J885" s="72"/>
      <c r="K885" s="109"/>
      <c r="M885" s="123"/>
    </row>
    <row r="886" spans="4:13">
      <c r="D886" s="68"/>
      <c r="E886" s="68"/>
      <c r="F886" s="111"/>
      <c r="G886" s="111"/>
      <c r="J886" s="72"/>
      <c r="K886" s="109"/>
      <c r="M886" s="123"/>
    </row>
    <row r="887" spans="4:13">
      <c r="D887" s="68"/>
      <c r="E887" s="68"/>
      <c r="F887" s="111"/>
      <c r="G887" s="111"/>
      <c r="J887" s="72"/>
      <c r="K887" s="109"/>
      <c r="M887" s="123"/>
    </row>
    <row r="888" spans="4:13">
      <c r="D888" s="68"/>
      <c r="E888" s="68"/>
      <c r="J888" s="72"/>
      <c r="K888" s="109"/>
      <c r="M888" s="123"/>
    </row>
    <row r="889" spans="4:13">
      <c r="D889" s="68"/>
      <c r="E889" s="68"/>
      <c r="J889" s="72"/>
      <c r="K889" s="109"/>
      <c r="M889" s="123"/>
    </row>
    <row r="890" spans="4:13">
      <c r="D890" s="68"/>
      <c r="E890" s="68"/>
      <c r="J890" s="72"/>
      <c r="K890" s="109"/>
      <c r="M890" s="123"/>
    </row>
    <row r="891" spans="4:13">
      <c r="D891" s="68"/>
      <c r="E891" s="68"/>
      <c r="J891" s="72"/>
      <c r="K891" s="109"/>
      <c r="M891" s="123"/>
    </row>
    <row r="892" spans="4:13">
      <c r="D892" s="68"/>
      <c r="E892" s="68"/>
      <c r="J892" s="72"/>
      <c r="K892" s="109"/>
      <c r="M892" s="123"/>
    </row>
    <row r="893" spans="4:13">
      <c r="D893" s="68"/>
      <c r="E893" s="68"/>
      <c r="J893" s="72"/>
      <c r="K893" s="109"/>
      <c r="M893" s="123"/>
    </row>
    <row r="894" spans="4:13">
      <c r="D894" s="68"/>
      <c r="E894" s="68"/>
      <c r="J894" s="72"/>
      <c r="K894" s="109"/>
      <c r="M894" s="123"/>
    </row>
    <row r="895" spans="4:13">
      <c r="D895" s="68"/>
      <c r="E895" s="68"/>
      <c r="J895" s="72"/>
      <c r="K895" s="109"/>
      <c r="M895" s="123"/>
    </row>
    <row r="896" spans="4:13">
      <c r="D896" s="68"/>
      <c r="E896" s="68"/>
      <c r="J896" s="72"/>
      <c r="K896" s="109"/>
      <c r="M896" s="123"/>
    </row>
    <row r="897" spans="4:13">
      <c r="D897" s="68"/>
      <c r="E897" s="68"/>
      <c r="J897" s="72"/>
      <c r="K897" s="109"/>
      <c r="M897" s="123"/>
    </row>
    <row r="898" spans="4:13">
      <c r="D898" s="68"/>
      <c r="E898" s="68"/>
      <c r="J898" s="72"/>
      <c r="K898" s="109"/>
      <c r="M898" s="123"/>
    </row>
    <row r="899" spans="4:13">
      <c r="D899" s="68"/>
      <c r="E899" s="68"/>
      <c r="J899" s="72"/>
      <c r="K899" s="109"/>
      <c r="M899" s="123"/>
    </row>
    <row r="900" spans="4:13">
      <c r="D900" s="68"/>
      <c r="E900" s="68"/>
      <c r="J900" s="72"/>
      <c r="K900" s="109"/>
      <c r="M900" s="123"/>
    </row>
    <row r="901" spans="4:13">
      <c r="D901" s="68"/>
      <c r="E901" s="68"/>
      <c r="J901" s="72"/>
      <c r="K901" s="109"/>
      <c r="M901" s="123"/>
    </row>
    <row r="902" spans="4:13">
      <c r="D902" s="68"/>
      <c r="E902" s="68"/>
      <c r="J902" s="72"/>
      <c r="K902" s="109"/>
      <c r="M902" s="123"/>
    </row>
    <row r="903" spans="4:13">
      <c r="D903" s="68"/>
      <c r="E903" s="68"/>
      <c r="F903" s="111"/>
      <c r="G903" s="111"/>
      <c r="J903" s="72"/>
      <c r="K903" s="109"/>
      <c r="M903" s="123"/>
    </row>
    <row r="904" spans="4:13">
      <c r="D904" s="68"/>
      <c r="E904" s="68"/>
      <c r="J904" s="72"/>
      <c r="K904" s="109"/>
      <c r="M904" s="123"/>
    </row>
    <row r="905" spans="4:13">
      <c r="D905" s="68"/>
      <c r="E905" s="68"/>
      <c r="J905" s="72"/>
      <c r="K905" s="109"/>
      <c r="M905" s="123"/>
    </row>
    <row r="906" spans="4:13">
      <c r="D906" s="68"/>
      <c r="E906" s="68"/>
      <c r="J906" s="72"/>
      <c r="K906" s="109"/>
      <c r="M906" s="123"/>
    </row>
    <row r="907" spans="4:13">
      <c r="D907" s="68"/>
      <c r="E907" s="68"/>
      <c r="J907" s="72"/>
      <c r="K907" s="109"/>
      <c r="M907" s="123"/>
    </row>
    <row r="908" spans="4:13">
      <c r="D908" s="68"/>
      <c r="E908" s="68"/>
      <c r="J908" s="72"/>
      <c r="K908" s="109"/>
      <c r="M908" s="123"/>
    </row>
    <row r="909" spans="4:13">
      <c r="D909" s="68"/>
      <c r="E909" s="68"/>
      <c r="J909" s="72"/>
      <c r="K909" s="109"/>
      <c r="M909" s="123"/>
    </row>
    <row r="910" spans="4:13">
      <c r="D910" s="68"/>
      <c r="E910" s="68"/>
      <c r="J910" s="72"/>
      <c r="K910" s="109"/>
      <c r="M910" s="123"/>
    </row>
    <row r="911" spans="4:13">
      <c r="D911" s="68"/>
      <c r="E911" s="68"/>
      <c r="J911" s="72"/>
      <c r="K911" s="109"/>
      <c r="M911" s="123"/>
    </row>
    <row r="912" spans="4:13">
      <c r="D912" s="68"/>
      <c r="E912" s="68"/>
      <c r="J912" s="72"/>
      <c r="K912" s="109"/>
      <c r="M912" s="123"/>
    </row>
    <row r="913" spans="4:13">
      <c r="D913" s="68"/>
      <c r="E913" s="68"/>
      <c r="J913" s="72"/>
      <c r="K913" s="109"/>
      <c r="M913" s="123"/>
    </row>
    <row r="914" spans="4:13">
      <c r="D914" s="68"/>
      <c r="E914" s="68"/>
      <c r="J914" s="72"/>
      <c r="K914" s="109"/>
      <c r="M914" s="123"/>
    </row>
    <row r="915" spans="4:13">
      <c r="D915" s="68"/>
      <c r="E915" s="68"/>
      <c r="J915" s="72"/>
      <c r="K915" s="109"/>
      <c r="M915" s="123"/>
    </row>
    <row r="916" spans="4:13">
      <c r="D916" s="68"/>
      <c r="E916" s="68"/>
      <c r="J916" s="72"/>
      <c r="K916" s="109"/>
      <c r="M916" s="123"/>
    </row>
    <row r="917" spans="4:13">
      <c r="D917" s="68"/>
      <c r="E917" s="68"/>
      <c r="J917" s="72"/>
      <c r="K917" s="109"/>
      <c r="M917" s="123"/>
    </row>
    <row r="918" spans="4:13">
      <c r="D918" s="68"/>
      <c r="E918" s="68"/>
      <c r="J918" s="72"/>
      <c r="K918" s="109"/>
      <c r="M918" s="123"/>
    </row>
    <row r="919" spans="4:13">
      <c r="D919" s="68"/>
      <c r="E919" s="68"/>
      <c r="J919" s="72"/>
      <c r="K919" s="109"/>
      <c r="M919" s="123"/>
    </row>
    <row r="920" spans="4:13">
      <c r="D920" s="68"/>
      <c r="E920" s="68"/>
      <c r="J920" s="72"/>
      <c r="K920" s="109"/>
      <c r="M920" s="123"/>
    </row>
    <row r="921" spans="4:13">
      <c r="D921" s="68"/>
      <c r="E921" s="68"/>
      <c r="J921" s="72"/>
      <c r="K921" s="109"/>
      <c r="M921" s="123"/>
    </row>
    <row r="922" spans="4:13">
      <c r="D922" s="68"/>
      <c r="E922" s="68"/>
      <c r="J922" s="72"/>
      <c r="K922" s="109"/>
      <c r="M922" s="123"/>
    </row>
    <row r="923" spans="4:13">
      <c r="D923" s="68"/>
      <c r="E923" s="68"/>
      <c r="J923" s="72"/>
      <c r="K923" s="109"/>
      <c r="M923" s="123"/>
    </row>
    <row r="924" spans="4:13">
      <c r="D924" s="68"/>
      <c r="E924" s="68"/>
      <c r="J924" s="72"/>
      <c r="K924" s="109"/>
      <c r="M924" s="123"/>
    </row>
    <row r="925" spans="4:13">
      <c r="D925" s="68"/>
      <c r="E925" s="68"/>
      <c r="J925" s="72"/>
      <c r="K925" s="109"/>
      <c r="M925" s="123"/>
    </row>
    <row r="926" spans="4:13">
      <c r="D926" s="68"/>
      <c r="E926" s="68"/>
      <c r="J926" s="72"/>
      <c r="K926" s="109"/>
      <c r="M926" s="123"/>
    </row>
    <row r="927" spans="4:13">
      <c r="D927" s="68"/>
      <c r="E927" s="68"/>
      <c r="J927" s="72"/>
      <c r="K927" s="109"/>
      <c r="M927" s="123"/>
    </row>
    <row r="928" spans="4:13">
      <c r="D928" s="68"/>
      <c r="E928" s="68"/>
      <c r="J928" s="72"/>
      <c r="K928" s="109"/>
      <c r="M928" s="123"/>
    </row>
    <row r="929" spans="4:13">
      <c r="D929" s="68"/>
      <c r="E929" s="68"/>
      <c r="J929" s="72"/>
      <c r="K929" s="109"/>
      <c r="M929" s="123"/>
    </row>
    <row r="930" spans="4:13">
      <c r="D930" s="68"/>
      <c r="E930" s="68"/>
      <c r="J930" s="72"/>
      <c r="K930" s="109"/>
      <c r="M930" s="123"/>
    </row>
    <row r="931" spans="4:13">
      <c r="D931" s="68"/>
      <c r="E931" s="68"/>
      <c r="J931" s="72"/>
      <c r="K931" s="109"/>
      <c r="M931" s="123"/>
    </row>
    <row r="932" spans="4:13">
      <c r="D932" s="68"/>
      <c r="E932" s="68"/>
      <c r="J932" s="72"/>
      <c r="K932" s="109"/>
      <c r="M932" s="123"/>
    </row>
    <row r="933" spans="4:13">
      <c r="D933" s="68"/>
      <c r="E933" s="68"/>
      <c r="J933" s="72"/>
      <c r="K933" s="109"/>
      <c r="M933" s="123"/>
    </row>
    <row r="934" spans="4:13">
      <c r="D934" s="68"/>
      <c r="E934" s="68"/>
      <c r="J934" s="72"/>
      <c r="K934" s="109"/>
      <c r="M934" s="123"/>
    </row>
    <row r="935" spans="4:13">
      <c r="D935" s="68"/>
      <c r="E935" s="68"/>
      <c r="J935" s="72"/>
      <c r="K935" s="109"/>
      <c r="M935" s="123"/>
    </row>
    <row r="936" spans="4:13">
      <c r="D936" s="68"/>
      <c r="E936" s="68"/>
      <c r="J936" s="72"/>
      <c r="K936" s="109"/>
      <c r="M936" s="123"/>
    </row>
    <row r="937" spans="4:13">
      <c r="D937" s="68"/>
      <c r="E937" s="68"/>
      <c r="J937" s="72"/>
      <c r="K937" s="109"/>
      <c r="M937" s="123"/>
    </row>
    <row r="938" spans="4:13">
      <c r="D938" s="68"/>
      <c r="E938" s="68"/>
      <c r="J938" s="72"/>
      <c r="K938" s="109"/>
      <c r="M938" s="123"/>
    </row>
    <row r="939" spans="4:13">
      <c r="D939" s="68"/>
      <c r="E939" s="68"/>
      <c r="J939" s="72"/>
      <c r="K939" s="109"/>
      <c r="M939" s="123"/>
    </row>
    <row r="940" spans="4:13">
      <c r="D940" s="68"/>
      <c r="E940" s="68"/>
      <c r="J940" s="72"/>
      <c r="K940" s="109"/>
      <c r="M940" s="123"/>
    </row>
    <row r="941" spans="4:13">
      <c r="D941" s="68"/>
      <c r="E941" s="68"/>
      <c r="J941" s="72"/>
      <c r="K941" s="109"/>
      <c r="M941" s="123"/>
    </row>
    <row r="942" spans="4:13">
      <c r="D942" s="68"/>
      <c r="E942" s="68"/>
      <c r="J942" s="72"/>
      <c r="K942" s="109"/>
      <c r="M942" s="123"/>
    </row>
    <row r="943" spans="4:13">
      <c r="D943" s="68"/>
      <c r="E943" s="68"/>
      <c r="J943" s="72"/>
      <c r="K943" s="109"/>
      <c r="M943" s="123"/>
    </row>
    <row r="944" spans="4:13">
      <c r="D944" s="68"/>
      <c r="E944" s="68"/>
      <c r="J944" s="72"/>
      <c r="K944" s="109"/>
      <c r="M944" s="123"/>
    </row>
    <row r="945" spans="4:13">
      <c r="D945" s="68"/>
      <c r="E945" s="68"/>
      <c r="J945" s="72"/>
      <c r="K945" s="109"/>
      <c r="M945" s="123"/>
    </row>
    <row r="946" spans="4:13">
      <c r="D946" s="68"/>
      <c r="E946" s="68"/>
      <c r="J946" s="72"/>
      <c r="K946" s="109"/>
      <c r="M946" s="123"/>
    </row>
    <row r="947" spans="4:13">
      <c r="D947" s="68"/>
      <c r="E947" s="68"/>
      <c r="J947" s="72"/>
      <c r="K947" s="109"/>
      <c r="M947" s="123"/>
    </row>
    <row r="948" spans="4:13">
      <c r="D948" s="68"/>
      <c r="E948" s="68"/>
      <c r="J948" s="72"/>
      <c r="K948" s="109"/>
      <c r="M948" s="123"/>
    </row>
    <row r="949" spans="4:13">
      <c r="D949" s="68"/>
      <c r="E949" s="68"/>
      <c r="F949" s="111"/>
      <c r="G949" s="111"/>
      <c r="J949" s="72"/>
      <c r="K949" s="109"/>
      <c r="M949" s="123"/>
    </row>
    <row r="950" spans="4:13">
      <c r="D950" s="68"/>
      <c r="E950" s="68"/>
      <c r="J950" s="72"/>
      <c r="K950" s="109"/>
      <c r="M950" s="123"/>
    </row>
    <row r="951" spans="4:13">
      <c r="D951" s="68"/>
      <c r="E951" s="68"/>
      <c r="J951" s="72"/>
      <c r="K951" s="109"/>
      <c r="M951" s="123"/>
    </row>
    <row r="952" spans="4:13">
      <c r="D952" s="68"/>
      <c r="E952" s="68"/>
      <c r="J952" s="72"/>
      <c r="K952" s="109"/>
      <c r="M952" s="123"/>
    </row>
    <row r="953" spans="4:13">
      <c r="D953" s="68"/>
      <c r="E953" s="68"/>
      <c r="J953" s="72"/>
      <c r="K953" s="109"/>
      <c r="M953" s="123"/>
    </row>
    <row r="954" spans="4:13">
      <c r="D954" s="68"/>
      <c r="E954" s="68"/>
      <c r="J954" s="72"/>
      <c r="K954" s="109"/>
      <c r="M954" s="123"/>
    </row>
    <row r="955" spans="4:13">
      <c r="D955" s="68"/>
      <c r="E955" s="68"/>
      <c r="J955" s="72"/>
      <c r="K955" s="109"/>
      <c r="M955" s="123"/>
    </row>
    <row r="956" spans="4:13">
      <c r="D956" s="68"/>
      <c r="E956" s="68"/>
      <c r="J956" s="72"/>
      <c r="K956" s="109"/>
      <c r="M956" s="123"/>
    </row>
    <row r="957" spans="4:13">
      <c r="D957" s="68"/>
      <c r="E957" s="68"/>
      <c r="J957" s="72"/>
      <c r="K957" s="109"/>
      <c r="M957" s="123"/>
    </row>
    <row r="958" spans="4:13">
      <c r="D958" s="68"/>
      <c r="E958" s="68"/>
      <c r="J958" s="72"/>
      <c r="K958" s="109"/>
      <c r="M958" s="123"/>
    </row>
    <row r="959" spans="4:13">
      <c r="D959" s="68"/>
      <c r="E959" s="68"/>
      <c r="J959" s="72"/>
      <c r="K959" s="109"/>
      <c r="M959" s="123"/>
    </row>
    <row r="960" spans="4:13">
      <c r="D960" s="68"/>
      <c r="E960" s="68"/>
      <c r="J960" s="72"/>
      <c r="K960" s="109"/>
      <c r="M960" s="123"/>
    </row>
    <row r="961" spans="4:13">
      <c r="D961" s="68"/>
      <c r="E961" s="68"/>
      <c r="J961" s="72"/>
      <c r="K961" s="109"/>
      <c r="M961" s="123"/>
    </row>
    <row r="962" spans="4:13">
      <c r="D962" s="68"/>
      <c r="E962" s="68"/>
      <c r="J962" s="72"/>
      <c r="K962" s="109"/>
      <c r="M962" s="123"/>
    </row>
    <row r="963" spans="4:13">
      <c r="D963" s="68"/>
      <c r="E963" s="68"/>
      <c r="J963" s="72"/>
      <c r="K963" s="109"/>
      <c r="M963" s="123"/>
    </row>
    <row r="964" spans="4:13">
      <c r="D964" s="68"/>
      <c r="E964" s="68"/>
      <c r="J964" s="72"/>
      <c r="K964" s="109"/>
      <c r="M964" s="123"/>
    </row>
    <row r="965" spans="4:13">
      <c r="D965" s="68"/>
      <c r="E965" s="68"/>
      <c r="J965" s="72"/>
      <c r="K965" s="109"/>
      <c r="M965" s="123"/>
    </row>
    <row r="966" spans="4:13">
      <c r="D966" s="68"/>
      <c r="E966" s="68"/>
      <c r="J966" s="72"/>
      <c r="K966" s="109"/>
      <c r="M966" s="123"/>
    </row>
    <row r="967" spans="4:13">
      <c r="D967" s="68"/>
      <c r="E967" s="68"/>
      <c r="J967" s="72"/>
      <c r="K967" s="109"/>
      <c r="M967" s="123"/>
    </row>
    <row r="968" spans="4:13">
      <c r="D968" s="68"/>
      <c r="E968" s="68"/>
      <c r="J968" s="72"/>
      <c r="K968" s="109"/>
      <c r="M968" s="123"/>
    </row>
    <row r="969" spans="4:13">
      <c r="D969" s="68"/>
      <c r="E969" s="68"/>
      <c r="J969" s="72"/>
      <c r="K969" s="109"/>
      <c r="M969" s="123"/>
    </row>
    <row r="970" spans="4:13">
      <c r="D970" s="68"/>
      <c r="E970" s="68"/>
      <c r="J970" s="72"/>
      <c r="K970" s="109"/>
      <c r="M970" s="123"/>
    </row>
    <row r="971" spans="4:13">
      <c r="D971" s="68"/>
      <c r="E971" s="68"/>
      <c r="J971" s="72"/>
      <c r="K971" s="109"/>
      <c r="M971" s="123"/>
    </row>
    <row r="972" spans="4:13">
      <c r="D972" s="68"/>
      <c r="E972" s="68"/>
      <c r="J972" s="72"/>
      <c r="K972" s="109"/>
      <c r="M972" s="123"/>
    </row>
    <row r="973" spans="4:13">
      <c r="D973" s="68"/>
      <c r="E973" s="68"/>
      <c r="J973" s="72"/>
      <c r="K973" s="109"/>
      <c r="M973" s="123"/>
    </row>
    <row r="974" spans="4:13">
      <c r="D974" s="68"/>
      <c r="E974" s="68"/>
      <c r="J974" s="72"/>
      <c r="K974" s="109"/>
      <c r="M974" s="123"/>
    </row>
    <row r="975" spans="4:13">
      <c r="D975" s="68"/>
      <c r="E975" s="68"/>
      <c r="J975" s="72"/>
      <c r="K975" s="109"/>
      <c r="M975" s="123"/>
    </row>
    <row r="976" spans="4:13">
      <c r="D976" s="68"/>
      <c r="E976" s="68"/>
      <c r="J976" s="72"/>
      <c r="K976" s="109"/>
      <c r="M976" s="123"/>
    </row>
    <row r="977" spans="4:13">
      <c r="D977" s="68"/>
      <c r="E977" s="68"/>
      <c r="J977" s="72"/>
      <c r="K977" s="109"/>
      <c r="M977" s="123"/>
    </row>
    <row r="978" spans="4:13">
      <c r="D978" s="68"/>
      <c r="E978" s="68"/>
      <c r="J978" s="72"/>
      <c r="K978" s="109"/>
      <c r="M978" s="123"/>
    </row>
    <row r="979" spans="4:13">
      <c r="D979" s="68"/>
      <c r="E979" s="68"/>
      <c r="J979" s="72"/>
      <c r="K979" s="109"/>
      <c r="M979" s="123"/>
    </row>
    <row r="980" spans="4:13">
      <c r="D980" s="68"/>
      <c r="E980" s="68"/>
      <c r="J980" s="72"/>
      <c r="K980" s="109"/>
      <c r="M980" s="123"/>
    </row>
    <row r="981" spans="4:13">
      <c r="D981" s="68"/>
      <c r="E981" s="68"/>
      <c r="J981" s="72"/>
      <c r="K981" s="109"/>
      <c r="M981" s="123"/>
    </row>
    <row r="982" spans="4:13">
      <c r="D982" s="68"/>
      <c r="E982" s="68"/>
      <c r="J982" s="72"/>
      <c r="K982" s="109"/>
      <c r="M982" s="123"/>
    </row>
    <row r="983" spans="4:13">
      <c r="D983" s="68"/>
      <c r="E983" s="68"/>
      <c r="J983" s="72"/>
      <c r="K983" s="109"/>
      <c r="M983" s="123"/>
    </row>
    <row r="984" spans="4:13">
      <c r="D984" s="68"/>
      <c r="E984" s="68"/>
      <c r="J984" s="72"/>
      <c r="K984" s="109"/>
      <c r="M984" s="123"/>
    </row>
    <row r="985" spans="4:13">
      <c r="D985" s="68"/>
      <c r="E985" s="68"/>
      <c r="J985" s="72"/>
      <c r="K985" s="109"/>
      <c r="M985" s="123"/>
    </row>
    <row r="986" spans="4:13">
      <c r="D986" s="68"/>
      <c r="E986" s="68"/>
      <c r="J986" s="72"/>
      <c r="K986" s="109"/>
      <c r="M986" s="123"/>
    </row>
    <row r="987" spans="4:13">
      <c r="D987" s="68"/>
      <c r="E987" s="68"/>
      <c r="J987" s="72"/>
      <c r="K987" s="109"/>
      <c r="M987" s="123"/>
    </row>
    <row r="988" spans="4:13">
      <c r="D988" s="68"/>
      <c r="E988" s="68"/>
      <c r="J988" s="72"/>
      <c r="K988" s="109"/>
      <c r="M988" s="123"/>
    </row>
    <row r="989" spans="4:13">
      <c r="D989" s="68"/>
      <c r="E989" s="68"/>
      <c r="J989" s="72"/>
      <c r="K989" s="109"/>
      <c r="M989" s="123"/>
    </row>
    <row r="990" spans="4:13">
      <c r="D990" s="68"/>
      <c r="E990" s="68"/>
      <c r="J990" s="72"/>
      <c r="K990" s="109"/>
      <c r="M990" s="123"/>
    </row>
    <row r="991" spans="4:13">
      <c r="D991" s="68"/>
      <c r="E991" s="68"/>
      <c r="J991" s="72"/>
      <c r="K991" s="109"/>
      <c r="M991" s="123"/>
    </row>
    <row r="992" spans="4:13">
      <c r="D992" s="68"/>
      <c r="E992" s="68"/>
      <c r="J992" s="72"/>
      <c r="K992" s="109"/>
      <c r="M992" s="123"/>
    </row>
    <row r="993" spans="4:13">
      <c r="D993" s="68"/>
      <c r="E993" s="68"/>
      <c r="J993" s="72"/>
      <c r="K993" s="109"/>
      <c r="M993" s="123"/>
    </row>
    <row r="994" spans="4:13">
      <c r="D994" s="68"/>
      <c r="E994" s="68"/>
      <c r="J994" s="72"/>
      <c r="K994" s="109"/>
      <c r="M994" s="123"/>
    </row>
    <row r="995" spans="4:13">
      <c r="D995" s="68"/>
      <c r="E995" s="68"/>
      <c r="J995" s="72"/>
      <c r="K995" s="109"/>
      <c r="M995" s="123"/>
    </row>
    <row r="996" spans="4:13">
      <c r="D996" s="68"/>
      <c r="E996" s="68"/>
      <c r="J996" s="72"/>
      <c r="K996" s="109"/>
      <c r="M996" s="123"/>
    </row>
    <row r="997" spans="4:13">
      <c r="D997" s="68"/>
      <c r="E997" s="68"/>
      <c r="J997" s="72"/>
      <c r="K997" s="109"/>
      <c r="M997" s="123"/>
    </row>
    <row r="998" spans="4:13">
      <c r="D998" s="68"/>
      <c r="E998" s="68"/>
      <c r="J998" s="72"/>
      <c r="K998" s="109"/>
      <c r="M998" s="123"/>
    </row>
    <row r="999" spans="4:13">
      <c r="D999" s="68"/>
      <c r="E999" s="68"/>
      <c r="J999" s="72"/>
      <c r="K999" s="109"/>
      <c r="M999" s="123"/>
    </row>
    <row r="1000" spans="4:13">
      <c r="D1000" s="68"/>
      <c r="E1000" s="68"/>
      <c r="J1000" s="72"/>
      <c r="K1000" s="109"/>
      <c r="M1000" s="123"/>
    </row>
    <row r="1001" spans="4:13">
      <c r="D1001" s="68"/>
      <c r="E1001" s="68"/>
      <c r="J1001" s="72"/>
      <c r="K1001" s="109"/>
      <c r="M1001" s="123"/>
    </row>
    <row r="1002" spans="4:13">
      <c r="D1002" s="68"/>
      <c r="E1002" s="68"/>
      <c r="J1002" s="72"/>
      <c r="K1002" s="109"/>
      <c r="M1002" s="123"/>
    </row>
    <row r="1003" spans="4:13">
      <c r="D1003" s="68"/>
      <c r="E1003" s="68"/>
      <c r="J1003" s="72"/>
      <c r="K1003" s="109"/>
      <c r="M1003" s="123"/>
    </row>
    <row r="1004" spans="4:13">
      <c r="D1004" s="68"/>
      <c r="E1004" s="68"/>
      <c r="J1004" s="72"/>
      <c r="K1004" s="109"/>
      <c r="M1004" s="123"/>
    </row>
    <row r="1005" spans="4:13">
      <c r="D1005" s="68"/>
      <c r="E1005" s="68"/>
      <c r="J1005" s="72"/>
      <c r="K1005" s="109"/>
      <c r="M1005" s="123"/>
    </row>
    <row r="1006" spans="4:13">
      <c r="D1006" s="68"/>
      <c r="E1006" s="68"/>
      <c r="J1006" s="72"/>
      <c r="K1006" s="109"/>
      <c r="M1006" s="123"/>
    </row>
    <row r="1007" spans="4:13">
      <c r="D1007" s="68"/>
      <c r="E1007" s="68"/>
      <c r="J1007" s="72"/>
      <c r="K1007" s="109"/>
      <c r="M1007" s="123"/>
    </row>
    <row r="1008" spans="4:13">
      <c r="D1008" s="68"/>
      <c r="E1008" s="68"/>
      <c r="J1008" s="72"/>
      <c r="K1008" s="109"/>
      <c r="M1008" s="123"/>
    </row>
    <row r="1009" spans="4:13">
      <c r="D1009" s="68"/>
      <c r="E1009" s="68"/>
      <c r="F1009" s="111"/>
      <c r="G1009" s="111"/>
      <c r="J1009" s="72"/>
      <c r="K1009" s="109"/>
      <c r="M1009" s="123"/>
    </row>
    <row r="1010" spans="4:13">
      <c r="D1010" s="68"/>
      <c r="E1010" s="68"/>
      <c r="F1010" s="111"/>
      <c r="G1010" s="111"/>
      <c r="J1010" s="72"/>
      <c r="K1010" s="109"/>
      <c r="M1010" s="123"/>
    </row>
    <row r="1011" spans="4:13">
      <c r="D1011" s="68"/>
      <c r="E1011" s="68"/>
      <c r="J1011" s="72"/>
      <c r="K1011" s="109"/>
      <c r="M1011" s="123"/>
    </row>
    <row r="1012" spans="4:13">
      <c r="D1012" s="68"/>
      <c r="E1012" s="68"/>
      <c r="J1012" s="72"/>
      <c r="K1012" s="109"/>
      <c r="M1012" s="123"/>
    </row>
    <row r="1013" spans="4:13">
      <c r="D1013" s="68"/>
      <c r="E1013" s="68"/>
      <c r="J1013" s="72"/>
      <c r="K1013" s="109"/>
      <c r="M1013" s="123"/>
    </row>
    <row r="1014" spans="4:13">
      <c r="D1014" s="68"/>
      <c r="E1014" s="68"/>
      <c r="J1014" s="72"/>
      <c r="K1014" s="109"/>
      <c r="M1014" s="123"/>
    </row>
    <row r="1015" spans="4:13">
      <c r="D1015" s="68"/>
      <c r="E1015" s="68"/>
      <c r="J1015" s="72"/>
      <c r="K1015" s="109"/>
      <c r="M1015" s="123"/>
    </row>
    <row r="1016" spans="4:13">
      <c r="D1016" s="68"/>
      <c r="E1016" s="68"/>
      <c r="F1016" s="111"/>
      <c r="G1016" s="111"/>
      <c r="J1016" s="72"/>
      <c r="K1016" s="109"/>
      <c r="M1016" s="123"/>
    </row>
    <row r="1017" spans="4:13">
      <c r="D1017" s="68"/>
      <c r="E1017" s="68"/>
      <c r="J1017" s="72"/>
      <c r="K1017" s="109"/>
      <c r="M1017" s="123"/>
    </row>
    <row r="1018" spans="4:13">
      <c r="D1018" s="68"/>
      <c r="E1018" s="68"/>
      <c r="F1018" s="111"/>
      <c r="G1018" s="111"/>
      <c r="J1018" s="72"/>
      <c r="K1018" s="109"/>
      <c r="M1018" s="123"/>
    </row>
    <row r="1019" spans="4:13">
      <c r="D1019" s="68"/>
      <c r="E1019" s="68"/>
      <c r="F1019" s="111"/>
      <c r="G1019" s="111"/>
      <c r="J1019" s="72"/>
      <c r="K1019" s="109"/>
      <c r="M1019" s="123"/>
    </row>
    <row r="1020" spans="4:13">
      <c r="D1020" s="68"/>
      <c r="E1020" s="68"/>
      <c r="F1020" s="111"/>
      <c r="G1020" s="111"/>
      <c r="J1020" s="72"/>
      <c r="K1020" s="109"/>
      <c r="M1020" s="123"/>
    </row>
    <row r="1021" spans="4:13">
      <c r="D1021" s="68"/>
      <c r="E1021" s="68"/>
      <c r="F1021" s="111"/>
      <c r="G1021" s="111"/>
      <c r="J1021" s="72"/>
      <c r="K1021" s="109"/>
      <c r="M1021" s="123"/>
    </row>
    <row r="1022" spans="4:13">
      <c r="D1022" s="68"/>
      <c r="E1022" s="68"/>
      <c r="F1022" s="111"/>
      <c r="G1022" s="111"/>
      <c r="J1022" s="72"/>
      <c r="K1022" s="109"/>
      <c r="M1022" s="123"/>
    </row>
    <row r="1023" spans="4:13">
      <c r="D1023" s="68"/>
      <c r="E1023" s="68"/>
      <c r="F1023" s="111"/>
      <c r="G1023" s="111"/>
      <c r="J1023" s="72"/>
      <c r="K1023" s="109"/>
      <c r="M1023" s="123"/>
    </row>
    <row r="1024" spans="4:13">
      <c r="D1024" s="68"/>
      <c r="E1024" s="68"/>
      <c r="J1024" s="72"/>
      <c r="K1024" s="109"/>
      <c r="M1024" s="123"/>
    </row>
    <row r="1025" spans="4:13">
      <c r="D1025" s="68"/>
      <c r="E1025" s="68"/>
      <c r="F1025" s="111"/>
      <c r="G1025" s="111"/>
      <c r="J1025" s="72"/>
      <c r="K1025" s="109"/>
      <c r="M1025" s="123"/>
    </row>
    <row r="1026" spans="4:13">
      <c r="D1026" s="68"/>
      <c r="E1026" s="68"/>
      <c r="F1026" s="111"/>
      <c r="G1026" s="111"/>
      <c r="J1026" s="72"/>
      <c r="K1026" s="109"/>
      <c r="M1026" s="123"/>
    </row>
    <row r="1027" spans="4:13">
      <c r="D1027" s="68"/>
      <c r="E1027" s="68"/>
      <c r="J1027" s="72"/>
      <c r="K1027" s="109"/>
      <c r="M1027" s="123"/>
    </row>
    <row r="1028" spans="4:13">
      <c r="D1028" s="68"/>
      <c r="E1028" s="68"/>
      <c r="J1028" s="72"/>
      <c r="K1028" s="109"/>
      <c r="M1028" s="123"/>
    </row>
    <row r="1029" spans="4:13">
      <c r="D1029" s="68"/>
      <c r="E1029" s="68"/>
      <c r="J1029" s="72"/>
      <c r="K1029" s="109"/>
      <c r="M1029" s="123"/>
    </row>
    <row r="1030" spans="4:13">
      <c r="D1030" s="68"/>
      <c r="E1030" s="68"/>
      <c r="F1030" s="111"/>
      <c r="G1030" s="111"/>
      <c r="J1030" s="72"/>
      <c r="K1030" s="109"/>
      <c r="M1030" s="123"/>
    </row>
    <row r="1031" spans="4:13">
      <c r="D1031" s="68"/>
      <c r="E1031" s="68"/>
      <c r="F1031" s="111"/>
      <c r="G1031" s="111"/>
      <c r="J1031" s="72"/>
      <c r="K1031" s="109"/>
      <c r="M1031" s="123"/>
    </row>
    <row r="1032" spans="4:13">
      <c r="D1032" s="68"/>
      <c r="E1032" s="68"/>
      <c r="J1032" s="72"/>
      <c r="K1032" s="109"/>
      <c r="M1032" s="123"/>
    </row>
    <row r="1033" spans="4:13">
      <c r="D1033" s="68"/>
      <c r="E1033" s="68"/>
      <c r="J1033" s="72"/>
      <c r="K1033" s="109"/>
      <c r="M1033" s="123"/>
    </row>
    <row r="1034" spans="4:13">
      <c r="D1034" s="68"/>
      <c r="E1034" s="68"/>
      <c r="J1034" s="72"/>
      <c r="K1034" s="109"/>
      <c r="M1034" s="123"/>
    </row>
    <row r="1035" spans="4:13">
      <c r="D1035" s="68"/>
      <c r="E1035" s="68"/>
      <c r="J1035" s="72"/>
      <c r="K1035" s="109"/>
      <c r="M1035" s="123"/>
    </row>
    <row r="1036" spans="4:13">
      <c r="D1036" s="68"/>
      <c r="E1036" s="68"/>
      <c r="J1036" s="72"/>
      <c r="K1036" s="109"/>
      <c r="M1036" s="123"/>
    </row>
    <row r="1037" spans="4:13">
      <c r="D1037" s="68"/>
      <c r="E1037" s="68"/>
      <c r="F1037" s="111"/>
      <c r="G1037" s="111"/>
      <c r="J1037" s="72"/>
      <c r="K1037" s="109"/>
      <c r="M1037" s="123"/>
    </row>
    <row r="1038" spans="4:13">
      <c r="D1038" s="68"/>
      <c r="E1038" s="68"/>
      <c r="F1038" s="111"/>
      <c r="G1038" s="111"/>
      <c r="J1038" s="72"/>
      <c r="K1038" s="109"/>
      <c r="M1038" s="123"/>
    </row>
    <row r="1039" spans="4:13">
      <c r="D1039" s="68"/>
      <c r="E1039" s="68"/>
      <c r="J1039" s="72"/>
      <c r="K1039" s="109"/>
      <c r="M1039" s="123"/>
    </row>
    <row r="1040" spans="4:13">
      <c r="D1040" s="68"/>
      <c r="E1040" s="68"/>
      <c r="J1040" s="72"/>
      <c r="K1040" s="109"/>
      <c r="M1040" s="123"/>
    </row>
    <row r="1041" spans="4:13">
      <c r="D1041" s="68"/>
      <c r="E1041" s="68"/>
      <c r="J1041" s="72"/>
      <c r="K1041" s="109"/>
      <c r="M1041" s="123"/>
    </row>
    <row r="1042" spans="4:13">
      <c r="D1042" s="68"/>
      <c r="E1042" s="68"/>
      <c r="J1042" s="72"/>
      <c r="K1042" s="109"/>
      <c r="M1042" s="123"/>
    </row>
    <row r="1043" spans="4:13">
      <c r="D1043" s="68"/>
      <c r="E1043" s="68"/>
      <c r="J1043" s="72"/>
      <c r="K1043" s="109"/>
      <c r="M1043" s="123"/>
    </row>
    <row r="1044" spans="4:13">
      <c r="D1044" s="68"/>
      <c r="E1044" s="68"/>
      <c r="J1044" s="72"/>
      <c r="K1044" s="109"/>
      <c r="M1044" s="123"/>
    </row>
    <row r="1045" spans="4:13">
      <c r="D1045" s="68"/>
      <c r="E1045" s="68"/>
      <c r="J1045" s="72"/>
      <c r="K1045" s="109"/>
      <c r="M1045" s="123"/>
    </row>
    <row r="1046" spans="4:13">
      <c r="D1046" s="68"/>
      <c r="E1046" s="68"/>
      <c r="J1046" s="72"/>
      <c r="K1046" s="109"/>
      <c r="M1046" s="123"/>
    </row>
    <row r="1047" spans="4:13">
      <c r="D1047" s="68"/>
      <c r="E1047" s="68"/>
      <c r="J1047" s="72"/>
      <c r="K1047" s="109"/>
      <c r="M1047" s="123"/>
    </row>
    <row r="1048" spans="4:13">
      <c r="D1048" s="68"/>
      <c r="E1048" s="68"/>
      <c r="J1048" s="72"/>
      <c r="K1048" s="109"/>
      <c r="M1048" s="123"/>
    </row>
    <row r="1049" spans="4:13">
      <c r="D1049" s="68"/>
      <c r="E1049" s="68"/>
      <c r="F1049" s="111"/>
      <c r="G1049" s="111"/>
      <c r="J1049" s="72"/>
      <c r="K1049" s="109"/>
      <c r="M1049" s="123"/>
    </row>
    <row r="1050" spans="4:13">
      <c r="D1050" s="68"/>
      <c r="E1050" s="68"/>
      <c r="J1050" s="72"/>
      <c r="K1050" s="109"/>
      <c r="M1050" s="123"/>
    </row>
    <row r="1051" spans="4:13">
      <c r="D1051" s="68"/>
      <c r="E1051" s="68"/>
      <c r="J1051" s="72"/>
      <c r="K1051" s="109"/>
      <c r="M1051" s="123"/>
    </row>
    <row r="1052" spans="4:13">
      <c r="D1052" s="68"/>
      <c r="E1052" s="68"/>
      <c r="J1052" s="72"/>
      <c r="K1052" s="109"/>
      <c r="M1052" s="123"/>
    </row>
    <row r="1053" spans="4:13">
      <c r="D1053" s="68"/>
      <c r="E1053" s="68"/>
      <c r="J1053" s="72"/>
      <c r="K1053" s="109"/>
      <c r="M1053" s="123"/>
    </row>
    <row r="1054" spans="4:13">
      <c r="D1054" s="68"/>
      <c r="E1054" s="68"/>
      <c r="J1054" s="72"/>
      <c r="K1054" s="109"/>
      <c r="M1054" s="123"/>
    </row>
    <row r="1055" spans="4:13">
      <c r="D1055" s="68"/>
      <c r="E1055" s="68"/>
      <c r="J1055" s="72"/>
      <c r="K1055" s="109"/>
      <c r="M1055" s="123"/>
    </row>
    <row r="1056" spans="4:13">
      <c r="D1056" s="68"/>
      <c r="E1056" s="68"/>
      <c r="J1056" s="72"/>
      <c r="K1056" s="109"/>
      <c r="M1056" s="123"/>
    </row>
    <row r="1057" spans="4:13">
      <c r="D1057" s="68"/>
      <c r="E1057" s="68"/>
      <c r="F1057" s="111"/>
      <c r="G1057" s="111"/>
      <c r="J1057" s="72"/>
      <c r="K1057" s="109"/>
      <c r="M1057" s="123"/>
    </row>
    <row r="1058" spans="4:13">
      <c r="D1058" s="68"/>
      <c r="E1058" s="68"/>
      <c r="J1058" s="72"/>
      <c r="K1058" s="109"/>
      <c r="M1058" s="123"/>
    </row>
    <row r="1059" spans="4:13">
      <c r="D1059" s="68"/>
      <c r="E1059" s="68"/>
      <c r="J1059" s="72"/>
      <c r="K1059" s="109"/>
      <c r="M1059" s="123"/>
    </row>
    <row r="1060" spans="4:13">
      <c r="D1060" s="68"/>
      <c r="E1060" s="68"/>
      <c r="J1060" s="72"/>
      <c r="K1060" s="109"/>
      <c r="M1060" s="123"/>
    </row>
    <row r="1061" spans="4:13">
      <c r="D1061" s="68"/>
      <c r="E1061" s="68"/>
      <c r="J1061" s="72"/>
      <c r="K1061" s="109"/>
      <c r="M1061" s="123"/>
    </row>
    <row r="1062" spans="4:13">
      <c r="D1062" s="68"/>
      <c r="E1062" s="68"/>
      <c r="J1062" s="72"/>
      <c r="K1062" s="109"/>
      <c r="M1062" s="123"/>
    </row>
    <row r="1063" spans="4:13">
      <c r="D1063" s="68"/>
      <c r="E1063" s="68"/>
      <c r="J1063" s="72"/>
      <c r="K1063" s="109"/>
      <c r="M1063" s="123"/>
    </row>
    <row r="1064" spans="4:13">
      <c r="D1064" s="68"/>
      <c r="E1064" s="68"/>
      <c r="F1064" s="111"/>
      <c r="G1064" s="111"/>
      <c r="J1064" s="72"/>
      <c r="K1064" s="109"/>
      <c r="M1064" s="123"/>
    </row>
    <row r="1065" spans="4:13">
      <c r="D1065" s="68"/>
      <c r="E1065" s="68"/>
      <c r="J1065" s="72"/>
      <c r="K1065" s="109"/>
      <c r="M1065" s="123"/>
    </row>
    <row r="1066" spans="4:13">
      <c r="D1066" s="68"/>
      <c r="E1066" s="68"/>
      <c r="J1066" s="72"/>
      <c r="K1066" s="109"/>
      <c r="M1066" s="123"/>
    </row>
    <row r="1067" spans="4:13">
      <c r="D1067" s="68"/>
      <c r="E1067" s="68"/>
      <c r="J1067" s="72"/>
      <c r="K1067" s="109"/>
      <c r="M1067" s="123"/>
    </row>
    <row r="1068" spans="4:13">
      <c r="D1068" s="68"/>
      <c r="E1068" s="68"/>
      <c r="J1068" s="72"/>
      <c r="K1068" s="109"/>
      <c r="M1068" s="123"/>
    </row>
    <row r="1069" spans="4:13">
      <c r="D1069" s="68"/>
      <c r="E1069" s="68"/>
      <c r="J1069" s="72"/>
      <c r="K1069" s="109"/>
      <c r="M1069" s="123"/>
    </row>
    <row r="1070" spans="4:13">
      <c r="D1070" s="68"/>
      <c r="E1070" s="68"/>
      <c r="J1070" s="72"/>
      <c r="K1070" s="109"/>
      <c r="M1070" s="123"/>
    </row>
    <row r="1071" spans="4:13">
      <c r="D1071" s="68"/>
      <c r="E1071" s="68"/>
      <c r="F1071" s="111"/>
      <c r="G1071" s="111"/>
      <c r="J1071" s="72"/>
      <c r="K1071" s="109"/>
      <c r="M1071" s="123"/>
    </row>
    <row r="1072" spans="4:13">
      <c r="D1072" s="68"/>
      <c r="E1072" s="68"/>
      <c r="J1072" s="72"/>
      <c r="K1072" s="109"/>
      <c r="M1072" s="123"/>
    </row>
    <row r="1073" spans="4:13">
      <c r="D1073" s="68"/>
      <c r="E1073" s="68"/>
      <c r="J1073" s="72"/>
      <c r="K1073" s="109"/>
      <c r="M1073" s="123"/>
    </row>
    <row r="1074" spans="4:13">
      <c r="D1074" s="68"/>
      <c r="E1074" s="68"/>
      <c r="J1074" s="72"/>
      <c r="K1074" s="109"/>
      <c r="M1074" s="123"/>
    </row>
    <row r="1075" spans="4:13">
      <c r="D1075" s="68"/>
      <c r="E1075" s="68"/>
      <c r="J1075" s="72"/>
      <c r="K1075" s="109"/>
      <c r="M1075" s="123"/>
    </row>
    <row r="1076" spans="4:13">
      <c r="D1076" s="68"/>
      <c r="E1076" s="68"/>
      <c r="J1076" s="72"/>
      <c r="K1076" s="109"/>
      <c r="M1076" s="123"/>
    </row>
    <row r="1077" spans="4:13">
      <c r="D1077" s="68"/>
      <c r="E1077" s="68"/>
      <c r="F1077" s="111"/>
      <c r="G1077" s="111"/>
      <c r="J1077" s="72"/>
      <c r="K1077" s="109"/>
      <c r="M1077" s="123"/>
    </row>
    <row r="1078" spans="4:13">
      <c r="D1078" s="68"/>
      <c r="E1078" s="68"/>
      <c r="J1078" s="72"/>
      <c r="K1078" s="109"/>
      <c r="M1078" s="123"/>
    </row>
    <row r="1079" spans="4:13">
      <c r="D1079" s="68"/>
      <c r="E1079" s="68"/>
      <c r="J1079" s="72"/>
      <c r="K1079" s="109"/>
      <c r="M1079" s="123"/>
    </row>
    <row r="1080" spans="4:13">
      <c r="D1080" s="68"/>
      <c r="E1080" s="68"/>
      <c r="J1080" s="72"/>
      <c r="K1080" s="109"/>
      <c r="M1080" s="123"/>
    </row>
    <row r="1081" spans="4:13">
      <c r="D1081" s="68"/>
      <c r="E1081" s="68"/>
      <c r="J1081" s="72"/>
      <c r="K1081" s="109"/>
      <c r="M1081" s="123"/>
    </row>
    <row r="1082" spans="4:13">
      <c r="D1082" s="68"/>
      <c r="E1082" s="68"/>
      <c r="J1082" s="72"/>
      <c r="K1082" s="109"/>
      <c r="M1082" s="123"/>
    </row>
    <row r="1083" spans="4:13">
      <c r="D1083" s="68"/>
      <c r="E1083" s="68"/>
      <c r="J1083" s="72"/>
      <c r="K1083" s="109"/>
      <c r="M1083" s="123"/>
    </row>
    <row r="1084" spans="4:13">
      <c r="D1084" s="68"/>
      <c r="E1084" s="68"/>
      <c r="F1084" s="111"/>
      <c r="G1084" s="111"/>
      <c r="J1084" s="72"/>
      <c r="K1084" s="109"/>
      <c r="M1084" s="123"/>
    </row>
    <row r="1085" spans="4:13">
      <c r="D1085" s="68"/>
      <c r="E1085" s="68"/>
      <c r="J1085" s="72"/>
      <c r="K1085" s="109"/>
      <c r="M1085" s="123"/>
    </row>
    <row r="1086" spans="4:13">
      <c r="D1086" s="68"/>
      <c r="E1086" s="68"/>
      <c r="J1086" s="72"/>
      <c r="K1086" s="109"/>
      <c r="M1086" s="123"/>
    </row>
    <row r="1087" spans="4:13">
      <c r="D1087" s="68"/>
      <c r="E1087" s="68"/>
      <c r="J1087" s="72"/>
      <c r="K1087" s="109"/>
      <c r="M1087" s="123"/>
    </row>
    <row r="1088" spans="4:13">
      <c r="D1088" s="68"/>
      <c r="E1088" s="68"/>
      <c r="J1088" s="72"/>
      <c r="K1088" s="109"/>
      <c r="M1088" s="123"/>
    </row>
    <row r="1089" spans="4:13">
      <c r="D1089" s="68"/>
      <c r="E1089" s="68"/>
      <c r="J1089" s="72"/>
      <c r="K1089" s="109"/>
      <c r="M1089" s="123"/>
    </row>
    <row r="1090" spans="4:13">
      <c r="D1090" s="68"/>
      <c r="E1090" s="68"/>
      <c r="J1090" s="72"/>
      <c r="K1090" s="109"/>
      <c r="M1090" s="123"/>
    </row>
    <row r="1091" spans="4:13">
      <c r="D1091" s="68"/>
      <c r="E1091" s="68"/>
      <c r="J1091" s="72"/>
      <c r="K1091" s="109"/>
      <c r="M1091" s="123"/>
    </row>
    <row r="1092" spans="4:13">
      <c r="D1092" s="68"/>
      <c r="E1092" s="68"/>
      <c r="J1092" s="72"/>
      <c r="K1092" s="109"/>
      <c r="M1092" s="123"/>
    </row>
    <row r="1093" spans="4:13">
      <c r="D1093" s="68"/>
      <c r="E1093" s="68"/>
      <c r="F1093" s="111"/>
      <c r="G1093" s="111"/>
      <c r="J1093" s="72"/>
      <c r="K1093" s="109"/>
      <c r="M1093" s="123"/>
    </row>
    <row r="1094" spans="4:13">
      <c r="D1094" s="68"/>
      <c r="E1094" s="68"/>
      <c r="J1094" s="72"/>
      <c r="K1094" s="109"/>
      <c r="M1094" s="123"/>
    </row>
    <row r="1095" spans="4:13">
      <c r="D1095" s="68"/>
      <c r="E1095" s="68"/>
      <c r="J1095" s="72"/>
      <c r="K1095" s="109"/>
      <c r="M1095" s="123"/>
    </row>
    <row r="1096" spans="4:13">
      <c r="D1096" s="68"/>
      <c r="E1096" s="68"/>
      <c r="J1096" s="72"/>
      <c r="K1096" s="109"/>
      <c r="M1096" s="123"/>
    </row>
    <row r="1097" spans="4:13">
      <c r="D1097" s="68"/>
      <c r="E1097" s="68"/>
      <c r="J1097" s="72"/>
      <c r="K1097" s="109"/>
      <c r="M1097" s="123"/>
    </row>
    <row r="1098" spans="4:13">
      <c r="D1098" s="68"/>
      <c r="E1098" s="68"/>
      <c r="J1098" s="72"/>
      <c r="K1098" s="109"/>
      <c r="M1098" s="123"/>
    </row>
    <row r="1099" spans="4:13">
      <c r="D1099" s="68"/>
      <c r="E1099" s="68"/>
      <c r="J1099" s="72"/>
      <c r="K1099" s="109"/>
      <c r="M1099" s="123"/>
    </row>
    <row r="1100" spans="4:13">
      <c r="D1100" s="68"/>
      <c r="E1100" s="68"/>
      <c r="J1100" s="72"/>
      <c r="K1100" s="109"/>
      <c r="M1100" s="123"/>
    </row>
    <row r="1101" spans="4:13">
      <c r="D1101" s="68"/>
      <c r="E1101" s="68"/>
      <c r="J1101" s="72"/>
      <c r="K1101" s="109"/>
      <c r="M1101" s="123"/>
    </row>
    <row r="1102" spans="4:13">
      <c r="D1102" s="68"/>
      <c r="E1102" s="68"/>
      <c r="J1102" s="72"/>
      <c r="K1102" s="109"/>
      <c r="M1102" s="123"/>
    </row>
    <row r="1103" spans="4:13">
      <c r="D1103" s="68"/>
      <c r="E1103" s="68"/>
      <c r="J1103" s="72"/>
      <c r="K1103" s="109"/>
      <c r="M1103" s="123"/>
    </row>
    <row r="1104" spans="4:13">
      <c r="D1104" s="68"/>
      <c r="E1104" s="68"/>
      <c r="J1104" s="72"/>
      <c r="K1104" s="109"/>
      <c r="M1104" s="123"/>
    </row>
    <row r="1105" spans="4:13">
      <c r="D1105" s="68"/>
      <c r="E1105" s="68"/>
      <c r="J1105" s="72"/>
      <c r="K1105" s="109"/>
      <c r="M1105" s="123"/>
    </row>
    <row r="1106" spans="4:13">
      <c r="D1106" s="68"/>
      <c r="E1106" s="68"/>
      <c r="J1106" s="72"/>
      <c r="K1106" s="109"/>
      <c r="M1106" s="123"/>
    </row>
    <row r="1107" spans="4:13">
      <c r="D1107" s="68"/>
      <c r="E1107" s="68"/>
      <c r="J1107" s="72"/>
      <c r="K1107" s="109"/>
      <c r="M1107" s="123"/>
    </row>
    <row r="1108" spans="4:13">
      <c r="D1108" s="68"/>
      <c r="E1108" s="68"/>
      <c r="J1108" s="72"/>
      <c r="K1108" s="109"/>
      <c r="M1108" s="123"/>
    </row>
    <row r="1109" spans="4:13">
      <c r="D1109" s="68"/>
      <c r="E1109" s="68"/>
      <c r="J1109" s="72"/>
      <c r="K1109" s="109"/>
      <c r="M1109" s="123"/>
    </row>
    <row r="1110" spans="4:13">
      <c r="D1110" s="68"/>
      <c r="E1110" s="68"/>
      <c r="J1110" s="72"/>
      <c r="K1110" s="109"/>
      <c r="M1110" s="123"/>
    </row>
    <row r="1111" spans="4:13">
      <c r="D1111" s="68"/>
      <c r="E1111" s="68"/>
      <c r="J1111" s="72"/>
      <c r="K1111" s="109"/>
      <c r="M1111" s="123"/>
    </row>
    <row r="1112" spans="4:13">
      <c r="D1112" s="68"/>
      <c r="E1112" s="68"/>
      <c r="J1112" s="72"/>
      <c r="K1112" s="109"/>
      <c r="M1112" s="123"/>
    </row>
    <row r="1113" spans="4:13">
      <c r="D1113" s="68"/>
      <c r="E1113" s="68"/>
      <c r="J1113" s="72"/>
      <c r="K1113" s="109"/>
      <c r="M1113" s="123"/>
    </row>
    <row r="1114" spans="4:13">
      <c r="D1114" s="68"/>
      <c r="E1114" s="68"/>
      <c r="J1114" s="72"/>
      <c r="K1114" s="109"/>
      <c r="M1114" s="123"/>
    </row>
    <row r="1115" spans="4:13">
      <c r="D1115" s="68"/>
      <c r="E1115" s="68"/>
      <c r="J1115" s="72"/>
      <c r="K1115" s="109"/>
      <c r="M1115" s="123"/>
    </row>
    <row r="1116" spans="4:13">
      <c r="D1116" s="68"/>
      <c r="E1116" s="68"/>
      <c r="J1116" s="72"/>
      <c r="K1116" s="109"/>
      <c r="M1116" s="123"/>
    </row>
    <row r="1117" spans="4:13">
      <c r="D1117" s="68"/>
      <c r="E1117" s="68"/>
      <c r="J1117" s="72"/>
      <c r="K1117" s="109"/>
      <c r="M1117" s="123"/>
    </row>
    <row r="1118" spans="4:13">
      <c r="D1118" s="68"/>
      <c r="E1118" s="68"/>
      <c r="J1118" s="72"/>
      <c r="K1118" s="109"/>
      <c r="M1118" s="123"/>
    </row>
    <row r="1119" spans="4:13">
      <c r="D1119" s="68"/>
      <c r="E1119" s="68"/>
      <c r="J1119" s="72"/>
      <c r="K1119" s="109"/>
      <c r="M1119" s="123"/>
    </row>
    <row r="1120" spans="4:13">
      <c r="D1120" s="68"/>
      <c r="E1120" s="68"/>
      <c r="J1120" s="72"/>
      <c r="K1120" s="109"/>
      <c r="M1120" s="123"/>
    </row>
    <row r="1121" spans="4:13">
      <c r="D1121" s="68"/>
      <c r="E1121" s="68"/>
      <c r="J1121" s="72"/>
      <c r="K1121" s="109"/>
      <c r="M1121" s="123"/>
    </row>
    <row r="1122" spans="4:13">
      <c r="D1122" s="68"/>
      <c r="E1122" s="68"/>
      <c r="J1122" s="72"/>
      <c r="K1122" s="109"/>
      <c r="M1122" s="123"/>
    </row>
    <row r="1123" spans="4:13">
      <c r="D1123" s="68"/>
      <c r="E1123" s="68"/>
      <c r="J1123" s="72"/>
      <c r="K1123" s="109"/>
      <c r="M1123" s="123"/>
    </row>
    <row r="1124" spans="4:13">
      <c r="D1124" s="68"/>
      <c r="E1124" s="68"/>
      <c r="J1124" s="72"/>
      <c r="K1124" s="109"/>
      <c r="M1124" s="123"/>
    </row>
    <row r="1125" spans="4:13">
      <c r="D1125" s="68"/>
      <c r="E1125" s="68"/>
      <c r="J1125" s="72"/>
      <c r="K1125" s="109"/>
      <c r="M1125" s="123"/>
    </row>
    <row r="1126" spans="4:13">
      <c r="D1126" s="68"/>
      <c r="E1126" s="68"/>
      <c r="J1126" s="72"/>
      <c r="K1126" s="109"/>
      <c r="M1126" s="123"/>
    </row>
    <row r="1127" spans="4:13">
      <c r="D1127" s="68"/>
      <c r="E1127" s="68"/>
      <c r="J1127" s="72"/>
      <c r="K1127" s="109"/>
      <c r="M1127" s="123"/>
    </row>
    <row r="1128" spans="4:13">
      <c r="D1128" s="68"/>
      <c r="E1128" s="68"/>
      <c r="J1128" s="72"/>
      <c r="K1128" s="109"/>
      <c r="M1128" s="123"/>
    </row>
    <row r="1129" spans="4:13">
      <c r="D1129" s="68"/>
      <c r="E1129" s="68"/>
      <c r="J1129" s="72"/>
      <c r="K1129" s="109"/>
      <c r="M1129" s="123"/>
    </row>
    <row r="1130" spans="4:13">
      <c r="D1130" s="68"/>
      <c r="E1130" s="68"/>
      <c r="J1130" s="72"/>
      <c r="K1130" s="109"/>
      <c r="M1130" s="123"/>
    </row>
    <row r="1131" spans="4:13">
      <c r="D1131" s="68"/>
      <c r="E1131" s="68"/>
      <c r="J1131" s="72"/>
      <c r="K1131" s="109"/>
      <c r="M1131" s="123"/>
    </row>
    <row r="1132" spans="4:13">
      <c r="D1132" s="68"/>
      <c r="E1132" s="68"/>
      <c r="J1132" s="72"/>
      <c r="K1132" s="109"/>
      <c r="M1132" s="123"/>
    </row>
    <row r="1133" spans="4:13">
      <c r="D1133" s="68"/>
      <c r="E1133" s="68"/>
      <c r="J1133" s="72"/>
      <c r="K1133" s="109"/>
      <c r="M1133" s="123"/>
    </row>
    <row r="1134" spans="4:13">
      <c r="D1134" s="68"/>
      <c r="E1134" s="68"/>
      <c r="J1134" s="72"/>
      <c r="K1134" s="109"/>
      <c r="M1134" s="123"/>
    </row>
    <row r="1135" spans="4:13">
      <c r="D1135" s="68"/>
      <c r="E1135" s="68"/>
      <c r="J1135" s="72"/>
      <c r="K1135" s="109"/>
      <c r="M1135" s="123"/>
    </row>
    <row r="1136" spans="4:13">
      <c r="D1136" s="68"/>
      <c r="E1136" s="68"/>
      <c r="J1136" s="72"/>
      <c r="K1136" s="109"/>
      <c r="M1136" s="123"/>
    </row>
    <row r="1137" spans="4:13">
      <c r="D1137" s="68"/>
      <c r="E1137" s="68"/>
      <c r="J1137" s="72"/>
      <c r="K1137" s="109"/>
      <c r="M1137" s="123"/>
    </row>
    <row r="1138" spans="4:13">
      <c r="D1138" s="68"/>
      <c r="E1138" s="68"/>
      <c r="J1138" s="72"/>
      <c r="K1138" s="109"/>
      <c r="M1138" s="123"/>
    </row>
    <row r="1139" spans="4:13">
      <c r="D1139" s="68"/>
      <c r="E1139" s="68"/>
      <c r="F1139" s="111"/>
      <c r="G1139" s="111"/>
      <c r="J1139" s="72"/>
      <c r="K1139" s="109"/>
      <c r="M1139" s="123"/>
    </row>
    <row r="1140" spans="4:13">
      <c r="D1140" s="68"/>
      <c r="E1140" s="68"/>
      <c r="J1140" s="72"/>
      <c r="K1140" s="109"/>
      <c r="M1140" s="123"/>
    </row>
    <row r="1141" spans="4:13">
      <c r="D1141" s="68"/>
      <c r="E1141" s="68"/>
      <c r="J1141" s="72"/>
      <c r="K1141" s="109"/>
      <c r="M1141" s="123"/>
    </row>
    <row r="1142" spans="4:13">
      <c r="D1142" s="68"/>
      <c r="E1142" s="68"/>
      <c r="J1142" s="72"/>
      <c r="K1142" s="109"/>
      <c r="M1142" s="123"/>
    </row>
    <row r="1143" spans="4:13">
      <c r="D1143" s="68"/>
      <c r="E1143" s="68"/>
      <c r="F1143" s="111"/>
      <c r="G1143" s="111"/>
      <c r="J1143" s="72"/>
      <c r="K1143" s="109"/>
      <c r="M1143" s="123"/>
    </row>
    <row r="1144" spans="4:13">
      <c r="D1144" s="68"/>
      <c r="E1144" s="68"/>
      <c r="J1144" s="72"/>
      <c r="K1144" s="109"/>
      <c r="M1144" s="123"/>
    </row>
    <row r="1145" spans="4:13">
      <c r="D1145" s="68"/>
      <c r="E1145" s="68"/>
      <c r="F1145" s="111"/>
      <c r="G1145" s="111"/>
      <c r="J1145" s="72"/>
      <c r="K1145" s="109"/>
      <c r="M1145" s="123"/>
    </row>
    <row r="1146" spans="4:13">
      <c r="D1146" s="68"/>
      <c r="E1146" s="68"/>
      <c r="J1146" s="72"/>
      <c r="K1146" s="109"/>
      <c r="M1146" s="123"/>
    </row>
    <row r="1147" spans="4:13">
      <c r="D1147" s="68"/>
      <c r="E1147" s="68"/>
      <c r="J1147" s="72"/>
      <c r="K1147" s="109"/>
      <c r="M1147" s="123"/>
    </row>
    <row r="1148" spans="4:13">
      <c r="D1148" s="68"/>
      <c r="E1148" s="68"/>
      <c r="J1148" s="72"/>
      <c r="K1148" s="109"/>
      <c r="M1148" s="123"/>
    </row>
    <row r="1149" spans="4:13">
      <c r="D1149" s="68"/>
      <c r="E1149" s="68"/>
      <c r="J1149" s="72"/>
      <c r="K1149" s="109"/>
      <c r="M1149" s="123"/>
    </row>
    <row r="1150" spans="4:13">
      <c r="D1150" s="68"/>
      <c r="E1150" s="68"/>
      <c r="J1150" s="72"/>
      <c r="K1150" s="109"/>
      <c r="M1150" s="123"/>
    </row>
    <row r="1151" spans="4:13">
      <c r="D1151" s="68"/>
      <c r="E1151" s="68"/>
      <c r="J1151" s="72"/>
      <c r="K1151" s="109"/>
      <c r="M1151" s="123"/>
    </row>
    <row r="1152" spans="4:13">
      <c r="D1152" s="68"/>
      <c r="E1152" s="68"/>
      <c r="J1152" s="72"/>
      <c r="K1152" s="109"/>
      <c r="M1152" s="123"/>
    </row>
    <row r="1153" spans="4:13">
      <c r="D1153" s="68"/>
      <c r="E1153" s="68"/>
      <c r="J1153" s="72"/>
      <c r="K1153" s="109"/>
      <c r="M1153" s="123"/>
    </row>
    <row r="1154" spans="4:13">
      <c r="D1154" s="68"/>
      <c r="E1154" s="68"/>
      <c r="J1154" s="72"/>
      <c r="K1154" s="109"/>
      <c r="M1154" s="123"/>
    </row>
    <row r="1155" spans="4:13">
      <c r="D1155" s="68"/>
      <c r="E1155" s="68"/>
      <c r="J1155" s="72"/>
      <c r="K1155" s="109"/>
      <c r="M1155" s="123"/>
    </row>
    <row r="1156" spans="4:13">
      <c r="D1156" s="68"/>
      <c r="E1156" s="68"/>
      <c r="J1156" s="72"/>
      <c r="K1156" s="109"/>
      <c r="M1156" s="123"/>
    </row>
    <row r="1157" spans="4:13">
      <c r="D1157" s="68"/>
      <c r="E1157" s="68"/>
      <c r="J1157" s="72"/>
      <c r="K1157" s="109"/>
      <c r="M1157" s="123"/>
    </row>
    <row r="1158" spans="4:13">
      <c r="D1158" s="68"/>
      <c r="E1158" s="68"/>
      <c r="J1158" s="72"/>
      <c r="K1158" s="109"/>
      <c r="M1158" s="123"/>
    </row>
    <row r="1159" spans="4:13">
      <c r="D1159" s="68"/>
      <c r="E1159" s="68"/>
      <c r="J1159" s="72"/>
      <c r="K1159" s="109"/>
      <c r="M1159" s="123"/>
    </row>
    <row r="1160" spans="4:13">
      <c r="D1160" s="68"/>
      <c r="E1160" s="68"/>
      <c r="J1160" s="72"/>
      <c r="K1160" s="109"/>
      <c r="M1160" s="123"/>
    </row>
    <row r="1161" spans="4:13">
      <c r="D1161" s="68"/>
      <c r="E1161" s="68"/>
      <c r="J1161" s="72"/>
      <c r="K1161" s="109"/>
      <c r="M1161" s="123"/>
    </row>
    <row r="1162" spans="4:13">
      <c r="D1162" s="68"/>
      <c r="E1162" s="68"/>
      <c r="J1162" s="72"/>
      <c r="K1162" s="109"/>
      <c r="M1162" s="123"/>
    </row>
    <row r="1163" spans="4:13">
      <c r="D1163" s="68"/>
      <c r="E1163" s="68"/>
      <c r="J1163" s="72"/>
      <c r="K1163" s="109"/>
      <c r="M1163" s="123"/>
    </row>
    <row r="1164" spans="4:13">
      <c r="D1164" s="68"/>
      <c r="E1164" s="68"/>
      <c r="F1164" s="111"/>
      <c r="G1164" s="111"/>
      <c r="J1164" s="72"/>
      <c r="K1164" s="109"/>
      <c r="M1164" s="123"/>
    </row>
    <row r="1165" spans="4:13">
      <c r="D1165" s="68"/>
      <c r="E1165" s="68"/>
      <c r="J1165" s="72"/>
      <c r="K1165" s="109"/>
      <c r="M1165" s="123"/>
    </row>
    <row r="1166" spans="4:13">
      <c r="D1166" s="68"/>
      <c r="E1166" s="68"/>
      <c r="J1166" s="72"/>
      <c r="K1166" s="109"/>
      <c r="M1166" s="123"/>
    </row>
    <row r="1167" spans="4:13">
      <c r="D1167" s="68"/>
      <c r="E1167" s="68"/>
      <c r="J1167" s="72"/>
      <c r="K1167" s="109"/>
      <c r="M1167" s="123"/>
    </row>
    <row r="1168" spans="4:13">
      <c r="D1168" s="68"/>
      <c r="E1168" s="68"/>
      <c r="J1168" s="72"/>
      <c r="K1168" s="109"/>
      <c r="M1168" s="123"/>
    </row>
    <row r="1169" spans="4:13">
      <c r="D1169" s="68"/>
      <c r="E1169" s="68"/>
      <c r="F1169" s="111"/>
      <c r="G1169" s="111"/>
      <c r="J1169" s="72"/>
      <c r="K1169" s="109"/>
      <c r="M1169" s="123"/>
    </row>
    <row r="1170" spans="4:13">
      <c r="D1170" s="68"/>
      <c r="E1170" s="68"/>
      <c r="J1170" s="72"/>
      <c r="K1170" s="109"/>
      <c r="M1170" s="123"/>
    </row>
    <row r="1171" spans="4:13">
      <c r="D1171" s="68"/>
      <c r="E1171" s="68"/>
      <c r="F1171" s="111"/>
      <c r="G1171" s="111"/>
      <c r="J1171" s="72"/>
      <c r="K1171" s="109"/>
      <c r="M1171" s="123"/>
    </row>
    <row r="1172" spans="4:13">
      <c r="D1172" s="68"/>
      <c r="E1172" s="68"/>
      <c r="F1172" s="111"/>
      <c r="G1172" s="111"/>
      <c r="J1172" s="72"/>
      <c r="K1172" s="109"/>
      <c r="M1172" s="123"/>
    </row>
    <row r="1173" spans="4:13">
      <c r="D1173" s="68"/>
      <c r="E1173" s="68"/>
      <c r="J1173" s="72"/>
      <c r="K1173" s="109"/>
      <c r="M1173" s="123"/>
    </row>
    <row r="1174" spans="4:13">
      <c r="D1174" s="68"/>
      <c r="E1174" s="68"/>
      <c r="F1174" s="111"/>
      <c r="G1174" s="111"/>
      <c r="J1174" s="72"/>
      <c r="K1174" s="109"/>
      <c r="M1174" s="123"/>
    </row>
    <row r="1175" spans="4:13">
      <c r="D1175" s="68"/>
      <c r="E1175" s="68"/>
      <c r="J1175" s="72"/>
      <c r="K1175" s="109"/>
      <c r="M1175" s="123"/>
    </row>
    <row r="1176" spans="4:13">
      <c r="D1176" s="68"/>
      <c r="E1176" s="68"/>
      <c r="J1176" s="72"/>
      <c r="K1176" s="109"/>
      <c r="M1176" s="123"/>
    </row>
    <row r="1177" spans="4:13">
      <c r="D1177" s="68"/>
      <c r="E1177" s="68"/>
      <c r="F1177" s="111"/>
      <c r="G1177" s="111"/>
      <c r="J1177" s="72"/>
      <c r="K1177" s="109"/>
      <c r="M1177" s="123"/>
    </row>
    <row r="1178" spans="4:13">
      <c r="D1178" s="68"/>
      <c r="E1178" s="68"/>
      <c r="F1178" s="111"/>
      <c r="G1178" s="111"/>
      <c r="J1178" s="72"/>
      <c r="K1178" s="109"/>
      <c r="M1178" s="123"/>
    </row>
    <row r="1179" spans="4:13">
      <c r="D1179" s="68"/>
      <c r="E1179" s="68"/>
      <c r="F1179" s="111"/>
      <c r="G1179" s="111"/>
      <c r="J1179" s="72"/>
      <c r="K1179" s="109"/>
      <c r="M1179" s="123"/>
    </row>
    <row r="1180" spans="4:13">
      <c r="D1180" s="68"/>
      <c r="E1180" s="68"/>
      <c r="F1180" s="111"/>
      <c r="G1180" s="111"/>
      <c r="J1180" s="72"/>
      <c r="K1180" s="109"/>
      <c r="M1180" s="123"/>
    </row>
    <row r="1181" spans="4:13">
      <c r="D1181" s="68"/>
      <c r="E1181" s="68"/>
      <c r="F1181" s="111"/>
      <c r="G1181" s="111"/>
      <c r="J1181" s="72"/>
      <c r="K1181" s="109"/>
      <c r="M1181" s="123"/>
    </row>
    <row r="1182" spans="4:13">
      <c r="D1182" s="68"/>
      <c r="E1182" s="68"/>
      <c r="F1182" s="111"/>
      <c r="G1182" s="111"/>
      <c r="J1182" s="72"/>
      <c r="K1182" s="109"/>
      <c r="M1182" s="123"/>
    </row>
    <row r="1183" spans="4:13">
      <c r="D1183" s="68"/>
      <c r="E1183" s="68"/>
      <c r="F1183" s="111"/>
      <c r="G1183" s="111"/>
      <c r="J1183" s="72"/>
      <c r="K1183" s="109"/>
      <c r="M1183" s="123"/>
    </row>
    <row r="1184" spans="4:13">
      <c r="D1184" s="68"/>
      <c r="E1184" s="68"/>
      <c r="F1184" s="111"/>
      <c r="G1184" s="111"/>
      <c r="J1184" s="72"/>
      <c r="K1184" s="109"/>
      <c r="M1184" s="123"/>
    </row>
    <row r="1185" spans="4:13">
      <c r="D1185" s="68"/>
      <c r="E1185" s="68"/>
      <c r="F1185" s="111"/>
      <c r="G1185" s="111"/>
      <c r="J1185" s="72"/>
      <c r="K1185" s="109"/>
      <c r="M1185" s="123"/>
    </row>
    <row r="1186" spans="4:13">
      <c r="D1186" s="68"/>
      <c r="E1186" s="68"/>
      <c r="F1186" s="111"/>
      <c r="G1186" s="111"/>
      <c r="J1186" s="72"/>
      <c r="K1186" s="109"/>
      <c r="M1186" s="123"/>
    </row>
    <row r="1187" spans="4:13">
      <c r="D1187" s="68"/>
      <c r="E1187" s="68"/>
      <c r="F1187" s="111"/>
      <c r="G1187" s="111"/>
      <c r="J1187" s="72"/>
      <c r="K1187" s="109"/>
      <c r="M1187" s="123"/>
    </row>
    <row r="1188" spans="4:13">
      <c r="D1188" s="68"/>
      <c r="E1188" s="68"/>
      <c r="F1188" s="111"/>
      <c r="G1188" s="111"/>
      <c r="J1188" s="72"/>
      <c r="K1188" s="109"/>
      <c r="M1188" s="123"/>
    </row>
    <row r="1189" spans="4:13">
      <c r="D1189" s="68"/>
      <c r="E1189" s="68"/>
      <c r="F1189" s="111"/>
      <c r="G1189" s="111"/>
      <c r="J1189" s="72"/>
      <c r="K1189" s="109"/>
      <c r="M1189" s="123"/>
    </row>
    <row r="1190" spans="4:13">
      <c r="D1190" s="68"/>
      <c r="E1190" s="68"/>
      <c r="F1190" s="111"/>
      <c r="G1190" s="111"/>
      <c r="J1190" s="72"/>
      <c r="K1190" s="109"/>
      <c r="M1190" s="123"/>
    </row>
    <row r="1191" spans="4:13">
      <c r="D1191" s="68"/>
      <c r="E1191" s="68"/>
      <c r="F1191" s="111"/>
      <c r="G1191" s="111"/>
      <c r="J1191" s="72"/>
      <c r="K1191" s="109"/>
      <c r="M1191" s="123"/>
    </row>
    <row r="1192" spans="4:13">
      <c r="D1192" s="68"/>
      <c r="E1192" s="68"/>
      <c r="F1192" s="111"/>
      <c r="G1192" s="111"/>
      <c r="J1192" s="72"/>
      <c r="K1192" s="109"/>
      <c r="M1192" s="123"/>
    </row>
    <row r="1193" spans="4:13">
      <c r="D1193" s="68"/>
      <c r="E1193" s="68"/>
      <c r="F1193" s="111"/>
      <c r="G1193" s="111"/>
      <c r="J1193" s="72"/>
      <c r="K1193" s="109"/>
      <c r="M1193" s="123"/>
    </row>
    <row r="1194" spans="4:13">
      <c r="D1194" s="68"/>
      <c r="E1194" s="68"/>
      <c r="F1194" s="111"/>
      <c r="G1194" s="111"/>
      <c r="J1194" s="72"/>
      <c r="K1194" s="109"/>
      <c r="M1194" s="123"/>
    </row>
    <row r="1195" spans="4:13">
      <c r="D1195" s="68"/>
      <c r="E1195" s="68"/>
      <c r="F1195" s="111"/>
      <c r="G1195" s="111"/>
      <c r="J1195" s="72"/>
      <c r="K1195" s="109"/>
      <c r="M1195" s="123"/>
    </row>
    <row r="1196" spans="4:13">
      <c r="D1196" s="68"/>
      <c r="E1196" s="68"/>
      <c r="F1196" s="111"/>
      <c r="G1196" s="111"/>
      <c r="J1196" s="72"/>
      <c r="K1196" s="109"/>
      <c r="M1196" s="123"/>
    </row>
    <row r="1197" spans="4:13">
      <c r="D1197" s="68"/>
      <c r="E1197" s="68"/>
      <c r="F1197" s="111"/>
      <c r="G1197" s="111"/>
      <c r="J1197" s="72"/>
      <c r="K1197" s="109"/>
      <c r="M1197" s="123"/>
    </row>
    <row r="1198" spans="4:13">
      <c r="D1198" s="68"/>
      <c r="E1198" s="68"/>
      <c r="F1198" s="111"/>
      <c r="G1198" s="111"/>
      <c r="J1198" s="72"/>
      <c r="K1198" s="109"/>
      <c r="M1198" s="123"/>
    </row>
    <row r="1199" spans="4:13">
      <c r="D1199" s="68"/>
      <c r="E1199" s="68"/>
      <c r="F1199" s="111"/>
      <c r="G1199" s="111"/>
      <c r="J1199" s="72"/>
      <c r="K1199" s="109"/>
      <c r="M1199" s="123"/>
    </row>
    <row r="1200" spans="4:13">
      <c r="D1200" s="68"/>
      <c r="E1200" s="68"/>
      <c r="F1200" s="111"/>
      <c r="G1200" s="111"/>
      <c r="J1200" s="72"/>
      <c r="K1200" s="109"/>
      <c r="M1200" s="123"/>
    </row>
    <row r="1201" spans="4:13">
      <c r="D1201" s="68"/>
      <c r="E1201" s="68"/>
      <c r="F1201" s="111"/>
      <c r="G1201" s="111"/>
      <c r="J1201" s="72"/>
      <c r="K1201" s="109"/>
      <c r="M1201" s="123"/>
    </row>
    <row r="1202" spans="4:13">
      <c r="D1202" s="68"/>
      <c r="E1202" s="68"/>
      <c r="F1202" s="111"/>
      <c r="G1202" s="111"/>
      <c r="J1202" s="72"/>
      <c r="K1202" s="109"/>
      <c r="M1202" s="123"/>
    </row>
    <row r="1203" spans="4:13">
      <c r="D1203" s="68"/>
      <c r="E1203" s="68"/>
      <c r="F1203" s="111"/>
      <c r="G1203" s="111"/>
      <c r="J1203" s="72"/>
      <c r="K1203" s="109"/>
      <c r="M1203" s="123"/>
    </row>
    <row r="1204" spans="4:13">
      <c r="D1204" s="68"/>
      <c r="E1204" s="68"/>
      <c r="F1204" s="111"/>
      <c r="G1204" s="111"/>
      <c r="J1204" s="72"/>
      <c r="K1204" s="109"/>
      <c r="M1204" s="123"/>
    </row>
    <row r="1205" spans="4:13">
      <c r="D1205" s="68"/>
      <c r="E1205" s="68"/>
      <c r="F1205" s="111"/>
      <c r="G1205" s="111"/>
      <c r="J1205" s="72"/>
      <c r="K1205" s="109"/>
      <c r="M1205" s="123"/>
    </row>
    <row r="1206" spans="4:13">
      <c r="D1206" s="68"/>
      <c r="E1206" s="68"/>
      <c r="F1206" s="111"/>
      <c r="G1206" s="111"/>
      <c r="J1206" s="72"/>
      <c r="K1206" s="109"/>
      <c r="M1206" s="123"/>
    </row>
    <row r="1207" spans="4:13">
      <c r="D1207" s="68"/>
      <c r="E1207" s="68"/>
      <c r="F1207" s="111"/>
      <c r="G1207" s="111"/>
      <c r="J1207" s="72"/>
      <c r="K1207" s="109"/>
      <c r="M1207" s="123"/>
    </row>
    <row r="1208" spans="4:13">
      <c r="D1208" s="68"/>
      <c r="E1208" s="68"/>
      <c r="F1208" s="111"/>
      <c r="G1208" s="111"/>
      <c r="J1208" s="72"/>
      <c r="K1208" s="109"/>
      <c r="M1208" s="123"/>
    </row>
    <row r="1209" spans="4:13">
      <c r="D1209" s="68"/>
      <c r="E1209" s="68"/>
      <c r="F1209" s="111"/>
      <c r="G1209" s="111"/>
      <c r="J1209" s="72"/>
      <c r="K1209" s="109"/>
      <c r="M1209" s="123"/>
    </row>
    <row r="1210" spans="4:13">
      <c r="D1210" s="68"/>
      <c r="E1210" s="68"/>
      <c r="F1210" s="111"/>
      <c r="G1210" s="111"/>
      <c r="J1210" s="72"/>
      <c r="K1210" s="109"/>
      <c r="M1210" s="123"/>
    </row>
    <row r="1211" spans="4:13">
      <c r="D1211" s="68"/>
      <c r="E1211" s="68"/>
      <c r="F1211" s="111"/>
      <c r="G1211" s="111"/>
      <c r="J1211" s="72"/>
      <c r="K1211" s="109"/>
      <c r="M1211" s="123"/>
    </row>
    <row r="1212" spans="4:13">
      <c r="D1212" s="68"/>
      <c r="E1212" s="68"/>
      <c r="F1212" s="111"/>
      <c r="G1212" s="111"/>
      <c r="J1212" s="72"/>
      <c r="K1212" s="109"/>
      <c r="M1212" s="123"/>
    </row>
    <row r="1213" spans="4:13">
      <c r="D1213" s="68"/>
      <c r="E1213" s="68"/>
      <c r="F1213" s="111"/>
      <c r="G1213" s="111"/>
      <c r="J1213" s="72"/>
      <c r="K1213" s="109"/>
      <c r="M1213" s="123"/>
    </row>
    <row r="1214" spans="4:13">
      <c r="D1214" s="68"/>
      <c r="E1214" s="68"/>
      <c r="F1214" s="111"/>
      <c r="G1214" s="111"/>
      <c r="J1214" s="72"/>
      <c r="K1214" s="109"/>
      <c r="M1214" s="123"/>
    </row>
    <row r="1215" spans="4:13">
      <c r="D1215" s="68"/>
      <c r="E1215" s="68"/>
      <c r="F1215" s="111"/>
      <c r="G1215" s="111"/>
      <c r="J1215" s="72"/>
      <c r="K1215" s="109"/>
      <c r="M1215" s="123"/>
    </row>
    <row r="1216" spans="4:13">
      <c r="D1216" s="68"/>
      <c r="E1216" s="68"/>
      <c r="F1216" s="111"/>
      <c r="G1216" s="111"/>
      <c r="J1216" s="72"/>
      <c r="K1216" s="109"/>
      <c r="M1216" s="123"/>
    </row>
    <row r="1217" spans="4:13">
      <c r="D1217" s="68"/>
      <c r="E1217" s="68"/>
      <c r="F1217" s="111"/>
      <c r="G1217" s="111"/>
      <c r="J1217" s="72"/>
      <c r="K1217" s="109"/>
      <c r="M1217" s="123"/>
    </row>
    <row r="1218" spans="4:13">
      <c r="D1218" s="68"/>
      <c r="E1218" s="68"/>
      <c r="F1218" s="111"/>
      <c r="G1218" s="111"/>
      <c r="J1218" s="72"/>
      <c r="K1218" s="109"/>
      <c r="M1218" s="123"/>
    </row>
    <row r="1219" spans="4:13">
      <c r="D1219" s="68"/>
      <c r="E1219" s="68"/>
      <c r="F1219" s="111"/>
      <c r="G1219" s="111"/>
      <c r="J1219" s="72"/>
      <c r="K1219" s="109"/>
      <c r="M1219" s="123"/>
    </row>
    <row r="1220" spans="4:13">
      <c r="D1220" s="68"/>
      <c r="E1220" s="68"/>
      <c r="F1220" s="111"/>
      <c r="G1220" s="111"/>
      <c r="J1220" s="72"/>
      <c r="K1220" s="109"/>
      <c r="M1220" s="123"/>
    </row>
    <row r="1221" spans="4:13">
      <c r="D1221" s="68"/>
      <c r="E1221" s="68"/>
      <c r="F1221" s="111"/>
      <c r="G1221" s="111"/>
      <c r="J1221" s="72"/>
      <c r="K1221" s="109"/>
      <c r="M1221" s="123"/>
    </row>
    <row r="1222" spans="4:13">
      <c r="D1222" s="68"/>
      <c r="E1222" s="68"/>
      <c r="F1222" s="111"/>
      <c r="G1222" s="111"/>
      <c r="J1222" s="72"/>
      <c r="K1222" s="109"/>
      <c r="M1222" s="123"/>
    </row>
    <row r="1223" spans="4:13">
      <c r="D1223" s="68"/>
      <c r="E1223" s="68"/>
      <c r="F1223" s="111"/>
      <c r="G1223" s="111"/>
      <c r="J1223" s="72"/>
      <c r="K1223" s="109"/>
      <c r="M1223" s="123"/>
    </row>
    <row r="1224" spans="4:13">
      <c r="D1224" s="68"/>
      <c r="E1224" s="68"/>
      <c r="F1224" s="111"/>
      <c r="G1224" s="111"/>
      <c r="J1224" s="72"/>
      <c r="K1224" s="109"/>
      <c r="M1224" s="123"/>
    </row>
    <row r="1225" spans="4:13">
      <c r="D1225" s="68"/>
      <c r="E1225" s="68"/>
      <c r="F1225" s="111"/>
      <c r="G1225" s="111"/>
      <c r="J1225" s="72"/>
      <c r="K1225" s="109"/>
      <c r="M1225" s="123"/>
    </row>
    <row r="1226" spans="4:13">
      <c r="D1226" s="68"/>
      <c r="E1226" s="68"/>
      <c r="F1226" s="111"/>
      <c r="G1226" s="111"/>
      <c r="J1226" s="72"/>
      <c r="K1226" s="109"/>
      <c r="M1226" s="123"/>
    </row>
    <row r="1227" spans="4:13">
      <c r="D1227" s="68"/>
      <c r="E1227" s="68"/>
      <c r="F1227" s="111"/>
      <c r="G1227" s="111"/>
      <c r="J1227" s="72"/>
      <c r="K1227" s="109"/>
      <c r="M1227" s="123"/>
    </row>
    <row r="1228" spans="4:13">
      <c r="D1228" s="68"/>
      <c r="E1228" s="68"/>
      <c r="F1228" s="111"/>
      <c r="G1228" s="111"/>
      <c r="J1228" s="72"/>
      <c r="K1228" s="109"/>
      <c r="M1228" s="123"/>
    </row>
    <row r="1229" spans="4:13">
      <c r="D1229" s="68"/>
      <c r="E1229" s="68"/>
      <c r="F1229" s="111"/>
      <c r="G1229" s="111"/>
      <c r="J1229" s="72"/>
      <c r="K1229" s="109"/>
      <c r="M1229" s="123"/>
    </row>
    <row r="1230" spans="4:13">
      <c r="D1230" s="68"/>
      <c r="E1230" s="68"/>
      <c r="F1230" s="111"/>
      <c r="G1230" s="111"/>
      <c r="J1230" s="72"/>
      <c r="K1230" s="109"/>
      <c r="M1230" s="123"/>
    </row>
    <row r="1231" spans="4:13">
      <c r="D1231" s="68"/>
      <c r="E1231" s="68"/>
      <c r="F1231" s="111"/>
      <c r="G1231" s="111"/>
      <c r="J1231" s="72"/>
      <c r="K1231" s="109"/>
      <c r="M1231" s="123"/>
    </row>
    <row r="1232" spans="4:13">
      <c r="D1232" s="68"/>
      <c r="E1232" s="68"/>
      <c r="F1232" s="111"/>
      <c r="G1232" s="111"/>
      <c r="J1232" s="72"/>
      <c r="K1232" s="109"/>
      <c r="M1232" s="123"/>
    </row>
    <row r="1233" spans="4:13">
      <c r="D1233" s="68"/>
      <c r="E1233" s="68"/>
      <c r="F1233" s="111"/>
      <c r="G1233" s="111"/>
      <c r="J1233" s="72"/>
      <c r="K1233" s="109"/>
      <c r="M1233" s="123"/>
    </row>
    <row r="1234" spans="4:13">
      <c r="D1234" s="68"/>
      <c r="E1234" s="68"/>
      <c r="F1234" s="111"/>
      <c r="G1234" s="111"/>
      <c r="J1234" s="72"/>
      <c r="K1234" s="109"/>
      <c r="M1234" s="123"/>
    </row>
    <row r="1235" spans="4:13">
      <c r="D1235" s="68"/>
      <c r="E1235" s="68"/>
      <c r="F1235" s="111"/>
      <c r="G1235" s="111"/>
      <c r="J1235" s="72"/>
      <c r="K1235" s="109"/>
      <c r="M1235" s="123"/>
    </row>
    <row r="1236" spans="4:13">
      <c r="D1236" s="68"/>
      <c r="E1236" s="68"/>
      <c r="F1236" s="111"/>
      <c r="G1236" s="111"/>
      <c r="J1236" s="72"/>
      <c r="K1236" s="109"/>
      <c r="M1236" s="123"/>
    </row>
    <row r="1237" spans="4:13">
      <c r="D1237" s="68"/>
      <c r="E1237" s="68"/>
      <c r="F1237" s="111"/>
      <c r="G1237" s="111"/>
      <c r="J1237" s="72"/>
      <c r="K1237" s="109"/>
      <c r="M1237" s="123"/>
    </row>
    <row r="1238" spans="4:13">
      <c r="D1238" s="68"/>
      <c r="E1238" s="68"/>
      <c r="F1238" s="111"/>
      <c r="G1238" s="111"/>
      <c r="J1238" s="72"/>
      <c r="K1238" s="109"/>
      <c r="M1238" s="123"/>
    </row>
    <row r="1239" spans="4:13">
      <c r="D1239" s="68"/>
      <c r="E1239" s="68"/>
      <c r="F1239" s="111"/>
      <c r="G1239" s="111"/>
      <c r="J1239" s="72"/>
      <c r="K1239" s="109"/>
      <c r="M1239" s="123"/>
    </row>
    <row r="1240" spans="4:13">
      <c r="D1240" s="68"/>
      <c r="E1240" s="68"/>
      <c r="F1240" s="111"/>
      <c r="G1240" s="111"/>
      <c r="J1240" s="72"/>
      <c r="K1240" s="109"/>
      <c r="M1240" s="123"/>
    </row>
    <row r="1241" spans="4:13">
      <c r="D1241" s="68"/>
      <c r="E1241" s="68"/>
      <c r="F1241" s="111"/>
      <c r="G1241" s="111"/>
      <c r="J1241" s="72"/>
      <c r="K1241" s="109"/>
      <c r="M1241" s="123"/>
    </row>
    <row r="1242" spans="4:13">
      <c r="D1242" s="68"/>
      <c r="E1242" s="68"/>
      <c r="F1242" s="111"/>
      <c r="G1242" s="111"/>
      <c r="J1242" s="72"/>
      <c r="K1242" s="109"/>
      <c r="M1242" s="123"/>
    </row>
    <row r="1243" spans="4:13">
      <c r="D1243" s="68"/>
      <c r="E1243" s="68"/>
      <c r="F1243" s="111"/>
      <c r="G1243" s="111"/>
      <c r="J1243" s="72"/>
      <c r="K1243" s="109"/>
      <c r="M1243" s="123"/>
    </row>
    <row r="1244" spans="4:13">
      <c r="D1244" s="68"/>
      <c r="E1244" s="68"/>
      <c r="F1244" s="111"/>
      <c r="G1244" s="111"/>
      <c r="J1244" s="72"/>
      <c r="K1244" s="109"/>
      <c r="M1244" s="123"/>
    </row>
    <row r="1245" spans="4:13">
      <c r="D1245" s="68"/>
      <c r="E1245" s="68"/>
      <c r="F1245" s="111"/>
      <c r="G1245" s="111"/>
      <c r="J1245" s="72"/>
      <c r="K1245" s="109"/>
      <c r="M1245" s="123"/>
    </row>
    <row r="1246" spans="4:13">
      <c r="D1246" s="68"/>
      <c r="E1246" s="68"/>
      <c r="F1246" s="111"/>
      <c r="G1246" s="111"/>
      <c r="J1246" s="72"/>
      <c r="K1246" s="109"/>
      <c r="M1246" s="123"/>
    </row>
    <row r="1247" spans="4:13">
      <c r="D1247" s="68"/>
      <c r="E1247" s="68"/>
      <c r="F1247" s="111"/>
      <c r="G1247" s="111"/>
      <c r="J1247" s="72"/>
      <c r="K1247" s="109"/>
      <c r="M1247" s="123"/>
    </row>
    <row r="1248" spans="4:13">
      <c r="D1248" s="68"/>
      <c r="E1248" s="68"/>
      <c r="F1248" s="111"/>
      <c r="G1248" s="111"/>
      <c r="J1248" s="72"/>
      <c r="K1248" s="109"/>
      <c r="M1248" s="123"/>
    </row>
    <row r="1249" spans="4:13">
      <c r="D1249" s="68"/>
      <c r="E1249" s="68"/>
      <c r="F1249" s="111"/>
      <c r="G1249" s="111"/>
      <c r="J1249" s="72"/>
      <c r="K1249" s="109"/>
      <c r="M1249" s="123"/>
    </row>
    <row r="1250" spans="4:13">
      <c r="D1250" s="68"/>
      <c r="E1250" s="68"/>
      <c r="F1250" s="111"/>
      <c r="G1250" s="111"/>
      <c r="J1250" s="72"/>
      <c r="K1250" s="109"/>
      <c r="M1250" s="123"/>
    </row>
    <row r="1251" spans="4:13">
      <c r="D1251" s="68"/>
      <c r="E1251" s="68"/>
      <c r="F1251" s="111"/>
      <c r="G1251" s="111"/>
      <c r="J1251" s="72"/>
      <c r="K1251" s="109"/>
      <c r="M1251" s="123"/>
    </row>
    <row r="1252" spans="4:13">
      <c r="D1252" s="68"/>
      <c r="E1252" s="68"/>
      <c r="F1252" s="111"/>
      <c r="G1252" s="111"/>
      <c r="J1252" s="72"/>
      <c r="K1252" s="109"/>
      <c r="M1252" s="123"/>
    </row>
    <row r="1253" spans="4:13">
      <c r="D1253" s="68"/>
      <c r="E1253" s="68"/>
      <c r="F1253" s="111"/>
      <c r="G1253" s="111"/>
      <c r="J1253" s="72"/>
      <c r="K1253" s="109"/>
      <c r="M1253" s="123"/>
    </row>
    <row r="1254" spans="4:13">
      <c r="D1254" s="68"/>
      <c r="E1254" s="68"/>
      <c r="F1254" s="111"/>
      <c r="G1254" s="111"/>
      <c r="J1254" s="72"/>
      <c r="K1254" s="109"/>
      <c r="M1254" s="123"/>
    </row>
    <row r="1255" spans="4:13">
      <c r="D1255" s="68"/>
      <c r="E1255" s="68"/>
      <c r="F1255" s="111"/>
      <c r="G1255" s="111"/>
      <c r="J1255" s="72"/>
      <c r="K1255" s="109"/>
      <c r="M1255" s="123"/>
    </row>
    <row r="1256" spans="4:13">
      <c r="D1256" s="68"/>
      <c r="E1256" s="68"/>
      <c r="F1256" s="111"/>
      <c r="G1256" s="111"/>
      <c r="J1256" s="72"/>
      <c r="K1256" s="109"/>
      <c r="M1256" s="123"/>
    </row>
    <row r="1257" spans="4:13">
      <c r="D1257" s="68"/>
      <c r="E1257" s="68"/>
      <c r="F1257" s="111"/>
      <c r="G1257" s="111"/>
      <c r="J1257" s="72"/>
      <c r="K1257" s="109"/>
      <c r="M1257" s="123"/>
    </row>
    <row r="1258" spans="4:13">
      <c r="D1258" s="68"/>
      <c r="E1258" s="68"/>
      <c r="F1258" s="111"/>
      <c r="G1258" s="111"/>
      <c r="J1258" s="72"/>
      <c r="K1258" s="109"/>
      <c r="M1258" s="123"/>
    </row>
    <row r="1259" spans="4:13">
      <c r="D1259" s="68"/>
      <c r="E1259" s="68"/>
      <c r="F1259" s="111"/>
      <c r="G1259" s="111"/>
      <c r="J1259" s="72"/>
      <c r="K1259" s="109"/>
      <c r="M1259" s="123"/>
    </row>
    <row r="1260" spans="4:13">
      <c r="D1260" s="68"/>
      <c r="E1260" s="68"/>
      <c r="F1260" s="111"/>
      <c r="G1260" s="111"/>
      <c r="J1260" s="72"/>
      <c r="K1260" s="109"/>
      <c r="M1260" s="123"/>
    </row>
    <row r="1261" spans="4:13">
      <c r="D1261" s="68"/>
      <c r="E1261" s="68"/>
      <c r="F1261" s="111"/>
      <c r="G1261" s="111"/>
      <c r="J1261" s="72"/>
      <c r="K1261" s="109"/>
      <c r="M1261" s="123"/>
    </row>
    <row r="1262" spans="4:13">
      <c r="D1262" s="68"/>
      <c r="E1262" s="68"/>
      <c r="F1262" s="111"/>
      <c r="G1262" s="111"/>
      <c r="J1262" s="72"/>
      <c r="K1262" s="109"/>
      <c r="M1262" s="123"/>
    </row>
    <row r="1263" spans="4:13">
      <c r="D1263" s="68"/>
      <c r="E1263" s="68"/>
      <c r="F1263" s="111"/>
      <c r="G1263" s="111"/>
      <c r="J1263" s="72"/>
      <c r="K1263" s="109"/>
      <c r="M1263" s="123"/>
    </row>
    <row r="1264" spans="4:13">
      <c r="D1264" s="68"/>
      <c r="E1264" s="68"/>
      <c r="F1264" s="111"/>
      <c r="G1264" s="111"/>
      <c r="J1264" s="72"/>
      <c r="K1264" s="109"/>
      <c r="M1264" s="123"/>
    </row>
    <row r="1265" spans="4:13">
      <c r="D1265" s="68"/>
      <c r="E1265" s="68"/>
      <c r="F1265" s="111"/>
      <c r="G1265" s="111"/>
      <c r="J1265" s="72"/>
      <c r="K1265" s="109"/>
      <c r="M1265" s="123"/>
    </row>
    <row r="1266" spans="4:13">
      <c r="D1266" s="68"/>
      <c r="E1266" s="68"/>
      <c r="F1266" s="111"/>
      <c r="G1266" s="111"/>
      <c r="J1266" s="72"/>
      <c r="K1266" s="109"/>
      <c r="M1266" s="123"/>
    </row>
    <row r="1267" spans="4:13">
      <c r="D1267" s="68"/>
      <c r="E1267" s="68"/>
      <c r="F1267" s="111"/>
      <c r="G1267" s="111"/>
      <c r="J1267" s="72"/>
      <c r="K1267" s="109"/>
      <c r="M1267" s="123"/>
    </row>
    <row r="1268" spans="4:13">
      <c r="D1268" s="68"/>
      <c r="E1268" s="68"/>
      <c r="F1268" s="111"/>
      <c r="G1268" s="111"/>
      <c r="J1268" s="72"/>
      <c r="K1268" s="109"/>
      <c r="M1268" s="123"/>
    </row>
    <row r="1269" spans="4:13">
      <c r="D1269" s="68"/>
      <c r="E1269" s="68"/>
      <c r="F1269" s="111"/>
      <c r="G1269" s="111"/>
      <c r="J1269" s="72"/>
      <c r="K1269" s="109"/>
      <c r="M1269" s="123"/>
    </row>
    <row r="1270" spans="4:13">
      <c r="D1270" s="68"/>
      <c r="E1270" s="68"/>
      <c r="F1270" s="111"/>
      <c r="G1270" s="111"/>
      <c r="J1270" s="72"/>
      <c r="K1270" s="109"/>
      <c r="M1270" s="123"/>
    </row>
    <row r="1271" spans="4:13">
      <c r="D1271" s="68"/>
      <c r="E1271" s="68"/>
      <c r="F1271" s="111"/>
      <c r="G1271" s="111"/>
      <c r="J1271" s="72"/>
      <c r="K1271" s="109"/>
      <c r="M1271" s="123"/>
    </row>
    <row r="1272" spans="4:13">
      <c r="D1272" s="68"/>
      <c r="E1272" s="68"/>
      <c r="F1272" s="111"/>
      <c r="G1272" s="111"/>
      <c r="J1272" s="72"/>
      <c r="K1272" s="109"/>
      <c r="M1272" s="123"/>
    </row>
    <row r="1273" spans="4:13">
      <c r="D1273" s="68"/>
      <c r="E1273" s="68"/>
      <c r="F1273" s="111"/>
      <c r="G1273" s="111"/>
      <c r="J1273" s="72"/>
      <c r="K1273" s="109"/>
      <c r="M1273" s="123"/>
    </row>
    <row r="1274" spans="4:13">
      <c r="D1274" s="68"/>
      <c r="E1274" s="68"/>
      <c r="F1274" s="111"/>
      <c r="G1274" s="111"/>
      <c r="J1274" s="72"/>
      <c r="K1274" s="109"/>
      <c r="M1274" s="123"/>
    </row>
    <row r="1275" spans="4:13">
      <c r="D1275" s="68"/>
      <c r="E1275" s="68"/>
      <c r="F1275" s="111"/>
      <c r="G1275" s="111"/>
      <c r="J1275" s="72"/>
      <c r="K1275" s="109"/>
      <c r="M1275" s="123"/>
    </row>
    <row r="1276" spans="4:13">
      <c r="D1276" s="68"/>
      <c r="E1276" s="68"/>
      <c r="F1276" s="111"/>
      <c r="G1276" s="111"/>
      <c r="J1276" s="72"/>
      <c r="K1276" s="109"/>
      <c r="M1276" s="123"/>
    </row>
    <row r="1277" spans="4:13">
      <c r="D1277" s="68"/>
      <c r="E1277" s="68"/>
      <c r="F1277" s="111"/>
      <c r="G1277" s="111"/>
      <c r="J1277" s="72"/>
      <c r="K1277" s="109"/>
      <c r="M1277" s="123"/>
    </row>
    <row r="1278" spans="4:13">
      <c r="D1278" s="68"/>
      <c r="E1278" s="68"/>
      <c r="F1278" s="111"/>
      <c r="G1278" s="111"/>
      <c r="J1278" s="72"/>
      <c r="K1278" s="109"/>
      <c r="M1278" s="123"/>
    </row>
    <row r="1279" spans="4:13">
      <c r="D1279" s="68"/>
      <c r="E1279" s="68"/>
      <c r="F1279" s="111"/>
      <c r="G1279" s="111"/>
      <c r="J1279" s="72"/>
      <c r="K1279" s="109"/>
      <c r="M1279" s="123"/>
    </row>
    <row r="1280" spans="4:13">
      <c r="D1280" s="68"/>
      <c r="E1280" s="68"/>
      <c r="F1280" s="111"/>
      <c r="G1280" s="111"/>
      <c r="J1280" s="72"/>
      <c r="K1280" s="109"/>
      <c r="M1280" s="123"/>
    </row>
    <row r="1281" spans="4:13">
      <c r="D1281" s="68"/>
      <c r="E1281" s="68"/>
      <c r="F1281" s="111"/>
      <c r="G1281" s="111"/>
      <c r="J1281" s="72"/>
      <c r="K1281" s="109"/>
      <c r="M1281" s="123"/>
    </row>
    <row r="1282" spans="4:13">
      <c r="D1282" s="68"/>
      <c r="E1282" s="68"/>
      <c r="F1282" s="111"/>
      <c r="G1282" s="111"/>
      <c r="J1282" s="72"/>
      <c r="K1282" s="109"/>
      <c r="M1282" s="123"/>
    </row>
    <row r="1283" spans="4:13">
      <c r="D1283" s="68"/>
      <c r="E1283" s="68"/>
      <c r="F1283" s="111"/>
      <c r="G1283" s="111"/>
      <c r="J1283" s="72"/>
      <c r="K1283" s="109"/>
      <c r="M1283" s="123"/>
    </row>
    <row r="1284" spans="4:13">
      <c r="D1284" s="68"/>
      <c r="E1284" s="68"/>
      <c r="F1284" s="111"/>
      <c r="G1284" s="111"/>
      <c r="J1284" s="72"/>
      <c r="K1284" s="109"/>
      <c r="M1284" s="123"/>
    </row>
    <row r="1285" spans="4:13">
      <c r="D1285" s="68"/>
      <c r="E1285" s="68"/>
      <c r="F1285" s="111"/>
      <c r="G1285" s="111"/>
      <c r="J1285" s="72"/>
      <c r="K1285" s="109"/>
      <c r="M1285" s="123"/>
    </row>
    <row r="1286" spans="4:13">
      <c r="D1286" s="68"/>
      <c r="E1286" s="68"/>
      <c r="F1286" s="111"/>
      <c r="G1286" s="111"/>
      <c r="J1286" s="72"/>
      <c r="K1286" s="109"/>
      <c r="M1286" s="123"/>
    </row>
    <row r="1287" spans="4:13">
      <c r="D1287" s="68"/>
      <c r="E1287" s="68"/>
      <c r="F1287" s="111"/>
      <c r="G1287" s="111"/>
      <c r="J1287" s="72"/>
      <c r="K1287" s="109"/>
      <c r="M1287" s="123"/>
    </row>
    <row r="1288" spans="4:13">
      <c r="D1288" s="68"/>
      <c r="E1288" s="68"/>
      <c r="F1288" s="111"/>
      <c r="G1288" s="111"/>
      <c r="J1288" s="72"/>
      <c r="K1288" s="109"/>
      <c r="M1288" s="123"/>
    </row>
    <row r="1289" spans="4:13">
      <c r="D1289" s="68"/>
      <c r="E1289" s="68"/>
      <c r="F1289" s="111"/>
      <c r="G1289" s="111"/>
      <c r="J1289" s="72"/>
      <c r="K1289" s="109"/>
      <c r="M1289" s="123"/>
    </row>
    <row r="1290" spans="4:13">
      <c r="D1290" s="68"/>
      <c r="E1290" s="68"/>
      <c r="F1290" s="111"/>
      <c r="G1290" s="111"/>
      <c r="J1290" s="72"/>
      <c r="K1290" s="109"/>
      <c r="M1290" s="123"/>
    </row>
    <row r="1291" spans="4:13">
      <c r="D1291" s="68"/>
      <c r="E1291" s="68"/>
      <c r="F1291" s="111"/>
      <c r="G1291" s="111"/>
      <c r="J1291" s="72"/>
      <c r="K1291" s="109"/>
      <c r="M1291" s="123"/>
    </row>
    <row r="1292" spans="4:13">
      <c r="D1292" s="68"/>
      <c r="E1292" s="68"/>
      <c r="F1292" s="111"/>
      <c r="G1292" s="111"/>
      <c r="J1292" s="72"/>
      <c r="K1292" s="109"/>
      <c r="M1292" s="123"/>
    </row>
    <row r="1293" spans="4:13">
      <c r="D1293" s="68"/>
      <c r="E1293" s="68"/>
      <c r="F1293" s="111"/>
      <c r="G1293" s="111"/>
      <c r="J1293" s="72"/>
      <c r="K1293" s="109"/>
      <c r="M1293" s="123"/>
    </row>
    <row r="1294" spans="4:13">
      <c r="D1294" s="68"/>
      <c r="E1294" s="68"/>
      <c r="F1294" s="111"/>
      <c r="G1294" s="111"/>
      <c r="J1294" s="72"/>
      <c r="K1294" s="109"/>
      <c r="M1294" s="123"/>
    </row>
    <row r="1295" spans="4:13">
      <c r="D1295" s="68"/>
      <c r="E1295" s="68"/>
      <c r="F1295" s="111"/>
      <c r="G1295" s="111"/>
      <c r="J1295" s="72"/>
      <c r="K1295" s="109"/>
      <c r="M1295" s="123"/>
    </row>
    <row r="1296" spans="4:13">
      <c r="D1296" s="68"/>
      <c r="E1296" s="68"/>
      <c r="F1296" s="111"/>
      <c r="G1296" s="111"/>
      <c r="J1296" s="72"/>
      <c r="K1296" s="109"/>
      <c r="M1296" s="123"/>
    </row>
    <row r="1297" spans="4:13">
      <c r="D1297" s="68"/>
      <c r="E1297" s="68"/>
      <c r="F1297" s="111"/>
      <c r="G1297" s="111"/>
      <c r="J1297" s="72"/>
      <c r="K1297" s="109"/>
      <c r="M1297" s="123"/>
    </row>
  </sheetData>
  <autoFilter ref="A9:L821" xr:uid="{F814A087-8B01-D54A-BE0F-E83215B80ECF}">
    <filterColumn colId="6">
      <filters>
        <filter val="Outdoor2"/>
      </filters>
    </filterColumn>
  </autoFilter>
  <pageMargins left="0.7" right="0.7" top="0.75" bottom="0.75" header="0.3" footer="0.3"/>
  <pageSetup paperSize="9" orientation="portrait" horizontalDpi="0" verticalDpi="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91703-77B9-4E44-87D7-3326CB10D209}">
  <dimension ref="A3:B8"/>
  <sheetViews>
    <sheetView workbookViewId="0">
      <selection activeCell="L40" sqref="L40"/>
    </sheetView>
  </sheetViews>
  <sheetFormatPr baseColWidth="10" defaultRowHeight="16"/>
  <cols>
    <col min="1" max="1" width="21" customWidth="1"/>
    <col min="2" max="2" width="18.5" bestFit="1" customWidth="1"/>
  </cols>
  <sheetData>
    <row r="3" spans="1:2">
      <c r="A3" s="200" t="s">
        <v>1956</v>
      </c>
      <c r="B3" t="s">
        <v>1975</v>
      </c>
    </row>
    <row r="4" spans="1:2">
      <c r="A4" s="201" t="s">
        <v>67</v>
      </c>
      <c r="B4" s="268">
        <v>4.8685561486318711</v>
      </c>
    </row>
    <row r="5" spans="1:2">
      <c r="A5" s="201" t="s">
        <v>1951</v>
      </c>
      <c r="B5" s="268">
        <v>4.1958722845891252</v>
      </c>
    </row>
    <row r="6" spans="1:2">
      <c r="A6" s="201" t="s">
        <v>1954</v>
      </c>
      <c r="B6" s="268">
        <v>4.3403995893309046</v>
      </c>
    </row>
    <row r="7" spans="1:2">
      <c r="A7" s="201" t="s">
        <v>1955</v>
      </c>
      <c r="B7" s="268">
        <v>5.3925495700007495</v>
      </c>
    </row>
    <row r="8" spans="1:2">
      <c r="A8" s="201" t="s">
        <v>1957</v>
      </c>
      <c r="B8">
        <v>4.7008992052993506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B60F5-9B74-2A46-88D7-1742C13E8D6E}">
  <dimension ref="B1:AN40"/>
  <sheetViews>
    <sheetView topLeftCell="B1" workbookViewId="0">
      <selection activeCell="L4" sqref="L4"/>
    </sheetView>
  </sheetViews>
  <sheetFormatPr baseColWidth="10" defaultRowHeight="16"/>
  <cols>
    <col min="1" max="1" width="0" hidden="1" customWidth="1"/>
    <col min="2" max="2" width="20" bestFit="1" customWidth="1"/>
    <col min="3" max="3" width="10.6640625" style="24" customWidth="1"/>
    <col min="4" max="8" width="10.6640625" customWidth="1"/>
    <col min="9" max="9" width="10.83203125" customWidth="1"/>
    <col min="11" max="11" width="20" bestFit="1" customWidth="1"/>
    <col min="12" max="12" width="15.33203125" style="6" bestFit="1" customWidth="1"/>
    <col min="13" max="13" width="8.33203125" style="6" bestFit="1" customWidth="1"/>
    <col min="14" max="14" width="9.83203125" style="6" bestFit="1" customWidth="1"/>
    <col min="15" max="15" width="10.6640625" style="6" bestFit="1" customWidth="1"/>
    <col min="16" max="16" width="9.33203125" style="6" bestFit="1" customWidth="1"/>
    <col min="17" max="17" width="9.6640625" style="6" bestFit="1" customWidth="1"/>
    <col min="18" max="18" width="11.5" style="6" bestFit="1" customWidth="1"/>
  </cols>
  <sheetData>
    <row r="1" spans="2:40" s="10" customFormat="1">
      <c r="B1" s="35"/>
      <c r="C1" s="36">
        <v>50</v>
      </c>
      <c r="D1" s="36">
        <v>25</v>
      </c>
      <c r="E1" s="36">
        <v>6.25</v>
      </c>
      <c r="F1" s="36">
        <v>6.25</v>
      </c>
      <c r="G1" s="36">
        <v>6.25</v>
      </c>
      <c r="H1" s="36">
        <v>6.25</v>
      </c>
      <c r="K1" s="35"/>
      <c r="L1" s="37">
        <v>50</v>
      </c>
      <c r="M1" s="37">
        <v>25</v>
      </c>
      <c r="N1" s="37">
        <v>6.25</v>
      </c>
      <c r="O1" s="37">
        <v>6.25</v>
      </c>
      <c r="P1" s="37">
        <v>6.25</v>
      </c>
      <c r="Q1" s="37">
        <v>6.25</v>
      </c>
      <c r="R1" s="38">
        <f>SUM(L1:Q1)</f>
        <v>100</v>
      </c>
    </row>
    <row r="2" spans="2:40" s="34" customFormat="1" ht="17" customHeight="1">
      <c r="B2" s="31" t="s">
        <v>1829</v>
      </c>
      <c r="C2" s="32" t="s">
        <v>1836</v>
      </c>
      <c r="D2" s="33" t="s">
        <v>1850</v>
      </c>
      <c r="E2" s="33" t="s">
        <v>1851</v>
      </c>
      <c r="F2" s="33" t="s">
        <v>1852</v>
      </c>
      <c r="G2" s="33" t="s">
        <v>29</v>
      </c>
      <c r="H2" s="33" t="s">
        <v>1853</v>
      </c>
      <c r="K2" s="31" t="s">
        <v>1856</v>
      </c>
      <c r="L2" s="39" t="s">
        <v>1836</v>
      </c>
      <c r="M2" s="40" t="s">
        <v>1850</v>
      </c>
      <c r="N2" s="40" t="s">
        <v>1851</v>
      </c>
      <c r="O2" s="40" t="s">
        <v>1852</v>
      </c>
      <c r="P2" s="40" t="s">
        <v>29</v>
      </c>
      <c r="Q2" s="40" t="s">
        <v>1853</v>
      </c>
      <c r="R2" s="41" t="s">
        <v>1857</v>
      </c>
      <c r="U2" s="10"/>
      <c r="V2" s="10"/>
      <c r="W2" s="10"/>
      <c r="X2" s="10"/>
      <c r="Y2" s="10"/>
      <c r="Z2" s="10"/>
      <c r="AA2" s="10"/>
      <c r="AB2" s="10"/>
      <c r="AC2" s="10"/>
      <c r="AD2" s="10"/>
      <c r="AE2" s="10"/>
      <c r="AF2" s="10"/>
      <c r="AG2" s="10"/>
      <c r="AH2" s="10"/>
      <c r="AI2" s="10"/>
      <c r="AJ2" s="10"/>
      <c r="AK2" s="10"/>
      <c r="AL2" s="10"/>
      <c r="AM2" s="10"/>
      <c r="AN2" s="10"/>
    </row>
    <row r="3" spans="2:40">
      <c r="B3" s="27" t="s">
        <v>66</v>
      </c>
      <c r="C3" s="28" t="e">
        <f>AVERAGEIF(ผลประหยัด!$A$10:$A$846,B3,ผลประหยัด!$I$10:$I$846)</f>
        <v>#DIV/0!</v>
      </c>
      <c r="D3" s="28" t="e">
        <f>AVERAGEIF(SR!$A$10:$A$846,PML!B3,SR!#REF!)</f>
        <v>#REF!</v>
      </c>
      <c r="E3" s="29" t="e">
        <f>AVERAGEIF(ADG!$A$10:$A$1044,PML!B3,ADG!#REF!)</f>
        <v>#REF!</v>
      </c>
      <c r="F3" s="29" t="e">
        <f>AVERAGEIF(YIELD!$A$10:$A$1044,PML!B3,YIELD!$K$10:$K$1044)</f>
        <v>#DIV/0!</v>
      </c>
      <c r="G3" s="30" t="e">
        <f>AVERAGEIF(FCR!$A$10:$A$1044,PML!B3,FCR!$L$10:$L$1044)</f>
        <v>#DIV/0!</v>
      </c>
      <c r="H3" s="28" t="e">
        <f>AVERAGEIF(SIZE!$A$10:$A$1044,PML!B3,SIZE!$H$10:$H$1044)</f>
        <v>#DIV/0!</v>
      </c>
      <c r="K3" s="26" t="str">
        <f t="shared" ref="K3:K40" si="0">B3</f>
        <v>Roiphet Research</v>
      </c>
      <c r="L3" s="42" t="e">
        <f>IF(C3&gt;=50,50,IF(C3&lt;=0,0,C3))</f>
        <v>#DIV/0!</v>
      </c>
      <c r="M3" s="43" t="e">
        <f t="shared" ref="M3:M40" si="1">IF(D3&gt;=25,25,IF(D3&lt;=0,0,D3))</f>
        <v>#REF!</v>
      </c>
      <c r="N3" s="44" t="e">
        <f t="shared" ref="N3:N40" si="2">IF(E3&gt;=6.25,6.25,IF(E3&lt;=0,0,E3))</f>
        <v>#REF!</v>
      </c>
      <c r="O3" s="44" t="e">
        <f t="shared" ref="O3:O40" si="3">IF(F3&gt;=6.25,6.25,IF(F3&lt;=0,0,F3))</f>
        <v>#DIV/0!</v>
      </c>
      <c r="P3" s="44" t="e">
        <f t="shared" ref="P3:P40" si="4">IF(G3&gt;=6.25,6.25,IF(G3&lt;=0,0,G3))</f>
        <v>#DIV/0!</v>
      </c>
      <c r="Q3" s="44" t="e">
        <f t="shared" ref="Q3:Q40" si="5">IF(H3&gt;=6.25,6.25,IF(H3&lt;=0,0,H3))</f>
        <v>#DIV/0!</v>
      </c>
      <c r="R3" s="44" t="e">
        <f t="shared" ref="R3:R40" si="6">SUM(L3:Q3)</f>
        <v>#DIV/0!</v>
      </c>
      <c r="U3" s="10"/>
      <c r="V3" s="10"/>
      <c r="W3" s="10"/>
      <c r="X3" s="10"/>
      <c r="Y3" s="10"/>
      <c r="Z3" s="10"/>
      <c r="AA3" s="10"/>
      <c r="AB3" s="10"/>
      <c r="AC3" s="10"/>
      <c r="AD3" s="10"/>
      <c r="AE3" s="10"/>
      <c r="AF3" s="10"/>
      <c r="AG3" s="10"/>
      <c r="AH3" s="10"/>
      <c r="AI3" s="10"/>
      <c r="AJ3" s="10"/>
      <c r="AK3" s="10"/>
      <c r="AL3" s="10"/>
      <c r="AM3" s="10"/>
      <c r="AN3" s="10"/>
    </row>
    <row r="4" spans="2:40">
      <c r="B4" s="27" t="s">
        <v>87</v>
      </c>
      <c r="C4" s="28" t="e">
        <f>AVERAGEIF(ผลประหยัด!$A$10:$A$846,B4,ผลประหยัด!$I$10:$I$846)</f>
        <v>#DIV/0!</v>
      </c>
      <c r="D4" s="28" t="e">
        <f>AVERAGEIF(SR!$A$10:$A$846,PML!B4,SR!#REF!)</f>
        <v>#REF!</v>
      </c>
      <c r="E4" s="29" t="e">
        <f>AVERAGEIF(ADG!$A$10:$A$1044,PML!B4,ADG!#REF!)</f>
        <v>#REF!</v>
      </c>
      <c r="F4" s="29" t="e">
        <f>AVERAGEIF(YIELD!$A$10:$A$1044,PML!B4,YIELD!$K$10:$K$1044)</f>
        <v>#DIV/0!</v>
      </c>
      <c r="G4" s="30" t="e">
        <f>AVERAGEIF(FCR!$A$10:$A$1044,PML!B4,FCR!$L$10:$L$1044)</f>
        <v>#DIV/0!</v>
      </c>
      <c r="H4" s="28" t="e">
        <f>AVERAGEIF(SIZE!$A$10:$A$1044,PML!B4,SIZE!$H$10:$H$1044)</f>
        <v>#DIV/0!</v>
      </c>
      <c r="K4" s="26" t="str">
        <f t="shared" si="0"/>
        <v>Yisan</v>
      </c>
      <c r="L4" s="42" t="e">
        <f t="shared" ref="L4:L40" si="7">IF(C4&gt;=50,50,IF(C4&lt;=0,0,C4))</f>
        <v>#DIV/0!</v>
      </c>
      <c r="M4" s="43" t="e">
        <f t="shared" si="1"/>
        <v>#REF!</v>
      </c>
      <c r="N4" s="44" t="e">
        <f t="shared" si="2"/>
        <v>#REF!</v>
      </c>
      <c r="O4" s="44" t="e">
        <f t="shared" si="3"/>
        <v>#DIV/0!</v>
      </c>
      <c r="P4" s="44" t="e">
        <f t="shared" si="4"/>
        <v>#DIV/0!</v>
      </c>
      <c r="Q4" s="44" t="e">
        <f t="shared" si="5"/>
        <v>#DIV/0!</v>
      </c>
      <c r="R4" s="44" t="e">
        <f t="shared" si="6"/>
        <v>#DIV/0!</v>
      </c>
      <c r="U4" s="10"/>
      <c r="V4" s="10"/>
      <c r="W4" s="10"/>
      <c r="X4" s="10"/>
      <c r="Y4" s="10"/>
      <c r="Z4" s="10"/>
      <c r="AA4" s="10"/>
      <c r="AB4" s="10"/>
      <c r="AC4" s="10"/>
      <c r="AD4" s="10"/>
      <c r="AE4" s="10"/>
      <c r="AF4" s="10"/>
      <c r="AG4" s="10"/>
      <c r="AH4" s="10"/>
      <c r="AI4" s="10"/>
      <c r="AJ4" s="10"/>
      <c r="AK4" s="10"/>
      <c r="AL4" s="10"/>
      <c r="AM4" s="10"/>
      <c r="AN4" s="10"/>
    </row>
    <row r="5" spans="2:40">
      <c r="B5" s="27" t="s">
        <v>107</v>
      </c>
      <c r="C5" s="28" t="e">
        <f>AVERAGEIF(ผลประหยัด!$A$10:$A$846,B5,ผลประหยัด!$I$10:$I$846)</f>
        <v>#DIV/0!</v>
      </c>
      <c r="D5" s="28" t="e">
        <f>AVERAGEIF(SR!$A$10:$A$846,PML!B5,SR!#REF!)</f>
        <v>#REF!</v>
      </c>
      <c r="E5" s="29" t="e">
        <f>AVERAGEIF(ADG!$A$10:$A$1044,PML!B5,ADG!#REF!)</f>
        <v>#REF!</v>
      </c>
      <c r="F5" s="29" t="e">
        <f>AVERAGEIF(YIELD!$A$10:$A$1044,PML!B5,YIELD!$K$10:$K$1044)</f>
        <v>#DIV/0!</v>
      </c>
      <c r="G5" s="30" t="e">
        <f>AVERAGEIF(FCR!$A$10:$A$1044,PML!B5,FCR!$L$10:$L$1044)</f>
        <v>#DIV/0!</v>
      </c>
      <c r="H5" s="28" t="e">
        <f>AVERAGEIF(SIZE!$A$10:$A$1044,PML!B5,SIZE!$H$10:$H$1044)</f>
        <v>#DIV/0!</v>
      </c>
      <c r="K5" s="26" t="str">
        <f t="shared" si="0"/>
        <v>Yisan Research</v>
      </c>
      <c r="L5" s="42" t="e">
        <f t="shared" si="7"/>
        <v>#DIV/0!</v>
      </c>
      <c r="M5" s="43" t="e">
        <f t="shared" si="1"/>
        <v>#REF!</v>
      </c>
      <c r="N5" s="44" t="e">
        <f t="shared" si="2"/>
        <v>#REF!</v>
      </c>
      <c r="O5" s="44" t="e">
        <f t="shared" si="3"/>
        <v>#DIV/0!</v>
      </c>
      <c r="P5" s="44" t="e">
        <f t="shared" si="4"/>
        <v>#DIV/0!</v>
      </c>
      <c r="Q5" s="44" t="e">
        <f t="shared" si="5"/>
        <v>#DIV/0!</v>
      </c>
      <c r="R5" s="44" t="e">
        <f t="shared" si="6"/>
        <v>#DIV/0!</v>
      </c>
      <c r="U5" s="10"/>
      <c r="V5" s="10"/>
      <c r="W5" s="10"/>
      <c r="X5" s="10"/>
      <c r="Y5" s="10"/>
      <c r="Z5" s="10"/>
      <c r="AA5" s="10"/>
      <c r="AB5" s="10"/>
      <c r="AC5" s="10"/>
      <c r="AD5" s="10"/>
      <c r="AE5" s="10"/>
      <c r="AF5" s="10"/>
      <c r="AG5" s="10"/>
      <c r="AH5" s="10"/>
      <c r="AI5" s="10"/>
      <c r="AJ5" s="10"/>
      <c r="AK5" s="10"/>
      <c r="AL5" s="10"/>
      <c r="AM5" s="10"/>
      <c r="AN5" s="10"/>
    </row>
    <row r="6" spans="2:40">
      <c r="B6" s="27" t="s">
        <v>115</v>
      </c>
      <c r="C6" s="28" t="e">
        <f>AVERAGEIF(ผลประหยัด!$A$10:$A$846,B6,ผลประหยัด!$I$10:$I$846)</f>
        <v>#DIV/0!</v>
      </c>
      <c r="D6" s="28" t="e">
        <f>AVERAGEIF(SR!$A$10:$A$846,PML!B6,SR!#REF!)</f>
        <v>#REF!</v>
      </c>
      <c r="E6" s="29" t="e">
        <f>AVERAGEIF(ADG!$A$10:$A$1044,PML!B6,ADG!#REF!)</f>
        <v>#REF!</v>
      </c>
      <c r="F6" s="29">
        <f>AVERAGEIF(YIELD!$A$10:$A$1044,PML!B6,YIELD!$K$10:$K$1044)</f>
        <v>4.6977650622249527</v>
      </c>
      <c r="G6" s="30">
        <f>AVERAGEIF(FCR!$A$10:$A$1044,PML!B6,FCR!$L$10:$L$1044)</f>
        <v>23.119058333333339</v>
      </c>
      <c r="H6" s="28">
        <f>AVERAGEIF(SIZE!$A$10:$A$1044,PML!B6,SIZE!$H$10:$H$1044)</f>
        <v>-1.23893487035815</v>
      </c>
      <c r="K6" s="26" t="str">
        <f t="shared" si="0"/>
        <v>Talaytong</v>
      </c>
      <c r="L6" s="42" t="e">
        <f t="shared" si="7"/>
        <v>#DIV/0!</v>
      </c>
      <c r="M6" s="43" t="e">
        <f t="shared" si="1"/>
        <v>#REF!</v>
      </c>
      <c r="N6" s="44" t="e">
        <f t="shared" si="2"/>
        <v>#REF!</v>
      </c>
      <c r="O6" s="44">
        <f t="shared" si="3"/>
        <v>4.6977650622249527</v>
      </c>
      <c r="P6" s="44">
        <f t="shared" si="4"/>
        <v>6.25</v>
      </c>
      <c r="Q6" s="44">
        <f t="shared" si="5"/>
        <v>0</v>
      </c>
      <c r="R6" s="44" t="e">
        <f t="shared" si="6"/>
        <v>#DIV/0!</v>
      </c>
      <c r="U6" s="10"/>
      <c r="V6" s="10"/>
      <c r="W6" s="10"/>
      <c r="X6" s="10"/>
      <c r="Y6" s="10"/>
      <c r="Z6" s="10"/>
      <c r="AA6" s="10"/>
      <c r="AB6" s="10"/>
      <c r="AC6" s="10"/>
      <c r="AD6" s="10"/>
      <c r="AE6" s="10"/>
      <c r="AF6" s="10"/>
      <c r="AG6" s="10"/>
      <c r="AH6" s="10"/>
      <c r="AI6" s="10"/>
      <c r="AJ6" s="10"/>
      <c r="AK6" s="10"/>
      <c r="AL6" s="10"/>
      <c r="AM6" s="10"/>
      <c r="AN6" s="10"/>
    </row>
    <row r="7" spans="2:40">
      <c r="B7" s="27" t="s">
        <v>138</v>
      </c>
      <c r="C7" s="28">
        <f>AVERAGEIF(ผลประหยัด!$A$10:$A$846,B7,ผลประหยัด!$I$10:$I$846)</f>
        <v>-6.6925799316847501</v>
      </c>
      <c r="D7" s="28" t="e">
        <f>AVERAGEIF(SR!$A$10:$A$846,PML!B7,SR!#REF!)</f>
        <v>#REF!</v>
      </c>
      <c r="E7" s="29" t="e">
        <f>AVERAGEIF(ADG!$A$10:$A$1044,PML!B7,ADG!#REF!)</f>
        <v>#REF!</v>
      </c>
      <c r="F7" s="29">
        <f>AVERAGEIF(YIELD!$A$10:$A$1044,PML!B7,YIELD!$K$10:$K$1044)</f>
        <v>4.9324973656959985</v>
      </c>
      <c r="G7" s="30">
        <f>AVERAGEIF(FCR!$A$10:$A$1044,PML!B7,FCR!$L$10:$L$1044)</f>
        <v>17.42128416666667</v>
      </c>
      <c r="H7" s="28">
        <f>AVERAGEIF(SIZE!$A$10:$A$1044,PML!B7,SIZE!$H$10:$H$1044)</f>
        <v>1.1172168717410655</v>
      </c>
      <c r="K7" s="26" t="str">
        <f t="shared" si="0"/>
        <v>Chantaburi3</v>
      </c>
      <c r="L7" s="42">
        <f t="shared" si="7"/>
        <v>0</v>
      </c>
      <c r="M7" s="43" t="e">
        <f t="shared" si="1"/>
        <v>#REF!</v>
      </c>
      <c r="N7" s="44" t="e">
        <f t="shared" si="2"/>
        <v>#REF!</v>
      </c>
      <c r="O7" s="44">
        <f t="shared" si="3"/>
        <v>4.9324973656959985</v>
      </c>
      <c r="P7" s="44">
        <f t="shared" si="4"/>
        <v>6.25</v>
      </c>
      <c r="Q7" s="44">
        <f t="shared" si="5"/>
        <v>1.1172168717410655</v>
      </c>
      <c r="R7" s="44" t="e">
        <f t="shared" si="6"/>
        <v>#REF!</v>
      </c>
      <c r="U7" s="10"/>
      <c r="V7" s="10"/>
      <c r="W7" s="10"/>
      <c r="X7" s="10"/>
      <c r="Y7" s="10"/>
      <c r="Z7" s="10"/>
      <c r="AA7" s="10"/>
      <c r="AB7" s="10"/>
      <c r="AC7" s="10"/>
      <c r="AD7" s="10"/>
      <c r="AE7" s="10"/>
      <c r="AF7" s="10"/>
      <c r="AG7" s="10"/>
      <c r="AH7" s="10"/>
      <c r="AI7" s="10"/>
      <c r="AJ7" s="10"/>
      <c r="AK7" s="10"/>
      <c r="AL7" s="10"/>
      <c r="AM7" s="10"/>
      <c r="AN7" s="10"/>
    </row>
    <row r="8" spans="2:40">
      <c r="B8" s="27" t="s">
        <v>166</v>
      </c>
      <c r="C8" s="28">
        <f>AVERAGEIF(ผลประหยัด!$A$10:$A$846,B8,ผลประหยัด!$I$10:$I$846)</f>
        <v>-17.949043774421682</v>
      </c>
      <c r="D8" s="28" t="e">
        <f>AVERAGEIF(SR!$A$10:$A$846,PML!B8,SR!#REF!)</f>
        <v>#REF!</v>
      </c>
      <c r="E8" s="29" t="e">
        <f>AVERAGEIF(ADG!$A$10:$A$1044,PML!B8,ADG!#REF!)</f>
        <v>#REF!</v>
      </c>
      <c r="F8" s="29">
        <f>AVERAGEIF(YIELD!$A$10:$A$1044,PML!B8,YIELD!$K$10:$K$1044)</f>
        <v>1.8131347761746208</v>
      </c>
      <c r="G8" s="30">
        <f>AVERAGEIF(FCR!$A$10:$A$1044,PML!B8,FCR!$L$10:$L$1044)</f>
        <v>7.7930288235294123</v>
      </c>
      <c r="H8" s="28">
        <f>AVERAGEIF(SIZE!$A$10:$A$1044,PML!B8,SIZE!$H$10:$H$1044)</f>
        <v>4.1659842485523706</v>
      </c>
      <c r="K8" s="26" t="str">
        <f t="shared" si="0"/>
        <v>Lucky2</v>
      </c>
      <c r="L8" s="42">
        <f t="shared" si="7"/>
        <v>0</v>
      </c>
      <c r="M8" s="43" t="e">
        <f t="shared" si="1"/>
        <v>#REF!</v>
      </c>
      <c r="N8" s="44" t="e">
        <f t="shared" si="2"/>
        <v>#REF!</v>
      </c>
      <c r="O8" s="44">
        <f t="shared" si="3"/>
        <v>1.8131347761746208</v>
      </c>
      <c r="P8" s="44">
        <f t="shared" si="4"/>
        <v>6.25</v>
      </c>
      <c r="Q8" s="44">
        <f t="shared" si="5"/>
        <v>4.1659842485523706</v>
      </c>
      <c r="R8" s="44" t="e">
        <f t="shared" si="6"/>
        <v>#REF!</v>
      </c>
      <c r="U8" s="10"/>
      <c r="V8" s="10"/>
      <c r="W8" s="10"/>
      <c r="X8" s="10"/>
      <c r="Y8" s="10"/>
      <c r="Z8" s="10"/>
      <c r="AA8" s="10"/>
      <c r="AB8" s="10"/>
      <c r="AC8" s="10"/>
      <c r="AD8" s="10"/>
      <c r="AE8" s="10"/>
      <c r="AF8" s="10"/>
      <c r="AG8" s="10"/>
      <c r="AH8" s="10"/>
      <c r="AI8" s="10"/>
      <c r="AJ8" s="10"/>
      <c r="AK8" s="10"/>
      <c r="AL8" s="10"/>
      <c r="AM8" s="10"/>
      <c r="AN8" s="10"/>
    </row>
    <row r="9" spans="2:40">
      <c r="B9" s="27" t="s">
        <v>209</v>
      </c>
      <c r="C9" s="28" t="e">
        <f>AVERAGEIF(ผลประหยัด!$A$10:$A$846,B9,ผลประหยัด!$I$10:$I$846)</f>
        <v>#DIV/0!</v>
      </c>
      <c r="D9" s="28" t="e">
        <f>AVERAGEIF(SR!$A$10:$A$846,PML!B9,SR!#REF!)</f>
        <v>#REF!</v>
      </c>
      <c r="E9" s="29" t="e">
        <f>AVERAGEIF(ADG!$A$10:$A$1044,PML!B9,ADG!#REF!)</f>
        <v>#REF!</v>
      </c>
      <c r="F9" s="29">
        <f>AVERAGEIF(YIELD!$A$10:$A$1044,PML!B9,YIELD!$K$10:$K$1044)</f>
        <v>3.3358085893964984</v>
      </c>
      <c r="G9" s="30">
        <f>AVERAGEIF(FCR!$A$10:$A$1044,PML!B9,FCR!$L$10:$L$1044)</f>
        <v>15.921212499999996</v>
      </c>
      <c r="H9" s="28">
        <f>AVERAGEIF(SIZE!$A$10:$A$1044,PML!B9,SIZE!$H$10:$H$1044)</f>
        <v>0.29015510201808781</v>
      </c>
      <c r="K9" s="26" t="str">
        <f t="shared" si="0"/>
        <v>Tamai2</v>
      </c>
      <c r="L9" s="42" t="e">
        <f t="shared" si="7"/>
        <v>#DIV/0!</v>
      </c>
      <c r="M9" s="43" t="e">
        <f t="shared" si="1"/>
        <v>#REF!</v>
      </c>
      <c r="N9" s="44" t="e">
        <f t="shared" si="2"/>
        <v>#REF!</v>
      </c>
      <c r="O9" s="44">
        <f t="shared" si="3"/>
        <v>3.3358085893964984</v>
      </c>
      <c r="P9" s="44">
        <f t="shared" si="4"/>
        <v>6.25</v>
      </c>
      <c r="Q9" s="44">
        <f t="shared" si="5"/>
        <v>0.29015510201808781</v>
      </c>
      <c r="R9" s="44" t="e">
        <f t="shared" si="6"/>
        <v>#DIV/0!</v>
      </c>
      <c r="U9" s="10"/>
      <c r="V9" s="10"/>
      <c r="W9" s="10"/>
      <c r="X9" s="10"/>
      <c r="Y9" s="10"/>
      <c r="Z9" s="10"/>
      <c r="AA9" s="10"/>
      <c r="AB9" s="10"/>
      <c r="AC9" s="10"/>
      <c r="AD9" s="10"/>
      <c r="AE9" s="10"/>
      <c r="AF9" s="10"/>
      <c r="AG9" s="10"/>
      <c r="AH9" s="10"/>
      <c r="AI9" s="10"/>
      <c r="AJ9" s="10"/>
      <c r="AK9" s="10"/>
      <c r="AL9" s="10"/>
      <c r="AM9" s="10"/>
      <c r="AN9" s="10"/>
    </row>
    <row r="10" spans="2:40">
      <c r="B10" s="27" t="s">
        <v>248</v>
      </c>
      <c r="C10" s="28">
        <f>AVERAGEIF(ผลประหยัด!$A$10:$A$846,B10,ผลประหยัด!$I$10:$I$846)</f>
        <v>-35.145922664401361</v>
      </c>
      <c r="D10" s="28" t="e">
        <f>AVERAGEIF(SR!$A$10:$A$846,PML!B10,SR!#REF!)</f>
        <v>#REF!</v>
      </c>
      <c r="E10" s="29" t="e">
        <f>AVERAGEIF(ADG!$A$10:$A$1044,PML!B10,ADG!#REF!)</f>
        <v>#REF!</v>
      </c>
      <c r="F10" s="29">
        <f>AVERAGEIF(YIELD!$A$10:$A$1044,PML!B10,YIELD!$K$10:$K$1044)</f>
        <v>1.2582690828000778</v>
      </c>
      <c r="G10" s="30">
        <f>AVERAGEIF(FCR!$A$10:$A$1044,PML!B10,FCR!$L$10:$L$1044)</f>
        <v>9.7884939999999965</v>
      </c>
      <c r="H10" s="28">
        <f>AVERAGEIF(SIZE!$A$10:$A$1044,PML!B10,SIZE!$H$10:$H$1044)</f>
        <v>0.97526023157155328</v>
      </c>
      <c r="K10" s="26" t="str">
        <f t="shared" si="0"/>
        <v>Lucky3</v>
      </c>
      <c r="L10" s="42">
        <f t="shared" si="7"/>
        <v>0</v>
      </c>
      <c r="M10" s="43" t="e">
        <f t="shared" si="1"/>
        <v>#REF!</v>
      </c>
      <c r="N10" s="44" t="e">
        <f t="shared" si="2"/>
        <v>#REF!</v>
      </c>
      <c r="O10" s="44">
        <f t="shared" si="3"/>
        <v>1.2582690828000778</v>
      </c>
      <c r="P10" s="44">
        <f t="shared" si="4"/>
        <v>6.25</v>
      </c>
      <c r="Q10" s="44">
        <f t="shared" si="5"/>
        <v>0.97526023157155328</v>
      </c>
      <c r="R10" s="44" t="e">
        <f t="shared" si="6"/>
        <v>#REF!</v>
      </c>
      <c r="U10" s="10"/>
      <c r="V10" s="10"/>
      <c r="W10" s="10"/>
      <c r="X10" s="10"/>
      <c r="Y10" s="10"/>
      <c r="Z10" s="10"/>
      <c r="AA10" s="10"/>
      <c r="AB10" s="10"/>
      <c r="AC10" s="10"/>
      <c r="AD10" s="10"/>
      <c r="AE10" s="10"/>
      <c r="AF10" s="10"/>
      <c r="AG10" s="10"/>
      <c r="AH10" s="10"/>
      <c r="AI10" s="10"/>
      <c r="AJ10" s="10"/>
      <c r="AK10" s="10"/>
      <c r="AL10" s="10"/>
      <c r="AM10" s="10"/>
      <c r="AN10" s="10"/>
    </row>
    <row r="11" spans="2:40">
      <c r="B11" s="27" t="s">
        <v>283</v>
      </c>
      <c r="C11" s="28">
        <f>AVERAGEIF(ผลประหยัด!$A$10:$A$846,B11,ผลประหยัด!$I$10:$I$846)</f>
        <v>-20.921866459469634</v>
      </c>
      <c r="D11" s="28" t="e">
        <f>AVERAGEIF(SR!$A$10:$A$846,PML!B11,SR!#REF!)</f>
        <v>#REF!</v>
      </c>
      <c r="E11" s="29" t="e">
        <f>AVERAGEIF(ADG!$A$10:$A$1044,PML!B11,ADG!#REF!)</f>
        <v>#REF!</v>
      </c>
      <c r="F11" s="29">
        <f>AVERAGEIF(YIELD!$A$10:$A$1044,PML!B11,YIELD!$K$10:$K$1044)</f>
        <v>6.3247257375894677</v>
      </c>
      <c r="G11" s="30">
        <f>AVERAGEIF(FCR!$A$10:$A$1044,PML!B11,FCR!$L$10:$L$1044)</f>
        <v>26.401129411764703</v>
      </c>
      <c r="H11" s="28">
        <f>AVERAGEIF(SIZE!$A$10:$A$1044,PML!B11,SIZE!$H$10:$H$1044)</f>
        <v>2.3560759384289516</v>
      </c>
      <c r="K11" s="26" t="str">
        <f t="shared" si="0"/>
        <v>Kamong</v>
      </c>
      <c r="L11" s="42">
        <f t="shared" si="7"/>
        <v>0</v>
      </c>
      <c r="M11" s="43" t="e">
        <f t="shared" si="1"/>
        <v>#REF!</v>
      </c>
      <c r="N11" s="44" t="e">
        <f t="shared" si="2"/>
        <v>#REF!</v>
      </c>
      <c r="O11" s="44">
        <f t="shared" si="3"/>
        <v>6.25</v>
      </c>
      <c r="P11" s="44">
        <f t="shared" si="4"/>
        <v>6.25</v>
      </c>
      <c r="Q11" s="44">
        <f t="shared" si="5"/>
        <v>2.3560759384289516</v>
      </c>
      <c r="R11" s="44" t="e">
        <f t="shared" si="6"/>
        <v>#REF!</v>
      </c>
      <c r="U11" s="10"/>
      <c r="V11" s="10"/>
      <c r="W11" s="10"/>
      <c r="X11" s="10"/>
      <c r="Y11" s="10"/>
      <c r="Z11" s="10"/>
      <c r="AA11" s="10"/>
      <c r="AB11" s="10"/>
      <c r="AC11" s="10"/>
      <c r="AD11" s="10"/>
      <c r="AE11" s="10"/>
      <c r="AF11" s="10"/>
      <c r="AG11" s="10"/>
      <c r="AH11" s="10"/>
      <c r="AI11" s="10"/>
      <c r="AJ11" s="10"/>
      <c r="AK11" s="10"/>
      <c r="AL11" s="10"/>
      <c r="AM11" s="10"/>
      <c r="AN11" s="10"/>
    </row>
    <row r="12" spans="2:40">
      <c r="B12" s="27" t="s">
        <v>317</v>
      </c>
      <c r="C12" s="28">
        <f>AVERAGEIF(ผลประหยัด!$A$10:$A$846,B12,ผลประหยัด!$I$10:$I$846)</f>
        <v>-33.954727376047273</v>
      </c>
      <c r="D12" s="28" t="e">
        <f>AVERAGEIF(SR!$A$10:$A$846,PML!B12,SR!#REF!)</f>
        <v>#REF!</v>
      </c>
      <c r="E12" s="29" t="e">
        <f>AVERAGEIF(ADG!$A$10:$A$1044,PML!B12,ADG!#REF!)</f>
        <v>#REF!</v>
      </c>
      <c r="F12" s="29">
        <f>AVERAGEIF(YIELD!$A$10:$A$1044,PML!B12,YIELD!$K$10:$K$1044)</f>
        <v>3.8006374716553286</v>
      </c>
      <c r="G12" s="30">
        <f>AVERAGEIF(FCR!$A$10:$A$1044,PML!B12,FCR!$L$10:$L$1044)</f>
        <v>11.688803214285713</v>
      </c>
      <c r="H12" s="28">
        <f>AVERAGEIF(SIZE!$A$10:$A$1044,PML!B12,SIZE!$H$10:$H$1044)</f>
        <v>3.7195799743326114</v>
      </c>
      <c r="K12" s="26" t="str">
        <f t="shared" si="0"/>
        <v>Lucky1</v>
      </c>
      <c r="L12" s="42">
        <f t="shared" si="7"/>
        <v>0</v>
      </c>
      <c r="M12" s="43" t="e">
        <f t="shared" si="1"/>
        <v>#REF!</v>
      </c>
      <c r="N12" s="44" t="e">
        <f t="shared" si="2"/>
        <v>#REF!</v>
      </c>
      <c r="O12" s="44">
        <f t="shared" si="3"/>
        <v>3.8006374716553286</v>
      </c>
      <c r="P12" s="44">
        <f t="shared" si="4"/>
        <v>6.25</v>
      </c>
      <c r="Q12" s="44">
        <f t="shared" si="5"/>
        <v>3.7195799743326114</v>
      </c>
      <c r="R12" s="44" t="e">
        <f t="shared" si="6"/>
        <v>#REF!</v>
      </c>
      <c r="U12" s="10"/>
      <c r="V12" s="10"/>
      <c r="W12" s="10"/>
      <c r="X12" s="10"/>
      <c r="Y12" s="10"/>
      <c r="Z12" s="10"/>
      <c r="AA12" s="10"/>
      <c r="AB12" s="10"/>
      <c r="AC12" s="10"/>
      <c r="AD12" s="10"/>
      <c r="AE12" s="10"/>
      <c r="AF12" s="10"/>
      <c r="AG12" s="10"/>
      <c r="AH12" s="10"/>
      <c r="AI12" s="10"/>
      <c r="AJ12" s="10"/>
      <c r="AK12" s="10"/>
      <c r="AL12" s="10"/>
      <c r="AM12" s="10"/>
      <c r="AN12" s="10"/>
    </row>
    <row r="13" spans="2:40">
      <c r="B13" s="27" t="s">
        <v>374</v>
      </c>
      <c r="C13" s="28">
        <f>AVERAGEIF(ผลประหยัด!$A$10:$A$846,B13,ผลประหยัด!$I$10:$I$846)</f>
        <v>-14.144259827552691</v>
      </c>
      <c r="D13" s="28" t="e">
        <f>AVERAGEIF(SR!$A$10:$A$846,PML!B13,SR!#REF!)</f>
        <v>#REF!</v>
      </c>
      <c r="E13" s="29" t="e">
        <f>AVERAGEIF(ADG!$A$10:$A$1044,PML!B13,ADG!#REF!)</f>
        <v>#REF!</v>
      </c>
      <c r="F13" s="29">
        <f>AVERAGEIF(YIELD!$A$10:$A$1044,PML!B13,YIELD!$K$10:$K$1044)</f>
        <v>-9.2112254901960747E-2</v>
      </c>
      <c r="G13" s="30">
        <f>AVERAGEIF(FCR!$A$10:$A$1044,PML!B13,FCR!$L$10:$L$1044)</f>
        <v>11.889465294117645</v>
      </c>
      <c r="H13" s="28">
        <f>AVERAGEIF(SIZE!$A$10:$A$1044,PML!B13,SIZE!$H$10:$H$1044)</f>
        <v>5.4131408898126372</v>
      </c>
      <c r="K13" s="26" t="str">
        <f t="shared" si="0"/>
        <v>CHBR1</v>
      </c>
      <c r="L13" s="42">
        <f t="shared" si="7"/>
        <v>0</v>
      </c>
      <c r="M13" s="43" t="e">
        <f t="shared" si="1"/>
        <v>#REF!</v>
      </c>
      <c r="N13" s="44" t="e">
        <f t="shared" si="2"/>
        <v>#REF!</v>
      </c>
      <c r="O13" s="44">
        <f t="shared" si="3"/>
        <v>0</v>
      </c>
      <c r="P13" s="44">
        <f t="shared" si="4"/>
        <v>6.25</v>
      </c>
      <c r="Q13" s="44">
        <f t="shared" si="5"/>
        <v>5.4131408898126372</v>
      </c>
      <c r="R13" s="44" t="e">
        <f t="shared" si="6"/>
        <v>#REF!</v>
      </c>
      <c r="U13" s="10"/>
      <c r="V13" s="10"/>
      <c r="W13" s="10"/>
      <c r="X13" s="10"/>
      <c r="Y13" s="10"/>
      <c r="Z13" s="10"/>
      <c r="AA13" s="10"/>
      <c r="AB13" s="10"/>
      <c r="AC13" s="10"/>
      <c r="AD13" s="10"/>
      <c r="AE13" s="10"/>
      <c r="AF13" s="10"/>
      <c r="AG13" s="10"/>
      <c r="AH13" s="10"/>
      <c r="AI13" s="10"/>
      <c r="AJ13" s="10"/>
      <c r="AK13" s="10"/>
      <c r="AL13" s="10"/>
      <c r="AM13" s="10"/>
      <c r="AN13" s="10"/>
    </row>
    <row r="14" spans="2:40">
      <c r="B14" s="27" t="s">
        <v>408</v>
      </c>
      <c r="C14" s="28">
        <f>AVERAGEIF(ผลประหยัด!$A$10:$A$846,B14,ผลประหยัด!$I$10:$I$846)</f>
        <v>-7.049180269799173</v>
      </c>
      <c r="D14" s="28" t="e">
        <f>AVERAGEIF(SR!$A$10:$A$846,PML!B14,SR!#REF!)</f>
        <v>#REF!</v>
      </c>
      <c r="E14" s="29" t="e">
        <f>AVERAGEIF(ADG!$A$10:$A$1044,PML!B14,ADG!#REF!)</f>
        <v>#REF!</v>
      </c>
      <c r="F14" s="29">
        <f>AVERAGEIF(YIELD!$A$10:$A$1044,PML!B14,YIELD!$K$10:$K$1044)</f>
        <v>6.3118913259318346</v>
      </c>
      <c r="G14" s="30">
        <f>AVERAGEIF(FCR!$A$10:$A$1044,PML!B14,FCR!$L$10:$L$1044)</f>
        <v>22.174168000000002</v>
      </c>
      <c r="H14" s="28">
        <f>AVERAGEIF(SIZE!$A$10:$A$1044,PML!B14,SIZE!$H$10:$H$1044)</f>
        <v>5.492893973329112</v>
      </c>
      <c r="K14" s="26" t="str">
        <f t="shared" si="0"/>
        <v>Bangsakao</v>
      </c>
      <c r="L14" s="42">
        <f t="shared" si="7"/>
        <v>0</v>
      </c>
      <c r="M14" s="43" t="e">
        <f t="shared" si="1"/>
        <v>#REF!</v>
      </c>
      <c r="N14" s="44" t="e">
        <f t="shared" si="2"/>
        <v>#REF!</v>
      </c>
      <c r="O14" s="44">
        <f t="shared" si="3"/>
        <v>6.25</v>
      </c>
      <c r="P14" s="44">
        <f t="shared" si="4"/>
        <v>6.25</v>
      </c>
      <c r="Q14" s="44">
        <f t="shared" si="5"/>
        <v>5.492893973329112</v>
      </c>
      <c r="R14" s="44" t="e">
        <f t="shared" si="6"/>
        <v>#REF!</v>
      </c>
      <c r="U14" s="10"/>
      <c r="V14" s="10"/>
      <c r="W14" s="10"/>
      <c r="X14" s="10"/>
      <c r="Y14" s="10"/>
      <c r="Z14" s="10"/>
      <c r="AA14" s="10"/>
      <c r="AB14" s="10"/>
      <c r="AC14" s="10"/>
      <c r="AD14" s="10"/>
      <c r="AE14" s="10"/>
      <c r="AF14" s="10"/>
      <c r="AG14" s="10"/>
      <c r="AH14" s="10"/>
      <c r="AI14" s="10"/>
      <c r="AJ14" s="10"/>
      <c r="AK14" s="10"/>
      <c r="AL14" s="10"/>
      <c r="AM14" s="10"/>
      <c r="AN14" s="10"/>
    </row>
    <row r="15" spans="2:40">
      <c r="B15" s="27" t="s">
        <v>474</v>
      </c>
      <c r="C15" s="28">
        <f>AVERAGEIF(ผลประหยัด!$A$10:$A$846,B15,ผลประหยัด!$I$10:$I$846)</f>
        <v>1.3008105405854944</v>
      </c>
      <c r="D15" s="28" t="e">
        <f>AVERAGEIF(SR!$A$10:$A$846,PML!B15,SR!#REF!)</f>
        <v>#REF!</v>
      </c>
      <c r="E15" s="29" t="e">
        <f>AVERAGEIF(ADG!$A$10:$A$1044,PML!B15,ADG!#REF!)</f>
        <v>#REF!</v>
      </c>
      <c r="F15" s="29">
        <f>AVERAGEIF(YIELD!$A$10:$A$1044,PML!B15,YIELD!$K$10:$K$1044)</f>
        <v>11.224290192592592</v>
      </c>
      <c r="G15" s="30">
        <f>AVERAGEIF(FCR!$A$10:$A$1044,PML!B15,FCR!$L$10:$L$1044)</f>
        <v>40.116145333333328</v>
      </c>
      <c r="H15" s="28">
        <f>AVERAGEIF(SIZE!$A$10:$A$1044,PML!B15,SIZE!$H$10:$H$1044)</f>
        <v>5.5451114746013195</v>
      </c>
      <c r="K15" s="26" t="str">
        <f t="shared" si="0"/>
        <v>Rayong3</v>
      </c>
      <c r="L15" s="42">
        <f t="shared" si="7"/>
        <v>1.3008105405854944</v>
      </c>
      <c r="M15" s="43" t="e">
        <f t="shared" si="1"/>
        <v>#REF!</v>
      </c>
      <c r="N15" s="44" t="e">
        <f t="shared" si="2"/>
        <v>#REF!</v>
      </c>
      <c r="O15" s="44">
        <f t="shared" si="3"/>
        <v>6.25</v>
      </c>
      <c r="P15" s="44">
        <f t="shared" si="4"/>
        <v>6.25</v>
      </c>
      <c r="Q15" s="44">
        <f t="shared" si="5"/>
        <v>5.5451114746013195</v>
      </c>
      <c r="R15" s="44" t="e">
        <f t="shared" si="6"/>
        <v>#REF!</v>
      </c>
      <c r="U15" s="10"/>
      <c r="V15" s="10"/>
      <c r="W15" s="10"/>
      <c r="X15" s="10"/>
      <c r="Y15" s="10"/>
      <c r="Z15" s="10"/>
      <c r="AA15" s="10"/>
      <c r="AB15" s="10"/>
      <c r="AC15" s="10"/>
      <c r="AD15" s="10"/>
      <c r="AE15" s="10"/>
      <c r="AF15" s="10"/>
      <c r="AG15" s="10"/>
      <c r="AH15" s="10"/>
      <c r="AI15" s="10"/>
      <c r="AJ15" s="10"/>
      <c r="AK15" s="10"/>
      <c r="AL15" s="10"/>
      <c r="AM15" s="10"/>
      <c r="AN15" s="10"/>
    </row>
    <row r="16" spans="2:40">
      <c r="B16" s="27" t="s">
        <v>507</v>
      </c>
      <c r="C16" s="28">
        <f>AVERAGEIF(ผลประหยัด!$A$10:$A$846,B16,ผลประหยัด!$I$10:$I$846)</f>
        <v>-11.318467480869293</v>
      </c>
      <c r="D16" s="28" t="e">
        <f>AVERAGEIF(SR!$A$10:$A$846,PML!B16,SR!#REF!)</f>
        <v>#REF!</v>
      </c>
      <c r="E16" s="29" t="e">
        <f>AVERAGEIF(ADG!$A$10:$A$1044,PML!B16,ADG!#REF!)</f>
        <v>#REF!</v>
      </c>
      <c r="F16" s="29">
        <f>AVERAGEIF(YIELD!$A$10:$A$1044,PML!B16,YIELD!$K$10:$K$1044)</f>
        <v>8.9841757669830073</v>
      </c>
      <c r="G16" s="30">
        <f>AVERAGEIF(FCR!$A$10:$A$1044,PML!B16,FCR!$L$10:$L$1044)</f>
        <v>23.544652941176473</v>
      </c>
      <c r="H16" s="28">
        <f>AVERAGEIF(SIZE!$A$10:$A$1044,PML!B16,SIZE!$H$10:$H$1044)</f>
        <v>6.079702604241211</v>
      </c>
      <c r="K16" s="26" t="str">
        <f t="shared" si="0"/>
        <v>Bo Thong</v>
      </c>
      <c r="L16" s="42">
        <f t="shared" si="7"/>
        <v>0</v>
      </c>
      <c r="M16" s="43" t="e">
        <f t="shared" si="1"/>
        <v>#REF!</v>
      </c>
      <c r="N16" s="44" t="e">
        <f t="shared" si="2"/>
        <v>#REF!</v>
      </c>
      <c r="O16" s="44">
        <f t="shared" si="3"/>
        <v>6.25</v>
      </c>
      <c r="P16" s="44">
        <f t="shared" si="4"/>
        <v>6.25</v>
      </c>
      <c r="Q16" s="44">
        <f t="shared" si="5"/>
        <v>6.079702604241211</v>
      </c>
      <c r="R16" s="44" t="e">
        <f t="shared" si="6"/>
        <v>#REF!</v>
      </c>
      <c r="U16" s="10"/>
      <c r="V16" s="10"/>
      <c r="W16" s="10"/>
      <c r="X16" s="10"/>
      <c r="Y16" s="10"/>
      <c r="Z16" s="10"/>
      <c r="AA16" s="10"/>
      <c r="AB16" s="10"/>
      <c r="AC16" s="10"/>
      <c r="AD16" s="10"/>
      <c r="AE16" s="10"/>
      <c r="AF16" s="10"/>
      <c r="AG16" s="10"/>
      <c r="AH16" s="10"/>
      <c r="AI16" s="10"/>
      <c r="AJ16" s="10"/>
      <c r="AK16" s="10"/>
      <c r="AL16" s="10"/>
      <c r="AM16" s="10"/>
      <c r="AN16" s="10"/>
    </row>
    <row r="17" spans="2:40">
      <c r="B17" s="27" t="s">
        <v>540</v>
      </c>
      <c r="C17" s="28" t="e">
        <f>AVERAGEIF(ผลประหยัด!$A$10:$A$846,B17,ผลประหยัด!$I$10:$I$846)</f>
        <v>#DIV/0!</v>
      </c>
      <c r="D17" s="28" t="e">
        <f>AVERAGEIF(SR!$A$10:$A$846,PML!B17,SR!#REF!)</f>
        <v>#REF!</v>
      </c>
      <c r="E17" s="29" t="e">
        <f>AVERAGEIF(ADG!$A$10:$A$1044,PML!B17,ADG!#REF!)</f>
        <v>#REF!</v>
      </c>
      <c r="F17" s="29">
        <f>AVERAGEIF(YIELD!$A$10:$A$1044,PML!B17,YIELD!$K$10:$K$1044)</f>
        <v>5.9064507360907319</v>
      </c>
      <c r="G17" s="30">
        <f>AVERAGEIF(FCR!$A$10:$A$1044,PML!B17,FCR!$L$10:$L$1044)</f>
        <v>20.112082307692312</v>
      </c>
      <c r="H17" s="28">
        <f>AVERAGEIF(SIZE!$A$10:$A$1044,PML!B17,SIZE!$H$10:$H$1044)</f>
        <v>6.4319920623548601</v>
      </c>
      <c r="K17" s="26" t="str">
        <f t="shared" si="0"/>
        <v>Tachalab</v>
      </c>
      <c r="L17" s="42" t="e">
        <f t="shared" si="7"/>
        <v>#DIV/0!</v>
      </c>
      <c r="M17" s="43" t="e">
        <f t="shared" si="1"/>
        <v>#REF!</v>
      </c>
      <c r="N17" s="44" t="e">
        <f t="shared" si="2"/>
        <v>#REF!</v>
      </c>
      <c r="O17" s="44">
        <f t="shared" si="3"/>
        <v>5.9064507360907319</v>
      </c>
      <c r="P17" s="44">
        <f t="shared" si="4"/>
        <v>6.25</v>
      </c>
      <c r="Q17" s="44">
        <f t="shared" si="5"/>
        <v>6.25</v>
      </c>
      <c r="R17" s="44" t="e">
        <f t="shared" si="6"/>
        <v>#DIV/0!</v>
      </c>
      <c r="U17" s="10"/>
      <c r="V17" s="10"/>
      <c r="W17" s="10"/>
      <c r="X17" s="10"/>
      <c r="Y17" s="10"/>
      <c r="Z17" s="10"/>
      <c r="AA17" s="10"/>
      <c r="AB17" s="10"/>
      <c r="AC17" s="10"/>
      <c r="AD17" s="10"/>
      <c r="AE17" s="10"/>
      <c r="AF17" s="10"/>
      <c r="AG17" s="10"/>
      <c r="AH17" s="10"/>
      <c r="AI17" s="10"/>
      <c r="AJ17" s="10"/>
      <c r="AK17" s="10"/>
      <c r="AL17" s="10"/>
      <c r="AM17" s="10"/>
      <c r="AN17" s="10"/>
    </row>
    <row r="18" spans="2:40">
      <c r="B18" s="27" t="s">
        <v>567</v>
      </c>
      <c r="C18" s="28">
        <f>AVERAGEIF(ผลประหยัด!$A$10:$A$846,B18,ผลประหยัด!$I$10:$I$846)</f>
        <v>8.24708695743149</v>
      </c>
      <c r="D18" s="28" t="e">
        <f>AVERAGEIF(SR!$A$10:$A$846,PML!B18,SR!#REF!)</f>
        <v>#REF!</v>
      </c>
      <c r="E18" s="29" t="e">
        <f>AVERAGEIF(ADG!$A$10:$A$1044,PML!B18,ADG!#REF!)</f>
        <v>#REF!</v>
      </c>
      <c r="F18" s="29">
        <f>AVERAGEIF(YIELD!$A$10:$A$1044,PML!B18,YIELD!$K$10:$K$1044)</f>
        <v>7.4554590049029237</v>
      </c>
      <c r="G18" s="30">
        <f>AVERAGEIF(FCR!$A$10:$A$1044,PML!B18,FCR!$L$10:$L$1044)</f>
        <v>17.091337272727273</v>
      </c>
      <c r="H18" s="28">
        <f>AVERAGEIF(SIZE!$A$10:$A$1044,PML!B18,SIZE!$H$10:$H$1044)</f>
        <v>5.7158868030119345</v>
      </c>
      <c r="K18" s="26" t="str">
        <f t="shared" si="0"/>
        <v>Laemsing</v>
      </c>
      <c r="L18" s="42">
        <f t="shared" si="7"/>
        <v>8.24708695743149</v>
      </c>
      <c r="M18" s="43" t="e">
        <f t="shared" si="1"/>
        <v>#REF!</v>
      </c>
      <c r="N18" s="44" t="e">
        <f t="shared" si="2"/>
        <v>#REF!</v>
      </c>
      <c r="O18" s="44">
        <f t="shared" si="3"/>
        <v>6.25</v>
      </c>
      <c r="P18" s="44">
        <f t="shared" si="4"/>
        <v>6.25</v>
      </c>
      <c r="Q18" s="44">
        <f t="shared" si="5"/>
        <v>5.7158868030119345</v>
      </c>
      <c r="R18" s="44" t="e">
        <f t="shared" si="6"/>
        <v>#REF!</v>
      </c>
      <c r="U18" s="10"/>
      <c r="V18" s="10"/>
      <c r="W18" s="10"/>
      <c r="X18" s="10"/>
      <c r="Y18" s="10"/>
      <c r="Z18" s="10"/>
      <c r="AA18" s="10"/>
      <c r="AB18" s="10"/>
      <c r="AC18" s="10"/>
      <c r="AD18" s="10"/>
      <c r="AE18" s="10"/>
      <c r="AF18" s="10"/>
      <c r="AG18" s="10"/>
      <c r="AH18" s="10"/>
      <c r="AI18" s="10"/>
      <c r="AJ18" s="10"/>
      <c r="AK18" s="10"/>
      <c r="AL18" s="10"/>
      <c r="AM18" s="10"/>
      <c r="AN18" s="10"/>
    </row>
    <row r="19" spans="2:40">
      <c r="B19" s="27" t="s">
        <v>610</v>
      </c>
      <c r="C19" s="28">
        <f>AVERAGEIF(ผลประหยัด!$A$10:$A$846,B19,ผลประหยัด!$I$10:$I$846)</f>
        <v>-8.7939240922643052</v>
      </c>
      <c r="D19" s="28" t="e">
        <f>AVERAGEIF(SR!$A$10:$A$846,PML!B19,SR!#REF!)</f>
        <v>#REF!</v>
      </c>
      <c r="E19" s="29" t="e">
        <f>AVERAGEIF(ADG!$A$10:$A$1044,PML!B19,ADG!#REF!)</f>
        <v>#REF!</v>
      </c>
      <c r="F19" s="29">
        <f>AVERAGEIF(YIELD!$A$10:$A$1044,PML!B19,YIELD!$K$10:$K$1044)</f>
        <v>7.589712698412697</v>
      </c>
      <c r="G19" s="30">
        <f>AVERAGEIF(FCR!$A$10:$A$1044,PML!B19,FCR!$L$10:$L$1044)</f>
        <v>18.882515999999999</v>
      </c>
      <c r="H19" s="28">
        <f>AVERAGEIF(SIZE!$A$10:$A$1044,PML!B19,SIZE!$H$10:$H$1044)</f>
        <v>8.014557270757896</v>
      </c>
      <c r="K19" s="26" t="str">
        <f t="shared" si="0"/>
        <v>Bangkachai1</v>
      </c>
      <c r="L19" s="42">
        <f t="shared" si="7"/>
        <v>0</v>
      </c>
      <c r="M19" s="43" t="e">
        <f t="shared" si="1"/>
        <v>#REF!</v>
      </c>
      <c r="N19" s="44" t="e">
        <f t="shared" si="2"/>
        <v>#REF!</v>
      </c>
      <c r="O19" s="44">
        <f t="shared" si="3"/>
        <v>6.25</v>
      </c>
      <c r="P19" s="44">
        <f t="shared" si="4"/>
        <v>6.25</v>
      </c>
      <c r="Q19" s="44">
        <f t="shared" si="5"/>
        <v>6.25</v>
      </c>
      <c r="R19" s="44" t="e">
        <f t="shared" si="6"/>
        <v>#REF!</v>
      </c>
      <c r="U19" s="10"/>
      <c r="V19" s="10"/>
      <c r="W19" s="10"/>
      <c r="X19" s="10"/>
      <c r="Y19" s="10"/>
      <c r="Z19" s="10"/>
      <c r="AA19" s="10"/>
      <c r="AB19" s="10"/>
      <c r="AC19" s="10"/>
      <c r="AD19" s="10"/>
      <c r="AE19" s="10"/>
      <c r="AF19" s="10"/>
      <c r="AG19" s="10"/>
      <c r="AH19" s="10"/>
      <c r="AI19" s="10"/>
      <c r="AJ19" s="10"/>
      <c r="AK19" s="10"/>
      <c r="AL19" s="10"/>
      <c r="AM19" s="10"/>
      <c r="AN19" s="10"/>
    </row>
    <row r="20" spans="2:40">
      <c r="B20" s="27" t="s">
        <v>632</v>
      </c>
      <c r="C20" s="28">
        <f>AVERAGEIF(ผลประหยัด!$A$10:$A$846,B20,ผลประหยัด!$I$10:$I$846)</f>
        <v>-43.031516303364981</v>
      </c>
      <c r="D20" s="28" t="e">
        <f>AVERAGEIF(SR!$A$10:$A$846,PML!B20,SR!#REF!)</f>
        <v>#REF!</v>
      </c>
      <c r="E20" s="29" t="e">
        <f>AVERAGEIF(ADG!$A$10:$A$1044,PML!B20,ADG!#REF!)</f>
        <v>#REF!</v>
      </c>
      <c r="F20" s="29" t="e">
        <f>AVERAGEIF(YIELD!$A$10:$A$1044,PML!B20,YIELD!$K$10:$K$1044)</f>
        <v>#DIV/0!</v>
      </c>
      <c r="G20" s="30">
        <f>AVERAGEIF(FCR!$A$10:$A$1044,PML!B20,FCR!$L$10:$L$1044)</f>
        <v>17.01445272727273</v>
      </c>
      <c r="H20" s="28">
        <f>AVERAGEIF(SIZE!$A$10:$A$1044,PML!B20,SIZE!$H$10:$H$1044)</f>
        <v>-2.2793645811596268</v>
      </c>
      <c r="K20" s="26" t="str">
        <f t="shared" si="0"/>
        <v>Ranode</v>
      </c>
      <c r="L20" s="42">
        <f t="shared" si="7"/>
        <v>0</v>
      </c>
      <c r="M20" s="43" t="e">
        <f t="shared" si="1"/>
        <v>#REF!</v>
      </c>
      <c r="N20" s="44" t="e">
        <f t="shared" si="2"/>
        <v>#REF!</v>
      </c>
      <c r="O20" s="44" t="e">
        <f t="shared" si="3"/>
        <v>#DIV/0!</v>
      </c>
      <c r="P20" s="44">
        <f t="shared" si="4"/>
        <v>6.25</v>
      </c>
      <c r="Q20" s="44">
        <f t="shared" si="5"/>
        <v>0</v>
      </c>
      <c r="R20" s="44" t="e">
        <f t="shared" si="6"/>
        <v>#REF!</v>
      </c>
      <c r="U20" s="10"/>
      <c r="V20" s="10"/>
      <c r="W20" s="10"/>
      <c r="X20" s="10"/>
      <c r="Y20" s="10"/>
      <c r="Z20" s="10"/>
      <c r="AA20" s="10"/>
      <c r="AB20" s="10"/>
      <c r="AC20" s="10"/>
      <c r="AD20" s="10"/>
      <c r="AE20" s="10"/>
      <c r="AF20" s="10"/>
      <c r="AG20" s="10"/>
      <c r="AH20" s="10"/>
      <c r="AI20" s="10"/>
      <c r="AJ20" s="10"/>
      <c r="AK20" s="10"/>
      <c r="AL20" s="10"/>
      <c r="AM20" s="10"/>
      <c r="AN20" s="10"/>
    </row>
    <row r="21" spans="2:40">
      <c r="B21" s="27" t="s">
        <v>651</v>
      </c>
      <c r="C21" s="28">
        <f>AVERAGEIF(ผลประหยัด!$A$10:$A$846,B21,ผลประหยัด!$I$10:$I$846)</f>
        <v>-41.062435925203204</v>
      </c>
      <c r="D21" s="28" t="e">
        <f>AVERAGEIF(SR!$A$10:$A$846,PML!B21,SR!#REF!)</f>
        <v>#REF!</v>
      </c>
      <c r="E21" s="29" t="e">
        <f>AVERAGEIF(ADG!$A$10:$A$1044,PML!B21,ADG!#REF!)</f>
        <v>#REF!</v>
      </c>
      <c r="F21" s="29" t="e">
        <f>AVERAGEIF(YIELD!$A$10:$A$1044,PML!B21,YIELD!$K$10:$K$1044)</f>
        <v>#DIV/0!</v>
      </c>
      <c r="G21" s="30">
        <f>AVERAGEIF(FCR!$A$10:$A$1044,PML!B21,FCR!$L$10:$L$1044)</f>
        <v>9.9533204878048789</v>
      </c>
      <c r="H21" s="28">
        <f>AVERAGEIF(SIZE!$A$10:$A$1044,PML!B21,SIZE!$H$10:$H$1044)</f>
        <v>-0.54050705471475224</v>
      </c>
      <c r="K21" s="26" t="str">
        <f t="shared" si="0"/>
        <v>Nakornfarm</v>
      </c>
      <c r="L21" s="42">
        <f t="shared" si="7"/>
        <v>0</v>
      </c>
      <c r="M21" s="43" t="e">
        <f t="shared" si="1"/>
        <v>#REF!</v>
      </c>
      <c r="N21" s="44" t="e">
        <f t="shared" si="2"/>
        <v>#REF!</v>
      </c>
      <c r="O21" s="44" t="e">
        <f t="shared" si="3"/>
        <v>#DIV/0!</v>
      </c>
      <c r="P21" s="44">
        <f t="shared" si="4"/>
        <v>6.25</v>
      </c>
      <c r="Q21" s="44">
        <f t="shared" si="5"/>
        <v>0</v>
      </c>
      <c r="R21" s="44" t="e">
        <f t="shared" si="6"/>
        <v>#REF!</v>
      </c>
      <c r="U21" s="10"/>
      <c r="V21" s="10"/>
      <c r="W21" s="10"/>
      <c r="X21" s="10"/>
      <c r="Y21" s="10"/>
      <c r="Z21" s="10"/>
      <c r="AA21" s="10"/>
      <c r="AB21" s="10"/>
      <c r="AC21" s="10"/>
      <c r="AD21" s="10"/>
      <c r="AE21" s="10"/>
      <c r="AF21" s="10"/>
      <c r="AG21" s="10"/>
      <c r="AH21" s="10"/>
      <c r="AI21" s="10"/>
      <c r="AJ21" s="10"/>
      <c r="AK21" s="10"/>
      <c r="AL21" s="10"/>
      <c r="AM21" s="10"/>
      <c r="AN21" s="10"/>
    </row>
    <row r="22" spans="2:40">
      <c r="B22" s="27" t="s">
        <v>724</v>
      </c>
      <c r="C22" s="28">
        <f>AVERAGEIF(ผลประหยัด!$A$10:$A$846,B22,ผลประหยัด!$I$10:$I$846)</f>
        <v>-18.609103369895887</v>
      </c>
      <c r="D22" s="28" t="e">
        <f>AVERAGEIF(SR!$A$10:$A$846,PML!B22,SR!#REF!)</f>
        <v>#REF!</v>
      </c>
      <c r="E22" s="29" t="e">
        <f>AVERAGEIF(ADG!$A$10:$A$1044,PML!B22,ADG!#REF!)</f>
        <v>#REF!</v>
      </c>
      <c r="F22" s="29">
        <f>AVERAGEIF(YIELD!$A$10:$A$1044,PML!B22,YIELD!$K$10:$K$1044)</f>
        <v>5.9198017592592596</v>
      </c>
      <c r="G22" s="30">
        <f>AVERAGEIF(FCR!$A$10:$A$1044,PML!B22,FCR!$L$10:$L$1044)</f>
        <v>14.063504799999999</v>
      </c>
      <c r="H22" s="28">
        <f>AVERAGEIF(SIZE!$A$10:$A$1044,PML!B22,SIZE!$H$10:$H$1044)</f>
        <v>3.385449777283061</v>
      </c>
      <c r="K22" s="26" t="str">
        <f t="shared" si="0"/>
        <v>Pakpanang1</v>
      </c>
      <c r="L22" s="42">
        <f t="shared" si="7"/>
        <v>0</v>
      </c>
      <c r="M22" s="43" t="e">
        <f t="shared" si="1"/>
        <v>#REF!</v>
      </c>
      <c r="N22" s="44" t="e">
        <f t="shared" si="2"/>
        <v>#REF!</v>
      </c>
      <c r="O22" s="44">
        <f t="shared" si="3"/>
        <v>5.9198017592592596</v>
      </c>
      <c r="P22" s="44">
        <f t="shared" si="4"/>
        <v>6.25</v>
      </c>
      <c r="Q22" s="44">
        <f t="shared" si="5"/>
        <v>3.385449777283061</v>
      </c>
      <c r="R22" s="44" t="e">
        <f t="shared" si="6"/>
        <v>#REF!</v>
      </c>
      <c r="U22" s="10"/>
      <c r="V22" s="10"/>
      <c r="W22" s="10"/>
      <c r="X22" s="10"/>
      <c r="Y22" s="10"/>
      <c r="Z22" s="10"/>
      <c r="AA22" s="10"/>
      <c r="AB22" s="10"/>
      <c r="AC22" s="10"/>
      <c r="AD22" s="10"/>
      <c r="AE22" s="10"/>
      <c r="AF22" s="10"/>
      <c r="AG22" s="10"/>
      <c r="AH22" s="10"/>
      <c r="AI22" s="10"/>
      <c r="AJ22" s="10"/>
      <c r="AK22" s="10"/>
      <c r="AL22" s="10"/>
      <c r="AM22" s="10"/>
      <c r="AN22" s="10"/>
    </row>
    <row r="23" spans="2:40">
      <c r="B23" s="27" t="s">
        <v>760</v>
      </c>
      <c r="C23" s="28">
        <f>AVERAGEIF(ผลประหยัด!$A$10:$A$846,B23,ผลประหยัด!$I$10:$I$846)</f>
        <v>-19.638190072213447</v>
      </c>
      <c r="D23" s="28" t="e">
        <f>AVERAGEIF(SR!$A$10:$A$846,PML!B23,SR!#REF!)</f>
        <v>#REF!</v>
      </c>
      <c r="E23" s="29" t="e">
        <f>AVERAGEIF(ADG!$A$10:$A$1044,PML!B23,ADG!#REF!)</f>
        <v>#REF!</v>
      </c>
      <c r="F23" s="29" t="e">
        <f>AVERAGEIF(YIELD!$A$10:$A$1044,PML!B23,YIELD!$K$10:$K$1044)</f>
        <v>#DIV/0!</v>
      </c>
      <c r="G23" s="30">
        <f>AVERAGEIF(FCR!$A$10:$A$1044,PML!B23,FCR!$L$10:$L$1044)</f>
        <v>15.380203421052634</v>
      </c>
      <c r="H23" s="28">
        <f>AVERAGEIF(SIZE!$A$10:$A$1044,PML!B23,SIZE!$H$10:$H$1044)</f>
        <v>2.969293065934369</v>
      </c>
      <c r="K23" s="26" t="str">
        <f t="shared" si="0"/>
        <v>SR1</v>
      </c>
      <c r="L23" s="42">
        <f t="shared" si="7"/>
        <v>0</v>
      </c>
      <c r="M23" s="43" t="e">
        <f t="shared" si="1"/>
        <v>#REF!</v>
      </c>
      <c r="N23" s="44" t="e">
        <f t="shared" si="2"/>
        <v>#REF!</v>
      </c>
      <c r="O23" s="44" t="e">
        <f t="shared" si="3"/>
        <v>#DIV/0!</v>
      </c>
      <c r="P23" s="44">
        <f t="shared" si="4"/>
        <v>6.25</v>
      </c>
      <c r="Q23" s="44">
        <f t="shared" si="5"/>
        <v>2.969293065934369</v>
      </c>
      <c r="R23" s="44" t="e">
        <f t="shared" si="6"/>
        <v>#REF!</v>
      </c>
      <c r="U23" s="10"/>
      <c r="V23" s="10"/>
      <c r="W23" s="10"/>
      <c r="X23" s="10"/>
      <c r="Y23" s="10"/>
      <c r="Z23" s="10"/>
      <c r="AA23" s="10"/>
      <c r="AB23" s="10"/>
      <c r="AC23" s="10"/>
      <c r="AD23" s="10"/>
      <c r="AE23" s="10"/>
      <c r="AF23" s="10"/>
      <c r="AG23" s="10"/>
      <c r="AH23" s="10"/>
      <c r="AI23" s="10"/>
      <c r="AJ23" s="10"/>
      <c r="AK23" s="10"/>
      <c r="AL23" s="10"/>
      <c r="AM23" s="10"/>
      <c r="AN23" s="10"/>
    </row>
    <row r="24" spans="2:40">
      <c r="B24" s="27" t="s">
        <v>835</v>
      </c>
      <c r="C24" s="28" t="e">
        <f>AVERAGEIF(ผลประหยัด!$A$10:$A$846,B24,ผลประหยัด!$I$10:$I$846)</f>
        <v>#DIV/0!</v>
      </c>
      <c r="D24" s="28" t="e">
        <f>AVERAGEIF(SR!$A$10:$A$846,PML!B24,SR!#REF!)</f>
        <v>#REF!</v>
      </c>
      <c r="E24" s="29" t="e">
        <f>AVERAGEIF(ADG!$A$10:$A$1044,PML!B24,ADG!#REF!)</f>
        <v>#REF!</v>
      </c>
      <c r="F24" s="29">
        <f>AVERAGEIF(YIELD!$A$10:$A$1044,PML!B24,YIELD!$K$10:$K$1044)</f>
        <v>4.0805766328240471</v>
      </c>
      <c r="G24" s="30">
        <f>AVERAGEIF(FCR!$A$10:$A$1044,PML!B24,FCR!$L$10:$L$1044)</f>
        <v>15.11826655172414</v>
      </c>
      <c r="H24" s="28">
        <f>AVERAGEIF(SIZE!$A$10:$A$1044,PML!B24,SIZE!$H$10:$H$1044)</f>
        <v>5.2586888918672079</v>
      </c>
      <c r="K24" s="26" t="str">
        <f t="shared" si="0"/>
        <v>SR4</v>
      </c>
      <c r="L24" s="42" t="e">
        <f t="shared" si="7"/>
        <v>#DIV/0!</v>
      </c>
      <c r="M24" s="43" t="e">
        <f t="shared" si="1"/>
        <v>#REF!</v>
      </c>
      <c r="N24" s="44" t="e">
        <f t="shared" si="2"/>
        <v>#REF!</v>
      </c>
      <c r="O24" s="44">
        <f t="shared" si="3"/>
        <v>4.0805766328240471</v>
      </c>
      <c r="P24" s="44">
        <f t="shared" si="4"/>
        <v>6.25</v>
      </c>
      <c r="Q24" s="44">
        <f t="shared" si="5"/>
        <v>5.2586888918672079</v>
      </c>
      <c r="R24" s="44" t="e">
        <f t="shared" si="6"/>
        <v>#DIV/0!</v>
      </c>
      <c r="U24" s="10"/>
      <c r="V24" s="10"/>
      <c r="W24" s="10"/>
      <c r="X24" s="10"/>
      <c r="Y24" s="10"/>
      <c r="Z24" s="10"/>
      <c r="AA24" s="10"/>
      <c r="AB24" s="10"/>
      <c r="AC24" s="10"/>
      <c r="AD24" s="10"/>
      <c r="AE24" s="10"/>
      <c r="AF24" s="10"/>
      <c r="AG24" s="10"/>
      <c r="AH24" s="10"/>
      <c r="AI24" s="10"/>
      <c r="AJ24" s="10"/>
      <c r="AK24" s="10"/>
      <c r="AL24" s="10"/>
      <c r="AM24" s="10"/>
      <c r="AN24" s="10"/>
    </row>
    <row r="25" spans="2:40">
      <c r="B25" s="27" t="s">
        <v>893</v>
      </c>
      <c r="C25" s="28">
        <f>AVERAGEIF(ผลประหยัด!$A$10:$A$846,B25,ผลประหยัด!$I$10:$I$846)</f>
        <v>-0.71312723852458304</v>
      </c>
      <c r="D25" s="28" t="e">
        <f>AVERAGEIF(SR!$A$10:$A$846,PML!B25,SR!#REF!)</f>
        <v>#REF!</v>
      </c>
      <c r="E25" s="29" t="e">
        <f>AVERAGEIF(ADG!$A$10:$A$1044,PML!B25,ADG!#REF!)</f>
        <v>#REF!</v>
      </c>
      <c r="F25" s="29">
        <f>AVERAGEIF(YIELD!$A$10:$A$1044,PML!B25,YIELD!$K$10:$K$1044)</f>
        <v>5.3700517857142867</v>
      </c>
      <c r="G25" s="30">
        <f>AVERAGEIF(FCR!$A$10:$A$1044,PML!B25,FCR!$L$10:$L$1044)</f>
        <v>16.177650714285715</v>
      </c>
      <c r="H25" s="28">
        <f>AVERAGEIF(SIZE!$A$10:$A$1044,PML!B25,SIZE!$H$10:$H$1044)</f>
        <v>7.298725242553914</v>
      </c>
      <c r="K25" s="26" t="str">
        <f t="shared" si="0"/>
        <v>Andaman</v>
      </c>
      <c r="L25" s="42">
        <f t="shared" si="7"/>
        <v>0</v>
      </c>
      <c r="M25" s="43" t="e">
        <f t="shared" si="1"/>
        <v>#REF!</v>
      </c>
      <c r="N25" s="44" t="e">
        <f t="shared" si="2"/>
        <v>#REF!</v>
      </c>
      <c r="O25" s="44">
        <f t="shared" si="3"/>
        <v>5.3700517857142867</v>
      </c>
      <c r="P25" s="44">
        <f t="shared" si="4"/>
        <v>6.25</v>
      </c>
      <c r="Q25" s="44">
        <f t="shared" si="5"/>
        <v>6.25</v>
      </c>
      <c r="R25" s="44" t="e">
        <f t="shared" si="6"/>
        <v>#REF!</v>
      </c>
      <c r="U25" s="10"/>
      <c r="V25" s="10"/>
      <c r="W25" s="10"/>
      <c r="X25" s="10"/>
      <c r="Y25" s="10"/>
      <c r="Z25" s="10"/>
      <c r="AA25" s="10"/>
      <c r="AB25" s="10"/>
      <c r="AC25" s="10"/>
      <c r="AD25" s="10"/>
      <c r="AE25" s="10"/>
      <c r="AF25" s="10"/>
      <c r="AG25" s="10"/>
      <c r="AH25" s="10"/>
      <c r="AI25" s="10"/>
      <c r="AJ25" s="10"/>
      <c r="AK25" s="10"/>
      <c r="AL25" s="10"/>
      <c r="AM25" s="10"/>
      <c r="AN25" s="10"/>
    </row>
    <row r="26" spans="2:40">
      <c r="B26" s="27" t="s">
        <v>924</v>
      </c>
      <c r="C26" s="28">
        <f>AVERAGEIF(ผลประหยัด!$A$10:$A$846,B26,ผลประหยัด!$I$10:$I$846)</f>
        <v>-8.668691974037797</v>
      </c>
      <c r="D26" s="28" t="e">
        <f>AVERAGEIF(SR!$A$10:$A$846,PML!B26,SR!#REF!)</f>
        <v>#REF!</v>
      </c>
      <c r="E26" s="29" t="e">
        <f>AVERAGEIF(ADG!$A$10:$A$1044,PML!B26,ADG!#REF!)</f>
        <v>#REF!</v>
      </c>
      <c r="F26" s="29">
        <f>AVERAGEIF(YIELD!$A$10:$A$1044,PML!B26,YIELD!$K$10:$K$1044)</f>
        <v>2.1917787484438218</v>
      </c>
      <c r="G26" s="30">
        <f>AVERAGEIF(FCR!$A$10:$A$1044,PML!B26,FCR!$L$10:$L$1044)</f>
        <v>12.743584999999999</v>
      </c>
      <c r="H26" s="28">
        <f>AVERAGEIF(SIZE!$A$10:$A$1044,PML!B26,SIZE!$H$10:$H$1044)</f>
        <v>6.8044128322386692</v>
      </c>
      <c r="K26" s="26" t="str">
        <f t="shared" si="0"/>
        <v>Kanchanadit</v>
      </c>
      <c r="L26" s="42">
        <f t="shared" si="7"/>
        <v>0</v>
      </c>
      <c r="M26" s="43" t="e">
        <f t="shared" si="1"/>
        <v>#REF!</v>
      </c>
      <c r="N26" s="44" t="e">
        <f t="shared" si="2"/>
        <v>#REF!</v>
      </c>
      <c r="O26" s="44">
        <f t="shared" si="3"/>
        <v>2.1917787484438218</v>
      </c>
      <c r="P26" s="44">
        <f t="shared" si="4"/>
        <v>6.25</v>
      </c>
      <c r="Q26" s="44">
        <f t="shared" si="5"/>
        <v>6.25</v>
      </c>
      <c r="R26" s="44" t="e">
        <f t="shared" si="6"/>
        <v>#REF!</v>
      </c>
      <c r="U26" s="10"/>
      <c r="V26" s="10"/>
      <c r="W26" s="10"/>
      <c r="X26" s="10"/>
      <c r="Y26" s="10"/>
      <c r="Z26" s="10"/>
      <c r="AA26" s="10"/>
      <c r="AB26" s="10"/>
      <c r="AC26" s="10"/>
      <c r="AD26" s="10"/>
      <c r="AE26" s="10"/>
      <c r="AF26" s="10"/>
      <c r="AG26" s="10"/>
      <c r="AH26" s="10"/>
      <c r="AI26" s="10"/>
      <c r="AJ26" s="10"/>
      <c r="AK26" s="10"/>
      <c r="AL26" s="10"/>
      <c r="AM26" s="10"/>
      <c r="AN26" s="10"/>
    </row>
    <row r="27" spans="2:40">
      <c r="B27" s="27" t="s">
        <v>970</v>
      </c>
      <c r="C27" s="28">
        <f>AVERAGEIF(ผลประหยัด!$A$10:$A$846,B27,ผลประหยัด!$I$10:$I$846)</f>
        <v>-36.716207711782246</v>
      </c>
      <c r="D27" s="28" t="e">
        <f>AVERAGEIF(SR!$A$10:$A$846,PML!B27,SR!#REF!)</f>
        <v>#REF!</v>
      </c>
      <c r="E27" s="29" t="e">
        <f>AVERAGEIF(ADG!$A$10:$A$1044,PML!B27,ADG!#REF!)</f>
        <v>#REF!</v>
      </c>
      <c r="F27" s="29">
        <f>AVERAGEIF(YIELD!$A$10:$A$1044,PML!B27,YIELD!$K$10:$K$1044)</f>
        <v>-0.9251454147267828</v>
      </c>
      <c r="G27" s="30">
        <f>AVERAGEIF(FCR!$A$10:$A$1044,PML!B27,FCR!$L$10:$L$1044)</f>
        <v>8.6512390909090922</v>
      </c>
      <c r="H27" s="28">
        <f>AVERAGEIF(SIZE!$A$10:$A$1044,PML!B27,SIZE!$H$10:$H$1044)</f>
        <v>-1.0874638974624207</v>
      </c>
      <c r="K27" s="26" t="str">
        <f t="shared" si="0"/>
        <v>CS4</v>
      </c>
      <c r="L27" s="42">
        <f t="shared" si="7"/>
        <v>0</v>
      </c>
      <c r="M27" s="43" t="e">
        <f t="shared" si="1"/>
        <v>#REF!</v>
      </c>
      <c r="N27" s="44" t="e">
        <f t="shared" si="2"/>
        <v>#REF!</v>
      </c>
      <c r="O27" s="44">
        <f t="shared" si="3"/>
        <v>0</v>
      </c>
      <c r="P27" s="44">
        <f t="shared" si="4"/>
        <v>6.25</v>
      </c>
      <c r="Q27" s="44">
        <f t="shared" si="5"/>
        <v>0</v>
      </c>
      <c r="R27" s="44" t="e">
        <f t="shared" si="6"/>
        <v>#REF!</v>
      </c>
      <c r="U27" s="10"/>
      <c r="V27" s="10"/>
      <c r="W27" s="10"/>
      <c r="X27" s="10"/>
      <c r="Y27" s="10"/>
      <c r="Z27" s="10"/>
      <c r="AA27" s="10"/>
      <c r="AB27" s="10"/>
      <c r="AC27" s="10"/>
      <c r="AD27" s="10"/>
      <c r="AE27" s="10"/>
      <c r="AF27" s="10"/>
      <c r="AG27" s="10"/>
      <c r="AH27" s="10"/>
      <c r="AI27" s="10"/>
      <c r="AJ27" s="10"/>
      <c r="AK27" s="10"/>
      <c r="AL27" s="10"/>
      <c r="AM27" s="10"/>
      <c r="AN27" s="10"/>
    </row>
    <row r="28" spans="2:40">
      <c r="B28" s="27" t="s">
        <v>999</v>
      </c>
      <c r="C28" s="28">
        <f>AVERAGEIF(ผลประหยัด!$A$10:$A$846,B28,ผลประหยัด!$I$10:$I$846)</f>
        <v>-18.167784073819984</v>
      </c>
      <c r="D28" s="28" t="e">
        <f>AVERAGEIF(SR!$A$10:$A$846,PML!B28,SR!#REF!)</f>
        <v>#REF!</v>
      </c>
      <c r="E28" s="29" t="e">
        <f>AVERAGEIF(ADG!$A$10:$A$1044,PML!B28,ADG!#REF!)</f>
        <v>#REF!</v>
      </c>
      <c r="F28" s="29">
        <f>AVERAGEIF(YIELD!$A$10:$A$1044,PML!B28,YIELD!$K$10:$K$1044)</f>
        <v>3.1304027739238141</v>
      </c>
      <c r="G28" s="30">
        <f>AVERAGEIF(FCR!$A$10:$A$1044,PML!B28,FCR!$L$10:$L$1044)</f>
        <v>17.947895454545453</v>
      </c>
      <c r="H28" s="28">
        <f>AVERAGEIF(SIZE!$A$10:$A$1044,PML!B28,SIZE!$H$10:$H$1044)</f>
        <v>0.69973076841500637</v>
      </c>
      <c r="K28" s="26" t="str">
        <f t="shared" si="0"/>
        <v>Roiphet3</v>
      </c>
      <c r="L28" s="42">
        <f t="shared" si="7"/>
        <v>0</v>
      </c>
      <c r="M28" s="43" t="e">
        <f t="shared" si="1"/>
        <v>#REF!</v>
      </c>
      <c r="N28" s="44" t="e">
        <f t="shared" si="2"/>
        <v>#REF!</v>
      </c>
      <c r="O28" s="44">
        <f t="shared" si="3"/>
        <v>3.1304027739238141</v>
      </c>
      <c r="P28" s="44">
        <f t="shared" si="4"/>
        <v>6.25</v>
      </c>
      <c r="Q28" s="44">
        <f t="shared" si="5"/>
        <v>0.69973076841500637</v>
      </c>
      <c r="R28" s="44" t="e">
        <f t="shared" si="6"/>
        <v>#REF!</v>
      </c>
      <c r="U28" s="10"/>
      <c r="V28" s="10"/>
      <c r="W28" s="10"/>
      <c r="X28" s="10"/>
      <c r="Y28" s="10"/>
      <c r="Z28" s="10"/>
      <c r="AA28" s="10"/>
      <c r="AB28" s="10"/>
      <c r="AC28" s="10"/>
      <c r="AD28" s="10"/>
      <c r="AE28" s="10"/>
      <c r="AF28" s="10"/>
      <c r="AG28" s="10"/>
      <c r="AH28" s="10"/>
      <c r="AI28" s="10"/>
      <c r="AJ28" s="10"/>
      <c r="AK28" s="10"/>
      <c r="AL28" s="10"/>
      <c r="AM28" s="10"/>
      <c r="AN28" s="10"/>
    </row>
    <row r="29" spans="2:40">
      <c r="B29" s="27" t="s">
        <v>1066</v>
      </c>
      <c r="C29" s="28">
        <f>AVERAGEIF(ผลประหยัด!$A$10:$A$846,B29,ผลประหยัด!$I$10:$I$846)</f>
        <v>-59.406487803076729</v>
      </c>
      <c r="D29" s="28" t="e">
        <f>AVERAGEIF(SR!$A$10:$A$846,PML!B29,SR!#REF!)</f>
        <v>#REF!</v>
      </c>
      <c r="E29" s="29" t="e">
        <f>AVERAGEIF(ADG!$A$10:$A$1044,PML!B29,ADG!#REF!)</f>
        <v>#REF!</v>
      </c>
      <c r="F29" s="29">
        <f>AVERAGEIF(YIELD!$A$10:$A$1044,PML!B29,YIELD!$K$10:$K$1044)</f>
        <v>2.1284878618115539</v>
      </c>
      <c r="G29" s="30">
        <f>AVERAGEIF(FCR!$A$10:$A$1044,PML!B29,FCR!$L$10:$L$1044)</f>
        <v>12.166282962962963</v>
      </c>
      <c r="H29" s="28">
        <f>AVERAGEIF(SIZE!$A$10:$A$1044,PML!B29,SIZE!$H$10:$H$1044)</f>
        <v>0.85346210481328411</v>
      </c>
      <c r="K29" s="26" t="str">
        <f t="shared" si="0"/>
        <v>CS1</v>
      </c>
      <c r="L29" s="42">
        <f t="shared" si="7"/>
        <v>0</v>
      </c>
      <c r="M29" s="43" t="e">
        <f t="shared" si="1"/>
        <v>#REF!</v>
      </c>
      <c r="N29" s="44" t="e">
        <f t="shared" si="2"/>
        <v>#REF!</v>
      </c>
      <c r="O29" s="44">
        <f t="shared" si="3"/>
        <v>2.1284878618115539</v>
      </c>
      <c r="P29" s="44">
        <f t="shared" si="4"/>
        <v>6.25</v>
      </c>
      <c r="Q29" s="44">
        <f t="shared" si="5"/>
        <v>0.85346210481328411</v>
      </c>
      <c r="R29" s="44" t="e">
        <f t="shared" si="6"/>
        <v>#REF!</v>
      </c>
      <c r="U29" s="10"/>
      <c r="V29" s="10"/>
      <c r="W29" s="10"/>
      <c r="X29" s="10"/>
      <c r="Y29" s="10"/>
      <c r="Z29" s="10"/>
      <c r="AA29" s="10"/>
      <c r="AB29" s="10"/>
      <c r="AC29" s="10"/>
      <c r="AD29" s="10"/>
      <c r="AE29" s="10"/>
      <c r="AF29" s="10"/>
      <c r="AG29" s="10"/>
      <c r="AH29" s="10"/>
      <c r="AI29" s="10"/>
      <c r="AJ29" s="10"/>
      <c r="AK29" s="10"/>
      <c r="AL29" s="10"/>
      <c r="AM29" s="10"/>
      <c r="AN29" s="10"/>
    </row>
    <row r="30" spans="2:40">
      <c r="B30" s="27" t="s">
        <v>1123</v>
      </c>
      <c r="C30" s="28">
        <f>AVERAGEIF(ผลประหยัด!$A$10:$A$846,B30,ผลประหยัด!$I$10:$I$846)</f>
        <v>-18.704950572058006</v>
      </c>
      <c r="D30" s="28" t="e">
        <f>AVERAGEIF(SR!$A$10:$A$846,PML!B30,SR!#REF!)</f>
        <v>#REF!</v>
      </c>
      <c r="E30" s="29" t="e">
        <f>AVERAGEIF(ADG!$A$10:$A$1044,PML!B30,ADG!#REF!)</f>
        <v>#REF!</v>
      </c>
      <c r="F30" s="29">
        <f>AVERAGEIF(YIELD!$A$10:$A$1044,PML!B30,YIELD!$K$10:$K$1044)</f>
        <v>3.6407035224981072</v>
      </c>
      <c r="G30" s="30">
        <f>AVERAGEIF(FCR!$A$10:$A$1044,PML!B30,FCR!$L$10:$L$1044)</f>
        <v>19.790362727272726</v>
      </c>
      <c r="H30" s="28">
        <f>AVERAGEIF(SIZE!$A$10:$A$1044,PML!B30,SIZE!$H$10:$H$1044)</f>
        <v>5.8290546574082533</v>
      </c>
      <c r="K30" s="26" t="str">
        <f t="shared" si="0"/>
        <v>Roiphet2</v>
      </c>
      <c r="L30" s="42">
        <f t="shared" si="7"/>
        <v>0</v>
      </c>
      <c r="M30" s="43" t="e">
        <f t="shared" si="1"/>
        <v>#REF!</v>
      </c>
      <c r="N30" s="44" t="e">
        <f t="shared" si="2"/>
        <v>#REF!</v>
      </c>
      <c r="O30" s="44">
        <f t="shared" si="3"/>
        <v>3.6407035224981072</v>
      </c>
      <c r="P30" s="44">
        <f t="shared" si="4"/>
        <v>6.25</v>
      </c>
      <c r="Q30" s="44">
        <f t="shared" si="5"/>
        <v>5.8290546574082533</v>
      </c>
      <c r="R30" s="44" t="e">
        <f t="shared" si="6"/>
        <v>#REF!</v>
      </c>
      <c r="U30" s="10"/>
      <c r="V30" s="10"/>
      <c r="W30" s="10"/>
      <c r="X30" s="10"/>
      <c r="Y30" s="10"/>
      <c r="Z30" s="10"/>
      <c r="AA30" s="10"/>
      <c r="AB30" s="10"/>
      <c r="AC30" s="10"/>
      <c r="AD30" s="10"/>
      <c r="AE30" s="10"/>
      <c r="AF30" s="10"/>
      <c r="AG30" s="10"/>
      <c r="AH30" s="10"/>
      <c r="AI30" s="10"/>
      <c r="AJ30" s="10"/>
      <c r="AK30" s="10"/>
      <c r="AL30" s="10"/>
      <c r="AM30" s="10"/>
      <c r="AN30" s="10"/>
    </row>
    <row r="31" spans="2:40">
      <c r="B31" s="27" t="s">
        <v>1146</v>
      </c>
      <c r="C31" s="28">
        <f>AVERAGEIF(ผลประหยัด!$A$10:$A$846,B31,ผลประหยัด!$I$10:$I$846)</f>
        <v>-21.15178576894105</v>
      </c>
      <c r="D31" s="28" t="e">
        <f>AVERAGEIF(SR!$A$10:$A$846,PML!B31,SR!#REF!)</f>
        <v>#REF!</v>
      </c>
      <c r="E31" s="29" t="e">
        <f>AVERAGEIF(ADG!$A$10:$A$1044,PML!B31,ADG!#REF!)</f>
        <v>#REF!</v>
      </c>
      <c r="F31" s="29">
        <f>AVERAGEIF(YIELD!$A$10:$A$1044,PML!B31,YIELD!$K$10:$K$1044)</f>
        <v>8.8722751282051302</v>
      </c>
      <c r="G31" s="30">
        <f>AVERAGEIF(FCR!$A$10:$A$1044,PML!B31,FCR!$L$10:$L$1044)</f>
        <v>36.616825384615382</v>
      </c>
      <c r="H31" s="28">
        <f>AVERAGEIF(SIZE!$A$10:$A$1044,PML!B31,SIZE!$H$10:$H$1044)</f>
        <v>4.1210918676929698</v>
      </c>
      <c r="K31" s="26" t="str">
        <f t="shared" si="0"/>
        <v>Lamlaung</v>
      </c>
      <c r="L31" s="42">
        <f t="shared" si="7"/>
        <v>0</v>
      </c>
      <c r="M31" s="43" t="e">
        <f t="shared" si="1"/>
        <v>#REF!</v>
      </c>
      <c r="N31" s="44" t="e">
        <f t="shared" si="2"/>
        <v>#REF!</v>
      </c>
      <c r="O31" s="44">
        <f t="shared" si="3"/>
        <v>6.25</v>
      </c>
      <c r="P31" s="44">
        <f t="shared" si="4"/>
        <v>6.25</v>
      </c>
      <c r="Q31" s="44">
        <f t="shared" si="5"/>
        <v>4.1210918676929698</v>
      </c>
      <c r="R31" s="44" t="e">
        <f t="shared" si="6"/>
        <v>#REF!</v>
      </c>
      <c r="U31" s="10"/>
      <c r="V31" s="10"/>
      <c r="W31" s="10"/>
      <c r="X31" s="10"/>
      <c r="Y31" s="10"/>
      <c r="Z31" s="10"/>
      <c r="AA31" s="10"/>
      <c r="AB31" s="10"/>
      <c r="AC31" s="10"/>
      <c r="AD31" s="10"/>
      <c r="AE31" s="10"/>
      <c r="AF31" s="10"/>
      <c r="AG31" s="10"/>
      <c r="AH31" s="10"/>
      <c r="AI31" s="10"/>
      <c r="AJ31" s="10"/>
      <c r="AK31" s="10"/>
      <c r="AL31" s="10"/>
      <c r="AM31" s="10"/>
      <c r="AN31" s="10"/>
    </row>
    <row r="32" spans="2:40">
      <c r="B32" s="27" t="s">
        <v>1174</v>
      </c>
      <c r="C32" s="28">
        <f>AVERAGEIF(ผลประหยัด!$A$10:$A$846,B32,ผลประหยัด!$I$10:$I$846)</f>
        <v>-15.977946144047266</v>
      </c>
      <c r="D32" s="28" t="e">
        <f>AVERAGEIF(SR!$A$10:$A$846,PML!B32,SR!#REF!)</f>
        <v>#REF!</v>
      </c>
      <c r="E32" s="29" t="e">
        <f>AVERAGEIF(ADG!$A$10:$A$1044,PML!B32,ADG!#REF!)</f>
        <v>#REF!</v>
      </c>
      <c r="F32" s="29">
        <f>AVERAGEIF(YIELD!$A$10:$A$1044,PML!B32,YIELD!$K$10:$K$1044)</f>
        <v>3.4478608419859351</v>
      </c>
      <c r="G32" s="30">
        <f>AVERAGEIF(FCR!$A$10:$A$1044,PML!B32,FCR!$L$10:$L$1044)</f>
        <v>5.7729019724770652</v>
      </c>
      <c r="H32" s="28">
        <f>AVERAGEIF(SIZE!$A$10:$A$1044,PML!B32,SIZE!$H$10:$H$1044)</f>
        <v>6.3029580934243663</v>
      </c>
      <c r="K32" s="26" t="str">
        <f t="shared" si="0"/>
        <v>Roiphet1</v>
      </c>
      <c r="L32" s="42">
        <f t="shared" si="7"/>
        <v>0</v>
      </c>
      <c r="M32" s="43" t="e">
        <f t="shared" si="1"/>
        <v>#REF!</v>
      </c>
      <c r="N32" s="44" t="e">
        <f t="shared" si="2"/>
        <v>#REF!</v>
      </c>
      <c r="O32" s="44">
        <f t="shared" si="3"/>
        <v>3.4478608419859351</v>
      </c>
      <c r="P32" s="44">
        <f t="shared" si="4"/>
        <v>5.7729019724770652</v>
      </c>
      <c r="Q32" s="44">
        <f t="shared" si="5"/>
        <v>6.25</v>
      </c>
      <c r="R32" s="44" t="e">
        <f t="shared" si="6"/>
        <v>#REF!</v>
      </c>
      <c r="U32" s="10"/>
      <c r="V32" s="10"/>
      <c r="W32" s="10"/>
      <c r="X32" s="10"/>
      <c r="Y32" s="10"/>
      <c r="Z32" s="10"/>
      <c r="AA32" s="10"/>
      <c r="AB32" s="10"/>
      <c r="AC32" s="10"/>
      <c r="AD32" s="10"/>
      <c r="AE32" s="10"/>
      <c r="AF32" s="10"/>
      <c r="AG32" s="10"/>
      <c r="AH32" s="10"/>
      <c r="AI32" s="10"/>
      <c r="AJ32" s="10"/>
      <c r="AK32" s="10"/>
      <c r="AL32" s="10"/>
      <c r="AM32" s="10"/>
      <c r="AN32" s="10"/>
    </row>
    <row r="33" spans="2:40">
      <c r="B33" s="27" t="s">
        <v>1574</v>
      </c>
      <c r="C33" s="28">
        <f>AVERAGEIF(ผลประหยัด!$A$10:$A$846,B33,ผลประหยัด!$I$10:$I$846)</f>
        <v>-19.241899345256734</v>
      </c>
      <c r="D33" s="28" t="e">
        <f>AVERAGEIF(SR!$A$10:$A$846,PML!B33,SR!#REF!)</f>
        <v>#REF!</v>
      </c>
      <c r="E33" s="29" t="e">
        <f>AVERAGEIF(ADG!$A$10:$A$1044,PML!B33,ADG!#REF!)</f>
        <v>#REF!</v>
      </c>
      <c r="F33" s="29">
        <f>AVERAGEIF(YIELD!$A$10:$A$1044,PML!B33,YIELD!$K$10:$K$1044)</f>
        <v>2.5427300510209165</v>
      </c>
      <c r="G33" s="30">
        <f>AVERAGEIF(FCR!$A$10:$A$1044,PML!B33,FCR!$L$10:$L$1044)</f>
        <v>16.172511000000004</v>
      </c>
      <c r="H33" s="28">
        <f>AVERAGEIF(SIZE!$A$10:$A$1044,PML!B33,SIZE!$H$10:$H$1044)</f>
        <v>6.153273570742094</v>
      </c>
      <c r="K33" s="26" t="str">
        <f t="shared" si="0"/>
        <v>PB5</v>
      </c>
      <c r="L33" s="42">
        <f t="shared" si="7"/>
        <v>0</v>
      </c>
      <c r="M33" s="43" t="e">
        <f t="shared" si="1"/>
        <v>#REF!</v>
      </c>
      <c r="N33" s="44" t="e">
        <f t="shared" si="2"/>
        <v>#REF!</v>
      </c>
      <c r="O33" s="44">
        <f t="shared" si="3"/>
        <v>2.5427300510209165</v>
      </c>
      <c r="P33" s="44">
        <f t="shared" si="4"/>
        <v>6.25</v>
      </c>
      <c r="Q33" s="44">
        <f t="shared" si="5"/>
        <v>6.153273570742094</v>
      </c>
      <c r="R33" s="44" t="e">
        <f t="shared" si="6"/>
        <v>#REF!</v>
      </c>
      <c r="U33" s="10"/>
      <c r="V33" s="10"/>
      <c r="W33" s="10"/>
      <c r="X33" s="10"/>
      <c r="Y33" s="10"/>
      <c r="Z33" s="10"/>
      <c r="AA33" s="10"/>
      <c r="AB33" s="10"/>
      <c r="AC33" s="10"/>
      <c r="AD33" s="10"/>
      <c r="AE33" s="10"/>
      <c r="AF33" s="10"/>
      <c r="AG33" s="10"/>
      <c r="AH33" s="10"/>
      <c r="AI33" s="10"/>
      <c r="AJ33" s="10"/>
      <c r="AK33" s="10"/>
      <c r="AL33" s="10"/>
      <c r="AM33" s="10"/>
      <c r="AN33" s="10"/>
    </row>
    <row r="34" spans="2:40">
      <c r="B34" s="27" t="s">
        <v>1600</v>
      </c>
      <c r="C34" s="28">
        <f>AVERAGEIF(ผลประหยัด!$A$10:$A$846,B34,ผลประหยัด!$I$10:$I$846)</f>
        <v>-4.3553720374927565</v>
      </c>
      <c r="D34" s="28" t="e">
        <f>AVERAGEIF(SR!$A$10:$A$846,PML!B34,SR!#REF!)</f>
        <v>#REF!</v>
      </c>
      <c r="E34" s="29" t="e">
        <f>AVERAGEIF(ADG!$A$10:$A$1044,PML!B34,ADG!#REF!)</f>
        <v>#REF!</v>
      </c>
      <c r="F34" s="29">
        <f>AVERAGEIF(YIELD!$A$10:$A$1044,PML!B34,YIELD!$K$10:$K$1044)</f>
        <v>8.0452400483534987</v>
      </c>
      <c r="G34" s="30">
        <f>AVERAGEIF(FCR!$A$10:$A$1044,PML!B34,FCR!$L$10:$L$1044)</f>
        <v>23.679077777777767</v>
      </c>
      <c r="H34" s="28">
        <f>AVERAGEIF(SIZE!$A$10:$A$1044,PML!B34,SIZE!$H$10:$H$1044)</f>
        <v>5.9578471495972387</v>
      </c>
      <c r="K34" s="26" t="str">
        <f t="shared" si="0"/>
        <v>Maeklong1</v>
      </c>
      <c r="L34" s="42">
        <f t="shared" si="7"/>
        <v>0</v>
      </c>
      <c r="M34" s="43" t="e">
        <f t="shared" si="1"/>
        <v>#REF!</v>
      </c>
      <c r="N34" s="44" t="e">
        <f t="shared" si="2"/>
        <v>#REF!</v>
      </c>
      <c r="O34" s="44">
        <f t="shared" si="3"/>
        <v>6.25</v>
      </c>
      <c r="P34" s="44">
        <f t="shared" si="4"/>
        <v>6.25</v>
      </c>
      <c r="Q34" s="44">
        <f t="shared" si="5"/>
        <v>5.9578471495972387</v>
      </c>
      <c r="R34" s="44" t="e">
        <f t="shared" si="6"/>
        <v>#REF!</v>
      </c>
      <c r="U34" s="10"/>
      <c r="V34" s="10"/>
      <c r="W34" s="10"/>
      <c r="X34" s="10"/>
      <c r="Y34" s="10"/>
      <c r="Z34" s="10"/>
      <c r="AA34" s="10"/>
      <c r="AB34" s="10"/>
      <c r="AC34" s="10"/>
      <c r="AD34" s="10"/>
      <c r="AE34" s="10"/>
      <c r="AF34" s="10"/>
      <c r="AG34" s="10"/>
      <c r="AH34" s="10"/>
      <c r="AI34" s="10"/>
      <c r="AJ34" s="10"/>
      <c r="AK34" s="10"/>
      <c r="AL34" s="10"/>
      <c r="AM34" s="10"/>
      <c r="AN34" s="10"/>
    </row>
    <row r="35" spans="2:40">
      <c r="B35" s="27" t="s">
        <v>1660</v>
      </c>
      <c r="C35" s="28">
        <f>AVERAGEIF(ผลประหยัด!$A$10:$A$846,B35,ผลประหยัด!$I$10:$I$846)</f>
        <v>13.260306741028206</v>
      </c>
      <c r="D35" s="28" t="e">
        <f>AVERAGEIF(SR!$A$10:$A$846,PML!B35,SR!#REF!)</f>
        <v>#REF!</v>
      </c>
      <c r="E35" s="29" t="e">
        <f>AVERAGEIF(ADG!$A$10:$A$1044,PML!B35,ADG!#REF!)</f>
        <v>#REF!</v>
      </c>
      <c r="F35" s="29">
        <f>AVERAGEIF(YIELD!$A$10:$A$1044,PML!B35,YIELD!$K$10:$K$1044)</f>
        <v>14.507791439277263</v>
      </c>
      <c r="G35" s="30">
        <f>AVERAGEIF(FCR!$A$10:$A$1044,PML!B35,FCR!$L$10:$L$1044)</f>
        <v>20.455976111111109</v>
      </c>
      <c r="H35" s="28">
        <f>AVERAGEIF(SIZE!$A$10:$A$1044,PML!B35,SIZE!$H$10:$H$1044)</f>
        <v>8.3080990097012251</v>
      </c>
      <c r="K35" s="26" t="str">
        <f t="shared" si="0"/>
        <v>Petchburi5</v>
      </c>
      <c r="L35" s="42">
        <f t="shared" si="7"/>
        <v>13.260306741028206</v>
      </c>
      <c r="M35" s="43" t="e">
        <f t="shared" si="1"/>
        <v>#REF!</v>
      </c>
      <c r="N35" s="44" t="e">
        <f t="shared" si="2"/>
        <v>#REF!</v>
      </c>
      <c r="O35" s="44">
        <f t="shared" si="3"/>
        <v>6.25</v>
      </c>
      <c r="P35" s="44">
        <f t="shared" si="4"/>
        <v>6.25</v>
      </c>
      <c r="Q35" s="44">
        <f t="shared" si="5"/>
        <v>6.25</v>
      </c>
      <c r="R35" s="44" t="e">
        <f t="shared" si="6"/>
        <v>#REF!</v>
      </c>
      <c r="U35" s="10"/>
      <c r="V35" s="10"/>
      <c r="W35" s="10"/>
      <c r="X35" s="10"/>
      <c r="Y35" s="10"/>
      <c r="Z35" s="10"/>
      <c r="AA35" s="10"/>
      <c r="AB35" s="10"/>
      <c r="AC35" s="10"/>
      <c r="AD35" s="10"/>
      <c r="AE35" s="10"/>
      <c r="AF35" s="10"/>
      <c r="AG35" s="10"/>
      <c r="AH35" s="10"/>
      <c r="AI35" s="10"/>
      <c r="AJ35" s="10"/>
      <c r="AK35" s="10"/>
      <c r="AL35" s="10"/>
      <c r="AM35" s="10"/>
      <c r="AN35" s="10"/>
    </row>
    <row r="36" spans="2:40">
      <c r="B36" s="27" t="s">
        <v>1747</v>
      </c>
      <c r="C36" s="28">
        <f>AVERAGEIF(ผลประหยัด!$A$10:$A$846,B36,ผลประหยัด!$I$10:$I$846)</f>
        <v>1.9225019856704257</v>
      </c>
      <c r="D36" s="28" t="e">
        <f>AVERAGEIF(SR!$A$10:$A$846,PML!B36,SR!#REF!)</f>
        <v>#REF!</v>
      </c>
      <c r="E36" s="29" t="e">
        <f>AVERAGEIF(ADG!$A$10:$A$1044,PML!B36,ADG!#REF!)</f>
        <v>#REF!</v>
      </c>
      <c r="F36" s="29">
        <f>AVERAGEIF(YIELD!$A$10:$A$1044,PML!B36,YIELD!$K$10:$K$1044)</f>
        <v>4.7923354850277926</v>
      </c>
      <c r="G36" s="30">
        <f>AVERAGEIF(FCR!$A$10:$A$1044,PML!B36,FCR!$L$10:$L$1044)</f>
        <v>19.85885636363636</v>
      </c>
      <c r="H36" s="28">
        <f>AVERAGEIF(SIZE!$A$10:$A$1044,PML!B36,SIZE!$H$10:$H$1044)</f>
        <v>7.1751554786564888</v>
      </c>
      <c r="K36" s="26" t="str">
        <f t="shared" si="0"/>
        <v>Bansang</v>
      </c>
      <c r="L36" s="42">
        <f t="shared" si="7"/>
        <v>1.9225019856704257</v>
      </c>
      <c r="M36" s="43" t="e">
        <f t="shared" si="1"/>
        <v>#REF!</v>
      </c>
      <c r="N36" s="44" t="e">
        <f t="shared" si="2"/>
        <v>#REF!</v>
      </c>
      <c r="O36" s="44">
        <f t="shared" si="3"/>
        <v>4.7923354850277926</v>
      </c>
      <c r="P36" s="44">
        <f t="shared" si="4"/>
        <v>6.25</v>
      </c>
      <c r="Q36" s="44">
        <f t="shared" si="5"/>
        <v>6.25</v>
      </c>
      <c r="R36" s="44" t="e">
        <f t="shared" si="6"/>
        <v>#REF!</v>
      </c>
      <c r="U36" s="10"/>
      <c r="V36" s="10"/>
      <c r="W36" s="10"/>
      <c r="X36" s="10"/>
      <c r="Y36" s="10"/>
      <c r="Z36" s="10"/>
      <c r="AA36" s="10"/>
      <c r="AB36" s="10"/>
      <c r="AC36" s="10"/>
      <c r="AD36" s="10"/>
      <c r="AE36" s="10"/>
      <c r="AF36" s="10"/>
      <c r="AG36" s="10"/>
      <c r="AH36" s="10"/>
      <c r="AI36" s="10"/>
      <c r="AJ36" s="10"/>
      <c r="AK36" s="10"/>
      <c r="AL36" s="10"/>
      <c r="AM36" s="10"/>
      <c r="AN36" s="10"/>
    </row>
    <row r="37" spans="2:40">
      <c r="B37" s="27" t="s">
        <v>1771</v>
      </c>
      <c r="C37" s="28">
        <f>AVERAGEIF(ผลประหยัด!$A$10:$A$846,B37,ผลประหยัด!$I$10:$I$846)</f>
        <v>1.6827658414815545</v>
      </c>
      <c r="D37" s="28" t="e">
        <f>AVERAGEIF(SR!$A$10:$A$846,PML!B37,SR!#REF!)</f>
        <v>#REF!</v>
      </c>
      <c r="E37" s="29" t="e">
        <f>AVERAGEIF(ADG!$A$10:$A$1044,PML!B37,ADG!#REF!)</f>
        <v>#REF!</v>
      </c>
      <c r="F37" s="29">
        <f>AVERAGEIF(YIELD!$A$10:$A$1044,PML!B37,YIELD!$K$10:$K$1044)</f>
        <v>6.0374481175390278</v>
      </c>
      <c r="G37" s="30">
        <f>AVERAGEIF(FCR!$A$10:$A$1044,PML!B37,FCR!$L$10:$L$1044)</f>
        <v>27.182621818181818</v>
      </c>
      <c r="H37" s="28">
        <f>AVERAGEIF(SIZE!$A$10:$A$1044,PML!B37,SIZE!$H$10:$H$1044)</f>
        <v>8.2842239389767833</v>
      </c>
      <c r="K37" s="26" t="str">
        <f t="shared" si="0"/>
        <v>Choknavy</v>
      </c>
      <c r="L37" s="42">
        <f t="shared" si="7"/>
        <v>1.6827658414815545</v>
      </c>
      <c r="M37" s="43" t="e">
        <f t="shared" si="1"/>
        <v>#REF!</v>
      </c>
      <c r="N37" s="44" t="e">
        <f t="shared" si="2"/>
        <v>#REF!</v>
      </c>
      <c r="O37" s="44">
        <f t="shared" si="3"/>
        <v>6.0374481175390278</v>
      </c>
      <c r="P37" s="44">
        <f t="shared" si="4"/>
        <v>6.25</v>
      </c>
      <c r="Q37" s="44">
        <f t="shared" si="5"/>
        <v>6.25</v>
      </c>
      <c r="R37" s="44" t="e">
        <f t="shared" si="6"/>
        <v>#REF!</v>
      </c>
      <c r="U37" s="10"/>
      <c r="V37" s="10"/>
      <c r="W37" s="10"/>
      <c r="X37" s="10"/>
      <c r="Y37" s="10"/>
      <c r="Z37" s="10"/>
      <c r="AA37" s="10"/>
      <c r="AB37" s="10"/>
      <c r="AC37" s="10"/>
      <c r="AD37" s="10"/>
      <c r="AE37" s="10"/>
      <c r="AF37" s="10"/>
      <c r="AG37" s="10"/>
      <c r="AH37" s="10"/>
      <c r="AI37" s="10"/>
      <c r="AJ37" s="10"/>
      <c r="AK37" s="10"/>
      <c r="AL37" s="10"/>
      <c r="AM37" s="10"/>
      <c r="AN37" s="10"/>
    </row>
    <row r="38" spans="2:40">
      <c r="B38" s="27" t="s">
        <v>1791</v>
      </c>
      <c r="C38" s="28" t="e">
        <f>AVERAGEIF(ผลประหยัด!$A$10:$A$846,B38,ผลประหยัด!$I$10:$I$846)</f>
        <v>#DIV/0!</v>
      </c>
      <c r="D38" s="28" t="e">
        <f>AVERAGEIF(SR!$A$10:$A$846,PML!B38,SR!#REF!)</f>
        <v>#REF!</v>
      </c>
      <c r="E38" s="29" t="e">
        <f>AVERAGEIF(ADG!$A$10:$A$1044,PML!B38,ADG!#REF!)</f>
        <v>#REF!</v>
      </c>
      <c r="F38" s="29" t="e">
        <f>AVERAGEIF(YIELD!$A$10:$A$1044,PML!B38,YIELD!$K$10:$K$1044)</f>
        <v>#DIV/0!</v>
      </c>
      <c r="G38" s="30" t="e">
        <f>AVERAGEIF(FCR!$A$10:$A$1044,PML!B38,FCR!$L$10:$L$1044)</f>
        <v>#DIV/0!</v>
      </c>
      <c r="H38" s="28" t="e">
        <f>AVERAGEIF(SIZE!$A$10:$A$1044,PML!B38,SIZE!$H$10:$H$1044)</f>
        <v>#DIV/0!</v>
      </c>
      <c r="K38" s="26" t="str">
        <f t="shared" si="0"/>
        <v>Maeklong2 Research</v>
      </c>
      <c r="L38" s="42" t="e">
        <f t="shared" si="7"/>
        <v>#DIV/0!</v>
      </c>
      <c r="M38" s="43" t="e">
        <f t="shared" si="1"/>
        <v>#REF!</v>
      </c>
      <c r="N38" s="44" t="e">
        <f t="shared" si="2"/>
        <v>#REF!</v>
      </c>
      <c r="O38" s="44" t="e">
        <f t="shared" si="3"/>
        <v>#DIV/0!</v>
      </c>
      <c r="P38" s="44" t="e">
        <f t="shared" si="4"/>
        <v>#DIV/0!</v>
      </c>
      <c r="Q38" s="44" t="e">
        <f t="shared" si="5"/>
        <v>#DIV/0!</v>
      </c>
      <c r="R38" s="44" t="e">
        <f t="shared" si="6"/>
        <v>#DIV/0!</v>
      </c>
      <c r="U38" s="10"/>
      <c r="V38" s="10"/>
      <c r="W38" s="10"/>
      <c r="X38" s="10"/>
      <c r="Y38" s="10"/>
      <c r="Z38" s="10"/>
      <c r="AA38" s="10"/>
      <c r="AB38" s="10"/>
      <c r="AC38" s="10"/>
      <c r="AD38" s="10"/>
      <c r="AE38" s="10"/>
      <c r="AF38" s="10"/>
      <c r="AG38" s="10"/>
      <c r="AH38" s="10"/>
      <c r="AI38" s="10"/>
      <c r="AJ38" s="10"/>
      <c r="AK38" s="10"/>
      <c r="AL38" s="10"/>
      <c r="AM38" s="10"/>
      <c r="AN38" s="10"/>
    </row>
    <row r="39" spans="2:40">
      <c r="B39" s="27" t="s">
        <v>1792</v>
      </c>
      <c r="C39" s="28" t="e">
        <f>AVERAGEIF(ผลประหยัด!$A$10:$A$846,B39,ผลประหยัด!$I$10:$I$846)</f>
        <v>#DIV/0!</v>
      </c>
      <c r="D39" s="28" t="e">
        <f>AVERAGEIF(SR!$A$10:$A$846,PML!B39,SR!#REF!)</f>
        <v>#REF!</v>
      </c>
      <c r="E39" s="29" t="e">
        <f>AVERAGEIF(ADG!$A$10:$A$1044,PML!B39,ADG!#REF!)</f>
        <v>#REF!</v>
      </c>
      <c r="F39" s="29" t="e">
        <f>AVERAGEIF(YIELD!$A$10:$A$1044,PML!B39,YIELD!$K$10:$K$1044)</f>
        <v>#DIV/0!</v>
      </c>
      <c r="G39" s="30" t="e">
        <f>AVERAGEIF(FCR!$A$10:$A$1044,PML!B39,FCR!$L$10:$L$1044)</f>
        <v>#DIV/0!</v>
      </c>
      <c r="H39" s="28" t="e">
        <f>AVERAGEIF(SIZE!$A$10:$A$1044,PML!B39,SIZE!$H$10:$H$1044)</f>
        <v>#DIV/0!</v>
      </c>
      <c r="K39" s="26" t="str">
        <f t="shared" si="0"/>
        <v>Yisan Marine Research</v>
      </c>
      <c r="L39" s="42" t="e">
        <f t="shared" si="7"/>
        <v>#DIV/0!</v>
      </c>
      <c r="M39" s="43" t="e">
        <f t="shared" si="1"/>
        <v>#REF!</v>
      </c>
      <c r="N39" s="44" t="e">
        <f t="shared" si="2"/>
        <v>#REF!</v>
      </c>
      <c r="O39" s="44" t="e">
        <f t="shared" si="3"/>
        <v>#DIV/0!</v>
      </c>
      <c r="P39" s="44" t="e">
        <f t="shared" si="4"/>
        <v>#DIV/0!</v>
      </c>
      <c r="Q39" s="44" t="e">
        <f t="shared" si="5"/>
        <v>#DIV/0!</v>
      </c>
      <c r="R39" s="44" t="e">
        <f t="shared" si="6"/>
        <v>#DIV/0!</v>
      </c>
      <c r="U39" s="10"/>
      <c r="V39" s="10"/>
      <c r="W39" s="10"/>
      <c r="X39" s="10"/>
      <c r="Y39" s="10"/>
      <c r="Z39" s="10"/>
      <c r="AA39" s="10"/>
      <c r="AB39" s="10"/>
      <c r="AC39" s="10"/>
      <c r="AD39" s="10"/>
      <c r="AE39" s="10"/>
      <c r="AF39" s="10"/>
      <c r="AG39" s="10"/>
      <c r="AH39" s="10"/>
      <c r="AI39" s="10"/>
      <c r="AJ39" s="10"/>
      <c r="AK39" s="10"/>
      <c r="AL39" s="10"/>
      <c r="AM39" s="10"/>
      <c r="AN39" s="10"/>
    </row>
    <row r="40" spans="2:40">
      <c r="B40" s="27" t="s">
        <v>1795</v>
      </c>
      <c r="C40" s="28">
        <f>AVERAGEIF(ผลประหยัด!$A$10:$A$846,B40,ผลประหยัด!$I$10:$I$846)</f>
        <v>12.542577498138485</v>
      </c>
      <c r="D40" s="28" t="e">
        <f>AVERAGEIF(SR!$A$10:$A$846,PML!B40,SR!#REF!)</f>
        <v>#REF!</v>
      </c>
      <c r="E40" s="29" t="e">
        <f>AVERAGEIF(ADG!$A$10:$A$1044,PML!B40,ADG!#REF!)</f>
        <v>#REF!</v>
      </c>
      <c r="F40" s="29">
        <f>AVERAGEIF(YIELD!$A$10:$A$1044,PML!B40,YIELD!$K$10:$K$1044)</f>
        <v>4.0468070264463814</v>
      </c>
      <c r="G40" s="30">
        <f>AVERAGEIF(FCR!$A$10:$A$1044,PML!B40,FCR!$L$10:$L$1044)</f>
        <v>24.835081111111108</v>
      </c>
      <c r="H40" s="28">
        <f>AVERAGEIF(SIZE!$A$10:$A$1044,PML!B40,SIZE!$H$10:$H$1044)</f>
        <v>6.5896580741724318</v>
      </c>
      <c r="K40" s="26" t="str">
        <f t="shared" si="0"/>
        <v>Lamae</v>
      </c>
      <c r="L40" s="42">
        <f t="shared" si="7"/>
        <v>12.542577498138485</v>
      </c>
      <c r="M40" s="43" t="e">
        <f t="shared" si="1"/>
        <v>#REF!</v>
      </c>
      <c r="N40" s="44" t="e">
        <f t="shared" si="2"/>
        <v>#REF!</v>
      </c>
      <c r="O40" s="44">
        <f t="shared" si="3"/>
        <v>4.0468070264463814</v>
      </c>
      <c r="P40" s="44">
        <f t="shared" si="4"/>
        <v>6.25</v>
      </c>
      <c r="Q40" s="44">
        <f t="shared" si="5"/>
        <v>6.25</v>
      </c>
      <c r="R40" s="44" t="e">
        <f t="shared" si="6"/>
        <v>#REF!</v>
      </c>
      <c r="U40" s="10"/>
      <c r="V40" s="10"/>
      <c r="W40" s="10"/>
      <c r="X40" s="10"/>
      <c r="Y40" s="10"/>
      <c r="Z40" s="10"/>
      <c r="AA40" s="10"/>
      <c r="AB40" s="10"/>
      <c r="AC40" s="10"/>
      <c r="AD40" s="10"/>
      <c r="AE40" s="10"/>
      <c r="AF40" s="10"/>
      <c r="AG40" s="10"/>
      <c r="AH40" s="10"/>
      <c r="AI40" s="10"/>
      <c r="AJ40" s="10"/>
      <c r="AK40" s="10"/>
      <c r="AL40" s="10"/>
      <c r="AM40" s="10"/>
      <c r="AN40" s="10"/>
    </row>
  </sheetData>
  <autoFilter ref="K2:R40" xr:uid="{ECEB60F5-9B74-2A46-88D7-1742C13E8D6E}">
    <sortState xmlns:xlrd2="http://schemas.microsoft.com/office/spreadsheetml/2017/richdata2" ref="K3:R40">
      <sortCondition ref="R2:R40"/>
    </sortState>
  </autoFilter>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PML เรียง</vt:lpstr>
      <vt:lpstr>Criteria</vt:lpstr>
      <vt:lpstr>PML! weight (2)</vt:lpstr>
      <vt:lpstr>PML! weight</vt:lpstr>
      <vt:lpstr>ปรับตาราง</vt:lpstr>
      <vt:lpstr>PML!</vt:lpstr>
      <vt:lpstr>PML!wa</vt:lpstr>
      <vt:lpstr>PML! ACC</vt:lpstr>
      <vt:lpstr>Sheet13</vt:lpstr>
      <vt:lpstr>Sheet3</vt:lpstr>
      <vt:lpstr>Sheet5</vt:lpstr>
      <vt:lpstr>Sheet2</vt:lpstr>
      <vt:lpstr>Sheet1</vt:lpstr>
      <vt:lpstr>Sheet12</vt:lpstr>
      <vt:lpstr>ผลประหยัด</vt:lpstr>
      <vt:lpstr>Sheet6</vt:lpstr>
      <vt:lpstr>Sheet4</vt:lpstr>
      <vt:lpstr>SR</vt:lpstr>
      <vt:lpstr>ADG</vt:lpstr>
      <vt:lpstr>FCR</vt:lpstr>
      <vt:lpstr>YIELDN</vt:lpstr>
      <vt:lpstr>Sheet8</vt:lpstr>
      <vt:lpstr>Sheet7</vt:lpstr>
      <vt:lpstr>SIZE</vt:lpstr>
      <vt:lpstr>RAW DATA 2023</vt:lpstr>
      <vt:lpstr>FOR YEILD</vt:lpstr>
      <vt:lpstr>ทำตาราง</vt:lpstr>
      <vt:lpstr>STD</vt:lpstr>
      <vt:lpstr>MODEL</vt:lpstr>
      <vt:lpstr>Sheet10</vt:lpstr>
      <vt:lpstr>Range ผลประหยัด</vt:lpstr>
      <vt:lpstr>RANGE SR</vt:lpstr>
      <vt:lpstr>RANGE ADG</vt:lpstr>
      <vt:lpstr>RANGE FCR</vt:lpstr>
      <vt:lpstr>RANGE Yield</vt:lpstr>
      <vt:lpstr>RANGE Size</vt:lpstr>
      <vt:lpstr>YIELD</vt:lpstr>
      <vt:lpstr>วิเคราะห์ Yeild</vt:lpstr>
      <vt:lpstr>PML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kunyanut yustue</cp:lastModifiedBy>
  <dcterms:created xsi:type="dcterms:W3CDTF">2023-11-01T08:19:27Z</dcterms:created>
  <dcterms:modified xsi:type="dcterms:W3CDTF">2024-01-26T02:05:15Z</dcterms:modified>
</cp:coreProperties>
</file>